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3.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5.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6.xml" ContentType="application/vnd.openxmlformats-officedocument.drawing+xml"/>
  <Override PartName="/xl/activeX/activeX159.xml" ContentType="application/vnd.ms-office.activeX+xml"/>
  <Override PartName="/xl/activeX/activeX159.bin" ContentType="application/vnd.ms-office.activeX"/>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1.xml" ContentType="application/vnd.ms-excel.controlproperties+xml"/>
  <Override PartName="/xl/comments9.xml" ContentType="application/vnd.openxmlformats-officedocument.spreadsheetml.comments+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drawings/drawing10.xml" ContentType="application/vnd.openxmlformats-officedocument.drawing+xml"/>
  <Override PartName="/xl/activeX/activeX163.xml" ContentType="application/vnd.ms-office.activeX+xml"/>
  <Override PartName="/xl/activeX/activeX163.bin" ContentType="application/vnd.ms-office.activeX"/>
  <Override PartName="/xl/comments10.xml" ContentType="application/vnd.openxmlformats-officedocument.spreadsheetml.comments+xml"/>
  <Override PartName="/xl/drawings/drawing11.xml" ContentType="application/vnd.openxmlformats-officedocument.drawing+xml"/>
  <Override PartName="/xl/activeX/activeX164.xml" ContentType="application/vnd.ms-office.activeX+xml"/>
  <Override PartName="/xl/activeX/activeX164.bin" ContentType="application/vnd.ms-office.activeX"/>
  <Override PartName="/xl/drawings/drawing12.xml" ContentType="application/vnd.openxmlformats-officedocument.drawing+xml"/>
  <Override PartName="/xl/comments11.xml" ContentType="application/vnd.openxmlformats-officedocument.spreadsheetml.comments+xml"/>
  <Override PartName="/xl/charts/chart24.xml" ContentType="application/vnd.openxmlformats-officedocument.drawingml.chart+xml"/>
  <Override PartName="/xl/theme/themeOverride1.xml" ContentType="application/vnd.openxmlformats-officedocument.themeOverride+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theme/themeOverride2.xml" ContentType="application/vnd.openxmlformats-officedocument.themeOverride+xml"/>
  <Override PartName="/xl/charts/chart30.xml" ContentType="application/vnd.openxmlformats-officedocument.drawingml.chart+xml"/>
  <Override PartName="/xl/theme/themeOverride3.xml" ContentType="application/vnd.openxmlformats-officedocument.themeOverride+xml"/>
  <Override PartName="/xl/drawings/drawing13.xml" ContentType="application/vnd.openxmlformats-officedocument.drawing+xml"/>
  <Override PartName="/xl/drawings/drawing14.xml" ContentType="application/vnd.openxmlformats-officedocument.drawing+xml"/>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comments12.xml" ContentType="application/vnd.openxmlformats-officedocument.spreadsheetml.comment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31.xml" ContentType="application/vnd.openxmlformats-officedocument.drawingml.chart+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mc:AlternateContent xmlns:mc="http://schemas.openxmlformats.org/markup-compatibility/2006">
    <mc:Choice Requires="x15">
      <x15ac:absPath xmlns:x15ac="http://schemas.microsoft.com/office/spreadsheetml/2010/11/ac" url="C:\Users\1\Desktop\开源\科顺股份\"/>
    </mc:Choice>
  </mc:AlternateContent>
  <xr:revisionPtr revIDLastSave="0" documentId="13_ncr:1_{6FD5A3B8-7816-4A5C-A23D-8EB769376DE4}" xr6:coauthVersionLast="47" xr6:coauthVersionMax="47" xr10:uidLastSave="{00000000-0000-0000-0000-000000000000}"/>
  <bookViews>
    <workbookView xWindow="-108" yWindow="-108" windowWidth="23256" windowHeight="12576" tabRatio="992" firstSheet="12" activeTab="12" xr2:uid="{00000000-000D-0000-FFFF-FFFF00000000}"/>
  </bookViews>
  <sheets>
    <sheet name="主营业务" sheetId="3631" state="hidden" r:id="rId1"/>
    <sheet name="财务对照表" sheetId="3630" state="hidden" r:id="rId2"/>
    <sheet name="现金流量原始数据" sheetId="3640" state="hidden" r:id="rId3"/>
    <sheet name="数据输入" sheetId="3628" state="hidden" r:id="rId4"/>
    <sheet name="数据" sheetId="3642" state="hidden" r:id="rId5"/>
    <sheet name="备用数据" sheetId="3641" state="hidden" r:id="rId6"/>
    <sheet name="说明" sheetId="3634" r:id="rId7"/>
    <sheet name="目录" sheetId="3629" r:id="rId8"/>
    <sheet name="年度数据重构" sheetId="3613" state="hidden" r:id="rId9"/>
    <sheet name="年度数据" sheetId="3598" r:id="rId10"/>
    <sheet name="收入成本预测" sheetId="3632" r:id="rId11"/>
    <sheet name="单产品敏感性分析" sheetId="3611" state="hidden" r:id="rId12"/>
    <sheet name="假设" sheetId="2" r:id="rId13"/>
    <sheet name="营运资本" sheetId="3597" r:id="rId14"/>
    <sheet name="资本投资" sheetId="188" r:id="rId15"/>
    <sheet name="利润表" sheetId="3" r:id="rId16"/>
    <sheet name="债务" sheetId="3627" r:id="rId17"/>
    <sheet name="资产负债" sheetId="3584" r:id="rId18"/>
    <sheet name="现金流量" sheetId="2556" r:id="rId19"/>
    <sheet name="财务分析" sheetId="3589" r:id="rId20"/>
    <sheet name="图形" sheetId="3600" state="hidden" r:id="rId21"/>
    <sheet name="估值" sheetId="3607" state="hidden" r:id="rId22"/>
    <sheet name="情景表" sheetId="3606" state="hidden" r:id="rId23"/>
    <sheet name="绝对估值" sheetId="3590" r:id="rId24"/>
    <sheet name="绝对估值敏感性分析" sheetId="3616" r:id="rId25"/>
    <sheet name="相对估值" sheetId="3617" r:id="rId26"/>
    <sheet name="报告期历史数据" sheetId="3601" r:id="rId27"/>
    <sheet name="资产规模指数化分析" sheetId="3633" state="hidden" r:id="rId28"/>
    <sheet name="输出_BD" sheetId="3622" state="hidden" r:id="rId29"/>
    <sheet name="数据输入季度数据" sheetId="3635" state="hidden" r:id="rId30"/>
    <sheet name="季度数据" sheetId="3602" state="hidden" r:id="rId31"/>
    <sheet name="季度财务分析" sheetId="3603" state="hidden" r:id="rId32"/>
    <sheet name="报告期利润变化" sheetId="3646" r:id="rId33"/>
    <sheet name="输出" sheetId="3645" r:id="rId34"/>
  </sheets>
  <functionGroups builtInGroupCount="19"/>
  <externalReferences>
    <externalReference r:id="rId35"/>
    <externalReference r:id="rId36"/>
    <externalReference r:id="rId37"/>
    <externalReference r:id="rId38"/>
    <externalReference r:id="rId39"/>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0" hidden="1">收入成本预测!$E$13:$G$23</definedName>
    <definedName name="_xlnm._FilterDatabase" localSheetId="17" hidden="1">资产负债!$A$1:$H$93</definedName>
    <definedName name="EndYear" localSheetId="29">[1]首页!$C$9</definedName>
    <definedName name="EndYear" localSheetId="6">[1]首页!$C$9</definedName>
    <definedName name="EndYear">[1]首页!$C$9</definedName>
    <definedName name="EstiDate" localSheetId="29">[1]首页!$C$7</definedName>
    <definedName name="EstiDate" localSheetId="6">[1]首页!$C$7</definedName>
    <definedName name="EstiDate">[1]首页!$C$7</definedName>
    <definedName name="HISEV_EBITDA">年度数据!$A$147</definedName>
    <definedName name="Indu_StartCol">主营业务!$BA$5</definedName>
    <definedName name="InduTyp_Count">主营业务!$BA$7</definedName>
    <definedName name="js_cqdkll">假设!$A$109</definedName>
    <definedName name="js_cqdtfytxnx">假设!$A$99</definedName>
    <definedName name="js_cqgqtz">假设!$A$53</definedName>
    <definedName name="js_cqyfk">假设!$A$78</definedName>
    <definedName name="js_cqysk">假设!$A$54</definedName>
    <definedName name="js_dqdkll">假设!$A$110</definedName>
    <definedName name="js_dysdsfz">假设!$A$79</definedName>
    <definedName name="js_dysdszc" localSheetId="7">[2]Sheet2!$N$8</definedName>
    <definedName name="js_dysdszc" localSheetId="10">[2]Sheet2!$N$8</definedName>
    <definedName name="js_dysdszc" localSheetId="3">[2]Sheet2!$N$8</definedName>
    <definedName name="js_dysdszc" localSheetId="29">[2]Sheet2!$N$8</definedName>
    <definedName name="js_dysdszc" localSheetId="6">[2]Sheet2!$N$8</definedName>
    <definedName name="js_dysdszc" localSheetId="27">[2]Sheet2!$N$8</definedName>
    <definedName name="js_dysdszc">假设!$A$56</definedName>
    <definedName name="js_dysy" localSheetId="7">[3]假设!#REF!</definedName>
    <definedName name="js_dysy" localSheetId="10">[3]假设!#REF!</definedName>
    <definedName name="js_dysy" localSheetId="3">[3]假设!#REF!</definedName>
    <definedName name="js_dysy" localSheetId="29">[4]假设!#REF!</definedName>
    <definedName name="js_dysy" localSheetId="6">[4]假设!#REF!</definedName>
    <definedName name="js_dysy" localSheetId="27">[3]假设!#REF!</definedName>
    <definedName name="js_dysy">假设!$A$69</definedName>
    <definedName name="js_gdzczjnx">假设!$A$90</definedName>
    <definedName name="js_glfy">假设!$A$7</definedName>
    <definedName name="js_gyjzbdsy">假设!$A$12</definedName>
    <definedName name="js_gzrgjqfq">假设!$A$156</definedName>
    <definedName name="js_ipofxgb">假设!$A$116</definedName>
    <definedName name="js_ipofxjg" localSheetId="7">[3]假设!#REF!</definedName>
    <definedName name="js_ipofxjg" localSheetId="10">[3]假设!#REF!</definedName>
    <definedName name="js_ipofxjg" localSheetId="3">[3]假设!#REF!</definedName>
    <definedName name="js_ipofxjg" localSheetId="29">[4]假设!#REF!</definedName>
    <definedName name="js_ipofxjg" localSheetId="6">[4]假设!#REF!</definedName>
    <definedName name="js_ipofxjg" localSheetId="27">[3]假设!#REF!</definedName>
    <definedName name="js_ipofxjg">假设!$A$117</definedName>
    <definedName name="js_ipogetmoney">假设!$A$115</definedName>
    <definedName name="js_jyxjrfz">假设!$A$61</definedName>
    <definedName name="js_kzjjg">假设!$A$126</definedName>
    <definedName name="js_kzzsl">假设!$A$125</definedName>
    <definedName name="js_mgpx">假设!$A$22</definedName>
    <definedName name="js_pgjg">假设!$A$123</definedName>
    <definedName name="js_pgsl">假设!$A$122</definedName>
    <definedName name="js_qqxqjg" localSheetId="7">[3]假设!#REF!</definedName>
    <definedName name="js_qqxqjg" localSheetId="10">[3]假设!#REF!</definedName>
    <definedName name="js_qqxqjg" localSheetId="3">[3]假设!#REF!</definedName>
    <definedName name="js_qqxqjg" localSheetId="29">[4]假设!#REF!</definedName>
    <definedName name="js_qqxqjg" localSheetId="6">[4]假设!#REF!</definedName>
    <definedName name="js_qqxqjg" localSheetId="27">[3]假设!#REF!</definedName>
    <definedName name="js_qqxqjg">假设!$A$129</definedName>
    <definedName name="js_qqxqsl">假设!$A$128</definedName>
    <definedName name="js_qtcwfy">假设!$A$9</definedName>
    <definedName name="js_qtfldfz" localSheetId="7">[2]Sheet2!$T$6</definedName>
    <definedName name="js_qtfldfz" localSheetId="10">[2]Sheet2!$T$6</definedName>
    <definedName name="js_qtfldfz" localSheetId="3">[2]Sheet2!$T$6</definedName>
    <definedName name="js_qtfldfz" localSheetId="29">[2]Sheet2!$T$6</definedName>
    <definedName name="js_qtfldfz" localSheetId="6">[2]Sheet2!$T$6</definedName>
    <definedName name="js_qtfldfz" localSheetId="27">[2]Sheet2!$T$6</definedName>
    <definedName name="js_qtfldfz">假设!$A$82</definedName>
    <definedName name="js_qtfldzc" localSheetId="7">[2]Sheet2!$N$11</definedName>
    <definedName name="js_qtfldzc" localSheetId="10">[2]Sheet2!$N$11</definedName>
    <definedName name="js_qtfldzc" localSheetId="3">[2]Sheet2!$N$11</definedName>
    <definedName name="js_qtfldzc" localSheetId="29">[2]Sheet2!$N$11</definedName>
    <definedName name="js_qtfldzc" localSheetId="6">[2]Sheet2!$N$11</definedName>
    <definedName name="js_qtfldzc" localSheetId="27">[2]Sheet2!$N$11</definedName>
    <definedName name="js_qtfldzc">假设!$A$58</definedName>
    <definedName name="js_qtldfz" localSheetId="7">[2]Sheet2!$R$15</definedName>
    <definedName name="js_qtldfz" localSheetId="10">[2]Sheet2!$R$15</definedName>
    <definedName name="js_qtldfz" localSheetId="3">[2]Sheet2!$R$15</definedName>
    <definedName name="js_qtldfz" localSheetId="29">[2]Sheet2!$R$15</definedName>
    <definedName name="js_qtldfz" localSheetId="6">[2]Sheet2!$R$15</definedName>
    <definedName name="js_qtldfz" localSheetId="27">[2]Sheet2!$R$15</definedName>
    <definedName name="js_qtldfz">假设!$A$75</definedName>
    <definedName name="js_qtsy">假设!$A$15</definedName>
    <definedName name="js_qtyfzk">假设!$A$66</definedName>
    <definedName name="js_sl">假设!$A$19</definedName>
    <definedName name="js_ssgdsy">假设!$A$21</definedName>
    <definedName name="js_sy" localSheetId="7">[2]Sheet2!$N$7</definedName>
    <definedName name="js_sy" localSheetId="10">[2]Sheet2!$N$7</definedName>
    <definedName name="js_sy" localSheetId="3">[2]Sheet2!$N$7</definedName>
    <definedName name="js_sy" localSheetId="29">[2]Sheet2!$N$7</definedName>
    <definedName name="js_sy" localSheetId="6">[2]Sheet2!$N$7</definedName>
    <definedName name="js_sy" localSheetId="27">[2]Sheet2!$N$7</definedName>
    <definedName name="js_sy">假设!$A$55</definedName>
    <definedName name="js_tzjsyly">假设!$A$13</definedName>
    <definedName name="js_tzjsyqt">假设!$A$14</definedName>
    <definedName name="js_val_gdzcczl">假设!$I$92</definedName>
    <definedName name="js_wbbbzsce">假设!$A$83</definedName>
    <definedName name="js_wxzctxnx">假设!$A$95</definedName>
    <definedName name="js_xjfxl">假设!$A$23</definedName>
    <definedName name="js_xyjzss">假设!$A$11</definedName>
    <definedName name="js_xzcqdtfy">假设!$A$100</definedName>
    <definedName name="js_xzcqjk">假设!$A$105</definedName>
    <definedName name="js_xzgdzc">假设!$A$91</definedName>
    <definedName name="js_xzwxzc">假设!$A$96</definedName>
    <definedName name="js_xzzjgc">假设!$A$89</definedName>
    <definedName name="js_yffy">假设!$A$8</definedName>
    <definedName name="js_yfgl">假设!$A$71</definedName>
    <definedName name="js_yflx">假设!$A$73</definedName>
    <definedName name="js_yfpj">假设!$A$64</definedName>
    <definedName name="js_yfzgxc">假设!$A$70</definedName>
    <definedName name="js_yfzk">假设!$A$63</definedName>
    <definedName name="js_yfzk_mx">假设!$A$65</definedName>
    <definedName name="js_yhckll">假设!$A$111</definedName>
    <definedName name="js_yjfz">假设!$A$81</definedName>
    <definedName name="js_yjsf">假设!$A$72</definedName>
    <definedName name="js_yszk">假设!$A$67</definedName>
    <definedName name="js_yycb">假设!$A$4</definedName>
    <definedName name="js_yyfy">假设!$A$6</definedName>
    <definedName name="js_yygjj">假设!$A$24</definedName>
    <definedName name="js_yysjjfj">假设!$A$5</definedName>
    <definedName name="js_yysr">假设!$A$3</definedName>
    <definedName name="js_yywsr">假设!$A$17</definedName>
    <definedName name="js_yywzc">假设!$A$18</definedName>
    <definedName name="js_zc_ch">假设!$A$40</definedName>
    <definedName name="js_zc_cyzdqtz">假设!$A$50</definedName>
    <definedName name="js_zc_hfwcydsdfz">假设!$A$74</definedName>
    <definedName name="js_zc_hfwcydsdzc">假设!$A$42</definedName>
    <definedName name="js_zc_htfz">假设!$A$68</definedName>
    <definedName name="js_zc_htzc">假设!$A$41</definedName>
    <definedName name="js_zc_jyxjrzc">假设!$A$31</definedName>
    <definedName name="js_zc_kgcsjrzc">假设!$A$48</definedName>
    <definedName name="js_zc_qtfldjrzc">假设!$A$51</definedName>
    <definedName name="js_zc_qtldzc">假设!$A$44</definedName>
    <definedName name="js_zc_qtqygjtz">假设!$A$49</definedName>
    <definedName name="js_zc_qtysk">假设!$A$38</definedName>
    <definedName name="js_zc_qtzqtz">假设!$A$47</definedName>
    <definedName name="js_zc_syqzc">假设!$A$57</definedName>
    <definedName name="js_zc_tzxfdc">假设!$A$52</definedName>
    <definedName name="js_zc_yfzk">假设!$A$39</definedName>
    <definedName name="js_zc_ynndqdfldzc">假设!$A$43</definedName>
    <definedName name="js_zc_ysjrfz">假设!$A$62</definedName>
    <definedName name="js_zc_ysjrzc">假设!$A$32</definedName>
    <definedName name="js_zc_yskxrz">假设!$A$37</definedName>
    <definedName name="js_zc_yslx">假设!$A$36</definedName>
    <definedName name="js_zc_yspj">假设!$A$34</definedName>
    <definedName name="js_zc_yszk">假设!$A$33</definedName>
    <definedName name="js_zc_yszk_mx">假设!$A$35</definedName>
    <definedName name="js_zc_zdxjye">假设!$A$30</definedName>
    <definedName name="js_zc_zlfz">假设!$A$77</definedName>
    <definedName name="js_zc_zqtz">假设!$A$46</definedName>
    <definedName name="js_zcczsy">假设!$A$16</definedName>
    <definedName name="js_zcjzss">假设!$A$10</definedName>
    <definedName name="js_zddqjkye">假设!$A$60</definedName>
    <definedName name="js_zfgb">假设!$A$119</definedName>
    <definedName name="js_zfjg" localSheetId="7">[3]假设!#REF!</definedName>
    <definedName name="js_zfjg" localSheetId="10">[3]假设!#REF!</definedName>
    <definedName name="js_zfjg" localSheetId="3">[3]假设!#REF!</definedName>
    <definedName name="js_zfjg" localSheetId="29">[4]假设!#REF!</definedName>
    <definedName name="js_zfjg" localSheetId="6">[4]假设!#REF!</definedName>
    <definedName name="js_zfjg" localSheetId="27">[3]假设!#REF!</definedName>
    <definedName name="js_zfjg">假设!$A$120</definedName>
    <definedName name="js_zgb_ipozj">假设!$A$139</definedName>
    <definedName name="js_zgb_kzzzj">假设!$A$141</definedName>
    <definedName name="js_zgb_qqzj">假设!$A$142</definedName>
    <definedName name="js_zgb_sgzj">假设!$A$138</definedName>
    <definedName name="js_zgb_zfzj">假设!$A$140</definedName>
    <definedName name="js_zgb_zzzj">假设!$A$137</definedName>
    <definedName name="js_zxyfk">假设!$A$80</definedName>
    <definedName name="PrdTyp_Count">主营业务!$BA$6</definedName>
    <definedName name="Prod_StartCol">主营业务!$BA$4</definedName>
    <definedName name="Prod_StartRow">主营业务!$BA$3</definedName>
    <definedName name="profit_qtcwfy">利润表!$A$11</definedName>
    <definedName name="profit_tbeps">利润表!$A$31</definedName>
    <definedName name="profit_xyjzss">利润表!$A$13</definedName>
    <definedName name="profit_yycb">利润表!$A$3</definedName>
    <definedName name="profit_yysr">利润表!$A$2</definedName>
    <definedName name="profit_zcjzss">利润表!$A$12</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unit">10000</definedName>
    <definedName name="Valuation_Date">目录!$C$8</definedName>
    <definedName name="wacc" localSheetId="29">[5]Valuation!$P$9</definedName>
    <definedName name="wacc" localSheetId="6">[5]Valuation!$P$9</definedName>
    <definedName name="wacc">[5]Valuation!$P$9</definedName>
    <definedName name="zc_yfpj">资产负债!$A$46</definedName>
    <definedName name="zc_yfpjjyfzk">资产负债!$A$45</definedName>
    <definedName name="zc_yfzk">资产负债!$A$47</definedName>
    <definedName name="zc_yspj">资产负债!$A$7</definedName>
    <definedName name="zc_yspjjyszk">资产负债!$A$6</definedName>
    <definedName name="zc_yszk">资产负债!$A$8</definedName>
    <definedName name="zcfz_gsmgsqyhj">资产负债!$A$84</definedName>
  </definedNames>
  <calcPr calcId="191029" iterate="1" iterateCount="1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1" i="2" l="1"/>
  <c r="J31" i="2" s="1"/>
  <c r="K31" i="2" s="1"/>
  <c r="L31" i="2" s="1"/>
  <c r="M31" i="2" s="1"/>
  <c r="N31" i="2" s="1"/>
  <c r="O31" i="2" s="1"/>
  <c r="P31" i="2" s="1"/>
  <c r="Q31" i="2" s="1"/>
  <c r="R31" i="2" s="1"/>
  <c r="S31" i="2" s="1"/>
  <c r="T31" i="2" s="1"/>
  <c r="U31" i="2" s="1"/>
  <c r="V31" i="2" s="1"/>
  <c r="W31" i="2" s="1"/>
  <c r="X31" i="2" s="1"/>
  <c r="Y31" i="2" s="1"/>
  <c r="Z31" i="2" s="1"/>
  <c r="AA31" i="2" s="1"/>
  <c r="AB31" i="2" s="1"/>
  <c r="AC31" i="2" s="1"/>
  <c r="AD31" i="2" s="1"/>
  <c r="AE31" i="2" s="1"/>
  <c r="AF31" i="2" s="1"/>
  <c r="AG31" i="2" s="1"/>
  <c r="AH31" i="2" s="1"/>
  <c r="AI31" i="2" s="1"/>
  <c r="AJ31" i="2" s="1"/>
  <c r="AK31" i="2" s="1"/>
  <c r="AL31" i="2" s="1"/>
  <c r="I30" i="2"/>
  <c r="J30" i="2" s="1"/>
  <c r="K30" i="2" s="1"/>
  <c r="L30" i="2" s="1"/>
  <c r="M30" i="2" s="1"/>
  <c r="N30" i="2" s="1"/>
  <c r="O30" i="2" s="1"/>
  <c r="P30" i="2" s="1"/>
  <c r="Q30" i="2" s="1"/>
  <c r="R30" i="2" s="1"/>
  <c r="S30" i="2" s="1"/>
  <c r="T30" i="2" s="1"/>
  <c r="U30" i="2" s="1"/>
  <c r="V30" i="2" s="1"/>
  <c r="W30" i="2" s="1"/>
  <c r="X30" i="2" s="1"/>
  <c r="Y30" i="2" s="1"/>
  <c r="Z30" i="2" s="1"/>
  <c r="AA30" i="2" s="1"/>
  <c r="AB30" i="2" s="1"/>
  <c r="AC30" i="2" s="1"/>
  <c r="AD30" i="2" s="1"/>
  <c r="AE30" i="2" s="1"/>
  <c r="AF30" i="2" s="1"/>
  <c r="AG30" i="2" s="1"/>
  <c r="AH30" i="2" s="1"/>
  <c r="AI30" i="2" s="1"/>
  <c r="AJ30" i="2" s="1"/>
  <c r="AK30" i="2" s="1"/>
  <c r="AL30" i="2" s="1"/>
  <c r="I34" i="2"/>
  <c r="J34" i="2" s="1"/>
  <c r="K34" i="2" s="1"/>
  <c r="L34" i="2" s="1"/>
  <c r="M34" i="2" s="1"/>
  <c r="N34" i="2" s="1"/>
  <c r="O34" i="2" s="1"/>
  <c r="P34" i="2" s="1"/>
  <c r="Q34" i="2" s="1"/>
  <c r="R34" i="2" s="1"/>
  <c r="S34" i="2" s="1"/>
  <c r="T34" i="2" s="1"/>
  <c r="U34" i="2" s="1"/>
  <c r="V34" i="2" s="1"/>
  <c r="W34" i="2" s="1"/>
  <c r="X34" i="2" s="1"/>
  <c r="Y34" i="2" s="1"/>
  <c r="Z34" i="2" s="1"/>
  <c r="AA34" i="2" s="1"/>
  <c r="AB34" i="2" s="1"/>
  <c r="AC34" i="2" s="1"/>
  <c r="AD34" i="2" s="1"/>
  <c r="AE34" i="2" s="1"/>
  <c r="AF34" i="2" s="1"/>
  <c r="AG34" i="2" s="1"/>
  <c r="AH34" i="2" s="1"/>
  <c r="AI34" i="2" s="1"/>
  <c r="AJ34" i="2" s="1"/>
  <c r="AK34" i="2" s="1"/>
  <c r="AL34" i="2" s="1"/>
  <c r="I35" i="2"/>
  <c r="J35" i="2" s="1"/>
  <c r="K35" i="2" s="1"/>
  <c r="L35" i="2" s="1"/>
  <c r="M35" i="2" s="1"/>
  <c r="N35" i="2" s="1"/>
  <c r="O35" i="2" s="1"/>
  <c r="P35" i="2" s="1"/>
  <c r="Q35" i="2" s="1"/>
  <c r="R35" i="2" s="1"/>
  <c r="S35" i="2" s="1"/>
  <c r="T35" i="2" s="1"/>
  <c r="U35" i="2" s="1"/>
  <c r="V35" i="2" s="1"/>
  <c r="W35" i="2" s="1"/>
  <c r="X35" i="2" s="1"/>
  <c r="Y35" i="2" s="1"/>
  <c r="Z35" i="2" s="1"/>
  <c r="AA35" i="2" s="1"/>
  <c r="AB35" i="2" s="1"/>
  <c r="AC35" i="2" s="1"/>
  <c r="AD35" i="2" s="1"/>
  <c r="AE35" i="2" s="1"/>
  <c r="AF35" i="2" s="1"/>
  <c r="AG35" i="2" s="1"/>
  <c r="AH35" i="2" s="1"/>
  <c r="AI35" i="2" s="1"/>
  <c r="AJ35" i="2" s="1"/>
  <c r="AK35" i="2" s="1"/>
  <c r="AL35" i="2" s="1"/>
  <c r="I40" i="2"/>
  <c r="J40" i="2" s="1"/>
  <c r="K40" i="2" s="1"/>
  <c r="L40" i="2" s="1"/>
  <c r="M40" i="2" s="1"/>
  <c r="N40" i="2" s="1"/>
  <c r="O40" i="2" s="1"/>
  <c r="P40" i="2" s="1"/>
  <c r="Q40" i="2" s="1"/>
  <c r="R40" i="2" s="1"/>
  <c r="S40" i="2" s="1"/>
  <c r="T40" i="2" s="1"/>
  <c r="U40" i="2" s="1"/>
  <c r="V40" i="2" s="1"/>
  <c r="W40" i="2" s="1"/>
  <c r="X40" i="2" s="1"/>
  <c r="Y40" i="2" s="1"/>
  <c r="Z40" i="2" s="1"/>
  <c r="AA40" i="2" s="1"/>
  <c r="AB40" i="2" s="1"/>
  <c r="AC40" i="2" s="1"/>
  <c r="AD40" i="2" s="1"/>
  <c r="AE40" i="2" s="1"/>
  <c r="AF40" i="2" s="1"/>
  <c r="AG40" i="2" s="1"/>
  <c r="AH40" i="2" s="1"/>
  <c r="AI40" i="2" s="1"/>
  <c r="AJ40" i="2" s="1"/>
  <c r="AK40" i="2" s="1"/>
  <c r="AL40" i="2" s="1"/>
  <c r="I41" i="2"/>
  <c r="J41" i="2" s="1"/>
  <c r="K41" i="2" s="1"/>
  <c r="L41" i="2" s="1"/>
  <c r="M41" i="2" s="1"/>
  <c r="N41" i="2" s="1"/>
  <c r="O41" i="2" s="1"/>
  <c r="P41" i="2" s="1"/>
  <c r="Q41" i="2" s="1"/>
  <c r="R41" i="2" s="1"/>
  <c r="S41" i="2" s="1"/>
  <c r="T41" i="2" s="1"/>
  <c r="U41" i="2" s="1"/>
  <c r="V41" i="2" s="1"/>
  <c r="W41" i="2" s="1"/>
  <c r="X41" i="2" s="1"/>
  <c r="Y41" i="2" s="1"/>
  <c r="Z41" i="2" s="1"/>
  <c r="AA41" i="2" s="1"/>
  <c r="AB41" i="2" s="1"/>
  <c r="AC41" i="2" s="1"/>
  <c r="AD41" i="2" s="1"/>
  <c r="AE41" i="2" s="1"/>
  <c r="AF41" i="2" s="1"/>
  <c r="AG41" i="2" s="1"/>
  <c r="AH41" i="2" s="1"/>
  <c r="AI41" i="2" s="1"/>
  <c r="AJ41" i="2" s="1"/>
  <c r="AK41" i="2" s="1"/>
  <c r="AL41" i="2" s="1"/>
  <c r="I44" i="2"/>
  <c r="J44" i="2" s="1"/>
  <c r="K44" i="2" s="1"/>
  <c r="L44" i="2" s="1"/>
  <c r="M44" i="2" s="1"/>
  <c r="N44" i="2" s="1"/>
  <c r="O44" i="2" s="1"/>
  <c r="P44" i="2" s="1"/>
  <c r="Q44" i="2" s="1"/>
  <c r="R44" i="2" s="1"/>
  <c r="S44" i="2" s="1"/>
  <c r="T44" i="2" s="1"/>
  <c r="U44" i="2" s="1"/>
  <c r="V44" i="2" s="1"/>
  <c r="W44" i="2" s="1"/>
  <c r="X44" i="2" s="1"/>
  <c r="Y44" i="2" s="1"/>
  <c r="Z44" i="2" s="1"/>
  <c r="AA44" i="2" s="1"/>
  <c r="AB44" i="2" s="1"/>
  <c r="AC44" i="2" s="1"/>
  <c r="AD44" i="2" s="1"/>
  <c r="AE44" i="2" s="1"/>
  <c r="AF44" i="2" s="1"/>
  <c r="AG44" i="2" s="1"/>
  <c r="AH44" i="2" s="1"/>
  <c r="AI44" i="2" s="1"/>
  <c r="AJ44" i="2" s="1"/>
  <c r="AK44" i="2" s="1"/>
  <c r="AL44" i="2" s="1"/>
  <c r="I46" i="2"/>
  <c r="J46" i="2" s="1"/>
  <c r="K46" i="2" s="1"/>
  <c r="L46" i="2" s="1"/>
  <c r="M46" i="2" s="1"/>
  <c r="N46" i="2" s="1"/>
  <c r="O46" i="2" s="1"/>
  <c r="P46" i="2" s="1"/>
  <c r="Q46" i="2" s="1"/>
  <c r="R46" i="2" s="1"/>
  <c r="S46" i="2" s="1"/>
  <c r="T46" i="2" s="1"/>
  <c r="U46" i="2" s="1"/>
  <c r="V46" i="2" s="1"/>
  <c r="W46" i="2" s="1"/>
  <c r="X46" i="2" s="1"/>
  <c r="Y46" i="2" s="1"/>
  <c r="Z46" i="2" s="1"/>
  <c r="AA46" i="2" s="1"/>
  <c r="AB46" i="2" s="1"/>
  <c r="AC46" i="2" s="1"/>
  <c r="AD46" i="2" s="1"/>
  <c r="AE46" i="2" s="1"/>
  <c r="AF46" i="2" s="1"/>
  <c r="AG46" i="2" s="1"/>
  <c r="AH46" i="2" s="1"/>
  <c r="AI46" i="2" s="1"/>
  <c r="AJ46" i="2" s="1"/>
  <c r="AK46" i="2" s="1"/>
  <c r="AL46" i="2" s="1"/>
  <c r="J55" i="2"/>
  <c r="K55" i="2" s="1"/>
  <c r="L55" i="2" s="1"/>
  <c r="M55" i="2" s="1"/>
  <c r="N55" i="2" s="1"/>
  <c r="O55" i="2" s="1"/>
  <c r="P55" i="2" s="1"/>
  <c r="Q55" i="2" s="1"/>
  <c r="R55" i="2" s="1"/>
  <c r="S55" i="2" s="1"/>
  <c r="T55" i="2" s="1"/>
  <c r="U55" i="2" s="1"/>
  <c r="V55" i="2" s="1"/>
  <c r="W55" i="2" s="1"/>
  <c r="X55" i="2" s="1"/>
  <c r="Y55" i="2" s="1"/>
  <c r="Z55" i="2" s="1"/>
  <c r="AA55" i="2" s="1"/>
  <c r="AB55" i="2" s="1"/>
  <c r="AC55" i="2" s="1"/>
  <c r="AD55" i="2" s="1"/>
  <c r="AE55" i="2" s="1"/>
  <c r="AF55" i="2" s="1"/>
  <c r="AG55" i="2" s="1"/>
  <c r="AH55" i="2" s="1"/>
  <c r="AI55" i="2" s="1"/>
  <c r="AJ55" i="2" s="1"/>
  <c r="AK55" i="2" s="1"/>
  <c r="AL55" i="2" s="1"/>
  <c r="I52" i="2"/>
  <c r="J52" i="2" s="1"/>
  <c r="K52" i="2" s="1"/>
  <c r="L52" i="2" s="1"/>
  <c r="M52" i="2" s="1"/>
  <c r="N52" i="2" s="1"/>
  <c r="O52" i="2" s="1"/>
  <c r="P52" i="2" s="1"/>
  <c r="Q52" i="2" s="1"/>
  <c r="R52" i="2" s="1"/>
  <c r="S52" i="2" s="1"/>
  <c r="T52" i="2" s="1"/>
  <c r="U52" i="2" s="1"/>
  <c r="V52" i="2" s="1"/>
  <c r="W52" i="2" s="1"/>
  <c r="X52" i="2" s="1"/>
  <c r="Y52" i="2" s="1"/>
  <c r="Z52" i="2" s="1"/>
  <c r="AA52" i="2" s="1"/>
  <c r="AB52" i="2" s="1"/>
  <c r="AC52" i="2" s="1"/>
  <c r="AD52" i="2" s="1"/>
  <c r="AE52" i="2" s="1"/>
  <c r="AF52" i="2" s="1"/>
  <c r="AG52" i="2" s="1"/>
  <c r="AH52" i="2" s="1"/>
  <c r="AI52" i="2" s="1"/>
  <c r="AJ52" i="2" s="1"/>
  <c r="AK52" i="2" s="1"/>
  <c r="AL52" i="2" s="1"/>
  <c r="I58" i="2"/>
  <c r="J58" i="2" s="1"/>
  <c r="K58" i="2" s="1"/>
  <c r="L58" i="2" s="1"/>
  <c r="M58" i="2" s="1"/>
  <c r="N58" i="2" s="1"/>
  <c r="O58" i="2" s="1"/>
  <c r="P58" i="2" s="1"/>
  <c r="Q58" i="2" s="1"/>
  <c r="R58" i="2" s="1"/>
  <c r="S58" i="2" s="1"/>
  <c r="T58" i="2" s="1"/>
  <c r="U58" i="2" s="1"/>
  <c r="V58" i="2" s="1"/>
  <c r="W58" i="2" s="1"/>
  <c r="X58" i="2" s="1"/>
  <c r="Y58" i="2" s="1"/>
  <c r="Z58" i="2" s="1"/>
  <c r="AA58" i="2" s="1"/>
  <c r="AB58" i="2" s="1"/>
  <c r="AC58" i="2" s="1"/>
  <c r="AD58" i="2" s="1"/>
  <c r="AE58" i="2" s="1"/>
  <c r="AF58" i="2" s="1"/>
  <c r="AG58" i="2" s="1"/>
  <c r="AH58" i="2" s="1"/>
  <c r="AI58" i="2" s="1"/>
  <c r="AJ58" i="2" s="1"/>
  <c r="AK58" i="2" s="1"/>
  <c r="AL58" i="2" s="1"/>
  <c r="I60" i="2"/>
  <c r="J60" i="2" s="1"/>
  <c r="K60" i="2" s="1"/>
  <c r="L60" i="2" s="1"/>
  <c r="M60" i="2" s="1"/>
  <c r="N60" i="2" s="1"/>
  <c r="O60" i="2" s="1"/>
  <c r="P60" i="2" s="1"/>
  <c r="Q60" i="2" s="1"/>
  <c r="R60" i="2" s="1"/>
  <c r="S60" i="2" s="1"/>
  <c r="T60" i="2" s="1"/>
  <c r="U60" i="2" s="1"/>
  <c r="V60" i="2" s="1"/>
  <c r="W60" i="2" s="1"/>
  <c r="X60" i="2" s="1"/>
  <c r="Y60" i="2" s="1"/>
  <c r="Z60" i="2" s="1"/>
  <c r="AA60" i="2" s="1"/>
  <c r="AB60" i="2" s="1"/>
  <c r="AC60" i="2" s="1"/>
  <c r="AD60" i="2" s="1"/>
  <c r="AE60" i="2" s="1"/>
  <c r="AF60" i="2" s="1"/>
  <c r="AG60" i="2" s="1"/>
  <c r="AH60" i="2" s="1"/>
  <c r="AI60" i="2" s="1"/>
  <c r="AJ60" i="2" s="1"/>
  <c r="AK60" i="2" s="1"/>
  <c r="AL60" i="2" s="1"/>
  <c r="J68" i="2"/>
  <c r="K68" i="2" s="1"/>
  <c r="L68" i="2" s="1"/>
  <c r="M68" i="2" s="1"/>
  <c r="N68" i="2" s="1"/>
  <c r="O68" i="2" s="1"/>
  <c r="P68" i="2" s="1"/>
  <c r="Q68" i="2" s="1"/>
  <c r="R68" i="2" s="1"/>
  <c r="S68" i="2" s="1"/>
  <c r="T68" i="2" s="1"/>
  <c r="U68" i="2" s="1"/>
  <c r="V68" i="2" s="1"/>
  <c r="W68" i="2" s="1"/>
  <c r="X68" i="2" s="1"/>
  <c r="Y68" i="2" s="1"/>
  <c r="Z68" i="2" s="1"/>
  <c r="AA68" i="2" s="1"/>
  <c r="AB68" i="2" s="1"/>
  <c r="AC68" i="2" s="1"/>
  <c r="AD68" i="2" s="1"/>
  <c r="AE68" i="2" s="1"/>
  <c r="AF68" i="2" s="1"/>
  <c r="AG68" i="2" s="1"/>
  <c r="AH68" i="2" s="1"/>
  <c r="AI68" i="2" s="1"/>
  <c r="AJ68" i="2" s="1"/>
  <c r="AK68" i="2" s="1"/>
  <c r="AL68" i="2" s="1"/>
  <c r="I69" i="2"/>
  <c r="J69" i="2" s="1"/>
  <c r="K69" i="2" s="1"/>
  <c r="L69" i="2" s="1"/>
  <c r="M69" i="2" s="1"/>
  <c r="N69" i="2" s="1"/>
  <c r="O69" i="2" s="1"/>
  <c r="P69" i="2" s="1"/>
  <c r="Q69" i="2" s="1"/>
  <c r="R69" i="2" s="1"/>
  <c r="S69" i="2" s="1"/>
  <c r="T69" i="2" s="1"/>
  <c r="U69" i="2" s="1"/>
  <c r="V69" i="2" s="1"/>
  <c r="W69" i="2" s="1"/>
  <c r="X69" i="2" s="1"/>
  <c r="Y69" i="2" s="1"/>
  <c r="Z69" i="2" s="1"/>
  <c r="AA69" i="2" s="1"/>
  <c r="AB69" i="2" s="1"/>
  <c r="AC69" i="2" s="1"/>
  <c r="AD69" i="2" s="1"/>
  <c r="AE69" i="2" s="1"/>
  <c r="AF69" i="2" s="1"/>
  <c r="AG69" i="2" s="1"/>
  <c r="AH69" i="2" s="1"/>
  <c r="AI69" i="2" s="1"/>
  <c r="AJ69" i="2" s="1"/>
  <c r="AK69" i="2" s="1"/>
  <c r="AL69" i="2" s="1"/>
  <c r="I67" i="2"/>
  <c r="J67" i="2" s="1"/>
  <c r="K67" i="2" s="1"/>
  <c r="L67" i="2" s="1"/>
  <c r="M67" i="2" s="1"/>
  <c r="N67" i="2" s="1"/>
  <c r="O67" i="2" s="1"/>
  <c r="P67" i="2" s="1"/>
  <c r="Q67" i="2" s="1"/>
  <c r="R67" i="2" s="1"/>
  <c r="S67" i="2" s="1"/>
  <c r="T67" i="2" s="1"/>
  <c r="U67" i="2" s="1"/>
  <c r="V67" i="2" s="1"/>
  <c r="W67" i="2" s="1"/>
  <c r="X67" i="2" s="1"/>
  <c r="Y67" i="2" s="1"/>
  <c r="Z67" i="2" s="1"/>
  <c r="AA67" i="2" s="1"/>
  <c r="AB67" i="2" s="1"/>
  <c r="AC67" i="2" s="1"/>
  <c r="AD67" i="2" s="1"/>
  <c r="AE67" i="2" s="1"/>
  <c r="AF67" i="2" s="1"/>
  <c r="AG67" i="2" s="1"/>
  <c r="AH67" i="2" s="1"/>
  <c r="AI67" i="2" s="1"/>
  <c r="AJ67" i="2" s="1"/>
  <c r="AK67" i="2" s="1"/>
  <c r="AL67" i="2" s="1"/>
  <c r="I75" i="2"/>
  <c r="J75" i="2" s="1"/>
  <c r="K75" i="2" s="1"/>
  <c r="L75" i="2" s="1"/>
  <c r="M75" i="2" s="1"/>
  <c r="N75" i="2" s="1"/>
  <c r="O75" i="2" s="1"/>
  <c r="P75" i="2" s="1"/>
  <c r="Q75" i="2" s="1"/>
  <c r="R75" i="2" s="1"/>
  <c r="S75" i="2" s="1"/>
  <c r="T75" i="2" s="1"/>
  <c r="U75" i="2" s="1"/>
  <c r="V75" i="2" s="1"/>
  <c r="W75" i="2" s="1"/>
  <c r="X75" i="2" s="1"/>
  <c r="Y75" i="2" s="1"/>
  <c r="Z75" i="2" s="1"/>
  <c r="AA75" i="2" s="1"/>
  <c r="AB75" i="2" s="1"/>
  <c r="AC75" i="2" s="1"/>
  <c r="AD75" i="2" s="1"/>
  <c r="AE75" i="2" s="1"/>
  <c r="AF75" i="2" s="1"/>
  <c r="AG75" i="2" s="1"/>
  <c r="AH75" i="2" s="1"/>
  <c r="AI75" i="2" s="1"/>
  <c r="AJ75" i="2" s="1"/>
  <c r="AK75" i="2" s="1"/>
  <c r="AL75" i="2" s="1"/>
  <c r="I77" i="2"/>
  <c r="J77" i="2" s="1"/>
  <c r="K77" i="2" s="1"/>
  <c r="L77" i="2" s="1"/>
  <c r="M77" i="2" s="1"/>
  <c r="N77" i="2" s="1"/>
  <c r="O77" i="2" s="1"/>
  <c r="P77" i="2" s="1"/>
  <c r="Q77" i="2" s="1"/>
  <c r="R77" i="2" s="1"/>
  <c r="S77" i="2" s="1"/>
  <c r="T77" i="2" s="1"/>
  <c r="U77" i="2" s="1"/>
  <c r="V77" i="2" s="1"/>
  <c r="W77" i="2" s="1"/>
  <c r="X77" i="2" s="1"/>
  <c r="Y77" i="2" s="1"/>
  <c r="Z77" i="2" s="1"/>
  <c r="AA77" i="2" s="1"/>
  <c r="AB77" i="2" s="1"/>
  <c r="AC77" i="2" s="1"/>
  <c r="AD77" i="2" s="1"/>
  <c r="AE77" i="2" s="1"/>
  <c r="AF77" i="2" s="1"/>
  <c r="AG77" i="2" s="1"/>
  <c r="AH77" i="2" s="1"/>
  <c r="AI77" i="2" s="1"/>
  <c r="AJ77" i="2" s="1"/>
  <c r="AK77" i="2" s="1"/>
  <c r="AL77" i="2" s="1"/>
  <c r="J79" i="2"/>
  <c r="K79" i="2" s="1"/>
  <c r="L79" i="2" s="1"/>
  <c r="M79" i="2" s="1"/>
  <c r="N79" i="2" s="1"/>
  <c r="O79" i="2" s="1"/>
  <c r="P79" i="2" s="1"/>
  <c r="Q79" i="2" s="1"/>
  <c r="R79" i="2" s="1"/>
  <c r="S79" i="2" s="1"/>
  <c r="T79" i="2" s="1"/>
  <c r="U79" i="2" s="1"/>
  <c r="V79" i="2" s="1"/>
  <c r="W79" i="2" s="1"/>
  <c r="X79" i="2" s="1"/>
  <c r="Y79" i="2" s="1"/>
  <c r="Z79" i="2" s="1"/>
  <c r="AA79" i="2" s="1"/>
  <c r="AB79" i="2" s="1"/>
  <c r="AC79" i="2" s="1"/>
  <c r="AD79" i="2" s="1"/>
  <c r="AE79" i="2" s="1"/>
  <c r="AF79" i="2" s="1"/>
  <c r="AG79" i="2" s="1"/>
  <c r="AH79" i="2" s="1"/>
  <c r="AI79" i="2" s="1"/>
  <c r="AJ79" i="2" s="1"/>
  <c r="AK79" i="2" s="1"/>
  <c r="AL79" i="2" s="1"/>
  <c r="J81" i="2"/>
  <c r="K81" i="2" s="1"/>
  <c r="L81" i="2" s="1"/>
  <c r="M81" i="2" s="1"/>
  <c r="N81" i="2" s="1"/>
  <c r="O81" i="2" s="1"/>
  <c r="P81" i="2" s="1"/>
  <c r="Q81" i="2" s="1"/>
  <c r="R81" i="2" s="1"/>
  <c r="S81" i="2" s="1"/>
  <c r="T81" i="2" s="1"/>
  <c r="U81" i="2" s="1"/>
  <c r="V81" i="2" s="1"/>
  <c r="W81" i="2" s="1"/>
  <c r="X81" i="2" s="1"/>
  <c r="Y81" i="2" s="1"/>
  <c r="Z81" i="2" s="1"/>
  <c r="AA81" i="2" s="1"/>
  <c r="AB81" i="2" s="1"/>
  <c r="AC81" i="2" s="1"/>
  <c r="AD81" i="2" s="1"/>
  <c r="AE81" i="2" s="1"/>
  <c r="AF81" i="2" s="1"/>
  <c r="AG81" i="2" s="1"/>
  <c r="AH81" i="2" s="1"/>
  <c r="AI81" i="2" s="1"/>
  <c r="AJ81" i="2" s="1"/>
  <c r="AK81" i="2" s="1"/>
  <c r="AL81" i="2" s="1"/>
  <c r="I80" i="2"/>
  <c r="J80" i="2" s="1"/>
  <c r="K80" i="2" s="1"/>
  <c r="L80" i="2" s="1"/>
  <c r="M80" i="2" s="1"/>
  <c r="N80" i="2" s="1"/>
  <c r="O80" i="2" s="1"/>
  <c r="P80" i="2" s="1"/>
  <c r="Q80" i="2" s="1"/>
  <c r="R80" i="2" s="1"/>
  <c r="S80" i="2" s="1"/>
  <c r="T80" i="2" s="1"/>
  <c r="U80" i="2" s="1"/>
  <c r="V80" i="2" s="1"/>
  <c r="W80" i="2" s="1"/>
  <c r="X80" i="2" s="1"/>
  <c r="Y80" i="2" s="1"/>
  <c r="Z80" i="2" s="1"/>
  <c r="AA80" i="2" s="1"/>
  <c r="AB80" i="2" s="1"/>
  <c r="AC80" i="2" s="1"/>
  <c r="AD80" i="2" s="1"/>
  <c r="AE80" i="2" s="1"/>
  <c r="AF80" i="2" s="1"/>
  <c r="AG80" i="2" s="1"/>
  <c r="AH80" i="2" s="1"/>
  <c r="AI80" i="2" s="1"/>
  <c r="AJ80" i="2" s="1"/>
  <c r="AK80" i="2" s="1"/>
  <c r="AL80" i="2" s="1"/>
  <c r="I100" i="2"/>
  <c r="J100" i="2" s="1"/>
  <c r="K100" i="2" s="1"/>
  <c r="L100" i="2" s="1"/>
  <c r="M100" i="2" s="1"/>
  <c r="N100" i="2" s="1"/>
  <c r="O100" i="2" s="1"/>
  <c r="P100" i="2" s="1"/>
  <c r="Q100" i="2" s="1"/>
  <c r="R100" i="2" s="1"/>
  <c r="S100" i="2" s="1"/>
  <c r="T100" i="2" s="1"/>
  <c r="U100" i="2" s="1"/>
  <c r="V100" i="2" s="1"/>
  <c r="W100" i="2" s="1"/>
  <c r="X100" i="2" s="1"/>
  <c r="Y100" i="2" s="1"/>
  <c r="Z100" i="2" s="1"/>
  <c r="AA100" i="2" s="1"/>
  <c r="AB100" i="2" s="1"/>
  <c r="AC100" i="2" s="1"/>
  <c r="AD100" i="2" s="1"/>
  <c r="AE100" i="2" s="1"/>
  <c r="AF100" i="2" s="1"/>
  <c r="AG100" i="2" s="1"/>
  <c r="AH100" i="2" s="1"/>
  <c r="AI100" i="2" s="1"/>
  <c r="AJ100" i="2" s="1"/>
  <c r="AK100" i="2" s="1"/>
  <c r="AL100" i="2" s="1"/>
  <c r="J105" i="2"/>
  <c r="K105" i="2" s="1"/>
  <c r="L105" i="2" s="1"/>
  <c r="M105" i="2" s="1"/>
  <c r="N105" i="2" s="1"/>
  <c r="O105" i="2" s="1"/>
  <c r="P105" i="2" s="1"/>
  <c r="Q105" i="2" s="1"/>
  <c r="R105" i="2" s="1"/>
  <c r="S105" i="2" s="1"/>
  <c r="T105" i="2" s="1"/>
  <c r="U105" i="2" s="1"/>
  <c r="V105" i="2" s="1"/>
  <c r="W105" i="2" s="1"/>
  <c r="X105" i="2" s="1"/>
  <c r="Y105" i="2" s="1"/>
  <c r="Z105" i="2" s="1"/>
  <c r="AA105" i="2" s="1"/>
  <c r="AB105" i="2" s="1"/>
  <c r="AC105" i="2" s="1"/>
  <c r="AD105" i="2" s="1"/>
  <c r="AE105" i="2" s="1"/>
  <c r="AF105" i="2" s="1"/>
  <c r="AG105" i="2" s="1"/>
  <c r="AH105" i="2" s="1"/>
  <c r="AI105" i="2" s="1"/>
  <c r="AJ105" i="2" s="1"/>
  <c r="AK105" i="2" s="1"/>
  <c r="AL105" i="2" s="1"/>
  <c r="I23" i="2"/>
  <c r="J23" i="2" s="1"/>
  <c r="K23" i="2" s="1"/>
  <c r="L23" i="2" s="1"/>
  <c r="M23" i="2" s="1"/>
  <c r="N23" i="2" s="1"/>
  <c r="O23" i="2" s="1"/>
  <c r="P23" i="2" s="1"/>
  <c r="Q23" i="2" s="1"/>
  <c r="R23" i="2" s="1"/>
  <c r="S23" i="2" s="1"/>
  <c r="T23" i="2" s="1"/>
  <c r="U23" i="2" s="1"/>
  <c r="V23" i="2" s="1"/>
  <c r="W23" i="2" s="1"/>
  <c r="X23" i="2" s="1"/>
  <c r="Y23" i="2" s="1"/>
  <c r="Z23" i="2" s="1"/>
  <c r="AA23" i="2" s="1"/>
  <c r="AB23" i="2" s="1"/>
  <c r="AC23" i="2" s="1"/>
  <c r="AD23" i="2" s="1"/>
  <c r="AE23" i="2" s="1"/>
  <c r="AF23" i="2" s="1"/>
  <c r="AG23" i="2" s="1"/>
  <c r="AH23" i="2" s="1"/>
  <c r="AI23" i="2" s="1"/>
  <c r="AJ23" i="2" s="1"/>
  <c r="AK23" i="2" s="1"/>
  <c r="AL23" i="2" s="1"/>
  <c r="I22" i="2"/>
  <c r="J22" i="2" s="1"/>
  <c r="K22" i="2" s="1"/>
  <c r="L22" i="2" s="1"/>
  <c r="M22" i="2" s="1"/>
  <c r="N22" i="2" s="1"/>
  <c r="O22" i="2" s="1"/>
  <c r="P22" i="2" s="1"/>
  <c r="Q22" i="2" s="1"/>
  <c r="R22" i="2" s="1"/>
  <c r="S22" i="2" s="1"/>
  <c r="T22" i="2" s="1"/>
  <c r="U22" i="2" s="1"/>
  <c r="V22" i="2" s="1"/>
  <c r="W22" i="2" s="1"/>
  <c r="X22" i="2" s="1"/>
  <c r="Y22" i="2" s="1"/>
  <c r="Z22" i="2" s="1"/>
  <c r="AA22" i="2" s="1"/>
  <c r="AB22" i="2" s="1"/>
  <c r="AC22" i="2" s="1"/>
  <c r="AD22" i="2" s="1"/>
  <c r="AE22" i="2" s="1"/>
  <c r="AF22" i="2" s="1"/>
  <c r="AG22" i="2" s="1"/>
  <c r="AH22" i="2" s="1"/>
  <c r="AI22" i="2" s="1"/>
  <c r="AJ22" i="2" s="1"/>
  <c r="AK22" i="2" s="1"/>
  <c r="AL22" i="2" s="1"/>
  <c r="I18" i="2"/>
  <c r="J18" i="2" s="1"/>
  <c r="K18" i="2" s="1"/>
  <c r="L18" i="2" s="1"/>
  <c r="M18" i="2" s="1"/>
  <c r="N18" i="2" s="1"/>
  <c r="O18" i="2" s="1"/>
  <c r="P18" i="2" s="1"/>
  <c r="Q18" i="2" s="1"/>
  <c r="R18" i="2" s="1"/>
  <c r="S18" i="2" s="1"/>
  <c r="T18" i="2" s="1"/>
  <c r="U18" i="2" s="1"/>
  <c r="V18" i="2" s="1"/>
  <c r="W18" i="2" s="1"/>
  <c r="X18" i="2" s="1"/>
  <c r="Y18" i="2" s="1"/>
  <c r="Z18" i="2" s="1"/>
  <c r="AA18" i="2" s="1"/>
  <c r="AB18" i="2" s="1"/>
  <c r="AC18" i="2" s="1"/>
  <c r="AD18" i="2" s="1"/>
  <c r="AE18" i="2" s="1"/>
  <c r="AF18" i="2" s="1"/>
  <c r="AG18" i="2" s="1"/>
  <c r="AH18" i="2" s="1"/>
  <c r="AI18" i="2" s="1"/>
  <c r="AJ18" i="2" s="1"/>
  <c r="AK18" i="2" s="1"/>
  <c r="AL18" i="2" s="1"/>
  <c r="I15" i="2"/>
  <c r="J15" i="2" s="1"/>
  <c r="K15" i="2" s="1"/>
  <c r="L15" i="2" s="1"/>
  <c r="M15" i="2" s="1"/>
  <c r="N15" i="2" s="1"/>
  <c r="O15" i="2" s="1"/>
  <c r="P15" i="2" s="1"/>
  <c r="Q15" i="2" s="1"/>
  <c r="R15" i="2" s="1"/>
  <c r="S15" i="2" s="1"/>
  <c r="T15" i="2" s="1"/>
  <c r="U15" i="2" s="1"/>
  <c r="V15" i="2" s="1"/>
  <c r="W15" i="2" s="1"/>
  <c r="X15" i="2" s="1"/>
  <c r="Y15" i="2" s="1"/>
  <c r="Z15" i="2" s="1"/>
  <c r="AA15" i="2" s="1"/>
  <c r="AB15" i="2" s="1"/>
  <c r="AC15" i="2" s="1"/>
  <c r="AD15" i="2" s="1"/>
  <c r="AE15" i="2" s="1"/>
  <c r="AF15" i="2" s="1"/>
  <c r="AG15" i="2" s="1"/>
  <c r="AH15" i="2" s="1"/>
  <c r="AI15" i="2" s="1"/>
  <c r="AJ15" i="2" s="1"/>
  <c r="AK15" i="2" s="1"/>
  <c r="AL15" i="2" s="1"/>
  <c r="I12" i="2"/>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J4" i="2"/>
  <c r="K4" i="2" s="1"/>
  <c r="L4" i="2" s="1"/>
  <c r="M4" i="2" s="1"/>
  <c r="N4" i="2" s="1"/>
  <c r="O4" i="2" s="1"/>
  <c r="P4" i="2" s="1"/>
  <c r="Q4" i="2" s="1"/>
  <c r="R4" i="2" s="1"/>
  <c r="S4" i="2" s="1"/>
  <c r="T4" i="2" s="1"/>
  <c r="U4" i="2" s="1"/>
  <c r="V4" i="2" s="1"/>
  <c r="W4" i="2" s="1"/>
  <c r="X4" i="2" s="1"/>
  <c r="Y4" i="2" s="1"/>
  <c r="Z4" i="2" s="1"/>
  <c r="AA4" i="2" s="1"/>
  <c r="AB4" i="2" s="1"/>
  <c r="AC4" i="2" s="1"/>
  <c r="AD4" i="2" s="1"/>
  <c r="AE4" i="2" s="1"/>
  <c r="AF4" i="2" s="1"/>
  <c r="AG4" i="2" s="1"/>
  <c r="AH4" i="2" s="1"/>
  <c r="AI4" i="2" s="1"/>
  <c r="AJ4" i="2" s="1"/>
  <c r="AK4" i="2" s="1"/>
  <c r="AL4" i="2" s="1"/>
  <c r="K3" i="2" l="1"/>
  <c r="L3" i="2" s="1"/>
  <c r="M3" i="2" s="1"/>
  <c r="N3" i="2" s="1"/>
  <c r="O3" i="2" s="1"/>
  <c r="P3" i="2" s="1"/>
  <c r="Q3" i="2" s="1"/>
  <c r="R3" i="2" s="1"/>
  <c r="S3" i="2" s="1"/>
  <c r="T3" i="2" s="1"/>
  <c r="U3" i="2" s="1"/>
  <c r="V3" i="2" s="1"/>
  <c r="W3" i="2" s="1"/>
  <c r="X3" i="2" s="1"/>
  <c r="Y3" i="2" s="1"/>
  <c r="Z3" i="2" s="1"/>
  <c r="AA3" i="2" s="1"/>
  <c r="AB3" i="2" s="1"/>
  <c r="AC3" i="2" s="1"/>
  <c r="AD3" i="2" s="1"/>
  <c r="AE3" i="2" s="1"/>
  <c r="AF3" i="2" s="1"/>
  <c r="AG3" i="2" s="1"/>
  <c r="AH3" i="2" s="1"/>
  <c r="AI3" i="2" s="1"/>
  <c r="AJ3" i="2" s="1"/>
  <c r="AK3" i="2" s="1"/>
  <c r="AL3" i="2" s="1"/>
  <c r="I24" i="2"/>
  <c r="J24" i="2" s="1"/>
  <c r="K24" i="2" s="1"/>
  <c r="L24" i="2" s="1"/>
  <c r="M24" i="2" s="1"/>
  <c r="N24" i="2" s="1"/>
  <c r="O24" i="2" s="1"/>
  <c r="P24" i="2" s="1"/>
  <c r="Q24" i="2" s="1"/>
  <c r="R24" i="2" s="1"/>
  <c r="S24" i="2" s="1"/>
  <c r="T24" i="2" s="1"/>
  <c r="U24" i="2" s="1"/>
  <c r="V24" i="2" s="1"/>
  <c r="W24" i="2" s="1"/>
  <c r="X24" i="2" s="1"/>
  <c r="Y24" i="2" s="1"/>
  <c r="Z24" i="2" s="1"/>
  <c r="AA24" i="2" s="1"/>
  <c r="AB24" i="2" s="1"/>
  <c r="AC24" i="2" s="1"/>
  <c r="AD24" i="2" s="1"/>
  <c r="AE24" i="2" s="1"/>
  <c r="AF24" i="2" s="1"/>
  <c r="AG24" i="2" s="1"/>
  <c r="AH24" i="2" s="1"/>
  <c r="AI24" i="2" s="1"/>
  <c r="AJ24" i="2" s="1"/>
  <c r="AK24" i="2" s="1"/>
  <c r="AL24" i="2" s="1"/>
  <c r="I21" i="2"/>
  <c r="J21" i="2" s="1"/>
  <c r="K21" i="2" s="1"/>
  <c r="L21" i="2" s="1"/>
  <c r="M21" i="2" s="1"/>
  <c r="N21" i="2" s="1"/>
  <c r="O21" i="2" s="1"/>
  <c r="P21" i="2" s="1"/>
  <c r="Q21" i="2" s="1"/>
  <c r="R21" i="2" s="1"/>
  <c r="S21" i="2" s="1"/>
  <c r="T21" i="2" s="1"/>
  <c r="U21" i="2" s="1"/>
  <c r="V21" i="2" s="1"/>
  <c r="W21" i="2" s="1"/>
  <c r="X21" i="2" s="1"/>
  <c r="Y21" i="2" s="1"/>
  <c r="Z21" i="2" s="1"/>
  <c r="AA21" i="2" s="1"/>
  <c r="AB21" i="2" s="1"/>
  <c r="AC21" i="2" s="1"/>
  <c r="AD21" i="2" s="1"/>
  <c r="AE21" i="2" s="1"/>
  <c r="AF21" i="2" s="1"/>
  <c r="AG21" i="2" s="1"/>
  <c r="AH21" i="2" s="1"/>
  <c r="AI21" i="2" s="1"/>
  <c r="AJ21" i="2" s="1"/>
  <c r="AK21" i="2" s="1"/>
  <c r="AL21" i="2" s="1"/>
  <c r="I19" i="2"/>
  <c r="J19" i="2" s="1"/>
  <c r="K19" i="2" s="1"/>
  <c r="L19" i="2" s="1"/>
  <c r="M19" i="2" s="1"/>
  <c r="N19" i="2" s="1"/>
  <c r="O19" i="2" s="1"/>
  <c r="P19" i="2" s="1"/>
  <c r="Q19" i="2" s="1"/>
  <c r="R19" i="2" s="1"/>
  <c r="S19" i="2" s="1"/>
  <c r="T19" i="2" s="1"/>
  <c r="U19" i="2" s="1"/>
  <c r="V19" i="2" s="1"/>
  <c r="W19" i="2" s="1"/>
  <c r="X19" i="2" s="1"/>
  <c r="Y19" i="2" s="1"/>
  <c r="Z19" i="2" s="1"/>
  <c r="AA19" i="2" s="1"/>
  <c r="AB19" i="2" s="1"/>
  <c r="AC19" i="2" s="1"/>
  <c r="AD19" i="2" s="1"/>
  <c r="AE19" i="2" s="1"/>
  <c r="AF19" i="2" s="1"/>
  <c r="AG19" i="2" s="1"/>
  <c r="AH19" i="2" s="1"/>
  <c r="AI19" i="2" s="1"/>
  <c r="AJ19" i="2" s="1"/>
  <c r="AK19" i="2" s="1"/>
  <c r="AL19" i="2" s="1"/>
  <c r="I17" i="2"/>
  <c r="J17" i="2" s="1"/>
  <c r="K17" i="2" s="1"/>
  <c r="L17" i="2" s="1"/>
  <c r="M17" i="2" s="1"/>
  <c r="N17" i="2" s="1"/>
  <c r="O17" i="2" s="1"/>
  <c r="P17" i="2" s="1"/>
  <c r="Q17" i="2" s="1"/>
  <c r="R17" i="2" s="1"/>
  <c r="S17" i="2" s="1"/>
  <c r="T17" i="2" s="1"/>
  <c r="U17" i="2" s="1"/>
  <c r="V17" i="2" s="1"/>
  <c r="W17" i="2" s="1"/>
  <c r="X17" i="2" s="1"/>
  <c r="Y17" i="2" s="1"/>
  <c r="Z17" i="2" s="1"/>
  <c r="AA17" i="2" s="1"/>
  <c r="AB17" i="2" s="1"/>
  <c r="AC17" i="2" s="1"/>
  <c r="AD17" i="2" s="1"/>
  <c r="AE17" i="2" s="1"/>
  <c r="AF17" i="2" s="1"/>
  <c r="AG17" i="2" s="1"/>
  <c r="AH17" i="2" s="1"/>
  <c r="AI17" i="2" s="1"/>
  <c r="AJ17" i="2" s="1"/>
  <c r="AK17" i="2" s="1"/>
  <c r="AL17" i="2" s="1"/>
  <c r="I16" i="2"/>
  <c r="J16" i="2" s="1"/>
  <c r="K16" i="2" s="1"/>
  <c r="L16" i="2" s="1"/>
  <c r="M16" i="2" s="1"/>
  <c r="N16" i="2" s="1"/>
  <c r="O16" i="2" s="1"/>
  <c r="P16" i="2" s="1"/>
  <c r="Q16" i="2" s="1"/>
  <c r="R16" i="2" s="1"/>
  <c r="S16" i="2" s="1"/>
  <c r="T16" i="2" s="1"/>
  <c r="U16" i="2" s="1"/>
  <c r="V16" i="2" s="1"/>
  <c r="W16" i="2" s="1"/>
  <c r="X16" i="2" s="1"/>
  <c r="Y16" i="2" s="1"/>
  <c r="Z16" i="2" s="1"/>
  <c r="AA16" i="2" s="1"/>
  <c r="AB16" i="2" s="1"/>
  <c r="AC16" i="2" s="1"/>
  <c r="AD16" i="2" s="1"/>
  <c r="AE16" i="2" s="1"/>
  <c r="AF16" i="2" s="1"/>
  <c r="AG16" i="2" s="1"/>
  <c r="AH16" i="2" s="1"/>
  <c r="AI16" i="2" s="1"/>
  <c r="AJ16" i="2" s="1"/>
  <c r="AK16" i="2" s="1"/>
  <c r="AL16" i="2" s="1"/>
  <c r="I14" i="2"/>
  <c r="J14" i="2" s="1"/>
  <c r="K14" i="2" s="1"/>
  <c r="L14" i="2" s="1"/>
  <c r="M14" i="2" s="1"/>
  <c r="N14" i="2" s="1"/>
  <c r="O14" i="2" s="1"/>
  <c r="P14" i="2" s="1"/>
  <c r="Q14" i="2" s="1"/>
  <c r="R14" i="2" s="1"/>
  <c r="S14" i="2" s="1"/>
  <c r="T14" i="2" s="1"/>
  <c r="U14" i="2" s="1"/>
  <c r="V14" i="2" s="1"/>
  <c r="W14" i="2" s="1"/>
  <c r="X14" i="2" s="1"/>
  <c r="Y14" i="2" s="1"/>
  <c r="Z14" i="2" s="1"/>
  <c r="AA14" i="2" s="1"/>
  <c r="AB14" i="2" s="1"/>
  <c r="AC14" i="2" s="1"/>
  <c r="AD14" i="2" s="1"/>
  <c r="AE14" i="2" s="1"/>
  <c r="AF14" i="2" s="1"/>
  <c r="AG14" i="2" s="1"/>
  <c r="AH14" i="2" s="1"/>
  <c r="AI14" i="2" s="1"/>
  <c r="AJ14" i="2" s="1"/>
  <c r="AK14" i="2" s="1"/>
  <c r="AL14" i="2" s="1"/>
  <c r="I13" i="2"/>
  <c r="J13" i="2" s="1"/>
  <c r="K13" i="2" s="1"/>
  <c r="L13" i="2" s="1"/>
  <c r="M13" i="2" s="1"/>
  <c r="N13" i="2" s="1"/>
  <c r="O13" i="2" s="1"/>
  <c r="P13" i="2" s="1"/>
  <c r="Q13" i="2" s="1"/>
  <c r="R13" i="2" s="1"/>
  <c r="S13" i="2" s="1"/>
  <c r="T13" i="2" s="1"/>
  <c r="U13" i="2" s="1"/>
  <c r="V13" i="2" s="1"/>
  <c r="W13" i="2" s="1"/>
  <c r="X13" i="2" s="1"/>
  <c r="Y13" i="2" s="1"/>
  <c r="Z13" i="2" s="1"/>
  <c r="AA13" i="2" s="1"/>
  <c r="AB13" i="2" s="1"/>
  <c r="AC13" i="2" s="1"/>
  <c r="AD13" i="2" s="1"/>
  <c r="AE13" i="2" s="1"/>
  <c r="AF13" i="2" s="1"/>
  <c r="AG13" i="2" s="1"/>
  <c r="AH13" i="2" s="1"/>
  <c r="AI13" i="2" s="1"/>
  <c r="AJ13" i="2" s="1"/>
  <c r="AK13" i="2" s="1"/>
  <c r="AL13" i="2" s="1"/>
  <c r="J8" i="2"/>
  <c r="K8" i="2" s="1"/>
  <c r="L8" i="2" s="1"/>
  <c r="M8" i="2" s="1"/>
  <c r="N8" i="2" s="1"/>
  <c r="O8" i="2" s="1"/>
  <c r="P8" i="2" s="1"/>
  <c r="Q8" i="2" s="1"/>
  <c r="R8" i="2" s="1"/>
  <c r="S8" i="2" s="1"/>
  <c r="T8" i="2" s="1"/>
  <c r="U8" i="2" s="1"/>
  <c r="V8" i="2" s="1"/>
  <c r="W8" i="2" s="1"/>
  <c r="X8" i="2" s="1"/>
  <c r="Y8" i="2" s="1"/>
  <c r="Z8" i="2" s="1"/>
  <c r="AA8" i="2" s="1"/>
  <c r="AB8" i="2" s="1"/>
  <c r="AC8" i="2" s="1"/>
  <c r="AD8" i="2" s="1"/>
  <c r="AE8" i="2" s="1"/>
  <c r="AF8" i="2" s="1"/>
  <c r="AG8" i="2" s="1"/>
  <c r="AH8" i="2" s="1"/>
  <c r="AI8" i="2" s="1"/>
  <c r="AJ8" i="2" s="1"/>
  <c r="AK8" i="2" s="1"/>
  <c r="AL8" i="2" s="1"/>
  <c r="J7" i="2"/>
  <c r="K7" i="2" s="1"/>
  <c r="L7" i="2" s="1"/>
  <c r="M7" i="2" s="1"/>
  <c r="N7" i="2" s="1"/>
  <c r="O7" i="2" s="1"/>
  <c r="P7" i="2" s="1"/>
  <c r="Q7" i="2" s="1"/>
  <c r="R7" i="2" s="1"/>
  <c r="S7" i="2" s="1"/>
  <c r="T7" i="2" s="1"/>
  <c r="U7" i="2" s="1"/>
  <c r="V7" i="2" s="1"/>
  <c r="W7" i="2" s="1"/>
  <c r="X7" i="2" s="1"/>
  <c r="Y7" i="2" s="1"/>
  <c r="Z7" i="2" s="1"/>
  <c r="AA7" i="2" s="1"/>
  <c r="AB7" i="2" s="1"/>
  <c r="AC7" i="2" s="1"/>
  <c r="AD7" i="2" s="1"/>
  <c r="AE7" i="2" s="1"/>
  <c r="AF7" i="2" s="1"/>
  <c r="AG7" i="2" s="1"/>
  <c r="AH7" i="2" s="1"/>
  <c r="AI7" i="2" s="1"/>
  <c r="AJ7" i="2" s="1"/>
  <c r="AK7" i="2" s="1"/>
  <c r="AL7" i="2" s="1"/>
  <c r="I6" i="2"/>
  <c r="J6" i="2" s="1"/>
  <c r="K6" i="2" s="1"/>
  <c r="L6" i="2" s="1"/>
  <c r="M6" i="2" s="1"/>
  <c r="N6" i="2" s="1"/>
  <c r="O6" i="2" s="1"/>
  <c r="P6" i="2" s="1"/>
  <c r="Q6" i="2" s="1"/>
  <c r="R6" i="2" s="1"/>
  <c r="S6" i="2" s="1"/>
  <c r="T6" i="2" s="1"/>
  <c r="U6" i="2" s="1"/>
  <c r="V6" i="2" s="1"/>
  <c r="W6" i="2" s="1"/>
  <c r="X6" i="2" s="1"/>
  <c r="Y6" i="2" s="1"/>
  <c r="Z6" i="2" s="1"/>
  <c r="AA6" i="2" s="1"/>
  <c r="AB6" i="2" s="1"/>
  <c r="AC6" i="2" s="1"/>
  <c r="AD6" i="2" s="1"/>
  <c r="AE6" i="2" s="1"/>
  <c r="AF6" i="2" s="1"/>
  <c r="AG6" i="2" s="1"/>
  <c r="AH6" i="2" s="1"/>
  <c r="AI6" i="2" s="1"/>
  <c r="AJ6" i="2" s="1"/>
  <c r="AK6" i="2" s="1"/>
  <c r="AL6" i="2" s="1"/>
  <c r="I5" i="2"/>
  <c r="J5" i="2" s="1"/>
  <c r="K5" i="2" s="1"/>
  <c r="L5" i="2" s="1"/>
  <c r="M5" i="2" s="1"/>
  <c r="N5" i="2" s="1"/>
  <c r="O5" i="2" s="1"/>
  <c r="P5" i="2" s="1"/>
  <c r="Q5" i="2" s="1"/>
  <c r="R5" i="2" s="1"/>
  <c r="S5" i="2" s="1"/>
  <c r="T5" i="2" s="1"/>
  <c r="U5" i="2" s="1"/>
  <c r="V5" i="2" s="1"/>
  <c r="W5" i="2" s="1"/>
  <c r="X5" i="2" s="1"/>
  <c r="Y5" i="2" s="1"/>
  <c r="Z5" i="2" s="1"/>
  <c r="AA5" i="2" s="1"/>
  <c r="AB5" i="2" s="1"/>
  <c r="AC5" i="2" s="1"/>
  <c r="AD5" i="2" s="1"/>
  <c r="AE5" i="2" s="1"/>
  <c r="AF5" i="2" s="1"/>
  <c r="AG5" i="2" s="1"/>
  <c r="AH5" i="2" s="1"/>
  <c r="AI5" i="2" s="1"/>
  <c r="AJ5" i="2" s="1"/>
  <c r="AK5" i="2" s="1"/>
  <c r="AL5" i="2" s="1"/>
  <c r="AE26" i="3589" l="1"/>
  <c r="AF26" i="3589"/>
  <c r="AG26" i="3589"/>
  <c r="AH26" i="3589"/>
  <c r="AI26" i="3589"/>
  <c r="AJ26" i="3589"/>
  <c r="AK26" i="3589"/>
  <c r="AL26" i="3589"/>
  <c r="V26" i="3589"/>
  <c r="W26" i="3589"/>
  <c r="X26" i="3589"/>
  <c r="Y26" i="3589"/>
  <c r="Z26" i="3589"/>
  <c r="AA26" i="3589"/>
  <c r="AB26" i="3589"/>
  <c r="AC26" i="3589"/>
  <c r="AD26" i="3589"/>
  <c r="N26" i="3589"/>
  <c r="O26" i="3589"/>
  <c r="P26" i="3589"/>
  <c r="Q26" i="3589"/>
  <c r="R26" i="3589"/>
  <c r="S26" i="3589"/>
  <c r="T26" i="3589"/>
  <c r="U26" i="3589"/>
  <c r="I26" i="3589"/>
  <c r="J26" i="3589"/>
  <c r="K26" i="3589"/>
  <c r="L26" i="3589"/>
  <c r="M26" i="3589"/>
  <c r="Q124" i="3635" l="1"/>
  <c r="Q123" i="3635"/>
  <c r="Q120" i="3635"/>
  <c r="Q119" i="3635"/>
  <c r="Q118" i="3635"/>
  <c r="Q107" i="3635"/>
  <c r="Q98" i="3635"/>
  <c r="Q92" i="3635"/>
  <c r="Q87" i="3635"/>
  <c r="Q70" i="3635"/>
  <c r="Q64" i="3635"/>
  <c r="Q62" i="3635"/>
  <c r="Q60" i="3635"/>
  <c r="Q59" i="3635"/>
  <c r="Q49" i="3635"/>
  <c r="Q42" i="3635"/>
  <c r="D79" i="3584" l="1"/>
  <c r="E79" i="3584"/>
  <c r="F79" i="3584"/>
  <c r="G79" i="3584"/>
  <c r="H79" i="3584"/>
  <c r="I79" i="3584" s="1"/>
  <c r="J79" i="3584" s="1"/>
  <c r="K79" i="3584" s="1"/>
  <c r="L79" i="3584" s="1"/>
  <c r="M79" i="3584" s="1"/>
  <c r="N79" i="3584" s="1"/>
  <c r="O79" i="3584" s="1"/>
  <c r="P79" i="3584" s="1"/>
  <c r="Q79" i="3584" s="1"/>
  <c r="R79" i="3584" s="1"/>
  <c r="S79" i="3584" s="1"/>
  <c r="T79" i="3584" s="1"/>
  <c r="U79" i="3584" s="1"/>
  <c r="V79" i="3584" s="1"/>
  <c r="W79" i="3584" s="1"/>
  <c r="X79" i="3584" s="1"/>
  <c r="Y79" i="3584" s="1"/>
  <c r="Z79" i="3584" s="1"/>
  <c r="AA79" i="3584" s="1"/>
  <c r="AB79" i="3584" s="1"/>
  <c r="AC79" i="3584" s="1"/>
  <c r="AD79" i="3584" s="1"/>
  <c r="AE79" i="3584" s="1"/>
  <c r="AF79" i="3584" s="1"/>
  <c r="AG79" i="3584" s="1"/>
  <c r="AH79" i="3584" s="1"/>
  <c r="AI79" i="3584" s="1"/>
  <c r="AJ79" i="3584" s="1"/>
  <c r="AK79" i="3584" s="1"/>
  <c r="AL79" i="3584" s="1"/>
  <c r="D80" i="3584"/>
  <c r="E80" i="3584"/>
  <c r="F80" i="3584"/>
  <c r="G80" i="3584"/>
  <c r="H80" i="3584"/>
  <c r="I80" i="3584" s="1"/>
  <c r="J80" i="3584" s="1"/>
  <c r="K80" i="3584" s="1"/>
  <c r="L80" i="3584" s="1"/>
  <c r="M80" i="3584" s="1"/>
  <c r="N80" i="3584" s="1"/>
  <c r="O80" i="3584" s="1"/>
  <c r="P80" i="3584" s="1"/>
  <c r="Q80" i="3584" s="1"/>
  <c r="R80" i="3584" s="1"/>
  <c r="S80" i="3584" s="1"/>
  <c r="T80" i="3584" s="1"/>
  <c r="U80" i="3584" s="1"/>
  <c r="V80" i="3584" s="1"/>
  <c r="W80" i="3584" s="1"/>
  <c r="X80" i="3584" s="1"/>
  <c r="Y80" i="3584" s="1"/>
  <c r="Z80" i="3584" s="1"/>
  <c r="AA80" i="3584" s="1"/>
  <c r="AB80" i="3584" s="1"/>
  <c r="AC80" i="3584" s="1"/>
  <c r="AD80" i="3584" s="1"/>
  <c r="AE80" i="3584" s="1"/>
  <c r="AF80" i="3584" s="1"/>
  <c r="AG80" i="3584" s="1"/>
  <c r="AH80" i="3584" s="1"/>
  <c r="AI80" i="3584" s="1"/>
  <c r="AJ80" i="3584" s="1"/>
  <c r="AK80" i="3584" s="1"/>
  <c r="AL80" i="3584" s="1"/>
  <c r="C80" i="3584"/>
  <c r="C79" i="3584"/>
  <c r="D75" i="3584"/>
  <c r="E75" i="3584"/>
  <c r="F75" i="3584"/>
  <c r="G75" i="3584"/>
  <c r="H75" i="3584"/>
  <c r="I75" i="3584" s="1"/>
  <c r="J75" i="3584" s="1"/>
  <c r="K75" i="3584" s="1"/>
  <c r="L75" i="3584" s="1"/>
  <c r="M75" i="3584" s="1"/>
  <c r="N75" i="3584" s="1"/>
  <c r="O75" i="3584" s="1"/>
  <c r="P75" i="3584" s="1"/>
  <c r="Q75" i="3584" s="1"/>
  <c r="R75" i="3584" s="1"/>
  <c r="S75" i="3584" s="1"/>
  <c r="T75" i="3584" s="1"/>
  <c r="U75" i="3584" s="1"/>
  <c r="V75" i="3584" s="1"/>
  <c r="W75" i="3584" s="1"/>
  <c r="X75" i="3584" s="1"/>
  <c r="Y75" i="3584" s="1"/>
  <c r="Z75" i="3584" s="1"/>
  <c r="AA75" i="3584" s="1"/>
  <c r="AB75" i="3584" s="1"/>
  <c r="AC75" i="3584" s="1"/>
  <c r="AD75" i="3584" s="1"/>
  <c r="AE75" i="3584" s="1"/>
  <c r="AF75" i="3584" s="1"/>
  <c r="AG75" i="3584" s="1"/>
  <c r="AH75" i="3584" s="1"/>
  <c r="AI75" i="3584" s="1"/>
  <c r="AJ75" i="3584" s="1"/>
  <c r="AK75" i="3584" s="1"/>
  <c r="AL75" i="3584" s="1"/>
  <c r="D76" i="3584"/>
  <c r="E76" i="3584"/>
  <c r="F76" i="3584"/>
  <c r="G76" i="3584"/>
  <c r="H76" i="3584"/>
  <c r="I76" i="3584" s="1"/>
  <c r="J76" i="3584" s="1"/>
  <c r="K76" i="3584" s="1"/>
  <c r="L76" i="3584" s="1"/>
  <c r="M76" i="3584" s="1"/>
  <c r="N76" i="3584" s="1"/>
  <c r="O76" i="3584" s="1"/>
  <c r="P76" i="3584" s="1"/>
  <c r="Q76" i="3584" s="1"/>
  <c r="R76" i="3584" s="1"/>
  <c r="S76" i="3584" s="1"/>
  <c r="T76" i="3584" s="1"/>
  <c r="U76" i="3584" s="1"/>
  <c r="V76" i="3584" s="1"/>
  <c r="W76" i="3584" s="1"/>
  <c r="X76" i="3584" s="1"/>
  <c r="Y76" i="3584" s="1"/>
  <c r="Z76" i="3584" s="1"/>
  <c r="AA76" i="3584" s="1"/>
  <c r="AB76" i="3584" s="1"/>
  <c r="AC76" i="3584" s="1"/>
  <c r="AD76" i="3584" s="1"/>
  <c r="AE76" i="3584" s="1"/>
  <c r="AF76" i="3584" s="1"/>
  <c r="AG76" i="3584" s="1"/>
  <c r="AH76" i="3584" s="1"/>
  <c r="AI76" i="3584" s="1"/>
  <c r="AJ76" i="3584" s="1"/>
  <c r="AK76" i="3584" s="1"/>
  <c r="AL76" i="3584" s="1"/>
  <c r="D77" i="3584"/>
  <c r="E77" i="3584"/>
  <c r="F77" i="3584"/>
  <c r="G77" i="3584"/>
  <c r="H77" i="3584"/>
  <c r="I77" i="3584" s="1"/>
  <c r="J77" i="3584" s="1"/>
  <c r="K77" i="3584" s="1"/>
  <c r="L77" i="3584" s="1"/>
  <c r="M77" i="3584" s="1"/>
  <c r="N77" i="3584" s="1"/>
  <c r="O77" i="3584" s="1"/>
  <c r="P77" i="3584" s="1"/>
  <c r="Q77" i="3584" s="1"/>
  <c r="R77" i="3584" s="1"/>
  <c r="S77" i="3584" s="1"/>
  <c r="T77" i="3584" s="1"/>
  <c r="U77" i="3584" s="1"/>
  <c r="V77" i="3584" s="1"/>
  <c r="W77" i="3584" s="1"/>
  <c r="X77" i="3584" s="1"/>
  <c r="Y77" i="3584" s="1"/>
  <c r="Z77" i="3584" s="1"/>
  <c r="AA77" i="3584" s="1"/>
  <c r="AB77" i="3584" s="1"/>
  <c r="AC77" i="3584" s="1"/>
  <c r="AD77" i="3584" s="1"/>
  <c r="AE77" i="3584" s="1"/>
  <c r="AF77" i="3584" s="1"/>
  <c r="AG77" i="3584" s="1"/>
  <c r="AH77" i="3584" s="1"/>
  <c r="AI77" i="3584" s="1"/>
  <c r="AJ77" i="3584" s="1"/>
  <c r="AK77" i="3584" s="1"/>
  <c r="AL77" i="3584" s="1"/>
  <c r="C76" i="3584"/>
  <c r="C77" i="3584"/>
  <c r="C75" i="3584"/>
  <c r="D63" i="3584" l="1"/>
  <c r="E63" i="3584"/>
  <c r="F63" i="3584"/>
  <c r="G63" i="3584"/>
  <c r="H63" i="3584"/>
  <c r="C63" i="3584"/>
  <c r="D57" i="3584"/>
  <c r="D74" i="2" s="1"/>
  <c r="E57" i="3584"/>
  <c r="E74" i="2" s="1"/>
  <c r="F57" i="3584"/>
  <c r="F74" i="2" s="1"/>
  <c r="G57" i="3584"/>
  <c r="G74" i="2" s="1"/>
  <c r="H57" i="3584"/>
  <c r="H74" i="2" s="1"/>
  <c r="I74" i="2" s="1"/>
  <c r="J74" i="2" s="1"/>
  <c r="K74" i="2" s="1"/>
  <c r="L74" i="2" s="1"/>
  <c r="M74" i="2" s="1"/>
  <c r="C57" i="3584"/>
  <c r="D50" i="3584"/>
  <c r="D68" i="2" s="1"/>
  <c r="E50" i="3584"/>
  <c r="E68" i="2" s="1"/>
  <c r="F50" i="3584"/>
  <c r="F68" i="2" s="1"/>
  <c r="G50" i="3584"/>
  <c r="G68" i="2" s="1"/>
  <c r="H50" i="3584"/>
  <c r="H68" i="2" s="1"/>
  <c r="C50" i="3584"/>
  <c r="D44" i="3584"/>
  <c r="E44" i="3584"/>
  <c r="F44" i="3584"/>
  <c r="G44" i="3584"/>
  <c r="H44" i="3584"/>
  <c r="C44" i="3584"/>
  <c r="C13" i="3597" s="1"/>
  <c r="D32" i="3584"/>
  <c r="E32" i="3584"/>
  <c r="F32" i="3584"/>
  <c r="G32" i="3584"/>
  <c r="H32" i="3584"/>
  <c r="C32" i="3584"/>
  <c r="D26" i="3584"/>
  <c r="E26" i="3584"/>
  <c r="F26" i="3584"/>
  <c r="G26" i="3584"/>
  <c r="H26" i="3584"/>
  <c r="D24" i="3584"/>
  <c r="E24" i="3584"/>
  <c r="F24" i="3584"/>
  <c r="G24" i="3584"/>
  <c r="H24" i="3584"/>
  <c r="C26" i="3584"/>
  <c r="C24" i="3584"/>
  <c r="D21" i="3584"/>
  <c r="E21" i="3584"/>
  <c r="F21" i="3584"/>
  <c r="G21" i="3584"/>
  <c r="H21" i="3584"/>
  <c r="D22" i="3584"/>
  <c r="E22" i="3584"/>
  <c r="F22" i="3584"/>
  <c r="G22" i="3584"/>
  <c r="H22" i="3584"/>
  <c r="C22" i="3584"/>
  <c r="C21" i="3584"/>
  <c r="D15" i="3584"/>
  <c r="D42" i="2" s="1"/>
  <c r="E15" i="3584"/>
  <c r="E42" i="2" s="1"/>
  <c r="F15" i="3584"/>
  <c r="F42" i="2" s="1"/>
  <c r="G15" i="3584"/>
  <c r="G42" i="2" s="1"/>
  <c r="H15" i="3584"/>
  <c r="H42" i="2" s="1"/>
  <c r="I42" i="2" s="1"/>
  <c r="J42" i="2" s="1"/>
  <c r="K42" i="2" s="1"/>
  <c r="L42" i="2" s="1"/>
  <c r="M42" i="2" s="1"/>
  <c r="N42" i="2" s="1"/>
  <c r="O42" i="2" s="1"/>
  <c r="P42" i="2" s="1"/>
  <c r="Q42" i="2" s="1"/>
  <c r="R42" i="2" s="1"/>
  <c r="S42" i="2" s="1"/>
  <c r="T42" i="2" s="1"/>
  <c r="U42" i="2" s="1"/>
  <c r="V42" i="2" s="1"/>
  <c r="W42" i="2" s="1"/>
  <c r="X42" i="2" s="1"/>
  <c r="Y42" i="2" s="1"/>
  <c r="Z42" i="2" s="1"/>
  <c r="AA42" i="2" s="1"/>
  <c r="AB42" i="2" s="1"/>
  <c r="AC42" i="2" s="1"/>
  <c r="AD42" i="2" s="1"/>
  <c r="AE42" i="2" s="1"/>
  <c r="AF42" i="2" s="1"/>
  <c r="AG42" i="2" s="1"/>
  <c r="AH42" i="2" s="1"/>
  <c r="AI42" i="2" s="1"/>
  <c r="AJ42" i="2" s="1"/>
  <c r="AK42" i="2" s="1"/>
  <c r="AL42" i="2" s="1"/>
  <c r="AL15" i="3584" s="1"/>
  <c r="C15" i="3584"/>
  <c r="D10" i="3584"/>
  <c r="D37" i="2" s="1"/>
  <c r="E10" i="3584"/>
  <c r="E37" i="2" s="1"/>
  <c r="F10" i="3584"/>
  <c r="F37" i="2" s="1"/>
  <c r="G10" i="3584"/>
  <c r="G37" i="2" s="1"/>
  <c r="H10" i="3584"/>
  <c r="H37" i="2" s="1"/>
  <c r="I37" i="2" s="1"/>
  <c r="C10" i="3584"/>
  <c r="D5" i="3584"/>
  <c r="E5" i="3584"/>
  <c r="F5" i="3584"/>
  <c r="G5" i="3584"/>
  <c r="H5" i="3584"/>
  <c r="C5" i="3584"/>
  <c r="D27" i="2556" l="1"/>
  <c r="E32" i="2"/>
  <c r="F20" i="2556"/>
  <c r="E5" i="3597"/>
  <c r="E51" i="2"/>
  <c r="F27" i="2556"/>
  <c r="H32" i="2"/>
  <c r="I32" i="2" s="1"/>
  <c r="J32" i="2" s="1"/>
  <c r="K32" i="2" s="1"/>
  <c r="L32" i="2" s="1"/>
  <c r="M32" i="2" s="1"/>
  <c r="N32" i="2" s="1"/>
  <c r="O32" i="2" s="1"/>
  <c r="P32" i="2" s="1"/>
  <c r="Q32" i="2" s="1"/>
  <c r="R32" i="2" s="1"/>
  <c r="S32" i="2" s="1"/>
  <c r="T32" i="2" s="1"/>
  <c r="U32" i="2" s="1"/>
  <c r="V32" i="2" s="1"/>
  <c r="W32" i="2" s="1"/>
  <c r="X32" i="2" s="1"/>
  <c r="Y32" i="2" s="1"/>
  <c r="Z32" i="2" s="1"/>
  <c r="AA32" i="2" s="1"/>
  <c r="AB32" i="2" s="1"/>
  <c r="AC32" i="2" s="1"/>
  <c r="AD32" i="2" s="1"/>
  <c r="AE32" i="2" s="1"/>
  <c r="AF32" i="2" s="1"/>
  <c r="AG32" i="2" s="1"/>
  <c r="AH32" i="2" s="1"/>
  <c r="AI32" i="2" s="1"/>
  <c r="AJ32" i="2" s="1"/>
  <c r="AK32" i="2" s="1"/>
  <c r="AL32" i="2" s="1"/>
  <c r="AL5" i="3584" s="1"/>
  <c r="AL5" i="3597" s="1"/>
  <c r="H5" i="3597"/>
  <c r="H46" i="2"/>
  <c r="AL21" i="3584" s="1"/>
  <c r="G49" i="2"/>
  <c r="H25" i="2556"/>
  <c r="D51" i="2"/>
  <c r="E27" i="2556"/>
  <c r="H62" i="2"/>
  <c r="I62" i="2" s="1"/>
  <c r="J62" i="2" s="1"/>
  <c r="K62" i="2" s="1"/>
  <c r="L62" i="2" s="1"/>
  <c r="M62" i="2" s="1"/>
  <c r="N62" i="2" s="1"/>
  <c r="O62" i="2" s="1"/>
  <c r="P62" i="2" s="1"/>
  <c r="Q62" i="2" s="1"/>
  <c r="R62" i="2" s="1"/>
  <c r="S62" i="2" s="1"/>
  <c r="T62" i="2" s="1"/>
  <c r="U62" i="2" s="1"/>
  <c r="V62" i="2" s="1"/>
  <c r="W62" i="2" s="1"/>
  <c r="X62" i="2" s="1"/>
  <c r="Y62" i="2" s="1"/>
  <c r="Z62" i="2" s="1"/>
  <c r="AA62" i="2" s="1"/>
  <c r="AB62" i="2" s="1"/>
  <c r="AC62" i="2" s="1"/>
  <c r="AD62" i="2" s="1"/>
  <c r="AE62" i="2" s="1"/>
  <c r="AF62" i="2" s="1"/>
  <c r="AG62" i="2" s="1"/>
  <c r="AH62" i="2" s="1"/>
  <c r="AI62" i="2" s="1"/>
  <c r="AJ62" i="2" s="1"/>
  <c r="AK62" i="2" s="1"/>
  <c r="AL62" i="2" s="1"/>
  <c r="AL44" i="3584" s="1"/>
  <c r="H43" i="2556"/>
  <c r="H13" i="3597"/>
  <c r="D47" i="2"/>
  <c r="E23" i="2556"/>
  <c r="G32" i="2"/>
  <c r="H20" i="2556"/>
  <c r="G5" i="3597"/>
  <c r="D22" i="2556"/>
  <c r="G46" i="2"/>
  <c r="H22" i="2556"/>
  <c r="F49" i="2"/>
  <c r="G25" i="2556"/>
  <c r="D32" i="2556"/>
  <c r="G62" i="2"/>
  <c r="G43" i="2556"/>
  <c r="G13" i="3597"/>
  <c r="D20" i="2556"/>
  <c r="C5" i="3597"/>
  <c r="H49" i="2"/>
  <c r="I49" i="2" s="1"/>
  <c r="J49" i="2" s="1"/>
  <c r="F32" i="2"/>
  <c r="G20" i="2556"/>
  <c r="F5" i="3597"/>
  <c r="D23" i="2556"/>
  <c r="F46" i="2"/>
  <c r="G22" i="2556"/>
  <c r="E49" i="2"/>
  <c r="F25" i="2556"/>
  <c r="H57" i="2"/>
  <c r="I57" i="2" s="1"/>
  <c r="J57" i="2" s="1"/>
  <c r="K57" i="2" s="1"/>
  <c r="L57" i="2" s="1"/>
  <c r="M57" i="2" s="1"/>
  <c r="N57" i="2" s="1"/>
  <c r="O57" i="2" s="1"/>
  <c r="P57" i="2" s="1"/>
  <c r="Q57" i="2" s="1"/>
  <c r="R57" i="2" s="1"/>
  <c r="S57" i="2" s="1"/>
  <c r="T57" i="2" s="1"/>
  <c r="U57" i="2" s="1"/>
  <c r="V57" i="2" s="1"/>
  <c r="W57" i="2" s="1"/>
  <c r="X57" i="2" s="1"/>
  <c r="Y57" i="2" s="1"/>
  <c r="Z57" i="2" s="1"/>
  <c r="AA57" i="2" s="1"/>
  <c r="AB57" i="2" s="1"/>
  <c r="AC57" i="2" s="1"/>
  <c r="AD57" i="2" s="1"/>
  <c r="AE57" i="2" s="1"/>
  <c r="AF57" i="2" s="1"/>
  <c r="AG57" i="2" s="1"/>
  <c r="AH57" i="2" s="1"/>
  <c r="AI57" i="2" s="1"/>
  <c r="AJ57" i="2" s="1"/>
  <c r="AK57" i="2" s="1"/>
  <c r="AL57" i="2" s="1"/>
  <c r="AL32" i="3584" s="1"/>
  <c r="F62" i="2"/>
  <c r="F43" i="2556"/>
  <c r="F13" i="3597"/>
  <c r="H77" i="2"/>
  <c r="AL63" i="3584" s="1"/>
  <c r="H46" i="2556"/>
  <c r="F57" i="2"/>
  <c r="G32" i="2556"/>
  <c r="F77" i="2"/>
  <c r="F46" i="2556"/>
  <c r="H47" i="2"/>
  <c r="I47" i="2" s="1"/>
  <c r="J47" i="2" s="1"/>
  <c r="K47" i="2" s="1"/>
  <c r="L47" i="2" s="1"/>
  <c r="M47" i="2" s="1"/>
  <c r="N47" i="2" s="1"/>
  <c r="O47" i="2" s="1"/>
  <c r="P47" i="2" s="1"/>
  <c r="Q47" i="2" s="1"/>
  <c r="R47" i="2" s="1"/>
  <c r="S47" i="2" s="1"/>
  <c r="T47" i="2" s="1"/>
  <c r="U47" i="2" s="1"/>
  <c r="V47" i="2" s="1"/>
  <c r="W47" i="2" s="1"/>
  <c r="X47" i="2" s="1"/>
  <c r="Y47" i="2" s="1"/>
  <c r="Z47" i="2" s="1"/>
  <c r="AA47" i="2" s="1"/>
  <c r="AB47" i="2" s="1"/>
  <c r="AC47" i="2" s="1"/>
  <c r="AD47" i="2" s="1"/>
  <c r="AE47" i="2" s="1"/>
  <c r="AF47" i="2" s="1"/>
  <c r="AG47" i="2" s="1"/>
  <c r="AH47" i="2" s="1"/>
  <c r="AI47" i="2" s="1"/>
  <c r="AJ47" i="2" s="1"/>
  <c r="AK47" i="2" s="1"/>
  <c r="AL47" i="2" s="1"/>
  <c r="AL22" i="3584" s="1"/>
  <c r="E46" i="2"/>
  <c r="F22" i="2556"/>
  <c r="D49" i="2"/>
  <c r="E25" i="2556"/>
  <c r="G57" i="2"/>
  <c r="H32" i="2556"/>
  <c r="E62" i="2"/>
  <c r="E43" i="2556"/>
  <c r="E13" i="3597"/>
  <c r="G77" i="2"/>
  <c r="G46" i="2556"/>
  <c r="D32" i="2"/>
  <c r="E20" i="2556"/>
  <c r="D5" i="3597"/>
  <c r="G47" i="2"/>
  <c r="H23" i="2556"/>
  <c r="D46" i="2"/>
  <c r="E22" i="2556"/>
  <c r="H51" i="2"/>
  <c r="I51" i="2" s="1"/>
  <c r="J51" i="2" s="1"/>
  <c r="K51" i="2" s="1"/>
  <c r="L51" i="2" s="1"/>
  <c r="M51" i="2" s="1"/>
  <c r="N51" i="2" s="1"/>
  <c r="O51" i="2" s="1"/>
  <c r="P51" i="2" s="1"/>
  <c r="Q51" i="2" s="1"/>
  <c r="R51" i="2" s="1"/>
  <c r="S51" i="2" s="1"/>
  <c r="T51" i="2" s="1"/>
  <c r="U51" i="2" s="1"/>
  <c r="V51" i="2" s="1"/>
  <c r="W51" i="2" s="1"/>
  <c r="X51" i="2" s="1"/>
  <c r="Y51" i="2" s="1"/>
  <c r="Z51" i="2" s="1"/>
  <c r="AA51" i="2" s="1"/>
  <c r="AB51" i="2" s="1"/>
  <c r="AC51" i="2" s="1"/>
  <c r="AD51" i="2" s="1"/>
  <c r="AE51" i="2" s="1"/>
  <c r="AF51" i="2" s="1"/>
  <c r="AG51" i="2" s="1"/>
  <c r="AH51" i="2" s="1"/>
  <c r="AI51" i="2" s="1"/>
  <c r="AJ51" i="2" s="1"/>
  <c r="AK51" i="2" s="1"/>
  <c r="AL51" i="2" s="1"/>
  <c r="AL26" i="3584" s="1"/>
  <c r="D62" i="2"/>
  <c r="D43" i="2556"/>
  <c r="D13" i="3597"/>
  <c r="F47" i="2"/>
  <c r="G23" i="2556"/>
  <c r="D25" i="2556"/>
  <c r="G51" i="2"/>
  <c r="H27" i="2556"/>
  <c r="E57" i="2"/>
  <c r="F32" i="2556"/>
  <c r="E77" i="2"/>
  <c r="E46" i="2556"/>
  <c r="E47" i="2"/>
  <c r="F23" i="2556"/>
  <c r="F51" i="2"/>
  <c r="G27" i="2556"/>
  <c r="D57" i="2"/>
  <c r="E32" i="2556"/>
  <c r="D77" i="2"/>
  <c r="D46" i="2556"/>
  <c r="N74" i="2"/>
  <c r="M57" i="3584"/>
  <c r="K50" i="3584"/>
  <c r="J37" i="2"/>
  <c r="I10" i="3584"/>
  <c r="L57" i="3584"/>
  <c r="I57" i="3584"/>
  <c r="K57" i="3584"/>
  <c r="J57" i="3584"/>
  <c r="I50" i="3584"/>
  <c r="J50" i="3584"/>
  <c r="K15" i="3584"/>
  <c r="AC15" i="3584"/>
  <c r="AB15" i="3584"/>
  <c r="AA15" i="3584"/>
  <c r="T15" i="3584"/>
  <c r="S15" i="3584"/>
  <c r="AK15" i="3584"/>
  <c r="M15" i="3584"/>
  <c r="AJ15" i="3584"/>
  <c r="L15" i="3584"/>
  <c r="AI15" i="3584"/>
  <c r="U15" i="3584"/>
  <c r="AH15" i="3584"/>
  <c r="Z15" i="3584"/>
  <c r="R15" i="3584"/>
  <c r="AG15" i="3584"/>
  <c r="Y15" i="3584"/>
  <c r="Q15" i="3584"/>
  <c r="AF15" i="3584"/>
  <c r="X15" i="3584"/>
  <c r="P15" i="3584"/>
  <c r="I15" i="3584"/>
  <c r="AE15" i="3584"/>
  <c r="W15" i="3584"/>
  <c r="O15" i="3584"/>
  <c r="AD15" i="3584"/>
  <c r="V15" i="3584"/>
  <c r="N15" i="3584"/>
  <c r="J15" i="3584"/>
  <c r="M125" i="3630"/>
  <c r="M124" i="3630"/>
  <c r="M121" i="3630"/>
  <c r="M120" i="3630"/>
  <c r="M119" i="3630"/>
  <c r="M108" i="3630"/>
  <c r="M99" i="3630"/>
  <c r="M94" i="3630"/>
  <c r="M89" i="3630"/>
  <c r="M72" i="3630"/>
  <c r="M66" i="3630"/>
  <c r="M64" i="3630"/>
  <c r="M62" i="3630"/>
  <c r="M61" i="3630"/>
  <c r="M50" i="3630"/>
  <c r="M45" i="3630"/>
  <c r="O21" i="3584" l="1"/>
  <c r="K44" i="3584"/>
  <c r="K13" i="3597" s="1"/>
  <c r="M44" i="3584"/>
  <c r="Q22" i="3584"/>
  <c r="J44" i="3584"/>
  <c r="O5" i="3584"/>
  <c r="O5" i="3597" s="1"/>
  <c r="Z44" i="3584"/>
  <c r="Z13" i="3597" s="1"/>
  <c r="AC44" i="3584"/>
  <c r="AC13" i="3597" s="1"/>
  <c r="P44" i="3584"/>
  <c r="P13" i="3597" s="1"/>
  <c r="N44" i="3584"/>
  <c r="AE44" i="3584"/>
  <c r="AE13" i="3597" s="1"/>
  <c r="I44" i="3584"/>
  <c r="I13" i="3597" s="1"/>
  <c r="K63" i="3584"/>
  <c r="T21" i="3584"/>
  <c r="AA32" i="3584"/>
  <c r="M32" i="3584"/>
  <c r="AI32" i="3584"/>
  <c r="X63" i="3584"/>
  <c r="W22" i="3584"/>
  <c r="U22" i="3584"/>
  <c r="AF21" i="3584"/>
  <c r="AC22" i="3584"/>
  <c r="AC5" i="3584"/>
  <c r="T5" i="3584"/>
  <c r="V5" i="3584"/>
  <c r="V5" i="3597" s="1"/>
  <c r="AI5" i="3584"/>
  <c r="AI5" i="3597" s="1"/>
  <c r="T26" i="3584"/>
  <c r="R63" i="3584"/>
  <c r="M5" i="3584"/>
  <c r="M5" i="3597" s="1"/>
  <c r="AG5" i="3584"/>
  <c r="AG5" i="3597" s="1"/>
  <c r="AE22" i="3584"/>
  <c r="AC26" i="3584"/>
  <c r="AA44" i="3584"/>
  <c r="X44" i="3584"/>
  <c r="AF63" i="3584"/>
  <c r="AE5" i="3584"/>
  <c r="N5" i="3584"/>
  <c r="N5" i="3597" s="1"/>
  <c r="AA5" i="3584"/>
  <c r="AD22" i="3584"/>
  <c r="AE23" i="2556" s="1"/>
  <c r="R22" i="3584"/>
  <c r="T22" i="3584"/>
  <c r="Z26" i="3584"/>
  <c r="AD26" i="3584"/>
  <c r="AA26" i="3584"/>
  <c r="L44" i="3584"/>
  <c r="L13" i="3597" s="1"/>
  <c r="AJ63" i="3584"/>
  <c r="R5" i="3584"/>
  <c r="L5" i="3584"/>
  <c r="L5" i="3597" s="1"/>
  <c r="AG26" i="3584"/>
  <c r="AD44" i="3584"/>
  <c r="AD13" i="3597" s="1"/>
  <c r="Y5" i="3584"/>
  <c r="Q5" i="3584"/>
  <c r="I5" i="3584"/>
  <c r="I20" i="2556" s="1"/>
  <c r="P22" i="3584"/>
  <c r="AH22" i="3584"/>
  <c r="O26" i="3584"/>
  <c r="J26" i="3584"/>
  <c r="Y26" i="3584"/>
  <c r="AJ26" i="3584"/>
  <c r="AB44" i="3584"/>
  <c r="W44" i="3584"/>
  <c r="W13" i="3597" s="1"/>
  <c r="I63" i="3584"/>
  <c r="I46" i="2556" s="1"/>
  <c r="AF5" i="3584"/>
  <c r="W26" i="3584"/>
  <c r="S26" i="3584"/>
  <c r="V26" i="3584"/>
  <c r="AF26" i="3584"/>
  <c r="AJ5" i="3584"/>
  <c r="AJ5" i="3597" s="1"/>
  <c r="AK5" i="3584"/>
  <c r="AL20" i="2556" s="1"/>
  <c r="Z5" i="3584"/>
  <c r="AA20" i="2556" s="1"/>
  <c r="J5" i="3584"/>
  <c r="J5" i="3597" s="1"/>
  <c r="AK22" i="3584"/>
  <c r="AL23" i="2556" s="1"/>
  <c r="O22" i="3584"/>
  <c r="Y22" i="3584"/>
  <c r="K22" i="3584"/>
  <c r="S22" i="3584"/>
  <c r="K26" i="3584"/>
  <c r="AH44" i="3584"/>
  <c r="AH13" i="3597" s="1"/>
  <c r="AK44" i="3584"/>
  <c r="AK13" i="3597" s="1"/>
  <c r="M63" i="3584"/>
  <c r="AH5" i="3584"/>
  <c r="AH5" i="3597" s="1"/>
  <c r="AB5" i="3584"/>
  <c r="AB5" i="3597" s="1"/>
  <c r="AB26" i="3584"/>
  <c r="W5" i="3584"/>
  <c r="W5" i="3597" s="1"/>
  <c r="P5" i="3584"/>
  <c r="N26" i="3584"/>
  <c r="AH26" i="3584"/>
  <c r="U63" i="3584"/>
  <c r="U5" i="3584"/>
  <c r="U5" i="3597" s="1"/>
  <c r="N22" i="3584"/>
  <c r="Q26" i="3584"/>
  <c r="Z63" i="3584"/>
  <c r="X5" i="3584"/>
  <c r="X5" i="3597" s="1"/>
  <c r="AD5" i="3584"/>
  <c r="AD5" i="3597" s="1"/>
  <c r="S5" i="3584"/>
  <c r="K5" i="3584"/>
  <c r="L20" i="2556" s="1"/>
  <c r="V22" i="3584"/>
  <c r="J22" i="3584"/>
  <c r="AJ22" i="3584"/>
  <c r="U26" i="3584"/>
  <c r="AI26" i="3584"/>
  <c r="AI44" i="3584"/>
  <c r="AI43" i="2556" s="1"/>
  <c r="I26" i="3584"/>
  <c r="I27" i="2556" s="1"/>
  <c r="Y44" i="3584"/>
  <c r="L63" i="3584"/>
  <c r="AB21" i="3584"/>
  <c r="M21" i="3584"/>
  <c r="N21" i="3584"/>
  <c r="W21" i="3584"/>
  <c r="Q63" i="3584"/>
  <c r="AK63" i="3584"/>
  <c r="J21" i="3584"/>
  <c r="AJ21" i="3584"/>
  <c r="U21" i="3584"/>
  <c r="V21" i="3584"/>
  <c r="AE21" i="3584"/>
  <c r="AB22" i="3584"/>
  <c r="AE26" i="3584"/>
  <c r="V32" i="3584"/>
  <c r="L26" i="3584"/>
  <c r="P26" i="3584"/>
  <c r="R44" i="3584"/>
  <c r="T44" i="3584"/>
  <c r="T13" i="3597" s="1"/>
  <c r="V44" i="3584"/>
  <c r="V13" i="3597" s="1"/>
  <c r="AF44" i="3584"/>
  <c r="AF43" i="2556" s="1"/>
  <c r="T63" i="3584"/>
  <c r="Y63" i="3584"/>
  <c r="N63" i="3584"/>
  <c r="R21" i="3584"/>
  <c r="AD21" i="3584"/>
  <c r="Z21" i="3584"/>
  <c r="S21" i="3584"/>
  <c r="X21" i="3584"/>
  <c r="AK21" i="3584"/>
  <c r="AL22" i="2556" s="1"/>
  <c r="AJ44" i="3584"/>
  <c r="AJ13" i="3597" s="1"/>
  <c r="AG44" i="3584"/>
  <c r="AG13" i="3597" s="1"/>
  <c r="V63" i="3584"/>
  <c r="S63" i="3584"/>
  <c r="AC21" i="3584"/>
  <c r="AH21" i="3584"/>
  <c r="AA21" i="3584"/>
  <c r="O63" i="3584"/>
  <c r="AI63" i="3584"/>
  <c r="K21" i="3584"/>
  <c r="Y21" i="3584"/>
  <c r="Z27" i="2556"/>
  <c r="M22" i="3584"/>
  <c r="AI21" i="3584"/>
  <c r="AG21" i="3584"/>
  <c r="AG22" i="2556" s="1"/>
  <c r="I22" i="3584"/>
  <c r="I23" i="2556" s="1"/>
  <c r="X22" i="3584"/>
  <c r="L22" i="3584"/>
  <c r="X26" i="3584"/>
  <c r="AK26" i="3584"/>
  <c r="AL27" i="2556" s="1"/>
  <c r="M26" i="3584"/>
  <c r="R26" i="3584"/>
  <c r="S44" i="3584"/>
  <c r="U44" i="3584"/>
  <c r="O44" i="3584"/>
  <c r="Q44" i="3584"/>
  <c r="Q13" i="3597" s="1"/>
  <c r="J63" i="3584"/>
  <c r="W63" i="3584"/>
  <c r="X46" i="2556" s="1"/>
  <c r="AB63" i="3584"/>
  <c r="I24" i="3584"/>
  <c r="I25" i="2556" s="1"/>
  <c r="L21" i="3584"/>
  <c r="I21" i="3584"/>
  <c r="I22" i="2556" s="1"/>
  <c r="Q21" i="3584"/>
  <c r="P21" i="3584"/>
  <c r="J32" i="3584"/>
  <c r="T32" i="3584"/>
  <c r="P32" i="3584"/>
  <c r="Q32" i="3584"/>
  <c r="AL13" i="3597"/>
  <c r="R32" i="3584"/>
  <c r="O32" i="3584"/>
  <c r="X32" i="3584"/>
  <c r="Y32" i="3584"/>
  <c r="AA22" i="3584"/>
  <c r="Z32" i="3584"/>
  <c r="AA32" i="2556" s="1"/>
  <c r="N32" i="3584"/>
  <c r="N32" i="2556" s="1"/>
  <c r="W32" i="3584"/>
  <c r="AF32" i="3584"/>
  <c r="AG32" i="3584"/>
  <c r="AB32" i="3584"/>
  <c r="AD63" i="3584"/>
  <c r="AG63" i="3584"/>
  <c r="AC63" i="3584"/>
  <c r="AJ32" i="3584"/>
  <c r="AD32" i="3584"/>
  <c r="I32" i="3584"/>
  <c r="AC32" i="3584"/>
  <c r="AF22" i="3584"/>
  <c r="AG22" i="3584"/>
  <c r="Z22" i="3584"/>
  <c r="AI22" i="3584"/>
  <c r="AK32" i="3584"/>
  <c r="AL32" i="2556" s="1"/>
  <c r="L32" i="3584"/>
  <c r="U32" i="3584"/>
  <c r="AH63" i="3584"/>
  <c r="AE63" i="3584"/>
  <c r="AA63" i="3584"/>
  <c r="P63" i="3584"/>
  <c r="AH32" i="3584"/>
  <c r="AE32" i="3584"/>
  <c r="K32" i="3584"/>
  <c r="S32" i="3584"/>
  <c r="M13" i="3597"/>
  <c r="Q50" i="3584"/>
  <c r="T50" i="3584"/>
  <c r="O50" i="3584"/>
  <c r="P50" i="3584"/>
  <c r="M50" i="3584"/>
  <c r="N50" i="3584"/>
  <c r="O74" i="2"/>
  <c r="N57" i="3584"/>
  <c r="U50" i="3584"/>
  <c r="L50" i="3584"/>
  <c r="R50" i="3584"/>
  <c r="S50" i="3584"/>
  <c r="K49" i="2"/>
  <c r="J24" i="3584"/>
  <c r="K37" i="2"/>
  <c r="J10" i="3584"/>
  <c r="J48" i="3645"/>
  <c r="I48" i="3645"/>
  <c r="AA46" i="2556" l="1"/>
  <c r="I43" i="2556"/>
  <c r="AG27" i="2556"/>
  <c r="J43" i="2556"/>
  <c r="AJ46" i="2556"/>
  <c r="AK46" i="2556"/>
  <c r="T22" i="2556"/>
  <c r="P22" i="2556"/>
  <c r="AL43" i="2556"/>
  <c r="J25" i="2556"/>
  <c r="K43" i="2556"/>
  <c r="O22" i="2556"/>
  <c r="AC43" i="2556"/>
  <c r="AA27" i="2556"/>
  <c r="W43" i="2556"/>
  <c r="Z46" i="2556"/>
  <c r="AI27" i="2556"/>
  <c r="J13" i="3597"/>
  <c r="Q23" i="2556"/>
  <c r="N43" i="2556"/>
  <c r="P20" i="2556"/>
  <c r="O20" i="2556"/>
  <c r="L43" i="2556"/>
  <c r="AA22" i="2556"/>
  <c r="Y20" i="2556"/>
  <c r="N20" i="2556"/>
  <c r="AF13" i="3597"/>
  <c r="U22" i="2556"/>
  <c r="X43" i="2556"/>
  <c r="P5" i="3597"/>
  <c r="K46" i="2556"/>
  <c r="L46" i="2556"/>
  <c r="AA43" i="2556"/>
  <c r="P46" i="2556"/>
  <c r="L27" i="2556"/>
  <c r="O27" i="2556"/>
  <c r="AG20" i="2556"/>
  <c r="T32" i="2556"/>
  <c r="Q43" i="2556"/>
  <c r="S23" i="2556"/>
  <c r="AE43" i="2556"/>
  <c r="O43" i="2556"/>
  <c r="W32" i="2556"/>
  <c r="N13" i="3597"/>
  <c r="X20" i="2556"/>
  <c r="Y43" i="2556"/>
  <c r="M46" i="2556"/>
  <c r="X27" i="2556"/>
  <c r="U20" i="2556"/>
  <c r="J46" i="2556"/>
  <c r="Y23" i="2556"/>
  <c r="T20" i="2556"/>
  <c r="S20" i="2556"/>
  <c r="AF23" i="2556"/>
  <c r="AC20" i="2556"/>
  <c r="AD43" i="2556"/>
  <c r="X13" i="3597"/>
  <c r="AC5" i="3597"/>
  <c r="U43" i="2556"/>
  <c r="AF27" i="2556"/>
  <c r="AB20" i="2556"/>
  <c r="AD23" i="2556"/>
  <c r="M32" i="2556"/>
  <c r="AD20" i="2556"/>
  <c r="T43" i="2556"/>
  <c r="AB22" i="2556"/>
  <c r="Y22" i="2556"/>
  <c r="AJ27" i="2556"/>
  <c r="AI32" i="2556"/>
  <c r="AE32" i="2556"/>
  <c r="Q20" i="2556"/>
  <c r="S27" i="2556"/>
  <c r="AJ22" i="2556"/>
  <c r="V27" i="2556"/>
  <c r="W20" i="2556"/>
  <c r="T23" i="2556"/>
  <c r="AB27" i="2556"/>
  <c r="U23" i="2556"/>
  <c r="AC46" i="2556"/>
  <c r="AD27" i="2556"/>
  <c r="Q22" i="2556"/>
  <c r="Z23" i="2556"/>
  <c r="AF46" i="2556"/>
  <c r="AF5" i="3597"/>
  <c r="O46" i="2556"/>
  <c r="M20" i="2556"/>
  <c r="AH23" i="2556"/>
  <c r="U13" i="3597"/>
  <c r="AF22" i="2556"/>
  <c r="AA5" i="3597"/>
  <c r="J20" i="2556"/>
  <c r="AB43" i="2556"/>
  <c r="AK5" i="3597"/>
  <c r="AI13" i="3597"/>
  <c r="N27" i="2556"/>
  <c r="AK23" i="2556"/>
  <c r="R27" i="2556"/>
  <c r="AC27" i="2556"/>
  <c r="L23" i="2556"/>
  <c r="Z20" i="2556"/>
  <c r="M43" i="2556"/>
  <c r="V23" i="2556"/>
  <c r="AG46" i="2556"/>
  <c r="Y5" i="3597"/>
  <c r="R5" i="3597"/>
  <c r="S46" i="2556"/>
  <c r="AE22" i="2556"/>
  <c r="R43" i="2556"/>
  <c r="V22" i="2556"/>
  <c r="K23" i="2556"/>
  <c r="W46" i="2556"/>
  <c r="AK20" i="2556"/>
  <c r="Y46" i="2556"/>
  <c r="Y27" i="2556"/>
  <c r="S22" i="2556"/>
  <c r="W23" i="2556"/>
  <c r="P23" i="2556"/>
  <c r="T27" i="2556"/>
  <c r="K27" i="2556"/>
  <c r="AH27" i="2556"/>
  <c r="Y32" i="2556"/>
  <c r="Z5" i="3597"/>
  <c r="O13" i="3597"/>
  <c r="P27" i="2556"/>
  <c r="AC23" i="2556"/>
  <c r="I5" i="3597"/>
  <c r="R20" i="2556"/>
  <c r="AE20" i="2556"/>
  <c r="N22" i="2556"/>
  <c r="U27" i="2556"/>
  <c r="K5" i="3597"/>
  <c r="V20" i="2556"/>
  <c r="R13" i="3597"/>
  <c r="AL46" i="2556"/>
  <c r="AE5" i="3597"/>
  <c r="AJ20" i="2556"/>
  <c r="AH46" i="2556"/>
  <c r="AJ23" i="2556"/>
  <c r="S5" i="3597"/>
  <c r="W27" i="2556"/>
  <c r="AH20" i="2556"/>
  <c r="AI20" i="2556"/>
  <c r="AA13" i="3597"/>
  <c r="V43" i="2556"/>
  <c r="X22" i="2556"/>
  <c r="AF20" i="2556"/>
  <c r="V32" i="2556"/>
  <c r="Z43" i="2556"/>
  <c r="S13" i="3597"/>
  <c r="M22" i="2556"/>
  <c r="J27" i="2556"/>
  <c r="N46" i="2556"/>
  <c r="Y13" i="3597"/>
  <c r="T5" i="3597"/>
  <c r="Q27" i="2556"/>
  <c r="R23" i="2556"/>
  <c r="AF32" i="2556"/>
  <c r="Q5" i="3597"/>
  <c r="O23" i="2556"/>
  <c r="AB13" i="3597"/>
  <c r="K20" i="2556"/>
  <c r="N23" i="2556"/>
  <c r="AI22" i="2556"/>
  <c r="K22" i="2556"/>
  <c r="T46" i="2556"/>
  <c r="R46" i="2556"/>
  <c r="V46" i="2556"/>
  <c r="AG23" i="2556"/>
  <c r="AH22" i="2556"/>
  <c r="AG32" i="2556"/>
  <c r="AK27" i="2556"/>
  <c r="Z22" i="2556"/>
  <c r="AJ43" i="2556"/>
  <c r="AH43" i="2556"/>
  <c r="P43" i="2556"/>
  <c r="R32" i="2556"/>
  <c r="AG43" i="2556"/>
  <c r="R22" i="2556"/>
  <c r="M23" i="2556"/>
  <c r="L22" i="2556"/>
  <c r="AB23" i="2556"/>
  <c r="J22" i="2556"/>
  <c r="AE27" i="2556"/>
  <c r="U46" i="2556"/>
  <c r="S43" i="2556"/>
  <c r="AE46" i="2556"/>
  <c r="W22" i="2556"/>
  <c r="AK43" i="2556"/>
  <c r="X23" i="2556"/>
  <c r="AD22" i="2556"/>
  <c r="AK22" i="2556"/>
  <c r="AC22" i="2556"/>
  <c r="P32" i="2556"/>
  <c r="J23" i="2556"/>
  <c r="AK32" i="2556"/>
  <c r="M27" i="2556"/>
  <c r="AC32" i="2556"/>
  <c r="Q32" i="2556"/>
  <c r="AH32" i="2556"/>
  <c r="S32" i="2556"/>
  <c r="U32" i="2556"/>
  <c r="AD32" i="2556"/>
  <c r="AB32" i="2556"/>
  <c r="K32" i="2556"/>
  <c r="AA23" i="2556"/>
  <c r="X32" i="2556"/>
  <c r="L32" i="2556"/>
  <c r="AD46" i="2556"/>
  <c r="O32" i="2556"/>
  <c r="AJ32" i="2556"/>
  <c r="AI46" i="2556"/>
  <c r="AI23" i="2556"/>
  <c r="J32" i="2556"/>
  <c r="I32" i="2556"/>
  <c r="AB46" i="2556"/>
  <c r="Z32" i="2556"/>
  <c r="Q46" i="2556"/>
  <c r="P74" i="2"/>
  <c r="O57" i="3584"/>
  <c r="V50" i="3584"/>
  <c r="L49" i="2"/>
  <c r="K24" i="3584"/>
  <c r="L37" i="2"/>
  <c r="K10" i="3584"/>
  <c r="D14" i="3584"/>
  <c r="E14" i="3584"/>
  <c r="F14" i="3584"/>
  <c r="G14" i="3584"/>
  <c r="H14" i="3584"/>
  <c r="C14" i="3584"/>
  <c r="K25" i="2556" l="1"/>
  <c r="Q74" i="2"/>
  <c r="P57" i="3584"/>
  <c r="W50" i="3584"/>
  <c r="M49" i="2"/>
  <c r="L24" i="3584"/>
  <c r="M37" i="2"/>
  <c r="L10" i="3584"/>
  <c r="D13" i="3"/>
  <c r="E13" i="3"/>
  <c r="F13" i="3"/>
  <c r="G13" i="3"/>
  <c r="H13" i="3"/>
  <c r="C13" i="3"/>
  <c r="L25" i="2556" l="1"/>
  <c r="R74" i="2"/>
  <c r="Q57" i="3584"/>
  <c r="X50" i="3584"/>
  <c r="N49" i="2"/>
  <c r="M24" i="3584"/>
  <c r="N37" i="2"/>
  <c r="M10" i="3584"/>
  <c r="C45" i="3645"/>
  <c r="B45" i="3645"/>
  <c r="M25" i="2556" l="1"/>
  <c r="S74" i="2"/>
  <c r="R57" i="3584"/>
  <c r="Y50" i="3584"/>
  <c r="O49" i="2"/>
  <c r="N24" i="3584"/>
  <c r="O37" i="2"/>
  <c r="N10" i="3584"/>
  <c r="AI46" i="3584"/>
  <c r="AJ46" i="3584"/>
  <c r="AK46" i="3584"/>
  <c r="AL46" i="3584"/>
  <c r="AI47" i="3584"/>
  <c r="AJ47" i="3584"/>
  <c r="AK47" i="3584"/>
  <c r="AL47" i="3584"/>
  <c r="AD46" i="3584"/>
  <c r="AE46" i="3584"/>
  <c r="AF46" i="3584"/>
  <c r="AG46" i="3584"/>
  <c r="AH46" i="3584"/>
  <c r="AD47" i="3584"/>
  <c r="AE47" i="3584"/>
  <c r="AF47" i="3584"/>
  <c r="AG47" i="3584"/>
  <c r="AH47" i="3584"/>
  <c r="Y46" i="3584"/>
  <c r="Z46" i="3584"/>
  <c r="AA46" i="3584"/>
  <c r="AB46" i="3584"/>
  <c r="AC46" i="3584"/>
  <c r="Y47" i="3584"/>
  <c r="Z47" i="3584"/>
  <c r="AA47" i="3584"/>
  <c r="AB47" i="3584"/>
  <c r="AC47" i="3584"/>
  <c r="T46" i="3584"/>
  <c r="U46" i="3584"/>
  <c r="V46" i="3584"/>
  <c r="W46" i="3584"/>
  <c r="X46" i="3584"/>
  <c r="T47" i="3584"/>
  <c r="U47" i="3584"/>
  <c r="V47" i="3584"/>
  <c r="W47" i="3584"/>
  <c r="X47" i="3584"/>
  <c r="N46" i="3584"/>
  <c r="O46" i="3584"/>
  <c r="P46" i="3584"/>
  <c r="Q46" i="3584"/>
  <c r="R46" i="3584"/>
  <c r="S46" i="3584"/>
  <c r="N47" i="3584"/>
  <c r="O47" i="3584"/>
  <c r="P47" i="3584"/>
  <c r="Q47" i="3584"/>
  <c r="R47" i="3584"/>
  <c r="S47" i="3584"/>
  <c r="M46" i="3584"/>
  <c r="M47" i="3584"/>
  <c r="J46" i="3584"/>
  <c r="K46" i="3584"/>
  <c r="L46" i="3584"/>
  <c r="J47" i="3584"/>
  <c r="K47" i="3584"/>
  <c r="L47" i="3584"/>
  <c r="I47" i="3584"/>
  <c r="I46" i="3584"/>
  <c r="I8" i="3584"/>
  <c r="J8" i="3584" s="1"/>
  <c r="K8" i="3584" s="1"/>
  <c r="L8" i="3584" s="1"/>
  <c r="M8" i="3584" s="1"/>
  <c r="N8" i="3584" s="1"/>
  <c r="O8" i="3584" s="1"/>
  <c r="P8" i="3584" s="1"/>
  <c r="Q8" i="3584" s="1"/>
  <c r="R8" i="3584" s="1"/>
  <c r="S8" i="3584" s="1"/>
  <c r="T8" i="3584" s="1"/>
  <c r="U8" i="3584" s="1"/>
  <c r="V8" i="3584" s="1"/>
  <c r="W8" i="3584" s="1"/>
  <c r="X8" i="3584" s="1"/>
  <c r="Y8" i="3584" s="1"/>
  <c r="Z8" i="3584" s="1"/>
  <c r="AA8" i="3584" s="1"/>
  <c r="AB8" i="3584" s="1"/>
  <c r="AC8" i="3584" s="1"/>
  <c r="AD8" i="3584" s="1"/>
  <c r="AE8" i="3584" s="1"/>
  <c r="AF8" i="3584" s="1"/>
  <c r="AG8" i="3584" s="1"/>
  <c r="AH8" i="3584" s="1"/>
  <c r="AI8" i="3584" s="1"/>
  <c r="AJ8" i="3584" s="1"/>
  <c r="AK8" i="3584" s="1"/>
  <c r="AL8" i="3584" s="1"/>
  <c r="I7" i="3584"/>
  <c r="D7" i="3584"/>
  <c r="E7" i="3584"/>
  <c r="F7" i="3584"/>
  <c r="G7" i="3584"/>
  <c r="H7" i="3584"/>
  <c r="D8" i="3584"/>
  <c r="E8" i="3584"/>
  <c r="F8" i="3584"/>
  <c r="G8" i="3584"/>
  <c r="H8" i="3584"/>
  <c r="C8" i="3584"/>
  <c r="C7" i="3584"/>
  <c r="F46" i="3584"/>
  <c r="G46" i="3584"/>
  <c r="H46" i="3584"/>
  <c r="F47" i="3584"/>
  <c r="G47" i="3584"/>
  <c r="H47" i="3584"/>
  <c r="E46" i="3584"/>
  <c r="E47" i="3584"/>
  <c r="D46" i="3584"/>
  <c r="D47" i="3584"/>
  <c r="C47" i="3584"/>
  <c r="C46" i="3584"/>
  <c r="L45" i="3645" l="1"/>
  <c r="M45" i="3645"/>
  <c r="N25" i="2556"/>
  <c r="T74" i="2"/>
  <c r="S57" i="3584"/>
  <c r="Z50" i="3584"/>
  <c r="P49" i="2"/>
  <c r="O24" i="3584"/>
  <c r="O25" i="2556" s="1"/>
  <c r="P37" i="2"/>
  <c r="O10" i="3584"/>
  <c r="I6" i="3584"/>
  <c r="D5" i="3645" s="1"/>
  <c r="I45" i="3584"/>
  <c r="D18" i="3645" s="1"/>
  <c r="M45" i="3584"/>
  <c r="S45" i="3584"/>
  <c r="Q45" i="3584"/>
  <c r="P45" i="3584"/>
  <c r="O45" i="3584"/>
  <c r="X45" i="3584"/>
  <c r="V45" i="3584"/>
  <c r="T45" i="3584"/>
  <c r="AB45" i="3584"/>
  <c r="Z45" i="3584"/>
  <c r="AF45" i="3584"/>
  <c r="AD45" i="3584"/>
  <c r="L45" i="3584"/>
  <c r="K45" i="3584"/>
  <c r="F18" i="3645" s="1"/>
  <c r="AK45" i="3584"/>
  <c r="AJ45" i="3584"/>
  <c r="R45" i="3584"/>
  <c r="N45" i="3584"/>
  <c r="W45" i="3584"/>
  <c r="U45" i="3584"/>
  <c r="AC45" i="3584"/>
  <c r="AA45" i="3584"/>
  <c r="Y45" i="3584"/>
  <c r="AH45" i="3584"/>
  <c r="AG45" i="3584"/>
  <c r="AE45" i="3584"/>
  <c r="AL45" i="3584"/>
  <c r="J45" i="3584"/>
  <c r="E18" i="3645" s="1"/>
  <c r="AI45" i="3584"/>
  <c r="J7" i="3584"/>
  <c r="J6" i="3584" s="1"/>
  <c r="E5" i="3645" s="1"/>
  <c r="M47" i="3630"/>
  <c r="M91" i="3630"/>
  <c r="U74" i="2" l="1"/>
  <c r="T57" i="3584"/>
  <c r="AA50" i="3584"/>
  <c r="Q49" i="2"/>
  <c r="P24" i="3584"/>
  <c r="Q37" i="2"/>
  <c r="P10" i="3584"/>
  <c r="K7" i="3584"/>
  <c r="K6" i="3584" s="1"/>
  <c r="F5" i="3645" s="1"/>
  <c r="I114" i="2"/>
  <c r="H114" i="2"/>
  <c r="G114" i="2"/>
  <c r="J114" i="2"/>
  <c r="P25" i="2556" l="1"/>
  <c r="V74" i="2"/>
  <c r="U57" i="3584"/>
  <c r="AB50" i="3584"/>
  <c r="R49" i="2"/>
  <c r="Q24" i="3584"/>
  <c r="R37" i="2"/>
  <c r="Q10" i="3584"/>
  <c r="L7" i="3584"/>
  <c r="L6" i="3584" s="1"/>
  <c r="Q137" i="3635"/>
  <c r="Q138" i="3635"/>
  <c r="Q136" i="3635"/>
  <c r="Q127" i="3635"/>
  <c r="Q128" i="3635"/>
  <c r="Q129" i="3635"/>
  <c r="Q130" i="3635"/>
  <c r="Q131" i="3635"/>
  <c r="Q132" i="3635"/>
  <c r="Q105" i="3635"/>
  <c r="Q106" i="3635"/>
  <c r="Q108" i="3635"/>
  <c r="Q109" i="3635"/>
  <c r="Q110" i="3635"/>
  <c r="Q111" i="3635"/>
  <c r="Q112" i="3635"/>
  <c r="Q113" i="3635"/>
  <c r="Q114" i="3635"/>
  <c r="Q115" i="3635"/>
  <c r="Q116" i="3635"/>
  <c r="Q117" i="3635"/>
  <c r="Q121" i="3635"/>
  <c r="Q122" i="3635"/>
  <c r="Q125" i="3635"/>
  <c r="Q126" i="3635"/>
  <c r="Q93" i="3635"/>
  <c r="Q94" i="3635"/>
  <c r="Q95" i="3635"/>
  <c r="Q96" i="3635"/>
  <c r="Q97" i="3635"/>
  <c r="Q99" i="3635"/>
  <c r="Q100" i="3635"/>
  <c r="Q101" i="3635"/>
  <c r="Q102" i="3635"/>
  <c r="Q103" i="3635"/>
  <c r="Q104" i="3635"/>
  <c r="Q75" i="3635"/>
  <c r="Q76" i="3635"/>
  <c r="Q77" i="3635"/>
  <c r="Q78" i="3635"/>
  <c r="Q79" i="3635"/>
  <c r="Q80" i="3635"/>
  <c r="Q81" i="3635"/>
  <c r="Q82" i="3635"/>
  <c r="Q83" i="3635"/>
  <c r="Q84" i="3635"/>
  <c r="Q85" i="3635"/>
  <c r="Q86" i="3635"/>
  <c r="Q88" i="3635"/>
  <c r="Q89" i="3635"/>
  <c r="Q90" i="3635"/>
  <c r="Q91" i="3635"/>
  <c r="Q56" i="3635"/>
  <c r="Q57" i="3635"/>
  <c r="Q58" i="3635"/>
  <c r="Q61" i="3635"/>
  <c r="Q63" i="3635"/>
  <c r="Q65" i="3635"/>
  <c r="Q66" i="3635"/>
  <c r="Q67" i="3635"/>
  <c r="Q68" i="3635"/>
  <c r="Q69" i="3635"/>
  <c r="Q71" i="3635"/>
  <c r="Q72" i="3635"/>
  <c r="Q73" i="3635"/>
  <c r="Q74" i="3635"/>
  <c r="Q41" i="3635"/>
  <c r="Q43" i="3635"/>
  <c r="Q44" i="3635"/>
  <c r="Q45" i="3635"/>
  <c r="Q46" i="3635"/>
  <c r="Q47" i="3635"/>
  <c r="Q48" i="3635"/>
  <c r="Q50" i="3635"/>
  <c r="Q51" i="3635"/>
  <c r="Q52" i="3635"/>
  <c r="Q55" i="3635"/>
  <c r="Q40" i="3635"/>
  <c r="Q20" i="3635"/>
  <c r="Q21" i="3635"/>
  <c r="Q22" i="3635"/>
  <c r="Q23" i="3635"/>
  <c r="Q24" i="3635"/>
  <c r="Q25" i="3635"/>
  <c r="Q26" i="3635"/>
  <c r="Q27" i="3635"/>
  <c r="Q28" i="3635"/>
  <c r="Q29" i="3635"/>
  <c r="Q30" i="3635"/>
  <c r="Q4" i="3635"/>
  <c r="Q5" i="3635"/>
  <c r="Q6" i="3635"/>
  <c r="Q7" i="3635"/>
  <c r="Q8" i="3635"/>
  <c r="Q9" i="3635"/>
  <c r="Q10" i="3635"/>
  <c r="Q11" i="3635"/>
  <c r="Q12" i="3635"/>
  <c r="Q13" i="3635"/>
  <c r="Q15" i="3635"/>
  <c r="Q16" i="3635"/>
  <c r="Q17" i="3635"/>
  <c r="Q18" i="3635"/>
  <c r="Q19" i="3635"/>
  <c r="Q3" i="3635"/>
  <c r="M222" i="3630"/>
  <c r="M223" i="3630"/>
  <c r="M224" i="3630"/>
  <c r="M207" i="3630"/>
  <c r="M208" i="3630"/>
  <c r="M209" i="3630"/>
  <c r="M210" i="3630"/>
  <c r="M211" i="3630"/>
  <c r="M212" i="3630"/>
  <c r="M213" i="3630"/>
  <c r="M214" i="3630"/>
  <c r="M215" i="3630"/>
  <c r="M216" i="3630"/>
  <c r="M217" i="3630"/>
  <c r="M218" i="3630"/>
  <c r="M219" i="3630"/>
  <c r="M220" i="3630"/>
  <c r="M221" i="3630"/>
  <c r="M196" i="3630"/>
  <c r="M197" i="3630"/>
  <c r="M198" i="3630"/>
  <c r="M199" i="3630"/>
  <c r="M200" i="3630"/>
  <c r="M201" i="3630"/>
  <c r="M202" i="3630"/>
  <c r="M203" i="3630"/>
  <c r="M204" i="3630"/>
  <c r="M205" i="3630"/>
  <c r="M206" i="3630"/>
  <c r="M195" i="3630"/>
  <c r="M192" i="3630"/>
  <c r="M182" i="3630"/>
  <c r="M183" i="3630"/>
  <c r="M184" i="3630"/>
  <c r="M185" i="3630"/>
  <c r="M186" i="3630"/>
  <c r="M187" i="3630"/>
  <c r="M188" i="3630"/>
  <c r="M189" i="3630"/>
  <c r="M190" i="3630"/>
  <c r="M191" i="3630"/>
  <c r="M175" i="3630"/>
  <c r="M176" i="3630"/>
  <c r="M177" i="3630"/>
  <c r="M178" i="3630"/>
  <c r="M179" i="3630"/>
  <c r="M180" i="3630"/>
  <c r="M181" i="3630"/>
  <c r="M167" i="3630"/>
  <c r="M168" i="3630"/>
  <c r="M169" i="3630"/>
  <c r="M170" i="3630"/>
  <c r="M171" i="3630"/>
  <c r="M172" i="3630"/>
  <c r="M173" i="3630"/>
  <c r="M174" i="3630"/>
  <c r="M153" i="3630"/>
  <c r="M154" i="3630"/>
  <c r="M155" i="3630"/>
  <c r="M156" i="3630"/>
  <c r="M157" i="3630"/>
  <c r="M158" i="3630"/>
  <c r="M159" i="3630"/>
  <c r="M160" i="3630"/>
  <c r="M161" i="3630"/>
  <c r="M162" i="3630"/>
  <c r="M163" i="3630"/>
  <c r="M164" i="3630"/>
  <c r="M165" i="3630"/>
  <c r="M166" i="3630"/>
  <c r="M152" i="3630"/>
  <c r="M138" i="3630"/>
  <c r="M139" i="3630"/>
  <c r="M137" i="3630"/>
  <c r="M123" i="3630"/>
  <c r="M126" i="3630"/>
  <c r="M127" i="3630"/>
  <c r="M128" i="3630"/>
  <c r="M129" i="3630"/>
  <c r="M130" i="3630"/>
  <c r="M131" i="3630"/>
  <c r="M132" i="3630"/>
  <c r="M133" i="3630"/>
  <c r="M105" i="3630"/>
  <c r="M106" i="3630"/>
  <c r="M107" i="3630"/>
  <c r="M109" i="3630"/>
  <c r="M110" i="3630"/>
  <c r="M111" i="3630"/>
  <c r="M112" i="3630"/>
  <c r="M113" i="3630"/>
  <c r="M114" i="3630"/>
  <c r="M115" i="3630"/>
  <c r="M116" i="3630"/>
  <c r="M117" i="3630"/>
  <c r="M118" i="3630"/>
  <c r="M122" i="3630"/>
  <c r="M100" i="3630"/>
  <c r="M101" i="3630"/>
  <c r="M102" i="3630"/>
  <c r="M103" i="3630"/>
  <c r="M104" i="3630"/>
  <c r="M84" i="3630"/>
  <c r="M85" i="3630"/>
  <c r="M86" i="3630"/>
  <c r="M87" i="3630"/>
  <c r="M88" i="3630"/>
  <c r="M90" i="3630"/>
  <c r="M92" i="3630"/>
  <c r="M93" i="3630"/>
  <c r="M95" i="3630"/>
  <c r="M96" i="3630"/>
  <c r="M97" i="3630"/>
  <c r="M98" i="3630"/>
  <c r="M60" i="3630"/>
  <c r="M63" i="3630"/>
  <c r="M65" i="3630"/>
  <c r="M67" i="3630"/>
  <c r="M68" i="3630"/>
  <c r="M69" i="3630"/>
  <c r="M70" i="3630"/>
  <c r="M71" i="3630"/>
  <c r="M73" i="3630"/>
  <c r="M74" i="3630"/>
  <c r="M75" i="3630"/>
  <c r="M76" i="3630"/>
  <c r="M77" i="3630"/>
  <c r="M78" i="3630"/>
  <c r="M79" i="3630"/>
  <c r="M80" i="3630"/>
  <c r="M81" i="3630"/>
  <c r="M82" i="3630"/>
  <c r="M83" i="3630"/>
  <c r="M51" i="3630"/>
  <c r="M52" i="3630"/>
  <c r="M53" i="3630"/>
  <c r="M54" i="3630"/>
  <c r="M57" i="3630"/>
  <c r="M58" i="3630"/>
  <c r="M59" i="3630"/>
  <c r="M44" i="3630"/>
  <c r="M46" i="3630"/>
  <c r="M48" i="3630"/>
  <c r="M49" i="3630"/>
  <c r="M43" i="3630"/>
  <c r="M27" i="3630"/>
  <c r="M28" i="3630"/>
  <c r="M29" i="3630"/>
  <c r="M30" i="3630"/>
  <c r="M8" i="3630"/>
  <c r="M9" i="3630"/>
  <c r="M10" i="3630"/>
  <c r="M11" i="3630"/>
  <c r="M12" i="3630"/>
  <c r="M13" i="3630"/>
  <c r="M15" i="3630"/>
  <c r="M16" i="3630"/>
  <c r="M17" i="3630"/>
  <c r="M18" i="3630"/>
  <c r="M19" i="3630"/>
  <c r="M20" i="3630"/>
  <c r="M21" i="3630"/>
  <c r="M22" i="3630"/>
  <c r="M23" i="3630"/>
  <c r="M24" i="3630"/>
  <c r="M25" i="3630"/>
  <c r="M26" i="3630"/>
  <c r="M4" i="3630"/>
  <c r="M5" i="3630"/>
  <c r="M6" i="3630"/>
  <c r="M7" i="3630"/>
  <c r="M3" i="3630"/>
  <c r="Q25" i="2556" l="1"/>
  <c r="W74" i="2"/>
  <c r="V57" i="3584"/>
  <c r="AC50" i="3584"/>
  <c r="S49" i="2"/>
  <c r="R24" i="3584"/>
  <c r="S37" i="2"/>
  <c r="R10" i="3584"/>
  <c r="M7" i="3584"/>
  <c r="M6" i="3584" s="1"/>
  <c r="R25" i="2556" l="1"/>
  <c r="X74" i="2"/>
  <c r="W57" i="3584"/>
  <c r="AD50" i="3584"/>
  <c r="T49" i="2"/>
  <c r="S24" i="3584"/>
  <c r="T37" i="2"/>
  <c r="S10" i="3584"/>
  <c r="N7" i="3584"/>
  <c r="N6" i="3584" s="1"/>
  <c r="D18" i="3"/>
  <c r="E18" i="3"/>
  <c r="F18" i="3"/>
  <c r="G18" i="3"/>
  <c r="I14" i="3645" s="1"/>
  <c r="H18" i="3"/>
  <c r="J14" i="3645" s="1"/>
  <c r="C18" i="3"/>
  <c r="D15" i="3"/>
  <c r="D15" i="2" s="1"/>
  <c r="E15" i="3"/>
  <c r="E15" i="2" s="1"/>
  <c r="F15" i="3"/>
  <c r="F15" i="2" s="1"/>
  <c r="G15" i="3"/>
  <c r="I11" i="3645" s="1"/>
  <c r="H15" i="3"/>
  <c r="J11" i="3645" s="1"/>
  <c r="C15" i="3"/>
  <c r="D7" i="3"/>
  <c r="E7" i="3"/>
  <c r="F7" i="3"/>
  <c r="G7" i="3"/>
  <c r="I8" i="3645" s="1"/>
  <c r="H7" i="3"/>
  <c r="J8" i="3645" s="1"/>
  <c r="C7" i="3"/>
  <c r="S25" i="2556" l="1"/>
  <c r="Y74" i="2"/>
  <c r="X57" i="3584"/>
  <c r="AE50" i="3584"/>
  <c r="U49" i="2"/>
  <c r="T24" i="3584"/>
  <c r="U37" i="2"/>
  <c r="T10" i="3584"/>
  <c r="H15" i="2"/>
  <c r="G15" i="2"/>
  <c r="O7" i="3584"/>
  <c r="O6" i="3584" s="1"/>
  <c r="H16" i="2"/>
  <c r="H5" i="2556"/>
  <c r="H37" i="2556"/>
  <c r="G16" i="2"/>
  <c r="G5" i="2556"/>
  <c r="G37" i="2556"/>
  <c r="F16" i="2"/>
  <c r="F5" i="2556"/>
  <c r="F37" i="2556"/>
  <c r="E16" i="2"/>
  <c r="E5" i="2556"/>
  <c r="E37" i="2556"/>
  <c r="D16" i="2"/>
  <c r="D5" i="2556"/>
  <c r="D37" i="2556"/>
  <c r="T25" i="2556" l="1"/>
  <c r="Z74" i="2"/>
  <c r="Y57" i="3584"/>
  <c r="AF50" i="3584"/>
  <c r="V49" i="2"/>
  <c r="U24" i="3584"/>
  <c r="V37" i="2"/>
  <c r="U10" i="3584"/>
  <c r="P7" i="3584"/>
  <c r="P6" i="3584" s="1"/>
  <c r="I18" i="3"/>
  <c r="K14" i="3645" s="1"/>
  <c r="N2" i="3630"/>
  <c r="I15" i="3" l="1"/>
  <c r="K11" i="3645" s="1"/>
  <c r="U25" i="2556"/>
  <c r="AA74" i="2"/>
  <c r="Z57" i="3584"/>
  <c r="AG50" i="3584"/>
  <c r="W49" i="2"/>
  <c r="V24" i="3584"/>
  <c r="W37" i="2"/>
  <c r="V10" i="3584"/>
  <c r="J18" i="3"/>
  <c r="L14" i="3645" s="1"/>
  <c r="Q7" i="3584"/>
  <c r="Q6" i="3584" s="1"/>
  <c r="I5" i="2556"/>
  <c r="I37" i="2556"/>
  <c r="J15" i="3"/>
  <c r="L11" i="3645" s="1"/>
  <c r="BA5" i="3631"/>
  <c r="BA4" i="3631"/>
  <c r="V25" i="2556" l="1"/>
  <c r="AB74" i="2"/>
  <c r="AA57" i="3584"/>
  <c r="AH50" i="3584"/>
  <c r="X49" i="2"/>
  <c r="W24" i="3584"/>
  <c r="X37" i="2"/>
  <c r="W10" i="3584"/>
  <c r="R7" i="3584"/>
  <c r="R6" i="3584" s="1"/>
  <c r="J5" i="2556"/>
  <c r="J37" i="2556"/>
  <c r="K15" i="3"/>
  <c r="M11" i="3645" s="1"/>
  <c r="BA3" i="3631"/>
  <c r="W25" i="2556" l="1"/>
  <c r="AC74" i="2"/>
  <c r="AB57" i="3584"/>
  <c r="AI50" i="3584"/>
  <c r="Y49" i="2"/>
  <c r="X24" i="3584"/>
  <c r="Y37" i="2"/>
  <c r="X10" i="3584"/>
  <c r="K18" i="3"/>
  <c r="S7" i="3584"/>
  <c r="S6" i="3584" s="1"/>
  <c r="L18" i="3"/>
  <c r="L15" i="3"/>
  <c r="K5" i="2556" l="1"/>
  <c r="M14" i="3645"/>
  <c r="K37" i="2556"/>
  <c r="X25" i="2556"/>
  <c r="AD74" i="2"/>
  <c r="AC57" i="3584"/>
  <c r="AJ50" i="3584"/>
  <c r="Z49" i="2"/>
  <c r="Y24" i="3584"/>
  <c r="Z37" i="2"/>
  <c r="Y10" i="3584"/>
  <c r="T7" i="3584"/>
  <c r="T6" i="3584" s="1"/>
  <c r="L5" i="2556"/>
  <c r="L37" i="2556"/>
  <c r="M18" i="3"/>
  <c r="M15" i="3"/>
  <c r="Y25" i="2556" l="1"/>
  <c r="AE74" i="2"/>
  <c r="AD57" i="3584"/>
  <c r="AL50" i="3584"/>
  <c r="AK50" i="3584"/>
  <c r="AA49" i="2"/>
  <c r="Z24" i="3584"/>
  <c r="AA37" i="2"/>
  <c r="Z10" i="3584"/>
  <c r="U7" i="3584"/>
  <c r="U6" i="3584" s="1"/>
  <c r="M5" i="2556"/>
  <c r="M37" i="2556"/>
  <c r="N18" i="3"/>
  <c r="N15" i="3"/>
  <c r="B2" i="3628"/>
  <c r="A2" i="3631"/>
  <c r="BA2" i="3631" s="1"/>
  <c r="B1" i="3635"/>
  <c r="Z25" i="2556" l="1"/>
  <c r="AF74" i="2"/>
  <c r="AE57" i="3584"/>
  <c r="AB49" i="2"/>
  <c r="AA24" i="3584"/>
  <c r="AB37" i="2"/>
  <c r="AA10" i="3584"/>
  <c r="V7" i="3584"/>
  <c r="V6" i="3584" s="1"/>
  <c r="N5" i="2556"/>
  <c r="N37" i="2556"/>
  <c r="O18" i="3"/>
  <c r="O15" i="3"/>
  <c r="A49" i="3646"/>
  <c r="C46" i="3646"/>
  <c r="A48" i="3646"/>
  <c r="C45" i="3646"/>
  <c r="AA25" i="2556" l="1"/>
  <c r="AG74" i="2"/>
  <c r="AF57" i="3584"/>
  <c r="AC49" i="2"/>
  <c r="AB24" i="3584"/>
  <c r="AC37" i="2"/>
  <c r="AB10" i="3584"/>
  <c r="W7" i="3584"/>
  <c r="W6" i="3584" s="1"/>
  <c r="O5" i="2556"/>
  <c r="O37" i="2556"/>
  <c r="P18" i="3"/>
  <c r="P15" i="3"/>
  <c r="E45" i="3646"/>
  <c r="F45" i="3646"/>
  <c r="D45" i="3646"/>
  <c r="A46" i="3646"/>
  <c r="A45" i="3646"/>
  <c r="AB25" i="2556" l="1"/>
  <c r="AH74" i="2"/>
  <c r="AG57" i="3584"/>
  <c r="AD49" i="2"/>
  <c r="AC24" i="3584"/>
  <c r="AD37" i="2"/>
  <c r="AC10" i="3584"/>
  <c r="X7" i="3584"/>
  <c r="X6" i="3584" s="1"/>
  <c r="P5" i="2556"/>
  <c r="P37" i="2556"/>
  <c r="Q18" i="3"/>
  <c r="Q15" i="3"/>
  <c r="D3" i="3646"/>
  <c r="E3" i="3646"/>
  <c r="F3" i="3646"/>
  <c r="G3" i="3646"/>
  <c r="G28" i="3646" s="1"/>
  <c r="H3" i="3646"/>
  <c r="I3" i="3646"/>
  <c r="J3" i="3646"/>
  <c r="K3" i="3646"/>
  <c r="L3" i="3646"/>
  <c r="M3" i="3646"/>
  <c r="N3" i="3646"/>
  <c r="D4" i="3646"/>
  <c r="E4" i="3646"/>
  <c r="F4" i="3646"/>
  <c r="G4" i="3646"/>
  <c r="H4" i="3646"/>
  <c r="I4" i="3646"/>
  <c r="J4" i="3646"/>
  <c r="K4" i="3646"/>
  <c r="L4" i="3646"/>
  <c r="M4" i="3646"/>
  <c r="M30" i="3646" s="1"/>
  <c r="N4" i="3646"/>
  <c r="D5" i="3646"/>
  <c r="E5" i="3646"/>
  <c r="F5" i="3646"/>
  <c r="G5" i="3646"/>
  <c r="H5" i="3646"/>
  <c r="I5" i="3646"/>
  <c r="J5" i="3646"/>
  <c r="K5" i="3646"/>
  <c r="L5" i="3646"/>
  <c r="M5" i="3646"/>
  <c r="N5" i="3646"/>
  <c r="D6" i="3646"/>
  <c r="E6" i="3646"/>
  <c r="F6" i="3646"/>
  <c r="G6" i="3646"/>
  <c r="H6" i="3646"/>
  <c r="I6" i="3646"/>
  <c r="J6" i="3646"/>
  <c r="K6" i="3646"/>
  <c r="L6" i="3646"/>
  <c r="M6" i="3646"/>
  <c r="N6" i="3646"/>
  <c r="D7" i="3646"/>
  <c r="E7" i="3646"/>
  <c r="F7" i="3646"/>
  <c r="G7" i="3646"/>
  <c r="H7" i="3646"/>
  <c r="I7" i="3646"/>
  <c r="J7" i="3646"/>
  <c r="K7" i="3646"/>
  <c r="L7" i="3646"/>
  <c r="M7" i="3646"/>
  <c r="N7" i="3646"/>
  <c r="D8" i="3646"/>
  <c r="E8" i="3646"/>
  <c r="F8" i="3646"/>
  <c r="G8" i="3646"/>
  <c r="H8" i="3646"/>
  <c r="I8" i="3646"/>
  <c r="J8" i="3646"/>
  <c r="K8" i="3646"/>
  <c r="L8" i="3646"/>
  <c r="M8" i="3646"/>
  <c r="N8" i="3646"/>
  <c r="D9" i="3646"/>
  <c r="E9" i="3646"/>
  <c r="F9" i="3646"/>
  <c r="G9" i="3646"/>
  <c r="H9" i="3646"/>
  <c r="I9" i="3646"/>
  <c r="J9" i="3646"/>
  <c r="K9" i="3646"/>
  <c r="L9" i="3646"/>
  <c r="M9" i="3646"/>
  <c r="N9" i="3646"/>
  <c r="D10" i="3646"/>
  <c r="E10" i="3646"/>
  <c r="F10" i="3646"/>
  <c r="G10" i="3646"/>
  <c r="H10" i="3646"/>
  <c r="I10" i="3646"/>
  <c r="J10" i="3646"/>
  <c r="K10" i="3646"/>
  <c r="L10" i="3646"/>
  <c r="M10" i="3646"/>
  <c r="N10" i="3646"/>
  <c r="D11" i="3646"/>
  <c r="E11" i="3646"/>
  <c r="F11" i="3646"/>
  <c r="G11" i="3646"/>
  <c r="H11" i="3646"/>
  <c r="I11" i="3646"/>
  <c r="J11" i="3646"/>
  <c r="K11" i="3646"/>
  <c r="L11" i="3646"/>
  <c r="M11" i="3646"/>
  <c r="N11" i="3646"/>
  <c r="D12" i="3646"/>
  <c r="E12" i="3646"/>
  <c r="F12" i="3646"/>
  <c r="G12" i="3646"/>
  <c r="H12" i="3646"/>
  <c r="I12" i="3646"/>
  <c r="J12" i="3646"/>
  <c r="K12" i="3646"/>
  <c r="L12" i="3646"/>
  <c r="M12" i="3646"/>
  <c r="N12" i="3646"/>
  <c r="D13" i="3646"/>
  <c r="E13" i="3646"/>
  <c r="F13" i="3646"/>
  <c r="G13" i="3646"/>
  <c r="H13" i="3646"/>
  <c r="I13" i="3646"/>
  <c r="J13" i="3646"/>
  <c r="K13" i="3646"/>
  <c r="L13" i="3646"/>
  <c r="M13" i="3646"/>
  <c r="N13" i="3646"/>
  <c r="D14" i="3646"/>
  <c r="E14" i="3646"/>
  <c r="F14" i="3646"/>
  <c r="G14" i="3646"/>
  <c r="H14" i="3646"/>
  <c r="I14" i="3646"/>
  <c r="J14" i="3646"/>
  <c r="K14" i="3646"/>
  <c r="L14" i="3646"/>
  <c r="M14" i="3646"/>
  <c r="N14" i="3646"/>
  <c r="D15" i="3646"/>
  <c r="E15" i="3646"/>
  <c r="F15" i="3646"/>
  <c r="G15" i="3646"/>
  <c r="H15" i="3646"/>
  <c r="I15" i="3646"/>
  <c r="J15" i="3646"/>
  <c r="K15" i="3646"/>
  <c r="L15" i="3646"/>
  <c r="M15" i="3646"/>
  <c r="N15" i="3646"/>
  <c r="D16" i="3646"/>
  <c r="E16" i="3646"/>
  <c r="F16" i="3646"/>
  <c r="G16" i="3646"/>
  <c r="H16" i="3646"/>
  <c r="I16" i="3646"/>
  <c r="J16" i="3646"/>
  <c r="K16" i="3646"/>
  <c r="L16" i="3646"/>
  <c r="M16" i="3646"/>
  <c r="N16" i="3646"/>
  <c r="D17" i="3646"/>
  <c r="E17" i="3646"/>
  <c r="F17" i="3646"/>
  <c r="G17" i="3646"/>
  <c r="H17" i="3646"/>
  <c r="I17" i="3646"/>
  <c r="J17" i="3646"/>
  <c r="K17" i="3646"/>
  <c r="L17" i="3646"/>
  <c r="M17" i="3646"/>
  <c r="N17" i="3646"/>
  <c r="D18" i="3646"/>
  <c r="E18" i="3646"/>
  <c r="F18" i="3646"/>
  <c r="G18" i="3646"/>
  <c r="H18" i="3646"/>
  <c r="I18" i="3646"/>
  <c r="J18" i="3646"/>
  <c r="K18" i="3646"/>
  <c r="L18" i="3646"/>
  <c r="M18" i="3646"/>
  <c r="N18" i="3646"/>
  <c r="D19" i="3646"/>
  <c r="E19" i="3646"/>
  <c r="F19" i="3646"/>
  <c r="G19" i="3646"/>
  <c r="H19" i="3646"/>
  <c r="I19" i="3646"/>
  <c r="J19" i="3646"/>
  <c r="K19" i="3646"/>
  <c r="L19" i="3646"/>
  <c r="M19" i="3646"/>
  <c r="N19" i="3646"/>
  <c r="D20" i="3646"/>
  <c r="E20" i="3646"/>
  <c r="F20" i="3646"/>
  <c r="F41" i="3646" s="1"/>
  <c r="G20" i="3646"/>
  <c r="G43" i="3646" s="1"/>
  <c r="H20" i="3646"/>
  <c r="I20" i="3646"/>
  <c r="J20" i="3646"/>
  <c r="K20" i="3646"/>
  <c r="K43" i="3646" s="1"/>
  <c r="L20" i="3646"/>
  <c r="M20" i="3646"/>
  <c r="N20" i="3646"/>
  <c r="D21" i="3646"/>
  <c r="E21" i="3646"/>
  <c r="F21" i="3646"/>
  <c r="G21" i="3646"/>
  <c r="H21" i="3646"/>
  <c r="I21" i="3646"/>
  <c r="J21" i="3646"/>
  <c r="K21" i="3646"/>
  <c r="L21" i="3646"/>
  <c r="M21" i="3646"/>
  <c r="N21" i="3646"/>
  <c r="D22" i="3646"/>
  <c r="E22" i="3646"/>
  <c r="F22" i="3646"/>
  <c r="G22" i="3646"/>
  <c r="H22" i="3646"/>
  <c r="I22" i="3646"/>
  <c r="J22" i="3646"/>
  <c r="K22" i="3646"/>
  <c r="L22" i="3646"/>
  <c r="M22" i="3646"/>
  <c r="N22" i="3646"/>
  <c r="C22" i="3646"/>
  <c r="C21" i="3646"/>
  <c r="C20" i="3646"/>
  <c r="C42" i="3646" s="1"/>
  <c r="C19" i="3646"/>
  <c r="C18" i="3646"/>
  <c r="C17" i="3646"/>
  <c r="C16" i="3646"/>
  <c r="C15" i="3646"/>
  <c r="C4" i="3646"/>
  <c r="C31" i="3646" s="1"/>
  <c r="C5" i="3646"/>
  <c r="C6" i="3646"/>
  <c r="C7" i="3646"/>
  <c r="C8" i="3646"/>
  <c r="C9" i="3646"/>
  <c r="C10" i="3646"/>
  <c r="C11" i="3646"/>
  <c r="C12" i="3646"/>
  <c r="C13" i="3646"/>
  <c r="C14" i="3646"/>
  <c r="C3" i="3646"/>
  <c r="F29" i="3646"/>
  <c r="N43" i="3646"/>
  <c r="M43" i="3646"/>
  <c r="L43" i="3646"/>
  <c r="L42" i="3646"/>
  <c r="N28" i="3646"/>
  <c r="M28" i="3646"/>
  <c r="L28" i="3646"/>
  <c r="L27" i="3646"/>
  <c r="E41" i="3646" l="1"/>
  <c r="C33" i="3646"/>
  <c r="AC25" i="2556"/>
  <c r="J26" i="3646"/>
  <c r="N31" i="3646"/>
  <c r="L32" i="3646"/>
  <c r="AI74" i="2"/>
  <c r="AH57" i="3584"/>
  <c r="AE49" i="2"/>
  <c r="AD24" i="3584"/>
  <c r="AE37" i="2"/>
  <c r="AD10" i="3584"/>
  <c r="C41" i="3646"/>
  <c r="H36" i="3646"/>
  <c r="C32" i="3646"/>
  <c r="M38" i="3646"/>
  <c r="L38" i="3646"/>
  <c r="J32" i="3646"/>
  <c r="G38" i="3646"/>
  <c r="F38" i="3646"/>
  <c r="E38" i="3646"/>
  <c r="L31" i="3646"/>
  <c r="I30" i="3646"/>
  <c r="N34" i="3646"/>
  <c r="M34" i="3646"/>
  <c r="L34" i="3646"/>
  <c r="E33" i="3646"/>
  <c r="N35" i="3646"/>
  <c r="C28" i="3646"/>
  <c r="N38" i="3646"/>
  <c r="M32" i="3646"/>
  <c r="Y7" i="3584"/>
  <c r="Y6" i="3584" s="1"/>
  <c r="Q5" i="2556"/>
  <c r="Q37" i="2556"/>
  <c r="C43" i="3646"/>
  <c r="F42" i="3646"/>
  <c r="L41" i="3646"/>
  <c r="F43" i="3646"/>
  <c r="G33" i="3646"/>
  <c r="F33" i="3646"/>
  <c r="R15" i="3"/>
  <c r="R18" i="3"/>
  <c r="E34" i="3646"/>
  <c r="F28" i="3646"/>
  <c r="I33" i="3646"/>
  <c r="H33" i="3646"/>
  <c r="I26" i="3646"/>
  <c r="J25" i="3646"/>
  <c r="I25" i="3646"/>
  <c r="J31" i="3646"/>
  <c r="H31" i="3646"/>
  <c r="G31" i="3646"/>
  <c r="F30" i="3646"/>
  <c r="H26" i="3646"/>
  <c r="J34" i="3646"/>
  <c r="H34" i="3646"/>
  <c r="N33" i="3646"/>
  <c r="L33" i="3646"/>
  <c r="E42" i="3646"/>
  <c r="H29" i="3646"/>
  <c r="L25" i="3646"/>
  <c r="J33" i="3646"/>
  <c r="H25" i="3646"/>
  <c r="D34" i="3646"/>
  <c r="D33" i="3646"/>
  <c r="F26" i="3646"/>
  <c r="D30" i="3646"/>
  <c r="D31" i="3646"/>
  <c r="E26" i="3646"/>
  <c r="F34" i="3646"/>
  <c r="M33" i="3646"/>
  <c r="G26" i="3646"/>
  <c r="M29" i="3646"/>
  <c r="L30" i="3646"/>
  <c r="N29" i="3646"/>
  <c r="L29" i="3646"/>
  <c r="D27" i="3646"/>
  <c r="M31" i="3646"/>
  <c r="E27" i="3646"/>
  <c r="F27" i="3646"/>
  <c r="N30" i="3646"/>
  <c r="G27" i="3646"/>
  <c r="J27" i="3646"/>
  <c r="K35" i="3646"/>
  <c r="D28" i="3646"/>
  <c r="E28" i="3646"/>
  <c r="L35" i="3646"/>
  <c r="H35" i="3646"/>
  <c r="G34" i="3646"/>
  <c r="N42" i="3646"/>
  <c r="I34" i="3646"/>
  <c r="G35" i="3646"/>
  <c r="D42" i="3646"/>
  <c r="L40" i="3646"/>
  <c r="L46" i="3646" s="1"/>
  <c r="G40" i="3646"/>
  <c r="G46" i="3646" s="1"/>
  <c r="E40" i="3646"/>
  <c r="E35" i="3646"/>
  <c r="F37" i="3646"/>
  <c r="H30" i="3646"/>
  <c r="I29" i="3646"/>
  <c r="N41" i="3646"/>
  <c r="G30" i="3646"/>
  <c r="J29" i="3646"/>
  <c r="L26" i="3646"/>
  <c r="F31" i="3646"/>
  <c r="J30" i="3646"/>
  <c r="I31" i="3646"/>
  <c r="K40" i="3646"/>
  <c r="K46" i="3646" s="1"/>
  <c r="J39" i="3646"/>
  <c r="J45" i="3646" s="1"/>
  <c r="M36" i="3646"/>
  <c r="M26" i="3646"/>
  <c r="K29" i="3646"/>
  <c r="L39" i="3646"/>
  <c r="L45" i="3646" s="1"/>
  <c r="L37" i="3646"/>
  <c r="F35" i="3646"/>
  <c r="D35" i="3646"/>
  <c r="G36" i="3646"/>
  <c r="E30" i="3646"/>
  <c r="N27" i="3646"/>
  <c r="E31" i="3646"/>
  <c r="I32" i="3646"/>
  <c r="K30" i="3646"/>
  <c r="H37" i="3646"/>
  <c r="C34" i="3646"/>
  <c r="K37" i="3646"/>
  <c r="D32" i="3646"/>
  <c r="K36" i="3646"/>
  <c r="F32" i="3646"/>
  <c r="G32" i="3646"/>
  <c r="J38" i="3646"/>
  <c r="I39" i="3646"/>
  <c r="I45" i="3646" s="1"/>
  <c r="J40" i="3646"/>
  <c r="I41" i="3646"/>
  <c r="M39" i="3646"/>
  <c r="N39" i="3646"/>
  <c r="K25" i="3646"/>
  <c r="N32" i="3646"/>
  <c r="J35" i="3646"/>
  <c r="I37" i="3646"/>
  <c r="K33" i="3646"/>
  <c r="I36" i="3646"/>
  <c r="E32" i="3646"/>
  <c r="L36" i="3646"/>
  <c r="K38" i="3646"/>
  <c r="N36" i="3646"/>
  <c r="M37" i="3646"/>
  <c r="I40" i="3646"/>
  <c r="H38" i="3646"/>
  <c r="H39" i="3646"/>
  <c r="H45" i="3646" s="1"/>
  <c r="H40" i="3646"/>
  <c r="H41" i="3646"/>
  <c r="J42" i="3646"/>
  <c r="E37" i="3646"/>
  <c r="N40" i="3646"/>
  <c r="N46" i="3646" s="1"/>
  <c r="J43" i="3646"/>
  <c r="M41" i="3646"/>
  <c r="M25" i="3646"/>
  <c r="N25" i="3646"/>
  <c r="H28" i="3646"/>
  <c r="D40" i="3646"/>
  <c r="F40" i="3646"/>
  <c r="F46" i="3646" s="1"/>
  <c r="I35" i="3646"/>
  <c r="J37" i="3646"/>
  <c r="J36" i="3646"/>
  <c r="M35" i="3646"/>
  <c r="I38" i="3646"/>
  <c r="H32" i="3646"/>
  <c r="N37" i="3646"/>
  <c r="H42" i="3646"/>
  <c r="K42" i="3646"/>
  <c r="G37" i="3646"/>
  <c r="D38" i="3646"/>
  <c r="M42" i="3646"/>
  <c r="K27" i="3646"/>
  <c r="G39" i="3646"/>
  <c r="I28" i="3646"/>
  <c r="N26" i="3646"/>
  <c r="J28" i="3646"/>
  <c r="K28" i="3646"/>
  <c r="M27" i="3646"/>
  <c r="G25" i="3646"/>
  <c r="K31" i="3646"/>
  <c r="D43" i="3646"/>
  <c r="K32" i="3646"/>
  <c r="K34" i="3646"/>
  <c r="D37" i="3646"/>
  <c r="H27" i="3646"/>
  <c r="K39" i="3646"/>
  <c r="J41" i="3646"/>
  <c r="K41" i="3646"/>
  <c r="H43" i="3646"/>
  <c r="I42" i="3646"/>
  <c r="M40" i="3646"/>
  <c r="M46" i="3646" s="1"/>
  <c r="I43" i="3646"/>
  <c r="K26" i="3646"/>
  <c r="I27" i="3646"/>
  <c r="D26" i="3646"/>
  <c r="D41" i="3646"/>
  <c r="C30" i="3646"/>
  <c r="C37" i="3646"/>
  <c r="G29" i="3646"/>
  <c r="C38" i="3646"/>
  <c r="E43" i="3646"/>
  <c r="G41" i="3646"/>
  <c r="G42" i="3646"/>
  <c r="C35" i="3646"/>
  <c r="C27" i="3646"/>
  <c r="AD25" i="2556" l="1"/>
  <c r="AJ74" i="2"/>
  <c r="AI57" i="3584"/>
  <c r="AF49" i="2"/>
  <c r="AE24" i="3584"/>
  <c r="AF37" i="2"/>
  <c r="AE10" i="3584"/>
  <c r="Z7" i="3584"/>
  <c r="Z6" i="3584" s="1"/>
  <c r="R37" i="2556"/>
  <c r="R5" i="2556"/>
  <c r="S18" i="3"/>
  <c r="S15" i="3"/>
  <c r="E46" i="3646"/>
  <c r="I46" i="3646"/>
  <c r="G45" i="3646"/>
  <c r="N45" i="3646"/>
  <c r="M45" i="3646"/>
  <c r="J46" i="3646"/>
  <c r="D46" i="3646"/>
  <c r="H46" i="3646"/>
  <c r="K45" i="3646"/>
  <c r="C8" i="3629"/>
  <c r="AE25" i="2556" l="1"/>
  <c r="AK74" i="2"/>
  <c r="AJ57" i="3584"/>
  <c r="AG49" i="2"/>
  <c r="AF24" i="3584"/>
  <c r="AG37" i="2"/>
  <c r="AF10" i="3584"/>
  <c r="AA7" i="3584"/>
  <c r="AA6" i="3584" s="1"/>
  <c r="S5" i="2556"/>
  <c r="S37" i="2556"/>
  <c r="T18" i="3"/>
  <c r="T15" i="3"/>
  <c r="A1" i="3635"/>
  <c r="O2" i="3628"/>
  <c r="L2" i="3635" s="1"/>
  <c r="AF25" i="2556" l="1"/>
  <c r="AL74" i="2"/>
  <c r="AL57" i="3584" s="1"/>
  <c r="AK57" i="3584"/>
  <c r="AH49" i="2"/>
  <c r="AG24" i="3584"/>
  <c r="AH37" i="2"/>
  <c r="AG10" i="3584"/>
  <c r="AB7" i="3584"/>
  <c r="AB6" i="3584" s="1"/>
  <c r="T5" i="2556"/>
  <c r="T37" i="2556"/>
  <c r="U18" i="3"/>
  <c r="U15" i="3"/>
  <c r="M2" i="3646"/>
  <c r="O3" i="3628"/>
  <c r="J2" i="3635" s="1"/>
  <c r="N3" i="3601"/>
  <c r="N2" i="3635"/>
  <c r="M2" i="3635"/>
  <c r="L2" i="3646"/>
  <c r="L3" i="3601"/>
  <c r="N2" i="3646"/>
  <c r="M3" i="3601"/>
  <c r="K2" i="3635"/>
  <c r="AG25" i="2556" l="1"/>
  <c r="AI49" i="2"/>
  <c r="AH24" i="3584"/>
  <c r="AI37" i="2"/>
  <c r="AH10" i="3584"/>
  <c r="AC7" i="3584"/>
  <c r="AC6" i="3584" s="1"/>
  <c r="U5" i="2556"/>
  <c r="U37" i="2556"/>
  <c r="V18" i="3"/>
  <c r="V15" i="3"/>
  <c r="H3" i="3601"/>
  <c r="H2" i="3635"/>
  <c r="H2" i="3646"/>
  <c r="J3" i="3601"/>
  <c r="I2" i="3646"/>
  <c r="I3" i="3601"/>
  <c r="O4" i="3628"/>
  <c r="I2" i="3635"/>
  <c r="G2" i="3635"/>
  <c r="K2" i="3646"/>
  <c r="J2" i="3646"/>
  <c r="K3" i="3601"/>
  <c r="D153" i="2"/>
  <c r="E153" i="2"/>
  <c r="D145" i="2"/>
  <c r="E145" i="2"/>
  <c r="D136" i="2"/>
  <c r="E136" i="2"/>
  <c r="AH25" i="2556" l="1"/>
  <c r="AJ49" i="2"/>
  <c r="AI24" i="3584"/>
  <c r="AJ37" i="2"/>
  <c r="AI10" i="3584"/>
  <c r="AD7" i="3584"/>
  <c r="AD6" i="3584" s="1"/>
  <c r="V37" i="2556"/>
  <c r="V5" i="2556"/>
  <c r="W18" i="3"/>
  <c r="W15" i="3"/>
  <c r="E2" i="3646"/>
  <c r="F2" i="3646"/>
  <c r="C2" i="3635"/>
  <c r="D2" i="3646"/>
  <c r="G2" i="3646"/>
  <c r="E2" i="3635"/>
  <c r="E3" i="3601"/>
  <c r="O5" i="3628"/>
  <c r="D3" i="3601"/>
  <c r="F2" i="3635"/>
  <c r="D2" i="3635"/>
  <c r="F3" i="3601"/>
  <c r="G3" i="3601"/>
  <c r="Y1" i="3628"/>
  <c r="Z1" i="3628" s="1"/>
  <c r="N2" i="3628"/>
  <c r="AI25" i="2556" l="1"/>
  <c r="AK49" i="2"/>
  <c r="AJ24" i="3584"/>
  <c r="AK37" i="2"/>
  <c r="AJ10" i="3584"/>
  <c r="AE7" i="3584"/>
  <c r="AE6" i="3584" s="1"/>
  <c r="W5" i="2556"/>
  <c r="W37" i="2556"/>
  <c r="X18" i="3"/>
  <c r="X15" i="3"/>
  <c r="B2" i="3635"/>
  <c r="C2" i="3646"/>
  <c r="C3" i="3601"/>
  <c r="H70" i="3584"/>
  <c r="G70" i="3584"/>
  <c r="F70" i="3584"/>
  <c r="AJ25" i="2556" l="1"/>
  <c r="AL49" i="2"/>
  <c r="AL24" i="3584" s="1"/>
  <c r="AK24" i="3584"/>
  <c r="AL37" i="2"/>
  <c r="AL10" i="3584" s="1"/>
  <c r="AK10" i="3584"/>
  <c r="AF7" i="3584"/>
  <c r="AF6" i="3584" s="1"/>
  <c r="X37" i="2556"/>
  <c r="X5" i="2556"/>
  <c r="Y18" i="3"/>
  <c r="Y15" i="3"/>
  <c r="L7" i="3629"/>
  <c r="B2" i="3640"/>
  <c r="AL25" i="2556" l="1"/>
  <c r="AK25" i="2556"/>
  <c r="AG7" i="3584"/>
  <c r="AG6" i="3584" s="1"/>
  <c r="Y5" i="2556"/>
  <c r="Y37" i="2556"/>
  <c r="Z18" i="3"/>
  <c r="Z15" i="3"/>
  <c r="I130" i="2"/>
  <c r="AH7" i="3584" l="1"/>
  <c r="AH6" i="3584" s="1"/>
  <c r="Z5" i="2556"/>
  <c r="Z37" i="2556"/>
  <c r="AA18" i="3"/>
  <c r="AA15" i="3"/>
  <c r="H83" i="3584"/>
  <c r="AI7" i="3584" l="1"/>
  <c r="AI6" i="3584" s="1"/>
  <c r="AA5" i="2556"/>
  <c r="AA37" i="2556"/>
  <c r="AB18" i="3"/>
  <c r="AB15" i="3"/>
  <c r="C53" i="3645"/>
  <c r="B53" i="3645"/>
  <c r="C47" i="3645"/>
  <c r="B47" i="3645"/>
  <c r="C44" i="3645"/>
  <c r="B44" i="3645"/>
  <c r="C43" i="3645"/>
  <c r="B43" i="3645"/>
  <c r="C41" i="3645"/>
  <c r="B41" i="3645"/>
  <c r="C38" i="3645"/>
  <c r="B38" i="3645"/>
  <c r="C36" i="3645"/>
  <c r="B36" i="3645"/>
  <c r="C46" i="3645" l="1"/>
  <c r="B46" i="3645"/>
  <c r="AJ7" i="3584"/>
  <c r="AJ6" i="3584" s="1"/>
  <c r="AB37" i="2556"/>
  <c r="AB5" i="2556"/>
  <c r="AC18" i="3"/>
  <c r="AC15" i="3"/>
  <c r="J45" i="3632"/>
  <c r="J3" i="3632" s="1"/>
  <c r="I45" i="3632"/>
  <c r="I3" i="3632" s="1"/>
  <c r="H45" i="3632"/>
  <c r="H3" i="3632" s="1"/>
  <c r="G83" i="3632"/>
  <c r="F83" i="3632"/>
  <c r="E83" i="3632"/>
  <c r="G81" i="3632"/>
  <c r="F81" i="3632"/>
  <c r="E81" i="3632"/>
  <c r="G79" i="3632"/>
  <c r="F79" i="3632"/>
  <c r="E79" i="3632"/>
  <c r="G77" i="3632"/>
  <c r="F77" i="3632"/>
  <c r="E77" i="3632"/>
  <c r="G75" i="3632"/>
  <c r="F75" i="3632"/>
  <c r="E75" i="3632"/>
  <c r="G73" i="3632"/>
  <c r="F73" i="3632"/>
  <c r="E73" i="3632"/>
  <c r="G71" i="3632"/>
  <c r="F71" i="3632"/>
  <c r="E71" i="3632"/>
  <c r="G69" i="3632"/>
  <c r="F69" i="3632"/>
  <c r="E69" i="3632"/>
  <c r="G67" i="3632"/>
  <c r="F67" i="3632"/>
  <c r="E67" i="3632"/>
  <c r="G65" i="3632"/>
  <c r="F65" i="3632"/>
  <c r="E65" i="3632"/>
  <c r="G63" i="3632"/>
  <c r="F63" i="3632"/>
  <c r="E63" i="3632"/>
  <c r="G61" i="3632"/>
  <c r="F61" i="3632"/>
  <c r="E61" i="3632"/>
  <c r="G59" i="3632"/>
  <c r="F59" i="3632"/>
  <c r="E59" i="3632"/>
  <c r="G57" i="3632"/>
  <c r="F57" i="3632"/>
  <c r="E57" i="3632"/>
  <c r="G55" i="3632"/>
  <c r="F55" i="3632"/>
  <c r="E55" i="3632"/>
  <c r="G53" i="3632"/>
  <c r="F53" i="3632"/>
  <c r="E53" i="3632"/>
  <c r="G43" i="3632"/>
  <c r="F43" i="3632"/>
  <c r="E43" i="3632"/>
  <c r="G41" i="3632"/>
  <c r="F41" i="3632"/>
  <c r="E41" i="3632"/>
  <c r="G39" i="3632"/>
  <c r="F39" i="3632"/>
  <c r="E39" i="3632"/>
  <c r="G37" i="3632"/>
  <c r="F37" i="3632"/>
  <c r="E37" i="3632"/>
  <c r="G35" i="3632"/>
  <c r="F35" i="3632"/>
  <c r="E35" i="3632"/>
  <c r="G33" i="3632"/>
  <c r="F33" i="3632"/>
  <c r="E33" i="3632"/>
  <c r="G31" i="3632"/>
  <c r="F31" i="3632"/>
  <c r="E31" i="3632"/>
  <c r="G29" i="3632"/>
  <c r="F29" i="3632"/>
  <c r="E29" i="3632"/>
  <c r="G27" i="3632"/>
  <c r="F27" i="3632"/>
  <c r="E27" i="3632"/>
  <c r="G25" i="3632"/>
  <c r="F25" i="3632"/>
  <c r="E25" i="3632"/>
  <c r="G23" i="3632"/>
  <c r="F23" i="3632"/>
  <c r="E23" i="3632"/>
  <c r="G21" i="3632"/>
  <c r="F21" i="3632"/>
  <c r="E21" i="3632"/>
  <c r="G19" i="3632"/>
  <c r="F19" i="3632"/>
  <c r="E19" i="3632"/>
  <c r="G17" i="3632"/>
  <c r="F17" i="3632"/>
  <c r="E17" i="3632"/>
  <c r="G15" i="3632"/>
  <c r="F15" i="3632"/>
  <c r="E15" i="3632"/>
  <c r="G13" i="3632"/>
  <c r="F13" i="3632"/>
  <c r="E13" i="3632"/>
  <c r="AK7" i="3584" l="1"/>
  <c r="AK6" i="3584" s="1"/>
  <c r="AC5" i="2556"/>
  <c r="AC37" i="2556"/>
  <c r="AD18" i="3"/>
  <c r="AD15" i="3"/>
  <c r="J7" i="3632"/>
  <c r="I7" i="3632"/>
  <c r="AL7" i="3584" l="1"/>
  <c r="AL6" i="3584" s="1"/>
  <c r="AD37" i="2556"/>
  <c r="AD5" i="2556"/>
  <c r="AE18" i="3"/>
  <c r="AE15" i="3"/>
  <c r="P2" i="3645"/>
  <c r="P1" i="3645"/>
  <c r="AE5" i="2556" l="1"/>
  <c r="AE37" i="2556"/>
  <c r="AF18" i="3"/>
  <c r="AF15" i="3"/>
  <c r="E53" i="2556"/>
  <c r="F53" i="2556"/>
  <c r="G53" i="2556"/>
  <c r="B51" i="3645" s="1"/>
  <c r="H53" i="2556"/>
  <c r="D53" i="2556"/>
  <c r="E52" i="2556"/>
  <c r="F52" i="2556"/>
  <c r="G52" i="2556"/>
  <c r="B50" i="3645" s="1"/>
  <c r="H52" i="2556"/>
  <c r="D52" i="2556"/>
  <c r="D82" i="3584"/>
  <c r="E82" i="3584"/>
  <c r="F82" i="3584"/>
  <c r="G82" i="3584"/>
  <c r="H82" i="3584"/>
  <c r="B27" i="3622" s="1"/>
  <c r="C82" i="3584"/>
  <c r="F81" i="3584"/>
  <c r="G81" i="3584"/>
  <c r="B27" i="3645" s="1"/>
  <c r="H81" i="3584"/>
  <c r="D81" i="3584"/>
  <c r="E81" i="3584"/>
  <c r="C81" i="3584"/>
  <c r="H153" i="2"/>
  <c r="G153" i="2"/>
  <c r="F153" i="2"/>
  <c r="H145" i="2"/>
  <c r="G145" i="2"/>
  <c r="F145" i="2"/>
  <c r="D83" i="3584"/>
  <c r="E83" i="3584"/>
  <c r="F83" i="3584"/>
  <c r="G83" i="3584"/>
  <c r="C83" i="3584"/>
  <c r="D78" i="3584"/>
  <c r="E78" i="3584"/>
  <c r="F78" i="3584"/>
  <c r="G78" i="3584"/>
  <c r="H78" i="3584"/>
  <c r="C78" i="3584"/>
  <c r="D74" i="3584"/>
  <c r="E74" i="3584"/>
  <c r="F74" i="3584"/>
  <c r="G74" i="3584"/>
  <c r="H74" i="3584"/>
  <c r="C74" i="3584"/>
  <c r="AF5" i="2556" l="1"/>
  <c r="AF37" i="2556"/>
  <c r="I145" i="2"/>
  <c r="AG18" i="3"/>
  <c r="AG15" i="3"/>
  <c r="B26" i="3622"/>
  <c r="C27" i="3645"/>
  <c r="B25" i="3645"/>
  <c r="B26" i="3645"/>
  <c r="B25" i="3622"/>
  <c r="C26" i="3645"/>
  <c r="B28" i="3622"/>
  <c r="B49" i="3622"/>
  <c r="C50" i="3645"/>
  <c r="B50" i="3622"/>
  <c r="C51" i="3645"/>
  <c r="B24" i="3622"/>
  <c r="C25" i="3645"/>
  <c r="C84" i="3584"/>
  <c r="AG5" i="2556" l="1"/>
  <c r="AG37" i="2556"/>
  <c r="AH18" i="3"/>
  <c r="AH15" i="3"/>
  <c r="C19" i="3584"/>
  <c r="G45" i="3632"/>
  <c r="AH5" i="2556" l="1"/>
  <c r="AH37" i="2556"/>
  <c r="AI18" i="3"/>
  <c r="AI15" i="3"/>
  <c r="A105" i="3632"/>
  <c r="A90" i="3632"/>
  <c r="AI5" i="2556" l="1"/>
  <c r="AI37" i="2556"/>
  <c r="AJ18" i="3"/>
  <c r="AJ15" i="3"/>
  <c r="Z25" i="3631"/>
  <c r="AJ37" i="2556" l="1"/>
  <c r="AJ5" i="2556"/>
  <c r="AL18" i="3"/>
  <c r="AK18" i="3"/>
  <c r="AL15" i="3"/>
  <c r="AK15" i="3"/>
  <c r="B3" i="188"/>
  <c r="AK37" i="2556" l="1"/>
  <c r="AK5" i="2556"/>
  <c r="AL37" i="2556"/>
  <c r="AL5" i="2556"/>
  <c r="E58" i="3631"/>
  <c r="G112" i="3631"/>
  <c r="E73" i="3631" l="1"/>
  <c r="D73" i="3631"/>
  <c r="C73" i="3631"/>
  <c r="B73" i="3631"/>
  <c r="E72" i="3631"/>
  <c r="D72" i="3631"/>
  <c r="C72" i="3631"/>
  <c r="B72" i="3631"/>
  <c r="E71" i="3631"/>
  <c r="D71" i="3631"/>
  <c r="C71" i="3631"/>
  <c r="B71" i="3631"/>
  <c r="E70" i="3631"/>
  <c r="D70" i="3631"/>
  <c r="C70" i="3631"/>
  <c r="B70" i="3631"/>
  <c r="E69" i="3631"/>
  <c r="D69" i="3631"/>
  <c r="C69" i="3631"/>
  <c r="B69" i="3631"/>
  <c r="E68" i="3631"/>
  <c r="D68" i="3631"/>
  <c r="C68" i="3631"/>
  <c r="B68" i="3631"/>
  <c r="E67" i="3631"/>
  <c r="D67" i="3631"/>
  <c r="C67" i="3631"/>
  <c r="B67" i="3631"/>
  <c r="E66" i="3631"/>
  <c r="D66" i="3631"/>
  <c r="C66" i="3631"/>
  <c r="B66" i="3631"/>
  <c r="E65" i="3631"/>
  <c r="D65" i="3631"/>
  <c r="C65" i="3631"/>
  <c r="B65" i="3631"/>
  <c r="E64" i="3631"/>
  <c r="D64" i="3631"/>
  <c r="C64" i="3631"/>
  <c r="B64" i="3631"/>
  <c r="E63" i="3631"/>
  <c r="D63" i="3631"/>
  <c r="C63" i="3631"/>
  <c r="B63" i="3631"/>
  <c r="E62" i="3631"/>
  <c r="D62" i="3631"/>
  <c r="C62" i="3631"/>
  <c r="B62" i="3631"/>
  <c r="E61" i="3631"/>
  <c r="D61" i="3631"/>
  <c r="C61" i="3631"/>
  <c r="B61" i="3631"/>
  <c r="E60" i="3631"/>
  <c r="D60" i="3631"/>
  <c r="C60" i="3631"/>
  <c r="B60" i="3631"/>
  <c r="E59" i="3631"/>
  <c r="D59" i="3631"/>
  <c r="C59" i="3631"/>
  <c r="B59" i="3631"/>
  <c r="D58" i="3631"/>
  <c r="C58" i="3631"/>
  <c r="B58" i="3631"/>
  <c r="G105" i="3632" l="1"/>
  <c r="K105" i="3632" s="1"/>
  <c r="O105" i="3632" s="1"/>
  <c r="S105" i="3632" s="1"/>
  <c r="W105" i="3632" s="1"/>
  <c r="AA105" i="3632" s="1"/>
  <c r="AE105" i="3632" s="1"/>
  <c r="AI105" i="3632" s="1"/>
  <c r="A104" i="3632"/>
  <c r="H104" i="3632" s="1"/>
  <c r="L104" i="3632" s="1"/>
  <c r="P104" i="3632" s="1"/>
  <c r="T104" i="3632" s="1"/>
  <c r="X104" i="3632" s="1"/>
  <c r="AB104" i="3632" s="1"/>
  <c r="AF104" i="3632" s="1"/>
  <c r="AJ104" i="3632" s="1"/>
  <c r="A103" i="3632"/>
  <c r="I103" i="3632" s="1"/>
  <c r="M103" i="3632" s="1"/>
  <c r="Q103" i="3632" s="1"/>
  <c r="U103" i="3632" s="1"/>
  <c r="Y103" i="3632" s="1"/>
  <c r="AC103" i="3632" s="1"/>
  <c r="AG103" i="3632" s="1"/>
  <c r="AK103" i="3632" s="1"/>
  <c r="A102" i="3632"/>
  <c r="F102" i="3632" s="1"/>
  <c r="A101" i="3632"/>
  <c r="G101" i="3632" s="1"/>
  <c r="K101" i="3632" s="1"/>
  <c r="O101" i="3632" s="1"/>
  <c r="S101" i="3632" s="1"/>
  <c r="W101" i="3632" s="1"/>
  <c r="AA101" i="3632" s="1"/>
  <c r="AE101" i="3632" s="1"/>
  <c r="AI101" i="3632" s="1"/>
  <c r="A100" i="3632"/>
  <c r="H100" i="3632" s="1"/>
  <c r="L100" i="3632" s="1"/>
  <c r="P100" i="3632" s="1"/>
  <c r="T100" i="3632" s="1"/>
  <c r="X100" i="3632" s="1"/>
  <c r="AB100" i="3632" s="1"/>
  <c r="AF100" i="3632" s="1"/>
  <c r="AJ100" i="3632" s="1"/>
  <c r="A99" i="3632"/>
  <c r="I99" i="3632" s="1"/>
  <c r="M99" i="3632" s="1"/>
  <c r="Q99" i="3632" s="1"/>
  <c r="U99" i="3632" s="1"/>
  <c r="Y99" i="3632" s="1"/>
  <c r="AC99" i="3632" s="1"/>
  <c r="AG99" i="3632" s="1"/>
  <c r="AK99" i="3632" s="1"/>
  <c r="A98" i="3632"/>
  <c r="F98" i="3632" s="1"/>
  <c r="A97" i="3632"/>
  <c r="G97" i="3632" s="1"/>
  <c r="K97" i="3632" s="1"/>
  <c r="O97" i="3632" s="1"/>
  <c r="S97" i="3632" s="1"/>
  <c r="A96" i="3632"/>
  <c r="H96" i="3632" s="1"/>
  <c r="L96" i="3632" s="1"/>
  <c r="P96" i="3632" s="1"/>
  <c r="A95" i="3632"/>
  <c r="I95" i="3632" s="1"/>
  <c r="M95" i="3632" s="1"/>
  <c r="Q95" i="3632" s="1"/>
  <c r="A94" i="3632"/>
  <c r="F94" i="3632" s="1"/>
  <c r="A93" i="3632"/>
  <c r="G93" i="3632" s="1"/>
  <c r="K93" i="3632" s="1"/>
  <c r="O93" i="3632" s="1"/>
  <c r="A92" i="3632"/>
  <c r="H92" i="3632" s="1"/>
  <c r="L92" i="3632" s="1"/>
  <c r="P92" i="3632" s="1"/>
  <c r="A91" i="3632"/>
  <c r="I91" i="3632" s="1"/>
  <c r="M91" i="3632" s="1"/>
  <c r="Q91" i="3632" s="1"/>
  <c r="F90" i="3632"/>
  <c r="T96" i="3632" l="1"/>
  <c r="E90" i="3632"/>
  <c r="E94" i="3632"/>
  <c r="E98" i="3632"/>
  <c r="E102" i="3632"/>
  <c r="J105" i="3632"/>
  <c r="N105" i="3632" s="1"/>
  <c r="R105" i="3632" s="1"/>
  <c r="V105" i="3632" s="1"/>
  <c r="Z105" i="3632" s="1"/>
  <c r="AD105" i="3632" s="1"/>
  <c r="AH105" i="3632" s="1"/>
  <c r="AL105" i="3632" s="1"/>
  <c r="F105" i="3632"/>
  <c r="G104" i="3632"/>
  <c r="K104" i="3632" s="1"/>
  <c r="O104" i="3632" s="1"/>
  <c r="S104" i="3632" s="1"/>
  <c r="W104" i="3632" s="1"/>
  <c r="AA104" i="3632" s="1"/>
  <c r="AE104" i="3632" s="1"/>
  <c r="AI104" i="3632" s="1"/>
  <c r="H103" i="3632"/>
  <c r="L103" i="3632" s="1"/>
  <c r="P103" i="3632" s="1"/>
  <c r="T103" i="3632" s="1"/>
  <c r="X103" i="3632" s="1"/>
  <c r="AB103" i="3632" s="1"/>
  <c r="AF103" i="3632" s="1"/>
  <c r="AJ103" i="3632" s="1"/>
  <c r="I102" i="3632"/>
  <c r="J101" i="3632"/>
  <c r="N101" i="3632" s="1"/>
  <c r="R101" i="3632" s="1"/>
  <c r="V101" i="3632" s="1"/>
  <c r="Z101" i="3632" s="1"/>
  <c r="AD101" i="3632" s="1"/>
  <c r="AH101" i="3632" s="1"/>
  <c r="AL101" i="3632" s="1"/>
  <c r="F101" i="3632"/>
  <c r="G100" i="3632"/>
  <c r="K100" i="3632" s="1"/>
  <c r="O100" i="3632" s="1"/>
  <c r="S100" i="3632" s="1"/>
  <c r="W100" i="3632" s="1"/>
  <c r="AA100" i="3632" s="1"/>
  <c r="AE100" i="3632" s="1"/>
  <c r="AI100" i="3632" s="1"/>
  <c r="H99" i="3632"/>
  <c r="L99" i="3632" s="1"/>
  <c r="P99" i="3632" s="1"/>
  <c r="T99" i="3632" s="1"/>
  <c r="X99" i="3632" s="1"/>
  <c r="AB99" i="3632" s="1"/>
  <c r="AF99" i="3632" s="1"/>
  <c r="AJ99" i="3632" s="1"/>
  <c r="I98" i="3632"/>
  <c r="J97" i="3632"/>
  <c r="N97" i="3632" s="1"/>
  <c r="R97" i="3632" s="1"/>
  <c r="F97" i="3632"/>
  <c r="G96" i="3632"/>
  <c r="K96" i="3632" s="1"/>
  <c r="O96" i="3632" s="1"/>
  <c r="S96" i="3632" s="1"/>
  <c r="H95" i="3632"/>
  <c r="L95" i="3632" s="1"/>
  <c r="P95" i="3632" s="1"/>
  <c r="I94" i="3632"/>
  <c r="J93" i="3632"/>
  <c r="N93" i="3632" s="1"/>
  <c r="R93" i="3632" s="1"/>
  <c r="F93" i="3632"/>
  <c r="G92" i="3632"/>
  <c r="K92" i="3632" s="1"/>
  <c r="O92" i="3632" s="1"/>
  <c r="S92" i="3632" s="1"/>
  <c r="H91" i="3632"/>
  <c r="L91" i="3632" s="1"/>
  <c r="P91" i="3632" s="1"/>
  <c r="I90" i="3632"/>
  <c r="E91" i="3632"/>
  <c r="E95" i="3632"/>
  <c r="E99" i="3632"/>
  <c r="E103" i="3632"/>
  <c r="I105" i="3632"/>
  <c r="M105" i="3632" s="1"/>
  <c r="Q105" i="3632" s="1"/>
  <c r="U105" i="3632" s="1"/>
  <c r="Y105" i="3632" s="1"/>
  <c r="AC105" i="3632" s="1"/>
  <c r="AG105" i="3632" s="1"/>
  <c r="AK105" i="3632" s="1"/>
  <c r="J104" i="3632"/>
  <c r="N104" i="3632" s="1"/>
  <c r="R104" i="3632" s="1"/>
  <c r="V104" i="3632" s="1"/>
  <c r="Z104" i="3632" s="1"/>
  <c r="AD104" i="3632" s="1"/>
  <c r="AH104" i="3632" s="1"/>
  <c r="AL104" i="3632" s="1"/>
  <c r="F104" i="3632"/>
  <c r="G103" i="3632"/>
  <c r="K103" i="3632" s="1"/>
  <c r="O103" i="3632" s="1"/>
  <c r="S103" i="3632" s="1"/>
  <c r="W103" i="3632" s="1"/>
  <c r="AA103" i="3632" s="1"/>
  <c r="AE103" i="3632" s="1"/>
  <c r="AI103" i="3632" s="1"/>
  <c r="H102" i="3632"/>
  <c r="L102" i="3632" s="1"/>
  <c r="P102" i="3632" s="1"/>
  <c r="T102" i="3632" s="1"/>
  <c r="X102" i="3632" s="1"/>
  <c r="AB102" i="3632" s="1"/>
  <c r="AF102" i="3632" s="1"/>
  <c r="AJ102" i="3632" s="1"/>
  <c r="I101" i="3632"/>
  <c r="M101" i="3632" s="1"/>
  <c r="Q101" i="3632" s="1"/>
  <c r="U101" i="3632" s="1"/>
  <c r="Y101" i="3632" s="1"/>
  <c r="AC101" i="3632" s="1"/>
  <c r="AG101" i="3632" s="1"/>
  <c r="AK101" i="3632" s="1"/>
  <c r="J100" i="3632"/>
  <c r="N100" i="3632" s="1"/>
  <c r="R100" i="3632" s="1"/>
  <c r="V100" i="3632" s="1"/>
  <c r="Z100" i="3632" s="1"/>
  <c r="AD100" i="3632" s="1"/>
  <c r="AH100" i="3632" s="1"/>
  <c r="AL100" i="3632" s="1"/>
  <c r="F100" i="3632"/>
  <c r="G99" i="3632"/>
  <c r="K99" i="3632" s="1"/>
  <c r="O99" i="3632" s="1"/>
  <c r="S99" i="3632" s="1"/>
  <c r="W99" i="3632" s="1"/>
  <c r="AA99" i="3632" s="1"/>
  <c r="AE99" i="3632" s="1"/>
  <c r="AI99" i="3632" s="1"/>
  <c r="H98" i="3632"/>
  <c r="L98" i="3632" s="1"/>
  <c r="P98" i="3632" s="1"/>
  <c r="I97" i="3632"/>
  <c r="M97" i="3632" s="1"/>
  <c r="Q97" i="3632" s="1"/>
  <c r="J96" i="3632"/>
  <c r="N96" i="3632" s="1"/>
  <c r="R96" i="3632" s="1"/>
  <c r="F96" i="3632"/>
  <c r="G95" i="3632"/>
  <c r="K95" i="3632" s="1"/>
  <c r="O95" i="3632" s="1"/>
  <c r="H94" i="3632"/>
  <c r="L94" i="3632" s="1"/>
  <c r="P94" i="3632" s="1"/>
  <c r="T94" i="3632" s="1"/>
  <c r="I93" i="3632"/>
  <c r="M93" i="3632" s="1"/>
  <c r="Q93" i="3632" s="1"/>
  <c r="J92" i="3632"/>
  <c r="N92" i="3632" s="1"/>
  <c r="R92" i="3632" s="1"/>
  <c r="F92" i="3632"/>
  <c r="G91" i="3632"/>
  <c r="K91" i="3632" s="1"/>
  <c r="O91" i="3632" s="1"/>
  <c r="S91" i="3632" s="1"/>
  <c r="H90" i="3632"/>
  <c r="L90" i="3632" s="1"/>
  <c r="P90" i="3632" s="1"/>
  <c r="E92" i="3632"/>
  <c r="E96" i="3632"/>
  <c r="E100" i="3632"/>
  <c r="E104" i="3632"/>
  <c r="H105" i="3632"/>
  <c r="L105" i="3632" s="1"/>
  <c r="P105" i="3632" s="1"/>
  <c r="T105" i="3632" s="1"/>
  <c r="X105" i="3632" s="1"/>
  <c r="AB105" i="3632" s="1"/>
  <c r="AF105" i="3632" s="1"/>
  <c r="AJ105" i="3632" s="1"/>
  <c r="I104" i="3632"/>
  <c r="M104" i="3632" s="1"/>
  <c r="Q104" i="3632" s="1"/>
  <c r="U104" i="3632" s="1"/>
  <c r="Y104" i="3632" s="1"/>
  <c r="AC104" i="3632" s="1"/>
  <c r="AG104" i="3632" s="1"/>
  <c r="AK104" i="3632" s="1"/>
  <c r="J103" i="3632"/>
  <c r="N103" i="3632" s="1"/>
  <c r="R103" i="3632" s="1"/>
  <c r="V103" i="3632" s="1"/>
  <c r="Z103" i="3632" s="1"/>
  <c r="AD103" i="3632" s="1"/>
  <c r="AH103" i="3632" s="1"/>
  <c r="AL103" i="3632" s="1"/>
  <c r="F103" i="3632"/>
  <c r="G102" i="3632"/>
  <c r="K102" i="3632" s="1"/>
  <c r="O102" i="3632" s="1"/>
  <c r="S102" i="3632" s="1"/>
  <c r="W102" i="3632" s="1"/>
  <c r="AA102" i="3632" s="1"/>
  <c r="AE102" i="3632" s="1"/>
  <c r="AI102" i="3632" s="1"/>
  <c r="H101" i="3632"/>
  <c r="L101" i="3632" s="1"/>
  <c r="P101" i="3632" s="1"/>
  <c r="T101" i="3632" s="1"/>
  <c r="X101" i="3632" s="1"/>
  <c r="AB101" i="3632" s="1"/>
  <c r="AF101" i="3632" s="1"/>
  <c r="AJ101" i="3632" s="1"/>
  <c r="I100" i="3632"/>
  <c r="M100" i="3632" s="1"/>
  <c r="Q100" i="3632" s="1"/>
  <c r="U100" i="3632" s="1"/>
  <c r="Y100" i="3632" s="1"/>
  <c r="AC100" i="3632" s="1"/>
  <c r="AG100" i="3632" s="1"/>
  <c r="AK100" i="3632" s="1"/>
  <c r="J99" i="3632"/>
  <c r="N99" i="3632" s="1"/>
  <c r="R99" i="3632" s="1"/>
  <c r="V99" i="3632" s="1"/>
  <c r="Z99" i="3632" s="1"/>
  <c r="AD99" i="3632" s="1"/>
  <c r="AH99" i="3632" s="1"/>
  <c r="AL99" i="3632" s="1"/>
  <c r="F99" i="3632"/>
  <c r="G98" i="3632"/>
  <c r="K98" i="3632" s="1"/>
  <c r="O98" i="3632" s="1"/>
  <c r="H97" i="3632"/>
  <c r="L97" i="3632" s="1"/>
  <c r="P97" i="3632" s="1"/>
  <c r="I96" i="3632"/>
  <c r="M96" i="3632" s="1"/>
  <c r="Q96" i="3632" s="1"/>
  <c r="J95" i="3632"/>
  <c r="N95" i="3632" s="1"/>
  <c r="R95" i="3632" s="1"/>
  <c r="F95" i="3632"/>
  <c r="G94" i="3632"/>
  <c r="K94" i="3632" s="1"/>
  <c r="O94" i="3632" s="1"/>
  <c r="S94" i="3632" s="1"/>
  <c r="H93" i="3632"/>
  <c r="L93" i="3632" s="1"/>
  <c r="P93" i="3632" s="1"/>
  <c r="I92" i="3632"/>
  <c r="M92" i="3632" s="1"/>
  <c r="Q92" i="3632" s="1"/>
  <c r="J91" i="3632"/>
  <c r="N91" i="3632" s="1"/>
  <c r="R91" i="3632" s="1"/>
  <c r="F91" i="3632"/>
  <c r="G90" i="3632"/>
  <c r="K90" i="3632" s="1"/>
  <c r="O90" i="3632" s="1"/>
  <c r="S90" i="3632" s="1"/>
  <c r="E93" i="3632"/>
  <c r="E97" i="3632"/>
  <c r="E101" i="3632"/>
  <c r="E105" i="3632"/>
  <c r="J102" i="3632"/>
  <c r="N102" i="3632" s="1"/>
  <c r="R102" i="3632" s="1"/>
  <c r="V102" i="3632" s="1"/>
  <c r="Z102" i="3632" s="1"/>
  <c r="AD102" i="3632" s="1"/>
  <c r="AH102" i="3632" s="1"/>
  <c r="AL102" i="3632" s="1"/>
  <c r="J98" i="3632"/>
  <c r="N98" i="3632" s="1"/>
  <c r="R98" i="3632" s="1"/>
  <c r="J94" i="3632"/>
  <c r="N94" i="3632" s="1"/>
  <c r="R94" i="3632" s="1"/>
  <c r="J90" i="3632"/>
  <c r="N90" i="3632" s="1"/>
  <c r="R90" i="3632" s="1"/>
  <c r="K51" i="2556"/>
  <c r="L2" i="3640"/>
  <c r="N2" i="3640"/>
  <c r="N3" i="3640" s="1"/>
  <c r="H1" i="3628"/>
  <c r="E2" i="3631" s="1"/>
  <c r="BI2" i="3631" s="1"/>
  <c r="BW2" i="3631" s="1"/>
  <c r="H88" i="3584"/>
  <c r="C3" i="3632"/>
  <c r="D3" i="3632"/>
  <c r="E3" i="3632"/>
  <c r="F3" i="3632"/>
  <c r="G3" i="3632"/>
  <c r="H7" i="3632" s="1"/>
  <c r="C4" i="3632"/>
  <c r="D4" i="3632"/>
  <c r="E4" i="3632"/>
  <c r="F4" i="3632"/>
  <c r="G4" i="3632"/>
  <c r="B4" i="3632"/>
  <c r="B3" i="3632"/>
  <c r="E39" i="3631" l="1"/>
  <c r="F8" i="3632"/>
  <c r="C29" i="3645"/>
  <c r="V94" i="3632"/>
  <c r="T97" i="3632"/>
  <c r="S98" i="3632"/>
  <c r="T90" i="3632"/>
  <c r="S95" i="3632"/>
  <c r="T98" i="3632"/>
  <c r="U97" i="3632"/>
  <c r="U96" i="3632"/>
  <c r="W94" i="3632"/>
  <c r="S93" i="3632"/>
  <c r="T92" i="3632"/>
  <c r="T91" i="3632"/>
  <c r="M102" i="3632"/>
  <c r="Q102" i="3632" s="1"/>
  <c r="U102" i="3632" s="1"/>
  <c r="Y102" i="3632" s="1"/>
  <c r="AC102" i="3632" s="1"/>
  <c r="AG102" i="3632" s="1"/>
  <c r="AK102" i="3632" s="1"/>
  <c r="M98" i="3632"/>
  <c r="Q98" i="3632" s="1"/>
  <c r="M94" i="3632"/>
  <c r="Q94" i="3632" s="1"/>
  <c r="U94" i="3632" s="1"/>
  <c r="M90" i="3632"/>
  <c r="Q90" i="3632" s="1"/>
  <c r="U90" i="3632" s="1"/>
  <c r="N3" i="3628"/>
  <c r="G1" i="3628" s="1"/>
  <c r="D2" i="3631" s="1"/>
  <c r="BG2" i="3631" s="1"/>
  <c r="BU2" i="3631" s="1"/>
  <c r="N4" i="3640"/>
  <c r="G1" i="3640"/>
  <c r="H1" i="3640"/>
  <c r="G85" i="3632"/>
  <c r="D39" i="3631" l="1"/>
  <c r="T95" i="3632"/>
  <c r="T93" i="3632"/>
  <c r="U92" i="3632"/>
  <c r="U91" i="3632"/>
  <c r="N4" i="3628"/>
  <c r="F1" i="3628" s="1"/>
  <c r="C2" i="3631" s="1"/>
  <c r="BE2" i="3631" s="1"/>
  <c r="BS2" i="3631" s="1"/>
  <c r="N5" i="3640"/>
  <c r="F1" i="3640"/>
  <c r="E57" i="3589"/>
  <c r="F57" i="3589"/>
  <c r="G57" i="3589"/>
  <c r="H57" i="3589"/>
  <c r="E58" i="3589"/>
  <c r="F58" i="3589"/>
  <c r="G58" i="3589"/>
  <c r="H58" i="3589"/>
  <c r="E59" i="3589"/>
  <c r="F59" i="3589"/>
  <c r="G59" i="3589"/>
  <c r="H59" i="3589"/>
  <c r="E60" i="3589"/>
  <c r="F60" i="3589"/>
  <c r="G60" i="3589"/>
  <c r="H60" i="3589"/>
  <c r="D60" i="3589"/>
  <c r="D59" i="3589"/>
  <c r="D58" i="3589"/>
  <c r="D57" i="3589"/>
  <c r="C39" i="3631" l="1"/>
  <c r="U98" i="3632"/>
  <c r="V97" i="3632"/>
  <c r="V96" i="3632"/>
  <c r="U95" i="3632"/>
  <c r="X94" i="3632"/>
  <c r="U93" i="3632"/>
  <c r="V92" i="3632"/>
  <c r="V91" i="3632"/>
  <c r="V90" i="3632"/>
  <c r="N5" i="3628"/>
  <c r="E1" i="3628" s="1"/>
  <c r="B2" i="3631" s="1"/>
  <c r="BC2" i="3631" s="1"/>
  <c r="BQ2" i="3631" s="1"/>
  <c r="N6" i="3640"/>
  <c r="E1" i="3640"/>
  <c r="B39" i="3631" l="1"/>
  <c r="V98" i="3632"/>
  <c r="W97" i="3632"/>
  <c r="W96" i="3632"/>
  <c r="V95" i="3632"/>
  <c r="Y94" i="3632"/>
  <c r="V93" i="3632"/>
  <c r="W92" i="3632"/>
  <c r="W91" i="3632"/>
  <c r="W90" i="3632"/>
  <c r="N6" i="3628"/>
  <c r="N7" i="3628" s="1"/>
  <c r="C1" i="3628" s="1"/>
  <c r="N7" i="3640"/>
  <c r="C1" i="3640" s="1"/>
  <c r="D1" i="3640"/>
  <c r="H3" i="3584"/>
  <c r="C4" i="3645" l="1"/>
  <c r="W98" i="3632"/>
  <c r="X97" i="3632"/>
  <c r="X96" i="3632"/>
  <c r="W95" i="3632"/>
  <c r="Z94" i="3632"/>
  <c r="W93" i="3632"/>
  <c r="X92" i="3632"/>
  <c r="X91" i="3632"/>
  <c r="X90" i="3632"/>
  <c r="D1" i="3628"/>
  <c r="E36" i="3631"/>
  <c r="D36" i="3631"/>
  <c r="C36" i="3631"/>
  <c r="E35" i="3631"/>
  <c r="D35" i="3631"/>
  <c r="C35" i="3631"/>
  <c r="E34" i="3631"/>
  <c r="D34" i="3631"/>
  <c r="C34" i="3631"/>
  <c r="E33" i="3631"/>
  <c r="D33" i="3631"/>
  <c r="C33" i="3631"/>
  <c r="E32" i="3631"/>
  <c r="D32" i="3631"/>
  <c r="C32" i="3631"/>
  <c r="E31" i="3631"/>
  <c r="D31" i="3631"/>
  <c r="C31" i="3631"/>
  <c r="E30" i="3631"/>
  <c r="D30" i="3631"/>
  <c r="C30" i="3631"/>
  <c r="E29" i="3631"/>
  <c r="D29" i="3631"/>
  <c r="C29" i="3631"/>
  <c r="E28" i="3631"/>
  <c r="D28" i="3631"/>
  <c r="C28" i="3631"/>
  <c r="E27" i="3631"/>
  <c r="D27" i="3631"/>
  <c r="C27" i="3631"/>
  <c r="E26" i="3631"/>
  <c r="D26" i="3631"/>
  <c r="C26" i="3631"/>
  <c r="E25" i="3631"/>
  <c r="D25" i="3631"/>
  <c r="C25" i="3631"/>
  <c r="E24" i="3631"/>
  <c r="D24" i="3631"/>
  <c r="C24" i="3631"/>
  <c r="E23" i="3631"/>
  <c r="D23" i="3631"/>
  <c r="C23" i="3631"/>
  <c r="E22" i="3631"/>
  <c r="D22" i="3631"/>
  <c r="C22" i="3631"/>
  <c r="E21" i="3631"/>
  <c r="D21" i="3631"/>
  <c r="C21" i="3631"/>
  <c r="X98" i="3632" l="1"/>
  <c r="Y97" i="3632"/>
  <c r="Y96" i="3632"/>
  <c r="X95" i="3632"/>
  <c r="AA94" i="3632"/>
  <c r="X93" i="3632"/>
  <c r="Y92" i="3632"/>
  <c r="Y91" i="3632"/>
  <c r="Y90" i="3632"/>
  <c r="D3" i="3584"/>
  <c r="E3" i="3584"/>
  <c r="F3" i="3584"/>
  <c r="G3" i="3584"/>
  <c r="C32" i="3590"/>
  <c r="C10" i="3590"/>
  <c r="E61" i="3589"/>
  <c r="F61" i="3589"/>
  <c r="H61" i="3589"/>
  <c r="D61" i="3589"/>
  <c r="E62" i="3589"/>
  <c r="F62" i="3589"/>
  <c r="D62" i="3589"/>
  <c r="L51" i="2556"/>
  <c r="D60" i="3584"/>
  <c r="E60" i="3584"/>
  <c r="F60" i="3584"/>
  <c r="G60" i="3584"/>
  <c r="H60" i="3584"/>
  <c r="B245" i="3635"/>
  <c r="B191" i="3635"/>
  <c r="B299" i="3635"/>
  <c r="B4" i="3645" l="1"/>
  <c r="B16" i="3645"/>
  <c r="C16" i="3645"/>
  <c r="Y98" i="3632"/>
  <c r="Z97" i="3632"/>
  <c r="Z96" i="3632"/>
  <c r="Y95" i="3632"/>
  <c r="AB94" i="3632"/>
  <c r="Y93" i="3632"/>
  <c r="Z92" i="3632"/>
  <c r="Z91" i="3632"/>
  <c r="Z90" i="3632"/>
  <c r="AH94" i="3633"/>
  <c r="Y10" i="3633"/>
  <c r="X10" i="3633"/>
  <c r="V10" i="3633"/>
  <c r="Q10" i="3633"/>
  <c r="F10" i="3633"/>
  <c r="N177" i="3633"/>
  <c r="M177" i="3633"/>
  <c r="L177" i="3633"/>
  <c r="K177" i="3633"/>
  <c r="J177" i="3633"/>
  <c r="I177" i="3633"/>
  <c r="H177" i="3633"/>
  <c r="G177" i="3633"/>
  <c r="F177" i="3633"/>
  <c r="E177" i="3633"/>
  <c r="D177" i="3633"/>
  <c r="C177" i="3633"/>
  <c r="D86" i="3632"/>
  <c r="F85" i="3632"/>
  <c r="E85" i="3632"/>
  <c r="D85" i="3632"/>
  <c r="D46" i="3632"/>
  <c r="F45" i="3632"/>
  <c r="E45" i="3632"/>
  <c r="D45" i="3632"/>
  <c r="C7" i="3632"/>
  <c r="Z98" i="3632" l="1"/>
  <c r="AA97" i="3632"/>
  <c r="AA96" i="3632"/>
  <c r="Z95" i="3632"/>
  <c r="AC94" i="3632"/>
  <c r="Z93" i="3632"/>
  <c r="AA92" i="3632"/>
  <c r="AA91" i="3632"/>
  <c r="AA90" i="3632"/>
  <c r="U10" i="3633"/>
  <c r="AC94" i="3633"/>
  <c r="AC3" i="3633"/>
  <c r="E7" i="3632"/>
  <c r="F7" i="3632"/>
  <c r="C8" i="3632"/>
  <c r="D7" i="3632"/>
  <c r="G7" i="3632"/>
  <c r="AA10" i="3633"/>
  <c r="G94" i="3633"/>
  <c r="H94" i="3633"/>
  <c r="AB3" i="3633"/>
  <c r="AK10" i="3633"/>
  <c r="V94" i="3633"/>
  <c r="W94" i="3633"/>
  <c r="E8" i="3632"/>
  <c r="M94" i="3633"/>
  <c r="X94" i="3633"/>
  <c r="Y94" i="3633"/>
  <c r="D8" i="3632"/>
  <c r="W10" i="3633"/>
  <c r="K3" i="3633"/>
  <c r="Z94" i="3633"/>
  <c r="E94" i="3633"/>
  <c r="F94" i="3633"/>
  <c r="AI10" i="3633"/>
  <c r="AA94" i="3633"/>
  <c r="AB94" i="3633"/>
  <c r="AD94" i="3633"/>
  <c r="AI94" i="3633"/>
  <c r="L86" i="3633"/>
  <c r="G10" i="3633"/>
  <c r="AR10" i="3633"/>
  <c r="Z10" i="3633"/>
  <c r="D183" i="3633"/>
  <c r="D187" i="3633" s="1"/>
  <c r="AJ3" i="3633"/>
  <c r="AK94" i="3633"/>
  <c r="AP10" i="3633"/>
  <c r="E10" i="3633"/>
  <c r="AE3" i="3633"/>
  <c r="AF3" i="3633"/>
  <c r="F3" i="3633"/>
  <c r="F19" i="3633" s="1"/>
  <c r="F35" i="3633" s="1"/>
  <c r="AH3" i="3633"/>
  <c r="J86" i="3633"/>
  <c r="C10" i="3633"/>
  <c r="AD3" i="3633"/>
  <c r="AG3" i="3633"/>
  <c r="G3" i="3633"/>
  <c r="Z3" i="3633"/>
  <c r="AQ3" i="3633"/>
  <c r="AJ94" i="3633"/>
  <c r="H86" i="3633"/>
  <c r="S3" i="3633"/>
  <c r="D10" i="3633"/>
  <c r="V3" i="3633"/>
  <c r="V19" i="3633" s="1"/>
  <c r="V36" i="3633" s="1"/>
  <c r="W3" i="3633"/>
  <c r="X3" i="3633"/>
  <c r="X19" i="3633" s="1"/>
  <c r="X33" i="3633" s="1"/>
  <c r="Y3" i="3633"/>
  <c r="Y19" i="3633" s="1"/>
  <c r="Y25" i="3633" s="1"/>
  <c r="AA3" i="3633"/>
  <c r="I3" i="3633"/>
  <c r="AR94" i="3633"/>
  <c r="T10" i="3633"/>
  <c r="D94" i="3633"/>
  <c r="D86" i="3633"/>
  <c r="E86" i="3633"/>
  <c r="F86" i="3633"/>
  <c r="H183" i="3633"/>
  <c r="H187" i="3633" s="1"/>
  <c r="AP94" i="3633"/>
  <c r="I183" i="3633"/>
  <c r="I187" i="3633" s="1"/>
  <c r="J193" i="3633"/>
  <c r="J197" i="3633" s="1"/>
  <c r="J183" i="3633"/>
  <c r="J187" i="3633" s="1"/>
  <c r="K183" i="3633"/>
  <c r="K187" i="3633" s="1"/>
  <c r="M183" i="3633"/>
  <c r="M187" i="3633" s="1"/>
  <c r="C94" i="3633"/>
  <c r="L183" i="3633"/>
  <c r="L187" i="3633" s="1"/>
  <c r="AQ94" i="3633"/>
  <c r="AP3" i="3633"/>
  <c r="E3" i="3633"/>
  <c r="H3" i="3633"/>
  <c r="G86" i="3633"/>
  <c r="I86" i="3633"/>
  <c r="I10" i="3633"/>
  <c r="L10" i="3633"/>
  <c r="I94" i="3633"/>
  <c r="J94" i="3633"/>
  <c r="N10" i="3633"/>
  <c r="K94" i="3633"/>
  <c r="O10" i="3633"/>
  <c r="L94" i="3633"/>
  <c r="P10" i="3633"/>
  <c r="J10" i="3633"/>
  <c r="R10" i="3633"/>
  <c r="AM3" i="3633"/>
  <c r="S10" i="3633"/>
  <c r="P94" i="3633"/>
  <c r="AK3" i="3633"/>
  <c r="N94" i="3633"/>
  <c r="AL3" i="3633"/>
  <c r="AN3" i="3633"/>
  <c r="Q94" i="3633"/>
  <c r="K10" i="3633"/>
  <c r="M10" i="3633"/>
  <c r="H10" i="3633"/>
  <c r="O94" i="3633"/>
  <c r="C3" i="3633"/>
  <c r="D3" i="3633"/>
  <c r="AO3" i="3633"/>
  <c r="C86" i="3633"/>
  <c r="R94" i="3633"/>
  <c r="T94" i="3633"/>
  <c r="U94" i="3633"/>
  <c r="AB10" i="3633"/>
  <c r="S94" i="3633"/>
  <c r="AC10" i="3633"/>
  <c r="K86" i="3633"/>
  <c r="AL10" i="3633"/>
  <c r="AR3" i="3633"/>
  <c r="AD10" i="3633"/>
  <c r="J3" i="3633"/>
  <c r="AE10" i="3633"/>
  <c r="AM10" i="3633"/>
  <c r="AF10" i="3633"/>
  <c r="AN10" i="3633"/>
  <c r="L3" i="3633"/>
  <c r="T3" i="3633"/>
  <c r="AG10" i="3633"/>
  <c r="AO10" i="3633"/>
  <c r="M3" i="3633"/>
  <c r="U3" i="3633"/>
  <c r="AH10" i="3633"/>
  <c r="AM94" i="3633"/>
  <c r="P3" i="3633"/>
  <c r="N3" i="3633"/>
  <c r="AE94" i="3633"/>
  <c r="O3" i="3633"/>
  <c r="AJ10" i="3633"/>
  <c r="Q3" i="3633"/>
  <c r="Q19" i="3633" s="1"/>
  <c r="Q38" i="3633" s="1"/>
  <c r="R3" i="3633"/>
  <c r="AF94" i="3633"/>
  <c r="AN94" i="3633"/>
  <c r="AQ10" i="3633"/>
  <c r="AG94" i="3633"/>
  <c r="AO94" i="3633"/>
  <c r="M86" i="3633"/>
  <c r="N86" i="3633"/>
  <c r="AL94" i="3633"/>
  <c r="AI3" i="3633"/>
  <c r="C183" i="3633"/>
  <c r="C187" i="3633" s="1"/>
  <c r="E183" i="3633"/>
  <c r="E187" i="3633" s="1"/>
  <c r="F193" i="3633"/>
  <c r="F197" i="3633" s="1"/>
  <c r="F183" i="3633"/>
  <c r="F187" i="3633" s="1"/>
  <c r="G183" i="3633"/>
  <c r="G187" i="3633" s="1"/>
  <c r="E86" i="3632"/>
  <c r="F86" i="3632"/>
  <c r="G86" i="3632"/>
  <c r="H85" i="3632"/>
  <c r="H4" i="3632" s="1"/>
  <c r="G46" i="3632"/>
  <c r="H86" i="3632"/>
  <c r="E46" i="3632"/>
  <c r="F46" i="3632"/>
  <c r="H46" i="3632"/>
  <c r="G8" i="3632"/>
  <c r="AA98" i="3632" l="1"/>
  <c r="AB97" i="3632"/>
  <c r="AB96" i="3632"/>
  <c r="AA95" i="3632"/>
  <c r="AD94" i="3632"/>
  <c r="AA93" i="3632"/>
  <c r="AB92" i="3632"/>
  <c r="AB91" i="3632"/>
  <c r="AB90" i="3632"/>
  <c r="AA19" i="3633"/>
  <c r="D98" i="3633"/>
  <c r="D106" i="3633" s="1"/>
  <c r="AB19" i="3633"/>
  <c r="AB27" i="3633" s="1"/>
  <c r="AC19" i="3633"/>
  <c r="AC34" i="3633" s="1"/>
  <c r="Y29" i="3633"/>
  <c r="Y27" i="3633"/>
  <c r="X29" i="3633"/>
  <c r="G98" i="3633"/>
  <c r="U19" i="3633"/>
  <c r="U26" i="3633" s="1"/>
  <c r="X35" i="3633"/>
  <c r="Y33" i="3633"/>
  <c r="Q26" i="3633"/>
  <c r="Q33" i="3633"/>
  <c r="Q30" i="3633"/>
  <c r="AJ19" i="3633"/>
  <c r="AJ27" i="3633" s="1"/>
  <c r="J19" i="3633"/>
  <c r="J34" i="3633" s="1"/>
  <c r="H8" i="3632"/>
  <c r="AK19" i="3633"/>
  <c r="AK36" i="3633" s="1"/>
  <c r="AR19" i="3633"/>
  <c r="AR38" i="3633" s="1"/>
  <c r="AI19" i="3633"/>
  <c r="AI35" i="3633" s="1"/>
  <c r="H98" i="3633"/>
  <c r="H111" i="3633" s="1"/>
  <c r="K19" i="3633"/>
  <c r="K26" i="3633" s="1"/>
  <c r="M98" i="3633"/>
  <c r="M179" i="3633" s="1"/>
  <c r="AF19" i="3633"/>
  <c r="AF27" i="3633" s="1"/>
  <c r="F26" i="3633"/>
  <c r="E98" i="3633"/>
  <c r="E100" i="3633" s="1"/>
  <c r="L98" i="3633"/>
  <c r="L107" i="3633" s="1"/>
  <c r="F98" i="3633"/>
  <c r="F106" i="3633" s="1"/>
  <c r="AM19" i="3633"/>
  <c r="AM30" i="3633" s="1"/>
  <c r="W19" i="3633"/>
  <c r="W34" i="3633" s="1"/>
  <c r="F38" i="3633"/>
  <c r="F34" i="3633"/>
  <c r="AN19" i="3633"/>
  <c r="AN28" i="3633" s="1"/>
  <c r="P19" i="3633"/>
  <c r="P30" i="3633" s="1"/>
  <c r="G19" i="3633"/>
  <c r="G33" i="3633" s="1"/>
  <c r="Z19" i="3633"/>
  <c r="Z30" i="3633" s="1"/>
  <c r="AP19" i="3633"/>
  <c r="AP34" i="3633" s="1"/>
  <c r="E19" i="3633"/>
  <c r="E36" i="3633" s="1"/>
  <c r="N98" i="3633"/>
  <c r="N100" i="3633" s="1"/>
  <c r="V33" i="3633"/>
  <c r="I98" i="3633"/>
  <c r="I111" i="3633" s="1"/>
  <c r="F29" i="3633"/>
  <c r="AE19" i="3633"/>
  <c r="F37" i="3633"/>
  <c r="AG19" i="3633"/>
  <c r="Q178" i="3633"/>
  <c r="Q21" i="3633"/>
  <c r="Q28" i="3633"/>
  <c r="Q34" i="3633"/>
  <c r="Q37" i="3633"/>
  <c r="Q29" i="3633"/>
  <c r="Q35" i="3633"/>
  <c r="Q25" i="3633"/>
  <c r="Q27" i="3633"/>
  <c r="C98" i="3633"/>
  <c r="C111" i="3633" s="1"/>
  <c r="Q32" i="3633"/>
  <c r="V178" i="3633"/>
  <c r="V21" i="3633"/>
  <c r="V67" i="3633" s="1"/>
  <c r="V34" i="3633"/>
  <c r="V29" i="3633"/>
  <c r="V26" i="3633"/>
  <c r="V30" i="3633"/>
  <c r="V38" i="3633"/>
  <c r="V35" i="3633"/>
  <c r="V27" i="3633"/>
  <c r="V37" i="3633"/>
  <c r="V32" i="3633"/>
  <c r="AH19" i="3633"/>
  <c r="T19" i="3633"/>
  <c r="L19" i="3633"/>
  <c r="R19" i="3633"/>
  <c r="O19" i="3633"/>
  <c r="AD19" i="3633"/>
  <c r="V25" i="3633"/>
  <c r="S19" i="3633"/>
  <c r="M19" i="3633"/>
  <c r="J98" i="3633"/>
  <c r="J111" i="3633" s="1"/>
  <c r="F178" i="3633"/>
  <c r="F28" i="3633"/>
  <c r="F30" i="3633"/>
  <c r="F21" i="3633"/>
  <c r="F66" i="3633" s="1"/>
  <c r="F32" i="3633"/>
  <c r="F36" i="3633"/>
  <c r="F27" i="3633"/>
  <c r="F25" i="3633"/>
  <c r="F33" i="3633"/>
  <c r="H19" i="3633"/>
  <c r="K98" i="3633"/>
  <c r="I19" i="3633"/>
  <c r="D19" i="3633"/>
  <c r="X178" i="3633"/>
  <c r="X21" i="3633"/>
  <c r="X64" i="3633" s="1"/>
  <c r="X36" i="3633"/>
  <c r="X38" i="3633"/>
  <c r="X34" i="3633"/>
  <c r="X26" i="3633"/>
  <c r="X28" i="3633"/>
  <c r="X37" i="3633"/>
  <c r="X32" i="3633"/>
  <c r="X27" i="3633"/>
  <c r="X30" i="3633"/>
  <c r="V28" i="3633"/>
  <c r="AQ19" i="3633"/>
  <c r="AL19" i="3633"/>
  <c r="Y178" i="3633"/>
  <c r="Y35" i="3633"/>
  <c r="Y21" i="3633"/>
  <c r="Y36" i="3633"/>
  <c r="Y38" i="3633"/>
  <c r="Y26" i="3633"/>
  <c r="Y28" i="3633"/>
  <c r="Y37" i="3633"/>
  <c r="Y32" i="3633"/>
  <c r="Y30" i="3633"/>
  <c r="Q36" i="3633"/>
  <c r="AO19" i="3633"/>
  <c r="N19" i="3633"/>
  <c r="C19" i="3633"/>
  <c r="Y34" i="3633"/>
  <c r="X25" i="3633"/>
  <c r="I85" i="3632"/>
  <c r="I4" i="3632" s="1"/>
  <c r="I86" i="3632"/>
  <c r="I46" i="3632"/>
  <c r="N2" i="3598"/>
  <c r="G2" i="3632" s="1"/>
  <c r="H2" i="2" s="1"/>
  <c r="A1" i="3628"/>
  <c r="H6" i="2556" l="1"/>
  <c r="J2" i="3645"/>
  <c r="J27" i="3645" s="1"/>
  <c r="C2" i="3645"/>
  <c r="C35" i="3645" s="1"/>
  <c r="C57" i="3645" s="1"/>
  <c r="AB98" i="3632"/>
  <c r="AC97" i="3632"/>
  <c r="AC96" i="3632"/>
  <c r="AB95" i="3632"/>
  <c r="AE94" i="3632"/>
  <c r="AB93" i="3632"/>
  <c r="AC92" i="3632"/>
  <c r="AC91" i="3632"/>
  <c r="AC90" i="3632"/>
  <c r="C41" i="3617"/>
  <c r="C22" i="3617"/>
  <c r="C3" i="3617"/>
  <c r="C80" i="3617"/>
  <c r="C60" i="3617"/>
  <c r="I2" i="2"/>
  <c r="H1" i="3597"/>
  <c r="H2" i="3632"/>
  <c r="G11" i="3632"/>
  <c r="G51" i="3632"/>
  <c r="G89" i="3632" s="1"/>
  <c r="M109" i="3633"/>
  <c r="U178" i="3633"/>
  <c r="U194" i="3633" s="1"/>
  <c r="U198" i="3633" s="1"/>
  <c r="D179" i="3633"/>
  <c r="AJ35" i="3633"/>
  <c r="M100" i="3633"/>
  <c r="M110" i="3633"/>
  <c r="U21" i="3633"/>
  <c r="U57" i="3633" s="1"/>
  <c r="AK34" i="3633"/>
  <c r="U36" i="3633"/>
  <c r="U25" i="3633"/>
  <c r="AR32" i="3633"/>
  <c r="AK30" i="3633"/>
  <c r="AF35" i="3633"/>
  <c r="AF25" i="3633"/>
  <c r="U38" i="3633"/>
  <c r="E107" i="3633"/>
  <c r="E136" i="3633" s="1"/>
  <c r="U30" i="3633"/>
  <c r="F107" i="3633"/>
  <c r="AA33" i="3633"/>
  <c r="AA26" i="3633"/>
  <c r="AA34" i="3633"/>
  <c r="G110" i="3633"/>
  <c r="G104" i="3633"/>
  <c r="N3" i="3598"/>
  <c r="D108" i="3633"/>
  <c r="D113" i="3633"/>
  <c r="D110" i="3633"/>
  <c r="AC35" i="3633"/>
  <c r="D100" i="3633"/>
  <c r="D135" i="3633" s="1"/>
  <c r="D109" i="3633"/>
  <c r="D105" i="3633"/>
  <c r="D104" i="3633"/>
  <c r="G179" i="3633"/>
  <c r="U28" i="3633"/>
  <c r="D111" i="3633"/>
  <c r="G107" i="3633"/>
  <c r="G106" i="3633"/>
  <c r="U37" i="3633"/>
  <c r="D112" i="3633"/>
  <c r="U33" i="3633"/>
  <c r="G113" i="3633"/>
  <c r="U32" i="3633"/>
  <c r="AC30" i="3633"/>
  <c r="G100" i="3633"/>
  <c r="U27" i="3633"/>
  <c r="U35" i="3633"/>
  <c r="G112" i="3633"/>
  <c r="AB178" i="3633"/>
  <c r="G109" i="3633"/>
  <c r="AB21" i="3633"/>
  <c r="AB58" i="3633" s="1"/>
  <c r="G105" i="3633"/>
  <c r="AA29" i="3633"/>
  <c r="AB26" i="3633"/>
  <c r="AA21" i="3633"/>
  <c r="AB29" i="3633"/>
  <c r="AA35" i="3633"/>
  <c r="AA28" i="3633"/>
  <c r="AB32" i="3633"/>
  <c r="J21" i="3633"/>
  <c r="J65" i="3633" s="1"/>
  <c r="J29" i="3633"/>
  <c r="AA32" i="3633"/>
  <c r="AB34" i="3633"/>
  <c r="AB35" i="3633"/>
  <c r="J30" i="3633"/>
  <c r="J36" i="3633"/>
  <c r="J28" i="3633"/>
  <c r="AB38" i="3633"/>
  <c r="J25" i="3633"/>
  <c r="J35" i="3633"/>
  <c r="AA27" i="3633"/>
  <c r="AB25" i="3633"/>
  <c r="AC178" i="3633"/>
  <c r="AB30" i="3633"/>
  <c r="AC37" i="3633"/>
  <c r="AI36" i="3633"/>
  <c r="AC21" i="3633"/>
  <c r="AC65" i="3633" s="1"/>
  <c r="D107" i="3633"/>
  <c r="AI30" i="3633"/>
  <c r="AC26" i="3633"/>
  <c r="AK32" i="3633"/>
  <c r="K32" i="3633"/>
  <c r="AI28" i="3633"/>
  <c r="AK28" i="3633"/>
  <c r="AC28" i="3633"/>
  <c r="H105" i="3633"/>
  <c r="AC25" i="3633"/>
  <c r="AC33" i="3633"/>
  <c r="AK21" i="3633"/>
  <c r="AR33" i="3633"/>
  <c r="AJ36" i="3633"/>
  <c r="AC27" i="3633"/>
  <c r="AK27" i="3633"/>
  <c r="AR21" i="3633"/>
  <c r="AJ29" i="3633"/>
  <c r="AJ32" i="3633"/>
  <c r="AK35" i="3633"/>
  <c r="E110" i="3633"/>
  <c r="E139" i="3633" s="1"/>
  <c r="F179" i="3633"/>
  <c r="AJ178" i="3633"/>
  <c r="F113" i="3633"/>
  <c r="J32" i="3633"/>
  <c r="AF30" i="3633"/>
  <c r="AJ21" i="3633"/>
  <c r="AJ58" i="3633" s="1"/>
  <c r="F110" i="3633"/>
  <c r="AF178" i="3633"/>
  <c r="U29" i="3633"/>
  <c r="AJ28" i="3633"/>
  <c r="F100" i="3633"/>
  <c r="F135" i="3633" s="1"/>
  <c r="AF37" i="3633"/>
  <c r="AI34" i="3633"/>
  <c r="AJ33" i="3633"/>
  <c r="W178" i="3633"/>
  <c r="W194" i="3633" s="1"/>
  <c r="W198" i="3633" s="1"/>
  <c r="AF36" i="3633"/>
  <c r="AJ26" i="3633"/>
  <c r="W21" i="3633"/>
  <c r="W65" i="3633" s="1"/>
  <c r="AF38" i="3633"/>
  <c r="AJ25" i="3633"/>
  <c r="W36" i="3633"/>
  <c r="AF21" i="3633"/>
  <c r="G111" i="3633"/>
  <c r="AJ38" i="3633"/>
  <c r="W26" i="3633"/>
  <c r="AF29" i="3633"/>
  <c r="AR29" i="3633"/>
  <c r="AA178" i="3633"/>
  <c r="AA30" i="3633"/>
  <c r="AA36" i="3633"/>
  <c r="AB28" i="3633"/>
  <c r="AB37" i="3633"/>
  <c r="Y60" i="3633"/>
  <c r="J178" i="3633"/>
  <c r="F194" i="3633" s="1"/>
  <c r="F198" i="3633" s="1"/>
  <c r="AA37" i="3633"/>
  <c r="AB33" i="3633"/>
  <c r="J27" i="3633"/>
  <c r="AB36" i="3633"/>
  <c r="J37" i="3633"/>
  <c r="AJ34" i="3633"/>
  <c r="AA25" i="3633"/>
  <c r="M107" i="3633"/>
  <c r="AA38" i="3633"/>
  <c r="AR34" i="3633"/>
  <c r="AI178" i="3633"/>
  <c r="K37" i="3633"/>
  <c r="AK178" i="3633"/>
  <c r="AC38" i="3633"/>
  <c r="AK26" i="3633"/>
  <c r="J38" i="3633"/>
  <c r="AI21" i="3633"/>
  <c r="AI66" i="3633" s="1"/>
  <c r="AC29" i="3633"/>
  <c r="U34" i="3633"/>
  <c r="AI33" i="3633"/>
  <c r="AK33" i="3633"/>
  <c r="AR178" i="3633"/>
  <c r="AR194" i="3633" s="1"/>
  <c r="AR198" i="3633" s="1"/>
  <c r="AI27" i="3633"/>
  <c r="AI38" i="3633"/>
  <c r="AK25" i="3633"/>
  <c r="AR27" i="3633"/>
  <c r="AJ30" i="3633"/>
  <c r="AC32" i="3633"/>
  <c r="AK38" i="3633"/>
  <c r="AR28" i="3633"/>
  <c r="AJ37" i="3633"/>
  <c r="AC36" i="3633"/>
  <c r="AR35" i="3633"/>
  <c r="AR26" i="3633"/>
  <c r="AR30" i="3633"/>
  <c r="G108" i="3633"/>
  <c r="AF33" i="3633"/>
  <c r="AF28" i="3633"/>
  <c r="H110" i="3633"/>
  <c r="AR37" i="3633"/>
  <c r="H108" i="3633"/>
  <c r="H104" i="3633"/>
  <c r="K35" i="3633"/>
  <c r="H113" i="3633"/>
  <c r="H106" i="3633"/>
  <c r="H179" i="3633"/>
  <c r="K33" i="3633"/>
  <c r="E25" i="3633"/>
  <c r="E27" i="3633"/>
  <c r="K28" i="3633"/>
  <c r="K25" i="3633"/>
  <c r="K30" i="3633"/>
  <c r="J33" i="3633"/>
  <c r="J26" i="3633"/>
  <c r="K27" i="3633"/>
  <c r="K36" i="3633"/>
  <c r="M113" i="3633"/>
  <c r="K29" i="3633"/>
  <c r="K21" i="3633"/>
  <c r="K57" i="3633" s="1"/>
  <c r="K178" i="3633"/>
  <c r="E21" i="3633"/>
  <c r="E67" i="3633" s="1"/>
  <c r="L111" i="3633"/>
  <c r="AM29" i="3633"/>
  <c r="L179" i="3633"/>
  <c r="L185" i="3633" s="1"/>
  <c r="L189" i="3633" s="1"/>
  <c r="E109" i="3633"/>
  <c r="E138" i="3633" s="1"/>
  <c r="E112" i="3633"/>
  <c r="E141" i="3633" s="1"/>
  <c r="V59" i="3633"/>
  <c r="E108" i="3633"/>
  <c r="E137" i="3633" s="1"/>
  <c r="L108" i="3633"/>
  <c r="L109" i="3633"/>
  <c r="L105" i="3633"/>
  <c r="E113" i="3633"/>
  <c r="E142" i="3633" s="1"/>
  <c r="E106" i="3633"/>
  <c r="E135" i="3633" s="1"/>
  <c r="E179" i="3633"/>
  <c r="Q64" i="3633"/>
  <c r="E28" i="3633"/>
  <c r="V64" i="3633"/>
  <c r="L110" i="3633"/>
  <c r="L100" i="3633"/>
  <c r="L136" i="3633" s="1"/>
  <c r="L106" i="3633"/>
  <c r="E105" i="3633"/>
  <c r="E134" i="3633" s="1"/>
  <c r="M108" i="3633"/>
  <c r="G38" i="3633"/>
  <c r="M106" i="3633"/>
  <c r="M111" i="3633"/>
  <c r="M104" i="3633"/>
  <c r="H112" i="3633"/>
  <c r="AR36" i="3633"/>
  <c r="AF34" i="3633"/>
  <c r="G25" i="3633"/>
  <c r="G27" i="3633"/>
  <c r="L113" i="3633"/>
  <c r="K38" i="3633"/>
  <c r="W28" i="3633"/>
  <c r="H109" i="3633"/>
  <c r="AM34" i="3633"/>
  <c r="H100" i="3633"/>
  <c r="AI37" i="3633"/>
  <c r="P32" i="3633"/>
  <c r="G36" i="3633"/>
  <c r="L104" i="3633"/>
  <c r="AF26" i="3633"/>
  <c r="X194" i="3633"/>
  <c r="X198" i="3633" s="1"/>
  <c r="H107" i="3633"/>
  <c r="E34" i="3633"/>
  <c r="K34" i="3633"/>
  <c r="G28" i="3633"/>
  <c r="G21" i="3633"/>
  <c r="G64" i="3633" s="1"/>
  <c r="G178" i="3633"/>
  <c r="AN35" i="3633"/>
  <c r="AN38" i="3633"/>
  <c r="AN33" i="3633"/>
  <c r="AM25" i="3633"/>
  <c r="AM37" i="3633"/>
  <c r="AM21" i="3633"/>
  <c r="AM61" i="3633" s="1"/>
  <c r="W27" i="3633"/>
  <c r="W30" i="3633"/>
  <c r="AM178" i="3633"/>
  <c r="W32" i="3633"/>
  <c r="AR25" i="3633"/>
  <c r="N111" i="3633"/>
  <c r="F65" i="3633"/>
  <c r="AP38" i="3633"/>
  <c r="F57" i="3633"/>
  <c r="AM35" i="3633"/>
  <c r="AN178" i="3633"/>
  <c r="AN21" i="3633"/>
  <c r="AN59" i="3633" s="1"/>
  <c r="AM38" i="3633"/>
  <c r="AM33" i="3633"/>
  <c r="AM28" i="3633"/>
  <c r="M112" i="3633"/>
  <c r="M105" i="3633"/>
  <c r="AM32" i="3633"/>
  <c r="W37" i="3633"/>
  <c r="AM36" i="3633"/>
  <c r="W38" i="3633"/>
  <c r="AF32" i="3633"/>
  <c r="AI25" i="3633"/>
  <c r="AI32" i="3633"/>
  <c r="AI29" i="3633"/>
  <c r="AI26" i="3633"/>
  <c r="F60" i="3633"/>
  <c r="G34" i="3633"/>
  <c r="P28" i="3633"/>
  <c r="F69" i="3633"/>
  <c r="AN25" i="3633"/>
  <c r="AN37" i="3633"/>
  <c r="W35" i="3633"/>
  <c r="Q69" i="3633"/>
  <c r="W25" i="3633"/>
  <c r="W29" i="3633"/>
  <c r="W33" i="3633"/>
  <c r="AK37" i="3633"/>
  <c r="AK29" i="3633"/>
  <c r="N108" i="3633"/>
  <c r="N137" i="3633" s="1"/>
  <c r="N109" i="3633"/>
  <c r="N138" i="3633" s="1"/>
  <c r="N110" i="3633"/>
  <c r="N139" i="3633" s="1"/>
  <c r="P37" i="3633"/>
  <c r="G29" i="3633"/>
  <c r="P35" i="3633"/>
  <c r="P21" i="3633"/>
  <c r="P61" i="3633" s="1"/>
  <c r="Y56" i="3633"/>
  <c r="AM27" i="3633"/>
  <c r="N107" i="3633"/>
  <c r="N136" i="3633" s="1"/>
  <c r="Z178" i="3633"/>
  <c r="N104" i="3633"/>
  <c r="N133" i="3633" s="1"/>
  <c r="N113" i="3633"/>
  <c r="N142" i="3633" s="1"/>
  <c r="P25" i="3633"/>
  <c r="Y58" i="3633"/>
  <c r="F111" i="3633"/>
  <c r="F108" i="3633"/>
  <c r="F104" i="3633"/>
  <c r="AM26" i="3633"/>
  <c r="Y65" i="3633"/>
  <c r="L112" i="3633"/>
  <c r="F112" i="3633"/>
  <c r="F68" i="3633"/>
  <c r="P29" i="3633"/>
  <c r="P27" i="3633"/>
  <c r="Y64" i="3633"/>
  <c r="P34" i="3633"/>
  <c r="F59" i="3633"/>
  <c r="E32" i="3633"/>
  <c r="F105" i="3633"/>
  <c r="E104" i="3633"/>
  <c r="E133" i="3633" s="1"/>
  <c r="E111" i="3633"/>
  <c r="F109" i="3633"/>
  <c r="AN27" i="3633"/>
  <c r="AN30" i="3633"/>
  <c r="AN26" i="3633"/>
  <c r="AN34" i="3633"/>
  <c r="AN29" i="3633"/>
  <c r="AN32" i="3633"/>
  <c r="AN36" i="3633"/>
  <c r="E33" i="3633"/>
  <c r="E29" i="3633"/>
  <c r="E26" i="3633"/>
  <c r="E38" i="3633"/>
  <c r="N112" i="3633"/>
  <c r="N141" i="3633" s="1"/>
  <c r="N105" i="3633"/>
  <c r="N134" i="3633" s="1"/>
  <c r="Q60" i="3633"/>
  <c r="Z34" i="3633"/>
  <c r="AP25" i="3633"/>
  <c r="AP26" i="3633"/>
  <c r="Q66" i="3633"/>
  <c r="Z28" i="3633"/>
  <c r="AP178" i="3633"/>
  <c r="E37" i="3633"/>
  <c r="V61" i="3633"/>
  <c r="V69" i="3633"/>
  <c r="V63" i="3633"/>
  <c r="Q61" i="3633"/>
  <c r="Q63" i="3633"/>
  <c r="Y67" i="3633"/>
  <c r="Y59" i="3633"/>
  <c r="P26" i="3633"/>
  <c r="AP36" i="3633"/>
  <c r="AP27" i="3633"/>
  <c r="AP37" i="3633"/>
  <c r="AP32" i="3633"/>
  <c r="AP30" i="3633"/>
  <c r="Q65" i="3633"/>
  <c r="Z26" i="3633"/>
  <c r="Q68" i="3633"/>
  <c r="Q56" i="3633"/>
  <c r="P38" i="3633"/>
  <c r="V57" i="3633"/>
  <c r="Y57" i="3633"/>
  <c r="Q67" i="3633"/>
  <c r="F58" i="3633"/>
  <c r="V56" i="3633"/>
  <c r="F56" i="3633"/>
  <c r="Q57" i="3633"/>
  <c r="Z29" i="3633"/>
  <c r="Z37" i="3633"/>
  <c r="Q58" i="3633"/>
  <c r="Z32" i="3633"/>
  <c r="V65" i="3633"/>
  <c r="P36" i="3633"/>
  <c r="V60" i="3633"/>
  <c r="AP29" i="3633"/>
  <c r="V58" i="3633"/>
  <c r="AP33" i="3633"/>
  <c r="V68" i="3633"/>
  <c r="AP21" i="3633"/>
  <c r="Y68" i="3633"/>
  <c r="Y63" i="3633"/>
  <c r="P178" i="3633"/>
  <c r="P194" i="3633" s="1"/>
  <c r="P198" i="3633" s="1"/>
  <c r="F64" i="3633"/>
  <c r="N179" i="3633"/>
  <c r="M185" i="3633" s="1"/>
  <c r="M189" i="3633" s="1"/>
  <c r="E178" i="3633"/>
  <c r="E184" i="3633" s="1"/>
  <c r="E188" i="3633" s="1"/>
  <c r="G37" i="3633"/>
  <c r="G26" i="3633"/>
  <c r="G35" i="3633"/>
  <c r="G32" i="3633"/>
  <c r="G30" i="3633"/>
  <c r="Z25" i="3633"/>
  <c r="Z38" i="3633"/>
  <c r="Z36" i="3633"/>
  <c r="Z33" i="3633"/>
  <c r="Z27" i="3633"/>
  <c r="Q59" i="3633"/>
  <c r="Z21" i="3633"/>
  <c r="E35" i="3633"/>
  <c r="AP28" i="3633"/>
  <c r="V66" i="3633"/>
  <c r="AP35" i="3633"/>
  <c r="Z35" i="3633"/>
  <c r="Y69" i="3633"/>
  <c r="Y61" i="3633"/>
  <c r="F63" i="3633"/>
  <c r="F67" i="3633"/>
  <c r="P33" i="3633"/>
  <c r="N106" i="3633"/>
  <c r="N135" i="3633" s="1"/>
  <c r="E30" i="3633"/>
  <c r="K179" i="3633"/>
  <c r="K100" i="3633"/>
  <c r="K106" i="3633"/>
  <c r="K110" i="3633"/>
  <c r="K112" i="3633"/>
  <c r="K108" i="3633"/>
  <c r="K109" i="3633"/>
  <c r="K104" i="3633"/>
  <c r="K105" i="3633"/>
  <c r="K107" i="3633"/>
  <c r="K113" i="3633"/>
  <c r="Y66" i="3633"/>
  <c r="S178" i="3633"/>
  <c r="S21" i="3633"/>
  <c r="S28" i="3633"/>
  <c r="S34" i="3633"/>
  <c r="S36" i="3633"/>
  <c r="S37" i="3633"/>
  <c r="S35" i="3633"/>
  <c r="S38" i="3633"/>
  <c r="S30" i="3633"/>
  <c r="S27" i="3633"/>
  <c r="S29" i="3633"/>
  <c r="S26" i="3633"/>
  <c r="S33" i="3633"/>
  <c r="S25" i="3633"/>
  <c r="S32" i="3633"/>
  <c r="X58" i="3633"/>
  <c r="X63" i="3633"/>
  <c r="X68" i="3633"/>
  <c r="X57" i="3633"/>
  <c r="C178" i="3633"/>
  <c r="C26" i="3633"/>
  <c r="C28" i="3633"/>
  <c r="C30" i="3633"/>
  <c r="C21" i="3633"/>
  <c r="C32" i="3633"/>
  <c r="C25" i="3633"/>
  <c r="C33" i="3633"/>
  <c r="C29" i="3633"/>
  <c r="C34" i="3633"/>
  <c r="C36" i="3633"/>
  <c r="C38" i="3633"/>
  <c r="C37" i="3633"/>
  <c r="C27" i="3633"/>
  <c r="C35" i="3633"/>
  <c r="I179" i="3633"/>
  <c r="I106" i="3633"/>
  <c r="I100" i="3633"/>
  <c r="I107" i="3633"/>
  <c r="I112" i="3633"/>
  <c r="I109" i="3633"/>
  <c r="I104" i="3633"/>
  <c r="I105" i="3633"/>
  <c r="I110" i="3633"/>
  <c r="I108" i="3633"/>
  <c r="I113" i="3633"/>
  <c r="AL178" i="3633"/>
  <c r="AL32" i="3633"/>
  <c r="AL36" i="3633"/>
  <c r="AL28" i="3633"/>
  <c r="AL33" i="3633"/>
  <c r="AL37" i="3633"/>
  <c r="AL21" i="3633"/>
  <c r="AL25" i="3633"/>
  <c r="AL35" i="3633"/>
  <c r="AL29" i="3633"/>
  <c r="AL30" i="3633"/>
  <c r="AL34" i="3633"/>
  <c r="AL26" i="3633"/>
  <c r="AL38" i="3633"/>
  <c r="AL27" i="3633"/>
  <c r="L178" i="3633"/>
  <c r="L21" i="3633"/>
  <c r="L29" i="3633"/>
  <c r="L36" i="3633"/>
  <c r="L27" i="3633"/>
  <c r="L25" i="3633"/>
  <c r="L35" i="3633"/>
  <c r="L30" i="3633"/>
  <c r="L26" i="3633"/>
  <c r="L37" i="3633"/>
  <c r="L28" i="3633"/>
  <c r="L38" i="3633"/>
  <c r="L32" i="3633"/>
  <c r="L34" i="3633"/>
  <c r="L33" i="3633"/>
  <c r="T178" i="3633"/>
  <c r="T21" i="3633"/>
  <c r="T36" i="3633"/>
  <c r="T37" i="3633"/>
  <c r="T30" i="3633"/>
  <c r="T25" i="3633"/>
  <c r="T27" i="3633"/>
  <c r="T28" i="3633"/>
  <c r="T35" i="3633"/>
  <c r="T29" i="3633"/>
  <c r="T26" i="3633"/>
  <c r="T32" i="3633"/>
  <c r="T34" i="3633"/>
  <c r="T38" i="3633"/>
  <c r="T33" i="3633"/>
  <c r="X59" i="3633"/>
  <c r="X65" i="3633"/>
  <c r="F61" i="3633"/>
  <c r="J179" i="3633"/>
  <c r="J106" i="3633"/>
  <c r="J100" i="3633"/>
  <c r="J108" i="3633"/>
  <c r="J109" i="3633"/>
  <c r="J112" i="3633"/>
  <c r="J107" i="3633"/>
  <c r="J104" i="3633"/>
  <c r="J113" i="3633"/>
  <c r="J105" i="3633"/>
  <c r="J110" i="3633"/>
  <c r="M178" i="3633"/>
  <c r="M21" i="3633"/>
  <c r="M27" i="3633"/>
  <c r="M37" i="3633"/>
  <c r="M25" i="3633"/>
  <c r="M35" i="3633"/>
  <c r="M29" i="3633"/>
  <c r="M38" i="3633"/>
  <c r="M36" i="3633"/>
  <c r="M30" i="3633"/>
  <c r="M33" i="3633"/>
  <c r="M26" i="3633"/>
  <c r="M28" i="3633"/>
  <c r="M32" i="3633"/>
  <c r="M34" i="3633"/>
  <c r="N178" i="3633"/>
  <c r="N33" i="3633"/>
  <c r="N21" i="3633"/>
  <c r="N37" i="3633"/>
  <c r="N29" i="3633"/>
  <c r="N38" i="3633"/>
  <c r="N25" i="3633"/>
  <c r="N30" i="3633"/>
  <c r="N27" i="3633"/>
  <c r="N26" i="3633"/>
  <c r="N28" i="3633"/>
  <c r="N35" i="3633"/>
  <c r="N36" i="3633"/>
  <c r="N32" i="3633"/>
  <c r="N34" i="3633"/>
  <c r="K111" i="3633"/>
  <c r="C179" i="3633"/>
  <c r="C100" i="3633"/>
  <c r="C108" i="3633"/>
  <c r="C109" i="3633"/>
  <c r="C106" i="3633"/>
  <c r="C107" i="3633"/>
  <c r="C113" i="3633"/>
  <c r="C110" i="3633"/>
  <c r="C105" i="3633"/>
  <c r="C104" i="3633"/>
  <c r="C112" i="3633"/>
  <c r="X66" i="3633"/>
  <c r="H178" i="3633"/>
  <c r="H32" i="3633"/>
  <c r="H21" i="3633"/>
  <c r="H30" i="3633"/>
  <c r="H34" i="3633"/>
  <c r="H36" i="3633"/>
  <c r="H26" i="3633"/>
  <c r="H33" i="3633"/>
  <c r="H25" i="3633"/>
  <c r="H35" i="3633"/>
  <c r="H28" i="3633"/>
  <c r="H29" i="3633"/>
  <c r="H38" i="3633"/>
  <c r="H27" i="3633"/>
  <c r="H37" i="3633"/>
  <c r="X61" i="3633"/>
  <c r="X69" i="3633"/>
  <c r="X60" i="3633"/>
  <c r="D178" i="3633"/>
  <c r="D38" i="3633"/>
  <c r="D28" i="3633"/>
  <c r="D21" i="3633"/>
  <c r="D35" i="3633"/>
  <c r="D34" i="3633"/>
  <c r="D25" i="3633"/>
  <c r="D36" i="3633"/>
  <c r="D32" i="3633"/>
  <c r="D30" i="3633"/>
  <c r="D33" i="3633"/>
  <c r="D29" i="3633"/>
  <c r="D26" i="3633"/>
  <c r="D37" i="3633"/>
  <c r="D27" i="3633"/>
  <c r="AQ178" i="3633"/>
  <c r="AQ34" i="3633"/>
  <c r="AQ29" i="3633"/>
  <c r="AQ38" i="3633"/>
  <c r="AQ33" i="3633"/>
  <c r="AQ37" i="3633"/>
  <c r="AQ21" i="3633"/>
  <c r="AQ35" i="3633"/>
  <c r="AQ25" i="3633"/>
  <c r="AQ30" i="3633"/>
  <c r="AQ26" i="3633"/>
  <c r="AQ32" i="3633"/>
  <c r="AQ36" i="3633"/>
  <c r="AQ27" i="3633"/>
  <c r="AQ28" i="3633"/>
  <c r="X56" i="3633"/>
  <c r="I178" i="3633"/>
  <c r="I21" i="3633"/>
  <c r="I28" i="3633"/>
  <c r="I34" i="3633"/>
  <c r="I27" i="3633"/>
  <c r="I36" i="3633"/>
  <c r="I35" i="3633"/>
  <c r="I25" i="3633"/>
  <c r="I33" i="3633"/>
  <c r="I26" i="3633"/>
  <c r="I37" i="3633"/>
  <c r="I32" i="3633"/>
  <c r="I38" i="3633"/>
  <c r="I29" i="3633"/>
  <c r="I30" i="3633"/>
  <c r="AE178" i="3633"/>
  <c r="AE21" i="3633"/>
  <c r="AE33" i="3633"/>
  <c r="AE25" i="3633"/>
  <c r="AE28" i="3633"/>
  <c r="AE34" i="3633"/>
  <c r="AE30" i="3633"/>
  <c r="AE29" i="3633"/>
  <c r="AE26" i="3633"/>
  <c r="AE38" i="3633"/>
  <c r="AE32" i="3633"/>
  <c r="AE27" i="3633"/>
  <c r="AE37" i="3633"/>
  <c r="AE36" i="3633"/>
  <c r="AE35" i="3633"/>
  <c r="AO21" i="3633"/>
  <c r="AO178" i="3633"/>
  <c r="AO28" i="3633"/>
  <c r="AO38" i="3633"/>
  <c r="AO33" i="3633"/>
  <c r="AO37" i="3633"/>
  <c r="AO32" i="3633"/>
  <c r="AO25" i="3633"/>
  <c r="AO35" i="3633"/>
  <c r="AO30" i="3633"/>
  <c r="AO26" i="3633"/>
  <c r="AO36" i="3633"/>
  <c r="AO29" i="3633"/>
  <c r="AO34" i="3633"/>
  <c r="AO27" i="3633"/>
  <c r="AD178" i="3633"/>
  <c r="AD21" i="3633"/>
  <c r="AD36" i="3633"/>
  <c r="AD38" i="3633"/>
  <c r="AD35" i="3633"/>
  <c r="AD28" i="3633"/>
  <c r="AD33" i="3633"/>
  <c r="AD32" i="3633"/>
  <c r="AD37" i="3633"/>
  <c r="AD34" i="3633"/>
  <c r="AD27" i="3633"/>
  <c r="AD29" i="3633"/>
  <c r="AD26" i="3633"/>
  <c r="AD30" i="3633"/>
  <c r="AD25" i="3633"/>
  <c r="O178" i="3633"/>
  <c r="O21" i="3633"/>
  <c r="O37" i="3633"/>
  <c r="O29" i="3633"/>
  <c r="O25" i="3633"/>
  <c r="O35" i="3633"/>
  <c r="O27" i="3633"/>
  <c r="O33" i="3633"/>
  <c r="O26" i="3633"/>
  <c r="O38" i="3633"/>
  <c r="O28" i="3633"/>
  <c r="O30" i="3633"/>
  <c r="O34" i="3633"/>
  <c r="O36" i="3633"/>
  <c r="O32" i="3633"/>
  <c r="R178" i="3633"/>
  <c r="Q194" i="3633" s="1"/>
  <c r="Q198" i="3633" s="1"/>
  <c r="R21" i="3633"/>
  <c r="R37" i="3633"/>
  <c r="R29" i="3633"/>
  <c r="R33" i="3633"/>
  <c r="R30" i="3633"/>
  <c r="R25" i="3633"/>
  <c r="R27" i="3633"/>
  <c r="R38" i="3633"/>
  <c r="R26" i="3633"/>
  <c r="R32" i="3633"/>
  <c r="R35" i="3633"/>
  <c r="R36" i="3633"/>
  <c r="R28" i="3633"/>
  <c r="R34" i="3633"/>
  <c r="AG178" i="3633"/>
  <c r="AG36" i="3633"/>
  <c r="AG21" i="3633"/>
  <c r="AG33" i="3633"/>
  <c r="AG35" i="3633"/>
  <c r="AG29" i="3633"/>
  <c r="AG37" i="3633"/>
  <c r="AG34" i="3633"/>
  <c r="AG25" i="3633"/>
  <c r="AG28" i="3633"/>
  <c r="AG38" i="3633"/>
  <c r="AG26" i="3633"/>
  <c r="AG27" i="3633"/>
  <c r="AG32" i="3633"/>
  <c r="AG30" i="3633"/>
  <c r="X67" i="3633"/>
  <c r="AH21" i="3633"/>
  <c r="AH178" i="3633"/>
  <c r="AH28" i="3633"/>
  <c r="AH33" i="3633"/>
  <c r="AH35" i="3633"/>
  <c r="AH25" i="3633"/>
  <c r="AH38" i="3633"/>
  <c r="AH30" i="3633"/>
  <c r="AH27" i="3633"/>
  <c r="AH32" i="3633"/>
  <c r="AH26" i="3633"/>
  <c r="AH29" i="3633"/>
  <c r="AH34" i="3633"/>
  <c r="AH36" i="3633"/>
  <c r="AH37" i="3633"/>
  <c r="I8" i="3632"/>
  <c r="J46" i="3632"/>
  <c r="J85" i="3632"/>
  <c r="J4" i="3632" s="1"/>
  <c r="J86" i="3632"/>
  <c r="AA6" i="3629"/>
  <c r="H1" i="3598"/>
  <c r="H1" i="3630" s="1"/>
  <c r="G113" i="2" l="1"/>
  <c r="I113" i="2"/>
  <c r="H113" i="2"/>
  <c r="K2" i="3645"/>
  <c r="K27" i="3645" s="1"/>
  <c r="D2" i="3645"/>
  <c r="D35" i="3645" s="1"/>
  <c r="D57" i="3645" s="1"/>
  <c r="AC98" i="3632"/>
  <c r="AD97" i="3632"/>
  <c r="AD96" i="3632"/>
  <c r="AC95" i="3632"/>
  <c r="AF94" i="3632"/>
  <c r="AC93" i="3632"/>
  <c r="AD92" i="3632"/>
  <c r="AD91" i="3632"/>
  <c r="AD90" i="3632"/>
  <c r="I1" i="3597"/>
  <c r="B30" i="3606"/>
  <c r="B58" i="3606"/>
  <c r="I2" i="3632"/>
  <c r="H51" i="3632"/>
  <c r="H89" i="3632" s="1"/>
  <c r="H11" i="3632"/>
  <c r="G1" i="3598"/>
  <c r="G1" i="3630" s="1"/>
  <c r="F2" i="3632"/>
  <c r="G2" i="2" s="1"/>
  <c r="U56" i="3633"/>
  <c r="AF59" i="3633"/>
  <c r="M139" i="3633"/>
  <c r="U69" i="3633"/>
  <c r="U61" i="3633"/>
  <c r="D141" i="3633"/>
  <c r="G142" i="3633"/>
  <c r="W67" i="3633"/>
  <c r="AR63" i="3633"/>
  <c r="AC61" i="3633"/>
  <c r="AC63" i="3633"/>
  <c r="AK64" i="3633"/>
  <c r="AA58" i="3633"/>
  <c r="U67" i="3633"/>
  <c r="AF69" i="3633"/>
  <c r="AC60" i="3633"/>
  <c r="F185" i="3633"/>
  <c r="F189" i="3633" s="1"/>
  <c r="AB194" i="3633"/>
  <c r="AB198" i="3633" s="1"/>
  <c r="U58" i="3633"/>
  <c r="AK56" i="3633"/>
  <c r="AK57" i="3633"/>
  <c r="U66" i="3633"/>
  <c r="AJ60" i="3633"/>
  <c r="M138" i="3633"/>
  <c r="G138" i="3633"/>
  <c r="U65" i="3633"/>
  <c r="AA194" i="3633"/>
  <c r="AA198" i="3633" s="1"/>
  <c r="T194" i="3633"/>
  <c r="T198" i="3633" s="1"/>
  <c r="AJ61" i="3633"/>
  <c r="AB63" i="3633"/>
  <c r="M141" i="3633"/>
  <c r="C185" i="3633"/>
  <c r="C189" i="3633" s="1"/>
  <c r="AC194" i="3633"/>
  <c r="AC198" i="3633" s="1"/>
  <c r="AC57" i="3633"/>
  <c r="U59" i="3633"/>
  <c r="M142" i="3633"/>
  <c r="AK61" i="3633"/>
  <c r="U68" i="3633"/>
  <c r="G141" i="3633"/>
  <c r="AJ194" i="3633"/>
  <c r="AJ198" i="3633" s="1"/>
  <c r="P56" i="3633"/>
  <c r="G134" i="3633"/>
  <c r="AA59" i="3633"/>
  <c r="M137" i="3633"/>
  <c r="M134" i="3633"/>
  <c r="M133" i="3633"/>
  <c r="AF60" i="3633"/>
  <c r="AC56" i="3633"/>
  <c r="AC64" i="3633"/>
  <c r="M136" i="3633"/>
  <c r="D185" i="3633"/>
  <c r="D189" i="3633" s="1"/>
  <c r="AI69" i="3633"/>
  <c r="U60" i="3633"/>
  <c r="M135" i="3633"/>
  <c r="AF56" i="3633"/>
  <c r="D138" i="3633"/>
  <c r="G185" i="3633"/>
  <c r="G189" i="3633" s="1"/>
  <c r="AC59" i="3633"/>
  <c r="U64" i="3633"/>
  <c r="AI64" i="3633"/>
  <c r="AB57" i="3633"/>
  <c r="AI58" i="3633"/>
  <c r="AA66" i="3633"/>
  <c r="AR58" i="3633"/>
  <c r="W57" i="3633"/>
  <c r="AC66" i="3633"/>
  <c r="D134" i="3633"/>
  <c r="AC58" i="3633"/>
  <c r="U63" i="3633"/>
  <c r="AF66" i="3633"/>
  <c r="AE194" i="3633"/>
  <c r="AE198" i="3633" s="1"/>
  <c r="AH194" i="3633"/>
  <c r="AH198" i="3633" s="1"/>
  <c r="F180" i="3633"/>
  <c r="AB64" i="3633"/>
  <c r="G133" i="3633"/>
  <c r="J63" i="3633"/>
  <c r="AA69" i="3633"/>
  <c r="K67" i="3633"/>
  <c r="G135" i="3633"/>
  <c r="F139" i="3633"/>
  <c r="F142" i="3633"/>
  <c r="AR64" i="3633"/>
  <c r="AR69" i="3633"/>
  <c r="AB61" i="3633"/>
  <c r="AJ67" i="3633"/>
  <c r="AA56" i="3633"/>
  <c r="G136" i="3633"/>
  <c r="AA68" i="3633"/>
  <c r="AA60" i="3633"/>
  <c r="F136" i="3633"/>
  <c r="AR65" i="3633"/>
  <c r="K65" i="3633"/>
  <c r="AF194" i="3633"/>
  <c r="AF198" i="3633" s="1"/>
  <c r="K56" i="3633"/>
  <c r="J64" i="3633"/>
  <c r="AB68" i="3633"/>
  <c r="AK67" i="3633"/>
  <c r="AI63" i="3633"/>
  <c r="AI67" i="3633"/>
  <c r="D142" i="3633"/>
  <c r="AI56" i="3633"/>
  <c r="AR60" i="3633"/>
  <c r="AC68" i="3633"/>
  <c r="D137" i="3633"/>
  <c r="AR68" i="3633"/>
  <c r="AJ69" i="3633"/>
  <c r="J66" i="3633"/>
  <c r="F141" i="3633"/>
  <c r="AF64" i="3633"/>
  <c r="J56" i="3633"/>
  <c r="G137" i="3633"/>
  <c r="AJ56" i="3633"/>
  <c r="AB69" i="3633"/>
  <c r="J68" i="3633"/>
  <c r="AB60" i="3633"/>
  <c r="J69" i="3633"/>
  <c r="AJ63" i="3633"/>
  <c r="AJ66" i="3633"/>
  <c r="AI194" i="3633"/>
  <c r="AI198" i="3633" s="1"/>
  <c r="J57" i="3633"/>
  <c r="K61" i="3633"/>
  <c r="AK59" i="3633"/>
  <c r="F138" i="3633"/>
  <c r="AI68" i="3633"/>
  <c r="K59" i="3633"/>
  <c r="AK65" i="3633"/>
  <c r="F134" i="3633"/>
  <c r="AB59" i="3633"/>
  <c r="AQ194" i="3633"/>
  <c r="AQ198" i="3633" s="1"/>
  <c r="AR57" i="3633"/>
  <c r="J67" i="3633"/>
  <c r="F137" i="3633"/>
  <c r="AC67" i="3633"/>
  <c r="AF67" i="3633"/>
  <c r="AB66" i="3633"/>
  <c r="G139" i="3633"/>
  <c r="AJ68" i="3633"/>
  <c r="AA65" i="3633"/>
  <c r="AM66" i="3633"/>
  <c r="AR59" i="3633"/>
  <c r="AJ64" i="3633"/>
  <c r="AA63" i="3633"/>
  <c r="AA57" i="3633"/>
  <c r="J58" i="3633"/>
  <c r="AB67" i="3633"/>
  <c r="AJ65" i="3633"/>
  <c r="AR61" i="3633"/>
  <c r="AI59" i="3633"/>
  <c r="F195" i="3633"/>
  <c r="F199" i="3633" s="1"/>
  <c r="H134" i="3633"/>
  <c r="AK63" i="3633"/>
  <c r="AI61" i="3633"/>
  <c r="AB56" i="3633"/>
  <c r="AI57" i="3633"/>
  <c r="AA67" i="3633"/>
  <c r="D136" i="3633"/>
  <c r="AI60" i="3633"/>
  <c r="D139" i="3633"/>
  <c r="AR67" i="3633"/>
  <c r="J59" i="3633"/>
  <c r="F133" i="3633"/>
  <c r="AR66" i="3633"/>
  <c r="AJ57" i="3633"/>
  <c r="J61" i="3633"/>
  <c r="AB65" i="3633"/>
  <c r="AK69" i="3633"/>
  <c r="AI65" i="3633"/>
  <c r="J60" i="3633"/>
  <c r="AA64" i="3633"/>
  <c r="W64" i="3633"/>
  <c r="AK60" i="3633"/>
  <c r="AK66" i="3633"/>
  <c r="Z66" i="3633"/>
  <c r="AF61" i="3633"/>
  <c r="W58" i="3633"/>
  <c r="I59" i="3633"/>
  <c r="I65" i="3633"/>
  <c r="I67" i="3633"/>
  <c r="W68" i="3633"/>
  <c r="I56" i="3633"/>
  <c r="W69" i="3633"/>
  <c r="I57" i="3633"/>
  <c r="N59" i="3633"/>
  <c r="AC69" i="3633"/>
  <c r="N66" i="3633"/>
  <c r="N63" i="3633"/>
  <c r="N65" i="3633"/>
  <c r="W66" i="3633"/>
  <c r="H136" i="3633"/>
  <c r="W60" i="3633"/>
  <c r="J184" i="3633"/>
  <c r="J188" i="3633" s="1"/>
  <c r="AK58" i="3633"/>
  <c r="E57" i="3633"/>
  <c r="E69" i="3633"/>
  <c r="G60" i="3633"/>
  <c r="W61" i="3633"/>
  <c r="N4" i="3598"/>
  <c r="E2" i="3632" s="1"/>
  <c r="F2" i="2" s="1"/>
  <c r="L135" i="3633"/>
  <c r="I66" i="3633"/>
  <c r="I64" i="3633"/>
  <c r="I63" i="3633"/>
  <c r="I69" i="3633"/>
  <c r="I60" i="3633"/>
  <c r="D133" i="3633"/>
  <c r="N67" i="3633"/>
  <c r="AF57" i="3633"/>
  <c r="AF58" i="3633"/>
  <c r="W56" i="3633"/>
  <c r="AK68" i="3633"/>
  <c r="E64" i="3633"/>
  <c r="E60" i="3633"/>
  <c r="AP59" i="3633"/>
  <c r="B28" i="3631"/>
  <c r="B29" i="3631"/>
  <c r="B31" i="3631"/>
  <c r="B32" i="3631"/>
  <c r="B21" i="3631"/>
  <c r="B34" i="3631"/>
  <c r="B36" i="3631"/>
  <c r="B24" i="3631"/>
  <c r="B25" i="3631"/>
  <c r="B27" i="3631"/>
  <c r="B33" i="3631"/>
  <c r="B35" i="3631"/>
  <c r="B23" i="3631"/>
  <c r="B26" i="3631"/>
  <c r="B30" i="3631"/>
  <c r="B22" i="3631"/>
  <c r="I58" i="3633"/>
  <c r="AF65" i="3633"/>
  <c r="AF63" i="3633"/>
  <c r="I68" i="3633"/>
  <c r="W59" i="3633"/>
  <c r="Z69" i="3633"/>
  <c r="AF68" i="3633"/>
  <c r="G180" i="3633"/>
  <c r="V194" i="3633"/>
  <c r="V198" i="3633" s="1"/>
  <c r="AA61" i="3633"/>
  <c r="W63" i="3633"/>
  <c r="AJ59" i="3633"/>
  <c r="AR56" i="3633"/>
  <c r="AM58" i="3633"/>
  <c r="E59" i="3633"/>
  <c r="Z194" i="3633"/>
  <c r="Z198" i="3633" s="1"/>
  <c r="E185" i="3633"/>
  <c r="E189" i="3633" s="1"/>
  <c r="L138" i="3633"/>
  <c r="K66" i="3633"/>
  <c r="K64" i="3633"/>
  <c r="L134" i="3633"/>
  <c r="E68" i="3633"/>
  <c r="G66" i="3633"/>
  <c r="L141" i="3633"/>
  <c r="L139" i="3633"/>
  <c r="K58" i="3633"/>
  <c r="K69" i="3633"/>
  <c r="L142" i="3633"/>
  <c r="G58" i="3633"/>
  <c r="G57" i="3633"/>
  <c r="K68" i="3633"/>
  <c r="L137" i="3633"/>
  <c r="E66" i="3633"/>
  <c r="K60" i="3633"/>
  <c r="E58" i="3633"/>
  <c r="E56" i="3633"/>
  <c r="K63" i="3633"/>
  <c r="G68" i="3633"/>
  <c r="AM57" i="3633"/>
  <c r="AM67" i="3633"/>
  <c r="K185" i="3633"/>
  <c r="K189" i="3633" s="1"/>
  <c r="E65" i="3633"/>
  <c r="R65" i="3633"/>
  <c r="R59" i="3633"/>
  <c r="AN56" i="3633"/>
  <c r="R67" i="3633"/>
  <c r="R66" i="3633"/>
  <c r="L133" i="3633"/>
  <c r="R63" i="3633"/>
  <c r="E61" i="3633"/>
  <c r="E63" i="3633"/>
  <c r="P59" i="3633"/>
  <c r="G67" i="3633"/>
  <c r="K184" i="3633"/>
  <c r="K188" i="3633" s="1"/>
  <c r="G61" i="3633"/>
  <c r="AN68" i="3633"/>
  <c r="G63" i="3633"/>
  <c r="H138" i="3633"/>
  <c r="H135" i="3633"/>
  <c r="P68" i="3633"/>
  <c r="AN63" i="3633"/>
  <c r="AM56" i="3633"/>
  <c r="AN64" i="3633"/>
  <c r="AN69" i="3633"/>
  <c r="H139" i="3633"/>
  <c r="H142" i="3633"/>
  <c r="P66" i="3633"/>
  <c r="P57" i="3633"/>
  <c r="AM68" i="3633"/>
  <c r="G69" i="3633"/>
  <c r="G59" i="3633"/>
  <c r="H141" i="3633"/>
  <c r="H133" i="3633"/>
  <c r="AM194" i="3633"/>
  <c r="AM198" i="3633" s="1"/>
  <c r="AN57" i="3633"/>
  <c r="AN66" i="3633"/>
  <c r="Z56" i="3633"/>
  <c r="G65" i="3633"/>
  <c r="G56" i="3633"/>
  <c r="H137" i="3633"/>
  <c r="AM60" i="3633"/>
  <c r="AM59" i="3633"/>
  <c r="P65" i="3633"/>
  <c r="Z59" i="3633"/>
  <c r="P58" i="3633"/>
  <c r="AM69" i="3633"/>
  <c r="AM63" i="3633"/>
  <c r="G184" i="3633"/>
  <c r="G188" i="3633" s="1"/>
  <c r="P67" i="3633"/>
  <c r="F184" i="3633"/>
  <c r="F188" i="3633" s="1"/>
  <c r="AL194" i="3633"/>
  <c r="AL198" i="3633" s="1"/>
  <c r="AM64" i="3633"/>
  <c r="E180" i="3633"/>
  <c r="AM65" i="3633"/>
  <c r="P60" i="3633"/>
  <c r="P64" i="3633"/>
  <c r="I61" i="3633"/>
  <c r="P69" i="3633"/>
  <c r="P63" i="3633"/>
  <c r="AN60" i="3633"/>
  <c r="AN65" i="3633"/>
  <c r="AP60" i="3633"/>
  <c r="AN67" i="3633"/>
  <c r="AN58" i="3633"/>
  <c r="AN61" i="3633"/>
  <c r="N64" i="3633"/>
  <c r="Y194" i="3633"/>
  <c r="Y198" i="3633" s="1"/>
  <c r="AO194" i="3633"/>
  <c r="AO198" i="3633" s="1"/>
  <c r="AP63" i="3633"/>
  <c r="AP64" i="3633"/>
  <c r="Z58" i="3633"/>
  <c r="K135" i="3633"/>
  <c r="AD66" i="3633"/>
  <c r="Z60" i="3633"/>
  <c r="K133" i="3633"/>
  <c r="AD63" i="3633"/>
  <c r="K134" i="3633"/>
  <c r="AL56" i="3633"/>
  <c r="AG66" i="3633"/>
  <c r="AD60" i="3633"/>
  <c r="AL61" i="3633"/>
  <c r="AG59" i="3633"/>
  <c r="AE56" i="3633"/>
  <c r="J141" i="3633"/>
  <c r="AL58" i="3633"/>
  <c r="C56" i="3633"/>
  <c r="AP66" i="3633"/>
  <c r="AG57" i="3633"/>
  <c r="O194" i="3633"/>
  <c r="O198" i="3633" s="1"/>
  <c r="AE65" i="3633"/>
  <c r="D65" i="3633"/>
  <c r="C137" i="3633"/>
  <c r="J133" i="3633"/>
  <c r="C60" i="3633"/>
  <c r="Z67" i="3633"/>
  <c r="AG58" i="3633"/>
  <c r="AE61" i="3633"/>
  <c r="C138" i="3633"/>
  <c r="J142" i="3633"/>
  <c r="C65" i="3633"/>
  <c r="O64" i="3633"/>
  <c r="AE68" i="3633"/>
  <c r="D57" i="3633"/>
  <c r="C133" i="3633"/>
  <c r="M68" i="3633"/>
  <c r="L66" i="3633"/>
  <c r="S65" i="3633"/>
  <c r="AP61" i="3633"/>
  <c r="AE67" i="3633"/>
  <c r="C141" i="3633"/>
  <c r="M56" i="3633"/>
  <c r="L61" i="3633"/>
  <c r="S67" i="3633"/>
  <c r="O61" i="3633"/>
  <c r="M69" i="3633"/>
  <c r="L59" i="3633"/>
  <c r="S69" i="3633"/>
  <c r="AH59" i="3633"/>
  <c r="L63" i="3633"/>
  <c r="S58" i="3633"/>
  <c r="AH56" i="3633"/>
  <c r="AO64" i="3633"/>
  <c r="M59" i="3633"/>
  <c r="AN194" i="3633"/>
  <c r="AN198" i="3633" s="1"/>
  <c r="AQ66" i="3633"/>
  <c r="S56" i="3633"/>
  <c r="AP56" i="3633"/>
  <c r="AO63" i="3633"/>
  <c r="AQ56" i="3633"/>
  <c r="M65" i="3633"/>
  <c r="S63" i="3633"/>
  <c r="AP57" i="3633"/>
  <c r="AO61" i="3633"/>
  <c r="H57" i="3633"/>
  <c r="T61" i="3633"/>
  <c r="T56" i="3633"/>
  <c r="R60" i="3633"/>
  <c r="R64" i="3633"/>
  <c r="R56" i="3633"/>
  <c r="N56" i="3633"/>
  <c r="K180" i="3633"/>
  <c r="AD69" i="3633"/>
  <c r="K141" i="3633"/>
  <c r="Z63" i="3633"/>
  <c r="Z65" i="3633"/>
  <c r="K137" i="3633"/>
  <c r="AG64" i="3633"/>
  <c r="AL66" i="3633"/>
  <c r="K142" i="3633"/>
  <c r="AD58" i="3633"/>
  <c r="AL60" i="3633"/>
  <c r="AG60" i="3633"/>
  <c r="AG65" i="3633"/>
  <c r="AD61" i="3633"/>
  <c r="J137" i="3633"/>
  <c r="AL57" i="3633"/>
  <c r="AG56" i="3633"/>
  <c r="AL69" i="3633"/>
  <c r="AG69" i="3633"/>
  <c r="AE59" i="3633"/>
  <c r="D66" i="3633"/>
  <c r="J136" i="3633"/>
  <c r="C64" i="3633"/>
  <c r="D56" i="3633"/>
  <c r="O68" i="3633"/>
  <c r="D67" i="3633"/>
  <c r="J134" i="3633"/>
  <c r="Z68" i="3633"/>
  <c r="O56" i="3633"/>
  <c r="AE69" i="3633"/>
  <c r="D61" i="3633"/>
  <c r="C142" i="3633"/>
  <c r="L67" i="3633"/>
  <c r="C68" i="3633"/>
  <c r="AP58" i="3633"/>
  <c r="Z57" i="3633"/>
  <c r="O58" i="3633"/>
  <c r="AE58" i="3633"/>
  <c r="D60" i="3633"/>
  <c r="C134" i="3633"/>
  <c r="M58" i="3633"/>
  <c r="L56" i="3633"/>
  <c r="C66" i="3633"/>
  <c r="S59" i="3633"/>
  <c r="O69" i="3633"/>
  <c r="AE66" i="3633"/>
  <c r="D58" i="3633"/>
  <c r="M66" i="3633"/>
  <c r="L57" i="3633"/>
  <c r="Z64" i="3633"/>
  <c r="S68" i="3633"/>
  <c r="O67" i="3633"/>
  <c r="M61" i="3633"/>
  <c r="AH66" i="3633"/>
  <c r="AO69" i="3633"/>
  <c r="M57" i="3633"/>
  <c r="L64" i="3633"/>
  <c r="S57" i="3633"/>
  <c r="AO68" i="3633"/>
  <c r="M63" i="3633"/>
  <c r="AO56" i="3633"/>
  <c r="AQ61" i="3633"/>
  <c r="H65" i="3633"/>
  <c r="T67" i="3633"/>
  <c r="I185" i="3633"/>
  <c r="I189" i="3633" s="1"/>
  <c r="AP65" i="3633"/>
  <c r="AO66" i="3633"/>
  <c r="H67" i="3633"/>
  <c r="T68" i="3633"/>
  <c r="AQ63" i="3633"/>
  <c r="R68" i="3633"/>
  <c r="N60" i="3633"/>
  <c r="R58" i="3633"/>
  <c r="N61" i="3633"/>
  <c r="R69" i="3633"/>
  <c r="N58" i="3633"/>
  <c r="AD67" i="3633"/>
  <c r="K139" i="3633"/>
  <c r="AD59" i="3633"/>
  <c r="K138" i="3633"/>
  <c r="AD64" i="3633"/>
  <c r="AD68" i="3633"/>
  <c r="AK194" i="3633"/>
  <c r="AK198" i="3633" s="1"/>
  <c r="K136" i="3633"/>
  <c r="AD65" i="3633"/>
  <c r="AG68" i="3633"/>
  <c r="AD57" i="3633"/>
  <c r="AL65" i="3633"/>
  <c r="AD56" i="3633"/>
  <c r="AE64" i="3633"/>
  <c r="J138" i="3633"/>
  <c r="C63" i="3633"/>
  <c r="AG63" i="3633"/>
  <c r="AE60" i="3633"/>
  <c r="C135" i="3633"/>
  <c r="C67" i="3633"/>
  <c r="AG61" i="3633"/>
  <c r="O60" i="3633"/>
  <c r="AE57" i="3633"/>
  <c r="D63" i="3633"/>
  <c r="C136" i="3633"/>
  <c r="J139" i="3633"/>
  <c r="L60" i="3633"/>
  <c r="C69" i="3633"/>
  <c r="AP67" i="3633"/>
  <c r="O66" i="3633"/>
  <c r="AE63" i="3633"/>
  <c r="D64" i="3633"/>
  <c r="C139" i="3633"/>
  <c r="L58" i="3633"/>
  <c r="C58" i="3633"/>
  <c r="AP68" i="3633"/>
  <c r="O57" i="3633"/>
  <c r="D68" i="3633"/>
  <c r="O59" i="3633"/>
  <c r="M60" i="3633"/>
  <c r="L68" i="3633"/>
  <c r="S66" i="3633"/>
  <c r="O65" i="3633"/>
  <c r="M67" i="3633"/>
  <c r="L69" i="3633"/>
  <c r="S61" i="3633"/>
  <c r="AP69" i="3633"/>
  <c r="AH64" i="3633"/>
  <c r="O63" i="3633"/>
  <c r="AO59" i="3633"/>
  <c r="M64" i="3633"/>
  <c r="L65" i="3633"/>
  <c r="S60" i="3633"/>
  <c r="S64" i="3633"/>
  <c r="Z61" i="3633"/>
  <c r="H61" i="3633"/>
  <c r="AQ57" i="3633"/>
  <c r="AO57" i="3633"/>
  <c r="AQ67" i="3633"/>
  <c r="H64" i="3633"/>
  <c r="I136" i="3633"/>
  <c r="R61" i="3633"/>
  <c r="N69" i="3633"/>
  <c r="R57" i="3633"/>
  <c r="N57" i="3633"/>
  <c r="N184" i="3633"/>
  <c r="N188" i="3633" s="1"/>
  <c r="N194" i="3633"/>
  <c r="N198" i="3633" s="1"/>
  <c r="N180" i="3633"/>
  <c r="I135" i="3633"/>
  <c r="H63" i="3633"/>
  <c r="H184" i="3633"/>
  <c r="H188" i="3633" s="1"/>
  <c r="H180" i="3633"/>
  <c r="AQ69" i="3633"/>
  <c r="AQ65" i="3633"/>
  <c r="AG67" i="3633"/>
  <c r="AG194" i="3633"/>
  <c r="AG198" i="3633" s="1"/>
  <c r="D184" i="3633"/>
  <c r="D188" i="3633" s="1"/>
  <c r="D180" i="3633"/>
  <c r="AL64" i="3633"/>
  <c r="AL59" i="3633"/>
  <c r="AD194" i="3633"/>
  <c r="AD198" i="3633" s="1"/>
  <c r="AL67" i="3633"/>
  <c r="AL63" i="3633"/>
  <c r="H185" i="3633"/>
  <c r="H189" i="3633" s="1"/>
  <c r="AH68" i="3633"/>
  <c r="T64" i="3633"/>
  <c r="T69" i="3633"/>
  <c r="I184" i="3633"/>
  <c r="I188" i="3633" s="1"/>
  <c r="I180" i="3633"/>
  <c r="I142" i="3633"/>
  <c r="H58" i="3633"/>
  <c r="T63" i="3633"/>
  <c r="I139" i="3633"/>
  <c r="AO58" i="3633"/>
  <c r="H60" i="3633"/>
  <c r="T60" i="3633"/>
  <c r="AH58" i="3633"/>
  <c r="AO65" i="3633"/>
  <c r="H59" i="3633"/>
  <c r="T66" i="3633"/>
  <c r="I133" i="3633"/>
  <c r="AH61" i="3633"/>
  <c r="R194" i="3633"/>
  <c r="R198" i="3633" s="1"/>
  <c r="AO60" i="3633"/>
  <c r="AQ59" i="3633"/>
  <c r="H66" i="3633"/>
  <c r="N68" i="3633"/>
  <c r="T59" i="3633"/>
  <c r="I138" i="3633"/>
  <c r="AQ68" i="3633"/>
  <c r="AQ64" i="3633"/>
  <c r="AQ60" i="3633"/>
  <c r="M184" i="3633"/>
  <c r="M188" i="3633" s="1"/>
  <c r="M180" i="3633"/>
  <c r="S194" i="3633"/>
  <c r="S198" i="3633" s="1"/>
  <c r="L184" i="3633"/>
  <c r="L188" i="3633" s="1"/>
  <c r="L180" i="3633"/>
  <c r="D59" i="3633"/>
  <c r="D69" i="3633"/>
  <c r="C61" i="3633"/>
  <c r="J135" i="3633"/>
  <c r="C59" i="3633"/>
  <c r="J185" i="3633"/>
  <c r="J189" i="3633" s="1"/>
  <c r="J195" i="3633"/>
  <c r="J199" i="3633" s="1"/>
  <c r="C57" i="3633"/>
  <c r="C184" i="3633"/>
  <c r="C188" i="3633" s="1"/>
  <c r="C180" i="3633"/>
  <c r="AL68" i="3633"/>
  <c r="J180" i="3633"/>
  <c r="J194" i="3633"/>
  <c r="J198" i="3633" s="1"/>
  <c r="AH67" i="3633"/>
  <c r="AH65" i="3633"/>
  <c r="H68" i="3633"/>
  <c r="T65" i="3633"/>
  <c r="AH60" i="3633"/>
  <c r="I137" i="3633"/>
  <c r="AH57" i="3633"/>
  <c r="H69" i="3633"/>
  <c r="T57" i="3633"/>
  <c r="AH63" i="3633"/>
  <c r="I134" i="3633"/>
  <c r="AH69" i="3633"/>
  <c r="AO67" i="3633"/>
  <c r="AQ58" i="3633"/>
  <c r="H56" i="3633"/>
  <c r="T58" i="3633"/>
  <c r="I141" i="3633"/>
  <c r="AP194" i="3633"/>
  <c r="AP198" i="3633" s="1"/>
  <c r="K85" i="3632"/>
  <c r="K4" i="3632" s="1"/>
  <c r="K86" i="3632"/>
  <c r="J8" i="3632"/>
  <c r="K45" i="3632"/>
  <c r="K3" i="3632" s="1"/>
  <c r="K46" i="3632"/>
  <c r="B1" i="3603"/>
  <c r="C1" i="3603"/>
  <c r="D1" i="3603"/>
  <c r="E1" i="3603"/>
  <c r="F1" i="3603"/>
  <c r="G1" i="3603"/>
  <c r="H1" i="3603"/>
  <c r="I1" i="3603"/>
  <c r="J1" i="3603"/>
  <c r="K1" i="3603"/>
  <c r="L1" i="3603"/>
  <c r="M1" i="3603"/>
  <c r="N1" i="3603"/>
  <c r="O1" i="3603"/>
  <c r="P1" i="3603"/>
  <c r="Q1" i="3603"/>
  <c r="R1" i="3603"/>
  <c r="S1" i="3603"/>
  <c r="T1" i="3603"/>
  <c r="U1" i="3603"/>
  <c r="B3" i="3603"/>
  <c r="C3" i="3603"/>
  <c r="D3" i="3603"/>
  <c r="E3" i="3603"/>
  <c r="F3" i="3603"/>
  <c r="G3" i="3603"/>
  <c r="H3" i="3603"/>
  <c r="I3" i="3603"/>
  <c r="J3" i="3603"/>
  <c r="K3" i="3603"/>
  <c r="L3" i="3603"/>
  <c r="M3" i="3603"/>
  <c r="N3" i="3603"/>
  <c r="O3" i="3603"/>
  <c r="P3" i="3603"/>
  <c r="Q3" i="3603"/>
  <c r="R3" i="3603"/>
  <c r="S3" i="3603"/>
  <c r="T3" i="3603"/>
  <c r="U3" i="3603"/>
  <c r="B6" i="3603"/>
  <c r="C6" i="3603"/>
  <c r="D6" i="3603"/>
  <c r="E6" i="3603"/>
  <c r="F6" i="3603"/>
  <c r="G6" i="3603"/>
  <c r="H6" i="3603"/>
  <c r="I6" i="3603"/>
  <c r="J6" i="3603"/>
  <c r="K6" i="3603"/>
  <c r="L6" i="3603"/>
  <c r="M6" i="3603"/>
  <c r="N6" i="3603"/>
  <c r="O6" i="3603"/>
  <c r="P6" i="3603"/>
  <c r="Q6" i="3603"/>
  <c r="R6" i="3603"/>
  <c r="S6" i="3603"/>
  <c r="T6" i="3603"/>
  <c r="U6" i="3603"/>
  <c r="B11" i="3603"/>
  <c r="C11" i="3603"/>
  <c r="D11" i="3603"/>
  <c r="E11" i="3603"/>
  <c r="F11" i="3603"/>
  <c r="G11" i="3603"/>
  <c r="H11" i="3603"/>
  <c r="I11" i="3603"/>
  <c r="J11" i="3603"/>
  <c r="K11" i="3603"/>
  <c r="L11" i="3603"/>
  <c r="M11" i="3603"/>
  <c r="N11" i="3603"/>
  <c r="O11" i="3603"/>
  <c r="P11" i="3603"/>
  <c r="Q11" i="3603"/>
  <c r="R11" i="3603"/>
  <c r="S11" i="3603"/>
  <c r="T11" i="3603"/>
  <c r="U11" i="3603"/>
  <c r="B15" i="3603"/>
  <c r="C15" i="3603"/>
  <c r="D15" i="3603"/>
  <c r="E15" i="3603"/>
  <c r="F15" i="3603"/>
  <c r="G15" i="3603"/>
  <c r="H15" i="3603"/>
  <c r="I15" i="3603"/>
  <c r="J15" i="3603"/>
  <c r="K15" i="3603"/>
  <c r="L15" i="3603"/>
  <c r="M15" i="3603"/>
  <c r="N15" i="3603"/>
  <c r="O15" i="3603"/>
  <c r="P15" i="3603"/>
  <c r="Q15" i="3603"/>
  <c r="R15" i="3603"/>
  <c r="S15" i="3603"/>
  <c r="T15" i="3603"/>
  <c r="U15" i="3603"/>
  <c r="B19" i="3603"/>
  <c r="C19" i="3603"/>
  <c r="D19" i="3603"/>
  <c r="E19" i="3603"/>
  <c r="F19" i="3603"/>
  <c r="G19" i="3603"/>
  <c r="H19" i="3603"/>
  <c r="I19" i="3603"/>
  <c r="J19" i="3603"/>
  <c r="K19" i="3603"/>
  <c r="L19" i="3603"/>
  <c r="M19" i="3603"/>
  <c r="N19" i="3603"/>
  <c r="O19" i="3603"/>
  <c r="P19" i="3603"/>
  <c r="Q19" i="3603"/>
  <c r="R19" i="3603"/>
  <c r="S19" i="3603"/>
  <c r="T19" i="3603"/>
  <c r="U19" i="3603"/>
  <c r="B23" i="3603"/>
  <c r="C23" i="3603"/>
  <c r="D23" i="3603"/>
  <c r="E23" i="3603"/>
  <c r="F23" i="3603"/>
  <c r="G23" i="3603"/>
  <c r="H23" i="3603"/>
  <c r="I23" i="3603"/>
  <c r="J23" i="3603"/>
  <c r="K23" i="3603"/>
  <c r="L23" i="3603"/>
  <c r="M23" i="3603"/>
  <c r="N23" i="3603"/>
  <c r="O23" i="3603"/>
  <c r="P23" i="3603"/>
  <c r="Q23" i="3603"/>
  <c r="R23" i="3603"/>
  <c r="S23" i="3603"/>
  <c r="T23" i="3603"/>
  <c r="U23" i="3603"/>
  <c r="B31" i="3603"/>
  <c r="C31" i="3603"/>
  <c r="D31" i="3603"/>
  <c r="E31" i="3603"/>
  <c r="F31" i="3603"/>
  <c r="G31" i="3603"/>
  <c r="H31" i="3603"/>
  <c r="I31" i="3603"/>
  <c r="J31" i="3603"/>
  <c r="K31" i="3603"/>
  <c r="L31" i="3603"/>
  <c r="M31" i="3603"/>
  <c r="N31" i="3603"/>
  <c r="O31" i="3603"/>
  <c r="P31" i="3603"/>
  <c r="Q31" i="3603"/>
  <c r="R31" i="3603"/>
  <c r="S31" i="3603"/>
  <c r="T31" i="3603"/>
  <c r="U31" i="3603"/>
  <c r="B35" i="3603"/>
  <c r="C35" i="3603"/>
  <c r="D35" i="3603"/>
  <c r="E35" i="3603"/>
  <c r="F35" i="3603"/>
  <c r="G35" i="3603"/>
  <c r="H35" i="3603"/>
  <c r="I35" i="3603"/>
  <c r="J35" i="3603"/>
  <c r="K35" i="3603"/>
  <c r="L35" i="3603"/>
  <c r="M35" i="3603"/>
  <c r="N35" i="3603"/>
  <c r="O35" i="3603"/>
  <c r="P35" i="3603"/>
  <c r="Q35" i="3603"/>
  <c r="R35" i="3603"/>
  <c r="S35" i="3603"/>
  <c r="T35" i="3603"/>
  <c r="U35" i="3603"/>
  <c r="B39" i="3603"/>
  <c r="C39" i="3603"/>
  <c r="D39" i="3603"/>
  <c r="E39" i="3603"/>
  <c r="F39" i="3603"/>
  <c r="G39" i="3603"/>
  <c r="H39" i="3603"/>
  <c r="I39" i="3603"/>
  <c r="J39" i="3603"/>
  <c r="K39" i="3603"/>
  <c r="L39" i="3603"/>
  <c r="M39" i="3603"/>
  <c r="N39" i="3603"/>
  <c r="O39" i="3603"/>
  <c r="P39" i="3603"/>
  <c r="Q39" i="3603"/>
  <c r="R39" i="3603"/>
  <c r="S39" i="3603"/>
  <c r="T39" i="3603"/>
  <c r="U39" i="3603"/>
  <c r="B43" i="3603"/>
  <c r="C43" i="3603"/>
  <c r="D43" i="3603"/>
  <c r="E43" i="3603"/>
  <c r="F43" i="3603"/>
  <c r="G43" i="3603"/>
  <c r="H43" i="3603"/>
  <c r="I43" i="3603"/>
  <c r="J43" i="3603"/>
  <c r="K43" i="3603"/>
  <c r="L43" i="3603"/>
  <c r="M43" i="3603"/>
  <c r="N43" i="3603"/>
  <c r="O43" i="3603"/>
  <c r="P43" i="3603"/>
  <c r="Q43" i="3603"/>
  <c r="R43" i="3603"/>
  <c r="S43" i="3603"/>
  <c r="T43" i="3603"/>
  <c r="U43" i="3603"/>
  <c r="B48" i="3603"/>
  <c r="C48" i="3603"/>
  <c r="D48" i="3603"/>
  <c r="E48" i="3603"/>
  <c r="F48" i="3603"/>
  <c r="G48" i="3603"/>
  <c r="H48" i="3603"/>
  <c r="I48" i="3603"/>
  <c r="J48" i="3603"/>
  <c r="K48" i="3603"/>
  <c r="L48" i="3603"/>
  <c r="M48" i="3603"/>
  <c r="N48" i="3603"/>
  <c r="O48" i="3603"/>
  <c r="P48" i="3603"/>
  <c r="Q48" i="3603"/>
  <c r="R48" i="3603"/>
  <c r="S48" i="3603"/>
  <c r="T48" i="3603"/>
  <c r="U48" i="3603"/>
  <c r="B52" i="3603"/>
  <c r="C52" i="3603"/>
  <c r="D52" i="3603"/>
  <c r="E52" i="3603"/>
  <c r="F52" i="3603"/>
  <c r="G52" i="3603"/>
  <c r="H52" i="3603"/>
  <c r="I52" i="3603"/>
  <c r="J52" i="3603"/>
  <c r="K52" i="3603"/>
  <c r="L52" i="3603"/>
  <c r="M52" i="3603"/>
  <c r="N52" i="3603"/>
  <c r="O52" i="3603"/>
  <c r="P52" i="3603"/>
  <c r="Q52" i="3603"/>
  <c r="R52" i="3603"/>
  <c r="S52" i="3603"/>
  <c r="T52" i="3603"/>
  <c r="U52" i="3603"/>
  <c r="B56" i="3603"/>
  <c r="C56" i="3603"/>
  <c r="D56" i="3603"/>
  <c r="E56" i="3603"/>
  <c r="F56" i="3603"/>
  <c r="G56" i="3603"/>
  <c r="H56" i="3603"/>
  <c r="I56" i="3603"/>
  <c r="J56" i="3603"/>
  <c r="K56" i="3603"/>
  <c r="L56" i="3603"/>
  <c r="M56" i="3603"/>
  <c r="N56" i="3603"/>
  <c r="O56" i="3603"/>
  <c r="P56" i="3603"/>
  <c r="Q56" i="3603"/>
  <c r="R56" i="3603"/>
  <c r="S56" i="3603"/>
  <c r="T56" i="3603"/>
  <c r="U56" i="3603"/>
  <c r="B61" i="3603"/>
  <c r="C61" i="3603"/>
  <c r="D61" i="3603"/>
  <c r="E61" i="3603"/>
  <c r="F61" i="3603"/>
  <c r="G61" i="3603"/>
  <c r="H61" i="3603"/>
  <c r="I61" i="3603"/>
  <c r="J61" i="3603"/>
  <c r="K61" i="3603"/>
  <c r="L61" i="3603"/>
  <c r="M61" i="3603"/>
  <c r="N61" i="3603"/>
  <c r="O61" i="3603"/>
  <c r="P61" i="3603"/>
  <c r="Q61" i="3603"/>
  <c r="R61" i="3603"/>
  <c r="S61" i="3603"/>
  <c r="T61" i="3603"/>
  <c r="U61" i="3603"/>
  <c r="B65" i="3603"/>
  <c r="C65" i="3603"/>
  <c r="D65" i="3603"/>
  <c r="E65" i="3603"/>
  <c r="F65" i="3603"/>
  <c r="G65" i="3603"/>
  <c r="H65" i="3603"/>
  <c r="I65" i="3603"/>
  <c r="J65" i="3603"/>
  <c r="K65" i="3603"/>
  <c r="L65" i="3603"/>
  <c r="M65" i="3603"/>
  <c r="N65" i="3603"/>
  <c r="O65" i="3603"/>
  <c r="P65" i="3603"/>
  <c r="Q65" i="3603"/>
  <c r="R65" i="3603"/>
  <c r="S65" i="3603"/>
  <c r="T65" i="3603"/>
  <c r="U65" i="3603"/>
  <c r="B69" i="3603"/>
  <c r="C69" i="3603"/>
  <c r="D69" i="3603"/>
  <c r="E69" i="3603"/>
  <c r="F69" i="3603"/>
  <c r="G69" i="3603"/>
  <c r="H69" i="3603"/>
  <c r="I69" i="3603"/>
  <c r="J69" i="3603"/>
  <c r="K69" i="3603"/>
  <c r="L69" i="3603"/>
  <c r="M69" i="3603"/>
  <c r="N69" i="3603"/>
  <c r="O69" i="3603"/>
  <c r="P69" i="3603"/>
  <c r="Q69" i="3603"/>
  <c r="R69" i="3603"/>
  <c r="S69" i="3603"/>
  <c r="T69" i="3603"/>
  <c r="U69" i="3603"/>
  <c r="B74" i="3603"/>
  <c r="C74" i="3603"/>
  <c r="D74" i="3603"/>
  <c r="E74" i="3603"/>
  <c r="F74" i="3603"/>
  <c r="G74" i="3603"/>
  <c r="H74" i="3603"/>
  <c r="I74" i="3603"/>
  <c r="J74" i="3603"/>
  <c r="K74" i="3603"/>
  <c r="L74" i="3603"/>
  <c r="M74" i="3603"/>
  <c r="N74" i="3603"/>
  <c r="O74" i="3603"/>
  <c r="P74" i="3603"/>
  <c r="Q74" i="3603"/>
  <c r="R74" i="3603"/>
  <c r="S74" i="3603"/>
  <c r="T74" i="3603"/>
  <c r="U74" i="3603"/>
  <c r="B78" i="3603"/>
  <c r="C78" i="3603"/>
  <c r="D78" i="3603"/>
  <c r="E78" i="3603"/>
  <c r="F78" i="3603"/>
  <c r="G78" i="3603"/>
  <c r="H78" i="3603"/>
  <c r="I78" i="3603"/>
  <c r="J78" i="3603"/>
  <c r="K78" i="3603"/>
  <c r="L78" i="3603"/>
  <c r="M78" i="3603"/>
  <c r="N78" i="3603"/>
  <c r="O78" i="3603"/>
  <c r="P78" i="3603"/>
  <c r="Q78" i="3603"/>
  <c r="R78" i="3603"/>
  <c r="S78" i="3603"/>
  <c r="T78" i="3603"/>
  <c r="U78" i="3603"/>
  <c r="H52" i="3622"/>
  <c r="F56" i="3622"/>
  <c r="K56" i="3622"/>
  <c r="K57" i="3622"/>
  <c r="K59" i="3622"/>
  <c r="G3" i="3616"/>
  <c r="F3" i="3616" s="1"/>
  <c r="E3" i="3616" s="1"/>
  <c r="D3" i="3616" s="1"/>
  <c r="C3" i="3616" s="1"/>
  <c r="B3" i="3616" s="1"/>
  <c r="G33" i="3616"/>
  <c r="G48" i="3616"/>
  <c r="F48" i="3616" s="1"/>
  <c r="E48" i="3616" s="1"/>
  <c r="D48" i="3616" s="1"/>
  <c r="C48" i="3616" s="1"/>
  <c r="B48" i="3616" s="1"/>
  <c r="G63" i="3616"/>
  <c r="F63" i="3616" s="1"/>
  <c r="E63" i="3616" s="1"/>
  <c r="D63" i="3616" s="1"/>
  <c r="C63" i="3616" s="1"/>
  <c r="B63" i="3616" s="1"/>
  <c r="D13" i="3590"/>
  <c r="B13" i="3590" s="1"/>
  <c r="E13" i="3590"/>
  <c r="F13" i="3590"/>
  <c r="G13" i="3590"/>
  <c r="H13" i="3590"/>
  <c r="I13" i="3590"/>
  <c r="J13" i="3590"/>
  <c r="K13" i="3590"/>
  <c r="L13" i="3590"/>
  <c r="M13" i="3590"/>
  <c r="N13" i="3590"/>
  <c r="O13" i="3590"/>
  <c r="P13" i="3590"/>
  <c r="Q13" i="3590"/>
  <c r="R13" i="3590"/>
  <c r="S13" i="3590"/>
  <c r="T13" i="3590"/>
  <c r="U13" i="3590"/>
  <c r="V13" i="3590"/>
  <c r="W13" i="3590"/>
  <c r="X13" i="3590"/>
  <c r="Y13" i="3590"/>
  <c r="Z13" i="3590"/>
  <c r="AA13" i="3590"/>
  <c r="AB13" i="3590"/>
  <c r="AC13" i="3590"/>
  <c r="AD13" i="3590"/>
  <c r="AE13" i="3590"/>
  <c r="AF13" i="3590"/>
  <c r="AG13" i="3590"/>
  <c r="F4" i="3607"/>
  <c r="I4" i="3607"/>
  <c r="F5" i="3607"/>
  <c r="G5" i="3607" s="1"/>
  <c r="I5" i="3607"/>
  <c r="C6" i="3607"/>
  <c r="C7" i="3607" s="1"/>
  <c r="F7" i="3607"/>
  <c r="G7" i="3607" s="1"/>
  <c r="C8" i="3607"/>
  <c r="C15" i="3607" s="1"/>
  <c r="H1" i="2556"/>
  <c r="D12" i="2556"/>
  <c r="E12" i="2556"/>
  <c r="F12" i="2556"/>
  <c r="G12" i="2556"/>
  <c r="H12" i="2556"/>
  <c r="M51" i="2556"/>
  <c r="N51" i="2556"/>
  <c r="O51" i="2556"/>
  <c r="P51" i="2556"/>
  <c r="Q51" i="2556"/>
  <c r="R51" i="2556"/>
  <c r="S51" i="2556"/>
  <c r="T51" i="2556"/>
  <c r="U51" i="2556"/>
  <c r="V51" i="2556"/>
  <c r="W51" i="2556"/>
  <c r="X51" i="2556"/>
  <c r="Y51" i="2556"/>
  <c r="Z51" i="2556"/>
  <c r="AA51" i="2556"/>
  <c r="AB51" i="2556"/>
  <c r="AC51" i="2556"/>
  <c r="AD51" i="2556"/>
  <c r="AE51" i="2556"/>
  <c r="AF51" i="2556"/>
  <c r="AG51" i="2556"/>
  <c r="AH51" i="2556"/>
  <c r="AI51" i="2556"/>
  <c r="AJ51" i="2556"/>
  <c r="AK51" i="2556"/>
  <c r="H1" i="3584"/>
  <c r="C3" i="3584"/>
  <c r="C4" i="3584"/>
  <c r="C4" i="3597" s="1"/>
  <c r="D4" i="3584"/>
  <c r="D31" i="2" s="1"/>
  <c r="E4" i="3584"/>
  <c r="E31" i="2" s="1"/>
  <c r="F4" i="3584"/>
  <c r="F4" i="3597" s="1"/>
  <c r="G4" i="3584"/>
  <c r="G4" i="3597" s="1"/>
  <c r="H4" i="3584"/>
  <c r="H4" i="3597" s="1"/>
  <c r="C6" i="3584"/>
  <c r="D6" i="3584"/>
  <c r="E6" i="3584"/>
  <c r="F6" i="3584"/>
  <c r="G6" i="3584"/>
  <c r="B5" i="3645" s="1"/>
  <c r="H6" i="3584"/>
  <c r="C5" i="3645" s="1"/>
  <c r="C11" i="3584"/>
  <c r="D11" i="3584"/>
  <c r="E11" i="3584"/>
  <c r="F11" i="3584"/>
  <c r="G11" i="3584"/>
  <c r="B7" i="3645" s="1"/>
  <c r="H11" i="3584"/>
  <c r="C7" i="3645" s="1"/>
  <c r="C12" i="3584"/>
  <c r="D12" i="3584"/>
  <c r="E12" i="3584"/>
  <c r="F12" i="3584"/>
  <c r="G12" i="3584"/>
  <c r="B6" i="3645" s="1"/>
  <c r="H12" i="3584"/>
  <c r="C6" i="3645" s="1"/>
  <c r="C13" i="3584"/>
  <c r="D13" i="3584"/>
  <c r="E13" i="3584"/>
  <c r="F13" i="3584"/>
  <c r="G13" i="3584"/>
  <c r="B8" i="3645" s="1"/>
  <c r="H13" i="3584"/>
  <c r="C16" i="3584"/>
  <c r="D16" i="3584"/>
  <c r="D43" i="2" s="1"/>
  <c r="E16" i="3584"/>
  <c r="E43" i="2" s="1"/>
  <c r="F16" i="3584"/>
  <c r="F43" i="2" s="1"/>
  <c r="G16" i="3584"/>
  <c r="G43" i="2" s="1"/>
  <c r="H16" i="3584"/>
  <c r="H43" i="2" s="1"/>
  <c r="I43" i="2" s="1"/>
  <c r="J43" i="2" s="1"/>
  <c r="K43" i="2" s="1"/>
  <c r="L43" i="2" s="1"/>
  <c r="M43" i="2" s="1"/>
  <c r="N43" i="2" s="1"/>
  <c r="O43" i="2" s="1"/>
  <c r="P43" i="2" s="1"/>
  <c r="Q43" i="2" s="1"/>
  <c r="R43" i="2" s="1"/>
  <c r="S43" i="2" s="1"/>
  <c r="T43" i="2" s="1"/>
  <c r="U43" i="2" s="1"/>
  <c r="V43" i="2" s="1"/>
  <c r="W43" i="2" s="1"/>
  <c r="X43" i="2" s="1"/>
  <c r="Y43" i="2" s="1"/>
  <c r="Z43" i="2" s="1"/>
  <c r="AA43" i="2" s="1"/>
  <c r="AB43" i="2" s="1"/>
  <c r="AC43" i="2" s="1"/>
  <c r="AD43" i="2" s="1"/>
  <c r="AE43" i="2" s="1"/>
  <c r="AF43" i="2" s="1"/>
  <c r="AG43" i="2" s="1"/>
  <c r="AH43" i="2" s="1"/>
  <c r="AI43" i="2" s="1"/>
  <c r="AJ43" i="2" s="1"/>
  <c r="AK43" i="2" s="1"/>
  <c r="AL43" i="2" s="1"/>
  <c r="C3" i="3597"/>
  <c r="D19" i="3584"/>
  <c r="E19" i="3584"/>
  <c r="F19" i="3584"/>
  <c r="G19" i="3584"/>
  <c r="H19" i="3584"/>
  <c r="C23" i="3584"/>
  <c r="C48" i="3597" s="1"/>
  <c r="D23" i="3584"/>
  <c r="E23" i="3584"/>
  <c r="F23" i="3584"/>
  <c r="F48" i="3597" s="1"/>
  <c r="G23" i="3584"/>
  <c r="H23" i="3584"/>
  <c r="C25" i="3584"/>
  <c r="D25" i="3584"/>
  <c r="E25" i="3584"/>
  <c r="F25" i="3584"/>
  <c r="G25" i="3584"/>
  <c r="G50" i="2" s="1"/>
  <c r="H25" i="3584"/>
  <c r="C27" i="3584"/>
  <c r="D27" i="3584"/>
  <c r="D50" i="3597" s="1"/>
  <c r="E27" i="3584"/>
  <c r="E50" i="3597" s="1"/>
  <c r="F27" i="3584"/>
  <c r="F50" i="3597" s="1"/>
  <c r="G27" i="3584"/>
  <c r="G50" i="3597" s="1"/>
  <c r="H27" i="3584"/>
  <c r="C28" i="3584"/>
  <c r="D28" i="3584"/>
  <c r="D54" i="2" s="1"/>
  <c r="E28" i="3584"/>
  <c r="E54" i="2" s="1"/>
  <c r="F28" i="3584"/>
  <c r="G28" i="3584"/>
  <c r="G54" i="2" s="1"/>
  <c r="H28" i="3584"/>
  <c r="H54" i="2" s="1"/>
  <c r="I54" i="2" s="1"/>
  <c r="J54" i="2" s="1"/>
  <c r="K54" i="2" s="1"/>
  <c r="L54" i="2" s="1"/>
  <c r="M54" i="2" s="1"/>
  <c r="N54" i="2" s="1"/>
  <c r="O54" i="2" s="1"/>
  <c r="P54" i="2" s="1"/>
  <c r="Q54" i="2" s="1"/>
  <c r="R54" i="2" s="1"/>
  <c r="S54" i="2" s="1"/>
  <c r="T54" i="2" s="1"/>
  <c r="U54" i="2" s="1"/>
  <c r="V54" i="2" s="1"/>
  <c r="W54" i="2" s="1"/>
  <c r="X54" i="2" s="1"/>
  <c r="Y54" i="2" s="1"/>
  <c r="Z54" i="2" s="1"/>
  <c r="AA54" i="2" s="1"/>
  <c r="AB54" i="2" s="1"/>
  <c r="AC54" i="2" s="1"/>
  <c r="AD54" i="2" s="1"/>
  <c r="AE54" i="2" s="1"/>
  <c r="AF54" i="2" s="1"/>
  <c r="AG54" i="2" s="1"/>
  <c r="AH54" i="2" s="1"/>
  <c r="AI54" i="2" s="1"/>
  <c r="AJ54" i="2" s="1"/>
  <c r="AK54" i="2" s="1"/>
  <c r="AL54" i="2" s="1"/>
  <c r="C29" i="3584"/>
  <c r="D29" i="3584"/>
  <c r="E29" i="3584"/>
  <c r="F29" i="3584"/>
  <c r="G29" i="3584"/>
  <c r="B11" i="3645" s="1"/>
  <c r="H29" i="3584"/>
  <c r="C30" i="3584"/>
  <c r="E156" i="3613" s="1"/>
  <c r="D30" i="3584"/>
  <c r="D38" i="3589" s="1"/>
  <c r="E30" i="3584"/>
  <c r="E38" i="3589" s="1"/>
  <c r="F30" i="3584"/>
  <c r="G30" i="3584"/>
  <c r="B12" i="3645" s="1"/>
  <c r="H30" i="3584"/>
  <c r="C12" i="3645" s="1"/>
  <c r="C31" i="3584"/>
  <c r="D31" i="3584"/>
  <c r="E31" i="3584"/>
  <c r="F31" i="3584"/>
  <c r="G31" i="3584"/>
  <c r="H31" i="3584"/>
  <c r="C33" i="3584"/>
  <c r="E157" i="3613" s="1"/>
  <c r="D33" i="3584"/>
  <c r="E33" i="3584"/>
  <c r="F33" i="3584"/>
  <c r="G33" i="3584"/>
  <c r="B13" i="3645" s="1"/>
  <c r="H33" i="3584"/>
  <c r="C34" i="3584"/>
  <c r="D34" i="3584"/>
  <c r="E34" i="3584"/>
  <c r="F34" i="3584"/>
  <c r="G34" i="3584"/>
  <c r="H34" i="3584"/>
  <c r="C35" i="3584"/>
  <c r="D35" i="3584"/>
  <c r="E35" i="3584"/>
  <c r="F35" i="3584"/>
  <c r="G35" i="3584"/>
  <c r="H35" i="3584"/>
  <c r="C36" i="3584"/>
  <c r="C25" i="3597" s="1"/>
  <c r="D36" i="3584"/>
  <c r="E36" i="3584"/>
  <c r="F36" i="3584"/>
  <c r="G36" i="3584"/>
  <c r="H36" i="3584"/>
  <c r="H56" i="2" s="1"/>
  <c r="I56" i="2" s="1"/>
  <c r="J56" i="2" s="1"/>
  <c r="K56" i="2" s="1"/>
  <c r="L56" i="2" s="1"/>
  <c r="M56" i="2" s="1"/>
  <c r="N56" i="2" s="1"/>
  <c r="O56" i="2" s="1"/>
  <c r="P56" i="2" s="1"/>
  <c r="Q56" i="2" s="1"/>
  <c r="R56" i="2" s="1"/>
  <c r="S56" i="2" s="1"/>
  <c r="T56" i="2" s="1"/>
  <c r="U56" i="2" s="1"/>
  <c r="V56" i="2" s="1"/>
  <c r="W56" i="2" s="1"/>
  <c r="X56" i="2" s="1"/>
  <c r="Y56" i="2" s="1"/>
  <c r="Z56" i="2" s="1"/>
  <c r="AA56" i="2" s="1"/>
  <c r="AB56" i="2" s="1"/>
  <c r="AC56" i="2" s="1"/>
  <c r="AD56" i="2" s="1"/>
  <c r="AE56" i="2" s="1"/>
  <c r="AF56" i="2" s="1"/>
  <c r="AG56" i="2" s="1"/>
  <c r="AH56" i="2" s="1"/>
  <c r="AI56" i="2" s="1"/>
  <c r="AJ56" i="2" s="1"/>
  <c r="AK56" i="2" s="1"/>
  <c r="AL56" i="2" s="1"/>
  <c r="C39" i="3584"/>
  <c r="D39" i="3584"/>
  <c r="E39" i="3584"/>
  <c r="F39" i="3584"/>
  <c r="G39" i="3584"/>
  <c r="H39" i="3584"/>
  <c r="C40" i="3584"/>
  <c r="D40" i="3584"/>
  <c r="E40" i="3584"/>
  <c r="F40" i="3584"/>
  <c r="G40" i="3584"/>
  <c r="B15" i="3645" s="1"/>
  <c r="H40" i="3584"/>
  <c r="C42" i="3584"/>
  <c r="C30" i="3597" s="1"/>
  <c r="D42" i="3584"/>
  <c r="E42" i="3584"/>
  <c r="F42" i="3584"/>
  <c r="G42" i="3584"/>
  <c r="H42" i="3584"/>
  <c r="C43" i="3584"/>
  <c r="C31" i="3597" s="1"/>
  <c r="D43" i="3584"/>
  <c r="D12" i="3597" s="1"/>
  <c r="E43" i="3584"/>
  <c r="E12" i="3597" s="1"/>
  <c r="F43" i="3584"/>
  <c r="F12" i="3597" s="1"/>
  <c r="G43" i="3584"/>
  <c r="H43" i="3584"/>
  <c r="C45" i="3584"/>
  <c r="D45" i="3584"/>
  <c r="E45" i="3584"/>
  <c r="F45" i="3584"/>
  <c r="G45" i="3584"/>
  <c r="B18" i="3645" s="1"/>
  <c r="H45" i="3584"/>
  <c r="C18" i="3645" s="1"/>
  <c r="C48" i="3584"/>
  <c r="D48" i="3584"/>
  <c r="E48" i="3584"/>
  <c r="F48" i="3584"/>
  <c r="G48" i="3584"/>
  <c r="H48" i="3584"/>
  <c r="C49" i="3584"/>
  <c r="D49" i="3584"/>
  <c r="E49" i="3584"/>
  <c r="F49" i="3584"/>
  <c r="G49" i="3584"/>
  <c r="H49" i="3584"/>
  <c r="C51" i="3584"/>
  <c r="D51" i="3584"/>
  <c r="D69" i="2" s="1"/>
  <c r="E51" i="3584"/>
  <c r="E69" i="2" s="1"/>
  <c r="F51" i="3584"/>
  <c r="G139" i="3589" s="1"/>
  <c r="G51" i="3584"/>
  <c r="H139" i="3589" s="1"/>
  <c r="H51" i="3584"/>
  <c r="I139" i="3589" s="1"/>
  <c r="C52" i="3584"/>
  <c r="D52" i="3584"/>
  <c r="E52" i="3584"/>
  <c r="E34" i="3597" s="1"/>
  <c r="F52" i="3584"/>
  <c r="G52" i="3584"/>
  <c r="H52" i="3584"/>
  <c r="H34" i="3597" s="1"/>
  <c r="C53" i="3584"/>
  <c r="D53" i="3584"/>
  <c r="D70" i="2" s="1"/>
  <c r="E53" i="3584"/>
  <c r="E70" i="2" s="1"/>
  <c r="F53" i="3584"/>
  <c r="F70" i="2" s="1"/>
  <c r="G53" i="3584"/>
  <c r="G70" i="2" s="1"/>
  <c r="H53" i="3584"/>
  <c r="H70" i="2" s="1"/>
  <c r="I70" i="2" s="1"/>
  <c r="J70" i="2" s="1"/>
  <c r="K70" i="2" s="1"/>
  <c r="L70" i="2" s="1"/>
  <c r="M70" i="2" s="1"/>
  <c r="N70" i="2" s="1"/>
  <c r="O70" i="2" s="1"/>
  <c r="P70" i="2" s="1"/>
  <c r="Q70" i="2" s="1"/>
  <c r="R70" i="2" s="1"/>
  <c r="S70" i="2" s="1"/>
  <c r="T70" i="2" s="1"/>
  <c r="U70" i="2" s="1"/>
  <c r="V70" i="2" s="1"/>
  <c r="W70" i="2" s="1"/>
  <c r="X70" i="2" s="1"/>
  <c r="Y70" i="2" s="1"/>
  <c r="Z70" i="2" s="1"/>
  <c r="AA70" i="2" s="1"/>
  <c r="AB70" i="2" s="1"/>
  <c r="AC70" i="2" s="1"/>
  <c r="AD70" i="2" s="1"/>
  <c r="AE70" i="2" s="1"/>
  <c r="AF70" i="2" s="1"/>
  <c r="AG70" i="2" s="1"/>
  <c r="AH70" i="2" s="1"/>
  <c r="AI70" i="2" s="1"/>
  <c r="AJ70" i="2" s="1"/>
  <c r="AK70" i="2" s="1"/>
  <c r="AL70" i="2" s="1"/>
  <c r="C55" i="3584"/>
  <c r="D55" i="3584"/>
  <c r="E55" i="3584"/>
  <c r="F55" i="3584"/>
  <c r="G55" i="3584"/>
  <c r="H55" i="3584"/>
  <c r="C60" i="3584"/>
  <c r="G11" i="3597"/>
  <c r="H11" i="3597"/>
  <c r="C62" i="3584"/>
  <c r="D62" i="3584"/>
  <c r="E62" i="3584"/>
  <c r="F62" i="3584"/>
  <c r="G62" i="3584"/>
  <c r="H62" i="3584"/>
  <c r="C64" i="3584"/>
  <c r="D64" i="3584"/>
  <c r="E64" i="3584"/>
  <c r="F64" i="3584"/>
  <c r="G64" i="3584"/>
  <c r="H64" i="3584"/>
  <c r="C65" i="3584"/>
  <c r="D65" i="3584"/>
  <c r="D79" i="2" s="1"/>
  <c r="E65" i="3584"/>
  <c r="E79" i="2" s="1"/>
  <c r="F65" i="3584"/>
  <c r="F79" i="2" s="1"/>
  <c r="G65" i="3584"/>
  <c r="G24" i="3597" s="1"/>
  <c r="H65" i="3584"/>
  <c r="H24" i="3597" s="1"/>
  <c r="C66" i="3584"/>
  <c r="C36" i="3597" s="1"/>
  <c r="D66" i="3584"/>
  <c r="E66" i="3584"/>
  <c r="F66" i="3584"/>
  <c r="F80" i="2" s="1"/>
  <c r="G66" i="3584"/>
  <c r="G36" i="3597" s="1"/>
  <c r="H66" i="3584"/>
  <c r="H80" i="2" s="1"/>
  <c r="C67" i="3584"/>
  <c r="C37" i="3597" s="1"/>
  <c r="D67" i="3584"/>
  <c r="D37" i="3597" s="1"/>
  <c r="E67" i="3584"/>
  <c r="E37" i="3597" s="1"/>
  <c r="F67" i="3584"/>
  <c r="F37" i="3597" s="1"/>
  <c r="G67" i="3584"/>
  <c r="G37" i="3597" s="1"/>
  <c r="H67" i="3584"/>
  <c r="H81" i="2" s="1"/>
  <c r="C68" i="3584"/>
  <c r="C35" i="3597" s="1"/>
  <c r="D68" i="3584"/>
  <c r="D35" i="3597" s="1"/>
  <c r="E68" i="3584"/>
  <c r="E82" i="2" s="1"/>
  <c r="C70" i="3584"/>
  <c r="C72" i="3584"/>
  <c r="D72" i="3584"/>
  <c r="E72" i="3584"/>
  <c r="F72" i="3584"/>
  <c r="G72" i="3584"/>
  <c r="B23" i="3645" s="1"/>
  <c r="H72" i="3584"/>
  <c r="D84" i="3584"/>
  <c r="E84" i="3584"/>
  <c r="F84" i="3584"/>
  <c r="G84" i="3584"/>
  <c r="I49" i="3645" s="1"/>
  <c r="H84" i="3584"/>
  <c r="J49" i="3645" s="1"/>
  <c r="C85" i="3584"/>
  <c r="D85" i="3584"/>
  <c r="E85" i="3584"/>
  <c r="F85" i="3584"/>
  <c r="G85" i="3584"/>
  <c r="B24" i="3645" s="1"/>
  <c r="H85" i="3584"/>
  <c r="C86" i="3584"/>
  <c r="D86" i="3584"/>
  <c r="E86" i="3584"/>
  <c r="F86" i="3584"/>
  <c r="G86" i="3584"/>
  <c r="H86" i="3584"/>
  <c r="C88" i="3584"/>
  <c r="D88" i="3584"/>
  <c r="E88" i="3584"/>
  <c r="F88" i="3584"/>
  <c r="G88" i="3584"/>
  <c r="B29" i="3645" s="1"/>
  <c r="H1" i="3"/>
  <c r="C2" i="3"/>
  <c r="D2" i="3"/>
  <c r="E2" i="3"/>
  <c r="F2" i="3"/>
  <c r="G2" i="3"/>
  <c r="H2" i="3"/>
  <c r="C3" i="3"/>
  <c r="D3" i="3"/>
  <c r="E3" i="3"/>
  <c r="F3" i="3"/>
  <c r="G3" i="3"/>
  <c r="H3" i="3"/>
  <c r="H64" i="2" s="1"/>
  <c r="C4" i="3"/>
  <c r="D4" i="3"/>
  <c r="E4" i="3"/>
  <c r="F4" i="3"/>
  <c r="G4" i="3"/>
  <c r="I5" i="3645" s="1"/>
  <c r="H4" i="3"/>
  <c r="C5" i="3"/>
  <c r="D5" i="3"/>
  <c r="E5" i="3"/>
  <c r="F5" i="3"/>
  <c r="G5" i="3"/>
  <c r="H5" i="3"/>
  <c r="C6" i="3"/>
  <c r="D6" i="3"/>
  <c r="E6" i="3"/>
  <c r="F6" i="3"/>
  <c r="G6" i="3"/>
  <c r="I7" i="3645" s="1"/>
  <c r="H6" i="3"/>
  <c r="J7" i="3645" s="1"/>
  <c r="C8" i="3"/>
  <c r="D8" i="3"/>
  <c r="D8" i="2556" s="1"/>
  <c r="E8" i="3"/>
  <c r="E8" i="2556" s="1"/>
  <c r="F8" i="3"/>
  <c r="G8" i="3"/>
  <c r="I9" i="3645" s="1"/>
  <c r="H8" i="3"/>
  <c r="C12" i="3"/>
  <c r="D12" i="3"/>
  <c r="E12" i="3"/>
  <c r="F12" i="3"/>
  <c r="G12" i="3"/>
  <c r="H12" i="3"/>
  <c r="H10" i="2" s="1"/>
  <c r="C14" i="3"/>
  <c r="D14" i="3"/>
  <c r="E14" i="3"/>
  <c r="F14" i="3"/>
  <c r="G14" i="3"/>
  <c r="H14" i="3"/>
  <c r="C16" i="3"/>
  <c r="D16" i="3"/>
  <c r="D17" i="2556" s="1"/>
  <c r="E16" i="3"/>
  <c r="F16" i="3"/>
  <c r="G16" i="3"/>
  <c r="I13" i="3645" s="1"/>
  <c r="H16" i="3"/>
  <c r="C17" i="3"/>
  <c r="D17" i="3"/>
  <c r="E17" i="3"/>
  <c r="F17" i="3"/>
  <c r="G17" i="3"/>
  <c r="H17" i="3"/>
  <c r="C19" i="3"/>
  <c r="D19" i="3"/>
  <c r="E19" i="3"/>
  <c r="F19" i="3"/>
  <c r="G19" i="3"/>
  <c r="I15" i="3645" s="1"/>
  <c r="H19" i="3"/>
  <c r="C20" i="3"/>
  <c r="D20" i="3"/>
  <c r="D17" i="2" s="1"/>
  <c r="E20" i="3"/>
  <c r="E17" i="2" s="1"/>
  <c r="F20" i="3"/>
  <c r="F17" i="2" s="1"/>
  <c r="G20" i="3"/>
  <c r="H20" i="3"/>
  <c r="J16" i="3645" s="1"/>
  <c r="C21" i="3"/>
  <c r="D21" i="3"/>
  <c r="D18" i="2" s="1"/>
  <c r="E21" i="3"/>
  <c r="E18" i="2" s="1"/>
  <c r="F21" i="3"/>
  <c r="F18" i="2" s="1"/>
  <c r="G21" i="3"/>
  <c r="H21" i="3"/>
  <c r="C22" i="3"/>
  <c r="D22" i="3"/>
  <c r="E22" i="3"/>
  <c r="F22" i="3"/>
  <c r="G22" i="3"/>
  <c r="I18" i="3645" s="1"/>
  <c r="H22" i="3"/>
  <c r="C23" i="3"/>
  <c r="D23" i="3"/>
  <c r="E23" i="3"/>
  <c r="F23" i="3"/>
  <c r="G23" i="3"/>
  <c r="I19" i="3645" s="1"/>
  <c r="H23" i="3"/>
  <c r="C25" i="3"/>
  <c r="D25" i="3"/>
  <c r="E25" i="3"/>
  <c r="F25" i="3"/>
  <c r="G25" i="3"/>
  <c r="H25" i="3"/>
  <c r="C27" i="3"/>
  <c r="D27" i="3"/>
  <c r="E27" i="3"/>
  <c r="E4" i="2556" s="1"/>
  <c r="E16" i="2556" s="1"/>
  <c r="F27" i="3"/>
  <c r="F4" i="2556" s="1"/>
  <c r="F16" i="2556" s="1"/>
  <c r="G27" i="3"/>
  <c r="G4" i="2556" s="1"/>
  <c r="H27" i="3"/>
  <c r="H4" i="2556" s="1"/>
  <c r="C29" i="3"/>
  <c r="D29" i="3"/>
  <c r="E29" i="3"/>
  <c r="F29" i="3"/>
  <c r="G29" i="3"/>
  <c r="I21" i="3645" s="1"/>
  <c r="H29" i="3"/>
  <c r="C30" i="3"/>
  <c r="D30" i="3"/>
  <c r="E30" i="3"/>
  <c r="F30" i="3"/>
  <c r="F14" i="3589" s="1"/>
  <c r="G30" i="3"/>
  <c r="H30" i="3"/>
  <c r="H14" i="3589" s="1"/>
  <c r="C32" i="3"/>
  <c r="D32" i="3"/>
  <c r="E32" i="3"/>
  <c r="F32" i="3"/>
  <c r="G32" i="3"/>
  <c r="H32" i="3"/>
  <c r="C33" i="3"/>
  <c r="D54" i="2556" s="1"/>
  <c r="D33" i="3"/>
  <c r="E54" i="2556" s="1"/>
  <c r="E33" i="3"/>
  <c r="F54" i="2556" s="1"/>
  <c r="F33" i="3"/>
  <c r="G54" i="2556" s="1"/>
  <c r="G33" i="3"/>
  <c r="H54" i="2556" s="1"/>
  <c r="H33" i="3"/>
  <c r="I54" i="2556" s="1"/>
  <c r="J114" i="188"/>
  <c r="K114" i="188"/>
  <c r="L114" i="188"/>
  <c r="M114" i="188"/>
  <c r="N114" i="188"/>
  <c r="O114" i="188"/>
  <c r="P114" i="188"/>
  <c r="Q114" i="188"/>
  <c r="R114" i="188"/>
  <c r="S114" i="188"/>
  <c r="T114" i="188"/>
  <c r="U114" i="188"/>
  <c r="V114" i="188"/>
  <c r="W114" i="188"/>
  <c r="X114" i="188"/>
  <c r="Y114" i="188"/>
  <c r="Z114" i="188"/>
  <c r="AA114" i="188"/>
  <c r="AB114" i="188"/>
  <c r="AC114" i="188"/>
  <c r="AD114" i="188"/>
  <c r="AE114" i="188"/>
  <c r="AF114" i="188"/>
  <c r="AG114" i="188"/>
  <c r="AH114" i="188"/>
  <c r="AI114" i="188"/>
  <c r="AJ114" i="188"/>
  <c r="AK114" i="188"/>
  <c r="AL114" i="188"/>
  <c r="AM114" i="188"/>
  <c r="B2" i="3622"/>
  <c r="B34" i="3622" s="1"/>
  <c r="B56" i="3622" s="1"/>
  <c r="D22" i="2"/>
  <c r="D52" i="3589" s="1"/>
  <c r="E22" i="2"/>
  <c r="F22" i="2"/>
  <c r="G22" i="2"/>
  <c r="H22" i="2"/>
  <c r="D53" i="2"/>
  <c r="E53" i="2"/>
  <c r="F53" i="2"/>
  <c r="G53" i="2"/>
  <c r="H53" i="2"/>
  <c r="I53" i="2" s="1"/>
  <c r="J53" i="2" s="1"/>
  <c r="K53" i="2" s="1"/>
  <c r="L53" i="2" s="1"/>
  <c r="M53" i="2" s="1"/>
  <c r="N53" i="2" s="1"/>
  <c r="O53" i="2" s="1"/>
  <c r="P53" i="2" s="1"/>
  <c r="Q53" i="2" s="1"/>
  <c r="R53" i="2" s="1"/>
  <c r="S53" i="2" s="1"/>
  <c r="T53" i="2" s="1"/>
  <c r="U53" i="2" s="1"/>
  <c r="V53" i="2" s="1"/>
  <c r="W53" i="2" s="1"/>
  <c r="X53" i="2" s="1"/>
  <c r="Y53" i="2" s="1"/>
  <c r="Z53" i="2" s="1"/>
  <c r="AA53" i="2" s="1"/>
  <c r="AB53" i="2" s="1"/>
  <c r="AC53" i="2" s="1"/>
  <c r="AD53" i="2" s="1"/>
  <c r="AE53" i="2" s="1"/>
  <c r="AF53" i="2" s="1"/>
  <c r="AG53" i="2" s="1"/>
  <c r="AH53" i="2" s="1"/>
  <c r="AI53" i="2" s="1"/>
  <c r="AJ53" i="2" s="1"/>
  <c r="AK53" i="2" s="1"/>
  <c r="AL53" i="2" s="1"/>
  <c r="J109" i="2"/>
  <c r="K109" i="2" s="1"/>
  <c r="L109" i="2" s="1"/>
  <c r="M109" i="2" s="1"/>
  <c r="N109" i="2" s="1"/>
  <c r="O109" i="2" s="1"/>
  <c r="P109" i="2" s="1"/>
  <c r="Q109" i="2" s="1"/>
  <c r="R109" i="2" s="1"/>
  <c r="S109" i="2" s="1"/>
  <c r="T109" i="2" s="1"/>
  <c r="U109" i="2" s="1"/>
  <c r="V109" i="2" s="1"/>
  <c r="W109" i="2" s="1"/>
  <c r="X109" i="2" s="1"/>
  <c r="Y109" i="2" s="1"/>
  <c r="Z109" i="2" s="1"/>
  <c r="AA109" i="2" s="1"/>
  <c r="AB109" i="2" s="1"/>
  <c r="AC109" i="2" s="1"/>
  <c r="AD109" i="2" s="1"/>
  <c r="AE109" i="2" s="1"/>
  <c r="AF109" i="2" s="1"/>
  <c r="AG109" i="2" s="1"/>
  <c r="AH109" i="2" s="1"/>
  <c r="AI109" i="2" s="1"/>
  <c r="AJ109" i="2" s="1"/>
  <c r="AK109" i="2" s="1"/>
  <c r="AL109" i="2" s="1"/>
  <c r="J110" i="2"/>
  <c r="K110" i="2" s="1"/>
  <c r="L110" i="2" s="1"/>
  <c r="M110" i="2" s="1"/>
  <c r="N110" i="2" s="1"/>
  <c r="O110" i="2" s="1"/>
  <c r="P110" i="2" s="1"/>
  <c r="Q110" i="2" s="1"/>
  <c r="R110" i="2" s="1"/>
  <c r="S110" i="2" s="1"/>
  <c r="T110" i="2" s="1"/>
  <c r="U110" i="2" s="1"/>
  <c r="V110" i="2" s="1"/>
  <c r="W110" i="2" s="1"/>
  <c r="X110" i="2" s="1"/>
  <c r="Y110" i="2" s="1"/>
  <c r="Z110" i="2" s="1"/>
  <c r="AA110" i="2" s="1"/>
  <c r="AB110" i="2" s="1"/>
  <c r="AC110" i="2" s="1"/>
  <c r="AD110" i="2" s="1"/>
  <c r="AE110" i="2" s="1"/>
  <c r="AF110" i="2" s="1"/>
  <c r="AG110" i="2" s="1"/>
  <c r="AH110" i="2" s="1"/>
  <c r="AI110" i="2" s="1"/>
  <c r="AJ110" i="2" s="1"/>
  <c r="AK110" i="2" s="1"/>
  <c r="AL110" i="2" s="1"/>
  <c r="J111" i="2"/>
  <c r="K111" i="2" s="1"/>
  <c r="L111" i="2" s="1"/>
  <c r="M111" i="2" s="1"/>
  <c r="N111" i="2" s="1"/>
  <c r="O111" i="2" s="1"/>
  <c r="P111" i="2" s="1"/>
  <c r="Q111" i="2" s="1"/>
  <c r="R111" i="2" s="1"/>
  <c r="S111" i="2" s="1"/>
  <c r="T111" i="2" s="1"/>
  <c r="U111" i="2" s="1"/>
  <c r="V111" i="2" s="1"/>
  <c r="W111" i="2" s="1"/>
  <c r="X111" i="2" s="1"/>
  <c r="Y111" i="2" s="1"/>
  <c r="Z111" i="2" s="1"/>
  <c r="AA111" i="2" s="1"/>
  <c r="AB111" i="2" s="1"/>
  <c r="AC111" i="2" s="1"/>
  <c r="AD111" i="2" s="1"/>
  <c r="AE111" i="2" s="1"/>
  <c r="AF111" i="2" s="1"/>
  <c r="AG111" i="2" s="1"/>
  <c r="AH111" i="2" s="1"/>
  <c r="AI111" i="2" s="1"/>
  <c r="AJ111" i="2" s="1"/>
  <c r="AK111" i="2" s="1"/>
  <c r="AL111" i="2" s="1"/>
  <c r="G130" i="2"/>
  <c r="H130" i="2"/>
  <c r="J130" i="2"/>
  <c r="G131" i="2"/>
  <c r="H131" i="2"/>
  <c r="I131" i="2"/>
  <c r="I132" i="2" s="1"/>
  <c r="J131" i="2"/>
  <c r="F136" i="2"/>
  <c r="G136" i="2"/>
  <c r="H136" i="2"/>
  <c r="D4" i="3611"/>
  <c r="F4" i="3611" s="1"/>
  <c r="D5" i="3611"/>
  <c r="F5" i="3611" s="1"/>
  <c r="B12" i="3611" s="1"/>
  <c r="D6" i="3611"/>
  <c r="F6" i="3611" s="1"/>
  <c r="K10" i="3611"/>
  <c r="B19" i="3611"/>
  <c r="B20" i="3611"/>
  <c r="B21" i="3611"/>
  <c r="B22" i="3611"/>
  <c r="I36" i="3598"/>
  <c r="I37" i="3598"/>
  <c r="I38" i="3598"/>
  <c r="D156" i="3613"/>
  <c r="G156" i="3613"/>
  <c r="H156" i="3613"/>
  <c r="D157" i="3613"/>
  <c r="G157" i="3613"/>
  <c r="H157" i="3613"/>
  <c r="V6" i="3631"/>
  <c r="D30" i="2" l="1"/>
  <c r="D41" i="2"/>
  <c r="E30" i="2"/>
  <c r="E41" i="2"/>
  <c r="H11" i="2"/>
  <c r="H41" i="2"/>
  <c r="G30" i="2"/>
  <c r="G41" i="2"/>
  <c r="F30" i="2"/>
  <c r="F41" i="2"/>
  <c r="I45" i="3645"/>
  <c r="G64" i="2"/>
  <c r="F6" i="2556"/>
  <c r="F11" i="2"/>
  <c r="F10" i="2"/>
  <c r="G6" i="2556"/>
  <c r="G11" i="2"/>
  <c r="G10" i="2"/>
  <c r="I31" i="3645"/>
  <c r="G14" i="3589"/>
  <c r="I34" i="3645" s="1"/>
  <c r="B63" i="3645" s="1"/>
  <c r="E35" i="3"/>
  <c r="E14" i="3589"/>
  <c r="D35" i="3"/>
  <c r="D14" i="3589"/>
  <c r="J31" i="3645"/>
  <c r="H65" i="2"/>
  <c r="J45" i="3645"/>
  <c r="C58" i="3584"/>
  <c r="C59" i="3584" s="1"/>
  <c r="H17" i="3584"/>
  <c r="H18" i="3584" s="1"/>
  <c r="C37" i="3584"/>
  <c r="C52" i="3597" s="1"/>
  <c r="F17" i="3584"/>
  <c r="F18" i="3584" s="1"/>
  <c r="C17" i="3584"/>
  <c r="E17" i="3584"/>
  <c r="E18" i="3584" s="1"/>
  <c r="E58" i="3584"/>
  <c r="E59" i="3584" s="1"/>
  <c r="D17" i="3584"/>
  <c r="D18" i="3584" s="1"/>
  <c r="E37" i="3584"/>
  <c r="E58" i="2" s="1"/>
  <c r="D37" i="3584"/>
  <c r="D52" i="3597" s="1"/>
  <c r="F58" i="3584"/>
  <c r="F59" i="3584" s="1"/>
  <c r="D58" i="3584"/>
  <c r="D59" i="3584" s="1"/>
  <c r="H37" i="3584"/>
  <c r="H38" i="3584" s="1"/>
  <c r="G17" i="3584"/>
  <c r="G18" i="3584" s="1"/>
  <c r="G37" i="3584"/>
  <c r="G38" i="3584" s="1"/>
  <c r="H58" i="3584"/>
  <c r="H59" i="3584" s="1"/>
  <c r="G58" i="3584"/>
  <c r="G59" i="3584" s="1"/>
  <c r="F37" i="3584"/>
  <c r="F38" i="3584" s="1"/>
  <c r="H30" i="2"/>
  <c r="I10" i="3645"/>
  <c r="F1" i="3597"/>
  <c r="H24" i="2"/>
  <c r="J34" i="3645"/>
  <c r="C63" i="3645" s="1"/>
  <c r="J10" i="3645"/>
  <c r="G24" i="2"/>
  <c r="I4" i="3645"/>
  <c r="G65" i="2"/>
  <c r="E65" i="2"/>
  <c r="E64" i="2"/>
  <c r="H8" i="2"/>
  <c r="H34" i="2"/>
  <c r="H35" i="2"/>
  <c r="H26" i="3589" s="1"/>
  <c r="F8" i="2"/>
  <c r="F34" i="2"/>
  <c r="F35" i="2"/>
  <c r="F26" i="3589" s="1"/>
  <c r="E8" i="2"/>
  <c r="E35" i="2"/>
  <c r="E26" i="3589" s="1"/>
  <c r="E34" i="2"/>
  <c r="F65" i="2"/>
  <c r="F64" i="2"/>
  <c r="D64" i="2"/>
  <c r="D65" i="2"/>
  <c r="G8" i="2"/>
  <c r="G35" i="2"/>
  <c r="G26" i="3589" s="1"/>
  <c r="G34" i="2"/>
  <c r="D8" i="2"/>
  <c r="D34" i="2"/>
  <c r="D35" i="2"/>
  <c r="D26" i="3589" s="1"/>
  <c r="E15" i="3589"/>
  <c r="D15" i="3589"/>
  <c r="I12" i="3645"/>
  <c r="D18" i="2556"/>
  <c r="H15" i="3589"/>
  <c r="I6" i="3645"/>
  <c r="G15" i="3589"/>
  <c r="F15" i="3589"/>
  <c r="I138" i="2"/>
  <c r="I137" i="2"/>
  <c r="B21" i="3645"/>
  <c r="J132" i="2"/>
  <c r="H132" i="2"/>
  <c r="H72" i="2"/>
  <c r="I72" i="2" s="1"/>
  <c r="J72" i="2" s="1"/>
  <c r="K72" i="2" s="1"/>
  <c r="L72" i="2" s="1"/>
  <c r="M72" i="2" s="1"/>
  <c r="N72" i="2" s="1"/>
  <c r="O72" i="2" s="1"/>
  <c r="P72" i="2" s="1"/>
  <c r="Q72" i="2" s="1"/>
  <c r="R72" i="2" s="1"/>
  <c r="S72" i="2" s="1"/>
  <c r="T72" i="2" s="1"/>
  <c r="U72" i="2" s="1"/>
  <c r="V72" i="2" s="1"/>
  <c r="W72" i="2" s="1"/>
  <c r="X72" i="2" s="1"/>
  <c r="Y72" i="2" s="1"/>
  <c r="Z72" i="2" s="1"/>
  <c r="AA72" i="2" s="1"/>
  <c r="AB72" i="2" s="1"/>
  <c r="AC72" i="2" s="1"/>
  <c r="AD72" i="2" s="1"/>
  <c r="AE72" i="2" s="1"/>
  <c r="AF72" i="2" s="1"/>
  <c r="AG72" i="2" s="1"/>
  <c r="AH72" i="2" s="1"/>
  <c r="AI72" i="2" s="1"/>
  <c r="AJ72" i="2" s="1"/>
  <c r="AK72" i="2" s="1"/>
  <c r="AL72" i="2" s="1"/>
  <c r="G72" i="2"/>
  <c r="F72" i="2"/>
  <c r="E72" i="2"/>
  <c r="D72" i="2"/>
  <c r="D61" i="2556"/>
  <c r="E3" i="3597"/>
  <c r="D3" i="3597"/>
  <c r="D81" i="3589"/>
  <c r="E3" i="2556"/>
  <c r="E24" i="2"/>
  <c r="D3" i="2556"/>
  <c r="D24" i="2"/>
  <c r="F3" i="2556"/>
  <c r="F24" i="2"/>
  <c r="B28" i="3645"/>
  <c r="I47" i="3645"/>
  <c r="I24" i="3645" s="1"/>
  <c r="C28" i="3645"/>
  <c r="J47" i="3645"/>
  <c r="J24" i="3645" s="1"/>
  <c r="D100" i="2"/>
  <c r="D99" i="2"/>
  <c r="E100" i="2"/>
  <c r="E99" i="2"/>
  <c r="J3" i="3645"/>
  <c r="C58" i="3645" s="1"/>
  <c r="I2" i="3"/>
  <c r="G132" i="2"/>
  <c r="F58" i="2"/>
  <c r="C10" i="3645"/>
  <c r="B10" i="3645"/>
  <c r="B14" i="3645" s="1"/>
  <c r="B3" i="3645"/>
  <c r="B9" i="3645" s="1"/>
  <c r="G1" i="3597"/>
  <c r="I2" i="3645"/>
  <c r="I27" i="3645" s="1"/>
  <c r="B2" i="3645"/>
  <c r="B35" i="3645" s="1"/>
  <c r="B57" i="3645" s="1"/>
  <c r="J18" i="3611"/>
  <c r="J16" i="3611"/>
  <c r="J14" i="3611"/>
  <c r="J12" i="3611"/>
  <c r="I17" i="3611"/>
  <c r="I15" i="3611"/>
  <c r="I13" i="3611"/>
  <c r="H18" i="3611"/>
  <c r="H16" i="3611"/>
  <c r="H14" i="3611"/>
  <c r="H12" i="3611"/>
  <c r="G17" i="3611"/>
  <c r="G15" i="3611"/>
  <c r="G13" i="3611"/>
  <c r="F18" i="3611"/>
  <c r="F16" i="3611"/>
  <c r="F14" i="3611"/>
  <c r="F12" i="3611"/>
  <c r="E17" i="3611"/>
  <c r="E15" i="3611"/>
  <c r="E13" i="3611"/>
  <c r="D18" i="3611"/>
  <c r="D16" i="3611"/>
  <c r="D14" i="3611"/>
  <c r="D12" i="3611"/>
  <c r="J15" i="3611"/>
  <c r="J13" i="3611"/>
  <c r="I18" i="3611"/>
  <c r="I16" i="3611"/>
  <c r="I14" i="3611"/>
  <c r="I12" i="3611"/>
  <c r="H17" i="3611"/>
  <c r="H15" i="3611"/>
  <c r="H13" i="3611"/>
  <c r="G16" i="3611"/>
  <c r="G14" i="3611"/>
  <c r="G12" i="3611"/>
  <c r="F17" i="3611"/>
  <c r="F15" i="3611"/>
  <c r="F13" i="3611"/>
  <c r="E18" i="3611"/>
  <c r="E16" i="3611"/>
  <c r="E14" i="3611"/>
  <c r="E12" i="3611"/>
  <c r="D17" i="3611"/>
  <c r="D13" i="3611"/>
  <c r="J17" i="3611"/>
  <c r="G18" i="3611"/>
  <c r="D15" i="3611"/>
  <c r="G16" i="2556"/>
  <c r="C24" i="3645"/>
  <c r="I22" i="3645"/>
  <c r="B60" i="3645" s="1"/>
  <c r="B61" i="3645"/>
  <c r="G3" i="2556"/>
  <c r="B37" i="3645" s="1"/>
  <c r="I20" i="3645"/>
  <c r="G18" i="2"/>
  <c r="I17" i="3645"/>
  <c r="G17" i="2"/>
  <c r="I16" i="3645"/>
  <c r="I3" i="3645"/>
  <c r="B58" i="3645" s="1"/>
  <c r="B17" i="3645"/>
  <c r="B19" i="3645" s="1"/>
  <c r="C13" i="3645"/>
  <c r="C15" i="3645"/>
  <c r="C21" i="3645"/>
  <c r="J9" i="3645"/>
  <c r="J13" i="3645"/>
  <c r="J20" i="3645"/>
  <c r="J5" i="3645"/>
  <c r="J15" i="3645"/>
  <c r="J22" i="3645"/>
  <c r="C60" i="3645" s="1"/>
  <c r="C61" i="3645"/>
  <c r="J4" i="3645"/>
  <c r="J21" i="3645"/>
  <c r="C8" i="3645"/>
  <c r="J18" i="3645"/>
  <c r="J17" i="3645"/>
  <c r="C23" i="3645"/>
  <c r="J6" i="3645"/>
  <c r="H3" i="3597"/>
  <c r="C3" i="3645"/>
  <c r="C17" i="3645"/>
  <c r="C19" i="3645" s="1"/>
  <c r="C11" i="3645"/>
  <c r="J12" i="3645"/>
  <c r="J19" i="3645"/>
  <c r="AD98" i="3632"/>
  <c r="AE97" i="3632"/>
  <c r="AE96" i="3632"/>
  <c r="AD95" i="3632"/>
  <c r="AG94" i="3632"/>
  <c r="AD93" i="3632"/>
  <c r="AE92" i="3632"/>
  <c r="AE91" i="3632"/>
  <c r="AE90" i="3632"/>
  <c r="H8" i="2556"/>
  <c r="C39" i="3645" s="1"/>
  <c r="G51" i="2556"/>
  <c r="H51" i="2556"/>
  <c r="D51" i="2556"/>
  <c r="E51" i="2556"/>
  <c r="F51" i="2556"/>
  <c r="G41" i="2556"/>
  <c r="G8" i="2556"/>
  <c r="B39" i="3645" s="1"/>
  <c r="D4" i="2556"/>
  <c r="D16" i="2556" s="1"/>
  <c r="F41" i="2556"/>
  <c r="F8" i="2556"/>
  <c r="G99" i="3589"/>
  <c r="F99" i="3589"/>
  <c r="G1" i="3589"/>
  <c r="F11" i="3632"/>
  <c r="F51" i="3632"/>
  <c r="F89" i="3632" s="1"/>
  <c r="E11" i="3632"/>
  <c r="E51" i="3632"/>
  <c r="E89" i="3632" s="1"/>
  <c r="I51" i="3632"/>
  <c r="I89" i="3632" s="1"/>
  <c r="J2" i="3632"/>
  <c r="I11" i="3632"/>
  <c r="D113" i="3589"/>
  <c r="B31" i="3622"/>
  <c r="H50" i="3597"/>
  <c r="H61" i="2"/>
  <c r="I61" i="2" s="1"/>
  <c r="J61" i="2" s="1"/>
  <c r="K61" i="2" s="1"/>
  <c r="L61" i="2" s="1"/>
  <c r="M61" i="2" s="1"/>
  <c r="N61" i="2" s="1"/>
  <c r="O61" i="2" s="1"/>
  <c r="P61" i="2" s="1"/>
  <c r="Q61" i="2" s="1"/>
  <c r="R61" i="2" s="1"/>
  <c r="S61" i="2" s="1"/>
  <c r="T61" i="2" s="1"/>
  <c r="U61" i="2" s="1"/>
  <c r="V61" i="2" s="1"/>
  <c r="W61" i="2" s="1"/>
  <c r="X61" i="2" s="1"/>
  <c r="Y61" i="2" s="1"/>
  <c r="Z61" i="2" s="1"/>
  <c r="AA61" i="2" s="1"/>
  <c r="AB61" i="2" s="1"/>
  <c r="AC61" i="2" s="1"/>
  <c r="AD61" i="2" s="1"/>
  <c r="AE61" i="2" s="1"/>
  <c r="AF61" i="2" s="1"/>
  <c r="AG61" i="2" s="1"/>
  <c r="AH61" i="2" s="1"/>
  <c r="AI61" i="2" s="1"/>
  <c r="AJ61" i="2" s="1"/>
  <c r="AK61" i="2" s="1"/>
  <c r="AL61" i="2" s="1"/>
  <c r="C35" i="3"/>
  <c r="H13" i="2"/>
  <c r="G35" i="3"/>
  <c r="D13" i="2"/>
  <c r="F13" i="2"/>
  <c r="G13" i="2"/>
  <c r="E13" i="2"/>
  <c r="F35" i="3"/>
  <c r="F196" i="3633"/>
  <c r="F200" i="3633" s="1"/>
  <c r="E186" i="3633"/>
  <c r="E190" i="3633" s="1"/>
  <c r="F186" i="3633"/>
  <c r="F190" i="3633" s="1"/>
  <c r="G77" i="3603"/>
  <c r="Q64" i="3603"/>
  <c r="S41" i="3603"/>
  <c r="H6" i="3622"/>
  <c r="H18" i="3622"/>
  <c r="H9" i="3622"/>
  <c r="H5" i="3622"/>
  <c r="H41" i="2556"/>
  <c r="H7" i="3622"/>
  <c r="D81" i="3590"/>
  <c r="C88" i="3590" s="1"/>
  <c r="B8" i="3622"/>
  <c r="H48" i="3597"/>
  <c r="B7" i="3622"/>
  <c r="B18" i="3622"/>
  <c r="H14" i="3622"/>
  <c r="B5" i="3622"/>
  <c r="H35" i="3"/>
  <c r="H15" i="3622"/>
  <c r="U64" i="3603"/>
  <c r="K55" i="3603"/>
  <c r="S64" i="3603"/>
  <c r="N5" i="3598"/>
  <c r="D2" i="3632" s="1"/>
  <c r="E2" i="2" s="1"/>
  <c r="F1" i="3598"/>
  <c r="F1" i="3630" s="1"/>
  <c r="N34" i="3603"/>
  <c r="O54" i="3603"/>
  <c r="Q34" i="3603"/>
  <c r="S76" i="3603"/>
  <c r="T76" i="3603"/>
  <c r="J46" i="3603"/>
  <c r="T33" i="3603"/>
  <c r="J21" i="3603"/>
  <c r="U77" i="3603"/>
  <c r="O45" i="3603"/>
  <c r="Q46" i="3603"/>
  <c r="R46" i="3603"/>
  <c r="H37" i="3603"/>
  <c r="I37" i="3603"/>
  <c r="G1" i="3584"/>
  <c r="G1" i="3"/>
  <c r="G72" i="3603"/>
  <c r="S38" i="3603"/>
  <c r="G24" i="3589"/>
  <c r="U81" i="3603"/>
  <c r="L72" i="3603"/>
  <c r="M72" i="3603"/>
  <c r="O71" i="3603"/>
  <c r="G1" i="2556"/>
  <c r="P72" i="3603"/>
  <c r="S26" i="3603"/>
  <c r="I17" i="3603"/>
  <c r="J42" i="3603"/>
  <c r="U71" i="3603"/>
  <c r="G100" i="2"/>
  <c r="N18" i="3603"/>
  <c r="O63" i="3603"/>
  <c r="O42" i="3603"/>
  <c r="O18" i="3603"/>
  <c r="P64" i="3603"/>
  <c r="U41" i="3603"/>
  <c r="U17" i="3603"/>
  <c r="I77" i="3603"/>
  <c r="T64" i="3603"/>
  <c r="T41" i="3603"/>
  <c r="T17" i="3603"/>
  <c r="R77" i="3603"/>
  <c r="S54" i="3603"/>
  <c r="I45" i="3603"/>
  <c r="S34" i="3603"/>
  <c r="Q76" i="3603"/>
  <c r="R34" i="3603"/>
  <c r="N63" i="3603"/>
  <c r="M63" i="3603"/>
  <c r="G4" i="3603"/>
  <c r="C72" i="3603"/>
  <c r="J64" i="3603"/>
  <c r="R64" i="3603"/>
  <c r="T71" i="3603"/>
  <c r="U25" i="3603"/>
  <c r="B53" i="3603"/>
  <c r="P76" i="3603"/>
  <c r="N45" i="3603"/>
  <c r="K46" i="3603"/>
  <c r="U34" i="3603"/>
  <c r="D186" i="3633"/>
  <c r="D190" i="3633" s="1"/>
  <c r="K186" i="3633"/>
  <c r="K190" i="3633" s="1"/>
  <c r="E144" i="3589"/>
  <c r="D139" i="3589"/>
  <c r="F24" i="3589"/>
  <c r="G41" i="3597"/>
  <c r="C41" i="3597"/>
  <c r="F99" i="2"/>
  <c r="F100" i="2"/>
  <c r="H95" i="2"/>
  <c r="H96" i="2"/>
  <c r="B29" i="3622"/>
  <c r="B30" i="3622"/>
  <c r="B71" i="188"/>
  <c r="H100" i="2"/>
  <c r="F95" i="2"/>
  <c r="F96" i="2"/>
  <c r="D41" i="3597"/>
  <c r="G95" i="2"/>
  <c r="G96" i="2"/>
  <c r="F157" i="3613"/>
  <c r="D96" i="2"/>
  <c r="F41" i="3597"/>
  <c r="E41" i="3597"/>
  <c r="D91" i="3589"/>
  <c r="E95" i="2"/>
  <c r="E96" i="2"/>
  <c r="H78" i="2"/>
  <c r="I78" i="2" s="1"/>
  <c r="J78" i="2" s="1"/>
  <c r="K78" i="2" s="1"/>
  <c r="L78" i="2" s="1"/>
  <c r="M78" i="2" s="1"/>
  <c r="N78" i="2" s="1"/>
  <c r="O78" i="2" s="1"/>
  <c r="P78" i="2" s="1"/>
  <c r="Q78" i="2" s="1"/>
  <c r="R78" i="2" s="1"/>
  <c r="S78" i="2" s="1"/>
  <c r="T78" i="2" s="1"/>
  <c r="U78" i="2" s="1"/>
  <c r="V78" i="2" s="1"/>
  <c r="W78" i="2" s="1"/>
  <c r="X78" i="2" s="1"/>
  <c r="Y78" i="2" s="1"/>
  <c r="Z78" i="2" s="1"/>
  <c r="AA78" i="2" s="1"/>
  <c r="AB78" i="2" s="1"/>
  <c r="AC78" i="2" s="1"/>
  <c r="AD78" i="2" s="1"/>
  <c r="AE78" i="2" s="1"/>
  <c r="AF78" i="2" s="1"/>
  <c r="AG78" i="2" s="1"/>
  <c r="AH78" i="2" s="1"/>
  <c r="AI78" i="2" s="1"/>
  <c r="AJ78" i="2" s="1"/>
  <c r="AK78" i="2" s="1"/>
  <c r="AL78" i="2" s="1"/>
  <c r="H47" i="2556"/>
  <c r="E70" i="3584"/>
  <c r="F54" i="2"/>
  <c r="G29" i="2556"/>
  <c r="D70" i="3584"/>
  <c r="F33" i="2"/>
  <c r="H30" i="2556"/>
  <c r="H112" i="3589"/>
  <c r="E104" i="3589"/>
  <c r="E98" i="3589"/>
  <c r="D112" i="3589"/>
  <c r="F104" i="3589"/>
  <c r="D98" i="3589"/>
  <c r="K7" i="3632"/>
  <c r="K8" i="3632"/>
  <c r="L62" i="3603"/>
  <c r="U37" i="3603"/>
  <c r="T38" i="3603"/>
  <c r="L71" i="3603"/>
  <c r="H71" i="3603"/>
  <c r="B79" i="3603"/>
  <c r="F53" i="3603"/>
  <c r="F4" i="3603"/>
  <c r="D79" i="3603"/>
  <c r="B66" i="3603"/>
  <c r="G76" i="3603"/>
  <c r="B12" i="3603"/>
  <c r="T81" i="3603"/>
  <c r="R26" i="3603"/>
  <c r="D66" i="3603"/>
  <c r="M186" i="3633"/>
  <c r="M190" i="3633" s="1"/>
  <c r="G42" i="3603"/>
  <c r="N17" i="3603"/>
  <c r="I7" i="3607"/>
  <c r="J7" i="3607" s="1"/>
  <c r="C16" i="3607"/>
  <c r="H80" i="3603"/>
  <c r="Q55" i="3603"/>
  <c r="O25" i="3603"/>
  <c r="E3" i="2"/>
  <c r="C81" i="3603"/>
  <c r="Q72" i="3603"/>
  <c r="L55" i="3603"/>
  <c r="M55" i="3603"/>
  <c r="J38" i="3603"/>
  <c r="G3" i="2"/>
  <c r="G3" i="3589" s="1"/>
  <c r="I29" i="3645" s="1"/>
  <c r="E59" i="3597"/>
  <c r="E81" i="3603"/>
  <c r="K38" i="3603"/>
  <c r="C10" i="3603"/>
  <c r="P55" i="3603"/>
  <c r="P25" i="3603"/>
  <c r="R55" i="3603"/>
  <c r="P18" i="3603"/>
  <c r="D60" i="3597"/>
  <c r="P38" i="3603"/>
  <c r="Q18" i="3603"/>
  <c r="S46" i="3603"/>
  <c r="Q71" i="3603"/>
  <c r="T46" i="3603"/>
  <c r="M54" i="3603"/>
  <c r="S18" i="3603"/>
  <c r="U46" i="3603"/>
  <c r="L9" i="3603"/>
  <c r="P54" i="3603"/>
  <c r="P17" i="3603"/>
  <c r="Q54" i="3603"/>
  <c r="Q17" i="3603"/>
  <c r="T45" i="3603"/>
  <c r="S17" i="3603"/>
  <c r="F68" i="3603"/>
  <c r="J34" i="3603"/>
  <c r="E45" i="2556"/>
  <c r="I67" i="3603"/>
  <c r="D51" i="3603"/>
  <c r="K34" i="3603"/>
  <c r="C14" i="3603"/>
  <c r="J67" i="3603"/>
  <c r="E51" i="3603"/>
  <c r="C186" i="3633"/>
  <c r="C190" i="3633" s="1"/>
  <c r="K58" i="3603"/>
  <c r="G22" i="3603"/>
  <c r="I50" i="3603"/>
  <c r="P59" i="3603"/>
  <c r="Q68" i="3603"/>
  <c r="K14" i="3603"/>
  <c r="R68" i="3603"/>
  <c r="L14" i="3603"/>
  <c r="G44" i="2556"/>
  <c r="S67" i="3603"/>
  <c r="N51" i="3603"/>
  <c r="M14" i="3603"/>
  <c r="T59" i="3603"/>
  <c r="N13" i="3603"/>
  <c r="I186" i="3633"/>
  <c r="I190" i="3633" s="1"/>
  <c r="G18" i="3616"/>
  <c r="H18" i="3616" s="1"/>
  <c r="I18" i="3616" s="1"/>
  <c r="J18" i="3616" s="1"/>
  <c r="K18" i="3616" s="1"/>
  <c r="L18" i="3616" s="1"/>
  <c r="P51" i="3603"/>
  <c r="Q22" i="3603"/>
  <c r="P13" i="3603"/>
  <c r="U33" i="3603"/>
  <c r="I76" i="3603"/>
  <c r="J4" i="3603"/>
  <c r="E48" i="2556"/>
  <c r="U13" i="3603"/>
  <c r="H57" i="3597"/>
  <c r="E55" i="3603"/>
  <c r="Q4" i="3603"/>
  <c r="H19" i="3589"/>
  <c r="J35" i="3645" s="1"/>
  <c r="L64" i="3603"/>
  <c r="E16" i="3603"/>
  <c r="G74" i="3589"/>
  <c r="Q77" i="3603"/>
  <c r="H26" i="3603"/>
  <c r="F18" i="3603"/>
  <c r="S16" i="3603"/>
  <c r="P71" i="3603"/>
  <c r="T54" i="3603"/>
  <c r="R18" i="3603"/>
  <c r="M10" i="3603"/>
  <c r="L186" i="3633"/>
  <c r="L190" i="3633" s="1"/>
  <c r="R81" i="3603"/>
  <c r="F100" i="3589"/>
  <c r="D45" i="2556"/>
  <c r="C51" i="3603"/>
  <c r="G50" i="3603"/>
  <c r="H22" i="3603"/>
  <c r="G52" i="2"/>
  <c r="K58" i="3622"/>
  <c r="M58" i="3603"/>
  <c r="G14" i="3603"/>
  <c r="N77" i="3603"/>
  <c r="O59" i="3603"/>
  <c r="J51" i="3603"/>
  <c r="K21" i="3603"/>
  <c r="P68" i="3603"/>
  <c r="K50" i="3603"/>
  <c r="L21" i="3603"/>
  <c r="C5" i="3603"/>
  <c r="R59" i="3603"/>
  <c r="N22" i="3603"/>
  <c r="S59" i="3603"/>
  <c r="O21" i="3603"/>
  <c r="E107" i="3589"/>
  <c r="S33" i="3603"/>
  <c r="G7" i="3603"/>
  <c r="F56" i="3597"/>
  <c r="F107" i="3589"/>
  <c r="R21" i="3603"/>
  <c r="S22" i="3603"/>
  <c r="D55" i="2556"/>
  <c r="H63" i="3616"/>
  <c r="I63" i="3616" s="1"/>
  <c r="J63" i="3616" s="1"/>
  <c r="K63" i="3616" s="1"/>
  <c r="L63" i="3616" s="1"/>
  <c r="S13" i="3603"/>
  <c r="H19" i="2"/>
  <c r="E57" i="3597"/>
  <c r="R76" i="3603"/>
  <c r="D20" i="3589"/>
  <c r="T34" i="3603"/>
  <c r="N4" i="3603"/>
  <c r="D55" i="3603"/>
  <c r="D16" i="3603"/>
  <c r="G16" i="3603"/>
  <c r="T4" i="3603"/>
  <c r="U45" i="3603"/>
  <c r="C68" i="3603"/>
  <c r="U80" i="3603"/>
  <c r="I34" i="3603"/>
  <c r="H77" i="3603"/>
  <c r="I59" i="3603"/>
  <c r="J59" i="3603"/>
  <c r="L58" i="3603"/>
  <c r="H50" i="3603"/>
  <c r="N59" i="3603"/>
  <c r="H13" i="3603"/>
  <c r="O68" i="3603"/>
  <c r="M22" i="3603"/>
  <c r="Q42" i="3603"/>
  <c r="D5" i="3603"/>
  <c r="R42" i="3603"/>
  <c r="E5" i="3603"/>
  <c r="G100" i="3589"/>
  <c r="T67" i="3603"/>
  <c r="R33" i="3603"/>
  <c r="P21" i="3603"/>
  <c r="U67" i="3603"/>
  <c r="O13" i="3603"/>
  <c r="H9" i="3589"/>
  <c r="Q51" i="3603"/>
  <c r="H4" i="3603"/>
  <c r="H76" i="3603"/>
  <c r="I4" i="3603"/>
  <c r="T21" i="3603"/>
  <c r="E64" i="3603"/>
  <c r="D48" i="2556"/>
  <c r="D89" i="3589"/>
  <c r="M4" i="3603"/>
  <c r="F57" i="3597"/>
  <c r="G57" i="3597"/>
  <c r="D26" i="3603"/>
  <c r="U76" i="3603"/>
  <c r="E30" i="2556"/>
  <c r="O72" i="3603"/>
  <c r="G38" i="3603"/>
  <c r="H17" i="3603"/>
  <c r="U4" i="3603"/>
  <c r="H99" i="2"/>
  <c r="G80" i="3589"/>
  <c r="D39" i="3589"/>
  <c r="H135" i="3589"/>
  <c r="G99" i="2"/>
  <c r="G60" i="3597"/>
  <c r="G83" i="3589"/>
  <c r="D110" i="3589"/>
  <c r="E80" i="3589"/>
  <c r="G78" i="3589"/>
  <c r="D143" i="3589"/>
  <c r="G79" i="3589"/>
  <c r="E100" i="3589"/>
  <c r="D137" i="3589"/>
  <c r="G135" i="3589"/>
  <c r="D135" i="3589"/>
  <c r="D95" i="2"/>
  <c r="F90" i="2"/>
  <c r="E90" i="2"/>
  <c r="E101" i="3589"/>
  <c r="D101" i="3589"/>
  <c r="D144" i="3589"/>
  <c r="D4" i="2"/>
  <c r="E135" i="3589"/>
  <c r="D145" i="3589"/>
  <c r="D107" i="3589"/>
  <c r="D53" i="3589"/>
  <c r="F135" i="3589"/>
  <c r="D90" i="2"/>
  <c r="D108" i="3589"/>
  <c r="D78" i="3589"/>
  <c r="D21" i="2"/>
  <c r="H24" i="3589"/>
  <c r="F59" i="3597"/>
  <c r="E99" i="3589"/>
  <c r="G86" i="3589"/>
  <c r="E78" i="3589"/>
  <c r="D41" i="2556"/>
  <c r="F29" i="2556"/>
  <c r="E29" i="2556"/>
  <c r="D29" i="2556"/>
  <c r="F10" i="3589"/>
  <c r="E10" i="3589"/>
  <c r="D10" i="3589"/>
  <c r="E41" i="2556"/>
  <c r="C10" i="3"/>
  <c r="D36" i="2556"/>
  <c r="H29" i="2556"/>
  <c r="H186" i="3633"/>
  <c r="H190" i="3633" s="1"/>
  <c r="J196" i="3633"/>
  <c r="J200" i="3633" s="1"/>
  <c r="J186" i="3633"/>
  <c r="J190" i="3633" s="1"/>
  <c r="G186" i="3633"/>
  <c r="G190" i="3633" s="1"/>
  <c r="L45" i="3632"/>
  <c r="L3" i="3632" s="1"/>
  <c r="L46" i="3632"/>
  <c r="L85" i="3632"/>
  <c r="L4" i="3632" s="1"/>
  <c r="L86" i="3632"/>
  <c r="Q81" i="3603"/>
  <c r="T12" i="3603"/>
  <c r="H21" i="3603"/>
  <c r="J12" i="3603"/>
  <c r="F27" i="3603"/>
  <c r="E27" i="3603"/>
  <c r="E28" i="3603" s="1"/>
  <c r="R22" i="3603"/>
  <c r="F17" i="3603"/>
  <c r="P22" i="3603"/>
  <c r="F16" i="3603"/>
  <c r="U58" i="3603"/>
  <c r="M33" i="3603"/>
  <c r="L22" i="3603"/>
  <c r="S81" i="3603"/>
  <c r="Q21" i="3603"/>
  <c r="F77" i="3603"/>
  <c r="G68" i="3603"/>
  <c r="D10" i="3603"/>
  <c r="R20" i="3603"/>
  <c r="P20" i="3603"/>
  <c r="R12" i="3603"/>
  <c r="Q25" i="3603"/>
  <c r="I12" i="3603"/>
  <c r="G17" i="3603"/>
  <c r="O22" i="3603"/>
  <c r="U27" i="3603"/>
  <c r="O20" i="3603"/>
  <c r="K32" i="3603"/>
  <c r="R25" i="3603"/>
  <c r="E18" i="3603"/>
  <c r="C24" i="3603"/>
  <c r="B24" i="3603"/>
  <c r="T27" i="3603"/>
  <c r="S21" i="3603"/>
  <c r="H69" i="2"/>
  <c r="G69" i="2"/>
  <c r="E9" i="3"/>
  <c r="F69" i="2"/>
  <c r="G9" i="3"/>
  <c r="G19" i="2"/>
  <c r="G22" i="3589" s="1"/>
  <c r="F19" i="2"/>
  <c r="F23" i="3589" s="1"/>
  <c r="E19" i="2"/>
  <c r="E23" i="3589" s="1"/>
  <c r="B13" i="3611"/>
  <c r="B14" i="3611"/>
  <c r="H72" i="3589"/>
  <c r="D87" i="3589"/>
  <c r="H99" i="3589"/>
  <c r="C46" i="3597"/>
  <c r="F134" i="3589"/>
  <c r="D134" i="3589"/>
  <c r="G134" i="3589"/>
  <c r="E134" i="3589"/>
  <c r="F5" i="2"/>
  <c r="H84" i="3589"/>
  <c r="F133" i="3589"/>
  <c r="H101" i="3589"/>
  <c r="G101" i="3589"/>
  <c r="F101" i="3589"/>
  <c r="H86" i="3589"/>
  <c r="H41" i="3597"/>
  <c r="E5" i="2"/>
  <c r="E133" i="3589"/>
  <c r="D5" i="2"/>
  <c r="H60" i="3597"/>
  <c r="D133" i="3589"/>
  <c r="H74" i="3589"/>
  <c r="H132" i="3589"/>
  <c r="H63" i="2"/>
  <c r="J119" i="188"/>
  <c r="G63" i="2"/>
  <c r="F63" i="2"/>
  <c r="H107" i="3589"/>
  <c r="E63" i="2"/>
  <c r="G24" i="2556"/>
  <c r="G107" i="3589"/>
  <c r="H48" i="2"/>
  <c r="I48" i="2" s="1"/>
  <c r="J48" i="2" s="1"/>
  <c r="K48" i="2" s="1"/>
  <c r="L48" i="2" s="1"/>
  <c r="M48" i="2" s="1"/>
  <c r="N48" i="2" s="1"/>
  <c r="O48" i="2" s="1"/>
  <c r="P48" i="2" s="1"/>
  <c r="Q48" i="2" s="1"/>
  <c r="R48" i="2" s="1"/>
  <c r="S48" i="2" s="1"/>
  <c r="T48" i="2" s="1"/>
  <c r="U48" i="2" s="1"/>
  <c r="V48" i="2" s="1"/>
  <c r="W48" i="2" s="1"/>
  <c r="X48" i="2" s="1"/>
  <c r="Y48" i="2" s="1"/>
  <c r="Z48" i="2" s="1"/>
  <c r="AA48" i="2" s="1"/>
  <c r="AB48" i="2" s="1"/>
  <c r="AC48" i="2" s="1"/>
  <c r="AD48" i="2" s="1"/>
  <c r="AE48" i="2" s="1"/>
  <c r="AF48" i="2" s="1"/>
  <c r="AG48" i="2" s="1"/>
  <c r="AH48" i="2" s="1"/>
  <c r="AI48" i="2" s="1"/>
  <c r="AJ48" i="2" s="1"/>
  <c r="AK48" i="2" s="1"/>
  <c r="AL48" i="2" s="1"/>
  <c r="G98" i="3589"/>
  <c r="F98" i="3589"/>
  <c r="E106" i="3589"/>
  <c r="G104" i="3589"/>
  <c r="H109" i="3589"/>
  <c r="G39" i="3589"/>
  <c r="D24" i="2556"/>
  <c r="G17" i="2556"/>
  <c r="F17" i="2556"/>
  <c r="E56" i="3597"/>
  <c r="D52" i="2"/>
  <c r="G48" i="2"/>
  <c r="D63" i="2"/>
  <c r="D13" i="3589"/>
  <c r="D34" i="2556"/>
  <c r="H33" i="2556"/>
  <c r="H39" i="3589"/>
  <c r="F48" i="2"/>
  <c r="E34" i="2556"/>
  <c r="H104" i="3589"/>
  <c r="F156" i="3613"/>
  <c r="H137" i="3589"/>
  <c r="E48" i="2"/>
  <c r="D104" i="3589"/>
  <c r="D45" i="3589"/>
  <c r="D124" i="3589"/>
  <c r="D128" i="3589"/>
  <c r="H50" i="2"/>
  <c r="I50" i="2" s="1"/>
  <c r="J50" i="2" s="1"/>
  <c r="K50" i="2" s="1"/>
  <c r="L50" i="2" s="1"/>
  <c r="M50" i="2" s="1"/>
  <c r="N50" i="2" s="1"/>
  <c r="O50" i="2" s="1"/>
  <c r="P50" i="2" s="1"/>
  <c r="Q50" i="2" s="1"/>
  <c r="R50" i="2" s="1"/>
  <c r="S50" i="2" s="1"/>
  <c r="T50" i="2" s="1"/>
  <c r="U50" i="2" s="1"/>
  <c r="V50" i="2" s="1"/>
  <c r="W50" i="2" s="1"/>
  <c r="X50" i="2" s="1"/>
  <c r="Y50" i="2" s="1"/>
  <c r="Z50" i="2" s="1"/>
  <c r="AA50" i="2" s="1"/>
  <c r="AB50" i="2" s="1"/>
  <c r="AC50" i="2" s="1"/>
  <c r="AD50" i="2" s="1"/>
  <c r="AE50" i="2" s="1"/>
  <c r="AF50" i="2" s="1"/>
  <c r="AG50" i="2" s="1"/>
  <c r="AH50" i="2" s="1"/>
  <c r="AI50" i="2" s="1"/>
  <c r="AJ50" i="2" s="1"/>
  <c r="AK50" i="2" s="1"/>
  <c r="AL50" i="2" s="1"/>
  <c r="G13" i="3589"/>
  <c r="I33" i="3645" s="1"/>
  <c r="E118" i="3589"/>
  <c r="E122" i="3589"/>
  <c r="D28" i="2556"/>
  <c r="C50" i="3597"/>
  <c r="H26" i="2556"/>
  <c r="H19" i="3622"/>
  <c r="B59" i="3622" s="1"/>
  <c r="H28" i="3622"/>
  <c r="B60" i="3622" s="1"/>
  <c r="D132" i="3589"/>
  <c r="C11" i="3597"/>
  <c r="G137" i="3589"/>
  <c r="H13" i="3589"/>
  <c r="J33" i="3645" s="1"/>
  <c r="H45" i="3589"/>
  <c r="H123" i="3589"/>
  <c r="H127" i="3589"/>
  <c r="E138" i="3589"/>
  <c r="D122" i="3589"/>
  <c r="H31" i="3"/>
  <c r="H4" i="3589"/>
  <c r="J30" i="3645" s="1"/>
  <c r="H12" i="3622"/>
  <c r="G119" i="3589"/>
  <c r="G122" i="3589"/>
  <c r="G123" i="3589"/>
  <c r="G127" i="3589"/>
  <c r="E116" i="3589"/>
  <c r="F132" i="3589"/>
  <c r="D100" i="3589"/>
  <c r="D39" i="2"/>
  <c r="G31" i="3"/>
  <c r="G4" i="3589"/>
  <c r="I30" i="3645" s="1"/>
  <c r="F45" i="3589"/>
  <c r="F122" i="3589"/>
  <c r="F123" i="3589"/>
  <c r="F128" i="3589"/>
  <c r="D116" i="3589"/>
  <c r="D11" i="3597"/>
  <c r="E132" i="3589"/>
  <c r="H121" i="3589"/>
  <c r="F24" i="2556"/>
  <c r="D70" i="3589"/>
  <c r="F47" i="3597"/>
  <c r="G49" i="2556"/>
  <c r="F49" i="2556"/>
  <c r="F48" i="2556"/>
  <c r="H16" i="3622"/>
  <c r="D146" i="3589"/>
  <c r="G96" i="3589"/>
  <c r="D117" i="3589"/>
  <c r="D33" i="2"/>
  <c r="F112" i="3589"/>
  <c r="F31" i="2"/>
  <c r="F61" i="2"/>
  <c r="E42" i="2556"/>
  <c r="H94" i="3589"/>
  <c r="E119" i="3589"/>
  <c r="H9" i="2556"/>
  <c r="C40" i="3645" s="1"/>
  <c r="G48" i="3597"/>
  <c r="G47" i="3597"/>
  <c r="H49" i="2556"/>
  <c r="H98" i="3589"/>
  <c r="D81" i="2"/>
  <c r="E146" i="3589"/>
  <c r="H96" i="3589"/>
  <c r="B13" i="3622"/>
  <c r="G124" i="3589"/>
  <c r="F124" i="3589"/>
  <c r="H44" i="2556"/>
  <c r="H114" i="3589"/>
  <c r="H31" i="2"/>
  <c r="G112" i="3589"/>
  <c r="G31" i="2"/>
  <c r="D40" i="2"/>
  <c r="D25" i="3589" s="1"/>
  <c r="F44" i="2556"/>
  <c r="H140" i="3589"/>
  <c r="H41" i="3589"/>
  <c r="J40" i="3645" s="1"/>
  <c r="F42" i="2556"/>
  <c r="G140" i="3589"/>
  <c r="E112" i="3589"/>
  <c r="D41" i="3589"/>
  <c r="H53" i="3589"/>
  <c r="E61" i="2"/>
  <c r="C6" i="3597"/>
  <c r="C7" i="3597" s="1"/>
  <c r="D42" i="2556"/>
  <c r="D111" i="3589"/>
  <c r="E94" i="3589"/>
  <c r="F119" i="3589"/>
  <c r="E48" i="3597"/>
  <c r="H47" i="3597"/>
  <c r="E50" i="2556"/>
  <c r="E70" i="3589"/>
  <c r="E91" i="3589"/>
  <c r="D119" i="3589"/>
  <c r="E49" i="2556"/>
  <c r="F81" i="2"/>
  <c r="E81" i="2"/>
  <c r="H110" i="3589"/>
  <c r="D94" i="3589"/>
  <c r="F54" i="3589"/>
  <c r="G110" i="3589"/>
  <c r="H28" i="3589"/>
  <c r="J43" i="3645" s="1"/>
  <c r="E54" i="3589"/>
  <c r="F110" i="3589"/>
  <c r="H90" i="3589"/>
  <c r="F27" i="3589"/>
  <c r="D54" i="3589"/>
  <c r="E89" i="3589"/>
  <c r="E27" i="3589"/>
  <c r="G34" i="2556"/>
  <c r="F109" i="3589"/>
  <c r="E88" i="3589"/>
  <c r="F34" i="2556"/>
  <c r="E109" i="3589"/>
  <c r="D88" i="3589"/>
  <c r="S50" i="3603"/>
  <c r="K25" i="3603"/>
  <c r="G53" i="3603"/>
  <c r="J7" i="3603"/>
  <c r="L63" i="3603"/>
  <c r="C53" i="3603"/>
  <c r="C32" i="3603"/>
  <c r="D7" i="3603"/>
  <c r="B7" i="3603"/>
  <c r="S37" i="3603"/>
  <c r="Q26" i="3603"/>
  <c r="E36" i="3603"/>
  <c r="I8" i="3603"/>
  <c r="E10" i="3603"/>
  <c r="L7" i="3603"/>
  <c r="E53" i="3603"/>
  <c r="I7" i="3603"/>
  <c r="K63" i="3603"/>
  <c r="G32" i="3603"/>
  <c r="H7" i="3603"/>
  <c r="G67" i="3603"/>
  <c r="P8" i="3603"/>
  <c r="T58" i="3603"/>
  <c r="S12" i="3603"/>
  <c r="S58" i="3603"/>
  <c r="Q58" i="3603"/>
  <c r="N58" i="3603"/>
  <c r="K12" i="3603"/>
  <c r="D38" i="3603"/>
  <c r="H8" i="3603"/>
  <c r="N7" i="3603"/>
  <c r="M7" i="3603"/>
  <c r="K7" i="3603"/>
  <c r="F7" i="3603"/>
  <c r="D62" i="3603"/>
  <c r="H67" i="3603"/>
  <c r="S27" i="3603"/>
  <c r="S28" i="3603" s="1"/>
  <c r="Q8" i="3603"/>
  <c r="N8" i="3603"/>
  <c r="R58" i="3603"/>
  <c r="L12" i="3603"/>
  <c r="C77" i="3603"/>
  <c r="H12" i="3603"/>
  <c r="G9" i="3603"/>
  <c r="N25" i="3603"/>
  <c r="M25" i="3603"/>
  <c r="D53" i="3603"/>
  <c r="E7" i="3603"/>
  <c r="C7" i="3603"/>
  <c r="Q59" i="3603"/>
  <c r="U8" i="3603"/>
  <c r="R27" i="3603"/>
  <c r="R37" i="3603"/>
  <c r="Q37" i="3603"/>
  <c r="M12" i="3603"/>
  <c r="E68" i="3603"/>
  <c r="C12" i="3603"/>
  <c r="F10" i="3603"/>
  <c r="E31" i="3597"/>
  <c r="B39" i="188"/>
  <c r="H59" i="3597"/>
  <c r="F58" i="3597"/>
  <c r="E58" i="3597"/>
  <c r="H36" i="3597"/>
  <c r="C9" i="3"/>
  <c r="F31" i="3597"/>
  <c r="D59" i="3597"/>
  <c r="H58" i="3597"/>
  <c r="G58" i="3597"/>
  <c r="D82" i="2"/>
  <c r="D66" i="2"/>
  <c r="H37" i="3597"/>
  <c r="H91" i="3584"/>
  <c r="G59" i="3597"/>
  <c r="G81" i="2"/>
  <c r="F91" i="2"/>
  <c r="D19" i="2"/>
  <c r="D22" i="3589" s="1"/>
  <c r="D83" i="2"/>
  <c r="E38" i="2"/>
  <c r="F31" i="3"/>
  <c r="D89" i="2"/>
  <c r="D3" i="2"/>
  <c r="E91" i="2"/>
  <c r="G39" i="2"/>
  <c r="E39" i="2"/>
  <c r="E7" i="2"/>
  <c r="C31" i="3"/>
  <c r="G91" i="2"/>
  <c r="D91" i="2"/>
  <c r="F83" i="2"/>
  <c r="D7" i="2"/>
  <c r="E67" i="2"/>
  <c r="H5" i="2"/>
  <c r="F39" i="2"/>
  <c r="E83" i="2"/>
  <c r="H2" i="3622"/>
  <c r="H24" i="3622" s="1"/>
  <c r="H1" i="3589"/>
  <c r="R70" i="3603"/>
  <c r="C26" i="3603"/>
  <c r="S44" i="3603"/>
  <c r="I64" i="3603"/>
  <c r="F76" i="3603"/>
  <c r="L25" i="3603"/>
  <c r="J32" i="3603"/>
  <c r="P27" i="3603"/>
  <c r="P28" i="3603" s="1"/>
  <c r="H32" i="3603"/>
  <c r="S68" i="3603"/>
  <c r="F25" i="3603"/>
  <c r="E24" i="3603"/>
  <c r="R4" i="3603"/>
  <c r="K37" i="3603"/>
  <c r="P14" i="3603"/>
  <c r="P4" i="3603"/>
  <c r="D68" i="3603"/>
  <c r="O50" i="3603"/>
  <c r="C79" i="3603"/>
  <c r="E8" i="3603"/>
  <c r="U7" i="3603"/>
  <c r="R67" i="3603"/>
  <c r="M26" i="3603"/>
  <c r="M13" i="3603"/>
  <c r="T7" i="3603"/>
  <c r="H25" i="3603"/>
  <c r="K49" i="3603"/>
  <c r="J24" i="3603"/>
  <c r="D27" i="3603"/>
  <c r="G26" i="3603"/>
  <c r="H34" i="3603"/>
  <c r="G34" i="3603"/>
  <c r="C34" i="3603"/>
  <c r="I38" i="3603"/>
  <c r="G25" i="3603"/>
  <c r="M9" i="3603"/>
  <c r="E62" i="3603"/>
  <c r="I51" i="3603"/>
  <c r="D24" i="3603"/>
  <c r="F9" i="3603"/>
  <c r="D81" i="3603"/>
  <c r="P37" i="3603"/>
  <c r="T14" i="3603"/>
  <c r="S4" i="3603"/>
  <c r="O37" i="3603"/>
  <c r="F8" i="3603"/>
  <c r="D77" i="3603"/>
  <c r="S51" i="3603"/>
  <c r="L26" i="3603"/>
  <c r="S7" i="3603"/>
  <c r="H38" i="3603"/>
  <c r="R51" i="3603"/>
  <c r="Q27" i="3603"/>
  <c r="Q28" i="3603" s="1"/>
  <c r="T37" i="3603"/>
  <c r="H51" i="3603"/>
  <c r="S14" i="3603"/>
  <c r="E79" i="3603"/>
  <c r="J37" i="3603"/>
  <c r="M8" i="3603"/>
  <c r="O4" i="3603"/>
  <c r="L4" i="3603"/>
  <c r="K4" i="3603"/>
  <c r="O7" i="3603"/>
  <c r="H3" i="3616"/>
  <c r="I3" i="3616" s="1"/>
  <c r="J3" i="3616" s="1"/>
  <c r="K3" i="3616" s="1"/>
  <c r="L3" i="3616" s="1"/>
  <c r="G89" i="2"/>
  <c r="F89" i="2"/>
  <c r="D33" i="3597"/>
  <c r="E89" i="2"/>
  <c r="C33" i="3597"/>
  <c r="D61" i="2"/>
  <c r="D60" i="2"/>
  <c r="H25" i="3597"/>
  <c r="H26" i="3597" s="1"/>
  <c r="H15" i="3597"/>
  <c r="C14" i="3597"/>
  <c r="G91" i="3584"/>
  <c r="C12" i="3597"/>
  <c r="F34" i="3597"/>
  <c r="D31" i="3597"/>
  <c r="E24" i="3597"/>
  <c r="C24" i="3597"/>
  <c r="C26" i="3597" s="1"/>
  <c r="F15" i="3597"/>
  <c r="D14" i="3597"/>
  <c r="H89" i="2"/>
  <c r="E60" i="2"/>
  <c r="E30" i="3597"/>
  <c r="D30" i="3597"/>
  <c r="D24" i="3597"/>
  <c r="G15" i="3597"/>
  <c r="E15" i="3597"/>
  <c r="E14" i="3597"/>
  <c r="G34" i="3597"/>
  <c r="C32" i="3597"/>
  <c r="D78" i="2"/>
  <c r="E11" i="3597"/>
  <c r="D9" i="3"/>
  <c r="G66" i="2"/>
  <c r="H18" i="2"/>
  <c r="E33" i="2"/>
  <c r="F3" i="2"/>
  <c r="K77" i="3603"/>
  <c r="K76" i="3603"/>
  <c r="K75" i="3603"/>
  <c r="C59" i="3603"/>
  <c r="C57" i="3603"/>
  <c r="D140" i="3589"/>
  <c r="C15" i="3597"/>
  <c r="C34" i="3597"/>
  <c r="G118" i="3589"/>
  <c r="G31" i="3597"/>
  <c r="G61" i="2"/>
  <c r="G42" i="2556"/>
  <c r="H134" i="3589"/>
  <c r="G12" i="3597"/>
  <c r="B18" i="3611"/>
  <c r="B15" i="3611"/>
  <c r="B16" i="3611"/>
  <c r="B17" i="3611"/>
  <c r="N80" i="3603"/>
  <c r="N79" i="3603"/>
  <c r="N81" i="3603"/>
  <c r="D10" i="3611"/>
  <c r="G10" i="3611"/>
  <c r="E10" i="3611"/>
  <c r="F10" i="3611"/>
  <c r="H10" i="3611"/>
  <c r="I10" i="3611"/>
  <c r="J10" i="3611"/>
  <c r="H36" i="3622"/>
  <c r="B17" i="3622"/>
  <c r="H14" i="3597"/>
  <c r="H117" i="3589"/>
  <c r="H55" i="2556"/>
  <c r="C48" i="3645" s="1"/>
  <c r="H9" i="3"/>
  <c r="H60" i="2"/>
  <c r="F55" i="2556"/>
  <c r="F117" i="3589"/>
  <c r="F60" i="2"/>
  <c r="F14" i="3597"/>
  <c r="G133" i="3589"/>
  <c r="T36" i="3603"/>
  <c r="T5" i="3603"/>
  <c r="T79" i="3603"/>
  <c r="T75" i="3603"/>
  <c r="T70" i="3603"/>
  <c r="T57" i="3603"/>
  <c r="T49" i="3603"/>
  <c r="T24" i="3603"/>
  <c r="T20" i="3603"/>
  <c r="T16" i="3603"/>
  <c r="F30" i="3597"/>
  <c r="E80" i="2"/>
  <c r="E36" i="3597"/>
  <c r="L68" i="3603"/>
  <c r="L66" i="3603"/>
  <c r="L67" i="3603"/>
  <c r="P67" i="3603"/>
  <c r="H88" i="3589"/>
  <c r="J104" i="188"/>
  <c r="B7" i="188"/>
  <c r="H90" i="2"/>
  <c r="H34" i="3589"/>
  <c r="B12" i="3622"/>
  <c r="H56" i="3597"/>
  <c r="H91" i="2"/>
  <c r="H38" i="3589"/>
  <c r="H41" i="3603"/>
  <c r="H40" i="3603"/>
  <c r="H42" i="3603"/>
  <c r="I42" i="3603"/>
  <c r="F129" i="3589"/>
  <c r="G145" i="3589"/>
  <c r="D40" i="3603"/>
  <c r="D42" i="3603"/>
  <c r="F58" i="3603"/>
  <c r="F59" i="3603"/>
  <c r="F57" i="3603"/>
  <c r="J58" i="3603"/>
  <c r="E59" i="3603"/>
  <c r="E57" i="3603"/>
  <c r="I58" i="3603"/>
  <c r="E31" i="3"/>
  <c r="E51" i="3589" s="1"/>
  <c r="D31" i="3"/>
  <c r="E92" i="3589"/>
  <c r="F113" i="3589"/>
  <c r="F35" i="2556"/>
  <c r="E55" i="2"/>
  <c r="E60" i="3597"/>
  <c r="O80" i="3603"/>
  <c r="O79" i="3603"/>
  <c r="O81" i="3603"/>
  <c r="P81" i="3603"/>
  <c r="L80" i="3603"/>
  <c r="L81" i="3603"/>
  <c r="L79" i="3603"/>
  <c r="G117" i="3589"/>
  <c r="G60" i="2"/>
  <c r="G14" i="3597"/>
  <c r="G55" i="2556"/>
  <c r="B48" i="3645" s="1"/>
  <c r="H133" i="3589"/>
  <c r="K79" i="3603"/>
  <c r="K80" i="3603"/>
  <c r="K81" i="3603"/>
  <c r="J80" i="3603"/>
  <c r="J81" i="3603"/>
  <c r="J79" i="3603"/>
  <c r="H30" i="3597"/>
  <c r="M68" i="3603"/>
  <c r="N68" i="3603"/>
  <c r="M66" i="3603"/>
  <c r="M67" i="3603"/>
  <c r="Q67" i="3603"/>
  <c r="D36" i="3597"/>
  <c r="D80" i="2"/>
  <c r="F103" i="3589"/>
  <c r="F86" i="3589"/>
  <c r="F9" i="3589"/>
  <c r="F83" i="3589"/>
  <c r="F80" i="3589"/>
  <c r="F91" i="3584"/>
  <c r="F39" i="3589"/>
  <c r="F78" i="3589"/>
  <c r="F79" i="3589"/>
  <c r="G9" i="3589"/>
  <c r="F91" i="3589"/>
  <c r="F114" i="3589"/>
  <c r="G114" i="3589"/>
  <c r="D105" i="3589"/>
  <c r="C49" i="3597"/>
  <c r="D26" i="2556"/>
  <c r="B36" i="3603"/>
  <c r="C38" i="3603"/>
  <c r="D56" i="2"/>
  <c r="D25" i="3597"/>
  <c r="B11" i="3622"/>
  <c r="H51" i="3597"/>
  <c r="H87" i="3589"/>
  <c r="J76" i="3603"/>
  <c r="J77" i="3603"/>
  <c r="J75" i="3603"/>
  <c r="N76" i="3603"/>
  <c r="I134" i="3589"/>
  <c r="H118" i="3589"/>
  <c r="H31" i="3597"/>
  <c r="H42" i="2556"/>
  <c r="H12" i="3597"/>
  <c r="H52" i="3589"/>
  <c r="F52" i="3589"/>
  <c r="F63" i="3603"/>
  <c r="F64" i="3603"/>
  <c r="F62" i="3603"/>
  <c r="J63" i="3603"/>
  <c r="M80" i="3603"/>
  <c r="M81" i="3603"/>
  <c r="M79" i="3603"/>
  <c r="K68" i="3603"/>
  <c r="K66" i="3603"/>
  <c r="O67" i="3603"/>
  <c r="K67" i="3603"/>
  <c r="E105" i="3589"/>
  <c r="D84" i="3589"/>
  <c r="D49" i="3597"/>
  <c r="E26" i="2556"/>
  <c r="D50" i="2"/>
  <c r="F9" i="3"/>
  <c r="D114" i="3589"/>
  <c r="C91" i="3584"/>
  <c r="M42" i="3603"/>
  <c r="M41" i="3603"/>
  <c r="Q41" i="3603"/>
  <c r="M40" i="3603"/>
  <c r="N42" i="3603"/>
  <c r="H82" i="3589"/>
  <c r="B10" i="3622"/>
  <c r="H103" i="3589"/>
  <c r="D109" i="3589"/>
  <c r="D56" i="3597"/>
  <c r="D30" i="2556"/>
  <c r="D27" i="3589"/>
  <c r="G56" i="2"/>
  <c r="G25" i="3597"/>
  <c r="G26" i="3597" s="1"/>
  <c r="H14" i="2"/>
  <c r="H17" i="2556"/>
  <c r="H11" i="3622"/>
  <c r="F24" i="3597"/>
  <c r="E56" i="2"/>
  <c r="E25" i="3597"/>
  <c r="H108" i="3589"/>
  <c r="H21" i="2556"/>
  <c r="G51" i="3597"/>
  <c r="G87" i="3589"/>
  <c r="G6" i="2"/>
  <c r="D59" i="3603"/>
  <c r="H58" i="3603"/>
  <c r="D57" i="3603"/>
  <c r="E140" i="3589"/>
  <c r="D44" i="2556"/>
  <c r="D15" i="3597"/>
  <c r="D34" i="3597"/>
  <c r="G52" i="3589"/>
  <c r="G61" i="3589" s="1"/>
  <c r="E52" i="3589"/>
  <c r="C64" i="3603"/>
  <c r="D64" i="3603"/>
  <c r="C62" i="3603"/>
  <c r="U5" i="3603"/>
  <c r="U75" i="3603"/>
  <c r="U16" i="3603"/>
  <c r="U24" i="3603"/>
  <c r="U49" i="3603"/>
  <c r="G80" i="2"/>
  <c r="G48" i="2556"/>
  <c r="H48" i="2556"/>
  <c r="G30" i="3597"/>
  <c r="F67" i="2"/>
  <c r="F138" i="3589"/>
  <c r="G105" i="3589"/>
  <c r="F84" i="3589"/>
  <c r="F49" i="3597"/>
  <c r="G26" i="2556"/>
  <c r="F50" i="2"/>
  <c r="F105" i="3589"/>
  <c r="E84" i="3589"/>
  <c r="E49" i="3597"/>
  <c r="F26" i="2556"/>
  <c r="E50" i="2"/>
  <c r="C40" i="3603"/>
  <c r="C42" i="3603"/>
  <c r="T44" i="3603"/>
  <c r="F56" i="2"/>
  <c r="F25" i="3597"/>
  <c r="C69" i="3584"/>
  <c r="F36" i="3597"/>
  <c r="E17" i="2556"/>
  <c r="E9" i="2556"/>
  <c r="E24" i="3589"/>
  <c r="E14" i="2"/>
  <c r="N46" i="3603"/>
  <c r="N44" i="3603"/>
  <c r="R45" i="3603"/>
  <c r="M45" i="3603"/>
  <c r="M46" i="3603"/>
  <c r="M44" i="3603"/>
  <c r="Q45" i="3603"/>
  <c r="Q7" i="3603"/>
  <c r="Q5" i="3603"/>
  <c r="Q16" i="3603"/>
  <c r="Q24" i="3603"/>
  <c r="Q32" i="3603"/>
  <c r="Q70" i="3603"/>
  <c r="Q36" i="3603"/>
  <c r="Q49" i="3603"/>
  <c r="Q44" i="3603"/>
  <c r="Q75" i="3603"/>
  <c r="Q66" i="3603"/>
  <c r="Q40" i="3603"/>
  <c r="H144" i="3589"/>
  <c r="G47" i="2556"/>
  <c r="G128" i="3589"/>
  <c r="G33" i="3597"/>
  <c r="P49" i="3603"/>
  <c r="F47" i="2556"/>
  <c r="G144" i="3589"/>
  <c r="F33" i="3597"/>
  <c r="O49" i="3603"/>
  <c r="N5" i="3603"/>
  <c r="N70" i="3603"/>
  <c r="N66" i="3603"/>
  <c r="E128" i="3589"/>
  <c r="F144" i="3589"/>
  <c r="E47" i="2556"/>
  <c r="N49" i="3603"/>
  <c r="U12" i="3603"/>
  <c r="U14" i="3603"/>
  <c r="M5" i="3603"/>
  <c r="M24" i="3603"/>
  <c r="M70" i="3603"/>
  <c r="M20" i="3603"/>
  <c r="H46" i="3603"/>
  <c r="H44" i="3603"/>
  <c r="I46" i="3603"/>
  <c r="H45" i="3603"/>
  <c r="E78" i="2"/>
  <c r="H45" i="2556"/>
  <c r="H32" i="3597"/>
  <c r="P53" i="3603"/>
  <c r="K16" i="3603"/>
  <c r="H143" i="3589"/>
  <c r="G45" i="2556"/>
  <c r="G32" i="3597"/>
  <c r="G41" i="3589"/>
  <c r="I40" i="3645" s="1"/>
  <c r="G70" i="3589"/>
  <c r="G3" i="3597"/>
  <c r="G33" i="3589"/>
  <c r="G94" i="3589"/>
  <c r="N53" i="3603"/>
  <c r="J49" i="3603"/>
  <c r="E44" i="3603"/>
  <c r="E46" i="3603"/>
  <c r="Q13" i="3603"/>
  <c r="Q14" i="3603"/>
  <c r="Q12" i="3603"/>
  <c r="R14" i="3603"/>
  <c r="T10" i="3603"/>
  <c r="T8" i="3603"/>
  <c r="T9" i="3603"/>
  <c r="I5" i="3603"/>
  <c r="I57" i="3603"/>
  <c r="I75" i="3603"/>
  <c r="I49" i="3603"/>
  <c r="H20" i="3589"/>
  <c r="H17" i="3622"/>
  <c r="H21" i="2"/>
  <c r="H5" i="3589"/>
  <c r="H3" i="2556"/>
  <c r="C37" i="3645" s="1"/>
  <c r="F127" i="3589"/>
  <c r="G143" i="3589"/>
  <c r="F32" i="3597"/>
  <c r="F45" i="2556"/>
  <c r="F41" i="3589"/>
  <c r="F70" i="3589"/>
  <c r="F3" i="3597"/>
  <c r="F33" i="3589"/>
  <c r="F94" i="3589"/>
  <c r="J71" i="3603"/>
  <c r="K72" i="3603"/>
  <c r="J70" i="3603"/>
  <c r="J72" i="3603"/>
  <c r="D44" i="3603"/>
  <c r="D46" i="3603"/>
  <c r="S20" i="3603"/>
  <c r="P12" i="3603"/>
  <c r="T13" i="3603"/>
  <c r="S8" i="3603"/>
  <c r="S9" i="3603"/>
  <c r="S10" i="3603"/>
  <c r="H5" i="3603"/>
  <c r="H24" i="3603"/>
  <c r="H57" i="3603"/>
  <c r="H20" i="3603"/>
  <c r="H36" i="3603"/>
  <c r="H75" i="3603"/>
  <c r="H49" i="3603"/>
  <c r="G5" i="3589"/>
  <c r="G20" i="3589"/>
  <c r="G21" i="2"/>
  <c r="G19" i="3589"/>
  <c r="I35" i="3645" s="1"/>
  <c r="E127" i="3589"/>
  <c r="F143" i="3589"/>
  <c r="E32" i="3597"/>
  <c r="R75" i="3603"/>
  <c r="I71" i="3603"/>
  <c r="I70" i="3603"/>
  <c r="M71" i="3603"/>
  <c r="I72" i="3603"/>
  <c r="C44" i="3603"/>
  <c r="C46" i="3603"/>
  <c r="R8" i="3603"/>
  <c r="R9" i="3603"/>
  <c r="R10" i="3603"/>
  <c r="G5" i="3603"/>
  <c r="G24" i="3603"/>
  <c r="G49" i="3603"/>
  <c r="G20" i="3603"/>
  <c r="G36" i="3603"/>
  <c r="G75" i="3603"/>
  <c r="G57" i="3603"/>
  <c r="F5" i="3589"/>
  <c r="F20" i="3589"/>
  <c r="F21" i="2"/>
  <c r="F19" i="3589"/>
  <c r="H7" i="2556"/>
  <c r="H12" i="2"/>
  <c r="H10" i="3622"/>
  <c r="H18" i="2556"/>
  <c r="D127" i="3589"/>
  <c r="E143" i="3589"/>
  <c r="D32" i="3597"/>
  <c r="O75" i="3603"/>
  <c r="H70" i="3603"/>
  <c r="H72" i="3603"/>
  <c r="Q20" i="3603"/>
  <c r="E5" i="3589"/>
  <c r="E20" i="3589"/>
  <c r="E19" i="3589"/>
  <c r="G7" i="2556"/>
  <c r="G12" i="2"/>
  <c r="G18" i="2556"/>
  <c r="N75" i="3603"/>
  <c r="G71" i="3603"/>
  <c r="G70" i="3603"/>
  <c r="D5" i="3589"/>
  <c r="D19" i="3589"/>
  <c r="F7" i="2556"/>
  <c r="F18" i="2556"/>
  <c r="F12" i="2"/>
  <c r="M75" i="3603"/>
  <c r="F71" i="3603"/>
  <c r="F72" i="3603"/>
  <c r="F70" i="3603"/>
  <c r="L24" i="3603"/>
  <c r="E18" i="2556"/>
  <c r="E12" i="2"/>
  <c r="E7" i="2556"/>
  <c r="L75" i="3603"/>
  <c r="E72" i="3603"/>
  <c r="E70" i="3603"/>
  <c r="K36" i="3603"/>
  <c r="N20" i="3603"/>
  <c r="O46" i="3603"/>
  <c r="S45" i="3603"/>
  <c r="O44" i="3603"/>
  <c r="H128" i="3589"/>
  <c r="H33" i="3597"/>
  <c r="R72" i="3603"/>
  <c r="R71" i="3603"/>
  <c r="P7" i="3603"/>
  <c r="P24" i="3603"/>
  <c r="P66" i="3603"/>
  <c r="P5" i="3603"/>
  <c r="P16" i="3603"/>
  <c r="P32" i="3603"/>
  <c r="P70" i="3603"/>
  <c r="P36" i="3603"/>
  <c r="P44" i="3603"/>
  <c r="P75" i="3603"/>
  <c r="P40" i="3603"/>
  <c r="G78" i="2"/>
  <c r="Q53" i="3603"/>
  <c r="S36" i="3603"/>
  <c r="S5" i="3603"/>
  <c r="S32" i="3603"/>
  <c r="S49" i="3603"/>
  <c r="S75" i="3603"/>
  <c r="S66" i="3603"/>
  <c r="R7" i="3603"/>
  <c r="R5" i="3603"/>
  <c r="R36" i="3603"/>
  <c r="R24" i="3603"/>
  <c r="R32" i="3603"/>
  <c r="R40" i="3603"/>
  <c r="R49" i="3603"/>
  <c r="R44" i="3603"/>
  <c r="R66" i="3603"/>
  <c r="L45" i="3603"/>
  <c r="L44" i="3603"/>
  <c r="P45" i="3603"/>
  <c r="L46" i="3603"/>
  <c r="O5" i="3603"/>
  <c r="O12" i="3603"/>
  <c r="O70" i="3603"/>
  <c r="O32" i="3603"/>
  <c r="O66" i="3603"/>
  <c r="E130" i="3589"/>
  <c r="E35" i="3597"/>
  <c r="D130" i="3589"/>
  <c r="D50" i="2556"/>
  <c r="H17" i="2"/>
  <c r="H13" i="3622"/>
  <c r="M49" i="3603"/>
  <c r="B3" i="3622"/>
  <c r="H70" i="3589"/>
  <c r="H33" i="3589"/>
  <c r="U10" i="3603"/>
  <c r="U9" i="3603"/>
  <c r="D7" i="2556"/>
  <c r="D12" i="2"/>
  <c r="U53" i="3603"/>
  <c r="U55" i="3603"/>
  <c r="U54" i="3603"/>
  <c r="S57" i="3603"/>
  <c r="I36" i="3603"/>
  <c r="M51" i="3603"/>
  <c r="Q50" i="3603"/>
  <c r="M50" i="3603"/>
  <c r="L51" i="3603"/>
  <c r="P50" i="3603"/>
  <c r="L50" i="3603"/>
  <c r="N62" i="3603"/>
  <c r="O76" i="3603"/>
  <c r="P77" i="3603"/>
  <c r="O77" i="3603"/>
  <c r="N57" i="3603"/>
  <c r="M57" i="3603"/>
  <c r="D9" i="2556"/>
  <c r="D14" i="2"/>
  <c r="D24" i="3589"/>
  <c r="S72" i="3603"/>
  <c r="S70" i="3603"/>
  <c r="S71" i="3603"/>
  <c r="R16" i="3603"/>
  <c r="L5" i="3603"/>
  <c r="L32" i="3603"/>
  <c r="L70" i="3603"/>
  <c r="L40" i="3603"/>
  <c r="L20" i="3603"/>
  <c r="F78" i="2"/>
  <c r="L49" i="3603"/>
  <c r="G45" i="3603"/>
  <c r="K45" i="3603"/>
  <c r="G46" i="3603"/>
  <c r="G44" i="3603"/>
  <c r="L16" i="3603"/>
  <c r="K5" i="3603"/>
  <c r="K24" i="3603"/>
  <c r="K44" i="3603"/>
  <c r="K70" i="3603"/>
  <c r="K20" i="3603"/>
  <c r="B21" i="3622"/>
  <c r="F45" i="3603"/>
  <c r="F44" i="3603"/>
  <c r="J45" i="3603"/>
  <c r="F46" i="3603"/>
  <c r="J5" i="3603"/>
  <c r="J57" i="3603"/>
  <c r="J20" i="3603"/>
  <c r="S79" i="3603"/>
  <c r="J36" i="3603"/>
  <c r="I24" i="3603"/>
  <c r="R57" i="3603"/>
  <c r="H10" i="3589"/>
  <c r="O57" i="3603"/>
  <c r="M62" i="3603"/>
  <c r="H27" i="3589"/>
  <c r="H3" i="3622"/>
  <c r="B57" i="3622" s="1"/>
  <c r="H54" i="3589"/>
  <c r="H3" i="2"/>
  <c r="H38" i="2"/>
  <c r="I38" i="2" s="1"/>
  <c r="J38" i="2" s="1"/>
  <c r="K38" i="2" s="1"/>
  <c r="L38" i="2" s="1"/>
  <c r="M38" i="2" s="1"/>
  <c r="N38" i="2" s="1"/>
  <c r="O38" i="2" s="1"/>
  <c r="P38" i="2" s="1"/>
  <c r="Q38" i="2" s="1"/>
  <c r="R38" i="2" s="1"/>
  <c r="S38" i="2" s="1"/>
  <c r="T38" i="2" s="1"/>
  <c r="U38" i="2" s="1"/>
  <c r="V38" i="2" s="1"/>
  <c r="W38" i="2" s="1"/>
  <c r="X38" i="2" s="1"/>
  <c r="Y38" i="2" s="1"/>
  <c r="Z38" i="2" s="1"/>
  <c r="AA38" i="2" s="1"/>
  <c r="AB38" i="2" s="1"/>
  <c r="AC38" i="2" s="1"/>
  <c r="AD38" i="2" s="1"/>
  <c r="AE38" i="2" s="1"/>
  <c r="AF38" i="2" s="1"/>
  <c r="AG38" i="2" s="1"/>
  <c r="AH38" i="2" s="1"/>
  <c r="AI38" i="2" s="1"/>
  <c r="AJ38" i="2" s="1"/>
  <c r="AK38" i="2" s="1"/>
  <c r="AL38" i="2" s="1"/>
  <c r="H83" i="2"/>
  <c r="I83" i="2" s="1"/>
  <c r="J83" i="2" s="1"/>
  <c r="K83" i="2" s="1"/>
  <c r="L83" i="2" s="1"/>
  <c r="M83" i="2" s="1"/>
  <c r="N83" i="2" s="1"/>
  <c r="O83" i="2" s="1"/>
  <c r="P83" i="2" s="1"/>
  <c r="Q83" i="2" s="1"/>
  <c r="R83" i="2" s="1"/>
  <c r="S83" i="2" s="1"/>
  <c r="T83" i="2" s="1"/>
  <c r="U83" i="2" s="1"/>
  <c r="V83" i="2" s="1"/>
  <c r="W83" i="2" s="1"/>
  <c r="X83" i="2" s="1"/>
  <c r="Y83" i="2" s="1"/>
  <c r="Z83" i="2" s="1"/>
  <c r="AA83" i="2" s="1"/>
  <c r="AB83" i="2" s="1"/>
  <c r="AC83" i="2" s="1"/>
  <c r="AD83" i="2" s="1"/>
  <c r="AE83" i="2" s="1"/>
  <c r="AF83" i="2" s="1"/>
  <c r="AG83" i="2" s="1"/>
  <c r="AH83" i="2" s="1"/>
  <c r="AI83" i="2" s="1"/>
  <c r="AJ83" i="2" s="1"/>
  <c r="AK83" i="2" s="1"/>
  <c r="AL83" i="2" s="1"/>
  <c r="H7" i="2"/>
  <c r="H39" i="2"/>
  <c r="I39" i="2" s="1"/>
  <c r="J39" i="2" s="1"/>
  <c r="K39" i="2" s="1"/>
  <c r="L39" i="2" s="1"/>
  <c r="M39" i="2" s="1"/>
  <c r="N39" i="2" s="1"/>
  <c r="O39" i="2" s="1"/>
  <c r="P39" i="2" s="1"/>
  <c r="Q39" i="2" s="1"/>
  <c r="R39" i="2" s="1"/>
  <c r="S39" i="2" s="1"/>
  <c r="T39" i="2" s="1"/>
  <c r="U39" i="2" s="1"/>
  <c r="V39" i="2" s="1"/>
  <c r="W39" i="2" s="1"/>
  <c r="X39" i="2" s="1"/>
  <c r="Y39" i="2" s="1"/>
  <c r="Z39" i="2" s="1"/>
  <c r="AA39" i="2" s="1"/>
  <c r="AB39" i="2" s="1"/>
  <c r="AC39" i="2" s="1"/>
  <c r="AD39" i="2" s="1"/>
  <c r="AE39" i="2" s="1"/>
  <c r="AF39" i="2" s="1"/>
  <c r="AG39" i="2" s="1"/>
  <c r="AH39" i="2" s="1"/>
  <c r="AI39" i="2" s="1"/>
  <c r="AJ39" i="2" s="1"/>
  <c r="AK39" i="2" s="1"/>
  <c r="AL39" i="2" s="1"/>
  <c r="H33" i="2"/>
  <c r="H67" i="2"/>
  <c r="H138" i="3589"/>
  <c r="M77" i="3603"/>
  <c r="M76" i="3603"/>
  <c r="G62" i="3603"/>
  <c r="L57" i="3603"/>
  <c r="O40" i="3603"/>
  <c r="R50" i="3603"/>
  <c r="N50" i="3603"/>
  <c r="O51" i="3603"/>
  <c r="E33" i="3597"/>
  <c r="E96" i="3589"/>
  <c r="E19" i="2556"/>
  <c r="D47" i="3597"/>
  <c r="D72" i="3589"/>
  <c r="D4" i="3597"/>
  <c r="L13" i="3603"/>
  <c r="H14" i="3603"/>
  <c r="K10" i="3603"/>
  <c r="K8" i="3603"/>
  <c r="K9" i="3603"/>
  <c r="D19" i="2556"/>
  <c r="C47" i="3597"/>
  <c r="D96" i="3589"/>
  <c r="I79" i="3603"/>
  <c r="Q57" i="3603"/>
  <c r="P57" i="3603"/>
  <c r="T25" i="3603"/>
  <c r="T26" i="3603"/>
  <c r="G28" i="3589"/>
  <c r="I43" i="3645" s="1"/>
  <c r="G27" i="3589"/>
  <c r="G7" i="2"/>
  <c r="G54" i="3589"/>
  <c r="G38" i="2"/>
  <c r="G5" i="2"/>
  <c r="G33" i="2"/>
  <c r="G83" i="2"/>
  <c r="H124" i="3589"/>
  <c r="H119" i="3589"/>
  <c r="B23" i="3622"/>
  <c r="G67" i="2"/>
  <c r="G138" i="3589"/>
  <c r="H31" i="3589"/>
  <c r="J38" i="3645" s="1"/>
  <c r="F33" i="3616"/>
  <c r="E33" i="3616" s="1"/>
  <c r="D33" i="3616" s="1"/>
  <c r="C33" i="3616" s="1"/>
  <c r="B33" i="3616" s="1"/>
  <c r="H33" i="3616"/>
  <c r="I33" i="3616" s="1"/>
  <c r="J33" i="3616" s="1"/>
  <c r="K33" i="3616" s="1"/>
  <c r="L33" i="3616" s="1"/>
  <c r="L77" i="3603"/>
  <c r="L76" i="3603"/>
  <c r="N40" i="3603"/>
  <c r="N14" i="3603"/>
  <c r="N12" i="3603"/>
  <c r="O14" i="3603"/>
  <c r="Q9" i="3603"/>
  <c r="Q10" i="3603"/>
  <c r="F5" i="3603"/>
  <c r="F20" i="3603"/>
  <c r="F24" i="3603"/>
  <c r="F36" i="3603"/>
  <c r="F75" i="3603"/>
  <c r="R54" i="3603"/>
  <c r="N55" i="3603"/>
  <c r="N54" i="3603"/>
  <c r="O55" i="3603"/>
  <c r="N33" i="3603"/>
  <c r="N32" i="3603"/>
  <c r="P9" i="3603"/>
  <c r="P10" i="3603"/>
  <c r="E12" i="3603"/>
  <c r="E49" i="3603"/>
  <c r="M34" i="3603"/>
  <c r="Q33" i="3603"/>
  <c r="M32" i="3603"/>
  <c r="O8" i="3603"/>
  <c r="O9" i="3603"/>
  <c r="O10" i="3603"/>
  <c r="D49" i="3603"/>
  <c r="D36" i="3603"/>
  <c r="D75" i="3603"/>
  <c r="G51" i="3603"/>
  <c r="F49" i="3603"/>
  <c r="F50" i="3603"/>
  <c r="F51" i="3603"/>
  <c r="U36" i="3603"/>
  <c r="U38" i="3603"/>
  <c r="N9" i="3603"/>
  <c r="N10" i="3603"/>
  <c r="C49" i="3603"/>
  <c r="C75" i="3603"/>
  <c r="E21" i="2"/>
  <c r="G129" i="3589"/>
  <c r="G79" i="2"/>
  <c r="H145" i="3589"/>
  <c r="H122" i="3589"/>
  <c r="F54" i="3603"/>
  <c r="J54" i="3603"/>
  <c r="F55" i="3603"/>
  <c r="D21" i="2556"/>
  <c r="C51" i="3597"/>
  <c r="G40" i="2"/>
  <c r="G25" i="3589" s="1"/>
  <c r="G4" i="2"/>
  <c r="L36" i="3603"/>
  <c r="L38" i="3603"/>
  <c r="L37" i="3603"/>
  <c r="S24" i="3603"/>
  <c r="S25" i="3603"/>
  <c r="K53" i="3622"/>
  <c r="A39" i="3616"/>
  <c r="A24" i="3616"/>
  <c r="A69" i="3616"/>
  <c r="A70" i="3616" s="1"/>
  <c r="A71" i="3616" s="1"/>
  <c r="A72" i="3616" s="1"/>
  <c r="A73" i="3616" s="1"/>
  <c r="A74" i="3616" s="1"/>
  <c r="F108" i="3589"/>
  <c r="F21" i="2556"/>
  <c r="E51" i="3597"/>
  <c r="E87" i="3589"/>
  <c r="E53" i="3589"/>
  <c r="F4" i="2"/>
  <c r="F66" i="2"/>
  <c r="F40" i="2"/>
  <c r="F25" i="3589" s="1"/>
  <c r="F13" i="3589"/>
  <c r="H54" i="3603"/>
  <c r="H53" i="3603"/>
  <c r="H55" i="3603"/>
  <c r="L54" i="3603"/>
  <c r="L33" i="3603"/>
  <c r="H33" i="3603"/>
  <c r="O17" i="3603"/>
  <c r="O27" i="3603"/>
  <c r="O16" i="3603"/>
  <c r="G13" i="3603"/>
  <c r="G12" i="3603"/>
  <c r="K13" i="3603"/>
  <c r="G108" i="3589"/>
  <c r="G21" i="2556"/>
  <c r="F51" i="3597"/>
  <c r="F87" i="3589"/>
  <c r="G54" i="3603"/>
  <c r="G55" i="3603"/>
  <c r="G33" i="3603"/>
  <c r="K33" i="3603"/>
  <c r="D138" i="3589"/>
  <c r="D67" i="2"/>
  <c r="F33" i="3603"/>
  <c r="F32" i="3603"/>
  <c r="F34" i="3603"/>
  <c r="J33" i="3603"/>
  <c r="E108" i="3589"/>
  <c r="E21" i="2556"/>
  <c r="D51" i="3597"/>
  <c r="D12" i="3603"/>
  <c r="D14" i="3603"/>
  <c r="E14" i="3603"/>
  <c r="H4" i="3622"/>
  <c r="H4" i="2"/>
  <c r="H66" i="2"/>
  <c r="I66" i="2" s="1"/>
  <c r="J66" i="2" s="1"/>
  <c r="K66" i="2" s="1"/>
  <c r="L66" i="2" s="1"/>
  <c r="M66" i="2" s="1"/>
  <c r="N66" i="2" s="1"/>
  <c r="O66" i="2" s="1"/>
  <c r="P66" i="2" s="1"/>
  <c r="Q66" i="2" s="1"/>
  <c r="R66" i="2" s="1"/>
  <c r="S66" i="2" s="1"/>
  <c r="T66" i="2" s="1"/>
  <c r="U66" i="2" s="1"/>
  <c r="V66" i="2" s="1"/>
  <c r="W66" i="2" s="1"/>
  <c r="X66" i="2" s="1"/>
  <c r="Y66" i="2" s="1"/>
  <c r="Z66" i="2" s="1"/>
  <c r="AA66" i="2" s="1"/>
  <c r="AB66" i="2" s="1"/>
  <c r="AC66" i="2" s="1"/>
  <c r="AD66" i="2" s="1"/>
  <c r="AE66" i="2" s="1"/>
  <c r="AF66" i="2" s="1"/>
  <c r="AG66" i="2" s="1"/>
  <c r="AH66" i="2" s="1"/>
  <c r="AI66" i="2" s="1"/>
  <c r="AJ66" i="2" s="1"/>
  <c r="AK66" i="2" s="1"/>
  <c r="AL66" i="2" s="1"/>
  <c r="H40" i="2"/>
  <c r="E4" i="2"/>
  <c r="E40" i="2"/>
  <c r="E25" i="3589" s="1"/>
  <c r="E13" i="3589"/>
  <c r="H105" i="3589"/>
  <c r="G49" i="3597"/>
  <c r="G84" i="3589"/>
  <c r="D99" i="3589"/>
  <c r="D38" i="2"/>
  <c r="E110" i="3589"/>
  <c r="E31" i="2556"/>
  <c r="N64" i="3603"/>
  <c r="O64" i="3603"/>
  <c r="N27" i="3603"/>
  <c r="N16" i="3603"/>
  <c r="R17" i="3603"/>
  <c r="F13" i="3603"/>
  <c r="F12" i="3603"/>
  <c r="J13" i="3603"/>
  <c r="F14" i="3603"/>
  <c r="D57" i="3597"/>
  <c r="H6" i="2"/>
  <c r="D31" i="2556"/>
  <c r="M64" i="3603"/>
  <c r="C55" i="3603"/>
  <c r="E113" i="3589"/>
  <c r="D92" i="3589"/>
  <c r="E35" i="2556"/>
  <c r="E6" i="2"/>
  <c r="F88" i="3589"/>
  <c r="F38" i="3589"/>
  <c r="F34" i="3589"/>
  <c r="F30" i="2556"/>
  <c r="G30" i="2556"/>
  <c r="G109" i="3589"/>
  <c r="H52" i="2"/>
  <c r="H85" i="3589"/>
  <c r="D35" i="2556"/>
  <c r="G10" i="3589"/>
  <c r="K62" i="3603"/>
  <c r="K64" i="3603"/>
  <c r="D55" i="2"/>
  <c r="D6" i="2"/>
  <c r="F6" i="3607"/>
  <c r="F8" i="3607" s="1"/>
  <c r="G4" i="3607"/>
  <c r="F6" i="2"/>
  <c r="G88" i="3589"/>
  <c r="G38" i="3589"/>
  <c r="G34" i="3589"/>
  <c r="G90" i="2"/>
  <c r="G56" i="3597"/>
  <c r="E72" i="3589"/>
  <c r="F19" i="2556"/>
  <c r="F96" i="3589"/>
  <c r="E47" i="3597"/>
  <c r="E4" i="3597"/>
  <c r="H59" i="3603"/>
  <c r="G58" i="3603"/>
  <c r="G59" i="3603"/>
  <c r="N41" i="3603"/>
  <c r="R41" i="3603"/>
  <c r="G9" i="2556"/>
  <c r="B40" i="3645" s="1"/>
  <c r="G14" i="2"/>
  <c r="E34" i="3589"/>
  <c r="E91" i="3584"/>
  <c r="E86" i="3589"/>
  <c r="E9" i="3589"/>
  <c r="E33" i="3589"/>
  <c r="E83" i="3589"/>
  <c r="J62" i="3603"/>
  <c r="N38" i="3603"/>
  <c r="N36" i="3603"/>
  <c r="N37" i="3603"/>
  <c r="E32" i="3603"/>
  <c r="E34" i="3603"/>
  <c r="U20" i="3603"/>
  <c r="U21" i="3603"/>
  <c r="U22" i="3603"/>
  <c r="B32" i="3603"/>
  <c r="B20" i="3603"/>
  <c r="B62" i="3603"/>
  <c r="B40" i="3603"/>
  <c r="B49" i="3603"/>
  <c r="F9" i="2556"/>
  <c r="F14" i="2"/>
  <c r="D9" i="3589"/>
  <c r="E114" i="3589"/>
  <c r="D34" i="3589"/>
  <c r="D91" i="3584"/>
  <c r="D86" i="3589"/>
  <c r="D33" i="3589"/>
  <c r="D83" i="3589"/>
  <c r="E39" i="3589"/>
  <c r="M38" i="3603"/>
  <c r="M36" i="3603"/>
  <c r="M37" i="3603"/>
  <c r="D32" i="3603"/>
  <c r="D34" i="3603"/>
  <c r="L42" i="3603"/>
  <c r="L41" i="3603"/>
  <c r="P41" i="3603"/>
  <c r="G89" i="3589"/>
  <c r="H31" i="2556"/>
  <c r="D47" i="2556"/>
  <c r="I68" i="3603"/>
  <c r="I66" i="3603"/>
  <c r="K42" i="3603"/>
  <c r="K41" i="3603"/>
  <c r="K40" i="3603"/>
  <c r="J68" i="3603"/>
  <c r="N67" i="3603"/>
  <c r="J66" i="3603"/>
  <c r="F116" i="3589"/>
  <c r="F11" i="3597"/>
  <c r="G92" i="3589"/>
  <c r="H113" i="3589"/>
  <c r="G55" i="2"/>
  <c r="H35" i="2556"/>
  <c r="F89" i="3589"/>
  <c r="G31" i="2556"/>
  <c r="H66" i="3603"/>
  <c r="H68" i="3603"/>
  <c r="J41" i="3603"/>
  <c r="J40" i="3603"/>
  <c r="E124" i="3589"/>
  <c r="F140" i="3589"/>
  <c r="E44" i="2556"/>
  <c r="F92" i="3589"/>
  <c r="G113" i="3589"/>
  <c r="F55" i="2"/>
  <c r="G35" i="2556"/>
  <c r="F60" i="3597"/>
  <c r="F31" i="2556"/>
  <c r="G132" i="3589"/>
  <c r="I40" i="3603"/>
  <c r="I41" i="3603"/>
  <c r="H49" i="3597"/>
  <c r="O41" i="3603"/>
  <c r="P42" i="3603"/>
  <c r="U26" i="3603"/>
  <c r="T22" i="3603"/>
  <c r="I13" i="3603"/>
  <c r="I14" i="3603"/>
  <c r="J14" i="3603"/>
  <c r="L10" i="3603"/>
  <c r="L8" i="3603"/>
  <c r="F28" i="3589"/>
  <c r="F7" i="2"/>
  <c r="F38" i="2"/>
  <c r="E129" i="3589"/>
  <c r="F145" i="3589"/>
  <c r="E111" i="3589"/>
  <c r="D90" i="3589"/>
  <c r="E33" i="2556"/>
  <c r="D58" i="3597"/>
  <c r="I80" i="3603"/>
  <c r="I81" i="3603"/>
  <c r="D72" i="3603"/>
  <c r="D70" i="3603"/>
  <c r="G40" i="3603"/>
  <c r="G41" i="3603"/>
  <c r="E28" i="3589"/>
  <c r="E145" i="3589"/>
  <c r="D129" i="3589"/>
  <c r="D33" i="2556"/>
  <c r="H79" i="3603"/>
  <c r="H81" i="3603"/>
  <c r="F42" i="3603"/>
  <c r="F40" i="3603"/>
  <c r="F41" i="3603"/>
  <c r="D28" i="3589"/>
  <c r="H92" i="3589"/>
  <c r="H55" i="2"/>
  <c r="H89" i="3589"/>
  <c r="J111" i="188"/>
  <c r="G80" i="3603"/>
  <c r="G79" i="3603"/>
  <c r="G81" i="3603"/>
  <c r="E40" i="3603"/>
  <c r="E42" i="3603"/>
  <c r="E137" i="3589"/>
  <c r="E66" i="2"/>
  <c r="D121" i="3589"/>
  <c r="I16" i="3603"/>
  <c r="I18" i="3603"/>
  <c r="I27" i="3603"/>
  <c r="M17" i="3603"/>
  <c r="J18" i="3603"/>
  <c r="H16" i="3603"/>
  <c r="H18" i="3603"/>
  <c r="H27" i="3603"/>
  <c r="F139" i="3589"/>
  <c r="E123" i="3589"/>
  <c r="E74" i="3589"/>
  <c r="J22" i="3603"/>
  <c r="J27" i="3603"/>
  <c r="N21" i="3603"/>
  <c r="K22" i="3603"/>
  <c r="E4" i="3589"/>
  <c r="E139" i="3589"/>
  <c r="D123" i="3589"/>
  <c r="D74" i="3589"/>
  <c r="D118" i="3589"/>
  <c r="J26" i="3603"/>
  <c r="J25" i="3603"/>
  <c r="I22" i="3603"/>
  <c r="I20" i="3603"/>
  <c r="I21" i="3603"/>
  <c r="H8" i="3622"/>
  <c r="H9" i="3603"/>
  <c r="H10" i="3603"/>
  <c r="D4" i="3589"/>
  <c r="D79" i="3589"/>
  <c r="I25" i="3603"/>
  <c r="I26" i="3603"/>
  <c r="G31" i="3589"/>
  <c r="I38" i="3645" s="1"/>
  <c r="G121" i="3589"/>
  <c r="G45" i="3589"/>
  <c r="F80" i="3603"/>
  <c r="F79" i="3603"/>
  <c r="F81" i="3603"/>
  <c r="C70" i="3603"/>
  <c r="J8" i="3603"/>
  <c r="J9" i="3603"/>
  <c r="J10" i="3603"/>
  <c r="F31" i="3589"/>
  <c r="F121" i="3589"/>
  <c r="I9" i="3603"/>
  <c r="I10" i="3603"/>
  <c r="E45" i="3589"/>
  <c r="D31" i="3589"/>
  <c r="F74" i="3589"/>
  <c r="E31" i="3589"/>
  <c r="E121" i="3589"/>
  <c r="H16" i="2556"/>
  <c r="B37" i="3622"/>
  <c r="F118" i="3589"/>
  <c r="G18" i="3603"/>
  <c r="G27" i="3603"/>
  <c r="H129" i="3589"/>
  <c r="H79" i="2"/>
  <c r="U40" i="3603"/>
  <c r="U42" i="3603"/>
  <c r="C16" i="3603"/>
  <c r="C18" i="3603"/>
  <c r="D18" i="3603"/>
  <c r="E117" i="3589"/>
  <c r="E55" i="2556"/>
  <c r="S53" i="3603"/>
  <c r="S55" i="3603"/>
  <c r="E22" i="3603"/>
  <c r="F22" i="3603"/>
  <c r="E20" i="3603"/>
  <c r="B16" i="3603"/>
  <c r="H79" i="3589"/>
  <c r="D106" i="3589"/>
  <c r="R62" i="3603"/>
  <c r="R63" i="3603"/>
  <c r="R53" i="3603"/>
  <c r="S40" i="3603"/>
  <c r="S42" i="3603"/>
  <c r="T42" i="3603"/>
  <c r="C27" i="3603"/>
  <c r="D22" i="3603"/>
  <c r="D20" i="3603"/>
  <c r="H100" i="3589"/>
  <c r="T66" i="3603"/>
  <c r="T68" i="3603"/>
  <c r="U68" i="3603"/>
  <c r="Q62" i="3603"/>
  <c r="Q63" i="3603"/>
  <c r="U59" i="3603"/>
  <c r="U57" i="3603"/>
  <c r="Q38" i="3603"/>
  <c r="R38" i="3603"/>
  <c r="B27" i="3603"/>
  <c r="B28" i="3603" s="1"/>
  <c r="C22" i="3603"/>
  <c r="C20" i="3603"/>
  <c r="T53" i="3603"/>
  <c r="T55" i="3603"/>
  <c r="G53" i="3589"/>
  <c r="B15" i="3622"/>
  <c r="H83" i="3589"/>
  <c r="H91" i="3589"/>
  <c r="E24" i="2556"/>
  <c r="D48" i="3597"/>
  <c r="D48" i="2"/>
  <c r="P62" i="3603"/>
  <c r="P63" i="3603"/>
  <c r="U50" i="3603"/>
  <c r="U51" i="3603"/>
  <c r="G8" i="3603"/>
  <c r="G10" i="3603"/>
  <c r="F4" i="3589"/>
  <c r="F53" i="3589"/>
  <c r="G103" i="3589"/>
  <c r="G91" i="3589"/>
  <c r="E79" i="3589"/>
  <c r="P80" i="3603"/>
  <c r="P79" i="3603"/>
  <c r="S77" i="3603"/>
  <c r="T77" i="3603"/>
  <c r="T72" i="3603"/>
  <c r="U72" i="3603"/>
  <c r="O62" i="3603"/>
  <c r="S63" i="3603"/>
  <c r="O53" i="3603"/>
  <c r="T50" i="3603"/>
  <c r="T51" i="3603"/>
  <c r="O38" i="3603"/>
  <c r="O36" i="3603"/>
  <c r="O33" i="3603"/>
  <c r="O34" i="3603"/>
  <c r="P34" i="3603"/>
  <c r="U79" i="3603"/>
  <c r="H106" i="3589"/>
  <c r="G85" i="3589"/>
  <c r="H80" i="3589"/>
  <c r="H28" i="2556"/>
  <c r="T80" i="3603"/>
  <c r="B44" i="3603"/>
  <c r="E82" i="3589"/>
  <c r="E103" i="3589"/>
  <c r="H111" i="3589"/>
  <c r="G90" i="3589"/>
  <c r="G106" i="3589"/>
  <c r="F52" i="2"/>
  <c r="F85" i="3589"/>
  <c r="G28" i="2556"/>
  <c r="S80" i="3603"/>
  <c r="D49" i="2556"/>
  <c r="D82" i="3589"/>
  <c r="D103" i="3589"/>
  <c r="G111" i="3589"/>
  <c r="F90" i="3589"/>
  <c r="G33" i="2556"/>
  <c r="F106" i="3589"/>
  <c r="E52" i="2"/>
  <c r="E85" i="3589"/>
  <c r="F28" i="2556"/>
  <c r="R80" i="3603"/>
  <c r="R79" i="3603"/>
  <c r="F111" i="3589"/>
  <c r="E90" i="3589"/>
  <c r="F33" i="2556"/>
  <c r="D85" i="3589"/>
  <c r="E28" i="2556"/>
  <c r="Q80" i="3603"/>
  <c r="Q79" i="3603"/>
  <c r="E41" i="3589"/>
  <c r="B70" i="3603"/>
  <c r="G66" i="3603"/>
  <c r="I63" i="3603"/>
  <c r="I62" i="3603"/>
  <c r="B16" i="3622"/>
  <c r="H116" i="3589"/>
  <c r="F67" i="3603"/>
  <c r="F66" i="3603"/>
  <c r="H63" i="3603"/>
  <c r="H64" i="3603"/>
  <c r="H62" i="3603"/>
  <c r="L59" i="3603"/>
  <c r="P58" i="3603"/>
  <c r="G116" i="3589"/>
  <c r="H58" i="3622"/>
  <c r="C49" i="3590"/>
  <c r="C59" i="3590" s="1"/>
  <c r="C76" i="3590" s="1"/>
  <c r="C91" i="3590" s="1"/>
  <c r="E66" i="3603"/>
  <c r="G63" i="3603"/>
  <c r="G64" i="3603"/>
  <c r="K59" i="3603"/>
  <c r="O58" i="3603"/>
  <c r="K57" i="3603"/>
  <c r="C66" i="3603"/>
  <c r="I53" i="3603"/>
  <c r="I55" i="3603"/>
  <c r="J55" i="3603"/>
  <c r="I54" i="3603"/>
  <c r="T40" i="3603"/>
  <c r="J125" i="188"/>
  <c r="L34" i="3603"/>
  <c r="P33" i="3603"/>
  <c r="O24" i="3603"/>
  <c r="O26" i="3603"/>
  <c r="P26" i="3603"/>
  <c r="U62" i="3603"/>
  <c r="U63" i="3603"/>
  <c r="E38" i="3603"/>
  <c r="F38" i="3603"/>
  <c r="N24" i="3603"/>
  <c r="N26" i="3603"/>
  <c r="T63" i="3603"/>
  <c r="T62" i="3603"/>
  <c r="F137" i="3589"/>
  <c r="H34" i="2556"/>
  <c r="K71" i="3603"/>
  <c r="S62" i="3603"/>
  <c r="C36" i="3603"/>
  <c r="I33" i="3603"/>
  <c r="I32" i="3603"/>
  <c r="H78" i="3589"/>
  <c r="B6" i="3622"/>
  <c r="H24" i="2556"/>
  <c r="H48" i="3616"/>
  <c r="I48" i="3616" s="1"/>
  <c r="J48" i="3616" s="1"/>
  <c r="K48" i="3616" s="1"/>
  <c r="L48" i="3616" s="1"/>
  <c r="K51" i="3603"/>
  <c r="E26" i="3603"/>
  <c r="F26" i="3603"/>
  <c r="E75" i="3603"/>
  <c r="J50" i="3603"/>
  <c r="D8" i="3603"/>
  <c r="M21" i="3603"/>
  <c r="U18" i="3603"/>
  <c r="E77" i="3603"/>
  <c r="U66" i="3603"/>
  <c r="P46" i="3603"/>
  <c r="T18" i="3603"/>
  <c r="B57" i="3603"/>
  <c r="M53" i="3603"/>
  <c r="M18" i="3603"/>
  <c r="M27" i="3603"/>
  <c r="M16" i="3603"/>
  <c r="C8" i="3603"/>
  <c r="B75" i="3603"/>
  <c r="L53" i="3603"/>
  <c r="U32" i="3603"/>
  <c r="L18" i="3603"/>
  <c r="L27" i="3603"/>
  <c r="L17" i="3603"/>
  <c r="B8" i="3603"/>
  <c r="G82" i="3589"/>
  <c r="G72" i="3589"/>
  <c r="H19" i="2556"/>
  <c r="K53" i="3603"/>
  <c r="K54" i="3603"/>
  <c r="T32" i="3603"/>
  <c r="K18" i="3603"/>
  <c r="K17" i="3603"/>
  <c r="K27" i="3603"/>
  <c r="F82" i="3589"/>
  <c r="D80" i="3589"/>
  <c r="F72" i="3589"/>
  <c r="G19" i="2556"/>
  <c r="J53" i="3603"/>
  <c r="J16" i="3603"/>
  <c r="J17" i="3603"/>
  <c r="J44" i="3603"/>
  <c r="U70" i="3603"/>
  <c r="I44" i="3603"/>
  <c r="R13" i="3603"/>
  <c r="K26" i="3603"/>
  <c r="N71" i="3603"/>
  <c r="G37" i="3603"/>
  <c r="N72" i="3603"/>
  <c r="U44" i="3603"/>
  <c r="F37" i="3603"/>
  <c r="M59" i="3603"/>
  <c r="G21" i="3603"/>
  <c r="F21" i="3603"/>
  <c r="F16" i="3597" l="1"/>
  <c r="D102" i="3589"/>
  <c r="H23" i="3589"/>
  <c r="I14" i="3584"/>
  <c r="E6" i="2556"/>
  <c r="E11" i="2"/>
  <c r="E10" i="2"/>
  <c r="E16" i="3597"/>
  <c r="H16" i="3597"/>
  <c r="I44" i="3645"/>
  <c r="E38" i="3584"/>
  <c r="G16" i="3597"/>
  <c r="C38" i="3584"/>
  <c r="D16" i="3597"/>
  <c r="C16" i="3597"/>
  <c r="E81" i="3589"/>
  <c r="E75" i="2"/>
  <c r="D38" i="3584"/>
  <c r="D58" i="2"/>
  <c r="F75" i="2"/>
  <c r="D105" i="2"/>
  <c r="C18" i="3584"/>
  <c r="E52" i="3597"/>
  <c r="E36" i="2556"/>
  <c r="E105" i="2"/>
  <c r="I136" i="2"/>
  <c r="I12" i="3"/>
  <c r="K10" i="3645" s="1"/>
  <c r="E1" i="3597"/>
  <c r="D141" i="3589"/>
  <c r="E141" i="3589"/>
  <c r="D75" i="2"/>
  <c r="D125" i="3589"/>
  <c r="E102" i="3589"/>
  <c r="D44" i="2"/>
  <c r="E125" i="3589"/>
  <c r="D23" i="3589"/>
  <c r="G23" i="3589"/>
  <c r="G125" i="3589"/>
  <c r="D42" i="3589"/>
  <c r="E42" i="3589"/>
  <c r="E44" i="2"/>
  <c r="F42" i="3589"/>
  <c r="G42" i="3589"/>
  <c r="I41" i="3645" s="1"/>
  <c r="F81" i="3589"/>
  <c r="H42" i="3589"/>
  <c r="J41" i="3645" s="1"/>
  <c r="G81" i="3589"/>
  <c r="H81" i="3589"/>
  <c r="D142" i="3589"/>
  <c r="D61" i="3597"/>
  <c r="D62" i="3597" s="1"/>
  <c r="E47" i="3589"/>
  <c r="E61" i="3597"/>
  <c r="E62" i="3597" s="1"/>
  <c r="E38" i="2556"/>
  <c r="H75" i="2"/>
  <c r="D38" i="2556"/>
  <c r="F105" i="2"/>
  <c r="F141" i="3589"/>
  <c r="G102" i="3589"/>
  <c r="G36" i="2556"/>
  <c r="G38" i="2556" s="1"/>
  <c r="F102" i="3589"/>
  <c r="I3" i="3"/>
  <c r="K45" i="3645" s="1"/>
  <c r="J2" i="3"/>
  <c r="G52" i="3597"/>
  <c r="H36" i="2556"/>
  <c r="H38" i="2556" s="1"/>
  <c r="G105" i="2"/>
  <c r="H125" i="3589"/>
  <c r="H58" i="2"/>
  <c r="H105" i="2"/>
  <c r="H44" i="2"/>
  <c r="G58" i="2"/>
  <c r="G141" i="3589"/>
  <c r="F125" i="3589"/>
  <c r="H141" i="3589"/>
  <c r="G75" i="2"/>
  <c r="H52" i="3597"/>
  <c r="H102" i="3589"/>
  <c r="F44" i="2"/>
  <c r="G44" i="2"/>
  <c r="F52" i="3597"/>
  <c r="F36" i="2556"/>
  <c r="F38" i="2556" s="1"/>
  <c r="I146" i="2"/>
  <c r="I153" i="2" s="1"/>
  <c r="J153" i="2" s="1"/>
  <c r="C9" i="3645"/>
  <c r="B64" i="3645"/>
  <c r="B49" i="3645"/>
  <c r="B62" i="3645"/>
  <c r="C14" i="3645"/>
  <c r="B59" i="3645"/>
  <c r="C64" i="3645"/>
  <c r="C62" i="3645"/>
  <c r="C49" i="3645"/>
  <c r="B47" i="3622"/>
  <c r="B44" i="3622"/>
  <c r="H46" i="3622"/>
  <c r="AE98" i="3632"/>
  <c r="AF97" i="3632"/>
  <c r="AF96" i="3632"/>
  <c r="AE95" i="3632"/>
  <c r="AH94" i="3632"/>
  <c r="AL94" i="3632" s="1"/>
  <c r="AE93" i="3632"/>
  <c r="AF92" i="3632"/>
  <c r="AF91" i="3632"/>
  <c r="AF90" i="3632"/>
  <c r="J51" i="3632"/>
  <c r="J89" i="3632" s="1"/>
  <c r="K2" i="3632"/>
  <c r="J11" i="3632"/>
  <c r="D11" i="3632"/>
  <c r="D51" i="3632"/>
  <c r="I91" i="2"/>
  <c r="J91" i="2" s="1"/>
  <c r="K91" i="2" s="1"/>
  <c r="L91" i="2" s="1"/>
  <c r="M91" i="2" s="1"/>
  <c r="N91" i="2" s="1"/>
  <c r="O91" i="2" s="1"/>
  <c r="P91" i="2" s="1"/>
  <c r="Q91" i="2" s="1"/>
  <c r="R91" i="2" s="1"/>
  <c r="S91" i="2" s="1"/>
  <c r="T91" i="2" s="1"/>
  <c r="U91" i="2" s="1"/>
  <c r="V91" i="2" s="1"/>
  <c r="W91" i="2" s="1"/>
  <c r="X91" i="2" s="1"/>
  <c r="Y91" i="2" s="1"/>
  <c r="Z91" i="2" s="1"/>
  <c r="AA91" i="2" s="1"/>
  <c r="AB91" i="2" s="1"/>
  <c r="AC91" i="2" s="1"/>
  <c r="AD91" i="2" s="1"/>
  <c r="AE91" i="2" s="1"/>
  <c r="AF91" i="2" s="1"/>
  <c r="AG91" i="2" s="1"/>
  <c r="AH91" i="2" s="1"/>
  <c r="AI91" i="2" s="1"/>
  <c r="AJ91" i="2" s="1"/>
  <c r="AK91" i="2" s="1"/>
  <c r="AL91" i="2" s="1"/>
  <c r="I90" i="2"/>
  <c r="I99" i="2"/>
  <c r="I95" i="2"/>
  <c r="I89" i="2"/>
  <c r="J89" i="2" s="1"/>
  <c r="K89" i="2" s="1"/>
  <c r="L89" i="2" s="1"/>
  <c r="M89" i="2" s="1"/>
  <c r="N89" i="2" s="1"/>
  <c r="O89" i="2" s="1"/>
  <c r="P89" i="2" s="1"/>
  <c r="Q89" i="2" s="1"/>
  <c r="R89" i="2" s="1"/>
  <c r="S89" i="2" s="1"/>
  <c r="T89" i="2" s="1"/>
  <c r="U89" i="2" s="1"/>
  <c r="V89" i="2" s="1"/>
  <c r="W89" i="2" s="1"/>
  <c r="X89" i="2" s="1"/>
  <c r="Y89" i="2" s="1"/>
  <c r="Z89" i="2" s="1"/>
  <c r="AA89" i="2" s="1"/>
  <c r="AB89" i="2" s="1"/>
  <c r="AC89" i="2" s="1"/>
  <c r="AD89" i="2" s="1"/>
  <c r="AE89" i="2" s="1"/>
  <c r="AF89" i="2" s="1"/>
  <c r="AG89" i="2" s="1"/>
  <c r="AH89" i="2" s="1"/>
  <c r="AI89" i="2" s="1"/>
  <c r="AJ89" i="2" s="1"/>
  <c r="AK89" i="2" s="1"/>
  <c r="AL89" i="2" s="1"/>
  <c r="I96" i="2"/>
  <c r="J96" i="2" s="1"/>
  <c r="K96" i="2" s="1"/>
  <c r="L96" i="2" s="1"/>
  <c r="M96" i="2" s="1"/>
  <c r="N96" i="2" s="1"/>
  <c r="O96" i="2" s="1"/>
  <c r="P96" i="2" s="1"/>
  <c r="Q96" i="2" s="1"/>
  <c r="R96" i="2" s="1"/>
  <c r="S96" i="2" s="1"/>
  <c r="T96" i="2" s="1"/>
  <c r="U96" i="2" s="1"/>
  <c r="V96" i="2" s="1"/>
  <c r="W96" i="2" s="1"/>
  <c r="X96" i="2" s="1"/>
  <c r="Y96" i="2" s="1"/>
  <c r="Z96" i="2" s="1"/>
  <c r="AA96" i="2" s="1"/>
  <c r="AB96" i="2" s="1"/>
  <c r="AC96" i="2" s="1"/>
  <c r="AD96" i="2" s="1"/>
  <c r="AE96" i="2" s="1"/>
  <c r="AF96" i="2" s="1"/>
  <c r="AG96" i="2" s="1"/>
  <c r="AH96" i="2" s="1"/>
  <c r="AI96" i="2" s="1"/>
  <c r="AJ96" i="2" s="1"/>
  <c r="AK96" i="2" s="1"/>
  <c r="AL96" i="2" s="1"/>
  <c r="F51" i="3589"/>
  <c r="G51" i="3589"/>
  <c r="M52" i="3589"/>
  <c r="M61" i="3589" s="1"/>
  <c r="H37" i="3622"/>
  <c r="B38" i="3622"/>
  <c r="H23" i="2"/>
  <c r="I28" i="3584"/>
  <c r="I107" i="3589" s="1"/>
  <c r="H31" i="3622"/>
  <c r="H35" i="3622"/>
  <c r="H27" i="3622"/>
  <c r="H49" i="3622"/>
  <c r="B65" i="3622" s="1"/>
  <c r="B48" i="3622"/>
  <c r="B39" i="3622"/>
  <c r="H40" i="3622"/>
  <c r="H30" i="3622"/>
  <c r="B61" i="3622" s="1"/>
  <c r="H32" i="3622"/>
  <c r="B62" i="3622" s="1"/>
  <c r="K52" i="3589"/>
  <c r="K61" i="3589" s="1"/>
  <c r="I53" i="3584"/>
  <c r="L52" i="3589"/>
  <c r="L61" i="3589" s="1"/>
  <c r="I55" i="3584"/>
  <c r="I52" i="3589"/>
  <c r="I61" i="3589" s="1"/>
  <c r="N6" i="3598"/>
  <c r="C2" i="3632" s="1"/>
  <c r="D2" i="2" s="1"/>
  <c r="E1" i="3598"/>
  <c r="E1" i="3630" s="1"/>
  <c r="F1" i="3589"/>
  <c r="F1" i="2556"/>
  <c r="F1" i="3"/>
  <c r="F1" i="3584"/>
  <c r="J52" i="3589"/>
  <c r="J61" i="3589" s="1"/>
  <c r="O52" i="3589"/>
  <c r="O61" i="3589" s="1"/>
  <c r="Q52" i="3589"/>
  <c r="Q61" i="3589" s="1"/>
  <c r="R52" i="3589"/>
  <c r="R61" i="3589" s="1"/>
  <c r="P52" i="3589"/>
  <c r="P61" i="3589" s="1"/>
  <c r="N52" i="3589"/>
  <c r="N61" i="3589" s="1"/>
  <c r="U30" i="3603"/>
  <c r="I16" i="3584"/>
  <c r="D126" i="3589"/>
  <c r="E69" i="3584"/>
  <c r="D47" i="3589"/>
  <c r="D69" i="3584"/>
  <c r="D56" i="2556" s="1"/>
  <c r="D57" i="2556" s="1"/>
  <c r="E142" i="3589"/>
  <c r="C26" i="3"/>
  <c r="C28" i="3" s="1"/>
  <c r="E126" i="3589"/>
  <c r="F22" i="3589"/>
  <c r="E22" i="3589"/>
  <c r="H42" i="3622"/>
  <c r="H22" i="3589"/>
  <c r="L7" i="3632"/>
  <c r="L8" i="3632"/>
  <c r="U28" i="3603"/>
  <c r="F30" i="3603"/>
  <c r="F18" i="3616"/>
  <c r="E18" i="3616" s="1"/>
  <c r="D18" i="3616" s="1"/>
  <c r="C18" i="3616" s="1"/>
  <c r="B18" i="3616" s="1"/>
  <c r="E3" i="3589"/>
  <c r="F28" i="3603"/>
  <c r="S29" i="3603"/>
  <c r="Q30" i="3603"/>
  <c r="T29" i="3603"/>
  <c r="C11" i="3"/>
  <c r="R30" i="3603"/>
  <c r="E30" i="3603"/>
  <c r="J16" i="3584"/>
  <c r="M86" i="3632"/>
  <c r="M85" i="3632"/>
  <c r="M4" i="3632" s="1"/>
  <c r="M45" i="3632"/>
  <c r="M3" i="3632" s="1"/>
  <c r="M46" i="3632"/>
  <c r="T30" i="3603"/>
  <c r="T28" i="3603"/>
  <c r="E26" i="3597"/>
  <c r="F23" i="2"/>
  <c r="F36" i="3589" s="1"/>
  <c r="F37" i="3589" s="1"/>
  <c r="G23" i="2"/>
  <c r="G36" i="3589" s="1"/>
  <c r="G37" i="3589" s="1"/>
  <c r="I67" i="3584"/>
  <c r="D3" i="3589"/>
  <c r="B14" i="3622"/>
  <c r="H48" i="3622"/>
  <c r="B64" i="3622" s="1"/>
  <c r="H51" i="3589"/>
  <c r="H21" i="3622"/>
  <c r="F3" i="3589"/>
  <c r="R29" i="3603"/>
  <c r="S30" i="3603"/>
  <c r="R28" i="3603"/>
  <c r="P29" i="3603"/>
  <c r="P30" i="3603"/>
  <c r="U29" i="3603"/>
  <c r="C38" i="3597"/>
  <c r="C42" i="3597" s="1"/>
  <c r="C43" i="3597" s="1"/>
  <c r="D26" i="3597"/>
  <c r="D27" i="3597" s="1"/>
  <c r="D11" i="2556" s="1"/>
  <c r="F29" i="3603"/>
  <c r="D28" i="3603"/>
  <c r="Q29" i="3603"/>
  <c r="C20" i="3597"/>
  <c r="J55" i="3584"/>
  <c r="J53" i="3584"/>
  <c r="E38" i="3597"/>
  <c r="D38" i="3597"/>
  <c r="D42" i="3597" s="1"/>
  <c r="D43" i="3597" s="1"/>
  <c r="D35" i="3589" s="1"/>
  <c r="C53" i="3597"/>
  <c r="I128" i="3598"/>
  <c r="D24" i="3617" s="1"/>
  <c r="C24" i="3617" s="1"/>
  <c r="H27" i="3617" s="1"/>
  <c r="A68" i="3616"/>
  <c r="A67" i="3616" s="1"/>
  <c r="A66" i="3616" s="1"/>
  <c r="A65" i="3616" s="1"/>
  <c r="A64" i="3616" s="1"/>
  <c r="I66" i="3584"/>
  <c r="H27" i="3597"/>
  <c r="H11" i="2556" s="1"/>
  <c r="D60" i="3617"/>
  <c r="D10" i="3590"/>
  <c r="D15" i="3590" s="1"/>
  <c r="B15" i="3590" s="1"/>
  <c r="D3" i="3617"/>
  <c r="D41" i="3617"/>
  <c r="I1" i="3"/>
  <c r="J2" i="2"/>
  <c r="D80" i="3617"/>
  <c r="I1" i="3584"/>
  <c r="I1" i="2556"/>
  <c r="J6" i="188"/>
  <c r="D22" i="3617"/>
  <c r="C2" i="3622"/>
  <c r="C34" i="3622" s="1"/>
  <c r="C56" i="3622" s="1"/>
  <c r="I2" i="3622"/>
  <c r="I24" i="3622" s="1"/>
  <c r="I1" i="3589"/>
  <c r="G29" i="3603"/>
  <c r="G30" i="3603"/>
  <c r="G28" i="3603"/>
  <c r="L30" i="3603"/>
  <c r="L28" i="3603"/>
  <c r="L29" i="3603"/>
  <c r="N29" i="3603"/>
  <c r="N28" i="3603"/>
  <c r="N30" i="3603"/>
  <c r="B36" i="3622"/>
  <c r="G6" i="3607"/>
  <c r="C28" i="3603"/>
  <c r="D30" i="3603"/>
  <c r="C30" i="3603"/>
  <c r="D51" i="3589"/>
  <c r="D23" i="2"/>
  <c r="D36" i="3589" s="1"/>
  <c r="D37" i="3589" s="1"/>
  <c r="I29" i="3603"/>
  <c r="I30" i="3603"/>
  <c r="I28" i="3603"/>
  <c r="S52" i="3589"/>
  <c r="S61" i="3589" s="1"/>
  <c r="F26" i="3597"/>
  <c r="J30" i="3603"/>
  <c r="J29" i="3603"/>
  <c r="J28" i="3603"/>
  <c r="H30" i="3603"/>
  <c r="H29" i="3603"/>
  <c r="H28" i="3603"/>
  <c r="H25" i="3589"/>
  <c r="A23" i="3616"/>
  <c r="A22" i="3616" s="1"/>
  <c r="A21" i="3616" s="1"/>
  <c r="A20" i="3616" s="1"/>
  <c r="A19" i="3616" s="1"/>
  <c r="A25" i="3616"/>
  <c r="A26" i="3616" s="1"/>
  <c r="A27" i="3616" s="1"/>
  <c r="A28" i="3616" s="1"/>
  <c r="A29" i="3616" s="1"/>
  <c r="A40" i="3616"/>
  <c r="A41" i="3616" s="1"/>
  <c r="A42" i="3616" s="1"/>
  <c r="A43" i="3616" s="1"/>
  <c r="A44" i="3616" s="1"/>
  <c r="A38" i="3616"/>
  <c r="A37" i="3616" s="1"/>
  <c r="A36" i="3616" s="1"/>
  <c r="A35" i="3616" s="1"/>
  <c r="A34" i="3616" s="1"/>
  <c r="H3" i="3589"/>
  <c r="J29" i="3645" s="1"/>
  <c r="O30" i="3603"/>
  <c r="O28" i="3603"/>
  <c r="O29" i="3603"/>
  <c r="I129" i="3598"/>
  <c r="D43" i="3617" s="1"/>
  <c r="B19" i="3622"/>
  <c r="E23" i="2"/>
  <c r="E36" i="3589" s="1"/>
  <c r="E37" i="3589" s="1"/>
  <c r="M28" i="3603"/>
  <c r="M30" i="3603"/>
  <c r="M29" i="3603"/>
  <c r="J44" i="3645"/>
  <c r="K30" i="3603"/>
  <c r="K29" i="3603"/>
  <c r="K28" i="3603"/>
  <c r="C90" i="3584" l="1"/>
  <c r="J14" i="3584"/>
  <c r="D6" i="2556"/>
  <c r="D11" i="2"/>
  <c r="I11" i="2" s="1"/>
  <c r="D10" i="2"/>
  <c r="J113" i="2"/>
  <c r="D1" i="3597"/>
  <c r="J7" i="3"/>
  <c r="L8" i="3645" s="1"/>
  <c r="J12" i="3"/>
  <c r="L10" i="3645" s="1"/>
  <c r="I7" i="3"/>
  <c r="K8" i="3645" s="1"/>
  <c r="H38" i="3622"/>
  <c r="I52" i="2556"/>
  <c r="J136" i="2"/>
  <c r="J52" i="2556" s="1"/>
  <c r="O14" i="3"/>
  <c r="I33" i="3"/>
  <c r="J54" i="2556" s="1"/>
  <c r="I78" i="3584"/>
  <c r="D26" i="3645" s="1"/>
  <c r="I53" i="2556"/>
  <c r="J3" i="3"/>
  <c r="K2" i="3"/>
  <c r="J21" i="3"/>
  <c r="L17" i="3645" s="1"/>
  <c r="I21" i="3"/>
  <c r="K17" i="3645" s="1"/>
  <c r="G62" i="3589"/>
  <c r="J51" i="3645"/>
  <c r="C66" i="3645" s="1"/>
  <c r="K62" i="3589"/>
  <c r="I62" i="3589"/>
  <c r="H62" i="3589"/>
  <c r="J52" i="3645"/>
  <c r="C67" i="3645" s="1"/>
  <c r="I51" i="3645"/>
  <c r="J62" i="3589"/>
  <c r="I52" i="3645"/>
  <c r="B67" i="3645" s="1"/>
  <c r="I20" i="3"/>
  <c r="K16" i="3645" s="1"/>
  <c r="I74" i="3584"/>
  <c r="C24" i="3622" s="1"/>
  <c r="J145" i="2"/>
  <c r="L2" i="3645"/>
  <c r="L27" i="3645" s="1"/>
  <c r="E2" i="3645"/>
  <c r="E35" i="3645" s="1"/>
  <c r="E57" i="3645" s="1"/>
  <c r="C59" i="3645"/>
  <c r="J42" i="3622"/>
  <c r="K3" i="3645"/>
  <c r="I51" i="2556"/>
  <c r="AF98" i="3632"/>
  <c r="AG97" i="3632"/>
  <c r="AG96" i="3632"/>
  <c r="AF95" i="3632"/>
  <c r="AI94" i="3632"/>
  <c r="AF93" i="3632"/>
  <c r="AG92" i="3632"/>
  <c r="AG91" i="3632"/>
  <c r="AG90" i="3632"/>
  <c r="J99" i="2"/>
  <c r="K99" i="2" s="1"/>
  <c r="L99" i="2" s="1"/>
  <c r="M99" i="2" s="1"/>
  <c r="N99" i="2" s="1"/>
  <c r="O99" i="2" s="1"/>
  <c r="P99" i="2" s="1"/>
  <c r="Q99" i="2" s="1"/>
  <c r="R99" i="2" s="1"/>
  <c r="S99" i="2" s="1"/>
  <c r="T99" i="2" s="1"/>
  <c r="U99" i="2" s="1"/>
  <c r="V99" i="2" s="1"/>
  <c r="W99" i="2" s="1"/>
  <c r="X99" i="2" s="1"/>
  <c r="Y99" i="2" s="1"/>
  <c r="Z99" i="2" s="1"/>
  <c r="AA99" i="2" s="1"/>
  <c r="AB99" i="2" s="1"/>
  <c r="AC99" i="2" s="1"/>
  <c r="AD99" i="2" s="1"/>
  <c r="AE99" i="2" s="1"/>
  <c r="AF99" i="2" s="1"/>
  <c r="AG99" i="2" s="1"/>
  <c r="AH99" i="2" s="1"/>
  <c r="AI99" i="2" s="1"/>
  <c r="AJ99" i="2" s="1"/>
  <c r="AK99" i="2" s="1"/>
  <c r="AL99" i="2" s="1"/>
  <c r="B6" i="188"/>
  <c r="J90" i="2"/>
  <c r="K90" i="2" s="1"/>
  <c r="L90" i="2" s="1"/>
  <c r="M90" i="2" s="1"/>
  <c r="N90" i="2" s="1"/>
  <c r="O90" i="2" s="1"/>
  <c r="P90" i="2" s="1"/>
  <c r="Q90" i="2" s="1"/>
  <c r="R90" i="2" s="1"/>
  <c r="S90" i="2" s="1"/>
  <c r="T90" i="2" s="1"/>
  <c r="U90" i="2" s="1"/>
  <c r="V90" i="2" s="1"/>
  <c r="W90" i="2" s="1"/>
  <c r="X90" i="2" s="1"/>
  <c r="Y90" i="2" s="1"/>
  <c r="Z90" i="2" s="1"/>
  <c r="AA90" i="2" s="1"/>
  <c r="AB90" i="2" s="1"/>
  <c r="AC90" i="2" s="1"/>
  <c r="AD90" i="2" s="1"/>
  <c r="AE90" i="2" s="1"/>
  <c r="AF90" i="2" s="1"/>
  <c r="AG90" i="2" s="1"/>
  <c r="AH90" i="2" s="1"/>
  <c r="AI90" i="2" s="1"/>
  <c r="AJ90" i="2" s="1"/>
  <c r="AK90" i="2" s="1"/>
  <c r="AL90" i="2" s="1"/>
  <c r="B4" i="188"/>
  <c r="J95" i="2"/>
  <c r="K95" i="2" s="1"/>
  <c r="L95" i="2" s="1"/>
  <c r="M95" i="2" s="1"/>
  <c r="N95" i="2" s="1"/>
  <c r="O95" i="2" s="1"/>
  <c r="P95" i="2" s="1"/>
  <c r="Q95" i="2" s="1"/>
  <c r="R95" i="2" s="1"/>
  <c r="S95" i="2" s="1"/>
  <c r="T95" i="2" s="1"/>
  <c r="U95" i="2" s="1"/>
  <c r="V95" i="2" s="1"/>
  <c r="W95" i="2" s="1"/>
  <c r="X95" i="2" s="1"/>
  <c r="Y95" i="2" s="1"/>
  <c r="Z95" i="2" s="1"/>
  <c r="AA95" i="2" s="1"/>
  <c r="AB95" i="2" s="1"/>
  <c r="AC95" i="2" s="1"/>
  <c r="AD95" i="2" s="1"/>
  <c r="AE95" i="2" s="1"/>
  <c r="AF95" i="2" s="1"/>
  <c r="AG95" i="2" s="1"/>
  <c r="AH95" i="2" s="1"/>
  <c r="AI95" i="2" s="1"/>
  <c r="AJ95" i="2" s="1"/>
  <c r="AK95" i="2" s="1"/>
  <c r="AL95" i="2" s="1"/>
  <c r="B5" i="188"/>
  <c r="C30" i="3606"/>
  <c r="J1" i="3597"/>
  <c r="C58" i="3606"/>
  <c r="K51" i="3632"/>
  <c r="K89" i="3632" s="1"/>
  <c r="L2" i="3632"/>
  <c r="K11" i="3632"/>
  <c r="H36" i="3589"/>
  <c r="H37" i="3589" s="1"/>
  <c r="I29" i="3584"/>
  <c r="I17" i="3"/>
  <c r="I43" i="3584"/>
  <c r="B42" i="3622"/>
  <c r="J126" i="188"/>
  <c r="R5" i="3635"/>
  <c r="R3" i="3635"/>
  <c r="H44" i="3622"/>
  <c r="B63" i="3622" s="1"/>
  <c r="H41" i="3622"/>
  <c r="H26" i="3622"/>
  <c r="B58" i="3622" s="1"/>
  <c r="I29" i="2556"/>
  <c r="R4" i="3635"/>
  <c r="N7" i="3598"/>
  <c r="D1" i="3598"/>
  <c r="D1" i="3630" s="1"/>
  <c r="E1" i="3589"/>
  <c r="E1" i="2556"/>
  <c r="E1" i="3"/>
  <c r="E1" i="3584"/>
  <c r="E56" i="2556"/>
  <c r="E57" i="2556" s="1"/>
  <c r="J120" i="188"/>
  <c r="I27" i="3584"/>
  <c r="C34" i="3"/>
  <c r="J5" i="3607"/>
  <c r="E42" i="3597"/>
  <c r="E43" i="3597" s="1"/>
  <c r="E35" i="3589" s="1"/>
  <c r="K120" i="188"/>
  <c r="K126" i="188"/>
  <c r="M7" i="3632"/>
  <c r="I55" i="2556"/>
  <c r="J4" i="3607"/>
  <c r="I17" i="3584"/>
  <c r="I127" i="3598"/>
  <c r="D5" i="3617" s="1"/>
  <c r="C5" i="3617" s="1"/>
  <c r="H8" i="3617" s="1"/>
  <c r="J17" i="3584"/>
  <c r="B8" i="3590"/>
  <c r="K55" i="3622" s="1"/>
  <c r="K16" i="3584"/>
  <c r="D17" i="3597"/>
  <c r="I42" i="3622"/>
  <c r="F17" i="3597"/>
  <c r="I25" i="3584"/>
  <c r="F27" i="3597"/>
  <c r="F11" i="2556" s="1"/>
  <c r="I65" i="3584"/>
  <c r="M8" i="3632"/>
  <c r="N46" i="3632"/>
  <c r="N45" i="3632"/>
  <c r="N3" i="3632" s="1"/>
  <c r="N85" i="3632"/>
  <c r="N4" i="3632" s="1"/>
  <c r="N86" i="3632"/>
  <c r="I51" i="3584"/>
  <c r="J139" i="3589" s="1"/>
  <c r="I36" i="3584"/>
  <c r="I25" i="3597" s="1"/>
  <c r="J43" i="3584"/>
  <c r="K55" i="3584"/>
  <c r="I37" i="3597"/>
  <c r="I49" i="2556"/>
  <c r="J4" i="3584"/>
  <c r="J47" i="3597" s="1"/>
  <c r="K4" i="3584"/>
  <c r="I4" i="3584"/>
  <c r="I23" i="3584"/>
  <c r="K21" i="3"/>
  <c r="M17" i="3645" s="1"/>
  <c r="D46" i="3589"/>
  <c r="D32" i="3589"/>
  <c r="E46" i="3589"/>
  <c r="E32" i="3589"/>
  <c r="I64" i="3584"/>
  <c r="J17" i="3"/>
  <c r="E17" i="3597"/>
  <c r="E27" i="3597"/>
  <c r="E11" i="2556" s="1"/>
  <c r="H17" i="3597"/>
  <c r="E24" i="3617"/>
  <c r="F24" i="3617"/>
  <c r="G27" i="3597"/>
  <c r="G11" i="2556" s="1"/>
  <c r="G17" i="3597"/>
  <c r="K53" i="3584"/>
  <c r="G8" i="3607"/>
  <c r="I12" i="2556"/>
  <c r="C43" i="3617"/>
  <c r="H46" i="3617" s="1"/>
  <c r="E43" i="3617"/>
  <c r="F43" i="3617" s="1"/>
  <c r="I58" i="3584"/>
  <c r="J55" i="2556"/>
  <c r="I37" i="3584"/>
  <c r="J64" i="3584"/>
  <c r="K17" i="3584"/>
  <c r="I14" i="3"/>
  <c r="J65" i="3584"/>
  <c r="K17" i="3"/>
  <c r="J36" i="3584"/>
  <c r="J25" i="3597" s="1"/>
  <c r="I48" i="2556"/>
  <c r="I36" i="3597"/>
  <c r="I3" i="3589"/>
  <c r="K29" i="3645" s="1"/>
  <c r="I16" i="3"/>
  <c r="A8" i="188"/>
  <c r="A40" i="188"/>
  <c r="A72" i="188"/>
  <c r="I25" i="3589"/>
  <c r="J25" i="3584"/>
  <c r="K44" i="3645"/>
  <c r="T52" i="3589"/>
  <c r="T61" i="3589" s="1"/>
  <c r="I6" i="3607"/>
  <c r="J6" i="3607" s="1"/>
  <c r="I35" i="3584"/>
  <c r="E60" i="3617"/>
  <c r="E80" i="3617"/>
  <c r="J1" i="2556"/>
  <c r="E41" i="3617"/>
  <c r="J2" i="3622"/>
  <c r="J24" i="3622" s="1"/>
  <c r="J1" i="3"/>
  <c r="E3" i="3617"/>
  <c r="E10" i="3590"/>
  <c r="K2" i="2"/>
  <c r="J1" i="3584"/>
  <c r="K6" i="188"/>
  <c r="E22" i="3617"/>
  <c r="J1" i="3589"/>
  <c r="D2" i="3622"/>
  <c r="D34" i="3622" s="1"/>
  <c r="D56" i="3622" s="1"/>
  <c r="J20" i="3"/>
  <c r="G27" i="3617"/>
  <c r="I27" i="3617"/>
  <c r="J66" i="3584"/>
  <c r="R23" i="3635"/>
  <c r="K14" i="3584" l="1"/>
  <c r="D58" i="3645"/>
  <c r="D25" i="3645"/>
  <c r="J11" i="2"/>
  <c r="I13" i="3"/>
  <c r="I6" i="2556" s="1"/>
  <c r="K12" i="3"/>
  <c r="M10" i="3645" s="1"/>
  <c r="I154" i="2"/>
  <c r="K3" i="3"/>
  <c r="K7" i="3"/>
  <c r="M8" i="3645" s="1"/>
  <c r="I35" i="2556"/>
  <c r="C25" i="3622"/>
  <c r="D53" i="3590"/>
  <c r="I14" i="3622"/>
  <c r="I113" i="3589"/>
  <c r="J78" i="3584"/>
  <c r="E26" i="3645" s="1"/>
  <c r="J53" i="2556"/>
  <c r="I13" i="3622"/>
  <c r="J14" i="3622"/>
  <c r="K136" i="2"/>
  <c r="K52" i="2556" s="1"/>
  <c r="J33" i="3"/>
  <c r="J74" i="3584"/>
  <c r="B65" i="3645"/>
  <c r="C65" i="3645"/>
  <c r="K153" i="2"/>
  <c r="K145" i="2"/>
  <c r="B52" i="3645"/>
  <c r="C52" i="3645"/>
  <c r="F2" i="3645"/>
  <c r="F35" i="3645" s="1"/>
  <c r="F57" i="3645" s="1"/>
  <c r="M2" i="3645"/>
  <c r="M27" i="3645" s="1"/>
  <c r="K13" i="3645"/>
  <c r="D59" i="3645"/>
  <c r="K12" i="3645"/>
  <c r="D47" i="3622"/>
  <c r="D11" i="3645"/>
  <c r="L16" i="3645"/>
  <c r="C47" i="3622"/>
  <c r="C49" i="3622"/>
  <c r="D50" i="3645"/>
  <c r="C50" i="3622"/>
  <c r="D51" i="3645"/>
  <c r="J51" i="2556"/>
  <c r="AG98" i="3632"/>
  <c r="AH97" i="3632"/>
  <c r="AL97" i="3632" s="1"/>
  <c r="AH96" i="3632"/>
  <c r="AL96" i="3632" s="1"/>
  <c r="AG95" i="3632"/>
  <c r="AJ94" i="3632"/>
  <c r="AG93" i="3632"/>
  <c r="AH92" i="3632"/>
  <c r="AL92" i="3632" s="1"/>
  <c r="AH91" i="3632"/>
  <c r="AL91" i="3632" s="1"/>
  <c r="AH90" i="3632"/>
  <c r="AL90" i="3632" s="1"/>
  <c r="I12" i="3597"/>
  <c r="AL7" i="188"/>
  <c r="AC7" i="188"/>
  <c r="AG7" i="188"/>
  <c r="P7" i="188"/>
  <c r="O7" i="188"/>
  <c r="J7" i="188"/>
  <c r="AM7" i="188"/>
  <c r="N7" i="188"/>
  <c r="AK7" i="188"/>
  <c r="X7" i="188"/>
  <c r="T7" i="188"/>
  <c r="AE7" i="188"/>
  <c r="R7" i="188"/>
  <c r="AH7" i="188"/>
  <c r="V7" i="188"/>
  <c r="M7" i="188"/>
  <c r="Q7" i="188"/>
  <c r="AB7" i="188"/>
  <c r="AF7" i="188"/>
  <c r="K7" i="188"/>
  <c r="Z7" i="188"/>
  <c r="S7" i="188"/>
  <c r="AD7" i="188"/>
  <c r="U7" i="188"/>
  <c r="Y7" i="188"/>
  <c r="AJ7" i="188"/>
  <c r="L7" i="188"/>
  <c r="AA7" i="188"/>
  <c r="W7" i="188"/>
  <c r="AI7" i="188"/>
  <c r="J39" i="188"/>
  <c r="N39" i="188"/>
  <c r="Y39" i="188"/>
  <c r="AK39" i="188"/>
  <c r="AJ39" i="188"/>
  <c r="P39" i="188"/>
  <c r="K39" i="188"/>
  <c r="AI39" i="188"/>
  <c r="R39" i="188"/>
  <c r="V39" i="188"/>
  <c r="AG39" i="188"/>
  <c r="Q39" i="188"/>
  <c r="O39" i="188"/>
  <c r="AF39" i="188"/>
  <c r="S39" i="188"/>
  <c r="AM39" i="188"/>
  <c r="Z39" i="188"/>
  <c r="AD39" i="188"/>
  <c r="M39" i="188"/>
  <c r="U39" i="188"/>
  <c r="W39" i="188"/>
  <c r="L39" i="188"/>
  <c r="AA39" i="188"/>
  <c r="AH39" i="188"/>
  <c r="AL39" i="188"/>
  <c r="AC39" i="188"/>
  <c r="T39" i="188"/>
  <c r="AE39" i="188"/>
  <c r="AB39" i="188"/>
  <c r="X39" i="188"/>
  <c r="AA71" i="188"/>
  <c r="AE71" i="188"/>
  <c r="J71" i="188"/>
  <c r="W71" i="188"/>
  <c r="X71" i="188"/>
  <c r="Y71" i="188"/>
  <c r="AF71" i="188"/>
  <c r="AC71" i="188"/>
  <c r="V71" i="188"/>
  <c r="Z71" i="188"/>
  <c r="AL71" i="188"/>
  <c r="R71" i="188"/>
  <c r="S71" i="188"/>
  <c r="AJ71" i="188"/>
  <c r="Q71" i="188"/>
  <c r="P71" i="188"/>
  <c r="T71" i="188"/>
  <c r="AI71" i="188"/>
  <c r="L71" i="188"/>
  <c r="N71" i="188"/>
  <c r="U71" i="188"/>
  <c r="AG71" i="188"/>
  <c r="AH71" i="188"/>
  <c r="K71" i="188"/>
  <c r="O71" i="188"/>
  <c r="AB71" i="188"/>
  <c r="AD71" i="188"/>
  <c r="AM71" i="188"/>
  <c r="AK71" i="188"/>
  <c r="M71" i="188"/>
  <c r="I108" i="3589"/>
  <c r="I106" i="3589"/>
  <c r="D58" i="3606"/>
  <c r="K1" i="3597"/>
  <c r="D30" i="3606"/>
  <c r="C1" i="3598"/>
  <c r="B2" i="3632"/>
  <c r="L51" i="3632"/>
  <c r="L89" i="3632" s="1"/>
  <c r="L11" i="3632"/>
  <c r="M2" i="3632"/>
  <c r="I21" i="2556"/>
  <c r="D45" i="3645" s="1"/>
  <c r="C11" i="3622"/>
  <c r="I51" i="3597"/>
  <c r="J134" i="3589"/>
  <c r="I31" i="3597"/>
  <c r="I42" i="2556"/>
  <c r="I50" i="3597"/>
  <c r="I102" i="3589"/>
  <c r="I104" i="3589"/>
  <c r="J13" i="3622"/>
  <c r="I26" i="3622"/>
  <c r="C58" i="3622" s="1"/>
  <c r="K14" i="3622"/>
  <c r="I41" i="3622"/>
  <c r="D1" i="3589"/>
  <c r="D1" i="2556"/>
  <c r="D1" i="3"/>
  <c r="D1" i="3584"/>
  <c r="I28" i="2556"/>
  <c r="J105" i="3589"/>
  <c r="I105" i="3589"/>
  <c r="I12" i="3584"/>
  <c r="I59" i="3589"/>
  <c r="L120" i="188"/>
  <c r="L126" i="188"/>
  <c r="I19" i="2556"/>
  <c r="I96" i="3589"/>
  <c r="J145" i="3589"/>
  <c r="I145" i="3589"/>
  <c r="I47" i="2556"/>
  <c r="I144" i="3589"/>
  <c r="I24" i="3597"/>
  <c r="I26" i="3597" s="1"/>
  <c r="I27" i="3597" s="1"/>
  <c r="I11" i="2556" s="1"/>
  <c r="I49" i="3597"/>
  <c r="I36" i="3589"/>
  <c r="I37" i="3589" s="1"/>
  <c r="I26" i="2556"/>
  <c r="I4" i="3597"/>
  <c r="E5" i="3617"/>
  <c r="K19" i="2556"/>
  <c r="J26" i="2556"/>
  <c r="J102" i="3589"/>
  <c r="F5" i="3617"/>
  <c r="J19" i="2556"/>
  <c r="K102" i="3589"/>
  <c r="I47" i="3597"/>
  <c r="N8" i="3632"/>
  <c r="O45" i="3632"/>
  <c r="O3" i="3632" s="1"/>
  <c r="O46" i="3632"/>
  <c r="O85" i="3632"/>
  <c r="O4" i="3632" s="1"/>
  <c r="O86" i="3632"/>
  <c r="N7" i="3632"/>
  <c r="J51" i="3584"/>
  <c r="K139" i="3589" s="1"/>
  <c r="J144" i="3589"/>
  <c r="K43" i="3584"/>
  <c r="L4" i="3584"/>
  <c r="L19" i="2556" s="1"/>
  <c r="I33" i="3597"/>
  <c r="L21" i="3"/>
  <c r="K96" i="3589"/>
  <c r="J4" i="3597"/>
  <c r="J23" i="3584"/>
  <c r="J96" i="3589"/>
  <c r="I48" i="3597"/>
  <c r="I24" i="2556"/>
  <c r="J67" i="3584"/>
  <c r="L53" i="3584"/>
  <c r="I17" i="2556"/>
  <c r="I11" i="3622"/>
  <c r="I9" i="2556"/>
  <c r="D40" i="3645" s="1"/>
  <c r="G8" i="3617"/>
  <c r="F8" i="3617" s="1"/>
  <c r="E8" i="3617" s="1"/>
  <c r="D8" i="3617" s="1"/>
  <c r="C8" i="3617" s="1"/>
  <c r="I8" i="3617"/>
  <c r="J8" i="3617" s="1"/>
  <c r="K8" i="3617" s="1"/>
  <c r="L8" i="3617" s="1"/>
  <c r="M8" i="3617" s="1"/>
  <c r="J3" i="3589"/>
  <c r="L29" i="3645" s="1"/>
  <c r="J27" i="3617"/>
  <c r="F27" i="3617"/>
  <c r="J24" i="3597"/>
  <c r="J26" i="3597" s="1"/>
  <c r="J37" i="3584"/>
  <c r="J36" i="2556" s="1"/>
  <c r="J36" i="3589"/>
  <c r="J37" i="3589" s="1"/>
  <c r="I52" i="3597"/>
  <c r="I36" i="2556"/>
  <c r="L16" i="3584"/>
  <c r="J48" i="2556"/>
  <c r="J36" i="3597"/>
  <c r="K55" i="2556"/>
  <c r="L44" i="3645"/>
  <c r="K65" i="3584"/>
  <c r="K145" i="3589" s="1"/>
  <c r="J14" i="3"/>
  <c r="J35" i="3584"/>
  <c r="I4" i="3"/>
  <c r="I54" i="3589"/>
  <c r="D23" i="3617" s="1"/>
  <c r="L3" i="3645"/>
  <c r="I5" i="3"/>
  <c r="I3" i="3622"/>
  <c r="C57" i="3622" s="1"/>
  <c r="I6" i="3"/>
  <c r="K7" i="3645" s="1"/>
  <c r="J105" i="188"/>
  <c r="I11" i="3584"/>
  <c r="D7" i="3645" s="1"/>
  <c r="K134" i="3589"/>
  <c r="J42" i="2556"/>
  <c r="J12" i="3597"/>
  <c r="J31" i="3597"/>
  <c r="U52" i="3589"/>
  <c r="U61" i="3589" s="1"/>
  <c r="K36" i="3584"/>
  <c r="K25" i="3597" s="1"/>
  <c r="I141" i="3589"/>
  <c r="J47" i="2556"/>
  <c r="J33" i="3597"/>
  <c r="K20" i="3"/>
  <c r="F60" i="3617"/>
  <c r="K1" i="2556"/>
  <c r="F41" i="3617"/>
  <c r="K2" i="3622"/>
  <c r="K24" i="3622" s="1"/>
  <c r="L6" i="188"/>
  <c r="F3" i="3617"/>
  <c r="K1" i="3584"/>
  <c r="L2" i="2"/>
  <c r="L1" i="3597" s="1"/>
  <c r="F80" i="3617"/>
  <c r="F10" i="3590"/>
  <c r="F22" i="3617"/>
  <c r="K1" i="3"/>
  <c r="K1" i="3589"/>
  <c r="E2" i="3622"/>
  <c r="E34" i="3622" s="1"/>
  <c r="E56" i="3622" s="1"/>
  <c r="K66" i="3584"/>
  <c r="I7" i="2556"/>
  <c r="I10" i="3622"/>
  <c r="I18" i="2556"/>
  <c r="H5" i="3607"/>
  <c r="K5" i="3607" s="1"/>
  <c r="H7" i="3607"/>
  <c r="K7" i="3607" s="1"/>
  <c r="H4" i="3607"/>
  <c r="K4" i="3607" s="1"/>
  <c r="H6" i="3607"/>
  <c r="L17" i="3584"/>
  <c r="L102" i="3589" s="1"/>
  <c r="I60" i="3597"/>
  <c r="J49" i="3597"/>
  <c r="J16" i="3"/>
  <c r="K64" i="3584"/>
  <c r="K144" i="3589" s="1"/>
  <c r="J58" i="3584"/>
  <c r="J141" i="3589" s="1"/>
  <c r="L17" i="3"/>
  <c r="I46" i="3617"/>
  <c r="J46" i="3617" s="1"/>
  <c r="K46" i="3617" s="1"/>
  <c r="L46" i="3617" s="1"/>
  <c r="M46" i="3617" s="1"/>
  <c r="G46" i="3617"/>
  <c r="F46" i="3617" s="1"/>
  <c r="E46" i="3617" s="1"/>
  <c r="D46" i="3617" s="1"/>
  <c r="C46" i="3617" s="1"/>
  <c r="K47" i="3597"/>
  <c r="K4" i="3597"/>
  <c r="A73" i="188"/>
  <c r="A9" i="188"/>
  <c r="A41" i="188"/>
  <c r="J25" i="3589"/>
  <c r="E15" i="3590"/>
  <c r="J12" i="2556"/>
  <c r="E58" i="3645" l="1"/>
  <c r="K11" i="2"/>
  <c r="J13" i="3"/>
  <c r="J6" i="2556" s="1"/>
  <c r="D25" i="3622"/>
  <c r="C1" i="3584"/>
  <c r="C1" i="3630"/>
  <c r="L153" i="2"/>
  <c r="L145" i="2"/>
  <c r="J35" i="2556"/>
  <c r="J113" i="3589"/>
  <c r="K78" i="3584"/>
  <c r="E25" i="3622" s="1"/>
  <c r="K53" i="2556"/>
  <c r="E49" i="3622"/>
  <c r="F50" i="3645"/>
  <c r="E25" i="3645"/>
  <c r="D24" i="3622"/>
  <c r="K54" i="2556"/>
  <c r="E53" i="3590"/>
  <c r="K74" i="3584"/>
  <c r="L136" i="2"/>
  <c r="K33" i="3"/>
  <c r="E59" i="3645"/>
  <c r="K4" i="3645"/>
  <c r="L13" i="3645"/>
  <c r="M16" i="3645"/>
  <c r="K5" i="3645"/>
  <c r="C44" i="3622"/>
  <c r="I99" i="3589"/>
  <c r="D6" i="3645"/>
  <c r="K6" i="3645"/>
  <c r="L12" i="3645"/>
  <c r="E47" i="3622"/>
  <c r="K42" i="3622"/>
  <c r="D50" i="3622"/>
  <c r="E51" i="3645"/>
  <c r="D49" i="3622"/>
  <c r="E50" i="3645"/>
  <c r="AH98" i="3632"/>
  <c r="AL98" i="3632" s="1"/>
  <c r="AI97" i="3632"/>
  <c r="AI96" i="3632"/>
  <c r="AH95" i="3632"/>
  <c r="AL95" i="3632" s="1"/>
  <c r="AK94" i="3632"/>
  <c r="AH93" i="3632"/>
  <c r="AL93" i="3632" s="1"/>
  <c r="AI92" i="3632"/>
  <c r="AI91" i="3632"/>
  <c r="AI90" i="3632"/>
  <c r="C1" i="3597"/>
  <c r="C1" i="3"/>
  <c r="M51" i="3632"/>
  <c r="M89" i="3632" s="1"/>
  <c r="M11" i="3632"/>
  <c r="N2" i="3632"/>
  <c r="J104" i="3589"/>
  <c r="I6" i="3622"/>
  <c r="J59" i="3589"/>
  <c r="I7" i="3622"/>
  <c r="I5" i="3622"/>
  <c r="I9" i="3622"/>
  <c r="J41" i="3622"/>
  <c r="C39" i="3622"/>
  <c r="J26" i="3622"/>
  <c r="D58" i="3622" s="1"/>
  <c r="K13" i="3622"/>
  <c r="C6" i="3622"/>
  <c r="M120" i="188"/>
  <c r="M126" i="188"/>
  <c r="J27" i="3597"/>
  <c r="J11" i="2556" s="1"/>
  <c r="L55" i="3584"/>
  <c r="L96" i="3589"/>
  <c r="M21" i="3"/>
  <c r="P85" i="3632"/>
  <c r="P4" i="3632" s="1"/>
  <c r="P86" i="3632"/>
  <c r="P46" i="3632"/>
  <c r="P45" i="3632"/>
  <c r="P3" i="3632" s="1"/>
  <c r="O8" i="3632"/>
  <c r="O7" i="3632"/>
  <c r="K51" i="3584"/>
  <c r="L139" i="3589" s="1"/>
  <c r="K67" i="3584"/>
  <c r="J49" i="2556"/>
  <c r="J37" i="3597"/>
  <c r="J48" i="3597"/>
  <c r="J24" i="2556"/>
  <c r="K23" i="3584"/>
  <c r="M53" i="3584"/>
  <c r="B73" i="188"/>
  <c r="K24" i="3597"/>
  <c r="K26" i="3597" s="1"/>
  <c r="K27" i="3597" s="1"/>
  <c r="K11" i="2556" s="1"/>
  <c r="M55" i="3584"/>
  <c r="E27" i="3617"/>
  <c r="K47" i="2556"/>
  <c r="K33" i="3597"/>
  <c r="K48" i="2556"/>
  <c r="K36" i="3597"/>
  <c r="F15" i="3590"/>
  <c r="K42" i="2556"/>
  <c r="K12" i="3597"/>
  <c r="L134" i="3589"/>
  <c r="K31" i="3597"/>
  <c r="C23" i="3617"/>
  <c r="C25" i="3617" s="1"/>
  <c r="D25" i="3617"/>
  <c r="B33" i="3617"/>
  <c r="F33" i="3617" s="1"/>
  <c r="L55" i="2556"/>
  <c r="J17" i="2556"/>
  <c r="J11" i="3622"/>
  <c r="J9" i="2556"/>
  <c r="E40" i="3645" s="1"/>
  <c r="K3" i="3589"/>
  <c r="M29" i="3645" s="1"/>
  <c r="K16" i="3"/>
  <c r="K35" i="3584"/>
  <c r="K35" i="2556" s="1"/>
  <c r="J60" i="3597"/>
  <c r="M16" i="3584"/>
  <c r="K6" i="3607"/>
  <c r="H8" i="3607"/>
  <c r="M17" i="3"/>
  <c r="L66" i="3584"/>
  <c r="I13" i="3589"/>
  <c r="K33" i="3645" s="1"/>
  <c r="I4" i="3622"/>
  <c r="I13" i="3584"/>
  <c r="I48" i="3584"/>
  <c r="I49" i="3584"/>
  <c r="M44" i="3645"/>
  <c r="K12" i="2556"/>
  <c r="J4" i="3"/>
  <c r="M3" i="3645"/>
  <c r="J5" i="3"/>
  <c r="J54" i="3589"/>
  <c r="E23" i="3617" s="1"/>
  <c r="E25" i="3617" s="1"/>
  <c r="J6" i="3"/>
  <c r="L7" i="3645" s="1"/>
  <c r="J3" i="3622"/>
  <c r="D57" i="3622" s="1"/>
  <c r="K105" i="188"/>
  <c r="B41" i="188"/>
  <c r="J11" i="3584"/>
  <c r="E7" i="3645" s="1"/>
  <c r="J12" i="3584"/>
  <c r="E6" i="3645" s="1"/>
  <c r="K36" i="3589"/>
  <c r="K37" i="3589" s="1"/>
  <c r="L20" i="3"/>
  <c r="K37" i="3584"/>
  <c r="K36" i="2556" s="1"/>
  <c r="K14" i="3"/>
  <c r="M17" i="3584"/>
  <c r="L65" i="3584"/>
  <c r="L145" i="3589" s="1"/>
  <c r="L36" i="3584"/>
  <c r="L25" i="3597" s="1"/>
  <c r="V52" i="3589"/>
  <c r="V61" i="3589" s="1"/>
  <c r="C5" i="3622"/>
  <c r="I98" i="3589"/>
  <c r="C7" i="3622"/>
  <c r="I100" i="3589"/>
  <c r="K25" i="3589"/>
  <c r="J52" i="3597"/>
  <c r="B72" i="188"/>
  <c r="K58" i="3584"/>
  <c r="L64" i="3584"/>
  <c r="L144" i="3589" s="1"/>
  <c r="K27" i="3617"/>
  <c r="B40" i="188"/>
  <c r="G10" i="3590"/>
  <c r="L1" i="2556"/>
  <c r="M6" i="188"/>
  <c r="L1" i="3584"/>
  <c r="M2" i="2"/>
  <c r="M1" i="3597" s="1"/>
  <c r="L1" i="3"/>
  <c r="L1" i="3589"/>
  <c r="A42" i="188"/>
  <c r="A10" i="188"/>
  <c r="A74" i="188"/>
  <c r="L47" i="3597"/>
  <c r="L4" i="3597"/>
  <c r="J7" i="2556"/>
  <c r="J10" i="3622"/>
  <c r="J18" i="2556"/>
  <c r="F58" i="3645" l="1"/>
  <c r="L11" i="2"/>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K13" i="3"/>
  <c r="K6" i="2556" s="1"/>
  <c r="L74" i="3584"/>
  <c r="L52" i="2556"/>
  <c r="L78" i="3584"/>
  <c r="L53" i="2556"/>
  <c r="M153" i="2"/>
  <c r="M145" i="2"/>
  <c r="F26" i="3645"/>
  <c r="E50" i="3622"/>
  <c r="F51" i="3645"/>
  <c r="M136" i="2"/>
  <c r="L33" i="3"/>
  <c r="L62" i="3589"/>
  <c r="E24" i="3622"/>
  <c r="F25" i="3645"/>
  <c r="F53" i="3590"/>
  <c r="L54" i="2556"/>
  <c r="D8" i="3645"/>
  <c r="L5" i="3645"/>
  <c r="D62" i="3645"/>
  <c r="M12" i="3645"/>
  <c r="L6" i="3645"/>
  <c r="M13" i="3645"/>
  <c r="F59" i="3645"/>
  <c r="AI98" i="3632"/>
  <c r="AJ97" i="3632"/>
  <c r="AJ96" i="3632"/>
  <c r="AI95" i="3632"/>
  <c r="AI93" i="3632"/>
  <c r="AJ92" i="3632"/>
  <c r="AJ91" i="3632"/>
  <c r="AJ90" i="3632"/>
  <c r="Y73" i="188"/>
  <c r="R73" i="188"/>
  <c r="AA73" i="188"/>
  <c r="L73" i="188"/>
  <c r="AH73" i="188"/>
  <c r="O73" i="188"/>
  <c r="K73" i="188"/>
  <c r="V73" i="188"/>
  <c r="AI73" i="188"/>
  <c r="AK73" i="188"/>
  <c r="AF73" i="188"/>
  <c r="P73" i="188"/>
  <c r="N73" i="188"/>
  <c r="Z73" i="188"/>
  <c r="AL73" i="188"/>
  <c r="AE73" i="188"/>
  <c r="AG73" i="188"/>
  <c r="AB73" i="188"/>
  <c r="Q73" i="188"/>
  <c r="AC73" i="188"/>
  <c r="X73" i="188"/>
  <c r="S73" i="188"/>
  <c r="AD73" i="188"/>
  <c r="AJ73" i="188"/>
  <c r="T73" i="188"/>
  <c r="U73" i="188"/>
  <c r="W73" i="188"/>
  <c r="M73" i="188"/>
  <c r="AM73" i="188"/>
  <c r="P72" i="188"/>
  <c r="L72" i="188"/>
  <c r="M72" i="188"/>
  <c r="U72" i="188"/>
  <c r="AC72" i="188"/>
  <c r="AK72" i="188"/>
  <c r="Q72" i="188"/>
  <c r="Y72" i="188"/>
  <c r="AG72" i="188"/>
  <c r="T72" i="188"/>
  <c r="AB72" i="188"/>
  <c r="AJ72" i="188"/>
  <c r="X72" i="188"/>
  <c r="AF72" i="188"/>
  <c r="K72" i="188"/>
  <c r="S72" i="188"/>
  <c r="AA72" i="188"/>
  <c r="AI72" i="188"/>
  <c r="N72" i="188"/>
  <c r="V72" i="188"/>
  <c r="AD72" i="188"/>
  <c r="AL72" i="188"/>
  <c r="O72" i="188"/>
  <c r="W72" i="188"/>
  <c r="AE72" i="188"/>
  <c r="AM72" i="188"/>
  <c r="J72" i="188"/>
  <c r="J127" i="188" s="1"/>
  <c r="J128" i="188" s="1"/>
  <c r="I34" i="3584" s="1"/>
  <c r="I59" i="3597" s="1"/>
  <c r="R72" i="188"/>
  <c r="AH72" i="188"/>
  <c r="Z72" i="188"/>
  <c r="L40" i="188"/>
  <c r="T40" i="188"/>
  <c r="AB40" i="188"/>
  <c r="AJ40" i="188"/>
  <c r="P40" i="188"/>
  <c r="X40" i="188"/>
  <c r="AF40" i="188"/>
  <c r="W40" i="188"/>
  <c r="AE40" i="188"/>
  <c r="AM40" i="188"/>
  <c r="K40" i="188"/>
  <c r="O40" i="188"/>
  <c r="S40" i="188"/>
  <c r="AA40" i="188"/>
  <c r="AI40" i="188"/>
  <c r="N40" i="188"/>
  <c r="V40" i="188"/>
  <c r="AD40" i="188"/>
  <c r="AL40" i="188"/>
  <c r="J40" i="188"/>
  <c r="J121" i="188" s="1"/>
  <c r="J122" i="188" s="1"/>
  <c r="I33" i="3584" s="1"/>
  <c r="I58" i="3597" s="1"/>
  <c r="R40" i="188"/>
  <c r="Z40" i="188"/>
  <c r="AH40" i="188"/>
  <c r="M40" i="188"/>
  <c r="U40" i="188"/>
  <c r="AC40" i="188"/>
  <c r="AK40" i="188"/>
  <c r="AG40" i="188"/>
  <c r="Q40" i="188"/>
  <c r="Y40" i="188"/>
  <c r="O41" i="188"/>
  <c r="AK41" i="188"/>
  <c r="K41" i="188"/>
  <c r="T41" i="188"/>
  <c r="AC41" i="188"/>
  <c r="V41" i="188"/>
  <c r="AJ41" i="188"/>
  <c r="AA41" i="188"/>
  <c r="Z41" i="188"/>
  <c r="AF41" i="188"/>
  <c r="AM41" i="188"/>
  <c r="W41" i="188"/>
  <c r="Q41" i="188"/>
  <c r="AD41" i="188"/>
  <c r="AI41" i="188"/>
  <c r="S41" i="188"/>
  <c r="AE41" i="188"/>
  <c r="N41" i="188"/>
  <c r="X41" i="188"/>
  <c r="AL41" i="188"/>
  <c r="R41" i="188"/>
  <c r="AB41" i="188"/>
  <c r="M41" i="188"/>
  <c r="U41" i="188"/>
  <c r="AG41" i="188"/>
  <c r="P41" i="188"/>
  <c r="Y41" i="188"/>
  <c r="L41" i="188"/>
  <c r="AH41" i="188"/>
  <c r="N51" i="3632"/>
  <c r="N89" i="3632" s="1"/>
  <c r="N11" i="3632"/>
  <c r="O2" i="3632"/>
  <c r="K113" i="3589"/>
  <c r="J98" i="3589"/>
  <c r="P7" i="3632"/>
  <c r="J9" i="3622"/>
  <c r="J7" i="3622"/>
  <c r="J6" i="3622"/>
  <c r="J5" i="3622"/>
  <c r="I30" i="3622"/>
  <c r="C61" i="3622" s="1"/>
  <c r="K41" i="3622"/>
  <c r="D5" i="3622"/>
  <c r="D39" i="3622"/>
  <c r="K26" i="3622"/>
  <c r="E58" i="3622" s="1"/>
  <c r="J100" i="3589"/>
  <c r="K104" i="3589"/>
  <c r="B74" i="188"/>
  <c r="K59" i="3589"/>
  <c r="N120" i="188"/>
  <c r="N126" i="188"/>
  <c r="L43" i="3584"/>
  <c r="L42" i="2556" s="1"/>
  <c r="M102" i="3589"/>
  <c r="M4" i="3584"/>
  <c r="Q46" i="3632"/>
  <c r="Q45" i="3632"/>
  <c r="Q3" i="3632" s="1"/>
  <c r="Q85" i="3632"/>
  <c r="Q4" i="3632" s="1"/>
  <c r="Q86" i="3632"/>
  <c r="L51" i="3584"/>
  <c r="M139" i="3589" s="1"/>
  <c r="K24" i="2556"/>
  <c r="K48" i="3597"/>
  <c r="K37" i="3597"/>
  <c r="K49" i="2556"/>
  <c r="L67" i="3584"/>
  <c r="L23" i="3584"/>
  <c r="L104" i="3589" s="1"/>
  <c r="N53" i="3584"/>
  <c r="L12" i="2556"/>
  <c r="M1" i="2556"/>
  <c r="N6" i="188"/>
  <c r="H10" i="3590"/>
  <c r="M1" i="3584"/>
  <c r="N2" i="2"/>
  <c r="N1" i="3597" s="1"/>
  <c r="M1" i="3"/>
  <c r="M1" i="3589"/>
  <c r="W52" i="3589"/>
  <c r="W61" i="3589" s="1"/>
  <c r="M36" i="3584"/>
  <c r="M25" i="3597" s="1"/>
  <c r="M66" i="3584"/>
  <c r="D27" i="3617"/>
  <c r="E33" i="3617"/>
  <c r="K7" i="2556"/>
  <c r="K10" i="3622"/>
  <c r="K18" i="2556"/>
  <c r="L48" i="2556"/>
  <c r="L36" i="3597"/>
  <c r="L14" i="3"/>
  <c r="N55" i="3584"/>
  <c r="K12" i="3584"/>
  <c r="F6" i="3645" s="1"/>
  <c r="L37" i="3584"/>
  <c r="L36" i="2556" s="1"/>
  <c r="L58" i="3584"/>
  <c r="L141" i="3589" s="1"/>
  <c r="B32" i="3617"/>
  <c r="K32" i="3617" s="1"/>
  <c r="B34" i="3617"/>
  <c r="H33" i="3617"/>
  <c r="C137" i="3600" s="1"/>
  <c r="G33" i="3617"/>
  <c r="I33" i="3617"/>
  <c r="K141" i="3589"/>
  <c r="I137" i="3589"/>
  <c r="C8" i="3622"/>
  <c r="I101" i="3589"/>
  <c r="L24" i="3597"/>
  <c r="L26" i="3597" s="1"/>
  <c r="L27" i="3597" s="1"/>
  <c r="L11" i="2556" s="1"/>
  <c r="N17" i="3584"/>
  <c r="N4" i="3584"/>
  <c r="M20" i="3"/>
  <c r="K17" i="2556"/>
  <c r="K9" i="2556"/>
  <c r="F40" i="3645" s="1"/>
  <c r="K11" i="3622"/>
  <c r="L25" i="3589"/>
  <c r="L36" i="3589"/>
  <c r="L37" i="3589" s="1"/>
  <c r="M64" i="3584"/>
  <c r="M144" i="3589" s="1"/>
  <c r="M55" i="2556"/>
  <c r="D7" i="3622"/>
  <c r="K54" i="3589"/>
  <c r="F23" i="3617" s="1"/>
  <c r="F25" i="3617" s="1"/>
  <c r="K3" i="3622"/>
  <c r="E57" i="3622" s="1"/>
  <c r="L2" i="3"/>
  <c r="L14" i="3584" s="1"/>
  <c r="K5" i="3"/>
  <c r="K6" i="3"/>
  <c r="M7" i="3645" s="1"/>
  <c r="K11" i="3584"/>
  <c r="F7" i="3645" s="1"/>
  <c r="B42" i="188"/>
  <c r="L105" i="188"/>
  <c r="G15" i="3590"/>
  <c r="M65" i="3584"/>
  <c r="M145" i="3589" s="1"/>
  <c r="M43" i="3584"/>
  <c r="K52" i="3597"/>
  <c r="N17" i="3"/>
  <c r="J33" i="3617"/>
  <c r="D6" i="3622"/>
  <c r="J99" i="3589"/>
  <c r="L47" i="2556"/>
  <c r="L33" i="3597"/>
  <c r="I138" i="3589"/>
  <c r="C18" i="3622"/>
  <c r="I135" i="3589"/>
  <c r="A75" i="188"/>
  <c r="A11" i="188"/>
  <c r="A43" i="188"/>
  <c r="N16" i="3584"/>
  <c r="L35" i="3584"/>
  <c r="K60" i="3597"/>
  <c r="L27" i="3617"/>
  <c r="K33" i="3617"/>
  <c r="L16" i="3"/>
  <c r="L3" i="3589"/>
  <c r="C57" i="3590" l="1"/>
  <c r="D54" i="3590"/>
  <c r="C55" i="3590"/>
  <c r="L13" i="3"/>
  <c r="L6" i="2556" s="1"/>
  <c r="L12" i="3"/>
  <c r="M52" i="2556"/>
  <c r="M74" i="3584"/>
  <c r="M53" i="2556"/>
  <c r="M78" i="3584"/>
  <c r="N153" i="2"/>
  <c r="N53" i="2556" s="1"/>
  <c r="N145" i="2"/>
  <c r="L59" i="3589"/>
  <c r="L7" i="3"/>
  <c r="L35" i="2556"/>
  <c r="G53" i="3590"/>
  <c r="M54" i="2556"/>
  <c r="N136" i="2"/>
  <c r="M33" i="3"/>
  <c r="M62" i="3589"/>
  <c r="D13" i="3645"/>
  <c r="M6" i="3645"/>
  <c r="AJ98" i="3632"/>
  <c r="AK97" i="3632"/>
  <c r="AK96" i="3632"/>
  <c r="AJ95" i="3632"/>
  <c r="AJ93" i="3632"/>
  <c r="AK92" i="3632"/>
  <c r="AK91" i="3632"/>
  <c r="AK90" i="3632"/>
  <c r="Q42" i="188"/>
  <c r="X42" i="188"/>
  <c r="AG42" i="188"/>
  <c r="AH42" i="188"/>
  <c r="AE42" i="188"/>
  <c r="O42" i="188"/>
  <c r="AJ42" i="188"/>
  <c r="T42" i="188"/>
  <c r="AC42" i="188"/>
  <c r="AD42" i="188"/>
  <c r="AA42" i="188"/>
  <c r="R42" i="188"/>
  <c r="AF42" i="188"/>
  <c r="P42" i="188"/>
  <c r="AM42" i="188"/>
  <c r="W42" i="188"/>
  <c r="Z42" i="188"/>
  <c r="AB42" i="188"/>
  <c r="L42" i="188"/>
  <c r="L121" i="188" s="1"/>
  <c r="AK42" i="188"/>
  <c r="AL42" i="188"/>
  <c r="AI42" i="188"/>
  <c r="S42" i="188"/>
  <c r="M42" i="188"/>
  <c r="U42" i="188"/>
  <c r="N42" i="188"/>
  <c r="V42" i="188"/>
  <c r="Y42" i="188"/>
  <c r="N74" i="188"/>
  <c r="V74" i="188"/>
  <c r="O74" i="188"/>
  <c r="Y74" i="188"/>
  <c r="AM74" i="188"/>
  <c r="AJ74" i="188"/>
  <c r="T74" i="188"/>
  <c r="Z74" i="188"/>
  <c r="S74" i="188"/>
  <c r="AK74" i="188"/>
  <c r="U74" i="188"/>
  <c r="AL74" i="188"/>
  <c r="AI74" i="188"/>
  <c r="AF74" i="188"/>
  <c r="P74" i="188"/>
  <c r="AG74" i="188"/>
  <c r="Q74" i="188"/>
  <c r="AH74" i="188"/>
  <c r="AE74" i="188"/>
  <c r="AB74" i="188"/>
  <c r="L74" i="188"/>
  <c r="L127" i="188" s="1"/>
  <c r="R74" i="188"/>
  <c r="AC74" i="188"/>
  <c r="M74" i="188"/>
  <c r="AD74" i="188"/>
  <c r="X74" i="188"/>
  <c r="AA74" i="188"/>
  <c r="W74" i="188"/>
  <c r="O51" i="3632"/>
  <c r="O89" i="3632" s="1"/>
  <c r="O11" i="3632"/>
  <c r="P2" i="3632"/>
  <c r="L113" i="3589"/>
  <c r="I112" i="3589"/>
  <c r="P8" i="3632"/>
  <c r="Q7" i="3632"/>
  <c r="K7" i="3622"/>
  <c r="K9" i="3622"/>
  <c r="K6" i="3622"/>
  <c r="E39" i="3622"/>
  <c r="K99" i="3589"/>
  <c r="K100" i="3589"/>
  <c r="O120" i="188"/>
  <c r="O126" i="188"/>
  <c r="M134" i="3589"/>
  <c r="N21" i="3"/>
  <c r="L12" i="3597"/>
  <c r="K127" i="188"/>
  <c r="L31" i="3597"/>
  <c r="M19" i="2556"/>
  <c r="M96" i="3589"/>
  <c r="N102" i="3589"/>
  <c r="N96" i="3589"/>
  <c r="M47" i="3597"/>
  <c r="N19" i="2556"/>
  <c r="M4" i="3597"/>
  <c r="R86" i="3632"/>
  <c r="R85" i="3632"/>
  <c r="R4" i="3632" s="1"/>
  <c r="Q8" i="3632"/>
  <c r="R45" i="3632"/>
  <c r="R3" i="3632" s="1"/>
  <c r="R46" i="3632"/>
  <c r="M51" i="3584"/>
  <c r="N139" i="3589" s="1"/>
  <c r="L98" i="3589"/>
  <c r="L24" i="2556"/>
  <c r="L48" i="3597"/>
  <c r="M23" i="3584"/>
  <c r="M104" i="3589" s="1"/>
  <c r="L37" i="3597"/>
  <c r="L49" i="2556"/>
  <c r="M67" i="3584"/>
  <c r="K121" i="188"/>
  <c r="O53" i="3584"/>
  <c r="N1" i="3589"/>
  <c r="O6" i="188"/>
  <c r="I10" i="3590"/>
  <c r="N1" i="3584"/>
  <c r="N1" i="2556"/>
  <c r="O2" i="2"/>
  <c r="O1" i="3597" s="1"/>
  <c r="N1" i="3"/>
  <c r="M12" i="2556"/>
  <c r="B35" i="3617"/>
  <c r="L35" i="3617" s="1"/>
  <c r="H34" i="3617"/>
  <c r="G34" i="3617"/>
  <c r="I34" i="3617"/>
  <c r="G137" i="3600" s="1"/>
  <c r="J34" i="3617"/>
  <c r="F34" i="3617"/>
  <c r="N65" i="3584"/>
  <c r="N145" i="3589" s="1"/>
  <c r="N55" i="2556"/>
  <c r="L52" i="3597"/>
  <c r="M47" i="2556"/>
  <c r="M33" i="3597"/>
  <c r="E34" i="3617"/>
  <c r="M36" i="3589"/>
  <c r="M37" i="3589" s="1"/>
  <c r="L34" i="3617"/>
  <c r="L33" i="3617"/>
  <c r="M27" i="3617"/>
  <c r="L32" i="3617"/>
  <c r="L54" i="3589"/>
  <c r="M2" i="3"/>
  <c r="L6" i="3"/>
  <c r="L11" i="3584"/>
  <c r="B43" i="188"/>
  <c r="M105" i="188"/>
  <c r="N20" i="3"/>
  <c r="N36" i="3584"/>
  <c r="N25" i="3597" s="1"/>
  <c r="H15" i="3590"/>
  <c r="A44" i="188"/>
  <c r="A76" i="188"/>
  <c r="A12" i="188"/>
  <c r="O55" i="3584"/>
  <c r="L7" i="2556"/>
  <c r="L18" i="2556"/>
  <c r="M14" i="3"/>
  <c r="N43" i="3584"/>
  <c r="M24" i="3597"/>
  <c r="M26" i="3597" s="1"/>
  <c r="M27" i="3597" s="1"/>
  <c r="M11" i="2556" s="1"/>
  <c r="M58" i="3584"/>
  <c r="M141" i="3589" s="1"/>
  <c r="M3" i="3589"/>
  <c r="K125" i="188"/>
  <c r="I34" i="2556"/>
  <c r="K34" i="3617"/>
  <c r="I33" i="2556"/>
  <c r="C13" i="3622"/>
  <c r="I111" i="3589"/>
  <c r="K119" i="188"/>
  <c r="D32" i="3617"/>
  <c r="D33" i="3617"/>
  <c r="D34" i="3617"/>
  <c r="C27" i="3617"/>
  <c r="B75" i="188"/>
  <c r="L60" i="3597"/>
  <c r="L12" i="3584"/>
  <c r="L99" i="3589" s="1"/>
  <c r="O4" i="3584"/>
  <c r="O96" i="3589" s="1"/>
  <c r="O17" i="3584"/>
  <c r="O17" i="3"/>
  <c r="M42" i="2556"/>
  <c r="M31" i="3597"/>
  <c r="M12" i="3597"/>
  <c r="N134" i="3589"/>
  <c r="B31" i="3617"/>
  <c r="D31" i="3617" s="1"/>
  <c r="H32" i="3617"/>
  <c r="G32" i="3617"/>
  <c r="E137" i="3600" s="1"/>
  <c r="I32" i="3617"/>
  <c r="F32" i="3617"/>
  <c r="J32" i="3617"/>
  <c r="L17" i="2556"/>
  <c r="L9" i="2556"/>
  <c r="M16" i="3"/>
  <c r="E5" i="3622"/>
  <c r="K98" i="3589"/>
  <c r="M37" i="3584"/>
  <c r="E6" i="3622"/>
  <c r="N64" i="3584"/>
  <c r="N144" i="3589" s="1"/>
  <c r="E7" i="3622"/>
  <c r="N66" i="3584"/>
  <c r="O21" i="3"/>
  <c r="M35" i="3584"/>
  <c r="N47" i="3597"/>
  <c r="N4" i="3597"/>
  <c r="M25" i="3589"/>
  <c r="E32" i="3617"/>
  <c r="M48" i="2556"/>
  <c r="M36" i="3597"/>
  <c r="O16" i="3584"/>
  <c r="M13" i="3" l="1"/>
  <c r="M6" i="2556" s="1"/>
  <c r="M14" i="3584"/>
  <c r="M12" i="3"/>
  <c r="N52" i="2556"/>
  <c r="N74" i="3584"/>
  <c r="N78" i="3584"/>
  <c r="O153" i="2"/>
  <c r="O145" i="2"/>
  <c r="M59" i="3589"/>
  <c r="M7" i="3"/>
  <c r="M35" i="2556"/>
  <c r="H53" i="3590"/>
  <c r="N54" i="2556"/>
  <c r="N33" i="3"/>
  <c r="O136" i="2"/>
  <c r="N62" i="3589"/>
  <c r="AK98" i="3632"/>
  <c r="AK95" i="3632"/>
  <c r="AK93" i="3632"/>
  <c r="AD75" i="188"/>
  <c r="N75" i="188"/>
  <c r="AE75" i="188"/>
  <c r="O75" i="188"/>
  <c r="AB75" i="188"/>
  <c r="Y75" i="188"/>
  <c r="Z75" i="188"/>
  <c r="AA75" i="188"/>
  <c r="X75" i="188"/>
  <c r="AK75" i="188"/>
  <c r="U75" i="188"/>
  <c r="AL75" i="188"/>
  <c r="V75" i="188"/>
  <c r="AM75" i="188"/>
  <c r="W75" i="188"/>
  <c r="AJ75" i="188"/>
  <c r="T75" i="188"/>
  <c r="AG75" i="188"/>
  <c r="Q75" i="188"/>
  <c r="AH75" i="188"/>
  <c r="R75" i="188"/>
  <c r="AI75" i="188"/>
  <c r="S75" i="188"/>
  <c r="AF75" i="188"/>
  <c r="P75" i="188"/>
  <c r="AC75" i="188"/>
  <c r="M75" i="188"/>
  <c r="M127" i="188" s="1"/>
  <c r="AC43" i="188"/>
  <c r="M43" i="188"/>
  <c r="M121" i="188" s="1"/>
  <c r="AL43" i="188"/>
  <c r="V43" i="188"/>
  <c r="AM43" i="188"/>
  <c r="W43" i="188"/>
  <c r="AJ43" i="188"/>
  <c r="T43" i="188"/>
  <c r="Y43" i="188"/>
  <c r="AH43" i="188"/>
  <c r="R43" i="188"/>
  <c r="AI43" i="188"/>
  <c r="S43" i="188"/>
  <c r="AF43" i="188"/>
  <c r="P43" i="188"/>
  <c r="AK43" i="188"/>
  <c r="U43" i="188"/>
  <c r="AD43" i="188"/>
  <c r="N43" i="188"/>
  <c r="AE43" i="188"/>
  <c r="O43" i="188"/>
  <c r="AB43" i="188"/>
  <c r="AG43" i="188"/>
  <c r="Q43" i="188"/>
  <c r="Z43" i="188"/>
  <c r="AA43" i="188"/>
  <c r="X43" i="188"/>
  <c r="P51" i="3632"/>
  <c r="P89" i="3632" s="1"/>
  <c r="P11" i="3632"/>
  <c r="Q2" i="3632"/>
  <c r="M113" i="3589"/>
  <c r="R8" i="3632"/>
  <c r="K128" i="188"/>
  <c r="J34" i="3584" s="1"/>
  <c r="P120" i="188"/>
  <c r="P126" i="188"/>
  <c r="O102" i="3589"/>
  <c r="S46" i="3632"/>
  <c r="S45" i="3632"/>
  <c r="S3" i="3632" s="1"/>
  <c r="S85" i="3632"/>
  <c r="S4" i="3632" s="1"/>
  <c r="S86" i="3632"/>
  <c r="N51" i="3584"/>
  <c r="O139" i="3589" s="1"/>
  <c r="K122" i="188"/>
  <c r="J33" i="3584" s="1"/>
  <c r="J58" i="3597" s="1"/>
  <c r="N67" i="3584"/>
  <c r="M37" i="3597"/>
  <c r="M49" i="2556"/>
  <c r="N23" i="3584"/>
  <c r="N104" i="3589" s="1"/>
  <c r="M24" i="2556"/>
  <c r="M48" i="3597"/>
  <c r="L31" i="3617"/>
  <c r="D35" i="3617"/>
  <c r="M12" i="3584"/>
  <c r="M99" i="3589" s="1"/>
  <c r="N137" i="3600"/>
  <c r="P53" i="3584"/>
  <c r="O64" i="3584"/>
  <c r="O144" i="3589" s="1"/>
  <c r="O47" i="3597"/>
  <c r="O4" i="3597"/>
  <c r="M52" i="3597"/>
  <c r="N3" i="3589"/>
  <c r="N2" i="3"/>
  <c r="M54" i="3589"/>
  <c r="M11" i="3584"/>
  <c r="M100" i="3589" s="1"/>
  <c r="B44" i="188"/>
  <c r="N105" i="188"/>
  <c r="L100" i="3589"/>
  <c r="B30" i="3617"/>
  <c r="H31" i="3617"/>
  <c r="G31" i="3617"/>
  <c r="I31" i="3617"/>
  <c r="J31" i="3617"/>
  <c r="F31" i="3617"/>
  <c r="E31" i="3617"/>
  <c r="K31" i="3617"/>
  <c r="I15" i="3590"/>
  <c r="O66" i="3584"/>
  <c r="N48" i="2556"/>
  <c r="N36" i="3597"/>
  <c r="O65" i="3584"/>
  <c r="O145" i="3589" s="1"/>
  <c r="N24" i="3597"/>
  <c r="N26" i="3597" s="1"/>
  <c r="N27" i="3597" s="1"/>
  <c r="N11" i="2556" s="1"/>
  <c r="N25" i="3589"/>
  <c r="O43" i="3584"/>
  <c r="B36" i="3617"/>
  <c r="C36" i="3617" s="1"/>
  <c r="H35" i="3617"/>
  <c r="I35" i="3617"/>
  <c r="G35" i="3617"/>
  <c r="F35" i="3617"/>
  <c r="J35" i="3617"/>
  <c r="K35" i="3617"/>
  <c r="E35" i="3617"/>
  <c r="M7" i="2556"/>
  <c r="M18" i="2556"/>
  <c r="N14" i="3"/>
  <c r="M31" i="3617"/>
  <c r="M34" i="3617"/>
  <c r="M33" i="3617"/>
  <c r="M35" i="3617"/>
  <c r="M32" i="3617"/>
  <c r="O20" i="3"/>
  <c r="M36" i="2556"/>
  <c r="P17" i="3"/>
  <c r="P21" i="3"/>
  <c r="P4" i="3584"/>
  <c r="P19" i="2556" s="1"/>
  <c r="C31" i="3617"/>
  <c r="C32" i="3617"/>
  <c r="C33" i="3617"/>
  <c r="C35" i="3617"/>
  <c r="C34" i="3617"/>
  <c r="M17" i="2556"/>
  <c r="M9" i="2556"/>
  <c r="P55" i="3584"/>
  <c r="N36" i="3589"/>
  <c r="N37" i="3589" s="1"/>
  <c r="O1" i="3589"/>
  <c r="O1" i="3584"/>
  <c r="P6" i="188"/>
  <c r="J10" i="3590"/>
  <c r="O1" i="2556"/>
  <c r="P2" i="2"/>
  <c r="P1" i="3597" s="1"/>
  <c r="O1" i="3"/>
  <c r="O36" i="3584"/>
  <c r="O25" i="3597" s="1"/>
  <c r="O55" i="2556"/>
  <c r="P16" i="3584"/>
  <c r="N33" i="3597"/>
  <c r="N47" i="2556"/>
  <c r="N37" i="3584"/>
  <c r="N36" i="2556" s="1"/>
  <c r="N58" i="3584"/>
  <c r="N141" i="3589" s="1"/>
  <c r="N42" i="2556"/>
  <c r="N12" i="3597"/>
  <c r="O134" i="3589"/>
  <c r="N31" i="3597"/>
  <c r="N16" i="3"/>
  <c r="N12" i="2556"/>
  <c r="O19" i="2556"/>
  <c r="A45" i="188"/>
  <c r="A77" i="188"/>
  <c r="A13" i="188"/>
  <c r="M60" i="3597"/>
  <c r="N35" i="3584"/>
  <c r="B76" i="188"/>
  <c r="P17" i="3584"/>
  <c r="N13" i="3" l="1"/>
  <c r="N6" i="2556" s="1"/>
  <c r="N14" i="3584"/>
  <c r="N7" i="3"/>
  <c r="N12" i="3"/>
  <c r="J112" i="3589"/>
  <c r="J59" i="3597"/>
  <c r="O52" i="2556"/>
  <c r="O74" i="3584"/>
  <c r="O78" i="3584"/>
  <c r="O53" i="2556"/>
  <c r="P153" i="2"/>
  <c r="P145" i="2"/>
  <c r="N35" i="2556"/>
  <c r="I53" i="3590"/>
  <c r="O54" i="2556"/>
  <c r="O62" i="3589"/>
  <c r="P136" i="2"/>
  <c r="O33" i="3"/>
  <c r="E13" i="3645"/>
  <c r="AJ76" i="188"/>
  <c r="T76" i="188"/>
  <c r="AK76" i="188"/>
  <c r="U76" i="188"/>
  <c r="AH76" i="188"/>
  <c r="R76" i="188"/>
  <c r="AE76" i="188"/>
  <c r="O76" i="188"/>
  <c r="AF76" i="188"/>
  <c r="P76" i="188"/>
  <c r="AG76" i="188"/>
  <c r="Q76" i="188"/>
  <c r="AD76" i="188"/>
  <c r="N76" i="188"/>
  <c r="N127" i="188" s="1"/>
  <c r="AA76" i="188"/>
  <c r="AB76" i="188"/>
  <c r="AC76" i="188"/>
  <c r="Z76" i="188"/>
  <c r="AM76" i="188"/>
  <c r="W76" i="188"/>
  <c r="X76" i="188"/>
  <c r="Y76" i="188"/>
  <c r="AL76" i="188"/>
  <c r="V76" i="188"/>
  <c r="AI76" i="188"/>
  <c r="S76" i="188"/>
  <c r="AE44" i="188"/>
  <c r="AI44" i="188"/>
  <c r="S44" i="188"/>
  <c r="W44" i="188"/>
  <c r="AB44" i="188"/>
  <c r="AC44" i="188"/>
  <c r="Z44" i="188"/>
  <c r="O44" i="188"/>
  <c r="X44" i="188"/>
  <c r="Y44" i="188"/>
  <c r="AL44" i="188"/>
  <c r="V44" i="188"/>
  <c r="AM44" i="188"/>
  <c r="AJ44" i="188"/>
  <c r="T44" i="188"/>
  <c r="AK44" i="188"/>
  <c r="U44" i="188"/>
  <c r="AH44" i="188"/>
  <c r="R44" i="188"/>
  <c r="AA44" i="188"/>
  <c r="AF44" i="188"/>
  <c r="P44" i="188"/>
  <c r="AG44" i="188"/>
  <c r="Q44" i="188"/>
  <c r="AD44" i="188"/>
  <c r="N44" i="188"/>
  <c r="N121" i="188" s="1"/>
  <c r="Q51" i="3632"/>
  <c r="Q89" i="3632" s="1"/>
  <c r="R2" i="3632"/>
  <c r="Q11" i="3632"/>
  <c r="N113" i="3589"/>
  <c r="R7" i="3632"/>
  <c r="L125" i="188"/>
  <c r="L128" i="188" s="1"/>
  <c r="K34" i="3584" s="1"/>
  <c r="J34" i="2556"/>
  <c r="N12" i="3584"/>
  <c r="N99" i="3589" s="1"/>
  <c r="N59" i="3589"/>
  <c r="Q120" i="188"/>
  <c r="Q126" i="188"/>
  <c r="J33" i="2556"/>
  <c r="J111" i="3589"/>
  <c r="P96" i="3589"/>
  <c r="P102" i="3589"/>
  <c r="D13" i="3622"/>
  <c r="M36" i="3617"/>
  <c r="T86" i="3632"/>
  <c r="T85" i="3632"/>
  <c r="T4" i="3632" s="1"/>
  <c r="T45" i="3632"/>
  <c r="T3" i="3632" s="1"/>
  <c r="T46" i="3632"/>
  <c r="S8" i="3632"/>
  <c r="S7" i="3632"/>
  <c r="L119" i="188"/>
  <c r="L122" i="188" s="1"/>
  <c r="K33" i="3584" s="1"/>
  <c r="K58" i="3597" s="1"/>
  <c r="O51" i="3584"/>
  <c r="P139" i="3589" s="1"/>
  <c r="B77" i="188"/>
  <c r="O23" i="3584"/>
  <c r="O104" i="3589" s="1"/>
  <c r="N24" i="2556"/>
  <c r="N48" i="3597"/>
  <c r="O67" i="3584"/>
  <c r="N37" i="3597"/>
  <c r="N49" i="2556"/>
  <c r="Q53" i="3584"/>
  <c r="O36" i="3589"/>
  <c r="O37" i="3589" s="1"/>
  <c r="M98" i="3589"/>
  <c r="P66" i="3584"/>
  <c r="Q4" i="3584"/>
  <c r="Q96" i="3589" s="1"/>
  <c r="P64" i="3584"/>
  <c r="P144" i="3589" s="1"/>
  <c r="P1" i="3589"/>
  <c r="P1" i="2556"/>
  <c r="P1" i="3"/>
  <c r="P1" i="3584"/>
  <c r="Q6" i="188"/>
  <c r="K10" i="3590"/>
  <c r="Q2" i="2"/>
  <c r="Q1" i="3597" s="1"/>
  <c r="B29" i="3617"/>
  <c r="H30" i="3617"/>
  <c r="I30" i="3617"/>
  <c r="G30" i="3617"/>
  <c r="J30" i="3617"/>
  <c r="F30" i="3617"/>
  <c r="E30" i="3617"/>
  <c r="K30" i="3617"/>
  <c r="D30" i="3617"/>
  <c r="L30" i="3617"/>
  <c r="P65" i="3584"/>
  <c r="P145" i="3589" s="1"/>
  <c r="Q55" i="3584"/>
  <c r="O48" i="2556"/>
  <c r="O36" i="3597"/>
  <c r="Q16" i="3584"/>
  <c r="C30" i="3617"/>
  <c r="P55" i="2556"/>
  <c r="N52" i="3597"/>
  <c r="P36" i="3584"/>
  <c r="P25" i="3597" s="1"/>
  <c r="O2" i="3"/>
  <c r="N54" i="3589"/>
  <c r="B45" i="188"/>
  <c r="N11" i="3584"/>
  <c r="N100" i="3589" s="1"/>
  <c r="O105" i="188"/>
  <c r="O3" i="3589"/>
  <c r="P43" i="3584"/>
  <c r="O24" i="3597"/>
  <c r="O26" i="3597" s="1"/>
  <c r="O27" i="3597" s="1"/>
  <c r="O11" i="2556" s="1"/>
  <c r="N9" i="2556"/>
  <c r="N17" i="2556"/>
  <c r="O16" i="3"/>
  <c r="P47" i="3597"/>
  <c r="P4" i="3597"/>
  <c r="Q21" i="3"/>
  <c r="O47" i="2556"/>
  <c r="O33" i="3597"/>
  <c r="Q17" i="3584"/>
  <c r="Q102" i="3589" s="1"/>
  <c r="O37" i="3584"/>
  <c r="O36" i="2556" s="1"/>
  <c r="P20" i="3"/>
  <c r="N60" i="3597"/>
  <c r="O35" i="3584"/>
  <c r="O35" i="2556" s="1"/>
  <c r="O42" i="2556"/>
  <c r="O31" i="3597"/>
  <c r="O12" i="3597"/>
  <c r="P134" i="3589"/>
  <c r="J66" i="3590"/>
  <c r="J54" i="3590"/>
  <c r="J42" i="3590"/>
  <c r="J23" i="3590"/>
  <c r="J83" i="3590"/>
  <c r="J15" i="3590"/>
  <c r="A46" i="188"/>
  <c r="A14" i="188"/>
  <c r="A78" i="188"/>
  <c r="O25" i="3589"/>
  <c r="O12" i="2556"/>
  <c r="M30" i="3617"/>
  <c r="O58" i="3584"/>
  <c r="O141" i="3589" s="1"/>
  <c r="N18" i="2556"/>
  <c r="N7" i="2556"/>
  <c r="B37" i="3617"/>
  <c r="H36" i="3617"/>
  <c r="I36" i="3617"/>
  <c r="G36" i="3617"/>
  <c r="J36" i="3617"/>
  <c r="F36" i="3617"/>
  <c r="E36" i="3617"/>
  <c r="K36" i="3617"/>
  <c r="L36" i="3617"/>
  <c r="D36" i="3617"/>
  <c r="O13" i="3" l="1"/>
  <c r="O6" i="2556" s="1"/>
  <c r="O14" i="3584"/>
  <c r="O12" i="3"/>
  <c r="K34" i="2556"/>
  <c r="K59" i="3597"/>
  <c r="P74" i="3584"/>
  <c r="P52" i="2556"/>
  <c r="P78" i="3584"/>
  <c r="P53" i="2556"/>
  <c r="Q145" i="2"/>
  <c r="Q153" i="2"/>
  <c r="O7" i="3"/>
  <c r="J53" i="3590"/>
  <c r="P54" i="2556"/>
  <c r="P62" i="3589"/>
  <c r="P33" i="3"/>
  <c r="Q136" i="2"/>
  <c r="F13" i="3645"/>
  <c r="AL45" i="188"/>
  <c r="V45" i="188"/>
  <c r="Z45" i="188"/>
  <c r="AD45" i="188"/>
  <c r="AI45" i="188"/>
  <c r="S45" i="188"/>
  <c r="AJ45" i="188"/>
  <c r="T45" i="188"/>
  <c r="AG45" i="188"/>
  <c r="Q45" i="188"/>
  <c r="R45" i="188"/>
  <c r="AE45" i="188"/>
  <c r="O45" i="188"/>
  <c r="O121" i="188" s="1"/>
  <c r="AF45" i="188"/>
  <c r="P45" i="188"/>
  <c r="AC45" i="188"/>
  <c r="AA45" i="188"/>
  <c r="AB45" i="188"/>
  <c r="Y45" i="188"/>
  <c r="AH45" i="188"/>
  <c r="AM45" i="188"/>
  <c r="W45" i="188"/>
  <c r="X45" i="188"/>
  <c r="AK45" i="188"/>
  <c r="U45" i="188"/>
  <c r="AA77" i="188"/>
  <c r="AB77" i="188"/>
  <c r="Y77" i="188"/>
  <c r="AL77" i="188"/>
  <c r="V77" i="188"/>
  <c r="AM77" i="188"/>
  <c r="W77" i="188"/>
  <c r="X77" i="188"/>
  <c r="AK77" i="188"/>
  <c r="U77" i="188"/>
  <c r="AH77" i="188"/>
  <c r="R77" i="188"/>
  <c r="AI77" i="188"/>
  <c r="S77" i="188"/>
  <c r="AJ77" i="188"/>
  <c r="T77" i="188"/>
  <c r="AG77" i="188"/>
  <c r="Q77" i="188"/>
  <c r="AD77" i="188"/>
  <c r="AE77" i="188"/>
  <c r="O77" i="188"/>
  <c r="O127" i="188" s="1"/>
  <c r="AF77" i="188"/>
  <c r="P77" i="188"/>
  <c r="AC77" i="188"/>
  <c r="Z77" i="188"/>
  <c r="O12" i="3584"/>
  <c r="O99" i="3589" s="1"/>
  <c r="R51" i="3632"/>
  <c r="R89" i="3632" s="1"/>
  <c r="R11" i="3632"/>
  <c r="S2" i="3632"/>
  <c r="K112" i="3589"/>
  <c r="O113" i="3589"/>
  <c r="K33" i="2556"/>
  <c r="T7" i="3632"/>
  <c r="M125" i="188"/>
  <c r="M128" i="188" s="1"/>
  <c r="L34" i="3584" s="1"/>
  <c r="O98" i="3589"/>
  <c r="B78" i="188"/>
  <c r="O59" i="3589"/>
  <c r="R120" i="188"/>
  <c r="R126" i="188"/>
  <c r="M119" i="188"/>
  <c r="M122" i="188" s="1"/>
  <c r="L33" i="3584" s="1"/>
  <c r="L58" i="3597" s="1"/>
  <c r="K111" i="3589"/>
  <c r="E13" i="3622"/>
  <c r="U46" i="3632"/>
  <c r="U45" i="3632"/>
  <c r="U3" i="3632" s="1"/>
  <c r="T8" i="3632"/>
  <c r="U86" i="3632"/>
  <c r="U85" i="3632"/>
  <c r="U4" i="3632" s="1"/>
  <c r="P51" i="3584"/>
  <c r="Q139" i="3589" s="1"/>
  <c r="P67" i="3584"/>
  <c r="O37" i="3597"/>
  <c r="O49" i="2556"/>
  <c r="P23" i="3584"/>
  <c r="P104" i="3589" s="1"/>
  <c r="O24" i="2556"/>
  <c r="O48" i="3597"/>
  <c r="N98" i="3589"/>
  <c r="R53" i="3584"/>
  <c r="O9" i="2556"/>
  <c r="O17" i="2556"/>
  <c r="Q47" i="3597"/>
  <c r="Q4" i="3597"/>
  <c r="P12" i="2556"/>
  <c r="P25" i="3589"/>
  <c r="K66" i="3590"/>
  <c r="K54" i="3590"/>
  <c r="K42" i="3590"/>
  <c r="K23" i="3590"/>
  <c r="K83" i="3590"/>
  <c r="K15" i="3590"/>
  <c r="O18" i="2556"/>
  <c r="O7" i="2556"/>
  <c r="R16" i="3584"/>
  <c r="P58" i="3584"/>
  <c r="P141" i="3589" s="1"/>
  <c r="Q64" i="3584"/>
  <c r="Q144" i="3589" s="1"/>
  <c r="P36" i="3597"/>
  <c r="P48" i="2556"/>
  <c r="P24" i="3597"/>
  <c r="P26" i="3597" s="1"/>
  <c r="P27" i="3597" s="1"/>
  <c r="P11" i="2556" s="1"/>
  <c r="Q20" i="3"/>
  <c r="P3" i="3589"/>
  <c r="O52" i="3597"/>
  <c r="A79" i="188"/>
  <c r="A15" i="188"/>
  <c r="A47" i="188"/>
  <c r="B38" i="3617"/>
  <c r="H37" i="3617"/>
  <c r="G37" i="3617"/>
  <c r="I37" i="3617"/>
  <c r="J37" i="3617"/>
  <c r="F37" i="3617"/>
  <c r="E37" i="3617"/>
  <c r="K37" i="3617"/>
  <c r="L37" i="3617"/>
  <c r="D37" i="3617"/>
  <c r="M37" i="3617"/>
  <c r="C37" i="3617"/>
  <c r="P36" i="3589"/>
  <c r="P37" i="3589" s="1"/>
  <c r="P47" i="2556"/>
  <c r="P33" i="3597"/>
  <c r="R4" i="3584"/>
  <c r="R96" i="3589" s="1"/>
  <c r="P42" i="2556"/>
  <c r="P12" i="3597"/>
  <c r="P31" i="3597"/>
  <c r="Q134" i="3589"/>
  <c r="Q1" i="3589"/>
  <c r="Q1" i="2556"/>
  <c r="Q1" i="3584"/>
  <c r="Q1" i="3"/>
  <c r="L10" i="3590"/>
  <c r="R6" i="188"/>
  <c r="R2" i="2"/>
  <c r="R1" i="3597" s="1"/>
  <c r="R17" i="3584"/>
  <c r="Q36" i="3584"/>
  <c r="Q25" i="3597" s="1"/>
  <c r="O60" i="3597"/>
  <c r="P16" i="3"/>
  <c r="R55" i="3584"/>
  <c r="Q66" i="3584"/>
  <c r="Q65" i="3584"/>
  <c r="Q145" i="3589" s="1"/>
  <c r="Q43" i="3584"/>
  <c r="R21" i="3"/>
  <c r="B28" i="3617"/>
  <c r="H29" i="3617"/>
  <c r="G29" i="3617"/>
  <c r="I29" i="3617"/>
  <c r="J29" i="3617"/>
  <c r="F29" i="3617"/>
  <c r="K29" i="3617"/>
  <c r="E29" i="3617"/>
  <c r="L29" i="3617"/>
  <c r="D29" i="3617"/>
  <c r="M29" i="3617"/>
  <c r="C29" i="3617"/>
  <c r="P37" i="3584"/>
  <c r="Q19" i="2556"/>
  <c r="Q55" i="2556"/>
  <c r="P2" i="3"/>
  <c r="O54" i="3589"/>
  <c r="B46" i="188"/>
  <c r="O11" i="3584"/>
  <c r="O100" i="3589" s="1"/>
  <c r="P105" i="188"/>
  <c r="P35" i="3584"/>
  <c r="P13" i="3" l="1"/>
  <c r="P6" i="2556" s="1"/>
  <c r="P14" i="3584"/>
  <c r="P12" i="3"/>
  <c r="L112" i="3589"/>
  <c r="L59" i="3597"/>
  <c r="Q52" i="2556"/>
  <c r="Q74" i="3584"/>
  <c r="Q78" i="3584"/>
  <c r="Q53" i="2556"/>
  <c r="R153" i="2"/>
  <c r="R145" i="2"/>
  <c r="P59" i="3589"/>
  <c r="P7" i="3"/>
  <c r="P35" i="2556"/>
  <c r="Q33" i="3"/>
  <c r="R136" i="2"/>
  <c r="Q62" i="3589"/>
  <c r="Q54" i="2556"/>
  <c r="K53" i="3590"/>
  <c r="AL78" i="188"/>
  <c r="AM78" i="188"/>
  <c r="AK78" i="188"/>
  <c r="S78" i="188"/>
  <c r="T78" i="188"/>
  <c r="Q78" i="188"/>
  <c r="AE78" i="188"/>
  <c r="AG78" i="188"/>
  <c r="AI78" i="188"/>
  <c r="P78" i="188"/>
  <c r="P127" i="188" s="1"/>
  <c r="AF78" i="188"/>
  <c r="AA78" i="188"/>
  <c r="AH78" i="188"/>
  <c r="AC78" i="188"/>
  <c r="AJ78" i="188"/>
  <c r="AB78" i="188"/>
  <c r="X78" i="188"/>
  <c r="V78" i="188"/>
  <c r="AD78" i="188"/>
  <c r="Y78" i="188"/>
  <c r="W78" i="188"/>
  <c r="Z78" i="188"/>
  <c r="U78" i="188"/>
  <c r="R78" i="188"/>
  <c r="AB46" i="188"/>
  <c r="AA46" i="188"/>
  <c r="AK46" i="188"/>
  <c r="AG46" i="188"/>
  <c r="AF46" i="188"/>
  <c r="AE46" i="188"/>
  <c r="R46" i="188"/>
  <c r="AD46" i="188"/>
  <c r="AI46" i="188"/>
  <c r="AC46" i="188"/>
  <c r="Y46" i="188"/>
  <c r="W46" i="188"/>
  <c r="Z46" i="188"/>
  <c r="U46" i="188"/>
  <c r="AL46" i="188"/>
  <c r="AJ46" i="188"/>
  <c r="V46" i="188"/>
  <c r="S46" i="188"/>
  <c r="T46" i="188"/>
  <c r="Q46" i="188"/>
  <c r="X46" i="188"/>
  <c r="AM46" i="188"/>
  <c r="P46" i="188"/>
  <c r="P121" i="188" s="1"/>
  <c r="AH46" i="188"/>
  <c r="S51" i="3632"/>
  <c r="S89" i="3632" s="1"/>
  <c r="S11" i="3632"/>
  <c r="T2" i="3632"/>
  <c r="P113" i="3589"/>
  <c r="U7" i="3632"/>
  <c r="N125" i="188"/>
  <c r="N128" i="188" s="1"/>
  <c r="M34" i="3584" s="1"/>
  <c r="L34" i="2556"/>
  <c r="S120" i="188"/>
  <c r="S126" i="188"/>
  <c r="L111" i="3589"/>
  <c r="N119" i="188"/>
  <c r="N122" i="188" s="1"/>
  <c r="M33" i="3584" s="1"/>
  <c r="L33" i="2556"/>
  <c r="R102" i="3589"/>
  <c r="V85" i="3632"/>
  <c r="V4" i="3632" s="1"/>
  <c r="V86" i="3632"/>
  <c r="V46" i="3632"/>
  <c r="V45" i="3632"/>
  <c r="V3" i="3632" s="1"/>
  <c r="Q51" i="3584"/>
  <c r="R139" i="3589" s="1"/>
  <c r="Q67" i="3584"/>
  <c r="Q23" i="3584"/>
  <c r="Q104" i="3589" s="1"/>
  <c r="P24" i="2556"/>
  <c r="P48" i="3597"/>
  <c r="P49" i="2556"/>
  <c r="P37" i="3597"/>
  <c r="S53" i="3584"/>
  <c r="S55" i="3584"/>
  <c r="S17" i="3584"/>
  <c r="H38" i="3617"/>
  <c r="I38" i="3617"/>
  <c r="G38" i="3617"/>
  <c r="J38" i="3617"/>
  <c r="F38" i="3617"/>
  <c r="E38" i="3617"/>
  <c r="K38" i="3617"/>
  <c r="D38" i="3617"/>
  <c r="L38" i="3617"/>
  <c r="M38" i="3617"/>
  <c r="C38" i="3617"/>
  <c r="P52" i="3597"/>
  <c r="H28" i="3617"/>
  <c r="I28" i="3617"/>
  <c r="G28" i="3617"/>
  <c r="J28" i="3617"/>
  <c r="F28" i="3617"/>
  <c r="E28" i="3617"/>
  <c r="K28" i="3617"/>
  <c r="L28" i="3617"/>
  <c r="D28" i="3617"/>
  <c r="C28" i="3617"/>
  <c r="M28" i="3617"/>
  <c r="Q25" i="3589"/>
  <c r="R66" i="3584"/>
  <c r="L66" i="3590"/>
  <c r="L23" i="3590"/>
  <c r="L54" i="3590"/>
  <c r="L42" i="3590"/>
  <c r="L83" i="3590"/>
  <c r="L15" i="3590"/>
  <c r="R36" i="3584"/>
  <c r="R25" i="3597" s="1"/>
  <c r="R43" i="3584"/>
  <c r="R47" i="3597"/>
  <c r="R4" i="3597"/>
  <c r="R64" i="3584"/>
  <c r="R144" i="3589" s="1"/>
  <c r="Q36" i="3589"/>
  <c r="Q37" i="3589" s="1"/>
  <c r="P54" i="3589"/>
  <c r="Q2" i="3"/>
  <c r="B47" i="188"/>
  <c r="P11" i="3584"/>
  <c r="P100" i="3589" s="1"/>
  <c r="Q105" i="188"/>
  <c r="S16" i="3584"/>
  <c r="R55" i="2556"/>
  <c r="R1" i="2556"/>
  <c r="R1" i="3584"/>
  <c r="R1" i="3"/>
  <c r="M10" i="3590"/>
  <c r="S6" i="188"/>
  <c r="S2" i="2"/>
  <c r="S1" i="3597" s="1"/>
  <c r="R1" i="3589"/>
  <c r="A48" i="188"/>
  <c r="A80" i="188"/>
  <c r="A16" i="188"/>
  <c r="Q37" i="3584"/>
  <c r="Q36" i="2556" s="1"/>
  <c r="P36" i="2556"/>
  <c r="R20" i="3"/>
  <c r="Q35" i="3584"/>
  <c r="B79" i="188"/>
  <c r="Q12" i="2556"/>
  <c r="Q58" i="3584"/>
  <c r="Q141" i="3589" s="1"/>
  <c r="P12" i="3584"/>
  <c r="R65" i="3584"/>
  <c r="R145" i="3589" s="1"/>
  <c r="Q24" i="3597"/>
  <c r="Q26" i="3597" s="1"/>
  <c r="Q27" i="3597" s="1"/>
  <c r="Q11" i="2556" s="1"/>
  <c r="Q36" i="3597"/>
  <c r="Q48" i="2556"/>
  <c r="P9" i="2556"/>
  <c r="P17" i="2556"/>
  <c r="Q3" i="3589"/>
  <c r="P60" i="3597"/>
  <c r="S21" i="3"/>
  <c r="Q42" i="2556"/>
  <c r="R134" i="3589"/>
  <c r="Q12" i="3597"/>
  <c r="Q31" i="3597"/>
  <c r="S4" i="3584"/>
  <c r="S19" i="2556" s="1"/>
  <c r="Q33" i="3597"/>
  <c r="Q47" i="2556"/>
  <c r="R19" i="2556"/>
  <c r="Q13" i="3" l="1"/>
  <c r="Q6" i="2556" s="1"/>
  <c r="Q14" i="3584"/>
  <c r="Q7" i="3"/>
  <c r="Q12" i="3"/>
  <c r="M111" i="3589"/>
  <c r="M58" i="3597"/>
  <c r="M34" i="2556"/>
  <c r="M59" i="3597"/>
  <c r="R74" i="3584"/>
  <c r="R52" i="2556"/>
  <c r="R78" i="3584"/>
  <c r="R53" i="2556"/>
  <c r="S145" i="2"/>
  <c r="S153" i="2"/>
  <c r="Q35" i="2556"/>
  <c r="R62" i="3589"/>
  <c r="S136" i="2"/>
  <c r="R33" i="3"/>
  <c r="L53" i="3590"/>
  <c r="R54" i="2556"/>
  <c r="AE79" i="188"/>
  <c r="AF79" i="188"/>
  <c r="W79" i="188"/>
  <c r="AB79" i="188"/>
  <c r="AD79" i="188"/>
  <c r="AG79" i="188"/>
  <c r="U79" i="188"/>
  <c r="Y79" i="188"/>
  <c r="AM79" i="188"/>
  <c r="S79" i="188"/>
  <c r="X79" i="188"/>
  <c r="Z79" i="188"/>
  <c r="Q79" i="188"/>
  <c r="Q127" i="188" s="1"/>
  <c r="AI79" i="188"/>
  <c r="T79" i="188"/>
  <c r="AL79" i="188"/>
  <c r="V79" i="188"/>
  <c r="AA79" i="188"/>
  <c r="AJ79" i="188"/>
  <c r="AH79" i="188"/>
  <c r="R79" i="188"/>
  <c r="AK79" i="188"/>
  <c r="AC79" i="188"/>
  <c r="AL47" i="188"/>
  <c r="V47" i="188"/>
  <c r="AM47" i="188"/>
  <c r="W47" i="188"/>
  <c r="AK47" i="188"/>
  <c r="U47" i="188"/>
  <c r="AH47" i="188"/>
  <c r="R47" i="188"/>
  <c r="AI47" i="188"/>
  <c r="S47" i="188"/>
  <c r="AD47" i="188"/>
  <c r="Z47" i="188"/>
  <c r="AA47" i="188"/>
  <c r="Y47" i="188"/>
  <c r="AC47" i="188"/>
  <c r="AB47" i="188"/>
  <c r="AE47" i="188"/>
  <c r="Q47" i="188"/>
  <c r="Q121" i="188" s="1"/>
  <c r="AF47" i="188"/>
  <c r="AJ47" i="188"/>
  <c r="X47" i="188"/>
  <c r="AG47" i="188"/>
  <c r="T47" i="188"/>
  <c r="T51" i="3632"/>
  <c r="T89" i="3632" s="1"/>
  <c r="T11" i="3632"/>
  <c r="U2" i="3632"/>
  <c r="Q113" i="3589"/>
  <c r="M112" i="3589"/>
  <c r="U8" i="3632"/>
  <c r="V8" i="3632"/>
  <c r="O125" i="188"/>
  <c r="O128" i="188" s="1"/>
  <c r="N34" i="3584" s="1"/>
  <c r="O119" i="188"/>
  <c r="O122" i="188" s="1"/>
  <c r="N33" i="3584" s="1"/>
  <c r="B80" i="188"/>
  <c r="Q59" i="3589"/>
  <c r="T120" i="188"/>
  <c r="T126" i="188"/>
  <c r="M33" i="2556"/>
  <c r="S96" i="3589"/>
  <c r="S102" i="3589"/>
  <c r="W46" i="3632"/>
  <c r="W45" i="3632"/>
  <c r="W3" i="3632" s="1"/>
  <c r="W86" i="3632"/>
  <c r="W85" i="3632"/>
  <c r="W4" i="3632" s="1"/>
  <c r="R51" i="3584"/>
  <c r="S139" i="3589" s="1"/>
  <c r="R67" i="3584"/>
  <c r="Q24" i="2556"/>
  <c r="Q48" i="3597"/>
  <c r="R23" i="3584"/>
  <c r="R104" i="3589" s="1"/>
  <c r="Q37" i="3597"/>
  <c r="Q49" i="2556"/>
  <c r="T53" i="3584"/>
  <c r="R33" i="3597"/>
  <c r="R47" i="2556"/>
  <c r="A49" i="188"/>
  <c r="A17" i="188"/>
  <c r="A81" i="188"/>
  <c r="M66" i="3590"/>
  <c r="M23" i="3590"/>
  <c r="M54" i="3590"/>
  <c r="M42" i="3590"/>
  <c r="M83" i="3590"/>
  <c r="M15" i="3590"/>
  <c r="S55" i="2556"/>
  <c r="S43" i="3584"/>
  <c r="T16" i="3584"/>
  <c r="R58" i="3584"/>
  <c r="S36" i="3584"/>
  <c r="S25" i="3597" s="1"/>
  <c r="Q60" i="3597"/>
  <c r="R35" i="3584"/>
  <c r="R35" i="2556" s="1"/>
  <c r="R36" i="3597"/>
  <c r="R48" i="2556"/>
  <c r="S66" i="3584"/>
  <c r="T4" i="3584"/>
  <c r="T19" i="2556" s="1"/>
  <c r="S1" i="2556"/>
  <c r="S1" i="3584"/>
  <c r="S1" i="3"/>
  <c r="T2" i="2"/>
  <c r="T1" i="3597" s="1"/>
  <c r="N10" i="3590"/>
  <c r="T6" i="188"/>
  <c r="S1" i="3589"/>
  <c r="R25" i="3589"/>
  <c r="R42" i="2556"/>
  <c r="S134" i="3589"/>
  <c r="R31" i="3597"/>
  <c r="R12" i="3597"/>
  <c r="R3" i="3589"/>
  <c r="R36" i="3589"/>
  <c r="R37" i="3589" s="1"/>
  <c r="T17" i="3584"/>
  <c r="Q54" i="3589"/>
  <c r="R2" i="3"/>
  <c r="B48" i="188"/>
  <c r="R105" i="188"/>
  <c r="Q11" i="3584"/>
  <c r="Q100" i="3589" s="1"/>
  <c r="Q98" i="3589"/>
  <c r="P98" i="3589"/>
  <c r="Q12" i="3584"/>
  <c r="Q99" i="3589" s="1"/>
  <c r="P99" i="3589"/>
  <c r="Q52" i="3597"/>
  <c r="S4" i="3597"/>
  <c r="S47" i="3597"/>
  <c r="S64" i="3584"/>
  <c r="S144" i="3589" s="1"/>
  <c r="R12" i="2556"/>
  <c r="S65" i="3584"/>
  <c r="S145" i="3589" s="1"/>
  <c r="R24" i="3597"/>
  <c r="R26" i="3597" s="1"/>
  <c r="R27" i="3597" s="1"/>
  <c r="R11" i="2556" s="1"/>
  <c r="R37" i="3584"/>
  <c r="R36" i="2556" s="1"/>
  <c r="T55" i="3584"/>
  <c r="R13" i="3" l="1"/>
  <c r="R6" i="2556" s="1"/>
  <c r="R14" i="3584"/>
  <c r="R12" i="3"/>
  <c r="N34" i="2556"/>
  <c r="N59" i="3597"/>
  <c r="N111" i="3589"/>
  <c r="N58" i="3597"/>
  <c r="S52" i="2556"/>
  <c r="S74" i="3584"/>
  <c r="S78" i="3584"/>
  <c r="S53" i="2556"/>
  <c r="T153" i="2"/>
  <c r="T145" i="2"/>
  <c r="R59" i="3589"/>
  <c r="R7" i="3"/>
  <c r="R113" i="3589"/>
  <c r="S54" i="2556"/>
  <c r="M53" i="3590"/>
  <c r="S62" i="3589"/>
  <c r="T136" i="2"/>
  <c r="S33" i="3"/>
  <c r="Y80" i="188"/>
  <c r="Z80" i="188"/>
  <c r="AI80" i="188"/>
  <c r="U80" i="188"/>
  <c r="AD80" i="188"/>
  <c r="AA80" i="188"/>
  <c r="X80" i="188"/>
  <c r="AK80" i="188"/>
  <c r="V80" i="188"/>
  <c r="W80" i="188"/>
  <c r="AJ80" i="188"/>
  <c r="T80" i="188"/>
  <c r="AG80" i="188"/>
  <c r="AL80" i="188"/>
  <c r="R80" i="188"/>
  <c r="R127" i="188" s="1"/>
  <c r="AM80" i="188"/>
  <c r="S80" i="188"/>
  <c r="AF80" i="188"/>
  <c r="AC80" i="188"/>
  <c r="AH80" i="188"/>
  <c r="AE80" i="188"/>
  <c r="AB80" i="188"/>
  <c r="AF48" i="188"/>
  <c r="AG48" i="188"/>
  <c r="AL48" i="188"/>
  <c r="V48" i="188"/>
  <c r="AE48" i="188"/>
  <c r="AB48" i="188"/>
  <c r="AC48" i="188"/>
  <c r="X48" i="188"/>
  <c r="AJ48" i="188"/>
  <c r="T48" i="188"/>
  <c r="AK48" i="188"/>
  <c r="U48" i="188"/>
  <c r="Z48" i="188"/>
  <c r="AI48" i="188"/>
  <c r="S48" i="188"/>
  <c r="Y48" i="188"/>
  <c r="AM48" i="188"/>
  <c r="AH48" i="188"/>
  <c r="AA48" i="188"/>
  <c r="AD48" i="188"/>
  <c r="W48" i="188"/>
  <c r="R48" i="188"/>
  <c r="R121" i="188" s="1"/>
  <c r="U51" i="3632"/>
  <c r="U89" i="3632" s="1"/>
  <c r="U11" i="3632"/>
  <c r="V2" i="3632"/>
  <c r="N112" i="3589"/>
  <c r="V7" i="3632"/>
  <c r="P125" i="188"/>
  <c r="P128" i="188" s="1"/>
  <c r="O34" i="3584" s="1"/>
  <c r="P119" i="188"/>
  <c r="P122" i="188" s="1"/>
  <c r="O33" i="3584" s="1"/>
  <c r="N33" i="2556"/>
  <c r="U120" i="188"/>
  <c r="U126" i="188"/>
  <c r="W7" i="3632"/>
  <c r="W8" i="3632"/>
  <c r="T96" i="3589"/>
  <c r="T102" i="3589"/>
  <c r="X45" i="3632"/>
  <c r="X3" i="3632" s="1"/>
  <c r="X46" i="3632"/>
  <c r="X85" i="3632"/>
  <c r="X4" i="3632" s="1"/>
  <c r="X86" i="3632"/>
  <c r="S51" i="3584"/>
  <c r="T139" i="3589" s="1"/>
  <c r="S67" i="3584"/>
  <c r="S23" i="3584"/>
  <c r="S104" i="3589" s="1"/>
  <c r="R24" i="2556"/>
  <c r="R48" i="3597"/>
  <c r="R37" i="3597"/>
  <c r="R49" i="2556"/>
  <c r="R12" i="3584"/>
  <c r="R99" i="3589" s="1"/>
  <c r="U53" i="3584"/>
  <c r="T64" i="3584"/>
  <c r="T144" i="3589" s="1"/>
  <c r="U16" i="3584"/>
  <c r="S36" i="3589"/>
  <c r="S37" i="3589" s="1"/>
  <c r="T43" i="3584"/>
  <c r="T55" i="2556"/>
  <c r="R141" i="3589"/>
  <c r="N66" i="3590"/>
  <c r="N23" i="3590"/>
  <c r="N42" i="3590"/>
  <c r="N54" i="3590"/>
  <c r="N83" i="3590"/>
  <c r="N15" i="3590"/>
  <c r="T1" i="2556"/>
  <c r="T1" i="3"/>
  <c r="O10" i="3590"/>
  <c r="U6" i="188"/>
  <c r="T1" i="3584"/>
  <c r="T1" i="3589"/>
  <c r="U2" i="2"/>
  <c r="U1" i="3597" s="1"/>
  <c r="S2" i="3"/>
  <c r="R54" i="3589"/>
  <c r="S105" i="188"/>
  <c r="B49" i="188"/>
  <c r="R11" i="3584"/>
  <c r="R100" i="3589" s="1"/>
  <c r="S33" i="3597"/>
  <c r="S47" i="2556"/>
  <c r="S37" i="3584"/>
  <c r="S25" i="3589"/>
  <c r="S24" i="3597"/>
  <c r="S26" i="3597" s="1"/>
  <c r="S27" i="3597" s="1"/>
  <c r="S11" i="2556" s="1"/>
  <c r="T36" i="3584"/>
  <c r="T25" i="3597" s="1"/>
  <c r="U4" i="3584"/>
  <c r="U19" i="2556" s="1"/>
  <c r="T4" i="3597"/>
  <c r="T47" i="3597"/>
  <c r="S36" i="3597"/>
  <c r="S48" i="2556"/>
  <c r="T66" i="3584"/>
  <c r="R60" i="3597"/>
  <c r="S42" i="2556"/>
  <c r="T134" i="3589"/>
  <c r="S31" i="3597"/>
  <c r="S12" i="3597"/>
  <c r="A82" i="188"/>
  <c r="A18" i="188"/>
  <c r="A50" i="188"/>
  <c r="U17" i="3584"/>
  <c r="S35" i="3584"/>
  <c r="S35" i="2556" s="1"/>
  <c r="B81" i="188"/>
  <c r="U55" i="3584"/>
  <c r="S58" i="3584"/>
  <c r="S141" i="3589" s="1"/>
  <c r="R52" i="3597"/>
  <c r="S3" i="3589"/>
  <c r="T65" i="3584"/>
  <c r="T145" i="3589" s="1"/>
  <c r="S12" i="2556"/>
  <c r="S13" i="3" l="1"/>
  <c r="S6" i="2556" s="1"/>
  <c r="S14" i="3584"/>
  <c r="S7" i="3"/>
  <c r="S12" i="3"/>
  <c r="O33" i="2556"/>
  <c r="O58" i="3597"/>
  <c r="O34" i="2556"/>
  <c r="O59" i="3597"/>
  <c r="T74" i="3584"/>
  <c r="T52" i="2556"/>
  <c r="T78" i="3584"/>
  <c r="T53" i="2556"/>
  <c r="U153" i="2"/>
  <c r="U145" i="2"/>
  <c r="S113" i="3589"/>
  <c r="T54" i="2556"/>
  <c r="N53" i="3590"/>
  <c r="T62" i="3589"/>
  <c r="U136" i="2"/>
  <c r="T33" i="3"/>
  <c r="AM81" i="188"/>
  <c r="AJ81" i="188"/>
  <c r="AI81" i="188"/>
  <c r="T81" i="188"/>
  <c r="U81" i="188"/>
  <c r="AH81" i="188"/>
  <c r="X81" i="188"/>
  <c r="AC81" i="188"/>
  <c r="Z81" i="188"/>
  <c r="AL81" i="188"/>
  <c r="S81" i="188"/>
  <c r="S127" i="188" s="1"/>
  <c r="AF81" i="188"/>
  <c r="AK81" i="188"/>
  <c r="Y81" i="188"/>
  <c r="V81" i="188"/>
  <c r="AD81" i="188"/>
  <c r="AG81" i="188"/>
  <c r="AA81" i="188"/>
  <c r="AB81" i="188"/>
  <c r="AE81" i="188"/>
  <c r="W81" i="188"/>
  <c r="AA49" i="188"/>
  <c r="AB49" i="188"/>
  <c r="AJ49" i="188"/>
  <c r="Z49" i="188"/>
  <c r="AM49" i="188"/>
  <c r="W49" i="188"/>
  <c r="X49" i="188"/>
  <c r="AL49" i="188"/>
  <c r="AI49" i="188"/>
  <c r="S49" i="188"/>
  <c r="S121" i="188" s="1"/>
  <c r="AK49" i="188"/>
  <c r="T49" i="188"/>
  <c r="AE49" i="188"/>
  <c r="AD49" i="188"/>
  <c r="AG49" i="188"/>
  <c r="U49" i="188"/>
  <c r="AF49" i="188"/>
  <c r="Y49" i="188"/>
  <c r="AH49" i="188"/>
  <c r="AC49" i="188"/>
  <c r="V49" i="188"/>
  <c r="V51" i="3632"/>
  <c r="V89" i="3632" s="1"/>
  <c r="W2" i="3632"/>
  <c r="V11" i="3632"/>
  <c r="O112" i="3589"/>
  <c r="Q125" i="188"/>
  <c r="Q128" i="188" s="1"/>
  <c r="P34" i="3584" s="1"/>
  <c r="O111" i="3589"/>
  <c r="Q119" i="188"/>
  <c r="Q122" i="188" s="1"/>
  <c r="P33" i="3584" s="1"/>
  <c r="B82" i="188"/>
  <c r="S59" i="3589"/>
  <c r="V120" i="188"/>
  <c r="V126" i="188"/>
  <c r="X7" i="3632"/>
  <c r="U96" i="3589"/>
  <c r="U102" i="3589"/>
  <c r="Y45" i="3632"/>
  <c r="Y3" i="3632" s="1"/>
  <c r="Y46" i="3632"/>
  <c r="Y86" i="3632"/>
  <c r="Y85" i="3632"/>
  <c r="Y4" i="3632" s="1"/>
  <c r="X8" i="3632"/>
  <c r="T51" i="3584"/>
  <c r="U139" i="3589" s="1"/>
  <c r="S24" i="2556"/>
  <c r="S48" i="3597"/>
  <c r="T23" i="3584"/>
  <c r="T104" i="3589" s="1"/>
  <c r="S49" i="2556"/>
  <c r="S37" i="3597"/>
  <c r="T67" i="3584"/>
  <c r="S12" i="3584"/>
  <c r="S99" i="3589" s="1"/>
  <c r="S98" i="3589"/>
  <c r="V53" i="3584"/>
  <c r="V55" i="3584"/>
  <c r="T35" i="3584"/>
  <c r="T25" i="3589"/>
  <c r="T37" i="3584"/>
  <c r="T36" i="2556" s="1"/>
  <c r="T12" i="2556"/>
  <c r="U66" i="3584"/>
  <c r="T24" i="3597"/>
  <c r="T26" i="3597" s="1"/>
  <c r="T27" i="3597" s="1"/>
  <c r="T11" i="2556" s="1"/>
  <c r="V16" i="3584"/>
  <c r="T2" i="3"/>
  <c r="S54" i="3589"/>
  <c r="T105" i="188"/>
  <c r="B50" i="188"/>
  <c r="S11" i="3584"/>
  <c r="A51" i="188"/>
  <c r="A83" i="188"/>
  <c r="A19" i="188"/>
  <c r="O66" i="3590"/>
  <c r="O42" i="3590"/>
  <c r="O23" i="3590"/>
  <c r="O54" i="3590"/>
  <c r="O83" i="3590"/>
  <c r="O15" i="3590"/>
  <c r="S60" i="3597"/>
  <c r="S52" i="3597"/>
  <c r="T36" i="3597"/>
  <c r="T48" i="2556"/>
  <c r="T42" i="2556"/>
  <c r="U134" i="3589"/>
  <c r="T12" i="3597"/>
  <c r="T31" i="3597"/>
  <c r="T36" i="3589"/>
  <c r="T37" i="3589" s="1"/>
  <c r="S36" i="2556"/>
  <c r="T47" i="2556"/>
  <c r="T33" i="3597"/>
  <c r="V4" i="3584"/>
  <c r="V96" i="3589" s="1"/>
  <c r="U4" i="3597"/>
  <c r="U47" i="3597"/>
  <c r="T58" i="3584"/>
  <c r="T141" i="3589" s="1"/>
  <c r="U36" i="3584"/>
  <c r="U25" i="3597" s="1"/>
  <c r="U1" i="3589"/>
  <c r="U1" i="2556"/>
  <c r="U1" i="3"/>
  <c r="P10" i="3590"/>
  <c r="V6" i="188"/>
  <c r="U1" i="3584"/>
  <c r="V2" i="2"/>
  <c r="V1" i="3597" s="1"/>
  <c r="V17" i="3584"/>
  <c r="U55" i="2556"/>
  <c r="U65" i="3584"/>
  <c r="U145" i="3589" s="1"/>
  <c r="U43" i="3584"/>
  <c r="R98" i="3589"/>
  <c r="T3" i="3589"/>
  <c r="U64" i="3584"/>
  <c r="U144" i="3589" s="1"/>
  <c r="T13" i="3" l="1"/>
  <c r="T6" i="2556" s="1"/>
  <c r="T14" i="3584"/>
  <c r="T12" i="3"/>
  <c r="P33" i="2556"/>
  <c r="P58" i="3597"/>
  <c r="P34" i="2556"/>
  <c r="P59" i="3597"/>
  <c r="U74" i="3584"/>
  <c r="U52" i="2556"/>
  <c r="U78" i="3584"/>
  <c r="U53" i="2556"/>
  <c r="V145" i="2"/>
  <c r="V153" i="2"/>
  <c r="T59" i="3589"/>
  <c r="T7" i="3"/>
  <c r="T35" i="2556"/>
  <c r="U54" i="2556"/>
  <c r="O53" i="3590"/>
  <c r="U62" i="3589"/>
  <c r="U33" i="3"/>
  <c r="V136" i="2"/>
  <c r="Z50" i="188"/>
  <c r="AM50" i="188"/>
  <c r="W50" i="188"/>
  <c r="AJ50" i="188"/>
  <c r="AG50" i="188"/>
  <c r="AC50" i="188"/>
  <c r="AL50" i="188"/>
  <c r="V50" i="188"/>
  <c r="AI50" i="188"/>
  <c r="AB50" i="188"/>
  <c r="Y50" i="188"/>
  <c r="AH50" i="188"/>
  <c r="AE50" i="188"/>
  <c r="T50" i="188"/>
  <c r="T121" i="188" s="1"/>
  <c r="AD50" i="188"/>
  <c r="AA50" i="188"/>
  <c r="X50" i="188"/>
  <c r="AK50" i="188"/>
  <c r="U50" i="188"/>
  <c r="AF50" i="188"/>
  <c r="AI82" i="188"/>
  <c r="AM82" i="188"/>
  <c r="W82" i="188"/>
  <c r="AF82" i="188"/>
  <c r="V82" i="188"/>
  <c r="AE82" i="188"/>
  <c r="T82" i="188"/>
  <c r="T127" i="188" s="1"/>
  <c r="Y82" i="188"/>
  <c r="AA82" i="188"/>
  <c r="AJ82" i="188"/>
  <c r="AL82" i="188"/>
  <c r="AK82" i="188"/>
  <c r="AB82" i="188"/>
  <c r="AD82" i="188"/>
  <c r="AC82" i="188"/>
  <c r="AH82" i="188"/>
  <c r="X82" i="188"/>
  <c r="AG82" i="188"/>
  <c r="U82" i="188"/>
  <c r="Z82" i="188"/>
  <c r="W51" i="3632"/>
  <c r="W89" i="3632" s="1"/>
  <c r="W11" i="3632"/>
  <c r="X2" i="3632"/>
  <c r="T113" i="3589"/>
  <c r="P112" i="3589"/>
  <c r="Y7" i="3632"/>
  <c r="R125" i="188"/>
  <c r="R128" i="188" s="1"/>
  <c r="Q34" i="3584" s="1"/>
  <c r="R119" i="188"/>
  <c r="R122" i="188" s="1"/>
  <c r="Q33" i="3584" s="1"/>
  <c r="P111" i="3589"/>
  <c r="W120" i="188"/>
  <c r="W126" i="188"/>
  <c r="V19" i="2556"/>
  <c r="V102" i="3589"/>
  <c r="Z86" i="3632"/>
  <c r="Z85" i="3632"/>
  <c r="Z4" i="3632" s="1"/>
  <c r="Z45" i="3632"/>
  <c r="Z3" i="3632" s="1"/>
  <c r="Z46" i="3632"/>
  <c r="U51" i="3584"/>
  <c r="V139" i="3589" s="1"/>
  <c r="T37" i="3597"/>
  <c r="T49" i="2556"/>
  <c r="U67" i="3584"/>
  <c r="U23" i="3584"/>
  <c r="U104" i="3589" s="1"/>
  <c r="T24" i="2556"/>
  <c r="T48" i="3597"/>
  <c r="W53" i="3584"/>
  <c r="U36" i="3597"/>
  <c r="U48" i="2556"/>
  <c r="V43" i="3584"/>
  <c r="U2" i="3"/>
  <c r="T54" i="3589"/>
  <c r="U105" i="188"/>
  <c r="B51" i="188"/>
  <c r="T11" i="3584"/>
  <c r="T100" i="3589" s="1"/>
  <c r="U35" i="3584"/>
  <c r="A52" i="188"/>
  <c r="A84" i="188"/>
  <c r="A20" i="188"/>
  <c r="P66" i="3590"/>
  <c r="P23" i="3590"/>
  <c r="P15" i="3590"/>
  <c r="P54" i="3590"/>
  <c r="P42" i="3590"/>
  <c r="P83" i="3590"/>
  <c r="U58" i="3584"/>
  <c r="U141" i="3589" s="1"/>
  <c r="V64" i="3584"/>
  <c r="V144" i="3589" s="1"/>
  <c r="V65" i="3584"/>
  <c r="V145" i="3589" s="1"/>
  <c r="V55" i="2556"/>
  <c r="U25" i="3589"/>
  <c r="V1" i="3589"/>
  <c r="V1" i="3"/>
  <c r="V1" i="2556"/>
  <c r="Q10" i="3590"/>
  <c r="W6" i="188"/>
  <c r="V1" i="3584"/>
  <c r="W2" i="2"/>
  <c r="W1" i="3597" s="1"/>
  <c r="V4" i="3597"/>
  <c r="V47" i="3597"/>
  <c r="U3" i="3589"/>
  <c r="U36" i="3589"/>
  <c r="U37" i="3589" s="1"/>
  <c r="U42" i="2556"/>
  <c r="V134" i="3589"/>
  <c r="U12" i="3597"/>
  <c r="U31" i="3597"/>
  <c r="B83" i="188"/>
  <c r="U37" i="3584"/>
  <c r="U36" i="2556" s="1"/>
  <c r="W17" i="3584"/>
  <c r="W102" i="3589" s="1"/>
  <c r="V36" i="3584"/>
  <c r="V25" i="3597" s="1"/>
  <c r="W55" i="3584"/>
  <c r="V66" i="3584"/>
  <c r="U12" i="2556"/>
  <c r="U24" i="3597"/>
  <c r="U26" i="3597" s="1"/>
  <c r="U27" i="3597" s="1"/>
  <c r="U11" i="2556" s="1"/>
  <c r="T52" i="3597"/>
  <c r="T60" i="3597"/>
  <c r="T12" i="3584"/>
  <c r="U47" i="2556"/>
  <c r="U33" i="3597"/>
  <c r="W4" i="3584"/>
  <c r="W19" i="2556" s="1"/>
  <c r="S100" i="3589"/>
  <c r="W16" i="3584"/>
  <c r="U13" i="3" l="1"/>
  <c r="U6" i="2556" s="1"/>
  <c r="U14" i="3584"/>
  <c r="U12" i="3"/>
  <c r="Q34" i="2556"/>
  <c r="Q59" i="3597"/>
  <c r="Q33" i="2556"/>
  <c r="Q58" i="3597"/>
  <c r="V74" i="3584"/>
  <c r="V52" i="2556"/>
  <c r="V78" i="3584"/>
  <c r="V53" i="2556"/>
  <c r="W153" i="2"/>
  <c r="W145" i="2"/>
  <c r="U59" i="3589"/>
  <c r="U7" i="3"/>
  <c r="U113" i="3589"/>
  <c r="U35" i="2556"/>
  <c r="V62" i="3589"/>
  <c r="V33" i="3"/>
  <c r="W136" i="2"/>
  <c r="V54" i="2556"/>
  <c r="P53" i="3590"/>
  <c r="AM51" i="188"/>
  <c r="W51" i="188"/>
  <c r="AJ51" i="188"/>
  <c r="AC51" i="188"/>
  <c r="AI51" i="188"/>
  <c r="AF51" i="188"/>
  <c r="AL51" i="188"/>
  <c r="AE51" i="188"/>
  <c r="AB51" i="188"/>
  <c r="AG51" i="188"/>
  <c r="AD51" i="188"/>
  <c r="AA51" i="188"/>
  <c r="X51" i="188"/>
  <c r="Y51" i="188"/>
  <c r="V51" i="188"/>
  <c r="AK51" i="188"/>
  <c r="Z51" i="188"/>
  <c r="U51" i="188"/>
  <c r="U121" i="188" s="1"/>
  <c r="AH51" i="188"/>
  <c r="AF83" i="188"/>
  <c r="AJ83" i="188"/>
  <c r="AC83" i="188"/>
  <c r="V83" i="188"/>
  <c r="AI83" i="188"/>
  <c r="Z83" i="188"/>
  <c r="U83" i="188"/>
  <c r="U127" i="188" s="1"/>
  <c r="AA83" i="188"/>
  <c r="AH83" i="188"/>
  <c r="AE83" i="188"/>
  <c r="AK83" i="188"/>
  <c r="AL83" i="188"/>
  <c r="W83" i="188"/>
  <c r="AB83" i="188"/>
  <c r="AG83" i="188"/>
  <c r="AD83" i="188"/>
  <c r="X83" i="188"/>
  <c r="Y83" i="188"/>
  <c r="AM83" i="188"/>
  <c r="U12" i="3584"/>
  <c r="U99" i="3589" s="1"/>
  <c r="X51" i="3632"/>
  <c r="X89" i="3632" s="1"/>
  <c r="X11" i="3632"/>
  <c r="Y2" i="3632"/>
  <c r="Q112" i="3589"/>
  <c r="U98" i="3589"/>
  <c r="Y8" i="3632"/>
  <c r="S125" i="188"/>
  <c r="S128" i="188" s="1"/>
  <c r="R34" i="3584" s="1"/>
  <c r="S119" i="188"/>
  <c r="S122" i="188" s="1"/>
  <c r="R33" i="3584" s="1"/>
  <c r="Q111" i="3589"/>
  <c r="X120" i="188"/>
  <c r="X126" i="188"/>
  <c r="W96" i="3589"/>
  <c r="AA45" i="3632"/>
  <c r="AA3" i="3632" s="1"/>
  <c r="AA46" i="3632"/>
  <c r="AA86" i="3632"/>
  <c r="AA85" i="3632"/>
  <c r="AA4" i="3632" s="1"/>
  <c r="V51" i="3584"/>
  <c r="W139" i="3589" s="1"/>
  <c r="V23" i="3584"/>
  <c r="V24" i="2556" s="1"/>
  <c r="U48" i="3597"/>
  <c r="U24" i="2556"/>
  <c r="V67" i="3584"/>
  <c r="U37" i="3597"/>
  <c r="U49" i="2556"/>
  <c r="X53" i="3584"/>
  <c r="V12" i="2556"/>
  <c r="V35" i="3584"/>
  <c r="W35" i="3584"/>
  <c r="V36" i="3597"/>
  <c r="V48" i="2556"/>
  <c r="W36" i="3584"/>
  <c r="W25" i="3597" s="1"/>
  <c r="X4" i="3584"/>
  <c r="W64" i="3584"/>
  <c r="W33" i="3597" s="1"/>
  <c r="U54" i="3589"/>
  <c r="V2" i="3"/>
  <c r="B52" i="188"/>
  <c r="V105" i="188"/>
  <c r="U11" i="3584"/>
  <c r="U100" i="3589" s="1"/>
  <c r="X17" i="3584"/>
  <c r="V36" i="3589"/>
  <c r="V37" i="3589" s="1"/>
  <c r="V3" i="3589"/>
  <c r="W47" i="3597"/>
  <c r="W4" i="3597"/>
  <c r="A85" i="188"/>
  <c r="A53" i="188"/>
  <c r="A21" i="188"/>
  <c r="W43" i="3584"/>
  <c r="W12" i="3597" s="1"/>
  <c r="T98" i="3589"/>
  <c r="V25" i="3589"/>
  <c r="U52" i="3597"/>
  <c r="V37" i="3584"/>
  <c r="V36" i="2556" s="1"/>
  <c r="W55" i="2556"/>
  <c r="T99" i="3589"/>
  <c r="W66" i="3584"/>
  <c r="W36" i="3597" s="1"/>
  <c r="U60" i="3597"/>
  <c r="X55" i="3584"/>
  <c r="X16" i="3584"/>
  <c r="V33" i="3597"/>
  <c r="V47" i="2556"/>
  <c r="V58" i="3584"/>
  <c r="V141" i="3589" s="1"/>
  <c r="V24" i="3597"/>
  <c r="V26" i="3597" s="1"/>
  <c r="V27" i="3597" s="1"/>
  <c r="V11" i="2556" s="1"/>
  <c r="B84" i="188"/>
  <c r="Q42" i="3590"/>
  <c r="Q23" i="3590"/>
  <c r="Q54" i="3590"/>
  <c r="Q83" i="3590"/>
  <c r="Q66" i="3590"/>
  <c r="Q15" i="3590"/>
  <c r="W1" i="3589"/>
  <c r="W1" i="3"/>
  <c r="R10" i="3590"/>
  <c r="R54" i="3590" s="1"/>
  <c r="X6" i="188"/>
  <c r="A86" i="188" s="1"/>
  <c r="W1" i="2556"/>
  <c r="X2" i="2"/>
  <c r="W1" i="3584"/>
  <c r="V42" i="2556"/>
  <c r="W134" i="3589"/>
  <c r="V31" i="3597"/>
  <c r="V12" i="3597"/>
  <c r="W65" i="3584"/>
  <c r="W24" i="3597" s="1"/>
  <c r="X65" i="3584"/>
  <c r="V13" i="3" l="1"/>
  <c r="V6" i="2556" s="1"/>
  <c r="V14" i="3584"/>
  <c r="V7" i="3"/>
  <c r="V12" i="3"/>
  <c r="R111" i="3589"/>
  <c r="R58" i="3597"/>
  <c r="R112" i="3589"/>
  <c r="R59" i="3597"/>
  <c r="W74" i="3584"/>
  <c r="W52" i="2556"/>
  <c r="W78" i="3584"/>
  <c r="W53" i="2556"/>
  <c r="X145" i="2"/>
  <c r="X153" i="2"/>
  <c r="V60" i="3597"/>
  <c r="W35" i="2556"/>
  <c r="V35" i="2556"/>
  <c r="W62" i="3589"/>
  <c r="X136" i="2"/>
  <c r="W33" i="3"/>
  <c r="W54" i="2556"/>
  <c r="Q53" i="3590"/>
  <c r="AD84" i="188"/>
  <c r="AH84" i="188"/>
  <c r="AA84" i="188"/>
  <c r="AJ84" i="188"/>
  <c r="Z84" i="188"/>
  <c r="W84" i="188"/>
  <c r="AB84" i="188"/>
  <c r="V84" i="188"/>
  <c r="V127" i="188" s="1"/>
  <c r="AM84" i="188"/>
  <c r="AK84" i="188"/>
  <c r="AI84" i="188"/>
  <c r="AG84" i="188"/>
  <c r="AF84" i="188"/>
  <c r="AC84" i="188"/>
  <c r="AL84" i="188"/>
  <c r="AE84" i="188"/>
  <c r="Y84" i="188"/>
  <c r="X84" i="188"/>
  <c r="AK52" i="188"/>
  <c r="AH52" i="188"/>
  <c r="AE52" i="188"/>
  <c r="AB52" i="188"/>
  <c r="X52" i="188"/>
  <c r="AG52" i="188"/>
  <c r="AD52" i="188"/>
  <c r="W52" i="188"/>
  <c r="AC52" i="188"/>
  <c r="Z52" i="188"/>
  <c r="Y52" i="188"/>
  <c r="AL52" i="188"/>
  <c r="V52" i="188"/>
  <c r="V121" i="188" s="1"/>
  <c r="AM52" i="188"/>
  <c r="AJ52" i="188"/>
  <c r="AF52" i="188"/>
  <c r="AA52" i="188"/>
  <c r="AI52" i="188"/>
  <c r="V113" i="3589"/>
  <c r="Y2" i="2"/>
  <c r="Y1" i="3597" s="1"/>
  <c r="X1" i="3597"/>
  <c r="Y51" i="3632"/>
  <c r="Y89" i="3632" s="1"/>
  <c r="Y11" i="3632"/>
  <c r="Z2" i="3632"/>
  <c r="W145" i="3589"/>
  <c r="V104" i="3589"/>
  <c r="AA7" i="3632"/>
  <c r="Z7" i="3632"/>
  <c r="Z8" i="3632"/>
  <c r="R34" i="2556"/>
  <c r="T125" i="188"/>
  <c r="T128" i="188" s="1"/>
  <c r="S34" i="3584" s="1"/>
  <c r="R33" i="2556"/>
  <c r="T119" i="188"/>
  <c r="T122" i="188" s="1"/>
  <c r="S33" i="3584" s="1"/>
  <c r="B53" i="188"/>
  <c r="V59" i="3589"/>
  <c r="Y120" i="188"/>
  <c r="Y126" i="188"/>
  <c r="W144" i="3589"/>
  <c r="W12" i="2556"/>
  <c r="W37" i="3584"/>
  <c r="W36" i="2556" s="1"/>
  <c r="W25" i="3589"/>
  <c r="W113" i="3589"/>
  <c r="X55" i="2556"/>
  <c r="V52" i="3597"/>
  <c r="X96" i="3589"/>
  <c r="X102" i="3589"/>
  <c r="W47" i="2556"/>
  <c r="AB45" i="3632"/>
  <c r="AB3" i="3632" s="1"/>
  <c r="AB46" i="3632"/>
  <c r="AB86" i="3632"/>
  <c r="AB85" i="3632"/>
  <c r="AB4" i="3632" s="1"/>
  <c r="AA8" i="3632"/>
  <c r="X66" i="3584"/>
  <c r="X48" i="2556" s="1"/>
  <c r="W51" i="3584"/>
  <c r="X139" i="3589" s="1"/>
  <c r="W26" i="3597"/>
  <c r="W27" i="3597" s="1"/>
  <c r="W11" i="2556" s="1"/>
  <c r="W67" i="3584"/>
  <c r="V49" i="2556"/>
  <c r="V37" i="3597"/>
  <c r="W31" i="3597"/>
  <c r="W42" i="2556"/>
  <c r="X134" i="3589"/>
  <c r="Y17" i="3584"/>
  <c r="W23" i="3584"/>
  <c r="W24" i="2556" s="1"/>
  <c r="V48" i="3597"/>
  <c r="R23" i="3590"/>
  <c r="W3" i="3589"/>
  <c r="W36" i="3589"/>
  <c r="W37" i="3589" s="1"/>
  <c r="R66" i="3590"/>
  <c r="R15" i="3590"/>
  <c r="Y4" i="3584"/>
  <c r="Y96" i="3589" s="1"/>
  <c r="V12" i="3584"/>
  <c r="V99" i="3589" s="1"/>
  <c r="X145" i="3589"/>
  <c r="X19" i="2556"/>
  <c r="W48" i="2556"/>
  <c r="Y16" i="3584"/>
  <c r="X47" i="3597"/>
  <c r="X4" i="3597"/>
  <c r="R83" i="3590"/>
  <c r="R42" i="3590"/>
  <c r="W58" i="3584"/>
  <c r="X36" i="3584"/>
  <c r="X25" i="3597" s="1"/>
  <c r="X43" i="3584"/>
  <c r="X12" i="3597" s="1"/>
  <c r="V11" i="3584"/>
  <c r="V100" i="3589" s="1"/>
  <c r="X1" i="3584"/>
  <c r="Y6" i="188"/>
  <c r="A55" i="188" s="1"/>
  <c r="S10" i="3590"/>
  <c r="S42" i="3590" s="1"/>
  <c r="X1" i="2556"/>
  <c r="V98" i="3589"/>
  <c r="V54" i="3589"/>
  <c r="X1" i="3589"/>
  <c r="X1" i="3"/>
  <c r="X64" i="3584"/>
  <c r="X33" i="3597" s="1"/>
  <c r="Y55" i="3584"/>
  <c r="Y65" i="3584"/>
  <c r="Y145" i="3589" s="1"/>
  <c r="Y53" i="3584"/>
  <c r="W2" i="3"/>
  <c r="B85" i="188"/>
  <c r="W105" i="188"/>
  <c r="A22" i="188"/>
  <c r="A54" i="188"/>
  <c r="W60" i="3597"/>
  <c r="X37" i="3584"/>
  <c r="X52" i="3597" s="1"/>
  <c r="Z55" i="3584"/>
  <c r="X25" i="3589"/>
  <c r="Y43" i="3584"/>
  <c r="Y12" i="3597" s="1"/>
  <c r="X58" i="3584"/>
  <c r="X36" i="3589"/>
  <c r="X37" i="3589" s="1"/>
  <c r="Y66" i="3584"/>
  <c r="Y36" i="3597" s="1"/>
  <c r="Y36" i="3584"/>
  <c r="Y25" i="3597" s="1"/>
  <c r="Z64" i="3584"/>
  <c r="Y64" i="3584"/>
  <c r="Y33" i="3597" s="1"/>
  <c r="Z17" i="3584"/>
  <c r="Y55" i="2556"/>
  <c r="X24" i="3597"/>
  <c r="X3" i="3589"/>
  <c r="X12" i="2556"/>
  <c r="Z16" i="3584"/>
  <c r="Z4" i="3584"/>
  <c r="W13" i="3" l="1"/>
  <c r="W6" i="2556" s="1"/>
  <c r="W14" i="3584"/>
  <c r="W7" i="3"/>
  <c r="W12" i="3"/>
  <c r="S111" i="3589"/>
  <c r="S58" i="3597"/>
  <c r="U125" i="188"/>
  <c r="U128" i="188" s="1"/>
  <c r="T34" i="3584" s="1"/>
  <c r="T112" i="3589" s="1"/>
  <c r="S59" i="3597"/>
  <c r="X74" i="3584"/>
  <c r="X52" i="2556"/>
  <c r="X78" i="3584"/>
  <c r="X53" i="2556"/>
  <c r="Y153" i="2"/>
  <c r="Y145" i="2"/>
  <c r="R53" i="3590"/>
  <c r="X54" i="2556"/>
  <c r="X62" i="3589"/>
  <c r="Y136" i="2"/>
  <c r="AF85" i="188"/>
  <c r="AC85" i="188"/>
  <c r="AJ85" i="188"/>
  <c r="AG85" i="188"/>
  <c r="Z85" i="188"/>
  <c r="AM85" i="188"/>
  <c r="W85" i="188"/>
  <c r="W127" i="188" s="1"/>
  <c r="AB85" i="188"/>
  <c r="AD85" i="188"/>
  <c r="AE85" i="188"/>
  <c r="AK85" i="188"/>
  <c r="X85" i="188"/>
  <c r="AA85" i="188"/>
  <c r="Y85" i="188"/>
  <c r="AL85" i="188"/>
  <c r="AH85" i="188"/>
  <c r="AI85" i="188"/>
  <c r="AA53" i="188"/>
  <c r="AJ53" i="188"/>
  <c r="AG53" i="188"/>
  <c r="AL53" i="188"/>
  <c r="AM53" i="188"/>
  <c r="AF53" i="188"/>
  <c r="AC53" i="188"/>
  <c r="AI53" i="188"/>
  <c r="AB53" i="188"/>
  <c r="Y53" i="188"/>
  <c r="AD53" i="188"/>
  <c r="AH53" i="188"/>
  <c r="AE53" i="188"/>
  <c r="X53" i="188"/>
  <c r="AK53" i="188"/>
  <c r="Z53" i="188"/>
  <c r="W53" i="188"/>
  <c r="W121" i="188" s="1"/>
  <c r="Z6" i="188"/>
  <c r="A88" i="188" s="1"/>
  <c r="Y1" i="3"/>
  <c r="Y1" i="3589"/>
  <c r="Y1" i="3584"/>
  <c r="Y1" i="2556"/>
  <c r="T10" i="3590"/>
  <c r="T83" i="3590" s="1"/>
  <c r="Z2" i="2"/>
  <c r="Z51" i="3632"/>
  <c r="Z89" i="3632" s="1"/>
  <c r="Z11" i="3632"/>
  <c r="AA2" i="3632"/>
  <c r="S112" i="3589"/>
  <c r="W104" i="3589"/>
  <c r="S34" i="2556"/>
  <c r="S33" i="2556"/>
  <c r="U119" i="188"/>
  <c r="U122" i="188" s="1"/>
  <c r="T33" i="3584" s="1"/>
  <c r="T58" i="3597" s="1"/>
  <c r="X144" i="3589"/>
  <c r="W54" i="3589"/>
  <c r="W59" i="3589"/>
  <c r="Z120" i="188"/>
  <c r="Z126" i="188"/>
  <c r="X141" i="3589"/>
  <c r="AB7" i="3632"/>
  <c r="AB8" i="3632"/>
  <c r="Y47" i="3597"/>
  <c r="Z96" i="3589"/>
  <c r="Y19" i="2556"/>
  <c r="Y4" i="3597"/>
  <c r="X36" i="3597"/>
  <c r="AA4" i="3584"/>
  <c r="AA4" i="3597" s="1"/>
  <c r="W52" i="3597"/>
  <c r="Z102" i="3589"/>
  <c r="Y102" i="3589"/>
  <c r="Z144" i="3589"/>
  <c r="X36" i="2556"/>
  <c r="AC86" i="3632"/>
  <c r="AC85" i="3632"/>
  <c r="AC4" i="3632" s="1"/>
  <c r="AC45" i="3632"/>
  <c r="AC3" i="3632" s="1"/>
  <c r="AC46" i="3632"/>
  <c r="X35" i="3584"/>
  <c r="X51" i="3584"/>
  <c r="Y139" i="3589" s="1"/>
  <c r="AA16" i="3584"/>
  <c r="Z36" i="3584"/>
  <c r="Z25" i="3597" s="1"/>
  <c r="Y37" i="3584"/>
  <c r="Y36" i="2556" s="1"/>
  <c r="AA55" i="3584"/>
  <c r="Y3" i="3589"/>
  <c r="W141" i="3589"/>
  <c r="Y12" i="2556"/>
  <c r="Y25" i="3589"/>
  <c r="W48" i="3597"/>
  <c r="X42" i="2556"/>
  <c r="S15" i="3590"/>
  <c r="S83" i="3590"/>
  <c r="Z19" i="2556"/>
  <c r="X23" i="3584"/>
  <c r="X24" i="2556" s="1"/>
  <c r="Y134" i="3589"/>
  <c r="W37" i="3597"/>
  <c r="W49" i="2556"/>
  <c r="S23" i="3590"/>
  <c r="Y48" i="2556"/>
  <c r="Z55" i="2556"/>
  <c r="X67" i="3584"/>
  <c r="Y24" i="3597"/>
  <c r="Y26" i="3597" s="1"/>
  <c r="Y47" i="2556"/>
  <c r="X47" i="2556"/>
  <c r="Z47" i="3597"/>
  <c r="A23" i="188"/>
  <c r="AA17" i="3584"/>
  <c r="Z4" i="3597"/>
  <c r="A87" i="188"/>
  <c r="S66" i="3590"/>
  <c r="Y144" i="3589"/>
  <c r="S54" i="3590"/>
  <c r="Y42" i="2556"/>
  <c r="Z134" i="3589"/>
  <c r="Z43" i="3584"/>
  <c r="Z31" i="3597" s="1"/>
  <c r="X31" i="3597"/>
  <c r="Y58" i="3584"/>
  <c r="X26" i="3597"/>
  <c r="X27" i="3597" s="1"/>
  <c r="X11" i="2556" s="1"/>
  <c r="W11" i="3584"/>
  <c r="W12" i="3584"/>
  <c r="W98" i="3589"/>
  <c r="B86" i="188"/>
  <c r="X2" i="3"/>
  <c r="Z66" i="3584"/>
  <c r="Z36" i="3597" s="1"/>
  <c r="Z53" i="3584"/>
  <c r="Y31" i="3597"/>
  <c r="Y35" i="3584"/>
  <c r="B54" i="188"/>
  <c r="X105" i="188"/>
  <c r="Z12" i="2556"/>
  <c r="Z3" i="3589"/>
  <c r="AB55" i="3584"/>
  <c r="AB4" i="3584"/>
  <c r="AA55" i="2556"/>
  <c r="Z37" i="3584"/>
  <c r="Z35" i="3584"/>
  <c r="AB17" i="3584"/>
  <c r="Z25" i="3589"/>
  <c r="AA43" i="3584"/>
  <c r="Z33" i="3597"/>
  <c r="Z47" i="2556"/>
  <c r="AB16" i="3584"/>
  <c r="Z58" i="3584"/>
  <c r="AA36" i="3584"/>
  <c r="AA25" i="3597" s="1"/>
  <c r="AA66" i="3584"/>
  <c r="X13" i="3" l="1"/>
  <c r="X6" i="2556" s="1"/>
  <c r="X14" i="3584"/>
  <c r="V125" i="188"/>
  <c r="V128" i="188" s="1"/>
  <c r="U34" i="3584" s="1"/>
  <c r="U59" i="3597" s="1"/>
  <c r="X7" i="3"/>
  <c r="X12" i="3"/>
  <c r="T34" i="2556"/>
  <c r="T59" i="3597"/>
  <c r="Y52" i="2556"/>
  <c r="Y74" i="3584"/>
  <c r="Y53" i="2556"/>
  <c r="Y78" i="3584"/>
  <c r="Z145" i="2"/>
  <c r="Z153" i="2"/>
  <c r="Z35" i="2556"/>
  <c r="Y35" i="2556"/>
  <c r="X35" i="2556"/>
  <c r="Y62" i="3589"/>
  <c r="Z136" i="2"/>
  <c r="AA54" i="188"/>
  <c r="AJ54" i="188"/>
  <c r="AG54" i="188"/>
  <c r="Z54" i="188"/>
  <c r="AM54" i="188"/>
  <c r="AF54" i="188"/>
  <c r="AC54" i="188"/>
  <c r="AD54" i="188"/>
  <c r="AH54" i="188"/>
  <c r="AI54" i="188"/>
  <c r="AB54" i="188"/>
  <c r="Y54" i="188"/>
  <c r="AE54" i="188"/>
  <c r="X54" i="188"/>
  <c r="X121" i="188" s="1"/>
  <c r="AK54" i="188"/>
  <c r="AL54" i="188"/>
  <c r="AF86" i="188"/>
  <c r="AC86" i="188"/>
  <c r="AL86" i="188"/>
  <c r="AJ86" i="188"/>
  <c r="AG86" i="188"/>
  <c r="Z86" i="188"/>
  <c r="Y86" i="188"/>
  <c r="AH86" i="188"/>
  <c r="AM86" i="188"/>
  <c r="AA86" i="188"/>
  <c r="AD86" i="188"/>
  <c r="AB86" i="188"/>
  <c r="AI86" i="188"/>
  <c r="X86" i="188"/>
  <c r="X127" i="188" s="1"/>
  <c r="AK86" i="188"/>
  <c r="AE86" i="188"/>
  <c r="T54" i="3590"/>
  <c r="Z1" i="2556"/>
  <c r="Z1" i="3597"/>
  <c r="A24" i="188"/>
  <c r="AA2" i="2"/>
  <c r="Z1" i="3589"/>
  <c r="T66" i="3590"/>
  <c r="T23" i="3590"/>
  <c r="AA6" i="188"/>
  <c r="A25" i="188" s="1"/>
  <c r="T15" i="3590"/>
  <c r="Z1" i="3584"/>
  <c r="A56" i="188"/>
  <c r="U10" i="3590"/>
  <c r="U66" i="3590" s="1"/>
  <c r="T42" i="3590"/>
  <c r="Z1" i="3"/>
  <c r="AA51" i="3632"/>
  <c r="AA89" i="3632" s="1"/>
  <c r="AB2" i="3632"/>
  <c r="AA11" i="3632"/>
  <c r="X113" i="3589"/>
  <c r="T33" i="2556"/>
  <c r="V119" i="188"/>
  <c r="V122" i="188" s="1"/>
  <c r="U33" i="3584" s="1"/>
  <c r="T111" i="3589"/>
  <c r="B55" i="188"/>
  <c r="X59" i="3589"/>
  <c r="AA120" i="188"/>
  <c r="AA126" i="188"/>
  <c r="X104" i="3589"/>
  <c r="Z65" i="3584"/>
  <c r="AB102" i="3589"/>
  <c r="AA19" i="2556"/>
  <c r="AA47" i="3597"/>
  <c r="AB96" i="3589"/>
  <c r="Y52" i="3597"/>
  <c r="AA96" i="3589"/>
  <c r="Y113" i="3589"/>
  <c r="Z36" i="2556"/>
  <c r="AA102" i="3589"/>
  <c r="B87" i="188"/>
  <c r="AD86" i="3632"/>
  <c r="AD85" i="3632"/>
  <c r="AD4" i="3632" s="1"/>
  <c r="AC8" i="3632"/>
  <c r="AD45" i="3632"/>
  <c r="AD3" i="3632" s="1"/>
  <c r="AD46" i="3632"/>
  <c r="AC7" i="3632"/>
  <c r="AA65" i="3584"/>
  <c r="AA24" i="3597" s="1"/>
  <c r="AA26" i="3597" s="1"/>
  <c r="X60" i="3597"/>
  <c r="Y51" i="3584"/>
  <c r="Z139" i="3589" s="1"/>
  <c r="Z48" i="2556"/>
  <c r="Z141" i="3589"/>
  <c r="Y141" i="3589"/>
  <c r="Y2" i="3"/>
  <c r="Y105" i="188"/>
  <c r="X37" i="3597"/>
  <c r="X49" i="2556"/>
  <c r="Y23" i="3584"/>
  <c r="Y104" i="3589" s="1"/>
  <c r="X48" i="3597"/>
  <c r="Y67" i="3584"/>
  <c r="Y60" i="3597"/>
  <c r="Z42" i="2556"/>
  <c r="Z12" i="3597"/>
  <c r="AA134" i="3589"/>
  <c r="Z113" i="3589"/>
  <c r="Y27" i="3597"/>
  <c r="Y11" i="2556" s="1"/>
  <c r="AA64" i="3584"/>
  <c r="X12" i="3584"/>
  <c r="X99" i="3589" s="1"/>
  <c r="W99" i="3589"/>
  <c r="X54" i="3589"/>
  <c r="X11" i="3584"/>
  <c r="X100" i="3589" s="1"/>
  <c r="W100" i="3589"/>
  <c r="AA53" i="3584"/>
  <c r="AB134" i="3589"/>
  <c r="AA31" i="3597"/>
  <c r="AA12" i="3597"/>
  <c r="AA42" i="2556"/>
  <c r="AB43" i="3584"/>
  <c r="AB64" i="3584"/>
  <c r="AB55" i="2556"/>
  <c r="AB36" i="3584"/>
  <c r="AB25" i="3597" s="1"/>
  <c r="AC4" i="3584"/>
  <c r="AC96" i="3589" s="1"/>
  <c r="AC16" i="3584"/>
  <c r="AB47" i="3597"/>
  <c r="AB4" i="3597"/>
  <c r="AA37" i="3584"/>
  <c r="AA36" i="2556" s="1"/>
  <c r="AA25" i="3589"/>
  <c r="AA58" i="3584"/>
  <c r="AC17" i="3584"/>
  <c r="Z60" i="3597"/>
  <c r="Z52" i="3597"/>
  <c r="AC55" i="3584"/>
  <c r="AA12" i="2556"/>
  <c r="AB65" i="3584"/>
  <c r="AA48" i="2556"/>
  <c r="AA36" i="3597"/>
  <c r="AB66" i="3584"/>
  <c r="AB19" i="2556"/>
  <c r="AA35" i="3584"/>
  <c r="AA3" i="3589"/>
  <c r="W125" i="188" l="1"/>
  <c r="W128" i="188" s="1"/>
  <c r="V34" i="3584" s="1"/>
  <c r="V59" i="3597" s="1"/>
  <c r="Y13" i="3"/>
  <c r="Y6" i="2556" s="1"/>
  <c r="Y14" i="3584"/>
  <c r="U112" i="3589"/>
  <c r="U34" i="2556"/>
  <c r="Y7" i="3"/>
  <c r="Y12" i="3"/>
  <c r="U111" i="3589"/>
  <c r="U58" i="3597"/>
  <c r="Z52" i="2556"/>
  <c r="Z74" i="3584"/>
  <c r="Z53" i="2556"/>
  <c r="Z78" i="3584"/>
  <c r="AA145" i="2"/>
  <c r="AA153" i="2"/>
  <c r="AA113" i="3589"/>
  <c r="AA35" i="2556"/>
  <c r="Z62" i="3589"/>
  <c r="AA136" i="2"/>
  <c r="AM87" i="188"/>
  <c r="AF87" i="188"/>
  <c r="AD87" i="188"/>
  <c r="AJ87" i="188"/>
  <c r="AH87" i="188"/>
  <c r="AL87" i="188"/>
  <c r="AA87" i="188"/>
  <c r="AC87" i="188"/>
  <c r="Y87" i="188"/>
  <c r="Y127" i="188" s="1"/>
  <c r="AI87" i="188"/>
  <c r="Z87" i="188"/>
  <c r="AK87" i="188"/>
  <c r="AE87" i="188"/>
  <c r="AG87" i="188"/>
  <c r="AB87" i="188"/>
  <c r="AB55" i="188"/>
  <c r="AI55" i="188"/>
  <c r="AE55" i="188"/>
  <c r="AK55" i="188"/>
  <c r="AL55" i="188"/>
  <c r="AF55" i="188"/>
  <c r="AD55" i="188"/>
  <c r="AM55" i="188"/>
  <c r="AH55" i="188"/>
  <c r="AC55" i="188"/>
  <c r="Z55" i="188"/>
  <c r="AJ55" i="188"/>
  <c r="Y55" i="188"/>
  <c r="Y121" i="188" s="1"/>
  <c r="AA55" i="188"/>
  <c r="AG55" i="188"/>
  <c r="U83" i="3590"/>
  <c r="A89" i="188"/>
  <c r="A57" i="188"/>
  <c r="AA1" i="2556"/>
  <c r="AA1" i="3597"/>
  <c r="U54" i="3590"/>
  <c r="AA1" i="3584"/>
  <c r="AA1" i="3"/>
  <c r="AB2" i="2"/>
  <c r="AB6" i="188"/>
  <c r="A90" i="188" s="1"/>
  <c r="V10" i="3590"/>
  <c r="V42" i="3590" s="1"/>
  <c r="U15" i="3590"/>
  <c r="U23" i="3590"/>
  <c r="AA1" i="3589"/>
  <c r="U42" i="3590"/>
  <c r="AB51" i="3632"/>
  <c r="AB89" i="3632" s="1"/>
  <c r="AC2" i="3632"/>
  <c r="AB11" i="3632"/>
  <c r="U33" i="2556"/>
  <c r="W119" i="188"/>
  <c r="W122" i="188" s="1"/>
  <c r="V33" i="3584" s="1"/>
  <c r="Y54" i="3589"/>
  <c r="Y59" i="3589"/>
  <c r="AB120" i="188"/>
  <c r="AB126" i="188"/>
  <c r="Z24" i="3597"/>
  <c r="Z26" i="3597" s="1"/>
  <c r="Z27" i="3597" s="1"/>
  <c r="Z11" i="2556" s="1"/>
  <c r="Z145" i="3589"/>
  <c r="AB144" i="3589"/>
  <c r="AA144" i="3589"/>
  <c r="AA145" i="3589"/>
  <c r="AB145" i="3589"/>
  <c r="V112" i="3589"/>
  <c r="AC102" i="3589"/>
  <c r="AE86" i="3632"/>
  <c r="AE85" i="3632"/>
  <c r="AE4" i="3632" s="1"/>
  <c r="AD8" i="3632"/>
  <c r="AE45" i="3632"/>
  <c r="AE3" i="3632" s="1"/>
  <c r="AE46" i="3632"/>
  <c r="AD7" i="3632"/>
  <c r="Z51" i="3584"/>
  <c r="AA139" i="3589" s="1"/>
  <c r="Z2" i="3"/>
  <c r="B88" i="188"/>
  <c r="B56" i="188"/>
  <c r="Z105" i="188"/>
  <c r="AA47" i="2556"/>
  <c r="Y37" i="3597"/>
  <c r="Y49" i="2556"/>
  <c r="AA33" i="3597"/>
  <c r="Z23" i="3584"/>
  <c r="Z24" i="2556" s="1"/>
  <c r="Z67" i="3584"/>
  <c r="Y24" i="2556"/>
  <c r="Y48" i="3597"/>
  <c r="X98" i="3589"/>
  <c r="Y12" i="3584"/>
  <c r="Y11" i="3584"/>
  <c r="V34" i="2556"/>
  <c r="AB53" i="3584"/>
  <c r="AB58" i="3584"/>
  <c r="AB141" i="3589" s="1"/>
  <c r="AA60" i="3597"/>
  <c r="AB25" i="3589"/>
  <c r="AD55" i="3584"/>
  <c r="AD16" i="3584"/>
  <c r="AC47" i="3597"/>
  <c r="AC4" i="3597"/>
  <c r="AB3" i="3589"/>
  <c r="AC64" i="3584"/>
  <c r="AC144" i="3589" s="1"/>
  <c r="AA52" i="3597"/>
  <c r="AC43" i="3584"/>
  <c r="AD17" i="3584"/>
  <c r="AC19" i="2556"/>
  <c r="AB35" i="3584"/>
  <c r="AD4" i="3584"/>
  <c r="AD19" i="2556" s="1"/>
  <c r="AB48" i="2556"/>
  <c r="AB36" i="3597"/>
  <c r="AC66" i="3584"/>
  <c r="AC55" i="2556"/>
  <c r="AC36" i="3584"/>
  <c r="AC25" i="3597" s="1"/>
  <c r="AC65" i="3584"/>
  <c r="AC145" i="3589" s="1"/>
  <c r="AB24" i="3597"/>
  <c r="AB26" i="3597" s="1"/>
  <c r="AB27" i="3597" s="1"/>
  <c r="AB11" i="2556" s="1"/>
  <c r="AB33" i="3597"/>
  <c r="AB47" i="2556"/>
  <c r="AB37" i="3584"/>
  <c r="AC134" i="3589"/>
  <c r="AB42" i="2556"/>
  <c r="AB31" i="3597"/>
  <c r="AB12" i="3597"/>
  <c r="AB12" i="2556"/>
  <c r="AA141" i="3589"/>
  <c r="X125" i="188" l="1"/>
  <c r="X128" i="188" s="1"/>
  <c r="W34" i="3584" s="1"/>
  <c r="W112" i="3589" s="1"/>
  <c r="Z13" i="3"/>
  <c r="Z6" i="2556" s="1"/>
  <c r="Z14" i="3584"/>
  <c r="Z7" i="3"/>
  <c r="Z12" i="3"/>
  <c r="V111" i="3589"/>
  <c r="V58" i="3597"/>
  <c r="AA74" i="3584"/>
  <c r="AA52" i="2556"/>
  <c r="AA53" i="2556"/>
  <c r="AA78" i="3584"/>
  <c r="AB145" i="2"/>
  <c r="AB153" i="2"/>
  <c r="AB53" i="2556" s="1"/>
  <c r="AB35" i="2556"/>
  <c r="AB136" i="2"/>
  <c r="AA62" i="3589"/>
  <c r="AG56" i="188"/>
  <c r="AD56" i="188"/>
  <c r="AI56" i="188"/>
  <c r="AB56" i="188"/>
  <c r="AC56" i="188"/>
  <c r="AE56" i="188"/>
  <c r="AL56" i="188"/>
  <c r="AA56" i="188"/>
  <c r="AJ56" i="188"/>
  <c r="AK56" i="188"/>
  <c r="AH56" i="188"/>
  <c r="AM56" i="188"/>
  <c r="AF56" i="188"/>
  <c r="Z56" i="188"/>
  <c r="Z121" i="188" s="1"/>
  <c r="AD88" i="188"/>
  <c r="AF88" i="188"/>
  <c r="Z88" i="188"/>
  <c r="Z127" i="188" s="1"/>
  <c r="AM88" i="188"/>
  <c r="AB88" i="188"/>
  <c r="AL88" i="188"/>
  <c r="AI88" i="188"/>
  <c r="AH88" i="188"/>
  <c r="AE88" i="188"/>
  <c r="AJ88" i="188"/>
  <c r="AC88" i="188"/>
  <c r="AK88" i="188"/>
  <c r="AG88" i="188"/>
  <c r="AA88" i="188"/>
  <c r="Z12" i="3584"/>
  <c r="Z99" i="3589" s="1"/>
  <c r="V15" i="3590"/>
  <c r="V23" i="3590"/>
  <c r="A58" i="188"/>
  <c r="A26" i="188"/>
  <c r="W10" i="3590"/>
  <c r="AB1" i="3597"/>
  <c r="V66" i="3590"/>
  <c r="AB1" i="3"/>
  <c r="AC2" i="2"/>
  <c r="V83" i="3590"/>
  <c r="V54" i="3590"/>
  <c r="AB1" i="3584"/>
  <c r="AB1" i="3589"/>
  <c r="AB1" i="2556"/>
  <c r="AC6" i="188"/>
  <c r="A59" i="188" s="1"/>
  <c r="AC51" i="3632"/>
  <c r="AC89" i="3632" s="1"/>
  <c r="AD2" i="3632"/>
  <c r="AC11" i="3632"/>
  <c r="AB113" i="3589"/>
  <c r="Z98" i="3589"/>
  <c r="Y98" i="3589"/>
  <c r="X119" i="188"/>
  <c r="X122" i="188" s="1"/>
  <c r="W33" i="3584" s="1"/>
  <c r="V33" i="2556"/>
  <c r="B89" i="188"/>
  <c r="Z59" i="3589"/>
  <c r="AC120" i="188"/>
  <c r="AC126" i="188"/>
  <c r="Z104" i="3589"/>
  <c r="AA27" i="3597"/>
  <c r="AA11" i="2556" s="1"/>
  <c r="AA105" i="188"/>
  <c r="B57" i="188"/>
  <c r="AD96" i="3589"/>
  <c r="AA2" i="3"/>
  <c r="Z54" i="3589"/>
  <c r="AD102" i="3589"/>
  <c r="AF86" i="3632"/>
  <c r="AF85" i="3632"/>
  <c r="AF4" i="3632" s="1"/>
  <c r="AE8" i="3632"/>
  <c r="AF45" i="3632"/>
  <c r="AF3" i="3632" s="1"/>
  <c r="AF46" i="3632"/>
  <c r="AE7" i="3632"/>
  <c r="AA51" i="3584"/>
  <c r="AB139" i="3589" s="1"/>
  <c r="Y99" i="3589"/>
  <c r="AA67" i="3584"/>
  <c r="Z37" i="3597"/>
  <c r="Z49" i="2556"/>
  <c r="Z48" i="3597"/>
  <c r="AA23" i="3584"/>
  <c r="AA104" i="3589" s="1"/>
  <c r="W34" i="2556"/>
  <c r="Z11" i="3584"/>
  <c r="Z100" i="3589" s="1"/>
  <c r="Y100" i="3589"/>
  <c r="Y125" i="188"/>
  <c r="Y128" i="188" s="1"/>
  <c r="X34" i="3584" s="1"/>
  <c r="X59" i="3597" s="1"/>
  <c r="AC53" i="3584"/>
  <c r="AC37" i="3584"/>
  <c r="AC36" i="2556" s="1"/>
  <c r="AD66" i="3584"/>
  <c r="AD4" i="3597"/>
  <c r="AD47" i="3597"/>
  <c r="AE17" i="3584"/>
  <c r="AC33" i="3597"/>
  <c r="AC47" i="2556"/>
  <c r="AC48" i="2556"/>
  <c r="AC36" i="3597"/>
  <c r="AB60" i="3597"/>
  <c r="AC25" i="3589"/>
  <c r="AD64" i="3584"/>
  <c r="AD144" i="3589" s="1"/>
  <c r="AC24" i="3597"/>
  <c r="AC26" i="3597" s="1"/>
  <c r="AC27" i="3597" s="1"/>
  <c r="AC11" i="2556" s="1"/>
  <c r="AD55" i="2556"/>
  <c r="AD36" i="3584"/>
  <c r="AD25" i="3597" s="1"/>
  <c r="AE55" i="3584"/>
  <c r="AC12" i="2556"/>
  <c r="AC3" i="3589"/>
  <c r="AB52" i="3597"/>
  <c r="AD65" i="3584"/>
  <c r="AD145" i="3589" s="1"/>
  <c r="AE16" i="3584"/>
  <c r="AC35" i="3584"/>
  <c r="AC42" i="2556"/>
  <c r="AC31" i="3597"/>
  <c r="AD134" i="3589"/>
  <c r="AC12" i="3597"/>
  <c r="AD43" i="3584"/>
  <c r="AB36" i="2556"/>
  <c r="AC58" i="3584"/>
  <c r="AC141" i="3589" s="1"/>
  <c r="W59" i="3597" l="1"/>
  <c r="AA13" i="3"/>
  <c r="AA6" i="2556" s="1"/>
  <c r="AA14" i="3584"/>
  <c r="AA7" i="3"/>
  <c r="AA12" i="3"/>
  <c r="W33" i="2556"/>
  <c r="W58" i="3597"/>
  <c r="AB52" i="2556"/>
  <c r="AB74" i="3584"/>
  <c r="AB78" i="3584"/>
  <c r="AC153" i="2"/>
  <c r="AC145" i="2"/>
  <c r="AC113" i="3589"/>
  <c r="AC35" i="2556"/>
  <c r="AC136" i="2"/>
  <c r="AB62" i="3589"/>
  <c r="AG89" i="188"/>
  <c r="AD89" i="188"/>
  <c r="AI89" i="188"/>
  <c r="AB89" i="188"/>
  <c r="AC89" i="188"/>
  <c r="AE89" i="188"/>
  <c r="AL89" i="188"/>
  <c r="AA89" i="188"/>
  <c r="AA127" i="188" s="1"/>
  <c r="AK89" i="188"/>
  <c r="AH89" i="188"/>
  <c r="AM89" i="188"/>
  <c r="AF89" i="188"/>
  <c r="AJ89" i="188"/>
  <c r="AJ57" i="188"/>
  <c r="AG57" i="188"/>
  <c r="AL57" i="188"/>
  <c r="AE57" i="188"/>
  <c r="AF57" i="188"/>
  <c r="AC57" i="188"/>
  <c r="AH57" i="188"/>
  <c r="AA57" i="188"/>
  <c r="AA121" i="188" s="1"/>
  <c r="AB57" i="188"/>
  <c r="AD57" i="188"/>
  <c r="AM57" i="188"/>
  <c r="AK57" i="188"/>
  <c r="AI57" i="188"/>
  <c r="AA12" i="3584"/>
  <c r="AA99" i="3589" s="1"/>
  <c r="W54" i="3590"/>
  <c r="W15" i="3590"/>
  <c r="W66" i="3590"/>
  <c r="W83" i="3590"/>
  <c r="W23" i="3590"/>
  <c r="W42" i="3590"/>
  <c r="AD2" i="2"/>
  <c r="AC1" i="3597"/>
  <c r="A91" i="188"/>
  <c r="X10" i="3590"/>
  <c r="X66" i="3590" s="1"/>
  <c r="AD6" i="188"/>
  <c r="A60" i="188" s="1"/>
  <c r="AC1" i="2556"/>
  <c r="AC1" i="3584"/>
  <c r="A27" i="188"/>
  <c r="AC1" i="3589"/>
  <c r="AC1" i="3"/>
  <c r="AD51" i="3632"/>
  <c r="AD89" i="3632" s="1"/>
  <c r="AE2" i="3632"/>
  <c r="AD11" i="3632"/>
  <c r="Y119" i="188"/>
  <c r="Y122" i="188" s="1"/>
  <c r="X33" i="3584" s="1"/>
  <c r="W111" i="3589"/>
  <c r="AA98" i="3589"/>
  <c r="AA59" i="3589"/>
  <c r="AD120" i="188"/>
  <c r="AD126" i="188"/>
  <c r="B58" i="188"/>
  <c r="AA54" i="3589"/>
  <c r="B90" i="188"/>
  <c r="AB105" i="188"/>
  <c r="AB2" i="3"/>
  <c r="X112" i="3589"/>
  <c r="AE102" i="3589"/>
  <c r="AF8" i="3632"/>
  <c r="AG45" i="3632"/>
  <c r="AG3" i="3632" s="1"/>
  <c r="AG46" i="3632"/>
  <c r="AF7" i="3632"/>
  <c r="AG86" i="3632"/>
  <c r="AG85" i="3632"/>
  <c r="AG4" i="3632" s="1"/>
  <c r="AB51" i="3584"/>
  <c r="AC139" i="3589" s="1"/>
  <c r="AB23" i="3584"/>
  <c r="AB24" i="2556" s="1"/>
  <c r="AA24" i="2556"/>
  <c r="AA48" i="3597"/>
  <c r="AB67" i="3584"/>
  <c r="AA37" i="3597"/>
  <c r="AA49" i="2556"/>
  <c r="AA11" i="3584"/>
  <c r="AA100" i="3589" s="1"/>
  <c r="X34" i="2556"/>
  <c r="Z125" i="188"/>
  <c r="Z128" i="188" s="1"/>
  <c r="Y34" i="3584" s="1"/>
  <c r="AD53" i="3584"/>
  <c r="AE43" i="3584"/>
  <c r="AD35" i="3584"/>
  <c r="AD35" i="2556" s="1"/>
  <c r="AC60" i="3597"/>
  <c r="AF17" i="3584"/>
  <c r="AF102" i="3589" s="1"/>
  <c r="AD25" i="3589"/>
  <c r="AD24" i="3597"/>
  <c r="AD26" i="3597" s="1"/>
  <c r="AD27" i="3597" s="1"/>
  <c r="AD11" i="2556" s="1"/>
  <c r="AD3" i="3589"/>
  <c r="AE55" i="2556"/>
  <c r="AF55" i="3584"/>
  <c r="AE134" i="3589"/>
  <c r="AD42" i="2556"/>
  <c r="AD31" i="3597"/>
  <c r="AD12" i="3597"/>
  <c r="AF16" i="3584"/>
  <c r="AC52" i="3597"/>
  <c r="AE64" i="3584"/>
  <c r="AE144" i="3589" s="1"/>
  <c r="AE66" i="3584"/>
  <c r="AE36" i="3584"/>
  <c r="AE25" i="3597" s="1"/>
  <c r="AD58" i="3584"/>
  <c r="AD37" i="3584"/>
  <c r="AD36" i="2556" s="1"/>
  <c r="AD33" i="3597"/>
  <c r="AD47" i="2556"/>
  <c r="AD48" i="2556"/>
  <c r="AD36" i="3597"/>
  <c r="AE65" i="3584"/>
  <c r="AE145" i="3589" s="1"/>
  <c r="AD12" i="2556"/>
  <c r="AB13" i="3" l="1"/>
  <c r="AB6" i="2556" s="1"/>
  <c r="AB14" i="3584"/>
  <c r="AB7" i="3"/>
  <c r="AB12" i="3"/>
  <c r="Y112" i="3589"/>
  <c r="Y59" i="3597"/>
  <c r="X111" i="3589"/>
  <c r="X58" i="3597"/>
  <c r="AC74" i="3584"/>
  <c r="AC52" i="2556"/>
  <c r="AC53" i="2556"/>
  <c r="AC78" i="3584"/>
  <c r="AD145" i="2"/>
  <c r="AD153" i="2"/>
  <c r="AD136" i="2"/>
  <c r="AC62" i="3589"/>
  <c r="AK58" i="188"/>
  <c r="AI58" i="188"/>
  <c r="AJ58" i="188"/>
  <c r="AG58" i="188"/>
  <c r="AL58" i="188"/>
  <c r="AE58" i="188"/>
  <c r="AF58" i="188"/>
  <c r="AC58" i="188"/>
  <c r="AH58" i="188"/>
  <c r="AB58" i="188"/>
  <c r="AB121" i="188" s="1"/>
  <c r="AD58" i="188"/>
  <c r="AM58" i="188"/>
  <c r="AK90" i="188"/>
  <c r="AH90" i="188"/>
  <c r="AM90" i="188"/>
  <c r="AF90" i="188"/>
  <c r="AG90" i="188"/>
  <c r="AD90" i="188"/>
  <c r="AI90" i="188"/>
  <c r="AC90" i="188"/>
  <c r="AE90" i="188"/>
  <c r="AL90" i="188"/>
  <c r="AJ90" i="188"/>
  <c r="AB90" i="188"/>
  <c r="AB127" i="188" s="1"/>
  <c r="AB12" i="3584"/>
  <c r="AB99" i="3589" s="1"/>
  <c r="X23" i="3590"/>
  <c r="AD1" i="3597"/>
  <c r="AD1" i="3"/>
  <c r="AD1" i="2556"/>
  <c r="Y10" i="3590"/>
  <c r="AD1" i="3589"/>
  <c r="AE6" i="188"/>
  <c r="AE2" i="2"/>
  <c r="AD1" i="3584"/>
  <c r="A92" i="188"/>
  <c r="X15" i="3590"/>
  <c r="X83" i="3590"/>
  <c r="A28" i="188"/>
  <c r="X42" i="3590"/>
  <c r="X54" i="3590"/>
  <c r="AE51" i="3632"/>
  <c r="AE89" i="3632" s="1"/>
  <c r="AE11" i="3632"/>
  <c r="AF2" i="3632"/>
  <c r="AD113" i="3589"/>
  <c r="AB104" i="3589"/>
  <c r="AG7" i="3632"/>
  <c r="X33" i="2556"/>
  <c r="Z119" i="188"/>
  <c r="Z122" i="188" s="1"/>
  <c r="Y33" i="3584" s="1"/>
  <c r="Y58" i="3597" s="1"/>
  <c r="AB59" i="3589"/>
  <c r="AE120" i="188"/>
  <c r="AE126" i="188"/>
  <c r="B91" i="188"/>
  <c r="AC2" i="3"/>
  <c r="AC105" i="188"/>
  <c r="B59" i="188"/>
  <c r="AB54" i="3589"/>
  <c r="AH86" i="3632"/>
  <c r="AH85" i="3632"/>
  <c r="AH4" i="3632" s="1"/>
  <c r="AG8" i="3632"/>
  <c r="AH45" i="3632"/>
  <c r="AH3" i="3632" s="1"/>
  <c r="AH46" i="3632"/>
  <c r="AC51" i="3584"/>
  <c r="AD139" i="3589" s="1"/>
  <c r="AB49" i="2556"/>
  <c r="AB37" i="3597"/>
  <c r="AB48" i="3597"/>
  <c r="AC67" i="3584"/>
  <c r="AC23" i="3584"/>
  <c r="AC24" i="2556" s="1"/>
  <c r="AB11" i="3584"/>
  <c r="AB100" i="3589" s="1"/>
  <c r="Y34" i="2556"/>
  <c r="AA125" i="188"/>
  <c r="AA128" i="188" s="1"/>
  <c r="Z34" i="3584" s="1"/>
  <c r="Z59" i="3597" s="1"/>
  <c r="AE53" i="3584"/>
  <c r="AF66" i="3584"/>
  <c r="AE47" i="2556"/>
  <c r="AE33" i="3597"/>
  <c r="AE58" i="3584"/>
  <c r="AE141" i="3589" s="1"/>
  <c r="AF36" i="3584"/>
  <c r="AF25" i="3597" s="1"/>
  <c r="AE48" i="2556"/>
  <c r="AE36" i="3597"/>
  <c r="AG16" i="3584"/>
  <c r="AE25" i="3589"/>
  <c r="AE24" i="3597"/>
  <c r="AE26" i="3597" s="1"/>
  <c r="AE27" i="3597" s="1"/>
  <c r="AE11" i="2556" s="1"/>
  <c r="AE35" i="3584"/>
  <c r="AF134" i="3589"/>
  <c r="AE12" i="3597"/>
  <c r="AE31" i="3597"/>
  <c r="AE42" i="2556"/>
  <c r="AD52" i="3597"/>
  <c r="AF65" i="3584"/>
  <c r="AF145" i="3589" s="1"/>
  <c r="AG55" i="3584"/>
  <c r="AE3" i="3589"/>
  <c r="AF64" i="3584"/>
  <c r="AF144" i="3589" s="1"/>
  <c r="AE12" i="2556"/>
  <c r="AE37" i="3584"/>
  <c r="AE36" i="2556" s="1"/>
  <c r="AG17" i="3584"/>
  <c r="AD60" i="3597"/>
  <c r="AF43" i="3584"/>
  <c r="AD141" i="3589"/>
  <c r="AF55" i="2556"/>
  <c r="AC13" i="3" l="1"/>
  <c r="AC6" i="2556" s="1"/>
  <c r="AC14" i="3584"/>
  <c r="AC7" i="3"/>
  <c r="AC12" i="3"/>
  <c r="AD52" i="2556"/>
  <c r="AD74" i="3584"/>
  <c r="AD78" i="3584"/>
  <c r="AD53" i="2556"/>
  <c r="AE153" i="2"/>
  <c r="AE145" i="2"/>
  <c r="AE35" i="2556"/>
  <c r="AD62" i="3589"/>
  <c r="AE136" i="2"/>
  <c r="AM91" i="188"/>
  <c r="AK91" i="188"/>
  <c r="AL91" i="188"/>
  <c r="AI91" i="188"/>
  <c r="AH91" i="188"/>
  <c r="AE91" i="188"/>
  <c r="AJ91" i="188"/>
  <c r="AD91" i="188"/>
  <c r="AF91" i="188"/>
  <c r="AG91" i="188"/>
  <c r="AC91" i="188"/>
  <c r="AC127" i="188" s="1"/>
  <c r="AC59" i="188"/>
  <c r="AC121" i="188" s="1"/>
  <c r="AE59" i="188"/>
  <c r="AL59" i="188"/>
  <c r="AJ59" i="188"/>
  <c r="AK59" i="188"/>
  <c r="AH59" i="188"/>
  <c r="AM59" i="188"/>
  <c r="AF59" i="188"/>
  <c r="AG59" i="188"/>
  <c r="AD59" i="188"/>
  <c r="AI59" i="188"/>
  <c r="Y15" i="3590"/>
  <c r="Y42" i="3590"/>
  <c r="Y23" i="3590"/>
  <c r="Y66" i="3590"/>
  <c r="Y83" i="3590"/>
  <c r="Y54" i="3590"/>
  <c r="A93" i="188"/>
  <c r="A61" i="188"/>
  <c r="A29" i="188"/>
  <c r="AE1" i="3597"/>
  <c r="AE1" i="3"/>
  <c r="Z10" i="3590"/>
  <c r="AF6" i="188"/>
  <c r="AF2" i="2"/>
  <c r="AE1" i="3589"/>
  <c r="AE1" i="2556"/>
  <c r="AE1" i="3584"/>
  <c r="AF51" i="3632"/>
  <c r="AF89" i="3632" s="1"/>
  <c r="AG2" i="3632"/>
  <c r="AF11" i="3632"/>
  <c r="AE113" i="3589"/>
  <c r="Y111" i="3589"/>
  <c r="Y33" i="2556"/>
  <c r="AA119" i="188"/>
  <c r="AA122" i="188" s="1"/>
  <c r="Z33" i="3584" s="1"/>
  <c r="AB98" i="3589"/>
  <c r="AC98" i="3589"/>
  <c r="AC59" i="3589"/>
  <c r="AF120" i="188"/>
  <c r="AF126" i="188"/>
  <c r="AC104" i="3589"/>
  <c r="AC12" i="3584"/>
  <c r="B60" i="188"/>
  <c r="AD105" i="188"/>
  <c r="B92" i="188"/>
  <c r="AD2" i="3"/>
  <c r="AC54" i="3589"/>
  <c r="Z112" i="3589"/>
  <c r="AG102" i="3589"/>
  <c r="AH8" i="3632"/>
  <c r="AI45" i="3632"/>
  <c r="AI3" i="3632" s="1"/>
  <c r="AI46" i="3632"/>
  <c r="AH7" i="3632"/>
  <c r="AI86" i="3632"/>
  <c r="AI85" i="3632"/>
  <c r="AI4" i="3632" s="1"/>
  <c r="AD51" i="3584"/>
  <c r="AE139" i="3589" s="1"/>
  <c r="AD23" i="3584"/>
  <c r="AD24" i="2556" s="1"/>
  <c r="AC48" i="3597"/>
  <c r="AD67" i="3584"/>
  <c r="AC49" i="2556"/>
  <c r="AC37" i="3597"/>
  <c r="AC11" i="3584"/>
  <c r="Z34" i="2556"/>
  <c r="AF53" i="3584"/>
  <c r="AB125" i="188"/>
  <c r="AB128" i="188" s="1"/>
  <c r="AA34" i="3584" s="1"/>
  <c r="AF37" i="3584"/>
  <c r="AF36" i="2556" s="1"/>
  <c r="AF24" i="3597"/>
  <c r="AF26" i="3597" s="1"/>
  <c r="AF27" i="3597" s="1"/>
  <c r="AF11" i="2556" s="1"/>
  <c r="AF35" i="3584"/>
  <c r="AF58" i="3584"/>
  <c r="AG55" i="2556"/>
  <c r="AF25" i="3589"/>
  <c r="AG43" i="3584"/>
  <c r="AF42" i="2556"/>
  <c r="AG134" i="3589"/>
  <c r="AF12" i="3597"/>
  <c r="AF31" i="3597"/>
  <c r="AH17" i="3584"/>
  <c r="AG66" i="3584"/>
  <c r="AH55" i="3584"/>
  <c r="AG36" i="3584"/>
  <c r="AG25" i="3597" s="1"/>
  <c r="AE60" i="3597"/>
  <c r="AG64" i="3584"/>
  <c r="AG144" i="3589" s="1"/>
  <c r="AF47" i="2556"/>
  <c r="AF33" i="3597"/>
  <c r="AH16" i="3584"/>
  <c r="AG65" i="3584"/>
  <c r="AG145" i="3589" s="1"/>
  <c r="AE52" i="3597"/>
  <c r="AF12" i="2556"/>
  <c r="AF48" i="2556"/>
  <c r="AF36" i="3597"/>
  <c r="AF3" i="3589"/>
  <c r="AD13" i="3" l="1"/>
  <c r="AD6" i="2556" s="1"/>
  <c r="AD14" i="3584"/>
  <c r="AD7" i="3"/>
  <c r="AD12" i="3"/>
  <c r="AA112" i="3589"/>
  <c r="AA59" i="3597"/>
  <c r="Z33" i="2556"/>
  <c r="Z58" i="3597"/>
  <c r="AE74" i="3584"/>
  <c r="AE52" i="2556"/>
  <c r="AE78" i="3584"/>
  <c r="AE53" i="2556"/>
  <c r="AF145" i="2"/>
  <c r="AF153" i="2"/>
  <c r="AF35" i="2556"/>
  <c r="AF136" i="2"/>
  <c r="AE62" i="3589"/>
  <c r="AF92" i="188"/>
  <c r="AH92" i="188"/>
  <c r="AD92" i="188"/>
  <c r="AD127" i="188" s="1"/>
  <c r="AK92" i="188"/>
  <c r="AJ92" i="188"/>
  <c r="AG92" i="188"/>
  <c r="AL92" i="188"/>
  <c r="AE92" i="188"/>
  <c r="AM92" i="188"/>
  <c r="AI92" i="188"/>
  <c r="AI60" i="188"/>
  <c r="AF60" i="188"/>
  <c r="AK60" i="188"/>
  <c r="AD60" i="188"/>
  <c r="AD121" i="188" s="1"/>
  <c r="AE60" i="188"/>
  <c r="AG60" i="188"/>
  <c r="AL60" i="188"/>
  <c r="AM60" i="188"/>
  <c r="AJ60" i="188"/>
  <c r="AH60" i="188"/>
  <c r="AD12" i="3584"/>
  <c r="AD99" i="3589" s="1"/>
  <c r="AF113" i="3589"/>
  <c r="AC99" i="3589"/>
  <c r="Z66" i="3590"/>
  <c r="Z42" i="3590"/>
  <c r="Z83" i="3590"/>
  <c r="Z15" i="3590"/>
  <c r="Z54" i="3590"/>
  <c r="Z23" i="3590"/>
  <c r="AF1" i="3597"/>
  <c r="AF1" i="3"/>
  <c r="AG2" i="2"/>
  <c r="AF1" i="3584"/>
  <c r="AA10" i="3590"/>
  <c r="AG6" i="188"/>
  <c r="AF1" i="2556"/>
  <c r="AF1" i="3589"/>
  <c r="A30" i="188"/>
  <c r="A94" i="188"/>
  <c r="A62" i="188"/>
  <c r="AG51" i="3632"/>
  <c r="AG89" i="3632" s="1"/>
  <c r="AG11" i="3632"/>
  <c r="AH2" i="3632"/>
  <c r="AI7" i="3632"/>
  <c r="Z111" i="3589"/>
  <c r="AB119" i="188"/>
  <c r="AB122" i="188" s="1"/>
  <c r="AA33" i="3584" s="1"/>
  <c r="AD104" i="3589"/>
  <c r="AD98" i="3589"/>
  <c r="AD59" i="3589"/>
  <c r="AG120" i="188"/>
  <c r="AG126" i="188"/>
  <c r="AD11" i="3584"/>
  <c r="AD100" i="3589" s="1"/>
  <c r="AE105" i="188"/>
  <c r="AE2" i="3"/>
  <c r="B61" i="188"/>
  <c r="B93" i="188"/>
  <c r="AD54" i="3589"/>
  <c r="AH102" i="3589"/>
  <c r="AJ86" i="3632"/>
  <c r="AJ85" i="3632"/>
  <c r="AJ4" i="3632" s="1"/>
  <c r="AJ45" i="3632"/>
  <c r="AJ3" i="3632" s="1"/>
  <c r="AJ46" i="3632"/>
  <c r="AI8" i="3632"/>
  <c r="AE51" i="3584"/>
  <c r="AF139" i="3589" s="1"/>
  <c r="AE67" i="3584"/>
  <c r="AD37" i="3597"/>
  <c r="AD49" i="2556"/>
  <c r="AE23" i="3584"/>
  <c r="AE24" i="2556" s="1"/>
  <c r="AD48" i="3597"/>
  <c r="AA34" i="2556"/>
  <c r="AC100" i="3589"/>
  <c r="AC125" i="188"/>
  <c r="AC128" i="188" s="1"/>
  <c r="AB34" i="3584" s="1"/>
  <c r="AG53" i="3584"/>
  <c r="AH55" i="2556"/>
  <c r="AG24" i="3597"/>
  <c r="AG26" i="3597" s="1"/>
  <c r="AG27" i="3597" s="1"/>
  <c r="AG11" i="2556" s="1"/>
  <c r="AH36" i="3584"/>
  <c r="AH25" i="3597" s="1"/>
  <c r="AG37" i="3584"/>
  <c r="AG36" i="2556" s="1"/>
  <c r="AH65" i="3584"/>
  <c r="AH145" i="3589" s="1"/>
  <c r="AG58" i="3584"/>
  <c r="AG35" i="3584"/>
  <c r="AH134" i="3589"/>
  <c r="AG31" i="3597"/>
  <c r="AG42" i="2556"/>
  <c r="AG12" i="3597"/>
  <c r="AH43" i="3584"/>
  <c r="AG12" i="2556"/>
  <c r="AH64" i="3584"/>
  <c r="AH144" i="3589" s="1"/>
  <c r="AI55" i="3584"/>
  <c r="AG3" i="3589"/>
  <c r="AG36" i="3597"/>
  <c r="AG48" i="2556"/>
  <c r="AH66" i="3584"/>
  <c r="AF141" i="3589"/>
  <c r="AG47" i="2556"/>
  <c r="AG33" i="3597"/>
  <c r="AI17" i="3584"/>
  <c r="AI16" i="3584"/>
  <c r="AF60" i="3597"/>
  <c r="AF52" i="3597"/>
  <c r="AG25" i="3589"/>
  <c r="AE13" i="3" l="1"/>
  <c r="AE6" i="2556" s="1"/>
  <c r="AE14" i="3584"/>
  <c r="AE7" i="3"/>
  <c r="AE12" i="3"/>
  <c r="AB112" i="3589"/>
  <c r="AB59" i="3597"/>
  <c r="AC119" i="188"/>
  <c r="AC122" i="188" s="1"/>
  <c r="AB33" i="3584" s="1"/>
  <c r="AB111" i="3589" s="1"/>
  <c r="AA58" i="3597"/>
  <c r="AF52" i="2556"/>
  <c r="AF74" i="3584"/>
  <c r="AF78" i="3584"/>
  <c r="AF53" i="2556"/>
  <c r="AG153" i="2"/>
  <c r="AG145" i="2"/>
  <c r="AG35" i="2556"/>
  <c r="AF62" i="3589"/>
  <c r="AG136" i="2"/>
  <c r="AM93" i="188"/>
  <c r="AJ93" i="188"/>
  <c r="AH93" i="188"/>
  <c r="AI93" i="188"/>
  <c r="AF93" i="188"/>
  <c r="AK93" i="188"/>
  <c r="AE93" i="188"/>
  <c r="AE127" i="188" s="1"/>
  <c r="AG93" i="188"/>
  <c r="AL93" i="188"/>
  <c r="AM61" i="188"/>
  <c r="AK61" i="188"/>
  <c r="AL61" i="188"/>
  <c r="AI61" i="188"/>
  <c r="AG61" i="188"/>
  <c r="AH61" i="188"/>
  <c r="AE61" i="188"/>
  <c r="AE121" i="188" s="1"/>
  <c r="AJ61" i="188"/>
  <c r="AF61" i="188"/>
  <c r="AE12" i="3584"/>
  <c r="AE99" i="3589" s="1"/>
  <c r="A63" i="188"/>
  <c r="A95" i="188"/>
  <c r="A31" i="188"/>
  <c r="AG1" i="3597"/>
  <c r="AG1" i="3"/>
  <c r="AB10" i="3590"/>
  <c r="AG1" i="3589"/>
  <c r="AH2" i="2"/>
  <c r="AG1" i="3584"/>
  <c r="AH6" i="188"/>
  <c r="AG1" i="2556"/>
  <c r="AA15" i="3590"/>
  <c r="AA42" i="3590"/>
  <c r="AA83" i="3590"/>
  <c r="AA23" i="3590"/>
  <c r="AA54" i="3590"/>
  <c r="AA66" i="3590"/>
  <c r="AH51" i="3632"/>
  <c r="AH89" i="3632" s="1"/>
  <c r="AH11" i="3632"/>
  <c r="AI2" i="3632"/>
  <c r="AG113" i="3589"/>
  <c r="AE104" i="3589"/>
  <c r="AJ7" i="3632"/>
  <c r="AA111" i="3589"/>
  <c r="AA33" i="2556"/>
  <c r="AE98" i="3589"/>
  <c r="AE59" i="3589"/>
  <c r="AH120" i="188"/>
  <c r="AH126" i="188"/>
  <c r="B62" i="188"/>
  <c r="B94" i="188"/>
  <c r="AF105" i="188"/>
  <c r="AF2" i="3"/>
  <c r="AE54" i="3589"/>
  <c r="AE11" i="3584"/>
  <c r="AE100" i="3589" s="1"/>
  <c r="AI102" i="3589"/>
  <c r="AK45" i="3632"/>
  <c r="AK3" i="3632" s="1"/>
  <c r="AK46" i="3632"/>
  <c r="AK86" i="3632"/>
  <c r="AK85" i="3632"/>
  <c r="AK4" i="3632" s="1"/>
  <c r="AF51" i="3584"/>
  <c r="AG139" i="3589" s="1"/>
  <c r="AE48" i="3597"/>
  <c r="AF23" i="3584"/>
  <c r="AF24" i="2556" s="1"/>
  <c r="AE49" i="2556"/>
  <c r="AE37" i="3597"/>
  <c r="AF67" i="3584"/>
  <c r="AB34" i="2556"/>
  <c r="AH53" i="3584"/>
  <c r="AD125" i="188"/>
  <c r="AD128" i="188" s="1"/>
  <c r="AC34" i="3584" s="1"/>
  <c r="AH24" i="3597"/>
  <c r="AH26" i="3597" s="1"/>
  <c r="AH27" i="3597" s="1"/>
  <c r="AH11" i="2556" s="1"/>
  <c r="AH47" i="2556"/>
  <c r="AH33" i="3597"/>
  <c r="AH37" i="3584"/>
  <c r="AH36" i="2556" s="1"/>
  <c r="AH12" i="2556"/>
  <c r="AJ17" i="3584"/>
  <c r="AH25" i="3589"/>
  <c r="AI134" i="3589"/>
  <c r="AH12" i="3597"/>
  <c r="AH31" i="3597"/>
  <c r="AH42" i="2556"/>
  <c r="AI43" i="3584"/>
  <c r="AI65" i="3584"/>
  <c r="AI145" i="3589" s="1"/>
  <c r="AG52" i="3597"/>
  <c r="AJ16" i="3584"/>
  <c r="AH35" i="3584"/>
  <c r="AG60" i="3597"/>
  <c r="AI55" i="2556"/>
  <c r="AH58" i="3584"/>
  <c r="AH141" i="3589" s="1"/>
  <c r="AI64" i="3584"/>
  <c r="AI144" i="3589" s="1"/>
  <c r="AI36" i="3584"/>
  <c r="AI25" i="3597" s="1"/>
  <c r="AH3" i="3589"/>
  <c r="AJ55" i="3584"/>
  <c r="AG141" i="3589"/>
  <c r="AH36" i="3597"/>
  <c r="AH48" i="2556"/>
  <c r="AI66" i="3584"/>
  <c r="AF13" i="3" l="1"/>
  <c r="AF6" i="2556" s="1"/>
  <c r="AF14" i="3584"/>
  <c r="AD119" i="188"/>
  <c r="AD122" i="188" s="1"/>
  <c r="AC33" i="3584" s="1"/>
  <c r="AC33" i="2556" s="1"/>
  <c r="AF7" i="3"/>
  <c r="AF12" i="3"/>
  <c r="AC112" i="3589"/>
  <c r="AC59" i="3597"/>
  <c r="AB33" i="2556"/>
  <c r="AB58" i="3597"/>
  <c r="AG74" i="3584"/>
  <c r="AG52" i="2556"/>
  <c r="AG78" i="3584"/>
  <c r="AG53" i="2556"/>
  <c r="AH153" i="2"/>
  <c r="AH145" i="2"/>
  <c r="AH35" i="2556"/>
  <c r="AH136" i="2"/>
  <c r="AG62" i="3589"/>
  <c r="AG94" i="188"/>
  <c r="AL94" i="188"/>
  <c r="AM94" i="188"/>
  <c r="AJ94" i="188"/>
  <c r="AI94" i="188"/>
  <c r="AF94" i="188"/>
  <c r="AF127" i="188" s="1"/>
  <c r="AK94" i="188"/>
  <c r="AH94" i="188"/>
  <c r="AH62" i="188"/>
  <c r="AJ62" i="188"/>
  <c r="AF62" i="188"/>
  <c r="AF121" i="188" s="1"/>
  <c r="AM62" i="188"/>
  <c r="AK62" i="188"/>
  <c r="AL62" i="188"/>
  <c r="AI62" i="188"/>
  <c r="AG62" i="188"/>
  <c r="AF59" i="3589"/>
  <c r="AF12" i="3584"/>
  <c r="AF99" i="3589" s="1"/>
  <c r="AB15" i="3590"/>
  <c r="AB42" i="3590"/>
  <c r="AB83" i="3590"/>
  <c r="AB54" i="3590"/>
  <c r="AB23" i="3590"/>
  <c r="AB66" i="3590"/>
  <c r="A96" i="188"/>
  <c r="A64" i="188"/>
  <c r="A32" i="188"/>
  <c r="AH1" i="3597"/>
  <c r="AH1" i="3"/>
  <c r="AC10" i="3590"/>
  <c r="AI2" i="2"/>
  <c r="AI6" i="188"/>
  <c r="AH1" i="3584"/>
  <c r="AH1" i="2556"/>
  <c r="AH1" i="3589"/>
  <c r="AI51" i="3632"/>
  <c r="AI89" i="3632" s="1"/>
  <c r="AJ2" i="3632"/>
  <c r="AI11" i="3632"/>
  <c r="AH113" i="3589"/>
  <c r="AJ8" i="3632"/>
  <c r="AI120" i="188"/>
  <c r="AI126" i="188"/>
  <c r="AF104" i="3589"/>
  <c r="AK8" i="3632"/>
  <c r="B95" i="188"/>
  <c r="B63" i="188"/>
  <c r="AF11" i="3584"/>
  <c r="AF100" i="3589" s="1"/>
  <c r="AG105" i="188"/>
  <c r="AG2" i="3"/>
  <c r="AF54" i="3589"/>
  <c r="AJ102" i="3589"/>
  <c r="AK7" i="3632"/>
  <c r="AG51" i="3584"/>
  <c r="AH139" i="3589" s="1"/>
  <c r="AF49" i="2556"/>
  <c r="AF37" i="3597"/>
  <c r="AG67" i="3584"/>
  <c r="AG23" i="3584"/>
  <c r="AG24" i="2556" s="1"/>
  <c r="AF48" i="3597"/>
  <c r="AC34" i="2556"/>
  <c r="AE125" i="188"/>
  <c r="AE128" i="188" s="1"/>
  <c r="AD34" i="3584" s="1"/>
  <c r="AI53" i="3584"/>
  <c r="AJ64" i="3584"/>
  <c r="AJ144" i="3589" s="1"/>
  <c r="AJ65" i="3584"/>
  <c r="AJ145" i="3589" s="1"/>
  <c r="AI3" i="3589"/>
  <c r="AI35" i="3584"/>
  <c r="AH60" i="3597"/>
  <c r="AJ43" i="3584"/>
  <c r="AK16" i="3584"/>
  <c r="AL16" i="3584"/>
  <c r="AI47" i="2556"/>
  <c r="AI33" i="3597"/>
  <c r="AL17" i="3584"/>
  <c r="AK17" i="3584"/>
  <c r="AI12" i="2556"/>
  <c r="AH52" i="3597"/>
  <c r="AI36" i="3597"/>
  <c r="AI48" i="2556"/>
  <c r="AJ66" i="3584"/>
  <c r="AI25" i="3589"/>
  <c r="AI24" i="3597"/>
  <c r="AI26" i="3597" s="1"/>
  <c r="AI27" i="3597" s="1"/>
  <c r="AI11" i="2556" s="1"/>
  <c r="AI58" i="3584"/>
  <c r="AJ55" i="2556"/>
  <c r="AI37" i="3584"/>
  <c r="AI31" i="3597"/>
  <c r="AI42" i="2556"/>
  <c r="AJ134" i="3589"/>
  <c r="AI12" i="3597"/>
  <c r="AK55" i="3584"/>
  <c r="AL55" i="3584"/>
  <c r="AJ36" i="3584"/>
  <c r="AJ25" i="3597" s="1"/>
  <c r="AC111" i="3589" l="1"/>
  <c r="AC58" i="3597"/>
  <c r="AG13" i="3"/>
  <c r="AG6" i="2556" s="1"/>
  <c r="AG14" i="3584"/>
  <c r="AE119" i="188"/>
  <c r="AE122" i="188" s="1"/>
  <c r="AD33" i="3584" s="1"/>
  <c r="AD58" i="3597" s="1"/>
  <c r="AG7" i="3"/>
  <c r="AG12" i="3"/>
  <c r="AD112" i="3589"/>
  <c r="AD59" i="3597"/>
  <c r="AH74" i="3584"/>
  <c r="AH52" i="2556"/>
  <c r="AH53" i="2556"/>
  <c r="AH78" i="3584"/>
  <c r="AI145" i="2"/>
  <c r="AI153" i="2"/>
  <c r="AI35" i="2556"/>
  <c r="AH62" i="3589"/>
  <c r="AI136" i="2"/>
  <c r="AL63" i="188"/>
  <c r="AM63" i="188"/>
  <c r="AJ63" i="188"/>
  <c r="AH63" i="188"/>
  <c r="AI63" i="188"/>
  <c r="AK63" i="188"/>
  <c r="AG63" i="188"/>
  <c r="AG121" i="188" s="1"/>
  <c r="AK95" i="188"/>
  <c r="AI95" i="188"/>
  <c r="AJ95" i="188"/>
  <c r="AG95" i="188"/>
  <c r="AG127" i="188" s="1"/>
  <c r="AL95" i="188"/>
  <c r="AH95" i="188"/>
  <c r="AM95" i="188"/>
  <c r="AG59" i="3589"/>
  <c r="AG12" i="3584"/>
  <c r="AG99" i="3589" s="1"/>
  <c r="AI1" i="3597"/>
  <c r="AJ2" i="2"/>
  <c r="AJ6" i="188"/>
  <c r="AI1" i="3"/>
  <c r="AI1" i="3584"/>
  <c r="AI1" i="2556"/>
  <c r="AI1" i="3589"/>
  <c r="AD10" i="3590"/>
  <c r="AC15" i="3590"/>
  <c r="AC83" i="3590"/>
  <c r="AC42" i="3590"/>
  <c r="AC23" i="3590"/>
  <c r="AC54" i="3590"/>
  <c r="AC66" i="3590"/>
  <c r="A97" i="188"/>
  <c r="A33" i="188"/>
  <c r="A65" i="188"/>
  <c r="AJ51" i="3632"/>
  <c r="AJ89" i="3632" s="1"/>
  <c r="AK2" i="3632"/>
  <c r="AJ11" i="3632"/>
  <c r="AI113" i="3589"/>
  <c r="AG104" i="3589"/>
  <c r="AJ120" i="188"/>
  <c r="AJ126" i="188"/>
  <c r="AH2" i="3"/>
  <c r="B96" i="188"/>
  <c r="AH105" i="188"/>
  <c r="AG11" i="3584"/>
  <c r="AG100" i="3589" s="1"/>
  <c r="B64" i="188"/>
  <c r="AG54" i="3589"/>
  <c r="AL102" i="3589"/>
  <c r="AK102" i="3589"/>
  <c r="AH51" i="3584"/>
  <c r="AI139" i="3589" s="1"/>
  <c r="AG48" i="3597"/>
  <c r="AH23" i="3584"/>
  <c r="AH104" i="3589" s="1"/>
  <c r="AH67" i="3584"/>
  <c r="AG37" i="3597"/>
  <c r="AG49" i="2556"/>
  <c r="AD34" i="2556"/>
  <c r="AF125" i="188"/>
  <c r="AF128" i="188" s="1"/>
  <c r="AE34" i="3584" s="1"/>
  <c r="AE59" i="3597" s="1"/>
  <c r="AJ53" i="3584"/>
  <c r="AJ3" i="3589"/>
  <c r="AJ37" i="3584"/>
  <c r="AJ36" i="2556" s="1"/>
  <c r="AL43" i="3584"/>
  <c r="AK43" i="3584"/>
  <c r="AK55" i="2556"/>
  <c r="AL55" i="2556"/>
  <c r="AJ58" i="3584"/>
  <c r="AJ141" i="3589" s="1"/>
  <c r="AJ12" i="2556"/>
  <c r="AJ24" i="3597"/>
  <c r="AJ26" i="3597" s="1"/>
  <c r="AJ27" i="3597" s="1"/>
  <c r="AJ11" i="2556" s="1"/>
  <c r="AL64" i="3584"/>
  <c r="AK64" i="3584"/>
  <c r="AK144" i="3589" s="1"/>
  <c r="AK36" i="3584"/>
  <c r="AK25" i="3597" s="1"/>
  <c r="AL36" i="3584"/>
  <c r="AL25" i="3597" s="1"/>
  <c r="AJ48" i="2556"/>
  <c r="AJ36" i="3597"/>
  <c r="AI60" i="3597"/>
  <c r="AJ47" i="2556"/>
  <c r="AJ33" i="3597"/>
  <c r="AI141" i="3589"/>
  <c r="AL66" i="3584"/>
  <c r="AK66" i="3584"/>
  <c r="AI52" i="3597"/>
  <c r="AL65" i="3584"/>
  <c r="AL24" i="3597" s="1"/>
  <c r="AK65" i="3584"/>
  <c r="AK145" i="3589" s="1"/>
  <c r="AJ31" i="3597"/>
  <c r="AJ42" i="2556"/>
  <c r="AK134" i="3589"/>
  <c r="AJ12" i="3597"/>
  <c r="AI36" i="2556"/>
  <c r="AJ35" i="3584"/>
  <c r="AJ25" i="3589"/>
  <c r="AH13" i="3" l="1"/>
  <c r="AH6" i="2556" s="1"/>
  <c r="AH14" i="3584"/>
  <c r="AD111" i="3589"/>
  <c r="AF119" i="188"/>
  <c r="AF122" i="188" s="1"/>
  <c r="AE33" i="3584" s="1"/>
  <c r="AD33" i="2556"/>
  <c r="AH7" i="3"/>
  <c r="AH12" i="3"/>
  <c r="AE111" i="3589"/>
  <c r="AE58" i="3597"/>
  <c r="AI74" i="3584"/>
  <c r="AI52" i="2556"/>
  <c r="AI53" i="2556"/>
  <c r="AI78" i="3584"/>
  <c r="AJ145" i="2"/>
  <c r="AJ153" i="2"/>
  <c r="AJ53" i="2556" s="1"/>
  <c r="AJ35" i="2556"/>
  <c r="AJ136" i="2"/>
  <c r="AI62" i="3589"/>
  <c r="AH96" i="188"/>
  <c r="AH127" i="188" s="1"/>
  <c r="AJ96" i="188"/>
  <c r="AM96" i="188"/>
  <c r="AL96" i="188"/>
  <c r="AI96" i="188"/>
  <c r="AK96" i="188"/>
  <c r="AK64" i="188"/>
  <c r="AH64" i="188"/>
  <c r="AH121" i="188" s="1"/>
  <c r="AM64" i="188"/>
  <c r="AI64" i="188"/>
  <c r="AL64" i="188"/>
  <c r="AJ64" i="188"/>
  <c r="AH59" i="3589"/>
  <c r="AH12" i="3584"/>
  <c r="A34" i="188"/>
  <c r="A66" i="188"/>
  <c r="A98" i="188"/>
  <c r="AD15" i="3590"/>
  <c r="AD54" i="3590"/>
  <c r="AD42" i="3590"/>
  <c r="AD23" i="3590"/>
  <c r="AD83" i="3590"/>
  <c r="AD66" i="3590"/>
  <c r="AJ1" i="3597"/>
  <c r="AJ1" i="3584"/>
  <c r="AJ1" i="2556"/>
  <c r="AJ1" i="3589"/>
  <c r="AK6" i="188"/>
  <c r="AJ1" i="3"/>
  <c r="AE10" i="3590"/>
  <c r="AK2" i="2"/>
  <c r="AK51" i="3632"/>
  <c r="AK89" i="3632" s="1"/>
  <c r="AK11" i="3632"/>
  <c r="AJ113" i="3589"/>
  <c r="AK120" i="188"/>
  <c r="AK126" i="188"/>
  <c r="B97" i="188"/>
  <c r="B65" i="188"/>
  <c r="AI105" i="188"/>
  <c r="AI2" i="3"/>
  <c r="AH11" i="3584"/>
  <c r="AH100" i="3589" s="1"/>
  <c r="AH54" i="3589"/>
  <c r="AE112" i="3589"/>
  <c r="AI51" i="3584"/>
  <c r="AJ139" i="3589" s="1"/>
  <c r="AI67" i="3584"/>
  <c r="AH49" i="2556"/>
  <c r="AH37" i="3597"/>
  <c r="AI23" i="3584"/>
  <c r="AI24" i="2556" s="1"/>
  <c r="AH48" i="3597"/>
  <c r="AH24" i="2556"/>
  <c r="AE34" i="2556"/>
  <c r="AG125" i="188"/>
  <c r="AG128" i="188" s="1"/>
  <c r="AF34" i="3584" s="1"/>
  <c r="AF59" i="3597" s="1"/>
  <c r="AK53" i="3584"/>
  <c r="AL53" i="3584"/>
  <c r="AE33" i="2556"/>
  <c r="AG119" i="188"/>
  <c r="AG122" i="188" s="1"/>
  <c r="AF33" i="3584" s="1"/>
  <c r="AF58" i="3597" s="1"/>
  <c r="AK12" i="2556"/>
  <c r="AL12" i="2556"/>
  <c r="AL134" i="3589"/>
  <c r="AK31" i="3597"/>
  <c r="AK12" i="3597"/>
  <c r="AK42" i="2556"/>
  <c r="AL145" i="3589"/>
  <c r="AK24" i="3597"/>
  <c r="AK26" i="3597" s="1"/>
  <c r="AK27" i="3597" s="1"/>
  <c r="AK11" i="2556" s="1"/>
  <c r="AJ52" i="3597"/>
  <c r="AK3" i="3589"/>
  <c r="AL3" i="3589"/>
  <c r="AL48" i="2556"/>
  <c r="AL36" i="3597"/>
  <c r="AK25" i="3589"/>
  <c r="AL144" i="3589"/>
  <c r="AK47" i="2556"/>
  <c r="AK33" i="3597"/>
  <c r="AK58" i="3584"/>
  <c r="AK141" i="3589" s="1"/>
  <c r="AL58" i="3584"/>
  <c r="AL31" i="3597"/>
  <c r="AL12" i="3597"/>
  <c r="AL42" i="2556"/>
  <c r="AK48" i="2556"/>
  <c r="AK36" i="3597"/>
  <c r="AL47" i="2556"/>
  <c r="AL33" i="3597"/>
  <c r="AJ60" i="3597"/>
  <c r="AL35" i="3584"/>
  <c r="AK35" i="3584"/>
  <c r="AL26" i="3597"/>
  <c r="AK37" i="3584"/>
  <c r="AK36" i="2556" s="1"/>
  <c r="AL37" i="3584"/>
  <c r="AL52" i="3597" s="1"/>
  <c r="AI13" i="3" l="1"/>
  <c r="AI6" i="2556" s="1"/>
  <c r="AI14" i="3584"/>
  <c r="AI7" i="3"/>
  <c r="AI12" i="3"/>
  <c r="AJ52" i="2556"/>
  <c r="AJ74" i="3584"/>
  <c r="AJ78" i="3584"/>
  <c r="AK153" i="2"/>
  <c r="AK145" i="2"/>
  <c r="AK113" i="3589"/>
  <c r="AL35" i="2556"/>
  <c r="AK35" i="2556"/>
  <c r="AK136" i="2"/>
  <c r="AJ62" i="3589"/>
  <c r="AM65" i="188"/>
  <c r="AK65" i="188"/>
  <c r="AI65" i="188"/>
  <c r="AI121" i="188" s="1"/>
  <c r="AJ65" i="188"/>
  <c r="AL65" i="188"/>
  <c r="AL97" i="188"/>
  <c r="AJ97" i="188"/>
  <c r="AK97" i="188"/>
  <c r="AM97" i="188"/>
  <c r="AI97" i="188"/>
  <c r="AI127" i="188" s="1"/>
  <c r="AI59" i="3589"/>
  <c r="AI12" i="3584"/>
  <c r="AI99" i="3589" s="1"/>
  <c r="AH99" i="3589"/>
  <c r="A99" i="188"/>
  <c r="A35" i="188"/>
  <c r="A67" i="188"/>
  <c r="AE83" i="3590"/>
  <c r="AE42" i="3590"/>
  <c r="AE15" i="3590"/>
  <c r="AE23" i="3590"/>
  <c r="AE66" i="3590"/>
  <c r="AE54" i="3590"/>
  <c r="AK1" i="3597"/>
  <c r="AK1" i="3"/>
  <c r="AK1" i="2556"/>
  <c r="AL2" i="2"/>
  <c r="AK1" i="3589"/>
  <c r="AK1" i="3584"/>
  <c r="AF10" i="3590"/>
  <c r="AL6" i="188"/>
  <c r="AI104" i="3589"/>
  <c r="AM120" i="188"/>
  <c r="AL120" i="188"/>
  <c r="AM126" i="188"/>
  <c r="AL126" i="188"/>
  <c r="B98" i="188"/>
  <c r="AI11" i="3584"/>
  <c r="AI100" i="3589" s="1"/>
  <c r="B66" i="188"/>
  <c r="AJ105" i="188"/>
  <c r="AJ2" i="3"/>
  <c r="AI54" i="3589"/>
  <c r="AF112" i="3589"/>
  <c r="AJ51" i="3584"/>
  <c r="AK139" i="3589" s="1"/>
  <c r="AJ23" i="3584"/>
  <c r="AJ24" i="2556" s="1"/>
  <c r="AJ67" i="3584"/>
  <c r="AI48" i="3597"/>
  <c r="AI49" i="2556"/>
  <c r="AI37" i="3597"/>
  <c r="AF33" i="2556"/>
  <c r="AF111" i="3589"/>
  <c r="AH119" i="188"/>
  <c r="AH122" i="188" s="1"/>
  <c r="AG33" i="3584" s="1"/>
  <c r="AL60" i="3597"/>
  <c r="AF34" i="2556"/>
  <c r="AH125" i="188"/>
  <c r="AH128" i="188" s="1"/>
  <c r="AG34" i="3584" s="1"/>
  <c r="AL113" i="3589"/>
  <c r="AK60" i="3597"/>
  <c r="AL141" i="3589"/>
  <c r="AK52" i="3597"/>
  <c r="AL36" i="2556"/>
  <c r="AL27" i="3597"/>
  <c r="AL11" i="2556" s="1"/>
  <c r="AJ13" i="3" l="1"/>
  <c r="AJ6" i="2556" s="1"/>
  <c r="AJ14" i="3584"/>
  <c r="AJ12" i="3"/>
  <c r="AG112" i="3589"/>
  <c r="AG59" i="3597"/>
  <c r="AG111" i="3589"/>
  <c r="AG58" i="3597"/>
  <c r="AK74" i="3584"/>
  <c r="AK52" i="2556"/>
  <c r="AK53" i="2556"/>
  <c r="AK78" i="3584"/>
  <c r="AL153" i="2"/>
  <c r="AL145" i="2"/>
  <c r="AJ59" i="3589"/>
  <c r="AJ7" i="3"/>
  <c r="AL136" i="2"/>
  <c r="AK62" i="3589"/>
  <c r="AM66" i="188"/>
  <c r="AK66" i="188"/>
  <c r="AJ66" i="188"/>
  <c r="AJ121" i="188" s="1"/>
  <c r="AL66" i="188"/>
  <c r="AL98" i="188"/>
  <c r="AJ98" i="188"/>
  <c r="AJ127" i="188" s="1"/>
  <c r="AK98" i="188"/>
  <c r="AM98" i="188"/>
  <c r="AL1" i="3597"/>
  <c r="AL1" i="3"/>
  <c r="AL1" i="3584"/>
  <c r="AL1" i="2556"/>
  <c r="AG10" i="3590"/>
  <c r="AM6" i="188"/>
  <c r="AL1" i="3589"/>
  <c r="AF66" i="3590"/>
  <c r="AF83" i="3590"/>
  <c r="AF42" i="3590"/>
  <c r="AF54" i="3590"/>
  <c r="AF15" i="3590"/>
  <c r="AF23" i="3590"/>
  <c r="A100" i="188"/>
  <c r="A36" i="188"/>
  <c r="A68" i="188"/>
  <c r="AJ104" i="3589"/>
  <c r="B99" i="188"/>
  <c r="B67" i="188"/>
  <c r="AJ11" i="3584"/>
  <c r="AJ100" i="3589" s="1"/>
  <c r="AK105" i="188"/>
  <c r="AK2" i="3"/>
  <c r="AJ54" i="3589"/>
  <c r="AK51" i="3584"/>
  <c r="AL139" i="3589" s="1"/>
  <c r="AL51" i="3584"/>
  <c r="AJ48" i="3597"/>
  <c r="AJ49" i="2556"/>
  <c r="AJ37" i="3597"/>
  <c r="AL67" i="3584"/>
  <c r="AK67" i="3584"/>
  <c r="AL23" i="3584"/>
  <c r="AL48" i="3597" s="1"/>
  <c r="AK23" i="3584"/>
  <c r="AK104" i="3589" s="1"/>
  <c r="AG34" i="2556"/>
  <c r="AG33" i="2556"/>
  <c r="AI125" i="188"/>
  <c r="AI128" i="188" s="1"/>
  <c r="AH34" i="3584" s="1"/>
  <c r="AH59" i="3597" s="1"/>
  <c r="AI119" i="188"/>
  <c r="AI122" i="188" s="1"/>
  <c r="AH33" i="3584" s="1"/>
  <c r="AH58" i="3597" s="1"/>
  <c r="AK13" i="3" l="1"/>
  <c r="AK6" i="2556" s="1"/>
  <c r="AK14" i="3584"/>
  <c r="AK12" i="3"/>
  <c r="AL62" i="3589"/>
  <c r="AL74" i="3584"/>
  <c r="AL52" i="2556"/>
  <c r="AL78" i="3584"/>
  <c r="AL53" i="2556"/>
  <c r="AK59" i="3589"/>
  <c r="AK7" i="3"/>
  <c r="AL99" i="188"/>
  <c r="AM99" i="188"/>
  <c r="AK99" i="188"/>
  <c r="AK127" i="188" s="1"/>
  <c r="AL67" i="188"/>
  <c r="AK67" i="188"/>
  <c r="AK121" i="188" s="1"/>
  <c r="AM67" i="188"/>
  <c r="A37" i="188"/>
  <c r="A69" i="188"/>
  <c r="A101" i="188"/>
  <c r="AG66" i="3590"/>
  <c r="AG83" i="3590"/>
  <c r="AG23" i="3590"/>
  <c r="AG42" i="3590"/>
  <c r="AG15" i="3590"/>
  <c r="AG54" i="3590"/>
  <c r="B100" i="188"/>
  <c r="AK54" i="3589"/>
  <c r="AL105" i="188"/>
  <c r="B68" i="188"/>
  <c r="AL2" i="3"/>
  <c r="AH112" i="3589"/>
  <c r="AK37" i="3597"/>
  <c r="AK49" i="2556"/>
  <c r="AL37" i="3597"/>
  <c r="AL49" i="2556"/>
  <c r="AL104" i="3589"/>
  <c r="AL24" i="2556"/>
  <c r="AK48" i="3597"/>
  <c r="AK24" i="2556"/>
  <c r="AH33" i="2556"/>
  <c r="AH111" i="3589"/>
  <c r="AJ119" i="188"/>
  <c r="AJ122" i="188" s="1"/>
  <c r="AI33" i="3584" s="1"/>
  <c r="AI58" i="3597" s="1"/>
  <c r="AH34" i="2556"/>
  <c r="AJ125" i="188"/>
  <c r="AJ128" i="188" s="1"/>
  <c r="AI34" i="3584" s="1"/>
  <c r="AL13" i="3" l="1"/>
  <c r="AL6" i="2556" s="1"/>
  <c r="AL14" i="3584"/>
  <c r="AL12" i="3"/>
  <c r="AI112" i="3589"/>
  <c r="AI59" i="3597"/>
  <c r="AL59" i="3589"/>
  <c r="AL7" i="3"/>
  <c r="AL100" i="188"/>
  <c r="AL127" i="188" s="1"/>
  <c r="AM100" i="188"/>
  <c r="AM68" i="188"/>
  <c r="AL68" i="188"/>
  <c r="AL121" i="188" s="1"/>
  <c r="AM105" i="188"/>
  <c r="B69" i="188"/>
  <c r="AM69" i="188" s="1"/>
  <c r="AL54" i="3589"/>
  <c r="B101" i="188"/>
  <c r="AM101" i="188" s="1"/>
  <c r="AI33" i="2556"/>
  <c r="AI111" i="3589"/>
  <c r="AI34" i="2556"/>
  <c r="AK125" i="188"/>
  <c r="AK128" i="188" s="1"/>
  <c r="AJ34" i="3584" s="1"/>
  <c r="AK119" i="188"/>
  <c r="AK122" i="188" s="1"/>
  <c r="AJ33" i="3584" s="1"/>
  <c r="AJ33" i="2556" l="1"/>
  <c r="AJ58" i="3597"/>
  <c r="AJ112" i="3589"/>
  <c r="AJ59" i="3597"/>
  <c r="AM121" i="188"/>
  <c r="AM127" i="188"/>
  <c r="AJ34" i="2556"/>
  <c r="AJ111" i="3589"/>
  <c r="AL119" i="188"/>
  <c r="AL122" i="188" s="1"/>
  <c r="AK33" i="3584" s="1"/>
  <c r="AL125" i="188"/>
  <c r="AL128" i="188" s="1"/>
  <c r="AK34" i="3584" s="1"/>
  <c r="AK111" i="3589" l="1"/>
  <c r="AK58" i="3597"/>
  <c r="AK112" i="3589"/>
  <c r="AK59" i="3597"/>
  <c r="AK34" i="2556"/>
  <c r="AM125" i="188"/>
  <c r="AM128" i="188" s="1"/>
  <c r="AL34" i="3584" s="1"/>
  <c r="AK33" i="2556"/>
  <c r="AM119" i="188"/>
  <c r="AM122" i="188" s="1"/>
  <c r="AL33" i="3584" s="1"/>
  <c r="AL58" i="3597" s="1"/>
  <c r="P14" i="3"/>
  <c r="S20" i="3"/>
  <c r="AL112" i="3589" l="1"/>
  <c r="AL59" i="3597"/>
  <c r="Y52" i="3589"/>
  <c r="Y61" i="3589" s="1"/>
  <c r="Y33" i="3"/>
  <c r="X52" i="3589"/>
  <c r="X61" i="3589" s="1"/>
  <c r="X33" i="3"/>
  <c r="AL111" i="3589"/>
  <c r="AL33" i="2556"/>
  <c r="P18" i="2556"/>
  <c r="P7" i="2556"/>
  <c r="AL34" i="2556"/>
  <c r="T21" i="3"/>
  <c r="Q17" i="3"/>
  <c r="Q16" i="3"/>
  <c r="AL25" i="3589"/>
  <c r="J27" i="3584" l="1"/>
  <c r="AK11" i="3584"/>
  <c r="AK100" i="3589" s="1"/>
  <c r="AE4" i="3584"/>
  <c r="AE96" i="3589" s="1"/>
  <c r="K25" i="3584"/>
  <c r="AJ12" i="3584"/>
  <c r="Y36" i="3589"/>
  <c r="Y37" i="3589" s="1"/>
  <c r="Z52" i="3589"/>
  <c r="Z61" i="3589" s="1"/>
  <c r="Z33" i="3"/>
  <c r="Z54" i="2556"/>
  <c r="T53" i="3590"/>
  <c r="Y54" i="2556"/>
  <c r="S53" i="3590"/>
  <c r="Q9" i="2556"/>
  <c r="Q17" i="2556"/>
  <c r="T20" i="3"/>
  <c r="R17" i="3"/>
  <c r="R16" i="3"/>
  <c r="Q14" i="3"/>
  <c r="U21" i="3"/>
  <c r="J28" i="3584"/>
  <c r="J37" i="3627"/>
  <c r="B3" i="3627" s="1"/>
  <c r="AM2" i="3627"/>
  <c r="A33" i="3627" s="1"/>
  <c r="AL2" i="3627"/>
  <c r="A32" i="3627" s="1"/>
  <c r="AK2" i="3627"/>
  <c r="A31" i="3627" s="1"/>
  <c r="AJ2" i="3627"/>
  <c r="A30" i="3627" s="1"/>
  <c r="AI2" i="3627"/>
  <c r="A29" i="3627" s="1"/>
  <c r="AH2" i="3627"/>
  <c r="A28" i="3627" s="1"/>
  <c r="AG2" i="3627"/>
  <c r="A27" i="3627" s="1"/>
  <c r="AF2" i="3627"/>
  <c r="A26" i="3627" s="1"/>
  <c r="AE2" i="3627"/>
  <c r="A25" i="3627" s="1"/>
  <c r="AD2" i="3627"/>
  <c r="A24" i="3627" s="1"/>
  <c r="AC2" i="3627"/>
  <c r="A23" i="3627" s="1"/>
  <c r="AB2" i="3627"/>
  <c r="A22" i="3627" s="1"/>
  <c r="AA2" i="3627"/>
  <c r="A21" i="3627" s="1"/>
  <c r="Z2" i="3627"/>
  <c r="A20" i="3627" s="1"/>
  <c r="Y2" i="3627"/>
  <c r="A19" i="3627" s="1"/>
  <c r="X2" i="3627"/>
  <c r="A18" i="3627" s="1"/>
  <c r="W2" i="3627"/>
  <c r="A17" i="3627" s="1"/>
  <c r="V2" i="3627"/>
  <c r="A16" i="3627" s="1"/>
  <c r="U2" i="3627"/>
  <c r="A15" i="3627" s="1"/>
  <c r="T2" i="3627"/>
  <c r="A14" i="3627" s="1"/>
  <c r="S2" i="3627"/>
  <c r="A13" i="3627" s="1"/>
  <c r="R2" i="3627"/>
  <c r="A12" i="3627" s="1"/>
  <c r="Q2" i="3627"/>
  <c r="A11" i="3627" s="1"/>
  <c r="P2" i="3627"/>
  <c r="A10" i="3627" s="1"/>
  <c r="O2" i="3627"/>
  <c r="A9" i="3627" s="1"/>
  <c r="N2" i="3627"/>
  <c r="A8" i="3627" s="1"/>
  <c r="M2" i="3627"/>
  <c r="A7" i="3627" s="1"/>
  <c r="L2" i="3627"/>
  <c r="A6" i="3627" s="1"/>
  <c r="K2" i="3627"/>
  <c r="A5" i="3627" s="1"/>
  <c r="J2" i="3627"/>
  <c r="A4" i="3627" s="1"/>
  <c r="B2" i="3627"/>
  <c r="K105" i="3589" l="1"/>
  <c r="J107" i="3589"/>
  <c r="J29" i="2556"/>
  <c r="AF4" i="3584"/>
  <c r="AF19" i="2556" s="1"/>
  <c r="Z36" i="3589"/>
  <c r="Z37" i="3589" s="1"/>
  <c r="AK12" i="3584"/>
  <c r="AK99" i="3589" s="1"/>
  <c r="AE19" i="2556"/>
  <c r="AE4" i="3597"/>
  <c r="AE47" i="3597"/>
  <c r="J29" i="3584"/>
  <c r="AA52" i="3589"/>
  <c r="AA61" i="3589" s="1"/>
  <c r="AA33" i="3"/>
  <c r="U53" i="3590"/>
  <c r="AA54" i="2556"/>
  <c r="K26" i="2556"/>
  <c r="K49" i="3597"/>
  <c r="L25" i="3584"/>
  <c r="L105" i="3589" s="1"/>
  <c r="AF98" i="3589"/>
  <c r="AL11" i="3584"/>
  <c r="AL100" i="3589" s="1"/>
  <c r="J28" i="2556"/>
  <c r="J106" i="3589"/>
  <c r="J50" i="3597"/>
  <c r="AJ99" i="3589"/>
  <c r="AG98" i="3589"/>
  <c r="K27" i="3584"/>
  <c r="AJ3" i="3627"/>
  <c r="Q18" i="2556"/>
  <c r="Q7" i="2556"/>
  <c r="R9" i="2556"/>
  <c r="R17" i="2556"/>
  <c r="V21" i="3"/>
  <c r="R14" i="3"/>
  <c r="S17" i="3"/>
  <c r="S16" i="3"/>
  <c r="U20" i="3"/>
  <c r="U3" i="3627"/>
  <c r="Z3" i="3627"/>
  <c r="AH3" i="3627"/>
  <c r="J3" i="3627"/>
  <c r="K3" i="3627"/>
  <c r="L3" i="3627"/>
  <c r="M3" i="3627"/>
  <c r="P3" i="3627"/>
  <c r="Q3" i="3627"/>
  <c r="R3" i="3627"/>
  <c r="S3" i="3627"/>
  <c r="T3" i="3627"/>
  <c r="V3" i="3627"/>
  <c r="AC3" i="3627"/>
  <c r="AE3" i="3627"/>
  <c r="AF3" i="3627"/>
  <c r="AL3" i="3627"/>
  <c r="AM3" i="3627"/>
  <c r="O3" i="3627"/>
  <c r="AA3" i="3627"/>
  <c r="AD3" i="3627"/>
  <c r="AG3" i="3627"/>
  <c r="AI3" i="3627"/>
  <c r="AK3" i="3627"/>
  <c r="N3" i="3627"/>
  <c r="W3" i="3627"/>
  <c r="X3" i="3627"/>
  <c r="Y3" i="3627"/>
  <c r="AB3" i="3627"/>
  <c r="E11" i="3645" l="1"/>
  <c r="J108" i="3589"/>
  <c r="AF96" i="3589"/>
  <c r="K50" i="3597"/>
  <c r="L27" i="3584"/>
  <c r="L106" i="3589" s="1"/>
  <c r="AH98" i="3589"/>
  <c r="K28" i="3584"/>
  <c r="L26" i="2556"/>
  <c r="L49" i="3597"/>
  <c r="AB54" i="2556"/>
  <c r="V53" i="3590"/>
  <c r="AL12" i="3584"/>
  <c r="AL99" i="3589" s="1"/>
  <c r="AA36" i="3589"/>
  <c r="AA37" i="3589" s="1"/>
  <c r="K106" i="3589"/>
  <c r="K28" i="2556"/>
  <c r="M25" i="3584"/>
  <c r="M26" i="2556" s="1"/>
  <c r="AB52" i="3589"/>
  <c r="AB61" i="3589" s="1"/>
  <c r="AB33" i="3"/>
  <c r="J21" i="2556"/>
  <c r="J51" i="3597"/>
  <c r="K29" i="3584"/>
  <c r="D11" i="3622"/>
  <c r="AF4" i="3597"/>
  <c r="AF47" i="3597"/>
  <c r="AG4" i="3584"/>
  <c r="AG96" i="3589" s="1"/>
  <c r="R18" i="2556"/>
  <c r="R7" i="2556"/>
  <c r="S9" i="2556"/>
  <c r="S17" i="2556"/>
  <c r="T17" i="3"/>
  <c r="T16" i="3"/>
  <c r="S14" i="3"/>
  <c r="V20" i="3"/>
  <c r="W21" i="3"/>
  <c r="D44" i="3622" l="1"/>
  <c r="E45" i="3645"/>
  <c r="F11" i="3645"/>
  <c r="K107" i="3589"/>
  <c r="K108" i="3589"/>
  <c r="M105" i="3589"/>
  <c r="AG4" i="3597"/>
  <c r="AG47" i="3597"/>
  <c r="AG19" i="2556"/>
  <c r="AH4" i="3584"/>
  <c r="AH96" i="3589" s="1"/>
  <c r="AC52" i="3589"/>
  <c r="AC61" i="3589" s="1"/>
  <c r="AC33" i="3"/>
  <c r="W53" i="3590"/>
  <c r="AC54" i="2556"/>
  <c r="N25" i="3584"/>
  <c r="N26" i="2556" s="1"/>
  <c r="L28" i="3584"/>
  <c r="L107" i="3589" s="1"/>
  <c r="K29" i="2556"/>
  <c r="M27" i="3584"/>
  <c r="M28" i="2556" s="1"/>
  <c r="K51" i="3597"/>
  <c r="L29" i="3584"/>
  <c r="L21" i="2556" s="1"/>
  <c r="E11" i="3622"/>
  <c r="K21" i="2556"/>
  <c r="F45" i="3645" s="1"/>
  <c r="M49" i="3597"/>
  <c r="AB36" i="3589"/>
  <c r="AB37" i="3589" s="1"/>
  <c r="L50" i="3597"/>
  <c r="L28" i="2556"/>
  <c r="S18" i="2556"/>
  <c r="S7" i="2556"/>
  <c r="T17" i="2556"/>
  <c r="T9" i="2556"/>
  <c r="X21" i="3"/>
  <c r="T14" i="3"/>
  <c r="W20" i="3"/>
  <c r="U17" i="3"/>
  <c r="U16" i="3"/>
  <c r="E44" i="3622" l="1"/>
  <c r="M106" i="3589"/>
  <c r="N105" i="3589"/>
  <c r="L108" i="3589"/>
  <c r="M29" i="3584"/>
  <c r="M21" i="2556" s="1"/>
  <c r="L51" i="3597"/>
  <c r="N27" i="3584"/>
  <c r="N28" i="2556" s="1"/>
  <c r="M28" i="3584"/>
  <c r="M107" i="3589" s="1"/>
  <c r="L29" i="2556"/>
  <c r="AD52" i="3589"/>
  <c r="AD61" i="3589" s="1"/>
  <c r="AD33" i="3"/>
  <c r="AD54" i="2556"/>
  <c r="X53" i="3590"/>
  <c r="AH19" i="2556"/>
  <c r="AH4" i="3597"/>
  <c r="AH47" i="3597"/>
  <c r="AI4" i="3584"/>
  <c r="AI19" i="2556" s="1"/>
  <c r="N49" i="3597"/>
  <c r="AJ98" i="3589"/>
  <c r="AI98" i="3589"/>
  <c r="AC36" i="3589"/>
  <c r="AC37" i="3589" s="1"/>
  <c r="M50" i="3597"/>
  <c r="O25" i="3584"/>
  <c r="O105" i="3589" s="1"/>
  <c r="T7" i="2556"/>
  <c r="T18" i="2556"/>
  <c r="U17" i="2556"/>
  <c r="U9" i="2556"/>
  <c r="X20" i="3"/>
  <c r="V17" i="3"/>
  <c r="V16" i="3"/>
  <c r="U14" i="3"/>
  <c r="Y21" i="3"/>
  <c r="N106" i="3589" l="1"/>
  <c r="AI96" i="3589"/>
  <c r="M108" i="3589"/>
  <c r="O49" i="3597"/>
  <c r="AI4" i="3597"/>
  <c r="AI47" i="3597"/>
  <c r="AE54" i="2556"/>
  <c r="Y53" i="3590"/>
  <c r="M29" i="2556"/>
  <c r="N50" i="3597"/>
  <c r="O27" i="3584"/>
  <c r="P25" i="3584"/>
  <c r="P26" i="2556" s="1"/>
  <c r="AD36" i="3589"/>
  <c r="AD37" i="3589" s="1"/>
  <c r="O26" i="2556"/>
  <c r="AJ4" i="3584"/>
  <c r="AJ96" i="3589" s="1"/>
  <c r="AE52" i="3589"/>
  <c r="AE61" i="3589" s="1"/>
  <c r="AE33" i="3"/>
  <c r="N28" i="3584"/>
  <c r="M51" i="3597"/>
  <c r="N29" i="3584"/>
  <c r="N108" i="3589" s="1"/>
  <c r="U7" i="2556"/>
  <c r="U18" i="2556"/>
  <c r="V9" i="2556"/>
  <c r="V17" i="2556"/>
  <c r="Y20" i="3"/>
  <c r="V14" i="3"/>
  <c r="Z21" i="3"/>
  <c r="W17" i="3"/>
  <c r="W16" i="3"/>
  <c r="P105" i="3589" l="1"/>
  <c r="N107" i="3589"/>
  <c r="AF52" i="3589"/>
  <c r="AF61" i="3589" s="1"/>
  <c r="AF33" i="3"/>
  <c r="AL4" i="3584"/>
  <c r="AK4" i="3584"/>
  <c r="AK19" i="2556" s="1"/>
  <c r="Q25" i="3584"/>
  <c r="Q26" i="2556" s="1"/>
  <c r="O50" i="3597"/>
  <c r="O106" i="3589"/>
  <c r="O29" i="3584"/>
  <c r="O21" i="2556" s="1"/>
  <c r="N51" i="3597"/>
  <c r="O28" i="3584"/>
  <c r="O107" i="3589" s="1"/>
  <c r="AF54" i="2556"/>
  <c r="Z53" i="3590"/>
  <c r="AJ47" i="3597"/>
  <c r="AJ4" i="3597"/>
  <c r="AK98" i="3589"/>
  <c r="AE36" i="3589"/>
  <c r="AE37" i="3589" s="1"/>
  <c r="P49" i="3597"/>
  <c r="P27" i="3584"/>
  <c r="P106" i="3589" s="1"/>
  <c r="O28" i="2556"/>
  <c r="AJ19" i="2556"/>
  <c r="AL98" i="3589"/>
  <c r="N21" i="2556"/>
  <c r="N29" i="2556"/>
  <c r="W9" i="2556"/>
  <c r="W17" i="2556"/>
  <c r="V18" i="2556"/>
  <c r="V7" i="2556"/>
  <c r="X17" i="3"/>
  <c r="X16" i="3"/>
  <c r="AA21" i="3"/>
  <c r="W14" i="3"/>
  <c r="Z20" i="3"/>
  <c r="Q105" i="3589" l="1"/>
  <c r="AK96" i="3589"/>
  <c r="O108" i="3589"/>
  <c r="Q27" i="3584"/>
  <c r="Q28" i="2556" s="1"/>
  <c r="P28" i="3584"/>
  <c r="P29" i="2556" s="1"/>
  <c r="P28" i="2556"/>
  <c r="P50" i="3597"/>
  <c r="O29" i="2556"/>
  <c r="O51" i="3597"/>
  <c r="P29" i="3584"/>
  <c r="P21" i="2556" s="1"/>
  <c r="R25" i="3584"/>
  <c r="R26" i="2556" s="1"/>
  <c r="AG54" i="2556"/>
  <c r="AA53" i="3590"/>
  <c r="AF36" i="3589"/>
  <c r="AF37" i="3589" s="1"/>
  <c r="Q49" i="3597"/>
  <c r="AK47" i="3597"/>
  <c r="AK4" i="3597"/>
  <c r="AL19" i="2556"/>
  <c r="AL96" i="3589"/>
  <c r="AL4" i="3597"/>
  <c r="AL47" i="3597"/>
  <c r="AG52" i="3589"/>
  <c r="AG61" i="3589" s="1"/>
  <c r="AG33" i="3"/>
  <c r="W7" i="2556"/>
  <c r="W18" i="2556"/>
  <c r="X17" i="2556"/>
  <c r="X9" i="2556"/>
  <c r="AA20" i="3"/>
  <c r="X14" i="3"/>
  <c r="AB21" i="3"/>
  <c r="Y17" i="3"/>
  <c r="Y16" i="3"/>
  <c r="Q106" i="3589" l="1"/>
  <c r="R105" i="3589"/>
  <c r="P107" i="3589"/>
  <c r="P108" i="3589"/>
  <c r="S25" i="3584"/>
  <c r="S26" i="2556" s="1"/>
  <c r="AH52" i="3589"/>
  <c r="AH61" i="3589" s="1"/>
  <c r="AH33" i="3"/>
  <c r="AB53" i="3590"/>
  <c r="AH54" i="2556"/>
  <c r="AG36" i="3589"/>
  <c r="AG37" i="3589" s="1"/>
  <c r="R49" i="3597"/>
  <c r="P51" i="3597"/>
  <c r="Q29" i="3584"/>
  <c r="Q21" i="2556" s="1"/>
  <c r="Q28" i="3584"/>
  <c r="Q29" i="2556" s="1"/>
  <c r="Q50" i="3597"/>
  <c r="R27" i="3584"/>
  <c r="R106" i="3589" s="1"/>
  <c r="Y17" i="2556"/>
  <c r="Y9" i="2556"/>
  <c r="X7" i="2556"/>
  <c r="X18" i="2556"/>
  <c r="AC21" i="3"/>
  <c r="Y14" i="3"/>
  <c r="Z17" i="3"/>
  <c r="Z16" i="3"/>
  <c r="AB20" i="3"/>
  <c r="S105" i="3589" l="1"/>
  <c r="Q107" i="3589"/>
  <c r="Q108" i="3589"/>
  <c r="S27" i="3584"/>
  <c r="S28" i="2556" s="1"/>
  <c r="R50" i="3597"/>
  <c r="R28" i="2556"/>
  <c r="R29" i="3584"/>
  <c r="R21" i="2556" s="1"/>
  <c r="Q51" i="3597"/>
  <c r="AH36" i="3589"/>
  <c r="AH37" i="3589" s="1"/>
  <c r="R28" i="3584"/>
  <c r="R107" i="3589" s="1"/>
  <c r="S49" i="3597"/>
  <c r="AI52" i="3589"/>
  <c r="AI61" i="3589" s="1"/>
  <c r="AI33" i="3"/>
  <c r="AC53" i="3590"/>
  <c r="AI54" i="2556"/>
  <c r="T25" i="3584"/>
  <c r="T105" i="3589" s="1"/>
  <c r="Z9" i="2556"/>
  <c r="Z17" i="2556"/>
  <c r="Y7" i="2556"/>
  <c r="Y18" i="2556"/>
  <c r="Z14" i="3"/>
  <c r="AC20" i="3"/>
  <c r="AA17" i="3"/>
  <c r="AA16" i="3"/>
  <c r="AD21" i="3"/>
  <c r="S106" i="3589" l="1"/>
  <c r="R108" i="3589"/>
  <c r="AI36" i="3589"/>
  <c r="AI37" i="3589" s="1"/>
  <c r="R51" i="3597"/>
  <c r="S29" i="3584"/>
  <c r="S21" i="2556" s="1"/>
  <c r="T49" i="3597"/>
  <c r="AJ54" i="2556"/>
  <c r="AD53" i="3590"/>
  <c r="S28" i="3584"/>
  <c r="S29" i="2556" s="1"/>
  <c r="S50" i="3597"/>
  <c r="U25" i="3584"/>
  <c r="U105" i="3589" s="1"/>
  <c r="AJ52" i="3589"/>
  <c r="AJ61" i="3589" s="1"/>
  <c r="AJ33" i="3"/>
  <c r="T26" i="2556"/>
  <c r="R29" i="2556"/>
  <c r="T27" i="3584"/>
  <c r="T106" i="3589" s="1"/>
  <c r="Z18" i="2556"/>
  <c r="Z7" i="2556"/>
  <c r="AA17" i="2556"/>
  <c r="AA9" i="2556"/>
  <c r="AE21" i="3"/>
  <c r="AB17" i="3"/>
  <c r="AB16" i="3"/>
  <c r="AA14" i="3"/>
  <c r="AD20" i="3"/>
  <c r="S107" i="3589" l="1"/>
  <c r="S108" i="3589"/>
  <c r="U27" i="3584"/>
  <c r="U28" i="2556" s="1"/>
  <c r="U49" i="3597"/>
  <c r="T28" i="3584"/>
  <c r="T29" i="2556" s="1"/>
  <c r="U26" i="2556"/>
  <c r="AE53" i="3590"/>
  <c r="AK54" i="2556"/>
  <c r="T29" i="3584"/>
  <c r="T21" i="2556" s="1"/>
  <c r="S51" i="3597"/>
  <c r="T28" i="2556"/>
  <c r="T50" i="3597"/>
  <c r="AK52" i="3589"/>
  <c r="AK61" i="3589" s="1"/>
  <c r="AK33" i="3"/>
  <c r="V25" i="3584"/>
  <c r="V105" i="3589" s="1"/>
  <c r="AJ36" i="3589"/>
  <c r="AJ37" i="3589" s="1"/>
  <c r="AA7" i="2556"/>
  <c r="AA18" i="2556"/>
  <c r="AB9" i="2556"/>
  <c r="AB17" i="2556"/>
  <c r="AE20" i="3"/>
  <c r="AC17" i="3"/>
  <c r="AC16" i="3"/>
  <c r="AB14" i="3"/>
  <c r="AF21" i="3"/>
  <c r="U106" i="3589" l="1"/>
  <c r="T108" i="3589"/>
  <c r="T107" i="3589"/>
  <c r="AL52" i="3589"/>
  <c r="AL61" i="3589" s="1"/>
  <c r="AL33" i="3"/>
  <c r="AG53" i="3590" s="1"/>
  <c r="U29" i="3584"/>
  <c r="U21" i="2556" s="1"/>
  <c r="T51" i="3597"/>
  <c r="U28" i="3584"/>
  <c r="U107" i="3589" s="1"/>
  <c r="W25" i="3584"/>
  <c r="W26" i="2556" s="1"/>
  <c r="AL54" i="2556"/>
  <c r="AF53" i="3590"/>
  <c r="U50" i="3597"/>
  <c r="AL36" i="3589"/>
  <c r="AL37" i="3589" s="1"/>
  <c r="AK36" i="3589"/>
  <c r="AK37" i="3589" s="1"/>
  <c r="V49" i="3597"/>
  <c r="V26" i="2556"/>
  <c r="V27" i="3584"/>
  <c r="AB7" i="2556"/>
  <c r="AB18" i="2556"/>
  <c r="AC9" i="2556"/>
  <c r="AC17" i="2556"/>
  <c r="AC14" i="3"/>
  <c r="AG21" i="3"/>
  <c r="AD17" i="3"/>
  <c r="AD16" i="3"/>
  <c r="AF20" i="3"/>
  <c r="W105" i="3589" l="1"/>
  <c r="U29" i="2556"/>
  <c r="U108" i="3589"/>
  <c r="X25" i="3584"/>
  <c r="X26" i="2556" s="1"/>
  <c r="V28" i="2556"/>
  <c r="V50" i="3597"/>
  <c r="V106" i="3589"/>
  <c r="W49" i="3597"/>
  <c r="V28" i="3584"/>
  <c r="V29" i="2556" s="1"/>
  <c r="W27" i="3584"/>
  <c r="U51" i="3597"/>
  <c r="V29" i="3584"/>
  <c r="V108" i="3589" s="1"/>
  <c r="AD9" i="2556"/>
  <c r="AD17" i="2556"/>
  <c r="AC18" i="2556"/>
  <c r="AC7" i="2556"/>
  <c r="AE17" i="3"/>
  <c r="AE16" i="3"/>
  <c r="AD14" i="3"/>
  <c r="AG20" i="3"/>
  <c r="AH21" i="3"/>
  <c r="E54" i="3590" l="1"/>
  <c r="X105" i="3589"/>
  <c r="V21" i="2556"/>
  <c r="V107" i="3589"/>
  <c r="W106" i="3589"/>
  <c r="W50" i="3597"/>
  <c r="W29" i="3584"/>
  <c r="W21" i="2556" s="1"/>
  <c r="V51" i="3597"/>
  <c r="W28" i="3584"/>
  <c r="W107" i="3589" s="1"/>
  <c r="X49" i="3597"/>
  <c r="X27" i="3584"/>
  <c r="W28" i="2556"/>
  <c r="Y25" i="3584"/>
  <c r="Y26" i="2556" s="1"/>
  <c r="AD7" i="2556"/>
  <c r="AD18" i="2556"/>
  <c r="AE9" i="2556"/>
  <c r="AE17" i="2556"/>
  <c r="AE14" i="3"/>
  <c r="AI21" i="3"/>
  <c r="AH20" i="3"/>
  <c r="AF17" i="3"/>
  <c r="AF16" i="3"/>
  <c r="F54" i="3590" l="1"/>
  <c r="G54" i="3590" s="1"/>
  <c r="H54" i="3590" s="1"/>
  <c r="I54" i="3590" s="1"/>
  <c r="Y105" i="3589"/>
  <c r="W108" i="3589"/>
  <c r="W29" i="2556"/>
  <c r="Y49" i="3597"/>
  <c r="Z25" i="3584"/>
  <c r="Z26" i="2556" s="1"/>
  <c r="X50" i="3597"/>
  <c r="X28" i="3584"/>
  <c r="X107" i="3589" s="1"/>
  <c r="X29" i="3584"/>
  <c r="X108" i="3589" s="1"/>
  <c r="W51" i="3597"/>
  <c r="X28" i="2556"/>
  <c r="Y27" i="3584"/>
  <c r="Y28" i="2556" s="1"/>
  <c r="X106" i="3589"/>
  <c r="AF9" i="2556"/>
  <c r="AF17" i="2556"/>
  <c r="AE7" i="2556"/>
  <c r="AE18" i="2556"/>
  <c r="AG17" i="3"/>
  <c r="AG16" i="3"/>
  <c r="AI20" i="3"/>
  <c r="AJ21" i="3"/>
  <c r="AF14" i="3"/>
  <c r="I38" i="3616" l="1"/>
  <c r="K37" i="3616"/>
  <c r="I35" i="3616"/>
  <c r="H37" i="3616"/>
  <c r="H39" i="3616"/>
  <c r="L44" i="3616"/>
  <c r="J37" i="3616"/>
  <c r="I44" i="3616"/>
  <c r="I36" i="3616"/>
  <c r="F40" i="3616"/>
  <c r="J42" i="3616"/>
  <c r="F42" i="3616"/>
  <c r="B37" i="3616"/>
  <c r="C38" i="3616"/>
  <c r="B43" i="3616"/>
  <c r="D39" i="3616"/>
  <c r="E37" i="3616"/>
  <c r="B44" i="3616"/>
  <c r="J38" i="3616"/>
  <c r="I39" i="3616"/>
  <c r="G39" i="3616"/>
  <c r="L38" i="3616"/>
  <c r="K43" i="3616"/>
  <c r="J44" i="3616"/>
  <c r="F36" i="3616"/>
  <c r="D36" i="3616"/>
  <c r="H35" i="3616"/>
  <c r="C36" i="3616"/>
  <c r="D37" i="3616"/>
  <c r="G40" i="3616"/>
  <c r="E40" i="3616"/>
  <c r="K41" i="3616"/>
  <c r="I41" i="3616"/>
  <c r="L39" i="3616"/>
  <c r="D34" i="3616"/>
  <c r="B34" i="3616"/>
  <c r="G41" i="3616"/>
  <c r="L35" i="3616"/>
  <c r="E39" i="3616"/>
  <c r="K40" i="3616"/>
  <c r="K34" i="3616"/>
  <c r="I43" i="3616"/>
  <c r="E38" i="3616"/>
  <c r="K36" i="3616"/>
  <c r="F39" i="3616"/>
  <c r="C39" i="3616"/>
  <c r="C35" i="3616"/>
  <c r="G34" i="3616"/>
  <c r="G44" i="3616"/>
  <c r="G38" i="3616"/>
  <c r="L36" i="3616"/>
  <c r="E44" i="3616"/>
  <c r="K35" i="3616"/>
  <c r="E42" i="3616"/>
  <c r="D43" i="3616"/>
  <c r="C37" i="3616"/>
  <c r="C44" i="3616"/>
  <c r="B35" i="3616"/>
  <c r="B41" i="3616"/>
  <c r="D40" i="3616"/>
  <c r="I40" i="3616"/>
  <c r="H42" i="3616"/>
  <c r="I37" i="3616"/>
  <c r="H38" i="3616"/>
  <c r="F38" i="3616"/>
  <c r="G112" i="3600" s="1"/>
  <c r="F44" i="3616"/>
  <c r="D44" i="3616"/>
  <c r="G35" i="3616"/>
  <c r="L34" i="3616"/>
  <c r="J34" i="3616"/>
  <c r="J35" i="3616"/>
  <c r="K44" i="3616"/>
  <c r="C42" i="3616"/>
  <c r="E41" i="3616"/>
  <c r="K39" i="3616"/>
  <c r="B36" i="3616"/>
  <c r="K38" i="3616"/>
  <c r="C41" i="3616"/>
  <c r="L43" i="3616"/>
  <c r="L41" i="3616"/>
  <c r="K42" i="3616"/>
  <c r="H43" i="3616"/>
  <c r="E43" i="3616"/>
  <c r="C43" i="3616"/>
  <c r="I34" i="3616"/>
  <c r="J43" i="3616"/>
  <c r="C34" i="3616"/>
  <c r="D41" i="3616"/>
  <c r="J40" i="3616"/>
  <c r="F41" i="3616"/>
  <c r="F37" i="3616"/>
  <c r="F35" i="3616"/>
  <c r="E36" i="3616"/>
  <c r="J36" i="3616"/>
  <c r="J39" i="3616"/>
  <c r="J41" i="3616"/>
  <c r="B38" i="3616"/>
  <c r="I42" i="3616"/>
  <c r="C56" i="3590"/>
  <c r="E34" i="3616"/>
  <c r="E35" i="3616"/>
  <c r="L42" i="3616"/>
  <c r="G37" i="3616"/>
  <c r="F34" i="3616"/>
  <c r="H40" i="3616"/>
  <c r="E112" i="3600" s="1"/>
  <c r="G36" i="3616"/>
  <c r="F43" i="3616"/>
  <c r="G42" i="3616"/>
  <c r="D42" i="3616"/>
  <c r="B42" i="3616"/>
  <c r="H34" i="3616"/>
  <c r="H44" i="3616"/>
  <c r="B40" i="3616"/>
  <c r="G43" i="3616"/>
  <c r="H36" i="3616"/>
  <c r="D38" i="3616"/>
  <c r="L40" i="3616"/>
  <c r="D35" i="3616"/>
  <c r="B39" i="3616"/>
  <c r="H41" i="3616"/>
  <c r="L37" i="3616"/>
  <c r="C40" i="3616"/>
  <c r="C58" i="3590"/>
  <c r="C60" i="3590" s="1"/>
  <c r="C112" i="3600" s="1"/>
  <c r="Z105" i="3589"/>
  <c r="X29" i="2556"/>
  <c r="Z27" i="3584"/>
  <c r="Z28" i="2556" s="1"/>
  <c r="X21" i="2556"/>
  <c r="Y29" i="3584"/>
  <c r="Y108" i="3589" s="1"/>
  <c r="X51" i="3597"/>
  <c r="Y106" i="3589"/>
  <c r="AA25" i="3584"/>
  <c r="AA26" i="2556" s="1"/>
  <c r="Y50" i="3597"/>
  <c r="Y28" i="3584"/>
  <c r="Y107" i="3589" s="1"/>
  <c r="Z49" i="3597"/>
  <c r="AF7" i="2556"/>
  <c r="AF18" i="2556"/>
  <c r="AG9" i="2556"/>
  <c r="AG17" i="2556"/>
  <c r="AJ20" i="3"/>
  <c r="AG14" i="3"/>
  <c r="AL21" i="3"/>
  <c r="AK21" i="3"/>
  <c r="AH17" i="3"/>
  <c r="AH16" i="3"/>
  <c r="N112" i="3600" l="1"/>
  <c r="Z106" i="3589"/>
  <c r="AA105" i="3589"/>
  <c r="AB25" i="3584"/>
  <c r="AB26" i="2556" s="1"/>
  <c r="Z28" i="3584"/>
  <c r="Z29" i="2556" s="1"/>
  <c r="AA49" i="3597"/>
  <c r="Z29" i="3584"/>
  <c r="Z21" i="2556" s="1"/>
  <c r="Y51" i="3597"/>
  <c r="Z50" i="3597"/>
  <c r="Y29" i="2556"/>
  <c r="Y21" i="2556"/>
  <c r="AA27" i="3584"/>
  <c r="AG18" i="2556"/>
  <c r="AG7" i="2556"/>
  <c r="AH17" i="2556"/>
  <c r="AH9" i="2556"/>
  <c r="AI17" i="3"/>
  <c r="AI16" i="3"/>
  <c r="AH14" i="3"/>
  <c r="AL20" i="3"/>
  <c r="AK20" i="3"/>
  <c r="AB105" i="3589" l="1"/>
  <c r="Z108" i="3589"/>
  <c r="Z107" i="3589"/>
  <c r="AA106" i="3589"/>
  <c r="AA50" i="3597"/>
  <c r="AA29" i="3584"/>
  <c r="AA108" i="3589" s="1"/>
  <c r="Z51" i="3597"/>
  <c r="AB49" i="3597"/>
  <c r="AB27" i="3584"/>
  <c r="AA28" i="2556"/>
  <c r="AA28" i="3584"/>
  <c r="AA29" i="2556" s="1"/>
  <c r="AC25" i="3584"/>
  <c r="AC105" i="3589" s="1"/>
  <c r="AH18" i="2556"/>
  <c r="AH7" i="2556"/>
  <c r="AI9" i="2556"/>
  <c r="AI17" i="2556"/>
  <c r="AI14" i="3"/>
  <c r="AJ17" i="3"/>
  <c r="AJ16" i="3"/>
  <c r="AA107" i="3589" l="1"/>
  <c r="AB28" i="3584"/>
  <c r="AB107" i="3589" s="1"/>
  <c r="AB50" i="3597"/>
  <c r="AC49" i="3597"/>
  <c r="AC27" i="3584"/>
  <c r="AC26" i="2556"/>
  <c r="AB106" i="3589"/>
  <c r="AD25" i="3584"/>
  <c r="AD105" i="3589" s="1"/>
  <c r="AA21" i="2556"/>
  <c r="AB29" i="3584"/>
  <c r="AB108" i="3589" s="1"/>
  <c r="AA51" i="3597"/>
  <c r="AB28" i="2556"/>
  <c r="AI7" i="2556"/>
  <c r="AI18" i="2556"/>
  <c r="AJ17" i="2556"/>
  <c r="AJ9" i="2556"/>
  <c r="AJ14" i="3"/>
  <c r="AK17" i="3"/>
  <c r="AK16" i="3"/>
  <c r="AB29" i="2556" l="1"/>
  <c r="AB21" i="2556"/>
  <c r="AD27" i="3584"/>
  <c r="AD28" i="2556" s="1"/>
  <c r="AC29" i="3584"/>
  <c r="AC108" i="3589" s="1"/>
  <c r="AB51" i="3597"/>
  <c r="AD49" i="3597"/>
  <c r="AC50" i="3597"/>
  <c r="AC28" i="2556"/>
  <c r="AE25" i="3584"/>
  <c r="AE105" i="3589" s="1"/>
  <c r="AD26" i="2556"/>
  <c r="AC106" i="3589"/>
  <c r="AC28" i="3584"/>
  <c r="AC29" i="2556" s="1"/>
  <c r="AK9" i="2556"/>
  <c r="AK17" i="2556"/>
  <c r="AJ18" i="2556"/>
  <c r="AJ7" i="2556"/>
  <c r="AL17" i="3"/>
  <c r="AL16" i="3"/>
  <c r="AL14" i="3"/>
  <c r="AK14" i="3"/>
  <c r="AD106" i="3589" l="1"/>
  <c r="AC21" i="2556"/>
  <c r="AC107" i="3589"/>
  <c r="AD28" i="3584"/>
  <c r="AD29" i="2556" s="1"/>
  <c r="AE49" i="3597"/>
  <c r="AF25" i="3584"/>
  <c r="AF105" i="3589" s="1"/>
  <c r="AE26" i="2556"/>
  <c r="AD50" i="3597"/>
  <c r="AC51" i="3597"/>
  <c r="AD29" i="3584"/>
  <c r="AD108" i="3589" s="1"/>
  <c r="AE27" i="3584"/>
  <c r="AL7" i="2556"/>
  <c r="AL18" i="2556"/>
  <c r="AK18" i="2556"/>
  <c r="AK7" i="2556"/>
  <c r="AL9" i="2556"/>
  <c r="AL17" i="2556"/>
  <c r="AD107" i="3589" l="1"/>
  <c r="AE106" i="3589"/>
  <c r="AE50" i="3597"/>
  <c r="AE29" i="3584"/>
  <c r="AE108" i="3589" s="1"/>
  <c r="AD51" i="3597"/>
  <c r="AG25" i="3584"/>
  <c r="AG26" i="2556" s="1"/>
  <c r="AF27" i="3584"/>
  <c r="AF106" i="3589" s="1"/>
  <c r="AD21" i="2556"/>
  <c r="AE28" i="2556"/>
  <c r="AF49" i="3597"/>
  <c r="AF26" i="2556"/>
  <c r="AE28" i="3584"/>
  <c r="AE29" i="2556" s="1"/>
  <c r="K4" i="3"/>
  <c r="L5" i="3"/>
  <c r="L4" i="3645" l="1"/>
  <c r="M5" i="3645"/>
  <c r="AG105" i="3589"/>
  <c r="K5" i="3622"/>
  <c r="AE21" i="2556"/>
  <c r="AE107" i="3589"/>
  <c r="AF28" i="3584"/>
  <c r="AF29" i="2556" s="1"/>
  <c r="AH25" i="3584"/>
  <c r="AH26" i="2556" s="1"/>
  <c r="AG27" i="3584"/>
  <c r="AG106" i="3589" s="1"/>
  <c r="AF50" i="3597"/>
  <c r="AG49" i="3597"/>
  <c r="AF29" i="3584"/>
  <c r="AF21" i="2556" s="1"/>
  <c r="AE51" i="3597"/>
  <c r="AF28" i="2556"/>
  <c r="L4" i="3"/>
  <c r="J13" i="3584"/>
  <c r="J48" i="3584"/>
  <c r="J13" i="3589"/>
  <c r="L33" i="3645" s="1"/>
  <c r="J4" i="3622"/>
  <c r="J49" i="3584"/>
  <c r="M6" i="3"/>
  <c r="E62" i="3645" l="1"/>
  <c r="E8" i="3645"/>
  <c r="AH105" i="3589"/>
  <c r="J30" i="3622"/>
  <c r="D61" i="3622" s="1"/>
  <c r="AF107" i="3589"/>
  <c r="AF108" i="3589"/>
  <c r="AG28" i="2556"/>
  <c r="AF51" i="3597"/>
  <c r="AG29" i="3584"/>
  <c r="AG108" i="3589" s="1"/>
  <c r="AI25" i="3584"/>
  <c r="AI26" i="2556" s="1"/>
  <c r="AG50" i="3597"/>
  <c r="AH27" i="3584"/>
  <c r="AH28" i="2556" s="1"/>
  <c r="AH49" i="3597"/>
  <c r="AG28" i="3584"/>
  <c r="AG29" i="2556" s="1"/>
  <c r="M4" i="3"/>
  <c r="M5" i="3"/>
  <c r="J135" i="3589"/>
  <c r="D18" i="3622"/>
  <c r="J137" i="3589"/>
  <c r="J138" i="3589"/>
  <c r="J101" i="3589"/>
  <c r="D8" i="3622"/>
  <c r="N6" i="3"/>
  <c r="M4" i="3645" l="1"/>
  <c r="AI105" i="3589"/>
  <c r="N4" i="3"/>
  <c r="AG107" i="3589"/>
  <c r="K48" i="3584"/>
  <c r="K137" i="3589" s="1"/>
  <c r="K4" i="3622"/>
  <c r="K13" i="3589"/>
  <c r="M33" i="3645" s="1"/>
  <c r="K13" i="3584"/>
  <c r="AI49" i="3597"/>
  <c r="AH28" i="3584"/>
  <c r="AH107" i="3589" s="1"/>
  <c r="AH50" i="3597"/>
  <c r="AJ25" i="3584"/>
  <c r="AJ105" i="3589" s="1"/>
  <c r="AI27" i="3584"/>
  <c r="AI106" i="3589" s="1"/>
  <c r="AG51" i="3597"/>
  <c r="AH29" i="3584"/>
  <c r="AH108" i="3589" s="1"/>
  <c r="AH106" i="3589"/>
  <c r="AG21" i="2556"/>
  <c r="K49" i="3584"/>
  <c r="K138" i="3589" s="1"/>
  <c r="N5" i="3"/>
  <c r="L3" i="3"/>
  <c r="O6" i="3"/>
  <c r="F62" i="3645" l="1"/>
  <c r="F8" i="3645"/>
  <c r="K30" i="3622"/>
  <c r="E61" i="3622" s="1"/>
  <c r="K135" i="3589"/>
  <c r="E18" i="3622"/>
  <c r="O4" i="3"/>
  <c r="AH29" i="2556"/>
  <c r="L135" i="3589"/>
  <c r="AJ27" i="3584"/>
  <c r="AJ28" i="2556" s="1"/>
  <c r="AJ49" i="3597"/>
  <c r="AH21" i="2556"/>
  <c r="AI29" i="3584"/>
  <c r="AI108" i="3589" s="1"/>
  <c r="AH51" i="3597"/>
  <c r="AI50" i="3597"/>
  <c r="AI28" i="3584"/>
  <c r="AI29" i="2556" s="1"/>
  <c r="L13" i="3589"/>
  <c r="L48" i="3584"/>
  <c r="L137" i="3589" s="1"/>
  <c r="L49" i="3584"/>
  <c r="L138" i="3589" s="1"/>
  <c r="L13" i="3584"/>
  <c r="L101" i="3589" s="1"/>
  <c r="AL25" i="3584"/>
  <c r="AL49" i="3597" s="1"/>
  <c r="AK25" i="3584"/>
  <c r="AK105" i="3589" s="1"/>
  <c r="AI28" i="2556"/>
  <c r="AJ26" i="2556"/>
  <c r="K101" i="3589"/>
  <c r="E8" i="3622"/>
  <c r="M3" i="3"/>
  <c r="O5" i="3"/>
  <c r="P6" i="3"/>
  <c r="P4" i="3" l="1"/>
  <c r="AI21" i="2556"/>
  <c r="M135" i="3589"/>
  <c r="AI107" i="3589"/>
  <c r="M13" i="3589"/>
  <c r="M13" i="3584"/>
  <c r="M101" i="3589" s="1"/>
  <c r="M49" i="3584"/>
  <c r="M138" i="3589" s="1"/>
  <c r="M48" i="3584"/>
  <c r="M137" i="3589" s="1"/>
  <c r="AK26" i="2556"/>
  <c r="AL105" i="3589"/>
  <c r="AL26" i="2556"/>
  <c r="AK49" i="3597"/>
  <c r="AJ28" i="3584"/>
  <c r="AJ29" i="2556" s="1"/>
  <c r="AJ106" i="3589"/>
  <c r="AI51" i="3597"/>
  <c r="AJ29" i="3584"/>
  <c r="AJ108" i="3589" s="1"/>
  <c r="AJ50" i="3597"/>
  <c r="AL27" i="3584"/>
  <c r="AL50" i="3597" s="1"/>
  <c r="AK27" i="3584"/>
  <c r="P5" i="3"/>
  <c r="N3" i="3"/>
  <c r="Q6" i="3"/>
  <c r="Q4" i="3" l="1"/>
  <c r="AJ107" i="3589"/>
  <c r="N135" i="3589"/>
  <c r="N13" i="3589"/>
  <c r="N49" i="3584"/>
  <c r="N138" i="3589" s="1"/>
  <c r="N48" i="3584"/>
  <c r="N137" i="3589" s="1"/>
  <c r="N13" i="3584"/>
  <c r="N101" i="3589" s="1"/>
  <c r="AL106" i="3589"/>
  <c r="AL28" i="2556"/>
  <c r="AK50" i="3597"/>
  <c r="AK28" i="2556"/>
  <c r="AL28" i="3584"/>
  <c r="AK28" i="3584"/>
  <c r="AK107" i="3589" s="1"/>
  <c r="AJ21" i="2556"/>
  <c r="AJ51" i="3597"/>
  <c r="AK29" i="3584"/>
  <c r="AK108" i="3589" s="1"/>
  <c r="AK106" i="3589"/>
  <c r="Q5" i="3"/>
  <c r="O3" i="3"/>
  <c r="R6" i="3"/>
  <c r="AK21" i="2556" l="1"/>
  <c r="R4" i="3"/>
  <c r="O13" i="3589"/>
  <c r="O13" i="3584"/>
  <c r="O101" i="3589" s="1"/>
  <c r="O49" i="3584"/>
  <c r="O138" i="3589" s="1"/>
  <c r="O48" i="3584"/>
  <c r="O137" i="3589" s="1"/>
  <c r="AL29" i="3584"/>
  <c r="AL51" i="3597" s="1"/>
  <c r="AK51" i="3597"/>
  <c r="AK29" i="2556"/>
  <c r="AL107" i="3589"/>
  <c r="AL29" i="2556"/>
  <c r="O135" i="3589"/>
  <c r="R5" i="3"/>
  <c r="P3" i="3"/>
  <c r="S6" i="3"/>
  <c r="S4" i="3" l="1"/>
  <c r="AL21" i="2556"/>
  <c r="AL108" i="3589"/>
  <c r="P13" i="3589"/>
  <c r="P49" i="3584"/>
  <c r="P138" i="3589" s="1"/>
  <c r="P135" i="3589"/>
  <c r="P13" i="3584"/>
  <c r="P101" i="3589" s="1"/>
  <c r="P48" i="3584"/>
  <c r="P137" i="3589" s="1"/>
  <c r="S5" i="3"/>
  <c r="Q3" i="3"/>
  <c r="T6" i="3"/>
  <c r="T4" i="3" l="1"/>
  <c r="Q13" i="3589"/>
  <c r="Q48" i="3584"/>
  <c r="Q137" i="3589" s="1"/>
  <c r="Q49" i="3584"/>
  <c r="Q135" i="3589"/>
  <c r="Q13" i="3584"/>
  <c r="Q101" i="3589" s="1"/>
  <c r="T5" i="3"/>
  <c r="R3" i="3"/>
  <c r="U6" i="3"/>
  <c r="U4" i="3" l="1"/>
  <c r="R13" i="3589"/>
  <c r="R135" i="3589"/>
  <c r="R48" i="3584"/>
  <c r="R137" i="3589" s="1"/>
  <c r="R13" i="3584"/>
  <c r="R101" i="3589" s="1"/>
  <c r="R49" i="3584"/>
  <c r="Q138" i="3589"/>
  <c r="U5" i="3"/>
  <c r="S3" i="3"/>
  <c r="V6" i="3"/>
  <c r="V4" i="3" l="1"/>
  <c r="S13" i="3589"/>
  <c r="S49" i="3584"/>
  <c r="S48" i="3584"/>
  <c r="S137" i="3589" s="1"/>
  <c r="S13" i="3584"/>
  <c r="S101" i="3589" s="1"/>
  <c r="R138" i="3589"/>
  <c r="V5" i="3"/>
  <c r="T3" i="3"/>
  <c r="W6" i="3"/>
  <c r="W4" i="3" l="1"/>
  <c r="T13" i="3589"/>
  <c r="T49" i="3584"/>
  <c r="T138" i="3589" s="1"/>
  <c r="T48" i="3584"/>
  <c r="T13" i="3584"/>
  <c r="S135" i="3589"/>
  <c r="S138" i="3589"/>
  <c r="U3" i="3"/>
  <c r="W5" i="3"/>
  <c r="X6" i="3"/>
  <c r="X4" i="3" l="1"/>
  <c r="T135" i="3589"/>
  <c r="U13" i="3589"/>
  <c r="U49" i="3584"/>
  <c r="U13" i="3584"/>
  <c r="U101" i="3589" s="1"/>
  <c r="U48" i="3584"/>
  <c r="U137" i="3589" s="1"/>
  <c r="T101" i="3589"/>
  <c r="T137" i="3589"/>
  <c r="V3" i="3"/>
  <c r="X5" i="3"/>
  <c r="Y6" i="3"/>
  <c r="V13" i="3589" l="1"/>
  <c r="V49" i="3584"/>
  <c r="V138" i="3589" s="1"/>
  <c r="V135" i="3589"/>
  <c r="V48" i="3584"/>
  <c r="V13" i="3584"/>
  <c r="U138" i="3589"/>
  <c r="U135" i="3589"/>
  <c r="Y5" i="3"/>
  <c r="W3" i="3"/>
  <c r="Z6" i="3"/>
  <c r="Y4" i="3" l="1"/>
  <c r="W48" i="3584"/>
  <c r="W137" i="3589" s="1"/>
  <c r="V137" i="3589"/>
  <c r="W49" i="3584"/>
  <c r="W138" i="3589" s="1"/>
  <c r="W13" i="3589"/>
  <c r="W135" i="3589"/>
  <c r="W13" i="3584"/>
  <c r="W101" i="3589" s="1"/>
  <c r="V101" i="3589"/>
  <c r="X3" i="3"/>
  <c r="Z5" i="3"/>
  <c r="Z4" i="3"/>
  <c r="AA6" i="3"/>
  <c r="X13" i="3589" l="1"/>
  <c r="X49" i="3584"/>
  <c r="X138" i="3589" s="1"/>
  <c r="X48" i="3584"/>
  <c r="X137" i="3589" s="1"/>
  <c r="X13" i="3584"/>
  <c r="X101" i="3589" s="1"/>
  <c r="AA5" i="3"/>
  <c r="Y3" i="3"/>
  <c r="AB6" i="3"/>
  <c r="AA4" i="3"/>
  <c r="Y13" i="3589" l="1"/>
  <c r="Y49" i="3584"/>
  <c r="Y135" i="3589"/>
  <c r="Y48" i="3584"/>
  <c r="Y13" i="3584"/>
  <c r="X135" i="3589"/>
  <c r="AB5" i="3"/>
  <c r="Z3" i="3"/>
  <c r="AC6" i="3"/>
  <c r="AB4" i="3"/>
  <c r="Z13" i="3589" l="1"/>
  <c r="Z49" i="3584"/>
  <c r="Z138" i="3589" s="1"/>
  <c r="Z48" i="3584"/>
  <c r="Z137" i="3589" s="1"/>
  <c r="Z13" i="3584"/>
  <c r="Z101" i="3589" s="1"/>
  <c r="Y101" i="3589"/>
  <c r="Y137" i="3589"/>
  <c r="Y138" i="3589"/>
  <c r="AC5" i="3"/>
  <c r="AA3" i="3"/>
  <c r="AC4" i="3"/>
  <c r="AD6" i="3"/>
  <c r="AA13" i="3589" l="1"/>
  <c r="AA49" i="3584"/>
  <c r="AA138" i="3589" s="1"/>
  <c r="AA13" i="3584"/>
  <c r="AA101" i="3589" s="1"/>
  <c r="AA135" i="3589"/>
  <c r="AA48" i="3584"/>
  <c r="AA137" i="3589" s="1"/>
  <c r="Z135" i="3589"/>
  <c r="AD5" i="3"/>
  <c r="AB3" i="3"/>
  <c r="AE6" i="3"/>
  <c r="AD4" i="3"/>
  <c r="AB13" i="3589" l="1"/>
  <c r="AB49" i="3584"/>
  <c r="AB138" i="3589" s="1"/>
  <c r="AB13" i="3584"/>
  <c r="AB101" i="3589" s="1"/>
  <c r="AB135" i="3589"/>
  <c r="AB48" i="3584"/>
  <c r="AB137" i="3589" s="1"/>
  <c r="AC3" i="3"/>
  <c r="AE5" i="3"/>
  <c r="AE4" i="3"/>
  <c r="AF6" i="3"/>
  <c r="AC13" i="3589" l="1"/>
  <c r="AC49" i="3584"/>
  <c r="AC138" i="3589" s="1"/>
  <c r="AC48" i="3584"/>
  <c r="AC137" i="3589" s="1"/>
  <c r="AC135" i="3589"/>
  <c r="AC13" i="3584"/>
  <c r="AC101" i="3589" s="1"/>
  <c r="AF5" i="3"/>
  <c r="AD3" i="3"/>
  <c r="AG6" i="3"/>
  <c r="AF4" i="3"/>
  <c r="AD13" i="3589" l="1"/>
  <c r="AD49" i="3584"/>
  <c r="AD138" i="3589" s="1"/>
  <c r="AD13" i="3584"/>
  <c r="AD135" i="3589"/>
  <c r="AD48" i="3584"/>
  <c r="AD137" i="3589" s="1"/>
  <c r="AE3" i="3"/>
  <c r="AG5" i="3"/>
  <c r="AH6" i="3"/>
  <c r="AG4" i="3"/>
  <c r="AE13" i="3589" l="1"/>
  <c r="AE48" i="3584"/>
  <c r="AE137" i="3589" s="1"/>
  <c r="AE13" i="3584"/>
  <c r="AE101" i="3589" s="1"/>
  <c r="AE49" i="3584"/>
  <c r="AE135" i="3589"/>
  <c r="AD101" i="3589"/>
  <c r="AH5" i="3"/>
  <c r="AF3" i="3"/>
  <c r="AI6" i="3"/>
  <c r="AH4" i="3"/>
  <c r="AE138" i="3589" l="1"/>
  <c r="AF13" i="3589"/>
  <c r="AF48" i="3584"/>
  <c r="AF137" i="3589" s="1"/>
  <c r="AF13" i="3584"/>
  <c r="AF49" i="3584"/>
  <c r="AI5" i="3"/>
  <c r="AG3" i="3"/>
  <c r="AJ6" i="3"/>
  <c r="AI4" i="3"/>
  <c r="AG13" i="3589" l="1"/>
  <c r="AG48" i="3584"/>
  <c r="AG137" i="3589" s="1"/>
  <c r="AG49" i="3584"/>
  <c r="AG138" i="3589" s="1"/>
  <c r="AG13" i="3584"/>
  <c r="AG101" i="3589" s="1"/>
  <c r="AG135" i="3589"/>
  <c r="AF101" i="3589"/>
  <c r="AF135" i="3589"/>
  <c r="AF138" i="3589"/>
  <c r="AJ5" i="3"/>
  <c r="AH3" i="3"/>
  <c r="AJ4" i="3"/>
  <c r="AK6" i="3"/>
  <c r="AL6" i="3"/>
  <c r="AH13" i="3589" l="1"/>
  <c r="AH48" i="3584"/>
  <c r="AH137" i="3589" s="1"/>
  <c r="AH13" i="3584"/>
  <c r="AH101" i="3589" s="1"/>
  <c r="AH135" i="3589"/>
  <c r="AH49" i="3584"/>
  <c r="AH138" i="3589" s="1"/>
  <c r="AI3" i="3"/>
  <c r="AL5" i="3"/>
  <c r="AK5" i="3"/>
  <c r="AL4" i="3"/>
  <c r="AK4" i="3"/>
  <c r="AI13" i="3589" l="1"/>
  <c r="AI48" i="3584"/>
  <c r="AI137" i="3589" s="1"/>
  <c r="AI49" i="3584"/>
  <c r="AI138" i="3589" s="1"/>
  <c r="AI13" i="3584"/>
  <c r="AI101" i="3589" s="1"/>
  <c r="AI135" i="3589"/>
  <c r="AJ3" i="3"/>
  <c r="AJ13" i="3589" l="1"/>
  <c r="AJ48" i="3584"/>
  <c r="AJ137" i="3589" s="1"/>
  <c r="AJ49" i="3584"/>
  <c r="AJ13" i="3584"/>
  <c r="AK3" i="3"/>
  <c r="AL3" i="3"/>
  <c r="AJ101" i="3589" l="1"/>
  <c r="AJ135" i="3589"/>
  <c r="AL13" i="3589"/>
  <c r="AJ138" i="3589"/>
  <c r="AK13" i="3589"/>
  <c r="AK48" i="3584"/>
  <c r="AK137" i="3589" s="1"/>
  <c r="AK49" i="3584"/>
  <c r="AK13" i="3584"/>
  <c r="AK101" i="3589" l="1"/>
  <c r="AL49" i="3584"/>
  <c r="AL135" i="3589"/>
  <c r="AK138" i="3589"/>
  <c r="AL13" i="3584"/>
  <c r="AL48" i="3584"/>
  <c r="AK135" i="3589"/>
  <c r="AL101" i="3589" l="1"/>
  <c r="AL137" i="3589"/>
  <c r="AL138" i="3589"/>
  <c r="AB177" i="3633" l="1"/>
  <c r="AC177" i="3633"/>
  <c r="AD177" i="3633"/>
  <c r="AE177" i="3633"/>
  <c r="AF177" i="3633"/>
  <c r="AG177" i="3633"/>
  <c r="AH177" i="3633"/>
  <c r="AI177" i="3633"/>
  <c r="AJ177" i="3633"/>
  <c r="AK177" i="3633"/>
  <c r="AL177" i="3633"/>
  <c r="AM177" i="3633"/>
  <c r="AN177" i="3633"/>
  <c r="AO177" i="3633"/>
  <c r="AP177" i="3633"/>
  <c r="AQ177" i="3633"/>
  <c r="AR177" i="3633"/>
  <c r="AR193" i="3633" s="1"/>
  <c r="AR197" i="3633" s="1"/>
  <c r="Y86" i="3633"/>
  <c r="Y98" i="3633" s="1"/>
  <c r="Z86" i="3633"/>
  <c r="Z98" i="3633" s="1"/>
  <c r="Z105" i="3633" s="1"/>
  <c r="AA86" i="3633"/>
  <c r="AA98" i="3633" s="1"/>
  <c r="AA108" i="3633" s="1"/>
  <c r="AB86" i="3633"/>
  <c r="AB98" i="3633" s="1"/>
  <c r="AB179" i="3633" s="1"/>
  <c r="AC86" i="3633"/>
  <c r="AC98" i="3633" s="1"/>
  <c r="AC179" i="3633" s="1"/>
  <c r="AD86" i="3633"/>
  <c r="AD98" i="3633" s="1"/>
  <c r="AD105" i="3633" s="1"/>
  <c r="AE86" i="3633"/>
  <c r="AE98" i="3633" s="1"/>
  <c r="AE105" i="3633" s="1"/>
  <c r="AF86" i="3633"/>
  <c r="AF98" i="3633" s="1"/>
  <c r="AF105" i="3633" s="1"/>
  <c r="AG86" i="3633"/>
  <c r="AG98" i="3633" s="1"/>
  <c r="AG111" i="3633" s="1"/>
  <c r="AQ86" i="3633"/>
  <c r="AQ98" i="3633" s="1"/>
  <c r="R86" i="3633"/>
  <c r="R98" i="3633" s="1"/>
  <c r="R113" i="3633" s="1"/>
  <c r="S86" i="3633"/>
  <c r="S98" i="3633" s="1"/>
  <c r="S107" i="3633" s="1"/>
  <c r="U86" i="3633"/>
  <c r="U98" i="3633" s="1"/>
  <c r="AM86" i="3633"/>
  <c r="AM98" i="3633" s="1"/>
  <c r="AN86" i="3633"/>
  <c r="AN98" i="3633" s="1"/>
  <c r="AP86" i="3633"/>
  <c r="AP98" i="3633" s="1"/>
  <c r="AR86" i="3633"/>
  <c r="AR98" i="3633" s="1"/>
  <c r="AR107" i="3633" s="1"/>
  <c r="O177" i="3633"/>
  <c r="N183" i="3633" s="1"/>
  <c r="N187" i="3633" s="1"/>
  <c r="P177" i="3633"/>
  <c r="Q177" i="3633"/>
  <c r="R177" i="3633"/>
  <c r="S177" i="3633"/>
  <c r="T177" i="3633"/>
  <c r="U177" i="3633"/>
  <c r="V177" i="3633"/>
  <c r="W177" i="3633"/>
  <c r="X177" i="3633"/>
  <c r="Y177" i="3633"/>
  <c r="Z177" i="3633"/>
  <c r="AA177" i="3633"/>
  <c r="X193" i="3633" l="1"/>
  <c r="X197" i="3633" s="1"/>
  <c r="Y193" i="3633"/>
  <c r="Y197" i="3633" s="1"/>
  <c r="Z193" i="3633"/>
  <c r="Z197" i="3633" s="1"/>
  <c r="AN193" i="3633"/>
  <c r="AN197" i="3633" s="1"/>
  <c r="AG105" i="3633"/>
  <c r="AC105" i="3633"/>
  <c r="AB106" i="3633"/>
  <c r="AB105" i="3633"/>
  <c r="AE193" i="3633"/>
  <c r="AE197" i="3633" s="1"/>
  <c r="AB195" i="3633"/>
  <c r="AB199" i="3633" s="1"/>
  <c r="R107" i="3633"/>
  <c r="AA105" i="3633"/>
  <c r="Y100" i="3633"/>
  <c r="Y179" i="3633"/>
  <c r="Y180" i="3633" s="1"/>
  <c r="Y105" i="3633"/>
  <c r="AQ193" i="3633"/>
  <c r="AQ197" i="3633" s="1"/>
  <c r="U179" i="3633"/>
  <c r="U180" i="3633" s="1"/>
  <c r="U107" i="3633"/>
  <c r="U108" i="3633"/>
  <c r="U113" i="3633"/>
  <c r="U100" i="3633"/>
  <c r="U109" i="3633"/>
  <c r="U112" i="3633"/>
  <c r="U110" i="3633"/>
  <c r="AQ112" i="3633"/>
  <c r="AQ105" i="3633"/>
  <c r="AQ109" i="3633"/>
  <c r="AQ110" i="3633"/>
  <c r="O86" i="3633"/>
  <c r="O98" i="3633" s="1"/>
  <c r="O111" i="3633" s="1"/>
  <c r="S113" i="3633"/>
  <c r="S111" i="3633"/>
  <c r="R111" i="3633"/>
  <c r="AR109" i="3633"/>
  <c r="S100" i="3633"/>
  <c r="R100" i="3633"/>
  <c r="R142" i="3633" s="1"/>
  <c r="AF193" i="3633"/>
  <c r="AF197" i="3633" s="1"/>
  <c r="S110" i="3633"/>
  <c r="R110" i="3633"/>
  <c r="R108" i="3633"/>
  <c r="AC193" i="3633"/>
  <c r="AC197" i="3633" s="1"/>
  <c r="R106" i="3633"/>
  <c r="S105" i="3633"/>
  <c r="R105" i="3633"/>
  <c r="U104" i="3633"/>
  <c r="S108" i="3633"/>
  <c r="AA193" i="3633"/>
  <c r="AA197" i="3633" s="1"/>
  <c r="AB180" i="3633"/>
  <c r="AB193" i="3633"/>
  <c r="AB197" i="3633" s="1"/>
  <c r="AM108" i="3633"/>
  <c r="AM106" i="3633"/>
  <c r="AM107" i="3633"/>
  <c r="AM110" i="3633"/>
  <c r="AM113" i="3633"/>
  <c r="AM100" i="3633"/>
  <c r="AM112" i="3633"/>
  <c r="AM179" i="3633"/>
  <c r="AM105" i="3633"/>
  <c r="AM111" i="3633"/>
  <c r="AM109" i="3633"/>
  <c r="AN100" i="3633"/>
  <c r="AN106" i="3633"/>
  <c r="AN113" i="3633"/>
  <c r="AN179" i="3633"/>
  <c r="AN107" i="3633"/>
  <c r="AN110" i="3633"/>
  <c r="AN108" i="3633"/>
  <c r="AN111" i="3633"/>
  <c r="AN109" i="3633"/>
  <c r="AN112" i="3633"/>
  <c r="AN105" i="3633"/>
  <c r="AL193" i="3633"/>
  <c r="AL197" i="3633" s="1"/>
  <c r="AP105" i="3633"/>
  <c r="AP110" i="3633"/>
  <c r="AP100" i="3633"/>
  <c r="AP106" i="3633"/>
  <c r="AP108" i="3633"/>
  <c r="AP111" i="3633"/>
  <c r="AP107" i="3633"/>
  <c r="AP113" i="3633"/>
  <c r="AP179" i="3633"/>
  <c r="AP112" i="3633"/>
  <c r="AP109" i="3633"/>
  <c r="AI86" i="3633"/>
  <c r="AI98" i="3633" s="1"/>
  <c r="AI104" i="3633" s="1"/>
  <c r="AH193" i="3633"/>
  <c r="AH197" i="3633" s="1"/>
  <c r="AO193" i="3633"/>
  <c r="AO197" i="3633" s="1"/>
  <c r="AP193" i="3633"/>
  <c r="AP197" i="3633" s="1"/>
  <c r="AB111" i="3633"/>
  <c r="AB108" i="3633"/>
  <c r="AB112" i="3633"/>
  <c r="AB110" i="3633"/>
  <c r="AB109" i="3633"/>
  <c r="AB100" i="3633"/>
  <c r="AB107" i="3633"/>
  <c r="AB113" i="3633"/>
  <c r="N193" i="3633"/>
  <c r="N197" i="3633" s="1"/>
  <c r="O193" i="3633"/>
  <c r="O197" i="3633" s="1"/>
  <c r="Q193" i="3633"/>
  <c r="Q197" i="3633" s="1"/>
  <c r="AF107" i="3633"/>
  <c r="AF112" i="3633"/>
  <c r="AF110" i="3633"/>
  <c r="AF109" i="3633"/>
  <c r="AF108" i="3633"/>
  <c r="AF104" i="3633"/>
  <c r="AF106" i="3633"/>
  <c r="AF111" i="3633"/>
  <c r="AF113" i="3633"/>
  <c r="AF179" i="3633"/>
  <c r="AF180" i="3633" s="1"/>
  <c r="AF100" i="3633"/>
  <c r="AF134" i="3633" s="1"/>
  <c r="U193" i="3633"/>
  <c r="U197" i="3633" s="1"/>
  <c r="P86" i="3633"/>
  <c r="P98" i="3633" s="1"/>
  <c r="AC180" i="3633"/>
  <c r="AG193" i="3633"/>
  <c r="AG197" i="3633" s="1"/>
  <c r="AQ107" i="3633"/>
  <c r="AJ86" i="3633"/>
  <c r="AJ98" i="3633" s="1"/>
  <c r="AJ104" i="3633" s="1"/>
  <c r="AK86" i="3633"/>
  <c r="AK98" i="3633" s="1"/>
  <c r="AK104" i="3633" s="1"/>
  <c r="AJ193" i="3633"/>
  <c r="AJ197" i="3633" s="1"/>
  <c r="Y109" i="3633"/>
  <c r="Y113" i="3633"/>
  <c r="Y111" i="3633"/>
  <c r="Y106" i="3633"/>
  <c r="Y107" i="3633"/>
  <c r="Y110" i="3633"/>
  <c r="Z100" i="3633"/>
  <c r="Z134" i="3633" s="1"/>
  <c r="Z112" i="3633"/>
  <c r="Z179" i="3633"/>
  <c r="Z113" i="3633"/>
  <c r="Z111" i="3633"/>
  <c r="Z106" i="3633"/>
  <c r="Z109" i="3633"/>
  <c r="Z110" i="3633"/>
  <c r="Z107" i="3633"/>
  <c r="AQ106" i="3633"/>
  <c r="AQ108" i="3633"/>
  <c r="AQ111" i="3633"/>
  <c r="AQ179" i="3633"/>
  <c r="AQ113" i="3633"/>
  <c r="AQ100" i="3633"/>
  <c r="AR105" i="3633"/>
  <c r="AR110" i="3633"/>
  <c r="AR106" i="3633"/>
  <c r="AR108" i="3633"/>
  <c r="AR111" i="3633"/>
  <c r="AR113" i="3633"/>
  <c r="AR100" i="3633"/>
  <c r="AR179" i="3633"/>
  <c r="AD111" i="3633"/>
  <c r="AD108" i="3633"/>
  <c r="AD112" i="3633"/>
  <c r="AD106" i="3633"/>
  <c r="AD110" i="3633"/>
  <c r="AD113" i="3633"/>
  <c r="AD109" i="3633"/>
  <c r="AD100" i="3633"/>
  <c r="AD134" i="3633" s="1"/>
  <c r="AD179" i="3633"/>
  <c r="AD180" i="3633" s="1"/>
  <c r="AD107" i="3633"/>
  <c r="P193" i="3633"/>
  <c r="P197" i="3633" s="1"/>
  <c r="AE109" i="3633"/>
  <c r="AE110" i="3633"/>
  <c r="AE108" i="3633"/>
  <c r="AE112" i="3633"/>
  <c r="AE106" i="3633"/>
  <c r="AE111" i="3633"/>
  <c r="AE113" i="3633"/>
  <c r="AE100" i="3633"/>
  <c r="AE134" i="3633" s="1"/>
  <c r="AE179" i="3633"/>
  <c r="AE107" i="3633"/>
  <c r="AG110" i="3633"/>
  <c r="AG109" i="3633"/>
  <c r="AG107" i="3633"/>
  <c r="AG108" i="3633"/>
  <c r="AG106" i="3633"/>
  <c r="AG112" i="3633"/>
  <c r="AG104" i="3633"/>
  <c r="AG113" i="3633"/>
  <c r="AG100" i="3633"/>
  <c r="AG179" i="3633"/>
  <c r="S193" i="3633"/>
  <c r="S197" i="3633" s="1"/>
  <c r="T193" i="3633"/>
  <c r="T197" i="3633" s="1"/>
  <c r="V193" i="3633"/>
  <c r="V197" i="3633" s="1"/>
  <c r="W193" i="3633"/>
  <c r="W197" i="3633" s="1"/>
  <c r="Q86" i="3633"/>
  <c r="Q98" i="3633" s="1"/>
  <c r="AM104" i="3633"/>
  <c r="AP104" i="3633"/>
  <c r="AH86" i="3633"/>
  <c r="AH98" i="3633" s="1"/>
  <c r="AH104" i="3633" s="1"/>
  <c r="AL86" i="3633"/>
  <c r="AL98" i="3633" s="1"/>
  <c r="AK193" i="3633"/>
  <c r="AK197" i="3633" s="1"/>
  <c r="AA100" i="3633"/>
  <c r="AA112" i="3633"/>
  <c r="AA179" i="3633"/>
  <c r="AA195" i="3633" s="1"/>
  <c r="AA199" i="3633" s="1"/>
  <c r="AA110" i="3633"/>
  <c r="AA111" i="3633"/>
  <c r="AA106" i="3633"/>
  <c r="AA109" i="3633"/>
  <c r="AA107" i="3633"/>
  <c r="AA113" i="3633"/>
  <c r="AC111" i="3633"/>
  <c r="AC112" i="3633"/>
  <c r="AC106" i="3633"/>
  <c r="AC110" i="3633"/>
  <c r="AC108" i="3633"/>
  <c r="AC113" i="3633"/>
  <c r="AC109" i="3633"/>
  <c r="AC107" i="3633"/>
  <c r="AC100" i="3633"/>
  <c r="R193" i="3633"/>
  <c r="R197" i="3633" s="1"/>
  <c r="AN104" i="3633"/>
  <c r="AD193" i="3633"/>
  <c r="AD197" i="3633" s="1"/>
  <c r="AI193" i="3633"/>
  <c r="AI197" i="3633" s="1"/>
  <c r="AM193" i="3633"/>
  <c r="AM197" i="3633" s="1"/>
  <c r="Y112" i="3633"/>
  <c r="AO86" i="3633"/>
  <c r="AO98" i="3633" s="1"/>
  <c r="AO104" i="3633" s="1"/>
  <c r="Y108" i="3633"/>
  <c r="Z108" i="3633"/>
  <c r="AR112" i="3633"/>
  <c r="AQ104" i="3633"/>
  <c r="AR104" i="3633"/>
  <c r="S109" i="3633"/>
  <c r="S179" i="3633"/>
  <c r="S180" i="3633" s="1"/>
  <c r="S112" i="3633"/>
  <c r="S106" i="3633"/>
  <c r="R104" i="3633"/>
  <c r="AB104" i="3633"/>
  <c r="AC104" i="3633"/>
  <c r="AD104" i="3633"/>
  <c r="R109" i="3633"/>
  <c r="R179" i="3633"/>
  <c r="R180" i="3633" s="1"/>
  <c r="R112" i="3633"/>
  <c r="S104" i="3633"/>
  <c r="AE104" i="3633"/>
  <c r="Y104" i="3633"/>
  <c r="Z104" i="3633"/>
  <c r="T86" i="3633"/>
  <c r="T98" i="3633" s="1"/>
  <c r="T104" i="3633" s="1"/>
  <c r="V86" i="3633"/>
  <c r="V98" i="3633" s="1"/>
  <c r="V104" i="3633" s="1"/>
  <c r="W86" i="3633"/>
  <c r="W98" i="3633" s="1"/>
  <c r="W104" i="3633" s="1"/>
  <c r="X86" i="3633"/>
  <c r="X98" i="3633" s="1"/>
  <c r="X104" i="3633" s="1"/>
  <c r="AA104" i="3633"/>
  <c r="U106" i="3633"/>
  <c r="U111" i="3633"/>
  <c r="U105" i="3633"/>
  <c r="Y134" i="3633" l="1"/>
  <c r="U139" i="3633"/>
  <c r="AF138" i="3633"/>
  <c r="R138" i="3633"/>
  <c r="R136" i="3633"/>
  <c r="U136" i="3633"/>
  <c r="AN133" i="3633"/>
  <c r="AC195" i="3633"/>
  <c r="AC199" i="3633" s="1"/>
  <c r="Y141" i="3633"/>
  <c r="Y137" i="3633"/>
  <c r="AE195" i="3633"/>
  <c r="AE199" i="3633" s="1"/>
  <c r="U141" i="3633"/>
  <c r="Y136" i="3633"/>
  <c r="S142" i="3633"/>
  <c r="R196" i="3633"/>
  <c r="R200" i="3633" s="1"/>
  <c r="R141" i="3633"/>
  <c r="S139" i="3633"/>
  <c r="R139" i="3633"/>
  <c r="R137" i="3633"/>
  <c r="AP133" i="3633"/>
  <c r="R135" i="3633"/>
  <c r="AA134" i="3633"/>
  <c r="R134" i="3633"/>
  <c r="AB134" i="3633"/>
  <c r="S137" i="3633"/>
  <c r="AB196" i="3633"/>
  <c r="AB200" i="3633" s="1"/>
  <c r="AF136" i="3633"/>
  <c r="AF141" i="3633"/>
  <c r="AC134" i="3633"/>
  <c r="U137" i="3633"/>
  <c r="U138" i="3633"/>
  <c r="Y138" i="3633"/>
  <c r="Y142" i="3633"/>
  <c r="Y135" i="3633"/>
  <c r="Y139" i="3633"/>
  <c r="AG134" i="3633"/>
  <c r="AD133" i="3633"/>
  <c r="S133" i="3633"/>
  <c r="Y133" i="3633"/>
  <c r="AQ138" i="3633"/>
  <c r="S134" i="3633"/>
  <c r="U133" i="3633"/>
  <c r="AF139" i="3633"/>
  <c r="AD142" i="3633"/>
  <c r="R133" i="3633"/>
  <c r="AM195" i="3633"/>
  <c r="AM199" i="3633" s="1"/>
  <c r="S135" i="3633"/>
  <c r="S141" i="3633"/>
  <c r="S138" i="3633"/>
  <c r="AD138" i="3633"/>
  <c r="AD139" i="3633"/>
  <c r="AD141" i="3633"/>
  <c r="AF137" i="3633"/>
  <c r="AM136" i="3633"/>
  <c r="AQ142" i="3633"/>
  <c r="AB138" i="3633"/>
  <c r="AB139" i="3633"/>
  <c r="AQ141" i="3633"/>
  <c r="AG141" i="3633"/>
  <c r="AG137" i="3633"/>
  <c r="AQ134" i="3633"/>
  <c r="O107" i="3633"/>
  <c r="AA137" i="3633"/>
  <c r="U142" i="3633"/>
  <c r="AC142" i="3633"/>
  <c r="U135" i="3633"/>
  <c r="AM139" i="3633"/>
  <c r="AM135" i="3633"/>
  <c r="AB137" i="3633"/>
  <c r="Z195" i="3633"/>
  <c r="Z199" i="3633" s="1"/>
  <c r="AG142" i="3633"/>
  <c r="AG135" i="3633"/>
  <c r="AG138" i="3633"/>
  <c r="O109" i="3633"/>
  <c r="O108" i="3633"/>
  <c r="O110" i="3633"/>
  <c r="O112" i="3633"/>
  <c r="O179" i="3633"/>
  <c r="O105" i="3633"/>
  <c r="O113" i="3633"/>
  <c r="O100" i="3633"/>
  <c r="AE142" i="3633"/>
  <c r="U134" i="3633"/>
  <c r="AA133" i="3633"/>
  <c r="O104" i="3633"/>
  <c r="AD135" i="3633"/>
  <c r="AF142" i="3633"/>
  <c r="AQ137" i="3633"/>
  <c r="AG133" i="3633"/>
  <c r="AP139" i="3633"/>
  <c r="AC136" i="3633"/>
  <c r="AC138" i="3633"/>
  <c r="AD137" i="3633"/>
  <c r="AF135" i="3633"/>
  <c r="AM142" i="3633"/>
  <c r="AM137" i="3633"/>
  <c r="AQ135" i="3633"/>
  <c r="AB141" i="3633"/>
  <c r="AQ133" i="3633"/>
  <c r="AA180" i="3633"/>
  <c r="AA196" i="3633" s="1"/>
  <c r="AA200" i="3633" s="1"/>
  <c r="AG136" i="3633"/>
  <c r="AG139" i="3633"/>
  <c r="AP134" i="3633"/>
  <c r="O106" i="3633"/>
  <c r="AF133" i="3633"/>
  <c r="S136" i="3633"/>
  <c r="AI107" i="3633"/>
  <c r="AI112" i="3633"/>
  <c r="AI106" i="3633"/>
  <c r="AI113" i="3633"/>
  <c r="AI109" i="3633"/>
  <c r="AI100" i="3633"/>
  <c r="AI133" i="3633" s="1"/>
  <c r="AI179" i="3633"/>
  <c r="AI110" i="3633"/>
  <c r="AI108" i="3633"/>
  <c r="AI111" i="3633"/>
  <c r="AI105" i="3633"/>
  <c r="AO107" i="3633"/>
  <c r="AO112" i="3633"/>
  <c r="AO100" i="3633"/>
  <c r="AO133" i="3633" s="1"/>
  <c r="AO106" i="3633"/>
  <c r="AO110" i="3633"/>
  <c r="AO113" i="3633"/>
  <c r="AO179" i="3633"/>
  <c r="AO108" i="3633"/>
  <c r="AO105" i="3633"/>
  <c r="AO109" i="3633"/>
  <c r="AO111" i="3633"/>
  <c r="AN180" i="3633"/>
  <c r="AQ195" i="3633"/>
  <c r="AQ199" i="3633" s="1"/>
  <c r="AQ180" i="3633"/>
  <c r="Q109" i="3633"/>
  <c r="Q179" i="3633"/>
  <c r="Q112" i="3633"/>
  <c r="Q108" i="3633"/>
  <c r="Q100" i="3633"/>
  <c r="Q106" i="3633"/>
  <c r="Q105" i="3633"/>
  <c r="Q113" i="3633"/>
  <c r="Q111" i="3633"/>
  <c r="Q107" i="3633"/>
  <c r="Q110" i="3633"/>
  <c r="AR195" i="3633"/>
  <c r="AR199" i="3633" s="1"/>
  <c r="AR180" i="3633"/>
  <c r="AR196" i="3633" s="1"/>
  <c r="AR200" i="3633" s="1"/>
  <c r="AL108" i="3633"/>
  <c r="AL105" i="3633"/>
  <c r="AL106" i="3633"/>
  <c r="AL110" i="3633"/>
  <c r="AL100" i="3633"/>
  <c r="AL107" i="3633"/>
  <c r="AL113" i="3633"/>
  <c r="AL112" i="3633"/>
  <c r="AL179" i="3633"/>
  <c r="AL109" i="3633"/>
  <c r="AL111" i="3633"/>
  <c r="P109" i="3633"/>
  <c r="P179" i="3633"/>
  <c r="P112" i="3633"/>
  <c r="P100" i="3633"/>
  <c r="P107" i="3633"/>
  <c r="P108" i="3633"/>
  <c r="P106" i="3633"/>
  <c r="P111" i="3633"/>
  <c r="P105" i="3633"/>
  <c r="P113" i="3633"/>
  <c r="P110" i="3633"/>
  <c r="V109" i="3633"/>
  <c r="V179" i="3633"/>
  <c r="V111" i="3633"/>
  <c r="V106" i="3633"/>
  <c r="V107" i="3633"/>
  <c r="V113" i="3633"/>
  <c r="V110" i="3633"/>
  <c r="V112" i="3633"/>
  <c r="V108" i="3633"/>
  <c r="V105" i="3633"/>
  <c r="V100" i="3633"/>
  <c r="V133" i="3633" s="1"/>
  <c r="W179" i="3633"/>
  <c r="W111" i="3633"/>
  <c r="W106" i="3633"/>
  <c r="W109" i="3633"/>
  <c r="W110" i="3633"/>
  <c r="W107" i="3633"/>
  <c r="W113" i="3633"/>
  <c r="W105" i="3633"/>
  <c r="W108" i="3633"/>
  <c r="W100" i="3633"/>
  <c r="W133" i="3633" s="1"/>
  <c r="W112" i="3633"/>
  <c r="AE136" i="3633"/>
  <c r="AM141" i="3633"/>
  <c r="AM134" i="3633"/>
  <c r="AN142" i="3633"/>
  <c r="AN136" i="3633"/>
  <c r="AN137" i="3633"/>
  <c r="AN141" i="3633"/>
  <c r="Y195" i="3633"/>
  <c r="Y199" i="3633" s="1"/>
  <c r="AB133" i="3633"/>
  <c r="P104" i="3633"/>
  <c r="R195" i="3633"/>
  <c r="R199" i="3633" s="1"/>
  <c r="AB135" i="3633"/>
  <c r="AC196" i="3633"/>
  <c r="AC200" i="3633" s="1"/>
  <c r="AA139" i="3633"/>
  <c r="AD195" i="3633"/>
  <c r="AD199" i="3633" s="1"/>
  <c r="Z133" i="3633"/>
  <c r="AD136" i="3633"/>
  <c r="AP135" i="3633"/>
  <c r="AA136" i="3633"/>
  <c r="AP137" i="3633"/>
  <c r="AA142" i="3633"/>
  <c r="AE138" i="3633"/>
  <c r="Z180" i="3633"/>
  <c r="AE139" i="3633"/>
  <c r="AP136" i="3633"/>
  <c r="AC141" i="3633"/>
  <c r="AE137" i="3633"/>
  <c r="AP142" i="3633"/>
  <c r="AH107" i="3633"/>
  <c r="AH112" i="3633"/>
  <c r="AH109" i="3633"/>
  <c r="AH106" i="3633"/>
  <c r="AH110" i="3633"/>
  <c r="AH113" i="3633"/>
  <c r="AH100" i="3633"/>
  <c r="AH133" i="3633" s="1"/>
  <c r="AH179" i="3633"/>
  <c r="AG195" i="3633" s="1"/>
  <c r="AG199" i="3633" s="1"/>
  <c r="AH108" i="3633"/>
  <c r="AH111" i="3633"/>
  <c r="AH105" i="3633"/>
  <c r="T105" i="3633"/>
  <c r="T109" i="3633"/>
  <c r="T179" i="3633"/>
  <c r="S195" i="3633" s="1"/>
  <c r="S199" i="3633" s="1"/>
  <c r="T111" i="3633"/>
  <c r="T106" i="3633"/>
  <c r="T110" i="3633"/>
  <c r="T113" i="3633"/>
  <c r="T112" i="3633"/>
  <c r="T107" i="3633"/>
  <c r="T108" i="3633"/>
  <c r="T100" i="3633"/>
  <c r="T133" i="3633" s="1"/>
  <c r="Z141" i="3633"/>
  <c r="Z142" i="3633"/>
  <c r="AB136" i="3633"/>
  <c r="Z135" i="3633"/>
  <c r="Z139" i="3633"/>
  <c r="Z136" i="3633"/>
  <c r="AN139" i="3633"/>
  <c r="AN138" i="3633"/>
  <c r="AM133" i="3633"/>
  <c r="AQ139" i="3633"/>
  <c r="AC133" i="3633"/>
  <c r="AL104" i="3633"/>
  <c r="AC135" i="3633"/>
  <c r="AC139" i="3633"/>
  <c r="AE135" i="3633"/>
  <c r="AP141" i="3633"/>
  <c r="AJ107" i="3633"/>
  <c r="AJ105" i="3633"/>
  <c r="AJ112" i="3633"/>
  <c r="AJ113" i="3633"/>
  <c r="AJ106" i="3633"/>
  <c r="AJ100" i="3633"/>
  <c r="AJ133" i="3633" s="1"/>
  <c r="AJ179" i="3633"/>
  <c r="AJ110" i="3633"/>
  <c r="AJ111" i="3633"/>
  <c r="AJ108" i="3633"/>
  <c r="AJ109" i="3633"/>
  <c r="AP195" i="3633"/>
  <c r="AP199" i="3633" s="1"/>
  <c r="AP180" i="3633"/>
  <c r="X109" i="3633"/>
  <c r="X113" i="3633"/>
  <c r="X111" i="3633"/>
  <c r="X106" i="3633"/>
  <c r="X110" i="3633"/>
  <c r="X107" i="3633"/>
  <c r="X108" i="3633"/>
  <c r="X100" i="3633"/>
  <c r="X133" i="3633" s="1"/>
  <c r="X112" i="3633"/>
  <c r="X105" i="3633"/>
  <c r="X179" i="3633"/>
  <c r="AK107" i="3633"/>
  <c r="AK105" i="3633"/>
  <c r="AK113" i="3633"/>
  <c r="AK106" i="3633"/>
  <c r="AK100" i="3633"/>
  <c r="AK133" i="3633" s="1"/>
  <c r="AK179" i="3633"/>
  <c r="AK110" i="3633"/>
  <c r="AK111" i="3633"/>
  <c r="AK109" i="3633"/>
  <c r="AK108" i="3633"/>
  <c r="AK112" i="3633"/>
  <c r="AE180" i="3633"/>
  <c r="AE196" i="3633" s="1"/>
  <c r="AE200" i="3633" s="1"/>
  <c r="AM138" i="3633"/>
  <c r="AB142" i="3633"/>
  <c r="Z138" i="3633"/>
  <c r="AN135" i="3633"/>
  <c r="Z137" i="3633"/>
  <c r="Q104" i="3633"/>
  <c r="AN134" i="3633"/>
  <c r="AF195" i="3633"/>
  <c r="AF199" i="3633" s="1"/>
  <c r="AA141" i="3633"/>
  <c r="AG180" i="3633"/>
  <c r="AF196" i="3633" s="1"/>
  <c r="AF200" i="3633" s="1"/>
  <c r="AE133" i="3633"/>
  <c r="AM180" i="3633"/>
  <c r="AQ136" i="3633"/>
  <c r="AA135" i="3633"/>
  <c r="AA138" i="3633"/>
  <c r="AE141" i="3633"/>
  <c r="AC137" i="3633"/>
  <c r="AP138" i="3633"/>
  <c r="O133" i="3633" l="1"/>
  <c r="O142" i="3633"/>
  <c r="P138" i="3633"/>
  <c r="AD196" i="3633"/>
  <c r="AD200" i="3633" s="1"/>
  <c r="P141" i="3633"/>
  <c r="AK142" i="3633"/>
  <c r="AK136" i="3633"/>
  <c r="T139" i="3633"/>
  <c r="T135" i="3633"/>
  <c r="W138" i="3633"/>
  <c r="X142" i="3633"/>
  <c r="V134" i="3633"/>
  <c r="O141" i="3633"/>
  <c r="V141" i="3633"/>
  <c r="O138" i="3633"/>
  <c r="V136" i="3633"/>
  <c r="AO141" i="3633"/>
  <c r="V138" i="3633"/>
  <c r="Z196" i="3633"/>
  <c r="Z200" i="3633" s="1"/>
  <c r="AI138" i="3633"/>
  <c r="AI142" i="3633"/>
  <c r="O136" i="3633"/>
  <c r="AI135" i="3633"/>
  <c r="T137" i="3633"/>
  <c r="AK134" i="3633"/>
  <c r="W134" i="3633"/>
  <c r="Q141" i="3633"/>
  <c r="W136" i="3633"/>
  <c r="X137" i="3633"/>
  <c r="Q138" i="3633"/>
  <c r="T138" i="3633"/>
  <c r="T134" i="3633"/>
  <c r="N195" i="3633"/>
  <c r="N199" i="3633" s="1"/>
  <c r="N185" i="3633"/>
  <c r="N189" i="3633" s="1"/>
  <c r="O180" i="3633"/>
  <c r="V137" i="3633"/>
  <c r="O139" i="3633"/>
  <c r="AH139" i="3633"/>
  <c r="AH138" i="3633"/>
  <c r="AJ142" i="3633"/>
  <c r="AJ134" i="3633"/>
  <c r="AI141" i="3633"/>
  <c r="AL133" i="3633"/>
  <c r="AL139" i="3633"/>
  <c r="AK135" i="3633"/>
  <c r="T136" i="3633"/>
  <c r="T142" i="3633"/>
  <c r="X136" i="3633"/>
  <c r="X139" i="3633"/>
  <c r="X135" i="3633"/>
  <c r="O134" i="3633"/>
  <c r="V139" i="3633"/>
  <c r="V142" i="3633"/>
  <c r="V135" i="3633"/>
  <c r="AH136" i="3633"/>
  <c r="AO136" i="3633"/>
  <c r="AM196" i="3633"/>
  <c r="AM200" i="3633" s="1"/>
  <c r="Q133" i="3633"/>
  <c r="AI136" i="3633"/>
  <c r="AL135" i="3633"/>
  <c r="AL134" i="3633"/>
  <c r="AL137" i="3633"/>
  <c r="T141" i="3633"/>
  <c r="W137" i="3633"/>
  <c r="Q137" i="3633"/>
  <c r="W142" i="3633"/>
  <c r="W139" i="3633"/>
  <c r="AQ196" i="3633"/>
  <c r="AQ200" i="3633" s="1"/>
  <c r="W135" i="3633"/>
  <c r="X138" i="3633"/>
  <c r="AP196" i="3633"/>
  <c r="AP200" i="3633" s="1"/>
  <c r="AH142" i="3633"/>
  <c r="O137" i="3633"/>
  <c r="AH135" i="3633"/>
  <c r="AH141" i="3633"/>
  <c r="AJ135" i="3633"/>
  <c r="AJ141" i="3633"/>
  <c r="AJ136" i="3633"/>
  <c r="Y196" i="3633"/>
  <c r="Y200" i="3633" s="1"/>
  <c r="AL138" i="3633"/>
  <c r="O135" i="3633"/>
  <c r="AI195" i="3633"/>
  <c r="AI199" i="3633" s="1"/>
  <c r="AI180" i="3633"/>
  <c r="AJ195" i="3633"/>
  <c r="AJ199" i="3633" s="1"/>
  <c r="AJ180" i="3633"/>
  <c r="Q195" i="3633"/>
  <c r="Q199" i="3633" s="1"/>
  <c r="Q180" i="3633"/>
  <c r="Q196" i="3633" s="1"/>
  <c r="Q200" i="3633" s="1"/>
  <c r="AK195" i="3633"/>
  <c r="AK199" i="3633" s="1"/>
  <c r="AK180" i="3633"/>
  <c r="P136" i="3633"/>
  <c r="AI139" i="3633"/>
  <c r="AI137" i="3633"/>
  <c r="AI134" i="3633"/>
  <c r="AO135" i="3633"/>
  <c r="AO142" i="3633"/>
  <c r="AJ139" i="3633"/>
  <c r="AO134" i="3633"/>
  <c r="AJ137" i="3633"/>
  <c r="AJ138" i="3633"/>
  <c r="AH137" i="3633"/>
  <c r="X141" i="3633"/>
  <c r="W141" i="3633"/>
  <c r="AK138" i="3633"/>
  <c r="AK137" i="3633"/>
  <c r="AK141" i="3633"/>
  <c r="P133" i="3633"/>
  <c r="AL141" i="3633"/>
  <c r="O195" i="3633"/>
  <c r="O199" i="3633" s="1"/>
  <c r="P195" i="3633"/>
  <c r="P199" i="3633" s="1"/>
  <c r="P180" i="3633"/>
  <c r="V195" i="3633"/>
  <c r="V199" i="3633" s="1"/>
  <c r="U195" i="3633"/>
  <c r="U199" i="3633" s="1"/>
  <c r="V180" i="3633"/>
  <c r="AO195" i="3633"/>
  <c r="AO199" i="3633" s="1"/>
  <c r="AO180" i="3633"/>
  <c r="AO196" i="3633" s="1"/>
  <c r="AO200" i="3633" s="1"/>
  <c r="W195" i="3633"/>
  <c r="W199" i="3633" s="1"/>
  <c r="W180" i="3633"/>
  <c r="AH195" i="3633"/>
  <c r="AH199" i="3633" s="1"/>
  <c r="AH180" i="3633"/>
  <c r="AG196" i="3633" s="1"/>
  <c r="AG200" i="3633" s="1"/>
  <c r="T195" i="3633"/>
  <c r="T199" i="3633" s="1"/>
  <c r="T180" i="3633"/>
  <c r="X195" i="3633"/>
  <c r="X199" i="3633" s="1"/>
  <c r="X180" i="3633"/>
  <c r="X196" i="3633" s="1"/>
  <c r="X200" i="3633" s="1"/>
  <c r="AL195" i="3633"/>
  <c r="AL199" i="3633" s="1"/>
  <c r="AL180" i="3633"/>
  <c r="AL196" i="3633" s="1"/>
  <c r="AL200" i="3633" s="1"/>
  <c r="P137" i="3633"/>
  <c r="P135" i="3633"/>
  <c r="P134" i="3633"/>
  <c r="P142" i="3633"/>
  <c r="P139" i="3633"/>
  <c r="AO139" i="3633"/>
  <c r="AO137" i="3633"/>
  <c r="AO138" i="3633"/>
  <c r="AN195" i="3633"/>
  <c r="AN199" i="3633" s="1"/>
  <c r="AH134" i="3633"/>
  <c r="Q135" i="3633"/>
  <c r="Q134" i="3633"/>
  <c r="X134" i="3633"/>
  <c r="Q142" i="3633"/>
  <c r="Q136" i="3633"/>
  <c r="Q139" i="3633"/>
  <c r="AK139" i="3633"/>
  <c r="AL136" i="3633"/>
  <c r="AL142" i="3633"/>
  <c r="AK196" i="3633" l="1"/>
  <c r="AK200" i="3633" s="1"/>
  <c r="AN196" i="3633"/>
  <c r="AN200" i="3633" s="1"/>
  <c r="N186" i="3633"/>
  <c r="N190" i="3633" s="1"/>
  <c r="N196" i="3633"/>
  <c r="N200" i="3633" s="1"/>
  <c r="AI196" i="3633"/>
  <c r="AI200" i="3633" s="1"/>
  <c r="AJ196" i="3633"/>
  <c r="AJ200" i="3633" s="1"/>
  <c r="W196" i="3633"/>
  <c r="W200" i="3633" s="1"/>
  <c r="AH196" i="3633"/>
  <c r="AH200" i="3633" s="1"/>
  <c r="P196" i="3633"/>
  <c r="P200" i="3633" s="1"/>
  <c r="O196" i="3633"/>
  <c r="O200" i="3633" s="1"/>
  <c r="V196" i="3633"/>
  <c r="V200" i="3633" s="1"/>
  <c r="U196" i="3633"/>
  <c r="U200" i="3633" s="1"/>
  <c r="T196" i="3633"/>
  <c r="T200" i="3633" s="1"/>
  <c r="S196" i="3633"/>
  <c r="S200" i="3633" s="1"/>
  <c r="D43" i="3589" l="1"/>
  <c r="E43" i="3589"/>
  <c r="F43" i="3589"/>
  <c r="G43" i="3589"/>
  <c r="H43" i="3589"/>
  <c r="D63" i="3589"/>
  <c r="D67" i="3589" s="1"/>
  <c r="E63" i="3589"/>
  <c r="E67" i="3589" s="1"/>
  <c r="D71" i="3589"/>
  <c r="E71" i="3589"/>
  <c r="F71" i="3589"/>
  <c r="G71" i="3589"/>
  <c r="H71" i="3589"/>
  <c r="D95" i="3589"/>
  <c r="E95" i="3589"/>
  <c r="F95" i="3589"/>
  <c r="G95" i="3589"/>
  <c r="H95" i="3589"/>
  <c r="D10" i="3"/>
  <c r="D11" i="3" s="1"/>
  <c r="D9" i="2" s="1"/>
  <c r="E10" i="3"/>
  <c r="E11" i="3" s="1"/>
  <c r="E9" i="2" s="1"/>
  <c r="F10" i="3"/>
  <c r="F11" i="3" s="1"/>
  <c r="F9" i="2" s="1"/>
  <c r="G10" i="3"/>
  <c r="G11" i="3" s="1"/>
  <c r="G9" i="2" s="1"/>
  <c r="H10" i="3"/>
  <c r="B4" i="3622"/>
  <c r="B9" i="3622" s="1"/>
  <c r="E61" i="2556"/>
  <c r="F61" i="2556"/>
  <c r="G61" i="2556"/>
  <c r="H61" i="2556"/>
  <c r="I61" i="2556"/>
  <c r="D6" i="3597"/>
  <c r="E6" i="3597"/>
  <c r="E7" i="3597" s="1"/>
  <c r="F6" i="3597"/>
  <c r="G6" i="3597"/>
  <c r="H6" i="3597"/>
  <c r="D46" i="3597"/>
  <c r="D53" i="3597" s="1"/>
  <c r="E46" i="3597"/>
  <c r="E53" i="3597" s="1"/>
  <c r="F46" i="3597"/>
  <c r="F53" i="3597" s="1"/>
  <c r="G46" i="3597"/>
  <c r="G53" i="3597" s="1"/>
  <c r="H46" i="3597"/>
  <c r="H53" i="3597" s="1"/>
  <c r="D90" i="3584"/>
  <c r="E90" i="3584"/>
  <c r="G7" i="3597" l="1"/>
  <c r="G20" i="3597" s="1"/>
  <c r="F7" i="3597"/>
  <c r="F20" i="3597" s="1"/>
  <c r="D7" i="3597"/>
  <c r="D8" i="3597" s="1"/>
  <c r="H7" i="3597"/>
  <c r="H20" i="3597" s="1"/>
  <c r="D68" i="3589"/>
  <c r="E68" i="3589"/>
  <c r="G26" i="3"/>
  <c r="G16" i="3589" s="1"/>
  <c r="F26" i="3"/>
  <c r="E26" i="3"/>
  <c r="D26" i="3"/>
  <c r="D16" i="3589" s="1"/>
  <c r="H26" i="3"/>
  <c r="H11" i="3"/>
  <c r="H9" i="2" s="1"/>
  <c r="I9" i="2" s="1"/>
  <c r="J9" i="2" s="1"/>
  <c r="K9" i="2" s="1"/>
  <c r="L9" i="2" s="1"/>
  <c r="M9" i="2" s="1"/>
  <c r="N9" i="2" s="1"/>
  <c r="O9" i="2" s="1"/>
  <c r="E20" i="3597"/>
  <c r="E8" i="3597"/>
  <c r="F8" i="3597"/>
  <c r="G8" i="3597" l="1"/>
  <c r="H21" i="3597"/>
  <c r="H10" i="2556" s="1"/>
  <c r="H11" i="3589"/>
  <c r="G21" i="3597"/>
  <c r="G10" i="2556" s="1"/>
  <c r="G13" i="2556" s="1"/>
  <c r="G11" i="3589"/>
  <c r="F21" i="3597"/>
  <c r="F10" i="2556" s="1"/>
  <c r="F13" i="2556" s="1"/>
  <c r="F44" i="3589" s="1"/>
  <c r="D20" i="3597"/>
  <c r="E21" i="3597" s="1"/>
  <c r="E10" i="2556" s="1"/>
  <c r="E13" i="2556" s="1"/>
  <c r="H8" i="3597"/>
  <c r="P9" i="2"/>
  <c r="Q9" i="2" s="1"/>
  <c r="R9" i="2" s="1"/>
  <c r="S9" i="2" s="1"/>
  <c r="T9" i="2" s="1"/>
  <c r="U9" i="2" s="1"/>
  <c r="V9" i="2" s="1"/>
  <c r="W9" i="2" s="1"/>
  <c r="X9" i="2" s="1"/>
  <c r="Y9" i="2" s="1"/>
  <c r="Z9" i="2" s="1"/>
  <c r="AA9" i="2" s="1"/>
  <c r="AB9" i="2" s="1"/>
  <c r="AC9" i="2" s="1"/>
  <c r="AD9" i="2" s="1"/>
  <c r="AE9" i="2" s="1"/>
  <c r="AF9" i="2" s="1"/>
  <c r="AG9" i="2" s="1"/>
  <c r="AH9" i="2" s="1"/>
  <c r="AI9" i="2" s="1"/>
  <c r="AJ9" i="2" s="1"/>
  <c r="AK9" i="2" s="1"/>
  <c r="AL9" i="2" s="1"/>
  <c r="O11" i="3"/>
  <c r="F6" i="3589"/>
  <c r="E6" i="3589"/>
  <c r="D6" i="3589"/>
  <c r="D48" i="3589"/>
  <c r="D34" i="3"/>
  <c r="D21" i="3589" s="1"/>
  <c r="D64" i="3589"/>
  <c r="D28" i="3"/>
  <c r="F16" i="3589"/>
  <c r="F48" i="3589"/>
  <c r="F34" i="3"/>
  <c r="F28" i="3"/>
  <c r="E16" i="3589"/>
  <c r="E28" i="3"/>
  <c r="E34" i="3"/>
  <c r="E21" i="3589" s="1"/>
  <c r="E48" i="3589"/>
  <c r="E64" i="3589"/>
  <c r="G6" i="3589"/>
  <c r="G28" i="3"/>
  <c r="G48" i="3589"/>
  <c r="G34" i="3"/>
  <c r="B40" i="3622"/>
  <c r="H13" i="2556"/>
  <c r="F11" i="3589"/>
  <c r="I11" i="3"/>
  <c r="H6" i="3589"/>
  <c r="H28" i="3"/>
  <c r="H16" i="3589"/>
  <c r="H34" i="3"/>
  <c r="H48" i="3589"/>
  <c r="F49" i="3589" l="1"/>
  <c r="E11" i="3589"/>
  <c r="D11" i="3589"/>
  <c r="D21" i="3597"/>
  <c r="D10" i="2556" s="1"/>
  <c r="D13" i="2556" s="1"/>
  <c r="J23" i="3645"/>
  <c r="I23" i="3645"/>
  <c r="C42" i="3645"/>
  <c r="B42" i="3645"/>
  <c r="G44" i="3589"/>
  <c r="G49" i="3589"/>
  <c r="C30" i="3645"/>
  <c r="H45" i="3622"/>
  <c r="G17" i="3589"/>
  <c r="G7" i="3589"/>
  <c r="E17" i="3589"/>
  <c r="E65" i="3589"/>
  <c r="E147" i="3598" s="1"/>
  <c r="E7" i="3589"/>
  <c r="F7" i="3589"/>
  <c r="F17" i="3589"/>
  <c r="F18" i="3589"/>
  <c r="F8" i="3589"/>
  <c r="G8" i="3589"/>
  <c r="G18" i="3589"/>
  <c r="E18" i="3589"/>
  <c r="E66" i="3589"/>
  <c r="E29" i="3589"/>
  <c r="E8" i="3589"/>
  <c r="D17" i="3589"/>
  <c r="D65" i="3589"/>
  <c r="D147" i="3598" s="1"/>
  <c r="D7" i="3589"/>
  <c r="D66" i="3589"/>
  <c r="D29" i="3589"/>
  <c r="D8" i="3589"/>
  <c r="D18" i="3589"/>
  <c r="J11" i="3"/>
  <c r="H18" i="3589"/>
  <c r="H8" i="3589"/>
  <c r="H7" i="3589"/>
  <c r="H17" i="3589"/>
  <c r="H20" i="3622"/>
  <c r="E49" i="3589"/>
  <c r="E44" i="3589"/>
  <c r="E60" i="2556"/>
  <c r="E62" i="2556" s="1"/>
  <c r="E65" i="2556" s="1"/>
  <c r="H44" i="3589"/>
  <c r="H49" i="3589"/>
  <c r="B35" i="3622"/>
  <c r="B41" i="3622" s="1"/>
  <c r="D60" i="2556" l="1"/>
  <c r="D62" i="2556" s="1"/>
  <c r="D65" i="2556" s="1"/>
  <c r="D44" i="3589"/>
  <c r="D49" i="3589"/>
  <c r="K11" i="3"/>
  <c r="L11" i="3" l="1"/>
  <c r="M11" i="3" l="1"/>
  <c r="N11" i="3" l="1"/>
  <c r="P11" i="3" l="1"/>
  <c r="Q11" i="3" l="1"/>
  <c r="R11" i="3" l="1"/>
  <c r="S11" i="3" l="1"/>
  <c r="T11" i="3" l="1"/>
  <c r="U11" i="3" l="1"/>
  <c r="V11" i="3" l="1"/>
  <c r="W11" i="3" l="1"/>
  <c r="X11" i="3" l="1"/>
  <c r="Y11" i="3" l="1"/>
  <c r="Z11" i="3" l="1"/>
  <c r="AA11" i="3" l="1"/>
  <c r="AB11" i="3" l="1"/>
  <c r="AC11" i="3" l="1"/>
  <c r="AD11" i="3" l="1"/>
  <c r="AE11" i="3" l="1"/>
  <c r="AF11" i="3" l="1"/>
  <c r="AG11" i="3" l="1"/>
  <c r="AH11" i="3" l="1"/>
  <c r="AI11" i="3" l="1"/>
  <c r="AJ11" i="3" l="1"/>
  <c r="AK11" i="3" l="1"/>
  <c r="AL11" i="3"/>
  <c r="B66" i="3645"/>
  <c r="F47" i="3589"/>
  <c r="G47" i="3589"/>
  <c r="H47" i="3589"/>
  <c r="F126" i="3589"/>
  <c r="G126" i="3589"/>
  <c r="H126" i="3589"/>
  <c r="F142" i="3589"/>
  <c r="G142" i="3589"/>
  <c r="H142" i="3589"/>
  <c r="B20" i="3645"/>
  <c r="B22" i="3645" s="1"/>
  <c r="C20" i="3645"/>
  <c r="C22" i="3645" s="1"/>
  <c r="B20" i="3622"/>
  <c r="B22" i="3622" s="1"/>
  <c r="F68" i="3584"/>
  <c r="G68" i="3584"/>
  <c r="H68" i="3584"/>
  <c r="H82" i="2" l="1"/>
  <c r="I82" i="2" s="1"/>
  <c r="I68" i="3584" s="1"/>
  <c r="I35" i="3597" s="1"/>
  <c r="H61" i="3597"/>
  <c r="H62" i="3597" s="1"/>
  <c r="B43" i="3622" s="1"/>
  <c r="B45" i="3622" s="1"/>
  <c r="G130" i="3589"/>
  <c r="G61" i="3597"/>
  <c r="G62" i="3597" s="1"/>
  <c r="F50" i="2556"/>
  <c r="F61" i="3597"/>
  <c r="F62" i="3597" s="1"/>
  <c r="F69" i="3584"/>
  <c r="F56" i="2556" s="1"/>
  <c r="G69" i="3584"/>
  <c r="H69" i="3584"/>
  <c r="H90" i="3584" s="1"/>
  <c r="H35" i="3597"/>
  <c r="H38" i="3597" s="1"/>
  <c r="J39" i="3645" s="1"/>
  <c r="G82" i="2"/>
  <c r="G35" i="3597"/>
  <c r="G38" i="3597" s="1"/>
  <c r="I39" i="3645" s="1"/>
  <c r="G50" i="2556"/>
  <c r="F82" i="2"/>
  <c r="F35" i="3597"/>
  <c r="F38" i="3597" s="1"/>
  <c r="F42" i="3597" s="1"/>
  <c r="F43" i="3597" s="1"/>
  <c r="H50" i="2556"/>
  <c r="H146" i="3589"/>
  <c r="H130" i="3589"/>
  <c r="F130" i="3589"/>
  <c r="F146" i="3589"/>
  <c r="G146" i="3589"/>
  <c r="F35" i="3589" l="1"/>
  <c r="F21" i="3589"/>
  <c r="F29" i="3589" s="1"/>
  <c r="H21" i="3590"/>
  <c r="F57" i="2556"/>
  <c r="F60" i="2556" s="1"/>
  <c r="F62" i="2556" s="1"/>
  <c r="F65" i="2556" s="1"/>
  <c r="H63" i="3589"/>
  <c r="H66" i="3589" s="1"/>
  <c r="H46" i="3589"/>
  <c r="F63" i="3589"/>
  <c r="F67" i="3589" s="1"/>
  <c r="F32" i="3589"/>
  <c r="G63" i="3589"/>
  <c r="G65" i="3589" s="1"/>
  <c r="I146" i="3589"/>
  <c r="I50" i="2556"/>
  <c r="G32" i="3589"/>
  <c r="H32" i="3589"/>
  <c r="J82" i="2"/>
  <c r="K82" i="2" s="1"/>
  <c r="G42" i="3597"/>
  <c r="G43" i="3597" s="1"/>
  <c r="H42" i="3597"/>
  <c r="H43" i="3597" s="1"/>
  <c r="F90" i="3584"/>
  <c r="F46" i="3589"/>
  <c r="G56" i="2556"/>
  <c r="G57" i="2556" s="1"/>
  <c r="G60" i="2556" s="1"/>
  <c r="G62" i="2556" s="1"/>
  <c r="G65" i="2556" s="1"/>
  <c r="G90" i="3584"/>
  <c r="H56" i="2556"/>
  <c r="H57" i="2556" s="1"/>
  <c r="B46" i="3622" s="1"/>
  <c r="B51" i="3622" s="1"/>
  <c r="G46" i="3589"/>
  <c r="G21" i="3589" l="1"/>
  <c r="I36" i="3645" s="1"/>
  <c r="H21" i="3589"/>
  <c r="J36" i="3645" s="1"/>
  <c r="H65" i="3589"/>
  <c r="H50" i="3622" s="1"/>
  <c r="B66" i="3622" s="1"/>
  <c r="H64" i="3589"/>
  <c r="H68" i="3589"/>
  <c r="G64" i="3589"/>
  <c r="G68" i="3589"/>
  <c r="F66" i="3589"/>
  <c r="F68" i="3589"/>
  <c r="F65" i="3589"/>
  <c r="F147" i="3598" s="1"/>
  <c r="H35" i="3589"/>
  <c r="C71" i="3590"/>
  <c r="F64" i="3589"/>
  <c r="G66" i="3589"/>
  <c r="H67" i="3589"/>
  <c r="J68" i="3584"/>
  <c r="J35" i="3597" s="1"/>
  <c r="G67" i="3589"/>
  <c r="G35" i="3589"/>
  <c r="H60" i="2556"/>
  <c r="H62" i="2556" s="1"/>
  <c r="H65" i="2556" s="1"/>
  <c r="H33" i="3622"/>
  <c r="G147" i="3598"/>
  <c r="I53" i="3645"/>
  <c r="G29" i="3589"/>
  <c r="L82" i="2"/>
  <c r="K68" i="3584"/>
  <c r="H147" i="3598"/>
  <c r="H29" i="3589" l="1"/>
  <c r="J53" i="3645"/>
  <c r="K146" i="3589"/>
  <c r="J146" i="3589"/>
  <c r="J50" i="2556"/>
  <c r="B52" i="3622"/>
  <c r="I130" i="3598"/>
  <c r="D82" i="3617" s="1"/>
  <c r="E82" i="3617" s="1"/>
  <c r="F82" i="3617" s="1"/>
  <c r="M82" i="2"/>
  <c r="L68" i="3584"/>
  <c r="L146" i="3589" s="1"/>
  <c r="K35" i="3597"/>
  <c r="K50" i="2556"/>
  <c r="C82" i="3617" l="1"/>
  <c r="H85" i="3617" s="1"/>
  <c r="G85" i="3617" s="1"/>
  <c r="N82" i="2"/>
  <c r="M68" i="3584"/>
  <c r="M146" i="3589" s="1"/>
  <c r="L50" i="2556"/>
  <c r="L35" i="3597"/>
  <c r="I85" i="3617" l="1"/>
  <c r="J85" i="3617" s="1"/>
  <c r="F85" i="3617"/>
  <c r="M50" i="2556"/>
  <c r="M35" i="3597"/>
  <c r="N68" i="3584"/>
  <c r="N146" i="3589" s="1"/>
  <c r="O82" i="2"/>
  <c r="P82" i="2" l="1"/>
  <c r="O68" i="3584"/>
  <c r="O146" i="3589" s="1"/>
  <c r="E85" i="3617"/>
  <c r="N50" i="2556"/>
  <c r="N35" i="3597"/>
  <c r="K85" i="3617"/>
  <c r="D85" i="3617" l="1"/>
  <c r="O35" i="3597"/>
  <c r="O50" i="2556"/>
  <c r="L85" i="3617"/>
  <c r="Q82" i="2"/>
  <c r="P68" i="3584"/>
  <c r="P50" i="2556" l="1"/>
  <c r="P35" i="3597"/>
  <c r="M85" i="3617"/>
  <c r="P146" i="3589"/>
  <c r="R82" i="2"/>
  <c r="Q68" i="3584"/>
  <c r="C85" i="3617"/>
  <c r="Q50" i="2556" l="1"/>
  <c r="Q35" i="3597"/>
  <c r="Q146" i="3589"/>
  <c r="S82" i="2"/>
  <c r="R68" i="3584"/>
  <c r="T82" i="2" l="1"/>
  <c r="S68" i="3584"/>
  <c r="S146" i="3589" s="1"/>
  <c r="R50" i="2556"/>
  <c r="R35" i="3597"/>
  <c r="R146" i="3589"/>
  <c r="S35" i="3597" l="1"/>
  <c r="S50" i="2556"/>
  <c r="U82" i="2"/>
  <c r="T68" i="3584"/>
  <c r="T35" i="3597" l="1"/>
  <c r="T50" i="2556"/>
  <c r="V82" i="2"/>
  <c r="U68" i="3584"/>
  <c r="T146" i="3589"/>
  <c r="W82" i="2" l="1"/>
  <c r="V68" i="3584"/>
  <c r="V146" i="3589" s="1"/>
  <c r="U50" i="2556"/>
  <c r="U35" i="3597"/>
  <c r="U146" i="3589"/>
  <c r="V50" i="2556" l="1"/>
  <c r="V35" i="3597"/>
  <c r="X82" i="2"/>
  <c r="W68" i="3584"/>
  <c r="W50" i="2556" l="1"/>
  <c r="W35" i="3597"/>
  <c r="W146" i="3589"/>
  <c r="Y82" i="2"/>
  <c r="X68" i="3584"/>
  <c r="X35" i="3597" l="1"/>
  <c r="X50" i="2556"/>
  <c r="Z82" i="2"/>
  <c r="Y68" i="3584"/>
  <c r="X146" i="3589"/>
  <c r="Y35" i="3597" l="1"/>
  <c r="Y50" i="2556"/>
  <c r="AA82" i="2"/>
  <c r="Z68" i="3584"/>
  <c r="Y146" i="3589"/>
  <c r="Z35" i="3597" l="1"/>
  <c r="Z50" i="2556"/>
  <c r="AB82" i="2"/>
  <c r="AA68" i="3584"/>
  <c r="Z146" i="3589"/>
  <c r="AA35" i="3597" l="1"/>
  <c r="AA50" i="2556"/>
  <c r="AA146" i="3589"/>
  <c r="AC82" i="2"/>
  <c r="AB68" i="3584"/>
  <c r="AD82" i="2" l="1"/>
  <c r="AC68" i="3584"/>
  <c r="AC146" i="3589" s="1"/>
  <c r="AB50" i="2556"/>
  <c r="AB35" i="3597"/>
  <c r="AB146" i="3589"/>
  <c r="AC35" i="3597" l="1"/>
  <c r="AC50" i="2556"/>
  <c r="AE82" i="2"/>
  <c r="AD68" i="3584"/>
  <c r="AD35" i="3597" l="1"/>
  <c r="AD50" i="2556"/>
  <c r="AE68" i="3584"/>
  <c r="AE146" i="3589" s="1"/>
  <c r="AF82" i="2"/>
  <c r="AD146" i="3589"/>
  <c r="AG82" i="2" l="1"/>
  <c r="AF68" i="3584"/>
  <c r="AF146" i="3589" s="1"/>
  <c r="AE50" i="2556"/>
  <c r="AE35" i="3597"/>
  <c r="AF50" i="2556" l="1"/>
  <c r="AF35" i="3597"/>
  <c r="AH82" i="2"/>
  <c r="AG68" i="3584"/>
  <c r="AG50" i="2556" l="1"/>
  <c r="AG35" i="3597"/>
  <c r="AI82" i="2"/>
  <c r="AH68" i="3584"/>
  <c r="AG146" i="3589"/>
  <c r="AH50" i="2556" l="1"/>
  <c r="AH35" i="3597"/>
  <c r="AJ82" i="2"/>
  <c r="AI68" i="3584"/>
  <c r="AH146" i="3589"/>
  <c r="AI35" i="3597" l="1"/>
  <c r="AI50" i="2556"/>
  <c r="AK82" i="2"/>
  <c r="AJ68" i="3584"/>
  <c r="AI146" i="3589"/>
  <c r="AJ50" i="2556" l="1"/>
  <c r="AJ35" i="3597"/>
  <c r="AL82" i="2"/>
  <c r="AL68" i="3584" s="1"/>
  <c r="AK68" i="3584"/>
  <c r="AJ146" i="3589"/>
  <c r="AK50" i="2556" l="1"/>
  <c r="AK35" i="3597"/>
  <c r="AL146" i="3589"/>
  <c r="AL50" i="2556"/>
  <c r="AL35" i="3597"/>
  <c r="AK146" i="3589"/>
  <c r="I4" i="3589"/>
  <c r="J4" i="3589"/>
  <c r="K4" i="3589"/>
  <c r="L4" i="3589"/>
  <c r="M4" i="3589"/>
  <c r="N4" i="3589"/>
  <c r="O4" i="3589"/>
  <c r="P4" i="3589"/>
  <c r="Q4" i="3589"/>
  <c r="R4" i="3589"/>
  <c r="S4" i="3589"/>
  <c r="T4" i="3589"/>
  <c r="U4" i="3589"/>
  <c r="V4" i="3589"/>
  <c r="W4" i="3589"/>
  <c r="X4" i="3589"/>
  <c r="Y4" i="3589"/>
  <c r="Z4" i="3589"/>
  <c r="AA4" i="3589"/>
  <c r="AB4" i="3589"/>
  <c r="AC4" i="3589"/>
  <c r="AD4" i="3589"/>
  <c r="AE4" i="3589"/>
  <c r="AF4" i="3589"/>
  <c r="AG4" i="3589"/>
  <c r="AH4" i="3589"/>
  <c r="AI4" i="3589"/>
  <c r="AJ4" i="3589"/>
  <c r="AK4" i="3589"/>
  <c r="AL4" i="3589"/>
  <c r="I5" i="3589"/>
  <c r="J5" i="3589"/>
  <c r="K5" i="3589"/>
  <c r="L5" i="3589"/>
  <c r="M5" i="3589"/>
  <c r="N5" i="3589"/>
  <c r="O5" i="3589"/>
  <c r="P5" i="3589"/>
  <c r="Q5" i="3589"/>
  <c r="R5" i="3589"/>
  <c r="S5" i="3589"/>
  <c r="T5" i="3589"/>
  <c r="U5" i="3589"/>
  <c r="V5" i="3589"/>
  <c r="W5" i="3589"/>
  <c r="X5" i="3589"/>
  <c r="Y5" i="3589"/>
  <c r="Z5" i="3589"/>
  <c r="AA5" i="3589"/>
  <c r="AB5" i="3589"/>
  <c r="AC5" i="3589"/>
  <c r="AD5" i="3589"/>
  <c r="AE5" i="3589"/>
  <c r="AF5" i="3589"/>
  <c r="AG5" i="3589"/>
  <c r="AH5" i="3589"/>
  <c r="AI5" i="3589"/>
  <c r="AJ5" i="3589"/>
  <c r="AK5" i="3589"/>
  <c r="AL5" i="3589"/>
  <c r="I6" i="3589"/>
  <c r="J6" i="3589"/>
  <c r="K6" i="3589"/>
  <c r="L6" i="3589"/>
  <c r="M6" i="3589"/>
  <c r="N6" i="3589"/>
  <c r="O6" i="3589"/>
  <c r="P6" i="3589"/>
  <c r="Q6" i="3589"/>
  <c r="R6" i="3589"/>
  <c r="S6" i="3589"/>
  <c r="T6" i="3589"/>
  <c r="U6" i="3589"/>
  <c r="V6" i="3589"/>
  <c r="W6" i="3589"/>
  <c r="X6" i="3589"/>
  <c r="Y6" i="3589"/>
  <c r="Z6" i="3589"/>
  <c r="AA6" i="3589"/>
  <c r="AB6" i="3589"/>
  <c r="AC6" i="3589"/>
  <c r="AD6" i="3589"/>
  <c r="AE6" i="3589"/>
  <c r="AF6" i="3589"/>
  <c r="AG6" i="3589"/>
  <c r="AH6" i="3589"/>
  <c r="AI6" i="3589"/>
  <c r="AJ6" i="3589"/>
  <c r="AK6" i="3589"/>
  <c r="AL6" i="3589"/>
  <c r="I7" i="3589"/>
  <c r="J7" i="3589"/>
  <c r="K7" i="3589"/>
  <c r="L7" i="3589"/>
  <c r="M7" i="3589"/>
  <c r="N7" i="3589"/>
  <c r="O7" i="3589"/>
  <c r="P7" i="3589"/>
  <c r="Q7" i="3589"/>
  <c r="R7" i="3589"/>
  <c r="S7" i="3589"/>
  <c r="T7" i="3589"/>
  <c r="U7" i="3589"/>
  <c r="V7" i="3589"/>
  <c r="W7" i="3589"/>
  <c r="X7" i="3589"/>
  <c r="Y7" i="3589"/>
  <c r="Z7" i="3589"/>
  <c r="AA7" i="3589"/>
  <c r="AB7" i="3589"/>
  <c r="AC7" i="3589"/>
  <c r="AD7" i="3589"/>
  <c r="AE7" i="3589"/>
  <c r="AF7" i="3589"/>
  <c r="AG7" i="3589"/>
  <c r="AH7" i="3589"/>
  <c r="AI7" i="3589"/>
  <c r="AJ7" i="3589"/>
  <c r="AK7" i="3589"/>
  <c r="AL7" i="3589"/>
  <c r="I8" i="3589"/>
  <c r="J8" i="3589"/>
  <c r="K8" i="3589"/>
  <c r="L8" i="3589"/>
  <c r="M8" i="3589"/>
  <c r="N8" i="3589"/>
  <c r="O8" i="3589"/>
  <c r="P8" i="3589"/>
  <c r="Q8" i="3589"/>
  <c r="R8" i="3589"/>
  <c r="S8" i="3589"/>
  <c r="T8" i="3589"/>
  <c r="U8" i="3589"/>
  <c r="V8" i="3589"/>
  <c r="W8" i="3589"/>
  <c r="X8" i="3589"/>
  <c r="Y8" i="3589"/>
  <c r="Z8" i="3589"/>
  <c r="AA8" i="3589"/>
  <c r="AB8" i="3589"/>
  <c r="AC8" i="3589"/>
  <c r="AD8" i="3589"/>
  <c r="AE8" i="3589"/>
  <c r="AF8" i="3589"/>
  <c r="AG8" i="3589"/>
  <c r="AH8" i="3589"/>
  <c r="AI8" i="3589"/>
  <c r="AJ8" i="3589"/>
  <c r="AK8" i="3589"/>
  <c r="AL8" i="3589"/>
  <c r="I9" i="3589"/>
  <c r="J9" i="3589"/>
  <c r="K9" i="3589"/>
  <c r="L9" i="3589"/>
  <c r="M9" i="3589"/>
  <c r="N9" i="3589"/>
  <c r="O9" i="3589"/>
  <c r="P9" i="3589"/>
  <c r="Q9" i="3589"/>
  <c r="R9" i="3589"/>
  <c r="S9" i="3589"/>
  <c r="T9" i="3589"/>
  <c r="U9" i="3589"/>
  <c r="V9" i="3589"/>
  <c r="W9" i="3589"/>
  <c r="X9" i="3589"/>
  <c r="Y9" i="3589"/>
  <c r="Z9" i="3589"/>
  <c r="AA9" i="3589"/>
  <c r="AB9" i="3589"/>
  <c r="AC9" i="3589"/>
  <c r="AD9" i="3589"/>
  <c r="AE9" i="3589"/>
  <c r="AF9" i="3589"/>
  <c r="AG9" i="3589"/>
  <c r="AH9" i="3589"/>
  <c r="AI9" i="3589"/>
  <c r="AJ9" i="3589"/>
  <c r="AK9" i="3589"/>
  <c r="AL9" i="3589"/>
  <c r="I10" i="3589"/>
  <c r="J10" i="3589"/>
  <c r="K10" i="3589"/>
  <c r="L10" i="3589"/>
  <c r="M10" i="3589"/>
  <c r="N10" i="3589"/>
  <c r="O10" i="3589"/>
  <c r="P10" i="3589"/>
  <c r="Q10" i="3589"/>
  <c r="R10" i="3589"/>
  <c r="S10" i="3589"/>
  <c r="T10" i="3589"/>
  <c r="U10" i="3589"/>
  <c r="V10" i="3589"/>
  <c r="W10" i="3589"/>
  <c r="X10" i="3589"/>
  <c r="Y10" i="3589"/>
  <c r="Z10" i="3589"/>
  <c r="AA10" i="3589"/>
  <c r="AB10" i="3589"/>
  <c r="AC10" i="3589"/>
  <c r="AD10" i="3589"/>
  <c r="AE10" i="3589"/>
  <c r="AF10" i="3589"/>
  <c r="AG10" i="3589"/>
  <c r="AH10" i="3589"/>
  <c r="AI10" i="3589"/>
  <c r="AJ10" i="3589"/>
  <c r="AK10" i="3589"/>
  <c r="AL10" i="3589"/>
  <c r="I11" i="3589"/>
  <c r="J11" i="3589"/>
  <c r="K11" i="3589"/>
  <c r="L11" i="3589"/>
  <c r="M11" i="3589"/>
  <c r="N11" i="3589"/>
  <c r="O11" i="3589"/>
  <c r="P11" i="3589"/>
  <c r="Q11" i="3589"/>
  <c r="R11" i="3589"/>
  <c r="S11" i="3589"/>
  <c r="T11" i="3589"/>
  <c r="U11" i="3589"/>
  <c r="V11" i="3589"/>
  <c r="W11" i="3589"/>
  <c r="X11" i="3589"/>
  <c r="Y11" i="3589"/>
  <c r="Z11" i="3589"/>
  <c r="AA11" i="3589"/>
  <c r="AB11" i="3589"/>
  <c r="AC11" i="3589"/>
  <c r="AD11" i="3589"/>
  <c r="AE11" i="3589"/>
  <c r="AF11" i="3589"/>
  <c r="AG11" i="3589"/>
  <c r="AH11" i="3589"/>
  <c r="AI11" i="3589"/>
  <c r="AJ11" i="3589"/>
  <c r="AK11" i="3589"/>
  <c r="AL11" i="3589"/>
  <c r="I14" i="3589"/>
  <c r="J14" i="3589"/>
  <c r="K14" i="3589"/>
  <c r="L14" i="3589"/>
  <c r="M14" i="3589"/>
  <c r="N14" i="3589"/>
  <c r="O14" i="3589"/>
  <c r="P14" i="3589"/>
  <c r="Q14" i="3589"/>
  <c r="R14" i="3589"/>
  <c r="S14" i="3589"/>
  <c r="T14" i="3589"/>
  <c r="U14" i="3589"/>
  <c r="V14" i="3589"/>
  <c r="W14" i="3589"/>
  <c r="X14" i="3589"/>
  <c r="Y14" i="3589"/>
  <c r="Z14" i="3589"/>
  <c r="AA14" i="3589"/>
  <c r="AB14" i="3589"/>
  <c r="AC14" i="3589"/>
  <c r="AD14" i="3589"/>
  <c r="AE14" i="3589"/>
  <c r="AF14" i="3589"/>
  <c r="AG14" i="3589"/>
  <c r="AH14" i="3589"/>
  <c r="AI14" i="3589"/>
  <c r="AJ14" i="3589"/>
  <c r="AK14" i="3589"/>
  <c r="AL14" i="3589"/>
  <c r="I15" i="3589"/>
  <c r="J15" i="3589"/>
  <c r="K15" i="3589"/>
  <c r="L15" i="3589"/>
  <c r="M15" i="3589"/>
  <c r="N15" i="3589"/>
  <c r="O15" i="3589"/>
  <c r="P15" i="3589"/>
  <c r="Q15" i="3589"/>
  <c r="R15" i="3589"/>
  <c r="S15" i="3589"/>
  <c r="T15" i="3589"/>
  <c r="U15" i="3589"/>
  <c r="V15" i="3589"/>
  <c r="W15" i="3589"/>
  <c r="X15" i="3589"/>
  <c r="Y15" i="3589"/>
  <c r="Z15" i="3589"/>
  <c r="AA15" i="3589"/>
  <c r="AB15" i="3589"/>
  <c r="AC15" i="3589"/>
  <c r="AD15" i="3589"/>
  <c r="AE15" i="3589"/>
  <c r="AF15" i="3589"/>
  <c r="AG15" i="3589"/>
  <c r="AH15" i="3589"/>
  <c r="AI15" i="3589"/>
  <c r="AJ15" i="3589"/>
  <c r="AK15" i="3589"/>
  <c r="AL15" i="3589"/>
  <c r="I16" i="3589"/>
  <c r="J16" i="3589"/>
  <c r="K16" i="3589"/>
  <c r="L16" i="3589"/>
  <c r="M16" i="3589"/>
  <c r="N16" i="3589"/>
  <c r="O16" i="3589"/>
  <c r="P16" i="3589"/>
  <c r="Q16" i="3589"/>
  <c r="R16" i="3589"/>
  <c r="S16" i="3589"/>
  <c r="T16" i="3589"/>
  <c r="U16" i="3589"/>
  <c r="V16" i="3589"/>
  <c r="W16" i="3589"/>
  <c r="X16" i="3589"/>
  <c r="Y16" i="3589"/>
  <c r="Z16" i="3589"/>
  <c r="AA16" i="3589"/>
  <c r="AB16" i="3589"/>
  <c r="AC16" i="3589"/>
  <c r="AD16" i="3589"/>
  <c r="AE16" i="3589"/>
  <c r="AF16" i="3589"/>
  <c r="AG16" i="3589"/>
  <c r="AH16" i="3589"/>
  <c r="AI16" i="3589"/>
  <c r="AJ16" i="3589"/>
  <c r="AK16" i="3589"/>
  <c r="AL16" i="3589"/>
  <c r="I17" i="3589"/>
  <c r="J17" i="3589"/>
  <c r="K17" i="3589"/>
  <c r="L17" i="3589"/>
  <c r="M17" i="3589"/>
  <c r="N17" i="3589"/>
  <c r="O17" i="3589"/>
  <c r="P17" i="3589"/>
  <c r="Q17" i="3589"/>
  <c r="R17" i="3589"/>
  <c r="S17" i="3589"/>
  <c r="T17" i="3589"/>
  <c r="U17" i="3589"/>
  <c r="V17" i="3589"/>
  <c r="W17" i="3589"/>
  <c r="X17" i="3589"/>
  <c r="Y17" i="3589"/>
  <c r="Z17" i="3589"/>
  <c r="AA17" i="3589"/>
  <c r="AB17" i="3589"/>
  <c r="AC17" i="3589"/>
  <c r="AD17" i="3589"/>
  <c r="AE17" i="3589"/>
  <c r="AF17" i="3589"/>
  <c r="AG17" i="3589"/>
  <c r="AH17" i="3589"/>
  <c r="AI17" i="3589"/>
  <c r="AJ17" i="3589"/>
  <c r="AK17" i="3589"/>
  <c r="AL17" i="3589"/>
  <c r="I18" i="3589"/>
  <c r="J18" i="3589"/>
  <c r="K18" i="3589"/>
  <c r="L18" i="3589"/>
  <c r="M18" i="3589"/>
  <c r="N18" i="3589"/>
  <c r="O18" i="3589"/>
  <c r="P18" i="3589"/>
  <c r="Q18" i="3589"/>
  <c r="R18" i="3589"/>
  <c r="S18" i="3589"/>
  <c r="T18" i="3589"/>
  <c r="U18" i="3589"/>
  <c r="V18" i="3589"/>
  <c r="W18" i="3589"/>
  <c r="X18" i="3589"/>
  <c r="Y18" i="3589"/>
  <c r="Z18" i="3589"/>
  <c r="AA18" i="3589"/>
  <c r="AB18" i="3589"/>
  <c r="AC18" i="3589"/>
  <c r="AD18" i="3589"/>
  <c r="AE18" i="3589"/>
  <c r="AF18" i="3589"/>
  <c r="AG18" i="3589"/>
  <c r="AH18" i="3589"/>
  <c r="AI18" i="3589"/>
  <c r="AJ18" i="3589"/>
  <c r="AK18" i="3589"/>
  <c r="AL18" i="3589"/>
  <c r="I19" i="3589"/>
  <c r="J19" i="3589"/>
  <c r="K19" i="3589"/>
  <c r="L19" i="3589"/>
  <c r="M19" i="3589"/>
  <c r="N19" i="3589"/>
  <c r="O19" i="3589"/>
  <c r="P19" i="3589"/>
  <c r="Q19" i="3589"/>
  <c r="R19" i="3589"/>
  <c r="S19" i="3589"/>
  <c r="T19" i="3589"/>
  <c r="U19" i="3589"/>
  <c r="V19" i="3589"/>
  <c r="W19" i="3589"/>
  <c r="X19" i="3589"/>
  <c r="Y19" i="3589"/>
  <c r="Z19" i="3589"/>
  <c r="AA19" i="3589"/>
  <c r="AB19" i="3589"/>
  <c r="AC19" i="3589"/>
  <c r="AD19" i="3589"/>
  <c r="AE19" i="3589"/>
  <c r="AF19" i="3589"/>
  <c r="AG19" i="3589"/>
  <c r="AH19" i="3589"/>
  <c r="AI19" i="3589"/>
  <c r="AJ19" i="3589"/>
  <c r="AK19" i="3589"/>
  <c r="AL19" i="3589"/>
  <c r="I20" i="3589"/>
  <c r="J20" i="3589"/>
  <c r="K20" i="3589"/>
  <c r="L20" i="3589"/>
  <c r="M20" i="3589"/>
  <c r="N20" i="3589"/>
  <c r="O20" i="3589"/>
  <c r="P20" i="3589"/>
  <c r="Q20" i="3589"/>
  <c r="R20" i="3589"/>
  <c r="S20" i="3589"/>
  <c r="T20" i="3589"/>
  <c r="U20" i="3589"/>
  <c r="V20" i="3589"/>
  <c r="W20" i="3589"/>
  <c r="X20" i="3589"/>
  <c r="Y20" i="3589"/>
  <c r="Z20" i="3589"/>
  <c r="AA20" i="3589"/>
  <c r="AB20" i="3589"/>
  <c r="AC20" i="3589"/>
  <c r="AD20" i="3589"/>
  <c r="AE20" i="3589"/>
  <c r="AF20" i="3589"/>
  <c r="AG20" i="3589"/>
  <c r="AH20" i="3589"/>
  <c r="AI20" i="3589"/>
  <c r="AJ20" i="3589"/>
  <c r="AK20" i="3589"/>
  <c r="AL20" i="3589"/>
  <c r="I21" i="3589"/>
  <c r="J21" i="3589"/>
  <c r="K21" i="3589"/>
  <c r="L21" i="3589"/>
  <c r="M21" i="3589"/>
  <c r="N21" i="3589"/>
  <c r="O21" i="3589"/>
  <c r="P21" i="3589"/>
  <c r="Q21" i="3589"/>
  <c r="R21" i="3589"/>
  <c r="S21" i="3589"/>
  <c r="T21" i="3589"/>
  <c r="U21" i="3589"/>
  <c r="V21" i="3589"/>
  <c r="W21" i="3589"/>
  <c r="X21" i="3589"/>
  <c r="Y21" i="3589"/>
  <c r="Z21" i="3589"/>
  <c r="AA21" i="3589"/>
  <c r="AB21" i="3589"/>
  <c r="AC21" i="3589"/>
  <c r="AD21" i="3589"/>
  <c r="AE21" i="3589"/>
  <c r="AF21" i="3589"/>
  <c r="AG21" i="3589"/>
  <c r="AH21" i="3589"/>
  <c r="AI21" i="3589"/>
  <c r="AJ21" i="3589"/>
  <c r="AK21" i="3589"/>
  <c r="AL21" i="3589"/>
  <c r="I22" i="3589"/>
  <c r="J22" i="3589"/>
  <c r="K22" i="3589"/>
  <c r="L22" i="3589"/>
  <c r="M22" i="3589"/>
  <c r="N22" i="3589"/>
  <c r="O22" i="3589"/>
  <c r="P22" i="3589"/>
  <c r="Q22" i="3589"/>
  <c r="R22" i="3589"/>
  <c r="S22" i="3589"/>
  <c r="T22" i="3589"/>
  <c r="U22" i="3589"/>
  <c r="V22" i="3589"/>
  <c r="W22" i="3589"/>
  <c r="X22" i="3589"/>
  <c r="Y22" i="3589"/>
  <c r="Z22" i="3589"/>
  <c r="AA22" i="3589"/>
  <c r="AB22" i="3589"/>
  <c r="AC22" i="3589"/>
  <c r="AD22" i="3589"/>
  <c r="AE22" i="3589"/>
  <c r="AF22" i="3589"/>
  <c r="AG22" i="3589"/>
  <c r="AH22" i="3589"/>
  <c r="AI22" i="3589"/>
  <c r="AJ22" i="3589"/>
  <c r="AK22" i="3589"/>
  <c r="AL22" i="3589"/>
  <c r="I23" i="3589"/>
  <c r="J23" i="3589"/>
  <c r="K23" i="3589"/>
  <c r="L23" i="3589"/>
  <c r="M23" i="3589"/>
  <c r="N23" i="3589"/>
  <c r="O23" i="3589"/>
  <c r="P23" i="3589"/>
  <c r="Q23" i="3589"/>
  <c r="R23" i="3589"/>
  <c r="S23" i="3589"/>
  <c r="T23" i="3589"/>
  <c r="U23" i="3589"/>
  <c r="V23" i="3589"/>
  <c r="W23" i="3589"/>
  <c r="X23" i="3589"/>
  <c r="Y23" i="3589"/>
  <c r="Z23" i="3589"/>
  <c r="AA23" i="3589"/>
  <c r="AB23" i="3589"/>
  <c r="AC23" i="3589"/>
  <c r="AD23" i="3589"/>
  <c r="AE23" i="3589"/>
  <c r="AF23" i="3589"/>
  <c r="AG23" i="3589"/>
  <c r="AH23" i="3589"/>
  <c r="AI23" i="3589"/>
  <c r="AJ23" i="3589"/>
  <c r="AK23" i="3589"/>
  <c r="AL23" i="3589"/>
  <c r="I24" i="3589"/>
  <c r="J24" i="3589"/>
  <c r="K24" i="3589"/>
  <c r="L24" i="3589"/>
  <c r="M24" i="3589"/>
  <c r="N24" i="3589"/>
  <c r="O24" i="3589"/>
  <c r="P24" i="3589"/>
  <c r="Q24" i="3589"/>
  <c r="R24" i="3589"/>
  <c r="S24" i="3589"/>
  <c r="T24" i="3589"/>
  <c r="U24" i="3589"/>
  <c r="V24" i="3589"/>
  <c r="W24" i="3589"/>
  <c r="X24" i="3589"/>
  <c r="Y24" i="3589"/>
  <c r="Z24" i="3589"/>
  <c r="AA24" i="3589"/>
  <c r="AB24" i="3589"/>
  <c r="AC24" i="3589"/>
  <c r="AD24" i="3589"/>
  <c r="AE24" i="3589"/>
  <c r="AF24" i="3589"/>
  <c r="AG24" i="3589"/>
  <c r="AH24" i="3589"/>
  <c r="AI24" i="3589"/>
  <c r="AJ24" i="3589"/>
  <c r="AK24" i="3589"/>
  <c r="AL24" i="3589"/>
  <c r="I27" i="3589"/>
  <c r="J27" i="3589"/>
  <c r="K27" i="3589"/>
  <c r="L27" i="3589"/>
  <c r="M27" i="3589"/>
  <c r="N27" i="3589"/>
  <c r="O27" i="3589"/>
  <c r="P27" i="3589"/>
  <c r="Q27" i="3589"/>
  <c r="R27" i="3589"/>
  <c r="S27" i="3589"/>
  <c r="T27" i="3589"/>
  <c r="U27" i="3589"/>
  <c r="V27" i="3589"/>
  <c r="W27" i="3589"/>
  <c r="X27" i="3589"/>
  <c r="Y27" i="3589"/>
  <c r="Z27" i="3589"/>
  <c r="AA27" i="3589"/>
  <c r="AB27" i="3589"/>
  <c r="AC27" i="3589"/>
  <c r="AD27" i="3589"/>
  <c r="AE27" i="3589"/>
  <c r="AF27" i="3589"/>
  <c r="AG27" i="3589"/>
  <c r="AH27" i="3589"/>
  <c r="AI27" i="3589"/>
  <c r="AJ27" i="3589"/>
  <c r="AK27" i="3589"/>
  <c r="AL27" i="3589"/>
  <c r="I28" i="3589"/>
  <c r="J28" i="3589"/>
  <c r="K28" i="3589"/>
  <c r="L28" i="3589"/>
  <c r="M28" i="3589"/>
  <c r="N28" i="3589"/>
  <c r="O28" i="3589"/>
  <c r="P28" i="3589"/>
  <c r="Q28" i="3589"/>
  <c r="R28" i="3589"/>
  <c r="S28" i="3589"/>
  <c r="T28" i="3589"/>
  <c r="U28" i="3589"/>
  <c r="V28" i="3589"/>
  <c r="W28" i="3589"/>
  <c r="X28" i="3589"/>
  <c r="Y28" i="3589"/>
  <c r="Z28" i="3589"/>
  <c r="AA28" i="3589"/>
  <c r="AB28" i="3589"/>
  <c r="AC28" i="3589"/>
  <c r="AD28" i="3589"/>
  <c r="AE28" i="3589"/>
  <c r="AF28" i="3589"/>
  <c r="AG28" i="3589"/>
  <c r="AH28" i="3589"/>
  <c r="AI28" i="3589"/>
  <c r="AJ28" i="3589"/>
  <c r="AK28" i="3589"/>
  <c r="AL28" i="3589"/>
  <c r="I29" i="3589"/>
  <c r="J29" i="3589"/>
  <c r="K29" i="3589"/>
  <c r="L29" i="3589"/>
  <c r="M29" i="3589"/>
  <c r="N29" i="3589"/>
  <c r="O29" i="3589"/>
  <c r="P29" i="3589"/>
  <c r="Q29" i="3589"/>
  <c r="R29" i="3589"/>
  <c r="S29" i="3589"/>
  <c r="T29" i="3589"/>
  <c r="U29" i="3589"/>
  <c r="V29" i="3589"/>
  <c r="W29" i="3589"/>
  <c r="X29" i="3589"/>
  <c r="Y29" i="3589"/>
  <c r="Z29" i="3589"/>
  <c r="AA29" i="3589"/>
  <c r="AB29" i="3589"/>
  <c r="AC29" i="3589"/>
  <c r="AD29" i="3589"/>
  <c r="AE29" i="3589"/>
  <c r="AF29" i="3589"/>
  <c r="AG29" i="3589"/>
  <c r="AH29" i="3589"/>
  <c r="AI29" i="3589"/>
  <c r="AJ29" i="3589"/>
  <c r="AK29" i="3589"/>
  <c r="AL29" i="3589"/>
  <c r="I31" i="3589"/>
  <c r="J31" i="3589"/>
  <c r="K31" i="3589"/>
  <c r="L31" i="3589"/>
  <c r="M31" i="3589"/>
  <c r="N31" i="3589"/>
  <c r="O31" i="3589"/>
  <c r="P31" i="3589"/>
  <c r="Q31" i="3589"/>
  <c r="R31" i="3589"/>
  <c r="S31" i="3589"/>
  <c r="T31" i="3589"/>
  <c r="U31" i="3589"/>
  <c r="V31" i="3589"/>
  <c r="W31" i="3589"/>
  <c r="X31" i="3589"/>
  <c r="Y31" i="3589"/>
  <c r="Z31" i="3589"/>
  <c r="AA31" i="3589"/>
  <c r="AB31" i="3589"/>
  <c r="AC31" i="3589"/>
  <c r="AD31" i="3589"/>
  <c r="AE31" i="3589"/>
  <c r="AF31" i="3589"/>
  <c r="AG31" i="3589"/>
  <c r="AH31" i="3589"/>
  <c r="AI31" i="3589"/>
  <c r="AJ31" i="3589"/>
  <c r="AK31" i="3589"/>
  <c r="AL31" i="3589"/>
  <c r="I32" i="3589"/>
  <c r="J32" i="3589"/>
  <c r="K32" i="3589"/>
  <c r="L32" i="3589"/>
  <c r="M32" i="3589"/>
  <c r="N32" i="3589"/>
  <c r="O32" i="3589"/>
  <c r="P32" i="3589"/>
  <c r="Q32" i="3589"/>
  <c r="R32" i="3589"/>
  <c r="S32" i="3589"/>
  <c r="T32" i="3589"/>
  <c r="U32" i="3589"/>
  <c r="V32" i="3589"/>
  <c r="W32" i="3589"/>
  <c r="X32" i="3589"/>
  <c r="Y32" i="3589"/>
  <c r="Z32" i="3589"/>
  <c r="AA32" i="3589"/>
  <c r="AB32" i="3589"/>
  <c r="AC32" i="3589"/>
  <c r="AD32" i="3589"/>
  <c r="AE32" i="3589"/>
  <c r="AF32" i="3589"/>
  <c r="AG32" i="3589"/>
  <c r="AH32" i="3589"/>
  <c r="AI32" i="3589"/>
  <c r="AJ32" i="3589"/>
  <c r="AK32" i="3589"/>
  <c r="AL32" i="3589"/>
  <c r="I33" i="3589"/>
  <c r="J33" i="3589"/>
  <c r="K33" i="3589"/>
  <c r="L33" i="3589"/>
  <c r="M33" i="3589"/>
  <c r="N33" i="3589"/>
  <c r="O33" i="3589"/>
  <c r="P33" i="3589"/>
  <c r="Q33" i="3589"/>
  <c r="R33" i="3589"/>
  <c r="S33" i="3589"/>
  <c r="T33" i="3589"/>
  <c r="U33" i="3589"/>
  <c r="V33" i="3589"/>
  <c r="W33" i="3589"/>
  <c r="X33" i="3589"/>
  <c r="Y33" i="3589"/>
  <c r="Z33" i="3589"/>
  <c r="AA33" i="3589"/>
  <c r="AB33" i="3589"/>
  <c r="AC33" i="3589"/>
  <c r="AD33" i="3589"/>
  <c r="AE33" i="3589"/>
  <c r="AF33" i="3589"/>
  <c r="AG33" i="3589"/>
  <c r="AH33" i="3589"/>
  <c r="AI33" i="3589"/>
  <c r="AJ33" i="3589"/>
  <c r="AK33" i="3589"/>
  <c r="AL33" i="3589"/>
  <c r="I34" i="3589"/>
  <c r="J34" i="3589"/>
  <c r="K34" i="3589"/>
  <c r="L34" i="3589"/>
  <c r="M34" i="3589"/>
  <c r="N34" i="3589"/>
  <c r="O34" i="3589"/>
  <c r="P34" i="3589"/>
  <c r="Q34" i="3589"/>
  <c r="R34" i="3589"/>
  <c r="S34" i="3589"/>
  <c r="T34" i="3589"/>
  <c r="U34" i="3589"/>
  <c r="V34" i="3589"/>
  <c r="W34" i="3589"/>
  <c r="X34" i="3589"/>
  <c r="Y34" i="3589"/>
  <c r="Z34" i="3589"/>
  <c r="AA34" i="3589"/>
  <c r="AB34" i="3589"/>
  <c r="AC34" i="3589"/>
  <c r="AD34" i="3589"/>
  <c r="AE34" i="3589"/>
  <c r="AF34" i="3589"/>
  <c r="AG34" i="3589"/>
  <c r="AH34" i="3589"/>
  <c r="AI34" i="3589"/>
  <c r="AJ34" i="3589"/>
  <c r="AK34" i="3589"/>
  <c r="AL34" i="3589"/>
  <c r="I35" i="3589"/>
  <c r="J35" i="3589"/>
  <c r="K35" i="3589"/>
  <c r="L35" i="3589"/>
  <c r="M35" i="3589"/>
  <c r="N35" i="3589"/>
  <c r="O35" i="3589"/>
  <c r="P35" i="3589"/>
  <c r="Q35" i="3589"/>
  <c r="R35" i="3589"/>
  <c r="S35" i="3589"/>
  <c r="T35" i="3589"/>
  <c r="U35" i="3589"/>
  <c r="V35" i="3589"/>
  <c r="W35" i="3589"/>
  <c r="X35" i="3589"/>
  <c r="Y35" i="3589"/>
  <c r="Z35" i="3589"/>
  <c r="AA35" i="3589"/>
  <c r="AB35" i="3589"/>
  <c r="AC35" i="3589"/>
  <c r="AD35" i="3589"/>
  <c r="AE35" i="3589"/>
  <c r="AF35" i="3589"/>
  <c r="AG35" i="3589"/>
  <c r="AH35" i="3589"/>
  <c r="AI35" i="3589"/>
  <c r="AJ35" i="3589"/>
  <c r="AK35" i="3589"/>
  <c r="AL35" i="3589"/>
  <c r="I38" i="3589"/>
  <c r="J38" i="3589"/>
  <c r="K38" i="3589"/>
  <c r="L38" i="3589"/>
  <c r="M38" i="3589"/>
  <c r="N38" i="3589"/>
  <c r="O38" i="3589"/>
  <c r="P38" i="3589"/>
  <c r="Q38" i="3589"/>
  <c r="R38" i="3589"/>
  <c r="S38" i="3589"/>
  <c r="T38" i="3589"/>
  <c r="U38" i="3589"/>
  <c r="V38" i="3589"/>
  <c r="W38" i="3589"/>
  <c r="X38" i="3589"/>
  <c r="Y38" i="3589"/>
  <c r="Z38" i="3589"/>
  <c r="AA38" i="3589"/>
  <c r="AB38" i="3589"/>
  <c r="AC38" i="3589"/>
  <c r="AD38" i="3589"/>
  <c r="AE38" i="3589"/>
  <c r="AF38" i="3589"/>
  <c r="AG38" i="3589"/>
  <c r="AH38" i="3589"/>
  <c r="AI38" i="3589"/>
  <c r="AJ38" i="3589"/>
  <c r="AK38" i="3589"/>
  <c r="AL38" i="3589"/>
  <c r="I39" i="3589"/>
  <c r="J39" i="3589"/>
  <c r="K39" i="3589"/>
  <c r="L39" i="3589"/>
  <c r="M39" i="3589"/>
  <c r="N39" i="3589"/>
  <c r="O39" i="3589"/>
  <c r="P39" i="3589"/>
  <c r="Q39" i="3589"/>
  <c r="R39" i="3589"/>
  <c r="S39" i="3589"/>
  <c r="T39" i="3589"/>
  <c r="U39" i="3589"/>
  <c r="V39" i="3589"/>
  <c r="W39" i="3589"/>
  <c r="X39" i="3589"/>
  <c r="Y39" i="3589"/>
  <c r="Z39" i="3589"/>
  <c r="AA39" i="3589"/>
  <c r="AB39" i="3589"/>
  <c r="AC39" i="3589"/>
  <c r="AD39" i="3589"/>
  <c r="AE39" i="3589"/>
  <c r="AF39" i="3589"/>
  <c r="AG39" i="3589"/>
  <c r="AH39" i="3589"/>
  <c r="AI39" i="3589"/>
  <c r="AJ39" i="3589"/>
  <c r="AK39" i="3589"/>
  <c r="AL39" i="3589"/>
  <c r="I41" i="3589"/>
  <c r="J41" i="3589"/>
  <c r="K41" i="3589"/>
  <c r="L41" i="3589"/>
  <c r="M41" i="3589"/>
  <c r="N41" i="3589"/>
  <c r="O41" i="3589"/>
  <c r="P41" i="3589"/>
  <c r="Q41" i="3589"/>
  <c r="R41" i="3589"/>
  <c r="S41" i="3589"/>
  <c r="T41" i="3589"/>
  <c r="U41" i="3589"/>
  <c r="V41" i="3589"/>
  <c r="W41" i="3589"/>
  <c r="X41" i="3589"/>
  <c r="Y41" i="3589"/>
  <c r="Z41" i="3589"/>
  <c r="AA41" i="3589"/>
  <c r="AB41" i="3589"/>
  <c r="AC41" i="3589"/>
  <c r="AD41" i="3589"/>
  <c r="AE41" i="3589"/>
  <c r="AF41" i="3589"/>
  <c r="AG41" i="3589"/>
  <c r="AH41" i="3589"/>
  <c r="AI41" i="3589"/>
  <c r="AJ41" i="3589"/>
  <c r="AK41" i="3589"/>
  <c r="AL41" i="3589"/>
  <c r="I42" i="3589"/>
  <c r="J42" i="3589"/>
  <c r="K42" i="3589"/>
  <c r="L42" i="3589"/>
  <c r="M42" i="3589"/>
  <c r="N42" i="3589"/>
  <c r="O42" i="3589"/>
  <c r="P42" i="3589"/>
  <c r="Q42" i="3589"/>
  <c r="R42" i="3589"/>
  <c r="S42" i="3589"/>
  <c r="T42" i="3589"/>
  <c r="U42" i="3589"/>
  <c r="V42" i="3589"/>
  <c r="W42" i="3589"/>
  <c r="X42" i="3589"/>
  <c r="Y42" i="3589"/>
  <c r="Z42" i="3589"/>
  <c r="AA42" i="3589"/>
  <c r="AB42" i="3589"/>
  <c r="AC42" i="3589"/>
  <c r="AD42" i="3589"/>
  <c r="AE42" i="3589"/>
  <c r="AF42" i="3589"/>
  <c r="AG42" i="3589"/>
  <c r="AH42" i="3589"/>
  <c r="AI42" i="3589"/>
  <c r="AJ42" i="3589"/>
  <c r="AK42" i="3589"/>
  <c r="AL42" i="3589"/>
  <c r="I43" i="3589"/>
  <c r="J43" i="3589"/>
  <c r="K43" i="3589"/>
  <c r="L43" i="3589"/>
  <c r="M43" i="3589"/>
  <c r="N43" i="3589"/>
  <c r="O43" i="3589"/>
  <c r="P43" i="3589"/>
  <c r="Q43" i="3589"/>
  <c r="R43" i="3589"/>
  <c r="S43" i="3589"/>
  <c r="T43" i="3589"/>
  <c r="U43" i="3589"/>
  <c r="V43" i="3589"/>
  <c r="W43" i="3589"/>
  <c r="X43" i="3589"/>
  <c r="Y43" i="3589"/>
  <c r="Z43" i="3589"/>
  <c r="AA43" i="3589"/>
  <c r="AB43" i="3589"/>
  <c r="AC43" i="3589"/>
  <c r="AD43" i="3589"/>
  <c r="AE43" i="3589"/>
  <c r="AF43" i="3589"/>
  <c r="AG43" i="3589"/>
  <c r="AH43" i="3589"/>
  <c r="AI43" i="3589"/>
  <c r="AJ43" i="3589"/>
  <c r="AK43" i="3589"/>
  <c r="AL43" i="3589"/>
  <c r="I44" i="3589"/>
  <c r="J44" i="3589"/>
  <c r="K44" i="3589"/>
  <c r="L44" i="3589"/>
  <c r="M44" i="3589"/>
  <c r="N44" i="3589"/>
  <c r="O44" i="3589"/>
  <c r="P44" i="3589"/>
  <c r="Q44" i="3589"/>
  <c r="R44" i="3589"/>
  <c r="S44" i="3589"/>
  <c r="T44" i="3589"/>
  <c r="U44" i="3589"/>
  <c r="V44" i="3589"/>
  <c r="W44" i="3589"/>
  <c r="X44" i="3589"/>
  <c r="Y44" i="3589"/>
  <c r="Z44" i="3589"/>
  <c r="AA44" i="3589"/>
  <c r="AB44" i="3589"/>
  <c r="AC44" i="3589"/>
  <c r="AD44" i="3589"/>
  <c r="AE44" i="3589"/>
  <c r="AF44" i="3589"/>
  <c r="AG44" i="3589"/>
  <c r="AH44" i="3589"/>
  <c r="AI44" i="3589"/>
  <c r="AJ44" i="3589"/>
  <c r="AK44" i="3589"/>
  <c r="AL44" i="3589"/>
  <c r="I45" i="3589"/>
  <c r="J45" i="3589"/>
  <c r="K45" i="3589"/>
  <c r="L45" i="3589"/>
  <c r="M45" i="3589"/>
  <c r="N45" i="3589"/>
  <c r="O45" i="3589"/>
  <c r="P45" i="3589"/>
  <c r="Q45" i="3589"/>
  <c r="R45" i="3589"/>
  <c r="S45" i="3589"/>
  <c r="T45" i="3589"/>
  <c r="U45" i="3589"/>
  <c r="V45" i="3589"/>
  <c r="W45" i="3589"/>
  <c r="X45" i="3589"/>
  <c r="Y45" i="3589"/>
  <c r="Z45" i="3589"/>
  <c r="AA45" i="3589"/>
  <c r="AB45" i="3589"/>
  <c r="AC45" i="3589"/>
  <c r="AD45" i="3589"/>
  <c r="AE45" i="3589"/>
  <c r="AF45" i="3589"/>
  <c r="AG45" i="3589"/>
  <c r="AH45" i="3589"/>
  <c r="AI45" i="3589"/>
  <c r="AJ45" i="3589"/>
  <c r="AK45" i="3589"/>
  <c r="AL45" i="3589"/>
  <c r="I46" i="3589"/>
  <c r="J46" i="3589"/>
  <c r="K46" i="3589"/>
  <c r="L46" i="3589"/>
  <c r="M46" i="3589"/>
  <c r="N46" i="3589"/>
  <c r="O46" i="3589"/>
  <c r="P46" i="3589"/>
  <c r="Q46" i="3589"/>
  <c r="R46" i="3589"/>
  <c r="S46" i="3589"/>
  <c r="T46" i="3589"/>
  <c r="U46" i="3589"/>
  <c r="V46" i="3589"/>
  <c r="W46" i="3589"/>
  <c r="X46" i="3589"/>
  <c r="Y46" i="3589"/>
  <c r="Z46" i="3589"/>
  <c r="AA46" i="3589"/>
  <c r="AB46" i="3589"/>
  <c r="AC46" i="3589"/>
  <c r="AD46" i="3589"/>
  <c r="AE46" i="3589"/>
  <c r="AF46" i="3589"/>
  <c r="AG46" i="3589"/>
  <c r="AH46" i="3589"/>
  <c r="AI46" i="3589"/>
  <c r="AJ46" i="3589"/>
  <c r="AK46" i="3589"/>
  <c r="AL46" i="3589"/>
  <c r="I47" i="3589"/>
  <c r="J47" i="3589"/>
  <c r="K47" i="3589"/>
  <c r="L47" i="3589"/>
  <c r="M47" i="3589"/>
  <c r="N47" i="3589"/>
  <c r="O47" i="3589"/>
  <c r="P47" i="3589"/>
  <c r="Q47" i="3589"/>
  <c r="R47" i="3589"/>
  <c r="S47" i="3589"/>
  <c r="T47" i="3589"/>
  <c r="U47" i="3589"/>
  <c r="V47" i="3589"/>
  <c r="W47" i="3589"/>
  <c r="X47" i="3589"/>
  <c r="Y47" i="3589"/>
  <c r="Z47" i="3589"/>
  <c r="AA47" i="3589"/>
  <c r="AB47" i="3589"/>
  <c r="AC47" i="3589"/>
  <c r="AD47" i="3589"/>
  <c r="AE47" i="3589"/>
  <c r="AF47" i="3589"/>
  <c r="AG47" i="3589"/>
  <c r="AH47" i="3589"/>
  <c r="AI47" i="3589"/>
  <c r="AJ47" i="3589"/>
  <c r="AK47" i="3589"/>
  <c r="AL47" i="3589"/>
  <c r="I48" i="3589"/>
  <c r="J48" i="3589"/>
  <c r="K48" i="3589"/>
  <c r="L48" i="3589"/>
  <c r="M48" i="3589"/>
  <c r="N48" i="3589"/>
  <c r="O48" i="3589"/>
  <c r="P48" i="3589"/>
  <c r="Q48" i="3589"/>
  <c r="R48" i="3589"/>
  <c r="S48" i="3589"/>
  <c r="T48" i="3589"/>
  <c r="U48" i="3589"/>
  <c r="V48" i="3589"/>
  <c r="W48" i="3589"/>
  <c r="X48" i="3589"/>
  <c r="Y48" i="3589"/>
  <c r="Z48" i="3589"/>
  <c r="AA48" i="3589"/>
  <c r="AB48" i="3589"/>
  <c r="AC48" i="3589"/>
  <c r="AD48" i="3589"/>
  <c r="AE48" i="3589"/>
  <c r="AF48" i="3589"/>
  <c r="AG48" i="3589"/>
  <c r="AH48" i="3589"/>
  <c r="AI48" i="3589"/>
  <c r="AJ48" i="3589"/>
  <c r="AK48" i="3589"/>
  <c r="AL48" i="3589"/>
  <c r="I49" i="3589"/>
  <c r="J49" i="3589"/>
  <c r="K49" i="3589"/>
  <c r="L49" i="3589"/>
  <c r="M49" i="3589"/>
  <c r="N49" i="3589"/>
  <c r="O49" i="3589"/>
  <c r="P49" i="3589"/>
  <c r="Q49" i="3589"/>
  <c r="R49" i="3589"/>
  <c r="S49" i="3589"/>
  <c r="T49" i="3589"/>
  <c r="U49" i="3589"/>
  <c r="V49" i="3589"/>
  <c r="W49" i="3589"/>
  <c r="X49" i="3589"/>
  <c r="Y49" i="3589"/>
  <c r="Z49" i="3589"/>
  <c r="AA49" i="3589"/>
  <c r="AB49" i="3589"/>
  <c r="AC49" i="3589"/>
  <c r="AD49" i="3589"/>
  <c r="AE49" i="3589"/>
  <c r="AF49" i="3589"/>
  <c r="AG49" i="3589"/>
  <c r="AH49" i="3589"/>
  <c r="AI49" i="3589"/>
  <c r="AJ49" i="3589"/>
  <c r="AK49" i="3589"/>
  <c r="AL49" i="3589"/>
  <c r="I51" i="3589"/>
  <c r="J51" i="3589"/>
  <c r="K51" i="3589"/>
  <c r="L51" i="3589"/>
  <c r="M51" i="3589"/>
  <c r="N51" i="3589"/>
  <c r="O51" i="3589"/>
  <c r="P51" i="3589"/>
  <c r="Q51" i="3589"/>
  <c r="R51" i="3589"/>
  <c r="S51" i="3589"/>
  <c r="T51" i="3589"/>
  <c r="U51" i="3589"/>
  <c r="V51" i="3589"/>
  <c r="W51" i="3589"/>
  <c r="X51" i="3589"/>
  <c r="Y51" i="3589"/>
  <c r="Z51" i="3589"/>
  <c r="AA51" i="3589"/>
  <c r="AB51" i="3589"/>
  <c r="AC51" i="3589"/>
  <c r="AD51" i="3589"/>
  <c r="AE51" i="3589"/>
  <c r="AF51" i="3589"/>
  <c r="AG51" i="3589"/>
  <c r="AH51" i="3589"/>
  <c r="AI51" i="3589"/>
  <c r="AJ51" i="3589"/>
  <c r="AK51" i="3589"/>
  <c r="AL51" i="3589"/>
  <c r="I53" i="3589"/>
  <c r="J53" i="3589"/>
  <c r="K53" i="3589"/>
  <c r="L53" i="3589"/>
  <c r="M53" i="3589"/>
  <c r="N53" i="3589"/>
  <c r="O53" i="3589"/>
  <c r="P53" i="3589"/>
  <c r="Q53" i="3589"/>
  <c r="R53" i="3589"/>
  <c r="S53" i="3589"/>
  <c r="T53" i="3589"/>
  <c r="U53" i="3589"/>
  <c r="V53" i="3589"/>
  <c r="W53" i="3589"/>
  <c r="X53" i="3589"/>
  <c r="Y53" i="3589"/>
  <c r="Z53" i="3589"/>
  <c r="AA53" i="3589"/>
  <c r="AB53" i="3589"/>
  <c r="AC53" i="3589"/>
  <c r="AD53" i="3589"/>
  <c r="AE53" i="3589"/>
  <c r="AF53" i="3589"/>
  <c r="AG53" i="3589"/>
  <c r="AH53" i="3589"/>
  <c r="AI53" i="3589"/>
  <c r="AJ53" i="3589"/>
  <c r="AK53" i="3589"/>
  <c r="AL53" i="3589"/>
  <c r="I57" i="3589"/>
  <c r="J57" i="3589"/>
  <c r="K57" i="3589"/>
  <c r="L57" i="3589"/>
  <c r="M57" i="3589"/>
  <c r="N57" i="3589"/>
  <c r="O57" i="3589"/>
  <c r="P57" i="3589"/>
  <c r="Q57" i="3589"/>
  <c r="R57" i="3589"/>
  <c r="S57" i="3589"/>
  <c r="T57" i="3589"/>
  <c r="U57" i="3589"/>
  <c r="V57" i="3589"/>
  <c r="W57" i="3589"/>
  <c r="X57" i="3589"/>
  <c r="Y57" i="3589"/>
  <c r="Z57" i="3589"/>
  <c r="AA57" i="3589"/>
  <c r="AB57" i="3589"/>
  <c r="AC57" i="3589"/>
  <c r="AD57" i="3589"/>
  <c r="AE57" i="3589"/>
  <c r="AF57" i="3589"/>
  <c r="AG57" i="3589"/>
  <c r="AH57" i="3589"/>
  <c r="AI57" i="3589"/>
  <c r="AJ57" i="3589"/>
  <c r="AK57" i="3589"/>
  <c r="AL57" i="3589"/>
  <c r="I58" i="3589"/>
  <c r="J58" i="3589"/>
  <c r="K58" i="3589"/>
  <c r="L58" i="3589"/>
  <c r="M58" i="3589"/>
  <c r="N58" i="3589"/>
  <c r="O58" i="3589"/>
  <c r="P58" i="3589"/>
  <c r="Q58" i="3589"/>
  <c r="R58" i="3589"/>
  <c r="S58" i="3589"/>
  <c r="T58" i="3589"/>
  <c r="U58" i="3589"/>
  <c r="V58" i="3589"/>
  <c r="W58" i="3589"/>
  <c r="X58" i="3589"/>
  <c r="Y58" i="3589"/>
  <c r="Z58" i="3589"/>
  <c r="AA58" i="3589"/>
  <c r="AB58" i="3589"/>
  <c r="AC58" i="3589"/>
  <c r="AD58" i="3589"/>
  <c r="AE58" i="3589"/>
  <c r="AF58" i="3589"/>
  <c r="AG58" i="3589"/>
  <c r="AH58" i="3589"/>
  <c r="AI58" i="3589"/>
  <c r="AJ58" i="3589"/>
  <c r="AK58" i="3589"/>
  <c r="AL58" i="3589"/>
  <c r="I60" i="3589"/>
  <c r="J60" i="3589"/>
  <c r="K60" i="3589"/>
  <c r="L60" i="3589"/>
  <c r="M60" i="3589"/>
  <c r="N60" i="3589"/>
  <c r="O60" i="3589"/>
  <c r="P60" i="3589"/>
  <c r="Q60" i="3589"/>
  <c r="R60" i="3589"/>
  <c r="S60" i="3589"/>
  <c r="T60" i="3589"/>
  <c r="U60" i="3589"/>
  <c r="V60" i="3589"/>
  <c r="W60" i="3589"/>
  <c r="X60" i="3589"/>
  <c r="Y60" i="3589"/>
  <c r="Z60" i="3589"/>
  <c r="AA60" i="3589"/>
  <c r="AB60" i="3589"/>
  <c r="AC60" i="3589"/>
  <c r="AD60" i="3589"/>
  <c r="AE60" i="3589"/>
  <c r="AF60" i="3589"/>
  <c r="AG60" i="3589"/>
  <c r="AH60" i="3589"/>
  <c r="AI60" i="3589"/>
  <c r="AJ60" i="3589"/>
  <c r="AK60" i="3589"/>
  <c r="AL60" i="3589"/>
  <c r="I63" i="3589"/>
  <c r="J63" i="3589"/>
  <c r="K63" i="3589"/>
  <c r="L63" i="3589"/>
  <c r="M63" i="3589"/>
  <c r="N63" i="3589"/>
  <c r="O63" i="3589"/>
  <c r="P63" i="3589"/>
  <c r="Q63" i="3589"/>
  <c r="R63" i="3589"/>
  <c r="S63" i="3589"/>
  <c r="T63" i="3589"/>
  <c r="U63" i="3589"/>
  <c r="V63" i="3589"/>
  <c r="W63" i="3589"/>
  <c r="X63" i="3589"/>
  <c r="Y63" i="3589"/>
  <c r="Z63" i="3589"/>
  <c r="AA63" i="3589"/>
  <c r="AB63" i="3589"/>
  <c r="AC63" i="3589"/>
  <c r="AD63" i="3589"/>
  <c r="AE63" i="3589"/>
  <c r="AF63" i="3589"/>
  <c r="AG63" i="3589"/>
  <c r="AH63" i="3589"/>
  <c r="AI63" i="3589"/>
  <c r="AJ63" i="3589"/>
  <c r="AK63" i="3589"/>
  <c r="AL63" i="3589"/>
  <c r="I64" i="3589"/>
  <c r="J64" i="3589"/>
  <c r="K64" i="3589"/>
  <c r="L64" i="3589"/>
  <c r="M64" i="3589"/>
  <c r="N64" i="3589"/>
  <c r="O64" i="3589"/>
  <c r="P64" i="3589"/>
  <c r="Q64" i="3589"/>
  <c r="R64" i="3589"/>
  <c r="S64" i="3589"/>
  <c r="T64" i="3589"/>
  <c r="U64" i="3589"/>
  <c r="V64" i="3589"/>
  <c r="W64" i="3589"/>
  <c r="X64" i="3589"/>
  <c r="Y64" i="3589"/>
  <c r="Z64" i="3589"/>
  <c r="AA64" i="3589"/>
  <c r="AB64" i="3589"/>
  <c r="AC64" i="3589"/>
  <c r="AD64" i="3589"/>
  <c r="AE64" i="3589"/>
  <c r="AF64" i="3589"/>
  <c r="AG64" i="3589"/>
  <c r="AH64" i="3589"/>
  <c r="AI64" i="3589"/>
  <c r="AJ64" i="3589"/>
  <c r="AK64" i="3589"/>
  <c r="AL64" i="3589"/>
  <c r="I65" i="3589"/>
  <c r="J65" i="3589"/>
  <c r="K65" i="3589"/>
  <c r="L65" i="3589"/>
  <c r="M65" i="3589"/>
  <c r="N65" i="3589"/>
  <c r="O65" i="3589"/>
  <c r="P65" i="3589"/>
  <c r="Q65" i="3589"/>
  <c r="R65" i="3589"/>
  <c r="S65" i="3589"/>
  <c r="T65" i="3589"/>
  <c r="U65" i="3589"/>
  <c r="V65" i="3589"/>
  <c r="W65" i="3589"/>
  <c r="X65" i="3589"/>
  <c r="Y65" i="3589"/>
  <c r="Z65" i="3589"/>
  <c r="AA65" i="3589"/>
  <c r="AB65" i="3589"/>
  <c r="AC65" i="3589"/>
  <c r="AD65" i="3589"/>
  <c r="AE65" i="3589"/>
  <c r="AF65" i="3589"/>
  <c r="AG65" i="3589"/>
  <c r="AH65" i="3589"/>
  <c r="AI65" i="3589"/>
  <c r="AJ65" i="3589"/>
  <c r="AK65" i="3589"/>
  <c r="AL65" i="3589"/>
  <c r="I66" i="3589"/>
  <c r="J66" i="3589"/>
  <c r="K66" i="3589"/>
  <c r="L66" i="3589"/>
  <c r="M66" i="3589"/>
  <c r="N66" i="3589"/>
  <c r="O66" i="3589"/>
  <c r="P66" i="3589"/>
  <c r="Q66" i="3589"/>
  <c r="R66" i="3589"/>
  <c r="S66" i="3589"/>
  <c r="T66" i="3589"/>
  <c r="U66" i="3589"/>
  <c r="V66" i="3589"/>
  <c r="W66" i="3589"/>
  <c r="X66" i="3589"/>
  <c r="Y66" i="3589"/>
  <c r="Z66" i="3589"/>
  <c r="AA66" i="3589"/>
  <c r="AB66" i="3589"/>
  <c r="AC66" i="3589"/>
  <c r="AD66" i="3589"/>
  <c r="AE66" i="3589"/>
  <c r="AF66" i="3589"/>
  <c r="AG66" i="3589"/>
  <c r="AH66" i="3589"/>
  <c r="AI66" i="3589"/>
  <c r="AJ66" i="3589"/>
  <c r="AK66" i="3589"/>
  <c r="AL66" i="3589"/>
  <c r="I67" i="3589"/>
  <c r="J67" i="3589"/>
  <c r="K67" i="3589"/>
  <c r="L67" i="3589"/>
  <c r="M67" i="3589"/>
  <c r="N67" i="3589"/>
  <c r="O67" i="3589"/>
  <c r="P67" i="3589"/>
  <c r="Q67" i="3589"/>
  <c r="R67" i="3589"/>
  <c r="S67" i="3589"/>
  <c r="T67" i="3589"/>
  <c r="U67" i="3589"/>
  <c r="V67" i="3589"/>
  <c r="W67" i="3589"/>
  <c r="X67" i="3589"/>
  <c r="Y67" i="3589"/>
  <c r="Z67" i="3589"/>
  <c r="AA67" i="3589"/>
  <c r="AB67" i="3589"/>
  <c r="AC67" i="3589"/>
  <c r="AD67" i="3589"/>
  <c r="AE67" i="3589"/>
  <c r="AF67" i="3589"/>
  <c r="AG67" i="3589"/>
  <c r="AH67" i="3589"/>
  <c r="AI67" i="3589"/>
  <c r="AJ67" i="3589"/>
  <c r="AK67" i="3589"/>
  <c r="AL67" i="3589"/>
  <c r="I68" i="3589"/>
  <c r="J68" i="3589"/>
  <c r="K68" i="3589"/>
  <c r="L68" i="3589"/>
  <c r="M68" i="3589"/>
  <c r="N68" i="3589"/>
  <c r="O68" i="3589"/>
  <c r="P68" i="3589"/>
  <c r="Q68" i="3589"/>
  <c r="R68" i="3589"/>
  <c r="S68" i="3589"/>
  <c r="T68" i="3589"/>
  <c r="U68" i="3589"/>
  <c r="V68" i="3589"/>
  <c r="W68" i="3589"/>
  <c r="X68" i="3589"/>
  <c r="Y68" i="3589"/>
  <c r="Z68" i="3589"/>
  <c r="AA68" i="3589"/>
  <c r="AB68" i="3589"/>
  <c r="AC68" i="3589"/>
  <c r="AD68" i="3589"/>
  <c r="AE68" i="3589"/>
  <c r="AF68" i="3589"/>
  <c r="AG68" i="3589"/>
  <c r="AH68" i="3589"/>
  <c r="AI68" i="3589"/>
  <c r="AJ68" i="3589"/>
  <c r="AK68" i="3589"/>
  <c r="AL68" i="3589"/>
  <c r="I70" i="3589"/>
  <c r="J70" i="3589"/>
  <c r="K70" i="3589"/>
  <c r="L70" i="3589"/>
  <c r="M70" i="3589"/>
  <c r="N70" i="3589"/>
  <c r="O70" i="3589"/>
  <c r="P70" i="3589"/>
  <c r="Q70" i="3589"/>
  <c r="R70" i="3589"/>
  <c r="S70" i="3589"/>
  <c r="T70" i="3589"/>
  <c r="U70" i="3589"/>
  <c r="V70" i="3589"/>
  <c r="W70" i="3589"/>
  <c r="X70" i="3589"/>
  <c r="Y70" i="3589"/>
  <c r="Z70" i="3589"/>
  <c r="AA70" i="3589"/>
  <c r="AB70" i="3589"/>
  <c r="AC70" i="3589"/>
  <c r="AD70" i="3589"/>
  <c r="AE70" i="3589"/>
  <c r="AF70" i="3589"/>
  <c r="AG70" i="3589"/>
  <c r="AH70" i="3589"/>
  <c r="AI70" i="3589"/>
  <c r="AJ70" i="3589"/>
  <c r="AK70" i="3589"/>
  <c r="AL70" i="3589"/>
  <c r="I71" i="3589"/>
  <c r="J71" i="3589"/>
  <c r="K71" i="3589"/>
  <c r="L71" i="3589"/>
  <c r="M71" i="3589"/>
  <c r="N71" i="3589"/>
  <c r="O71" i="3589"/>
  <c r="P71" i="3589"/>
  <c r="Q71" i="3589"/>
  <c r="R71" i="3589"/>
  <c r="S71" i="3589"/>
  <c r="T71" i="3589"/>
  <c r="U71" i="3589"/>
  <c r="V71" i="3589"/>
  <c r="W71" i="3589"/>
  <c r="X71" i="3589"/>
  <c r="Y71" i="3589"/>
  <c r="Z71" i="3589"/>
  <c r="AA71" i="3589"/>
  <c r="AB71" i="3589"/>
  <c r="AC71" i="3589"/>
  <c r="AD71" i="3589"/>
  <c r="AE71" i="3589"/>
  <c r="AF71" i="3589"/>
  <c r="AG71" i="3589"/>
  <c r="AH71" i="3589"/>
  <c r="AI71" i="3589"/>
  <c r="AJ71" i="3589"/>
  <c r="AK71" i="3589"/>
  <c r="AL71" i="3589"/>
  <c r="I72" i="3589"/>
  <c r="J72" i="3589"/>
  <c r="K72" i="3589"/>
  <c r="L72" i="3589"/>
  <c r="M72" i="3589"/>
  <c r="N72" i="3589"/>
  <c r="O72" i="3589"/>
  <c r="P72" i="3589"/>
  <c r="Q72" i="3589"/>
  <c r="R72" i="3589"/>
  <c r="S72" i="3589"/>
  <c r="T72" i="3589"/>
  <c r="U72" i="3589"/>
  <c r="V72" i="3589"/>
  <c r="W72" i="3589"/>
  <c r="X72" i="3589"/>
  <c r="Y72" i="3589"/>
  <c r="Z72" i="3589"/>
  <c r="AA72" i="3589"/>
  <c r="AB72" i="3589"/>
  <c r="AC72" i="3589"/>
  <c r="AD72" i="3589"/>
  <c r="AE72" i="3589"/>
  <c r="AF72" i="3589"/>
  <c r="AG72" i="3589"/>
  <c r="AH72" i="3589"/>
  <c r="AI72" i="3589"/>
  <c r="AJ72" i="3589"/>
  <c r="AK72" i="3589"/>
  <c r="AL72" i="3589"/>
  <c r="I74" i="3589"/>
  <c r="J74" i="3589"/>
  <c r="K74" i="3589"/>
  <c r="L74" i="3589"/>
  <c r="M74" i="3589"/>
  <c r="N74" i="3589"/>
  <c r="O74" i="3589"/>
  <c r="P74" i="3589"/>
  <c r="Q74" i="3589"/>
  <c r="R74" i="3589"/>
  <c r="S74" i="3589"/>
  <c r="T74" i="3589"/>
  <c r="U74" i="3589"/>
  <c r="V74" i="3589"/>
  <c r="W74" i="3589"/>
  <c r="X74" i="3589"/>
  <c r="Y74" i="3589"/>
  <c r="Z74" i="3589"/>
  <c r="AA74" i="3589"/>
  <c r="AB74" i="3589"/>
  <c r="AC74" i="3589"/>
  <c r="AD74" i="3589"/>
  <c r="AE74" i="3589"/>
  <c r="AF74" i="3589"/>
  <c r="AG74" i="3589"/>
  <c r="AH74" i="3589"/>
  <c r="AI74" i="3589"/>
  <c r="AJ74" i="3589"/>
  <c r="AK74" i="3589"/>
  <c r="AL74" i="3589"/>
  <c r="I78" i="3589"/>
  <c r="J78" i="3589"/>
  <c r="K78" i="3589"/>
  <c r="L78" i="3589"/>
  <c r="M78" i="3589"/>
  <c r="N78" i="3589"/>
  <c r="O78" i="3589"/>
  <c r="P78" i="3589"/>
  <c r="Q78" i="3589"/>
  <c r="R78" i="3589"/>
  <c r="S78" i="3589"/>
  <c r="T78" i="3589"/>
  <c r="U78" i="3589"/>
  <c r="V78" i="3589"/>
  <c r="W78" i="3589"/>
  <c r="X78" i="3589"/>
  <c r="Y78" i="3589"/>
  <c r="Z78" i="3589"/>
  <c r="AA78" i="3589"/>
  <c r="AB78" i="3589"/>
  <c r="AC78" i="3589"/>
  <c r="AD78" i="3589"/>
  <c r="AE78" i="3589"/>
  <c r="AF78" i="3589"/>
  <c r="AG78" i="3589"/>
  <c r="AH78" i="3589"/>
  <c r="AI78" i="3589"/>
  <c r="AJ78" i="3589"/>
  <c r="AK78" i="3589"/>
  <c r="AL78" i="3589"/>
  <c r="I79" i="3589"/>
  <c r="J79" i="3589"/>
  <c r="K79" i="3589"/>
  <c r="L79" i="3589"/>
  <c r="M79" i="3589"/>
  <c r="N79" i="3589"/>
  <c r="O79" i="3589"/>
  <c r="P79" i="3589"/>
  <c r="Q79" i="3589"/>
  <c r="R79" i="3589"/>
  <c r="S79" i="3589"/>
  <c r="T79" i="3589"/>
  <c r="U79" i="3589"/>
  <c r="V79" i="3589"/>
  <c r="W79" i="3589"/>
  <c r="X79" i="3589"/>
  <c r="Y79" i="3589"/>
  <c r="Z79" i="3589"/>
  <c r="AA79" i="3589"/>
  <c r="AB79" i="3589"/>
  <c r="AC79" i="3589"/>
  <c r="AD79" i="3589"/>
  <c r="AE79" i="3589"/>
  <c r="AF79" i="3589"/>
  <c r="AG79" i="3589"/>
  <c r="AH79" i="3589"/>
  <c r="AI79" i="3589"/>
  <c r="AJ79" i="3589"/>
  <c r="AK79" i="3589"/>
  <c r="AL79" i="3589"/>
  <c r="I80" i="3589"/>
  <c r="J80" i="3589"/>
  <c r="K80" i="3589"/>
  <c r="L80" i="3589"/>
  <c r="M80" i="3589"/>
  <c r="N80" i="3589"/>
  <c r="O80" i="3589"/>
  <c r="P80" i="3589"/>
  <c r="Q80" i="3589"/>
  <c r="R80" i="3589"/>
  <c r="S80" i="3589"/>
  <c r="T80" i="3589"/>
  <c r="U80" i="3589"/>
  <c r="V80" i="3589"/>
  <c r="W80" i="3589"/>
  <c r="X80" i="3589"/>
  <c r="Y80" i="3589"/>
  <c r="Z80" i="3589"/>
  <c r="AA80" i="3589"/>
  <c r="AB80" i="3589"/>
  <c r="AC80" i="3589"/>
  <c r="AD80" i="3589"/>
  <c r="AE80" i="3589"/>
  <c r="AF80" i="3589"/>
  <c r="AG80" i="3589"/>
  <c r="AH80" i="3589"/>
  <c r="AI80" i="3589"/>
  <c r="AJ80" i="3589"/>
  <c r="AK80" i="3589"/>
  <c r="AL80" i="3589"/>
  <c r="I81" i="3589"/>
  <c r="J81" i="3589"/>
  <c r="K81" i="3589"/>
  <c r="L81" i="3589"/>
  <c r="M81" i="3589"/>
  <c r="N81" i="3589"/>
  <c r="O81" i="3589"/>
  <c r="P81" i="3589"/>
  <c r="Q81" i="3589"/>
  <c r="R81" i="3589"/>
  <c r="S81" i="3589"/>
  <c r="T81" i="3589"/>
  <c r="U81" i="3589"/>
  <c r="V81" i="3589"/>
  <c r="W81" i="3589"/>
  <c r="X81" i="3589"/>
  <c r="Y81" i="3589"/>
  <c r="Z81" i="3589"/>
  <c r="AA81" i="3589"/>
  <c r="AB81" i="3589"/>
  <c r="AC81" i="3589"/>
  <c r="AD81" i="3589"/>
  <c r="AE81" i="3589"/>
  <c r="AF81" i="3589"/>
  <c r="AG81" i="3589"/>
  <c r="AH81" i="3589"/>
  <c r="AI81" i="3589"/>
  <c r="AJ81" i="3589"/>
  <c r="AK81" i="3589"/>
  <c r="AL81" i="3589"/>
  <c r="I82" i="3589"/>
  <c r="J82" i="3589"/>
  <c r="K82" i="3589"/>
  <c r="L82" i="3589"/>
  <c r="M82" i="3589"/>
  <c r="N82" i="3589"/>
  <c r="O82" i="3589"/>
  <c r="P82" i="3589"/>
  <c r="Q82" i="3589"/>
  <c r="R82" i="3589"/>
  <c r="S82" i="3589"/>
  <c r="T82" i="3589"/>
  <c r="U82" i="3589"/>
  <c r="V82" i="3589"/>
  <c r="W82" i="3589"/>
  <c r="X82" i="3589"/>
  <c r="Y82" i="3589"/>
  <c r="Z82" i="3589"/>
  <c r="AA82" i="3589"/>
  <c r="AB82" i="3589"/>
  <c r="AC82" i="3589"/>
  <c r="AD82" i="3589"/>
  <c r="AE82" i="3589"/>
  <c r="AF82" i="3589"/>
  <c r="AG82" i="3589"/>
  <c r="AH82" i="3589"/>
  <c r="AI82" i="3589"/>
  <c r="AJ82" i="3589"/>
  <c r="AK82" i="3589"/>
  <c r="AL82" i="3589"/>
  <c r="I83" i="3589"/>
  <c r="J83" i="3589"/>
  <c r="K83" i="3589"/>
  <c r="L83" i="3589"/>
  <c r="M83" i="3589"/>
  <c r="N83" i="3589"/>
  <c r="O83" i="3589"/>
  <c r="P83" i="3589"/>
  <c r="Q83" i="3589"/>
  <c r="R83" i="3589"/>
  <c r="S83" i="3589"/>
  <c r="T83" i="3589"/>
  <c r="U83" i="3589"/>
  <c r="V83" i="3589"/>
  <c r="W83" i="3589"/>
  <c r="X83" i="3589"/>
  <c r="Y83" i="3589"/>
  <c r="Z83" i="3589"/>
  <c r="AA83" i="3589"/>
  <c r="AB83" i="3589"/>
  <c r="AC83" i="3589"/>
  <c r="AD83" i="3589"/>
  <c r="AE83" i="3589"/>
  <c r="AF83" i="3589"/>
  <c r="AG83" i="3589"/>
  <c r="AH83" i="3589"/>
  <c r="AI83" i="3589"/>
  <c r="AJ83" i="3589"/>
  <c r="AK83" i="3589"/>
  <c r="AL83" i="3589"/>
  <c r="I84" i="3589"/>
  <c r="J84" i="3589"/>
  <c r="K84" i="3589"/>
  <c r="L84" i="3589"/>
  <c r="M84" i="3589"/>
  <c r="N84" i="3589"/>
  <c r="O84" i="3589"/>
  <c r="P84" i="3589"/>
  <c r="Q84" i="3589"/>
  <c r="R84" i="3589"/>
  <c r="S84" i="3589"/>
  <c r="T84" i="3589"/>
  <c r="U84" i="3589"/>
  <c r="V84" i="3589"/>
  <c r="W84" i="3589"/>
  <c r="X84" i="3589"/>
  <c r="Y84" i="3589"/>
  <c r="Z84" i="3589"/>
  <c r="AA84" i="3589"/>
  <c r="AB84" i="3589"/>
  <c r="AC84" i="3589"/>
  <c r="AD84" i="3589"/>
  <c r="AE84" i="3589"/>
  <c r="AF84" i="3589"/>
  <c r="AG84" i="3589"/>
  <c r="AH84" i="3589"/>
  <c r="AI84" i="3589"/>
  <c r="AJ84" i="3589"/>
  <c r="AK84" i="3589"/>
  <c r="AL84" i="3589"/>
  <c r="I85" i="3589"/>
  <c r="J85" i="3589"/>
  <c r="K85" i="3589"/>
  <c r="L85" i="3589"/>
  <c r="M85" i="3589"/>
  <c r="N85" i="3589"/>
  <c r="O85" i="3589"/>
  <c r="P85" i="3589"/>
  <c r="Q85" i="3589"/>
  <c r="R85" i="3589"/>
  <c r="S85" i="3589"/>
  <c r="T85" i="3589"/>
  <c r="U85" i="3589"/>
  <c r="V85" i="3589"/>
  <c r="W85" i="3589"/>
  <c r="X85" i="3589"/>
  <c r="Y85" i="3589"/>
  <c r="Z85" i="3589"/>
  <c r="AA85" i="3589"/>
  <c r="AB85" i="3589"/>
  <c r="AC85" i="3589"/>
  <c r="AD85" i="3589"/>
  <c r="AE85" i="3589"/>
  <c r="AF85" i="3589"/>
  <c r="AG85" i="3589"/>
  <c r="AH85" i="3589"/>
  <c r="AI85" i="3589"/>
  <c r="AJ85" i="3589"/>
  <c r="AK85" i="3589"/>
  <c r="AL85" i="3589"/>
  <c r="I86" i="3589"/>
  <c r="J86" i="3589"/>
  <c r="K86" i="3589"/>
  <c r="L86" i="3589"/>
  <c r="M86" i="3589"/>
  <c r="N86" i="3589"/>
  <c r="O86" i="3589"/>
  <c r="P86" i="3589"/>
  <c r="Q86" i="3589"/>
  <c r="R86" i="3589"/>
  <c r="S86" i="3589"/>
  <c r="T86" i="3589"/>
  <c r="U86" i="3589"/>
  <c r="V86" i="3589"/>
  <c r="W86" i="3589"/>
  <c r="X86" i="3589"/>
  <c r="Y86" i="3589"/>
  <c r="Z86" i="3589"/>
  <c r="AA86" i="3589"/>
  <c r="AB86" i="3589"/>
  <c r="AC86" i="3589"/>
  <c r="AD86" i="3589"/>
  <c r="AE86" i="3589"/>
  <c r="AF86" i="3589"/>
  <c r="AG86" i="3589"/>
  <c r="AH86" i="3589"/>
  <c r="AI86" i="3589"/>
  <c r="AJ86" i="3589"/>
  <c r="AK86" i="3589"/>
  <c r="AL86" i="3589"/>
  <c r="I87" i="3589"/>
  <c r="J87" i="3589"/>
  <c r="K87" i="3589"/>
  <c r="L87" i="3589"/>
  <c r="M87" i="3589"/>
  <c r="N87" i="3589"/>
  <c r="O87" i="3589"/>
  <c r="P87" i="3589"/>
  <c r="Q87" i="3589"/>
  <c r="R87" i="3589"/>
  <c r="S87" i="3589"/>
  <c r="T87" i="3589"/>
  <c r="U87" i="3589"/>
  <c r="V87" i="3589"/>
  <c r="W87" i="3589"/>
  <c r="X87" i="3589"/>
  <c r="Y87" i="3589"/>
  <c r="Z87" i="3589"/>
  <c r="AA87" i="3589"/>
  <c r="AB87" i="3589"/>
  <c r="AC87" i="3589"/>
  <c r="AD87" i="3589"/>
  <c r="AE87" i="3589"/>
  <c r="AF87" i="3589"/>
  <c r="AG87" i="3589"/>
  <c r="AH87" i="3589"/>
  <c r="AI87" i="3589"/>
  <c r="AJ87" i="3589"/>
  <c r="AK87" i="3589"/>
  <c r="AL87" i="3589"/>
  <c r="I88" i="3589"/>
  <c r="J88" i="3589"/>
  <c r="K88" i="3589"/>
  <c r="L88" i="3589"/>
  <c r="M88" i="3589"/>
  <c r="N88" i="3589"/>
  <c r="O88" i="3589"/>
  <c r="P88" i="3589"/>
  <c r="Q88" i="3589"/>
  <c r="R88" i="3589"/>
  <c r="S88" i="3589"/>
  <c r="T88" i="3589"/>
  <c r="U88" i="3589"/>
  <c r="V88" i="3589"/>
  <c r="W88" i="3589"/>
  <c r="X88" i="3589"/>
  <c r="Y88" i="3589"/>
  <c r="Z88" i="3589"/>
  <c r="AA88" i="3589"/>
  <c r="AB88" i="3589"/>
  <c r="AC88" i="3589"/>
  <c r="AD88" i="3589"/>
  <c r="AE88" i="3589"/>
  <c r="AF88" i="3589"/>
  <c r="AG88" i="3589"/>
  <c r="AH88" i="3589"/>
  <c r="AI88" i="3589"/>
  <c r="AJ88" i="3589"/>
  <c r="AK88" i="3589"/>
  <c r="AL88" i="3589"/>
  <c r="I89" i="3589"/>
  <c r="J89" i="3589"/>
  <c r="K89" i="3589"/>
  <c r="L89" i="3589"/>
  <c r="M89" i="3589"/>
  <c r="N89" i="3589"/>
  <c r="O89" i="3589"/>
  <c r="P89" i="3589"/>
  <c r="Q89" i="3589"/>
  <c r="R89" i="3589"/>
  <c r="S89" i="3589"/>
  <c r="T89" i="3589"/>
  <c r="U89" i="3589"/>
  <c r="V89" i="3589"/>
  <c r="W89" i="3589"/>
  <c r="X89" i="3589"/>
  <c r="Y89" i="3589"/>
  <c r="Z89" i="3589"/>
  <c r="AA89" i="3589"/>
  <c r="AB89" i="3589"/>
  <c r="AC89" i="3589"/>
  <c r="AD89" i="3589"/>
  <c r="AE89" i="3589"/>
  <c r="AF89" i="3589"/>
  <c r="AG89" i="3589"/>
  <c r="AH89" i="3589"/>
  <c r="AI89" i="3589"/>
  <c r="AJ89" i="3589"/>
  <c r="AK89" i="3589"/>
  <c r="AL89" i="3589"/>
  <c r="I90" i="3589"/>
  <c r="J90" i="3589"/>
  <c r="K90" i="3589"/>
  <c r="L90" i="3589"/>
  <c r="M90" i="3589"/>
  <c r="N90" i="3589"/>
  <c r="O90" i="3589"/>
  <c r="P90" i="3589"/>
  <c r="Q90" i="3589"/>
  <c r="R90" i="3589"/>
  <c r="S90" i="3589"/>
  <c r="T90" i="3589"/>
  <c r="U90" i="3589"/>
  <c r="V90" i="3589"/>
  <c r="W90" i="3589"/>
  <c r="X90" i="3589"/>
  <c r="Y90" i="3589"/>
  <c r="Z90" i="3589"/>
  <c r="AA90" i="3589"/>
  <c r="AB90" i="3589"/>
  <c r="AC90" i="3589"/>
  <c r="AD90" i="3589"/>
  <c r="AE90" i="3589"/>
  <c r="AF90" i="3589"/>
  <c r="AG90" i="3589"/>
  <c r="AH90" i="3589"/>
  <c r="AI90" i="3589"/>
  <c r="AJ90" i="3589"/>
  <c r="AK90" i="3589"/>
  <c r="AL90" i="3589"/>
  <c r="I91" i="3589"/>
  <c r="J91" i="3589"/>
  <c r="K91" i="3589"/>
  <c r="L91" i="3589"/>
  <c r="M91" i="3589"/>
  <c r="N91" i="3589"/>
  <c r="O91" i="3589"/>
  <c r="P91" i="3589"/>
  <c r="Q91" i="3589"/>
  <c r="R91" i="3589"/>
  <c r="S91" i="3589"/>
  <c r="T91" i="3589"/>
  <c r="U91" i="3589"/>
  <c r="V91" i="3589"/>
  <c r="W91" i="3589"/>
  <c r="X91" i="3589"/>
  <c r="Y91" i="3589"/>
  <c r="Z91" i="3589"/>
  <c r="AA91" i="3589"/>
  <c r="AB91" i="3589"/>
  <c r="AC91" i="3589"/>
  <c r="AD91" i="3589"/>
  <c r="AE91" i="3589"/>
  <c r="AF91" i="3589"/>
  <c r="AG91" i="3589"/>
  <c r="AH91" i="3589"/>
  <c r="AI91" i="3589"/>
  <c r="AJ91" i="3589"/>
  <c r="AK91" i="3589"/>
  <c r="AL91" i="3589"/>
  <c r="I92" i="3589"/>
  <c r="J92" i="3589"/>
  <c r="K92" i="3589"/>
  <c r="L92" i="3589"/>
  <c r="M92" i="3589"/>
  <c r="N92" i="3589"/>
  <c r="O92" i="3589"/>
  <c r="P92" i="3589"/>
  <c r="Q92" i="3589"/>
  <c r="R92" i="3589"/>
  <c r="S92" i="3589"/>
  <c r="T92" i="3589"/>
  <c r="U92" i="3589"/>
  <c r="V92" i="3589"/>
  <c r="W92" i="3589"/>
  <c r="X92" i="3589"/>
  <c r="Y92" i="3589"/>
  <c r="Z92" i="3589"/>
  <c r="AA92" i="3589"/>
  <c r="AB92" i="3589"/>
  <c r="AC92" i="3589"/>
  <c r="AD92" i="3589"/>
  <c r="AE92" i="3589"/>
  <c r="AF92" i="3589"/>
  <c r="AG92" i="3589"/>
  <c r="AH92" i="3589"/>
  <c r="AI92" i="3589"/>
  <c r="AJ92" i="3589"/>
  <c r="AK92" i="3589"/>
  <c r="AL92" i="3589"/>
  <c r="I94" i="3589"/>
  <c r="J94" i="3589"/>
  <c r="K94" i="3589"/>
  <c r="L94" i="3589"/>
  <c r="M94" i="3589"/>
  <c r="N94" i="3589"/>
  <c r="O94" i="3589"/>
  <c r="P94" i="3589"/>
  <c r="Q94" i="3589"/>
  <c r="R94" i="3589"/>
  <c r="S94" i="3589"/>
  <c r="T94" i="3589"/>
  <c r="U94" i="3589"/>
  <c r="V94" i="3589"/>
  <c r="W94" i="3589"/>
  <c r="X94" i="3589"/>
  <c r="Y94" i="3589"/>
  <c r="Z94" i="3589"/>
  <c r="AA94" i="3589"/>
  <c r="AB94" i="3589"/>
  <c r="AC94" i="3589"/>
  <c r="AD94" i="3589"/>
  <c r="AE94" i="3589"/>
  <c r="AF94" i="3589"/>
  <c r="AG94" i="3589"/>
  <c r="AH94" i="3589"/>
  <c r="AI94" i="3589"/>
  <c r="AJ94" i="3589"/>
  <c r="AK94" i="3589"/>
  <c r="AL94" i="3589"/>
  <c r="I95" i="3589"/>
  <c r="J95" i="3589"/>
  <c r="K95" i="3589"/>
  <c r="L95" i="3589"/>
  <c r="M95" i="3589"/>
  <c r="N95" i="3589"/>
  <c r="O95" i="3589"/>
  <c r="P95" i="3589"/>
  <c r="Q95" i="3589"/>
  <c r="R95" i="3589"/>
  <c r="S95" i="3589"/>
  <c r="T95" i="3589"/>
  <c r="U95" i="3589"/>
  <c r="V95" i="3589"/>
  <c r="W95" i="3589"/>
  <c r="X95" i="3589"/>
  <c r="Y95" i="3589"/>
  <c r="Z95" i="3589"/>
  <c r="AA95" i="3589"/>
  <c r="AB95" i="3589"/>
  <c r="AC95" i="3589"/>
  <c r="AD95" i="3589"/>
  <c r="AE95" i="3589"/>
  <c r="AF95" i="3589"/>
  <c r="AG95" i="3589"/>
  <c r="AH95" i="3589"/>
  <c r="AI95" i="3589"/>
  <c r="AJ95" i="3589"/>
  <c r="AK95" i="3589"/>
  <c r="AL95" i="3589"/>
  <c r="I103" i="3589"/>
  <c r="J103" i="3589"/>
  <c r="K103" i="3589"/>
  <c r="L103" i="3589"/>
  <c r="M103" i="3589"/>
  <c r="N103" i="3589"/>
  <c r="O103" i="3589"/>
  <c r="P103" i="3589"/>
  <c r="Q103" i="3589"/>
  <c r="R103" i="3589"/>
  <c r="S103" i="3589"/>
  <c r="T103" i="3589"/>
  <c r="U103" i="3589"/>
  <c r="V103" i="3589"/>
  <c r="W103" i="3589"/>
  <c r="X103" i="3589"/>
  <c r="Y103" i="3589"/>
  <c r="Z103" i="3589"/>
  <c r="AA103" i="3589"/>
  <c r="AB103" i="3589"/>
  <c r="AC103" i="3589"/>
  <c r="AD103" i="3589"/>
  <c r="AE103" i="3589"/>
  <c r="AF103" i="3589"/>
  <c r="AG103" i="3589"/>
  <c r="AH103" i="3589"/>
  <c r="AI103" i="3589"/>
  <c r="AJ103" i="3589"/>
  <c r="AK103" i="3589"/>
  <c r="AL103" i="3589"/>
  <c r="I109" i="3589"/>
  <c r="J109" i="3589"/>
  <c r="K109" i="3589"/>
  <c r="L109" i="3589"/>
  <c r="M109" i="3589"/>
  <c r="N109" i="3589"/>
  <c r="O109" i="3589"/>
  <c r="P109" i="3589"/>
  <c r="Q109" i="3589"/>
  <c r="R109" i="3589"/>
  <c r="S109" i="3589"/>
  <c r="T109" i="3589"/>
  <c r="U109" i="3589"/>
  <c r="V109" i="3589"/>
  <c r="W109" i="3589"/>
  <c r="X109" i="3589"/>
  <c r="Y109" i="3589"/>
  <c r="Z109" i="3589"/>
  <c r="AA109" i="3589"/>
  <c r="AB109" i="3589"/>
  <c r="AC109" i="3589"/>
  <c r="AD109" i="3589"/>
  <c r="AE109" i="3589"/>
  <c r="AF109" i="3589"/>
  <c r="AG109" i="3589"/>
  <c r="AH109" i="3589"/>
  <c r="AI109" i="3589"/>
  <c r="AJ109" i="3589"/>
  <c r="AK109" i="3589"/>
  <c r="AL109" i="3589"/>
  <c r="I110" i="3589"/>
  <c r="J110" i="3589"/>
  <c r="K110" i="3589"/>
  <c r="L110" i="3589"/>
  <c r="M110" i="3589"/>
  <c r="N110" i="3589"/>
  <c r="O110" i="3589"/>
  <c r="P110" i="3589"/>
  <c r="Q110" i="3589"/>
  <c r="R110" i="3589"/>
  <c r="S110" i="3589"/>
  <c r="T110" i="3589"/>
  <c r="U110" i="3589"/>
  <c r="V110" i="3589"/>
  <c r="W110" i="3589"/>
  <c r="X110" i="3589"/>
  <c r="Y110" i="3589"/>
  <c r="Z110" i="3589"/>
  <c r="AA110" i="3589"/>
  <c r="AB110" i="3589"/>
  <c r="AC110" i="3589"/>
  <c r="AD110" i="3589"/>
  <c r="AE110" i="3589"/>
  <c r="AF110" i="3589"/>
  <c r="AG110" i="3589"/>
  <c r="AH110" i="3589"/>
  <c r="AI110" i="3589"/>
  <c r="AJ110" i="3589"/>
  <c r="AK110" i="3589"/>
  <c r="AL110" i="3589"/>
  <c r="I114" i="3589"/>
  <c r="J114" i="3589"/>
  <c r="K114" i="3589"/>
  <c r="L114" i="3589"/>
  <c r="M114" i="3589"/>
  <c r="N114" i="3589"/>
  <c r="O114" i="3589"/>
  <c r="P114" i="3589"/>
  <c r="Q114" i="3589"/>
  <c r="R114" i="3589"/>
  <c r="S114" i="3589"/>
  <c r="T114" i="3589"/>
  <c r="U114" i="3589"/>
  <c r="V114" i="3589"/>
  <c r="W114" i="3589"/>
  <c r="X114" i="3589"/>
  <c r="Y114" i="3589"/>
  <c r="Z114" i="3589"/>
  <c r="AA114" i="3589"/>
  <c r="AB114" i="3589"/>
  <c r="AC114" i="3589"/>
  <c r="AD114" i="3589"/>
  <c r="AE114" i="3589"/>
  <c r="AF114" i="3589"/>
  <c r="AG114" i="3589"/>
  <c r="AH114" i="3589"/>
  <c r="AI114" i="3589"/>
  <c r="AJ114" i="3589"/>
  <c r="AK114" i="3589"/>
  <c r="AL114" i="3589"/>
  <c r="I116" i="3589"/>
  <c r="J116" i="3589"/>
  <c r="K116" i="3589"/>
  <c r="L116" i="3589"/>
  <c r="M116" i="3589"/>
  <c r="N116" i="3589"/>
  <c r="O116" i="3589"/>
  <c r="P116" i="3589"/>
  <c r="Q116" i="3589"/>
  <c r="R116" i="3589"/>
  <c r="S116" i="3589"/>
  <c r="T116" i="3589"/>
  <c r="U116" i="3589"/>
  <c r="V116" i="3589"/>
  <c r="W116" i="3589"/>
  <c r="X116" i="3589"/>
  <c r="Y116" i="3589"/>
  <c r="Z116" i="3589"/>
  <c r="AA116" i="3589"/>
  <c r="AB116" i="3589"/>
  <c r="AC116" i="3589"/>
  <c r="AD116" i="3589"/>
  <c r="AE116" i="3589"/>
  <c r="AF116" i="3589"/>
  <c r="AG116" i="3589"/>
  <c r="AH116" i="3589"/>
  <c r="AI116" i="3589"/>
  <c r="AJ116" i="3589"/>
  <c r="AK116" i="3589"/>
  <c r="AL116" i="3589"/>
  <c r="I117" i="3589"/>
  <c r="J117" i="3589"/>
  <c r="K117" i="3589"/>
  <c r="L117" i="3589"/>
  <c r="M117" i="3589"/>
  <c r="N117" i="3589"/>
  <c r="O117" i="3589"/>
  <c r="P117" i="3589"/>
  <c r="Q117" i="3589"/>
  <c r="R117" i="3589"/>
  <c r="S117" i="3589"/>
  <c r="T117" i="3589"/>
  <c r="U117" i="3589"/>
  <c r="V117" i="3589"/>
  <c r="W117" i="3589"/>
  <c r="X117" i="3589"/>
  <c r="Y117" i="3589"/>
  <c r="Z117" i="3589"/>
  <c r="AA117" i="3589"/>
  <c r="AB117" i="3589"/>
  <c r="AC117" i="3589"/>
  <c r="AD117" i="3589"/>
  <c r="AE117" i="3589"/>
  <c r="AF117" i="3589"/>
  <c r="AG117" i="3589"/>
  <c r="AH117" i="3589"/>
  <c r="AI117" i="3589"/>
  <c r="AJ117" i="3589"/>
  <c r="AK117" i="3589"/>
  <c r="AL117" i="3589"/>
  <c r="I118" i="3589"/>
  <c r="J118" i="3589"/>
  <c r="K118" i="3589"/>
  <c r="L118" i="3589"/>
  <c r="M118" i="3589"/>
  <c r="N118" i="3589"/>
  <c r="O118" i="3589"/>
  <c r="P118" i="3589"/>
  <c r="Q118" i="3589"/>
  <c r="R118" i="3589"/>
  <c r="S118" i="3589"/>
  <c r="T118" i="3589"/>
  <c r="U118" i="3589"/>
  <c r="V118" i="3589"/>
  <c r="W118" i="3589"/>
  <c r="X118" i="3589"/>
  <c r="Y118" i="3589"/>
  <c r="Z118" i="3589"/>
  <c r="AA118" i="3589"/>
  <c r="AB118" i="3589"/>
  <c r="AC118" i="3589"/>
  <c r="AD118" i="3589"/>
  <c r="AE118" i="3589"/>
  <c r="AF118" i="3589"/>
  <c r="AG118" i="3589"/>
  <c r="AH118" i="3589"/>
  <c r="AI118" i="3589"/>
  <c r="AJ118" i="3589"/>
  <c r="AK118" i="3589"/>
  <c r="AL118" i="3589"/>
  <c r="I119" i="3589"/>
  <c r="J119" i="3589"/>
  <c r="K119" i="3589"/>
  <c r="L119" i="3589"/>
  <c r="M119" i="3589"/>
  <c r="N119" i="3589"/>
  <c r="O119" i="3589"/>
  <c r="P119" i="3589"/>
  <c r="Q119" i="3589"/>
  <c r="R119" i="3589"/>
  <c r="S119" i="3589"/>
  <c r="T119" i="3589"/>
  <c r="U119" i="3589"/>
  <c r="V119" i="3589"/>
  <c r="W119" i="3589"/>
  <c r="X119" i="3589"/>
  <c r="Y119" i="3589"/>
  <c r="Z119" i="3589"/>
  <c r="AA119" i="3589"/>
  <c r="AB119" i="3589"/>
  <c r="AC119" i="3589"/>
  <c r="AD119" i="3589"/>
  <c r="AE119" i="3589"/>
  <c r="AF119" i="3589"/>
  <c r="AG119" i="3589"/>
  <c r="AH119" i="3589"/>
  <c r="AI119" i="3589"/>
  <c r="AJ119" i="3589"/>
  <c r="AK119" i="3589"/>
  <c r="AL119" i="3589"/>
  <c r="I121" i="3589"/>
  <c r="J121" i="3589"/>
  <c r="K121" i="3589"/>
  <c r="L121" i="3589"/>
  <c r="M121" i="3589"/>
  <c r="N121" i="3589"/>
  <c r="O121" i="3589"/>
  <c r="P121" i="3589"/>
  <c r="Q121" i="3589"/>
  <c r="R121" i="3589"/>
  <c r="S121" i="3589"/>
  <c r="T121" i="3589"/>
  <c r="U121" i="3589"/>
  <c r="V121" i="3589"/>
  <c r="W121" i="3589"/>
  <c r="X121" i="3589"/>
  <c r="Y121" i="3589"/>
  <c r="Z121" i="3589"/>
  <c r="AA121" i="3589"/>
  <c r="AB121" i="3589"/>
  <c r="AC121" i="3589"/>
  <c r="AD121" i="3589"/>
  <c r="AE121" i="3589"/>
  <c r="AF121" i="3589"/>
  <c r="AG121" i="3589"/>
  <c r="AH121" i="3589"/>
  <c r="AI121" i="3589"/>
  <c r="AJ121" i="3589"/>
  <c r="AK121" i="3589"/>
  <c r="AL121" i="3589"/>
  <c r="I122" i="3589"/>
  <c r="J122" i="3589"/>
  <c r="K122" i="3589"/>
  <c r="L122" i="3589"/>
  <c r="M122" i="3589"/>
  <c r="N122" i="3589"/>
  <c r="O122" i="3589"/>
  <c r="P122" i="3589"/>
  <c r="Q122" i="3589"/>
  <c r="R122" i="3589"/>
  <c r="S122" i="3589"/>
  <c r="T122" i="3589"/>
  <c r="U122" i="3589"/>
  <c r="V122" i="3589"/>
  <c r="W122" i="3589"/>
  <c r="X122" i="3589"/>
  <c r="Y122" i="3589"/>
  <c r="Z122" i="3589"/>
  <c r="AA122" i="3589"/>
  <c r="AB122" i="3589"/>
  <c r="AC122" i="3589"/>
  <c r="AD122" i="3589"/>
  <c r="AE122" i="3589"/>
  <c r="AF122" i="3589"/>
  <c r="AG122" i="3589"/>
  <c r="AH122" i="3589"/>
  <c r="AI122" i="3589"/>
  <c r="AJ122" i="3589"/>
  <c r="AK122" i="3589"/>
  <c r="AL122" i="3589"/>
  <c r="I123" i="3589"/>
  <c r="J123" i="3589"/>
  <c r="K123" i="3589"/>
  <c r="L123" i="3589"/>
  <c r="M123" i="3589"/>
  <c r="N123" i="3589"/>
  <c r="O123" i="3589"/>
  <c r="P123" i="3589"/>
  <c r="Q123" i="3589"/>
  <c r="R123" i="3589"/>
  <c r="S123" i="3589"/>
  <c r="T123" i="3589"/>
  <c r="U123" i="3589"/>
  <c r="V123" i="3589"/>
  <c r="W123" i="3589"/>
  <c r="X123" i="3589"/>
  <c r="Y123" i="3589"/>
  <c r="Z123" i="3589"/>
  <c r="AA123" i="3589"/>
  <c r="AB123" i="3589"/>
  <c r="AC123" i="3589"/>
  <c r="AD123" i="3589"/>
  <c r="AE123" i="3589"/>
  <c r="AF123" i="3589"/>
  <c r="AG123" i="3589"/>
  <c r="AH123" i="3589"/>
  <c r="AI123" i="3589"/>
  <c r="AJ123" i="3589"/>
  <c r="AK123" i="3589"/>
  <c r="AL123" i="3589"/>
  <c r="I124" i="3589"/>
  <c r="J124" i="3589"/>
  <c r="K124" i="3589"/>
  <c r="L124" i="3589"/>
  <c r="M124" i="3589"/>
  <c r="N124" i="3589"/>
  <c r="O124" i="3589"/>
  <c r="P124" i="3589"/>
  <c r="Q124" i="3589"/>
  <c r="R124" i="3589"/>
  <c r="S124" i="3589"/>
  <c r="T124" i="3589"/>
  <c r="U124" i="3589"/>
  <c r="V124" i="3589"/>
  <c r="W124" i="3589"/>
  <c r="X124" i="3589"/>
  <c r="Y124" i="3589"/>
  <c r="Z124" i="3589"/>
  <c r="AA124" i="3589"/>
  <c r="AB124" i="3589"/>
  <c r="AC124" i="3589"/>
  <c r="AD124" i="3589"/>
  <c r="AE124" i="3589"/>
  <c r="AF124" i="3589"/>
  <c r="AG124" i="3589"/>
  <c r="AH124" i="3589"/>
  <c r="AI124" i="3589"/>
  <c r="AJ124" i="3589"/>
  <c r="AK124" i="3589"/>
  <c r="AL124" i="3589"/>
  <c r="I125" i="3589"/>
  <c r="J125" i="3589"/>
  <c r="K125" i="3589"/>
  <c r="L125" i="3589"/>
  <c r="M125" i="3589"/>
  <c r="N125" i="3589"/>
  <c r="O125" i="3589"/>
  <c r="P125" i="3589"/>
  <c r="Q125" i="3589"/>
  <c r="R125" i="3589"/>
  <c r="S125" i="3589"/>
  <c r="T125" i="3589"/>
  <c r="U125" i="3589"/>
  <c r="V125" i="3589"/>
  <c r="W125" i="3589"/>
  <c r="X125" i="3589"/>
  <c r="Y125" i="3589"/>
  <c r="Z125" i="3589"/>
  <c r="AA125" i="3589"/>
  <c r="AB125" i="3589"/>
  <c r="AC125" i="3589"/>
  <c r="AD125" i="3589"/>
  <c r="AE125" i="3589"/>
  <c r="AF125" i="3589"/>
  <c r="AG125" i="3589"/>
  <c r="AH125" i="3589"/>
  <c r="AI125" i="3589"/>
  <c r="AJ125" i="3589"/>
  <c r="AK125" i="3589"/>
  <c r="AL125" i="3589"/>
  <c r="I126" i="3589"/>
  <c r="J126" i="3589"/>
  <c r="K126" i="3589"/>
  <c r="L126" i="3589"/>
  <c r="M126" i="3589"/>
  <c r="N126" i="3589"/>
  <c r="O126" i="3589"/>
  <c r="P126" i="3589"/>
  <c r="Q126" i="3589"/>
  <c r="R126" i="3589"/>
  <c r="S126" i="3589"/>
  <c r="T126" i="3589"/>
  <c r="U126" i="3589"/>
  <c r="V126" i="3589"/>
  <c r="W126" i="3589"/>
  <c r="X126" i="3589"/>
  <c r="Y126" i="3589"/>
  <c r="Z126" i="3589"/>
  <c r="AA126" i="3589"/>
  <c r="AB126" i="3589"/>
  <c r="AC126" i="3589"/>
  <c r="AD126" i="3589"/>
  <c r="AE126" i="3589"/>
  <c r="AF126" i="3589"/>
  <c r="AG126" i="3589"/>
  <c r="AH126" i="3589"/>
  <c r="AI126" i="3589"/>
  <c r="AJ126" i="3589"/>
  <c r="AK126" i="3589"/>
  <c r="AL126" i="3589"/>
  <c r="I127" i="3589"/>
  <c r="J127" i="3589"/>
  <c r="K127" i="3589"/>
  <c r="L127" i="3589"/>
  <c r="M127" i="3589"/>
  <c r="N127" i="3589"/>
  <c r="O127" i="3589"/>
  <c r="P127" i="3589"/>
  <c r="Q127" i="3589"/>
  <c r="R127" i="3589"/>
  <c r="S127" i="3589"/>
  <c r="T127" i="3589"/>
  <c r="U127" i="3589"/>
  <c r="V127" i="3589"/>
  <c r="W127" i="3589"/>
  <c r="X127" i="3589"/>
  <c r="Y127" i="3589"/>
  <c r="Z127" i="3589"/>
  <c r="AA127" i="3589"/>
  <c r="AB127" i="3589"/>
  <c r="AC127" i="3589"/>
  <c r="AD127" i="3589"/>
  <c r="AE127" i="3589"/>
  <c r="AF127" i="3589"/>
  <c r="AG127" i="3589"/>
  <c r="AH127" i="3589"/>
  <c r="AI127" i="3589"/>
  <c r="AJ127" i="3589"/>
  <c r="AK127" i="3589"/>
  <c r="AL127" i="3589"/>
  <c r="I128" i="3589"/>
  <c r="J128" i="3589"/>
  <c r="K128" i="3589"/>
  <c r="L128" i="3589"/>
  <c r="M128" i="3589"/>
  <c r="N128" i="3589"/>
  <c r="O128" i="3589"/>
  <c r="P128" i="3589"/>
  <c r="Q128" i="3589"/>
  <c r="R128" i="3589"/>
  <c r="S128" i="3589"/>
  <c r="T128" i="3589"/>
  <c r="U128" i="3589"/>
  <c r="V128" i="3589"/>
  <c r="W128" i="3589"/>
  <c r="X128" i="3589"/>
  <c r="Y128" i="3589"/>
  <c r="Z128" i="3589"/>
  <c r="AA128" i="3589"/>
  <c r="AB128" i="3589"/>
  <c r="AC128" i="3589"/>
  <c r="AD128" i="3589"/>
  <c r="AE128" i="3589"/>
  <c r="AF128" i="3589"/>
  <c r="AG128" i="3589"/>
  <c r="AH128" i="3589"/>
  <c r="AI128" i="3589"/>
  <c r="AJ128" i="3589"/>
  <c r="AK128" i="3589"/>
  <c r="AL128" i="3589"/>
  <c r="I129" i="3589"/>
  <c r="J129" i="3589"/>
  <c r="K129" i="3589"/>
  <c r="L129" i="3589"/>
  <c r="M129" i="3589"/>
  <c r="N129" i="3589"/>
  <c r="O129" i="3589"/>
  <c r="P129" i="3589"/>
  <c r="Q129" i="3589"/>
  <c r="R129" i="3589"/>
  <c r="S129" i="3589"/>
  <c r="T129" i="3589"/>
  <c r="U129" i="3589"/>
  <c r="V129" i="3589"/>
  <c r="W129" i="3589"/>
  <c r="X129" i="3589"/>
  <c r="Y129" i="3589"/>
  <c r="Z129" i="3589"/>
  <c r="AA129" i="3589"/>
  <c r="AB129" i="3589"/>
  <c r="AC129" i="3589"/>
  <c r="AD129" i="3589"/>
  <c r="AE129" i="3589"/>
  <c r="AF129" i="3589"/>
  <c r="AG129" i="3589"/>
  <c r="AH129" i="3589"/>
  <c r="AI129" i="3589"/>
  <c r="AJ129" i="3589"/>
  <c r="AK129" i="3589"/>
  <c r="AL129" i="3589"/>
  <c r="I130" i="3589"/>
  <c r="J130" i="3589"/>
  <c r="K130" i="3589"/>
  <c r="L130" i="3589"/>
  <c r="M130" i="3589"/>
  <c r="N130" i="3589"/>
  <c r="O130" i="3589"/>
  <c r="P130" i="3589"/>
  <c r="Q130" i="3589"/>
  <c r="R130" i="3589"/>
  <c r="S130" i="3589"/>
  <c r="T130" i="3589"/>
  <c r="U130" i="3589"/>
  <c r="V130" i="3589"/>
  <c r="W130" i="3589"/>
  <c r="X130" i="3589"/>
  <c r="Y130" i="3589"/>
  <c r="Z130" i="3589"/>
  <c r="AA130" i="3589"/>
  <c r="AB130" i="3589"/>
  <c r="AC130" i="3589"/>
  <c r="AD130" i="3589"/>
  <c r="AE130" i="3589"/>
  <c r="AF130" i="3589"/>
  <c r="AG130" i="3589"/>
  <c r="AH130" i="3589"/>
  <c r="AI130" i="3589"/>
  <c r="AJ130" i="3589"/>
  <c r="AK130" i="3589"/>
  <c r="AL130" i="3589"/>
  <c r="I132" i="3589"/>
  <c r="J132" i="3589"/>
  <c r="K132" i="3589"/>
  <c r="L132" i="3589"/>
  <c r="M132" i="3589"/>
  <c r="N132" i="3589"/>
  <c r="O132" i="3589"/>
  <c r="P132" i="3589"/>
  <c r="Q132" i="3589"/>
  <c r="R132" i="3589"/>
  <c r="S132" i="3589"/>
  <c r="T132" i="3589"/>
  <c r="U132" i="3589"/>
  <c r="V132" i="3589"/>
  <c r="W132" i="3589"/>
  <c r="X132" i="3589"/>
  <c r="Y132" i="3589"/>
  <c r="Z132" i="3589"/>
  <c r="AA132" i="3589"/>
  <c r="AB132" i="3589"/>
  <c r="AC132" i="3589"/>
  <c r="AD132" i="3589"/>
  <c r="AE132" i="3589"/>
  <c r="AF132" i="3589"/>
  <c r="AG132" i="3589"/>
  <c r="AH132" i="3589"/>
  <c r="AI132" i="3589"/>
  <c r="AJ132" i="3589"/>
  <c r="AK132" i="3589"/>
  <c r="AL132" i="3589"/>
  <c r="I133" i="3589"/>
  <c r="J133" i="3589"/>
  <c r="K133" i="3589"/>
  <c r="L133" i="3589"/>
  <c r="M133" i="3589"/>
  <c r="N133" i="3589"/>
  <c r="O133" i="3589"/>
  <c r="P133" i="3589"/>
  <c r="Q133" i="3589"/>
  <c r="R133" i="3589"/>
  <c r="S133" i="3589"/>
  <c r="T133" i="3589"/>
  <c r="U133" i="3589"/>
  <c r="V133" i="3589"/>
  <c r="W133" i="3589"/>
  <c r="X133" i="3589"/>
  <c r="Y133" i="3589"/>
  <c r="Z133" i="3589"/>
  <c r="AA133" i="3589"/>
  <c r="AB133" i="3589"/>
  <c r="AC133" i="3589"/>
  <c r="AD133" i="3589"/>
  <c r="AE133" i="3589"/>
  <c r="AF133" i="3589"/>
  <c r="AG133" i="3589"/>
  <c r="AH133" i="3589"/>
  <c r="AI133" i="3589"/>
  <c r="AJ133" i="3589"/>
  <c r="AK133" i="3589"/>
  <c r="AL133" i="3589"/>
  <c r="I140" i="3589"/>
  <c r="J140" i="3589"/>
  <c r="K140" i="3589"/>
  <c r="L140" i="3589"/>
  <c r="M140" i="3589"/>
  <c r="N140" i="3589"/>
  <c r="O140" i="3589"/>
  <c r="P140" i="3589"/>
  <c r="Q140" i="3589"/>
  <c r="R140" i="3589"/>
  <c r="S140" i="3589"/>
  <c r="T140" i="3589"/>
  <c r="U140" i="3589"/>
  <c r="V140" i="3589"/>
  <c r="W140" i="3589"/>
  <c r="X140" i="3589"/>
  <c r="Y140" i="3589"/>
  <c r="Z140" i="3589"/>
  <c r="AA140" i="3589"/>
  <c r="AB140" i="3589"/>
  <c r="AC140" i="3589"/>
  <c r="AD140" i="3589"/>
  <c r="AE140" i="3589"/>
  <c r="AF140" i="3589"/>
  <c r="AG140" i="3589"/>
  <c r="AH140" i="3589"/>
  <c r="AI140" i="3589"/>
  <c r="AJ140" i="3589"/>
  <c r="AK140" i="3589"/>
  <c r="AL140" i="3589"/>
  <c r="I142" i="3589"/>
  <c r="J142" i="3589"/>
  <c r="K142" i="3589"/>
  <c r="L142" i="3589"/>
  <c r="M142" i="3589"/>
  <c r="N142" i="3589"/>
  <c r="O142" i="3589"/>
  <c r="P142" i="3589"/>
  <c r="Q142" i="3589"/>
  <c r="R142" i="3589"/>
  <c r="S142" i="3589"/>
  <c r="T142" i="3589"/>
  <c r="U142" i="3589"/>
  <c r="V142" i="3589"/>
  <c r="W142" i="3589"/>
  <c r="X142" i="3589"/>
  <c r="Y142" i="3589"/>
  <c r="Z142" i="3589"/>
  <c r="AA142" i="3589"/>
  <c r="AB142" i="3589"/>
  <c r="AC142" i="3589"/>
  <c r="AD142" i="3589"/>
  <c r="AE142" i="3589"/>
  <c r="AF142" i="3589"/>
  <c r="AG142" i="3589"/>
  <c r="AH142" i="3589"/>
  <c r="AI142" i="3589"/>
  <c r="AJ142" i="3589"/>
  <c r="AK142" i="3589"/>
  <c r="AL142" i="3589"/>
  <c r="I143" i="3589"/>
  <c r="J143" i="3589"/>
  <c r="K143" i="3589"/>
  <c r="L143" i="3589"/>
  <c r="M143" i="3589"/>
  <c r="N143" i="3589"/>
  <c r="O143" i="3589"/>
  <c r="P143" i="3589"/>
  <c r="Q143" i="3589"/>
  <c r="R143" i="3589"/>
  <c r="S143" i="3589"/>
  <c r="T143" i="3589"/>
  <c r="U143" i="3589"/>
  <c r="V143" i="3589"/>
  <c r="W143" i="3589"/>
  <c r="X143" i="3589"/>
  <c r="Y143" i="3589"/>
  <c r="Z143" i="3589"/>
  <c r="AA143" i="3589"/>
  <c r="AB143" i="3589"/>
  <c r="AC143" i="3589"/>
  <c r="AD143" i="3589"/>
  <c r="AE143" i="3589"/>
  <c r="AF143" i="3589"/>
  <c r="AG143" i="3589"/>
  <c r="AH143" i="3589"/>
  <c r="AI143" i="3589"/>
  <c r="AJ143" i="3589"/>
  <c r="AK143" i="3589"/>
  <c r="AL143" i="3589"/>
  <c r="B11" i="3590"/>
  <c r="D11" i="3590"/>
  <c r="E11" i="3590"/>
  <c r="F11" i="3590"/>
  <c r="G11" i="3590"/>
  <c r="H11" i="3590"/>
  <c r="I11" i="3590"/>
  <c r="J11" i="3590"/>
  <c r="K11" i="3590"/>
  <c r="L11" i="3590"/>
  <c r="M11" i="3590"/>
  <c r="N11" i="3590"/>
  <c r="O11" i="3590"/>
  <c r="P11" i="3590"/>
  <c r="Q11" i="3590"/>
  <c r="R11" i="3590"/>
  <c r="S11" i="3590"/>
  <c r="T11" i="3590"/>
  <c r="U11" i="3590"/>
  <c r="V11" i="3590"/>
  <c r="W11" i="3590"/>
  <c r="X11" i="3590"/>
  <c r="Y11" i="3590"/>
  <c r="Z11" i="3590"/>
  <c r="AA11" i="3590"/>
  <c r="AB11" i="3590"/>
  <c r="AC11" i="3590"/>
  <c r="AD11" i="3590"/>
  <c r="AE11" i="3590"/>
  <c r="AF11" i="3590"/>
  <c r="AG11" i="3590"/>
  <c r="B12" i="3590"/>
  <c r="D12" i="3590"/>
  <c r="E12" i="3590"/>
  <c r="F12" i="3590"/>
  <c r="G12" i="3590"/>
  <c r="H12" i="3590"/>
  <c r="I12" i="3590"/>
  <c r="J12" i="3590"/>
  <c r="K12" i="3590"/>
  <c r="L12" i="3590"/>
  <c r="M12" i="3590"/>
  <c r="N12" i="3590"/>
  <c r="O12" i="3590"/>
  <c r="P12" i="3590"/>
  <c r="Q12" i="3590"/>
  <c r="R12" i="3590"/>
  <c r="S12" i="3590"/>
  <c r="T12" i="3590"/>
  <c r="U12" i="3590"/>
  <c r="V12" i="3590"/>
  <c r="W12" i="3590"/>
  <c r="X12" i="3590"/>
  <c r="Y12" i="3590"/>
  <c r="Z12" i="3590"/>
  <c r="AA12" i="3590"/>
  <c r="AB12" i="3590"/>
  <c r="AC12" i="3590"/>
  <c r="AD12" i="3590"/>
  <c r="AE12" i="3590"/>
  <c r="AF12" i="3590"/>
  <c r="AG12" i="3590"/>
  <c r="B14" i="3590"/>
  <c r="D14" i="3590"/>
  <c r="E14" i="3590"/>
  <c r="F14" i="3590"/>
  <c r="G14" i="3590"/>
  <c r="H14" i="3590"/>
  <c r="I14" i="3590"/>
  <c r="J14" i="3590"/>
  <c r="K14" i="3590"/>
  <c r="L14" i="3590"/>
  <c r="M14" i="3590"/>
  <c r="N14" i="3590"/>
  <c r="O14" i="3590"/>
  <c r="P14" i="3590"/>
  <c r="Q14" i="3590"/>
  <c r="R14" i="3590"/>
  <c r="S14" i="3590"/>
  <c r="T14" i="3590"/>
  <c r="U14" i="3590"/>
  <c r="V14" i="3590"/>
  <c r="W14" i="3590"/>
  <c r="X14" i="3590"/>
  <c r="Y14" i="3590"/>
  <c r="Z14" i="3590"/>
  <c r="AA14" i="3590"/>
  <c r="AB14" i="3590"/>
  <c r="AC14" i="3590"/>
  <c r="AD14" i="3590"/>
  <c r="AE14" i="3590"/>
  <c r="AF14" i="3590"/>
  <c r="AG14" i="3590"/>
  <c r="B16" i="3590"/>
  <c r="D16" i="3590"/>
  <c r="E16" i="3590"/>
  <c r="F16" i="3590"/>
  <c r="G16" i="3590"/>
  <c r="H16" i="3590"/>
  <c r="I16" i="3590"/>
  <c r="J16" i="3590"/>
  <c r="K16" i="3590"/>
  <c r="L16" i="3590"/>
  <c r="M16" i="3590"/>
  <c r="N16" i="3590"/>
  <c r="O16" i="3590"/>
  <c r="P16" i="3590"/>
  <c r="Q16" i="3590"/>
  <c r="R16" i="3590"/>
  <c r="S16" i="3590"/>
  <c r="T16" i="3590"/>
  <c r="U16" i="3590"/>
  <c r="V16" i="3590"/>
  <c r="W16" i="3590"/>
  <c r="X16" i="3590"/>
  <c r="Y16" i="3590"/>
  <c r="Z16" i="3590"/>
  <c r="AA16" i="3590"/>
  <c r="AB16" i="3590"/>
  <c r="AC16" i="3590"/>
  <c r="AD16" i="3590"/>
  <c r="AE16" i="3590"/>
  <c r="AF16" i="3590"/>
  <c r="AG16" i="3590"/>
  <c r="D18" i="3590"/>
  <c r="E18" i="3590"/>
  <c r="F18" i="3590"/>
  <c r="G18" i="3590"/>
  <c r="H18" i="3590"/>
  <c r="I18" i="3590"/>
  <c r="J18" i="3590"/>
  <c r="K18" i="3590"/>
  <c r="L18" i="3590"/>
  <c r="M18" i="3590"/>
  <c r="N18" i="3590"/>
  <c r="O18" i="3590"/>
  <c r="P18" i="3590"/>
  <c r="Q18" i="3590"/>
  <c r="R18" i="3590"/>
  <c r="S18" i="3590"/>
  <c r="T18" i="3590"/>
  <c r="U18" i="3590"/>
  <c r="V18" i="3590"/>
  <c r="W18" i="3590"/>
  <c r="X18" i="3590"/>
  <c r="Y18" i="3590"/>
  <c r="Z18" i="3590"/>
  <c r="AA18" i="3590"/>
  <c r="AB18" i="3590"/>
  <c r="AC18" i="3590"/>
  <c r="AD18" i="3590"/>
  <c r="AE18" i="3590"/>
  <c r="AF18" i="3590"/>
  <c r="AG18" i="3590"/>
  <c r="D19" i="3590"/>
  <c r="E19" i="3590"/>
  <c r="F19" i="3590"/>
  <c r="G19" i="3590"/>
  <c r="H19" i="3590"/>
  <c r="I19" i="3590"/>
  <c r="J19" i="3590"/>
  <c r="K19" i="3590"/>
  <c r="L19" i="3590"/>
  <c r="M19" i="3590"/>
  <c r="N19" i="3590"/>
  <c r="O19" i="3590"/>
  <c r="P19" i="3590"/>
  <c r="Q19" i="3590"/>
  <c r="R19" i="3590"/>
  <c r="S19" i="3590"/>
  <c r="T19" i="3590"/>
  <c r="U19" i="3590"/>
  <c r="V19" i="3590"/>
  <c r="W19" i="3590"/>
  <c r="X19" i="3590"/>
  <c r="Y19" i="3590"/>
  <c r="Z19" i="3590"/>
  <c r="AA19" i="3590"/>
  <c r="AB19" i="3590"/>
  <c r="AC19" i="3590"/>
  <c r="AD19" i="3590"/>
  <c r="AE19" i="3590"/>
  <c r="AF19" i="3590"/>
  <c r="AG19" i="3590"/>
  <c r="D20" i="3590"/>
  <c r="E20" i="3590"/>
  <c r="F20" i="3590"/>
  <c r="G20" i="3590"/>
  <c r="H20" i="3590"/>
  <c r="I20" i="3590"/>
  <c r="J20" i="3590"/>
  <c r="K20" i="3590"/>
  <c r="L20" i="3590"/>
  <c r="M20" i="3590"/>
  <c r="N20" i="3590"/>
  <c r="O20" i="3590"/>
  <c r="P20" i="3590"/>
  <c r="Q20" i="3590"/>
  <c r="R20" i="3590"/>
  <c r="S20" i="3590"/>
  <c r="T20" i="3590"/>
  <c r="U20" i="3590"/>
  <c r="V20" i="3590"/>
  <c r="W20" i="3590"/>
  <c r="X20" i="3590"/>
  <c r="Y20" i="3590"/>
  <c r="Z20" i="3590"/>
  <c r="AA20" i="3590"/>
  <c r="AB20" i="3590"/>
  <c r="AC20" i="3590"/>
  <c r="AD20" i="3590"/>
  <c r="AE20" i="3590"/>
  <c r="AF20" i="3590"/>
  <c r="AG20" i="3590"/>
  <c r="D21" i="3590"/>
  <c r="E21" i="3590"/>
  <c r="F21" i="3590"/>
  <c r="G21" i="3590"/>
  <c r="I21" i="3590"/>
  <c r="J21" i="3590"/>
  <c r="K21" i="3590"/>
  <c r="L21" i="3590"/>
  <c r="M21" i="3590"/>
  <c r="N21" i="3590"/>
  <c r="O21" i="3590"/>
  <c r="P21" i="3590"/>
  <c r="Q21" i="3590"/>
  <c r="R21" i="3590"/>
  <c r="S21" i="3590"/>
  <c r="T21" i="3590"/>
  <c r="U21" i="3590"/>
  <c r="V21" i="3590"/>
  <c r="W21" i="3590"/>
  <c r="X21" i="3590"/>
  <c r="Y21" i="3590"/>
  <c r="Z21" i="3590"/>
  <c r="AA21" i="3590"/>
  <c r="AB21" i="3590"/>
  <c r="AC21" i="3590"/>
  <c r="AD21" i="3590"/>
  <c r="AE21" i="3590"/>
  <c r="AF21" i="3590"/>
  <c r="AG21" i="3590"/>
  <c r="D22" i="3590"/>
  <c r="E22" i="3590"/>
  <c r="F22" i="3590"/>
  <c r="G22" i="3590"/>
  <c r="H22" i="3590"/>
  <c r="I22" i="3590"/>
  <c r="J22" i="3590"/>
  <c r="K22" i="3590"/>
  <c r="L22" i="3590"/>
  <c r="M22" i="3590"/>
  <c r="N22" i="3590"/>
  <c r="O22" i="3590"/>
  <c r="P22" i="3590"/>
  <c r="Q22" i="3590"/>
  <c r="R22" i="3590"/>
  <c r="S22" i="3590"/>
  <c r="T22" i="3590"/>
  <c r="U22" i="3590"/>
  <c r="V22" i="3590"/>
  <c r="W22" i="3590"/>
  <c r="X22" i="3590"/>
  <c r="Y22" i="3590"/>
  <c r="Z22" i="3590"/>
  <c r="AA22" i="3590"/>
  <c r="AB22" i="3590"/>
  <c r="AC22" i="3590"/>
  <c r="AD22" i="3590"/>
  <c r="AE22" i="3590"/>
  <c r="AF22" i="3590"/>
  <c r="AG22" i="3590"/>
  <c r="D23" i="3590"/>
  <c r="E23" i="3590"/>
  <c r="F23" i="3590"/>
  <c r="G23" i="3590"/>
  <c r="H23" i="3590"/>
  <c r="I23" i="3590"/>
  <c r="C24" i="3590"/>
  <c r="C25" i="3590"/>
  <c r="C26" i="3590"/>
  <c r="C27" i="3590"/>
  <c r="C28" i="3590"/>
  <c r="C29" i="3590"/>
  <c r="C30" i="3590"/>
  <c r="C31" i="3590"/>
  <c r="C33" i="3590"/>
  <c r="D36" i="3590"/>
  <c r="E36" i="3590"/>
  <c r="F36" i="3590"/>
  <c r="G36" i="3590"/>
  <c r="H36" i="3590"/>
  <c r="I36" i="3590"/>
  <c r="J36" i="3590"/>
  <c r="K36" i="3590"/>
  <c r="L36" i="3590"/>
  <c r="M36" i="3590"/>
  <c r="N36" i="3590"/>
  <c r="O36" i="3590"/>
  <c r="P36" i="3590"/>
  <c r="Q36" i="3590"/>
  <c r="R36" i="3590"/>
  <c r="S36" i="3590"/>
  <c r="T36" i="3590"/>
  <c r="U36" i="3590"/>
  <c r="V36" i="3590"/>
  <c r="W36" i="3590"/>
  <c r="X36" i="3590"/>
  <c r="Y36" i="3590"/>
  <c r="Z36" i="3590"/>
  <c r="AA36" i="3590"/>
  <c r="AB36" i="3590"/>
  <c r="AC36" i="3590"/>
  <c r="AD36" i="3590"/>
  <c r="AE36" i="3590"/>
  <c r="AF36" i="3590"/>
  <c r="AG36" i="3590"/>
  <c r="D37" i="3590"/>
  <c r="E37" i="3590"/>
  <c r="F37" i="3590"/>
  <c r="G37" i="3590"/>
  <c r="H37" i="3590"/>
  <c r="I37" i="3590"/>
  <c r="J37" i="3590"/>
  <c r="K37" i="3590"/>
  <c r="L37" i="3590"/>
  <c r="M37" i="3590"/>
  <c r="N37" i="3590"/>
  <c r="O37" i="3590"/>
  <c r="P37" i="3590"/>
  <c r="Q37" i="3590"/>
  <c r="R37" i="3590"/>
  <c r="S37" i="3590"/>
  <c r="T37" i="3590"/>
  <c r="U37" i="3590"/>
  <c r="V37" i="3590"/>
  <c r="W37" i="3590"/>
  <c r="X37" i="3590"/>
  <c r="Y37" i="3590"/>
  <c r="Z37" i="3590"/>
  <c r="AA37" i="3590"/>
  <c r="AB37" i="3590"/>
  <c r="AC37" i="3590"/>
  <c r="AD37" i="3590"/>
  <c r="AE37" i="3590"/>
  <c r="AF37" i="3590"/>
  <c r="AG37" i="3590"/>
  <c r="D38" i="3590"/>
  <c r="E38" i="3590"/>
  <c r="F38" i="3590"/>
  <c r="G38" i="3590"/>
  <c r="H38" i="3590"/>
  <c r="I38" i="3590"/>
  <c r="J38" i="3590"/>
  <c r="K38" i="3590"/>
  <c r="L38" i="3590"/>
  <c r="M38" i="3590"/>
  <c r="N38" i="3590"/>
  <c r="O38" i="3590"/>
  <c r="P38" i="3590"/>
  <c r="Q38" i="3590"/>
  <c r="R38" i="3590"/>
  <c r="S38" i="3590"/>
  <c r="T38" i="3590"/>
  <c r="U38" i="3590"/>
  <c r="V38" i="3590"/>
  <c r="W38" i="3590"/>
  <c r="X38" i="3590"/>
  <c r="Y38" i="3590"/>
  <c r="Z38" i="3590"/>
  <c r="AA38" i="3590"/>
  <c r="AB38" i="3590"/>
  <c r="AC38" i="3590"/>
  <c r="AD38" i="3590"/>
  <c r="AE38" i="3590"/>
  <c r="AF38" i="3590"/>
  <c r="AG38" i="3590"/>
  <c r="D39" i="3590"/>
  <c r="E39" i="3590"/>
  <c r="F39" i="3590"/>
  <c r="G39" i="3590"/>
  <c r="H39" i="3590"/>
  <c r="I39" i="3590"/>
  <c r="J39" i="3590"/>
  <c r="K39" i="3590"/>
  <c r="L39" i="3590"/>
  <c r="M39" i="3590"/>
  <c r="N39" i="3590"/>
  <c r="O39" i="3590"/>
  <c r="P39" i="3590"/>
  <c r="Q39" i="3590"/>
  <c r="R39" i="3590"/>
  <c r="S39" i="3590"/>
  <c r="T39" i="3590"/>
  <c r="U39" i="3590"/>
  <c r="V39" i="3590"/>
  <c r="W39" i="3590"/>
  <c r="X39" i="3590"/>
  <c r="Y39" i="3590"/>
  <c r="Z39" i="3590"/>
  <c r="AA39" i="3590"/>
  <c r="AB39" i="3590"/>
  <c r="AC39" i="3590"/>
  <c r="AD39" i="3590"/>
  <c r="AE39" i="3590"/>
  <c r="AF39" i="3590"/>
  <c r="AG39" i="3590"/>
  <c r="D40" i="3590"/>
  <c r="E40" i="3590"/>
  <c r="F40" i="3590"/>
  <c r="G40" i="3590"/>
  <c r="H40" i="3590"/>
  <c r="I40" i="3590"/>
  <c r="J40" i="3590"/>
  <c r="K40" i="3590"/>
  <c r="L40" i="3590"/>
  <c r="M40" i="3590"/>
  <c r="N40" i="3590"/>
  <c r="O40" i="3590"/>
  <c r="P40" i="3590"/>
  <c r="Q40" i="3590"/>
  <c r="R40" i="3590"/>
  <c r="S40" i="3590"/>
  <c r="T40" i="3590"/>
  <c r="U40" i="3590"/>
  <c r="V40" i="3590"/>
  <c r="W40" i="3590"/>
  <c r="X40" i="3590"/>
  <c r="Y40" i="3590"/>
  <c r="Z40" i="3590"/>
  <c r="AA40" i="3590"/>
  <c r="AB40" i="3590"/>
  <c r="AC40" i="3590"/>
  <c r="AD40" i="3590"/>
  <c r="AE40" i="3590"/>
  <c r="AF40" i="3590"/>
  <c r="AG40" i="3590"/>
  <c r="D41" i="3590"/>
  <c r="E41" i="3590"/>
  <c r="F41" i="3590"/>
  <c r="G41" i="3590"/>
  <c r="H41" i="3590"/>
  <c r="I41" i="3590"/>
  <c r="J41" i="3590"/>
  <c r="K41" i="3590"/>
  <c r="L41" i="3590"/>
  <c r="M41" i="3590"/>
  <c r="N41" i="3590"/>
  <c r="O41" i="3590"/>
  <c r="P41" i="3590"/>
  <c r="Q41" i="3590"/>
  <c r="R41" i="3590"/>
  <c r="S41" i="3590"/>
  <c r="T41" i="3590"/>
  <c r="U41" i="3590"/>
  <c r="V41" i="3590"/>
  <c r="W41" i="3590"/>
  <c r="X41" i="3590"/>
  <c r="Y41" i="3590"/>
  <c r="Z41" i="3590"/>
  <c r="AA41" i="3590"/>
  <c r="AB41" i="3590"/>
  <c r="AC41" i="3590"/>
  <c r="AD41" i="3590"/>
  <c r="AE41" i="3590"/>
  <c r="AF41" i="3590"/>
  <c r="AG41" i="3590"/>
  <c r="D42" i="3590"/>
  <c r="E42" i="3590"/>
  <c r="F42" i="3590"/>
  <c r="G42" i="3590"/>
  <c r="H42" i="3590"/>
  <c r="I42" i="3590"/>
  <c r="C43" i="3590"/>
  <c r="C44" i="3590"/>
  <c r="C45" i="3590"/>
  <c r="C46" i="3590"/>
  <c r="C47" i="3590"/>
  <c r="C48" i="3590"/>
  <c r="C50" i="3590"/>
  <c r="D63" i="3590"/>
  <c r="E63" i="3590"/>
  <c r="F63" i="3590"/>
  <c r="G63" i="3590"/>
  <c r="H63" i="3590"/>
  <c r="I63" i="3590"/>
  <c r="J63" i="3590"/>
  <c r="K63" i="3590"/>
  <c r="L63" i="3590"/>
  <c r="M63" i="3590"/>
  <c r="N63" i="3590"/>
  <c r="O63" i="3590"/>
  <c r="P63" i="3590"/>
  <c r="Q63" i="3590"/>
  <c r="R63" i="3590"/>
  <c r="S63" i="3590"/>
  <c r="T63" i="3590"/>
  <c r="U63" i="3590"/>
  <c r="V63" i="3590"/>
  <c r="W63" i="3590"/>
  <c r="X63" i="3590"/>
  <c r="Y63" i="3590"/>
  <c r="Z63" i="3590"/>
  <c r="AA63" i="3590"/>
  <c r="AB63" i="3590"/>
  <c r="AC63" i="3590"/>
  <c r="AD63" i="3590"/>
  <c r="AE63" i="3590"/>
  <c r="AF63" i="3590"/>
  <c r="AG63" i="3590"/>
  <c r="D64" i="3590"/>
  <c r="E64" i="3590"/>
  <c r="F64" i="3590"/>
  <c r="G64" i="3590"/>
  <c r="H64" i="3590"/>
  <c r="I64" i="3590"/>
  <c r="J64" i="3590"/>
  <c r="K64" i="3590"/>
  <c r="L64" i="3590"/>
  <c r="M64" i="3590"/>
  <c r="N64" i="3590"/>
  <c r="O64" i="3590"/>
  <c r="P64" i="3590"/>
  <c r="Q64" i="3590"/>
  <c r="R64" i="3590"/>
  <c r="S64" i="3590"/>
  <c r="T64" i="3590"/>
  <c r="U64" i="3590"/>
  <c r="V64" i="3590"/>
  <c r="W64" i="3590"/>
  <c r="X64" i="3590"/>
  <c r="Y64" i="3590"/>
  <c r="Z64" i="3590"/>
  <c r="AA64" i="3590"/>
  <c r="AB64" i="3590"/>
  <c r="AC64" i="3590"/>
  <c r="AD64" i="3590"/>
  <c r="AE64" i="3590"/>
  <c r="AF64" i="3590"/>
  <c r="AG64" i="3590"/>
  <c r="D65" i="3590"/>
  <c r="E65" i="3590"/>
  <c r="F65" i="3590"/>
  <c r="G65" i="3590"/>
  <c r="H65" i="3590"/>
  <c r="I65" i="3590"/>
  <c r="J65" i="3590"/>
  <c r="K65" i="3590"/>
  <c r="L65" i="3590"/>
  <c r="M65" i="3590"/>
  <c r="N65" i="3590"/>
  <c r="O65" i="3590"/>
  <c r="P65" i="3590"/>
  <c r="Q65" i="3590"/>
  <c r="R65" i="3590"/>
  <c r="S65" i="3590"/>
  <c r="T65" i="3590"/>
  <c r="U65" i="3590"/>
  <c r="V65" i="3590"/>
  <c r="W65" i="3590"/>
  <c r="X65" i="3590"/>
  <c r="Y65" i="3590"/>
  <c r="Z65" i="3590"/>
  <c r="AA65" i="3590"/>
  <c r="AB65" i="3590"/>
  <c r="AC65" i="3590"/>
  <c r="AD65" i="3590"/>
  <c r="AE65" i="3590"/>
  <c r="AF65" i="3590"/>
  <c r="AG65" i="3590"/>
  <c r="D66" i="3590"/>
  <c r="E66" i="3590"/>
  <c r="F66" i="3590"/>
  <c r="G66" i="3590"/>
  <c r="H66" i="3590"/>
  <c r="I66" i="3590"/>
  <c r="C67" i="3590"/>
  <c r="C68" i="3590"/>
  <c r="C69" i="3590"/>
  <c r="C70" i="3590"/>
  <c r="C72" i="3590"/>
  <c r="C73" i="3590"/>
  <c r="C74" i="3590"/>
  <c r="C75" i="3590"/>
  <c r="C77" i="3590"/>
  <c r="D80" i="3590"/>
  <c r="E80" i="3590"/>
  <c r="F80" i="3590"/>
  <c r="G80" i="3590"/>
  <c r="H80" i="3590"/>
  <c r="I80" i="3590"/>
  <c r="J80" i="3590"/>
  <c r="K80" i="3590"/>
  <c r="L80" i="3590"/>
  <c r="M80" i="3590"/>
  <c r="N80" i="3590"/>
  <c r="O80" i="3590"/>
  <c r="P80" i="3590"/>
  <c r="Q80" i="3590"/>
  <c r="R80" i="3590"/>
  <c r="S80" i="3590"/>
  <c r="T80" i="3590"/>
  <c r="U80" i="3590"/>
  <c r="V80" i="3590"/>
  <c r="W80" i="3590"/>
  <c r="X80" i="3590"/>
  <c r="Y80" i="3590"/>
  <c r="Z80" i="3590"/>
  <c r="AA80" i="3590"/>
  <c r="AB80" i="3590"/>
  <c r="AC80" i="3590"/>
  <c r="AD80" i="3590"/>
  <c r="AE80" i="3590"/>
  <c r="AF80" i="3590"/>
  <c r="AG80" i="3590"/>
  <c r="E81" i="3590"/>
  <c r="F81" i="3590"/>
  <c r="G81" i="3590"/>
  <c r="H81" i="3590"/>
  <c r="I81" i="3590"/>
  <c r="J81" i="3590"/>
  <c r="K81" i="3590"/>
  <c r="L81" i="3590"/>
  <c r="M81" i="3590"/>
  <c r="N81" i="3590"/>
  <c r="O81" i="3590"/>
  <c r="P81" i="3590"/>
  <c r="Q81" i="3590"/>
  <c r="R81" i="3590"/>
  <c r="S81" i="3590"/>
  <c r="T81" i="3590"/>
  <c r="U81" i="3590"/>
  <c r="V81" i="3590"/>
  <c r="W81" i="3590"/>
  <c r="X81" i="3590"/>
  <c r="Y81" i="3590"/>
  <c r="Z81" i="3590"/>
  <c r="AA81" i="3590"/>
  <c r="AB81" i="3590"/>
  <c r="AC81" i="3590"/>
  <c r="AD81" i="3590"/>
  <c r="AE81" i="3590"/>
  <c r="AF81" i="3590"/>
  <c r="AG81" i="3590"/>
  <c r="D82" i="3590"/>
  <c r="E82" i="3590"/>
  <c r="F82" i="3590"/>
  <c r="G82" i="3590"/>
  <c r="H82" i="3590"/>
  <c r="I82" i="3590"/>
  <c r="J82" i="3590"/>
  <c r="K82" i="3590"/>
  <c r="L82" i="3590"/>
  <c r="M82" i="3590"/>
  <c r="N82" i="3590"/>
  <c r="O82" i="3590"/>
  <c r="P82" i="3590"/>
  <c r="Q82" i="3590"/>
  <c r="R82" i="3590"/>
  <c r="S82" i="3590"/>
  <c r="T82" i="3590"/>
  <c r="U82" i="3590"/>
  <c r="V82" i="3590"/>
  <c r="W82" i="3590"/>
  <c r="X82" i="3590"/>
  <c r="Y82" i="3590"/>
  <c r="Z82" i="3590"/>
  <c r="AA82" i="3590"/>
  <c r="AB82" i="3590"/>
  <c r="AC82" i="3590"/>
  <c r="AD82" i="3590"/>
  <c r="AE82" i="3590"/>
  <c r="AF82" i="3590"/>
  <c r="AG82" i="3590"/>
  <c r="D83" i="3590"/>
  <c r="E83" i="3590"/>
  <c r="F83" i="3590"/>
  <c r="G83" i="3590"/>
  <c r="H83" i="3590"/>
  <c r="I83" i="3590"/>
  <c r="C84" i="3590"/>
  <c r="C85" i="3590"/>
  <c r="C86" i="3590"/>
  <c r="C87" i="3590"/>
  <c r="C89" i="3590"/>
  <c r="C90" i="3590"/>
  <c r="C92" i="3590"/>
  <c r="A4" i="3616"/>
  <c r="B4" i="3616"/>
  <c r="C4" i="3616"/>
  <c r="D4" i="3616"/>
  <c r="E4" i="3616"/>
  <c r="F4" i="3616"/>
  <c r="G4" i="3616"/>
  <c r="H4" i="3616"/>
  <c r="I4" i="3616"/>
  <c r="J4" i="3616"/>
  <c r="K4" i="3616"/>
  <c r="L4" i="3616"/>
  <c r="A5" i="3616"/>
  <c r="B5" i="3616"/>
  <c r="C5" i="3616"/>
  <c r="D5" i="3616"/>
  <c r="E5" i="3616"/>
  <c r="F5" i="3616"/>
  <c r="G5" i="3616"/>
  <c r="H5" i="3616"/>
  <c r="I5" i="3616"/>
  <c r="J5" i="3616"/>
  <c r="K5" i="3616"/>
  <c r="L5" i="3616"/>
  <c r="A6" i="3616"/>
  <c r="B6" i="3616"/>
  <c r="C6" i="3616"/>
  <c r="D6" i="3616"/>
  <c r="E6" i="3616"/>
  <c r="F6" i="3616"/>
  <c r="G6" i="3616"/>
  <c r="H6" i="3616"/>
  <c r="I6" i="3616"/>
  <c r="J6" i="3616"/>
  <c r="K6" i="3616"/>
  <c r="L6" i="3616"/>
  <c r="A7" i="3616"/>
  <c r="B7" i="3616"/>
  <c r="C7" i="3616"/>
  <c r="D7" i="3616"/>
  <c r="E7" i="3616"/>
  <c r="F7" i="3616"/>
  <c r="G7" i="3616"/>
  <c r="H7" i="3616"/>
  <c r="I7" i="3616"/>
  <c r="J7" i="3616"/>
  <c r="K7" i="3616"/>
  <c r="L7" i="3616"/>
  <c r="A8" i="3616"/>
  <c r="B8" i="3616"/>
  <c r="C8" i="3616"/>
  <c r="D8" i="3616"/>
  <c r="E8" i="3616"/>
  <c r="F8" i="3616"/>
  <c r="G8" i="3616"/>
  <c r="H8" i="3616"/>
  <c r="I8" i="3616"/>
  <c r="J8" i="3616"/>
  <c r="K8" i="3616"/>
  <c r="L8" i="3616"/>
  <c r="A9" i="3616"/>
  <c r="B9" i="3616"/>
  <c r="C9" i="3616"/>
  <c r="D9" i="3616"/>
  <c r="E9" i="3616"/>
  <c r="F9" i="3616"/>
  <c r="G9" i="3616"/>
  <c r="H9" i="3616"/>
  <c r="I9" i="3616"/>
  <c r="J9" i="3616"/>
  <c r="K9" i="3616"/>
  <c r="L9" i="3616"/>
  <c r="A10" i="3616"/>
  <c r="B10" i="3616"/>
  <c r="C10" i="3616"/>
  <c r="D10" i="3616"/>
  <c r="E10" i="3616"/>
  <c r="F10" i="3616"/>
  <c r="G10" i="3616"/>
  <c r="H10" i="3616"/>
  <c r="I10" i="3616"/>
  <c r="J10" i="3616"/>
  <c r="K10" i="3616"/>
  <c r="L10" i="3616"/>
  <c r="A11" i="3616"/>
  <c r="B11" i="3616"/>
  <c r="C11" i="3616"/>
  <c r="D11" i="3616"/>
  <c r="E11" i="3616"/>
  <c r="F11" i="3616"/>
  <c r="G11" i="3616"/>
  <c r="H11" i="3616"/>
  <c r="I11" i="3616"/>
  <c r="J11" i="3616"/>
  <c r="K11" i="3616"/>
  <c r="L11" i="3616"/>
  <c r="A12" i="3616"/>
  <c r="B12" i="3616"/>
  <c r="C12" i="3616"/>
  <c r="D12" i="3616"/>
  <c r="E12" i="3616"/>
  <c r="F12" i="3616"/>
  <c r="G12" i="3616"/>
  <c r="H12" i="3616"/>
  <c r="I12" i="3616"/>
  <c r="J12" i="3616"/>
  <c r="K12" i="3616"/>
  <c r="L12" i="3616"/>
  <c r="A13" i="3616"/>
  <c r="B13" i="3616"/>
  <c r="C13" i="3616"/>
  <c r="D13" i="3616"/>
  <c r="E13" i="3616"/>
  <c r="F13" i="3616"/>
  <c r="G13" i="3616"/>
  <c r="H13" i="3616"/>
  <c r="I13" i="3616"/>
  <c r="J13" i="3616"/>
  <c r="K13" i="3616"/>
  <c r="L13" i="3616"/>
  <c r="A14" i="3616"/>
  <c r="B14" i="3616"/>
  <c r="C14" i="3616"/>
  <c r="D14" i="3616"/>
  <c r="E14" i="3616"/>
  <c r="F14" i="3616"/>
  <c r="G14" i="3616"/>
  <c r="H14" i="3616"/>
  <c r="I14" i="3616"/>
  <c r="J14" i="3616"/>
  <c r="K14" i="3616"/>
  <c r="L14" i="3616"/>
  <c r="B19" i="3616"/>
  <c r="C19" i="3616"/>
  <c r="D19" i="3616"/>
  <c r="E19" i="3616"/>
  <c r="F19" i="3616"/>
  <c r="G19" i="3616"/>
  <c r="H19" i="3616"/>
  <c r="I19" i="3616"/>
  <c r="J19" i="3616"/>
  <c r="K19" i="3616"/>
  <c r="L19" i="3616"/>
  <c r="B20" i="3616"/>
  <c r="C20" i="3616"/>
  <c r="D20" i="3616"/>
  <c r="E20" i="3616"/>
  <c r="F20" i="3616"/>
  <c r="G20" i="3616"/>
  <c r="H20" i="3616"/>
  <c r="I20" i="3616"/>
  <c r="J20" i="3616"/>
  <c r="K20" i="3616"/>
  <c r="L20" i="3616"/>
  <c r="B21" i="3616"/>
  <c r="C21" i="3616"/>
  <c r="D21" i="3616"/>
  <c r="E21" i="3616"/>
  <c r="F21" i="3616"/>
  <c r="G21" i="3616"/>
  <c r="H21" i="3616"/>
  <c r="I21" i="3616"/>
  <c r="J21" i="3616"/>
  <c r="K21" i="3616"/>
  <c r="L21" i="3616"/>
  <c r="B22" i="3616"/>
  <c r="C22" i="3616"/>
  <c r="D22" i="3616"/>
  <c r="E22" i="3616"/>
  <c r="F22" i="3616"/>
  <c r="G22" i="3616"/>
  <c r="H22" i="3616"/>
  <c r="I22" i="3616"/>
  <c r="J22" i="3616"/>
  <c r="K22" i="3616"/>
  <c r="L22" i="3616"/>
  <c r="B23" i="3616"/>
  <c r="C23" i="3616"/>
  <c r="D23" i="3616"/>
  <c r="E23" i="3616"/>
  <c r="F23" i="3616"/>
  <c r="G23" i="3616"/>
  <c r="H23" i="3616"/>
  <c r="I23" i="3616"/>
  <c r="J23" i="3616"/>
  <c r="K23" i="3616"/>
  <c r="L23" i="3616"/>
  <c r="B24" i="3616"/>
  <c r="C24" i="3616"/>
  <c r="D24" i="3616"/>
  <c r="E24" i="3616"/>
  <c r="F24" i="3616"/>
  <c r="G24" i="3616"/>
  <c r="H24" i="3616"/>
  <c r="I24" i="3616"/>
  <c r="J24" i="3616"/>
  <c r="K24" i="3616"/>
  <c r="L24" i="3616"/>
  <c r="B25" i="3616"/>
  <c r="C25" i="3616"/>
  <c r="D25" i="3616"/>
  <c r="E25" i="3616"/>
  <c r="F25" i="3616"/>
  <c r="G25" i="3616"/>
  <c r="H25" i="3616"/>
  <c r="I25" i="3616"/>
  <c r="J25" i="3616"/>
  <c r="K25" i="3616"/>
  <c r="L25" i="3616"/>
  <c r="B26" i="3616"/>
  <c r="C26" i="3616"/>
  <c r="D26" i="3616"/>
  <c r="E26" i="3616"/>
  <c r="F26" i="3616"/>
  <c r="G26" i="3616"/>
  <c r="H26" i="3616"/>
  <c r="I26" i="3616"/>
  <c r="J26" i="3616"/>
  <c r="K26" i="3616"/>
  <c r="L26" i="3616"/>
  <c r="B27" i="3616"/>
  <c r="C27" i="3616"/>
  <c r="D27" i="3616"/>
  <c r="E27" i="3616"/>
  <c r="F27" i="3616"/>
  <c r="G27" i="3616"/>
  <c r="H27" i="3616"/>
  <c r="I27" i="3616"/>
  <c r="J27" i="3616"/>
  <c r="K27" i="3616"/>
  <c r="L27" i="3616"/>
  <c r="B28" i="3616"/>
  <c r="C28" i="3616"/>
  <c r="D28" i="3616"/>
  <c r="E28" i="3616"/>
  <c r="F28" i="3616"/>
  <c r="G28" i="3616"/>
  <c r="H28" i="3616"/>
  <c r="I28" i="3616"/>
  <c r="J28" i="3616"/>
  <c r="K28" i="3616"/>
  <c r="L28" i="3616"/>
  <c r="B29" i="3616"/>
  <c r="C29" i="3616"/>
  <c r="D29" i="3616"/>
  <c r="E29" i="3616"/>
  <c r="F29" i="3616"/>
  <c r="G29" i="3616"/>
  <c r="H29" i="3616"/>
  <c r="I29" i="3616"/>
  <c r="J29" i="3616"/>
  <c r="K29" i="3616"/>
  <c r="L29" i="3616"/>
  <c r="A49" i="3616"/>
  <c r="B49" i="3616"/>
  <c r="C49" i="3616"/>
  <c r="D49" i="3616"/>
  <c r="E49" i="3616"/>
  <c r="F49" i="3616"/>
  <c r="G49" i="3616"/>
  <c r="H49" i="3616"/>
  <c r="I49" i="3616"/>
  <c r="J49" i="3616"/>
  <c r="K49" i="3616"/>
  <c r="L49" i="3616"/>
  <c r="A50" i="3616"/>
  <c r="B50" i="3616"/>
  <c r="C50" i="3616"/>
  <c r="D50" i="3616"/>
  <c r="E50" i="3616"/>
  <c r="F50" i="3616"/>
  <c r="G50" i="3616"/>
  <c r="H50" i="3616"/>
  <c r="I50" i="3616"/>
  <c r="J50" i="3616"/>
  <c r="K50" i="3616"/>
  <c r="L50" i="3616"/>
  <c r="A51" i="3616"/>
  <c r="B51" i="3616"/>
  <c r="C51" i="3616"/>
  <c r="D51" i="3616"/>
  <c r="E51" i="3616"/>
  <c r="F51" i="3616"/>
  <c r="G51" i="3616"/>
  <c r="H51" i="3616"/>
  <c r="I51" i="3616"/>
  <c r="J51" i="3616"/>
  <c r="K51" i="3616"/>
  <c r="L51" i="3616"/>
  <c r="A52" i="3616"/>
  <c r="B52" i="3616"/>
  <c r="C52" i="3616"/>
  <c r="D52" i="3616"/>
  <c r="E52" i="3616"/>
  <c r="F52" i="3616"/>
  <c r="G52" i="3616"/>
  <c r="H52" i="3616"/>
  <c r="I52" i="3616"/>
  <c r="J52" i="3616"/>
  <c r="K52" i="3616"/>
  <c r="L52" i="3616"/>
  <c r="A53" i="3616"/>
  <c r="B53" i="3616"/>
  <c r="C53" i="3616"/>
  <c r="D53" i="3616"/>
  <c r="E53" i="3616"/>
  <c r="F53" i="3616"/>
  <c r="G53" i="3616"/>
  <c r="H53" i="3616"/>
  <c r="I53" i="3616"/>
  <c r="J53" i="3616"/>
  <c r="K53" i="3616"/>
  <c r="L53" i="3616"/>
  <c r="A54" i="3616"/>
  <c r="B54" i="3616"/>
  <c r="C54" i="3616"/>
  <c r="D54" i="3616"/>
  <c r="E54" i="3616"/>
  <c r="F54" i="3616"/>
  <c r="G54" i="3616"/>
  <c r="H54" i="3616"/>
  <c r="I54" i="3616"/>
  <c r="J54" i="3616"/>
  <c r="K54" i="3616"/>
  <c r="L54" i="3616"/>
  <c r="A55" i="3616"/>
  <c r="B55" i="3616"/>
  <c r="C55" i="3616"/>
  <c r="D55" i="3616"/>
  <c r="E55" i="3616"/>
  <c r="F55" i="3616"/>
  <c r="G55" i="3616"/>
  <c r="H55" i="3616"/>
  <c r="I55" i="3616"/>
  <c r="J55" i="3616"/>
  <c r="K55" i="3616"/>
  <c r="L55" i="3616"/>
  <c r="A56" i="3616"/>
  <c r="B56" i="3616"/>
  <c r="C56" i="3616"/>
  <c r="D56" i="3616"/>
  <c r="E56" i="3616"/>
  <c r="F56" i="3616"/>
  <c r="G56" i="3616"/>
  <c r="H56" i="3616"/>
  <c r="I56" i="3616"/>
  <c r="J56" i="3616"/>
  <c r="K56" i="3616"/>
  <c r="L56" i="3616"/>
  <c r="A57" i="3616"/>
  <c r="B57" i="3616"/>
  <c r="C57" i="3616"/>
  <c r="D57" i="3616"/>
  <c r="E57" i="3616"/>
  <c r="F57" i="3616"/>
  <c r="G57" i="3616"/>
  <c r="H57" i="3616"/>
  <c r="I57" i="3616"/>
  <c r="J57" i="3616"/>
  <c r="K57" i="3616"/>
  <c r="L57" i="3616"/>
  <c r="A58" i="3616"/>
  <c r="B58" i="3616"/>
  <c r="C58" i="3616"/>
  <c r="D58" i="3616"/>
  <c r="E58" i="3616"/>
  <c r="F58" i="3616"/>
  <c r="G58" i="3616"/>
  <c r="H58" i="3616"/>
  <c r="I58" i="3616"/>
  <c r="J58" i="3616"/>
  <c r="K58" i="3616"/>
  <c r="L58" i="3616"/>
  <c r="A59" i="3616"/>
  <c r="B59" i="3616"/>
  <c r="C59" i="3616"/>
  <c r="D59" i="3616"/>
  <c r="E59" i="3616"/>
  <c r="F59" i="3616"/>
  <c r="G59" i="3616"/>
  <c r="H59" i="3616"/>
  <c r="I59" i="3616"/>
  <c r="J59" i="3616"/>
  <c r="K59" i="3616"/>
  <c r="L59" i="3616"/>
  <c r="B64" i="3616"/>
  <c r="C64" i="3616"/>
  <c r="D64" i="3616"/>
  <c r="E64" i="3616"/>
  <c r="F64" i="3616"/>
  <c r="G64" i="3616"/>
  <c r="H64" i="3616"/>
  <c r="I64" i="3616"/>
  <c r="J64" i="3616"/>
  <c r="K64" i="3616"/>
  <c r="L64" i="3616"/>
  <c r="B65" i="3616"/>
  <c r="C65" i="3616"/>
  <c r="D65" i="3616"/>
  <c r="E65" i="3616"/>
  <c r="F65" i="3616"/>
  <c r="G65" i="3616"/>
  <c r="H65" i="3616"/>
  <c r="I65" i="3616"/>
  <c r="J65" i="3616"/>
  <c r="K65" i="3616"/>
  <c r="L65" i="3616"/>
  <c r="B66" i="3616"/>
  <c r="C66" i="3616"/>
  <c r="D66" i="3616"/>
  <c r="E66" i="3616"/>
  <c r="F66" i="3616"/>
  <c r="G66" i="3616"/>
  <c r="H66" i="3616"/>
  <c r="I66" i="3616"/>
  <c r="J66" i="3616"/>
  <c r="K66" i="3616"/>
  <c r="L66" i="3616"/>
  <c r="B67" i="3616"/>
  <c r="C67" i="3616"/>
  <c r="D67" i="3616"/>
  <c r="E67" i="3616"/>
  <c r="F67" i="3616"/>
  <c r="G67" i="3616"/>
  <c r="H67" i="3616"/>
  <c r="I67" i="3616"/>
  <c r="J67" i="3616"/>
  <c r="K67" i="3616"/>
  <c r="L67" i="3616"/>
  <c r="B68" i="3616"/>
  <c r="C68" i="3616"/>
  <c r="D68" i="3616"/>
  <c r="E68" i="3616"/>
  <c r="F68" i="3616"/>
  <c r="G68" i="3616"/>
  <c r="H68" i="3616"/>
  <c r="I68" i="3616"/>
  <c r="J68" i="3616"/>
  <c r="K68" i="3616"/>
  <c r="L68" i="3616"/>
  <c r="B69" i="3616"/>
  <c r="C69" i="3616"/>
  <c r="D69" i="3616"/>
  <c r="E69" i="3616"/>
  <c r="F69" i="3616"/>
  <c r="G69" i="3616"/>
  <c r="H69" i="3616"/>
  <c r="I69" i="3616"/>
  <c r="J69" i="3616"/>
  <c r="K69" i="3616"/>
  <c r="L69" i="3616"/>
  <c r="B70" i="3616"/>
  <c r="C70" i="3616"/>
  <c r="D70" i="3616"/>
  <c r="E70" i="3616"/>
  <c r="F70" i="3616"/>
  <c r="G70" i="3616"/>
  <c r="H70" i="3616"/>
  <c r="I70" i="3616"/>
  <c r="J70" i="3616"/>
  <c r="K70" i="3616"/>
  <c r="L70" i="3616"/>
  <c r="B71" i="3616"/>
  <c r="C71" i="3616"/>
  <c r="D71" i="3616"/>
  <c r="E71" i="3616"/>
  <c r="F71" i="3616"/>
  <c r="G71" i="3616"/>
  <c r="H71" i="3616"/>
  <c r="I71" i="3616"/>
  <c r="J71" i="3616"/>
  <c r="K71" i="3616"/>
  <c r="L71" i="3616"/>
  <c r="B72" i="3616"/>
  <c r="C72" i="3616"/>
  <c r="D72" i="3616"/>
  <c r="E72" i="3616"/>
  <c r="F72" i="3616"/>
  <c r="G72" i="3616"/>
  <c r="H72" i="3616"/>
  <c r="I72" i="3616"/>
  <c r="J72" i="3616"/>
  <c r="K72" i="3616"/>
  <c r="L72" i="3616"/>
  <c r="B73" i="3616"/>
  <c r="C73" i="3616"/>
  <c r="D73" i="3616"/>
  <c r="E73" i="3616"/>
  <c r="F73" i="3616"/>
  <c r="G73" i="3616"/>
  <c r="H73" i="3616"/>
  <c r="I73" i="3616"/>
  <c r="J73" i="3616"/>
  <c r="K73" i="3616"/>
  <c r="L73" i="3616"/>
  <c r="B74" i="3616"/>
  <c r="C74" i="3616"/>
  <c r="D74" i="3616"/>
  <c r="E74" i="3616"/>
  <c r="F74" i="3616"/>
  <c r="G74" i="3616"/>
  <c r="H74" i="3616"/>
  <c r="I74" i="3616"/>
  <c r="J74" i="3616"/>
  <c r="K74" i="3616"/>
  <c r="L74" i="3616"/>
  <c r="I8" i="3"/>
  <c r="J8" i="3"/>
  <c r="K8" i="3"/>
  <c r="L8" i="3"/>
  <c r="M8" i="3"/>
  <c r="N8" i="3"/>
  <c r="O8" i="3"/>
  <c r="P8" i="3"/>
  <c r="Q8" i="3"/>
  <c r="R8" i="3"/>
  <c r="S8" i="3"/>
  <c r="T8" i="3"/>
  <c r="U8" i="3"/>
  <c r="V8" i="3"/>
  <c r="W8" i="3"/>
  <c r="X8" i="3"/>
  <c r="Y8" i="3"/>
  <c r="Z8" i="3"/>
  <c r="AA8" i="3"/>
  <c r="AB8" i="3"/>
  <c r="AC8" i="3"/>
  <c r="AD8" i="3"/>
  <c r="AE8" i="3"/>
  <c r="AF8" i="3"/>
  <c r="AG8" i="3"/>
  <c r="AH8" i="3"/>
  <c r="AI8" i="3"/>
  <c r="AJ8" i="3"/>
  <c r="AK8" i="3"/>
  <c r="AL8" i="3"/>
  <c r="I9" i="3"/>
  <c r="J9" i="3"/>
  <c r="K9" i="3"/>
  <c r="L9" i="3"/>
  <c r="M9" i="3"/>
  <c r="N9" i="3"/>
  <c r="O9" i="3"/>
  <c r="P9" i="3"/>
  <c r="Q9" i="3"/>
  <c r="R9" i="3"/>
  <c r="S9" i="3"/>
  <c r="T9" i="3"/>
  <c r="U9" i="3"/>
  <c r="V9" i="3"/>
  <c r="W9" i="3"/>
  <c r="X9" i="3"/>
  <c r="Y9" i="3"/>
  <c r="Z9" i="3"/>
  <c r="AA9" i="3"/>
  <c r="AB9" i="3"/>
  <c r="AC9" i="3"/>
  <c r="AD9" i="3"/>
  <c r="AE9" i="3"/>
  <c r="AF9" i="3"/>
  <c r="AG9" i="3"/>
  <c r="AH9" i="3"/>
  <c r="AI9" i="3"/>
  <c r="AJ9" i="3"/>
  <c r="AK9" i="3"/>
  <c r="AL9" i="3"/>
  <c r="I10" i="3"/>
  <c r="J10" i="3"/>
  <c r="K10" i="3"/>
  <c r="L10" i="3"/>
  <c r="M10" i="3"/>
  <c r="N10" i="3"/>
  <c r="O10" i="3"/>
  <c r="P10" i="3"/>
  <c r="Q10" i="3"/>
  <c r="R10" i="3"/>
  <c r="S10" i="3"/>
  <c r="T10" i="3"/>
  <c r="U10" i="3"/>
  <c r="V10" i="3"/>
  <c r="W10" i="3"/>
  <c r="X10" i="3"/>
  <c r="Y10" i="3"/>
  <c r="Z10" i="3"/>
  <c r="AA10" i="3"/>
  <c r="AB10" i="3"/>
  <c r="AC10" i="3"/>
  <c r="AD10" i="3"/>
  <c r="AE10" i="3"/>
  <c r="AF10" i="3"/>
  <c r="AG10" i="3"/>
  <c r="AH10" i="3"/>
  <c r="AI10" i="3"/>
  <c r="AJ10" i="3"/>
  <c r="AK10" i="3"/>
  <c r="AL10" i="3"/>
  <c r="I19" i="3"/>
  <c r="J19" i="3"/>
  <c r="K19" i="3"/>
  <c r="L19" i="3"/>
  <c r="M19" i="3"/>
  <c r="N19" i="3"/>
  <c r="O19" i="3"/>
  <c r="P19" i="3"/>
  <c r="Q19" i="3"/>
  <c r="R19" i="3"/>
  <c r="S19" i="3"/>
  <c r="T19" i="3"/>
  <c r="U19" i="3"/>
  <c r="V19" i="3"/>
  <c r="W19" i="3"/>
  <c r="X19" i="3"/>
  <c r="Y19" i="3"/>
  <c r="Z19" i="3"/>
  <c r="AA19" i="3"/>
  <c r="AB19" i="3"/>
  <c r="AC19" i="3"/>
  <c r="AD19" i="3"/>
  <c r="AE19" i="3"/>
  <c r="AF19" i="3"/>
  <c r="AG19" i="3"/>
  <c r="AH19" i="3"/>
  <c r="AI19" i="3"/>
  <c r="AJ19" i="3"/>
  <c r="AK19" i="3"/>
  <c r="AL19" i="3"/>
  <c r="I22" i="3"/>
  <c r="J22" i="3"/>
  <c r="K22" i="3"/>
  <c r="L22" i="3"/>
  <c r="M22" i="3"/>
  <c r="N22" i="3"/>
  <c r="O22" i="3"/>
  <c r="P22" i="3"/>
  <c r="Q22" i="3"/>
  <c r="R22" i="3"/>
  <c r="S22" i="3"/>
  <c r="T22" i="3"/>
  <c r="U22" i="3"/>
  <c r="V22" i="3"/>
  <c r="W22" i="3"/>
  <c r="X22" i="3"/>
  <c r="Y22" i="3"/>
  <c r="Z22" i="3"/>
  <c r="AA22" i="3"/>
  <c r="AB22" i="3"/>
  <c r="AC22" i="3"/>
  <c r="AD22" i="3"/>
  <c r="AE22" i="3"/>
  <c r="AF22" i="3"/>
  <c r="AG22" i="3"/>
  <c r="AH22" i="3"/>
  <c r="AI22" i="3"/>
  <c r="AJ22" i="3"/>
  <c r="AK22" i="3"/>
  <c r="AL22" i="3"/>
  <c r="I23" i="3"/>
  <c r="J23" i="3"/>
  <c r="K23" i="3"/>
  <c r="L23" i="3"/>
  <c r="M23" i="3"/>
  <c r="N23" i="3"/>
  <c r="O23" i="3"/>
  <c r="P23" i="3"/>
  <c r="Q23" i="3"/>
  <c r="R23" i="3"/>
  <c r="S23" i="3"/>
  <c r="T23" i="3"/>
  <c r="U23" i="3"/>
  <c r="V23" i="3"/>
  <c r="W23" i="3"/>
  <c r="X23" i="3"/>
  <c r="Y23" i="3"/>
  <c r="Z23" i="3"/>
  <c r="AA23" i="3"/>
  <c r="AB23" i="3"/>
  <c r="AC23" i="3"/>
  <c r="AD23" i="3"/>
  <c r="AE23" i="3"/>
  <c r="AF23" i="3"/>
  <c r="AG23" i="3"/>
  <c r="AH23" i="3"/>
  <c r="AI23" i="3"/>
  <c r="AJ23" i="3"/>
  <c r="AK23" i="3"/>
  <c r="AL23" i="3"/>
  <c r="I25" i="3"/>
  <c r="J25" i="3"/>
  <c r="K25" i="3"/>
  <c r="L25" i="3"/>
  <c r="M25" i="3"/>
  <c r="N25" i="3"/>
  <c r="O25" i="3"/>
  <c r="P25" i="3"/>
  <c r="Q25" i="3"/>
  <c r="R25" i="3"/>
  <c r="S25" i="3"/>
  <c r="T25" i="3"/>
  <c r="U25" i="3"/>
  <c r="V25" i="3"/>
  <c r="W25" i="3"/>
  <c r="X25" i="3"/>
  <c r="Y25" i="3"/>
  <c r="Z25" i="3"/>
  <c r="AA25" i="3"/>
  <c r="AB25" i="3"/>
  <c r="AC25" i="3"/>
  <c r="AD25" i="3"/>
  <c r="AE25" i="3"/>
  <c r="AF25" i="3"/>
  <c r="AG25" i="3"/>
  <c r="AH25" i="3"/>
  <c r="AI25" i="3"/>
  <c r="AJ25" i="3"/>
  <c r="AK25" i="3"/>
  <c r="AL25" i="3"/>
  <c r="I26" i="3"/>
  <c r="J26" i="3"/>
  <c r="K26" i="3"/>
  <c r="L26" i="3"/>
  <c r="M26" i="3"/>
  <c r="N26" i="3"/>
  <c r="O26" i="3"/>
  <c r="P26" i="3"/>
  <c r="Q26" i="3"/>
  <c r="R26" i="3"/>
  <c r="S26" i="3"/>
  <c r="T26" i="3"/>
  <c r="U26" i="3"/>
  <c r="V26" i="3"/>
  <c r="W26" i="3"/>
  <c r="X26" i="3"/>
  <c r="Y26" i="3"/>
  <c r="Z26" i="3"/>
  <c r="AA26" i="3"/>
  <c r="AB26" i="3"/>
  <c r="AC26" i="3"/>
  <c r="AD26" i="3"/>
  <c r="AE26" i="3"/>
  <c r="AF26" i="3"/>
  <c r="AG26" i="3"/>
  <c r="AH26" i="3"/>
  <c r="AI26" i="3"/>
  <c r="AJ26" i="3"/>
  <c r="AK26" i="3"/>
  <c r="AL26" i="3"/>
  <c r="I27" i="3"/>
  <c r="J27" i="3"/>
  <c r="K27" i="3"/>
  <c r="L27" i="3"/>
  <c r="M27" i="3"/>
  <c r="N27" i="3"/>
  <c r="O27" i="3"/>
  <c r="P27" i="3"/>
  <c r="Q27" i="3"/>
  <c r="R27" i="3"/>
  <c r="S27" i="3"/>
  <c r="T27" i="3"/>
  <c r="U27" i="3"/>
  <c r="V27" i="3"/>
  <c r="W27" i="3"/>
  <c r="X27" i="3"/>
  <c r="Y27" i="3"/>
  <c r="Z27" i="3"/>
  <c r="AA27" i="3"/>
  <c r="AB27" i="3"/>
  <c r="AC27" i="3"/>
  <c r="AD27" i="3"/>
  <c r="AE27" i="3"/>
  <c r="AF27" i="3"/>
  <c r="AG27" i="3"/>
  <c r="AH27" i="3"/>
  <c r="AI27" i="3"/>
  <c r="AJ27" i="3"/>
  <c r="AK27" i="3"/>
  <c r="AL27" i="3"/>
  <c r="I28" i="3"/>
  <c r="J28" i="3"/>
  <c r="K28" i="3"/>
  <c r="L28" i="3"/>
  <c r="M28" i="3"/>
  <c r="N28" i="3"/>
  <c r="O28" i="3"/>
  <c r="P28" i="3"/>
  <c r="Q28" i="3"/>
  <c r="R28" i="3"/>
  <c r="S28" i="3"/>
  <c r="T28" i="3"/>
  <c r="U28" i="3"/>
  <c r="V28" i="3"/>
  <c r="W28" i="3"/>
  <c r="X28" i="3"/>
  <c r="Y28" i="3"/>
  <c r="Z28" i="3"/>
  <c r="AA28" i="3"/>
  <c r="AB28" i="3"/>
  <c r="AC28" i="3"/>
  <c r="AD28" i="3"/>
  <c r="AE28" i="3"/>
  <c r="AF28" i="3"/>
  <c r="AG28" i="3"/>
  <c r="AH28" i="3"/>
  <c r="AI28" i="3"/>
  <c r="AJ28" i="3"/>
  <c r="AK28" i="3"/>
  <c r="AL28" i="3"/>
  <c r="I29" i="3"/>
  <c r="J29" i="3"/>
  <c r="K29" i="3"/>
  <c r="L29" i="3"/>
  <c r="M29" i="3"/>
  <c r="N29" i="3"/>
  <c r="O29" i="3"/>
  <c r="P29" i="3"/>
  <c r="Q29" i="3"/>
  <c r="R29" i="3"/>
  <c r="S29" i="3"/>
  <c r="T29" i="3"/>
  <c r="U29" i="3"/>
  <c r="V29" i="3"/>
  <c r="W29" i="3"/>
  <c r="X29" i="3"/>
  <c r="Y29" i="3"/>
  <c r="Z29" i="3"/>
  <c r="AA29" i="3"/>
  <c r="AB29" i="3"/>
  <c r="AC29" i="3"/>
  <c r="AD29" i="3"/>
  <c r="AE29" i="3"/>
  <c r="AF29" i="3"/>
  <c r="AG29" i="3"/>
  <c r="AH29" i="3"/>
  <c r="AI29" i="3"/>
  <c r="AJ29" i="3"/>
  <c r="AK29" i="3"/>
  <c r="AL29" i="3"/>
  <c r="I30" i="3"/>
  <c r="J30" i="3"/>
  <c r="K30" i="3"/>
  <c r="L30" i="3"/>
  <c r="M30" i="3"/>
  <c r="N30" i="3"/>
  <c r="O30" i="3"/>
  <c r="P30" i="3"/>
  <c r="Q30" i="3"/>
  <c r="R30" i="3"/>
  <c r="S30" i="3"/>
  <c r="T30" i="3"/>
  <c r="U30" i="3"/>
  <c r="V30" i="3"/>
  <c r="W30" i="3"/>
  <c r="X30" i="3"/>
  <c r="Y30" i="3"/>
  <c r="Z30" i="3"/>
  <c r="AA30" i="3"/>
  <c r="AB30" i="3"/>
  <c r="AC30" i="3"/>
  <c r="AD30" i="3"/>
  <c r="AE30" i="3"/>
  <c r="AF30" i="3"/>
  <c r="AG30" i="3"/>
  <c r="AH30" i="3"/>
  <c r="AI30" i="3"/>
  <c r="AJ30" i="3"/>
  <c r="AK30" i="3"/>
  <c r="AL30" i="3"/>
  <c r="I31" i="3"/>
  <c r="J31" i="3"/>
  <c r="K31" i="3"/>
  <c r="L31" i="3"/>
  <c r="M31" i="3"/>
  <c r="N31" i="3"/>
  <c r="O31" i="3"/>
  <c r="P31" i="3"/>
  <c r="Q31" i="3"/>
  <c r="R31" i="3"/>
  <c r="S31" i="3"/>
  <c r="T31" i="3"/>
  <c r="U31" i="3"/>
  <c r="V31" i="3"/>
  <c r="W31" i="3"/>
  <c r="X31" i="3"/>
  <c r="Y31" i="3"/>
  <c r="Z31" i="3"/>
  <c r="AA31" i="3"/>
  <c r="AB31" i="3"/>
  <c r="AC31" i="3"/>
  <c r="AD31" i="3"/>
  <c r="AE31" i="3"/>
  <c r="AF31" i="3"/>
  <c r="AG31" i="3"/>
  <c r="AH31" i="3"/>
  <c r="AI31" i="3"/>
  <c r="AJ31" i="3"/>
  <c r="AK31" i="3"/>
  <c r="AL31" i="3"/>
  <c r="I34" i="3"/>
  <c r="J34" i="3"/>
  <c r="K34" i="3"/>
  <c r="L34" i="3"/>
  <c r="M34" i="3"/>
  <c r="N34" i="3"/>
  <c r="O34" i="3"/>
  <c r="P34" i="3"/>
  <c r="Q34" i="3"/>
  <c r="R34" i="3"/>
  <c r="S34" i="3"/>
  <c r="T34" i="3"/>
  <c r="U34" i="3"/>
  <c r="V34" i="3"/>
  <c r="W34" i="3"/>
  <c r="X34" i="3"/>
  <c r="Y34" i="3"/>
  <c r="Z34" i="3"/>
  <c r="AA34" i="3"/>
  <c r="AB34" i="3"/>
  <c r="AC34" i="3"/>
  <c r="AD34" i="3"/>
  <c r="AE34" i="3"/>
  <c r="AF34" i="3"/>
  <c r="AG34" i="3"/>
  <c r="AH34" i="3"/>
  <c r="AI34" i="3"/>
  <c r="AJ34" i="3"/>
  <c r="AK34" i="3"/>
  <c r="AL34" i="3"/>
  <c r="I35" i="3"/>
  <c r="J35" i="3"/>
  <c r="K35" i="3"/>
  <c r="L35" i="3"/>
  <c r="M35" i="3"/>
  <c r="N35" i="3"/>
  <c r="O35" i="3"/>
  <c r="P35" i="3"/>
  <c r="Q35" i="3"/>
  <c r="R35" i="3"/>
  <c r="S35" i="3"/>
  <c r="T35" i="3"/>
  <c r="U35" i="3"/>
  <c r="V35" i="3"/>
  <c r="W35" i="3"/>
  <c r="X35" i="3"/>
  <c r="Y35" i="3"/>
  <c r="Z35" i="3"/>
  <c r="AA35" i="3"/>
  <c r="AB35" i="3"/>
  <c r="AC35" i="3"/>
  <c r="AD35" i="3"/>
  <c r="AE35" i="3"/>
  <c r="AF35" i="3"/>
  <c r="AG35" i="3"/>
  <c r="AH35" i="3"/>
  <c r="AI35" i="3"/>
  <c r="AJ35" i="3"/>
  <c r="AK35" i="3"/>
  <c r="AL35" i="3"/>
  <c r="D3" i="3645"/>
  <c r="E3" i="3645"/>
  <c r="F3" i="3645"/>
  <c r="D4" i="3645"/>
  <c r="E4" i="3645"/>
  <c r="F4" i="3645"/>
  <c r="D9" i="3645"/>
  <c r="E9" i="3645"/>
  <c r="F9" i="3645"/>
  <c r="K9" i="3645"/>
  <c r="L9" i="3645"/>
  <c r="M9" i="3645"/>
  <c r="D10" i="3645"/>
  <c r="E10" i="3645"/>
  <c r="F10" i="3645"/>
  <c r="D12" i="3645"/>
  <c r="E12" i="3645"/>
  <c r="F12" i="3645"/>
  <c r="D14" i="3645"/>
  <c r="E14" i="3645"/>
  <c r="F14" i="3645"/>
  <c r="D15" i="3645"/>
  <c r="E15" i="3645"/>
  <c r="F15" i="3645"/>
  <c r="K15" i="3645"/>
  <c r="L15" i="3645"/>
  <c r="M15" i="3645"/>
  <c r="D16" i="3645"/>
  <c r="E16" i="3645"/>
  <c r="F16" i="3645"/>
  <c r="D17" i="3645"/>
  <c r="E17" i="3645"/>
  <c r="F17" i="3645"/>
  <c r="K18" i="3645"/>
  <c r="L18" i="3645"/>
  <c r="M18" i="3645"/>
  <c r="D19" i="3645"/>
  <c r="E19" i="3645"/>
  <c r="F19" i="3645"/>
  <c r="K19" i="3645"/>
  <c r="L19" i="3645"/>
  <c r="M19" i="3645"/>
  <c r="D20" i="3645"/>
  <c r="E20" i="3645"/>
  <c r="F20" i="3645"/>
  <c r="K20" i="3645"/>
  <c r="L20" i="3645"/>
  <c r="M20" i="3645"/>
  <c r="D21" i="3645"/>
  <c r="E21" i="3645"/>
  <c r="F21" i="3645"/>
  <c r="K21" i="3645"/>
  <c r="L21" i="3645"/>
  <c r="M21" i="3645"/>
  <c r="D22" i="3645"/>
  <c r="E22" i="3645"/>
  <c r="F22" i="3645"/>
  <c r="K22" i="3645"/>
  <c r="L22" i="3645"/>
  <c r="M22" i="3645"/>
  <c r="D23" i="3645"/>
  <c r="E23" i="3645"/>
  <c r="F23" i="3645"/>
  <c r="K23" i="3645"/>
  <c r="L23" i="3645"/>
  <c r="M23" i="3645"/>
  <c r="D24" i="3645"/>
  <c r="E24" i="3645"/>
  <c r="F24" i="3645"/>
  <c r="K24" i="3645"/>
  <c r="L24" i="3645"/>
  <c r="M24" i="3645"/>
  <c r="D27" i="3645"/>
  <c r="E27" i="3645"/>
  <c r="F27" i="3645"/>
  <c r="D28" i="3645"/>
  <c r="E28" i="3645"/>
  <c r="F28" i="3645"/>
  <c r="D29" i="3645"/>
  <c r="E29" i="3645"/>
  <c r="F29" i="3645"/>
  <c r="K30" i="3645"/>
  <c r="L30" i="3645"/>
  <c r="M30" i="3645"/>
  <c r="K31" i="3645"/>
  <c r="L31" i="3645"/>
  <c r="M31" i="3645"/>
  <c r="K34" i="3645"/>
  <c r="L34" i="3645"/>
  <c r="M34" i="3645"/>
  <c r="K35" i="3645"/>
  <c r="L35" i="3645"/>
  <c r="M35" i="3645"/>
  <c r="D36" i="3645"/>
  <c r="E36" i="3645"/>
  <c r="F36" i="3645"/>
  <c r="K36" i="3645"/>
  <c r="L36" i="3645"/>
  <c r="M36" i="3645"/>
  <c r="D37" i="3645"/>
  <c r="E37" i="3645"/>
  <c r="F37" i="3645"/>
  <c r="D38" i="3645"/>
  <c r="E38" i="3645"/>
  <c r="F38" i="3645"/>
  <c r="K38" i="3645"/>
  <c r="L38" i="3645"/>
  <c r="M38" i="3645"/>
  <c r="D39" i="3645"/>
  <c r="E39" i="3645"/>
  <c r="F39" i="3645"/>
  <c r="K39" i="3645"/>
  <c r="L39" i="3645"/>
  <c r="M39" i="3645"/>
  <c r="K40" i="3645"/>
  <c r="L40" i="3645"/>
  <c r="M40" i="3645"/>
  <c r="D41" i="3645"/>
  <c r="E41" i="3645"/>
  <c r="F41" i="3645"/>
  <c r="K41" i="3645"/>
  <c r="L41" i="3645"/>
  <c r="M41" i="3645"/>
  <c r="D42" i="3645"/>
  <c r="E42" i="3645"/>
  <c r="F42" i="3645"/>
  <c r="D43" i="3645"/>
  <c r="E43" i="3645"/>
  <c r="F43" i="3645"/>
  <c r="K43" i="3645"/>
  <c r="L43" i="3645"/>
  <c r="M43" i="3645"/>
  <c r="D44" i="3645"/>
  <c r="E44" i="3645"/>
  <c r="F44" i="3645"/>
  <c r="D46" i="3645"/>
  <c r="E46" i="3645"/>
  <c r="F46" i="3645"/>
  <c r="D47" i="3645"/>
  <c r="E47" i="3645"/>
  <c r="F47" i="3645"/>
  <c r="K47" i="3645"/>
  <c r="L47" i="3645"/>
  <c r="M47" i="3645"/>
  <c r="D48" i="3645"/>
  <c r="E48" i="3645"/>
  <c r="F48" i="3645"/>
  <c r="K48" i="3645"/>
  <c r="L48" i="3645"/>
  <c r="M48" i="3645"/>
  <c r="D49" i="3645"/>
  <c r="E49" i="3645"/>
  <c r="F49" i="3645"/>
  <c r="K49" i="3645"/>
  <c r="L49" i="3645"/>
  <c r="M49" i="3645"/>
  <c r="K51" i="3645"/>
  <c r="L51" i="3645"/>
  <c r="M51" i="3645"/>
  <c r="D52" i="3645"/>
  <c r="E52" i="3645"/>
  <c r="F52" i="3645"/>
  <c r="K52" i="3645"/>
  <c r="L52" i="3645"/>
  <c r="M52" i="3645"/>
  <c r="D53" i="3645"/>
  <c r="E53" i="3645"/>
  <c r="F53" i="3645"/>
  <c r="K53" i="3645"/>
  <c r="L53" i="3645"/>
  <c r="M53" i="3645"/>
  <c r="D60" i="3645"/>
  <c r="E60" i="3645"/>
  <c r="F60" i="3645"/>
  <c r="D61" i="3645"/>
  <c r="E61" i="3645"/>
  <c r="F61" i="3645"/>
  <c r="D63" i="3645"/>
  <c r="E63" i="3645"/>
  <c r="F63" i="3645"/>
  <c r="D64" i="3645"/>
  <c r="E64" i="3645"/>
  <c r="F64" i="3645"/>
  <c r="D65" i="3645"/>
  <c r="E65" i="3645"/>
  <c r="F65" i="3645"/>
  <c r="D66" i="3645"/>
  <c r="E66" i="3645"/>
  <c r="F66" i="3645"/>
  <c r="D67" i="3645"/>
  <c r="E67" i="3645"/>
  <c r="F67" i="3645"/>
  <c r="C3" i="3622"/>
  <c r="D3" i="3622"/>
  <c r="E3" i="3622"/>
  <c r="C4" i="3622"/>
  <c r="D4" i="3622"/>
  <c r="E4" i="3622"/>
  <c r="I8" i="3622"/>
  <c r="J8" i="3622"/>
  <c r="K8" i="3622"/>
  <c r="C9" i="3622"/>
  <c r="D9" i="3622"/>
  <c r="E9" i="3622"/>
  <c r="C10" i="3622"/>
  <c r="D10" i="3622"/>
  <c r="E10" i="3622"/>
  <c r="C12" i="3622"/>
  <c r="D12" i="3622"/>
  <c r="E12" i="3622"/>
  <c r="I12" i="3622"/>
  <c r="J12" i="3622"/>
  <c r="K12" i="3622"/>
  <c r="C14" i="3622"/>
  <c r="D14" i="3622"/>
  <c r="E14" i="3622"/>
  <c r="C15" i="3622"/>
  <c r="D15" i="3622"/>
  <c r="E15" i="3622"/>
  <c r="I15" i="3622"/>
  <c r="J15" i="3622"/>
  <c r="K15" i="3622"/>
  <c r="C16" i="3622"/>
  <c r="D16" i="3622"/>
  <c r="E16" i="3622"/>
  <c r="I16" i="3622"/>
  <c r="J16" i="3622"/>
  <c r="K16" i="3622"/>
  <c r="C17" i="3622"/>
  <c r="D17" i="3622"/>
  <c r="E17" i="3622"/>
  <c r="I17" i="3622"/>
  <c r="J17" i="3622"/>
  <c r="K17" i="3622"/>
  <c r="I18" i="3622"/>
  <c r="J18" i="3622"/>
  <c r="K18" i="3622"/>
  <c r="C19" i="3622"/>
  <c r="D19" i="3622"/>
  <c r="E19" i="3622"/>
  <c r="I19" i="3622"/>
  <c r="J19" i="3622"/>
  <c r="K19" i="3622"/>
  <c r="C20" i="3622"/>
  <c r="D20" i="3622"/>
  <c r="E20" i="3622"/>
  <c r="I20" i="3622"/>
  <c r="J20" i="3622"/>
  <c r="K20" i="3622"/>
  <c r="C21" i="3622"/>
  <c r="D21" i="3622"/>
  <c r="E21" i="3622"/>
  <c r="I21" i="3622"/>
  <c r="J21" i="3622"/>
  <c r="K21" i="3622"/>
  <c r="C22" i="3622"/>
  <c r="D22" i="3622"/>
  <c r="E22" i="3622"/>
  <c r="C23" i="3622"/>
  <c r="D23" i="3622"/>
  <c r="E23" i="3622"/>
  <c r="C26" i="3622"/>
  <c r="D26" i="3622"/>
  <c r="E26" i="3622"/>
  <c r="C27" i="3622"/>
  <c r="D27" i="3622"/>
  <c r="E27" i="3622"/>
  <c r="I27" i="3622"/>
  <c r="J27" i="3622"/>
  <c r="K27" i="3622"/>
  <c r="C28" i="3622"/>
  <c r="D28" i="3622"/>
  <c r="E28" i="3622"/>
  <c r="I28" i="3622"/>
  <c r="J28" i="3622"/>
  <c r="K28" i="3622"/>
  <c r="C29" i="3622"/>
  <c r="D29" i="3622"/>
  <c r="E29" i="3622"/>
  <c r="C30" i="3622"/>
  <c r="D30" i="3622"/>
  <c r="E30" i="3622"/>
  <c r="C31" i="3622"/>
  <c r="D31" i="3622"/>
  <c r="E31" i="3622"/>
  <c r="I31" i="3622"/>
  <c r="J31" i="3622"/>
  <c r="K31" i="3622"/>
  <c r="I32" i="3622"/>
  <c r="J32" i="3622"/>
  <c r="K32" i="3622"/>
  <c r="I33" i="3622"/>
  <c r="J33" i="3622"/>
  <c r="K33" i="3622"/>
  <c r="C35" i="3622"/>
  <c r="D35" i="3622"/>
  <c r="E35" i="3622"/>
  <c r="I35" i="3622"/>
  <c r="J35" i="3622"/>
  <c r="K35" i="3622"/>
  <c r="C36" i="3622"/>
  <c r="D36" i="3622"/>
  <c r="E36" i="3622"/>
  <c r="I36" i="3622"/>
  <c r="J36" i="3622"/>
  <c r="K36" i="3622"/>
  <c r="C37" i="3622"/>
  <c r="D37" i="3622"/>
  <c r="E37" i="3622"/>
  <c r="I37" i="3622"/>
  <c r="J37" i="3622"/>
  <c r="K37" i="3622"/>
  <c r="C38" i="3622"/>
  <c r="D38" i="3622"/>
  <c r="E38" i="3622"/>
  <c r="I38" i="3622"/>
  <c r="J38" i="3622"/>
  <c r="K38" i="3622"/>
  <c r="C40" i="3622"/>
  <c r="D40" i="3622"/>
  <c r="E40" i="3622"/>
  <c r="I40" i="3622"/>
  <c r="J40" i="3622"/>
  <c r="K40" i="3622"/>
  <c r="C41" i="3622"/>
  <c r="D41" i="3622"/>
  <c r="E41" i="3622"/>
  <c r="C42" i="3622"/>
  <c r="D42" i="3622"/>
  <c r="E42" i="3622"/>
  <c r="C43" i="3622"/>
  <c r="D43" i="3622"/>
  <c r="E43" i="3622"/>
  <c r="I44" i="3622"/>
  <c r="J44" i="3622"/>
  <c r="K44" i="3622"/>
  <c r="C45" i="3622"/>
  <c r="D45" i="3622"/>
  <c r="E45" i="3622"/>
  <c r="I45" i="3622"/>
  <c r="J45" i="3622"/>
  <c r="K45" i="3622"/>
  <c r="C46" i="3622"/>
  <c r="D46" i="3622"/>
  <c r="E46" i="3622"/>
  <c r="I46" i="3622"/>
  <c r="J46" i="3622"/>
  <c r="K46" i="3622"/>
  <c r="C48" i="3622"/>
  <c r="D48" i="3622"/>
  <c r="E48" i="3622"/>
  <c r="I48" i="3622"/>
  <c r="J48" i="3622"/>
  <c r="K48" i="3622"/>
  <c r="I49" i="3622"/>
  <c r="J49" i="3622"/>
  <c r="K49" i="3622"/>
  <c r="I50" i="3622"/>
  <c r="J50" i="3622"/>
  <c r="K50" i="3622"/>
  <c r="C51" i="3622"/>
  <c r="D51" i="3622"/>
  <c r="E51" i="3622"/>
  <c r="C52" i="3622"/>
  <c r="D52" i="3622"/>
  <c r="E52" i="3622"/>
  <c r="K52" i="3622"/>
  <c r="H53" i="3622"/>
  <c r="H54" i="3622"/>
  <c r="K54" i="3622"/>
  <c r="H55" i="3622"/>
  <c r="H56" i="3622"/>
  <c r="H57" i="3622"/>
  <c r="C59" i="3622"/>
  <c r="D59" i="3622"/>
  <c r="E59" i="3622"/>
  <c r="H59" i="3622"/>
  <c r="C60" i="3622"/>
  <c r="D60" i="3622"/>
  <c r="E60" i="3622"/>
  <c r="C62" i="3622"/>
  <c r="D62" i="3622"/>
  <c r="E62" i="3622"/>
  <c r="C63" i="3622"/>
  <c r="D63" i="3622"/>
  <c r="E63" i="3622"/>
  <c r="C64" i="3622"/>
  <c r="D64" i="3622"/>
  <c r="E64" i="3622"/>
  <c r="C65" i="3622"/>
  <c r="D65" i="3622"/>
  <c r="E65" i="3622"/>
  <c r="C66" i="3622"/>
  <c r="D66" i="3622"/>
  <c r="E66" i="3622"/>
  <c r="C110" i="3600"/>
  <c r="E110" i="3600"/>
  <c r="G110" i="3600"/>
  <c r="N110" i="3600"/>
  <c r="C111" i="3600"/>
  <c r="E111" i="3600"/>
  <c r="G111" i="3600"/>
  <c r="N111" i="3600"/>
  <c r="C113" i="3600"/>
  <c r="E113" i="3600"/>
  <c r="G113" i="3600"/>
  <c r="N113" i="3600"/>
  <c r="C114" i="3600"/>
  <c r="E114" i="3600"/>
  <c r="G114" i="3600"/>
  <c r="N114" i="3600"/>
  <c r="C136" i="3600"/>
  <c r="E136" i="3600"/>
  <c r="G136" i="3600"/>
  <c r="N136" i="3600"/>
  <c r="C138" i="3600"/>
  <c r="E138" i="3600"/>
  <c r="G138" i="3600"/>
  <c r="N138" i="3600"/>
  <c r="C139" i="3600"/>
  <c r="E139" i="3600"/>
  <c r="G139" i="3600"/>
  <c r="N139" i="3600"/>
  <c r="I3" i="2556"/>
  <c r="J3" i="2556"/>
  <c r="K3" i="2556"/>
  <c r="L3" i="2556"/>
  <c r="M3" i="2556"/>
  <c r="N3" i="2556"/>
  <c r="O3" i="2556"/>
  <c r="P3" i="2556"/>
  <c r="Q3" i="2556"/>
  <c r="R3" i="2556"/>
  <c r="S3" i="2556"/>
  <c r="T3" i="2556"/>
  <c r="U3" i="2556"/>
  <c r="V3" i="2556"/>
  <c r="W3" i="2556"/>
  <c r="X3" i="2556"/>
  <c r="Y3" i="2556"/>
  <c r="Z3" i="2556"/>
  <c r="AA3" i="2556"/>
  <c r="AB3" i="2556"/>
  <c r="AC3" i="2556"/>
  <c r="AD3" i="2556"/>
  <c r="AE3" i="2556"/>
  <c r="AF3" i="2556"/>
  <c r="AG3" i="2556"/>
  <c r="AH3" i="2556"/>
  <c r="AI3" i="2556"/>
  <c r="AJ3" i="2556"/>
  <c r="AK3" i="2556"/>
  <c r="AL3" i="2556"/>
  <c r="I4" i="2556"/>
  <c r="J4" i="2556"/>
  <c r="K4" i="2556"/>
  <c r="L4" i="2556"/>
  <c r="M4" i="2556"/>
  <c r="N4" i="2556"/>
  <c r="O4" i="2556"/>
  <c r="P4" i="2556"/>
  <c r="Q4" i="2556"/>
  <c r="R4" i="2556"/>
  <c r="S4" i="2556"/>
  <c r="T4" i="2556"/>
  <c r="U4" i="2556"/>
  <c r="V4" i="2556"/>
  <c r="W4" i="2556"/>
  <c r="X4" i="2556"/>
  <c r="Y4" i="2556"/>
  <c r="Z4" i="2556"/>
  <c r="AA4" i="2556"/>
  <c r="AB4" i="2556"/>
  <c r="AC4" i="2556"/>
  <c r="AD4" i="2556"/>
  <c r="AE4" i="2556"/>
  <c r="AF4" i="2556"/>
  <c r="AG4" i="2556"/>
  <c r="AH4" i="2556"/>
  <c r="AI4" i="2556"/>
  <c r="AJ4" i="2556"/>
  <c r="AK4" i="2556"/>
  <c r="AL4" i="2556"/>
  <c r="I8" i="2556"/>
  <c r="J8" i="2556"/>
  <c r="K8" i="2556"/>
  <c r="L8" i="2556"/>
  <c r="M8" i="2556"/>
  <c r="N8" i="2556"/>
  <c r="O8" i="2556"/>
  <c r="P8" i="2556"/>
  <c r="Q8" i="2556"/>
  <c r="R8" i="2556"/>
  <c r="S8" i="2556"/>
  <c r="T8" i="2556"/>
  <c r="U8" i="2556"/>
  <c r="V8" i="2556"/>
  <c r="W8" i="2556"/>
  <c r="X8" i="2556"/>
  <c r="Y8" i="2556"/>
  <c r="Z8" i="2556"/>
  <c r="AA8" i="2556"/>
  <c r="AB8" i="2556"/>
  <c r="AC8" i="2556"/>
  <c r="AD8" i="2556"/>
  <c r="AE8" i="2556"/>
  <c r="AF8" i="2556"/>
  <c r="AG8" i="2556"/>
  <c r="AH8" i="2556"/>
  <c r="AI8" i="2556"/>
  <c r="AJ8" i="2556"/>
  <c r="AK8" i="2556"/>
  <c r="AL8" i="2556"/>
  <c r="I10" i="2556"/>
  <c r="J10" i="2556"/>
  <c r="K10" i="2556"/>
  <c r="L10" i="2556"/>
  <c r="M10" i="2556"/>
  <c r="N10" i="2556"/>
  <c r="O10" i="2556"/>
  <c r="P10" i="2556"/>
  <c r="Q10" i="2556"/>
  <c r="R10" i="2556"/>
  <c r="S10" i="2556"/>
  <c r="T10" i="2556"/>
  <c r="U10" i="2556"/>
  <c r="V10" i="2556"/>
  <c r="W10" i="2556"/>
  <c r="X10" i="2556"/>
  <c r="Y10" i="2556"/>
  <c r="Z10" i="2556"/>
  <c r="AA10" i="2556"/>
  <c r="AB10" i="2556"/>
  <c r="AC10" i="2556"/>
  <c r="AD10" i="2556"/>
  <c r="AE10" i="2556"/>
  <c r="AF10" i="2556"/>
  <c r="AG10" i="2556"/>
  <c r="AH10" i="2556"/>
  <c r="AI10" i="2556"/>
  <c r="AJ10" i="2556"/>
  <c r="AK10" i="2556"/>
  <c r="AL10" i="2556"/>
  <c r="I13" i="2556"/>
  <c r="J13" i="2556"/>
  <c r="K13" i="2556"/>
  <c r="L13" i="2556"/>
  <c r="M13" i="2556"/>
  <c r="N13" i="2556"/>
  <c r="O13" i="2556"/>
  <c r="P13" i="2556"/>
  <c r="Q13" i="2556"/>
  <c r="R13" i="2556"/>
  <c r="S13" i="2556"/>
  <c r="T13" i="2556"/>
  <c r="U13" i="2556"/>
  <c r="V13" i="2556"/>
  <c r="W13" i="2556"/>
  <c r="X13" i="2556"/>
  <c r="Y13" i="2556"/>
  <c r="Z13" i="2556"/>
  <c r="AA13" i="2556"/>
  <c r="AB13" i="2556"/>
  <c r="AC13" i="2556"/>
  <c r="AD13" i="2556"/>
  <c r="AE13" i="2556"/>
  <c r="AF13" i="2556"/>
  <c r="AG13" i="2556"/>
  <c r="AH13" i="2556"/>
  <c r="AI13" i="2556"/>
  <c r="AJ13" i="2556"/>
  <c r="AK13" i="2556"/>
  <c r="AL13" i="2556"/>
  <c r="I16" i="2556"/>
  <c r="J16" i="2556"/>
  <c r="K16" i="2556"/>
  <c r="L16" i="2556"/>
  <c r="M16" i="2556"/>
  <c r="N16" i="2556"/>
  <c r="O16" i="2556"/>
  <c r="P16" i="2556"/>
  <c r="Q16" i="2556"/>
  <c r="R16" i="2556"/>
  <c r="S16" i="2556"/>
  <c r="T16" i="2556"/>
  <c r="U16" i="2556"/>
  <c r="V16" i="2556"/>
  <c r="W16" i="2556"/>
  <c r="X16" i="2556"/>
  <c r="Y16" i="2556"/>
  <c r="Z16" i="2556"/>
  <c r="AA16" i="2556"/>
  <c r="AB16" i="2556"/>
  <c r="AC16" i="2556"/>
  <c r="AD16" i="2556"/>
  <c r="AE16" i="2556"/>
  <c r="AF16" i="2556"/>
  <c r="AG16" i="2556"/>
  <c r="AH16" i="2556"/>
  <c r="AI16" i="2556"/>
  <c r="AJ16" i="2556"/>
  <c r="AK16" i="2556"/>
  <c r="AL16" i="2556"/>
  <c r="I30" i="2556"/>
  <c r="J30" i="2556"/>
  <c r="K30" i="2556"/>
  <c r="L30" i="2556"/>
  <c r="M30" i="2556"/>
  <c r="N30" i="2556"/>
  <c r="O30" i="2556"/>
  <c r="P30" i="2556"/>
  <c r="Q30" i="2556"/>
  <c r="R30" i="2556"/>
  <c r="S30" i="2556"/>
  <c r="T30" i="2556"/>
  <c r="U30" i="2556"/>
  <c r="V30" i="2556"/>
  <c r="W30" i="2556"/>
  <c r="X30" i="2556"/>
  <c r="Y30" i="2556"/>
  <c r="Z30" i="2556"/>
  <c r="AA30" i="2556"/>
  <c r="AB30" i="2556"/>
  <c r="AC30" i="2556"/>
  <c r="AD30" i="2556"/>
  <c r="AE30" i="2556"/>
  <c r="AF30" i="2556"/>
  <c r="AG30" i="2556"/>
  <c r="AH30" i="2556"/>
  <c r="AI30" i="2556"/>
  <c r="AJ30" i="2556"/>
  <c r="AK30" i="2556"/>
  <c r="AL30" i="2556"/>
  <c r="I31" i="2556"/>
  <c r="J31" i="2556"/>
  <c r="K31" i="2556"/>
  <c r="L31" i="2556"/>
  <c r="M31" i="2556"/>
  <c r="N31" i="2556"/>
  <c r="O31" i="2556"/>
  <c r="P31" i="2556"/>
  <c r="Q31" i="2556"/>
  <c r="R31" i="2556"/>
  <c r="S31" i="2556"/>
  <c r="T31" i="2556"/>
  <c r="U31" i="2556"/>
  <c r="V31" i="2556"/>
  <c r="W31" i="2556"/>
  <c r="X31" i="2556"/>
  <c r="Y31" i="2556"/>
  <c r="Z31" i="2556"/>
  <c r="AA31" i="2556"/>
  <c r="AB31" i="2556"/>
  <c r="AC31" i="2556"/>
  <c r="AD31" i="2556"/>
  <c r="AE31" i="2556"/>
  <c r="AF31" i="2556"/>
  <c r="AG31" i="2556"/>
  <c r="AH31" i="2556"/>
  <c r="AI31" i="2556"/>
  <c r="AJ31" i="2556"/>
  <c r="AK31" i="2556"/>
  <c r="AL31" i="2556"/>
  <c r="I38" i="2556"/>
  <c r="J38" i="2556"/>
  <c r="K38" i="2556"/>
  <c r="L38" i="2556"/>
  <c r="M38" i="2556"/>
  <c r="N38" i="2556"/>
  <c r="O38" i="2556"/>
  <c r="P38" i="2556"/>
  <c r="Q38" i="2556"/>
  <c r="R38" i="2556"/>
  <c r="S38" i="2556"/>
  <c r="T38" i="2556"/>
  <c r="U38" i="2556"/>
  <c r="V38" i="2556"/>
  <c r="W38" i="2556"/>
  <c r="X38" i="2556"/>
  <c r="Y38" i="2556"/>
  <c r="Z38" i="2556"/>
  <c r="AA38" i="2556"/>
  <c r="AB38" i="2556"/>
  <c r="AC38" i="2556"/>
  <c r="AD38" i="2556"/>
  <c r="AE38" i="2556"/>
  <c r="AF38" i="2556"/>
  <c r="AG38" i="2556"/>
  <c r="AH38" i="2556"/>
  <c r="AI38" i="2556"/>
  <c r="AJ38" i="2556"/>
  <c r="AK38" i="2556"/>
  <c r="AL38" i="2556"/>
  <c r="I41" i="2556"/>
  <c r="J41" i="2556"/>
  <c r="K41" i="2556"/>
  <c r="L41" i="2556"/>
  <c r="M41" i="2556"/>
  <c r="N41" i="2556"/>
  <c r="O41" i="2556"/>
  <c r="P41" i="2556"/>
  <c r="Q41" i="2556"/>
  <c r="R41" i="2556"/>
  <c r="S41" i="2556"/>
  <c r="T41" i="2556"/>
  <c r="U41" i="2556"/>
  <c r="V41" i="2556"/>
  <c r="W41" i="2556"/>
  <c r="X41" i="2556"/>
  <c r="Y41" i="2556"/>
  <c r="Z41" i="2556"/>
  <c r="AA41" i="2556"/>
  <c r="AB41" i="2556"/>
  <c r="AC41" i="2556"/>
  <c r="AD41" i="2556"/>
  <c r="AE41" i="2556"/>
  <c r="AF41" i="2556"/>
  <c r="AG41" i="2556"/>
  <c r="AH41" i="2556"/>
  <c r="AI41" i="2556"/>
  <c r="AJ41" i="2556"/>
  <c r="AK41" i="2556"/>
  <c r="AL41" i="2556"/>
  <c r="I44" i="2556"/>
  <c r="J44" i="2556"/>
  <c r="K44" i="2556"/>
  <c r="L44" i="2556"/>
  <c r="M44" i="2556"/>
  <c r="N44" i="2556"/>
  <c r="O44" i="2556"/>
  <c r="P44" i="2556"/>
  <c r="Q44" i="2556"/>
  <c r="R44" i="2556"/>
  <c r="S44" i="2556"/>
  <c r="T44" i="2556"/>
  <c r="U44" i="2556"/>
  <c r="V44" i="2556"/>
  <c r="W44" i="2556"/>
  <c r="X44" i="2556"/>
  <c r="Y44" i="2556"/>
  <c r="Z44" i="2556"/>
  <c r="AA44" i="2556"/>
  <c r="AB44" i="2556"/>
  <c r="AC44" i="2556"/>
  <c r="AD44" i="2556"/>
  <c r="AE44" i="2556"/>
  <c r="AF44" i="2556"/>
  <c r="AG44" i="2556"/>
  <c r="AH44" i="2556"/>
  <c r="AI44" i="2556"/>
  <c r="AJ44" i="2556"/>
  <c r="AK44" i="2556"/>
  <c r="AL44" i="2556"/>
  <c r="I45" i="2556"/>
  <c r="J45" i="2556"/>
  <c r="K45" i="2556"/>
  <c r="L45" i="2556"/>
  <c r="M45" i="2556"/>
  <c r="N45" i="2556"/>
  <c r="O45" i="2556"/>
  <c r="P45" i="2556"/>
  <c r="Q45" i="2556"/>
  <c r="R45" i="2556"/>
  <c r="S45" i="2556"/>
  <c r="T45" i="2556"/>
  <c r="U45" i="2556"/>
  <c r="V45" i="2556"/>
  <c r="W45" i="2556"/>
  <c r="X45" i="2556"/>
  <c r="Y45" i="2556"/>
  <c r="Z45" i="2556"/>
  <c r="AA45" i="2556"/>
  <c r="AB45" i="2556"/>
  <c r="AC45" i="2556"/>
  <c r="AD45" i="2556"/>
  <c r="AE45" i="2556"/>
  <c r="AF45" i="2556"/>
  <c r="AG45" i="2556"/>
  <c r="AH45" i="2556"/>
  <c r="AI45" i="2556"/>
  <c r="AJ45" i="2556"/>
  <c r="AK45" i="2556"/>
  <c r="AL45" i="2556"/>
  <c r="I56" i="2556"/>
  <c r="J56" i="2556"/>
  <c r="K56" i="2556"/>
  <c r="L56" i="2556"/>
  <c r="M56" i="2556"/>
  <c r="N56" i="2556"/>
  <c r="O56" i="2556"/>
  <c r="P56" i="2556"/>
  <c r="Q56" i="2556"/>
  <c r="R56" i="2556"/>
  <c r="S56" i="2556"/>
  <c r="T56" i="2556"/>
  <c r="U56" i="2556"/>
  <c r="V56" i="2556"/>
  <c r="W56" i="2556"/>
  <c r="X56" i="2556"/>
  <c r="Y56" i="2556"/>
  <c r="Z56" i="2556"/>
  <c r="AA56" i="2556"/>
  <c r="AB56" i="2556"/>
  <c r="AC56" i="2556"/>
  <c r="AD56" i="2556"/>
  <c r="AE56" i="2556"/>
  <c r="AF56" i="2556"/>
  <c r="AG56" i="2556"/>
  <c r="AH56" i="2556"/>
  <c r="AI56" i="2556"/>
  <c r="AJ56" i="2556"/>
  <c r="AK56" i="2556"/>
  <c r="AL56" i="2556"/>
  <c r="I57" i="2556"/>
  <c r="J57" i="2556"/>
  <c r="K57" i="2556"/>
  <c r="L57" i="2556"/>
  <c r="M57" i="2556"/>
  <c r="N57" i="2556"/>
  <c r="O57" i="2556"/>
  <c r="P57" i="2556"/>
  <c r="Q57" i="2556"/>
  <c r="R57" i="2556"/>
  <c r="S57" i="2556"/>
  <c r="T57" i="2556"/>
  <c r="U57" i="2556"/>
  <c r="V57" i="2556"/>
  <c r="W57" i="2556"/>
  <c r="X57" i="2556"/>
  <c r="Y57" i="2556"/>
  <c r="Z57" i="2556"/>
  <c r="AA57" i="2556"/>
  <c r="AB57" i="2556"/>
  <c r="AC57" i="2556"/>
  <c r="AD57" i="2556"/>
  <c r="AE57" i="2556"/>
  <c r="AF57" i="2556"/>
  <c r="AG57" i="2556"/>
  <c r="AH57" i="2556"/>
  <c r="AI57" i="2556"/>
  <c r="AJ57" i="2556"/>
  <c r="AK57" i="2556"/>
  <c r="AL57" i="2556"/>
  <c r="I60" i="2556"/>
  <c r="J60" i="2556"/>
  <c r="K60" i="2556"/>
  <c r="L60" i="2556"/>
  <c r="M60" i="2556"/>
  <c r="N60" i="2556"/>
  <c r="O60" i="2556"/>
  <c r="P60" i="2556"/>
  <c r="Q60" i="2556"/>
  <c r="R60" i="2556"/>
  <c r="S60" i="2556"/>
  <c r="T60" i="2556"/>
  <c r="U60" i="2556"/>
  <c r="V60" i="2556"/>
  <c r="W60" i="2556"/>
  <c r="X60" i="2556"/>
  <c r="Y60" i="2556"/>
  <c r="Z60" i="2556"/>
  <c r="AA60" i="2556"/>
  <c r="AB60" i="2556"/>
  <c r="AC60" i="2556"/>
  <c r="AD60" i="2556"/>
  <c r="AE60" i="2556"/>
  <c r="AF60" i="2556"/>
  <c r="AG60" i="2556"/>
  <c r="AH60" i="2556"/>
  <c r="AI60" i="2556"/>
  <c r="AJ60" i="2556"/>
  <c r="AK60" i="2556"/>
  <c r="AL60" i="2556"/>
  <c r="J61" i="2556"/>
  <c r="K61" i="2556"/>
  <c r="L61" i="2556"/>
  <c r="M61" i="2556"/>
  <c r="N61" i="2556"/>
  <c r="O61" i="2556"/>
  <c r="P61" i="2556"/>
  <c r="Q61" i="2556"/>
  <c r="R61" i="2556"/>
  <c r="S61" i="2556"/>
  <c r="T61" i="2556"/>
  <c r="U61" i="2556"/>
  <c r="V61" i="2556"/>
  <c r="W61" i="2556"/>
  <c r="X61" i="2556"/>
  <c r="Y61" i="2556"/>
  <c r="Z61" i="2556"/>
  <c r="AA61" i="2556"/>
  <c r="AB61" i="2556"/>
  <c r="AC61" i="2556"/>
  <c r="AD61" i="2556"/>
  <c r="AE61" i="2556"/>
  <c r="AF61" i="2556"/>
  <c r="AG61" i="2556"/>
  <c r="AH61" i="2556"/>
  <c r="AI61" i="2556"/>
  <c r="AJ61" i="2556"/>
  <c r="AK61" i="2556"/>
  <c r="AL61" i="2556"/>
  <c r="I62" i="2556"/>
  <c r="J62" i="2556"/>
  <c r="K62" i="2556"/>
  <c r="L62" i="2556"/>
  <c r="M62" i="2556"/>
  <c r="N62" i="2556"/>
  <c r="O62" i="2556"/>
  <c r="P62" i="2556"/>
  <c r="Q62" i="2556"/>
  <c r="R62" i="2556"/>
  <c r="S62" i="2556"/>
  <c r="T62" i="2556"/>
  <c r="U62" i="2556"/>
  <c r="V62" i="2556"/>
  <c r="W62" i="2556"/>
  <c r="X62" i="2556"/>
  <c r="Y62" i="2556"/>
  <c r="Z62" i="2556"/>
  <c r="AA62" i="2556"/>
  <c r="AB62" i="2556"/>
  <c r="AC62" i="2556"/>
  <c r="AD62" i="2556"/>
  <c r="AE62" i="2556"/>
  <c r="AF62" i="2556"/>
  <c r="AG62" i="2556"/>
  <c r="AH62" i="2556"/>
  <c r="AI62" i="2556"/>
  <c r="AJ62" i="2556"/>
  <c r="AK62" i="2556"/>
  <c r="AL62" i="2556"/>
  <c r="I63" i="2556"/>
  <c r="J63" i="2556"/>
  <c r="K63" i="2556"/>
  <c r="L63" i="2556"/>
  <c r="M63" i="2556"/>
  <c r="N63" i="2556"/>
  <c r="O63" i="2556"/>
  <c r="P63" i="2556"/>
  <c r="Q63" i="2556"/>
  <c r="R63" i="2556"/>
  <c r="S63" i="2556"/>
  <c r="T63" i="2556"/>
  <c r="U63" i="2556"/>
  <c r="V63" i="2556"/>
  <c r="W63" i="2556"/>
  <c r="X63" i="2556"/>
  <c r="Y63" i="2556"/>
  <c r="Z63" i="2556"/>
  <c r="AA63" i="2556"/>
  <c r="AB63" i="2556"/>
  <c r="AC63" i="2556"/>
  <c r="AD63" i="2556"/>
  <c r="AE63" i="2556"/>
  <c r="AF63" i="2556"/>
  <c r="AG63" i="2556"/>
  <c r="AH63" i="2556"/>
  <c r="AI63" i="2556"/>
  <c r="AJ63" i="2556"/>
  <c r="AK63" i="2556"/>
  <c r="AL63" i="2556"/>
  <c r="I64" i="2556"/>
  <c r="J64" i="2556"/>
  <c r="K64" i="2556"/>
  <c r="L64" i="2556"/>
  <c r="M64" i="2556"/>
  <c r="N64" i="2556"/>
  <c r="O64" i="2556"/>
  <c r="P64" i="2556"/>
  <c r="Q64" i="2556"/>
  <c r="R64" i="2556"/>
  <c r="S64" i="2556"/>
  <c r="T64" i="2556"/>
  <c r="U64" i="2556"/>
  <c r="V64" i="2556"/>
  <c r="W64" i="2556"/>
  <c r="X64" i="2556"/>
  <c r="Y64" i="2556"/>
  <c r="Z64" i="2556"/>
  <c r="AA64" i="2556"/>
  <c r="AB64" i="2556"/>
  <c r="AC64" i="2556"/>
  <c r="AD64" i="2556"/>
  <c r="AE64" i="2556"/>
  <c r="AF64" i="2556"/>
  <c r="AG64" i="2556"/>
  <c r="AH64" i="2556"/>
  <c r="AI64" i="2556"/>
  <c r="AJ64" i="2556"/>
  <c r="AK64" i="2556"/>
  <c r="AL64" i="2556"/>
  <c r="I65" i="2556"/>
  <c r="J65" i="2556"/>
  <c r="K65" i="2556"/>
  <c r="L65" i="2556"/>
  <c r="M65" i="2556"/>
  <c r="N65" i="2556"/>
  <c r="O65" i="2556"/>
  <c r="P65" i="2556"/>
  <c r="Q65" i="2556"/>
  <c r="R65" i="2556"/>
  <c r="S65" i="2556"/>
  <c r="T65" i="2556"/>
  <c r="U65" i="2556"/>
  <c r="V65" i="2556"/>
  <c r="W65" i="2556"/>
  <c r="X65" i="2556"/>
  <c r="Y65" i="2556"/>
  <c r="Z65" i="2556"/>
  <c r="AA65" i="2556"/>
  <c r="AB65" i="2556"/>
  <c r="AC65" i="2556"/>
  <c r="AD65" i="2556"/>
  <c r="AE65" i="2556"/>
  <c r="AF65" i="2556"/>
  <c r="AG65" i="2556"/>
  <c r="AH65" i="2556"/>
  <c r="AI65" i="2556"/>
  <c r="AJ65" i="2556"/>
  <c r="AK65" i="2556"/>
  <c r="AL65" i="2556"/>
  <c r="C4" i="3617"/>
  <c r="D4" i="3617"/>
  <c r="E4" i="3617"/>
  <c r="F4" i="3617"/>
  <c r="C6" i="3617"/>
  <c r="D6" i="3617"/>
  <c r="E6" i="3617"/>
  <c r="F6" i="3617"/>
  <c r="B9" i="3617"/>
  <c r="C9" i="3617"/>
  <c r="D9" i="3617"/>
  <c r="E9" i="3617"/>
  <c r="F9" i="3617"/>
  <c r="G9" i="3617"/>
  <c r="H9" i="3617"/>
  <c r="I9" i="3617"/>
  <c r="J9" i="3617"/>
  <c r="K9" i="3617"/>
  <c r="L9" i="3617"/>
  <c r="M9" i="3617"/>
  <c r="B10" i="3617"/>
  <c r="C10" i="3617"/>
  <c r="D10" i="3617"/>
  <c r="E10" i="3617"/>
  <c r="F10" i="3617"/>
  <c r="G10" i="3617"/>
  <c r="H10" i="3617"/>
  <c r="I10" i="3617"/>
  <c r="J10" i="3617"/>
  <c r="K10" i="3617"/>
  <c r="L10" i="3617"/>
  <c r="M10" i="3617"/>
  <c r="B11" i="3617"/>
  <c r="C11" i="3617"/>
  <c r="D11" i="3617"/>
  <c r="E11" i="3617"/>
  <c r="F11" i="3617"/>
  <c r="G11" i="3617"/>
  <c r="H11" i="3617"/>
  <c r="I11" i="3617"/>
  <c r="J11" i="3617"/>
  <c r="K11" i="3617"/>
  <c r="L11" i="3617"/>
  <c r="M11" i="3617"/>
  <c r="B12" i="3617"/>
  <c r="C12" i="3617"/>
  <c r="D12" i="3617"/>
  <c r="E12" i="3617"/>
  <c r="F12" i="3617"/>
  <c r="G12" i="3617"/>
  <c r="H12" i="3617"/>
  <c r="I12" i="3617"/>
  <c r="J12" i="3617"/>
  <c r="K12" i="3617"/>
  <c r="L12" i="3617"/>
  <c r="M12" i="3617"/>
  <c r="B13" i="3617"/>
  <c r="C13" i="3617"/>
  <c r="D13" i="3617"/>
  <c r="E13" i="3617"/>
  <c r="F13" i="3617"/>
  <c r="G13" i="3617"/>
  <c r="H13" i="3617"/>
  <c r="I13" i="3617"/>
  <c r="J13" i="3617"/>
  <c r="K13" i="3617"/>
  <c r="L13" i="3617"/>
  <c r="M13" i="3617"/>
  <c r="B14" i="3617"/>
  <c r="C14" i="3617"/>
  <c r="D14" i="3617"/>
  <c r="E14" i="3617"/>
  <c r="F14" i="3617"/>
  <c r="G14" i="3617"/>
  <c r="H14" i="3617"/>
  <c r="I14" i="3617"/>
  <c r="J14" i="3617"/>
  <c r="K14" i="3617"/>
  <c r="L14" i="3617"/>
  <c r="M14" i="3617"/>
  <c r="B15" i="3617"/>
  <c r="C15" i="3617"/>
  <c r="D15" i="3617"/>
  <c r="E15" i="3617"/>
  <c r="F15" i="3617"/>
  <c r="G15" i="3617"/>
  <c r="H15" i="3617"/>
  <c r="I15" i="3617"/>
  <c r="J15" i="3617"/>
  <c r="K15" i="3617"/>
  <c r="L15" i="3617"/>
  <c r="M15" i="3617"/>
  <c r="B16" i="3617"/>
  <c r="C16" i="3617"/>
  <c r="D16" i="3617"/>
  <c r="E16" i="3617"/>
  <c r="F16" i="3617"/>
  <c r="G16" i="3617"/>
  <c r="H16" i="3617"/>
  <c r="I16" i="3617"/>
  <c r="J16" i="3617"/>
  <c r="K16" i="3617"/>
  <c r="L16" i="3617"/>
  <c r="M16" i="3617"/>
  <c r="B17" i="3617"/>
  <c r="C17" i="3617"/>
  <c r="D17" i="3617"/>
  <c r="E17" i="3617"/>
  <c r="F17" i="3617"/>
  <c r="G17" i="3617"/>
  <c r="H17" i="3617"/>
  <c r="I17" i="3617"/>
  <c r="J17" i="3617"/>
  <c r="K17" i="3617"/>
  <c r="L17" i="3617"/>
  <c r="M17" i="3617"/>
  <c r="B18" i="3617"/>
  <c r="C18" i="3617"/>
  <c r="D18" i="3617"/>
  <c r="E18" i="3617"/>
  <c r="F18" i="3617"/>
  <c r="G18" i="3617"/>
  <c r="H18" i="3617"/>
  <c r="I18" i="3617"/>
  <c r="J18" i="3617"/>
  <c r="K18" i="3617"/>
  <c r="L18" i="3617"/>
  <c r="M18" i="3617"/>
  <c r="B19" i="3617"/>
  <c r="C19" i="3617"/>
  <c r="D19" i="3617"/>
  <c r="E19" i="3617"/>
  <c r="F19" i="3617"/>
  <c r="G19" i="3617"/>
  <c r="H19" i="3617"/>
  <c r="I19" i="3617"/>
  <c r="J19" i="3617"/>
  <c r="K19" i="3617"/>
  <c r="L19" i="3617"/>
  <c r="M19" i="3617"/>
  <c r="C42" i="3617"/>
  <c r="D42" i="3617"/>
  <c r="E42" i="3617"/>
  <c r="F42" i="3617"/>
  <c r="C44" i="3617"/>
  <c r="D44" i="3617"/>
  <c r="E44" i="3617"/>
  <c r="F44" i="3617"/>
  <c r="B47" i="3617"/>
  <c r="C47" i="3617"/>
  <c r="D47" i="3617"/>
  <c r="E47" i="3617"/>
  <c r="F47" i="3617"/>
  <c r="G47" i="3617"/>
  <c r="H47" i="3617"/>
  <c r="I47" i="3617"/>
  <c r="J47" i="3617"/>
  <c r="K47" i="3617"/>
  <c r="L47" i="3617"/>
  <c r="M47" i="3617"/>
  <c r="B48" i="3617"/>
  <c r="C48" i="3617"/>
  <c r="D48" i="3617"/>
  <c r="E48" i="3617"/>
  <c r="F48" i="3617"/>
  <c r="G48" i="3617"/>
  <c r="H48" i="3617"/>
  <c r="I48" i="3617"/>
  <c r="J48" i="3617"/>
  <c r="K48" i="3617"/>
  <c r="L48" i="3617"/>
  <c r="M48" i="3617"/>
  <c r="B49" i="3617"/>
  <c r="C49" i="3617"/>
  <c r="D49" i="3617"/>
  <c r="E49" i="3617"/>
  <c r="F49" i="3617"/>
  <c r="G49" i="3617"/>
  <c r="H49" i="3617"/>
  <c r="I49" i="3617"/>
  <c r="J49" i="3617"/>
  <c r="K49" i="3617"/>
  <c r="L49" i="3617"/>
  <c r="M49" i="3617"/>
  <c r="B50" i="3617"/>
  <c r="C50" i="3617"/>
  <c r="D50" i="3617"/>
  <c r="E50" i="3617"/>
  <c r="F50" i="3617"/>
  <c r="G50" i="3617"/>
  <c r="H50" i="3617"/>
  <c r="I50" i="3617"/>
  <c r="J50" i="3617"/>
  <c r="K50" i="3617"/>
  <c r="L50" i="3617"/>
  <c r="M50" i="3617"/>
  <c r="B51" i="3617"/>
  <c r="C51" i="3617"/>
  <c r="D51" i="3617"/>
  <c r="E51" i="3617"/>
  <c r="F51" i="3617"/>
  <c r="G51" i="3617"/>
  <c r="H51" i="3617"/>
  <c r="I51" i="3617"/>
  <c r="J51" i="3617"/>
  <c r="K51" i="3617"/>
  <c r="L51" i="3617"/>
  <c r="M51" i="3617"/>
  <c r="B52" i="3617"/>
  <c r="C52" i="3617"/>
  <c r="D52" i="3617"/>
  <c r="E52" i="3617"/>
  <c r="F52" i="3617"/>
  <c r="G52" i="3617"/>
  <c r="H52" i="3617"/>
  <c r="I52" i="3617"/>
  <c r="J52" i="3617"/>
  <c r="K52" i="3617"/>
  <c r="L52" i="3617"/>
  <c r="M52" i="3617"/>
  <c r="B53" i="3617"/>
  <c r="C53" i="3617"/>
  <c r="D53" i="3617"/>
  <c r="E53" i="3617"/>
  <c r="F53" i="3617"/>
  <c r="G53" i="3617"/>
  <c r="H53" i="3617"/>
  <c r="I53" i="3617"/>
  <c r="J53" i="3617"/>
  <c r="K53" i="3617"/>
  <c r="L53" i="3617"/>
  <c r="M53" i="3617"/>
  <c r="B54" i="3617"/>
  <c r="C54" i="3617"/>
  <c r="D54" i="3617"/>
  <c r="E54" i="3617"/>
  <c r="F54" i="3617"/>
  <c r="G54" i="3617"/>
  <c r="H54" i="3617"/>
  <c r="I54" i="3617"/>
  <c r="J54" i="3617"/>
  <c r="K54" i="3617"/>
  <c r="L54" i="3617"/>
  <c r="M54" i="3617"/>
  <c r="B55" i="3617"/>
  <c r="C55" i="3617"/>
  <c r="D55" i="3617"/>
  <c r="E55" i="3617"/>
  <c r="F55" i="3617"/>
  <c r="G55" i="3617"/>
  <c r="H55" i="3617"/>
  <c r="I55" i="3617"/>
  <c r="J55" i="3617"/>
  <c r="K55" i="3617"/>
  <c r="L55" i="3617"/>
  <c r="M55" i="3617"/>
  <c r="B56" i="3617"/>
  <c r="C56" i="3617"/>
  <c r="D56" i="3617"/>
  <c r="E56" i="3617"/>
  <c r="F56" i="3617"/>
  <c r="G56" i="3617"/>
  <c r="H56" i="3617"/>
  <c r="I56" i="3617"/>
  <c r="J56" i="3617"/>
  <c r="K56" i="3617"/>
  <c r="L56" i="3617"/>
  <c r="M56" i="3617"/>
  <c r="B57" i="3617"/>
  <c r="C57" i="3617"/>
  <c r="D57" i="3617"/>
  <c r="E57" i="3617"/>
  <c r="F57" i="3617"/>
  <c r="G57" i="3617"/>
  <c r="H57" i="3617"/>
  <c r="I57" i="3617"/>
  <c r="J57" i="3617"/>
  <c r="K57" i="3617"/>
  <c r="L57" i="3617"/>
  <c r="M57" i="3617"/>
  <c r="C61" i="3617"/>
  <c r="D61" i="3617"/>
  <c r="E61" i="3617"/>
  <c r="F61" i="3617"/>
  <c r="C62" i="3617"/>
  <c r="D62" i="3617"/>
  <c r="E62" i="3617"/>
  <c r="F62" i="3617"/>
  <c r="C63" i="3617"/>
  <c r="D63" i="3617"/>
  <c r="E63" i="3617"/>
  <c r="F63" i="3617"/>
  <c r="C64" i="3617"/>
  <c r="D64" i="3617"/>
  <c r="E64" i="3617"/>
  <c r="F64" i="3617"/>
  <c r="C66" i="3617"/>
  <c r="D66" i="3617"/>
  <c r="E66" i="3617"/>
  <c r="F66" i="3617"/>
  <c r="G66" i="3617"/>
  <c r="H66" i="3617"/>
  <c r="I66" i="3617"/>
  <c r="J66" i="3617"/>
  <c r="K66" i="3617"/>
  <c r="L66" i="3617"/>
  <c r="M66" i="3617"/>
  <c r="B67" i="3617"/>
  <c r="C67" i="3617"/>
  <c r="D67" i="3617"/>
  <c r="E67" i="3617"/>
  <c r="F67" i="3617"/>
  <c r="G67" i="3617"/>
  <c r="H67" i="3617"/>
  <c r="I67" i="3617"/>
  <c r="J67" i="3617"/>
  <c r="K67" i="3617"/>
  <c r="L67" i="3617"/>
  <c r="M67" i="3617"/>
  <c r="B68" i="3617"/>
  <c r="C68" i="3617"/>
  <c r="D68" i="3617"/>
  <c r="E68" i="3617"/>
  <c r="F68" i="3617"/>
  <c r="G68" i="3617"/>
  <c r="H68" i="3617"/>
  <c r="I68" i="3617"/>
  <c r="J68" i="3617"/>
  <c r="K68" i="3617"/>
  <c r="L68" i="3617"/>
  <c r="M68" i="3617"/>
  <c r="B69" i="3617"/>
  <c r="C69" i="3617"/>
  <c r="D69" i="3617"/>
  <c r="E69" i="3617"/>
  <c r="F69" i="3617"/>
  <c r="G69" i="3617"/>
  <c r="H69" i="3617"/>
  <c r="I69" i="3617"/>
  <c r="J69" i="3617"/>
  <c r="K69" i="3617"/>
  <c r="L69" i="3617"/>
  <c r="M69" i="3617"/>
  <c r="B70" i="3617"/>
  <c r="C70" i="3617"/>
  <c r="D70" i="3617"/>
  <c r="E70" i="3617"/>
  <c r="F70" i="3617"/>
  <c r="G70" i="3617"/>
  <c r="H70" i="3617"/>
  <c r="I70" i="3617"/>
  <c r="J70" i="3617"/>
  <c r="K70" i="3617"/>
  <c r="L70" i="3617"/>
  <c r="M70" i="3617"/>
  <c r="B71" i="3617"/>
  <c r="C71" i="3617"/>
  <c r="D71" i="3617"/>
  <c r="E71" i="3617"/>
  <c r="F71" i="3617"/>
  <c r="G71" i="3617"/>
  <c r="H71" i="3617"/>
  <c r="I71" i="3617"/>
  <c r="J71" i="3617"/>
  <c r="K71" i="3617"/>
  <c r="L71" i="3617"/>
  <c r="M71" i="3617"/>
  <c r="B72" i="3617"/>
  <c r="C72" i="3617"/>
  <c r="D72" i="3617"/>
  <c r="E72" i="3617"/>
  <c r="F72" i="3617"/>
  <c r="G72" i="3617"/>
  <c r="H72" i="3617"/>
  <c r="I72" i="3617"/>
  <c r="J72" i="3617"/>
  <c r="K72" i="3617"/>
  <c r="L72" i="3617"/>
  <c r="M72" i="3617"/>
  <c r="B73" i="3617"/>
  <c r="C73" i="3617"/>
  <c r="D73" i="3617"/>
  <c r="E73" i="3617"/>
  <c r="F73" i="3617"/>
  <c r="G73" i="3617"/>
  <c r="H73" i="3617"/>
  <c r="I73" i="3617"/>
  <c r="J73" i="3617"/>
  <c r="K73" i="3617"/>
  <c r="L73" i="3617"/>
  <c r="M73" i="3617"/>
  <c r="B74" i="3617"/>
  <c r="C74" i="3617"/>
  <c r="D74" i="3617"/>
  <c r="E74" i="3617"/>
  <c r="F74" i="3617"/>
  <c r="G74" i="3617"/>
  <c r="H74" i="3617"/>
  <c r="I74" i="3617"/>
  <c r="J74" i="3617"/>
  <c r="K74" i="3617"/>
  <c r="L74" i="3617"/>
  <c r="M74" i="3617"/>
  <c r="B75" i="3617"/>
  <c r="C75" i="3617"/>
  <c r="D75" i="3617"/>
  <c r="E75" i="3617"/>
  <c r="F75" i="3617"/>
  <c r="G75" i="3617"/>
  <c r="H75" i="3617"/>
  <c r="I75" i="3617"/>
  <c r="J75" i="3617"/>
  <c r="K75" i="3617"/>
  <c r="L75" i="3617"/>
  <c r="M75" i="3617"/>
  <c r="B76" i="3617"/>
  <c r="C76" i="3617"/>
  <c r="D76" i="3617"/>
  <c r="E76" i="3617"/>
  <c r="F76" i="3617"/>
  <c r="G76" i="3617"/>
  <c r="H76" i="3617"/>
  <c r="I76" i="3617"/>
  <c r="J76" i="3617"/>
  <c r="K76" i="3617"/>
  <c r="L76" i="3617"/>
  <c r="M76" i="3617"/>
  <c r="B77" i="3617"/>
  <c r="C77" i="3617"/>
  <c r="D77" i="3617"/>
  <c r="E77" i="3617"/>
  <c r="F77" i="3617"/>
  <c r="G77" i="3617"/>
  <c r="H77" i="3617"/>
  <c r="I77" i="3617"/>
  <c r="J77" i="3617"/>
  <c r="K77" i="3617"/>
  <c r="L77" i="3617"/>
  <c r="M77" i="3617"/>
  <c r="C81" i="3617"/>
  <c r="D81" i="3617"/>
  <c r="E81" i="3617"/>
  <c r="F81" i="3617"/>
  <c r="C83" i="3617"/>
  <c r="D83" i="3617"/>
  <c r="E83" i="3617"/>
  <c r="F83" i="3617"/>
  <c r="B86" i="3617"/>
  <c r="C86" i="3617"/>
  <c r="D86" i="3617"/>
  <c r="E86" i="3617"/>
  <c r="F86" i="3617"/>
  <c r="G86" i="3617"/>
  <c r="H86" i="3617"/>
  <c r="I86" i="3617"/>
  <c r="J86" i="3617"/>
  <c r="K86" i="3617"/>
  <c r="L86" i="3617"/>
  <c r="M86" i="3617"/>
  <c r="B87" i="3617"/>
  <c r="C87" i="3617"/>
  <c r="D87" i="3617"/>
  <c r="E87" i="3617"/>
  <c r="F87" i="3617"/>
  <c r="G87" i="3617"/>
  <c r="H87" i="3617"/>
  <c r="I87" i="3617"/>
  <c r="J87" i="3617"/>
  <c r="K87" i="3617"/>
  <c r="L87" i="3617"/>
  <c r="M87" i="3617"/>
  <c r="B88" i="3617"/>
  <c r="C88" i="3617"/>
  <c r="D88" i="3617"/>
  <c r="E88" i="3617"/>
  <c r="F88" i="3617"/>
  <c r="G88" i="3617"/>
  <c r="H88" i="3617"/>
  <c r="I88" i="3617"/>
  <c r="J88" i="3617"/>
  <c r="K88" i="3617"/>
  <c r="L88" i="3617"/>
  <c r="M88" i="3617"/>
  <c r="B89" i="3617"/>
  <c r="C89" i="3617"/>
  <c r="D89" i="3617"/>
  <c r="E89" i="3617"/>
  <c r="F89" i="3617"/>
  <c r="G89" i="3617"/>
  <c r="H89" i="3617"/>
  <c r="I89" i="3617"/>
  <c r="J89" i="3617"/>
  <c r="K89" i="3617"/>
  <c r="L89" i="3617"/>
  <c r="M89" i="3617"/>
  <c r="B90" i="3617"/>
  <c r="C90" i="3617"/>
  <c r="D90" i="3617"/>
  <c r="E90" i="3617"/>
  <c r="F90" i="3617"/>
  <c r="G90" i="3617"/>
  <c r="H90" i="3617"/>
  <c r="I90" i="3617"/>
  <c r="J90" i="3617"/>
  <c r="K90" i="3617"/>
  <c r="L90" i="3617"/>
  <c r="M90" i="3617"/>
  <c r="B91" i="3617"/>
  <c r="C91" i="3617"/>
  <c r="D91" i="3617"/>
  <c r="E91" i="3617"/>
  <c r="F91" i="3617"/>
  <c r="G91" i="3617"/>
  <c r="H91" i="3617"/>
  <c r="I91" i="3617"/>
  <c r="J91" i="3617"/>
  <c r="K91" i="3617"/>
  <c r="L91" i="3617"/>
  <c r="M91" i="3617"/>
  <c r="B92" i="3617"/>
  <c r="C92" i="3617"/>
  <c r="D92" i="3617"/>
  <c r="E92" i="3617"/>
  <c r="F92" i="3617"/>
  <c r="G92" i="3617"/>
  <c r="H92" i="3617"/>
  <c r="I92" i="3617"/>
  <c r="J92" i="3617"/>
  <c r="K92" i="3617"/>
  <c r="L92" i="3617"/>
  <c r="M92" i="3617"/>
  <c r="B93" i="3617"/>
  <c r="C93" i="3617"/>
  <c r="D93" i="3617"/>
  <c r="E93" i="3617"/>
  <c r="F93" i="3617"/>
  <c r="G93" i="3617"/>
  <c r="H93" i="3617"/>
  <c r="I93" i="3617"/>
  <c r="J93" i="3617"/>
  <c r="K93" i="3617"/>
  <c r="L93" i="3617"/>
  <c r="M93" i="3617"/>
  <c r="B94" i="3617"/>
  <c r="C94" i="3617"/>
  <c r="D94" i="3617"/>
  <c r="E94" i="3617"/>
  <c r="F94" i="3617"/>
  <c r="G94" i="3617"/>
  <c r="H94" i="3617"/>
  <c r="I94" i="3617"/>
  <c r="J94" i="3617"/>
  <c r="K94" i="3617"/>
  <c r="L94" i="3617"/>
  <c r="M94" i="3617"/>
  <c r="B95" i="3617"/>
  <c r="C95" i="3617"/>
  <c r="D95" i="3617"/>
  <c r="E95" i="3617"/>
  <c r="F95" i="3617"/>
  <c r="G95" i="3617"/>
  <c r="H95" i="3617"/>
  <c r="I95" i="3617"/>
  <c r="J95" i="3617"/>
  <c r="K95" i="3617"/>
  <c r="L95" i="3617"/>
  <c r="M95" i="3617"/>
  <c r="B96" i="3617"/>
  <c r="C96" i="3617"/>
  <c r="D96" i="3617"/>
  <c r="E96" i="3617"/>
  <c r="F96" i="3617"/>
  <c r="G96" i="3617"/>
  <c r="H96" i="3617"/>
  <c r="I96" i="3617"/>
  <c r="J96" i="3617"/>
  <c r="K96" i="3617"/>
  <c r="L96" i="3617"/>
  <c r="M96" i="3617"/>
  <c r="I3" i="3597"/>
  <c r="J3" i="3597"/>
  <c r="K3" i="3597"/>
  <c r="L3" i="3597"/>
  <c r="M3" i="3597"/>
  <c r="N3" i="3597"/>
  <c r="O3" i="3597"/>
  <c r="P3" i="3597"/>
  <c r="Q3" i="3597"/>
  <c r="R3" i="3597"/>
  <c r="S3" i="3597"/>
  <c r="T3" i="3597"/>
  <c r="U3" i="3597"/>
  <c r="V3" i="3597"/>
  <c r="W3" i="3597"/>
  <c r="X3" i="3597"/>
  <c r="Y3" i="3597"/>
  <c r="Z3" i="3597"/>
  <c r="AA3" i="3597"/>
  <c r="AB3" i="3597"/>
  <c r="AC3" i="3597"/>
  <c r="AD3" i="3597"/>
  <c r="AE3" i="3597"/>
  <c r="AF3" i="3597"/>
  <c r="AG3" i="3597"/>
  <c r="AH3" i="3597"/>
  <c r="AI3" i="3597"/>
  <c r="AJ3" i="3597"/>
  <c r="AK3" i="3597"/>
  <c r="AL3" i="3597"/>
  <c r="I6" i="3597"/>
  <c r="J6" i="3597"/>
  <c r="K6" i="3597"/>
  <c r="L6" i="3597"/>
  <c r="M6" i="3597"/>
  <c r="N6" i="3597"/>
  <c r="O6" i="3597"/>
  <c r="P6" i="3597"/>
  <c r="Q6" i="3597"/>
  <c r="R6" i="3597"/>
  <c r="S6" i="3597"/>
  <c r="T6" i="3597"/>
  <c r="U6" i="3597"/>
  <c r="V6" i="3597"/>
  <c r="W6" i="3597"/>
  <c r="X6" i="3597"/>
  <c r="Y6" i="3597"/>
  <c r="Z6" i="3597"/>
  <c r="AA6" i="3597"/>
  <c r="AB6" i="3597"/>
  <c r="AC6" i="3597"/>
  <c r="AD6" i="3597"/>
  <c r="AE6" i="3597"/>
  <c r="AF6" i="3597"/>
  <c r="AG6" i="3597"/>
  <c r="AH6" i="3597"/>
  <c r="AI6" i="3597"/>
  <c r="AJ6" i="3597"/>
  <c r="AK6" i="3597"/>
  <c r="AL6" i="3597"/>
  <c r="I7" i="3597"/>
  <c r="J7" i="3597"/>
  <c r="K7" i="3597"/>
  <c r="L7" i="3597"/>
  <c r="M7" i="3597"/>
  <c r="N7" i="3597"/>
  <c r="O7" i="3597"/>
  <c r="P7" i="3597"/>
  <c r="Q7" i="3597"/>
  <c r="R7" i="3597"/>
  <c r="S7" i="3597"/>
  <c r="T7" i="3597"/>
  <c r="U7" i="3597"/>
  <c r="V7" i="3597"/>
  <c r="W7" i="3597"/>
  <c r="X7" i="3597"/>
  <c r="Y7" i="3597"/>
  <c r="Z7" i="3597"/>
  <c r="AA7" i="3597"/>
  <c r="AB7" i="3597"/>
  <c r="AC7" i="3597"/>
  <c r="AD7" i="3597"/>
  <c r="AE7" i="3597"/>
  <c r="AF7" i="3597"/>
  <c r="AG7" i="3597"/>
  <c r="AH7" i="3597"/>
  <c r="AI7" i="3597"/>
  <c r="AJ7" i="3597"/>
  <c r="AK7" i="3597"/>
  <c r="AL7" i="3597"/>
  <c r="I8" i="3597"/>
  <c r="J8" i="3597"/>
  <c r="K8" i="3597"/>
  <c r="L8" i="3597"/>
  <c r="M8" i="3597"/>
  <c r="N8" i="3597"/>
  <c r="O8" i="3597"/>
  <c r="P8" i="3597"/>
  <c r="Q8" i="3597"/>
  <c r="R8" i="3597"/>
  <c r="S8" i="3597"/>
  <c r="T8" i="3597"/>
  <c r="U8" i="3597"/>
  <c r="V8" i="3597"/>
  <c r="W8" i="3597"/>
  <c r="X8" i="3597"/>
  <c r="Y8" i="3597"/>
  <c r="Z8" i="3597"/>
  <c r="AA8" i="3597"/>
  <c r="AB8" i="3597"/>
  <c r="AC8" i="3597"/>
  <c r="AD8" i="3597"/>
  <c r="AE8" i="3597"/>
  <c r="AF8" i="3597"/>
  <c r="AG8" i="3597"/>
  <c r="AH8" i="3597"/>
  <c r="AI8" i="3597"/>
  <c r="AJ8" i="3597"/>
  <c r="AK8" i="3597"/>
  <c r="AL8" i="3597"/>
  <c r="I11" i="3597"/>
  <c r="J11" i="3597"/>
  <c r="K11" i="3597"/>
  <c r="L11" i="3597"/>
  <c r="M11" i="3597"/>
  <c r="N11" i="3597"/>
  <c r="O11" i="3597"/>
  <c r="P11" i="3597"/>
  <c r="Q11" i="3597"/>
  <c r="R11" i="3597"/>
  <c r="S11" i="3597"/>
  <c r="T11" i="3597"/>
  <c r="U11" i="3597"/>
  <c r="V11" i="3597"/>
  <c r="W11" i="3597"/>
  <c r="X11" i="3597"/>
  <c r="Y11" i="3597"/>
  <c r="Z11" i="3597"/>
  <c r="AA11" i="3597"/>
  <c r="AB11" i="3597"/>
  <c r="AC11" i="3597"/>
  <c r="AD11" i="3597"/>
  <c r="AE11" i="3597"/>
  <c r="AF11" i="3597"/>
  <c r="AG11" i="3597"/>
  <c r="AH11" i="3597"/>
  <c r="AI11" i="3597"/>
  <c r="AJ11" i="3597"/>
  <c r="AK11" i="3597"/>
  <c r="AL11" i="3597"/>
  <c r="I14" i="3597"/>
  <c r="J14" i="3597"/>
  <c r="K14" i="3597"/>
  <c r="L14" i="3597"/>
  <c r="M14" i="3597"/>
  <c r="N14" i="3597"/>
  <c r="O14" i="3597"/>
  <c r="P14" i="3597"/>
  <c r="Q14" i="3597"/>
  <c r="R14" i="3597"/>
  <c r="S14" i="3597"/>
  <c r="T14" i="3597"/>
  <c r="U14" i="3597"/>
  <c r="V14" i="3597"/>
  <c r="W14" i="3597"/>
  <c r="X14" i="3597"/>
  <c r="Y14" i="3597"/>
  <c r="Z14" i="3597"/>
  <c r="AA14" i="3597"/>
  <c r="AB14" i="3597"/>
  <c r="AC14" i="3597"/>
  <c r="AD14" i="3597"/>
  <c r="AE14" i="3597"/>
  <c r="AF14" i="3597"/>
  <c r="AG14" i="3597"/>
  <c r="AH14" i="3597"/>
  <c r="AI14" i="3597"/>
  <c r="AJ14" i="3597"/>
  <c r="AK14" i="3597"/>
  <c r="AL14" i="3597"/>
  <c r="I15" i="3597"/>
  <c r="J15" i="3597"/>
  <c r="K15" i="3597"/>
  <c r="L15" i="3597"/>
  <c r="M15" i="3597"/>
  <c r="N15" i="3597"/>
  <c r="O15" i="3597"/>
  <c r="P15" i="3597"/>
  <c r="Q15" i="3597"/>
  <c r="R15" i="3597"/>
  <c r="S15" i="3597"/>
  <c r="T15" i="3597"/>
  <c r="U15" i="3597"/>
  <c r="V15" i="3597"/>
  <c r="W15" i="3597"/>
  <c r="X15" i="3597"/>
  <c r="Y15" i="3597"/>
  <c r="Z15" i="3597"/>
  <c r="AA15" i="3597"/>
  <c r="AB15" i="3597"/>
  <c r="AC15" i="3597"/>
  <c r="AD15" i="3597"/>
  <c r="AE15" i="3597"/>
  <c r="AF15" i="3597"/>
  <c r="AG15" i="3597"/>
  <c r="AH15" i="3597"/>
  <c r="AI15" i="3597"/>
  <c r="AJ15" i="3597"/>
  <c r="AK15" i="3597"/>
  <c r="AL15" i="3597"/>
  <c r="I16" i="3597"/>
  <c r="J16" i="3597"/>
  <c r="K16" i="3597"/>
  <c r="L16" i="3597"/>
  <c r="M16" i="3597"/>
  <c r="N16" i="3597"/>
  <c r="O16" i="3597"/>
  <c r="P16" i="3597"/>
  <c r="Q16" i="3597"/>
  <c r="R16" i="3597"/>
  <c r="S16" i="3597"/>
  <c r="T16" i="3597"/>
  <c r="U16" i="3597"/>
  <c r="V16" i="3597"/>
  <c r="W16" i="3597"/>
  <c r="X16" i="3597"/>
  <c r="Y16" i="3597"/>
  <c r="Z16" i="3597"/>
  <c r="AA16" i="3597"/>
  <c r="AB16" i="3597"/>
  <c r="AC16" i="3597"/>
  <c r="AD16" i="3597"/>
  <c r="AE16" i="3597"/>
  <c r="AF16" i="3597"/>
  <c r="AG16" i="3597"/>
  <c r="AH16" i="3597"/>
  <c r="AI16" i="3597"/>
  <c r="AJ16" i="3597"/>
  <c r="AK16" i="3597"/>
  <c r="AL16" i="3597"/>
  <c r="I17" i="3597"/>
  <c r="J17" i="3597"/>
  <c r="K17" i="3597"/>
  <c r="L17" i="3597"/>
  <c r="M17" i="3597"/>
  <c r="N17" i="3597"/>
  <c r="O17" i="3597"/>
  <c r="P17" i="3597"/>
  <c r="Q17" i="3597"/>
  <c r="R17" i="3597"/>
  <c r="S17" i="3597"/>
  <c r="T17" i="3597"/>
  <c r="U17" i="3597"/>
  <c r="V17" i="3597"/>
  <c r="W17" i="3597"/>
  <c r="X17" i="3597"/>
  <c r="Y17" i="3597"/>
  <c r="Z17" i="3597"/>
  <c r="AA17" i="3597"/>
  <c r="AB17" i="3597"/>
  <c r="AC17" i="3597"/>
  <c r="AD17" i="3597"/>
  <c r="AE17" i="3597"/>
  <c r="AF17" i="3597"/>
  <c r="AG17" i="3597"/>
  <c r="AH17" i="3597"/>
  <c r="AI17" i="3597"/>
  <c r="AJ17" i="3597"/>
  <c r="AK17" i="3597"/>
  <c r="AL17" i="3597"/>
  <c r="I20" i="3597"/>
  <c r="J20" i="3597"/>
  <c r="K20" i="3597"/>
  <c r="L20" i="3597"/>
  <c r="M20" i="3597"/>
  <c r="N20" i="3597"/>
  <c r="O20" i="3597"/>
  <c r="P20" i="3597"/>
  <c r="Q20" i="3597"/>
  <c r="R20" i="3597"/>
  <c r="S20" i="3597"/>
  <c r="T20" i="3597"/>
  <c r="U20" i="3597"/>
  <c r="V20" i="3597"/>
  <c r="W20" i="3597"/>
  <c r="X20" i="3597"/>
  <c r="Y20" i="3597"/>
  <c r="Z20" i="3597"/>
  <c r="AA20" i="3597"/>
  <c r="AB20" i="3597"/>
  <c r="AC20" i="3597"/>
  <c r="AD20" i="3597"/>
  <c r="AE20" i="3597"/>
  <c r="AF20" i="3597"/>
  <c r="AG20" i="3597"/>
  <c r="AH20" i="3597"/>
  <c r="AI20" i="3597"/>
  <c r="AJ20" i="3597"/>
  <c r="AK20" i="3597"/>
  <c r="AL20" i="3597"/>
  <c r="I21" i="3597"/>
  <c r="J21" i="3597"/>
  <c r="K21" i="3597"/>
  <c r="L21" i="3597"/>
  <c r="M21" i="3597"/>
  <c r="N21" i="3597"/>
  <c r="O21" i="3597"/>
  <c r="P21" i="3597"/>
  <c r="Q21" i="3597"/>
  <c r="R21" i="3597"/>
  <c r="S21" i="3597"/>
  <c r="T21" i="3597"/>
  <c r="U21" i="3597"/>
  <c r="V21" i="3597"/>
  <c r="W21" i="3597"/>
  <c r="X21" i="3597"/>
  <c r="Y21" i="3597"/>
  <c r="Z21" i="3597"/>
  <c r="AA21" i="3597"/>
  <c r="AB21" i="3597"/>
  <c r="AC21" i="3597"/>
  <c r="AD21" i="3597"/>
  <c r="AE21" i="3597"/>
  <c r="AF21" i="3597"/>
  <c r="AG21" i="3597"/>
  <c r="AH21" i="3597"/>
  <c r="AI21" i="3597"/>
  <c r="AJ21" i="3597"/>
  <c r="AK21" i="3597"/>
  <c r="AL21" i="3597"/>
  <c r="I30" i="3597"/>
  <c r="J30" i="3597"/>
  <c r="K30" i="3597"/>
  <c r="L30" i="3597"/>
  <c r="M30" i="3597"/>
  <c r="N30" i="3597"/>
  <c r="O30" i="3597"/>
  <c r="P30" i="3597"/>
  <c r="Q30" i="3597"/>
  <c r="R30" i="3597"/>
  <c r="S30" i="3597"/>
  <c r="T30" i="3597"/>
  <c r="U30" i="3597"/>
  <c r="V30" i="3597"/>
  <c r="W30" i="3597"/>
  <c r="X30" i="3597"/>
  <c r="Y30" i="3597"/>
  <c r="Z30" i="3597"/>
  <c r="AA30" i="3597"/>
  <c r="AB30" i="3597"/>
  <c r="AC30" i="3597"/>
  <c r="AD30" i="3597"/>
  <c r="AE30" i="3597"/>
  <c r="AF30" i="3597"/>
  <c r="AG30" i="3597"/>
  <c r="AH30" i="3597"/>
  <c r="AI30" i="3597"/>
  <c r="AJ30" i="3597"/>
  <c r="AK30" i="3597"/>
  <c r="AL30" i="3597"/>
  <c r="I32" i="3597"/>
  <c r="J32" i="3597"/>
  <c r="K32" i="3597"/>
  <c r="L32" i="3597"/>
  <c r="M32" i="3597"/>
  <c r="N32" i="3597"/>
  <c r="O32" i="3597"/>
  <c r="P32" i="3597"/>
  <c r="Q32" i="3597"/>
  <c r="R32" i="3597"/>
  <c r="S32" i="3597"/>
  <c r="T32" i="3597"/>
  <c r="U32" i="3597"/>
  <c r="V32" i="3597"/>
  <c r="W32" i="3597"/>
  <c r="X32" i="3597"/>
  <c r="Y32" i="3597"/>
  <c r="Z32" i="3597"/>
  <c r="AA32" i="3597"/>
  <c r="AB32" i="3597"/>
  <c r="AC32" i="3597"/>
  <c r="AD32" i="3597"/>
  <c r="AE32" i="3597"/>
  <c r="AF32" i="3597"/>
  <c r="AG32" i="3597"/>
  <c r="AH32" i="3597"/>
  <c r="AI32" i="3597"/>
  <c r="AJ32" i="3597"/>
  <c r="AK32" i="3597"/>
  <c r="AL32" i="3597"/>
  <c r="I34" i="3597"/>
  <c r="J34" i="3597"/>
  <c r="K34" i="3597"/>
  <c r="L34" i="3597"/>
  <c r="M34" i="3597"/>
  <c r="N34" i="3597"/>
  <c r="O34" i="3597"/>
  <c r="P34" i="3597"/>
  <c r="Q34" i="3597"/>
  <c r="R34" i="3597"/>
  <c r="S34" i="3597"/>
  <c r="T34" i="3597"/>
  <c r="U34" i="3597"/>
  <c r="V34" i="3597"/>
  <c r="W34" i="3597"/>
  <c r="X34" i="3597"/>
  <c r="Y34" i="3597"/>
  <c r="Z34" i="3597"/>
  <c r="AA34" i="3597"/>
  <c r="AB34" i="3597"/>
  <c r="AC34" i="3597"/>
  <c r="AD34" i="3597"/>
  <c r="AE34" i="3597"/>
  <c r="AF34" i="3597"/>
  <c r="AG34" i="3597"/>
  <c r="AH34" i="3597"/>
  <c r="AI34" i="3597"/>
  <c r="AJ34" i="3597"/>
  <c r="AK34" i="3597"/>
  <c r="AL34" i="3597"/>
  <c r="I38" i="3597"/>
  <c r="J38" i="3597"/>
  <c r="K38" i="3597"/>
  <c r="L38" i="3597"/>
  <c r="M38" i="3597"/>
  <c r="N38" i="3597"/>
  <c r="O38" i="3597"/>
  <c r="P38" i="3597"/>
  <c r="Q38" i="3597"/>
  <c r="R38" i="3597"/>
  <c r="S38" i="3597"/>
  <c r="T38" i="3597"/>
  <c r="U38" i="3597"/>
  <c r="V38" i="3597"/>
  <c r="W38" i="3597"/>
  <c r="X38" i="3597"/>
  <c r="Y38" i="3597"/>
  <c r="Z38" i="3597"/>
  <c r="AA38" i="3597"/>
  <c r="AB38" i="3597"/>
  <c r="AC38" i="3597"/>
  <c r="AD38" i="3597"/>
  <c r="AE38" i="3597"/>
  <c r="AF38" i="3597"/>
  <c r="AG38" i="3597"/>
  <c r="AH38" i="3597"/>
  <c r="AI38" i="3597"/>
  <c r="AJ38" i="3597"/>
  <c r="AK38" i="3597"/>
  <c r="AL38" i="3597"/>
  <c r="I41" i="3597"/>
  <c r="J41" i="3597"/>
  <c r="K41" i="3597"/>
  <c r="L41" i="3597"/>
  <c r="M41" i="3597"/>
  <c r="N41" i="3597"/>
  <c r="O41" i="3597"/>
  <c r="P41" i="3597"/>
  <c r="Q41" i="3597"/>
  <c r="R41" i="3597"/>
  <c r="S41" i="3597"/>
  <c r="T41" i="3597"/>
  <c r="U41" i="3597"/>
  <c r="V41" i="3597"/>
  <c r="W41" i="3597"/>
  <c r="X41" i="3597"/>
  <c r="Y41" i="3597"/>
  <c r="Z41" i="3597"/>
  <c r="AA41" i="3597"/>
  <c r="AB41" i="3597"/>
  <c r="AC41" i="3597"/>
  <c r="AD41" i="3597"/>
  <c r="AE41" i="3597"/>
  <c r="AF41" i="3597"/>
  <c r="AG41" i="3597"/>
  <c r="AH41" i="3597"/>
  <c r="AI41" i="3597"/>
  <c r="AJ41" i="3597"/>
  <c r="AK41" i="3597"/>
  <c r="AL41" i="3597"/>
  <c r="I42" i="3597"/>
  <c r="J42" i="3597"/>
  <c r="K42" i="3597"/>
  <c r="L42" i="3597"/>
  <c r="M42" i="3597"/>
  <c r="N42" i="3597"/>
  <c r="O42" i="3597"/>
  <c r="P42" i="3597"/>
  <c r="Q42" i="3597"/>
  <c r="R42" i="3597"/>
  <c r="S42" i="3597"/>
  <c r="T42" i="3597"/>
  <c r="U42" i="3597"/>
  <c r="V42" i="3597"/>
  <c r="W42" i="3597"/>
  <c r="X42" i="3597"/>
  <c r="Y42" i="3597"/>
  <c r="Z42" i="3597"/>
  <c r="AA42" i="3597"/>
  <c r="AB42" i="3597"/>
  <c r="AC42" i="3597"/>
  <c r="AD42" i="3597"/>
  <c r="AE42" i="3597"/>
  <c r="AF42" i="3597"/>
  <c r="AG42" i="3597"/>
  <c r="AH42" i="3597"/>
  <c r="AI42" i="3597"/>
  <c r="AJ42" i="3597"/>
  <c r="AK42" i="3597"/>
  <c r="AL42" i="3597"/>
  <c r="I43" i="3597"/>
  <c r="J43" i="3597"/>
  <c r="K43" i="3597"/>
  <c r="L43" i="3597"/>
  <c r="M43" i="3597"/>
  <c r="N43" i="3597"/>
  <c r="O43" i="3597"/>
  <c r="P43" i="3597"/>
  <c r="Q43" i="3597"/>
  <c r="R43" i="3597"/>
  <c r="S43" i="3597"/>
  <c r="T43" i="3597"/>
  <c r="U43" i="3597"/>
  <c r="V43" i="3597"/>
  <c r="W43" i="3597"/>
  <c r="X43" i="3597"/>
  <c r="Y43" i="3597"/>
  <c r="Z43" i="3597"/>
  <c r="AA43" i="3597"/>
  <c r="AB43" i="3597"/>
  <c r="AC43" i="3597"/>
  <c r="AD43" i="3597"/>
  <c r="AE43" i="3597"/>
  <c r="AF43" i="3597"/>
  <c r="AG43" i="3597"/>
  <c r="AH43" i="3597"/>
  <c r="AI43" i="3597"/>
  <c r="AJ43" i="3597"/>
  <c r="AK43" i="3597"/>
  <c r="AL43" i="3597"/>
  <c r="I46" i="3597"/>
  <c r="J46" i="3597"/>
  <c r="K46" i="3597"/>
  <c r="L46" i="3597"/>
  <c r="M46" i="3597"/>
  <c r="N46" i="3597"/>
  <c r="O46" i="3597"/>
  <c r="P46" i="3597"/>
  <c r="Q46" i="3597"/>
  <c r="R46" i="3597"/>
  <c r="S46" i="3597"/>
  <c r="T46" i="3597"/>
  <c r="U46" i="3597"/>
  <c r="V46" i="3597"/>
  <c r="W46" i="3597"/>
  <c r="X46" i="3597"/>
  <c r="Y46" i="3597"/>
  <c r="Z46" i="3597"/>
  <c r="AA46" i="3597"/>
  <c r="AB46" i="3597"/>
  <c r="AC46" i="3597"/>
  <c r="AD46" i="3597"/>
  <c r="AE46" i="3597"/>
  <c r="AF46" i="3597"/>
  <c r="AG46" i="3597"/>
  <c r="AH46" i="3597"/>
  <c r="AI46" i="3597"/>
  <c r="AJ46" i="3597"/>
  <c r="AK46" i="3597"/>
  <c r="AL46" i="3597"/>
  <c r="I53" i="3597"/>
  <c r="J53" i="3597"/>
  <c r="K53" i="3597"/>
  <c r="L53" i="3597"/>
  <c r="M53" i="3597"/>
  <c r="N53" i="3597"/>
  <c r="O53" i="3597"/>
  <c r="P53" i="3597"/>
  <c r="Q53" i="3597"/>
  <c r="R53" i="3597"/>
  <c r="S53" i="3597"/>
  <c r="T53" i="3597"/>
  <c r="U53" i="3597"/>
  <c r="V53" i="3597"/>
  <c r="W53" i="3597"/>
  <c r="X53" i="3597"/>
  <c r="Y53" i="3597"/>
  <c r="Z53" i="3597"/>
  <c r="AA53" i="3597"/>
  <c r="AB53" i="3597"/>
  <c r="AC53" i="3597"/>
  <c r="AD53" i="3597"/>
  <c r="AE53" i="3597"/>
  <c r="AF53" i="3597"/>
  <c r="AG53" i="3597"/>
  <c r="AH53" i="3597"/>
  <c r="AI53" i="3597"/>
  <c r="AJ53" i="3597"/>
  <c r="AK53" i="3597"/>
  <c r="AL53" i="3597"/>
  <c r="I56" i="3597"/>
  <c r="J56" i="3597"/>
  <c r="K56" i="3597"/>
  <c r="L56" i="3597"/>
  <c r="M56" i="3597"/>
  <c r="N56" i="3597"/>
  <c r="O56" i="3597"/>
  <c r="P56" i="3597"/>
  <c r="Q56" i="3597"/>
  <c r="R56" i="3597"/>
  <c r="S56" i="3597"/>
  <c r="T56" i="3597"/>
  <c r="U56" i="3597"/>
  <c r="V56" i="3597"/>
  <c r="W56" i="3597"/>
  <c r="X56" i="3597"/>
  <c r="Y56" i="3597"/>
  <c r="Z56" i="3597"/>
  <c r="AA56" i="3597"/>
  <c r="AB56" i="3597"/>
  <c r="AC56" i="3597"/>
  <c r="AD56" i="3597"/>
  <c r="AE56" i="3597"/>
  <c r="AF56" i="3597"/>
  <c r="AG56" i="3597"/>
  <c r="AH56" i="3597"/>
  <c r="AI56" i="3597"/>
  <c r="AJ56" i="3597"/>
  <c r="AK56" i="3597"/>
  <c r="AL56" i="3597"/>
  <c r="I57" i="3597"/>
  <c r="J57" i="3597"/>
  <c r="K57" i="3597"/>
  <c r="L57" i="3597"/>
  <c r="M57" i="3597"/>
  <c r="N57" i="3597"/>
  <c r="O57" i="3597"/>
  <c r="P57" i="3597"/>
  <c r="Q57" i="3597"/>
  <c r="R57" i="3597"/>
  <c r="S57" i="3597"/>
  <c r="T57" i="3597"/>
  <c r="U57" i="3597"/>
  <c r="V57" i="3597"/>
  <c r="W57" i="3597"/>
  <c r="X57" i="3597"/>
  <c r="Y57" i="3597"/>
  <c r="Z57" i="3597"/>
  <c r="AA57" i="3597"/>
  <c r="AB57" i="3597"/>
  <c r="AC57" i="3597"/>
  <c r="AD57" i="3597"/>
  <c r="AE57" i="3597"/>
  <c r="AF57" i="3597"/>
  <c r="AG57" i="3597"/>
  <c r="AH57" i="3597"/>
  <c r="AI57" i="3597"/>
  <c r="AJ57" i="3597"/>
  <c r="AK57" i="3597"/>
  <c r="AL57" i="3597"/>
  <c r="I61" i="3597"/>
  <c r="J61" i="3597"/>
  <c r="K61" i="3597"/>
  <c r="L61" i="3597"/>
  <c r="M61" i="3597"/>
  <c r="N61" i="3597"/>
  <c r="O61" i="3597"/>
  <c r="P61" i="3597"/>
  <c r="Q61" i="3597"/>
  <c r="R61" i="3597"/>
  <c r="S61" i="3597"/>
  <c r="T61" i="3597"/>
  <c r="U61" i="3597"/>
  <c r="V61" i="3597"/>
  <c r="W61" i="3597"/>
  <c r="X61" i="3597"/>
  <c r="Y61" i="3597"/>
  <c r="Z61" i="3597"/>
  <c r="AA61" i="3597"/>
  <c r="AB61" i="3597"/>
  <c r="AC61" i="3597"/>
  <c r="AD61" i="3597"/>
  <c r="AE61" i="3597"/>
  <c r="AF61" i="3597"/>
  <c r="AG61" i="3597"/>
  <c r="AH61" i="3597"/>
  <c r="AI61" i="3597"/>
  <c r="AJ61" i="3597"/>
  <c r="AK61" i="3597"/>
  <c r="AL61" i="3597"/>
  <c r="I62" i="3597"/>
  <c r="J62" i="3597"/>
  <c r="K62" i="3597"/>
  <c r="L62" i="3597"/>
  <c r="M62" i="3597"/>
  <c r="N62" i="3597"/>
  <c r="O62" i="3597"/>
  <c r="P62" i="3597"/>
  <c r="Q62" i="3597"/>
  <c r="R62" i="3597"/>
  <c r="S62" i="3597"/>
  <c r="T62" i="3597"/>
  <c r="U62" i="3597"/>
  <c r="V62" i="3597"/>
  <c r="W62" i="3597"/>
  <c r="X62" i="3597"/>
  <c r="Y62" i="3597"/>
  <c r="Z62" i="3597"/>
  <c r="AA62" i="3597"/>
  <c r="AB62" i="3597"/>
  <c r="AC62" i="3597"/>
  <c r="AD62" i="3597"/>
  <c r="AE62" i="3597"/>
  <c r="AF62" i="3597"/>
  <c r="AG62" i="3597"/>
  <c r="AH62" i="3597"/>
  <c r="AI62" i="3597"/>
  <c r="AJ62" i="3597"/>
  <c r="AK62" i="3597"/>
  <c r="AL62" i="3597"/>
  <c r="B4" i="3627"/>
  <c r="J4" i="3627"/>
  <c r="K4" i="3627"/>
  <c r="L4" i="3627"/>
  <c r="M4" i="3627"/>
  <c r="N4" i="3627"/>
  <c r="O4" i="3627"/>
  <c r="P4" i="3627"/>
  <c r="Q4" i="3627"/>
  <c r="R4" i="3627"/>
  <c r="S4" i="3627"/>
  <c r="T4" i="3627"/>
  <c r="U4" i="3627"/>
  <c r="V4" i="3627"/>
  <c r="W4" i="3627"/>
  <c r="X4" i="3627"/>
  <c r="Y4" i="3627"/>
  <c r="Z4" i="3627"/>
  <c r="AA4" i="3627"/>
  <c r="AB4" i="3627"/>
  <c r="AC4" i="3627"/>
  <c r="AD4" i="3627"/>
  <c r="AE4" i="3627"/>
  <c r="AF4" i="3627"/>
  <c r="AG4" i="3627"/>
  <c r="AH4" i="3627"/>
  <c r="AI4" i="3627"/>
  <c r="AJ4" i="3627"/>
  <c r="AK4" i="3627"/>
  <c r="AL4" i="3627"/>
  <c r="AM4" i="3627"/>
  <c r="B5" i="3627"/>
  <c r="K5" i="3627"/>
  <c r="L5" i="3627"/>
  <c r="M5" i="3627"/>
  <c r="N5" i="3627"/>
  <c r="O5" i="3627"/>
  <c r="P5" i="3627"/>
  <c r="Q5" i="3627"/>
  <c r="R5" i="3627"/>
  <c r="S5" i="3627"/>
  <c r="T5" i="3627"/>
  <c r="U5" i="3627"/>
  <c r="V5" i="3627"/>
  <c r="W5" i="3627"/>
  <c r="X5" i="3627"/>
  <c r="Y5" i="3627"/>
  <c r="Z5" i="3627"/>
  <c r="AA5" i="3627"/>
  <c r="AB5" i="3627"/>
  <c r="AC5" i="3627"/>
  <c r="AD5" i="3627"/>
  <c r="AE5" i="3627"/>
  <c r="AF5" i="3627"/>
  <c r="AG5" i="3627"/>
  <c r="AH5" i="3627"/>
  <c r="AI5" i="3627"/>
  <c r="AJ5" i="3627"/>
  <c r="AK5" i="3627"/>
  <c r="AL5" i="3627"/>
  <c r="AM5" i="3627"/>
  <c r="B6" i="3627"/>
  <c r="L6" i="3627"/>
  <c r="M6" i="3627"/>
  <c r="N6" i="3627"/>
  <c r="O6" i="3627"/>
  <c r="P6" i="3627"/>
  <c r="Q6" i="3627"/>
  <c r="R6" i="3627"/>
  <c r="S6" i="3627"/>
  <c r="T6" i="3627"/>
  <c r="U6" i="3627"/>
  <c r="V6" i="3627"/>
  <c r="W6" i="3627"/>
  <c r="X6" i="3627"/>
  <c r="Y6" i="3627"/>
  <c r="Z6" i="3627"/>
  <c r="AA6" i="3627"/>
  <c r="AB6" i="3627"/>
  <c r="AC6" i="3627"/>
  <c r="AD6" i="3627"/>
  <c r="AE6" i="3627"/>
  <c r="AF6" i="3627"/>
  <c r="AG6" i="3627"/>
  <c r="AH6" i="3627"/>
  <c r="AI6" i="3627"/>
  <c r="AJ6" i="3627"/>
  <c r="AK6" i="3627"/>
  <c r="AL6" i="3627"/>
  <c r="AM6" i="3627"/>
  <c r="B7" i="3627"/>
  <c r="M7" i="3627"/>
  <c r="N7" i="3627"/>
  <c r="O7" i="3627"/>
  <c r="P7" i="3627"/>
  <c r="Q7" i="3627"/>
  <c r="R7" i="3627"/>
  <c r="S7" i="3627"/>
  <c r="T7" i="3627"/>
  <c r="U7" i="3627"/>
  <c r="V7" i="3627"/>
  <c r="W7" i="3627"/>
  <c r="X7" i="3627"/>
  <c r="Y7" i="3627"/>
  <c r="Z7" i="3627"/>
  <c r="AA7" i="3627"/>
  <c r="AB7" i="3627"/>
  <c r="AC7" i="3627"/>
  <c r="AD7" i="3627"/>
  <c r="AE7" i="3627"/>
  <c r="AF7" i="3627"/>
  <c r="AG7" i="3627"/>
  <c r="AH7" i="3627"/>
  <c r="AI7" i="3627"/>
  <c r="AJ7" i="3627"/>
  <c r="AK7" i="3627"/>
  <c r="AL7" i="3627"/>
  <c r="AM7" i="3627"/>
  <c r="B8" i="3627"/>
  <c r="N8" i="3627"/>
  <c r="O8" i="3627"/>
  <c r="P8" i="3627"/>
  <c r="Q8" i="3627"/>
  <c r="R8" i="3627"/>
  <c r="S8" i="3627"/>
  <c r="T8" i="3627"/>
  <c r="U8" i="3627"/>
  <c r="V8" i="3627"/>
  <c r="W8" i="3627"/>
  <c r="X8" i="3627"/>
  <c r="Y8" i="3627"/>
  <c r="Z8" i="3627"/>
  <c r="AA8" i="3627"/>
  <c r="AB8" i="3627"/>
  <c r="AC8" i="3627"/>
  <c r="AD8" i="3627"/>
  <c r="AE8" i="3627"/>
  <c r="AF8" i="3627"/>
  <c r="AG8" i="3627"/>
  <c r="AH8" i="3627"/>
  <c r="AI8" i="3627"/>
  <c r="AJ8" i="3627"/>
  <c r="AK8" i="3627"/>
  <c r="AL8" i="3627"/>
  <c r="AM8" i="3627"/>
  <c r="B9" i="3627"/>
  <c r="O9" i="3627"/>
  <c r="P9" i="3627"/>
  <c r="Q9" i="3627"/>
  <c r="R9" i="3627"/>
  <c r="S9" i="3627"/>
  <c r="T9" i="3627"/>
  <c r="U9" i="3627"/>
  <c r="V9" i="3627"/>
  <c r="W9" i="3627"/>
  <c r="X9" i="3627"/>
  <c r="Y9" i="3627"/>
  <c r="Z9" i="3627"/>
  <c r="AA9" i="3627"/>
  <c r="AB9" i="3627"/>
  <c r="AC9" i="3627"/>
  <c r="AD9" i="3627"/>
  <c r="AE9" i="3627"/>
  <c r="AF9" i="3627"/>
  <c r="AG9" i="3627"/>
  <c r="AH9" i="3627"/>
  <c r="AI9" i="3627"/>
  <c r="AJ9" i="3627"/>
  <c r="AK9" i="3627"/>
  <c r="AL9" i="3627"/>
  <c r="AM9" i="3627"/>
  <c r="B10" i="3627"/>
  <c r="P10" i="3627"/>
  <c r="Q10" i="3627"/>
  <c r="R10" i="3627"/>
  <c r="S10" i="3627"/>
  <c r="T10" i="3627"/>
  <c r="U10" i="3627"/>
  <c r="V10" i="3627"/>
  <c r="W10" i="3627"/>
  <c r="X10" i="3627"/>
  <c r="Y10" i="3627"/>
  <c r="Z10" i="3627"/>
  <c r="AA10" i="3627"/>
  <c r="AB10" i="3627"/>
  <c r="AC10" i="3627"/>
  <c r="AD10" i="3627"/>
  <c r="AE10" i="3627"/>
  <c r="AF10" i="3627"/>
  <c r="AG10" i="3627"/>
  <c r="AH10" i="3627"/>
  <c r="AI10" i="3627"/>
  <c r="AJ10" i="3627"/>
  <c r="AK10" i="3627"/>
  <c r="AL10" i="3627"/>
  <c r="AM10" i="3627"/>
  <c r="B11" i="3627"/>
  <c r="Q11" i="3627"/>
  <c r="R11" i="3627"/>
  <c r="S11" i="3627"/>
  <c r="T11" i="3627"/>
  <c r="U11" i="3627"/>
  <c r="V11" i="3627"/>
  <c r="W11" i="3627"/>
  <c r="X11" i="3627"/>
  <c r="Y11" i="3627"/>
  <c r="Z11" i="3627"/>
  <c r="AA11" i="3627"/>
  <c r="AB11" i="3627"/>
  <c r="AC11" i="3627"/>
  <c r="AD11" i="3627"/>
  <c r="AE11" i="3627"/>
  <c r="AF11" i="3627"/>
  <c r="AG11" i="3627"/>
  <c r="AH11" i="3627"/>
  <c r="AI11" i="3627"/>
  <c r="AJ11" i="3627"/>
  <c r="AK11" i="3627"/>
  <c r="AL11" i="3627"/>
  <c r="AM11" i="3627"/>
  <c r="B12" i="3627"/>
  <c r="R12" i="3627"/>
  <c r="S12" i="3627"/>
  <c r="T12" i="3627"/>
  <c r="U12" i="3627"/>
  <c r="V12" i="3627"/>
  <c r="W12" i="3627"/>
  <c r="X12" i="3627"/>
  <c r="Y12" i="3627"/>
  <c r="Z12" i="3627"/>
  <c r="AA12" i="3627"/>
  <c r="AB12" i="3627"/>
  <c r="AC12" i="3627"/>
  <c r="AD12" i="3627"/>
  <c r="AE12" i="3627"/>
  <c r="AF12" i="3627"/>
  <c r="AG12" i="3627"/>
  <c r="AH12" i="3627"/>
  <c r="AI12" i="3627"/>
  <c r="AJ12" i="3627"/>
  <c r="AK12" i="3627"/>
  <c r="AL12" i="3627"/>
  <c r="AM12" i="3627"/>
  <c r="B13" i="3627"/>
  <c r="S13" i="3627"/>
  <c r="T13" i="3627"/>
  <c r="U13" i="3627"/>
  <c r="V13" i="3627"/>
  <c r="W13" i="3627"/>
  <c r="X13" i="3627"/>
  <c r="Y13" i="3627"/>
  <c r="Z13" i="3627"/>
  <c r="AA13" i="3627"/>
  <c r="AB13" i="3627"/>
  <c r="AC13" i="3627"/>
  <c r="AD13" i="3627"/>
  <c r="AE13" i="3627"/>
  <c r="AF13" i="3627"/>
  <c r="AG13" i="3627"/>
  <c r="AH13" i="3627"/>
  <c r="AI13" i="3627"/>
  <c r="AJ13" i="3627"/>
  <c r="AK13" i="3627"/>
  <c r="AL13" i="3627"/>
  <c r="AM13" i="3627"/>
  <c r="B14" i="3627"/>
  <c r="T14" i="3627"/>
  <c r="U14" i="3627"/>
  <c r="V14" i="3627"/>
  <c r="W14" i="3627"/>
  <c r="X14" i="3627"/>
  <c r="Y14" i="3627"/>
  <c r="Z14" i="3627"/>
  <c r="AA14" i="3627"/>
  <c r="AB14" i="3627"/>
  <c r="AC14" i="3627"/>
  <c r="AD14" i="3627"/>
  <c r="AE14" i="3627"/>
  <c r="AF14" i="3627"/>
  <c r="AG14" i="3627"/>
  <c r="AH14" i="3627"/>
  <c r="AI14" i="3627"/>
  <c r="AJ14" i="3627"/>
  <c r="AK14" i="3627"/>
  <c r="AL14" i="3627"/>
  <c r="AM14" i="3627"/>
  <c r="B15" i="3627"/>
  <c r="U15" i="3627"/>
  <c r="V15" i="3627"/>
  <c r="W15" i="3627"/>
  <c r="X15" i="3627"/>
  <c r="Y15" i="3627"/>
  <c r="Z15" i="3627"/>
  <c r="AA15" i="3627"/>
  <c r="AB15" i="3627"/>
  <c r="AC15" i="3627"/>
  <c r="AD15" i="3627"/>
  <c r="AE15" i="3627"/>
  <c r="AF15" i="3627"/>
  <c r="AG15" i="3627"/>
  <c r="AH15" i="3627"/>
  <c r="AI15" i="3627"/>
  <c r="AJ15" i="3627"/>
  <c r="AK15" i="3627"/>
  <c r="AL15" i="3627"/>
  <c r="AM15" i="3627"/>
  <c r="B16" i="3627"/>
  <c r="V16" i="3627"/>
  <c r="W16" i="3627"/>
  <c r="X16" i="3627"/>
  <c r="Y16" i="3627"/>
  <c r="Z16" i="3627"/>
  <c r="AA16" i="3627"/>
  <c r="AB16" i="3627"/>
  <c r="AC16" i="3627"/>
  <c r="AD16" i="3627"/>
  <c r="AE16" i="3627"/>
  <c r="AF16" i="3627"/>
  <c r="AG16" i="3627"/>
  <c r="AH16" i="3627"/>
  <c r="AI16" i="3627"/>
  <c r="AJ16" i="3627"/>
  <c r="AK16" i="3627"/>
  <c r="AL16" i="3627"/>
  <c r="AM16" i="3627"/>
  <c r="B17" i="3627"/>
  <c r="W17" i="3627"/>
  <c r="X17" i="3627"/>
  <c r="Y17" i="3627"/>
  <c r="Z17" i="3627"/>
  <c r="AA17" i="3627"/>
  <c r="AB17" i="3627"/>
  <c r="AC17" i="3627"/>
  <c r="AD17" i="3627"/>
  <c r="AE17" i="3627"/>
  <c r="AF17" i="3627"/>
  <c r="AG17" i="3627"/>
  <c r="AH17" i="3627"/>
  <c r="AI17" i="3627"/>
  <c r="AJ17" i="3627"/>
  <c r="AK17" i="3627"/>
  <c r="AL17" i="3627"/>
  <c r="AM17" i="3627"/>
  <c r="B18" i="3627"/>
  <c r="X18" i="3627"/>
  <c r="Y18" i="3627"/>
  <c r="Z18" i="3627"/>
  <c r="AA18" i="3627"/>
  <c r="AB18" i="3627"/>
  <c r="AC18" i="3627"/>
  <c r="AD18" i="3627"/>
  <c r="AE18" i="3627"/>
  <c r="AF18" i="3627"/>
  <c r="AG18" i="3627"/>
  <c r="AH18" i="3627"/>
  <c r="AI18" i="3627"/>
  <c r="AJ18" i="3627"/>
  <c r="AK18" i="3627"/>
  <c r="AL18" i="3627"/>
  <c r="AM18" i="3627"/>
  <c r="B19" i="3627"/>
  <c r="Y19" i="3627"/>
  <c r="Z19" i="3627"/>
  <c r="AA19" i="3627"/>
  <c r="AB19" i="3627"/>
  <c r="AC19" i="3627"/>
  <c r="AD19" i="3627"/>
  <c r="AE19" i="3627"/>
  <c r="AF19" i="3627"/>
  <c r="AG19" i="3627"/>
  <c r="AH19" i="3627"/>
  <c r="AI19" i="3627"/>
  <c r="AJ19" i="3627"/>
  <c r="AK19" i="3627"/>
  <c r="AL19" i="3627"/>
  <c r="AM19" i="3627"/>
  <c r="B20" i="3627"/>
  <c r="Z20" i="3627"/>
  <c r="AA20" i="3627"/>
  <c r="AB20" i="3627"/>
  <c r="AC20" i="3627"/>
  <c r="AD20" i="3627"/>
  <c r="AE20" i="3627"/>
  <c r="AF20" i="3627"/>
  <c r="AG20" i="3627"/>
  <c r="AH20" i="3627"/>
  <c r="AI20" i="3627"/>
  <c r="AJ20" i="3627"/>
  <c r="AK20" i="3627"/>
  <c r="AL20" i="3627"/>
  <c r="AM20" i="3627"/>
  <c r="B21" i="3627"/>
  <c r="AA21" i="3627"/>
  <c r="AB21" i="3627"/>
  <c r="AC21" i="3627"/>
  <c r="AD21" i="3627"/>
  <c r="AE21" i="3627"/>
  <c r="AF21" i="3627"/>
  <c r="AG21" i="3627"/>
  <c r="AH21" i="3627"/>
  <c r="AI21" i="3627"/>
  <c r="AJ21" i="3627"/>
  <c r="AK21" i="3627"/>
  <c r="AL21" i="3627"/>
  <c r="AM21" i="3627"/>
  <c r="B22" i="3627"/>
  <c r="AB22" i="3627"/>
  <c r="AC22" i="3627"/>
  <c r="AD22" i="3627"/>
  <c r="AE22" i="3627"/>
  <c r="AF22" i="3627"/>
  <c r="AG22" i="3627"/>
  <c r="AH22" i="3627"/>
  <c r="AI22" i="3627"/>
  <c r="AJ22" i="3627"/>
  <c r="AK22" i="3627"/>
  <c r="AL22" i="3627"/>
  <c r="AM22" i="3627"/>
  <c r="B23" i="3627"/>
  <c r="AC23" i="3627"/>
  <c r="AD23" i="3627"/>
  <c r="AE23" i="3627"/>
  <c r="AF23" i="3627"/>
  <c r="AG23" i="3627"/>
  <c r="AH23" i="3627"/>
  <c r="AI23" i="3627"/>
  <c r="AJ23" i="3627"/>
  <c r="AK23" i="3627"/>
  <c r="AL23" i="3627"/>
  <c r="AM23" i="3627"/>
  <c r="B24" i="3627"/>
  <c r="AD24" i="3627"/>
  <c r="AE24" i="3627"/>
  <c r="AF24" i="3627"/>
  <c r="AG24" i="3627"/>
  <c r="AH24" i="3627"/>
  <c r="AI24" i="3627"/>
  <c r="AJ24" i="3627"/>
  <c r="AK24" i="3627"/>
  <c r="AL24" i="3627"/>
  <c r="AM24" i="3627"/>
  <c r="B25" i="3627"/>
  <c r="AE25" i="3627"/>
  <c r="AF25" i="3627"/>
  <c r="AG25" i="3627"/>
  <c r="AH25" i="3627"/>
  <c r="AI25" i="3627"/>
  <c r="AJ25" i="3627"/>
  <c r="AK25" i="3627"/>
  <c r="AL25" i="3627"/>
  <c r="AM25" i="3627"/>
  <c r="B26" i="3627"/>
  <c r="AF26" i="3627"/>
  <c r="AG26" i="3627"/>
  <c r="AH26" i="3627"/>
  <c r="AI26" i="3627"/>
  <c r="AJ26" i="3627"/>
  <c r="AK26" i="3627"/>
  <c r="AL26" i="3627"/>
  <c r="AM26" i="3627"/>
  <c r="B27" i="3627"/>
  <c r="AG27" i="3627"/>
  <c r="AH27" i="3627"/>
  <c r="AI27" i="3627"/>
  <c r="AJ27" i="3627"/>
  <c r="AK27" i="3627"/>
  <c r="AL27" i="3627"/>
  <c r="AM27" i="3627"/>
  <c r="B28" i="3627"/>
  <c r="AH28" i="3627"/>
  <c r="AI28" i="3627"/>
  <c r="AJ28" i="3627"/>
  <c r="AK28" i="3627"/>
  <c r="AL28" i="3627"/>
  <c r="AM28" i="3627"/>
  <c r="B29" i="3627"/>
  <c r="AI29" i="3627"/>
  <c r="AJ29" i="3627"/>
  <c r="AK29" i="3627"/>
  <c r="AL29" i="3627"/>
  <c r="AM29" i="3627"/>
  <c r="B30" i="3627"/>
  <c r="AJ30" i="3627"/>
  <c r="AK30" i="3627"/>
  <c r="AL30" i="3627"/>
  <c r="AM30" i="3627"/>
  <c r="B31" i="3627"/>
  <c r="AK31" i="3627"/>
  <c r="AL31" i="3627"/>
  <c r="AM31" i="3627"/>
  <c r="B32" i="3627"/>
  <c r="AL32" i="3627"/>
  <c r="AM32" i="3627"/>
  <c r="B33" i="3627"/>
  <c r="AM33" i="3627"/>
  <c r="K37" i="3627"/>
  <c r="L37" i="3627"/>
  <c r="M37" i="3627"/>
  <c r="N37" i="3627"/>
  <c r="O37" i="3627"/>
  <c r="P37" i="3627"/>
  <c r="Q37" i="3627"/>
  <c r="R37" i="3627"/>
  <c r="S37" i="3627"/>
  <c r="T37" i="3627"/>
  <c r="U37" i="3627"/>
  <c r="V37" i="3627"/>
  <c r="W37" i="3627"/>
  <c r="X37" i="3627"/>
  <c r="Y37" i="3627"/>
  <c r="Z37" i="3627"/>
  <c r="AA37" i="3627"/>
  <c r="AB37" i="3627"/>
  <c r="AC37" i="3627"/>
  <c r="AD37" i="3627"/>
  <c r="AE37" i="3627"/>
  <c r="AF37" i="3627"/>
  <c r="AG37" i="3627"/>
  <c r="AH37" i="3627"/>
  <c r="AI37" i="3627"/>
  <c r="AJ37" i="3627"/>
  <c r="AK37" i="3627"/>
  <c r="AL37" i="3627"/>
  <c r="AM37" i="3627"/>
  <c r="J38" i="3627"/>
  <c r="K38" i="3627"/>
  <c r="L38" i="3627"/>
  <c r="M38" i="3627"/>
  <c r="N38" i="3627"/>
  <c r="O38" i="3627"/>
  <c r="P38" i="3627"/>
  <c r="Q38" i="3627"/>
  <c r="R38" i="3627"/>
  <c r="S38" i="3627"/>
  <c r="T38" i="3627"/>
  <c r="U38" i="3627"/>
  <c r="V38" i="3627"/>
  <c r="W38" i="3627"/>
  <c r="X38" i="3627"/>
  <c r="Y38" i="3627"/>
  <c r="Z38" i="3627"/>
  <c r="AA38" i="3627"/>
  <c r="AB38" i="3627"/>
  <c r="AC38" i="3627"/>
  <c r="AD38" i="3627"/>
  <c r="AE38" i="3627"/>
  <c r="AF38" i="3627"/>
  <c r="AG38" i="3627"/>
  <c r="AH38" i="3627"/>
  <c r="AI38" i="3627"/>
  <c r="AJ38" i="3627"/>
  <c r="AK38" i="3627"/>
  <c r="AL38" i="3627"/>
  <c r="AM38" i="3627"/>
  <c r="J39" i="3627"/>
  <c r="K39" i="3627"/>
  <c r="L39" i="3627"/>
  <c r="M39" i="3627"/>
  <c r="N39" i="3627"/>
  <c r="O39" i="3627"/>
  <c r="P39" i="3627"/>
  <c r="Q39" i="3627"/>
  <c r="R39" i="3627"/>
  <c r="S39" i="3627"/>
  <c r="T39" i="3627"/>
  <c r="U39" i="3627"/>
  <c r="V39" i="3627"/>
  <c r="W39" i="3627"/>
  <c r="X39" i="3627"/>
  <c r="Y39" i="3627"/>
  <c r="Z39" i="3627"/>
  <c r="AA39" i="3627"/>
  <c r="AB39" i="3627"/>
  <c r="AC39" i="3627"/>
  <c r="AD39" i="3627"/>
  <c r="AE39" i="3627"/>
  <c r="AF39" i="3627"/>
  <c r="AG39" i="3627"/>
  <c r="AH39" i="3627"/>
  <c r="AI39" i="3627"/>
  <c r="AJ39" i="3627"/>
  <c r="AK39" i="3627"/>
  <c r="AL39" i="3627"/>
  <c r="AM39" i="3627"/>
  <c r="J40" i="3627"/>
  <c r="K40" i="3627"/>
  <c r="L40" i="3627"/>
  <c r="M40" i="3627"/>
  <c r="N40" i="3627"/>
  <c r="O40" i="3627"/>
  <c r="P40" i="3627"/>
  <c r="Q40" i="3627"/>
  <c r="R40" i="3627"/>
  <c r="S40" i="3627"/>
  <c r="T40" i="3627"/>
  <c r="U40" i="3627"/>
  <c r="V40" i="3627"/>
  <c r="W40" i="3627"/>
  <c r="X40" i="3627"/>
  <c r="Y40" i="3627"/>
  <c r="Z40" i="3627"/>
  <c r="AA40" i="3627"/>
  <c r="AB40" i="3627"/>
  <c r="AC40" i="3627"/>
  <c r="AD40" i="3627"/>
  <c r="AE40" i="3627"/>
  <c r="AF40" i="3627"/>
  <c r="AG40" i="3627"/>
  <c r="AH40" i="3627"/>
  <c r="AI40" i="3627"/>
  <c r="AJ40" i="3627"/>
  <c r="AK40" i="3627"/>
  <c r="AL40" i="3627"/>
  <c r="AM40" i="3627"/>
  <c r="B8" i="188"/>
  <c r="J8" i="188"/>
  <c r="K8" i="188"/>
  <c r="L8" i="188"/>
  <c r="M8" i="188"/>
  <c r="N8" i="188"/>
  <c r="O8" i="188"/>
  <c r="P8" i="188"/>
  <c r="Q8" i="188"/>
  <c r="R8" i="188"/>
  <c r="S8" i="188"/>
  <c r="T8" i="188"/>
  <c r="U8" i="188"/>
  <c r="V8" i="188"/>
  <c r="W8" i="188"/>
  <c r="X8" i="188"/>
  <c r="Y8" i="188"/>
  <c r="Z8" i="188"/>
  <c r="AA8" i="188"/>
  <c r="AB8" i="188"/>
  <c r="AC8" i="188"/>
  <c r="AD8" i="188"/>
  <c r="AE8" i="188"/>
  <c r="AF8" i="188"/>
  <c r="AG8" i="188"/>
  <c r="AH8" i="188"/>
  <c r="AI8" i="188"/>
  <c r="AJ8" i="188"/>
  <c r="AK8" i="188"/>
  <c r="AL8" i="188"/>
  <c r="AM8" i="188"/>
  <c r="B9" i="188"/>
  <c r="K9" i="188"/>
  <c r="L9" i="188"/>
  <c r="M9" i="188"/>
  <c r="N9" i="188"/>
  <c r="O9" i="188"/>
  <c r="P9" i="188"/>
  <c r="Q9" i="188"/>
  <c r="R9" i="188"/>
  <c r="S9" i="188"/>
  <c r="T9" i="188"/>
  <c r="U9" i="188"/>
  <c r="V9" i="188"/>
  <c r="W9" i="188"/>
  <c r="X9" i="188"/>
  <c r="Y9" i="188"/>
  <c r="Z9" i="188"/>
  <c r="AA9" i="188"/>
  <c r="AB9" i="188"/>
  <c r="AC9" i="188"/>
  <c r="AD9" i="188"/>
  <c r="AE9" i="188"/>
  <c r="AF9" i="188"/>
  <c r="AG9" i="188"/>
  <c r="AH9" i="188"/>
  <c r="AI9" i="188"/>
  <c r="AJ9" i="188"/>
  <c r="AK9" i="188"/>
  <c r="AL9" i="188"/>
  <c r="AM9" i="188"/>
  <c r="B10" i="188"/>
  <c r="L10" i="188"/>
  <c r="M10" i="188"/>
  <c r="N10" i="188"/>
  <c r="O10" i="188"/>
  <c r="P10" i="188"/>
  <c r="Q10" i="188"/>
  <c r="R10" i="188"/>
  <c r="S10" i="188"/>
  <c r="T10" i="188"/>
  <c r="U10" i="188"/>
  <c r="V10" i="188"/>
  <c r="W10" i="188"/>
  <c r="X10" i="188"/>
  <c r="Y10" i="188"/>
  <c r="Z10" i="188"/>
  <c r="AA10" i="188"/>
  <c r="AB10" i="188"/>
  <c r="AC10" i="188"/>
  <c r="AD10" i="188"/>
  <c r="AE10" i="188"/>
  <c r="AF10" i="188"/>
  <c r="AG10" i="188"/>
  <c r="AH10" i="188"/>
  <c r="AI10" i="188"/>
  <c r="AJ10" i="188"/>
  <c r="AK10" i="188"/>
  <c r="AL10" i="188"/>
  <c r="AM10" i="188"/>
  <c r="B11" i="188"/>
  <c r="M11" i="188"/>
  <c r="N11" i="188"/>
  <c r="O11" i="188"/>
  <c r="P11" i="188"/>
  <c r="Q11" i="188"/>
  <c r="R11" i="188"/>
  <c r="S11" i="188"/>
  <c r="T11" i="188"/>
  <c r="U11" i="188"/>
  <c r="V11" i="188"/>
  <c r="W11" i="188"/>
  <c r="X11" i="188"/>
  <c r="Y11" i="188"/>
  <c r="Z11" i="188"/>
  <c r="AA11" i="188"/>
  <c r="AB11" i="188"/>
  <c r="AC11" i="188"/>
  <c r="AD11" i="188"/>
  <c r="AE11" i="188"/>
  <c r="AF11" i="188"/>
  <c r="AG11" i="188"/>
  <c r="AH11" i="188"/>
  <c r="AI11" i="188"/>
  <c r="AJ11" i="188"/>
  <c r="AK11" i="188"/>
  <c r="AL11" i="188"/>
  <c r="AM11" i="188"/>
  <c r="B12" i="188"/>
  <c r="N12" i="188"/>
  <c r="O12" i="188"/>
  <c r="P12" i="188"/>
  <c r="Q12" i="188"/>
  <c r="R12" i="188"/>
  <c r="S12" i="188"/>
  <c r="T12" i="188"/>
  <c r="U12" i="188"/>
  <c r="V12" i="188"/>
  <c r="W12" i="188"/>
  <c r="X12" i="188"/>
  <c r="Y12" i="188"/>
  <c r="Z12" i="188"/>
  <c r="AA12" i="188"/>
  <c r="AB12" i="188"/>
  <c r="AC12" i="188"/>
  <c r="AD12" i="188"/>
  <c r="AE12" i="188"/>
  <c r="AF12" i="188"/>
  <c r="AG12" i="188"/>
  <c r="AH12" i="188"/>
  <c r="AI12" i="188"/>
  <c r="AJ12" i="188"/>
  <c r="AK12" i="188"/>
  <c r="AL12" i="188"/>
  <c r="AM12" i="188"/>
  <c r="B13" i="188"/>
  <c r="O13" i="188"/>
  <c r="P13" i="188"/>
  <c r="Q13" i="188"/>
  <c r="R13" i="188"/>
  <c r="S13" i="188"/>
  <c r="T13" i="188"/>
  <c r="U13" i="188"/>
  <c r="V13" i="188"/>
  <c r="W13" i="188"/>
  <c r="X13" i="188"/>
  <c r="Y13" i="188"/>
  <c r="Z13" i="188"/>
  <c r="AA13" i="188"/>
  <c r="AB13" i="188"/>
  <c r="AC13" i="188"/>
  <c r="AD13" i="188"/>
  <c r="AE13" i="188"/>
  <c r="AF13" i="188"/>
  <c r="AG13" i="188"/>
  <c r="AH13" i="188"/>
  <c r="AI13" i="188"/>
  <c r="AJ13" i="188"/>
  <c r="AK13" i="188"/>
  <c r="AL13" i="188"/>
  <c r="AM13" i="188"/>
  <c r="B14" i="188"/>
  <c r="P14" i="188"/>
  <c r="Q14" i="188"/>
  <c r="R14" i="188"/>
  <c r="S14" i="188"/>
  <c r="T14" i="188"/>
  <c r="U14" i="188"/>
  <c r="V14" i="188"/>
  <c r="W14" i="188"/>
  <c r="X14" i="188"/>
  <c r="Y14" i="188"/>
  <c r="Z14" i="188"/>
  <c r="AA14" i="188"/>
  <c r="AB14" i="188"/>
  <c r="AC14" i="188"/>
  <c r="AD14" i="188"/>
  <c r="AE14" i="188"/>
  <c r="AF14" i="188"/>
  <c r="AG14" i="188"/>
  <c r="AH14" i="188"/>
  <c r="AI14" i="188"/>
  <c r="AJ14" i="188"/>
  <c r="AK14" i="188"/>
  <c r="AL14" i="188"/>
  <c r="AM14" i="188"/>
  <c r="B15" i="188"/>
  <c r="Q15" i="188"/>
  <c r="R15" i="188"/>
  <c r="S15" i="188"/>
  <c r="T15" i="188"/>
  <c r="U15" i="188"/>
  <c r="V15" i="188"/>
  <c r="W15" i="188"/>
  <c r="X15" i="188"/>
  <c r="Y15" i="188"/>
  <c r="Z15" i="188"/>
  <c r="AA15" i="188"/>
  <c r="AB15" i="188"/>
  <c r="AC15" i="188"/>
  <c r="AD15" i="188"/>
  <c r="AE15" i="188"/>
  <c r="AF15" i="188"/>
  <c r="AG15" i="188"/>
  <c r="AH15" i="188"/>
  <c r="AI15" i="188"/>
  <c r="AJ15" i="188"/>
  <c r="AK15" i="188"/>
  <c r="AL15" i="188"/>
  <c r="AM15" i="188"/>
  <c r="B16" i="188"/>
  <c r="R16" i="188"/>
  <c r="S16" i="188"/>
  <c r="T16" i="188"/>
  <c r="U16" i="188"/>
  <c r="V16" i="188"/>
  <c r="W16" i="188"/>
  <c r="X16" i="188"/>
  <c r="Y16" i="188"/>
  <c r="Z16" i="188"/>
  <c r="AA16" i="188"/>
  <c r="AB16" i="188"/>
  <c r="AC16" i="188"/>
  <c r="AD16" i="188"/>
  <c r="AE16" i="188"/>
  <c r="AF16" i="188"/>
  <c r="AG16" i="188"/>
  <c r="AH16" i="188"/>
  <c r="AI16" i="188"/>
  <c r="AJ16" i="188"/>
  <c r="AK16" i="188"/>
  <c r="AL16" i="188"/>
  <c r="AM16" i="188"/>
  <c r="B17" i="188"/>
  <c r="S17" i="188"/>
  <c r="T17" i="188"/>
  <c r="U17" i="188"/>
  <c r="V17" i="188"/>
  <c r="W17" i="188"/>
  <c r="X17" i="188"/>
  <c r="Y17" i="188"/>
  <c r="Z17" i="188"/>
  <c r="AA17" i="188"/>
  <c r="AB17" i="188"/>
  <c r="AC17" i="188"/>
  <c r="AD17" i="188"/>
  <c r="AE17" i="188"/>
  <c r="AF17" i="188"/>
  <c r="AG17" i="188"/>
  <c r="AH17" i="188"/>
  <c r="AI17" i="188"/>
  <c r="AJ17" i="188"/>
  <c r="AK17" i="188"/>
  <c r="AL17" i="188"/>
  <c r="AM17" i="188"/>
  <c r="B18" i="188"/>
  <c r="T18" i="188"/>
  <c r="U18" i="188"/>
  <c r="V18" i="188"/>
  <c r="W18" i="188"/>
  <c r="X18" i="188"/>
  <c r="Y18" i="188"/>
  <c r="Z18" i="188"/>
  <c r="AA18" i="188"/>
  <c r="AB18" i="188"/>
  <c r="AC18" i="188"/>
  <c r="AD18" i="188"/>
  <c r="AE18" i="188"/>
  <c r="AF18" i="188"/>
  <c r="AG18" i="188"/>
  <c r="AH18" i="188"/>
  <c r="AI18" i="188"/>
  <c r="AJ18" i="188"/>
  <c r="AK18" i="188"/>
  <c r="AL18" i="188"/>
  <c r="AM18" i="188"/>
  <c r="B19" i="188"/>
  <c r="U19" i="188"/>
  <c r="V19" i="188"/>
  <c r="W19" i="188"/>
  <c r="X19" i="188"/>
  <c r="Y19" i="188"/>
  <c r="Z19" i="188"/>
  <c r="AA19" i="188"/>
  <c r="AB19" i="188"/>
  <c r="AC19" i="188"/>
  <c r="AD19" i="188"/>
  <c r="AE19" i="188"/>
  <c r="AF19" i="188"/>
  <c r="AG19" i="188"/>
  <c r="AH19" i="188"/>
  <c r="AI19" i="188"/>
  <c r="AJ19" i="188"/>
  <c r="AK19" i="188"/>
  <c r="AL19" i="188"/>
  <c r="AM19" i="188"/>
  <c r="B20" i="188"/>
  <c r="V20" i="188"/>
  <c r="W20" i="188"/>
  <c r="X20" i="188"/>
  <c r="Y20" i="188"/>
  <c r="Z20" i="188"/>
  <c r="AA20" i="188"/>
  <c r="AB20" i="188"/>
  <c r="AC20" i="188"/>
  <c r="AD20" i="188"/>
  <c r="AE20" i="188"/>
  <c r="AF20" i="188"/>
  <c r="AG20" i="188"/>
  <c r="AH20" i="188"/>
  <c r="AI20" i="188"/>
  <c r="AJ20" i="188"/>
  <c r="AK20" i="188"/>
  <c r="AL20" i="188"/>
  <c r="AM20" i="188"/>
  <c r="B21" i="188"/>
  <c r="W21" i="188"/>
  <c r="X21" i="188"/>
  <c r="Y21" i="188"/>
  <c r="Z21" i="188"/>
  <c r="AA21" i="188"/>
  <c r="AB21" i="188"/>
  <c r="AC21" i="188"/>
  <c r="AD21" i="188"/>
  <c r="AE21" i="188"/>
  <c r="AF21" i="188"/>
  <c r="AG21" i="188"/>
  <c r="AH21" i="188"/>
  <c r="AI21" i="188"/>
  <c r="AJ21" i="188"/>
  <c r="AK21" i="188"/>
  <c r="AL21" i="188"/>
  <c r="AM21" i="188"/>
  <c r="B22" i="188"/>
  <c r="X22" i="188"/>
  <c r="Y22" i="188"/>
  <c r="Z22" i="188"/>
  <c r="AA22" i="188"/>
  <c r="AB22" i="188"/>
  <c r="AC22" i="188"/>
  <c r="AD22" i="188"/>
  <c r="AE22" i="188"/>
  <c r="AF22" i="188"/>
  <c r="AG22" i="188"/>
  <c r="AH22" i="188"/>
  <c r="AI22" i="188"/>
  <c r="AJ22" i="188"/>
  <c r="AK22" i="188"/>
  <c r="AL22" i="188"/>
  <c r="AM22" i="188"/>
  <c r="B23" i="188"/>
  <c r="Y23" i="188"/>
  <c r="Z23" i="188"/>
  <c r="AA23" i="188"/>
  <c r="AB23" i="188"/>
  <c r="AC23" i="188"/>
  <c r="AD23" i="188"/>
  <c r="AE23" i="188"/>
  <c r="AF23" i="188"/>
  <c r="AG23" i="188"/>
  <c r="AH23" i="188"/>
  <c r="AI23" i="188"/>
  <c r="AJ23" i="188"/>
  <c r="AK23" i="188"/>
  <c r="AL23" i="188"/>
  <c r="AM23" i="188"/>
  <c r="B24" i="188"/>
  <c r="Z24" i="188"/>
  <c r="AA24" i="188"/>
  <c r="AB24" i="188"/>
  <c r="AC24" i="188"/>
  <c r="AD24" i="188"/>
  <c r="AE24" i="188"/>
  <c r="AF24" i="188"/>
  <c r="AG24" i="188"/>
  <c r="AH24" i="188"/>
  <c r="AI24" i="188"/>
  <c r="AJ24" i="188"/>
  <c r="AK24" i="188"/>
  <c r="AL24" i="188"/>
  <c r="AM24" i="188"/>
  <c r="B25" i="188"/>
  <c r="AA25" i="188"/>
  <c r="AB25" i="188"/>
  <c r="AC25" i="188"/>
  <c r="AD25" i="188"/>
  <c r="AE25" i="188"/>
  <c r="AF25" i="188"/>
  <c r="AG25" i="188"/>
  <c r="AH25" i="188"/>
  <c r="AI25" i="188"/>
  <c r="AJ25" i="188"/>
  <c r="AK25" i="188"/>
  <c r="AL25" i="188"/>
  <c r="AM25" i="188"/>
  <c r="B26" i="188"/>
  <c r="AB26" i="188"/>
  <c r="AC26" i="188"/>
  <c r="AD26" i="188"/>
  <c r="AE26" i="188"/>
  <c r="AF26" i="188"/>
  <c r="AG26" i="188"/>
  <c r="AH26" i="188"/>
  <c r="AI26" i="188"/>
  <c r="AJ26" i="188"/>
  <c r="AK26" i="188"/>
  <c r="AL26" i="188"/>
  <c r="AM26" i="188"/>
  <c r="B27" i="188"/>
  <c r="AC27" i="188"/>
  <c r="AD27" i="188"/>
  <c r="AE27" i="188"/>
  <c r="AF27" i="188"/>
  <c r="AG27" i="188"/>
  <c r="AH27" i="188"/>
  <c r="AI27" i="188"/>
  <c r="AJ27" i="188"/>
  <c r="AK27" i="188"/>
  <c r="AL27" i="188"/>
  <c r="AM27" i="188"/>
  <c r="B28" i="188"/>
  <c r="AD28" i="188"/>
  <c r="AE28" i="188"/>
  <c r="AF28" i="188"/>
  <c r="AG28" i="188"/>
  <c r="AH28" i="188"/>
  <c r="AI28" i="188"/>
  <c r="AJ28" i="188"/>
  <c r="AK28" i="188"/>
  <c r="AL28" i="188"/>
  <c r="AM28" i="188"/>
  <c r="B29" i="188"/>
  <c r="AE29" i="188"/>
  <c r="AF29" i="188"/>
  <c r="AG29" i="188"/>
  <c r="AH29" i="188"/>
  <c r="AI29" i="188"/>
  <c r="AJ29" i="188"/>
  <c r="AK29" i="188"/>
  <c r="AL29" i="188"/>
  <c r="AM29" i="188"/>
  <c r="B30" i="188"/>
  <c r="AF30" i="188"/>
  <c r="AG30" i="188"/>
  <c r="AH30" i="188"/>
  <c r="AI30" i="188"/>
  <c r="AJ30" i="188"/>
  <c r="AK30" i="188"/>
  <c r="AL30" i="188"/>
  <c r="AM30" i="188"/>
  <c r="B31" i="188"/>
  <c r="AG31" i="188"/>
  <c r="AH31" i="188"/>
  <c r="AI31" i="188"/>
  <c r="AJ31" i="188"/>
  <c r="AK31" i="188"/>
  <c r="AL31" i="188"/>
  <c r="AM31" i="188"/>
  <c r="B32" i="188"/>
  <c r="AH32" i="188"/>
  <c r="AI32" i="188"/>
  <c r="AJ32" i="188"/>
  <c r="AK32" i="188"/>
  <c r="AL32" i="188"/>
  <c r="AM32" i="188"/>
  <c r="B33" i="188"/>
  <c r="AI33" i="188"/>
  <c r="AJ33" i="188"/>
  <c r="AK33" i="188"/>
  <c r="AL33" i="188"/>
  <c r="AM33" i="188"/>
  <c r="B34" i="188"/>
  <c r="AJ34" i="188"/>
  <c r="AK34" i="188"/>
  <c r="AL34" i="188"/>
  <c r="AM34" i="188"/>
  <c r="B35" i="188"/>
  <c r="AK35" i="188"/>
  <c r="AL35" i="188"/>
  <c r="AM35" i="188"/>
  <c r="B36" i="188"/>
  <c r="AL36" i="188"/>
  <c r="AM36" i="188"/>
  <c r="B37" i="188"/>
  <c r="AM37" i="188"/>
  <c r="K104" i="188"/>
  <c r="L104" i="188"/>
  <c r="M104" i="188"/>
  <c r="N104" i="188"/>
  <c r="O104" i="188"/>
  <c r="P104" i="188"/>
  <c r="Q104" i="188"/>
  <c r="R104" i="188"/>
  <c r="S104" i="188"/>
  <c r="T104" i="188"/>
  <c r="U104" i="188"/>
  <c r="V104" i="188"/>
  <c r="W104" i="188"/>
  <c r="X104" i="188"/>
  <c r="Y104" i="188"/>
  <c r="Z104" i="188"/>
  <c r="AA104" i="188"/>
  <c r="AB104" i="188"/>
  <c r="AC104" i="188"/>
  <c r="AD104" i="188"/>
  <c r="AE104" i="188"/>
  <c r="AF104" i="188"/>
  <c r="AG104" i="188"/>
  <c r="AH104" i="188"/>
  <c r="AI104" i="188"/>
  <c r="AJ104" i="188"/>
  <c r="AK104" i="188"/>
  <c r="AL104" i="188"/>
  <c r="AM104" i="188"/>
  <c r="J106" i="188"/>
  <c r="K106" i="188"/>
  <c r="L106" i="188"/>
  <c r="M106" i="188"/>
  <c r="N106" i="188"/>
  <c r="O106" i="188"/>
  <c r="P106" i="188"/>
  <c r="Q106" i="188"/>
  <c r="R106" i="188"/>
  <c r="S106" i="188"/>
  <c r="T106" i="188"/>
  <c r="U106" i="188"/>
  <c r="V106" i="188"/>
  <c r="W106" i="188"/>
  <c r="X106" i="188"/>
  <c r="Y106" i="188"/>
  <c r="Z106" i="188"/>
  <c r="AA106" i="188"/>
  <c r="AB106" i="188"/>
  <c r="AC106" i="188"/>
  <c r="AD106" i="188"/>
  <c r="AE106" i="188"/>
  <c r="AF106" i="188"/>
  <c r="AG106" i="188"/>
  <c r="AH106" i="188"/>
  <c r="AI106" i="188"/>
  <c r="AJ106" i="188"/>
  <c r="AK106" i="188"/>
  <c r="AL106" i="188"/>
  <c r="AM106" i="188"/>
  <c r="J107" i="188"/>
  <c r="K107" i="188"/>
  <c r="L107" i="188"/>
  <c r="M107" i="188"/>
  <c r="N107" i="188"/>
  <c r="O107" i="188"/>
  <c r="P107" i="188"/>
  <c r="Q107" i="188"/>
  <c r="R107" i="188"/>
  <c r="S107" i="188"/>
  <c r="T107" i="188"/>
  <c r="U107" i="188"/>
  <c r="V107" i="188"/>
  <c r="W107" i="188"/>
  <c r="X107" i="188"/>
  <c r="Y107" i="188"/>
  <c r="Z107" i="188"/>
  <c r="AA107" i="188"/>
  <c r="AB107" i="188"/>
  <c r="AC107" i="188"/>
  <c r="AD107" i="188"/>
  <c r="AE107" i="188"/>
  <c r="AF107" i="188"/>
  <c r="AG107" i="188"/>
  <c r="AH107" i="188"/>
  <c r="AI107" i="188"/>
  <c r="AJ107" i="188"/>
  <c r="AK107" i="188"/>
  <c r="AL107" i="188"/>
  <c r="AM107" i="188"/>
  <c r="J108" i="188"/>
  <c r="K108" i="188"/>
  <c r="L108" i="188"/>
  <c r="M108" i="188"/>
  <c r="N108" i="188"/>
  <c r="O108" i="188"/>
  <c r="P108" i="188"/>
  <c r="Q108" i="188"/>
  <c r="R108" i="188"/>
  <c r="S108" i="188"/>
  <c r="T108" i="188"/>
  <c r="U108" i="188"/>
  <c r="V108" i="188"/>
  <c r="W108" i="188"/>
  <c r="X108" i="188"/>
  <c r="Y108" i="188"/>
  <c r="Z108" i="188"/>
  <c r="AA108" i="188"/>
  <c r="AB108" i="188"/>
  <c r="AC108" i="188"/>
  <c r="AD108" i="188"/>
  <c r="AE108" i="188"/>
  <c r="AF108" i="188"/>
  <c r="AG108" i="188"/>
  <c r="AH108" i="188"/>
  <c r="AI108" i="188"/>
  <c r="AJ108" i="188"/>
  <c r="AK108" i="188"/>
  <c r="AL108" i="188"/>
  <c r="AM108" i="188"/>
  <c r="K111" i="188"/>
  <c r="L111" i="188"/>
  <c r="M111" i="188"/>
  <c r="N111" i="188"/>
  <c r="O111" i="188"/>
  <c r="P111" i="188"/>
  <c r="Q111" i="188"/>
  <c r="R111" i="188"/>
  <c r="S111" i="188"/>
  <c r="T111" i="188"/>
  <c r="U111" i="188"/>
  <c r="V111" i="188"/>
  <c r="W111" i="188"/>
  <c r="X111" i="188"/>
  <c r="Y111" i="188"/>
  <c r="Z111" i="188"/>
  <c r="AA111" i="188"/>
  <c r="AB111" i="188"/>
  <c r="AC111" i="188"/>
  <c r="AD111" i="188"/>
  <c r="AE111" i="188"/>
  <c r="AF111" i="188"/>
  <c r="AG111" i="188"/>
  <c r="AH111" i="188"/>
  <c r="AI111" i="188"/>
  <c r="AJ111" i="188"/>
  <c r="AK111" i="188"/>
  <c r="AL111" i="188"/>
  <c r="AM111" i="188"/>
  <c r="J112" i="188"/>
  <c r="K112" i="188"/>
  <c r="L112" i="188"/>
  <c r="M112" i="188"/>
  <c r="N112" i="188"/>
  <c r="O112" i="188"/>
  <c r="P112" i="188"/>
  <c r="Q112" i="188"/>
  <c r="R112" i="188"/>
  <c r="S112" i="188"/>
  <c r="T112" i="188"/>
  <c r="U112" i="188"/>
  <c r="V112" i="188"/>
  <c r="W112" i="188"/>
  <c r="X112" i="188"/>
  <c r="Y112" i="188"/>
  <c r="Z112" i="188"/>
  <c r="AA112" i="188"/>
  <c r="AB112" i="188"/>
  <c r="AC112" i="188"/>
  <c r="AD112" i="188"/>
  <c r="AE112" i="188"/>
  <c r="AF112" i="188"/>
  <c r="AG112" i="188"/>
  <c r="AH112" i="188"/>
  <c r="AI112" i="188"/>
  <c r="AJ112" i="188"/>
  <c r="AK112" i="188"/>
  <c r="AL112" i="188"/>
  <c r="AM112" i="188"/>
  <c r="J113" i="188"/>
  <c r="K113" i="188"/>
  <c r="L113" i="188"/>
  <c r="M113" i="188"/>
  <c r="N113" i="188"/>
  <c r="O113" i="188"/>
  <c r="P113" i="188"/>
  <c r="Q113" i="188"/>
  <c r="R113" i="188"/>
  <c r="S113" i="188"/>
  <c r="T113" i="188"/>
  <c r="U113" i="188"/>
  <c r="V113" i="188"/>
  <c r="W113" i="188"/>
  <c r="X113" i="188"/>
  <c r="Y113" i="188"/>
  <c r="Z113" i="188"/>
  <c r="AA113" i="188"/>
  <c r="AB113" i="188"/>
  <c r="AC113" i="188"/>
  <c r="AD113" i="188"/>
  <c r="AE113" i="188"/>
  <c r="AF113" i="188"/>
  <c r="AG113" i="188"/>
  <c r="AH113" i="188"/>
  <c r="AI113" i="188"/>
  <c r="AJ113" i="188"/>
  <c r="AK113" i="188"/>
  <c r="AL113" i="188"/>
  <c r="AM113" i="188"/>
  <c r="J115" i="188"/>
  <c r="K115" i="188"/>
  <c r="L115" i="188"/>
  <c r="M115" i="188"/>
  <c r="N115" i="188"/>
  <c r="O115" i="188"/>
  <c r="P115" i="188"/>
  <c r="Q115" i="188"/>
  <c r="R115" i="188"/>
  <c r="S115" i="188"/>
  <c r="T115" i="188"/>
  <c r="U115" i="188"/>
  <c r="V115" i="188"/>
  <c r="W115" i="188"/>
  <c r="X115" i="188"/>
  <c r="Y115" i="188"/>
  <c r="Z115" i="188"/>
  <c r="AA115" i="188"/>
  <c r="AB115" i="188"/>
  <c r="AC115" i="188"/>
  <c r="AD115" i="188"/>
  <c r="AE115" i="188"/>
  <c r="AF115" i="188"/>
  <c r="AG115" i="188"/>
  <c r="AH115" i="188"/>
  <c r="AI115" i="188"/>
  <c r="AJ115" i="188"/>
  <c r="AK115" i="188"/>
  <c r="AL115" i="188"/>
  <c r="AM115" i="188"/>
  <c r="J116" i="188"/>
  <c r="K116" i="188"/>
  <c r="L116" i="188"/>
  <c r="M116" i="188"/>
  <c r="N116" i="188"/>
  <c r="O116" i="188"/>
  <c r="P116" i="188"/>
  <c r="Q116" i="188"/>
  <c r="R116" i="188"/>
  <c r="S116" i="188"/>
  <c r="T116" i="188"/>
  <c r="U116" i="188"/>
  <c r="V116" i="188"/>
  <c r="W116" i="188"/>
  <c r="X116" i="188"/>
  <c r="Y116" i="188"/>
  <c r="Z116" i="188"/>
  <c r="AA116" i="188"/>
  <c r="AB116" i="188"/>
  <c r="AC116" i="188"/>
  <c r="AD116" i="188"/>
  <c r="AE116" i="188"/>
  <c r="AF116" i="188"/>
  <c r="AG116" i="188"/>
  <c r="AH116" i="188"/>
  <c r="AI116" i="188"/>
  <c r="AJ116" i="188"/>
  <c r="AK116" i="188"/>
  <c r="AL116" i="188"/>
  <c r="AM116" i="188"/>
  <c r="I3" i="3584"/>
  <c r="J3" i="3584"/>
  <c r="K3" i="3584"/>
  <c r="L3" i="3584"/>
  <c r="M3" i="3584"/>
  <c r="N3" i="3584"/>
  <c r="O3" i="3584"/>
  <c r="P3" i="3584"/>
  <c r="Q3" i="3584"/>
  <c r="R3" i="3584"/>
  <c r="S3" i="3584"/>
  <c r="T3" i="3584"/>
  <c r="U3" i="3584"/>
  <c r="V3" i="3584"/>
  <c r="W3" i="3584"/>
  <c r="X3" i="3584"/>
  <c r="Y3" i="3584"/>
  <c r="Z3" i="3584"/>
  <c r="AA3" i="3584"/>
  <c r="AB3" i="3584"/>
  <c r="AC3" i="3584"/>
  <c r="AD3" i="3584"/>
  <c r="AE3" i="3584"/>
  <c r="AF3" i="3584"/>
  <c r="AG3" i="3584"/>
  <c r="AH3" i="3584"/>
  <c r="AI3" i="3584"/>
  <c r="AJ3" i="3584"/>
  <c r="AK3" i="3584"/>
  <c r="AL3" i="3584"/>
  <c r="I18" i="3584"/>
  <c r="J18" i="3584"/>
  <c r="K18" i="3584"/>
  <c r="L18" i="3584"/>
  <c r="M18" i="3584"/>
  <c r="N18" i="3584"/>
  <c r="O18" i="3584"/>
  <c r="P18" i="3584"/>
  <c r="Q18" i="3584"/>
  <c r="R18" i="3584"/>
  <c r="S18" i="3584"/>
  <c r="T18" i="3584"/>
  <c r="U18" i="3584"/>
  <c r="V18" i="3584"/>
  <c r="W18" i="3584"/>
  <c r="X18" i="3584"/>
  <c r="Y18" i="3584"/>
  <c r="Z18" i="3584"/>
  <c r="AA18" i="3584"/>
  <c r="AB18" i="3584"/>
  <c r="AC18" i="3584"/>
  <c r="AD18" i="3584"/>
  <c r="AE18" i="3584"/>
  <c r="AF18" i="3584"/>
  <c r="AG18" i="3584"/>
  <c r="AH18" i="3584"/>
  <c r="AI18" i="3584"/>
  <c r="AJ18" i="3584"/>
  <c r="AK18" i="3584"/>
  <c r="AL18" i="3584"/>
  <c r="I19" i="3584"/>
  <c r="J19" i="3584"/>
  <c r="K19" i="3584"/>
  <c r="L19" i="3584"/>
  <c r="M19" i="3584"/>
  <c r="N19" i="3584"/>
  <c r="O19" i="3584"/>
  <c r="P19" i="3584"/>
  <c r="Q19" i="3584"/>
  <c r="R19" i="3584"/>
  <c r="S19" i="3584"/>
  <c r="T19" i="3584"/>
  <c r="U19" i="3584"/>
  <c r="V19" i="3584"/>
  <c r="W19" i="3584"/>
  <c r="X19" i="3584"/>
  <c r="Y19" i="3584"/>
  <c r="Z19" i="3584"/>
  <c r="AA19" i="3584"/>
  <c r="AB19" i="3584"/>
  <c r="AC19" i="3584"/>
  <c r="AD19" i="3584"/>
  <c r="AE19" i="3584"/>
  <c r="AF19" i="3584"/>
  <c r="AG19" i="3584"/>
  <c r="AH19" i="3584"/>
  <c r="AI19" i="3584"/>
  <c r="AJ19" i="3584"/>
  <c r="AK19" i="3584"/>
  <c r="AL19" i="3584"/>
  <c r="I30" i="3584"/>
  <c r="J30" i="3584"/>
  <c r="K30" i="3584"/>
  <c r="L30" i="3584"/>
  <c r="M30" i="3584"/>
  <c r="N30" i="3584"/>
  <c r="O30" i="3584"/>
  <c r="P30" i="3584"/>
  <c r="Q30" i="3584"/>
  <c r="R30" i="3584"/>
  <c r="S30" i="3584"/>
  <c r="T30" i="3584"/>
  <c r="U30" i="3584"/>
  <c r="V30" i="3584"/>
  <c r="W30" i="3584"/>
  <c r="X30" i="3584"/>
  <c r="Y30" i="3584"/>
  <c r="Z30" i="3584"/>
  <c r="AA30" i="3584"/>
  <c r="AB30" i="3584"/>
  <c r="AC30" i="3584"/>
  <c r="AD30" i="3584"/>
  <c r="AE30" i="3584"/>
  <c r="AF30" i="3584"/>
  <c r="AG30" i="3584"/>
  <c r="AH30" i="3584"/>
  <c r="AI30" i="3584"/>
  <c r="AJ30" i="3584"/>
  <c r="AK30" i="3584"/>
  <c r="AL30" i="3584"/>
  <c r="I31" i="3584"/>
  <c r="J31" i="3584"/>
  <c r="K31" i="3584"/>
  <c r="L31" i="3584"/>
  <c r="M31" i="3584"/>
  <c r="N31" i="3584"/>
  <c r="O31" i="3584"/>
  <c r="P31" i="3584"/>
  <c r="Q31" i="3584"/>
  <c r="R31" i="3584"/>
  <c r="S31" i="3584"/>
  <c r="T31" i="3584"/>
  <c r="U31" i="3584"/>
  <c r="V31" i="3584"/>
  <c r="W31" i="3584"/>
  <c r="X31" i="3584"/>
  <c r="Y31" i="3584"/>
  <c r="Z31" i="3584"/>
  <c r="AA31" i="3584"/>
  <c r="AB31" i="3584"/>
  <c r="AC31" i="3584"/>
  <c r="AD31" i="3584"/>
  <c r="AE31" i="3584"/>
  <c r="AF31" i="3584"/>
  <c r="AG31" i="3584"/>
  <c r="AH31" i="3584"/>
  <c r="AI31" i="3584"/>
  <c r="AJ31" i="3584"/>
  <c r="AK31" i="3584"/>
  <c r="AL31" i="3584"/>
  <c r="I38" i="3584"/>
  <c r="J38" i="3584"/>
  <c r="K38" i="3584"/>
  <c r="L38" i="3584"/>
  <c r="M38" i="3584"/>
  <c r="N38" i="3584"/>
  <c r="O38" i="3584"/>
  <c r="P38" i="3584"/>
  <c r="Q38" i="3584"/>
  <c r="R38" i="3584"/>
  <c r="S38" i="3584"/>
  <c r="T38" i="3584"/>
  <c r="U38" i="3584"/>
  <c r="V38" i="3584"/>
  <c r="W38" i="3584"/>
  <c r="X38" i="3584"/>
  <c r="Y38" i="3584"/>
  <c r="Z38" i="3584"/>
  <c r="AA38" i="3584"/>
  <c r="AB38" i="3584"/>
  <c r="AC38" i="3584"/>
  <c r="AD38" i="3584"/>
  <c r="AE38" i="3584"/>
  <c r="AF38" i="3584"/>
  <c r="AG38" i="3584"/>
  <c r="AH38" i="3584"/>
  <c r="AI38" i="3584"/>
  <c r="AJ38" i="3584"/>
  <c r="AK38" i="3584"/>
  <c r="AL38" i="3584"/>
  <c r="I39" i="3584"/>
  <c r="J39" i="3584"/>
  <c r="K39" i="3584"/>
  <c r="L39" i="3584"/>
  <c r="M39" i="3584"/>
  <c r="N39" i="3584"/>
  <c r="O39" i="3584"/>
  <c r="P39" i="3584"/>
  <c r="Q39" i="3584"/>
  <c r="R39" i="3584"/>
  <c r="S39" i="3584"/>
  <c r="T39" i="3584"/>
  <c r="U39" i="3584"/>
  <c r="V39" i="3584"/>
  <c r="W39" i="3584"/>
  <c r="X39" i="3584"/>
  <c r="Y39" i="3584"/>
  <c r="Z39" i="3584"/>
  <c r="AA39" i="3584"/>
  <c r="AB39" i="3584"/>
  <c r="AC39" i="3584"/>
  <c r="AD39" i="3584"/>
  <c r="AE39" i="3584"/>
  <c r="AF39" i="3584"/>
  <c r="AG39" i="3584"/>
  <c r="AH39" i="3584"/>
  <c r="AI39" i="3584"/>
  <c r="AJ39" i="3584"/>
  <c r="AK39" i="3584"/>
  <c r="AL39" i="3584"/>
  <c r="I40" i="3584"/>
  <c r="J40" i="3584"/>
  <c r="K40" i="3584"/>
  <c r="L40" i="3584"/>
  <c r="M40" i="3584"/>
  <c r="N40" i="3584"/>
  <c r="O40" i="3584"/>
  <c r="P40" i="3584"/>
  <c r="Q40" i="3584"/>
  <c r="R40" i="3584"/>
  <c r="S40" i="3584"/>
  <c r="T40" i="3584"/>
  <c r="U40" i="3584"/>
  <c r="V40" i="3584"/>
  <c r="W40" i="3584"/>
  <c r="X40" i="3584"/>
  <c r="Y40" i="3584"/>
  <c r="Z40" i="3584"/>
  <c r="AA40" i="3584"/>
  <c r="AB40" i="3584"/>
  <c r="AC40" i="3584"/>
  <c r="AD40" i="3584"/>
  <c r="AE40" i="3584"/>
  <c r="AF40" i="3584"/>
  <c r="AG40" i="3584"/>
  <c r="AH40" i="3584"/>
  <c r="AI40" i="3584"/>
  <c r="AJ40" i="3584"/>
  <c r="AK40" i="3584"/>
  <c r="AL40" i="3584"/>
  <c r="I42" i="3584"/>
  <c r="J42" i="3584"/>
  <c r="K42" i="3584"/>
  <c r="L42" i="3584"/>
  <c r="M42" i="3584"/>
  <c r="N42" i="3584"/>
  <c r="O42" i="3584"/>
  <c r="P42" i="3584"/>
  <c r="Q42" i="3584"/>
  <c r="R42" i="3584"/>
  <c r="S42" i="3584"/>
  <c r="T42" i="3584"/>
  <c r="U42" i="3584"/>
  <c r="V42" i="3584"/>
  <c r="W42" i="3584"/>
  <c r="X42" i="3584"/>
  <c r="Y42" i="3584"/>
  <c r="Z42" i="3584"/>
  <c r="AA42" i="3584"/>
  <c r="AB42" i="3584"/>
  <c r="AC42" i="3584"/>
  <c r="AD42" i="3584"/>
  <c r="AE42" i="3584"/>
  <c r="AF42" i="3584"/>
  <c r="AG42" i="3584"/>
  <c r="AH42" i="3584"/>
  <c r="AI42" i="3584"/>
  <c r="AJ42" i="3584"/>
  <c r="AK42" i="3584"/>
  <c r="AL42" i="3584"/>
  <c r="I52" i="3584"/>
  <c r="J52" i="3584"/>
  <c r="K52" i="3584"/>
  <c r="L52" i="3584"/>
  <c r="M52" i="3584"/>
  <c r="N52" i="3584"/>
  <c r="O52" i="3584"/>
  <c r="P52" i="3584"/>
  <c r="Q52" i="3584"/>
  <c r="R52" i="3584"/>
  <c r="S52" i="3584"/>
  <c r="T52" i="3584"/>
  <c r="U52" i="3584"/>
  <c r="V52" i="3584"/>
  <c r="W52" i="3584"/>
  <c r="X52" i="3584"/>
  <c r="Y52" i="3584"/>
  <c r="Z52" i="3584"/>
  <c r="AA52" i="3584"/>
  <c r="AB52" i="3584"/>
  <c r="AC52" i="3584"/>
  <c r="AD52" i="3584"/>
  <c r="AE52" i="3584"/>
  <c r="AF52" i="3584"/>
  <c r="AG52" i="3584"/>
  <c r="AH52" i="3584"/>
  <c r="AI52" i="3584"/>
  <c r="AJ52" i="3584"/>
  <c r="AK52" i="3584"/>
  <c r="AL52" i="3584"/>
  <c r="I59" i="3584"/>
  <c r="J59" i="3584"/>
  <c r="K59" i="3584"/>
  <c r="L59" i="3584"/>
  <c r="M59" i="3584"/>
  <c r="N59" i="3584"/>
  <c r="O59" i="3584"/>
  <c r="P59" i="3584"/>
  <c r="Q59" i="3584"/>
  <c r="R59" i="3584"/>
  <c r="S59" i="3584"/>
  <c r="T59" i="3584"/>
  <c r="U59" i="3584"/>
  <c r="V59" i="3584"/>
  <c r="W59" i="3584"/>
  <c r="X59" i="3584"/>
  <c r="Y59" i="3584"/>
  <c r="Z59" i="3584"/>
  <c r="AA59" i="3584"/>
  <c r="AB59" i="3584"/>
  <c r="AC59" i="3584"/>
  <c r="AD59" i="3584"/>
  <c r="AE59" i="3584"/>
  <c r="AF59" i="3584"/>
  <c r="AG59" i="3584"/>
  <c r="AH59" i="3584"/>
  <c r="AI59" i="3584"/>
  <c r="AJ59" i="3584"/>
  <c r="AK59" i="3584"/>
  <c r="AL59" i="3584"/>
  <c r="I60" i="3584"/>
  <c r="J60" i="3584"/>
  <c r="K60" i="3584"/>
  <c r="L60" i="3584"/>
  <c r="M60" i="3584"/>
  <c r="N60" i="3584"/>
  <c r="O60" i="3584"/>
  <c r="P60" i="3584"/>
  <c r="Q60" i="3584"/>
  <c r="R60" i="3584"/>
  <c r="S60" i="3584"/>
  <c r="T60" i="3584"/>
  <c r="U60" i="3584"/>
  <c r="V60" i="3584"/>
  <c r="W60" i="3584"/>
  <c r="X60" i="3584"/>
  <c r="Y60" i="3584"/>
  <c r="Z60" i="3584"/>
  <c r="AA60" i="3584"/>
  <c r="AB60" i="3584"/>
  <c r="AC60" i="3584"/>
  <c r="AD60" i="3584"/>
  <c r="AE60" i="3584"/>
  <c r="AF60" i="3584"/>
  <c r="AG60" i="3584"/>
  <c r="AH60" i="3584"/>
  <c r="AI60" i="3584"/>
  <c r="AJ60" i="3584"/>
  <c r="AK60" i="3584"/>
  <c r="AL60" i="3584"/>
  <c r="I62" i="3584"/>
  <c r="J62" i="3584"/>
  <c r="K62" i="3584"/>
  <c r="L62" i="3584"/>
  <c r="M62" i="3584"/>
  <c r="N62" i="3584"/>
  <c r="O62" i="3584"/>
  <c r="P62" i="3584"/>
  <c r="Q62" i="3584"/>
  <c r="R62" i="3584"/>
  <c r="S62" i="3584"/>
  <c r="T62" i="3584"/>
  <c r="U62" i="3584"/>
  <c r="V62" i="3584"/>
  <c r="W62" i="3584"/>
  <c r="X62" i="3584"/>
  <c r="Y62" i="3584"/>
  <c r="Z62" i="3584"/>
  <c r="AA62" i="3584"/>
  <c r="AB62" i="3584"/>
  <c r="AC62" i="3584"/>
  <c r="AD62" i="3584"/>
  <c r="AE62" i="3584"/>
  <c r="AF62" i="3584"/>
  <c r="AG62" i="3584"/>
  <c r="AH62" i="3584"/>
  <c r="AI62" i="3584"/>
  <c r="AJ62" i="3584"/>
  <c r="AK62" i="3584"/>
  <c r="AL62" i="3584"/>
  <c r="I69" i="3584"/>
  <c r="J69" i="3584"/>
  <c r="K69" i="3584"/>
  <c r="L69" i="3584"/>
  <c r="M69" i="3584"/>
  <c r="N69" i="3584"/>
  <c r="O69" i="3584"/>
  <c r="P69" i="3584"/>
  <c r="Q69" i="3584"/>
  <c r="R69" i="3584"/>
  <c r="S69" i="3584"/>
  <c r="T69" i="3584"/>
  <c r="U69" i="3584"/>
  <c r="V69" i="3584"/>
  <c r="W69" i="3584"/>
  <c r="X69" i="3584"/>
  <c r="Y69" i="3584"/>
  <c r="Z69" i="3584"/>
  <c r="AA69" i="3584"/>
  <c r="AB69" i="3584"/>
  <c r="AC69" i="3584"/>
  <c r="AD69" i="3584"/>
  <c r="AE69" i="3584"/>
  <c r="AF69" i="3584"/>
  <c r="AG69" i="3584"/>
  <c r="AH69" i="3584"/>
  <c r="AI69" i="3584"/>
  <c r="AJ69" i="3584"/>
  <c r="AK69" i="3584"/>
  <c r="AL69" i="3584"/>
  <c r="I70" i="3584"/>
  <c r="J70" i="3584"/>
  <c r="K70" i="3584"/>
  <c r="L70" i="3584"/>
  <c r="M70" i="3584"/>
  <c r="N70" i="3584"/>
  <c r="O70" i="3584"/>
  <c r="P70" i="3584"/>
  <c r="Q70" i="3584"/>
  <c r="R70" i="3584"/>
  <c r="S70" i="3584"/>
  <c r="T70" i="3584"/>
  <c r="U70" i="3584"/>
  <c r="V70" i="3584"/>
  <c r="W70" i="3584"/>
  <c r="X70" i="3584"/>
  <c r="Y70" i="3584"/>
  <c r="Z70" i="3584"/>
  <c r="AA70" i="3584"/>
  <c r="AB70" i="3584"/>
  <c r="AC70" i="3584"/>
  <c r="AD70" i="3584"/>
  <c r="AE70" i="3584"/>
  <c r="AF70" i="3584"/>
  <c r="AG70" i="3584"/>
  <c r="AH70" i="3584"/>
  <c r="AI70" i="3584"/>
  <c r="AJ70" i="3584"/>
  <c r="AK70" i="3584"/>
  <c r="AL70" i="3584"/>
  <c r="I72" i="3584"/>
  <c r="J72" i="3584"/>
  <c r="K72" i="3584"/>
  <c r="L72" i="3584"/>
  <c r="M72" i="3584"/>
  <c r="N72" i="3584"/>
  <c r="O72" i="3584"/>
  <c r="P72" i="3584"/>
  <c r="Q72" i="3584"/>
  <c r="R72" i="3584"/>
  <c r="S72" i="3584"/>
  <c r="T72" i="3584"/>
  <c r="U72" i="3584"/>
  <c r="V72" i="3584"/>
  <c r="W72" i="3584"/>
  <c r="X72" i="3584"/>
  <c r="Y72" i="3584"/>
  <c r="Z72" i="3584"/>
  <c r="AA72" i="3584"/>
  <c r="AB72" i="3584"/>
  <c r="AC72" i="3584"/>
  <c r="AD72" i="3584"/>
  <c r="AE72" i="3584"/>
  <c r="AF72" i="3584"/>
  <c r="AG72" i="3584"/>
  <c r="AH72" i="3584"/>
  <c r="AI72" i="3584"/>
  <c r="AJ72" i="3584"/>
  <c r="AK72" i="3584"/>
  <c r="AL72" i="3584"/>
  <c r="I81" i="3584"/>
  <c r="J81" i="3584"/>
  <c r="K81" i="3584"/>
  <c r="L81" i="3584"/>
  <c r="M81" i="3584"/>
  <c r="N81" i="3584"/>
  <c r="O81" i="3584"/>
  <c r="P81" i="3584"/>
  <c r="Q81" i="3584"/>
  <c r="R81" i="3584"/>
  <c r="S81" i="3584"/>
  <c r="T81" i="3584"/>
  <c r="U81" i="3584"/>
  <c r="V81" i="3584"/>
  <c r="W81" i="3584"/>
  <c r="X81" i="3584"/>
  <c r="Y81" i="3584"/>
  <c r="Z81" i="3584"/>
  <c r="AA81" i="3584"/>
  <c r="AB81" i="3584"/>
  <c r="AC81" i="3584"/>
  <c r="AD81" i="3584"/>
  <c r="AE81" i="3584"/>
  <c r="AF81" i="3584"/>
  <c r="AG81" i="3584"/>
  <c r="AH81" i="3584"/>
  <c r="AI81" i="3584"/>
  <c r="AJ81" i="3584"/>
  <c r="AK81" i="3584"/>
  <c r="AL81" i="3584"/>
  <c r="I82" i="3584"/>
  <c r="J82" i="3584"/>
  <c r="K82" i="3584"/>
  <c r="L82" i="3584"/>
  <c r="M82" i="3584"/>
  <c r="N82" i="3584"/>
  <c r="O82" i="3584"/>
  <c r="P82" i="3584"/>
  <c r="Q82" i="3584"/>
  <c r="R82" i="3584"/>
  <c r="S82" i="3584"/>
  <c r="T82" i="3584"/>
  <c r="U82" i="3584"/>
  <c r="V82" i="3584"/>
  <c r="W82" i="3584"/>
  <c r="X82" i="3584"/>
  <c r="Y82" i="3584"/>
  <c r="Z82" i="3584"/>
  <c r="AA82" i="3584"/>
  <c r="AB82" i="3584"/>
  <c r="AC82" i="3584"/>
  <c r="AD82" i="3584"/>
  <c r="AE82" i="3584"/>
  <c r="AF82" i="3584"/>
  <c r="AG82" i="3584"/>
  <c r="AH82" i="3584"/>
  <c r="AI82" i="3584"/>
  <c r="AJ82" i="3584"/>
  <c r="AK82" i="3584"/>
  <c r="AL82" i="3584"/>
  <c r="I83" i="3584"/>
  <c r="J83" i="3584"/>
  <c r="K83" i="3584"/>
  <c r="I84" i="3584"/>
  <c r="J84" i="3584"/>
  <c r="K84" i="3584"/>
  <c r="L84" i="3584"/>
  <c r="M84" i="3584"/>
  <c r="N84" i="3584"/>
  <c r="O84" i="3584"/>
  <c r="P84" i="3584"/>
  <c r="Q84" i="3584"/>
  <c r="R84" i="3584"/>
  <c r="S84" i="3584"/>
  <c r="T84" i="3584"/>
  <c r="U84" i="3584"/>
  <c r="V84" i="3584"/>
  <c r="W84" i="3584"/>
  <c r="X84" i="3584"/>
  <c r="Y84" i="3584"/>
  <c r="Z84" i="3584"/>
  <c r="AA84" i="3584"/>
  <c r="AB84" i="3584"/>
  <c r="AC84" i="3584"/>
  <c r="AD84" i="3584"/>
  <c r="AE84" i="3584"/>
  <c r="AF84" i="3584"/>
  <c r="AG84" i="3584"/>
  <c r="AH84" i="3584"/>
  <c r="AI84" i="3584"/>
  <c r="AJ84" i="3584"/>
  <c r="AK84" i="3584"/>
  <c r="AL84" i="3584"/>
  <c r="I85" i="3584"/>
  <c r="J85" i="3584"/>
  <c r="K85" i="3584"/>
  <c r="L85" i="3584"/>
  <c r="M85" i="3584"/>
  <c r="N85" i="3584"/>
  <c r="O85" i="3584"/>
  <c r="P85" i="3584"/>
  <c r="Q85" i="3584"/>
  <c r="R85" i="3584"/>
  <c r="S85" i="3584"/>
  <c r="T85" i="3584"/>
  <c r="U85" i="3584"/>
  <c r="V85" i="3584"/>
  <c r="W85" i="3584"/>
  <c r="X85" i="3584"/>
  <c r="Y85" i="3584"/>
  <c r="Z85" i="3584"/>
  <c r="AA85" i="3584"/>
  <c r="AB85" i="3584"/>
  <c r="AC85" i="3584"/>
  <c r="AD85" i="3584"/>
  <c r="AE85" i="3584"/>
  <c r="AF85" i="3584"/>
  <c r="AG85" i="3584"/>
  <c r="AH85" i="3584"/>
  <c r="AI85" i="3584"/>
  <c r="AJ85" i="3584"/>
  <c r="AK85" i="3584"/>
  <c r="AL85" i="3584"/>
  <c r="I86" i="3584"/>
  <c r="J86" i="3584"/>
  <c r="K86" i="3584"/>
  <c r="L86" i="3584"/>
  <c r="M86" i="3584"/>
  <c r="N86" i="3584"/>
  <c r="O86" i="3584"/>
  <c r="P86" i="3584"/>
  <c r="Q86" i="3584"/>
  <c r="R86" i="3584"/>
  <c r="S86" i="3584"/>
  <c r="T86" i="3584"/>
  <c r="U86" i="3584"/>
  <c r="V86" i="3584"/>
  <c r="W86" i="3584"/>
  <c r="X86" i="3584"/>
  <c r="Y86" i="3584"/>
  <c r="Z86" i="3584"/>
  <c r="AA86" i="3584"/>
  <c r="AB86" i="3584"/>
  <c r="AC86" i="3584"/>
  <c r="AD86" i="3584"/>
  <c r="AE86" i="3584"/>
  <c r="AF86" i="3584"/>
  <c r="AG86" i="3584"/>
  <c r="AH86" i="3584"/>
  <c r="AI86" i="3584"/>
  <c r="AJ86" i="3584"/>
  <c r="AK86" i="3584"/>
  <c r="AL86" i="3584"/>
  <c r="I88" i="3584"/>
  <c r="J88" i="3584"/>
  <c r="K88" i="3584"/>
  <c r="L88" i="3584"/>
  <c r="M88" i="3584"/>
  <c r="N88" i="3584"/>
  <c r="O88" i="3584"/>
  <c r="P88" i="3584"/>
  <c r="Q88" i="3584"/>
  <c r="R88" i="3584"/>
  <c r="S88" i="3584"/>
  <c r="T88" i="3584"/>
  <c r="U88" i="3584"/>
  <c r="V88" i="3584"/>
  <c r="W88" i="3584"/>
  <c r="X88" i="3584"/>
  <c r="Y88" i="3584"/>
  <c r="Z88" i="3584"/>
  <c r="AA88" i="3584"/>
  <c r="AB88" i="3584"/>
  <c r="AC88" i="3584"/>
  <c r="AD88" i="3584"/>
  <c r="AE88" i="3584"/>
  <c r="AF88" i="3584"/>
  <c r="AG88" i="3584"/>
  <c r="AH88" i="3584"/>
  <c r="AI88" i="3584"/>
  <c r="AJ88" i="3584"/>
  <c r="AK88" i="3584"/>
  <c r="AL88" i="3584"/>
  <c r="I89" i="3584"/>
  <c r="J89" i="3584"/>
  <c r="K89" i="3584"/>
  <c r="L89" i="3584"/>
  <c r="M89" i="3584"/>
  <c r="N89" i="3584"/>
  <c r="O89" i="3584"/>
  <c r="P89" i="3584"/>
  <c r="Q89" i="3584"/>
  <c r="R89" i="3584"/>
  <c r="S89" i="3584"/>
  <c r="T89" i="3584"/>
  <c r="U89" i="3584"/>
  <c r="V89" i="3584"/>
  <c r="W89" i="3584"/>
  <c r="X89" i="3584"/>
  <c r="Y89" i="3584"/>
  <c r="Z89" i="3584"/>
  <c r="AA89" i="3584"/>
  <c r="AB89" i="3584"/>
  <c r="AC89" i="3584"/>
  <c r="AD89" i="3584"/>
  <c r="AE89" i="3584"/>
  <c r="AF89" i="3584"/>
  <c r="AG89" i="3584"/>
  <c r="AH89" i="3584"/>
  <c r="AI89" i="3584"/>
  <c r="AJ89" i="3584"/>
  <c r="AK89" i="3584"/>
  <c r="AL89" i="3584"/>
  <c r="I90" i="3584"/>
  <c r="J90" i="3584"/>
  <c r="K90" i="3584"/>
  <c r="L90" i="3584"/>
  <c r="M90" i="3584"/>
  <c r="N90" i="3584"/>
  <c r="O90" i="3584"/>
  <c r="P90" i="3584"/>
  <c r="Q90" i="3584"/>
  <c r="R90" i="3584"/>
  <c r="S90" i="3584"/>
  <c r="T90" i="3584"/>
  <c r="U90" i="3584"/>
  <c r="V90" i="3584"/>
  <c r="W90" i="3584"/>
  <c r="X90" i="3584"/>
  <c r="Y90" i="3584"/>
  <c r="Z90" i="3584"/>
  <c r="AA90" i="3584"/>
  <c r="AB90" i="3584"/>
  <c r="AC90" i="3584"/>
  <c r="AD90" i="3584"/>
  <c r="AE90" i="3584"/>
  <c r="AF90" i="3584"/>
  <c r="AG90" i="3584"/>
  <c r="AH90" i="3584"/>
  <c r="AI90" i="3584"/>
  <c r="AJ90" i="3584"/>
  <c r="AK90" i="3584"/>
  <c r="AL90" i="3584"/>
  <c r="I91" i="3584"/>
  <c r="J91" i="3584"/>
  <c r="K91" i="3584"/>
  <c r="L91" i="3584"/>
  <c r="M91" i="3584"/>
  <c r="N91" i="3584"/>
  <c r="O91" i="3584"/>
  <c r="P91" i="3584"/>
  <c r="Q91" i="3584"/>
  <c r="R91" i="3584"/>
  <c r="S91" i="3584"/>
  <c r="T91" i="3584"/>
  <c r="U91" i="3584"/>
  <c r="V91" i="3584"/>
  <c r="W91" i="3584"/>
  <c r="X91" i="3584"/>
  <c r="Y91" i="3584"/>
  <c r="Z91" i="3584"/>
  <c r="AA91" i="3584"/>
  <c r="AB91" i="3584"/>
  <c r="AC91" i="3584"/>
  <c r="AD91" i="3584"/>
  <c r="AE91" i="3584"/>
  <c r="AF91" i="3584"/>
  <c r="AG91" i="3584"/>
  <c r="AH91" i="3584"/>
  <c r="AI91" i="3584"/>
  <c r="AJ91" i="3584"/>
  <c r="AK91" i="3584"/>
  <c r="AL91" i="358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朱骜飞</author>
  </authors>
  <commentList>
    <comment ref="C1" authorId="0" shapeId="0" xr:uid="{00000000-0006-0000-0500-000001000000}">
      <text>
        <r>
          <rPr>
            <b/>
            <sz val="9"/>
            <color indexed="81"/>
            <rFont val="宋体"/>
            <family val="3"/>
            <charset val="134"/>
          </rPr>
          <t>朱骜飞</t>
        </r>
        <r>
          <rPr>
            <b/>
            <sz val="9"/>
            <color indexed="81"/>
            <rFont val="Tahoma"/>
            <family val="2"/>
          </rPr>
          <t>:</t>
        </r>
        <r>
          <rPr>
            <sz val="9"/>
            <color indexed="81"/>
            <rFont val="Tahoma"/>
            <family val="2"/>
          </rPr>
          <t xml:space="preserve">
</t>
        </r>
        <r>
          <rPr>
            <sz val="9"/>
            <color indexed="81"/>
            <rFont val="宋体"/>
            <family val="3"/>
            <charset val="134"/>
          </rPr>
          <t>归纳后产品个数</t>
        </r>
      </text>
    </comment>
    <comment ref="D1" authorId="0" shapeId="0" xr:uid="{00000000-0006-0000-0500-000002000000}">
      <text>
        <r>
          <rPr>
            <b/>
            <sz val="9"/>
            <color indexed="81"/>
            <rFont val="宋体"/>
            <family val="3"/>
            <charset val="134"/>
          </rPr>
          <t>朱骜飞</t>
        </r>
        <r>
          <rPr>
            <b/>
            <sz val="9"/>
            <color indexed="81"/>
            <rFont val="Tahoma"/>
            <family val="2"/>
          </rPr>
          <t>:</t>
        </r>
        <r>
          <rPr>
            <sz val="9"/>
            <color indexed="81"/>
            <rFont val="Tahoma"/>
            <family val="2"/>
          </rPr>
          <t xml:space="preserve">
</t>
        </r>
        <r>
          <rPr>
            <sz val="9"/>
            <color indexed="81"/>
            <rFont val="宋体"/>
            <family val="3"/>
            <charset val="134"/>
          </rPr>
          <t>按产品：</t>
        </r>
        <r>
          <rPr>
            <sz val="9"/>
            <color indexed="81"/>
            <rFont val="Tahoma"/>
            <family val="2"/>
          </rPr>
          <t xml:space="preserve">0
</t>
        </r>
        <r>
          <rPr>
            <sz val="9"/>
            <color indexed="81"/>
            <rFont val="宋体"/>
            <family val="3"/>
            <charset val="134"/>
          </rPr>
          <t>按行业</t>
        </r>
        <r>
          <rPr>
            <sz val="9"/>
            <color indexed="81"/>
            <rFont val="Tahoma"/>
            <family val="2"/>
          </rPr>
          <t xml:space="preserve">   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bd</author>
  </authors>
  <commentList>
    <comment ref="A6" authorId="0" shapeId="0" xr:uid="{00000000-0006-0000-0A00-000001000000}">
      <text>
        <r>
          <rPr>
            <b/>
            <sz val="9"/>
            <color indexed="81"/>
            <rFont val="宋体"/>
            <family val="3"/>
            <charset val="134"/>
          </rPr>
          <t>bd:</t>
        </r>
        <r>
          <rPr>
            <sz val="9"/>
            <color indexed="81"/>
            <rFont val="宋体"/>
            <family val="3"/>
            <charset val="134"/>
          </rPr>
          <t xml:space="preserve">
通过预测数据，直接计算未来N年主营业务增长率、营业成本的销售百分比</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港澳资讯</author>
    <author>Sky123.Org</author>
  </authors>
  <commentList>
    <comment ref="A30" authorId="0" shapeId="0" xr:uid="{00000000-0006-0000-0C00-000001000000}">
      <text>
        <r>
          <rPr>
            <sz val="9"/>
            <color indexed="81"/>
            <rFont val="宋体"/>
            <family val="3"/>
            <charset val="134"/>
          </rPr>
          <t xml:space="preserve">最低现金余额指货币资金的最低余额。并不等于期末货币资金，是指公司为保证日常经营所需要的最少的货币资金。一般推荐未来年度的假设5％-&gt;50%营业收入。
</t>
        </r>
      </text>
    </comment>
    <comment ref="A60" authorId="0" shapeId="0" xr:uid="{00000000-0006-0000-0C00-000002000000}">
      <text>
        <r>
          <rPr>
            <sz val="9"/>
            <color indexed="81"/>
            <rFont val="宋体"/>
            <family val="3"/>
            <charset val="134"/>
          </rPr>
          <t>最低借款余额并不等于期末短期借款余额。一般推荐未来的假设＝0，隐含的意思是：公司现金有剩余的话，不需要从银行借款</t>
        </r>
      </text>
    </comment>
    <comment ref="B135" authorId="0" shapeId="0" xr:uid="{00000000-0006-0000-0C00-000003000000}">
      <text>
        <r>
          <rPr>
            <sz val="9"/>
            <color indexed="81"/>
            <rFont val="宋体"/>
            <family val="3"/>
            <charset val="134"/>
          </rPr>
          <t>期初总股本
＋期初总股本*上年度送股比例
＋期初总股本*上年度转增比例
＋新股
＋增发
＋配股
＋可转债转股
＋期权行权</t>
        </r>
      </text>
    </comment>
    <comment ref="B152" authorId="1" shapeId="0" xr:uid="{00000000-0006-0000-0C00-000004000000}">
      <text>
        <r>
          <rPr>
            <b/>
            <sz val="9"/>
            <color indexed="81"/>
            <rFont val="宋体"/>
            <family val="3"/>
            <charset val="134"/>
          </rPr>
          <t>Sky123.Org:</t>
        </r>
        <r>
          <rPr>
            <sz val="9"/>
            <color indexed="81"/>
            <rFont val="宋体"/>
            <family val="3"/>
            <charset val="134"/>
          </rPr>
          <t xml:space="preserve">
期初资本公积金
－期初总股本*上年度转增比例
＋新股
＋增发
＋配股
＋可转债转股
＋期权行权</t>
        </r>
      </text>
    </comment>
    <comment ref="B153" authorId="1" shapeId="0" xr:uid="{00000000-0006-0000-0C00-000005000000}">
      <text>
        <r>
          <rPr>
            <b/>
            <sz val="9"/>
            <color indexed="81"/>
            <rFont val="宋体"/>
            <family val="3"/>
            <charset val="134"/>
          </rPr>
          <t>Sky123.Org:</t>
        </r>
        <r>
          <rPr>
            <sz val="9"/>
            <color indexed="81"/>
            <rFont val="宋体"/>
            <family val="3"/>
            <charset val="134"/>
          </rPr>
          <t xml:space="preserve">
期初资本公积金
－期初总股本*上年度转增比例
＋新股
＋增发
＋配股
＋可转债转股
＋期权行权</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港澳资讯</author>
  </authors>
  <commentList>
    <comment ref="B7" authorId="0" shapeId="0" xr:uid="{00000000-0006-0000-0D00-000001000000}">
      <text>
        <r>
          <rPr>
            <sz val="9"/>
            <color indexed="81"/>
            <rFont val="宋体"/>
            <family val="3"/>
            <charset val="134"/>
          </rPr>
          <t xml:space="preserve">流动资产
</t>
        </r>
        <r>
          <rPr>
            <sz val="9"/>
            <color indexed="81"/>
            <rFont val="Tahoma"/>
            <family val="2"/>
          </rPr>
          <t>-</t>
        </r>
        <r>
          <rPr>
            <sz val="9"/>
            <color indexed="81"/>
            <rFont val="宋体"/>
            <family val="3"/>
            <charset val="134"/>
          </rPr>
          <t xml:space="preserve">交易性金融资产
</t>
        </r>
        <r>
          <rPr>
            <sz val="9"/>
            <color indexed="81"/>
            <rFont val="Tahoma"/>
            <family val="2"/>
          </rPr>
          <t>-</t>
        </r>
        <r>
          <rPr>
            <sz val="9"/>
            <color indexed="81"/>
            <rFont val="宋体"/>
            <family val="3"/>
            <charset val="134"/>
          </rPr>
          <t>货币资金</t>
        </r>
      </text>
    </comment>
    <comment ref="B8" authorId="1" shapeId="0" xr:uid="{00000000-0006-0000-0D00-000002000000}">
      <text>
        <r>
          <rPr>
            <sz val="9"/>
            <color indexed="81"/>
            <rFont val="宋体"/>
            <family val="3"/>
            <charset val="134"/>
          </rPr>
          <t xml:space="preserve">(期末经营性流动资产－期初经营性流动资产)
</t>
        </r>
      </text>
    </comment>
    <comment ref="B16" authorId="1" shapeId="0" xr:uid="{00000000-0006-0000-0D00-000003000000}">
      <text>
        <r>
          <rPr>
            <sz val="9"/>
            <color indexed="81"/>
            <rFont val="宋体"/>
            <family val="3"/>
            <charset val="134"/>
          </rPr>
          <t xml:space="preserve">流动负债
-交易性金融负债
</t>
        </r>
        <r>
          <rPr>
            <sz val="9"/>
            <color indexed="81"/>
            <rFont val="宋体"/>
            <family val="3"/>
            <charset val="134"/>
          </rPr>
          <t xml:space="preserve">-短期借款
</t>
        </r>
        <r>
          <rPr>
            <sz val="9"/>
            <color indexed="81"/>
            <rFont val="宋体"/>
            <family val="3"/>
            <charset val="134"/>
          </rPr>
          <t>-一年内到期的非流动负债</t>
        </r>
      </text>
    </comment>
    <comment ref="B17" authorId="1" shapeId="0" xr:uid="{00000000-0006-0000-0D00-000004000000}">
      <text>
        <r>
          <rPr>
            <sz val="9"/>
            <color indexed="81"/>
            <rFont val="宋体"/>
            <family val="3"/>
            <charset val="134"/>
          </rPr>
          <t xml:space="preserve">期末经营性流动负债
－期初经营性流动负债
</t>
        </r>
      </text>
    </comment>
    <comment ref="B20" authorId="1" shapeId="0" xr:uid="{00000000-0006-0000-0D00-000005000000}">
      <text>
        <r>
          <rPr>
            <sz val="9"/>
            <color indexed="81"/>
            <rFont val="宋体"/>
            <family val="3"/>
            <charset val="134"/>
          </rPr>
          <t xml:space="preserve">经营性流动资产
－经营性流动负债
</t>
        </r>
      </text>
    </comment>
    <comment ref="B21" authorId="1" shapeId="0" xr:uid="{00000000-0006-0000-0D00-000006000000}">
      <text>
        <r>
          <rPr>
            <sz val="9"/>
            <color indexed="81"/>
            <rFont val="宋体"/>
            <family val="3"/>
            <charset val="134"/>
          </rPr>
          <t xml:space="preserve">期末经营性营运资本
－期初经营性营运资本
</t>
        </r>
      </text>
    </comment>
    <comment ref="B26" authorId="1" shapeId="0" xr:uid="{00000000-0006-0000-0D00-000007000000}">
      <text>
        <r>
          <rPr>
            <sz val="9"/>
            <color indexed="81"/>
            <rFont val="宋体"/>
            <family val="3"/>
            <charset val="134"/>
          </rPr>
          <t>递延所得税负债
-递延所得税资产</t>
        </r>
      </text>
    </comment>
    <comment ref="B27" authorId="1" shapeId="0" xr:uid="{00000000-0006-0000-0D00-000008000000}">
      <text>
        <r>
          <rPr>
            <sz val="9"/>
            <color indexed="81"/>
            <rFont val="宋体"/>
            <family val="3"/>
            <charset val="134"/>
          </rPr>
          <t xml:space="preserve">期末递延税款
-期初递延税款
</t>
        </r>
      </text>
    </comment>
    <comment ref="B38" authorId="1" shapeId="0" xr:uid="{00000000-0006-0000-0D00-000009000000}">
      <text>
        <r>
          <rPr>
            <sz val="9"/>
            <color indexed="81"/>
            <rFont val="宋体"/>
            <family val="3"/>
            <charset val="134"/>
          </rPr>
          <t xml:space="preserve">短期借款
</t>
        </r>
        <r>
          <rPr>
            <sz val="9"/>
            <color indexed="81"/>
            <rFont val="宋体"/>
            <family val="3"/>
            <charset val="134"/>
          </rPr>
          <t>+交易性金融负债</t>
        </r>
        <r>
          <rPr>
            <sz val="9"/>
            <color indexed="81"/>
            <rFont val="宋体"/>
            <family val="3"/>
            <charset val="134"/>
          </rPr>
          <t xml:space="preserve">
+长期借款
</t>
        </r>
        <r>
          <rPr>
            <sz val="9"/>
            <color indexed="81"/>
            <rFont val="宋体"/>
            <family val="3"/>
            <charset val="134"/>
          </rPr>
          <t xml:space="preserve">+长期应付款
+一年内到期的非流动负债
</t>
        </r>
        <r>
          <rPr>
            <sz val="9"/>
            <color indexed="81"/>
            <rFont val="宋体"/>
            <family val="3"/>
            <charset val="134"/>
          </rPr>
          <t>+其他非流动复债</t>
        </r>
      </text>
    </comment>
    <comment ref="B43" authorId="1" shapeId="0" xr:uid="{00000000-0006-0000-0D00-00000A000000}">
      <text>
        <r>
          <rPr>
            <sz val="9"/>
            <color indexed="81"/>
            <rFont val="宋体"/>
            <family val="3"/>
            <charset val="134"/>
          </rPr>
          <t xml:space="preserve">所有者权益
+付息债务
</t>
        </r>
      </text>
    </comment>
    <comment ref="B53" authorId="1" shapeId="0" xr:uid="{00000000-0006-0000-0D00-00000B000000}">
      <text>
        <r>
          <rPr>
            <sz val="9"/>
            <color indexed="81"/>
            <rFont val="宋体"/>
            <family val="3"/>
            <charset val="134"/>
          </rPr>
          <t xml:space="preserve">货币资金
+交易性金融资产
+可供出售金融资产
+持有至到期投资
</t>
        </r>
        <r>
          <rPr>
            <sz val="9"/>
            <color indexed="81"/>
            <rFont val="宋体"/>
            <family val="3"/>
            <charset val="134"/>
          </rPr>
          <t>+投资性房地产
+长期股权投资
+其他非流动资产</t>
        </r>
        <r>
          <rPr>
            <sz val="9"/>
            <color indexed="81"/>
            <rFont val="宋体"/>
            <family val="3"/>
            <charset val="134"/>
          </rPr>
          <t xml:space="preserve">
</t>
        </r>
      </text>
    </comment>
    <comment ref="B62" authorId="0" shapeId="0" xr:uid="{00000000-0006-0000-0D00-00000C000000}">
      <text>
        <r>
          <rPr>
            <sz val="9"/>
            <color indexed="81"/>
            <rFont val="宋体"/>
            <family val="3"/>
            <charset val="134"/>
          </rPr>
          <t xml:space="preserve">固定资产增加
</t>
        </r>
        <r>
          <rPr>
            <sz val="9"/>
            <color indexed="81"/>
            <rFont val="Tahoma"/>
            <family val="2"/>
          </rPr>
          <t>+</t>
        </r>
        <r>
          <rPr>
            <sz val="9"/>
            <color indexed="81"/>
            <rFont val="宋体"/>
            <family val="3"/>
            <charset val="134"/>
          </rPr>
          <t xml:space="preserve">在建工程增加
</t>
        </r>
        <r>
          <rPr>
            <sz val="9"/>
            <color indexed="81"/>
            <rFont val="Tahoma"/>
            <family val="2"/>
          </rPr>
          <t>+</t>
        </r>
        <r>
          <rPr>
            <sz val="9"/>
            <color indexed="81"/>
            <rFont val="宋体"/>
            <family val="3"/>
            <charset val="134"/>
          </rPr>
          <t xml:space="preserve">无形资产增加
</t>
        </r>
        <r>
          <rPr>
            <sz val="9"/>
            <color indexed="81"/>
            <rFont val="Tahoma"/>
            <family val="2"/>
          </rPr>
          <t>+</t>
        </r>
        <r>
          <rPr>
            <sz val="9"/>
            <color indexed="81"/>
            <rFont val="宋体"/>
            <family val="3"/>
            <charset val="134"/>
          </rPr>
          <t xml:space="preserve">商誉增加
</t>
        </r>
        <r>
          <rPr>
            <sz val="9"/>
            <color indexed="81"/>
            <rFont val="Tahoma"/>
            <family val="2"/>
          </rPr>
          <t>+</t>
        </r>
        <r>
          <rPr>
            <sz val="9"/>
            <color indexed="81"/>
            <rFont val="宋体"/>
            <family val="3"/>
            <charset val="134"/>
          </rPr>
          <t xml:space="preserve">长期待摊费用增加
</t>
        </r>
        <r>
          <rPr>
            <sz val="9"/>
            <color indexed="81"/>
            <rFont val="Tahoma"/>
            <family val="2"/>
          </rPr>
          <t>-</t>
        </r>
        <r>
          <rPr>
            <sz val="9"/>
            <color indexed="81"/>
            <rFont val="宋体"/>
            <family val="3"/>
            <charset val="134"/>
          </rPr>
          <t>无息长期负债增加</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港澳资讯</author>
    <author>Administrator</author>
  </authors>
  <commentList>
    <comment ref="B108" authorId="0" shapeId="0" xr:uid="{00000000-0006-0000-0E00-000001000000}">
      <text>
        <r>
          <rPr>
            <sz val="9"/>
            <color indexed="81"/>
            <rFont val="宋体"/>
            <family val="3"/>
            <charset val="134"/>
          </rPr>
          <t xml:space="preserve">期初＋新增＋在建工程转-新增折旧
</t>
        </r>
      </text>
    </comment>
    <comment ref="B113" authorId="0" shapeId="0" xr:uid="{00000000-0006-0000-0E00-000002000000}">
      <text>
        <r>
          <rPr>
            <sz val="9"/>
            <color indexed="81"/>
            <rFont val="宋体"/>
            <family val="3"/>
            <charset val="134"/>
          </rPr>
          <t>期初
+新增</t>
        </r>
      </text>
    </comment>
    <comment ref="B116" authorId="0" shapeId="0" xr:uid="{00000000-0006-0000-0E00-000003000000}">
      <text>
        <r>
          <rPr>
            <sz val="9"/>
            <color indexed="81"/>
            <rFont val="宋体"/>
            <family val="3"/>
            <charset val="134"/>
          </rPr>
          <t>期初＋新增－转固定资产</t>
        </r>
      </text>
    </comment>
    <comment ref="B122" authorId="0" shapeId="0" xr:uid="{00000000-0006-0000-0E00-000004000000}">
      <text>
        <r>
          <rPr>
            <sz val="9"/>
            <color indexed="81"/>
            <rFont val="宋体"/>
            <family val="3"/>
            <charset val="134"/>
          </rPr>
          <t xml:space="preserve">期初＋新增－摊销
</t>
        </r>
      </text>
    </comment>
    <comment ref="B128" authorId="1" shapeId="0" xr:uid="{00000000-0006-0000-0E00-000005000000}">
      <text>
        <r>
          <rPr>
            <sz val="9"/>
            <color indexed="81"/>
            <rFont val="宋体"/>
            <family val="3"/>
            <charset val="134"/>
          </rPr>
          <t>期初</t>
        </r>
        <r>
          <rPr>
            <sz val="9"/>
            <color indexed="81"/>
            <rFont val="Tahoma"/>
            <family val="2"/>
          </rPr>
          <t>+</t>
        </r>
        <r>
          <rPr>
            <sz val="9"/>
            <color indexed="81"/>
            <rFont val="宋体"/>
            <family val="3"/>
            <charset val="134"/>
          </rPr>
          <t>新增</t>
        </r>
        <r>
          <rPr>
            <sz val="9"/>
            <color indexed="81"/>
            <rFont val="Tahoma"/>
            <family val="2"/>
          </rPr>
          <t>-</t>
        </r>
        <r>
          <rPr>
            <sz val="9"/>
            <color indexed="81"/>
            <rFont val="宋体"/>
            <family val="3"/>
            <charset val="134"/>
          </rPr>
          <t>摊销</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港澳资讯</author>
  </authors>
  <commentList>
    <comment ref="B8" authorId="0" shapeId="0" xr:uid="{00000000-0006-0000-0F00-000001000000}">
      <text>
        <r>
          <rPr>
            <sz val="9"/>
            <color indexed="81"/>
            <rFont val="宋体"/>
            <family val="3"/>
            <charset val="134"/>
          </rPr>
          <t>利息支出
-利息收入
+其他财务费用</t>
        </r>
      </text>
    </comment>
    <comment ref="B19" authorId="0" shapeId="0" xr:uid="{00000000-0006-0000-0F00-000002000000}">
      <text>
        <r>
          <rPr>
            <sz val="9"/>
            <color indexed="81"/>
            <rFont val="宋体"/>
            <family val="3"/>
            <charset val="134"/>
          </rPr>
          <t>营业收入
－营业成本
－营业费用
－管理费用
－财务费用
－资产减值损失
＋公允价值变动净收益
＋投资净收益</t>
        </r>
      </text>
    </comment>
    <comment ref="B22" authorId="0" shapeId="0" xr:uid="{00000000-0006-0000-0F00-000003000000}">
      <text>
        <r>
          <rPr>
            <sz val="9"/>
            <color indexed="81"/>
            <rFont val="宋体"/>
            <family val="3"/>
            <charset val="134"/>
          </rPr>
          <t xml:space="preserve">营业利润
＋营业外收入
－营业外支出
</t>
        </r>
      </text>
    </comment>
    <comment ref="B25" authorId="0" shapeId="0" xr:uid="{00000000-0006-0000-0F00-000004000000}">
      <text>
        <r>
          <rPr>
            <sz val="9"/>
            <color indexed="81"/>
            <rFont val="宋体"/>
            <family val="3"/>
            <charset val="134"/>
          </rPr>
          <t>利润总额
－所得税
＋未确认的投资损失</t>
        </r>
      </text>
    </comment>
    <comment ref="B26" authorId="0" shapeId="0" xr:uid="{00000000-0006-0000-0F00-000005000000}">
      <text>
        <r>
          <rPr>
            <sz val="9"/>
            <color indexed="81"/>
            <rFont val="宋体"/>
            <family val="3"/>
            <charset val="134"/>
          </rPr>
          <t>净利润
+利息费用
+所得税</t>
        </r>
      </text>
    </comment>
    <comment ref="B28" authorId="0" shapeId="0" xr:uid="{00000000-0006-0000-0F00-000006000000}">
      <text>
        <r>
          <rPr>
            <sz val="9"/>
            <color indexed="81"/>
            <rFont val="宋体"/>
            <family val="3"/>
            <charset val="134"/>
          </rPr>
          <t>EBIT
+折旧和摊销</t>
        </r>
      </text>
    </comment>
    <comment ref="B30" authorId="0" shapeId="0" xr:uid="{00000000-0006-0000-0F00-000007000000}">
      <text>
        <r>
          <rPr>
            <sz val="9"/>
            <color indexed="81"/>
            <rFont val="宋体"/>
            <family val="3"/>
            <charset val="134"/>
          </rPr>
          <t>净利润
-少数股东损益</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港澳资讯</author>
  </authors>
  <commentList>
    <comment ref="B40" authorId="0" shapeId="0" xr:uid="{00000000-0006-0000-1000-000001000000}">
      <text>
        <r>
          <rPr>
            <sz val="9"/>
            <color indexed="81"/>
            <rFont val="宋体"/>
            <family val="3"/>
            <charset val="134"/>
          </rPr>
          <t xml:space="preserve">期初＋新增-还本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Administrator</author>
    <author>港澳资讯</author>
  </authors>
  <commentList>
    <comment ref="B19" authorId="0" shapeId="0" xr:uid="{00000000-0006-0000-1100-000001000000}">
      <text>
        <r>
          <rPr>
            <sz val="9"/>
            <color indexed="81"/>
            <rFont val="宋体"/>
            <family val="3"/>
            <charset val="134"/>
          </rPr>
          <t xml:space="preserve">货币资金
</t>
        </r>
        <r>
          <rPr>
            <sz val="9"/>
            <color indexed="81"/>
            <rFont val="Tahoma"/>
            <family val="2"/>
          </rPr>
          <t>+</t>
        </r>
        <r>
          <rPr>
            <sz val="9"/>
            <color indexed="81"/>
            <rFont val="宋体"/>
            <family val="3"/>
            <charset val="134"/>
          </rPr>
          <t xml:space="preserve">交易性金融资产
</t>
        </r>
        <r>
          <rPr>
            <sz val="9"/>
            <color indexed="81"/>
            <rFont val="Tahoma"/>
            <family val="2"/>
          </rPr>
          <t>+</t>
        </r>
        <r>
          <rPr>
            <sz val="9"/>
            <color indexed="81"/>
            <rFont val="宋体"/>
            <family val="3"/>
            <charset val="134"/>
          </rPr>
          <t xml:space="preserve">应收账款
</t>
        </r>
        <r>
          <rPr>
            <sz val="9"/>
            <color indexed="81"/>
            <rFont val="Tahoma"/>
            <family val="2"/>
          </rPr>
          <t>+</t>
        </r>
        <r>
          <rPr>
            <sz val="9"/>
            <color indexed="81"/>
            <rFont val="宋体"/>
            <family val="3"/>
            <charset val="134"/>
          </rPr>
          <t xml:space="preserve">应收票据
</t>
        </r>
        <r>
          <rPr>
            <sz val="9"/>
            <color indexed="81"/>
            <rFont val="Tahoma"/>
            <family val="2"/>
          </rPr>
          <t>+</t>
        </r>
        <r>
          <rPr>
            <sz val="9"/>
            <color indexed="81"/>
            <rFont val="宋体"/>
            <family val="3"/>
            <charset val="134"/>
          </rPr>
          <t xml:space="preserve">预付账款
</t>
        </r>
        <r>
          <rPr>
            <sz val="9"/>
            <color indexed="81"/>
            <rFont val="Tahoma"/>
            <family val="2"/>
          </rPr>
          <t>+</t>
        </r>
        <r>
          <rPr>
            <sz val="9"/>
            <color indexed="81"/>
            <rFont val="宋体"/>
            <family val="3"/>
            <charset val="134"/>
          </rPr>
          <t xml:space="preserve">其他应收款
</t>
        </r>
        <r>
          <rPr>
            <sz val="9"/>
            <color indexed="81"/>
            <rFont val="Tahoma"/>
            <family val="2"/>
          </rPr>
          <t>+</t>
        </r>
        <r>
          <rPr>
            <sz val="9"/>
            <color indexed="81"/>
            <rFont val="宋体"/>
            <family val="3"/>
            <charset val="134"/>
          </rPr>
          <t xml:space="preserve">存货
</t>
        </r>
        <r>
          <rPr>
            <sz val="9"/>
            <color indexed="81"/>
            <rFont val="Tahoma"/>
            <family val="2"/>
          </rPr>
          <t>+</t>
        </r>
        <r>
          <rPr>
            <sz val="9"/>
            <color indexed="81"/>
            <rFont val="宋体"/>
            <family val="3"/>
            <charset val="134"/>
          </rPr>
          <t>其他流动资产</t>
        </r>
      </text>
    </comment>
    <comment ref="B39" authorId="0" shapeId="0" xr:uid="{00000000-0006-0000-1100-000002000000}">
      <text>
        <r>
          <rPr>
            <sz val="9"/>
            <color indexed="81"/>
            <rFont val="宋体"/>
            <family val="3"/>
            <charset val="134"/>
          </rPr>
          <t xml:space="preserve">可供出售金融资产
</t>
        </r>
        <r>
          <rPr>
            <sz val="9"/>
            <color indexed="81"/>
            <rFont val="Tahoma"/>
            <family val="2"/>
          </rPr>
          <t>+</t>
        </r>
        <r>
          <rPr>
            <sz val="9"/>
            <color indexed="81"/>
            <rFont val="宋体"/>
            <family val="3"/>
            <charset val="134"/>
          </rPr>
          <t xml:space="preserve">持有至到期投资
</t>
        </r>
        <r>
          <rPr>
            <sz val="9"/>
            <color indexed="81"/>
            <rFont val="Tahoma"/>
            <family val="2"/>
          </rPr>
          <t>+</t>
        </r>
        <r>
          <rPr>
            <sz val="9"/>
            <color indexed="81"/>
            <rFont val="宋体"/>
            <family val="3"/>
            <charset val="134"/>
          </rPr>
          <t xml:space="preserve">投资性房地产
</t>
        </r>
        <r>
          <rPr>
            <sz val="9"/>
            <color indexed="81"/>
            <rFont val="Tahoma"/>
            <family val="2"/>
          </rPr>
          <t>+</t>
        </r>
        <r>
          <rPr>
            <sz val="9"/>
            <color indexed="81"/>
            <rFont val="宋体"/>
            <family val="3"/>
            <charset val="134"/>
          </rPr>
          <t xml:space="preserve">长期应收款
</t>
        </r>
        <r>
          <rPr>
            <sz val="9"/>
            <color indexed="81"/>
            <rFont val="Tahoma"/>
            <family val="2"/>
          </rPr>
          <t>+</t>
        </r>
        <r>
          <rPr>
            <sz val="9"/>
            <color indexed="81"/>
            <rFont val="宋体"/>
            <family val="3"/>
            <charset val="134"/>
          </rPr>
          <t xml:space="preserve">长期股权投资
</t>
        </r>
        <r>
          <rPr>
            <sz val="9"/>
            <color indexed="81"/>
            <rFont val="Tahoma"/>
            <family val="2"/>
          </rPr>
          <t>+</t>
        </r>
        <r>
          <rPr>
            <sz val="9"/>
            <color indexed="81"/>
            <rFont val="宋体"/>
            <family val="3"/>
            <charset val="134"/>
          </rPr>
          <t xml:space="preserve">固定资产
</t>
        </r>
        <r>
          <rPr>
            <sz val="9"/>
            <color indexed="81"/>
            <rFont val="Tahoma"/>
            <family val="2"/>
          </rPr>
          <t>+</t>
        </r>
        <r>
          <rPr>
            <sz val="9"/>
            <color indexed="81"/>
            <rFont val="宋体"/>
            <family val="3"/>
            <charset val="134"/>
          </rPr>
          <t xml:space="preserve">在建工程
</t>
        </r>
        <r>
          <rPr>
            <sz val="9"/>
            <color indexed="81"/>
            <rFont val="Tahoma"/>
            <family val="2"/>
          </rPr>
          <t>+</t>
        </r>
        <r>
          <rPr>
            <sz val="9"/>
            <color indexed="81"/>
            <rFont val="宋体"/>
            <family val="3"/>
            <charset val="134"/>
          </rPr>
          <t xml:space="preserve">无形资产
</t>
        </r>
        <r>
          <rPr>
            <sz val="9"/>
            <color indexed="81"/>
            <rFont val="Tahoma"/>
            <family val="2"/>
          </rPr>
          <t>+</t>
        </r>
        <r>
          <rPr>
            <sz val="9"/>
            <color indexed="81"/>
            <rFont val="宋体"/>
            <family val="3"/>
            <charset val="134"/>
          </rPr>
          <t xml:space="preserve">长期待摊费用
</t>
        </r>
        <r>
          <rPr>
            <sz val="9"/>
            <color indexed="81"/>
            <rFont val="Tahoma"/>
            <family val="2"/>
          </rPr>
          <t>+</t>
        </r>
        <r>
          <rPr>
            <sz val="9"/>
            <color indexed="81"/>
            <rFont val="宋体"/>
            <family val="3"/>
            <charset val="134"/>
          </rPr>
          <t xml:space="preserve">商誉
</t>
        </r>
        <r>
          <rPr>
            <sz val="9"/>
            <color indexed="81"/>
            <rFont val="Tahoma"/>
            <family val="2"/>
          </rPr>
          <t>+</t>
        </r>
        <r>
          <rPr>
            <sz val="9"/>
            <color indexed="81"/>
            <rFont val="宋体"/>
            <family val="3"/>
            <charset val="134"/>
          </rPr>
          <t xml:space="preserve">递延所得税资产
</t>
        </r>
        <r>
          <rPr>
            <sz val="9"/>
            <color indexed="81"/>
            <rFont val="Tahoma"/>
            <family val="2"/>
          </rPr>
          <t>+</t>
        </r>
        <r>
          <rPr>
            <sz val="9"/>
            <color indexed="81"/>
            <rFont val="宋体"/>
            <family val="3"/>
            <charset val="134"/>
          </rPr>
          <t>其他非流动资产</t>
        </r>
      </text>
    </comment>
    <comment ref="B40" authorId="1" shapeId="0" xr:uid="{00000000-0006-0000-1100-000003000000}">
      <text>
        <r>
          <rPr>
            <sz val="9"/>
            <color indexed="81"/>
            <rFont val="宋体"/>
            <family val="3"/>
            <charset val="134"/>
          </rPr>
          <t>流动资产合计
+非流动资产合计</t>
        </r>
      </text>
    </comment>
    <comment ref="B60" authorId="0" shapeId="0" xr:uid="{00000000-0006-0000-1100-000004000000}">
      <text>
        <r>
          <rPr>
            <sz val="9"/>
            <color indexed="81"/>
            <rFont val="宋体"/>
            <family val="3"/>
            <charset val="134"/>
          </rPr>
          <t xml:space="preserve">短期借款
</t>
        </r>
        <r>
          <rPr>
            <sz val="9"/>
            <color indexed="81"/>
            <rFont val="Tahoma"/>
            <family val="2"/>
          </rPr>
          <t>+</t>
        </r>
        <r>
          <rPr>
            <sz val="9"/>
            <color indexed="81"/>
            <rFont val="宋体"/>
            <family val="3"/>
            <charset val="134"/>
          </rPr>
          <t xml:space="preserve">交易性金融负债
</t>
        </r>
        <r>
          <rPr>
            <sz val="9"/>
            <color indexed="81"/>
            <rFont val="Tahoma"/>
            <family val="2"/>
          </rPr>
          <t>+</t>
        </r>
        <r>
          <rPr>
            <sz val="9"/>
            <color indexed="81"/>
            <rFont val="宋体"/>
            <family val="3"/>
            <charset val="134"/>
          </rPr>
          <t xml:space="preserve">应付账款
</t>
        </r>
        <r>
          <rPr>
            <sz val="9"/>
            <color indexed="81"/>
            <rFont val="Tahoma"/>
            <family val="2"/>
          </rPr>
          <t>+</t>
        </r>
        <r>
          <rPr>
            <sz val="9"/>
            <color indexed="81"/>
            <rFont val="宋体"/>
            <family val="3"/>
            <charset val="134"/>
          </rPr>
          <t xml:space="preserve">应付票据
</t>
        </r>
        <r>
          <rPr>
            <sz val="9"/>
            <color indexed="81"/>
            <rFont val="Tahoma"/>
            <family val="2"/>
          </rPr>
          <t>+</t>
        </r>
        <r>
          <rPr>
            <sz val="9"/>
            <color indexed="81"/>
            <rFont val="宋体"/>
            <family val="3"/>
            <charset val="134"/>
          </rPr>
          <t xml:space="preserve">其他应付账款
</t>
        </r>
        <r>
          <rPr>
            <sz val="9"/>
            <color indexed="81"/>
            <rFont val="Tahoma"/>
            <family val="2"/>
          </rPr>
          <t>+</t>
        </r>
        <r>
          <rPr>
            <sz val="9"/>
            <color indexed="81"/>
            <rFont val="宋体"/>
            <family val="3"/>
            <charset val="134"/>
          </rPr>
          <t xml:space="preserve">预收帐款
</t>
        </r>
        <r>
          <rPr>
            <sz val="9"/>
            <color indexed="81"/>
            <rFont val="Tahoma"/>
            <family val="2"/>
          </rPr>
          <t>+</t>
        </r>
        <r>
          <rPr>
            <sz val="9"/>
            <color indexed="81"/>
            <rFont val="宋体"/>
            <family val="3"/>
            <charset val="134"/>
          </rPr>
          <t xml:space="preserve">递延收益
</t>
        </r>
        <r>
          <rPr>
            <sz val="9"/>
            <color indexed="81"/>
            <rFont val="Tahoma"/>
            <family val="2"/>
          </rPr>
          <t>+</t>
        </r>
        <r>
          <rPr>
            <sz val="9"/>
            <color indexed="81"/>
            <rFont val="宋体"/>
            <family val="3"/>
            <charset val="134"/>
          </rPr>
          <t xml:space="preserve">一年内到期的非流动负债
</t>
        </r>
        <r>
          <rPr>
            <sz val="9"/>
            <color indexed="81"/>
            <rFont val="Tahoma"/>
            <family val="2"/>
          </rPr>
          <t>+</t>
        </r>
        <r>
          <rPr>
            <sz val="9"/>
            <color indexed="81"/>
            <rFont val="宋体"/>
            <family val="3"/>
            <charset val="134"/>
          </rPr>
          <t>其他流动负债</t>
        </r>
      </text>
    </comment>
    <comment ref="B70" authorId="0" shapeId="0" xr:uid="{00000000-0006-0000-1100-000005000000}">
      <text>
        <r>
          <rPr>
            <sz val="9"/>
            <color indexed="81"/>
            <rFont val="宋体"/>
            <family val="3"/>
            <charset val="134"/>
          </rPr>
          <t xml:space="preserve">长期借款
</t>
        </r>
        <r>
          <rPr>
            <sz val="9"/>
            <color indexed="81"/>
            <rFont val="Tahoma"/>
            <family val="2"/>
          </rPr>
          <t>+</t>
        </r>
        <r>
          <rPr>
            <sz val="9"/>
            <color indexed="81"/>
            <rFont val="宋体"/>
            <family val="3"/>
            <charset val="134"/>
          </rPr>
          <t xml:space="preserve">长期应付款
</t>
        </r>
        <r>
          <rPr>
            <sz val="9"/>
            <color indexed="81"/>
            <rFont val="Tahoma"/>
            <family val="2"/>
          </rPr>
          <t>+</t>
        </r>
        <r>
          <rPr>
            <sz val="9"/>
            <color indexed="81"/>
            <rFont val="宋体"/>
            <family val="3"/>
            <charset val="134"/>
          </rPr>
          <t xml:space="preserve">递延所得税负债
</t>
        </r>
        <r>
          <rPr>
            <sz val="9"/>
            <color indexed="81"/>
            <rFont val="Tahoma"/>
            <family val="2"/>
          </rPr>
          <t>+</t>
        </r>
        <r>
          <rPr>
            <sz val="9"/>
            <color indexed="81"/>
            <rFont val="宋体"/>
            <family val="3"/>
            <charset val="134"/>
          </rPr>
          <t>其他非流动负债</t>
        </r>
        <r>
          <rPr>
            <sz val="9"/>
            <color indexed="81"/>
            <rFont val="Tahoma"/>
            <family val="2"/>
          </rPr>
          <t xml:space="preserve">
</t>
        </r>
      </text>
    </comment>
    <comment ref="B72" authorId="1" shapeId="0" xr:uid="{00000000-0006-0000-1100-000006000000}">
      <text>
        <r>
          <rPr>
            <sz val="9"/>
            <color indexed="81"/>
            <rFont val="宋体"/>
            <family val="3"/>
            <charset val="134"/>
          </rPr>
          <t xml:space="preserve">流动负债合计
＋非流动负债合计
</t>
        </r>
      </text>
    </comment>
    <comment ref="B86" authorId="1" shapeId="0" xr:uid="{00000000-0006-0000-1100-000007000000}">
      <text>
        <r>
          <rPr>
            <sz val="9"/>
            <color indexed="81"/>
            <rFont val="宋体"/>
            <family val="3"/>
            <charset val="134"/>
          </rPr>
          <t xml:space="preserve">归属母公司股东权益合计
</t>
        </r>
        <r>
          <rPr>
            <sz val="9"/>
            <color indexed="81"/>
            <rFont val="宋体"/>
            <family val="3"/>
            <charset val="134"/>
          </rPr>
          <t>+</t>
        </r>
        <r>
          <rPr>
            <sz val="9"/>
            <color indexed="81"/>
            <rFont val="宋体"/>
            <family val="3"/>
            <charset val="134"/>
          </rPr>
          <t>少数股东权益</t>
        </r>
      </text>
    </comment>
    <comment ref="B88" authorId="1" shapeId="0" xr:uid="{00000000-0006-0000-1100-000008000000}">
      <text>
        <r>
          <rPr>
            <sz val="9"/>
            <color indexed="81"/>
            <rFont val="宋体"/>
            <family val="3"/>
            <charset val="134"/>
          </rPr>
          <t>负债合计
＋股东权益合计</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港澳资讯</author>
  </authors>
  <commentList>
    <comment ref="B15" authorId="0" shapeId="0" xr:uid="{00000000-0006-0000-1300-000001000000}">
      <text>
        <r>
          <rPr>
            <b/>
            <sz val="9"/>
            <color indexed="81"/>
            <rFont val="宋体"/>
            <family val="3"/>
            <charset val="134"/>
          </rPr>
          <t>admin:</t>
        </r>
        <r>
          <rPr>
            <sz val="9"/>
            <color indexed="81"/>
            <rFont val="宋体"/>
            <family val="3"/>
            <charset val="134"/>
          </rPr>
          <t xml:space="preserve">
2018年之前该指标=（营业费用+管理费用+财务费用）/营业收入，2018年起该指标=（营业费用+管理费用+财务费用+研发费用）/营业收入</t>
        </r>
      </text>
    </comment>
    <comment ref="B70" authorId="1" shapeId="0" xr:uid="{00000000-0006-0000-1300-000002000000}">
      <text>
        <r>
          <rPr>
            <sz val="9"/>
            <color indexed="81"/>
            <rFont val="宋体"/>
            <family val="3"/>
            <charset val="134"/>
          </rPr>
          <t>占总资产比例(%)</t>
        </r>
      </text>
    </comment>
    <comment ref="B94" authorId="1" shapeId="0" xr:uid="{00000000-0006-0000-1300-000003000000}">
      <text>
        <r>
          <rPr>
            <sz val="9"/>
            <color indexed="81"/>
            <rFont val="宋体"/>
            <family val="3"/>
            <charset val="134"/>
          </rPr>
          <t>与去年同期相比增长率(%)</t>
        </r>
      </text>
    </comment>
    <comment ref="C94" authorId="1" shapeId="0" xr:uid="{00000000-0006-0000-1300-000004000000}">
      <text>
        <r>
          <rPr>
            <sz val="9"/>
            <color indexed="81"/>
            <rFont val="宋体"/>
            <family val="3"/>
            <charset val="134"/>
          </rPr>
          <t>与去年同期相比增长率(%)</t>
        </r>
      </text>
    </comment>
    <comment ref="B116" authorId="1" shapeId="0" xr:uid="{00000000-0006-0000-1300-000005000000}">
      <text>
        <r>
          <rPr>
            <sz val="9"/>
            <color indexed="81"/>
            <rFont val="宋体"/>
            <family val="3"/>
            <charset val="134"/>
          </rPr>
          <t>占负债比例(%)</t>
        </r>
      </text>
    </comment>
    <comment ref="C116" authorId="1" shapeId="0" xr:uid="{00000000-0006-0000-1300-000006000000}">
      <text>
        <r>
          <rPr>
            <sz val="9"/>
            <color indexed="81"/>
            <rFont val="宋体"/>
            <family val="3"/>
            <charset val="134"/>
          </rPr>
          <t>占负债比例(%)</t>
        </r>
      </text>
    </comment>
    <comment ref="C117" authorId="1" shapeId="0" xr:uid="{00000000-0006-0000-1300-000007000000}">
      <text>
        <r>
          <rPr>
            <sz val="9"/>
            <color indexed="81"/>
            <rFont val="宋体"/>
            <family val="3"/>
            <charset val="134"/>
          </rPr>
          <t>占负债比例(%)</t>
        </r>
      </text>
    </comment>
    <comment ref="B132" authorId="1" shapeId="0" xr:uid="{00000000-0006-0000-1300-000008000000}">
      <text>
        <r>
          <rPr>
            <sz val="9"/>
            <color indexed="81"/>
            <rFont val="宋体"/>
            <family val="3"/>
            <charset val="134"/>
          </rPr>
          <t>与去年同期相比增长率(%)</t>
        </r>
      </text>
    </comment>
    <comment ref="C132" authorId="1" shapeId="0" xr:uid="{00000000-0006-0000-1300-000009000000}">
      <text>
        <r>
          <rPr>
            <sz val="9"/>
            <color indexed="81"/>
            <rFont val="宋体"/>
            <family val="3"/>
            <charset val="134"/>
          </rPr>
          <t>占负债比例(%)</t>
        </r>
      </text>
    </comment>
    <comment ref="C133" authorId="1" shapeId="0" xr:uid="{00000000-0006-0000-1300-00000A000000}">
      <text>
        <r>
          <rPr>
            <sz val="9"/>
            <color indexed="81"/>
            <rFont val="宋体"/>
            <family val="3"/>
            <charset val="134"/>
          </rPr>
          <t>占负债比例(%)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港澳资讯</author>
    <author>Administrator</author>
  </authors>
  <commentList>
    <comment ref="A5" authorId="0" shapeId="0" xr:uid="{00000000-0006-0000-1700-000001000000}">
      <text>
        <r>
          <rPr>
            <sz val="9"/>
            <color indexed="81"/>
            <rFont val="宋体"/>
            <family val="3"/>
            <charset val="134"/>
          </rPr>
          <t>一般而言，最好用最近3年β；对于未上市3年的股票，推荐使用行业最近3年β</t>
        </r>
      </text>
    </comment>
    <comment ref="B22" authorId="1" shapeId="0" xr:uid="{00000000-0006-0000-1700-000002000000}">
      <text>
        <r>
          <rPr>
            <sz val="9"/>
            <color indexed="81"/>
            <rFont val="Tahoma"/>
            <family val="2"/>
          </rPr>
          <t>NOPLAT
+</t>
        </r>
        <r>
          <rPr>
            <sz val="9"/>
            <color indexed="81"/>
            <rFont val="宋体"/>
            <family val="3"/>
            <charset val="134"/>
          </rPr>
          <t xml:space="preserve">折旧摊销
</t>
        </r>
        <r>
          <rPr>
            <sz val="9"/>
            <color indexed="81"/>
            <rFont val="Tahoma"/>
            <family val="2"/>
          </rPr>
          <t>-</t>
        </r>
        <r>
          <rPr>
            <sz val="9"/>
            <color indexed="81"/>
            <rFont val="宋体"/>
            <family val="3"/>
            <charset val="134"/>
          </rPr>
          <t xml:space="preserve">经营性营运资本的增加
</t>
        </r>
        <r>
          <rPr>
            <sz val="9"/>
            <color indexed="81"/>
            <rFont val="Tahoma"/>
            <family val="2"/>
          </rPr>
          <t>-</t>
        </r>
        <r>
          <rPr>
            <sz val="9"/>
            <color indexed="81"/>
            <rFont val="宋体"/>
            <family val="3"/>
            <charset val="134"/>
          </rPr>
          <t>资本支出</t>
        </r>
      </text>
    </comment>
    <comment ref="B27" authorId="1" shapeId="0" xr:uid="{00000000-0006-0000-1700-000003000000}">
      <text>
        <r>
          <rPr>
            <sz val="9"/>
            <color indexed="81"/>
            <rFont val="宋体"/>
            <family val="3"/>
            <charset val="134"/>
          </rPr>
          <t xml:space="preserve">预测期现值
</t>
        </r>
        <r>
          <rPr>
            <sz val="9"/>
            <color indexed="81"/>
            <rFont val="Tahoma"/>
            <family val="2"/>
          </rPr>
          <t>+</t>
        </r>
        <r>
          <rPr>
            <sz val="9"/>
            <color indexed="81"/>
            <rFont val="宋体"/>
            <family val="3"/>
            <charset val="134"/>
          </rPr>
          <t>永续价值现值</t>
        </r>
      </text>
    </comment>
    <comment ref="B31" authorId="0" shapeId="0" xr:uid="{00000000-0006-0000-1700-000004000000}">
      <text>
        <r>
          <rPr>
            <sz val="9"/>
            <color indexed="81"/>
            <rFont val="宋体"/>
            <family val="3"/>
            <charset val="134"/>
          </rPr>
          <t xml:space="preserve">企业价值
+非核心资产
</t>
        </r>
        <r>
          <rPr>
            <sz val="9"/>
            <color indexed="81"/>
            <rFont val="宋体"/>
            <family val="3"/>
            <charset val="134"/>
          </rPr>
          <t xml:space="preserve">-付息债务
-少数股东权益
</t>
        </r>
      </text>
    </comment>
    <comment ref="B33" authorId="0" shapeId="0" xr:uid="{00000000-0006-0000-1700-000005000000}">
      <text>
        <r>
          <rPr>
            <sz val="9"/>
            <color indexed="81"/>
            <rFont val="宋体"/>
            <family val="3"/>
            <charset val="134"/>
          </rPr>
          <t>股权价值/总股本</t>
        </r>
      </text>
    </comment>
    <comment ref="B41" authorId="0" shapeId="0" xr:uid="{00000000-0006-0000-1700-000006000000}">
      <text>
        <r>
          <rPr>
            <sz val="9"/>
            <color indexed="81"/>
            <rFont val="宋体"/>
            <family val="3"/>
            <charset val="134"/>
          </rPr>
          <t xml:space="preserve">净利润
+折旧摊销
</t>
        </r>
        <r>
          <rPr>
            <sz val="9"/>
            <color indexed="81"/>
            <rFont val="宋体"/>
            <family val="3"/>
            <charset val="134"/>
          </rPr>
          <t>-经营性营运资本增加
-资本支出
+付息债务增加
+少数股东损益</t>
        </r>
      </text>
    </comment>
    <comment ref="B46" authorId="0" shapeId="0" xr:uid="{00000000-0006-0000-1700-000007000000}">
      <text>
        <r>
          <rPr>
            <sz val="9"/>
            <color indexed="81"/>
            <rFont val="宋体"/>
            <family val="3"/>
            <charset val="134"/>
          </rPr>
          <t>预测期现值
+永续价值现值</t>
        </r>
      </text>
    </comment>
    <comment ref="B48" authorId="0" shapeId="0" xr:uid="{00000000-0006-0000-1700-000008000000}">
      <text>
        <r>
          <rPr>
            <sz val="9"/>
            <color indexed="81"/>
            <rFont val="宋体"/>
            <family val="3"/>
            <charset val="134"/>
          </rPr>
          <t>总股权价值
-少数股东权益</t>
        </r>
      </text>
    </comment>
    <comment ref="B50" authorId="0" shapeId="0" xr:uid="{00000000-0006-0000-1700-000009000000}">
      <text>
        <r>
          <rPr>
            <sz val="9"/>
            <color indexed="81"/>
            <rFont val="宋体"/>
            <family val="3"/>
            <charset val="134"/>
          </rPr>
          <t>股东权益/总股本</t>
        </r>
      </text>
    </comment>
    <comment ref="B58" authorId="0" shapeId="0" xr:uid="{00000000-0006-0000-1700-00000A000000}">
      <text>
        <r>
          <rPr>
            <sz val="9"/>
            <color indexed="81"/>
            <rFont val="宋体"/>
            <family val="3"/>
            <charset val="134"/>
          </rPr>
          <t>经营现金净流量
-资本支出
+资产减值准备</t>
        </r>
      </text>
    </comment>
    <comment ref="B60" authorId="0" shapeId="0" xr:uid="{00000000-0006-0000-1700-00000B000000}">
      <text>
        <r>
          <rPr>
            <sz val="9"/>
            <color indexed="81"/>
            <rFont val="宋体"/>
            <family val="3"/>
            <charset val="134"/>
          </rPr>
          <t>经营现金净流量
-资本支出
+资产减值准备</t>
        </r>
      </text>
    </comment>
    <comment ref="B65" authorId="0" shapeId="0" xr:uid="{00000000-0006-0000-1700-00000C000000}">
      <text>
        <r>
          <rPr>
            <sz val="9"/>
            <color indexed="81"/>
            <rFont val="宋体"/>
            <family val="3"/>
            <charset val="134"/>
          </rPr>
          <t>经营现金净流量
-资本支出
+资产减值准备</t>
        </r>
      </text>
    </comment>
    <comment ref="B70" authorId="0" shapeId="0" xr:uid="{00000000-0006-0000-1700-00000D000000}">
      <text>
        <r>
          <rPr>
            <sz val="9"/>
            <color indexed="81"/>
            <rFont val="宋体"/>
            <family val="3"/>
            <charset val="134"/>
          </rPr>
          <t>经营现金净流量
-资本支出
+资产减值准备</t>
        </r>
      </text>
    </comment>
    <comment ref="B75" authorId="0" shapeId="0" xr:uid="{00000000-0006-0000-1700-00000E000000}">
      <text>
        <r>
          <rPr>
            <sz val="9"/>
            <color indexed="81"/>
            <rFont val="宋体"/>
            <family val="3"/>
            <charset val="134"/>
          </rPr>
          <t>经营现金净流量
-资本支出
+资产减值准备</t>
        </r>
      </text>
    </comment>
    <comment ref="B77" authorId="0" shapeId="0" xr:uid="{00000000-0006-0000-1700-00000F000000}">
      <text>
        <r>
          <rPr>
            <sz val="9"/>
            <color indexed="81"/>
            <rFont val="宋体"/>
            <family val="3"/>
            <charset val="134"/>
          </rPr>
          <t>经营现金净流量
-资本支出
+资产减值准备</t>
        </r>
      </text>
    </comment>
    <comment ref="B82" authorId="0" shapeId="0" xr:uid="{00000000-0006-0000-1700-000010000000}">
      <text>
        <r>
          <rPr>
            <sz val="9"/>
            <color indexed="81"/>
            <rFont val="宋体"/>
            <family val="3"/>
            <charset val="134"/>
          </rPr>
          <t>净利润
-期初净资产</t>
        </r>
        <r>
          <rPr>
            <sz val="9"/>
            <color indexed="81"/>
            <rFont val="宋体"/>
            <family val="3"/>
            <charset val="134"/>
          </rPr>
          <t xml:space="preserve">*Ke
</t>
        </r>
      </text>
    </comment>
    <comment ref="B87" authorId="0" shapeId="0" xr:uid="{00000000-0006-0000-1700-000011000000}">
      <text>
        <r>
          <rPr>
            <sz val="9"/>
            <color indexed="81"/>
            <rFont val="宋体"/>
            <family val="3"/>
            <charset val="134"/>
          </rPr>
          <t>经营现金净流量
-资本支出
+资产减值准备</t>
        </r>
      </text>
    </comment>
    <comment ref="B90" authorId="0" shapeId="0" xr:uid="{00000000-0006-0000-1700-000012000000}">
      <text>
        <r>
          <rPr>
            <sz val="9"/>
            <color indexed="81"/>
            <rFont val="宋体"/>
            <family val="3"/>
            <charset val="134"/>
          </rPr>
          <t>经营现金净流量
-资本支出
+资产减值准备</t>
        </r>
      </text>
    </comment>
    <comment ref="B92" authorId="0" shapeId="0" xr:uid="{00000000-0006-0000-1700-000013000000}">
      <text>
        <r>
          <rPr>
            <sz val="9"/>
            <color indexed="81"/>
            <rFont val="宋体"/>
            <family val="3"/>
            <charset val="134"/>
          </rPr>
          <t>经营现金净流量
-资本支出
+资产减值准备</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bd</author>
  </authors>
  <commentList>
    <comment ref="A1" authorId="0" shapeId="0" xr:uid="{00000000-0006-0000-1B00-000001000000}">
      <text>
        <r>
          <rPr>
            <b/>
            <sz val="9"/>
            <color indexed="81"/>
            <rFont val="宋体"/>
            <family val="3"/>
            <charset val="134"/>
          </rPr>
          <t>bd:</t>
        </r>
        <r>
          <rPr>
            <sz val="9"/>
            <color indexed="81"/>
            <rFont val="宋体"/>
            <family val="3"/>
            <charset val="134"/>
          </rPr>
          <t xml:space="preserve">对公司资产结构进行了分拆，分析各部分的资产规模情况：
1、固定资产、其他经营资产、非经营资产
2、同时选择基期，计算指数化比率，放大规模效应进行分析
</t>
        </r>
      </text>
    </comment>
    <comment ref="A3" authorId="0" shapeId="0" xr:uid="{00000000-0006-0000-1B00-000002000000}">
      <text>
        <r>
          <rPr>
            <b/>
            <sz val="9"/>
            <color indexed="81"/>
            <rFont val="宋体"/>
            <family val="3"/>
            <charset val="134"/>
          </rPr>
          <t>bd:</t>
        </r>
        <r>
          <rPr>
            <sz val="9"/>
            <color indexed="81"/>
            <rFont val="宋体"/>
            <family val="3"/>
            <charset val="134"/>
          </rPr>
          <t xml:space="preserve">
观察用于经营的invested capital整体及其细项的变化</t>
        </r>
      </text>
    </comment>
    <comment ref="A4" authorId="0" shapeId="0" xr:uid="{00000000-0006-0000-1B00-000003000000}">
      <text>
        <r>
          <rPr>
            <b/>
            <sz val="9"/>
            <color indexed="81"/>
            <rFont val="宋体"/>
            <family val="3"/>
            <charset val="134"/>
          </rPr>
          <t>bd:</t>
        </r>
        <r>
          <rPr>
            <sz val="9"/>
            <color indexed="81"/>
            <rFont val="宋体"/>
            <family val="3"/>
            <charset val="134"/>
          </rPr>
          <t xml:space="preserve">
前一年的营收×6%，意思是假设企业按照上一年度的营收确认当年需要多少的现金，其他多余的现金这不能计入到用于经营invested capltal里，而只能计入多余的capital里。6%的比例可自定义。</t>
        </r>
      </text>
    </comment>
    <comment ref="A19" authorId="0" shapeId="0" xr:uid="{00000000-0006-0000-1B00-000004000000}">
      <text>
        <r>
          <rPr>
            <b/>
            <sz val="9"/>
            <color indexed="81"/>
            <rFont val="宋体"/>
            <family val="3"/>
            <charset val="134"/>
          </rPr>
          <t>bd:</t>
        </r>
        <r>
          <rPr>
            <sz val="9"/>
            <color indexed="81"/>
            <rFont val="宋体"/>
            <family val="3"/>
            <charset val="134"/>
          </rPr>
          <t xml:space="preserve">
资本投资=经营流动资产-经营流动负债</t>
        </r>
      </text>
    </comment>
    <comment ref="A23" authorId="0" shapeId="0" xr:uid="{00000000-0006-0000-1B00-000005000000}">
      <text>
        <r>
          <rPr>
            <b/>
            <sz val="9"/>
            <color indexed="81"/>
            <rFont val="宋体"/>
            <family val="3"/>
            <charset val="134"/>
          </rPr>
          <t>bd:</t>
        </r>
        <r>
          <rPr>
            <sz val="9"/>
            <color indexed="81"/>
            <rFont val="宋体"/>
            <family val="3"/>
            <charset val="134"/>
          </rPr>
          <t xml:space="preserve">
百分比是指当期各个资产负债表项目的一个占比情况，是横截面性质。</t>
        </r>
      </text>
    </comment>
    <comment ref="A54" authorId="0" shapeId="0" xr:uid="{00000000-0006-0000-1B00-000006000000}">
      <text>
        <r>
          <rPr>
            <b/>
            <sz val="9"/>
            <color indexed="81"/>
            <rFont val="宋体"/>
            <family val="3"/>
            <charset val="134"/>
          </rPr>
          <t>bd:</t>
        </r>
        <r>
          <rPr>
            <sz val="9"/>
            <color indexed="81"/>
            <rFont val="宋体"/>
            <family val="3"/>
            <charset val="134"/>
          </rPr>
          <t xml:space="preserve">
指数化是以基期为准，揭示各项资产的时间序列性质。</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港澳资讯</author>
  </authors>
  <commentList>
    <comment ref="A140" authorId="0" shapeId="0" xr:uid="{00000000-0006-0000-1E00-000001000000}">
      <text>
        <r>
          <rPr>
            <sz val="9"/>
            <color indexed="81"/>
            <rFont val="宋体"/>
            <family val="3"/>
            <charset val="134"/>
          </rPr>
          <t>资产负债表是每个季度末期数据，是为了研究员计算一些季度比率而返回的数据。
为了保证估值模版版本的兼容性，季度的资产负债表放置到季度利润表和季度现金流量表之后</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刘兆华</author>
    <author>胡晓鹰</author>
  </authors>
  <commentList>
    <comment ref="P1" authorId="0" shapeId="0" xr:uid="{00000000-0006-0000-2100-000001000000}">
      <text>
        <r>
          <rPr>
            <b/>
            <sz val="9"/>
            <color indexed="81"/>
            <rFont val="宋体"/>
            <family val="3"/>
            <charset val="134"/>
          </rPr>
          <t>可从目录表内取公司名称字段</t>
        </r>
      </text>
    </comment>
    <comment ref="P2" authorId="0" shapeId="0" xr:uid="{00000000-0006-0000-2100-000002000000}">
      <text>
        <r>
          <rPr>
            <b/>
            <sz val="9"/>
            <color indexed="81"/>
            <rFont val="宋体"/>
            <family val="3"/>
            <charset val="134"/>
          </rPr>
          <t>可从目录表内取公司代码字段,注意带市场简称</t>
        </r>
      </text>
    </comment>
    <comment ref="A66" authorId="1" shapeId="0" xr:uid="{00000000-0006-0000-2100-000003000000}">
      <text>
        <r>
          <rPr>
            <b/>
            <sz val="9"/>
            <color indexed="81"/>
            <rFont val="宋体"/>
            <family val="3"/>
            <charset val="134"/>
          </rPr>
          <t>用最新摊薄EPS计算</t>
        </r>
      </text>
    </comment>
    <comment ref="A67" authorId="1" shapeId="0" xr:uid="{00000000-0006-0000-2100-000004000000}">
      <text>
        <r>
          <rPr>
            <b/>
            <sz val="9"/>
            <color indexed="81"/>
            <rFont val="宋体"/>
            <family val="3"/>
            <charset val="134"/>
          </rPr>
          <t>用最新摊薄净资产计算</t>
        </r>
      </text>
    </comment>
  </commentList>
</comments>
</file>

<file path=xl/sharedStrings.xml><?xml version="1.0" encoding="utf-8"?>
<sst xmlns="http://schemas.openxmlformats.org/spreadsheetml/2006/main" count="4823" uniqueCount="2906">
  <si>
    <t>一年内到期的非流动负债/总负债</t>
    <phoneticPr fontId="7" type="noConversion"/>
  </si>
  <si>
    <t>其他流动负债/总负债</t>
    <phoneticPr fontId="7" type="noConversion"/>
  </si>
  <si>
    <t>长期借款/总负债</t>
    <phoneticPr fontId="7" type="noConversion"/>
  </si>
  <si>
    <t>长期应付款/总负债</t>
    <phoneticPr fontId="7" type="noConversion"/>
  </si>
  <si>
    <t>递延所得税负债/总负债</t>
    <phoneticPr fontId="7" type="noConversion"/>
  </si>
  <si>
    <t>其他非流动负债/总负债</t>
    <phoneticPr fontId="7" type="noConversion"/>
  </si>
  <si>
    <r>
      <t>非流动负债</t>
    </r>
    <r>
      <rPr>
        <sz val="9"/>
        <color indexed="8"/>
        <rFont val="Times New Roman"/>
        <family val="1"/>
      </rPr>
      <t>(%)</t>
    </r>
    <phoneticPr fontId="7" type="noConversion"/>
  </si>
  <si>
    <t xml:space="preserve">    其中：递延所得税负债(%)</t>
    <phoneticPr fontId="7" type="noConversion"/>
  </si>
  <si>
    <t xml:space="preserve">    其中：其他非流动负债(%)</t>
    <phoneticPr fontId="7" type="noConversion"/>
  </si>
  <si>
    <t>企业价值(EV)</t>
    <phoneticPr fontId="67" type="noConversion"/>
  </si>
  <si>
    <t>流动负债同比(%)</t>
    <phoneticPr fontId="7" type="noConversion"/>
  </si>
  <si>
    <t>短期借款同比(%)</t>
    <phoneticPr fontId="7" type="noConversion"/>
  </si>
  <si>
    <t>交易性金融负债同比(%)</t>
    <phoneticPr fontId="7" type="noConversion"/>
  </si>
  <si>
    <t>应付账款同比(%)</t>
    <phoneticPr fontId="7" type="noConversion"/>
  </si>
  <si>
    <t>预收账款同比(%)</t>
    <phoneticPr fontId="7" type="noConversion"/>
  </si>
  <si>
    <t>其他应付款同比(%)</t>
    <phoneticPr fontId="7" type="noConversion"/>
  </si>
  <si>
    <t>递延收益同比(%)</t>
    <phoneticPr fontId="7" type="noConversion"/>
  </si>
  <si>
    <t>一年内到期的非流动负债同比(%)</t>
    <phoneticPr fontId="7" type="noConversion"/>
  </si>
  <si>
    <t>其他流动负债同比(%)</t>
    <phoneticPr fontId="7" type="noConversion"/>
  </si>
  <si>
    <t>长期借款同比(%)</t>
    <phoneticPr fontId="7" type="noConversion"/>
  </si>
  <si>
    <t>长期应付款同比(%)</t>
    <phoneticPr fontId="7" type="noConversion"/>
  </si>
  <si>
    <t>递延所得税负债同比(%)</t>
    <phoneticPr fontId="7" type="noConversion"/>
  </si>
  <si>
    <t>其他非流动负债同比(%)</t>
    <phoneticPr fontId="7" type="noConversion"/>
  </si>
  <si>
    <t xml:space="preserve">    其中：短期借款同比(%)</t>
    <phoneticPr fontId="7" type="noConversion"/>
  </si>
  <si>
    <t xml:space="preserve">    其中：交易性金融负债同比(%)</t>
    <phoneticPr fontId="7" type="noConversion"/>
  </si>
  <si>
    <t xml:space="preserve">    其中：递延收益同比(%)</t>
    <phoneticPr fontId="7" type="noConversion"/>
  </si>
  <si>
    <r>
      <t xml:space="preserve">    其中：一年内到期的非流动负债同比</t>
    </r>
    <r>
      <rPr>
        <sz val="9"/>
        <color indexed="8"/>
        <rFont val="宋体"/>
        <family val="3"/>
        <charset val="134"/>
      </rPr>
      <t>(%)</t>
    </r>
    <phoneticPr fontId="7" type="noConversion"/>
  </si>
  <si>
    <r>
      <t>VIII</t>
    </r>
    <r>
      <rPr>
        <b/>
        <sz val="12"/>
        <color indexed="10"/>
        <rFont val="宋体"/>
        <family val="3"/>
        <charset val="134"/>
      </rPr>
      <t>﹑股价（前复权）</t>
    </r>
    <phoneticPr fontId="4" type="noConversion"/>
  </si>
  <si>
    <t>营业收入增长率</t>
    <phoneticPr fontId="4" type="noConversion"/>
  </si>
  <si>
    <t>投入资本回报率(ROIC)</t>
    <phoneticPr fontId="4" type="noConversion"/>
  </si>
  <si>
    <t>较差情景</t>
    <phoneticPr fontId="4" type="noConversion"/>
  </si>
  <si>
    <t>一般情景</t>
    <phoneticPr fontId="4" type="noConversion"/>
  </si>
  <si>
    <t>归属母公司所有者净利润</t>
    <phoneticPr fontId="7" type="noConversion"/>
  </si>
  <si>
    <t>EPS（摊薄）</t>
    <phoneticPr fontId="4" type="noConversion"/>
  </si>
  <si>
    <t>利润总额</t>
    <phoneticPr fontId="7" type="noConversion"/>
  </si>
  <si>
    <t>资产收益率(ROA)</t>
    <phoneticPr fontId="4" type="noConversion"/>
  </si>
  <si>
    <t>流动资产</t>
  </si>
  <si>
    <t xml:space="preserve">  预付账款</t>
  </si>
  <si>
    <t xml:space="preserve">  其他</t>
  </si>
  <si>
    <t>非流动资产</t>
  </si>
  <si>
    <t xml:space="preserve">  长期投资</t>
  </si>
  <si>
    <t xml:space="preserve">  固定资产</t>
  </si>
  <si>
    <t xml:space="preserve">  无形资产</t>
  </si>
  <si>
    <t>资产总计</t>
  </si>
  <si>
    <t>利润总额</t>
  </si>
  <si>
    <t>流动负债</t>
  </si>
  <si>
    <t xml:space="preserve">  短期借款</t>
  </si>
  <si>
    <t xml:space="preserve">  应付账款</t>
  </si>
  <si>
    <t>EBITDA</t>
  </si>
  <si>
    <t xml:space="preserve">  长期借款</t>
  </si>
  <si>
    <t>负债合计</t>
  </si>
  <si>
    <t xml:space="preserve"> 少数股东权益</t>
  </si>
  <si>
    <t>获利能力</t>
  </si>
  <si>
    <t>现金流量表</t>
  </si>
  <si>
    <t>经营活动现金流</t>
  </si>
  <si>
    <t xml:space="preserve">  净利润</t>
  </si>
  <si>
    <t>偿债能力</t>
  </si>
  <si>
    <t xml:space="preserve">  折旧摊销</t>
  </si>
  <si>
    <t xml:space="preserve">  财务费用</t>
  </si>
  <si>
    <t xml:space="preserve">  其它</t>
  </si>
  <si>
    <t>营运能力</t>
  </si>
  <si>
    <t>投资活动现金流</t>
  </si>
  <si>
    <t xml:space="preserve">  资本支出</t>
  </si>
  <si>
    <t>每股指标（元）</t>
  </si>
  <si>
    <t>筹资活动现金流</t>
  </si>
  <si>
    <t>估值比率</t>
  </si>
  <si>
    <t>现金净增加额</t>
  </si>
  <si>
    <t>资产负债表</t>
    <phoneticPr fontId="167" type="noConversion"/>
  </si>
  <si>
    <t>单位:百万元</t>
    <phoneticPr fontId="167" type="noConversion"/>
  </si>
  <si>
    <t>利润表</t>
    <phoneticPr fontId="167" type="noConversion"/>
  </si>
  <si>
    <t>会计年度</t>
    <phoneticPr fontId="167" type="noConversion"/>
  </si>
  <si>
    <t>会计年度</t>
    <phoneticPr fontId="167" type="noConversion"/>
  </si>
  <si>
    <t>营业收入</t>
    <phoneticPr fontId="167" type="noConversion"/>
  </si>
  <si>
    <t xml:space="preserve">  现金</t>
    <phoneticPr fontId="167" type="noConversion"/>
  </si>
  <si>
    <t>营业成本</t>
    <phoneticPr fontId="167" type="noConversion"/>
  </si>
  <si>
    <t xml:space="preserve">  应收账款</t>
    <phoneticPr fontId="167" type="noConversion"/>
  </si>
  <si>
    <t>营业税金及附加</t>
    <phoneticPr fontId="167" type="noConversion"/>
  </si>
  <si>
    <t xml:space="preserve">  其它应收款</t>
    <phoneticPr fontId="167" type="noConversion"/>
  </si>
  <si>
    <t>营业费用</t>
    <phoneticPr fontId="167" type="noConversion"/>
  </si>
  <si>
    <t>管理费用</t>
    <phoneticPr fontId="167" type="noConversion"/>
  </si>
  <si>
    <t xml:space="preserve">  存货</t>
    <phoneticPr fontId="167" type="noConversion"/>
  </si>
  <si>
    <t>财务费用</t>
    <phoneticPr fontId="167" type="noConversion"/>
  </si>
  <si>
    <t xml:space="preserve">  其他</t>
    <phoneticPr fontId="167" type="noConversion"/>
  </si>
  <si>
    <t>资产减值损失</t>
    <phoneticPr fontId="167" type="noConversion"/>
  </si>
  <si>
    <t>公允价值变动收益</t>
    <phoneticPr fontId="167" type="noConversion"/>
  </si>
  <si>
    <t>投资净收益</t>
    <phoneticPr fontId="167" type="noConversion"/>
  </si>
  <si>
    <t>营业外收入</t>
    <phoneticPr fontId="167" type="noConversion"/>
  </si>
  <si>
    <t>营业外支出</t>
    <phoneticPr fontId="167" type="noConversion"/>
  </si>
  <si>
    <t>所得税</t>
    <phoneticPr fontId="167" type="noConversion"/>
  </si>
  <si>
    <t>少数股东损益</t>
    <phoneticPr fontId="167" type="noConversion"/>
  </si>
  <si>
    <t>归属母公司净利润</t>
    <phoneticPr fontId="167" type="noConversion"/>
  </si>
  <si>
    <t>非流动负债</t>
    <phoneticPr fontId="167" type="noConversion"/>
  </si>
  <si>
    <t>主要财务比率</t>
    <phoneticPr fontId="167" type="noConversion"/>
  </si>
  <si>
    <t>成长能力</t>
    <phoneticPr fontId="167" type="noConversion"/>
  </si>
  <si>
    <t>归属母公司股东权益</t>
    <phoneticPr fontId="167" type="noConversion"/>
  </si>
  <si>
    <t>负债和股东权益</t>
    <phoneticPr fontId="167" type="noConversion"/>
  </si>
  <si>
    <t>毛利率</t>
    <phoneticPr fontId="167" type="noConversion"/>
  </si>
  <si>
    <t>单位:百万元</t>
    <phoneticPr fontId="167" type="noConversion"/>
  </si>
  <si>
    <t>净利率</t>
    <phoneticPr fontId="167" type="noConversion"/>
  </si>
  <si>
    <t>ROE</t>
    <phoneticPr fontId="167" type="noConversion"/>
  </si>
  <si>
    <t>ROIC</t>
    <phoneticPr fontId="167" type="noConversion"/>
  </si>
  <si>
    <t>资产负债率</t>
    <phoneticPr fontId="167" type="noConversion"/>
  </si>
  <si>
    <t>净负债比率</t>
    <phoneticPr fontId="167" type="noConversion"/>
  </si>
  <si>
    <t xml:space="preserve">  投资损失</t>
    <phoneticPr fontId="167" type="noConversion"/>
  </si>
  <si>
    <t>流动比率</t>
    <phoneticPr fontId="167" type="noConversion"/>
  </si>
  <si>
    <t>营运资金变动</t>
    <phoneticPr fontId="167" type="noConversion"/>
  </si>
  <si>
    <t>速动比率</t>
    <phoneticPr fontId="167" type="noConversion"/>
  </si>
  <si>
    <t>总资产周转率</t>
    <phoneticPr fontId="167" type="noConversion"/>
  </si>
  <si>
    <t>应收账款周转率</t>
    <phoneticPr fontId="167" type="noConversion"/>
  </si>
  <si>
    <t>应付账款周转率</t>
    <phoneticPr fontId="167" type="noConversion"/>
  </si>
  <si>
    <t>每股收益(最新摊薄)</t>
    <phoneticPr fontId="167" type="noConversion"/>
  </si>
  <si>
    <t>每股经营现金流(最新摊薄)</t>
    <phoneticPr fontId="167" type="noConversion"/>
  </si>
  <si>
    <t xml:space="preserve">  长期借款</t>
    <phoneticPr fontId="167" type="noConversion"/>
  </si>
  <si>
    <t>每股净资产(最新摊薄)</t>
    <phoneticPr fontId="167" type="noConversion"/>
  </si>
  <si>
    <t>P/E</t>
    <phoneticPr fontId="167" type="noConversion"/>
  </si>
  <si>
    <t>P/B</t>
    <phoneticPr fontId="167" type="noConversion"/>
  </si>
  <si>
    <t>EV/EBITDA</t>
    <phoneticPr fontId="167" type="noConversion"/>
  </si>
  <si>
    <t>重要财务指标</t>
    <phoneticPr fontId="167" type="noConversion"/>
  </si>
  <si>
    <t>主要财务指标</t>
    <phoneticPr fontId="167" type="noConversion"/>
  </si>
  <si>
    <r>
      <t xml:space="preserve">  </t>
    </r>
    <r>
      <rPr>
        <sz val="9"/>
        <rFont val="楷体_GB2312"/>
        <family val="3"/>
        <charset val="134"/>
      </rPr>
      <t>同比</t>
    </r>
    <r>
      <rPr>
        <sz val="9"/>
        <rFont val="Arial"/>
        <family val="2"/>
      </rPr>
      <t>(%)</t>
    </r>
    <phoneticPr fontId="167" type="noConversion"/>
  </si>
  <si>
    <r>
      <t>毛利率</t>
    </r>
    <r>
      <rPr>
        <sz val="9"/>
        <rFont val="Arial"/>
        <family val="2"/>
      </rPr>
      <t>(%)</t>
    </r>
    <phoneticPr fontId="167" type="noConversion"/>
  </si>
  <si>
    <t>ROE(%)</t>
    <phoneticPr fontId="167" type="noConversion"/>
  </si>
  <si>
    <r>
      <t>每股收益</t>
    </r>
    <r>
      <rPr>
        <sz val="9"/>
        <rFont val="Arial"/>
        <family val="2"/>
      </rPr>
      <t>(</t>
    </r>
    <r>
      <rPr>
        <sz val="9"/>
        <rFont val="楷体_GB2312"/>
        <family val="3"/>
        <charset val="134"/>
      </rPr>
      <t>元</t>
    </r>
    <r>
      <rPr>
        <sz val="9"/>
        <rFont val="Arial"/>
        <family val="2"/>
      </rPr>
      <t>)</t>
    </r>
  </si>
  <si>
    <r>
      <t>EPS</t>
    </r>
    <r>
      <rPr>
        <sz val="9"/>
        <rFont val="楷体_GB2312"/>
        <family val="3"/>
        <charset val="134"/>
      </rPr>
      <t>（摊薄）</t>
    </r>
    <phoneticPr fontId="167" type="noConversion"/>
  </si>
  <si>
    <t>每股价值</t>
    <phoneticPr fontId="167" type="noConversion"/>
  </si>
  <si>
    <t>永续增长率</t>
    <phoneticPr fontId="167" type="noConversion"/>
  </si>
  <si>
    <t>终值</t>
    <phoneticPr fontId="167" type="noConversion"/>
  </si>
  <si>
    <t>企业价值</t>
    <phoneticPr fontId="167" type="noConversion"/>
  </si>
  <si>
    <t>非核心资产价值</t>
    <phoneticPr fontId="167" type="noConversion"/>
  </si>
  <si>
    <t>债务价值</t>
    <phoneticPr fontId="167" type="noConversion"/>
  </si>
  <si>
    <t>股权价值</t>
    <phoneticPr fontId="167" type="noConversion"/>
  </si>
  <si>
    <t>股本</t>
    <phoneticPr fontId="167" type="noConversion"/>
  </si>
  <si>
    <t>WACC</t>
    <phoneticPr fontId="167" type="noConversion"/>
  </si>
  <si>
    <t>Ke</t>
    <phoneticPr fontId="167" type="noConversion"/>
  </si>
  <si>
    <t>Kd</t>
    <phoneticPr fontId="167" type="noConversion"/>
  </si>
  <si>
    <t>t</t>
    <phoneticPr fontId="167" type="noConversion"/>
  </si>
  <si>
    <t>Rf</t>
    <phoneticPr fontId="167" type="noConversion"/>
  </si>
  <si>
    <t>Rm</t>
    <phoneticPr fontId="167" type="noConversion"/>
  </si>
  <si>
    <t>Rm-Rf</t>
    <phoneticPr fontId="167" type="noConversion"/>
  </si>
  <si>
    <t>Beta</t>
    <phoneticPr fontId="167" type="noConversion"/>
  </si>
  <si>
    <t xml:space="preserve">    其中：递延所得税负债同比(%)</t>
    <phoneticPr fontId="7" type="noConversion"/>
  </si>
  <si>
    <t xml:space="preserve">    其中：其他非流动负债同比(%)</t>
    <phoneticPr fontId="7" type="noConversion"/>
  </si>
  <si>
    <t>流动资产-具体项加起来</t>
    <phoneticPr fontId="7" type="noConversion"/>
  </si>
  <si>
    <t xml:space="preserve">        其他</t>
    <phoneticPr fontId="7" type="noConversion"/>
  </si>
  <si>
    <t>流动负债-具体项加起来</t>
    <phoneticPr fontId="7" type="noConversion"/>
  </si>
  <si>
    <t>非流动负债-具体项加起来</t>
    <phoneticPr fontId="7" type="noConversion"/>
  </si>
  <si>
    <t>其他项加起来</t>
    <phoneticPr fontId="7" type="noConversion"/>
  </si>
  <si>
    <t xml:space="preserve">  减：利息收入</t>
    <phoneticPr fontId="7" type="noConversion"/>
  </si>
  <si>
    <t xml:space="preserve">  利息支出</t>
    <phoneticPr fontId="7" type="noConversion"/>
  </si>
  <si>
    <t>其中：每股派现（中报）</t>
    <phoneticPr fontId="7" type="noConversion"/>
  </si>
  <si>
    <t>其中：每股红股（中报）</t>
    <phoneticPr fontId="7" type="noConversion"/>
  </si>
  <si>
    <t>其中：每股转增（中报）</t>
    <phoneticPr fontId="7" type="noConversion"/>
  </si>
  <si>
    <t>经营营运资本增长率</t>
    <phoneticPr fontId="67" type="noConversion"/>
  </si>
  <si>
    <t>付息债务／总负债</t>
    <phoneticPr fontId="67" type="noConversion"/>
  </si>
  <si>
    <t>股权价值+少数股东权益+付息债务-现金及等价物</t>
    <phoneticPr fontId="7" type="noConversion"/>
  </si>
  <si>
    <t>1、经营性流动资产</t>
    <phoneticPr fontId="4" type="noConversion"/>
  </si>
  <si>
    <t>流动资产</t>
    <phoneticPr fontId="7" type="noConversion"/>
  </si>
  <si>
    <t>减：交易性金融资产</t>
    <phoneticPr fontId="7" type="noConversion"/>
  </si>
  <si>
    <t>减：货币资金</t>
    <phoneticPr fontId="7" type="noConversion"/>
  </si>
  <si>
    <t>经营性流动资产</t>
    <phoneticPr fontId="4" type="noConversion"/>
  </si>
  <si>
    <t>2、经营性流动负债</t>
    <phoneticPr fontId="4" type="noConversion"/>
  </si>
  <si>
    <t>流动负债</t>
    <phoneticPr fontId="7" type="noConversion"/>
  </si>
  <si>
    <t>减：交易性金融负债</t>
    <phoneticPr fontId="7" type="noConversion"/>
  </si>
  <si>
    <t>减：短期借款</t>
    <phoneticPr fontId="7" type="noConversion"/>
  </si>
  <si>
    <t>经营性流动资产的增加(减：减少)</t>
    <phoneticPr fontId="4" type="noConversion"/>
  </si>
  <si>
    <t>经营性流动负债</t>
    <phoneticPr fontId="4" type="noConversion"/>
  </si>
  <si>
    <t>经营性流动负债的增加(减：减少)</t>
    <phoneticPr fontId="4" type="noConversion"/>
  </si>
  <si>
    <t>所有者权益</t>
    <phoneticPr fontId="4" type="noConversion"/>
  </si>
  <si>
    <t>短期借款</t>
    <phoneticPr fontId="4" type="noConversion"/>
  </si>
  <si>
    <t>长期借款</t>
    <phoneticPr fontId="4" type="noConversion"/>
  </si>
  <si>
    <t>一年内到期的非流动负债</t>
    <phoneticPr fontId="4" type="noConversion"/>
  </si>
  <si>
    <t>付息债务</t>
    <phoneticPr fontId="4" type="noConversion"/>
  </si>
  <si>
    <t xml:space="preserve">付息债务 </t>
    <phoneticPr fontId="4" type="noConversion"/>
  </si>
  <si>
    <t>投资资本IC</t>
    <phoneticPr fontId="4" type="noConversion"/>
  </si>
  <si>
    <t>6、投资资本IC</t>
    <phoneticPr fontId="4" type="noConversion"/>
  </si>
  <si>
    <t>交易性金融资产</t>
    <phoneticPr fontId="7" type="noConversion"/>
  </si>
  <si>
    <t>可供出售金融资产</t>
    <phoneticPr fontId="4" type="noConversion"/>
  </si>
  <si>
    <t>持有至到期投资</t>
    <phoneticPr fontId="4" type="noConversion"/>
  </si>
  <si>
    <t>投资性房地产</t>
    <phoneticPr fontId="4" type="noConversion"/>
  </si>
  <si>
    <t>长期股权投资</t>
    <phoneticPr fontId="7" type="noConversion"/>
  </si>
  <si>
    <t>其他非流动资产</t>
    <phoneticPr fontId="7" type="noConversion"/>
  </si>
  <si>
    <t>7、非核心资产（现金及等价物）</t>
    <phoneticPr fontId="7" type="noConversion"/>
  </si>
  <si>
    <t>投资净收益</t>
    <phoneticPr fontId="4" type="noConversion"/>
  </si>
  <si>
    <t>可供出售金融资产的减少</t>
    <phoneticPr fontId="4" type="noConversion"/>
  </si>
  <si>
    <t>持有至到期投资的减少</t>
    <phoneticPr fontId="4" type="noConversion"/>
  </si>
  <si>
    <t>投资性房地产的减少</t>
    <phoneticPr fontId="4" type="noConversion"/>
  </si>
  <si>
    <t>长期应收款的减少</t>
    <phoneticPr fontId="4" type="noConversion"/>
  </si>
  <si>
    <t>交易性金融资产的减少</t>
    <phoneticPr fontId="4" type="noConversion"/>
  </si>
  <si>
    <t>在建工程的减少</t>
    <phoneticPr fontId="4" type="noConversion"/>
  </si>
  <si>
    <t>无形资产的减少</t>
    <phoneticPr fontId="4" type="noConversion"/>
  </si>
  <si>
    <r>
      <rPr>
        <sz val="9"/>
        <rFont val="宋体"/>
        <family val="3"/>
        <charset val="134"/>
      </rPr>
      <t>长期待摊费用摊销年限</t>
    </r>
    <phoneticPr fontId="4" type="noConversion"/>
  </si>
  <si>
    <t>商誉的减少</t>
    <phoneticPr fontId="4" type="noConversion"/>
  </si>
  <si>
    <t>交易性金融负债</t>
    <phoneticPr fontId="4" type="noConversion"/>
  </si>
  <si>
    <t>交易性金融负债的增加</t>
    <phoneticPr fontId="4" type="noConversion"/>
  </si>
  <si>
    <t>派现</t>
    <phoneticPr fontId="4" type="noConversion"/>
  </si>
  <si>
    <t>循环贷款累计</t>
    <phoneticPr fontId="4" type="noConversion"/>
  </si>
  <si>
    <t>最低短期借款的增加</t>
    <phoneticPr fontId="4" type="noConversion"/>
  </si>
  <si>
    <t>三、筹融资活动产生的现金流量</t>
    <phoneticPr fontId="4" type="noConversion"/>
  </si>
  <si>
    <t>计入循环贷款前筹融资活动产生的现金流量</t>
    <phoneticPr fontId="4" type="noConversion"/>
  </si>
  <si>
    <t>其他非流动负债</t>
    <phoneticPr fontId="4" type="noConversion"/>
  </si>
  <si>
    <t>长期应付款</t>
    <phoneticPr fontId="4" type="noConversion"/>
  </si>
  <si>
    <t>5、付息债务（带息债务、债务价值）</t>
    <phoneticPr fontId="4" type="noConversion"/>
  </si>
  <si>
    <t>期初固定资产</t>
    <phoneticPr fontId="7" type="noConversion"/>
  </si>
  <si>
    <t>二、在建工程</t>
    <phoneticPr fontId="4" type="noConversion"/>
  </si>
  <si>
    <t>期末在建工程</t>
    <phoneticPr fontId="4" type="noConversion"/>
  </si>
  <si>
    <t>期初在建工程</t>
    <phoneticPr fontId="7" type="noConversion"/>
  </si>
  <si>
    <t>期末固定资产</t>
    <phoneticPr fontId="7" type="noConversion"/>
  </si>
  <si>
    <t>预测方法</t>
    <phoneticPr fontId="7" type="noConversion"/>
  </si>
  <si>
    <r>
      <t>转前在建工程（期初</t>
    </r>
    <r>
      <rPr>
        <b/>
        <sz val="9"/>
        <rFont val="Times New Roman"/>
        <family val="1"/>
      </rPr>
      <t xml:space="preserve"> + </t>
    </r>
    <r>
      <rPr>
        <b/>
        <sz val="9"/>
        <rFont val="宋体"/>
        <family val="3"/>
        <charset val="134"/>
      </rPr>
      <t>新增）</t>
    </r>
    <phoneticPr fontId="4" type="noConversion"/>
  </si>
  <si>
    <t>三、无形资产</t>
    <phoneticPr fontId="4" type="noConversion"/>
  </si>
  <si>
    <t>四、长期待摊费用</t>
    <phoneticPr fontId="4" type="noConversion"/>
  </si>
  <si>
    <t>资本投资和折旧摊销</t>
    <phoneticPr fontId="7" type="noConversion"/>
  </si>
  <si>
    <t>期初固定资产</t>
    <phoneticPr fontId="4" type="noConversion"/>
  </si>
  <si>
    <t>期初无形资产</t>
    <phoneticPr fontId="7" type="noConversion"/>
  </si>
  <si>
    <t>期初长期待摊费用</t>
    <phoneticPr fontId="7" type="noConversion"/>
  </si>
  <si>
    <r>
      <t>固定资产残值率</t>
    </r>
    <r>
      <rPr>
        <sz val="9"/>
        <rFont val="Times New Roman"/>
        <family val="1"/>
      </rPr>
      <t>(%)</t>
    </r>
    <phoneticPr fontId="4" type="noConversion"/>
  </si>
  <si>
    <t>占营业收入增加的比例</t>
    <phoneticPr fontId="7" type="noConversion"/>
  </si>
  <si>
    <t>期初无形资产</t>
    <phoneticPr fontId="7" type="noConversion"/>
  </si>
  <si>
    <t>加：新增无形资产</t>
    <phoneticPr fontId="7" type="noConversion"/>
  </si>
  <si>
    <t>减：无形资产摊销</t>
    <phoneticPr fontId="7" type="noConversion"/>
  </si>
  <si>
    <t>加：在建工程转固定资产</t>
    <phoneticPr fontId="7" type="noConversion"/>
  </si>
  <si>
    <t>减:折旧</t>
    <phoneticPr fontId="7" type="noConversion"/>
  </si>
  <si>
    <t>本期计提摊销</t>
    <phoneticPr fontId="7" type="noConversion"/>
  </si>
  <si>
    <t>期末无形资产</t>
    <phoneticPr fontId="7" type="noConversion"/>
  </si>
  <si>
    <t>减：长期待摊费用摊销</t>
    <phoneticPr fontId="7" type="noConversion"/>
  </si>
  <si>
    <t>营运资本及资本价值</t>
    <phoneticPr fontId="4" type="noConversion"/>
  </si>
  <si>
    <t>长期借款及还本</t>
    <phoneticPr fontId="7" type="noConversion"/>
  </si>
  <si>
    <t>还款期限</t>
    <phoneticPr fontId="4" type="noConversion"/>
  </si>
  <si>
    <t>期初长期借款</t>
    <phoneticPr fontId="4" type="noConversion"/>
  </si>
  <si>
    <t>长期借款合计</t>
    <phoneticPr fontId="7" type="noConversion"/>
  </si>
  <si>
    <t>期初长期借款</t>
    <phoneticPr fontId="7" type="noConversion"/>
  </si>
  <si>
    <t>加：新增长期借款</t>
    <phoneticPr fontId="7" type="noConversion"/>
  </si>
  <si>
    <t>减:还本</t>
    <phoneticPr fontId="7" type="noConversion"/>
  </si>
  <si>
    <t>一年内到期的非流动负债</t>
    <phoneticPr fontId="7" type="noConversion"/>
  </si>
  <si>
    <t>期末长期借款</t>
    <phoneticPr fontId="7" type="noConversion"/>
  </si>
  <si>
    <t>估值假设</t>
    <phoneticPr fontId="7" type="noConversion"/>
  </si>
  <si>
    <t>数值</t>
    <phoneticPr fontId="7" type="noConversion"/>
  </si>
  <si>
    <t>现金流量表</t>
    <phoneticPr fontId="4" type="noConversion"/>
  </si>
  <si>
    <t>永续增长率g</t>
    <phoneticPr fontId="7" type="noConversion"/>
  </si>
  <si>
    <r>
      <t>无风险利率Rf</t>
    </r>
    <r>
      <rPr>
        <sz val="9"/>
        <rFont val="宋体"/>
        <family val="3"/>
        <charset val="134"/>
      </rPr>
      <t>（%）</t>
    </r>
    <phoneticPr fontId="7" type="noConversion"/>
  </si>
  <si>
    <r>
      <t>市场的预期收益率R</t>
    </r>
    <r>
      <rPr>
        <sz val="9"/>
        <rFont val="宋体"/>
        <family val="3"/>
        <charset val="134"/>
      </rPr>
      <t>m</t>
    </r>
    <r>
      <rPr>
        <sz val="9"/>
        <rFont val="宋体"/>
        <family val="3"/>
        <charset val="134"/>
      </rPr>
      <t>（%）</t>
    </r>
    <phoneticPr fontId="7" type="noConversion"/>
  </si>
  <si>
    <t>有效税率Tx（%）</t>
    <phoneticPr fontId="7" type="noConversion"/>
  </si>
  <si>
    <t>资本成本</t>
    <phoneticPr fontId="7" type="noConversion"/>
  </si>
  <si>
    <t>股权资本成本Ke</t>
  </si>
  <si>
    <r>
      <rPr>
        <sz val="9"/>
        <rFont val="宋体"/>
        <family val="3"/>
        <charset val="134"/>
      </rPr>
      <t>贴现系数</t>
    </r>
    <r>
      <rPr>
        <sz val="9"/>
        <rFont val="Arial"/>
        <family val="2"/>
      </rPr>
      <t>(Ke)</t>
    </r>
    <phoneticPr fontId="7" type="noConversion"/>
  </si>
  <si>
    <r>
      <rPr>
        <sz val="9"/>
        <rFont val="宋体"/>
        <family val="3"/>
        <charset val="134"/>
      </rPr>
      <t>贴现系数</t>
    </r>
    <r>
      <rPr>
        <sz val="9"/>
        <rFont val="Arial"/>
        <family val="2"/>
      </rPr>
      <t>(WACC)</t>
    </r>
    <phoneticPr fontId="7" type="noConversion"/>
  </si>
  <si>
    <r>
      <rPr>
        <sz val="9"/>
        <rFont val="宋体"/>
        <family val="3"/>
        <charset val="134"/>
      </rPr>
      <t>加权平均资本成本</t>
    </r>
    <r>
      <rPr>
        <sz val="9"/>
        <rFont val="Arial"/>
        <family val="2"/>
      </rPr>
      <t>WACC</t>
    </r>
    <phoneticPr fontId="7" type="noConversion"/>
  </si>
  <si>
    <t>FCFF估值</t>
    <phoneticPr fontId="7" type="noConversion"/>
  </si>
  <si>
    <t>NOPLAT</t>
    <phoneticPr fontId="7" type="noConversion"/>
  </si>
  <si>
    <t>NOPLAT</t>
    <phoneticPr fontId="4" type="noConversion"/>
  </si>
  <si>
    <t>加：折旧摊销</t>
    <phoneticPr fontId="7" type="noConversion"/>
  </si>
  <si>
    <t>减：经营性营运资本的增加</t>
    <phoneticPr fontId="7" type="noConversion"/>
  </si>
  <si>
    <t>减：资本支出</t>
    <phoneticPr fontId="7" type="noConversion"/>
  </si>
  <si>
    <t>公司自由现金流FCFF</t>
    <phoneticPr fontId="7" type="noConversion"/>
  </si>
  <si>
    <t>FCFF预测期现值</t>
    <phoneticPr fontId="7" type="noConversion"/>
  </si>
  <si>
    <t>FCFF永续价值现值</t>
    <phoneticPr fontId="7" type="noConversion"/>
  </si>
  <si>
    <t>企业价值</t>
  </si>
  <si>
    <t>股权价值</t>
  </si>
  <si>
    <t>减：付息债务</t>
    <phoneticPr fontId="7" type="noConversion"/>
  </si>
  <si>
    <t>减：少数股东权益</t>
    <phoneticPr fontId="7" type="noConversion"/>
  </si>
  <si>
    <t>FCFE估值</t>
    <phoneticPr fontId="7" type="noConversion"/>
  </si>
  <si>
    <t>DDM估值</t>
    <phoneticPr fontId="7" type="noConversion"/>
  </si>
  <si>
    <t>EVA估值</t>
    <phoneticPr fontId="7" type="noConversion"/>
  </si>
  <si>
    <t>EVA现值合计</t>
  </si>
  <si>
    <t>投资资本IC</t>
    <phoneticPr fontId="7" type="noConversion"/>
  </si>
  <si>
    <t>总股本</t>
    <phoneticPr fontId="7" type="noConversion"/>
  </si>
  <si>
    <t>加：期初投资资本IC</t>
    <phoneticPr fontId="7" type="noConversion"/>
  </si>
  <si>
    <t>加：非核心资产</t>
    <phoneticPr fontId="7" type="noConversion"/>
  </si>
  <si>
    <t>每股价值(元)</t>
    <phoneticPr fontId="7" type="noConversion"/>
  </si>
  <si>
    <t>股权自由现金流FCFE</t>
    <phoneticPr fontId="7" type="noConversion"/>
  </si>
  <si>
    <t>总股权价值</t>
    <phoneticPr fontId="7" type="noConversion"/>
  </si>
  <si>
    <t>股利现值合计</t>
    <phoneticPr fontId="7" type="noConversion"/>
  </si>
  <si>
    <t>经济附加值EVA</t>
    <phoneticPr fontId="7" type="noConversion"/>
  </si>
  <si>
    <t>减：带息债务</t>
    <phoneticPr fontId="7" type="noConversion"/>
  </si>
  <si>
    <t>股权价值</t>
    <phoneticPr fontId="7" type="noConversion"/>
  </si>
  <si>
    <t>AE估值</t>
    <phoneticPr fontId="7" type="noConversion"/>
  </si>
  <si>
    <t>期初净资产</t>
    <phoneticPr fontId="7" type="noConversion"/>
  </si>
  <si>
    <t>超额利润AE</t>
    <phoneticPr fontId="7" type="noConversion"/>
  </si>
  <si>
    <r>
      <t>AE</t>
    </r>
    <r>
      <rPr>
        <b/>
        <sz val="9"/>
        <rFont val="宋体"/>
        <family val="3"/>
        <charset val="134"/>
      </rPr>
      <t>现值合计</t>
    </r>
    <phoneticPr fontId="7" type="noConversion"/>
  </si>
  <si>
    <t>加：期初净资产</t>
    <phoneticPr fontId="7" type="noConversion"/>
  </si>
  <si>
    <t>估值矩阵：只适用永续增长模型</t>
    <phoneticPr fontId="7" type="noConversion"/>
  </si>
  <si>
    <r>
      <t xml:space="preserve">             </t>
    </r>
    <r>
      <rPr>
        <b/>
        <sz val="9"/>
        <rFont val="宋体"/>
        <family val="3"/>
        <charset val="134"/>
      </rPr>
      <t>永续增长率</t>
    </r>
    <r>
      <rPr>
        <b/>
        <sz val="9"/>
        <rFont val="Arial"/>
        <family val="2"/>
      </rPr>
      <t>g   WACC</t>
    </r>
    <phoneticPr fontId="7" type="noConversion"/>
  </si>
  <si>
    <r>
      <t>目标公司</t>
    </r>
    <r>
      <rPr>
        <sz val="9"/>
        <rFont val="Arial"/>
        <family val="2"/>
      </rPr>
      <t xml:space="preserve"> EPS</t>
    </r>
  </si>
  <si>
    <r>
      <t>每股价值</t>
    </r>
    <r>
      <rPr>
        <sz val="9"/>
        <rFont val="Arial"/>
        <family val="2"/>
      </rPr>
      <t>(</t>
    </r>
    <r>
      <rPr>
        <sz val="9"/>
        <rFont val="宋体"/>
        <family val="3"/>
        <charset val="134"/>
      </rPr>
      <t>元</t>
    </r>
    <r>
      <rPr>
        <sz val="9"/>
        <rFont val="Arial"/>
        <family val="2"/>
      </rPr>
      <t>)</t>
    </r>
  </si>
  <si>
    <r>
      <t>目标公司</t>
    </r>
    <r>
      <rPr>
        <sz val="9"/>
        <rFont val="Arial"/>
        <family val="2"/>
      </rPr>
      <t xml:space="preserve"> SPS</t>
    </r>
  </si>
  <si>
    <r>
      <t>目标公司</t>
    </r>
    <r>
      <rPr>
        <sz val="9"/>
        <rFont val="Arial"/>
        <family val="2"/>
      </rPr>
      <t xml:space="preserve"> BPS</t>
    </r>
  </si>
  <si>
    <t>PE</t>
    <phoneticPr fontId="7" type="noConversion"/>
  </si>
  <si>
    <t>相对估值法</t>
    <phoneticPr fontId="7" type="noConversion"/>
  </si>
  <si>
    <t>PS</t>
    <phoneticPr fontId="7" type="noConversion"/>
  </si>
  <si>
    <r>
      <t xml:space="preserve">                           PE
       </t>
    </r>
    <r>
      <rPr>
        <b/>
        <sz val="9"/>
        <rFont val="宋体"/>
        <family val="3"/>
        <charset val="134"/>
      </rPr>
      <t>预测</t>
    </r>
    <r>
      <rPr>
        <b/>
        <sz val="9"/>
        <rFont val="Arial"/>
        <family val="2"/>
      </rPr>
      <t>EPS</t>
    </r>
    <phoneticPr fontId="7" type="noConversion"/>
  </si>
  <si>
    <t>PB</t>
    <phoneticPr fontId="7" type="noConversion"/>
  </si>
  <si>
    <t>PEG</t>
    <phoneticPr fontId="7" type="noConversion"/>
  </si>
  <si>
    <t xml:space="preserve">    加：其他财务费用</t>
    <phoneticPr fontId="7" type="noConversion"/>
  </si>
  <si>
    <t>FCFF估值敏感性分析</t>
    <phoneticPr fontId="7" type="noConversion"/>
  </si>
  <si>
    <t>FCFE估值敏感性分析</t>
    <phoneticPr fontId="7" type="noConversion"/>
  </si>
  <si>
    <t>DDM估值敏感性分析</t>
    <phoneticPr fontId="7" type="noConversion"/>
  </si>
  <si>
    <t>EVA估值敏感性分析</t>
    <phoneticPr fontId="7" type="noConversion"/>
  </si>
  <si>
    <t>AE估值敏感性分析</t>
    <phoneticPr fontId="7" type="noConversion"/>
  </si>
  <si>
    <t>预测和现金流量表</t>
    <phoneticPr fontId="7" type="noConversion"/>
  </si>
  <si>
    <t>营业成本*2/【其他应付账款周转率预测值】-期初其他应付账款</t>
    <phoneticPr fontId="7" type="noConversion"/>
  </si>
  <si>
    <t>营业成本*2/【预收账款周转率预测值】-期初预收账款</t>
    <phoneticPr fontId="7" type="noConversion"/>
  </si>
  <si>
    <r>
      <rPr>
        <sz val="9"/>
        <rFont val="宋体"/>
        <family val="3"/>
        <charset val="134"/>
      </rPr>
      <t>在建工程原值</t>
    </r>
    <r>
      <rPr>
        <sz val="9"/>
        <rFont val="Arial"/>
        <family val="2"/>
      </rPr>
      <t>*</t>
    </r>
    <r>
      <rPr>
        <sz val="9"/>
        <rFont val="宋体"/>
        <family val="3"/>
        <charset val="134"/>
      </rPr>
      <t>固定资产转化率</t>
    </r>
    <phoneticPr fontId="7" type="noConversion"/>
  </si>
  <si>
    <t>付息债务/总负债</t>
    <phoneticPr fontId="7" type="noConversion"/>
  </si>
  <si>
    <t>付息债务/股东权益</t>
    <phoneticPr fontId="7" type="noConversion"/>
  </si>
  <si>
    <t>历史股价：</t>
    <phoneticPr fontId="7" type="noConversion"/>
  </si>
  <si>
    <r>
      <rPr>
        <sz val="9"/>
        <rFont val="宋体"/>
        <family val="3"/>
        <charset val="134"/>
      </rPr>
      <t>当时股价／</t>
    </r>
    <r>
      <rPr>
        <sz val="9"/>
        <rFont val="Arial"/>
        <family val="2"/>
      </rPr>
      <t>EPS</t>
    </r>
    <phoneticPr fontId="67" type="noConversion"/>
  </si>
  <si>
    <r>
      <rPr>
        <sz val="9"/>
        <rFont val="宋体"/>
        <family val="3"/>
        <charset val="134"/>
      </rPr>
      <t>当时股价／</t>
    </r>
    <r>
      <rPr>
        <sz val="9"/>
        <rFont val="Arial"/>
        <family val="2"/>
      </rPr>
      <t>BPS</t>
    </r>
    <phoneticPr fontId="67" type="noConversion"/>
  </si>
  <si>
    <t>DPS／当时股价</t>
    <phoneticPr fontId="7" type="noConversion"/>
  </si>
  <si>
    <t>总股本×当时股价</t>
    <phoneticPr fontId="7" type="noConversion"/>
  </si>
  <si>
    <t>当时股价／每股销售收入</t>
    <phoneticPr fontId="67" type="noConversion"/>
  </si>
  <si>
    <t>当时股价／每股经营现金流</t>
    <phoneticPr fontId="7" type="noConversion"/>
  </si>
  <si>
    <t>长期应收款/总资产</t>
    <phoneticPr fontId="7" type="noConversion"/>
  </si>
  <si>
    <t>长期应收款同比（%）</t>
  </si>
  <si>
    <r>
      <t>非流动性资产</t>
    </r>
    <r>
      <rPr>
        <sz val="9"/>
        <color indexed="8"/>
        <rFont val="Arial"/>
        <family val="2"/>
      </rPr>
      <t>(%)</t>
    </r>
    <phoneticPr fontId="7" type="noConversion"/>
  </si>
  <si>
    <t>非流动性资产/总资产</t>
    <phoneticPr fontId="7" type="noConversion"/>
  </si>
  <si>
    <t>非流动资产同比(%)</t>
    <phoneticPr fontId="7" type="noConversion"/>
  </si>
  <si>
    <r>
      <t xml:space="preserve">   </t>
    </r>
    <r>
      <rPr>
        <sz val="9"/>
        <color indexed="8"/>
        <rFont val="宋体"/>
        <family val="3"/>
        <charset val="134"/>
      </rPr>
      <t xml:space="preserve"> </t>
    </r>
    <r>
      <rPr>
        <sz val="9"/>
        <color indexed="8"/>
        <rFont val="宋体"/>
        <family val="3"/>
        <charset val="134"/>
      </rPr>
      <t>其中：可供出售金融资产同比(%)</t>
    </r>
    <phoneticPr fontId="7" type="noConversion"/>
  </si>
  <si>
    <r>
      <t xml:space="preserve">   </t>
    </r>
    <r>
      <rPr>
        <sz val="9"/>
        <color indexed="8"/>
        <rFont val="宋体"/>
        <family val="3"/>
        <charset val="134"/>
      </rPr>
      <t xml:space="preserve"> </t>
    </r>
    <r>
      <rPr>
        <sz val="9"/>
        <color indexed="8"/>
        <rFont val="宋体"/>
        <family val="3"/>
        <charset val="134"/>
      </rPr>
      <t>其中：持有至到期投资同比(%)</t>
    </r>
    <phoneticPr fontId="7" type="noConversion"/>
  </si>
  <si>
    <r>
      <t xml:space="preserve">  </t>
    </r>
    <r>
      <rPr>
        <sz val="9"/>
        <color indexed="8"/>
        <rFont val="宋体"/>
        <family val="3"/>
        <charset val="134"/>
      </rPr>
      <t xml:space="preserve"> </t>
    </r>
    <r>
      <rPr>
        <sz val="9"/>
        <color indexed="8"/>
        <rFont val="宋体"/>
        <family val="3"/>
        <charset val="134"/>
      </rPr>
      <t xml:space="preserve"> 其中：投资性房地产同比(%)</t>
    </r>
    <phoneticPr fontId="7" type="noConversion"/>
  </si>
  <si>
    <t xml:space="preserve">    其中：长期应收款同比（%）</t>
    <phoneticPr fontId="7" type="noConversion"/>
  </si>
  <si>
    <r>
      <t xml:space="preserve">  </t>
    </r>
    <r>
      <rPr>
        <sz val="9"/>
        <color indexed="8"/>
        <rFont val="宋体"/>
        <family val="3"/>
        <charset val="134"/>
      </rPr>
      <t xml:space="preserve"> </t>
    </r>
    <r>
      <rPr>
        <sz val="9"/>
        <color indexed="8"/>
        <rFont val="宋体"/>
        <family val="3"/>
        <charset val="134"/>
      </rPr>
      <t xml:space="preserve"> 其中：长期股权投资同比(%)</t>
    </r>
    <phoneticPr fontId="7" type="noConversion"/>
  </si>
  <si>
    <r>
      <t xml:space="preserve">   </t>
    </r>
    <r>
      <rPr>
        <sz val="9"/>
        <color indexed="8"/>
        <rFont val="宋体"/>
        <family val="3"/>
        <charset val="134"/>
      </rPr>
      <t xml:space="preserve"> </t>
    </r>
    <r>
      <rPr>
        <sz val="9"/>
        <color indexed="8"/>
        <rFont val="宋体"/>
        <family val="3"/>
        <charset val="134"/>
      </rPr>
      <t>其中：可供出售金融资产(%)</t>
    </r>
    <phoneticPr fontId="7" type="noConversion"/>
  </si>
  <si>
    <r>
      <t xml:space="preserve">   </t>
    </r>
    <r>
      <rPr>
        <sz val="9"/>
        <color indexed="8"/>
        <rFont val="宋体"/>
        <family val="3"/>
        <charset val="134"/>
      </rPr>
      <t xml:space="preserve"> </t>
    </r>
    <r>
      <rPr>
        <sz val="9"/>
        <color indexed="8"/>
        <rFont val="宋体"/>
        <family val="3"/>
        <charset val="134"/>
      </rPr>
      <t>其中：持有至到期投资(%)</t>
    </r>
    <phoneticPr fontId="7" type="noConversion"/>
  </si>
  <si>
    <r>
      <t xml:space="preserve">   </t>
    </r>
    <r>
      <rPr>
        <sz val="9"/>
        <color indexed="8"/>
        <rFont val="宋体"/>
        <family val="3"/>
        <charset val="134"/>
      </rPr>
      <t xml:space="preserve"> </t>
    </r>
    <r>
      <rPr>
        <sz val="9"/>
        <color indexed="8"/>
        <rFont val="宋体"/>
        <family val="3"/>
        <charset val="134"/>
      </rPr>
      <t>其中：投资性房地产(%)</t>
    </r>
    <phoneticPr fontId="7" type="noConversion"/>
  </si>
  <si>
    <r>
      <t xml:space="preserve">    </t>
    </r>
    <r>
      <rPr>
        <sz val="9"/>
        <color indexed="8"/>
        <rFont val="宋体"/>
        <family val="3"/>
        <charset val="134"/>
      </rPr>
      <t>其中：长期应收款（%）</t>
    </r>
    <phoneticPr fontId="7" type="noConversion"/>
  </si>
  <si>
    <r>
      <t xml:space="preserve">   </t>
    </r>
    <r>
      <rPr>
        <sz val="9"/>
        <color indexed="8"/>
        <rFont val="宋体"/>
        <family val="3"/>
        <charset val="134"/>
      </rPr>
      <t xml:space="preserve"> </t>
    </r>
    <r>
      <rPr>
        <sz val="9"/>
        <color indexed="8"/>
        <rFont val="宋体"/>
        <family val="3"/>
        <charset val="134"/>
      </rPr>
      <t>其中：长期股权投资(%)</t>
    </r>
    <phoneticPr fontId="7" type="noConversion"/>
  </si>
  <si>
    <r>
      <t xml:space="preserve">   </t>
    </r>
    <r>
      <rPr>
        <sz val="9"/>
        <color indexed="8"/>
        <rFont val="宋体"/>
        <family val="3"/>
        <charset val="134"/>
      </rPr>
      <t xml:space="preserve"> </t>
    </r>
    <r>
      <rPr>
        <sz val="9"/>
        <color indexed="8"/>
        <rFont val="宋体"/>
        <family val="3"/>
        <charset val="134"/>
      </rPr>
      <t>其中：固定资产(%)</t>
    </r>
    <phoneticPr fontId="7" type="noConversion"/>
  </si>
  <si>
    <r>
      <t xml:space="preserve">   </t>
    </r>
    <r>
      <rPr>
        <sz val="9"/>
        <color indexed="8"/>
        <rFont val="宋体"/>
        <family val="3"/>
        <charset val="134"/>
      </rPr>
      <t xml:space="preserve"> </t>
    </r>
    <r>
      <rPr>
        <sz val="9"/>
        <color indexed="8"/>
        <rFont val="宋体"/>
        <family val="3"/>
        <charset val="134"/>
      </rPr>
      <t>其中：在建工程(%)</t>
    </r>
    <phoneticPr fontId="7" type="noConversion"/>
  </si>
  <si>
    <r>
      <t xml:space="preserve">  </t>
    </r>
    <r>
      <rPr>
        <sz val="9"/>
        <color indexed="8"/>
        <rFont val="宋体"/>
        <family val="3"/>
        <charset val="134"/>
      </rPr>
      <t xml:space="preserve"> </t>
    </r>
    <r>
      <rPr>
        <sz val="9"/>
        <color indexed="8"/>
        <rFont val="宋体"/>
        <family val="3"/>
        <charset val="134"/>
      </rPr>
      <t xml:space="preserve"> 其中：无形资产(%)</t>
    </r>
    <phoneticPr fontId="7" type="noConversion"/>
  </si>
  <si>
    <r>
      <t xml:space="preserve">  </t>
    </r>
    <r>
      <rPr>
        <sz val="9"/>
        <color indexed="8"/>
        <rFont val="宋体"/>
        <family val="3"/>
        <charset val="134"/>
      </rPr>
      <t xml:space="preserve"> </t>
    </r>
    <r>
      <rPr>
        <sz val="9"/>
        <color indexed="8"/>
        <rFont val="宋体"/>
        <family val="3"/>
        <charset val="134"/>
      </rPr>
      <t xml:space="preserve"> 其中：长期待摊费用(%)</t>
    </r>
    <phoneticPr fontId="7" type="noConversion"/>
  </si>
  <si>
    <r>
      <t xml:space="preserve">  </t>
    </r>
    <r>
      <rPr>
        <sz val="9"/>
        <color indexed="8"/>
        <rFont val="宋体"/>
        <family val="3"/>
        <charset val="134"/>
      </rPr>
      <t xml:space="preserve"> </t>
    </r>
    <r>
      <rPr>
        <sz val="9"/>
        <color indexed="8"/>
        <rFont val="宋体"/>
        <family val="3"/>
        <charset val="134"/>
      </rPr>
      <t xml:space="preserve"> 其中：商誉</t>
    </r>
    <phoneticPr fontId="7" type="noConversion"/>
  </si>
  <si>
    <t>非流动负债/总负债</t>
    <phoneticPr fontId="7" type="noConversion"/>
  </si>
  <si>
    <t>非流动负债同比(%)</t>
    <phoneticPr fontId="7" type="noConversion"/>
  </si>
  <si>
    <t>扣除非经常损益净利润／净利润</t>
    <phoneticPr fontId="67" type="noConversion"/>
  </si>
  <si>
    <t>资本支出</t>
    <phoneticPr fontId="7" type="noConversion"/>
  </si>
  <si>
    <t>固定资产增加</t>
    <phoneticPr fontId="4" type="noConversion"/>
  </si>
  <si>
    <t>在建工程增加</t>
    <phoneticPr fontId="4" type="noConversion"/>
  </si>
  <si>
    <t>无形资产增加</t>
    <phoneticPr fontId="4" type="noConversion"/>
  </si>
  <si>
    <t>减：无息长期负债增加</t>
    <phoneticPr fontId="4" type="noConversion"/>
  </si>
  <si>
    <r>
      <rPr>
        <sz val="9"/>
        <rFont val="宋体"/>
        <family val="3"/>
        <charset val="134"/>
      </rPr>
      <t>债务资本比重</t>
    </r>
    <r>
      <rPr>
        <sz val="9"/>
        <rFont val="Arial"/>
        <family val="2"/>
      </rPr>
      <t>Wd</t>
    </r>
    <phoneticPr fontId="7" type="noConversion"/>
  </si>
  <si>
    <t>加：非核心资产</t>
    <phoneticPr fontId="7" type="noConversion"/>
  </si>
  <si>
    <t>8、资本支出</t>
    <phoneticPr fontId="4" type="noConversion"/>
  </si>
  <si>
    <t>加：付息债务增加</t>
    <phoneticPr fontId="7" type="noConversion"/>
  </si>
  <si>
    <r>
      <t>每股销售额S</t>
    </r>
    <r>
      <rPr>
        <sz val="9"/>
        <rFont val="宋体"/>
        <family val="3"/>
        <charset val="134"/>
      </rPr>
      <t>PS</t>
    </r>
    <phoneticPr fontId="67" type="noConversion"/>
  </si>
  <si>
    <r>
      <t xml:space="preserve">                           PS
       </t>
    </r>
    <r>
      <rPr>
        <b/>
        <sz val="9"/>
        <rFont val="宋体"/>
        <family val="3"/>
        <charset val="134"/>
      </rPr>
      <t>预测</t>
    </r>
    <r>
      <rPr>
        <b/>
        <sz val="9"/>
        <rFont val="Arial"/>
        <family val="2"/>
      </rPr>
      <t>SPS</t>
    </r>
    <phoneticPr fontId="7" type="noConversion"/>
  </si>
  <si>
    <r>
      <t>目标公司</t>
    </r>
    <r>
      <rPr>
        <sz val="9"/>
        <rFont val="Arial"/>
        <family val="2"/>
      </rPr>
      <t xml:space="preserve"> EPS</t>
    </r>
    <phoneticPr fontId="67" type="noConversion"/>
  </si>
  <si>
    <t>1、杜邦分析</t>
    <phoneticPr fontId="7" type="noConversion"/>
  </si>
  <si>
    <t>=</t>
    <phoneticPr fontId="7" type="noConversion"/>
  </si>
  <si>
    <t>×</t>
    <phoneticPr fontId="7" type="noConversion"/>
  </si>
  <si>
    <r>
      <t>R</t>
    </r>
    <r>
      <rPr>
        <b/>
        <sz val="20"/>
        <rFont val="宋体"/>
        <family val="3"/>
        <charset val="134"/>
      </rPr>
      <t>OA</t>
    </r>
    <phoneticPr fontId="7" type="noConversion"/>
  </si>
  <si>
    <t>权益乘数</t>
    <phoneticPr fontId="7" type="noConversion"/>
  </si>
  <si>
    <t>销售净利率</t>
    <phoneticPr fontId="7" type="noConversion"/>
  </si>
  <si>
    <t>1/(1-1/资产负债率)</t>
    <phoneticPr fontId="7" type="noConversion"/>
  </si>
  <si>
    <r>
      <t>固定资产年</t>
    </r>
    <r>
      <rPr>
        <sz val="9"/>
        <rFont val="宋体"/>
        <family val="3"/>
        <charset val="134"/>
      </rPr>
      <t>折旧率</t>
    </r>
    <r>
      <rPr>
        <sz val="9"/>
        <rFont val="Times New Roman"/>
        <family val="1"/>
      </rPr>
      <t>(%)</t>
    </r>
    <phoneticPr fontId="4" type="noConversion"/>
  </si>
  <si>
    <r>
      <t>无形资产年摊销率</t>
    </r>
    <r>
      <rPr>
        <sz val="9"/>
        <rFont val="Times New Roman"/>
        <family val="1"/>
      </rPr>
      <t>(%)</t>
    </r>
    <phoneticPr fontId="4" type="noConversion"/>
  </si>
  <si>
    <t>长期待摊费用年摊销率(%)</t>
    <phoneticPr fontId="7" type="noConversion"/>
  </si>
  <si>
    <t>总资产</t>
    <phoneticPr fontId="7" type="noConversion"/>
  </si>
  <si>
    <t>净资产</t>
    <phoneticPr fontId="7" type="noConversion"/>
  </si>
  <si>
    <t>3、经营效率</t>
    <phoneticPr fontId="7" type="noConversion"/>
  </si>
  <si>
    <t>ROA</t>
    <phoneticPr fontId="7" type="noConversion"/>
  </si>
  <si>
    <t>存货周转率</t>
    <phoneticPr fontId="7" type="noConversion"/>
  </si>
  <si>
    <t>应收账款周转率</t>
    <phoneticPr fontId="7" type="noConversion"/>
  </si>
  <si>
    <t>固定资产周转率</t>
    <phoneticPr fontId="7" type="noConversion"/>
  </si>
  <si>
    <t>EPS摊薄（前复权）</t>
    <phoneticPr fontId="4" type="noConversion"/>
  </si>
  <si>
    <t xml:space="preserve">估值日对应日期股价（前复权） </t>
    <phoneticPr fontId="7" type="noConversion"/>
  </si>
  <si>
    <t>市盈率</t>
    <phoneticPr fontId="67" type="noConversion"/>
  </si>
  <si>
    <r>
      <t>历史均值</t>
    </r>
    <r>
      <rPr>
        <sz val="9"/>
        <rFont val="Arial"/>
        <family val="2"/>
      </rPr>
      <t xml:space="preserve"> P/B</t>
    </r>
    <phoneticPr fontId="67" type="noConversion"/>
  </si>
  <si>
    <r>
      <t>历史均值</t>
    </r>
    <r>
      <rPr>
        <sz val="9"/>
        <rFont val="Arial"/>
        <family val="2"/>
      </rPr>
      <t xml:space="preserve"> PE</t>
    </r>
    <phoneticPr fontId="67" type="noConversion"/>
  </si>
  <si>
    <t>2、成长性</t>
    <phoneticPr fontId="7" type="noConversion"/>
  </si>
  <si>
    <t>成长性</t>
    <phoneticPr fontId="67" type="noConversion"/>
  </si>
  <si>
    <t>×</t>
    <phoneticPr fontId="7" type="noConversion"/>
  </si>
  <si>
    <t>0033-1Q</t>
  </si>
  <si>
    <t>0063-2Q</t>
  </si>
  <si>
    <t>0093-3Q</t>
  </si>
  <si>
    <t>0123-4Q</t>
  </si>
  <si>
    <t>1033-1Q</t>
  </si>
  <si>
    <t>1063-2Q</t>
  </si>
  <si>
    <t>1093-3Q</t>
  </si>
  <si>
    <t>1123-4Q</t>
  </si>
  <si>
    <t>2033-1Q</t>
  </si>
  <si>
    <t>2063-2Q</t>
  </si>
  <si>
    <t>2093-3Q</t>
  </si>
  <si>
    <t>2123-4Q</t>
  </si>
  <si>
    <t>3033-1Q</t>
  </si>
  <si>
    <t>3063-2Q</t>
  </si>
  <si>
    <t>3093-3Q</t>
  </si>
  <si>
    <t>3123-4Q</t>
  </si>
  <si>
    <t>4033-1Q</t>
  </si>
  <si>
    <t>4063-2Q</t>
  </si>
  <si>
    <t>4093-3Q</t>
  </si>
  <si>
    <t>4123-4Q</t>
  </si>
  <si>
    <t>5033-1Q</t>
  </si>
  <si>
    <t>5063-2Q</t>
  </si>
  <si>
    <t>5093-3Q</t>
  </si>
  <si>
    <t>5123-4Q</t>
  </si>
  <si>
    <t>6033-1Q</t>
  </si>
  <si>
    <t>6063-2Q</t>
  </si>
  <si>
    <t>6093-3Q</t>
  </si>
  <si>
    <t>6123-4Q</t>
  </si>
  <si>
    <t>7033-1Q</t>
  </si>
  <si>
    <t>7063-2Q</t>
  </si>
  <si>
    <t>7093-3Q</t>
  </si>
  <si>
    <t>7123-4Q</t>
  </si>
  <si>
    <t>8033-1Q</t>
  </si>
  <si>
    <t>8063-2Q</t>
  </si>
  <si>
    <t>8093-3Q</t>
  </si>
  <si>
    <t>8123-4Q</t>
  </si>
  <si>
    <t>9033-1Q</t>
  </si>
  <si>
    <t>9063-2Q</t>
  </si>
  <si>
    <t>9093-3Q</t>
  </si>
  <si>
    <t>9123-4Q</t>
  </si>
  <si>
    <t>1003-1Q</t>
  </si>
  <si>
    <t>1006-2Q</t>
  </si>
  <si>
    <t>1009-3Q</t>
  </si>
  <si>
    <t>1012-4Q</t>
  </si>
  <si>
    <t>1103-1Q</t>
  </si>
  <si>
    <t>1106-2Q</t>
  </si>
  <si>
    <t>1109-3Q</t>
  </si>
  <si>
    <t>1112-4Q</t>
  </si>
  <si>
    <t>1203-1Q</t>
  </si>
  <si>
    <t>1206-2Q</t>
  </si>
  <si>
    <t>1209-3Q</t>
  </si>
  <si>
    <t>1212-4Q</t>
  </si>
  <si>
    <t>1303-1Q</t>
  </si>
  <si>
    <t>1306-2Q</t>
  </si>
  <si>
    <t>1309-3Q</t>
  </si>
  <si>
    <t>1312-4Q</t>
  </si>
  <si>
    <t>1403-1Q</t>
  </si>
  <si>
    <t>1406-2Q</t>
  </si>
  <si>
    <t>1409-3Q</t>
  </si>
  <si>
    <t>1412-4Q</t>
  </si>
  <si>
    <t>1503-1Q</t>
  </si>
  <si>
    <t>1506-2Q</t>
  </si>
  <si>
    <t>1509-3Q</t>
  </si>
  <si>
    <t>1512-4Q</t>
  </si>
  <si>
    <t>1603-1Q</t>
  </si>
  <si>
    <t>1606-2Q</t>
  </si>
  <si>
    <t>1609-3Q</t>
  </si>
  <si>
    <t>1612-4Q</t>
  </si>
  <si>
    <t>1703-1Q</t>
  </si>
  <si>
    <t>1706-2Q</t>
  </si>
  <si>
    <t>1709-3Q</t>
  </si>
  <si>
    <t>1712-4Q</t>
  </si>
  <si>
    <t>1803-1Q</t>
  </si>
  <si>
    <t>1806-2Q</t>
  </si>
  <si>
    <t>1809-3Q</t>
  </si>
  <si>
    <t>1812-4Q</t>
  </si>
  <si>
    <t>1903-1Q</t>
  </si>
  <si>
    <t>1906-2Q</t>
  </si>
  <si>
    <t>1909-3Q</t>
  </si>
  <si>
    <t>1912-4Q</t>
  </si>
  <si>
    <t>2003-1Q</t>
  </si>
  <si>
    <t>2006-2Q</t>
  </si>
  <si>
    <t>2009-3Q</t>
  </si>
  <si>
    <t>2012-4Q</t>
  </si>
  <si>
    <t>2103-1Q</t>
  </si>
  <si>
    <t>2106-2Q</t>
  </si>
  <si>
    <t>2109-3Q</t>
  </si>
  <si>
    <t>2112-4Q</t>
  </si>
  <si>
    <t>2203-1Q</t>
  </si>
  <si>
    <t>2206-2Q</t>
  </si>
  <si>
    <t>2209-3Q</t>
  </si>
  <si>
    <t>2212-4Q</t>
  </si>
  <si>
    <t>2303-1Q</t>
  </si>
  <si>
    <t>2306-2Q</t>
  </si>
  <si>
    <t>2309-3Q</t>
  </si>
  <si>
    <t>2312-4Q</t>
  </si>
  <si>
    <t>2403-1Q</t>
  </si>
  <si>
    <t>2406-2Q</t>
  </si>
  <si>
    <t>2409-3Q</t>
  </si>
  <si>
    <t>2412-4Q</t>
  </si>
  <si>
    <t>2503-1Q</t>
  </si>
  <si>
    <t>2506-2Q</t>
  </si>
  <si>
    <t>2509-3Q</t>
  </si>
  <si>
    <t>2512-4Q</t>
  </si>
  <si>
    <t>2603-1Q</t>
  </si>
  <si>
    <t>2606-2Q</t>
  </si>
  <si>
    <t>2609-3Q</t>
  </si>
  <si>
    <t>2612-4Q</t>
  </si>
  <si>
    <t>2703-1Q</t>
  </si>
  <si>
    <t>2706-2Q</t>
  </si>
  <si>
    <t>2709-3Q</t>
  </si>
  <si>
    <t>2712-4Q</t>
  </si>
  <si>
    <t>2803-1Q</t>
  </si>
  <si>
    <t>2806-2Q</t>
  </si>
  <si>
    <t>2809-3Q</t>
  </si>
  <si>
    <t>2812-4Q</t>
  </si>
  <si>
    <t>2903-1Q</t>
  </si>
  <si>
    <t>2906-2Q</t>
  </si>
  <si>
    <t>2909-3Q</t>
  </si>
  <si>
    <t>2912-4Q</t>
  </si>
  <si>
    <t>3003-1Q</t>
  </si>
  <si>
    <t>3006-2Q</t>
  </si>
  <si>
    <t>3009-3Q</t>
  </si>
  <si>
    <t>3012-4Q</t>
  </si>
  <si>
    <t>3103-1Q</t>
  </si>
  <si>
    <t>3106-2Q</t>
  </si>
  <si>
    <t>3109-3Q</t>
  </si>
  <si>
    <t>3112-4Q</t>
  </si>
  <si>
    <t>3203-1Q</t>
  </si>
  <si>
    <t>3206-2Q</t>
  </si>
  <si>
    <t>3209-3Q</t>
  </si>
  <si>
    <t>3212-4Q</t>
  </si>
  <si>
    <t>3303-1Q</t>
  </si>
  <si>
    <t>3306-2Q</t>
  </si>
  <si>
    <t>3309-3Q</t>
  </si>
  <si>
    <t>3312-4Q</t>
  </si>
  <si>
    <t>3403-1Q</t>
  </si>
  <si>
    <t>3406-2Q</t>
  </si>
  <si>
    <t>3409-3Q</t>
  </si>
  <si>
    <t>3412-4Q</t>
  </si>
  <si>
    <t>3503-1Q</t>
  </si>
  <si>
    <t>3506-2Q</t>
  </si>
  <si>
    <t>3509-3Q</t>
  </si>
  <si>
    <t>3512-4Q</t>
  </si>
  <si>
    <t>其中：转增增加</t>
    <phoneticPr fontId="7" type="noConversion"/>
  </si>
  <si>
    <t>其中：送股增加</t>
    <phoneticPr fontId="7" type="noConversion"/>
  </si>
  <si>
    <r>
      <t>其中：</t>
    </r>
    <r>
      <rPr>
        <sz val="9"/>
        <rFont val="Arial"/>
        <family val="2"/>
      </rPr>
      <t>IPO</t>
    </r>
    <r>
      <rPr>
        <sz val="9"/>
        <rFont val="宋体"/>
        <family val="3"/>
        <charset val="134"/>
      </rPr>
      <t>增加</t>
    </r>
    <phoneticPr fontId="4" type="noConversion"/>
  </si>
  <si>
    <t>其中：增发增加</t>
    <phoneticPr fontId="4" type="noConversion"/>
  </si>
  <si>
    <t>其中：可转债增加</t>
    <phoneticPr fontId="4" type="noConversion"/>
  </si>
  <si>
    <t>其中：期权增加</t>
    <phoneticPr fontId="4" type="noConversion"/>
  </si>
  <si>
    <t>3603-1Q</t>
  </si>
  <si>
    <t>3606-2Q</t>
  </si>
  <si>
    <t>3609-3Q</t>
  </si>
  <si>
    <t>3612-4Q</t>
  </si>
  <si>
    <t>3703-1Q</t>
  </si>
  <si>
    <t>3706-2Q</t>
  </si>
  <si>
    <t>3709-3Q</t>
  </si>
  <si>
    <t>3712-4Q</t>
  </si>
  <si>
    <t>3803-1Q</t>
  </si>
  <si>
    <t>3806-2Q</t>
  </si>
  <si>
    <t>3809-3Q</t>
  </si>
  <si>
    <t>3812-4Q</t>
  </si>
  <si>
    <t>3903-1Q</t>
  </si>
  <si>
    <t>3906-2Q</t>
  </si>
  <si>
    <t>3909-3Q</t>
  </si>
  <si>
    <t>3912-4Q</t>
  </si>
  <si>
    <t>4003-1Q</t>
  </si>
  <si>
    <t>4006-2Q</t>
  </si>
  <si>
    <t>4009-3Q</t>
  </si>
  <si>
    <t>4012-4Q</t>
  </si>
  <si>
    <t>4103-1Q</t>
  </si>
  <si>
    <t>4106-2Q</t>
  </si>
  <si>
    <t>4109-3Q</t>
  </si>
  <si>
    <t>4112-4Q</t>
  </si>
  <si>
    <t>4203-1Q</t>
  </si>
  <si>
    <t>4206-2Q</t>
  </si>
  <si>
    <t>4209-3Q</t>
  </si>
  <si>
    <t>4212-4Q</t>
  </si>
  <si>
    <t>4303-1Q</t>
  </si>
  <si>
    <t>4306-2Q</t>
  </si>
  <si>
    <t>4309-3Q</t>
  </si>
  <si>
    <t>4312-4Q</t>
  </si>
  <si>
    <t>4403-1Q</t>
  </si>
  <si>
    <t>4406-2Q</t>
  </si>
  <si>
    <t>4409-3Q</t>
  </si>
  <si>
    <t>4412-4Q</t>
  </si>
  <si>
    <t>4503-1Q</t>
  </si>
  <si>
    <t>4506-2Q</t>
  </si>
  <si>
    <t>4509-3Q</t>
  </si>
  <si>
    <t>4512-4Q</t>
  </si>
  <si>
    <t>4603-1Q</t>
  </si>
  <si>
    <t>4606-2Q</t>
  </si>
  <si>
    <t>4609-3Q</t>
  </si>
  <si>
    <t>4612-4Q</t>
  </si>
  <si>
    <t>4703-1Q</t>
  </si>
  <si>
    <t>4706-2Q</t>
  </si>
  <si>
    <t>4709-3Q</t>
  </si>
  <si>
    <t>4712-4Q</t>
  </si>
  <si>
    <t>4803-1Q</t>
  </si>
  <si>
    <t>4806-2Q</t>
  </si>
  <si>
    <t>4809-3Q</t>
  </si>
  <si>
    <t>4812-4Q</t>
  </si>
  <si>
    <t>4903-1Q</t>
  </si>
  <si>
    <t>4906-2Q</t>
  </si>
  <si>
    <t>4909-3Q</t>
  </si>
  <si>
    <t>4912-4Q</t>
  </si>
  <si>
    <t>5003-1Q</t>
  </si>
  <si>
    <t>5006-2Q</t>
  </si>
  <si>
    <t>5009-3Q</t>
  </si>
  <si>
    <t>5012-4Q</t>
  </si>
  <si>
    <t>5103-1Q</t>
  </si>
  <si>
    <t>5106-2Q</t>
  </si>
  <si>
    <t>5109-3Q</t>
  </si>
  <si>
    <t>5112-4Q</t>
  </si>
  <si>
    <t>5203-1Q</t>
  </si>
  <si>
    <t>5206-2Q</t>
  </si>
  <si>
    <t>5209-3Q</t>
  </si>
  <si>
    <t>5212-4Q</t>
  </si>
  <si>
    <t>5303-1Q</t>
  </si>
  <si>
    <t>5306-2Q</t>
  </si>
  <si>
    <t>5309-3Q</t>
  </si>
  <si>
    <t>5312-4Q</t>
  </si>
  <si>
    <t>5403-1Q</t>
  </si>
  <si>
    <t>5406-2Q</t>
  </si>
  <si>
    <t>5409-3Q</t>
  </si>
  <si>
    <t>5412-4Q</t>
  </si>
  <si>
    <t>5503-1Q</t>
  </si>
  <si>
    <t>5506-2Q</t>
  </si>
  <si>
    <t>5509-3Q</t>
  </si>
  <si>
    <t>5512-4Q</t>
  </si>
  <si>
    <t>5603-1Q</t>
  </si>
  <si>
    <t>5606-2Q</t>
  </si>
  <si>
    <t>5609-3Q</t>
  </si>
  <si>
    <t>5612-4Q</t>
  </si>
  <si>
    <t>5703-1Q</t>
  </si>
  <si>
    <t>5706-2Q</t>
  </si>
  <si>
    <t>5709-3Q</t>
  </si>
  <si>
    <t>5712-4Q</t>
  </si>
  <si>
    <t>5803-1Q</t>
  </si>
  <si>
    <t>5806-2Q</t>
  </si>
  <si>
    <t>5809-3Q</t>
  </si>
  <si>
    <t>5812-4Q</t>
  </si>
  <si>
    <t>5903-1Q</t>
  </si>
  <si>
    <t>5906-2Q</t>
  </si>
  <si>
    <t>5909-3Q</t>
  </si>
  <si>
    <t>5912-4Q</t>
  </si>
  <si>
    <t>6003-1Q</t>
  </si>
  <si>
    <t>6006-2Q</t>
  </si>
  <si>
    <t>6009-3Q</t>
  </si>
  <si>
    <t>6012-4Q</t>
  </si>
  <si>
    <t>6103-1Q</t>
  </si>
  <si>
    <t>6106-2Q</t>
  </si>
  <si>
    <t>6109-3Q</t>
  </si>
  <si>
    <t>6112-4Q</t>
  </si>
  <si>
    <t>6203-1Q</t>
  </si>
  <si>
    <t>6206-2Q</t>
  </si>
  <si>
    <t>6209-3Q</t>
  </si>
  <si>
    <t>6212-4Q</t>
  </si>
  <si>
    <t>6303-1Q</t>
  </si>
  <si>
    <t>6306-2Q</t>
  </si>
  <si>
    <t>6309-3Q</t>
  </si>
  <si>
    <t>应交税费</t>
    <phoneticPr fontId="7" type="noConversion"/>
  </si>
  <si>
    <t>实收资本(股本)</t>
    <phoneticPr fontId="7" type="noConversion"/>
  </si>
  <si>
    <t>预付款项</t>
    <phoneticPr fontId="7" type="noConversion"/>
  </si>
  <si>
    <t>预收款项</t>
    <phoneticPr fontId="7" type="noConversion"/>
  </si>
  <si>
    <t>营业收入*2/【预付账款周转率预测值】-期初预付款项</t>
    <phoneticPr fontId="7" type="noConversion"/>
  </si>
  <si>
    <t>减：销售费用</t>
    <phoneticPr fontId="7" type="noConversion"/>
  </si>
  <si>
    <t>利润分配表</t>
    <phoneticPr fontId="7" type="noConversion"/>
  </si>
  <si>
    <t>现金流量表附注</t>
    <phoneticPr fontId="7" type="noConversion"/>
  </si>
  <si>
    <r>
      <t xml:space="preserve">  </t>
    </r>
    <r>
      <rPr>
        <sz val="9"/>
        <rFont val="宋体"/>
        <family val="3"/>
        <charset val="134"/>
      </rPr>
      <t>利息支出</t>
    </r>
    <phoneticPr fontId="7" type="noConversion"/>
  </si>
  <si>
    <r>
      <t xml:space="preserve">  </t>
    </r>
    <r>
      <rPr>
        <sz val="9"/>
        <rFont val="宋体"/>
        <family val="3"/>
        <charset val="134"/>
      </rPr>
      <t>减：利息收入</t>
    </r>
    <phoneticPr fontId="7" type="noConversion"/>
  </si>
  <si>
    <t>减：资产减值损失</t>
    <phoneticPr fontId="7" type="noConversion"/>
  </si>
  <si>
    <t>加：公允价值变动净收益</t>
    <phoneticPr fontId="7" type="noConversion"/>
  </si>
  <si>
    <t>加：投资净收益</t>
    <phoneticPr fontId="7" type="noConversion"/>
  </si>
  <si>
    <t>其中：对联营合营企业投资收益</t>
    <phoneticPr fontId="7" type="noConversion"/>
  </si>
  <si>
    <t>二、营业利润</t>
    <phoneticPr fontId="7" type="noConversion"/>
  </si>
  <si>
    <t>营业利润</t>
    <phoneticPr fontId="7" type="noConversion"/>
  </si>
  <si>
    <t>加：营业外收入</t>
    <phoneticPr fontId="7" type="noConversion"/>
  </si>
  <si>
    <t>减：营业外支出</t>
    <phoneticPr fontId="7" type="noConversion"/>
  </si>
  <si>
    <t>利润总额</t>
    <phoneticPr fontId="7" type="noConversion"/>
  </si>
  <si>
    <t>减：所得税</t>
    <phoneticPr fontId="7" type="noConversion"/>
  </si>
  <si>
    <t>加：少数股东损益</t>
    <phoneticPr fontId="7" type="noConversion"/>
  </si>
  <si>
    <t>分红送股</t>
    <phoneticPr fontId="7" type="noConversion"/>
  </si>
  <si>
    <t>每股派现</t>
    <phoneticPr fontId="7" type="noConversion"/>
  </si>
  <si>
    <t>每股红股</t>
    <phoneticPr fontId="7" type="noConversion"/>
  </si>
  <si>
    <t>每股转增</t>
    <phoneticPr fontId="7" type="noConversion"/>
  </si>
  <si>
    <t>资产负债表</t>
    <phoneticPr fontId="7" type="noConversion"/>
  </si>
  <si>
    <t>一、流动资产</t>
    <phoneticPr fontId="7" type="noConversion"/>
  </si>
  <si>
    <t>货币资金</t>
    <phoneticPr fontId="7" type="noConversion"/>
  </si>
  <si>
    <t>应收票据</t>
    <phoneticPr fontId="7" type="noConversion"/>
  </si>
  <si>
    <t>应收利息</t>
    <phoneticPr fontId="7" type="noConversion"/>
  </si>
  <si>
    <t>应收账款</t>
    <phoneticPr fontId="7" type="noConversion"/>
  </si>
  <si>
    <t>预付账款</t>
    <phoneticPr fontId="7" type="noConversion"/>
  </si>
  <si>
    <t>存货</t>
    <phoneticPr fontId="7" type="noConversion"/>
  </si>
  <si>
    <t>其他流动资产</t>
    <phoneticPr fontId="7" type="noConversion"/>
  </si>
  <si>
    <t>流动资产合计</t>
    <phoneticPr fontId="7" type="noConversion"/>
  </si>
  <si>
    <t>二、非流动资产合计</t>
    <phoneticPr fontId="7" type="noConversion"/>
  </si>
  <si>
    <t>可供出售金融资产</t>
    <phoneticPr fontId="7" type="noConversion"/>
  </si>
  <si>
    <t>持有至到期投资</t>
    <phoneticPr fontId="7" type="noConversion"/>
  </si>
  <si>
    <t>投资性房地产</t>
    <phoneticPr fontId="7" type="noConversion"/>
  </si>
  <si>
    <t>工程物资</t>
    <phoneticPr fontId="7" type="noConversion"/>
  </si>
  <si>
    <t>在建工程</t>
    <phoneticPr fontId="7" type="noConversion"/>
  </si>
  <si>
    <t>固定资产清理</t>
    <phoneticPr fontId="7" type="noConversion"/>
  </si>
  <si>
    <t>生产性生物资产</t>
    <phoneticPr fontId="7" type="noConversion"/>
  </si>
  <si>
    <t>油气资产</t>
    <phoneticPr fontId="7" type="noConversion"/>
  </si>
  <si>
    <t>无形资产</t>
    <phoneticPr fontId="7" type="noConversion"/>
  </si>
  <si>
    <t>开发支出</t>
    <phoneticPr fontId="7" type="noConversion"/>
  </si>
  <si>
    <t>商誉</t>
    <phoneticPr fontId="7" type="noConversion"/>
  </si>
  <si>
    <t>长期待摊费用</t>
    <phoneticPr fontId="7" type="noConversion"/>
  </si>
  <si>
    <t>长期应收款</t>
    <phoneticPr fontId="7" type="noConversion"/>
  </si>
  <si>
    <t>递延所得税资产</t>
    <phoneticPr fontId="7" type="noConversion"/>
  </si>
  <si>
    <t>非流动资产合计</t>
    <phoneticPr fontId="7" type="noConversion"/>
  </si>
  <si>
    <t>三、资产总计</t>
    <phoneticPr fontId="7" type="noConversion"/>
  </si>
  <si>
    <t>资产总计</t>
    <phoneticPr fontId="7" type="noConversion"/>
  </si>
  <si>
    <t>四、流动负债</t>
    <phoneticPr fontId="7" type="noConversion"/>
  </si>
  <si>
    <t>短期借款</t>
    <phoneticPr fontId="7" type="noConversion"/>
  </si>
  <si>
    <t>交易性金融负债</t>
    <phoneticPr fontId="7" type="noConversion"/>
  </si>
  <si>
    <t>应付票据</t>
    <phoneticPr fontId="7" type="noConversion"/>
  </si>
  <si>
    <t>应付账款</t>
    <phoneticPr fontId="7" type="noConversion"/>
  </si>
  <si>
    <t>预收账款</t>
    <phoneticPr fontId="7" type="noConversion"/>
  </si>
  <si>
    <t>应付职工薪酬</t>
    <phoneticPr fontId="7" type="noConversion"/>
  </si>
  <si>
    <t>应付股利</t>
    <phoneticPr fontId="7" type="noConversion"/>
  </si>
  <si>
    <t>应交税金</t>
    <phoneticPr fontId="7" type="noConversion"/>
  </si>
  <si>
    <t>应付利息</t>
    <phoneticPr fontId="7" type="noConversion"/>
  </si>
  <si>
    <t>其他应付款</t>
    <phoneticPr fontId="7" type="noConversion"/>
  </si>
  <si>
    <t>递延收益</t>
    <phoneticPr fontId="7" type="noConversion"/>
  </si>
  <si>
    <t>其他流动负债</t>
    <phoneticPr fontId="7" type="noConversion"/>
  </si>
  <si>
    <t>流动负债合计</t>
    <phoneticPr fontId="7" type="noConversion"/>
  </si>
  <si>
    <t>五、非流动负债</t>
    <phoneticPr fontId="7" type="noConversion"/>
  </si>
  <si>
    <t>长期借款</t>
    <phoneticPr fontId="7" type="noConversion"/>
  </si>
  <si>
    <t>应付债券</t>
    <phoneticPr fontId="7" type="noConversion"/>
  </si>
  <si>
    <t>长期应付款</t>
    <phoneticPr fontId="7" type="noConversion"/>
  </si>
  <si>
    <t>历史PE</t>
    <phoneticPr fontId="7" type="noConversion"/>
  </si>
  <si>
    <t>历史PS</t>
    <phoneticPr fontId="7" type="noConversion"/>
  </si>
  <si>
    <t>毛利率</t>
    <phoneticPr fontId="4" type="noConversion"/>
  </si>
  <si>
    <t>每股EPS</t>
    <phoneticPr fontId="7" type="noConversion"/>
  </si>
  <si>
    <t>公允价值累计变化+非流动资产-具体项加起来</t>
    <phoneticPr fontId="7" type="noConversion"/>
  </si>
  <si>
    <t>三、流动负债</t>
    <phoneticPr fontId="7" type="noConversion"/>
  </si>
  <si>
    <t>四、非流动负债</t>
    <phoneticPr fontId="7" type="noConversion"/>
  </si>
  <si>
    <t>五、负债合计</t>
    <phoneticPr fontId="7" type="noConversion"/>
  </si>
  <si>
    <t>六、股东权益合计</t>
    <phoneticPr fontId="7" type="noConversion"/>
  </si>
  <si>
    <t>七、负债和股东权益合计</t>
    <phoneticPr fontId="7" type="noConversion"/>
  </si>
  <si>
    <r>
      <t xml:space="preserve">               </t>
    </r>
    <r>
      <rPr>
        <sz val="9"/>
        <rFont val="宋体"/>
        <family val="3"/>
        <charset val="134"/>
      </rPr>
      <t>其他</t>
    </r>
    <phoneticPr fontId="7" type="noConversion"/>
  </si>
  <si>
    <r>
      <rPr>
        <sz val="9"/>
        <rFont val="宋体"/>
        <family val="3"/>
        <charset val="134"/>
      </rPr>
      <t>上期少数股东权益</t>
    </r>
    <r>
      <rPr>
        <sz val="9"/>
        <rFont val="Times New Roman"/>
        <family val="1"/>
      </rPr>
      <t>+</t>
    </r>
    <r>
      <rPr>
        <sz val="9"/>
        <rFont val="宋体"/>
        <family val="3"/>
        <charset val="134"/>
      </rPr>
      <t>本期少数股东损益</t>
    </r>
    <phoneticPr fontId="7" type="noConversion"/>
  </si>
  <si>
    <t xml:space="preserve">    减：利息收入</t>
    <phoneticPr fontId="7" type="noConversion"/>
  </si>
  <si>
    <t>构稽计算</t>
    <phoneticPr fontId="7" type="noConversion"/>
  </si>
  <si>
    <t>折旧摊销</t>
    <phoneticPr fontId="7" type="noConversion"/>
  </si>
  <si>
    <t>来自资本投资</t>
    <phoneticPr fontId="7" type="noConversion"/>
  </si>
  <si>
    <t>EBITDA</t>
    <phoneticPr fontId="7" type="noConversion"/>
  </si>
  <si>
    <t>减：少数股东损益</t>
    <phoneticPr fontId="7" type="noConversion"/>
  </si>
  <si>
    <t>净利润*【少数股东损益/净利润预测值】</t>
    <phoneticPr fontId="7" type="noConversion"/>
  </si>
  <si>
    <t>归属母公司所有者净利润</t>
    <phoneticPr fontId="7" type="noConversion"/>
  </si>
  <si>
    <t>EPS（摊薄）</t>
    <phoneticPr fontId="4" type="noConversion"/>
  </si>
  <si>
    <t>归属于母公司所有者净利润/期末总股本</t>
    <phoneticPr fontId="7" type="noConversion"/>
  </si>
  <si>
    <t>基本EPS</t>
    <phoneticPr fontId="4" type="noConversion"/>
  </si>
  <si>
    <t>分红</t>
    <phoneticPr fontId="7" type="noConversion"/>
  </si>
  <si>
    <t>NOPLAT</t>
    <phoneticPr fontId="7" type="noConversion"/>
  </si>
  <si>
    <t>EBIT*(1-税率)</t>
    <phoneticPr fontId="7" type="noConversion"/>
  </si>
  <si>
    <r>
      <t xml:space="preserve">        </t>
    </r>
    <r>
      <rPr>
        <sz val="9"/>
        <rFont val="宋体"/>
        <family val="3"/>
        <charset val="134"/>
      </rPr>
      <t>其中：对联营合营企业投资收益</t>
    </r>
    <phoneticPr fontId="7" type="noConversion"/>
  </si>
  <si>
    <r>
      <t>I</t>
    </r>
    <r>
      <rPr>
        <b/>
        <sz val="12"/>
        <color indexed="10"/>
        <rFont val="宋体"/>
        <family val="3"/>
        <charset val="134"/>
      </rPr>
      <t>﹑利润表假设</t>
    </r>
    <phoneticPr fontId="4" type="noConversion"/>
  </si>
  <si>
    <r>
      <rPr>
        <b/>
        <sz val="12"/>
        <color indexed="10"/>
        <rFont val="宋体"/>
        <family val="3"/>
        <charset val="134"/>
      </rPr>
      <t>相关比率</t>
    </r>
    <phoneticPr fontId="4" type="noConversion"/>
  </si>
  <si>
    <r>
      <rPr>
        <b/>
        <sz val="12"/>
        <color indexed="10"/>
        <rFont val="宋体"/>
        <family val="3"/>
        <charset val="134"/>
      </rPr>
      <t>缺省取值</t>
    </r>
    <phoneticPr fontId="4" type="noConversion"/>
  </si>
  <si>
    <r>
      <rPr>
        <sz val="9"/>
        <rFont val="宋体"/>
        <family val="3"/>
        <charset val="134"/>
      </rPr>
      <t>营业收入</t>
    </r>
    <phoneticPr fontId="4" type="noConversion"/>
  </si>
  <si>
    <r>
      <rPr>
        <sz val="9"/>
        <rFont val="宋体"/>
        <family val="3"/>
        <charset val="134"/>
      </rPr>
      <t>营业收入增长率</t>
    </r>
    <r>
      <rPr>
        <sz val="9"/>
        <rFont val="Arial"/>
        <family val="2"/>
      </rPr>
      <t>(%)</t>
    </r>
    <phoneticPr fontId="4" type="noConversion"/>
  </si>
  <si>
    <r>
      <t xml:space="preserve">    </t>
    </r>
    <r>
      <rPr>
        <sz val="9"/>
        <rFont val="宋体"/>
        <family val="3"/>
        <charset val="134"/>
      </rPr>
      <t>营业成本</t>
    </r>
    <phoneticPr fontId="4" type="noConversion"/>
  </si>
  <si>
    <r>
      <rPr>
        <sz val="9"/>
        <rFont val="宋体"/>
        <family val="3"/>
        <charset val="134"/>
      </rPr>
      <t>营业成本</t>
    </r>
    <r>
      <rPr>
        <sz val="9"/>
        <rFont val="Arial"/>
        <family val="2"/>
      </rPr>
      <t>/</t>
    </r>
    <r>
      <rPr>
        <sz val="9"/>
        <rFont val="宋体"/>
        <family val="3"/>
        <charset val="134"/>
      </rPr>
      <t>营业收入</t>
    </r>
    <phoneticPr fontId="4" type="noConversion"/>
  </si>
  <si>
    <r>
      <t xml:space="preserve">    </t>
    </r>
    <r>
      <rPr>
        <sz val="9"/>
        <rFont val="宋体"/>
        <family val="3"/>
        <charset val="134"/>
      </rPr>
      <t>营业税金及附加</t>
    </r>
    <phoneticPr fontId="4" type="noConversion"/>
  </si>
  <si>
    <r>
      <rPr>
        <sz val="9"/>
        <rFont val="宋体"/>
        <family val="3"/>
        <charset val="134"/>
      </rPr>
      <t>营业税金及附加</t>
    </r>
    <r>
      <rPr>
        <sz val="9"/>
        <rFont val="Arial"/>
        <family val="2"/>
      </rPr>
      <t>/</t>
    </r>
    <r>
      <rPr>
        <sz val="9"/>
        <rFont val="宋体"/>
        <family val="3"/>
        <charset val="134"/>
      </rPr>
      <t>营业收入</t>
    </r>
    <phoneticPr fontId="4" type="noConversion"/>
  </si>
  <si>
    <r>
      <t xml:space="preserve">    </t>
    </r>
    <r>
      <rPr>
        <sz val="9"/>
        <rFont val="宋体"/>
        <family val="3"/>
        <charset val="134"/>
      </rPr>
      <t>营业费用</t>
    </r>
    <phoneticPr fontId="4" type="noConversion"/>
  </si>
  <si>
    <r>
      <rPr>
        <sz val="9"/>
        <rFont val="宋体"/>
        <family val="3"/>
        <charset val="134"/>
      </rPr>
      <t>营业费用</t>
    </r>
    <r>
      <rPr>
        <sz val="9"/>
        <rFont val="Arial"/>
        <family val="2"/>
      </rPr>
      <t>/</t>
    </r>
    <r>
      <rPr>
        <sz val="9"/>
        <rFont val="宋体"/>
        <family val="3"/>
        <charset val="134"/>
      </rPr>
      <t>营业收入</t>
    </r>
    <phoneticPr fontId="4" type="noConversion"/>
  </si>
  <si>
    <r>
      <t xml:space="preserve">    </t>
    </r>
    <r>
      <rPr>
        <sz val="9"/>
        <rFont val="宋体"/>
        <family val="3"/>
        <charset val="134"/>
      </rPr>
      <t>管理费用</t>
    </r>
    <phoneticPr fontId="4" type="noConversion"/>
  </si>
  <si>
    <r>
      <rPr>
        <sz val="9"/>
        <rFont val="宋体"/>
        <family val="3"/>
        <charset val="134"/>
      </rPr>
      <t>管理费用</t>
    </r>
    <r>
      <rPr>
        <sz val="9"/>
        <rFont val="Arial"/>
        <family val="2"/>
      </rPr>
      <t>/</t>
    </r>
    <r>
      <rPr>
        <sz val="9"/>
        <rFont val="宋体"/>
        <family val="3"/>
        <charset val="134"/>
      </rPr>
      <t>营业收入</t>
    </r>
    <phoneticPr fontId="4" type="noConversion"/>
  </si>
  <si>
    <r>
      <t xml:space="preserve">    </t>
    </r>
    <r>
      <rPr>
        <sz val="9"/>
        <rFont val="宋体"/>
        <family val="3"/>
        <charset val="134"/>
      </rPr>
      <t>其他财务费用</t>
    </r>
    <phoneticPr fontId="4" type="noConversion"/>
  </si>
  <si>
    <r>
      <rPr>
        <sz val="9"/>
        <rFont val="宋体"/>
        <family val="3"/>
        <charset val="134"/>
      </rPr>
      <t>其他财务费用</t>
    </r>
    <r>
      <rPr>
        <sz val="9"/>
        <rFont val="Arial"/>
        <family val="2"/>
      </rPr>
      <t>/</t>
    </r>
    <r>
      <rPr>
        <sz val="9"/>
        <rFont val="宋体"/>
        <family val="3"/>
        <charset val="134"/>
      </rPr>
      <t>营业收入</t>
    </r>
    <phoneticPr fontId="4" type="noConversion"/>
  </si>
  <si>
    <r>
      <rPr>
        <sz val="9"/>
        <rFont val="宋体"/>
        <family val="3"/>
        <charset val="134"/>
      </rPr>
      <t>资产减值损失</t>
    </r>
    <r>
      <rPr>
        <sz val="9"/>
        <rFont val="Arial"/>
        <family val="2"/>
      </rPr>
      <t>/</t>
    </r>
    <r>
      <rPr>
        <sz val="9"/>
        <rFont val="宋体"/>
        <family val="3"/>
        <charset val="134"/>
      </rPr>
      <t>营业收入</t>
    </r>
    <phoneticPr fontId="4" type="noConversion"/>
  </si>
  <si>
    <r>
      <rPr>
        <sz val="9"/>
        <rFont val="宋体"/>
        <family val="3"/>
        <charset val="134"/>
      </rPr>
      <t>公允价值变动净收益</t>
    </r>
    <phoneticPr fontId="4" type="noConversion"/>
  </si>
  <si>
    <r>
      <rPr>
        <sz val="9"/>
        <rFont val="宋体"/>
        <family val="3"/>
        <charset val="134"/>
      </rPr>
      <t>投资净收益</t>
    </r>
    <r>
      <rPr>
        <sz val="9"/>
        <rFont val="Arial"/>
        <family val="2"/>
      </rPr>
      <t>(</t>
    </r>
    <r>
      <rPr>
        <sz val="9"/>
        <rFont val="宋体"/>
        <family val="3"/>
        <charset val="134"/>
      </rPr>
      <t>对联营合营企业投资收益</t>
    </r>
    <r>
      <rPr>
        <sz val="9"/>
        <rFont val="Arial"/>
        <family val="2"/>
      </rPr>
      <t>)</t>
    </r>
    <phoneticPr fontId="4" type="noConversion"/>
  </si>
  <si>
    <r>
      <rPr>
        <sz val="9"/>
        <rFont val="宋体"/>
        <family val="3"/>
        <charset val="134"/>
      </rPr>
      <t>投资净收益</t>
    </r>
    <r>
      <rPr>
        <sz val="9"/>
        <rFont val="Arial"/>
        <family val="2"/>
      </rPr>
      <t>(</t>
    </r>
    <r>
      <rPr>
        <sz val="9"/>
        <rFont val="宋体"/>
        <family val="3"/>
        <charset val="134"/>
      </rPr>
      <t>其他</t>
    </r>
    <r>
      <rPr>
        <sz val="9"/>
        <rFont val="Arial"/>
        <family val="2"/>
      </rPr>
      <t>)</t>
    </r>
    <phoneticPr fontId="4" type="noConversion"/>
  </si>
  <si>
    <r>
      <rPr>
        <sz val="9"/>
        <rFont val="宋体"/>
        <family val="3"/>
        <charset val="134"/>
      </rPr>
      <t>营业外收入</t>
    </r>
    <phoneticPr fontId="4" type="noConversion"/>
  </si>
  <si>
    <r>
      <t xml:space="preserve">    </t>
    </r>
    <r>
      <rPr>
        <sz val="9"/>
        <rFont val="宋体"/>
        <family val="3"/>
        <charset val="134"/>
      </rPr>
      <t>营业外支出</t>
    </r>
    <phoneticPr fontId="4" type="noConversion"/>
  </si>
  <si>
    <r>
      <rPr>
        <sz val="9"/>
        <rFont val="宋体"/>
        <family val="3"/>
        <charset val="134"/>
      </rPr>
      <t>税率</t>
    </r>
    <phoneticPr fontId="4" type="noConversion"/>
  </si>
  <si>
    <r>
      <rPr>
        <sz val="9"/>
        <rFont val="宋体"/>
        <family val="3"/>
        <charset val="134"/>
      </rPr>
      <t>实际税率</t>
    </r>
    <r>
      <rPr>
        <sz val="9"/>
        <rFont val="Arial"/>
        <family val="2"/>
      </rPr>
      <t>(%)</t>
    </r>
    <phoneticPr fontId="4" type="noConversion"/>
  </si>
  <si>
    <r>
      <t xml:space="preserve">    </t>
    </r>
    <r>
      <rPr>
        <sz val="9"/>
        <rFont val="宋体"/>
        <family val="3"/>
        <charset val="134"/>
      </rPr>
      <t>少数股东损益</t>
    </r>
    <phoneticPr fontId="4" type="noConversion"/>
  </si>
  <si>
    <r>
      <rPr>
        <sz val="9"/>
        <rFont val="宋体"/>
        <family val="3"/>
        <charset val="134"/>
      </rPr>
      <t>少数股东损益</t>
    </r>
    <r>
      <rPr>
        <sz val="9"/>
        <rFont val="Arial"/>
        <family val="2"/>
      </rPr>
      <t>/</t>
    </r>
    <r>
      <rPr>
        <sz val="9"/>
        <rFont val="宋体"/>
        <family val="3"/>
        <charset val="134"/>
      </rPr>
      <t>净利润</t>
    </r>
    <phoneticPr fontId="4" type="noConversion"/>
  </si>
  <si>
    <r>
      <rPr>
        <sz val="9"/>
        <rFont val="宋体"/>
        <family val="3"/>
        <charset val="134"/>
      </rPr>
      <t>每股派现</t>
    </r>
    <phoneticPr fontId="4" type="noConversion"/>
  </si>
  <si>
    <r>
      <rPr>
        <sz val="9"/>
        <rFont val="宋体"/>
        <family val="3"/>
        <charset val="134"/>
      </rPr>
      <t>现金分红率</t>
    </r>
    <r>
      <rPr>
        <sz val="9"/>
        <rFont val="Arial"/>
        <family val="2"/>
      </rPr>
      <t>(%)</t>
    </r>
    <phoneticPr fontId="4" type="noConversion"/>
  </si>
  <si>
    <r>
      <rPr>
        <sz val="9"/>
        <rFont val="宋体"/>
        <family val="3"/>
        <charset val="134"/>
      </rPr>
      <t>每股派现</t>
    </r>
    <r>
      <rPr>
        <sz val="9"/>
        <rFont val="Arial"/>
        <family val="2"/>
      </rPr>
      <t>/EPS(</t>
    </r>
    <r>
      <rPr>
        <sz val="9"/>
        <rFont val="宋体"/>
        <family val="3"/>
        <charset val="134"/>
      </rPr>
      <t>摊薄</t>
    </r>
    <r>
      <rPr>
        <sz val="9"/>
        <rFont val="Arial"/>
        <family val="2"/>
      </rPr>
      <t>)</t>
    </r>
    <phoneticPr fontId="4" type="noConversion"/>
  </si>
  <si>
    <r>
      <t>II</t>
    </r>
    <r>
      <rPr>
        <b/>
        <sz val="12"/>
        <color indexed="10"/>
        <rFont val="宋体"/>
        <family val="3"/>
        <charset val="134"/>
      </rPr>
      <t>﹑资产负债表假设</t>
    </r>
    <phoneticPr fontId="4" type="noConversion"/>
  </si>
  <si>
    <r>
      <rPr>
        <b/>
        <sz val="9"/>
        <rFont val="宋体"/>
        <family val="3"/>
        <charset val="134"/>
      </rPr>
      <t>流动资产：</t>
    </r>
    <phoneticPr fontId="4" type="noConversion"/>
  </si>
  <si>
    <r>
      <rPr>
        <b/>
        <sz val="9"/>
        <color indexed="12"/>
        <rFont val="宋体"/>
        <family val="3"/>
        <charset val="134"/>
      </rPr>
      <t>最低现金余额</t>
    </r>
    <phoneticPr fontId="4" type="noConversion"/>
  </si>
  <si>
    <r>
      <rPr>
        <sz val="9"/>
        <rFont val="宋体"/>
        <family val="3"/>
        <charset val="134"/>
      </rPr>
      <t>交易性金融资产</t>
    </r>
    <phoneticPr fontId="4" type="noConversion"/>
  </si>
  <si>
    <r>
      <rPr>
        <sz val="9"/>
        <rFont val="宋体"/>
        <family val="3"/>
        <charset val="134"/>
      </rPr>
      <t>营业收入</t>
    </r>
    <r>
      <rPr>
        <sz val="9"/>
        <rFont val="Arial"/>
        <family val="2"/>
      </rPr>
      <t>/</t>
    </r>
    <r>
      <rPr>
        <sz val="9"/>
        <rFont val="宋体"/>
        <family val="3"/>
        <charset val="134"/>
      </rPr>
      <t>平均其他应收款</t>
    </r>
    <phoneticPr fontId="4" type="noConversion"/>
  </si>
  <si>
    <r>
      <rPr>
        <sz val="9"/>
        <rFont val="宋体"/>
        <family val="3"/>
        <charset val="134"/>
      </rPr>
      <t>预付账款</t>
    </r>
    <phoneticPr fontId="4" type="noConversion"/>
  </si>
  <si>
    <r>
      <rPr>
        <sz val="9"/>
        <rFont val="宋体"/>
        <family val="3"/>
        <charset val="134"/>
      </rPr>
      <t>营业收入</t>
    </r>
    <r>
      <rPr>
        <sz val="9"/>
        <rFont val="Arial"/>
        <family val="2"/>
      </rPr>
      <t>/</t>
    </r>
    <r>
      <rPr>
        <sz val="9"/>
        <rFont val="宋体"/>
        <family val="3"/>
        <charset val="134"/>
      </rPr>
      <t>平均预付账款</t>
    </r>
    <phoneticPr fontId="4" type="noConversion"/>
  </si>
  <si>
    <r>
      <rPr>
        <sz val="9"/>
        <rFont val="宋体"/>
        <family val="3"/>
        <charset val="134"/>
      </rPr>
      <t>存货</t>
    </r>
    <r>
      <rPr>
        <sz val="9"/>
        <color indexed="17"/>
        <rFont val="Times New Roman"/>
        <family val="1"/>
      </rPr>
      <t/>
    </r>
    <phoneticPr fontId="4" type="noConversion"/>
  </si>
  <si>
    <r>
      <rPr>
        <sz val="9"/>
        <rFont val="宋体"/>
        <family val="3"/>
        <charset val="134"/>
      </rPr>
      <t>营业成本</t>
    </r>
    <r>
      <rPr>
        <sz val="9"/>
        <rFont val="Arial"/>
        <family val="2"/>
      </rPr>
      <t>/</t>
    </r>
    <r>
      <rPr>
        <sz val="9"/>
        <rFont val="宋体"/>
        <family val="3"/>
        <charset val="134"/>
      </rPr>
      <t>平均存货</t>
    </r>
    <phoneticPr fontId="4" type="noConversion"/>
  </si>
  <si>
    <r>
      <rPr>
        <sz val="9"/>
        <rFont val="宋体"/>
        <family val="3"/>
        <charset val="134"/>
      </rPr>
      <t>其他流动资产</t>
    </r>
    <phoneticPr fontId="4" type="noConversion"/>
  </si>
  <si>
    <r>
      <rPr>
        <b/>
        <sz val="9"/>
        <rFont val="宋体"/>
        <family val="3"/>
        <charset val="134"/>
      </rPr>
      <t>非流动资产：</t>
    </r>
    <phoneticPr fontId="4" type="noConversion"/>
  </si>
  <si>
    <r>
      <rPr>
        <sz val="9"/>
        <rFont val="宋体"/>
        <family val="3"/>
        <charset val="134"/>
      </rPr>
      <t>持有至到期投资</t>
    </r>
    <phoneticPr fontId="4" type="noConversion"/>
  </si>
  <si>
    <r>
      <rPr>
        <sz val="9"/>
        <rFont val="宋体"/>
        <family val="3"/>
        <charset val="134"/>
      </rPr>
      <t>长期应收款</t>
    </r>
    <phoneticPr fontId="4" type="noConversion"/>
  </si>
  <si>
    <r>
      <rPr>
        <sz val="9"/>
        <rFont val="宋体"/>
        <family val="3"/>
        <charset val="134"/>
      </rPr>
      <t>商誉</t>
    </r>
    <phoneticPr fontId="4" type="noConversion"/>
  </si>
  <si>
    <r>
      <rPr>
        <sz val="9"/>
        <rFont val="宋体"/>
        <family val="3"/>
        <charset val="134"/>
      </rPr>
      <t>递延所得税资产</t>
    </r>
    <phoneticPr fontId="4" type="noConversion"/>
  </si>
  <si>
    <r>
      <rPr>
        <sz val="9"/>
        <rFont val="宋体"/>
        <family val="3"/>
        <charset val="134"/>
      </rPr>
      <t>其他非流动资产</t>
    </r>
    <phoneticPr fontId="4" type="noConversion"/>
  </si>
  <si>
    <r>
      <rPr>
        <b/>
        <sz val="9"/>
        <rFont val="宋体"/>
        <family val="3"/>
        <charset val="134"/>
      </rPr>
      <t>流动负债：</t>
    </r>
    <phoneticPr fontId="4" type="noConversion"/>
  </si>
  <si>
    <r>
      <rPr>
        <sz val="9"/>
        <rFont val="宋体"/>
        <family val="3"/>
        <charset val="134"/>
      </rPr>
      <t>短期借款</t>
    </r>
    <phoneticPr fontId="4" type="noConversion"/>
  </si>
  <si>
    <r>
      <rPr>
        <sz val="9"/>
        <rFont val="宋体"/>
        <family val="3"/>
        <charset val="134"/>
      </rPr>
      <t>交易性金融负债</t>
    </r>
    <phoneticPr fontId="4" type="noConversion"/>
  </si>
  <si>
    <r>
      <rPr>
        <sz val="9"/>
        <rFont val="宋体"/>
        <family val="3"/>
        <charset val="134"/>
      </rPr>
      <t>营业成本</t>
    </r>
    <r>
      <rPr>
        <sz val="9"/>
        <rFont val="Arial"/>
        <family val="2"/>
      </rPr>
      <t>/</t>
    </r>
    <r>
      <rPr>
        <sz val="9"/>
        <rFont val="宋体"/>
        <family val="3"/>
        <charset val="134"/>
      </rPr>
      <t>平均其他应付帐款</t>
    </r>
    <phoneticPr fontId="4" type="noConversion"/>
  </si>
  <si>
    <r>
      <rPr>
        <sz val="9"/>
        <rFont val="宋体"/>
        <family val="3"/>
        <charset val="134"/>
      </rPr>
      <t>预收账款</t>
    </r>
    <phoneticPr fontId="4" type="noConversion"/>
  </si>
  <si>
    <r>
      <rPr>
        <sz val="9"/>
        <rFont val="宋体"/>
        <family val="3"/>
        <charset val="134"/>
      </rPr>
      <t>营业成本</t>
    </r>
    <r>
      <rPr>
        <sz val="9"/>
        <rFont val="Arial"/>
        <family val="2"/>
      </rPr>
      <t>/</t>
    </r>
    <r>
      <rPr>
        <sz val="9"/>
        <rFont val="宋体"/>
        <family val="3"/>
        <charset val="134"/>
      </rPr>
      <t>平均预收账款</t>
    </r>
    <phoneticPr fontId="4" type="noConversion"/>
  </si>
  <si>
    <r>
      <rPr>
        <sz val="9"/>
        <rFont val="宋体"/>
        <family val="3"/>
        <charset val="134"/>
      </rPr>
      <t>递延收益</t>
    </r>
    <phoneticPr fontId="4" type="noConversion"/>
  </si>
  <si>
    <r>
      <rPr>
        <sz val="9"/>
        <rFont val="宋体"/>
        <family val="3"/>
        <charset val="134"/>
      </rPr>
      <t>其他流动负债</t>
    </r>
    <phoneticPr fontId="4" type="noConversion"/>
  </si>
  <si>
    <r>
      <rPr>
        <b/>
        <sz val="9"/>
        <rFont val="宋体"/>
        <family val="3"/>
        <charset val="134"/>
      </rPr>
      <t>非流动负债：</t>
    </r>
    <phoneticPr fontId="4" type="noConversion"/>
  </si>
  <si>
    <r>
      <rPr>
        <sz val="9"/>
        <rFont val="宋体"/>
        <family val="3"/>
        <charset val="134"/>
      </rPr>
      <t>长期应付款</t>
    </r>
    <phoneticPr fontId="4" type="noConversion"/>
  </si>
  <si>
    <r>
      <rPr>
        <sz val="9"/>
        <rFont val="宋体"/>
        <family val="3"/>
        <charset val="134"/>
      </rPr>
      <t>递延所得税负债</t>
    </r>
    <phoneticPr fontId="4" type="noConversion"/>
  </si>
  <si>
    <r>
      <rPr>
        <sz val="9"/>
        <rFont val="宋体"/>
        <family val="3"/>
        <charset val="134"/>
      </rPr>
      <t>其他非流动负债</t>
    </r>
    <phoneticPr fontId="4" type="noConversion"/>
  </si>
  <si>
    <r>
      <rPr>
        <sz val="9"/>
        <rFont val="宋体"/>
        <family val="3"/>
        <charset val="134"/>
      </rPr>
      <t>外币报表折算差额</t>
    </r>
    <phoneticPr fontId="4" type="noConversion"/>
  </si>
  <si>
    <r>
      <rPr>
        <sz val="9"/>
        <rFont val="宋体"/>
        <family val="3"/>
        <charset val="134"/>
      </rPr>
      <t>外币报表折算差额</t>
    </r>
    <r>
      <rPr>
        <sz val="9"/>
        <rFont val="Arial"/>
        <family val="2"/>
      </rPr>
      <t>/</t>
    </r>
    <r>
      <rPr>
        <sz val="9"/>
        <rFont val="宋体"/>
        <family val="3"/>
        <charset val="134"/>
      </rPr>
      <t>营业收入</t>
    </r>
    <phoneticPr fontId="4" type="noConversion"/>
  </si>
  <si>
    <r>
      <t>III</t>
    </r>
    <r>
      <rPr>
        <b/>
        <sz val="12"/>
        <color indexed="10"/>
        <rFont val="宋体"/>
        <family val="3"/>
        <charset val="134"/>
      </rPr>
      <t>﹑资本投资</t>
    </r>
    <phoneticPr fontId="4" type="noConversion"/>
  </si>
  <si>
    <r>
      <rPr>
        <b/>
        <u/>
        <sz val="9"/>
        <rFont val="宋体"/>
        <family val="3"/>
        <charset val="134"/>
      </rPr>
      <t>固定资产、在建工程、工程物资</t>
    </r>
    <phoneticPr fontId="4" type="noConversion"/>
  </si>
  <si>
    <r>
      <rPr>
        <sz val="9"/>
        <rFont val="宋体"/>
        <family val="3"/>
        <charset val="134"/>
      </rPr>
      <t>在建工程建设期</t>
    </r>
    <phoneticPr fontId="4" type="noConversion"/>
  </si>
  <si>
    <r>
      <rPr>
        <sz val="9"/>
        <rFont val="宋体"/>
        <family val="3"/>
        <charset val="134"/>
      </rPr>
      <t>固定资产折旧年限</t>
    </r>
    <phoneticPr fontId="4" type="noConversion"/>
  </si>
  <si>
    <r>
      <rPr>
        <sz val="9"/>
        <rFont val="宋体"/>
        <family val="3"/>
        <charset val="134"/>
      </rPr>
      <t>固定资产</t>
    </r>
    <r>
      <rPr>
        <sz val="9"/>
        <rFont val="Arial"/>
        <family val="2"/>
      </rPr>
      <t>/</t>
    </r>
    <r>
      <rPr>
        <sz val="9"/>
        <rFont val="宋体"/>
        <family val="3"/>
        <charset val="134"/>
      </rPr>
      <t>固定资产折旧</t>
    </r>
    <phoneticPr fontId="4" type="noConversion"/>
  </si>
  <si>
    <r>
      <rPr>
        <sz val="9"/>
        <rFont val="宋体"/>
        <family val="3"/>
        <charset val="134"/>
      </rPr>
      <t>固定资产残值率</t>
    </r>
    <phoneticPr fontId="4" type="noConversion"/>
  </si>
  <si>
    <r>
      <rPr>
        <b/>
        <u/>
        <sz val="9"/>
        <rFont val="宋体"/>
        <family val="3"/>
        <charset val="134"/>
      </rPr>
      <t>无形资产及摊销</t>
    </r>
    <phoneticPr fontId="4" type="noConversion"/>
  </si>
  <si>
    <r>
      <rPr>
        <sz val="9"/>
        <rFont val="宋体"/>
        <family val="3"/>
        <charset val="134"/>
      </rPr>
      <t>无形资产摊销年限</t>
    </r>
    <phoneticPr fontId="4" type="noConversion"/>
  </si>
  <si>
    <r>
      <rPr>
        <sz val="9"/>
        <rFont val="宋体"/>
        <family val="3"/>
        <charset val="134"/>
      </rPr>
      <t>无形资产</t>
    </r>
    <r>
      <rPr>
        <sz val="9"/>
        <rFont val="Arial"/>
        <family val="2"/>
      </rPr>
      <t>/</t>
    </r>
    <r>
      <rPr>
        <sz val="9"/>
        <rFont val="宋体"/>
        <family val="3"/>
        <charset val="134"/>
      </rPr>
      <t>无形资产摊销</t>
    </r>
    <phoneticPr fontId="4" type="noConversion"/>
  </si>
  <si>
    <r>
      <rPr>
        <b/>
        <u/>
        <sz val="9"/>
        <rFont val="宋体"/>
        <family val="3"/>
        <charset val="134"/>
      </rPr>
      <t>长期待摊费用及摊销</t>
    </r>
    <phoneticPr fontId="4" type="noConversion"/>
  </si>
  <si>
    <r>
      <t>IV</t>
    </r>
    <r>
      <rPr>
        <b/>
        <sz val="12"/>
        <color indexed="10"/>
        <rFont val="宋体"/>
        <family val="3"/>
        <charset val="134"/>
      </rPr>
      <t>﹑</t>
    </r>
    <r>
      <rPr>
        <b/>
        <sz val="12"/>
        <color indexed="10"/>
        <rFont val="Arial"/>
        <family val="2"/>
      </rPr>
      <t xml:space="preserve"> </t>
    </r>
    <r>
      <rPr>
        <b/>
        <sz val="12"/>
        <color indexed="10"/>
        <rFont val="宋体"/>
        <family val="3"/>
        <charset val="134"/>
      </rPr>
      <t>债务</t>
    </r>
    <phoneticPr fontId="4" type="noConversion"/>
  </si>
  <si>
    <r>
      <rPr>
        <sz val="9"/>
        <rFont val="宋体"/>
        <family val="3"/>
        <charset val="134"/>
      </rPr>
      <t>长期借款还款期限</t>
    </r>
    <phoneticPr fontId="4" type="noConversion"/>
  </si>
  <si>
    <r>
      <t>V</t>
    </r>
    <r>
      <rPr>
        <b/>
        <sz val="12"/>
        <color indexed="10"/>
        <rFont val="宋体"/>
        <family val="3"/>
        <charset val="134"/>
      </rPr>
      <t>﹑</t>
    </r>
    <r>
      <rPr>
        <b/>
        <sz val="12"/>
        <color indexed="10"/>
        <rFont val="Arial"/>
        <family val="2"/>
      </rPr>
      <t xml:space="preserve"> </t>
    </r>
    <r>
      <rPr>
        <b/>
        <sz val="12"/>
        <color indexed="10"/>
        <rFont val="宋体"/>
        <family val="3"/>
        <charset val="134"/>
      </rPr>
      <t>利率</t>
    </r>
    <phoneticPr fontId="4" type="noConversion"/>
  </si>
  <si>
    <r>
      <t>a</t>
    </r>
    <r>
      <rPr>
        <sz val="9"/>
        <rFont val="宋体"/>
        <family val="3"/>
        <charset val="134"/>
      </rPr>
      <t>、长期贷款利率：</t>
    </r>
    <phoneticPr fontId="4" type="noConversion"/>
  </si>
  <si>
    <r>
      <t>b</t>
    </r>
    <r>
      <rPr>
        <sz val="9"/>
        <rFont val="宋体"/>
        <family val="3"/>
        <charset val="134"/>
      </rPr>
      <t>、短期贷款利率：</t>
    </r>
    <phoneticPr fontId="4" type="noConversion"/>
  </si>
  <si>
    <r>
      <rPr>
        <b/>
        <sz val="9"/>
        <rFont val="宋体"/>
        <family val="3"/>
        <charset val="134"/>
      </rPr>
      <t>（</t>
    </r>
    <r>
      <rPr>
        <b/>
        <sz val="9"/>
        <rFont val="Arial"/>
        <family val="2"/>
      </rPr>
      <t>1</t>
    </r>
    <r>
      <rPr>
        <b/>
        <sz val="9"/>
        <rFont val="宋体"/>
        <family val="3"/>
        <charset val="134"/>
      </rPr>
      <t>）</t>
    </r>
    <r>
      <rPr>
        <b/>
        <sz val="9"/>
        <rFont val="Arial"/>
        <family val="2"/>
      </rPr>
      <t>IPO</t>
    </r>
    <r>
      <rPr>
        <b/>
        <sz val="9"/>
        <rFont val="宋体"/>
        <family val="3"/>
        <charset val="134"/>
      </rPr>
      <t>募集资金</t>
    </r>
    <r>
      <rPr>
        <b/>
        <sz val="9"/>
        <rFont val="Arial"/>
        <family val="2"/>
      </rPr>
      <t>:</t>
    </r>
    <phoneticPr fontId="4" type="noConversion"/>
  </si>
  <si>
    <r>
      <rPr>
        <sz val="9"/>
        <rFont val="宋体"/>
        <family val="3"/>
        <charset val="134"/>
      </rPr>
      <t>发行股本</t>
    </r>
    <r>
      <rPr>
        <sz val="9"/>
        <rFont val="Arial"/>
        <family val="2"/>
      </rPr>
      <t>(</t>
    </r>
    <r>
      <rPr>
        <sz val="9"/>
        <rFont val="宋体"/>
        <family val="3"/>
        <charset val="134"/>
      </rPr>
      <t>百万</t>
    </r>
    <r>
      <rPr>
        <sz val="9"/>
        <rFont val="Arial"/>
        <family val="2"/>
      </rPr>
      <t>)</t>
    </r>
  </si>
  <si>
    <r>
      <rPr>
        <sz val="9"/>
        <rFont val="宋体"/>
        <family val="3"/>
        <charset val="134"/>
      </rPr>
      <t>发行价格</t>
    </r>
    <r>
      <rPr>
        <sz val="9"/>
        <rFont val="Arial"/>
        <family val="2"/>
      </rPr>
      <t>(</t>
    </r>
    <r>
      <rPr>
        <sz val="9"/>
        <rFont val="宋体"/>
        <family val="3"/>
        <charset val="134"/>
      </rPr>
      <t>元</t>
    </r>
    <r>
      <rPr>
        <sz val="9"/>
        <rFont val="Arial"/>
        <family val="2"/>
      </rPr>
      <t>)</t>
    </r>
    <phoneticPr fontId="4" type="noConversion"/>
  </si>
  <si>
    <r>
      <rPr>
        <b/>
        <sz val="9"/>
        <rFont val="宋体"/>
        <family val="3"/>
        <charset val="134"/>
      </rPr>
      <t>（</t>
    </r>
    <r>
      <rPr>
        <b/>
        <sz val="9"/>
        <rFont val="Arial"/>
        <family val="2"/>
      </rPr>
      <t>2</t>
    </r>
    <r>
      <rPr>
        <b/>
        <sz val="9"/>
        <rFont val="宋体"/>
        <family val="3"/>
        <charset val="134"/>
      </rPr>
      <t>）增发募集资金</t>
    </r>
    <r>
      <rPr>
        <b/>
        <sz val="9"/>
        <rFont val="Arial"/>
        <family val="2"/>
      </rPr>
      <t>:</t>
    </r>
    <phoneticPr fontId="4" type="noConversion"/>
  </si>
  <si>
    <r>
      <rPr>
        <sz val="9"/>
        <rFont val="宋体"/>
        <family val="3"/>
        <charset val="134"/>
      </rPr>
      <t>增发股本</t>
    </r>
    <r>
      <rPr>
        <sz val="9"/>
        <rFont val="Arial"/>
        <family val="2"/>
      </rPr>
      <t>(</t>
    </r>
    <r>
      <rPr>
        <sz val="9"/>
        <rFont val="宋体"/>
        <family val="3"/>
        <charset val="134"/>
      </rPr>
      <t>百万</t>
    </r>
    <r>
      <rPr>
        <sz val="9"/>
        <rFont val="Arial"/>
        <family val="2"/>
      </rPr>
      <t>)</t>
    </r>
  </si>
  <si>
    <r>
      <rPr>
        <sz val="9"/>
        <rFont val="宋体"/>
        <family val="3"/>
        <charset val="134"/>
      </rPr>
      <t>增发价格</t>
    </r>
    <r>
      <rPr>
        <sz val="9"/>
        <rFont val="Arial"/>
        <family val="2"/>
      </rPr>
      <t>(</t>
    </r>
    <r>
      <rPr>
        <sz val="9"/>
        <rFont val="宋体"/>
        <family val="3"/>
        <charset val="134"/>
      </rPr>
      <t>元</t>
    </r>
    <r>
      <rPr>
        <sz val="9"/>
        <rFont val="Arial"/>
        <family val="2"/>
      </rPr>
      <t>)</t>
    </r>
    <phoneticPr fontId="4" type="noConversion"/>
  </si>
  <si>
    <r>
      <rPr>
        <b/>
        <sz val="9"/>
        <rFont val="宋体"/>
        <family val="3"/>
        <charset val="134"/>
      </rPr>
      <t>（</t>
    </r>
    <r>
      <rPr>
        <b/>
        <sz val="9"/>
        <rFont val="Arial"/>
        <family val="2"/>
      </rPr>
      <t>3</t>
    </r>
    <r>
      <rPr>
        <b/>
        <sz val="9"/>
        <rFont val="宋体"/>
        <family val="3"/>
        <charset val="134"/>
      </rPr>
      <t>）配股募集资金</t>
    </r>
    <r>
      <rPr>
        <b/>
        <sz val="9"/>
        <rFont val="Arial"/>
        <family val="2"/>
      </rPr>
      <t>:</t>
    </r>
    <phoneticPr fontId="4" type="noConversion"/>
  </si>
  <si>
    <r>
      <rPr>
        <sz val="9"/>
        <rFont val="宋体"/>
        <family val="3"/>
        <charset val="134"/>
      </rPr>
      <t>配股数量</t>
    </r>
    <r>
      <rPr>
        <sz val="9"/>
        <rFont val="Arial"/>
        <family val="2"/>
      </rPr>
      <t>(</t>
    </r>
    <r>
      <rPr>
        <sz val="9"/>
        <rFont val="宋体"/>
        <family val="3"/>
        <charset val="134"/>
      </rPr>
      <t>百万</t>
    </r>
    <r>
      <rPr>
        <sz val="9"/>
        <rFont val="Arial"/>
        <family val="2"/>
      </rPr>
      <t>)</t>
    </r>
  </si>
  <si>
    <r>
      <rPr>
        <sz val="9"/>
        <rFont val="宋体"/>
        <family val="3"/>
        <charset val="134"/>
      </rPr>
      <t>配股价格</t>
    </r>
    <r>
      <rPr>
        <sz val="9"/>
        <rFont val="Arial"/>
        <family val="2"/>
      </rPr>
      <t>(</t>
    </r>
    <r>
      <rPr>
        <sz val="9"/>
        <rFont val="宋体"/>
        <family val="3"/>
        <charset val="134"/>
      </rPr>
      <t>元</t>
    </r>
    <r>
      <rPr>
        <sz val="9"/>
        <rFont val="Arial"/>
        <family val="2"/>
      </rPr>
      <t>)</t>
    </r>
    <phoneticPr fontId="4" type="noConversion"/>
  </si>
  <si>
    <r>
      <rPr>
        <b/>
        <sz val="9"/>
        <rFont val="宋体"/>
        <family val="3"/>
        <charset val="134"/>
      </rPr>
      <t>（</t>
    </r>
    <r>
      <rPr>
        <b/>
        <sz val="9"/>
        <rFont val="Arial"/>
        <family val="2"/>
      </rPr>
      <t>4</t>
    </r>
    <r>
      <rPr>
        <b/>
        <sz val="9"/>
        <rFont val="宋体"/>
        <family val="3"/>
        <charset val="134"/>
      </rPr>
      <t>）可转债</t>
    </r>
    <r>
      <rPr>
        <b/>
        <sz val="9"/>
        <rFont val="Arial"/>
        <family val="2"/>
      </rPr>
      <t>:</t>
    </r>
    <phoneticPr fontId="4" type="noConversion"/>
  </si>
  <si>
    <r>
      <rPr>
        <sz val="9"/>
        <rFont val="宋体"/>
        <family val="3"/>
        <charset val="134"/>
      </rPr>
      <t>转股数量</t>
    </r>
    <r>
      <rPr>
        <sz val="9"/>
        <rFont val="Arial"/>
        <family val="2"/>
      </rPr>
      <t>(</t>
    </r>
    <r>
      <rPr>
        <sz val="9"/>
        <rFont val="宋体"/>
        <family val="3"/>
        <charset val="134"/>
      </rPr>
      <t>百万</t>
    </r>
    <r>
      <rPr>
        <sz val="9"/>
        <rFont val="Arial"/>
        <family val="2"/>
      </rPr>
      <t>)</t>
    </r>
    <phoneticPr fontId="7" type="noConversion"/>
  </si>
  <si>
    <r>
      <rPr>
        <sz val="9"/>
        <rFont val="宋体"/>
        <family val="3"/>
        <charset val="134"/>
      </rPr>
      <t>转股价格</t>
    </r>
    <r>
      <rPr>
        <sz val="9"/>
        <rFont val="Arial"/>
        <family val="2"/>
      </rPr>
      <t>(</t>
    </r>
    <r>
      <rPr>
        <sz val="9"/>
        <rFont val="宋体"/>
        <family val="3"/>
        <charset val="134"/>
      </rPr>
      <t>元</t>
    </r>
    <r>
      <rPr>
        <sz val="9"/>
        <rFont val="Arial"/>
        <family val="2"/>
      </rPr>
      <t>)</t>
    </r>
    <phoneticPr fontId="7" type="noConversion"/>
  </si>
  <si>
    <r>
      <rPr>
        <b/>
        <sz val="9"/>
        <rFont val="宋体"/>
        <family val="3"/>
        <charset val="134"/>
      </rPr>
      <t>（</t>
    </r>
    <r>
      <rPr>
        <b/>
        <sz val="9"/>
        <rFont val="Arial"/>
        <family val="2"/>
      </rPr>
      <t>5</t>
    </r>
    <r>
      <rPr>
        <b/>
        <sz val="9"/>
        <rFont val="宋体"/>
        <family val="3"/>
        <charset val="134"/>
      </rPr>
      <t>）期权：</t>
    </r>
    <phoneticPr fontId="4" type="noConversion"/>
  </si>
  <si>
    <r>
      <rPr>
        <sz val="9"/>
        <rFont val="宋体"/>
        <family val="3"/>
        <charset val="134"/>
      </rPr>
      <t>期权行权数量</t>
    </r>
    <r>
      <rPr>
        <sz val="9"/>
        <rFont val="Arial"/>
        <family val="2"/>
      </rPr>
      <t>(</t>
    </r>
    <r>
      <rPr>
        <sz val="9"/>
        <rFont val="宋体"/>
        <family val="3"/>
        <charset val="134"/>
      </rPr>
      <t>百万</t>
    </r>
    <r>
      <rPr>
        <sz val="9"/>
        <rFont val="Arial"/>
        <family val="2"/>
      </rPr>
      <t>)</t>
    </r>
    <phoneticPr fontId="4" type="noConversion"/>
  </si>
  <si>
    <r>
      <rPr>
        <sz val="9"/>
        <rFont val="宋体"/>
        <family val="3"/>
        <charset val="134"/>
      </rPr>
      <t>期权行权价格</t>
    </r>
    <r>
      <rPr>
        <sz val="9"/>
        <rFont val="Arial"/>
        <family val="2"/>
      </rPr>
      <t>(</t>
    </r>
    <r>
      <rPr>
        <sz val="9"/>
        <rFont val="宋体"/>
        <family val="3"/>
        <charset val="134"/>
      </rPr>
      <t>元</t>
    </r>
    <r>
      <rPr>
        <sz val="9"/>
        <rFont val="Arial"/>
        <family val="2"/>
      </rPr>
      <t>)</t>
    </r>
    <phoneticPr fontId="4" type="noConversion"/>
  </si>
  <si>
    <r>
      <rPr>
        <b/>
        <sz val="9"/>
        <rFont val="宋体"/>
        <family val="3"/>
        <charset val="134"/>
      </rPr>
      <t>融资总额</t>
    </r>
    <phoneticPr fontId="4" type="noConversion"/>
  </si>
  <si>
    <r>
      <t>VII</t>
    </r>
    <r>
      <rPr>
        <b/>
        <sz val="12"/>
        <color indexed="10"/>
        <rFont val="宋体"/>
        <family val="3"/>
        <charset val="134"/>
      </rPr>
      <t>﹑总股本</t>
    </r>
    <phoneticPr fontId="4" type="noConversion"/>
  </si>
  <si>
    <r>
      <rPr>
        <sz val="9"/>
        <rFont val="宋体"/>
        <family val="3"/>
        <charset val="134"/>
      </rPr>
      <t>期末总股本</t>
    </r>
    <r>
      <rPr>
        <sz val="9"/>
        <rFont val="Arial"/>
        <family val="2"/>
      </rPr>
      <t>(</t>
    </r>
    <r>
      <rPr>
        <sz val="9"/>
        <rFont val="宋体"/>
        <family val="3"/>
        <charset val="134"/>
      </rPr>
      <t>百万股</t>
    </r>
    <r>
      <rPr>
        <sz val="9"/>
        <rFont val="Arial"/>
        <family val="2"/>
      </rPr>
      <t>)</t>
    </r>
    <phoneticPr fontId="4" type="noConversion"/>
  </si>
  <si>
    <t>长期待摊费用的减少</t>
    <phoneticPr fontId="4" type="noConversion"/>
  </si>
  <si>
    <t>其他非流动资产的减少</t>
    <phoneticPr fontId="4" type="noConversion"/>
  </si>
  <si>
    <t>一年内到期的非流动负债的增加</t>
    <phoneticPr fontId="4" type="noConversion"/>
  </si>
  <si>
    <t>减：一年内到期的非流动负债</t>
    <phoneticPr fontId="4" type="noConversion"/>
  </si>
  <si>
    <t>折旧摊销的减少</t>
    <phoneticPr fontId="4" type="noConversion"/>
  </si>
  <si>
    <t>外币报表折算差额</t>
    <phoneticPr fontId="4" type="noConversion"/>
  </si>
  <si>
    <t>现金流量表附注：</t>
    <phoneticPr fontId="7" type="noConversion"/>
  </si>
  <si>
    <t>其他</t>
    <phoneticPr fontId="4" type="noConversion"/>
  </si>
  <si>
    <r>
      <t>c</t>
    </r>
    <r>
      <rPr>
        <sz val="9"/>
        <rFont val="宋体"/>
        <family val="3"/>
        <charset val="134"/>
      </rPr>
      <t>、银行存款利率：</t>
    </r>
    <phoneticPr fontId="4" type="noConversion"/>
  </si>
  <si>
    <t>融资股本数</t>
    <phoneticPr fontId="4" type="noConversion"/>
  </si>
  <si>
    <t>归属于母公司净利润/总股本</t>
    <phoneticPr fontId="67" type="noConversion"/>
  </si>
  <si>
    <t>归属于母公司所有者权益/总股本</t>
    <phoneticPr fontId="67" type="noConversion"/>
  </si>
  <si>
    <t>每股派现</t>
    <phoneticPr fontId="67" type="noConversion"/>
  </si>
  <si>
    <t>产销量(百万件）</t>
    <phoneticPr fontId="44" type="noConversion"/>
  </si>
  <si>
    <r>
      <rPr>
        <sz val="9"/>
        <rFont val="宋体"/>
        <family val="3"/>
        <charset val="134"/>
      </rPr>
      <t>债务资本成本</t>
    </r>
    <r>
      <rPr>
        <sz val="9"/>
        <rFont val="Arial"/>
        <family val="2"/>
      </rPr>
      <t>Kd</t>
    </r>
    <phoneticPr fontId="7" type="noConversion"/>
  </si>
  <si>
    <r>
      <t>历史均值</t>
    </r>
    <r>
      <rPr>
        <sz val="9"/>
        <rFont val="Arial"/>
        <family val="2"/>
      </rPr>
      <t xml:space="preserve"> P/S</t>
    </r>
    <phoneticPr fontId="67" type="noConversion"/>
  </si>
  <si>
    <t>历史PB</t>
    <phoneticPr fontId="7" type="noConversion"/>
  </si>
  <si>
    <t>预期复合增长率g</t>
    <phoneticPr fontId="67" type="noConversion"/>
  </si>
  <si>
    <t xml:space="preserve">                           PE
                 g</t>
    <phoneticPr fontId="7" type="noConversion"/>
  </si>
  <si>
    <t>PEG</t>
    <phoneticPr fontId="67" type="noConversion"/>
  </si>
  <si>
    <t>历史EV/EBITDA</t>
    <phoneticPr fontId="7" type="noConversion"/>
  </si>
  <si>
    <r>
      <t>目标公司</t>
    </r>
    <r>
      <rPr>
        <sz val="9"/>
        <rFont val="Arial"/>
        <family val="2"/>
      </rPr>
      <t xml:space="preserve"> EBITDA</t>
    </r>
    <phoneticPr fontId="67" type="noConversion"/>
  </si>
  <si>
    <t>EV/EBITDA</t>
    <phoneticPr fontId="7" type="noConversion"/>
  </si>
  <si>
    <r>
      <t>每股价值</t>
    </r>
    <r>
      <rPr>
        <sz val="9"/>
        <rFont val="Arial"/>
        <family val="2"/>
      </rPr>
      <t>(</t>
    </r>
    <r>
      <rPr>
        <sz val="9"/>
        <rFont val="宋体"/>
        <family val="3"/>
        <charset val="134"/>
      </rPr>
      <t>元</t>
    </r>
    <r>
      <rPr>
        <sz val="9"/>
        <rFont val="Arial"/>
        <family val="2"/>
      </rPr>
      <t>)</t>
    </r>
    <phoneticPr fontId="67" type="noConversion"/>
  </si>
  <si>
    <r>
      <t xml:space="preserve">                     EV/EBITDA
       </t>
    </r>
    <r>
      <rPr>
        <b/>
        <sz val="9"/>
        <rFont val="宋体"/>
        <family val="3"/>
        <charset val="134"/>
      </rPr>
      <t>预测</t>
    </r>
    <r>
      <rPr>
        <b/>
        <sz val="9"/>
        <rFont val="Arial"/>
        <family val="2"/>
      </rPr>
      <t>EBITDA</t>
    </r>
    <phoneticPr fontId="7" type="noConversion"/>
  </si>
  <si>
    <t>营业收入</t>
    <phoneticPr fontId="7" type="noConversion"/>
  </si>
  <si>
    <t>营业利润</t>
    <phoneticPr fontId="7" type="noConversion"/>
  </si>
  <si>
    <t>毛利率</t>
    <phoneticPr fontId="7" type="noConversion"/>
  </si>
  <si>
    <t>净利率</t>
    <phoneticPr fontId="7" type="noConversion"/>
  </si>
  <si>
    <t>ROE</t>
    <phoneticPr fontId="7" type="noConversion"/>
  </si>
  <si>
    <t>ROIC</t>
    <phoneticPr fontId="7" type="noConversion"/>
  </si>
  <si>
    <t>资产负债率</t>
    <phoneticPr fontId="7" type="noConversion"/>
  </si>
  <si>
    <t>总资产周转率</t>
    <phoneticPr fontId="7" type="noConversion"/>
  </si>
  <si>
    <r>
      <t xml:space="preserve">             </t>
    </r>
    <r>
      <rPr>
        <b/>
        <sz val="9"/>
        <rFont val="宋体"/>
        <family val="3"/>
        <charset val="134"/>
      </rPr>
      <t>永续增长率</t>
    </r>
    <r>
      <rPr>
        <b/>
        <sz val="9"/>
        <rFont val="Arial"/>
        <family val="2"/>
      </rPr>
      <t>g   KE</t>
    </r>
    <phoneticPr fontId="7" type="noConversion"/>
  </si>
  <si>
    <t>利润表</t>
    <phoneticPr fontId="7" type="noConversion"/>
  </si>
  <si>
    <t>预测值</t>
    <phoneticPr fontId="44" type="noConversion"/>
  </si>
  <si>
    <t>【提示：2、此敏感性分析为单产品售价、成本及销量的改变对公司EPS的影响。】</t>
    <phoneticPr fontId="44" type="noConversion"/>
  </si>
  <si>
    <t>【提示：1、单个产品的售价、成本及销量预测值应与【收入成本预测】项里的值保持一致。】</t>
    <phoneticPr fontId="44" type="noConversion"/>
  </si>
  <si>
    <t>构稽计算</t>
    <phoneticPr fontId="7" type="noConversion"/>
  </si>
  <si>
    <t>EBIT</t>
    <phoneticPr fontId="7" type="noConversion"/>
  </si>
  <si>
    <t>经营性应付项目的增加</t>
    <phoneticPr fontId="7" type="noConversion"/>
  </si>
  <si>
    <t>其他</t>
    <phoneticPr fontId="7" type="noConversion"/>
  </si>
  <si>
    <r>
      <t xml:space="preserve">  </t>
    </r>
    <r>
      <rPr>
        <sz val="9"/>
        <rFont val="宋体"/>
        <family val="3"/>
        <charset val="134"/>
      </rPr>
      <t>利息费用</t>
    </r>
    <phoneticPr fontId="7" type="noConversion"/>
  </si>
  <si>
    <r>
      <t xml:space="preserve">  </t>
    </r>
    <r>
      <rPr>
        <sz val="9"/>
        <rFont val="宋体"/>
        <family val="3"/>
        <charset val="134"/>
      </rPr>
      <t>减：利息收入</t>
    </r>
    <phoneticPr fontId="7" type="noConversion"/>
  </si>
  <si>
    <r>
      <t xml:space="preserve">  </t>
    </r>
    <r>
      <rPr>
        <sz val="9"/>
        <rFont val="宋体"/>
        <family val="3"/>
        <charset val="134"/>
      </rPr>
      <t>加：汇兑损失</t>
    </r>
    <phoneticPr fontId="7" type="noConversion"/>
  </si>
  <si>
    <r>
      <t xml:space="preserve">  </t>
    </r>
    <r>
      <rPr>
        <sz val="9"/>
        <rFont val="宋体"/>
        <family val="3"/>
        <charset val="134"/>
      </rPr>
      <t>减：汇兑损益</t>
    </r>
    <phoneticPr fontId="7" type="noConversion"/>
  </si>
  <si>
    <r>
      <t xml:space="preserve">  </t>
    </r>
    <r>
      <rPr>
        <sz val="9"/>
        <rFont val="宋体"/>
        <family val="3"/>
        <charset val="134"/>
      </rPr>
      <t>加：其他费用</t>
    </r>
    <phoneticPr fontId="7" type="noConversion"/>
  </si>
  <si>
    <r>
      <t>其中</t>
    </r>
    <r>
      <rPr>
        <sz val="9"/>
        <color indexed="8"/>
        <rFont val="Arial"/>
        <family val="2"/>
      </rPr>
      <t>:</t>
    </r>
    <r>
      <rPr>
        <sz val="9"/>
        <color indexed="8"/>
        <rFont val="宋体"/>
        <family val="3"/>
        <charset val="134"/>
      </rPr>
      <t>消耗性生物资产</t>
    </r>
    <phoneticPr fontId="7" type="noConversion"/>
  </si>
  <si>
    <t>二、非流动资产合计</t>
    <phoneticPr fontId="7" type="noConversion"/>
  </si>
  <si>
    <t>三、资产总计</t>
    <phoneticPr fontId="7" type="noConversion"/>
  </si>
  <si>
    <t>四、流动负债</t>
    <phoneticPr fontId="7" type="noConversion"/>
  </si>
  <si>
    <t>五、非流动负债</t>
    <phoneticPr fontId="7" type="noConversion"/>
  </si>
  <si>
    <t>六、负债合计</t>
    <phoneticPr fontId="7" type="noConversion"/>
  </si>
  <si>
    <t>七、股东权益合计</t>
    <phoneticPr fontId="7" type="noConversion"/>
  </si>
  <si>
    <t>归属母公司股东权益合计</t>
    <phoneticPr fontId="7" type="noConversion"/>
  </si>
  <si>
    <t>八、负债和股东权益合计</t>
    <phoneticPr fontId="7" type="noConversion"/>
  </si>
  <si>
    <t>四、现金及现金等价物</t>
    <phoneticPr fontId="7" type="noConversion"/>
  </si>
  <si>
    <t>附注：</t>
    <phoneticPr fontId="7" type="noConversion"/>
  </si>
  <si>
    <t>其中：对联营合营企业投资收益</t>
    <phoneticPr fontId="7" type="noConversion"/>
  </si>
  <si>
    <t>加：营业利润其他科目</t>
    <phoneticPr fontId="7" type="noConversion"/>
  </si>
  <si>
    <t>加：营业利润调整项目</t>
    <phoneticPr fontId="7" type="noConversion"/>
  </si>
  <si>
    <t>其中：非流动资产处置净损失</t>
    <phoneticPr fontId="7" type="noConversion"/>
  </si>
  <si>
    <t>加：利润总额其他科目</t>
    <phoneticPr fontId="7" type="noConversion"/>
  </si>
  <si>
    <t>减：所得税</t>
    <phoneticPr fontId="7" type="noConversion"/>
  </si>
  <si>
    <t>流动资产特殊项目</t>
    <phoneticPr fontId="7" type="noConversion"/>
  </si>
  <si>
    <t>流动资产调整项目</t>
    <phoneticPr fontId="7" type="noConversion"/>
  </si>
  <si>
    <t>非流动资产特殊项目</t>
    <phoneticPr fontId="7" type="noConversion"/>
  </si>
  <si>
    <t>非流动资产调整项目</t>
    <phoneticPr fontId="7" type="noConversion"/>
  </si>
  <si>
    <t>资产特殊项目</t>
    <phoneticPr fontId="7" type="noConversion"/>
  </si>
  <si>
    <t>资产调整项目</t>
    <phoneticPr fontId="7" type="noConversion"/>
  </si>
  <si>
    <t>流动负债特殊项目</t>
    <phoneticPr fontId="7" type="noConversion"/>
  </si>
  <si>
    <t>流动负债调整项目</t>
    <phoneticPr fontId="7" type="noConversion"/>
  </si>
  <si>
    <t>非流动负债特殊项目</t>
    <phoneticPr fontId="7" type="noConversion"/>
  </si>
  <si>
    <t>非流动负债调整项目</t>
    <phoneticPr fontId="7" type="noConversion"/>
  </si>
  <si>
    <t>负债特殊项目</t>
    <phoneticPr fontId="7" type="noConversion"/>
  </si>
  <si>
    <t>负债调整项目</t>
    <phoneticPr fontId="7" type="noConversion"/>
  </si>
  <si>
    <t>所有者权益特殊项目</t>
    <phoneticPr fontId="7" type="noConversion"/>
  </si>
  <si>
    <t>所有者权益调整项目</t>
    <phoneticPr fontId="7" type="noConversion"/>
  </si>
  <si>
    <t>负债和权益特殊项目</t>
    <phoneticPr fontId="7" type="noConversion"/>
  </si>
  <si>
    <t>负债和权益调整项目</t>
    <phoneticPr fontId="7" type="noConversion"/>
  </si>
  <si>
    <t>减：交易性金融资产减值准备</t>
    <phoneticPr fontId="7" type="noConversion"/>
  </si>
  <si>
    <t>工程物资</t>
    <phoneticPr fontId="7" type="noConversion"/>
  </si>
  <si>
    <t>生产性生物资产</t>
    <phoneticPr fontId="7" type="noConversion"/>
  </si>
  <si>
    <t>2013E</t>
  </si>
  <si>
    <t>2014E</t>
  </si>
  <si>
    <t>2015E</t>
  </si>
  <si>
    <t>减：生产性生物资产减值准备</t>
    <phoneticPr fontId="7" type="noConversion"/>
  </si>
  <si>
    <t>长期应收款</t>
    <phoneticPr fontId="7" type="noConversion"/>
  </si>
  <si>
    <t>递延所得税资产</t>
    <phoneticPr fontId="7" type="noConversion"/>
  </si>
  <si>
    <t>递延所得税负债</t>
    <phoneticPr fontId="7" type="noConversion"/>
  </si>
  <si>
    <t>固定资产清理</t>
    <phoneticPr fontId="7" type="noConversion"/>
  </si>
  <si>
    <t>投资损失</t>
    <phoneticPr fontId="4" type="noConversion"/>
  </si>
  <si>
    <t>其他非流动资产</t>
    <phoneticPr fontId="7" type="noConversion"/>
  </si>
  <si>
    <t>其他应交款</t>
    <phoneticPr fontId="7" type="noConversion"/>
  </si>
  <si>
    <t>应付福利费</t>
    <phoneticPr fontId="7" type="noConversion"/>
  </si>
  <si>
    <t>营业增长率</t>
    <phoneticPr fontId="7" type="noConversion"/>
  </si>
  <si>
    <t>预计负债</t>
    <phoneticPr fontId="7" type="noConversion"/>
  </si>
  <si>
    <t>公允价值变动储备</t>
    <phoneticPr fontId="7" type="noConversion"/>
  </si>
  <si>
    <t>公允价值变动损失</t>
    <phoneticPr fontId="4" type="noConversion"/>
  </si>
  <si>
    <t>一、营业收入</t>
  </si>
  <si>
    <t>三、利润总额</t>
  </si>
  <si>
    <t>四、净利润</t>
  </si>
  <si>
    <t>基本每股收益</t>
  </si>
  <si>
    <t>稀释每股收益</t>
  </si>
  <si>
    <t>特殊字段说明</t>
  </si>
  <si>
    <t>其中：对联营合营企业投资收益</t>
  </si>
  <si>
    <t>一年内到期的流动资产</t>
    <phoneticPr fontId="7" type="noConversion"/>
  </si>
  <si>
    <t>交易性金融资产</t>
    <phoneticPr fontId="7" type="noConversion"/>
  </si>
  <si>
    <t>投资性房地产</t>
    <phoneticPr fontId="7" type="noConversion"/>
  </si>
  <si>
    <t>长期股权投资</t>
    <phoneticPr fontId="7" type="noConversion"/>
  </si>
  <si>
    <t>二、营业利润</t>
    <phoneticPr fontId="7" type="noConversion"/>
  </si>
  <si>
    <t>五、分红送股</t>
    <phoneticPr fontId="7" type="noConversion"/>
  </si>
  <si>
    <t>一、流动资产</t>
    <phoneticPr fontId="7" type="noConversion"/>
  </si>
  <si>
    <t>非流动资产合计</t>
    <phoneticPr fontId="7" type="noConversion"/>
  </si>
  <si>
    <t>资产总计</t>
    <phoneticPr fontId="7" type="noConversion"/>
  </si>
  <si>
    <t>应付职工薪酬</t>
    <phoneticPr fontId="7" type="noConversion"/>
  </si>
  <si>
    <t>应付股利</t>
    <phoneticPr fontId="7" type="noConversion"/>
  </si>
  <si>
    <t>一、流动资产</t>
    <phoneticPr fontId="7" type="noConversion"/>
  </si>
  <si>
    <t>货币资金</t>
    <phoneticPr fontId="7" type="noConversion"/>
  </si>
  <si>
    <t>交易性金融资产净额</t>
    <phoneticPr fontId="7" type="noConversion"/>
  </si>
  <si>
    <t>应收账款净额</t>
    <phoneticPr fontId="7" type="noConversion"/>
  </si>
  <si>
    <t>其他应收账款净额</t>
    <phoneticPr fontId="7" type="noConversion"/>
  </si>
  <si>
    <t>存货净额</t>
    <phoneticPr fontId="7" type="noConversion"/>
  </si>
  <si>
    <t>流动资产合计</t>
    <phoneticPr fontId="7" type="noConversion"/>
  </si>
  <si>
    <t>二、非流动资产合计</t>
    <phoneticPr fontId="7" type="noConversion"/>
  </si>
  <si>
    <t>可供出售金融资产净额</t>
    <phoneticPr fontId="7" type="noConversion"/>
  </si>
  <si>
    <t>持有至到期投资净额</t>
    <phoneticPr fontId="7" type="noConversion"/>
  </si>
  <si>
    <t>投资性房地产净额</t>
    <phoneticPr fontId="7" type="noConversion"/>
  </si>
  <si>
    <t>长期股权投资净额</t>
    <phoneticPr fontId="7" type="noConversion"/>
  </si>
  <si>
    <t>固定资产净额</t>
    <phoneticPr fontId="7" type="noConversion"/>
  </si>
  <si>
    <t>在建工程净额</t>
    <phoneticPr fontId="7" type="noConversion"/>
  </si>
  <si>
    <t>生产性生物资产净额</t>
    <phoneticPr fontId="7" type="noConversion"/>
  </si>
  <si>
    <t>油气资产净额</t>
    <phoneticPr fontId="7" type="noConversion"/>
  </si>
  <si>
    <t>无形资产净额</t>
    <phoneticPr fontId="7" type="noConversion"/>
  </si>
  <si>
    <t>商誉净额</t>
    <phoneticPr fontId="7" type="noConversion"/>
  </si>
  <si>
    <t>非流动资产合计</t>
    <phoneticPr fontId="7" type="noConversion"/>
  </si>
  <si>
    <t>三、资产总计</t>
    <phoneticPr fontId="7" type="noConversion"/>
  </si>
  <si>
    <t>资产总计</t>
    <phoneticPr fontId="7" type="noConversion"/>
  </si>
  <si>
    <t>四、流动负债</t>
    <phoneticPr fontId="7" type="noConversion"/>
  </si>
  <si>
    <t>流动负债合计</t>
    <phoneticPr fontId="7" type="noConversion"/>
  </si>
  <si>
    <t>五、非流动负债</t>
    <phoneticPr fontId="7" type="noConversion"/>
  </si>
  <si>
    <t>非流动负债合计</t>
    <phoneticPr fontId="7" type="noConversion"/>
  </si>
  <si>
    <t>六、负债合计</t>
    <phoneticPr fontId="7" type="noConversion"/>
  </si>
  <si>
    <t>七、股东权益合计</t>
    <phoneticPr fontId="7" type="noConversion"/>
  </si>
  <si>
    <t>股东权益合计</t>
    <phoneticPr fontId="7" type="noConversion"/>
  </si>
  <si>
    <t>八、负债和股东权益合计</t>
    <phoneticPr fontId="7" type="noConversion"/>
  </si>
  <si>
    <t>负债和股东权益合计</t>
    <phoneticPr fontId="7" type="noConversion"/>
  </si>
  <si>
    <t>总股本（中报）</t>
    <phoneticPr fontId="7" type="noConversion"/>
  </si>
  <si>
    <t>股本</t>
    <phoneticPr fontId="7" type="noConversion"/>
  </si>
  <si>
    <t>未分配利润</t>
    <phoneticPr fontId="7" type="noConversion"/>
  </si>
  <si>
    <t>归属于母公司所有者净利润</t>
  </si>
  <si>
    <t>减：资产减值损失</t>
    <phoneticPr fontId="7" type="noConversion"/>
  </si>
  <si>
    <t>加：公允价值变动净收益</t>
    <phoneticPr fontId="7" type="noConversion"/>
  </si>
  <si>
    <t>加：投资净收益</t>
    <phoneticPr fontId="7" type="noConversion"/>
  </si>
  <si>
    <t>加：未确认的投资损失</t>
    <phoneticPr fontId="7" type="noConversion"/>
  </si>
  <si>
    <t>其他非流动资产</t>
  </si>
  <si>
    <t>递延收益</t>
  </si>
  <si>
    <t>原有固定资产折旧年限</t>
    <phoneticPr fontId="7" type="noConversion"/>
  </si>
  <si>
    <t>原有无形资产摊销年限</t>
    <phoneticPr fontId="7" type="noConversion"/>
  </si>
  <si>
    <t>持有至到期投资</t>
    <phoneticPr fontId="7" type="noConversion"/>
  </si>
  <si>
    <t>其他非流动负债</t>
    <phoneticPr fontId="7" type="noConversion"/>
  </si>
  <si>
    <t>营业利润</t>
    <phoneticPr fontId="7" type="noConversion"/>
  </si>
  <si>
    <t>利润总额</t>
    <phoneticPr fontId="7" type="noConversion"/>
  </si>
  <si>
    <t>减：资产减值损失</t>
    <phoneticPr fontId="7" type="noConversion"/>
  </si>
  <si>
    <t>减：营业成本</t>
    <phoneticPr fontId="7" type="noConversion"/>
  </si>
  <si>
    <t>减：营业税金及附加</t>
    <phoneticPr fontId="7" type="noConversion"/>
  </si>
  <si>
    <t>减：财务费用</t>
    <phoneticPr fontId="7" type="noConversion"/>
  </si>
  <si>
    <t>加：投资净收益</t>
    <phoneticPr fontId="7" type="noConversion"/>
  </si>
  <si>
    <t>加：营业外收入</t>
    <phoneticPr fontId="7" type="noConversion"/>
  </si>
  <si>
    <t>减：营业外支出</t>
    <phoneticPr fontId="7" type="noConversion"/>
  </si>
  <si>
    <t>加：利润总额调整项目</t>
    <phoneticPr fontId="7" type="noConversion"/>
  </si>
  <si>
    <t>净利润</t>
    <phoneticPr fontId="7" type="noConversion"/>
  </si>
  <si>
    <t>加：少数股东损益</t>
    <phoneticPr fontId="7" type="noConversion"/>
  </si>
  <si>
    <t xml:space="preserve">    其中：其他流动负债同比(%)</t>
  </si>
  <si>
    <t>【预测值】</t>
    <phoneticPr fontId="7" type="noConversion"/>
  </si>
  <si>
    <t>营业收入</t>
    <phoneticPr fontId="7" type="noConversion"/>
  </si>
  <si>
    <t>营业收入增长率(%)</t>
  </si>
  <si>
    <t>营业成本</t>
  </si>
  <si>
    <t xml:space="preserve">    其中：长期借款同比(%)</t>
  </si>
  <si>
    <t xml:space="preserve">    其中：长期应付款同比(%)</t>
  </si>
  <si>
    <t>每股派现（中报）</t>
    <phoneticPr fontId="7" type="noConversion"/>
  </si>
  <si>
    <t>每股转增（中报）</t>
    <phoneticPr fontId="7" type="noConversion"/>
  </si>
  <si>
    <t>每股红股（中报）</t>
    <phoneticPr fontId="7" type="noConversion"/>
  </si>
  <si>
    <t>减：累计折旧</t>
    <phoneticPr fontId="7" type="noConversion"/>
  </si>
  <si>
    <t>一、营业利润</t>
    <phoneticPr fontId="7" type="noConversion"/>
  </si>
  <si>
    <t>三、净利润</t>
    <phoneticPr fontId="7" type="noConversion"/>
  </si>
  <si>
    <t>三项费用合计</t>
    <phoneticPr fontId="7" type="noConversion"/>
  </si>
  <si>
    <t>营业利润</t>
  </si>
  <si>
    <t>减：营业外支出</t>
  </si>
  <si>
    <t>起始年份：</t>
    <phoneticPr fontId="7" type="noConversion"/>
  </si>
  <si>
    <t>截止年份：</t>
    <phoneticPr fontId="7" type="noConversion"/>
  </si>
  <si>
    <t>报表排列：</t>
    <phoneticPr fontId="7" type="noConversion"/>
  </si>
  <si>
    <t>其他应收款</t>
    <phoneticPr fontId="7" type="noConversion"/>
  </si>
  <si>
    <t>预收账款</t>
  </si>
  <si>
    <t xml:space="preserve">    其中：预付账款同比(%)</t>
  </si>
  <si>
    <t xml:space="preserve">    其中：预收账款(%)</t>
  </si>
  <si>
    <t xml:space="preserve">    其中：预收账款同比(%)</t>
  </si>
  <si>
    <t>二、非流动资产合计</t>
  </si>
  <si>
    <t>资本公积金</t>
    <phoneticPr fontId="7" type="noConversion"/>
  </si>
  <si>
    <t>减：库存股</t>
    <phoneticPr fontId="7" type="noConversion"/>
  </si>
  <si>
    <t>盈余公积金</t>
    <phoneticPr fontId="7" type="noConversion"/>
  </si>
  <si>
    <t>未确认的投资损失</t>
    <phoneticPr fontId="7" type="noConversion"/>
  </si>
  <si>
    <t>固定资产原值</t>
    <phoneticPr fontId="7" type="noConversion"/>
  </si>
  <si>
    <t>长期应付款</t>
  </si>
  <si>
    <t>净利润</t>
  </si>
  <si>
    <t>减：所得税</t>
  </si>
  <si>
    <t>投资活动的现金流量</t>
  </si>
  <si>
    <t>现金净变动</t>
  </si>
  <si>
    <t>期末现金余额</t>
  </si>
  <si>
    <t>假设：</t>
  </si>
  <si>
    <t>构稽计算</t>
    <phoneticPr fontId="7" type="noConversion"/>
  </si>
  <si>
    <t>来自债务预测</t>
    <phoneticPr fontId="7" type="noConversion"/>
  </si>
  <si>
    <t>来自资产负债表</t>
    <phoneticPr fontId="7" type="noConversion"/>
  </si>
  <si>
    <t>构稽计算</t>
    <phoneticPr fontId="7" type="noConversion"/>
  </si>
  <si>
    <t>平衡性检查</t>
    <phoneticPr fontId="7" type="noConversion"/>
  </si>
  <si>
    <t>专项应付款</t>
    <phoneticPr fontId="7" type="noConversion"/>
  </si>
  <si>
    <t>期初值</t>
    <phoneticPr fontId="7" type="noConversion"/>
  </si>
  <si>
    <t>减：转固定资产的在建工程</t>
  </si>
  <si>
    <r>
      <t>固定资产转化率</t>
    </r>
    <r>
      <rPr>
        <sz val="9"/>
        <rFont val="Times New Roman"/>
        <family val="1"/>
      </rPr>
      <t>(%)</t>
    </r>
    <phoneticPr fontId="4" type="noConversion"/>
  </si>
  <si>
    <t>加：新增长期待摊费用</t>
  </si>
  <si>
    <t>期初长期待摊费用</t>
    <phoneticPr fontId="4" type="noConversion"/>
  </si>
  <si>
    <t>期末长期待摊费用</t>
    <phoneticPr fontId="4" type="noConversion"/>
  </si>
  <si>
    <t xml:space="preserve">    其中：交易性金融资产同比(%)</t>
  </si>
  <si>
    <t>【营业费用+管理费用+财务费用】/营业收入</t>
  </si>
  <si>
    <t>财务费用</t>
    <phoneticPr fontId="4" type="noConversion"/>
  </si>
  <si>
    <t>/营业收入(%)</t>
  </si>
  <si>
    <t>四、现金及现金变动</t>
    <phoneticPr fontId="4" type="noConversion"/>
  </si>
  <si>
    <t>计算方法</t>
    <phoneticPr fontId="7" type="noConversion"/>
  </si>
  <si>
    <t>销售毛利率(%)</t>
    <phoneticPr fontId="7" type="noConversion"/>
  </si>
  <si>
    <t>一、营业收入</t>
    <phoneticPr fontId="7" type="noConversion"/>
  </si>
  <si>
    <t>三、利润总额</t>
    <phoneticPr fontId="7" type="noConversion"/>
  </si>
  <si>
    <t>四、净利润</t>
    <phoneticPr fontId="7" type="noConversion"/>
  </si>
  <si>
    <t>负债总额</t>
    <phoneticPr fontId="7" type="noConversion"/>
  </si>
  <si>
    <t>二、投资活动的现金流量</t>
    <phoneticPr fontId="4" type="noConversion"/>
  </si>
  <si>
    <t>其中：每股派现</t>
  </si>
  <si>
    <t>其中：每股红股</t>
  </si>
  <si>
    <t>其中：每股转增</t>
  </si>
  <si>
    <t>减：管理费用</t>
    <phoneticPr fontId="7" type="noConversion"/>
  </si>
  <si>
    <t>减：财务费用</t>
    <phoneticPr fontId="7" type="noConversion"/>
  </si>
  <si>
    <t>加：营业外收入</t>
    <phoneticPr fontId="7" type="noConversion"/>
  </si>
  <si>
    <t>少数股东权益</t>
    <phoneticPr fontId="7" type="noConversion"/>
  </si>
  <si>
    <t>预测方法</t>
    <phoneticPr fontId="7" type="noConversion"/>
  </si>
  <si>
    <t>预测方法</t>
    <phoneticPr fontId="4" type="noConversion"/>
  </si>
  <si>
    <t>减：营业税金及附加</t>
    <phoneticPr fontId="7" type="noConversion"/>
  </si>
  <si>
    <t>贝塔值（β）</t>
    <phoneticPr fontId="7" type="noConversion"/>
  </si>
  <si>
    <t>股利</t>
    <phoneticPr fontId="7" type="noConversion"/>
  </si>
  <si>
    <t>净利润</t>
    <phoneticPr fontId="4" type="noConversion"/>
  </si>
  <si>
    <t>去年主营收入*【1+营业收入增长率预测值】</t>
  </si>
  <si>
    <t>资产负债表</t>
    <phoneticPr fontId="7" type="noConversion"/>
  </si>
  <si>
    <t>利润表</t>
    <phoneticPr fontId="7" type="noConversion"/>
  </si>
  <si>
    <t>经营活动产生的现金流量</t>
    <phoneticPr fontId="4" type="noConversion"/>
  </si>
  <si>
    <t>减：存货跌价准备</t>
    <phoneticPr fontId="7" type="noConversion"/>
  </si>
  <si>
    <t>折旧和摊销</t>
    <phoneticPr fontId="4" type="noConversion"/>
  </si>
  <si>
    <t>一、经营活动产生的现金流量</t>
    <phoneticPr fontId="4" type="noConversion"/>
  </si>
  <si>
    <t>加：新增固定资产</t>
    <phoneticPr fontId="7" type="noConversion"/>
  </si>
  <si>
    <t>加：新增在建工程</t>
    <phoneticPr fontId="7" type="noConversion"/>
  </si>
  <si>
    <t>固定资产净值</t>
    <phoneticPr fontId="7" type="noConversion"/>
  </si>
  <si>
    <t>一、固定资产合计</t>
    <phoneticPr fontId="7" type="noConversion"/>
  </si>
  <si>
    <t>一、经营活动产生的现金流量</t>
    <phoneticPr fontId="7" type="noConversion"/>
  </si>
  <si>
    <t>销售商品、提供劳务收到的现金</t>
    <phoneticPr fontId="7" type="noConversion"/>
  </si>
  <si>
    <t>收到的税费返还</t>
    <phoneticPr fontId="7" type="noConversion"/>
  </si>
  <si>
    <t>收到其他与经营活动有关的现金</t>
    <phoneticPr fontId="7" type="noConversion"/>
  </si>
  <si>
    <t>经营活动现金流入特殊项目</t>
    <phoneticPr fontId="7" type="noConversion"/>
  </si>
  <si>
    <t>经营活动现金流入调整项目</t>
    <phoneticPr fontId="7" type="noConversion"/>
  </si>
  <si>
    <t>经营活动现金流入小计</t>
    <phoneticPr fontId="7" type="noConversion"/>
  </si>
  <si>
    <t>购买商品、接受劳务支付的现金</t>
    <phoneticPr fontId="7" type="noConversion"/>
  </si>
  <si>
    <t>支付给职工以及为职工支付的现金</t>
    <phoneticPr fontId="7" type="noConversion"/>
  </si>
  <si>
    <t>支付的各项税费</t>
    <phoneticPr fontId="7" type="noConversion"/>
  </si>
  <si>
    <t>支付其他与经营活动有关的现金</t>
    <phoneticPr fontId="7" type="noConversion"/>
  </si>
  <si>
    <t>经营活动现金流出特殊项目</t>
    <phoneticPr fontId="7" type="noConversion"/>
  </si>
  <si>
    <t>经营活动现金流出调整项目</t>
    <phoneticPr fontId="7" type="noConversion"/>
  </si>
  <si>
    <t>经营活动现金流出小计</t>
    <phoneticPr fontId="7" type="noConversion"/>
  </si>
  <si>
    <t>经营活动现金流量净额调整项目</t>
    <phoneticPr fontId="7" type="noConversion"/>
  </si>
  <si>
    <t>经营活动产生的现金流量净额</t>
    <phoneticPr fontId="7" type="noConversion"/>
  </si>
  <si>
    <t>二、投资活动产生的现金流量净额</t>
    <phoneticPr fontId="7" type="noConversion"/>
  </si>
  <si>
    <t>收回投资收到的现金</t>
    <phoneticPr fontId="7" type="noConversion"/>
  </si>
  <si>
    <t>取得投资收益收到的现金</t>
    <phoneticPr fontId="7" type="noConversion"/>
  </si>
  <si>
    <t>处置固定资产、无形资产和其他长期资产收回的现金净额</t>
    <phoneticPr fontId="7" type="noConversion"/>
  </si>
  <si>
    <t>处置子公司及其他营业单位收到的现金净额</t>
    <phoneticPr fontId="7" type="noConversion"/>
  </si>
  <si>
    <t>收到其他与投资活动有关的现金</t>
    <phoneticPr fontId="7" type="noConversion"/>
  </si>
  <si>
    <t>投资活动现金流入特殊项目</t>
    <phoneticPr fontId="7" type="noConversion"/>
  </si>
  <si>
    <t>投资活动现金流入调整项目</t>
    <phoneticPr fontId="7" type="noConversion"/>
  </si>
  <si>
    <t>投资活动现金流入小计</t>
    <phoneticPr fontId="7" type="noConversion"/>
  </si>
  <si>
    <t>购建固定资产、无形资产和其他长期资产支付的现金</t>
    <phoneticPr fontId="7" type="noConversion"/>
  </si>
  <si>
    <t>投资支付的现金</t>
    <phoneticPr fontId="7" type="noConversion"/>
  </si>
  <si>
    <t>取得子公司及其他营业单位支付的现金净额</t>
    <phoneticPr fontId="7" type="noConversion"/>
  </si>
  <si>
    <t>质押贷款净增加额</t>
    <phoneticPr fontId="7" type="noConversion"/>
  </si>
  <si>
    <t>支付其他与投资活动有关的现金</t>
    <phoneticPr fontId="7" type="noConversion"/>
  </si>
  <si>
    <t>投资活动现金流出特殊项目</t>
    <phoneticPr fontId="7" type="noConversion"/>
  </si>
  <si>
    <t>投资活动现金流出调整项目</t>
    <phoneticPr fontId="7" type="noConversion"/>
  </si>
  <si>
    <t>投资活动现金流出小计</t>
    <phoneticPr fontId="7" type="noConversion"/>
  </si>
  <si>
    <t>无风险利率</t>
    <phoneticPr fontId="33" type="noConversion"/>
  </si>
  <si>
    <t>风险溢价</t>
    <phoneticPr fontId="33" type="noConversion"/>
  </si>
  <si>
    <t>较好情景</t>
    <phoneticPr fontId="33" type="noConversion"/>
  </si>
  <si>
    <t>β系数</t>
    <phoneticPr fontId="33" type="noConversion"/>
  </si>
  <si>
    <t>Rm</t>
    <phoneticPr fontId="33" type="noConversion"/>
  </si>
  <si>
    <t>Ke</t>
    <phoneticPr fontId="33" type="noConversion"/>
  </si>
  <si>
    <t>WACC</t>
    <phoneticPr fontId="33" type="noConversion"/>
  </si>
  <si>
    <t>短期债务</t>
    <phoneticPr fontId="33" type="noConversion"/>
  </si>
  <si>
    <t>长期债务</t>
    <phoneticPr fontId="33" type="noConversion"/>
  </si>
  <si>
    <t>账面价值</t>
    <phoneticPr fontId="33" type="noConversion"/>
  </si>
  <si>
    <t>估计市场价值</t>
    <phoneticPr fontId="33" type="noConversion"/>
  </si>
  <si>
    <t>目标权数</t>
    <phoneticPr fontId="33" type="noConversion"/>
  </si>
  <si>
    <t>税前成本</t>
    <phoneticPr fontId="33" type="noConversion"/>
  </si>
  <si>
    <t>税后成本</t>
    <phoneticPr fontId="33" type="noConversion"/>
  </si>
  <si>
    <t>债务总额</t>
    <phoneticPr fontId="33" type="noConversion"/>
  </si>
  <si>
    <t>股东权益</t>
    <phoneticPr fontId="33" type="noConversion"/>
  </si>
  <si>
    <t>资本总额</t>
    <phoneticPr fontId="33" type="noConversion"/>
  </si>
  <si>
    <t>短期借款利率</t>
    <phoneticPr fontId="7" type="noConversion"/>
  </si>
  <si>
    <t>长期贷款利率</t>
    <phoneticPr fontId="7" type="noConversion"/>
  </si>
  <si>
    <t>现金存款利率</t>
    <phoneticPr fontId="7" type="noConversion"/>
  </si>
  <si>
    <t>Euqity Valuation</t>
    <phoneticPr fontId="33" type="noConversion"/>
  </si>
  <si>
    <t>永续增长率</t>
    <phoneticPr fontId="7" type="noConversion"/>
  </si>
  <si>
    <t>预期的ROIC</t>
    <phoneticPr fontId="7" type="noConversion"/>
  </si>
  <si>
    <t>WACC</t>
    <phoneticPr fontId="7" type="noConversion"/>
  </si>
  <si>
    <t>Ke</t>
    <phoneticPr fontId="7" type="noConversion"/>
  </si>
  <si>
    <r>
      <t>经济利润</t>
    </r>
    <r>
      <rPr>
        <b/>
        <sz val="10"/>
        <rFont val="Arial"/>
        <family val="2"/>
      </rPr>
      <t/>
    </r>
    <phoneticPr fontId="7" type="noConversion"/>
  </si>
  <si>
    <t>贴现</t>
    <phoneticPr fontId="7" type="noConversion"/>
  </si>
  <si>
    <t>经济利润附加值</t>
    <phoneticPr fontId="7" type="noConversion"/>
  </si>
  <si>
    <t>OPFCF</t>
    <phoneticPr fontId="7" type="noConversion"/>
  </si>
  <si>
    <t>经营价值</t>
    <phoneticPr fontId="7" type="noConversion"/>
  </si>
  <si>
    <t>超额利润</t>
    <phoneticPr fontId="7" type="noConversion"/>
  </si>
  <si>
    <t>超额利润现值</t>
    <phoneticPr fontId="7" type="noConversion"/>
  </si>
  <si>
    <t>FCFE</t>
    <phoneticPr fontId="7" type="noConversion"/>
  </si>
  <si>
    <t>权益价值</t>
    <phoneticPr fontId="7" type="noConversion"/>
  </si>
  <si>
    <t>投资活动现金流量净额调整项目</t>
    <phoneticPr fontId="7" type="noConversion"/>
  </si>
  <si>
    <t>投资活动产生的现金流量净额</t>
    <phoneticPr fontId="7" type="noConversion"/>
  </si>
  <si>
    <t>三、筹资活动产生的现金流量净额</t>
    <phoneticPr fontId="7" type="noConversion"/>
  </si>
  <si>
    <t>吸收投资收到的现金</t>
    <phoneticPr fontId="7" type="noConversion"/>
  </si>
  <si>
    <r>
      <t>其中</t>
    </r>
    <r>
      <rPr>
        <sz val="9"/>
        <color indexed="8"/>
        <rFont val="Arial"/>
        <family val="2"/>
      </rPr>
      <t>:</t>
    </r>
    <r>
      <rPr>
        <sz val="9"/>
        <color indexed="8"/>
        <rFont val="宋体"/>
        <family val="3"/>
        <charset val="134"/>
      </rPr>
      <t>子公司吸收少数股东投资收到的现金</t>
    </r>
    <phoneticPr fontId="7" type="noConversion"/>
  </si>
  <si>
    <t>发行债券收到的现金</t>
    <phoneticPr fontId="7" type="noConversion"/>
  </si>
  <si>
    <t>取得借款收到的现金</t>
    <phoneticPr fontId="7" type="noConversion"/>
  </si>
  <si>
    <t>收到其他与筹资活动有关的现金</t>
    <phoneticPr fontId="7" type="noConversion"/>
  </si>
  <si>
    <t>筹资活动现金流入特殊项目</t>
    <phoneticPr fontId="7" type="noConversion"/>
  </si>
  <si>
    <t>筹资活动现金流入调整项目</t>
    <phoneticPr fontId="7" type="noConversion"/>
  </si>
  <si>
    <t>筹资活动现金流入小计</t>
    <phoneticPr fontId="7" type="noConversion"/>
  </si>
  <si>
    <t>偿还债务支付的现金</t>
    <phoneticPr fontId="7" type="noConversion"/>
  </si>
  <si>
    <t>分配股利、利润或偿付利息支付的现金</t>
    <phoneticPr fontId="7" type="noConversion"/>
  </si>
  <si>
    <r>
      <t>其中</t>
    </r>
    <r>
      <rPr>
        <sz val="9"/>
        <color indexed="8"/>
        <rFont val="Arial"/>
        <family val="2"/>
      </rPr>
      <t>:</t>
    </r>
    <r>
      <rPr>
        <sz val="9"/>
        <color indexed="8"/>
        <rFont val="宋体"/>
        <family val="3"/>
        <charset val="134"/>
      </rPr>
      <t>子公司支付给少数股东的股利、利润或偿付的利息</t>
    </r>
    <phoneticPr fontId="7" type="noConversion"/>
  </si>
  <si>
    <t>支付其他与筹资活动有关的现金</t>
    <phoneticPr fontId="7" type="noConversion"/>
  </si>
  <si>
    <t>筹资活动现金流出特殊项目</t>
    <phoneticPr fontId="7" type="noConversion"/>
  </si>
  <si>
    <t>筹资活动现金流出调整项目</t>
    <phoneticPr fontId="7" type="noConversion"/>
  </si>
  <si>
    <t>预测值</t>
    <phoneticPr fontId="7" type="noConversion"/>
  </si>
  <si>
    <t>特殊字段说明</t>
    <phoneticPr fontId="7" type="noConversion"/>
  </si>
  <si>
    <t>减：营业费用</t>
    <phoneticPr fontId="7" type="noConversion"/>
  </si>
  <si>
    <t>减：管理费用</t>
    <phoneticPr fontId="7" type="noConversion"/>
  </si>
  <si>
    <t>减：财务费用</t>
    <phoneticPr fontId="7" type="noConversion"/>
  </si>
  <si>
    <r>
      <t>同比</t>
    </r>
    <r>
      <rPr>
        <i/>
        <sz val="9"/>
        <rFont val="Arial"/>
        <family val="2"/>
      </rPr>
      <t>(+/-%)</t>
    </r>
    <phoneticPr fontId="7" type="noConversion"/>
  </si>
  <si>
    <r>
      <t>环比</t>
    </r>
    <r>
      <rPr>
        <i/>
        <sz val="9"/>
        <rFont val="Arial"/>
        <family val="2"/>
      </rPr>
      <t>(+/-%)</t>
    </r>
    <phoneticPr fontId="7" type="noConversion"/>
  </si>
  <si>
    <t>筹资活动现金流出小计</t>
    <phoneticPr fontId="7" type="noConversion"/>
  </si>
  <si>
    <t>筹资活动流量现金净额调整项目</t>
    <phoneticPr fontId="7" type="noConversion"/>
  </si>
  <si>
    <t>筹资活动产生的现金流量净额</t>
    <phoneticPr fontId="7" type="noConversion"/>
  </si>
  <si>
    <t>汇率变动对现金及现金等价物的影响</t>
    <phoneticPr fontId="7" type="noConversion"/>
  </si>
  <si>
    <t>四、现金及现金等价物</t>
    <phoneticPr fontId="7" type="noConversion"/>
  </si>
  <si>
    <t>现金的期末余额</t>
    <phoneticPr fontId="7" type="noConversion"/>
  </si>
  <si>
    <t>现金的期初余额</t>
    <phoneticPr fontId="7" type="noConversion"/>
  </si>
  <si>
    <t>现金等价物的期末余额</t>
    <phoneticPr fontId="7" type="noConversion"/>
  </si>
  <si>
    <t>现金等价物的期初余额</t>
    <phoneticPr fontId="7" type="noConversion"/>
  </si>
  <si>
    <t>影响现金及现金等价物的其他科目</t>
    <phoneticPr fontId="7" type="noConversion"/>
  </si>
  <si>
    <t>影响现金及现金等价物的调整项目</t>
    <phoneticPr fontId="7" type="noConversion"/>
  </si>
  <si>
    <t>现金及现金等价物净增加额</t>
    <phoneticPr fontId="7" type="noConversion"/>
  </si>
  <si>
    <t>附注：</t>
    <phoneticPr fontId="7" type="noConversion"/>
  </si>
  <si>
    <t>净利润</t>
    <phoneticPr fontId="7" type="noConversion"/>
  </si>
  <si>
    <r>
      <t>加</t>
    </r>
    <r>
      <rPr>
        <sz val="9"/>
        <color indexed="8"/>
        <rFont val="Arial"/>
        <family val="2"/>
      </rPr>
      <t>:</t>
    </r>
    <r>
      <rPr>
        <sz val="9"/>
        <color indexed="8"/>
        <rFont val="宋体"/>
        <family val="3"/>
        <charset val="134"/>
      </rPr>
      <t>资产减值准备</t>
    </r>
    <phoneticPr fontId="7" type="noConversion"/>
  </si>
  <si>
    <t>固定资产折旧</t>
    <phoneticPr fontId="7" type="noConversion"/>
  </si>
  <si>
    <t>无形资产摊销</t>
    <phoneticPr fontId="7" type="noConversion"/>
  </si>
  <si>
    <t>长期待摊费用摊销</t>
    <phoneticPr fontId="7" type="noConversion"/>
  </si>
  <si>
    <r>
      <t>待摊费用减少</t>
    </r>
    <r>
      <rPr>
        <sz val="9"/>
        <color indexed="8"/>
        <rFont val="Arial"/>
        <family val="2"/>
      </rPr>
      <t>(</t>
    </r>
    <r>
      <rPr>
        <sz val="9"/>
        <color indexed="8"/>
        <rFont val="宋体"/>
        <family val="3"/>
        <charset val="134"/>
      </rPr>
      <t>减</t>
    </r>
    <r>
      <rPr>
        <sz val="9"/>
        <color indexed="8"/>
        <rFont val="Arial"/>
        <family val="2"/>
      </rPr>
      <t>:</t>
    </r>
    <r>
      <rPr>
        <sz val="9"/>
        <color indexed="8"/>
        <rFont val="宋体"/>
        <family val="3"/>
        <charset val="134"/>
      </rPr>
      <t>增加</t>
    </r>
    <r>
      <rPr>
        <sz val="9"/>
        <color indexed="8"/>
        <rFont val="Arial"/>
        <family val="2"/>
      </rPr>
      <t>)</t>
    </r>
    <phoneticPr fontId="7" type="noConversion"/>
  </si>
  <si>
    <r>
      <t>预提费用增加</t>
    </r>
    <r>
      <rPr>
        <sz val="9"/>
        <color indexed="8"/>
        <rFont val="Arial"/>
        <family val="2"/>
      </rPr>
      <t>(</t>
    </r>
    <r>
      <rPr>
        <sz val="9"/>
        <color indexed="8"/>
        <rFont val="宋体"/>
        <family val="3"/>
        <charset val="134"/>
      </rPr>
      <t>减</t>
    </r>
    <r>
      <rPr>
        <sz val="9"/>
        <color indexed="8"/>
        <rFont val="Arial"/>
        <family val="2"/>
      </rPr>
      <t>:</t>
    </r>
    <r>
      <rPr>
        <sz val="9"/>
        <color indexed="8"/>
        <rFont val="宋体"/>
        <family val="3"/>
        <charset val="134"/>
      </rPr>
      <t>减少</t>
    </r>
    <r>
      <rPr>
        <sz val="9"/>
        <color indexed="8"/>
        <rFont val="Arial"/>
        <family val="2"/>
      </rPr>
      <t>)</t>
    </r>
    <phoneticPr fontId="7" type="noConversion"/>
  </si>
  <si>
    <t>处置固定资产、无形资产和其他长期资产的损失</t>
    <phoneticPr fontId="7" type="noConversion"/>
  </si>
  <si>
    <t>固定资产报废损失</t>
    <phoneticPr fontId="7" type="noConversion"/>
  </si>
  <si>
    <t>公允价值变动损失</t>
    <phoneticPr fontId="7" type="noConversion"/>
  </si>
  <si>
    <t>财务费用</t>
    <phoneticPr fontId="7" type="noConversion"/>
  </si>
  <si>
    <t>投资损失</t>
    <phoneticPr fontId="7" type="noConversion"/>
  </si>
  <si>
    <t>递延所得税资产减少</t>
    <phoneticPr fontId="7" type="noConversion"/>
  </si>
  <si>
    <t>递延所得税负债增加</t>
    <phoneticPr fontId="7" type="noConversion"/>
  </si>
  <si>
    <t>存货的减少</t>
    <phoneticPr fontId="7" type="noConversion"/>
  </si>
  <si>
    <t>经营性应收项目的减少</t>
    <phoneticPr fontId="7" type="noConversion"/>
  </si>
  <si>
    <t>经营性应付项目的增加</t>
    <phoneticPr fontId="7" type="noConversion"/>
  </si>
  <si>
    <t>其他</t>
    <phoneticPr fontId="7" type="noConversion"/>
  </si>
  <si>
    <t>经营活动现金流量净额特殊项目</t>
    <phoneticPr fontId="7" type="noConversion"/>
  </si>
  <si>
    <r>
      <t>加</t>
    </r>
    <r>
      <rPr>
        <sz val="9"/>
        <color indexed="8"/>
        <rFont val="Arial"/>
        <family val="2"/>
      </rPr>
      <t>:</t>
    </r>
    <r>
      <rPr>
        <sz val="9"/>
        <color indexed="8"/>
        <rFont val="宋体"/>
        <family val="3"/>
        <charset val="134"/>
      </rPr>
      <t>经营流量净额前后对比调整项目</t>
    </r>
    <phoneticPr fontId="7" type="noConversion"/>
  </si>
  <si>
    <t>经营活动产生的现金流量净额</t>
  </si>
  <si>
    <t>折旧月度：</t>
    <phoneticPr fontId="7" type="noConversion"/>
  </si>
  <si>
    <t>减：营业费用</t>
    <phoneticPr fontId="7" type="noConversion"/>
  </si>
  <si>
    <t>存货</t>
    <phoneticPr fontId="7" type="noConversion"/>
  </si>
  <si>
    <t>一、利润分配表（季度）</t>
    <phoneticPr fontId="7" type="noConversion"/>
  </si>
  <si>
    <t>二、现金流量表（季度）</t>
    <phoneticPr fontId="7" type="noConversion"/>
  </si>
  <si>
    <t>其他流动负债</t>
    <phoneticPr fontId="4" type="noConversion"/>
  </si>
  <si>
    <t xml:space="preserve">                                                                                                                                                                       </t>
    <phoneticPr fontId="33" type="noConversion"/>
  </si>
  <si>
    <t>1、经济利润DCF</t>
    <phoneticPr fontId="7" type="noConversion"/>
  </si>
  <si>
    <t>2、公司OPFCF DCF</t>
    <phoneticPr fontId="7" type="noConversion"/>
  </si>
  <si>
    <t>3、超额利润</t>
    <phoneticPr fontId="7" type="noConversion"/>
  </si>
  <si>
    <t>4、权益FCFE DCF</t>
    <phoneticPr fontId="7" type="noConversion"/>
  </si>
  <si>
    <t>5、DDM</t>
    <phoneticPr fontId="7" type="noConversion"/>
  </si>
  <si>
    <t>预测年份</t>
    <phoneticPr fontId="33" type="noConversion"/>
  </si>
  <si>
    <t>2008E</t>
    <phoneticPr fontId="33" type="noConversion"/>
  </si>
  <si>
    <t>2009E</t>
    <phoneticPr fontId="33" type="noConversion"/>
  </si>
  <si>
    <t>2010E</t>
    <phoneticPr fontId="33" type="noConversion"/>
  </si>
  <si>
    <t>2011E</t>
    <phoneticPr fontId="33" type="noConversion"/>
  </si>
  <si>
    <t>2012E</t>
    <phoneticPr fontId="33" type="noConversion"/>
  </si>
  <si>
    <t>营业收入</t>
    <phoneticPr fontId="7" type="noConversion"/>
  </si>
  <si>
    <t>二、资产负债表（期末）</t>
    <phoneticPr fontId="7" type="noConversion"/>
  </si>
  <si>
    <t>其中:子公司吸收少数股东投资收到的现金</t>
    <phoneticPr fontId="7" type="noConversion"/>
  </si>
  <si>
    <t>其中:子公司支付给少数股东的股利、利润或偿付的利息</t>
    <phoneticPr fontId="7" type="noConversion"/>
  </si>
  <si>
    <t>加:资产减值准备</t>
    <phoneticPr fontId="7" type="noConversion"/>
  </si>
  <si>
    <t>待摊费用减少(减:增加)</t>
    <phoneticPr fontId="7" type="noConversion"/>
  </si>
  <si>
    <t>预提费用增加(减:减少)</t>
    <phoneticPr fontId="7" type="noConversion"/>
  </si>
  <si>
    <t>现金流量表</t>
    <phoneticPr fontId="7" type="noConversion"/>
  </si>
  <si>
    <t>利润及利润分配表</t>
    <phoneticPr fontId="7" type="noConversion"/>
  </si>
  <si>
    <t>营业利润</t>
    <phoneticPr fontId="7" type="noConversion"/>
  </si>
  <si>
    <t>来自资产负债表</t>
    <phoneticPr fontId="4" type="noConversion"/>
  </si>
  <si>
    <t>经营性营运资本</t>
    <phoneticPr fontId="4" type="noConversion"/>
  </si>
  <si>
    <t>来自资本投资</t>
  </si>
  <si>
    <t>其他流动资产</t>
    <phoneticPr fontId="7" type="noConversion"/>
  </si>
  <si>
    <t>应付票据</t>
    <phoneticPr fontId="7" type="noConversion"/>
  </si>
  <si>
    <t>货币资金</t>
    <phoneticPr fontId="7" type="noConversion"/>
  </si>
  <si>
    <t>非核心资产</t>
    <phoneticPr fontId="7" type="noConversion"/>
  </si>
  <si>
    <t>短期借款</t>
    <phoneticPr fontId="7" type="noConversion"/>
  </si>
  <si>
    <t>构稽计算</t>
    <phoneticPr fontId="7" type="noConversion"/>
  </si>
  <si>
    <t>应收票据</t>
    <phoneticPr fontId="7" type="noConversion"/>
  </si>
  <si>
    <t>应收利息</t>
    <phoneticPr fontId="7" type="noConversion"/>
  </si>
  <si>
    <t>应收账款</t>
    <phoneticPr fontId="7" type="noConversion"/>
  </si>
  <si>
    <t>归属母公司股东权益合计</t>
    <phoneticPr fontId="7" type="noConversion"/>
  </si>
  <si>
    <t>减：应收账款坏账准备</t>
    <phoneticPr fontId="7" type="noConversion"/>
  </si>
  <si>
    <t>减：其他应收款坏账准备</t>
    <phoneticPr fontId="7" type="noConversion"/>
  </si>
  <si>
    <t>预付账款</t>
    <phoneticPr fontId="7" type="noConversion"/>
  </si>
  <si>
    <t>应收补贴款</t>
    <phoneticPr fontId="7" type="noConversion"/>
  </si>
  <si>
    <t>期货保证金</t>
    <phoneticPr fontId="7" type="noConversion"/>
  </si>
  <si>
    <t>存货</t>
    <phoneticPr fontId="7" type="noConversion"/>
  </si>
  <si>
    <t>待摊费用</t>
    <phoneticPr fontId="7" type="noConversion"/>
  </si>
  <si>
    <t>可供出售金融资产</t>
    <phoneticPr fontId="7" type="noConversion"/>
  </si>
  <si>
    <t>减：可供出售金融资产减值准备</t>
    <phoneticPr fontId="7" type="noConversion"/>
  </si>
  <si>
    <t>持有至到期投资</t>
    <phoneticPr fontId="7" type="noConversion"/>
  </si>
  <si>
    <t>减：持有至到期投资减值准备</t>
    <phoneticPr fontId="7" type="noConversion"/>
  </si>
  <si>
    <t>减：投资性房地产减值准备</t>
    <phoneticPr fontId="7" type="noConversion"/>
  </si>
  <si>
    <t>减：长期股权投资减值准备</t>
    <phoneticPr fontId="7" type="noConversion"/>
  </si>
  <si>
    <t>减：固定资产减值准备</t>
    <phoneticPr fontId="7" type="noConversion"/>
  </si>
  <si>
    <t>在建工程</t>
    <phoneticPr fontId="7" type="noConversion"/>
  </si>
  <si>
    <t>减：在建工程减值准备</t>
    <phoneticPr fontId="7" type="noConversion"/>
  </si>
  <si>
    <t>油气资产</t>
    <phoneticPr fontId="7" type="noConversion"/>
  </si>
  <si>
    <t>减：油气资产减值准备</t>
    <phoneticPr fontId="7" type="noConversion"/>
  </si>
  <si>
    <t>无形资产</t>
    <phoneticPr fontId="7" type="noConversion"/>
  </si>
  <si>
    <t>减：无形资产减值准备</t>
    <phoneticPr fontId="7" type="noConversion"/>
  </si>
  <si>
    <t>开发支出</t>
    <phoneticPr fontId="7" type="noConversion"/>
  </si>
  <si>
    <t>商誉</t>
    <phoneticPr fontId="7" type="noConversion"/>
  </si>
  <si>
    <t>减：商誉减值准备</t>
    <phoneticPr fontId="7" type="noConversion"/>
  </si>
  <si>
    <t>长期待摊费用</t>
    <phoneticPr fontId="7" type="noConversion"/>
  </si>
  <si>
    <t>交易性金融负债</t>
    <phoneticPr fontId="7" type="noConversion"/>
  </si>
  <si>
    <t>应付账款</t>
    <phoneticPr fontId="7" type="noConversion"/>
  </si>
  <si>
    <t>应付短期债券</t>
    <phoneticPr fontId="7" type="noConversion"/>
  </si>
  <si>
    <t>预收账款</t>
    <phoneticPr fontId="7" type="noConversion"/>
  </si>
  <si>
    <t>应交税金</t>
    <phoneticPr fontId="7" type="noConversion"/>
  </si>
  <si>
    <t>应付利息</t>
    <phoneticPr fontId="7" type="noConversion"/>
  </si>
  <si>
    <t>其他应付款</t>
    <phoneticPr fontId="7" type="noConversion"/>
  </si>
  <si>
    <t>预提费用</t>
    <phoneticPr fontId="7" type="noConversion"/>
  </si>
  <si>
    <t>递延收益</t>
    <phoneticPr fontId="7" type="noConversion"/>
  </si>
  <si>
    <t>一年内到期的流动负债</t>
    <phoneticPr fontId="7" type="noConversion"/>
  </si>
  <si>
    <t>产品售价(元/件)</t>
    <phoneticPr fontId="44" type="noConversion"/>
  </si>
  <si>
    <t>单位变动成本(元/件)</t>
    <phoneticPr fontId="44" type="noConversion"/>
  </si>
  <si>
    <t>变动条</t>
    <phoneticPr fontId="44" type="noConversion"/>
  </si>
  <si>
    <t>变动后</t>
    <phoneticPr fontId="44" type="noConversion"/>
  </si>
  <si>
    <t>变动率最小值</t>
    <phoneticPr fontId="44" type="noConversion"/>
  </si>
  <si>
    <t>变动率最大值</t>
    <phoneticPr fontId="44" type="noConversion"/>
  </si>
  <si>
    <t>变动幅度</t>
    <phoneticPr fontId="44" type="noConversion"/>
  </si>
  <si>
    <t>变动区间</t>
    <phoneticPr fontId="44" type="noConversion"/>
  </si>
  <si>
    <t>其他流动负债</t>
    <phoneticPr fontId="7" type="noConversion"/>
  </si>
  <si>
    <t>长期借款</t>
    <phoneticPr fontId="7" type="noConversion"/>
  </si>
  <si>
    <t>应付债券</t>
    <phoneticPr fontId="7" type="noConversion"/>
  </si>
  <si>
    <t>长期应付款</t>
    <phoneticPr fontId="7" type="noConversion"/>
  </si>
  <si>
    <t>其他非流动负债</t>
    <phoneticPr fontId="7" type="noConversion"/>
  </si>
  <si>
    <t>外币报表折算差额</t>
    <phoneticPr fontId="7" type="noConversion"/>
  </si>
  <si>
    <t>少数股东权益</t>
    <phoneticPr fontId="7" type="noConversion"/>
  </si>
  <si>
    <t>影响所有者权益的其他科目</t>
    <phoneticPr fontId="7" type="noConversion"/>
  </si>
  <si>
    <t>负债合计</t>
    <phoneticPr fontId="7" type="noConversion"/>
  </si>
  <si>
    <t>营业成本*2/【存货周转率预测值】-期初存货</t>
    <phoneticPr fontId="7" type="noConversion"/>
  </si>
  <si>
    <t>归属于母公司所有者净利润/最新总股本</t>
    <phoneticPr fontId="7" type="noConversion"/>
  </si>
  <si>
    <t>营业收入</t>
  </si>
  <si>
    <r>
      <t>VI</t>
    </r>
    <r>
      <rPr>
        <b/>
        <sz val="12"/>
        <color indexed="10"/>
        <rFont val="宋体"/>
        <family val="3"/>
        <charset val="134"/>
      </rPr>
      <t>﹑首募资和再融资</t>
    </r>
    <phoneticPr fontId="4" type="noConversion"/>
  </si>
  <si>
    <t>占固定资产及其他增加的比例</t>
    <phoneticPr fontId="7" type="noConversion"/>
  </si>
  <si>
    <t>产销量及百分比</t>
    <phoneticPr fontId="7" type="noConversion"/>
  </si>
  <si>
    <t>产品售价及百分比</t>
    <phoneticPr fontId="44" type="noConversion"/>
  </si>
  <si>
    <t>FCFF</t>
    <phoneticPr fontId="7" type="noConversion"/>
  </si>
  <si>
    <t>DDM</t>
    <phoneticPr fontId="7" type="noConversion"/>
  </si>
  <si>
    <t>EVA</t>
    <phoneticPr fontId="7" type="noConversion"/>
  </si>
  <si>
    <t>AE</t>
    <phoneticPr fontId="7" type="noConversion"/>
  </si>
  <si>
    <t>4、绝对估值区间</t>
    <phoneticPr fontId="7" type="noConversion"/>
  </si>
  <si>
    <t>估值方法</t>
    <phoneticPr fontId="7" type="noConversion"/>
  </si>
  <si>
    <t>估值结果</t>
    <phoneticPr fontId="7" type="noConversion"/>
  </si>
  <si>
    <t>敏感度分析区间</t>
    <phoneticPr fontId="7" type="noConversion"/>
  </si>
  <si>
    <t>－</t>
    <phoneticPr fontId="7" type="noConversion"/>
  </si>
  <si>
    <t>应付债券利率</t>
    <phoneticPr fontId="7" type="noConversion"/>
  </si>
  <si>
    <t>估　值　区　间</t>
    <phoneticPr fontId="7" type="noConversion"/>
  </si>
  <si>
    <t>过渡期增长率</t>
    <phoneticPr fontId="7" type="noConversion"/>
  </si>
  <si>
    <t>过渡期年数</t>
    <phoneticPr fontId="7" type="noConversion"/>
  </si>
  <si>
    <t>3、企业长期稳定发展的增长率；</t>
    <phoneticPr fontId="82" type="noConversion"/>
  </si>
  <si>
    <t>4、根据该股票和整体市场的历史数据，经过统计得出的市场风险指标；</t>
    <phoneticPr fontId="82" type="noConversion"/>
  </si>
  <si>
    <r>
      <rPr>
        <sz val="9"/>
        <color indexed="60"/>
        <rFont val="宋体"/>
        <family val="3"/>
        <charset val="134"/>
      </rPr>
      <t>5</t>
    </r>
    <r>
      <rPr>
        <sz val="9"/>
        <color indexed="60"/>
        <rFont val="宋体"/>
        <family val="3"/>
        <charset val="134"/>
      </rPr>
      <t>、以10年期国债为参考，建议把无风险收益率设定在3.0</t>
    </r>
    <r>
      <rPr>
        <sz val="9"/>
        <color indexed="60"/>
        <rFont val="宋体"/>
        <family val="3"/>
        <charset val="134"/>
      </rPr>
      <t>%到5.0%之间；</t>
    </r>
    <phoneticPr fontId="82" type="noConversion"/>
  </si>
  <si>
    <t>6、以市场整体长期回报率为参考，建议在GDP增长率的基础上上下浮动；</t>
    <phoneticPr fontId="82" type="noConversion"/>
  </si>
  <si>
    <t>7、企业实际所得税率；</t>
    <phoneticPr fontId="82" type="noConversion"/>
  </si>
  <si>
    <t>8、有应付债券时填此项。</t>
    <phoneticPr fontId="7" type="noConversion"/>
  </si>
  <si>
    <t>2、企业第二阶段增长率；</t>
    <phoneticPr fontId="7" type="noConversion"/>
  </si>
  <si>
    <t>模型参数说明</t>
    <phoneticPr fontId="7" type="noConversion"/>
  </si>
  <si>
    <r>
      <t>F</t>
    </r>
    <r>
      <rPr>
        <sz val="9"/>
        <rFont val="宋体"/>
        <family val="3"/>
        <charset val="134"/>
      </rPr>
      <t>CFF过渡期现值</t>
    </r>
    <phoneticPr fontId="7" type="noConversion"/>
  </si>
  <si>
    <t>过渡期自由现金流</t>
    <phoneticPr fontId="7" type="noConversion"/>
  </si>
  <si>
    <r>
      <t>FCF</t>
    </r>
    <r>
      <rPr>
        <sz val="9"/>
        <rFont val="宋体"/>
        <family val="3"/>
        <charset val="134"/>
      </rPr>
      <t>E</t>
    </r>
    <r>
      <rPr>
        <sz val="9"/>
        <rFont val="宋体"/>
        <family val="3"/>
        <charset val="134"/>
      </rPr>
      <t>预测期现值</t>
    </r>
    <phoneticPr fontId="7" type="noConversion"/>
  </si>
  <si>
    <r>
      <t>FCF</t>
    </r>
    <r>
      <rPr>
        <sz val="9"/>
        <rFont val="宋体"/>
        <family val="3"/>
        <charset val="134"/>
      </rPr>
      <t>E</t>
    </r>
    <r>
      <rPr>
        <sz val="9"/>
        <rFont val="宋体"/>
        <family val="3"/>
        <charset val="134"/>
      </rPr>
      <t>过渡期现值</t>
    </r>
    <phoneticPr fontId="7" type="noConversion"/>
  </si>
  <si>
    <r>
      <t>FCF</t>
    </r>
    <r>
      <rPr>
        <sz val="9"/>
        <rFont val="宋体"/>
        <family val="3"/>
        <charset val="134"/>
      </rPr>
      <t>E</t>
    </r>
    <r>
      <rPr>
        <sz val="9"/>
        <rFont val="宋体"/>
        <family val="3"/>
        <charset val="134"/>
      </rPr>
      <t>永续价值现值</t>
    </r>
    <phoneticPr fontId="7" type="noConversion"/>
  </si>
  <si>
    <t>过渡期股利</t>
    <phoneticPr fontId="7" type="noConversion"/>
  </si>
  <si>
    <r>
      <t>股利</t>
    </r>
    <r>
      <rPr>
        <sz val="9"/>
        <rFont val="宋体"/>
        <family val="3"/>
        <charset val="134"/>
      </rPr>
      <t>预测期现值</t>
    </r>
    <phoneticPr fontId="7" type="noConversion"/>
  </si>
  <si>
    <r>
      <t>股利</t>
    </r>
    <r>
      <rPr>
        <sz val="9"/>
        <rFont val="宋体"/>
        <family val="3"/>
        <charset val="134"/>
      </rPr>
      <t>过渡期现值</t>
    </r>
    <phoneticPr fontId="7" type="noConversion"/>
  </si>
  <si>
    <r>
      <t>股利</t>
    </r>
    <r>
      <rPr>
        <sz val="9"/>
        <rFont val="宋体"/>
        <family val="3"/>
        <charset val="134"/>
      </rPr>
      <t>永续价值现值</t>
    </r>
    <phoneticPr fontId="7" type="noConversion"/>
  </si>
  <si>
    <t>过渡期EVA</t>
    <phoneticPr fontId="7" type="noConversion"/>
  </si>
  <si>
    <r>
      <t>EVA</t>
    </r>
    <r>
      <rPr>
        <sz val="9"/>
        <rFont val="宋体"/>
        <family val="3"/>
        <charset val="134"/>
      </rPr>
      <t>预测期现值</t>
    </r>
    <phoneticPr fontId="7" type="noConversion"/>
  </si>
  <si>
    <r>
      <t>EVA</t>
    </r>
    <r>
      <rPr>
        <sz val="9"/>
        <rFont val="宋体"/>
        <family val="3"/>
        <charset val="134"/>
      </rPr>
      <t>过渡期现值</t>
    </r>
    <phoneticPr fontId="7" type="noConversion"/>
  </si>
  <si>
    <r>
      <t>EVA</t>
    </r>
    <r>
      <rPr>
        <sz val="9"/>
        <rFont val="宋体"/>
        <family val="3"/>
        <charset val="134"/>
      </rPr>
      <t>永续价值现值</t>
    </r>
    <phoneticPr fontId="7" type="noConversion"/>
  </si>
  <si>
    <t>过渡期AE</t>
    <phoneticPr fontId="7" type="noConversion"/>
  </si>
  <si>
    <r>
      <t>AE</t>
    </r>
    <r>
      <rPr>
        <sz val="9"/>
        <rFont val="宋体"/>
        <family val="3"/>
        <charset val="134"/>
      </rPr>
      <t>预测期现值</t>
    </r>
    <phoneticPr fontId="7" type="noConversion"/>
  </si>
  <si>
    <r>
      <t>AE</t>
    </r>
    <r>
      <rPr>
        <sz val="9"/>
        <rFont val="宋体"/>
        <family val="3"/>
        <charset val="134"/>
      </rPr>
      <t>过渡期现值</t>
    </r>
    <phoneticPr fontId="7" type="noConversion"/>
  </si>
  <si>
    <r>
      <t>AE</t>
    </r>
    <r>
      <rPr>
        <sz val="9"/>
        <rFont val="宋体"/>
        <family val="3"/>
        <charset val="134"/>
      </rPr>
      <t>永续价值现值</t>
    </r>
    <phoneticPr fontId="7" type="noConversion"/>
  </si>
  <si>
    <t>5、相对估值区间</t>
    <phoneticPr fontId="7" type="noConversion"/>
  </si>
  <si>
    <t>PE</t>
    <phoneticPr fontId="7" type="noConversion"/>
  </si>
  <si>
    <t>EV/EBITDA</t>
    <phoneticPr fontId="7" type="noConversion"/>
  </si>
  <si>
    <t>应付职工薪酬</t>
    <phoneticPr fontId="7" type="noConversion"/>
  </si>
  <si>
    <t>专项应付款的增加</t>
    <phoneticPr fontId="4" type="noConversion"/>
  </si>
  <si>
    <t>预计负债的增加</t>
    <phoneticPr fontId="4" type="noConversion"/>
  </si>
  <si>
    <t>利息支出资本化率</t>
    <phoneticPr fontId="4" type="noConversion"/>
  </si>
  <si>
    <r>
      <t>1、企业第二阶段增长年数（1—29</t>
    </r>
    <r>
      <rPr>
        <sz val="9"/>
        <color indexed="60"/>
        <rFont val="宋体"/>
        <family val="3"/>
        <charset val="134"/>
      </rPr>
      <t>）；</t>
    </r>
    <phoneticPr fontId="7" type="noConversion"/>
  </si>
  <si>
    <r>
      <rPr>
        <sz val="9"/>
        <color indexed="8"/>
        <rFont val="宋体"/>
        <family val="3"/>
        <charset val="134"/>
      </rPr>
      <t>最低短期借款余额</t>
    </r>
    <phoneticPr fontId="4" type="noConversion"/>
  </si>
  <si>
    <t>营业收入增长率</t>
    <phoneticPr fontId="167" type="noConversion"/>
  </si>
  <si>
    <t>营业利润增长率</t>
    <phoneticPr fontId="167" type="noConversion"/>
  </si>
  <si>
    <t>归属于母公司净利润增长率</t>
    <phoneticPr fontId="167" type="noConversion"/>
  </si>
  <si>
    <r>
      <t xml:space="preserve">                           PB
       </t>
    </r>
    <r>
      <rPr>
        <b/>
        <sz val="9"/>
        <rFont val="宋体"/>
        <family val="3"/>
        <charset val="134"/>
      </rPr>
      <t>预测</t>
    </r>
    <r>
      <rPr>
        <b/>
        <sz val="9"/>
        <rFont val="Arial"/>
        <family val="2"/>
      </rPr>
      <t>BPS</t>
    </r>
    <phoneticPr fontId="7" type="noConversion"/>
  </si>
  <si>
    <t>注意：首募资和再融资只针对公司当年的计划，在土黄色底纹单元格中填入对应时间的值。</t>
    <phoneticPr fontId="4" type="noConversion"/>
  </si>
  <si>
    <t>营业收入*2/【其他应收账款周转率预测值】-期初其他应收账款</t>
    <phoneticPr fontId="7" type="noConversion"/>
  </si>
  <si>
    <t>减：少数股东损益</t>
    <phoneticPr fontId="7" type="noConversion"/>
  </si>
  <si>
    <t>转固定资产的在建工程</t>
    <phoneticPr fontId="7" type="noConversion"/>
  </si>
  <si>
    <t>本期计提折旧</t>
    <phoneticPr fontId="7" type="noConversion"/>
  </si>
  <si>
    <t>3、经营性营运资本(OWC)</t>
    <phoneticPr fontId="4" type="noConversion"/>
  </si>
  <si>
    <t>预测计算方法</t>
    <phoneticPr fontId="7" type="noConversion"/>
  </si>
  <si>
    <t>二、利润总额</t>
    <phoneticPr fontId="7" type="noConversion"/>
  </si>
  <si>
    <t>四、归属于母公司所有者净利润</t>
    <phoneticPr fontId="7" type="noConversion"/>
  </si>
  <si>
    <t>应收股利</t>
    <phoneticPr fontId="7" type="noConversion"/>
  </si>
  <si>
    <t xml:space="preserve">    其中：其他流动资产同比(%)</t>
  </si>
  <si>
    <t>归属母公司净利润</t>
    <phoneticPr fontId="7" type="noConversion"/>
  </si>
  <si>
    <t>利润总额</t>
    <phoneticPr fontId="7" type="noConversion"/>
  </si>
  <si>
    <t>归属于母公司所有者净利润</t>
    <phoneticPr fontId="7" type="noConversion"/>
  </si>
  <si>
    <t>净利润</t>
    <phoneticPr fontId="7" type="noConversion"/>
  </si>
  <si>
    <t>减：营业成本</t>
    <phoneticPr fontId="7" type="noConversion"/>
  </si>
  <si>
    <t>加：公允价值变动净收益</t>
    <phoneticPr fontId="7" type="noConversion"/>
  </si>
  <si>
    <t>二、营业利润</t>
    <phoneticPr fontId="7" type="noConversion"/>
  </si>
  <si>
    <t>减：营业外支出</t>
    <phoneticPr fontId="7" type="noConversion"/>
  </si>
  <si>
    <t>加：净利润其他科目</t>
    <phoneticPr fontId="7" type="noConversion"/>
  </si>
  <si>
    <t>加：净利润调整项目</t>
    <phoneticPr fontId="7" type="noConversion"/>
  </si>
  <si>
    <t>加：少数股东损益</t>
    <phoneticPr fontId="7" type="noConversion"/>
  </si>
  <si>
    <t>产品选择：</t>
    <phoneticPr fontId="7" type="noConversion"/>
  </si>
  <si>
    <t>一年内到期的非流动资产</t>
  </si>
  <si>
    <t>一年内到期的非流动负债</t>
  </si>
  <si>
    <t>一年内到期的非流动负债</t>
    <phoneticPr fontId="7" type="noConversion"/>
  </si>
  <si>
    <t>单位：百万元</t>
    <phoneticPr fontId="7" type="noConversion"/>
  </si>
  <si>
    <t>净利润/总资产</t>
    <phoneticPr fontId="7" type="noConversion"/>
  </si>
  <si>
    <t>净利润/股东权益</t>
    <phoneticPr fontId="7" type="noConversion"/>
  </si>
  <si>
    <t>流动资产/流动负债</t>
    <phoneticPr fontId="7" type="noConversion"/>
  </si>
  <si>
    <t>资产构成分析</t>
    <phoneticPr fontId="7" type="noConversion"/>
  </si>
  <si>
    <r>
      <t>流动资产</t>
    </r>
    <r>
      <rPr>
        <sz val="9"/>
        <color indexed="8"/>
        <rFont val="Arial"/>
        <family val="2"/>
      </rPr>
      <t>(%)</t>
    </r>
    <phoneticPr fontId="7" type="noConversion"/>
  </si>
  <si>
    <t xml:space="preserve">    其中：存货(%)</t>
    <phoneticPr fontId="7" type="noConversion"/>
  </si>
  <si>
    <t>资产增长分析</t>
    <phoneticPr fontId="7" type="noConversion"/>
  </si>
  <si>
    <t>流动资产同比(%)</t>
    <phoneticPr fontId="7" type="noConversion"/>
  </si>
  <si>
    <t xml:space="preserve">    其中：长期待摊费用同比(%)</t>
    <phoneticPr fontId="7" type="noConversion"/>
  </si>
  <si>
    <t>资产总计同比(%)</t>
    <phoneticPr fontId="7" type="noConversion"/>
  </si>
  <si>
    <t>负债构成分析</t>
    <phoneticPr fontId="7" type="noConversion"/>
  </si>
  <si>
    <r>
      <t>流动负债</t>
    </r>
    <r>
      <rPr>
        <sz val="9"/>
        <color indexed="8"/>
        <rFont val="Arial"/>
        <family val="2"/>
      </rPr>
      <t>(%)</t>
    </r>
    <phoneticPr fontId="7" type="noConversion"/>
  </si>
  <si>
    <t xml:space="preserve">    其中：短期借款(%)</t>
    <phoneticPr fontId="7" type="noConversion"/>
  </si>
  <si>
    <t xml:space="preserve">    其中：其他应付款(%)</t>
    <phoneticPr fontId="7" type="noConversion"/>
  </si>
  <si>
    <t xml:space="preserve">    其中：其他流动负债(%)</t>
    <phoneticPr fontId="7" type="noConversion"/>
  </si>
  <si>
    <t xml:space="preserve">    其中：长期借款(%)</t>
    <phoneticPr fontId="7" type="noConversion"/>
  </si>
  <si>
    <t xml:space="preserve">    其中：长期应付款(%)</t>
    <phoneticPr fontId="7" type="noConversion"/>
  </si>
  <si>
    <t>负债增长分析</t>
    <phoneticPr fontId="7" type="noConversion"/>
  </si>
  <si>
    <t>流动负债</t>
    <phoneticPr fontId="7" type="noConversion"/>
  </si>
  <si>
    <t xml:space="preserve">    其中：其他应付款同比(%)</t>
    <phoneticPr fontId="7" type="noConversion"/>
  </si>
  <si>
    <t>固定资产</t>
    <phoneticPr fontId="7" type="noConversion"/>
  </si>
  <si>
    <t>其他应收账款</t>
    <phoneticPr fontId="7" type="noConversion"/>
  </si>
  <si>
    <t>现金及等价物</t>
    <phoneticPr fontId="7" type="noConversion"/>
  </si>
  <si>
    <t>经营性营运资本的减少</t>
    <phoneticPr fontId="4" type="noConversion"/>
  </si>
  <si>
    <t>经营性营运资本的增加</t>
    <phoneticPr fontId="4" type="noConversion"/>
  </si>
  <si>
    <t>递延税款变化</t>
    <phoneticPr fontId="4" type="noConversion"/>
  </si>
  <si>
    <t>4、递延税款变化</t>
    <phoneticPr fontId="4" type="noConversion"/>
  </si>
  <si>
    <t>递延所得税负债</t>
    <phoneticPr fontId="4" type="noConversion"/>
  </si>
  <si>
    <t>递延所得税资产</t>
    <phoneticPr fontId="4" type="noConversion"/>
  </si>
  <si>
    <t>递延税款</t>
    <phoneticPr fontId="4" type="noConversion"/>
  </si>
  <si>
    <t>公允价值变动收益</t>
    <phoneticPr fontId="4" type="noConversion"/>
  </si>
  <si>
    <t>长期股权投资的减少</t>
    <phoneticPr fontId="4" type="noConversion"/>
  </si>
  <si>
    <t>其他非流动负债的增加</t>
    <phoneticPr fontId="4" type="noConversion"/>
  </si>
  <si>
    <t>长期应付款的增加</t>
    <phoneticPr fontId="4" type="noConversion"/>
  </si>
  <si>
    <t>长期借款的增加</t>
  </si>
  <si>
    <t>期初现金</t>
    <phoneticPr fontId="4" type="noConversion"/>
  </si>
  <si>
    <t>循环贷款</t>
    <phoneticPr fontId="4" type="noConversion"/>
  </si>
  <si>
    <t>循环贷款前现金</t>
    <phoneticPr fontId="4" type="noConversion"/>
  </si>
  <si>
    <r>
      <t xml:space="preserve">  </t>
    </r>
    <r>
      <rPr>
        <sz val="9"/>
        <rFont val="宋体"/>
        <family val="3"/>
        <charset val="134"/>
      </rPr>
      <t xml:space="preserve">      </t>
    </r>
    <r>
      <rPr>
        <sz val="9"/>
        <rFont val="宋体"/>
        <family val="3"/>
        <charset val="134"/>
      </rPr>
      <t>利息费用</t>
    </r>
    <phoneticPr fontId="7" type="noConversion"/>
  </si>
  <si>
    <r>
      <t xml:space="preserve">  </t>
    </r>
    <r>
      <rPr>
        <sz val="9"/>
        <rFont val="宋体"/>
        <family val="3"/>
        <charset val="134"/>
      </rPr>
      <t xml:space="preserve">      </t>
    </r>
    <r>
      <rPr>
        <sz val="9"/>
        <rFont val="宋体"/>
        <family val="3"/>
        <charset val="134"/>
      </rPr>
      <t>减：利息收入</t>
    </r>
    <phoneticPr fontId="7" type="noConversion"/>
  </si>
  <si>
    <r>
      <t xml:space="preserve">  </t>
    </r>
    <r>
      <rPr>
        <sz val="9"/>
        <rFont val="宋体"/>
        <family val="3"/>
        <charset val="134"/>
      </rPr>
      <t xml:space="preserve">      </t>
    </r>
    <r>
      <rPr>
        <sz val="9"/>
        <rFont val="宋体"/>
        <family val="3"/>
        <charset val="134"/>
      </rPr>
      <t>加：汇兑损失</t>
    </r>
    <phoneticPr fontId="7" type="noConversion"/>
  </si>
  <si>
    <r>
      <t xml:space="preserve">  </t>
    </r>
    <r>
      <rPr>
        <sz val="9"/>
        <rFont val="宋体"/>
        <family val="3"/>
        <charset val="134"/>
      </rPr>
      <t xml:space="preserve">      </t>
    </r>
    <r>
      <rPr>
        <sz val="9"/>
        <rFont val="宋体"/>
        <family val="3"/>
        <charset val="134"/>
      </rPr>
      <t>减：汇兑损益</t>
    </r>
    <phoneticPr fontId="7" type="noConversion"/>
  </si>
  <si>
    <r>
      <t xml:space="preserve">  </t>
    </r>
    <r>
      <rPr>
        <sz val="9"/>
        <rFont val="宋体"/>
        <family val="3"/>
        <charset val="134"/>
      </rPr>
      <t xml:space="preserve">      </t>
    </r>
    <r>
      <rPr>
        <sz val="9"/>
        <rFont val="宋体"/>
        <family val="3"/>
        <charset val="134"/>
      </rPr>
      <t>加：其他费用</t>
    </r>
    <phoneticPr fontId="7" type="noConversion"/>
  </si>
  <si>
    <r>
      <t xml:space="preserve"> </t>
    </r>
    <r>
      <rPr>
        <sz val="9"/>
        <color indexed="8"/>
        <rFont val="宋体"/>
        <family val="3"/>
        <charset val="134"/>
      </rPr>
      <t xml:space="preserve">   </t>
    </r>
    <r>
      <rPr>
        <sz val="9"/>
        <color indexed="8"/>
        <rFont val="宋体"/>
        <family val="3"/>
        <charset val="134"/>
      </rPr>
      <t>其中：对联营合营企业投资收益</t>
    </r>
    <phoneticPr fontId="65" type="noConversion"/>
  </si>
  <si>
    <r>
      <t>=</t>
    </r>
    <r>
      <rPr>
        <sz val="9"/>
        <color indexed="8"/>
        <rFont val="宋体"/>
        <family val="3"/>
        <charset val="134"/>
      </rPr>
      <t>货币资金</t>
    </r>
    <r>
      <rPr>
        <sz val="9"/>
        <color indexed="8"/>
        <rFont val="Arial"/>
        <family val="2"/>
      </rPr>
      <t>+</t>
    </r>
    <r>
      <rPr>
        <sz val="9"/>
        <color indexed="8"/>
        <rFont val="宋体"/>
        <family val="3"/>
        <charset val="134"/>
      </rPr>
      <t>交易性金融资产</t>
    </r>
    <phoneticPr fontId="65" type="noConversion"/>
  </si>
  <si>
    <r>
      <t>=</t>
    </r>
    <r>
      <rPr>
        <sz val="9"/>
        <color indexed="8"/>
        <rFont val="宋体"/>
        <family val="3"/>
        <charset val="134"/>
      </rPr>
      <t>应收账款</t>
    </r>
    <r>
      <rPr>
        <sz val="9"/>
        <color indexed="8"/>
        <rFont val="Arial"/>
        <family val="2"/>
      </rPr>
      <t>+</t>
    </r>
    <r>
      <rPr>
        <sz val="9"/>
        <color indexed="8"/>
        <rFont val="宋体"/>
        <family val="3"/>
        <charset val="134"/>
      </rPr>
      <t>应收票据</t>
    </r>
    <phoneticPr fontId="65" type="noConversion"/>
  </si>
  <si>
    <r>
      <t>=</t>
    </r>
    <r>
      <rPr>
        <sz val="9"/>
        <color indexed="8"/>
        <rFont val="宋体"/>
        <family val="3"/>
        <charset val="134"/>
      </rPr>
      <t>应收股利</t>
    </r>
    <r>
      <rPr>
        <sz val="9"/>
        <color indexed="8"/>
        <rFont val="Arial"/>
        <family val="2"/>
      </rPr>
      <t>+</t>
    </r>
    <r>
      <rPr>
        <sz val="9"/>
        <color indexed="8"/>
        <rFont val="宋体"/>
        <family val="3"/>
        <charset val="134"/>
      </rPr>
      <t>应收利息</t>
    </r>
    <r>
      <rPr>
        <sz val="9"/>
        <color indexed="8"/>
        <rFont val="Arial"/>
        <family val="2"/>
      </rPr>
      <t>+</t>
    </r>
    <r>
      <rPr>
        <sz val="9"/>
        <color indexed="8"/>
        <rFont val="宋体"/>
        <family val="3"/>
        <charset val="134"/>
      </rPr>
      <t>结算备付金</t>
    </r>
    <r>
      <rPr>
        <sz val="9"/>
        <color indexed="8"/>
        <rFont val="Arial"/>
        <family val="2"/>
      </rPr>
      <t>+</t>
    </r>
    <r>
      <rPr>
        <sz val="9"/>
        <color indexed="8"/>
        <rFont val="宋体"/>
        <family val="3"/>
        <charset val="134"/>
      </rPr>
      <t>一年内到期的非流动资产</t>
    </r>
    <r>
      <rPr>
        <sz val="9"/>
        <color indexed="8"/>
        <rFont val="Arial"/>
        <family val="2"/>
      </rPr>
      <t>+</t>
    </r>
    <r>
      <rPr>
        <sz val="9"/>
        <color indexed="8"/>
        <rFont val="宋体"/>
        <family val="3"/>
        <charset val="134"/>
      </rPr>
      <t>其他流动资产</t>
    </r>
    <phoneticPr fontId="65" type="noConversion"/>
  </si>
  <si>
    <t>非营业投资</t>
    <phoneticPr fontId="7" type="noConversion"/>
  </si>
  <si>
    <r>
      <t>=</t>
    </r>
    <r>
      <rPr>
        <sz val="9"/>
        <color indexed="8"/>
        <rFont val="宋体"/>
        <family val="3"/>
        <charset val="134"/>
      </rPr>
      <t>可供出售金融资产</t>
    </r>
    <r>
      <rPr>
        <sz val="9"/>
        <color indexed="8"/>
        <rFont val="Arial"/>
        <family val="2"/>
      </rPr>
      <t>+</t>
    </r>
    <r>
      <rPr>
        <sz val="9"/>
        <color indexed="8"/>
        <rFont val="宋体"/>
        <family val="3"/>
        <charset val="134"/>
      </rPr>
      <t>持有至到期投资</t>
    </r>
    <r>
      <rPr>
        <sz val="9"/>
        <color indexed="8"/>
        <rFont val="Arial"/>
        <family val="2"/>
      </rPr>
      <t>+</t>
    </r>
    <r>
      <rPr>
        <sz val="9"/>
        <color indexed="8"/>
        <rFont val="宋体"/>
        <family val="3"/>
        <charset val="134"/>
      </rPr>
      <t>投资性房地产</t>
    </r>
    <r>
      <rPr>
        <sz val="9"/>
        <color indexed="8"/>
        <rFont val="Arial"/>
        <family val="2"/>
      </rPr>
      <t>+</t>
    </r>
    <r>
      <rPr>
        <sz val="9"/>
        <color indexed="8"/>
        <rFont val="宋体"/>
        <family val="3"/>
        <charset val="134"/>
      </rPr>
      <t>长期应收款</t>
    </r>
    <phoneticPr fontId="65" type="noConversion"/>
  </si>
  <si>
    <r>
      <t>=</t>
    </r>
    <r>
      <rPr>
        <sz val="9"/>
        <color indexed="8"/>
        <rFont val="宋体"/>
        <family val="3"/>
        <charset val="134"/>
      </rPr>
      <t>固定资产</t>
    </r>
    <r>
      <rPr>
        <sz val="9"/>
        <color indexed="8"/>
        <rFont val="Arial"/>
        <family val="2"/>
      </rPr>
      <t>+</t>
    </r>
    <r>
      <rPr>
        <sz val="9"/>
        <color indexed="8"/>
        <rFont val="宋体"/>
        <family val="3"/>
        <charset val="134"/>
      </rPr>
      <t>固定资产清理</t>
    </r>
    <r>
      <rPr>
        <sz val="9"/>
        <color indexed="8"/>
        <rFont val="Arial"/>
        <family val="2"/>
      </rPr>
      <t>+</t>
    </r>
    <r>
      <rPr>
        <sz val="9"/>
        <color indexed="8"/>
        <rFont val="宋体"/>
        <family val="3"/>
        <charset val="134"/>
      </rPr>
      <t>生产性生物资产</t>
    </r>
    <r>
      <rPr>
        <sz val="9"/>
        <color indexed="8"/>
        <rFont val="Arial"/>
        <family val="2"/>
      </rPr>
      <t>+</t>
    </r>
    <r>
      <rPr>
        <sz val="9"/>
        <color indexed="8"/>
        <rFont val="宋体"/>
        <family val="3"/>
        <charset val="134"/>
      </rPr>
      <t>油气资产</t>
    </r>
    <phoneticPr fontId="65" type="noConversion"/>
  </si>
  <si>
    <r>
      <t>=</t>
    </r>
    <r>
      <rPr>
        <sz val="9"/>
        <color indexed="8"/>
        <rFont val="宋体"/>
        <family val="3"/>
        <charset val="134"/>
      </rPr>
      <t>在建工程</t>
    </r>
    <r>
      <rPr>
        <sz val="9"/>
        <color indexed="8"/>
        <rFont val="Arial"/>
        <family val="2"/>
      </rPr>
      <t>+</t>
    </r>
    <r>
      <rPr>
        <sz val="9"/>
        <color indexed="8"/>
        <rFont val="宋体"/>
        <family val="3"/>
        <charset val="134"/>
      </rPr>
      <t>工程物资</t>
    </r>
    <phoneticPr fontId="65" type="noConversion"/>
  </si>
  <si>
    <r>
      <t>=</t>
    </r>
    <r>
      <rPr>
        <sz val="9"/>
        <color indexed="8"/>
        <rFont val="宋体"/>
        <family val="3"/>
        <charset val="134"/>
      </rPr>
      <t>无形资产</t>
    </r>
    <r>
      <rPr>
        <sz val="9"/>
        <color indexed="8"/>
        <rFont val="Arial"/>
        <family val="2"/>
      </rPr>
      <t>+</t>
    </r>
    <r>
      <rPr>
        <sz val="9"/>
        <color indexed="8"/>
        <rFont val="宋体"/>
        <family val="3"/>
        <charset val="134"/>
      </rPr>
      <t>开发支出</t>
    </r>
    <r>
      <rPr>
        <sz val="9"/>
        <color indexed="8"/>
        <rFont val="Arial"/>
        <family val="2"/>
      </rPr>
      <t>+</t>
    </r>
    <r>
      <rPr>
        <sz val="9"/>
        <color indexed="8"/>
        <rFont val="宋体"/>
        <family val="3"/>
        <charset val="134"/>
      </rPr>
      <t>长期待摊费用</t>
    </r>
    <phoneticPr fontId="65" type="noConversion"/>
  </si>
  <si>
    <r>
      <t>=</t>
    </r>
    <r>
      <rPr>
        <sz val="9"/>
        <color indexed="8"/>
        <rFont val="宋体"/>
        <family val="3"/>
        <charset val="134"/>
      </rPr>
      <t>短期借款</t>
    </r>
    <r>
      <rPr>
        <sz val="9"/>
        <color indexed="8"/>
        <rFont val="Arial"/>
        <family val="2"/>
      </rPr>
      <t>+</t>
    </r>
    <r>
      <rPr>
        <sz val="9"/>
        <color indexed="8"/>
        <rFont val="宋体"/>
        <family val="3"/>
        <charset val="134"/>
      </rPr>
      <t>交易性金融资产</t>
    </r>
    <phoneticPr fontId="65" type="noConversion"/>
  </si>
  <si>
    <r>
      <t>=</t>
    </r>
    <r>
      <rPr>
        <sz val="9"/>
        <color indexed="8"/>
        <rFont val="宋体"/>
        <family val="3"/>
        <charset val="134"/>
      </rPr>
      <t>应付账款</t>
    </r>
    <r>
      <rPr>
        <sz val="9"/>
        <color indexed="8"/>
        <rFont val="Arial"/>
        <family val="2"/>
      </rPr>
      <t>+</t>
    </r>
    <r>
      <rPr>
        <sz val="9"/>
        <color indexed="8"/>
        <rFont val="宋体"/>
        <family val="3"/>
        <charset val="134"/>
      </rPr>
      <t>应付票据</t>
    </r>
    <phoneticPr fontId="65" type="noConversion"/>
  </si>
  <si>
    <t>其他应付账款</t>
    <phoneticPr fontId="7" type="noConversion"/>
  </si>
  <si>
    <r>
      <t>=</t>
    </r>
    <r>
      <rPr>
        <sz val="9"/>
        <color indexed="8"/>
        <rFont val="宋体"/>
        <family val="3"/>
        <charset val="134"/>
      </rPr>
      <t>应付股利</t>
    </r>
    <r>
      <rPr>
        <sz val="9"/>
        <color indexed="8"/>
        <rFont val="Arial"/>
        <family val="2"/>
      </rPr>
      <t>+</t>
    </r>
    <r>
      <rPr>
        <sz val="9"/>
        <color indexed="8"/>
        <rFont val="宋体"/>
        <family val="3"/>
        <charset val="134"/>
      </rPr>
      <t>应付利息</t>
    </r>
    <r>
      <rPr>
        <sz val="9"/>
        <color indexed="8"/>
        <rFont val="Arial"/>
        <family val="2"/>
      </rPr>
      <t>+</t>
    </r>
    <r>
      <rPr>
        <sz val="9"/>
        <color indexed="8"/>
        <rFont val="宋体"/>
        <family val="3"/>
        <charset val="134"/>
      </rPr>
      <t>应交税金</t>
    </r>
    <r>
      <rPr>
        <sz val="9"/>
        <color indexed="8"/>
        <rFont val="Arial"/>
        <family val="2"/>
      </rPr>
      <t>+</t>
    </r>
    <r>
      <rPr>
        <sz val="9"/>
        <color indexed="8"/>
        <rFont val="宋体"/>
        <family val="3"/>
        <charset val="134"/>
      </rPr>
      <t>应付职工薪酬</t>
    </r>
    <r>
      <rPr>
        <sz val="9"/>
        <color indexed="8"/>
        <rFont val="Arial"/>
        <family val="2"/>
      </rPr>
      <t>+</t>
    </r>
    <r>
      <rPr>
        <sz val="9"/>
        <color indexed="8"/>
        <rFont val="宋体"/>
        <family val="3"/>
        <charset val="134"/>
      </rPr>
      <t>其他流动负债</t>
    </r>
    <phoneticPr fontId="65" type="noConversion"/>
  </si>
  <si>
    <r>
      <t>=</t>
    </r>
    <r>
      <rPr>
        <sz val="9"/>
        <color indexed="8"/>
        <rFont val="宋体"/>
        <family val="3"/>
        <charset val="134"/>
      </rPr>
      <t>长期借款</t>
    </r>
    <r>
      <rPr>
        <sz val="9"/>
        <color indexed="8"/>
        <rFont val="Arial"/>
        <family val="2"/>
      </rPr>
      <t>+</t>
    </r>
    <r>
      <rPr>
        <sz val="9"/>
        <color indexed="8"/>
        <rFont val="宋体"/>
        <family val="3"/>
        <charset val="134"/>
      </rPr>
      <t>应付债券</t>
    </r>
    <phoneticPr fontId="65" type="noConversion"/>
  </si>
  <si>
    <r>
      <t>=</t>
    </r>
    <r>
      <rPr>
        <sz val="9"/>
        <color indexed="8"/>
        <rFont val="宋体"/>
        <family val="3"/>
        <charset val="134"/>
      </rPr>
      <t>其他非流动负债</t>
    </r>
    <r>
      <rPr>
        <sz val="9"/>
        <color indexed="8"/>
        <rFont val="Arial"/>
        <family val="2"/>
      </rPr>
      <t>+</t>
    </r>
    <r>
      <rPr>
        <sz val="9"/>
        <color indexed="8"/>
        <rFont val="宋体"/>
        <family val="3"/>
        <charset val="134"/>
      </rPr>
      <t>预计负债</t>
    </r>
    <r>
      <rPr>
        <sz val="9"/>
        <color indexed="8"/>
        <rFont val="Arial"/>
        <family val="2"/>
      </rPr>
      <t>+</t>
    </r>
    <r>
      <rPr>
        <sz val="9"/>
        <color indexed="8"/>
        <rFont val="宋体"/>
        <family val="3"/>
        <charset val="134"/>
      </rPr>
      <t>专项应付款</t>
    </r>
    <phoneticPr fontId="65" type="noConversion"/>
  </si>
  <si>
    <t>利润总额*【所得税率预测值】</t>
    <phoneticPr fontId="7" type="noConversion"/>
  </si>
  <si>
    <t>来自现金流量表</t>
    <phoneticPr fontId="7" type="noConversion"/>
  </si>
  <si>
    <t>来自债务</t>
    <phoneticPr fontId="7" type="noConversion"/>
  </si>
  <si>
    <t>单产品敏感性分析</t>
    <phoneticPr fontId="7" type="noConversion"/>
  </si>
  <si>
    <t>营业收入增长率</t>
    <phoneticPr fontId="67" type="noConversion"/>
  </si>
  <si>
    <t>净利润增长率</t>
    <phoneticPr fontId="67" type="noConversion"/>
  </si>
  <si>
    <t>EBIT增长率</t>
    <phoneticPr fontId="67" type="noConversion"/>
  </si>
  <si>
    <t>EBITDA增长率</t>
    <phoneticPr fontId="67" type="noConversion"/>
  </si>
  <si>
    <t>NOPLAT增长率</t>
    <phoneticPr fontId="67" type="noConversion"/>
  </si>
  <si>
    <t>总资产增长率</t>
    <phoneticPr fontId="67" type="noConversion"/>
  </si>
  <si>
    <t>销售毛利率</t>
    <phoneticPr fontId="67" type="noConversion"/>
  </si>
  <si>
    <t>销售净利率</t>
    <phoneticPr fontId="67" type="noConversion"/>
  </si>
  <si>
    <t>三费／营业收入</t>
    <phoneticPr fontId="67" type="noConversion"/>
  </si>
  <si>
    <t>EBIT／营业收入</t>
    <phoneticPr fontId="67" type="noConversion"/>
  </si>
  <si>
    <t>EBITDA／营业收入</t>
    <phoneticPr fontId="67" type="noConversion"/>
  </si>
  <si>
    <t>NOPLAT／营业收入</t>
    <phoneticPr fontId="67" type="noConversion"/>
  </si>
  <si>
    <t>投入资本回报率(ROIC)</t>
    <phoneticPr fontId="67" type="noConversion"/>
  </si>
  <si>
    <t>投资收益／净利润</t>
    <phoneticPr fontId="67" type="noConversion"/>
  </si>
  <si>
    <t>存货周转率</t>
    <phoneticPr fontId="67" type="noConversion"/>
  </si>
  <si>
    <t>应收账款周转率</t>
    <phoneticPr fontId="67" type="noConversion"/>
  </si>
  <si>
    <t>固定资产周转率</t>
    <phoneticPr fontId="67" type="noConversion"/>
  </si>
  <si>
    <t>总资产周转率</t>
    <phoneticPr fontId="67" type="noConversion"/>
  </si>
  <si>
    <t>ROIC－WACC</t>
    <phoneticPr fontId="67" type="noConversion"/>
  </si>
  <si>
    <t>资产负债率</t>
    <phoneticPr fontId="67" type="noConversion"/>
  </si>
  <si>
    <t>流动资产／总资产</t>
    <phoneticPr fontId="67" type="noConversion"/>
  </si>
  <si>
    <t>固定资产／总资产</t>
    <phoneticPr fontId="67" type="noConversion"/>
  </si>
  <si>
    <t>IC／总资产</t>
    <phoneticPr fontId="67" type="noConversion"/>
  </si>
  <si>
    <t>股利支付率</t>
    <phoneticPr fontId="67" type="noConversion"/>
  </si>
  <si>
    <t>收益留存率</t>
    <phoneticPr fontId="67" type="noConversion"/>
  </si>
  <si>
    <t>累计折旧／固定资产原值</t>
    <phoneticPr fontId="67" type="noConversion"/>
  </si>
  <si>
    <t>权益乘数</t>
    <phoneticPr fontId="67" type="noConversion"/>
  </si>
  <si>
    <t>流动比率(倍)</t>
    <phoneticPr fontId="67" type="noConversion"/>
  </si>
  <si>
    <t>速动比率(倍)</t>
    <phoneticPr fontId="67" type="noConversion"/>
  </si>
  <si>
    <t>现金比率(倍)</t>
    <phoneticPr fontId="67" type="noConversion"/>
  </si>
  <si>
    <t>经营现金流量／流动负债(倍)</t>
    <phoneticPr fontId="67" type="noConversion"/>
  </si>
  <si>
    <t>负债合计／股东权益</t>
    <phoneticPr fontId="67" type="noConversion"/>
  </si>
  <si>
    <t>长期资本负债率</t>
    <phoneticPr fontId="67" type="noConversion"/>
  </si>
  <si>
    <t>利息保障倍数(倍)</t>
    <phoneticPr fontId="67" type="noConversion"/>
  </si>
  <si>
    <t>现金流量利息保障倍数(倍)</t>
    <phoneticPr fontId="67" type="noConversion"/>
  </si>
  <si>
    <t>每股收益EPS</t>
    <phoneticPr fontId="67" type="noConversion"/>
  </si>
  <si>
    <t>每股股利DPS</t>
    <phoneticPr fontId="67" type="noConversion"/>
  </si>
  <si>
    <t>每股净资产BPS</t>
    <phoneticPr fontId="67" type="noConversion"/>
  </si>
  <si>
    <t>每股销售额</t>
    <phoneticPr fontId="67" type="noConversion"/>
  </si>
  <si>
    <t>股权价值</t>
    <phoneticPr fontId="67" type="noConversion"/>
  </si>
  <si>
    <t>EV／EBIT</t>
    <phoneticPr fontId="67" type="noConversion"/>
  </si>
  <si>
    <t>EV／EBITDA</t>
    <phoneticPr fontId="67" type="noConversion"/>
  </si>
  <si>
    <t>EV／NOPLAT</t>
    <phoneticPr fontId="67" type="noConversion"/>
  </si>
  <si>
    <t>EV／IC</t>
    <phoneticPr fontId="67" type="noConversion"/>
  </si>
  <si>
    <t>EV／Sales</t>
    <phoneticPr fontId="67" type="noConversion"/>
  </si>
  <si>
    <t>净资产收益率(ROE)</t>
    <phoneticPr fontId="67" type="noConversion"/>
  </si>
  <si>
    <t>资产收益率(ROA)</t>
    <phoneticPr fontId="67" type="noConversion"/>
  </si>
  <si>
    <t>经营效率</t>
    <phoneticPr fontId="67" type="noConversion"/>
  </si>
  <si>
    <t>财务政策</t>
    <phoneticPr fontId="67" type="noConversion"/>
  </si>
  <si>
    <t>偿债能力</t>
    <phoneticPr fontId="67" type="noConversion"/>
  </si>
  <si>
    <t>每股指标</t>
    <phoneticPr fontId="67" type="noConversion"/>
  </si>
  <si>
    <t>估值指标</t>
    <phoneticPr fontId="67" type="noConversion"/>
  </si>
  <si>
    <t>期末营业收入/期初营业收入-1</t>
    <phoneticPr fontId="7" type="noConversion"/>
  </si>
  <si>
    <t>营业利润增长率</t>
    <phoneticPr fontId="67" type="noConversion"/>
  </si>
  <si>
    <t>期末营业利润/期初营业利润-1</t>
    <phoneticPr fontId="7" type="noConversion"/>
  </si>
  <si>
    <t>期末净利润/期初净利润-1</t>
    <phoneticPr fontId="7" type="noConversion"/>
  </si>
  <si>
    <t>期末EBIT/期初EBIT-1</t>
    <phoneticPr fontId="7" type="noConversion"/>
  </si>
  <si>
    <r>
      <t>期末E</t>
    </r>
    <r>
      <rPr>
        <sz val="9"/>
        <color indexed="8"/>
        <rFont val="宋体"/>
        <family val="3"/>
        <charset val="134"/>
      </rPr>
      <t>BITDA</t>
    </r>
    <r>
      <rPr>
        <sz val="9"/>
        <color indexed="8"/>
        <rFont val="宋体"/>
        <family val="3"/>
        <charset val="134"/>
      </rPr>
      <t>/期初</t>
    </r>
    <r>
      <rPr>
        <sz val="9"/>
        <color indexed="8"/>
        <rFont val="宋体"/>
        <family val="3"/>
        <charset val="134"/>
      </rPr>
      <t>EBITDA</t>
    </r>
    <r>
      <rPr>
        <sz val="9"/>
        <color indexed="8"/>
        <rFont val="宋体"/>
        <family val="3"/>
        <charset val="134"/>
      </rPr>
      <t>-1</t>
    </r>
    <phoneticPr fontId="7" type="noConversion"/>
  </si>
  <si>
    <r>
      <t>期末N</t>
    </r>
    <r>
      <rPr>
        <sz val="9"/>
        <color indexed="8"/>
        <rFont val="宋体"/>
        <family val="3"/>
        <charset val="134"/>
      </rPr>
      <t>OPLAT</t>
    </r>
    <r>
      <rPr>
        <sz val="9"/>
        <color indexed="8"/>
        <rFont val="宋体"/>
        <family val="3"/>
        <charset val="134"/>
      </rPr>
      <t>/期初</t>
    </r>
    <r>
      <rPr>
        <sz val="9"/>
        <color indexed="8"/>
        <rFont val="宋体"/>
        <family val="3"/>
        <charset val="134"/>
      </rPr>
      <t>NOPLAT</t>
    </r>
    <r>
      <rPr>
        <sz val="9"/>
        <color indexed="8"/>
        <rFont val="宋体"/>
        <family val="3"/>
        <charset val="134"/>
      </rPr>
      <t>-1</t>
    </r>
    <phoneticPr fontId="7" type="noConversion"/>
  </si>
  <si>
    <t>期末总资产/期初总资产-1</t>
    <phoneticPr fontId="7" type="noConversion"/>
  </si>
  <si>
    <t>母公司所有者权益增长率</t>
    <phoneticPr fontId="67" type="noConversion"/>
  </si>
  <si>
    <r>
      <t>期末母公司所有者权益/期初母公司所有者权益</t>
    </r>
    <r>
      <rPr>
        <sz val="9"/>
        <color indexed="8"/>
        <rFont val="宋体"/>
        <family val="3"/>
        <charset val="134"/>
      </rPr>
      <t>-1</t>
    </r>
    <phoneticPr fontId="7" type="noConversion"/>
  </si>
  <si>
    <t>经营营运资本增长率</t>
    <phoneticPr fontId="67" type="noConversion"/>
  </si>
  <si>
    <t>1-营业成本/营业收入</t>
    <phoneticPr fontId="7" type="noConversion"/>
  </si>
  <si>
    <t>净利润/营业收入</t>
    <phoneticPr fontId="7" type="noConversion"/>
  </si>
  <si>
    <r>
      <t>EBIT/</t>
    </r>
    <r>
      <rPr>
        <sz val="9"/>
        <rFont val="宋体"/>
        <family val="3"/>
        <charset val="134"/>
      </rPr>
      <t>营业收入</t>
    </r>
    <phoneticPr fontId="67" type="noConversion"/>
  </si>
  <si>
    <r>
      <t>EBITDA/</t>
    </r>
    <r>
      <rPr>
        <sz val="9"/>
        <rFont val="宋体"/>
        <family val="3"/>
        <charset val="134"/>
      </rPr>
      <t>营业收入</t>
    </r>
    <phoneticPr fontId="67" type="noConversion"/>
  </si>
  <si>
    <r>
      <t>NOPLAT/</t>
    </r>
    <r>
      <rPr>
        <sz val="9"/>
        <rFont val="宋体"/>
        <family val="3"/>
        <charset val="134"/>
      </rPr>
      <t>营业收入</t>
    </r>
    <phoneticPr fontId="67" type="noConversion"/>
  </si>
  <si>
    <t>NOPLAT/IC</t>
    <phoneticPr fontId="67" type="noConversion"/>
  </si>
  <si>
    <t>税后经营利润／净利润</t>
    <phoneticPr fontId="67" type="noConversion"/>
  </si>
  <si>
    <t>营业利润×（1-税率）/净利润</t>
    <phoneticPr fontId="7" type="noConversion"/>
  </si>
  <si>
    <t>扣除非经常损益净利润／净利润</t>
    <phoneticPr fontId="67" type="noConversion"/>
  </si>
  <si>
    <t>投资净收益/净利润</t>
    <phoneticPr fontId="7" type="noConversion"/>
  </si>
  <si>
    <t>营业成本/平均存货</t>
    <phoneticPr fontId="7" type="noConversion"/>
  </si>
  <si>
    <t>营业收入/平均应收账款</t>
    <phoneticPr fontId="7" type="noConversion"/>
  </si>
  <si>
    <t>营业收入/平均固定资产</t>
    <phoneticPr fontId="7" type="noConversion"/>
  </si>
  <si>
    <t>营业收入/平均总资产</t>
    <phoneticPr fontId="7" type="noConversion"/>
  </si>
  <si>
    <t>总资产/总负债</t>
    <phoneticPr fontId="7" type="noConversion"/>
  </si>
  <si>
    <t>1-现金分红率</t>
    <phoneticPr fontId="7" type="noConversion"/>
  </si>
  <si>
    <t>总资产/股东权益</t>
    <phoneticPr fontId="7" type="noConversion"/>
  </si>
  <si>
    <t>（流动资产-存货）/流动负债</t>
    <phoneticPr fontId="7" type="noConversion"/>
  </si>
  <si>
    <t>（货币资金+交易性金融资产）/流动负债</t>
    <phoneticPr fontId="7" type="noConversion"/>
  </si>
  <si>
    <t>带息债务／股东权益</t>
    <phoneticPr fontId="67" type="noConversion"/>
  </si>
  <si>
    <t>非流动性负债/（总资产-流动性负债）</t>
    <phoneticPr fontId="7" type="noConversion"/>
  </si>
  <si>
    <t>EBIT/利息费用</t>
    <phoneticPr fontId="7" type="noConversion"/>
  </si>
  <si>
    <t>经营性现金流量/利息费用</t>
    <phoneticPr fontId="7" type="noConversion"/>
  </si>
  <si>
    <t>PE</t>
    <phoneticPr fontId="67" type="noConversion"/>
  </si>
  <si>
    <r>
      <t>PB</t>
    </r>
    <r>
      <rPr>
        <sz val="9"/>
        <rFont val="宋体"/>
        <family val="3"/>
        <charset val="134"/>
      </rPr>
      <t/>
    </r>
    <phoneticPr fontId="67" type="noConversion"/>
  </si>
  <si>
    <r>
      <t>PS</t>
    </r>
    <r>
      <rPr>
        <sz val="9"/>
        <rFont val="宋体"/>
        <family val="3"/>
        <charset val="134"/>
      </rPr>
      <t/>
    </r>
    <phoneticPr fontId="67" type="noConversion"/>
  </si>
  <si>
    <t>PCF</t>
    <phoneticPr fontId="67" type="noConversion"/>
  </si>
  <si>
    <t>股息率</t>
    <phoneticPr fontId="67" type="noConversion"/>
  </si>
  <si>
    <t xml:space="preserve">        利息支出</t>
    <phoneticPr fontId="7" type="noConversion"/>
  </si>
  <si>
    <t>流动资产/总资产</t>
    <phoneticPr fontId="7" type="noConversion"/>
  </si>
  <si>
    <t xml:space="preserve">    其中：货币资金(%)</t>
    <phoneticPr fontId="7" type="noConversion"/>
  </si>
  <si>
    <t xml:space="preserve">    其中：交易性金融资产(%)</t>
    <phoneticPr fontId="7" type="noConversion"/>
  </si>
  <si>
    <t xml:space="preserve">    其中：预付账款(%)</t>
    <phoneticPr fontId="7" type="noConversion"/>
  </si>
  <si>
    <t xml:space="preserve">    其中：其他流动资产(%)</t>
    <phoneticPr fontId="7" type="noConversion"/>
  </si>
  <si>
    <t xml:space="preserve">    其中：货币资金同比(%)</t>
    <phoneticPr fontId="7" type="noConversion"/>
  </si>
  <si>
    <t>货币资金同比(%)</t>
    <phoneticPr fontId="7" type="noConversion"/>
  </si>
  <si>
    <t>交易性金融资产同比(%)</t>
    <phoneticPr fontId="7" type="noConversion"/>
  </si>
  <si>
    <t>应收账款同比(%)</t>
    <phoneticPr fontId="7" type="noConversion"/>
  </si>
  <si>
    <t>现金分红率</t>
    <phoneticPr fontId="67" type="noConversion"/>
  </si>
  <si>
    <t>其他应收账款同比(%)</t>
    <phoneticPr fontId="7" type="noConversion"/>
  </si>
  <si>
    <t>预付账款同比(%)</t>
    <phoneticPr fontId="7" type="noConversion"/>
  </si>
  <si>
    <t>存货同比(%)</t>
    <phoneticPr fontId="7" type="noConversion"/>
  </si>
  <si>
    <t xml:space="preserve">    其中：存货同比(%)</t>
    <phoneticPr fontId="7" type="noConversion"/>
  </si>
  <si>
    <t>新增在建工程</t>
    <phoneticPr fontId="4" type="noConversion"/>
  </si>
  <si>
    <t>新增固定资产</t>
    <phoneticPr fontId="4" type="noConversion"/>
  </si>
  <si>
    <t>新增无形资产</t>
    <phoneticPr fontId="4" type="noConversion"/>
  </si>
  <si>
    <t>新增长期待摊费用</t>
    <phoneticPr fontId="4" type="noConversion"/>
  </si>
  <si>
    <t>新增长期借款</t>
    <phoneticPr fontId="4" type="noConversion"/>
  </si>
  <si>
    <t>其他流动资产同比(%)</t>
    <phoneticPr fontId="7" type="noConversion"/>
  </si>
  <si>
    <t>固定资产/总资产</t>
    <phoneticPr fontId="7" type="noConversion"/>
  </si>
  <si>
    <t>可供出售金融资产同比(%)</t>
  </si>
  <si>
    <t>持有至到期投资同比(%)</t>
  </si>
  <si>
    <t>投资性房地产同比(%)</t>
  </si>
  <si>
    <t>长期股权投资同比(%)</t>
  </si>
  <si>
    <t xml:space="preserve">    其中：固定资产同比(%)</t>
    <phoneticPr fontId="7" type="noConversion"/>
  </si>
  <si>
    <t>固定资产同比(%)</t>
  </si>
  <si>
    <t xml:space="preserve">    其中：在建工程同比(%)</t>
    <phoneticPr fontId="7" type="noConversion"/>
  </si>
  <si>
    <t>在建工程同比(%)</t>
  </si>
  <si>
    <t xml:space="preserve">    其中：无形资产同比(%)</t>
    <phoneticPr fontId="7" type="noConversion"/>
  </si>
  <si>
    <t>无形资产同比(%)</t>
  </si>
  <si>
    <t>长期待摊费用同比(%)</t>
  </si>
  <si>
    <t xml:space="preserve">    其中：商誉同比(%)</t>
    <phoneticPr fontId="7" type="noConversion"/>
  </si>
  <si>
    <t>商誉同比(%)</t>
  </si>
  <si>
    <t>流动负债/总负债</t>
    <phoneticPr fontId="7" type="noConversion"/>
  </si>
  <si>
    <t>货币资金/总资产</t>
    <phoneticPr fontId="7" type="noConversion"/>
  </si>
  <si>
    <t>交易性金融资产/总资产</t>
    <phoneticPr fontId="7" type="noConversion"/>
  </si>
  <si>
    <t>应收账款/总资产</t>
    <phoneticPr fontId="7" type="noConversion"/>
  </si>
  <si>
    <t>其他应收账款/总资产</t>
    <phoneticPr fontId="7" type="noConversion"/>
  </si>
  <si>
    <t>预付账款/总资产</t>
    <phoneticPr fontId="7" type="noConversion"/>
  </si>
  <si>
    <t>存货/总资产</t>
    <phoneticPr fontId="7" type="noConversion"/>
  </si>
  <si>
    <t>其他流动资产/总资产</t>
    <phoneticPr fontId="7" type="noConversion"/>
  </si>
  <si>
    <t>可供出售金融资产/总资产</t>
    <phoneticPr fontId="7" type="noConversion"/>
  </si>
  <si>
    <t>持有至到期投资/总资产</t>
    <phoneticPr fontId="7" type="noConversion"/>
  </si>
  <si>
    <t>投资性房地产/总资产</t>
    <phoneticPr fontId="7" type="noConversion"/>
  </si>
  <si>
    <t>长期股权投资/总资产</t>
    <phoneticPr fontId="7" type="noConversion"/>
  </si>
  <si>
    <t>在建工程/总资产</t>
    <phoneticPr fontId="7" type="noConversion"/>
  </si>
  <si>
    <t>无形资产/总资产</t>
    <phoneticPr fontId="7" type="noConversion"/>
  </si>
  <si>
    <t>长期待摊费用/总资产</t>
    <phoneticPr fontId="7" type="noConversion"/>
  </si>
  <si>
    <t>商誉/总资产</t>
    <phoneticPr fontId="7" type="noConversion"/>
  </si>
  <si>
    <t>短期借款/总负债</t>
    <phoneticPr fontId="7" type="noConversion"/>
  </si>
  <si>
    <t xml:space="preserve">    其中：交易性金融负债(%)</t>
    <phoneticPr fontId="7" type="noConversion"/>
  </si>
  <si>
    <t>交易性金融负债/总负债</t>
    <phoneticPr fontId="7" type="noConversion"/>
  </si>
  <si>
    <t>应付账款/总负债</t>
    <phoneticPr fontId="7" type="noConversion"/>
  </si>
  <si>
    <t>预收账款/总负债</t>
    <phoneticPr fontId="7" type="noConversion"/>
  </si>
  <si>
    <t>其他应付款/总负债</t>
    <phoneticPr fontId="7" type="noConversion"/>
  </si>
  <si>
    <t>递延收益/总负债</t>
    <phoneticPr fontId="7" type="noConversion"/>
  </si>
  <si>
    <t xml:space="preserve">    其中：递延收益(%)</t>
    <phoneticPr fontId="7" type="noConversion"/>
  </si>
  <si>
    <t xml:space="preserve">    其中：一年内到期的非流动负债(%)</t>
    <phoneticPr fontId="7" type="noConversion"/>
  </si>
  <si>
    <r>
      <t>期初长期股权投资+投资净收益（联营合营企业）</t>
    </r>
    <r>
      <rPr>
        <sz val="9"/>
        <rFont val="宋体"/>
        <family val="3"/>
        <charset val="134"/>
      </rPr>
      <t>+预测增量</t>
    </r>
    <phoneticPr fontId="7" type="noConversion"/>
  </si>
  <si>
    <r>
      <t>长期股权投资(增量</t>
    </r>
    <r>
      <rPr>
        <sz val="9"/>
        <rFont val="宋体"/>
        <family val="3"/>
        <charset val="134"/>
      </rPr>
      <t>)</t>
    </r>
    <phoneticPr fontId="4" type="noConversion"/>
  </si>
  <si>
    <t>证券代码</t>
    <phoneticPr fontId="194" type="noConversion"/>
  </si>
  <si>
    <t>财务报表</t>
    <phoneticPr fontId="7" type="noConversion"/>
  </si>
  <si>
    <t>S_TotalOperInc</t>
    <phoneticPr fontId="7" type="noConversion"/>
  </si>
  <si>
    <t>S_OperInc</t>
  </si>
  <si>
    <t>S_InterestInc</t>
  </si>
  <si>
    <t>S_PremInc</t>
  </si>
  <si>
    <t>S_FeeCommInc</t>
  </si>
  <si>
    <t>S_OperPayout</t>
  </si>
  <si>
    <t>S_OperCost</t>
  </si>
  <si>
    <t>S_InterestPayout</t>
  </si>
  <si>
    <t>S_FeeCommPayout</t>
  </si>
  <si>
    <t>S_SurrenderPrem</t>
  </si>
  <si>
    <t>S_CompPay</t>
  </si>
  <si>
    <t>S_InsurContractRsv</t>
  </si>
  <si>
    <t>S_PolicyDivPayout</t>
  </si>
  <si>
    <t>S_RinPrem</t>
  </si>
  <si>
    <t>S_OperTaxAdd</t>
  </si>
  <si>
    <t>S_SellExp</t>
  </si>
  <si>
    <t>S_AdmExp</t>
  </si>
  <si>
    <t>S_FinExp</t>
  </si>
  <si>
    <t>S_AssetsImpair</t>
  </si>
  <si>
    <t>S_FairValueChangeInc</t>
  </si>
  <si>
    <t>S_InvestInc</t>
  </si>
  <si>
    <t>S_InvestIncJointVenture</t>
  </si>
  <si>
    <t>S_ExchangeInc</t>
  </si>
  <si>
    <t>S_OperProfit</t>
  </si>
  <si>
    <t>S_NonOperInc</t>
  </si>
  <si>
    <t>S_NonOperPayout</t>
  </si>
  <si>
    <t>S_LossDsplNonCurAssets</t>
  </si>
  <si>
    <t>S_TotalProfit</t>
  </si>
  <si>
    <t>S_IncTax</t>
  </si>
  <si>
    <t>S_NetProfit</t>
  </si>
  <si>
    <t>S_MinHolderInc</t>
  </si>
  <si>
    <t>S_NetProfitParentComp</t>
  </si>
  <si>
    <t>S_EPS_Bas</t>
  </si>
  <si>
    <t>S_EPS_Dil</t>
  </si>
  <si>
    <t>S_OtherCompInc</t>
  </si>
  <si>
    <t>S_CompInc</t>
  </si>
  <si>
    <t>S_MinHolderCompInc</t>
  </si>
  <si>
    <t>S_ParentCompanyCompInc</t>
  </si>
  <si>
    <t>S_AmountPrTaxPer</t>
    <phoneticPr fontId="7" type="noConversion"/>
  </si>
  <si>
    <t>S_SNumerGivePer</t>
    <phoneticPr fontId="7" type="noConversion"/>
  </si>
  <si>
    <t>S_AddSPer</t>
    <phoneticPr fontId="7" type="noConversion"/>
  </si>
  <si>
    <t>S_Cash</t>
  </si>
  <si>
    <t>S_TrdFinAsset</t>
  </si>
  <si>
    <t>S_RcvNotes</t>
  </si>
  <si>
    <t>S_RcvAcct</t>
  </si>
  <si>
    <t>S_AcctPrepaid</t>
  </si>
  <si>
    <t>S_RcvInterest</t>
  </si>
  <si>
    <t>S_RcvDividend</t>
  </si>
  <si>
    <t>S_RcvOther</t>
    <phoneticPr fontId="7" type="noConversion"/>
  </si>
  <si>
    <t>S_Invt</t>
    <phoneticPr fontId="7" type="noConversion"/>
  </si>
  <si>
    <t>S_NonCurrentAssetsOneYear</t>
    <phoneticPr fontId="7" type="noConversion"/>
  </si>
  <si>
    <t>S_OtherCurrentAssets</t>
  </si>
  <si>
    <t>S_PrepaidExp</t>
  </si>
  <si>
    <t>S_DepositReserveBal</t>
  </si>
  <si>
    <t>S_Lend</t>
  </si>
  <si>
    <t>S_RcvPrem</t>
  </si>
  <si>
    <t>S_RcvRinPrem</t>
  </si>
  <si>
    <t>S_RcvRinRsv</t>
  </si>
  <si>
    <t>S_PurResellFinAssets</t>
  </si>
  <si>
    <t>S_DerivFinAssets</t>
  </si>
  <si>
    <t>S_TotalCurrentAssets</t>
  </si>
  <si>
    <t>S_TotalNonCurrentAssets</t>
  </si>
  <si>
    <t>S_FinAssetSale</t>
  </si>
  <si>
    <t>S_HoldMaturityInvest</t>
  </si>
  <si>
    <t>S_LT_Rcv</t>
  </si>
  <si>
    <t>S_LT_EquityInvest</t>
  </si>
  <si>
    <t>S_InvestEstate</t>
  </si>
  <si>
    <t>S_FixAssets</t>
  </si>
  <si>
    <t>S_ConstPrj</t>
  </si>
  <si>
    <t>S_PrjMatl</t>
  </si>
  <si>
    <t>S_DisposalFixAssets</t>
  </si>
  <si>
    <t>S_ProductBioAssets</t>
  </si>
  <si>
    <t>S_OilGasAssets</t>
  </si>
  <si>
    <t>S_IntgAssets</t>
  </si>
  <si>
    <t>S_RDExp</t>
  </si>
  <si>
    <t>S_GW</t>
  </si>
  <si>
    <t>S_LT_PrepaidExp</t>
  </si>
  <si>
    <t>S_DfrTaxAssets</t>
  </si>
  <si>
    <t>S_OtherNonCurrentAssets</t>
  </si>
  <si>
    <t>S_LoanAdvIssue</t>
  </si>
  <si>
    <t>S_TotalAssets</t>
  </si>
  <si>
    <t>S_STloan</t>
  </si>
  <si>
    <t>S_TrdFin</t>
  </si>
  <si>
    <t>S_NotePay</t>
  </si>
  <si>
    <t>S_AcctPay</t>
  </si>
  <si>
    <t>S_AcctAdv</t>
  </si>
  <si>
    <t>S_EmployeePay</t>
  </si>
  <si>
    <t>S_TaxPay</t>
  </si>
  <si>
    <t>S_InterestPay</t>
  </si>
  <si>
    <t>S_DividendPay</t>
  </si>
  <si>
    <t>S_OtherPay</t>
  </si>
  <si>
    <t>S_AccrPay</t>
  </si>
  <si>
    <t>S_DfrIncomeCur</t>
  </si>
  <si>
    <t>S_NonCurrentLiabOneYear</t>
  </si>
  <si>
    <t>S_OtherCurrentLiab</t>
  </si>
  <si>
    <t>S_STBond</t>
  </si>
  <si>
    <t>S_CBLoanh</t>
  </si>
  <si>
    <t>S_Saving</t>
  </si>
  <si>
    <t>S_LoanOtherBank</t>
  </si>
  <si>
    <t>S_SellRepurAssets</t>
  </si>
  <si>
    <t>S_FeePay</t>
  </si>
  <si>
    <t>S_RinAcctPay</t>
  </si>
  <si>
    <t>S_InContractReserve</t>
  </si>
  <si>
    <t>S_VicarTrdSecu</t>
  </si>
  <si>
    <t>S_VicarUwSecu</t>
  </si>
  <si>
    <t>S_DerivFinLiab</t>
  </si>
  <si>
    <t>S_TotalCurrentLiab</t>
  </si>
  <si>
    <t>S_LTLoan</t>
  </si>
  <si>
    <t>S_BondPay</t>
  </si>
  <si>
    <t>S_LTPay</t>
  </si>
  <si>
    <t>S_SpclPay</t>
  </si>
  <si>
    <t>S_EstLiab</t>
  </si>
  <si>
    <t>S_DfrTaxLiab</t>
  </si>
  <si>
    <t>S_DfrIncomeNonCur</t>
  </si>
  <si>
    <t>S_OtherNonCurrentLiab</t>
  </si>
  <si>
    <t>S_TotalNonCurrentLiab</t>
  </si>
  <si>
    <t>S_TotalLiab</t>
  </si>
  <si>
    <t>S_TotalEqy</t>
  </si>
  <si>
    <t>S_SubCptl</t>
  </si>
  <si>
    <t>S_CptlRsv</t>
  </si>
  <si>
    <t>S_TreasStock</t>
  </si>
  <si>
    <t>S_SurRsv</t>
  </si>
  <si>
    <t>S_UndisProfit</t>
  </si>
  <si>
    <t>S_ConvertDiffFCY</t>
  </si>
  <si>
    <t>S_SpclRsv</t>
  </si>
  <si>
    <t>S_RiskRsv</t>
  </si>
  <si>
    <t>S_ParentCompanyEqy</t>
  </si>
  <si>
    <t>S_MinHolderEqy</t>
  </si>
  <si>
    <t>S_TotalLiabEqy</t>
  </si>
  <si>
    <t>S_CashSale</t>
  </si>
  <si>
    <t>S_DpstCustOBNetIncr</t>
  </si>
  <si>
    <t>S_LoanAdvCustNetIncr</t>
  </si>
  <si>
    <t>S_CBLoanNetIncr</t>
  </si>
  <si>
    <t>S_LoanOtherFinNetIncr</t>
  </si>
  <si>
    <t>S_CashIntFeeRcv</t>
  </si>
  <si>
    <t>S_TaxRefund</t>
  </si>
  <si>
    <t>S_OtherCashOperRcv</t>
  </si>
  <si>
    <t>S_TotalCashInc</t>
  </si>
  <si>
    <t>S_DpstCBOBNetIncr</t>
  </si>
  <si>
    <t>S_RepurOperNetIncr</t>
  </si>
  <si>
    <t>S_CashPayGoodsSvc</t>
  </si>
  <si>
    <t>S_CashPayEmp</t>
  </si>
  <si>
    <t>S_CashPayTax</t>
  </si>
  <si>
    <t>S_OtherCashOperPay</t>
  </si>
  <si>
    <t>S_TotalCashPayout</t>
  </si>
  <si>
    <t>S_NetCFOper</t>
  </si>
  <si>
    <t>S_CashSaleInvRcv</t>
  </si>
  <si>
    <t>S_CashInvIncRcv</t>
  </si>
  <si>
    <t>S_CashDsplFixLTAssetsRcv</t>
  </si>
  <si>
    <t>S_CashDsplSubCompanyRcv</t>
  </si>
  <si>
    <t>S_CashOtherInvRcv</t>
  </si>
  <si>
    <t>S_CFInv</t>
  </si>
  <si>
    <t>S_CashPurFixLTAssetsPay</t>
  </si>
  <si>
    <t>S_CashInvPay</t>
  </si>
  <si>
    <t>S_CashSubCompanyPay</t>
  </si>
  <si>
    <t>S_CashOtherInvPay</t>
  </si>
  <si>
    <t>S_CFInvPayout</t>
  </si>
  <si>
    <t>S_NetCFInv</t>
  </si>
  <si>
    <t>S_CashRcvCptl</t>
  </si>
  <si>
    <t>S_CashSubCompRcvMinHolderInv</t>
  </si>
  <si>
    <t>S_CashRcvLoan</t>
  </si>
  <si>
    <t>S_CashRcvOtherFin</t>
  </si>
  <si>
    <t>S_CashRcvIssueBond</t>
  </si>
  <si>
    <t>S_CFInFin</t>
  </si>
  <si>
    <t>S_CashPayBond</t>
  </si>
  <si>
    <t>S_CashPayDivdInt</t>
  </si>
  <si>
    <t>S_SubCompanyPayDivdInt</t>
  </si>
  <si>
    <t>S_CashOtherPayFin</t>
  </si>
  <si>
    <t>S_CFOutFin</t>
  </si>
  <si>
    <t>S_NetCFFin</t>
  </si>
  <si>
    <t>S_CashExchangeRateEfct</t>
  </si>
  <si>
    <t>S_CashEqNetIncr</t>
  </si>
  <si>
    <t>S_CashEqBegin</t>
  </si>
  <si>
    <t>S_CashEqEnd</t>
  </si>
  <si>
    <t>S_NetProfitNote</t>
  </si>
  <si>
    <t>S_PrvsAssetsLoss</t>
  </si>
  <si>
    <t>S_DeprFix_Gas_BioAssets</t>
  </si>
  <si>
    <t>S_AmortIntgAssets</t>
  </si>
  <si>
    <t>S_AmortLTExpPrepay</t>
  </si>
  <si>
    <t>S_ExpPrePayLoss</t>
  </si>
  <si>
    <t>S_ExpAccrIncr</t>
  </si>
  <si>
    <t>S_DsplFixLTAssetsLoss</t>
  </si>
  <si>
    <t>S_FixAssetsScrapLoss</t>
  </si>
  <si>
    <t>S_FairValueChangeLoss</t>
  </si>
  <si>
    <t>S_ExpFinNote</t>
  </si>
  <si>
    <t>S_InvLoss</t>
  </si>
  <si>
    <t>S_DfrTaxAssetsDecr</t>
  </si>
  <si>
    <t>S_DfrTaxLiabIncr</t>
  </si>
  <si>
    <t>S_InvtDecr</t>
  </si>
  <si>
    <t>S_OperRcvDecr</t>
  </si>
  <si>
    <t>S_OperPayIncr</t>
  </si>
  <si>
    <t>S_Other</t>
  </si>
  <si>
    <t>S_NetCFOperNote</t>
  </si>
  <si>
    <t>S_LiabConvCptl</t>
  </si>
  <si>
    <t>S_ConvBondOneYear</t>
  </si>
  <si>
    <t>S_LsFixAssets</t>
  </si>
  <si>
    <t>S_CashPrdEnd</t>
  </si>
  <si>
    <t>S_CashPrdBegin</t>
  </si>
  <si>
    <t>S_CashEqPrdEnd</t>
  </si>
  <si>
    <t>S_CashEqPrdBegin</t>
  </si>
  <si>
    <t>S_CashEqNetIncrNote</t>
  </si>
  <si>
    <t>S_RD_EXP</t>
  </si>
  <si>
    <t>S_ZFBZ</t>
  </si>
  <si>
    <t>S_SSFHJM</t>
  </si>
  <si>
    <t>S_NET_PROF_PCO_EXCL</t>
  </si>
  <si>
    <t>S_SSGDQY_YXE</t>
  </si>
  <si>
    <t>S_SDS_YXE</t>
  </si>
  <si>
    <t>股票简称：</t>
    <phoneticPr fontId="7" type="noConversion"/>
  </si>
  <si>
    <t>最新年报报告期：</t>
    <phoneticPr fontId="7" type="noConversion"/>
  </si>
  <si>
    <t>所属行业：</t>
    <phoneticPr fontId="7" type="noConversion"/>
  </si>
  <si>
    <t>浦发银行</t>
  </si>
  <si>
    <t>估值日期：</t>
    <phoneticPr fontId="7" type="noConversion"/>
  </si>
  <si>
    <t>总股本(百万股)：</t>
    <phoneticPr fontId="7" type="noConversion"/>
  </si>
  <si>
    <t>预测年数：</t>
    <phoneticPr fontId="7" type="noConversion"/>
  </si>
  <si>
    <t>流通股本(百万股)：</t>
    <phoneticPr fontId="7" type="noConversion"/>
  </si>
  <si>
    <t>历史年数显示设置：</t>
    <phoneticPr fontId="7" type="noConversion"/>
  </si>
  <si>
    <t>H股流通(百万股)：</t>
    <phoneticPr fontId="7" type="noConversion"/>
  </si>
  <si>
    <t>报表类型选择：</t>
    <phoneticPr fontId="7" type="noConversion"/>
  </si>
  <si>
    <t>B股流通(百万股)：</t>
    <phoneticPr fontId="7" type="noConversion"/>
  </si>
  <si>
    <t>最新A股收盘价(元)：</t>
    <phoneticPr fontId="7" type="noConversion"/>
  </si>
  <si>
    <t>最新H股收盘价(元)：</t>
    <phoneticPr fontId="7" type="noConversion"/>
  </si>
  <si>
    <t>最新B股收盘价(元)：</t>
    <phoneticPr fontId="7" type="noConversion"/>
  </si>
  <si>
    <t>港币兑人民币汇率：</t>
    <phoneticPr fontId="7" type="noConversion"/>
  </si>
  <si>
    <t>美元兑人民币汇率：</t>
    <phoneticPr fontId="7" type="noConversion"/>
  </si>
  <si>
    <t>说明        显示/隐藏</t>
    <phoneticPr fontId="7" type="noConversion"/>
  </si>
  <si>
    <t>估值平台使用的注意点及流程图</t>
    <phoneticPr fontId="7" type="noConversion"/>
  </si>
  <si>
    <t xml:space="preserve">目录          </t>
    <phoneticPr fontId="7" type="noConversion"/>
  </si>
  <si>
    <t>设置全局参数</t>
    <phoneticPr fontId="7" type="noConversion"/>
  </si>
  <si>
    <t>年度数据</t>
    <phoneticPr fontId="7" type="noConversion"/>
  </si>
  <si>
    <t>历史年度报表数据</t>
    <phoneticPr fontId="7" type="noConversion"/>
  </si>
  <si>
    <t>收入成本预测</t>
    <phoneticPr fontId="7" type="noConversion"/>
  </si>
  <si>
    <t>预测公司各产品的营业收入及营业成本</t>
    <phoneticPr fontId="7" type="noConversion"/>
  </si>
  <si>
    <t>单产品敏感性分析</t>
    <phoneticPr fontId="7" type="noConversion"/>
  </si>
  <si>
    <t>假设</t>
    <phoneticPr fontId="7" type="noConversion"/>
  </si>
  <si>
    <t>报表科目预测方法汇总</t>
    <phoneticPr fontId="7" type="noConversion"/>
  </si>
  <si>
    <t>假设记录表</t>
    <phoneticPr fontId="7" type="noConversion"/>
  </si>
  <si>
    <t>记录假设科目与参数</t>
    <phoneticPr fontId="7" type="noConversion"/>
  </si>
  <si>
    <t>利润表</t>
    <phoneticPr fontId="7" type="noConversion"/>
  </si>
  <si>
    <t>历史数据直接填入，预测数据自动生成</t>
    <phoneticPr fontId="7" type="noConversion"/>
  </si>
  <si>
    <t>资产负债表</t>
    <phoneticPr fontId="7" type="noConversion"/>
  </si>
  <si>
    <t>现金流量表</t>
    <phoneticPr fontId="7" type="noConversion"/>
  </si>
  <si>
    <t>由利润表和资产负债表勾稽间接生成</t>
    <phoneticPr fontId="7" type="noConversion"/>
  </si>
  <si>
    <t>营运资本</t>
    <phoneticPr fontId="7" type="noConversion"/>
  </si>
  <si>
    <t>自动生成，不可修改</t>
    <phoneticPr fontId="7" type="noConversion"/>
  </si>
  <si>
    <t>资本投资</t>
    <phoneticPr fontId="7" type="noConversion"/>
  </si>
  <si>
    <t>债务</t>
    <phoneticPr fontId="7" type="noConversion"/>
  </si>
  <si>
    <t>资产规模指数化分析</t>
    <phoneticPr fontId="7" type="noConversion"/>
  </si>
  <si>
    <t>个性化分析方法，可直接参考，也自定义修改</t>
    <phoneticPr fontId="7" type="noConversion"/>
  </si>
  <si>
    <t>同比报表</t>
    <phoneticPr fontId="7" type="noConversion"/>
  </si>
  <si>
    <t>根据利润表和资产负债表比例生成</t>
    <phoneticPr fontId="7" type="noConversion"/>
  </si>
  <si>
    <t>杜邦分析</t>
    <phoneticPr fontId="7" type="noConversion"/>
  </si>
  <si>
    <t>自动生成图形</t>
    <phoneticPr fontId="7" type="noConversion"/>
  </si>
  <si>
    <t>绝对估值</t>
    <phoneticPr fontId="7" type="noConversion"/>
  </si>
  <si>
    <t>用户填写关键参数，估值结果自动生成</t>
    <phoneticPr fontId="7" type="noConversion"/>
  </si>
  <si>
    <t>财务分析</t>
    <phoneticPr fontId="7" type="noConversion"/>
  </si>
  <si>
    <t>自动生成，不可修改</t>
    <phoneticPr fontId="7" type="noConversion"/>
  </si>
  <si>
    <t>绝对估值敏感分析</t>
    <phoneticPr fontId="7" type="noConversion"/>
  </si>
  <si>
    <t>相对估值</t>
    <phoneticPr fontId="7" type="noConversion"/>
  </si>
  <si>
    <t>输出</t>
    <phoneticPr fontId="7" type="noConversion"/>
  </si>
  <si>
    <t>自动生成，不可修改</t>
    <phoneticPr fontId="7" type="noConversion"/>
  </si>
  <si>
    <t>季度数据</t>
    <phoneticPr fontId="7" type="noConversion"/>
  </si>
  <si>
    <t>历史年非度报表数据</t>
    <phoneticPr fontId="7" type="noConversion"/>
  </si>
  <si>
    <t>图形</t>
    <phoneticPr fontId="7" type="noConversion"/>
  </si>
  <si>
    <t>情景表</t>
    <phoneticPr fontId="7" type="noConversion"/>
  </si>
  <si>
    <t>记录不同预期下报表预测结果</t>
    <phoneticPr fontId="7" type="noConversion"/>
  </si>
  <si>
    <t>S_TotalOperInc</t>
  </si>
  <si>
    <t>S_AmountPrTaxPer</t>
  </si>
  <si>
    <t>S_SNumerGivePer</t>
  </si>
  <si>
    <t>S_AddSPer</t>
  </si>
  <si>
    <t>S_RcvOther</t>
  </si>
  <si>
    <t>S_Invt</t>
  </si>
  <si>
    <t>S_NonCurrentAssetsOneYear</t>
  </si>
  <si>
    <t>按产品分类</t>
  </si>
  <si>
    <t>2010-12-31</t>
  </si>
  <si>
    <t>2011-12-31</t>
  </si>
  <si>
    <t>2012-12-31</t>
  </si>
  <si>
    <t>S_Non-restrictedA</t>
  </si>
  <si>
    <t>S_RestrictedShr</t>
  </si>
  <si>
    <r>
      <t>v</t>
    </r>
    <r>
      <rPr>
        <sz val="9"/>
        <rFont val="宋体"/>
        <family val="3"/>
        <charset val="134"/>
      </rPr>
      <t>lookup</t>
    </r>
  </si>
  <si>
    <t>按行业分类</t>
  </si>
  <si>
    <t>成本和收入</t>
  </si>
  <si>
    <t>按产品</t>
  </si>
  <si>
    <t>收入</t>
  </si>
  <si>
    <t>成本</t>
  </si>
  <si>
    <t>按行业分</t>
  </si>
  <si>
    <t>单位：百万元</t>
    <phoneticPr fontId="4" type="noConversion"/>
  </si>
  <si>
    <t>利润表主要比率</t>
    <phoneticPr fontId="4" type="noConversion"/>
  </si>
  <si>
    <t>营业成本的收入百分比(%)</t>
    <phoneticPr fontId="4" type="noConversion"/>
  </si>
  <si>
    <t>收入和成本及预测</t>
    <phoneticPr fontId="4" type="noConversion"/>
  </si>
  <si>
    <t xml:space="preserve"> </t>
    <phoneticPr fontId="4" type="noConversion"/>
  </si>
  <si>
    <t>合计</t>
    <phoneticPr fontId="4" type="noConversion"/>
  </si>
  <si>
    <t>营业成本</t>
    <phoneticPr fontId="4" type="noConversion"/>
  </si>
  <si>
    <t>单位：百万元</t>
    <phoneticPr fontId="7" type="noConversion"/>
  </si>
  <si>
    <t>固定资产--净PP&amp;E</t>
    <phoneticPr fontId="7" type="noConversion"/>
  </si>
  <si>
    <t>经营流动资产</t>
    <phoneticPr fontId="7" type="noConversion"/>
  </si>
  <si>
    <t>Working Cash Balance</t>
    <phoneticPr fontId="7" type="noConversion"/>
  </si>
  <si>
    <t xml:space="preserve">应收票据(元) </t>
    <phoneticPr fontId="7" type="noConversion"/>
  </si>
  <si>
    <t xml:space="preserve">应收账款(元) </t>
  </si>
  <si>
    <t xml:space="preserve">预付款项(元) </t>
  </si>
  <si>
    <t xml:space="preserve">其他应收款(元) </t>
  </si>
  <si>
    <t xml:space="preserve">存货(元) </t>
  </si>
  <si>
    <t>经营流动负债</t>
    <phoneticPr fontId="7" type="noConversion"/>
  </si>
  <si>
    <t xml:space="preserve">应付票据(元) </t>
  </si>
  <si>
    <t xml:space="preserve">应付账款(元) </t>
  </si>
  <si>
    <t xml:space="preserve">预收款项(元) </t>
  </si>
  <si>
    <t xml:space="preserve">应付职工薪酬(元) </t>
  </si>
  <si>
    <t xml:space="preserve">应交税费(元) </t>
  </si>
  <si>
    <t xml:space="preserve">其他应付款(元) </t>
  </si>
  <si>
    <t xml:space="preserve">递延收益-流动负债(元) </t>
  </si>
  <si>
    <t>Working Capital Invested（当期）</t>
    <phoneticPr fontId="7" type="noConversion"/>
  </si>
  <si>
    <t>基期（自定义）</t>
    <phoneticPr fontId="7" type="noConversion"/>
  </si>
  <si>
    <t>指数化</t>
    <phoneticPr fontId="7" type="noConversion"/>
  </si>
  <si>
    <t>百分比化（当期）</t>
    <phoneticPr fontId="194" type="noConversion"/>
  </si>
  <si>
    <t>2009-03-31</t>
    <phoneticPr fontId="7" type="noConversion"/>
  </si>
  <si>
    <t>2009-06-30</t>
    <phoneticPr fontId="7" type="noConversion"/>
  </si>
  <si>
    <t>2009-09-30</t>
    <phoneticPr fontId="7" type="noConversion"/>
  </si>
  <si>
    <t>2009-12-31</t>
    <phoneticPr fontId="7" type="noConversion"/>
  </si>
  <si>
    <t>2010-03-31</t>
    <phoneticPr fontId="7" type="noConversion"/>
  </si>
  <si>
    <t>2010-06-30</t>
    <phoneticPr fontId="7" type="noConversion"/>
  </si>
  <si>
    <t>2010-09-30</t>
    <phoneticPr fontId="7" type="noConversion"/>
  </si>
  <si>
    <t>2010-12-31</t>
    <phoneticPr fontId="7" type="noConversion"/>
  </si>
  <si>
    <t>2011-03-31</t>
    <phoneticPr fontId="7" type="noConversion"/>
  </si>
  <si>
    <t>2011-06-30</t>
    <phoneticPr fontId="7" type="noConversion"/>
  </si>
  <si>
    <t>2011-09-30</t>
    <phoneticPr fontId="7" type="noConversion"/>
  </si>
  <si>
    <t>2011-12-31</t>
    <phoneticPr fontId="7" type="noConversion"/>
  </si>
  <si>
    <t>2012E</t>
    <phoneticPr fontId="7" type="noConversion"/>
  </si>
  <si>
    <t>Working Cash Balance</t>
  </si>
  <si>
    <t>经营流动负债</t>
    <phoneticPr fontId="7" type="noConversion"/>
  </si>
  <si>
    <t>百分比（当期）的指数化</t>
  </si>
  <si>
    <t>其他经营资产</t>
    <phoneticPr fontId="7" type="noConversion"/>
  </si>
  <si>
    <t xml:space="preserve">在建工程(元) </t>
    <phoneticPr fontId="7" type="noConversion"/>
  </si>
  <si>
    <t xml:space="preserve">工程物资(元) </t>
    <phoneticPr fontId="7" type="noConversion"/>
  </si>
  <si>
    <t xml:space="preserve">生产性生物资产(元) </t>
    <phoneticPr fontId="7" type="noConversion"/>
  </si>
  <si>
    <t xml:space="preserve">油气资产(元) </t>
    <phoneticPr fontId="7" type="noConversion"/>
  </si>
  <si>
    <t xml:space="preserve">无形资产(元) </t>
    <phoneticPr fontId="7" type="noConversion"/>
  </si>
  <si>
    <t xml:space="preserve">开发支出(元) </t>
    <phoneticPr fontId="7" type="noConversion"/>
  </si>
  <si>
    <t xml:space="preserve">长期待摊费用(元) </t>
    <phoneticPr fontId="7" type="noConversion"/>
  </si>
  <si>
    <t>其他经营负债</t>
    <phoneticPr fontId="7" type="noConversion"/>
  </si>
  <si>
    <t xml:space="preserve">长期应付款(元)  </t>
    <phoneticPr fontId="7" type="noConversion"/>
  </si>
  <si>
    <t xml:space="preserve">递延收益-非流动负债(元)  </t>
    <phoneticPr fontId="7" type="noConversion"/>
  </si>
  <si>
    <t>Net Other Invested Capital（当期）</t>
    <phoneticPr fontId="7" type="noConversion"/>
  </si>
  <si>
    <t>基期（自定义）</t>
    <phoneticPr fontId="7" type="noConversion"/>
  </si>
  <si>
    <t>指数化</t>
    <phoneticPr fontId="7" type="noConversion"/>
  </si>
  <si>
    <t>百分比化（当期）</t>
    <phoneticPr fontId="194" type="noConversion"/>
  </si>
  <si>
    <t>其他经营资产</t>
    <phoneticPr fontId="7" type="noConversion"/>
  </si>
  <si>
    <t xml:space="preserve">在建工程(元) </t>
    <phoneticPr fontId="7" type="noConversion"/>
  </si>
  <si>
    <t xml:space="preserve">工程物资(元) </t>
    <phoneticPr fontId="7" type="noConversion"/>
  </si>
  <si>
    <t xml:space="preserve">生产性生物资产(元) </t>
    <phoneticPr fontId="7" type="noConversion"/>
  </si>
  <si>
    <t xml:space="preserve">油气资产(元) </t>
    <phoneticPr fontId="7" type="noConversion"/>
  </si>
  <si>
    <t xml:space="preserve">无形资产(元) </t>
    <phoneticPr fontId="7" type="noConversion"/>
  </si>
  <si>
    <t xml:space="preserve">开发支出(元) </t>
    <phoneticPr fontId="7" type="noConversion"/>
  </si>
  <si>
    <t xml:space="preserve">长期待摊费用(元) </t>
    <phoneticPr fontId="7" type="noConversion"/>
  </si>
  <si>
    <t>其他经营负债</t>
    <phoneticPr fontId="7" type="noConversion"/>
  </si>
  <si>
    <t xml:space="preserve">长期应付款(元)  </t>
    <phoneticPr fontId="7" type="noConversion"/>
  </si>
  <si>
    <t xml:space="preserve">递延收益-非流动负债(元)  </t>
    <phoneticPr fontId="7" type="noConversion"/>
  </si>
  <si>
    <t>非经营资产</t>
    <phoneticPr fontId="7" type="noConversion"/>
  </si>
  <si>
    <t>长期股权投资</t>
    <phoneticPr fontId="7" type="noConversion"/>
  </si>
  <si>
    <r>
      <t>Excess</t>
    </r>
    <r>
      <rPr>
        <sz val="9"/>
        <rFont val="宋体"/>
        <family val="3"/>
        <charset val="134"/>
      </rPr>
      <t xml:space="preserve"> Cash</t>
    </r>
    <phoneticPr fontId="7" type="noConversion"/>
  </si>
  <si>
    <t>交易性金融资产</t>
    <phoneticPr fontId="7" type="noConversion"/>
  </si>
  <si>
    <t>应收股利</t>
    <phoneticPr fontId="7" type="noConversion"/>
  </si>
  <si>
    <t>一年内到期的非流动资产</t>
    <phoneticPr fontId="7" type="noConversion"/>
  </si>
  <si>
    <t>其他流动资产</t>
    <phoneticPr fontId="7" type="noConversion"/>
  </si>
  <si>
    <t>持有至到期投资</t>
    <phoneticPr fontId="7" type="noConversion"/>
  </si>
  <si>
    <t>投资性房地产</t>
    <phoneticPr fontId="7" type="noConversion"/>
  </si>
  <si>
    <t>固定资产清理</t>
    <phoneticPr fontId="7" type="noConversion"/>
  </si>
  <si>
    <t>其他非流动资产</t>
    <phoneticPr fontId="7" type="noConversion"/>
  </si>
  <si>
    <t>Decomposing ROIC</t>
    <phoneticPr fontId="7" type="noConversion"/>
  </si>
  <si>
    <t>固定资产（净PP&amp;E）</t>
    <phoneticPr fontId="7" type="noConversion"/>
  </si>
  <si>
    <t>Working Capital Invested</t>
    <phoneticPr fontId="7" type="noConversion"/>
  </si>
  <si>
    <t>Net Other Operating Assets</t>
    <phoneticPr fontId="7" type="noConversion"/>
  </si>
  <si>
    <t>Capital Invested（不包含商誉）</t>
    <phoneticPr fontId="7" type="noConversion"/>
  </si>
  <si>
    <t>营业收入（季度）</t>
    <phoneticPr fontId="7" type="noConversion"/>
  </si>
  <si>
    <t>固定资产（净PP&amp;E）——均值</t>
    <phoneticPr fontId="7" type="noConversion"/>
  </si>
  <si>
    <t>Working Capital Invested——均值</t>
    <phoneticPr fontId="7" type="noConversion"/>
  </si>
  <si>
    <t>Net Other Operating Assets——均值</t>
    <phoneticPr fontId="7" type="noConversion"/>
  </si>
  <si>
    <t>Capital Invested（不包含商誉）——均值</t>
    <phoneticPr fontId="7" type="noConversion"/>
  </si>
  <si>
    <t>（固定资产（净PP&amp;E）——均值）/Revenue（季度）</t>
    <phoneticPr fontId="7" type="noConversion"/>
  </si>
  <si>
    <t>（Working Capital Invested——均值）/Revenue（季度）</t>
    <phoneticPr fontId="7" type="noConversion"/>
  </si>
  <si>
    <t>（Net Other Operating Assets——均值）/Revenue（季度）</t>
    <phoneticPr fontId="7" type="noConversion"/>
  </si>
  <si>
    <t>（Capital Invested（不包含商誉）——均值）/Revenue（季度）</t>
    <phoneticPr fontId="7" type="noConversion"/>
  </si>
  <si>
    <t>营业收入（年度）</t>
    <phoneticPr fontId="7" type="noConversion"/>
  </si>
  <si>
    <t>固定资产（净PP&amp;E）——均值</t>
    <phoneticPr fontId="7" type="noConversion"/>
  </si>
  <si>
    <t>Working Capital Invested——均值</t>
    <phoneticPr fontId="7" type="noConversion"/>
  </si>
  <si>
    <t>Net Other Operating Assets——均值</t>
    <phoneticPr fontId="7" type="noConversion"/>
  </si>
  <si>
    <t>Capital Invested（不包含商誉）——均值</t>
    <phoneticPr fontId="7" type="noConversion"/>
  </si>
  <si>
    <t>（固定资产（净PP&amp;E）——均值）/Revenue（年度）</t>
    <phoneticPr fontId="7" type="noConversion"/>
  </si>
  <si>
    <t>（Working Capital Invested——均值）/Revenue（年度）</t>
    <phoneticPr fontId="7" type="noConversion"/>
  </si>
  <si>
    <t>（Net Other Operating Assets——均值）/Revenue（年度）</t>
    <phoneticPr fontId="7" type="noConversion"/>
  </si>
  <si>
    <t>（Capital Invested（不包含商誉）——均值）/Revenue（年度）</t>
    <phoneticPr fontId="7" type="noConversion"/>
  </si>
  <si>
    <t>本估值平台适用范围：</t>
    <phoneticPr fontId="7" type="noConversion"/>
  </si>
  <si>
    <t>1、适用于生产性行业公司（银行、保险、证券除外）
2、公司经营情况在常规条件下设计的，并不能解决所有问题。</t>
    <phoneticPr fontId="7" type="noConversion"/>
  </si>
  <si>
    <t xml:space="preserve"> </t>
    <phoneticPr fontId="7" type="noConversion"/>
  </si>
  <si>
    <t>Excel引擎的相关设置（模版正常工作的前提）：</t>
    <phoneticPr fontId="7" type="noConversion"/>
  </si>
  <si>
    <t>数据输入和引用说明：</t>
    <phoneticPr fontId="7" type="noConversion"/>
  </si>
  <si>
    <t>1、此模版的所有表格中，“橙色背景”的单元格是客户必须考虑自定义修改的数据，“黄色背景”的单元格是客户可修改也可默认不修改的数据，无背景色的带公式的单元格不可修改。使用模板前应根据当前市场，调整相关参数，比如银行利率等。
2、绝对估值和相对估值页中，“红色背景”的单元格，为估值的结果，让您一目了然。</t>
    <phoneticPr fontId="7" type="noConversion"/>
  </si>
  <si>
    <t>估值模版的结构说明（参考右图）：</t>
    <phoneticPr fontId="7" type="noConversion"/>
  </si>
  <si>
    <t>估值模型的设计原则：</t>
    <phoneticPr fontId="7" type="noConversion"/>
  </si>
  <si>
    <t>1、在数据的使用上，力求精确，没有忽略财务历史数据中的任何项目。
2、在计算的方法上，力求合理，使用经典估值理论，符合国内最新财务规范。
3、在结构的设计上，力求严谨，表格之间层层相连，逻辑准确严密，牵一发动全身，改变一个预测参数，其他相关数据都会随之更新。</t>
    <phoneticPr fontId="7" type="noConversion"/>
  </si>
  <si>
    <t>重要名词缩写的解释：</t>
    <phoneticPr fontId="7" type="noConversion"/>
  </si>
  <si>
    <t>DCF（Discounted Cash Flow）现金流折现模型</t>
    <phoneticPr fontId="7" type="noConversion"/>
  </si>
  <si>
    <t>FCFF（Free Cash Flow for Firm）公司自由现金流</t>
    <phoneticPr fontId="7" type="noConversion"/>
  </si>
  <si>
    <t>FCFE（Free Cash Flow for Equity）股东自由现金流</t>
    <phoneticPr fontId="7" type="noConversion"/>
  </si>
  <si>
    <t>DDM（Dividend Discounted Model）股利折现模型</t>
    <phoneticPr fontId="7" type="noConversion"/>
  </si>
  <si>
    <t>EVA（Economic Value Added）经济附加值</t>
    <phoneticPr fontId="7" type="noConversion"/>
  </si>
  <si>
    <t>AE（Abnormal Earning）超额利润</t>
    <phoneticPr fontId="7" type="noConversion"/>
  </si>
  <si>
    <t>WACC（Weighted Average Cost of Capital）加权平均资本成本</t>
    <phoneticPr fontId="7" type="noConversion"/>
  </si>
  <si>
    <t>`</t>
    <phoneticPr fontId="7" type="noConversion"/>
  </si>
  <si>
    <t>S_TotalOperInc</t>
    <phoneticPr fontId="7" type="noConversion"/>
  </si>
  <si>
    <t>S_OperInc</t>
    <phoneticPr fontId="7" type="noConversion"/>
  </si>
  <si>
    <t>S_OperCost</t>
    <phoneticPr fontId="7" type="noConversion"/>
  </si>
  <si>
    <t>S_TotalOperInc</t>
    <phoneticPr fontId="7" type="noConversion"/>
  </si>
  <si>
    <t>2016E</t>
  </si>
  <si>
    <t>2017E</t>
  </si>
  <si>
    <t>2018E</t>
  </si>
  <si>
    <t>2019E</t>
  </si>
  <si>
    <t>2020E</t>
  </si>
  <si>
    <t>2021E</t>
  </si>
  <si>
    <t>2022E</t>
  </si>
  <si>
    <t>2023E</t>
  </si>
  <si>
    <t>2024E</t>
  </si>
  <si>
    <t>2025E</t>
  </si>
  <si>
    <t>2026E</t>
  </si>
  <si>
    <t>2027E</t>
  </si>
  <si>
    <t>2028E</t>
  </si>
  <si>
    <t>2029E</t>
  </si>
  <si>
    <t>2030E</t>
  </si>
  <si>
    <t>2031E</t>
  </si>
  <si>
    <t>2032E</t>
  </si>
  <si>
    <t>2033E</t>
  </si>
  <si>
    <t>2034E</t>
  </si>
  <si>
    <t>2035E</t>
  </si>
  <si>
    <t>2036E</t>
  </si>
  <si>
    <t>2037E</t>
  </si>
  <si>
    <t>2038E</t>
  </si>
  <si>
    <t>2039E</t>
  </si>
  <si>
    <t>2040E</t>
  </si>
  <si>
    <t>2041E</t>
  </si>
  <si>
    <t>2042E</t>
  </si>
  <si>
    <t>2010-03-31</t>
  </si>
  <si>
    <t>2010-06-30</t>
  </si>
  <si>
    <t>2010-09-30</t>
  </si>
  <si>
    <t>2011-03-31</t>
  </si>
  <si>
    <t>2011-06-30</t>
  </si>
  <si>
    <t>2011-09-30</t>
  </si>
  <si>
    <t>2012-03-31</t>
  </si>
  <si>
    <t>2012-06-30</t>
  </si>
  <si>
    <t>2012-09-30</t>
  </si>
  <si>
    <t>财务费用</t>
  </si>
  <si>
    <t>平衡项</t>
    <phoneticPr fontId="7" type="noConversion"/>
  </si>
  <si>
    <t>S_PS</t>
    <phoneticPr fontId="7" type="noConversion"/>
  </si>
  <si>
    <t>S_PB</t>
    <phoneticPr fontId="7" type="noConversion"/>
  </si>
  <si>
    <r>
      <t>历史均值</t>
    </r>
    <r>
      <rPr>
        <sz val="9"/>
        <rFont val="Arial"/>
        <family val="2"/>
      </rPr>
      <t>EV/EBITDA</t>
    </r>
    <phoneticPr fontId="67" type="noConversion"/>
  </si>
  <si>
    <t>S_PE</t>
    <phoneticPr fontId="7" type="noConversion"/>
  </si>
  <si>
    <t>S_PE</t>
    <phoneticPr fontId="7" type="noConversion"/>
  </si>
  <si>
    <t>历史PCF</t>
    <phoneticPr fontId="7" type="noConversion"/>
  </si>
  <si>
    <t>S_PCF</t>
    <phoneticPr fontId="7" type="noConversion"/>
  </si>
  <si>
    <t>S_PCF</t>
    <phoneticPr fontId="7" type="noConversion"/>
  </si>
  <si>
    <t xml:space="preserve">历史股价（前复权） </t>
    <phoneticPr fontId="7" type="noConversion"/>
  </si>
  <si>
    <t>利润表缺省值批量设定</t>
    <phoneticPr fontId="4" type="noConversion"/>
  </si>
  <si>
    <t>资产负债表缺省值批量设定</t>
    <phoneticPr fontId="4" type="noConversion"/>
  </si>
  <si>
    <t>其他业务</t>
  </si>
  <si>
    <t>减：销售费用（营业费用）</t>
    <phoneticPr fontId="7" type="noConversion"/>
  </si>
  <si>
    <t>现金流量表：</t>
    <phoneticPr fontId="7" type="noConversion"/>
  </si>
  <si>
    <t>一、经营活动产生的现金流量：</t>
    <phoneticPr fontId="7" type="noConversion"/>
  </si>
  <si>
    <t>二、投资活动产生的现金流量：</t>
  </si>
  <si>
    <t>三、筹资活动产生的现金流量：</t>
  </si>
  <si>
    <t>四、现金及现金等价物净增加：</t>
  </si>
  <si>
    <t>投资活动产生的现金流量净额</t>
  </si>
  <si>
    <t>筹资活动产生的现金流量净额</t>
  </si>
  <si>
    <t>待摊费用减少</t>
  </si>
  <si>
    <t>预提费用增加</t>
  </si>
  <si>
    <t>处置固定资产、无形资产和其他长期资产的损失</t>
  </si>
  <si>
    <t>固定资产报废损失</t>
  </si>
  <si>
    <t>公允价值变动损失</t>
  </si>
  <si>
    <t>投资损失</t>
  </si>
  <si>
    <t>递延所得税资产减少</t>
  </si>
  <si>
    <t>递延所得税负债增加</t>
  </si>
  <si>
    <t>存货的减少</t>
  </si>
  <si>
    <t>经营性应收项目的减少</t>
  </si>
  <si>
    <t>经营性应付项目的增加</t>
  </si>
  <si>
    <t>其他</t>
  </si>
  <si>
    <t>债务转为资本</t>
  </si>
  <si>
    <t>一年内到期的可转换公司债券</t>
  </si>
  <si>
    <t>融资租入固定资产</t>
  </si>
  <si>
    <t>现金的期末余额</t>
  </si>
  <si>
    <t>减：现金的期初余额</t>
  </si>
  <si>
    <t>加：现金等价物的期末余额</t>
  </si>
  <si>
    <t>减：现金等价物的期初余额</t>
  </si>
  <si>
    <t>间接法-现金及现金等价物净增加额</t>
  </si>
  <si>
    <t>间接法-经营活动产生的现金流量净额</t>
    <phoneticPr fontId="7" type="noConversion"/>
  </si>
  <si>
    <t>数据范围选择：</t>
    <phoneticPr fontId="7" type="noConversion"/>
  </si>
  <si>
    <t>毛利率</t>
    <phoneticPr fontId="4" type="noConversion"/>
  </si>
  <si>
    <t>位置</t>
    <phoneticPr fontId="194" type="noConversion"/>
  </si>
  <si>
    <t>条目数</t>
    <phoneticPr fontId="194" type="noConversion"/>
  </si>
  <si>
    <t>分类</t>
    <phoneticPr fontId="194" type="noConversion"/>
  </si>
  <si>
    <t>2012年报</t>
  </si>
  <si>
    <t>2011年报</t>
  </si>
  <si>
    <t>2010年报</t>
  </si>
  <si>
    <t>2009年报</t>
  </si>
  <si>
    <t>2008年报</t>
  </si>
  <si>
    <t>自来水销售</t>
  </si>
  <si>
    <t>污水处理服务</t>
  </si>
  <si>
    <t>工程施工</t>
  </si>
  <si>
    <t>其他业务收入</t>
  </si>
  <si>
    <t>代码列表</t>
    <phoneticPr fontId="7" type="noConversion"/>
  </si>
  <si>
    <t>代码列表</t>
    <phoneticPr fontId="194" type="noConversion"/>
  </si>
  <si>
    <t>科目名称</t>
    <phoneticPr fontId="194" type="noConversion"/>
  </si>
  <si>
    <t>000034</t>
  </si>
  <si>
    <t>农产品</t>
  </si>
  <si>
    <t>房地产</t>
  </si>
  <si>
    <t>物业及出租</t>
  </si>
  <si>
    <t>通讯产品</t>
  </si>
  <si>
    <t>饲料</t>
  </si>
  <si>
    <t>其他业务</t>
    <phoneticPr fontId="194" type="noConversion"/>
  </si>
  <si>
    <t>000048</t>
  </si>
  <si>
    <t>交通运输</t>
  </si>
  <si>
    <t>保健品行业</t>
  </si>
  <si>
    <t>养殖业</t>
  </si>
  <si>
    <t>内部抵销</t>
  </si>
  <si>
    <t>商业贸易</t>
  </si>
  <si>
    <t>房地产开发</t>
  </si>
  <si>
    <t>物业管理</t>
  </si>
  <si>
    <t>租赁</t>
  </si>
  <si>
    <t>自来水供应</t>
  </si>
  <si>
    <t>饲料生产</t>
  </si>
  <si>
    <t>000061</t>
  </si>
  <si>
    <t>农产品批发市场业务</t>
  </si>
  <si>
    <t>农产品生产加工养殖业务</t>
  </si>
  <si>
    <t>农产品配套服务</t>
  </si>
  <si>
    <t>000526</t>
    <phoneticPr fontId="194" type="noConversion"/>
  </si>
  <si>
    <t>租金及物管劳务</t>
  </si>
  <si>
    <t>物业管理及其他</t>
  </si>
  <si>
    <t>代理及其他劳务</t>
  </si>
  <si>
    <t>投资性房地产的出售</t>
  </si>
  <si>
    <t>000557</t>
  </si>
  <si>
    <t>葡萄酒类</t>
  </si>
  <si>
    <t>其他类</t>
  </si>
  <si>
    <t>000626</t>
    <phoneticPr fontId="194" type="noConversion"/>
  </si>
  <si>
    <t>塑胶类商品贸易</t>
    <phoneticPr fontId="194" type="noConversion"/>
  </si>
  <si>
    <t>橡塑类商品贸易</t>
    <phoneticPr fontId="194" type="noConversion"/>
  </si>
  <si>
    <t>液化类商品贸易</t>
  </si>
  <si>
    <t>金属类商品贸易</t>
  </si>
  <si>
    <t>产品生产销售</t>
  </si>
  <si>
    <t>其他类商品贸易</t>
  </si>
  <si>
    <t>物流代理服务</t>
  </si>
  <si>
    <t>000639</t>
    <phoneticPr fontId="194" type="noConversion"/>
  </si>
  <si>
    <t>小包装玉米油</t>
  </si>
  <si>
    <t>阀门管件</t>
  </si>
  <si>
    <t>散装玉米油</t>
  </si>
  <si>
    <t>酒店客房</t>
  </si>
  <si>
    <t>胚芽粕</t>
  </si>
  <si>
    <t>酒店餐饮</t>
  </si>
  <si>
    <t>糊精</t>
  </si>
  <si>
    <t>门面租金</t>
  </si>
  <si>
    <t>废品、原材料让售</t>
  </si>
  <si>
    <t>000663</t>
    <phoneticPr fontId="194" type="noConversion"/>
  </si>
  <si>
    <t>木材</t>
  </si>
  <si>
    <t>木材二次加工产品</t>
  </si>
  <si>
    <t>林化产品</t>
  </si>
  <si>
    <t>甲醛</t>
  </si>
  <si>
    <t>胶粘剂</t>
  </si>
  <si>
    <t>苗木</t>
  </si>
  <si>
    <t>让售材料及下脚料</t>
  </si>
  <si>
    <t>装卸收入</t>
  </si>
  <si>
    <t>租赁收入</t>
  </si>
  <si>
    <t>承包费</t>
  </si>
  <si>
    <t>000672</t>
  </si>
  <si>
    <t>酒店业务</t>
  </si>
  <si>
    <t>商贸业务</t>
  </si>
  <si>
    <t>房租收入</t>
  </si>
  <si>
    <t>000702</t>
  </si>
  <si>
    <t>饲料销售</t>
  </si>
  <si>
    <t>饲料原料销售</t>
  </si>
  <si>
    <t>牲猪销售</t>
  </si>
  <si>
    <t>肉制品</t>
  </si>
  <si>
    <t>废旧物资处理</t>
  </si>
  <si>
    <t>代理手续费收入</t>
  </si>
  <si>
    <t>000713</t>
  </si>
  <si>
    <t>种子类</t>
  </si>
  <si>
    <t>农化类</t>
  </si>
  <si>
    <t>香料类</t>
  </si>
  <si>
    <t>酒店服务类</t>
  </si>
  <si>
    <t>房地产类</t>
  </si>
  <si>
    <t>000722</t>
    <phoneticPr fontId="194" type="noConversion"/>
  </si>
  <si>
    <t>电力</t>
  </si>
  <si>
    <t>电子信息产品</t>
  </si>
  <si>
    <t>零售、批发业</t>
  </si>
  <si>
    <t>房地产业</t>
  </si>
  <si>
    <t>罐头</t>
  </si>
  <si>
    <t>000735</t>
    <phoneticPr fontId="194" type="noConversion"/>
  </si>
  <si>
    <t>生猪</t>
  </si>
  <si>
    <t>教育</t>
  </si>
  <si>
    <t>工程施工,商品房</t>
  </si>
  <si>
    <t>饲料、兽药</t>
  </si>
  <si>
    <t>鲜蛋,淘汰鸡销售</t>
  </si>
  <si>
    <t>面粉及麦麸</t>
  </si>
  <si>
    <t>000780</t>
  </si>
  <si>
    <t>煤炭</t>
  </si>
  <si>
    <t>材料销售</t>
  </si>
  <si>
    <t>煤炭代销手续费</t>
  </si>
  <si>
    <t>工程施工及其他</t>
  </si>
  <si>
    <t>000798</t>
    <phoneticPr fontId="194" type="noConversion"/>
  </si>
  <si>
    <t>修船</t>
  </si>
  <si>
    <t>商品房</t>
  </si>
  <si>
    <t>杂鱼</t>
  </si>
  <si>
    <t>秋刀鱼</t>
  </si>
  <si>
    <t>药业</t>
  </si>
  <si>
    <t>金枪鱼</t>
  </si>
  <si>
    <t>餐饮</t>
  </si>
  <si>
    <t>鱿鱼</t>
  </si>
  <si>
    <t>000829</t>
    <phoneticPr fontId="194" type="noConversion"/>
  </si>
  <si>
    <t>通信产品销售</t>
  </si>
  <si>
    <t>通信产品维修</t>
  </si>
  <si>
    <t>农产品销售</t>
  </si>
  <si>
    <t>酒类销售</t>
  </si>
  <si>
    <t>农产品加工</t>
  </si>
  <si>
    <t>促销服务费</t>
  </si>
  <si>
    <t>移动商服务费</t>
  </si>
  <si>
    <t>000860</t>
    <phoneticPr fontId="194" type="noConversion"/>
  </si>
  <si>
    <t>白酒系列</t>
  </si>
  <si>
    <t>蔬菜系列</t>
  </si>
  <si>
    <t>种子系列</t>
  </si>
  <si>
    <t>猪肉系列</t>
  </si>
  <si>
    <t>种猪系列</t>
  </si>
  <si>
    <t>市场管理</t>
  </si>
  <si>
    <t>广告</t>
  </si>
  <si>
    <t>蔬菜汁</t>
  </si>
  <si>
    <t>建筑工程</t>
  </si>
  <si>
    <t>纸业</t>
  </si>
  <si>
    <t>食品加工</t>
  </si>
  <si>
    <t>商业</t>
  </si>
  <si>
    <t>000876</t>
    <phoneticPr fontId="194" type="noConversion"/>
  </si>
  <si>
    <t>屠宰及肉制品</t>
  </si>
  <si>
    <t>乳品</t>
  </si>
  <si>
    <t>包装物</t>
  </si>
  <si>
    <t>养殖</t>
  </si>
  <si>
    <t>化工产品</t>
  </si>
  <si>
    <t>房屋销售</t>
  </si>
  <si>
    <t>贸易</t>
  </si>
  <si>
    <t>000893</t>
    <phoneticPr fontId="194" type="noConversion"/>
  </si>
  <si>
    <t>豆粕</t>
  </si>
  <si>
    <t>压缩机</t>
  </si>
  <si>
    <t>冰箱压缩机</t>
  </si>
  <si>
    <t>豆油</t>
  </si>
  <si>
    <t>海运服务</t>
  </si>
  <si>
    <t>磷脂</t>
  </si>
  <si>
    <t>玉米酒糟粕</t>
  </si>
  <si>
    <t>棕榈油</t>
  </si>
  <si>
    <t>000918</t>
    <phoneticPr fontId="194" type="noConversion"/>
  </si>
  <si>
    <t>销售房屋收入</t>
  </si>
  <si>
    <t>乳业</t>
  </si>
  <si>
    <t>商品销售收入</t>
  </si>
  <si>
    <t>种业</t>
  </si>
  <si>
    <t>物业管理收入</t>
  </si>
  <si>
    <t>餐饮服务收入</t>
  </si>
  <si>
    <t>000930</t>
    <phoneticPr fontId="194" type="noConversion"/>
  </si>
  <si>
    <t>酒精类及其副产品</t>
  </si>
  <si>
    <t>柠檬酸及其盐类与副产品</t>
  </si>
  <si>
    <t>氨基酸类及其副产品类和其他</t>
  </si>
  <si>
    <t>食用油及其副产品</t>
  </si>
  <si>
    <t>L-乳酸</t>
  </si>
  <si>
    <t>环氧乙烷及副产品</t>
  </si>
  <si>
    <t>000972</t>
    <phoneticPr fontId="194" type="noConversion"/>
  </si>
  <si>
    <t>大桶原料酱</t>
  </si>
  <si>
    <t>小包装番茄制品</t>
  </si>
  <si>
    <t>蔬菜罐头制品</t>
  </si>
  <si>
    <t>000998</t>
    <phoneticPr fontId="194" type="noConversion"/>
  </si>
  <si>
    <t>杂交水稻种子</t>
  </si>
  <si>
    <t>蔬菜瓜果种子</t>
  </si>
  <si>
    <t>玉米</t>
  </si>
  <si>
    <t>农化产品</t>
  </si>
  <si>
    <t>小麦</t>
  </si>
  <si>
    <t>辣椒及辣椒制品</t>
  </si>
  <si>
    <t>大米</t>
  </si>
  <si>
    <t>棉花、油菜及其他</t>
  </si>
  <si>
    <t>环保</t>
  </si>
  <si>
    <t>三特索道</t>
  </si>
  <si>
    <t>旅游综合</t>
  </si>
  <si>
    <t>销售商品、提供劳务收到的现金</t>
    <phoneticPr fontId="7" type="noConversion"/>
  </si>
  <si>
    <t>收到的税费返还</t>
    <phoneticPr fontId="7" type="noConversion"/>
  </si>
  <si>
    <t>经营活动现金流入小计</t>
    <phoneticPr fontId="7" type="noConversion"/>
  </si>
  <si>
    <t>支付给职工以及为职工支付的现金</t>
    <phoneticPr fontId="7" type="noConversion"/>
  </si>
  <si>
    <t>支付的各项税费</t>
    <phoneticPr fontId="7" type="noConversion"/>
  </si>
  <si>
    <t>收回投资收到的现金</t>
    <phoneticPr fontId="7" type="noConversion"/>
  </si>
  <si>
    <t>取得投资收益收到的现金</t>
    <phoneticPr fontId="7" type="noConversion"/>
  </si>
  <si>
    <t>处置固定资产、无形资产和其他长期资产收回的现金净额</t>
    <phoneticPr fontId="7" type="noConversion"/>
  </si>
  <si>
    <t>处置子公司及其他营业单位收到的现金净额</t>
    <phoneticPr fontId="7" type="noConversion"/>
  </si>
  <si>
    <t>收到其他与投资活动有关的现金</t>
    <phoneticPr fontId="7" type="noConversion"/>
  </si>
  <si>
    <t>投资活动现金流入小计</t>
    <phoneticPr fontId="7" type="noConversion"/>
  </si>
  <si>
    <t>购建固定资产、无形资产和其他长期资产支付的现金</t>
    <phoneticPr fontId="7" type="noConversion"/>
  </si>
  <si>
    <t>投资支付的现金</t>
    <phoneticPr fontId="7" type="noConversion"/>
  </si>
  <si>
    <t>取得子公司及其他营业单位支付的现金净额</t>
    <phoneticPr fontId="7" type="noConversion"/>
  </si>
  <si>
    <t>支付其他与投资活动有关的现金</t>
    <phoneticPr fontId="7" type="noConversion"/>
  </si>
  <si>
    <t>投资活动现金流出小计</t>
    <phoneticPr fontId="7" type="noConversion"/>
  </si>
  <si>
    <t>吸收投资收到的现金</t>
    <phoneticPr fontId="7" type="noConversion"/>
  </si>
  <si>
    <t>其中：子公司吸收少数股东投资收到的现金</t>
    <phoneticPr fontId="7" type="noConversion"/>
  </si>
  <si>
    <t>取得借款收到的现金</t>
    <phoneticPr fontId="7" type="noConversion"/>
  </si>
  <si>
    <t>收到其他与筹资活动有关的现金</t>
    <phoneticPr fontId="7" type="noConversion"/>
  </si>
  <si>
    <t>发行债券收到的现金</t>
    <phoneticPr fontId="7" type="noConversion"/>
  </si>
  <si>
    <t>筹资活动现金流入小计</t>
    <phoneticPr fontId="7" type="noConversion"/>
  </si>
  <si>
    <t>偿还债务支付的现金</t>
    <phoneticPr fontId="7" type="noConversion"/>
  </si>
  <si>
    <t>筹资活动现金流出小计</t>
    <phoneticPr fontId="7" type="noConversion"/>
  </si>
  <si>
    <t>现金及现金等价物净增加额</t>
    <phoneticPr fontId="7" type="noConversion"/>
  </si>
  <si>
    <t>期初现金及现金等价物余额</t>
    <phoneticPr fontId="7" type="noConversion"/>
  </si>
  <si>
    <t>期末现金及现金等价物余额</t>
    <phoneticPr fontId="7" type="noConversion"/>
  </si>
  <si>
    <t>补充资料：</t>
    <phoneticPr fontId="7" type="noConversion"/>
  </si>
  <si>
    <t>净利润</t>
    <phoneticPr fontId="7" type="noConversion"/>
  </si>
  <si>
    <t>加：资产减值准备</t>
    <phoneticPr fontId="7" type="noConversion"/>
  </si>
  <si>
    <t>固定资产折旧、油气资产折耗、生产性生物资产折旧</t>
    <phoneticPr fontId="7" type="noConversion"/>
  </si>
  <si>
    <t>无形资产摊销</t>
    <phoneticPr fontId="7" type="noConversion"/>
  </si>
  <si>
    <t>长期待摊费用摊销</t>
    <phoneticPr fontId="7" type="noConversion"/>
  </si>
  <si>
    <t>分配股利、利润或偿付利息支付的现金</t>
    <phoneticPr fontId="7" type="noConversion"/>
  </si>
  <si>
    <t>其中：子公司支付给少数股东的股利、利润</t>
    <phoneticPr fontId="7" type="noConversion"/>
  </si>
  <si>
    <t>支付其他与筹资活动有关的现金</t>
    <phoneticPr fontId="7" type="noConversion"/>
  </si>
  <si>
    <t>汇率变动对现金的影响</t>
    <phoneticPr fontId="7" type="noConversion"/>
  </si>
  <si>
    <t>增长率</t>
    <phoneticPr fontId="7" type="noConversion"/>
  </si>
  <si>
    <t>留存收益</t>
    <phoneticPr fontId="7" type="noConversion"/>
  </si>
  <si>
    <t>股本</t>
    <phoneticPr fontId="7" type="noConversion"/>
  </si>
  <si>
    <t>资本公积</t>
    <phoneticPr fontId="7" type="noConversion"/>
  </si>
  <si>
    <t>期初资本公积金</t>
    <phoneticPr fontId="4" type="noConversion"/>
  </si>
  <si>
    <t>－转增减少</t>
    <phoneticPr fontId="7" type="noConversion"/>
  </si>
  <si>
    <t>＋IPO增加</t>
    <phoneticPr fontId="7" type="noConversion"/>
  </si>
  <si>
    <t>＋增发增加</t>
    <phoneticPr fontId="7" type="noConversion"/>
  </si>
  <si>
    <t>＋配股增加</t>
    <phoneticPr fontId="7" type="noConversion"/>
  </si>
  <si>
    <t>＋可转债转股增加</t>
    <phoneticPr fontId="7" type="noConversion"/>
  </si>
  <si>
    <t>＋期权行权增加</t>
    <phoneticPr fontId="7" type="noConversion"/>
  </si>
  <si>
    <t>+其他资本公积金增减</t>
    <phoneticPr fontId="4" type="noConversion"/>
  </si>
  <si>
    <r>
      <t>期末资本公积金</t>
    </r>
    <r>
      <rPr>
        <sz val="9"/>
        <rFont val="Times New Roman"/>
        <family val="1"/>
      </rPr>
      <t>(</t>
    </r>
    <r>
      <rPr>
        <sz val="9"/>
        <rFont val="宋体"/>
        <family val="3"/>
        <charset val="134"/>
      </rPr>
      <t>百万</t>
    </r>
    <r>
      <rPr>
        <sz val="9"/>
        <rFont val="Times New Roman"/>
        <family val="1"/>
      </rPr>
      <t>)</t>
    </r>
    <phoneticPr fontId="4" type="noConversion"/>
  </si>
  <si>
    <r>
      <rPr>
        <b/>
        <sz val="9"/>
        <rFont val="Times New Roman"/>
        <family val="1"/>
      </rPr>
      <t xml:space="preserve"> </t>
    </r>
    <r>
      <rPr>
        <b/>
        <sz val="9"/>
        <rFont val="宋体"/>
        <family val="3"/>
        <charset val="134"/>
      </rPr>
      <t>资本公积金</t>
    </r>
    <phoneticPr fontId="4" type="noConversion"/>
  </si>
  <si>
    <t>期初的盈余公积金+净利润*【提取公积金比率预测值】</t>
  </si>
  <si>
    <t>盈余公积金</t>
    <phoneticPr fontId="4" type="noConversion"/>
  </si>
  <si>
    <t>提取盈余公积金比率%</t>
    <phoneticPr fontId="4" type="noConversion"/>
  </si>
  <si>
    <t>盈余公积</t>
    <phoneticPr fontId="7" type="noConversion"/>
  </si>
  <si>
    <t>未分配利润</t>
    <phoneticPr fontId="7" type="noConversion"/>
  </si>
  <si>
    <t>盈余公积金+ 未分配利润</t>
    <phoneticPr fontId="7" type="noConversion"/>
  </si>
  <si>
    <t>期初未分配利润+净利润-提取盈余公积金-现金分红</t>
    <phoneticPr fontId="7" type="noConversion"/>
  </si>
  <si>
    <t>转资本公积金</t>
    <phoneticPr fontId="4" type="noConversion"/>
  </si>
  <si>
    <t xml:space="preserve">  资本公积增加</t>
    <phoneticPr fontId="0" type="noConversion"/>
  </si>
  <si>
    <t xml:space="preserve">  普通股增加</t>
    <phoneticPr fontId="0" type="noConversion"/>
  </si>
  <si>
    <t>融资总额  ：删除此行</t>
    <phoneticPr fontId="4" type="noConversion"/>
  </si>
  <si>
    <t>普通股增加</t>
    <phoneticPr fontId="4" type="noConversion"/>
  </si>
  <si>
    <t>资本公积增加</t>
    <phoneticPr fontId="4" type="noConversion"/>
  </si>
  <si>
    <t>单位:百万元</t>
    <phoneticPr fontId="7" type="noConversion"/>
  </si>
  <si>
    <t>公司名称：</t>
  </si>
  <si>
    <t>会计年度</t>
    <phoneticPr fontId="7" type="noConversion"/>
  </si>
  <si>
    <t>公司代码：</t>
  </si>
  <si>
    <t>流动资产</t>
    <phoneticPr fontId="7" type="noConversion"/>
  </si>
  <si>
    <t>营业收入</t>
    <phoneticPr fontId="7" type="noConversion"/>
  </si>
  <si>
    <t xml:space="preserve">  现金</t>
    <phoneticPr fontId="7" type="noConversion"/>
  </si>
  <si>
    <t>营业成本</t>
    <phoneticPr fontId="7" type="noConversion"/>
  </si>
  <si>
    <t>营业税金及附加</t>
    <phoneticPr fontId="7" type="noConversion"/>
  </si>
  <si>
    <t xml:space="preserve">  其他应收款</t>
    <phoneticPr fontId="7" type="noConversion"/>
  </si>
  <si>
    <t>营业费用</t>
    <phoneticPr fontId="7" type="noConversion"/>
  </si>
  <si>
    <t xml:space="preserve">  预付账款</t>
    <phoneticPr fontId="7" type="noConversion"/>
  </si>
  <si>
    <t>管理费用</t>
    <phoneticPr fontId="7" type="noConversion"/>
  </si>
  <si>
    <t xml:space="preserve">  存货</t>
    <phoneticPr fontId="7" type="noConversion"/>
  </si>
  <si>
    <t>财务费用</t>
    <phoneticPr fontId="7" type="noConversion"/>
  </si>
  <si>
    <t xml:space="preserve">  其他流动资产</t>
    <phoneticPr fontId="7" type="noConversion"/>
  </si>
  <si>
    <t>资产减值损失</t>
    <phoneticPr fontId="7" type="noConversion"/>
  </si>
  <si>
    <t>非流动资产</t>
    <phoneticPr fontId="7" type="noConversion"/>
  </si>
  <si>
    <t>公允价值变动收益</t>
    <phoneticPr fontId="7" type="noConversion"/>
  </si>
  <si>
    <t xml:space="preserve">  长期投资</t>
    <phoneticPr fontId="7" type="noConversion"/>
  </si>
  <si>
    <t>投资净收益</t>
    <phoneticPr fontId="7" type="noConversion"/>
  </si>
  <si>
    <t xml:space="preserve">  固定资产</t>
    <phoneticPr fontId="7" type="noConversion"/>
  </si>
  <si>
    <t>营业利润</t>
    <phoneticPr fontId="7" type="noConversion"/>
  </si>
  <si>
    <t xml:space="preserve">  无形资产</t>
    <phoneticPr fontId="7" type="noConversion"/>
  </si>
  <si>
    <t>营业外收入</t>
    <phoneticPr fontId="7" type="noConversion"/>
  </si>
  <si>
    <t xml:space="preserve">  其他非流动资产</t>
    <phoneticPr fontId="7" type="noConversion"/>
  </si>
  <si>
    <t>营业外支出</t>
    <phoneticPr fontId="7" type="noConversion"/>
  </si>
  <si>
    <t>资产总计</t>
    <phoneticPr fontId="7" type="noConversion"/>
  </si>
  <si>
    <t>利润总额</t>
    <phoneticPr fontId="7" type="noConversion"/>
  </si>
  <si>
    <t>流动负债</t>
    <phoneticPr fontId="7" type="noConversion"/>
  </si>
  <si>
    <t>所得税</t>
    <phoneticPr fontId="7" type="noConversion"/>
  </si>
  <si>
    <t xml:space="preserve">  短期借款</t>
    <phoneticPr fontId="7" type="noConversion"/>
  </si>
  <si>
    <t>净利润</t>
    <phoneticPr fontId="7" type="noConversion"/>
  </si>
  <si>
    <t>少数股东损益</t>
    <phoneticPr fontId="7" type="noConversion"/>
  </si>
  <si>
    <t xml:space="preserve">  其他流动负债</t>
    <phoneticPr fontId="7" type="noConversion"/>
  </si>
  <si>
    <t>归属母公司净利润</t>
    <phoneticPr fontId="7" type="noConversion"/>
  </si>
  <si>
    <t>非流动负债</t>
    <phoneticPr fontId="7" type="noConversion"/>
  </si>
  <si>
    <t>EBITDA</t>
    <phoneticPr fontId="7" type="noConversion"/>
  </si>
  <si>
    <t xml:space="preserve">  长期借款</t>
    <phoneticPr fontId="7" type="noConversion"/>
  </si>
  <si>
    <t xml:space="preserve">  其他非流动负债</t>
    <phoneticPr fontId="7" type="noConversion"/>
  </si>
  <si>
    <t>负债合计</t>
    <phoneticPr fontId="7" type="noConversion"/>
  </si>
  <si>
    <t>主要财务比率</t>
    <phoneticPr fontId="7" type="noConversion"/>
  </si>
  <si>
    <t xml:space="preserve"> 少数股东权益</t>
    <phoneticPr fontId="7" type="noConversion"/>
  </si>
  <si>
    <t xml:space="preserve">  股本</t>
    <phoneticPr fontId="7" type="noConversion"/>
  </si>
  <si>
    <t>成长能力</t>
    <phoneticPr fontId="7" type="noConversion"/>
  </si>
  <si>
    <t xml:space="preserve">  资本公积</t>
    <phoneticPr fontId="7" type="noConversion"/>
  </si>
  <si>
    <t>营业收入(%)</t>
    <phoneticPr fontId="7" type="noConversion"/>
  </si>
  <si>
    <t xml:space="preserve">  留存收益</t>
    <phoneticPr fontId="7" type="noConversion"/>
  </si>
  <si>
    <t>营业利润(%)</t>
    <phoneticPr fontId="7" type="noConversion"/>
  </si>
  <si>
    <t>归属母公司股东权益</t>
    <phoneticPr fontId="7" type="noConversion"/>
  </si>
  <si>
    <t>归属于母公司净利润(%)</t>
    <phoneticPr fontId="7" type="noConversion"/>
  </si>
  <si>
    <t>负债和股东权益</t>
    <phoneticPr fontId="7" type="noConversion"/>
  </si>
  <si>
    <t>获利能力</t>
    <phoneticPr fontId="7" type="noConversion"/>
  </si>
  <si>
    <t>毛利率(%)</t>
    <phoneticPr fontId="7" type="noConversion"/>
  </si>
  <si>
    <t>单位:百万元</t>
    <phoneticPr fontId="7" type="noConversion"/>
  </si>
  <si>
    <t>净利率(%)</t>
    <phoneticPr fontId="7" type="noConversion"/>
  </si>
  <si>
    <t>ROE(%)</t>
    <phoneticPr fontId="7" type="noConversion"/>
  </si>
  <si>
    <t>经营活动现金流</t>
    <phoneticPr fontId="7" type="noConversion"/>
  </si>
  <si>
    <t>ROIC(%)</t>
    <phoneticPr fontId="7" type="noConversion"/>
  </si>
  <si>
    <t xml:space="preserve">  净利润</t>
    <phoneticPr fontId="7" type="noConversion"/>
  </si>
  <si>
    <t>偿债能力</t>
    <phoneticPr fontId="7" type="noConversion"/>
  </si>
  <si>
    <t xml:space="preserve">  折旧摊销</t>
    <phoneticPr fontId="7" type="noConversion"/>
  </si>
  <si>
    <t>资产负债率(%)</t>
    <phoneticPr fontId="7" type="noConversion"/>
  </si>
  <si>
    <t xml:space="preserve">  财务费用</t>
    <phoneticPr fontId="7" type="noConversion"/>
  </si>
  <si>
    <t>净负债比率(%)</t>
    <phoneticPr fontId="7" type="noConversion"/>
  </si>
  <si>
    <t xml:space="preserve">  投资损失</t>
    <phoneticPr fontId="7" type="noConversion"/>
  </si>
  <si>
    <t>流动比率</t>
    <phoneticPr fontId="7" type="noConversion"/>
  </si>
  <si>
    <t xml:space="preserve"> 营运资金变动</t>
    <phoneticPr fontId="7" type="noConversion"/>
  </si>
  <si>
    <t>速动比率</t>
    <phoneticPr fontId="7" type="noConversion"/>
  </si>
  <si>
    <t xml:space="preserve">  其他经营现金流</t>
    <phoneticPr fontId="7" type="noConversion"/>
  </si>
  <si>
    <t>营运能力</t>
    <phoneticPr fontId="7" type="noConversion"/>
  </si>
  <si>
    <t>投资活动现金流</t>
    <phoneticPr fontId="7" type="noConversion"/>
  </si>
  <si>
    <t>总资产周转率</t>
    <phoneticPr fontId="7" type="noConversion"/>
  </si>
  <si>
    <t xml:space="preserve">  资本支出</t>
    <phoneticPr fontId="7" type="noConversion"/>
  </si>
  <si>
    <t>应收账款周转率</t>
    <phoneticPr fontId="7" type="noConversion"/>
  </si>
  <si>
    <t xml:space="preserve">  长期投资</t>
    <phoneticPr fontId="7" type="noConversion"/>
  </si>
  <si>
    <t>应付账款周转率</t>
    <phoneticPr fontId="7" type="noConversion"/>
  </si>
  <si>
    <t xml:space="preserve">  其他投资现金流</t>
    <phoneticPr fontId="7" type="noConversion"/>
  </si>
  <si>
    <t>每股指标（元）</t>
    <phoneticPr fontId="7" type="noConversion"/>
  </si>
  <si>
    <t>筹资活动现金流</t>
    <phoneticPr fontId="7" type="noConversion"/>
  </si>
  <si>
    <t>每股收益(最新摊薄)</t>
    <phoneticPr fontId="7" type="noConversion"/>
  </si>
  <si>
    <t>每股经营现金流(最新摊薄)</t>
    <phoneticPr fontId="7" type="noConversion"/>
  </si>
  <si>
    <t>每股净资产(最新摊薄)</t>
    <phoneticPr fontId="7" type="noConversion"/>
  </si>
  <si>
    <t xml:space="preserve">  普通股增加</t>
    <phoneticPr fontId="7" type="noConversion"/>
  </si>
  <si>
    <t>估值比率</t>
    <phoneticPr fontId="7" type="noConversion"/>
  </si>
  <si>
    <t xml:space="preserve">  资本公积增加</t>
    <phoneticPr fontId="7" type="noConversion"/>
  </si>
  <si>
    <t>P/E</t>
    <phoneticPr fontId="7" type="noConversion"/>
  </si>
  <si>
    <t xml:space="preserve">  其他筹资现金流</t>
    <phoneticPr fontId="7" type="noConversion"/>
  </si>
  <si>
    <t>P/B</t>
    <phoneticPr fontId="7" type="noConversion"/>
  </si>
  <si>
    <t>现金净增加额</t>
    <phoneticPr fontId="7" type="noConversion"/>
  </si>
  <si>
    <t>EV/EBITDA</t>
    <phoneticPr fontId="7" type="noConversion"/>
  </si>
  <si>
    <t>重要财务指标</t>
    <phoneticPr fontId="7" type="noConversion"/>
  </si>
  <si>
    <t>？</t>
    <phoneticPr fontId="4" type="noConversion"/>
  </si>
  <si>
    <t>1、“利润分配表”和“资产负债表”的历史数据直接来自贝格数据库；“现金流量表”通过“利润分配表”和“资产负债表”间接计算得到。
2、根据以上历史数据生成“财务分析”表中的财务比例，用于参考预测；
3、根据设定的资本投资方案及筹融资方案，预测具体的投资和筹融资计划，并对其进行迭代计算；                           4、根据以上预测的参数，生成“利润分配表”、“资产负债表”和“现金流量表”的预测数据；
5、利用预测的三大报表，进行绝对估值或者相对估值。</t>
    <phoneticPr fontId="7" type="noConversion"/>
  </si>
  <si>
    <t>贴现率±10%，长期增长率±10%</t>
    <phoneticPr fontId="7" type="noConversion"/>
  </si>
  <si>
    <r>
      <t>贴现率±10%，长期增长率±10%</t>
    </r>
    <r>
      <rPr>
        <sz val="10"/>
        <rFont val="Arial"/>
        <family val="2"/>
      </rPr>
      <t/>
    </r>
  </si>
  <si>
    <t>资料来源：平安研究</t>
  </si>
  <si>
    <t>预测值±10%，历史平均±10%</t>
    <phoneticPr fontId="7" type="noConversion"/>
  </si>
  <si>
    <r>
      <t>贴现率±10%，长期增长率±10%</t>
    </r>
    <r>
      <rPr>
        <sz val="10"/>
        <rFont val="Arial"/>
        <family val="2"/>
      </rPr>
      <t/>
    </r>
    <phoneticPr fontId="7" type="noConversion"/>
  </si>
  <si>
    <t>资料来源：平安研究</t>
    <phoneticPr fontId="7" type="noConversion"/>
  </si>
  <si>
    <t>增长率</t>
    <phoneticPr fontId="7" type="noConversion"/>
  </si>
  <si>
    <t>增长率</t>
    <phoneticPr fontId="4" type="noConversion"/>
  </si>
  <si>
    <t>增长率</t>
    <phoneticPr fontId="4" type="noConversion"/>
  </si>
  <si>
    <t>固定资产的减少</t>
    <phoneticPr fontId="4" type="noConversion"/>
  </si>
  <si>
    <t>当修改股票或者最新报告期年度时，预测数据会更新</t>
    <phoneticPr fontId="7" type="noConversion"/>
  </si>
  <si>
    <r>
      <rPr>
        <sz val="9"/>
        <rFont val="宋体"/>
        <family val="3"/>
        <charset val="134"/>
      </rPr>
      <t>长期待摊费用</t>
    </r>
    <r>
      <rPr>
        <sz val="9"/>
        <rFont val="Arial"/>
        <family val="2"/>
      </rPr>
      <t>/</t>
    </r>
    <r>
      <rPr>
        <sz val="9"/>
        <rFont val="宋体"/>
        <family val="3"/>
        <charset val="134"/>
      </rPr>
      <t>长期待摊费用摊销</t>
    </r>
    <phoneticPr fontId="4" type="noConversion"/>
  </si>
  <si>
    <r>
      <rPr>
        <sz val="9"/>
        <color indexed="12"/>
        <rFont val="宋体"/>
        <family val="3"/>
        <charset val="134"/>
      </rPr>
      <t>构稽计算</t>
    </r>
    <phoneticPr fontId="4" type="noConversion"/>
  </si>
  <si>
    <t>钩稽计算</t>
    <phoneticPr fontId="4" type="noConversion"/>
  </si>
  <si>
    <t>注：对应日期指的是历史上每一年的这个月和日。</t>
    <phoneticPr fontId="4" type="noConversion"/>
  </si>
  <si>
    <t>钩稽计算</t>
    <phoneticPr fontId="4" type="noConversion"/>
  </si>
  <si>
    <t>财务指标</t>
    <phoneticPr fontId="7" type="noConversion"/>
  </si>
  <si>
    <t>营业收入增长率</t>
    <phoneticPr fontId="7" type="noConversion"/>
  </si>
  <si>
    <t>营业收入增长率(环比)</t>
    <phoneticPr fontId="7" type="noConversion"/>
  </si>
  <si>
    <t>单季度营业收入占比</t>
    <phoneticPr fontId="7" type="noConversion"/>
  </si>
  <si>
    <t>营业收入累积占比</t>
    <phoneticPr fontId="7" type="noConversion"/>
  </si>
  <si>
    <t>营业成本增长率</t>
    <phoneticPr fontId="7" type="noConversion"/>
  </si>
  <si>
    <t>毛利率</t>
    <phoneticPr fontId="7" type="noConversion"/>
  </si>
  <si>
    <t>毛利率(当季)</t>
    <phoneticPr fontId="7" type="noConversion"/>
  </si>
  <si>
    <t>销售费用率</t>
    <phoneticPr fontId="7" type="noConversion"/>
  </si>
  <si>
    <t>管理费用率</t>
    <phoneticPr fontId="7" type="noConversion"/>
  </si>
  <si>
    <t>财务费用率</t>
    <phoneticPr fontId="7" type="noConversion"/>
  </si>
  <si>
    <t>三费/营业收入</t>
    <phoneticPr fontId="7" type="noConversion"/>
  </si>
  <si>
    <t>营业利润增长率</t>
    <phoneticPr fontId="7" type="noConversion"/>
  </si>
  <si>
    <t>营业利润增长率(环比)</t>
    <phoneticPr fontId="7" type="noConversion"/>
  </si>
  <si>
    <t>营业利润率</t>
    <phoneticPr fontId="7" type="noConversion"/>
  </si>
  <si>
    <t>净利润增长率</t>
    <phoneticPr fontId="7" type="noConversion"/>
  </si>
  <si>
    <t>净利润增长率(环比)</t>
    <phoneticPr fontId="7" type="noConversion"/>
  </si>
  <si>
    <t>净利润率</t>
    <phoneticPr fontId="7" type="noConversion"/>
  </si>
  <si>
    <t>单季度净利润占比</t>
    <phoneticPr fontId="7" type="noConversion"/>
  </si>
  <si>
    <t>净利润累积占比</t>
    <phoneticPr fontId="7" type="noConversion"/>
  </si>
  <si>
    <t>趋势分析</t>
    <phoneticPr fontId="7" type="noConversion"/>
  </si>
  <si>
    <t>S_TrdFinLiab</t>
  </si>
  <si>
    <t>其他增加</t>
    <phoneticPr fontId="7" type="noConversion"/>
  </si>
  <si>
    <t xml:space="preserve"> </t>
    <phoneticPr fontId="7" type="noConversion"/>
  </si>
  <si>
    <t>END_DT</t>
    <phoneticPr fontId="7" type="noConversion"/>
  </si>
  <si>
    <t>END_DT</t>
    <phoneticPr fontId="7" type="noConversion"/>
  </si>
  <si>
    <t>用于检查年度数据提取问题</t>
    <phoneticPr fontId="7" type="noConversion"/>
  </si>
  <si>
    <t>总资产-负债及股东权益合计</t>
    <phoneticPr fontId="7" type="noConversion"/>
  </si>
  <si>
    <t>其他权益工具</t>
    <phoneticPr fontId="7" type="noConversion"/>
  </si>
  <si>
    <t>其中:其他权益工具_优先股</t>
    <phoneticPr fontId="7" type="noConversion"/>
  </si>
  <si>
    <t>其中:其他权益工具_永续债</t>
    <phoneticPr fontId="7" type="noConversion"/>
  </si>
  <si>
    <t>OTH_EQY</t>
    <phoneticPr fontId="7" type="noConversion"/>
  </si>
  <si>
    <t>OTH_EQY_PFD</t>
    <phoneticPr fontId="7" type="noConversion"/>
  </si>
  <si>
    <t>OTH_EQY_PBD</t>
    <phoneticPr fontId="7" type="noConversion"/>
  </si>
  <si>
    <t>OTH_EQY_PBD</t>
    <phoneticPr fontId="7" type="noConversion"/>
  </si>
  <si>
    <t>OTH_EQY</t>
    <phoneticPr fontId="7" type="noConversion"/>
  </si>
  <si>
    <t>OTH_EQY_PFD</t>
    <phoneticPr fontId="7" type="noConversion"/>
  </si>
  <si>
    <t>利润表</t>
    <phoneticPr fontId="7" type="noConversion"/>
  </si>
  <si>
    <t>资产负债表</t>
    <phoneticPr fontId="7" type="noConversion"/>
  </si>
  <si>
    <t>现金流量表</t>
    <phoneticPr fontId="7" type="noConversion"/>
  </si>
  <si>
    <t>分红</t>
    <phoneticPr fontId="7" type="noConversion"/>
  </si>
  <si>
    <t>财务指标</t>
    <phoneticPr fontId="7" type="noConversion"/>
  </si>
  <si>
    <t>长期待摊费用增加</t>
    <phoneticPr fontId="4" type="noConversion"/>
  </si>
  <si>
    <t>商誉增加</t>
    <phoneticPr fontId="4" type="noConversion"/>
  </si>
  <si>
    <t>其他业务(补充)</t>
  </si>
  <si>
    <t>软件产品</t>
  </si>
  <si>
    <t>技术服务与培训</t>
  </si>
  <si>
    <t>软件行业</t>
  </si>
  <si>
    <t>技术服务及培训</t>
  </si>
  <si>
    <t>营业收入</t>
    <phoneticPr fontId="7" type="noConversion"/>
  </si>
  <si>
    <t>营业成本</t>
    <phoneticPr fontId="7" type="noConversion"/>
  </si>
  <si>
    <t>按产品</t>
    <phoneticPr fontId="7" type="noConversion"/>
  </si>
  <si>
    <t>按行业</t>
  </si>
  <si>
    <t>营业收入</t>
    <phoneticPr fontId="7" type="noConversion"/>
  </si>
  <si>
    <t>营业成本</t>
    <phoneticPr fontId="7" type="noConversion"/>
  </si>
  <si>
    <t>营业收入</t>
    <phoneticPr fontId="7" type="noConversion"/>
  </si>
  <si>
    <t>营业成本</t>
    <phoneticPr fontId="7" type="noConversion"/>
  </si>
  <si>
    <t>营业收入</t>
    <phoneticPr fontId="7" type="noConversion"/>
  </si>
  <si>
    <t>起始行</t>
    <phoneticPr fontId="7" type="noConversion"/>
  </si>
  <si>
    <t>数据填充</t>
    <phoneticPr fontId="7" type="noConversion"/>
  </si>
  <si>
    <t>产品名称</t>
  </si>
  <si>
    <t>产品名称</t>
    <phoneticPr fontId="7" type="noConversion"/>
  </si>
  <si>
    <t>产品起始列</t>
    <phoneticPr fontId="7" type="noConversion"/>
  </si>
  <si>
    <t>行业起始列</t>
    <phoneticPr fontId="7" type="noConversion"/>
  </si>
  <si>
    <t>产品类产品数</t>
    <phoneticPr fontId="7" type="noConversion"/>
  </si>
  <si>
    <t>行业类产品数</t>
    <phoneticPr fontId="7" type="noConversion"/>
  </si>
  <si>
    <t>投资性房地产</t>
    <phoneticPr fontId="4" type="noConversion"/>
  </si>
  <si>
    <t>OTH_INC</t>
    <phoneticPr fontId="7" type="noConversion"/>
  </si>
  <si>
    <t>OTH_INC</t>
    <phoneticPr fontId="7" type="noConversion"/>
  </si>
  <si>
    <t>利润表-其他收益</t>
    <phoneticPr fontId="7" type="noConversion"/>
  </si>
  <si>
    <t>加：其他收益</t>
    <phoneticPr fontId="7" type="noConversion"/>
  </si>
  <si>
    <t>OTH_INC</t>
    <phoneticPr fontId="7" type="noConversion"/>
  </si>
  <si>
    <t>减：研发费用</t>
    <phoneticPr fontId="7" type="noConversion"/>
  </si>
  <si>
    <t>R_D_EXP</t>
    <phoneticPr fontId="7" type="noConversion"/>
  </si>
  <si>
    <t>R_D_EXP</t>
    <phoneticPr fontId="7" type="noConversion"/>
  </si>
  <si>
    <t>加：资产处置收益</t>
    <phoneticPr fontId="7" type="noConversion"/>
  </si>
  <si>
    <t>利润表-资产处置收益</t>
    <phoneticPr fontId="7" type="noConversion"/>
  </si>
  <si>
    <t>利润表-研发费用</t>
    <phoneticPr fontId="7" type="noConversion"/>
  </si>
  <si>
    <t>AST_DSPL_INC</t>
    <phoneticPr fontId="7" type="noConversion"/>
  </si>
  <si>
    <t>应收票据及应收账款</t>
    <phoneticPr fontId="7" type="noConversion"/>
  </si>
  <si>
    <t>应收票据</t>
    <phoneticPr fontId="7" type="noConversion"/>
  </si>
  <si>
    <t>其他应收款（含应收股利、应收利息和其他应收账款）</t>
    <phoneticPr fontId="7" type="noConversion"/>
  </si>
  <si>
    <t>应付票据及应付账款</t>
    <phoneticPr fontId="7" type="noConversion"/>
  </si>
  <si>
    <t>其他应付款（含其他应付款、应付股利、应付利息）</t>
    <phoneticPr fontId="7" type="noConversion"/>
  </si>
  <si>
    <t>资产负债表</t>
    <phoneticPr fontId="7" type="noConversion"/>
  </si>
  <si>
    <t>S_NOTEACCTRCV_SUM</t>
    <phoneticPr fontId="7" type="noConversion"/>
  </si>
  <si>
    <t>S_NEWOTHRCV_SUM</t>
    <phoneticPr fontId="7" type="noConversion"/>
  </si>
  <si>
    <t>S_NOTEACCTPAY_SUM</t>
    <phoneticPr fontId="7" type="noConversion"/>
  </si>
  <si>
    <t>S_NEWOTHPAY_SUM</t>
    <phoneticPr fontId="7" type="noConversion"/>
  </si>
  <si>
    <t>资产负债表-应收票据及应收账款</t>
    <phoneticPr fontId="7" type="noConversion"/>
  </si>
  <si>
    <t>资产负债表-其他应收款（含应收股利、应收利息和其他应收账款）</t>
    <phoneticPr fontId="7" type="noConversion"/>
  </si>
  <si>
    <t>资产负债表-应付票据及应付账款</t>
    <phoneticPr fontId="7" type="noConversion"/>
  </si>
  <si>
    <t>资产负债表-其他应付款（含其他应付款、应付股利、应付利息）</t>
    <phoneticPr fontId="7" type="noConversion"/>
  </si>
  <si>
    <t>S_NEWOTHRCV_SUM</t>
    <phoneticPr fontId="7" type="noConversion"/>
  </si>
  <si>
    <t>S_NEWOTHPAY_SUM</t>
    <phoneticPr fontId="7" type="noConversion"/>
  </si>
  <si>
    <t>利润表</t>
    <phoneticPr fontId="7" type="noConversion"/>
  </si>
  <si>
    <t>减：研发费用</t>
  </si>
  <si>
    <t>减：财务费用</t>
  </si>
  <si>
    <t xml:space="preserve">  利息支出</t>
  </si>
  <si>
    <t xml:space="preserve">  减：利息收入</t>
  </si>
  <si>
    <t>减：资产减值损失</t>
  </si>
  <si>
    <t>加：公允价值变动净收益</t>
  </si>
  <si>
    <t>加：其他收益</t>
  </si>
  <si>
    <t>加：投资净收益</t>
  </si>
  <si>
    <t>加：资产处置收益</t>
  </si>
  <si>
    <t>二、营业利润</t>
  </si>
  <si>
    <t>加：营业外收入</t>
  </si>
  <si>
    <t>减：少数股东损益</t>
  </si>
  <si>
    <t>每股EPS</t>
  </si>
  <si>
    <t>五、分红送股</t>
  </si>
  <si>
    <t>其中：每股派现（中报）</t>
  </si>
  <si>
    <t>其中：每股红股（中报）</t>
  </si>
  <si>
    <t>其中：每股转增（中报）</t>
  </si>
  <si>
    <t>一、流动资产</t>
  </si>
  <si>
    <t>货币资金</t>
  </si>
  <si>
    <t>交易性金融资产</t>
  </si>
  <si>
    <t>应收票据</t>
  </si>
  <si>
    <t>应收股利</t>
  </si>
  <si>
    <t>应收利息</t>
  </si>
  <si>
    <t>其他应收款（含应收股利、应收利息和其他应收账款）</t>
  </si>
  <si>
    <t>预付款项</t>
  </si>
  <si>
    <t>存货</t>
  </si>
  <si>
    <t>其他流动资产</t>
  </si>
  <si>
    <t>流动资产合计</t>
  </si>
  <si>
    <t>可供出售金融资产</t>
  </si>
  <si>
    <t>持有至到期投资</t>
  </si>
  <si>
    <t>投资性房地产</t>
  </si>
  <si>
    <t>长期股权投资</t>
  </si>
  <si>
    <t>固定资产</t>
  </si>
  <si>
    <t>工程物资</t>
  </si>
  <si>
    <t>在建工程</t>
  </si>
  <si>
    <t>固定资产清理</t>
  </si>
  <si>
    <t>生产性生物资产</t>
  </si>
  <si>
    <t>油气资产</t>
  </si>
  <si>
    <t>无形资产</t>
  </si>
  <si>
    <t>开发支出</t>
  </si>
  <si>
    <t>商誉</t>
  </si>
  <si>
    <t>长期待摊费用</t>
  </si>
  <si>
    <t>长期应收款</t>
  </si>
  <si>
    <t>递延所得税资产</t>
  </si>
  <si>
    <t>非流动资产合计</t>
  </si>
  <si>
    <t>三、资产总计</t>
  </si>
  <si>
    <t>四、流动负债</t>
  </si>
  <si>
    <t>短期借款</t>
  </si>
  <si>
    <t>交易性金融负债</t>
  </si>
  <si>
    <t>应付票据</t>
  </si>
  <si>
    <t>应付票据及应付账款</t>
  </si>
  <si>
    <t>预收款项</t>
  </si>
  <si>
    <t>应付职工薪酬</t>
  </si>
  <si>
    <t>应付股利</t>
  </si>
  <si>
    <t>应交税费</t>
  </si>
  <si>
    <t>应付利息</t>
  </si>
  <si>
    <t>其他应付款（含其他应付款、应付股利、应付利息）</t>
  </si>
  <si>
    <t>其他流动负债</t>
  </si>
  <si>
    <t>流动负债合计</t>
  </si>
  <si>
    <t>五、非流动负债</t>
  </si>
  <si>
    <t>长期借款</t>
  </si>
  <si>
    <t>应付债券</t>
  </si>
  <si>
    <t>专项应付款</t>
  </si>
  <si>
    <t>预计负债</t>
  </si>
  <si>
    <t>递延所得税负债</t>
  </si>
  <si>
    <t>其他非流动负债</t>
  </si>
  <si>
    <t>非流动负债合计</t>
  </si>
  <si>
    <t>六、负债合计</t>
  </si>
  <si>
    <t>七、股东权益合计</t>
  </si>
  <si>
    <t>实收资本(股本)</t>
  </si>
  <si>
    <t>资本公积金</t>
  </si>
  <si>
    <t>减：库存股</t>
  </si>
  <si>
    <t>盈余公积金</t>
  </si>
  <si>
    <t>未分配利润</t>
  </si>
  <si>
    <t>外币报表折算差额</t>
  </si>
  <si>
    <t>归属母公司股东权益合计</t>
  </si>
  <si>
    <t>少数股东权益</t>
  </si>
  <si>
    <t>股东权益合计</t>
  </si>
  <si>
    <t>八、负债和股东权益合计</t>
  </si>
  <si>
    <t>负债和股东权益合计</t>
  </si>
  <si>
    <t>资产负债表</t>
    <phoneticPr fontId="7" type="noConversion"/>
  </si>
  <si>
    <t>固定资产折旧</t>
  </si>
  <si>
    <t>无形资产摊销</t>
  </si>
  <si>
    <t>长期待摊费用摊销</t>
  </si>
  <si>
    <t>现金流量表附注：</t>
    <phoneticPr fontId="7" type="noConversion"/>
  </si>
  <si>
    <t xml:space="preserve">历史股价（前复权） </t>
  </si>
  <si>
    <t>历史PE</t>
  </si>
  <si>
    <t>历史PS</t>
  </si>
  <si>
    <t>历史PB</t>
  </si>
  <si>
    <t>历史EV/EBITDA</t>
  </si>
  <si>
    <t>历史PCF</t>
  </si>
  <si>
    <t>历史股价：</t>
    <phoneticPr fontId="7" type="noConversion"/>
  </si>
  <si>
    <t>一、经营活动产生的现金流量：</t>
  </si>
  <si>
    <t>销售商品、提供劳务收到的现金</t>
  </si>
  <si>
    <t>收到的税费返还</t>
  </si>
  <si>
    <t>收到其他与经营活动有关的现金</t>
  </si>
  <si>
    <t>经营活动现金流入小计</t>
  </si>
  <si>
    <t>购买商品、接受劳务支付的现金</t>
  </si>
  <si>
    <t>支付给职工以及为职工支付的现金</t>
  </si>
  <si>
    <t>支付的各项税费</t>
  </si>
  <si>
    <t>支付其他与经营活动有关的现金</t>
  </si>
  <si>
    <t>经营活动现金流出小计</t>
  </si>
  <si>
    <t>收回投资收到的现金</t>
  </si>
  <si>
    <t>取得投资收益收到的现金</t>
  </si>
  <si>
    <t>处置固定资产、无形资产和其他长期资产收回的现金净额</t>
  </si>
  <si>
    <t>处置子公司及其他营业单位收到的现金净额</t>
  </si>
  <si>
    <t>收到其他与投资活动有关的现金</t>
  </si>
  <si>
    <t>投资活动现金流入小计</t>
  </si>
  <si>
    <t>购建固定资产、无形资产和其他长期资产支付的现金</t>
  </si>
  <si>
    <t>投资支付的现金</t>
  </si>
  <si>
    <t>取得子公司及其他营业单位支付的现金净额</t>
  </si>
  <si>
    <t>支付其他与投资活动有关的现金</t>
  </si>
  <si>
    <t>投资活动现金流出小计</t>
  </si>
  <si>
    <t>吸收投资收到的现金</t>
  </si>
  <si>
    <t>其中：子公司吸收少数股东投资收到的现金</t>
  </si>
  <si>
    <t>取得借款收到的现金</t>
  </si>
  <si>
    <t>收到其他与筹资活动有关的现金</t>
  </si>
  <si>
    <t>发行债券收到的现金</t>
  </si>
  <si>
    <t>筹资活动现金流入小计</t>
  </si>
  <si>
    <t>偿还债务支付的现金</t>
  </si>
  <si>
    <t>分配股利、利润或偿付利息支付的现金</t>
  </si>
  <si>
    <t>其中：子公司支付给少数股东的股利、利润</t>
  </si>
  <si>
    <t>支付其他与筹资活动有关的现金</t>
  </si>
  <si>
    <t>筹资活动现金流出小计</t>
  </si>
  <si>
    <t>汇率变动对现金的影响</t>
  </si>
  <si>
    <t>现金及现金等价物净增加额</t>
  </si>
  <si>
    <t>期初现金及现金等价物余额</t>
  </si>
  <si>
    <t>期末现金及现金等价物余额</t>
  </si>
  <si>
    <t>现金流量表：</t>
    <phoneticPr fontId="7" type="noConversion"/>
  </si>
  <si>
    <t>补充资料：</t>
  </si>
  <si>
    <t>加：资产减值准备</t>
  </si>
  <si>
    <t>固定资产折旧、油气资产折耗、生产性生物资产折旧</t>
  </si>
  <si>
    <t>间接法-经营活动产生的现金流量净额</t>
  </si>
  <si>
    <t>其他权益工具</t>
  </si>
  <si>
    <t>其中:其他权益工具_优先股</t>
  </si>
  <si>
    <t>其中:其他权益工具_永续债</t>
  </si>
  <si>
    <t>其他收益</t>
    <phoneticPr fontId="4" type="noConversion"/>
  </si>
  <si>
    <r>
      <rPr>
        <sz val="9"/>
        <rFont val="宋体"/>
        <family val="3"/>
        <charset val="134"/>
      </rPr>
      <t>商誉增加不影响现金流量表的比例（</t>
    </r>
    <r>
      <rPr>
        <sz val="9"/>
        <rFont val="Arial"/>
        <family val="2"/>
      </rPr>
      <t>%</t>
    </r>
    <r>
      <rPr>
        <sz val="9"/>
        <rFont val="宋体"/>
        <family val="3"/>
        <charset val="134"/>
      </rPr>
      <t>）</t>
    </r>
    <phoneticPr fontId="4" type="noConversion"/>
  </si>
  <si>
    <r>
      <t xml:space="preserve">    </t>
    </r>
    <r>
      <rPr>
        <sz val="9"/>
        <rFont val="宋体"/>
        <family val="3"/>
        <charset val="134"/>
      </rPr>
      <t>研发费用</t>
    </r>
    <phoneticPr fontId="4" type="noConversion"/>
  </si>
  <si>
    <r>
      <rPr>
        <sz val="9"/>
        <rFont val="宋体"/>
        <family val="3"/>
        <charset val="134"/>
      </rPr>
      <t>研发费用</t>
    </r>
    <r>
      <rPr>
        <sz val="9"/>
        <rFont val="Arial"/>
        <family val="2"/>
      </rPr>
      <t>/</t>
    </r>
    <r>
      <rPr>
        <sz val="9"/>
        <rFont val="宋体"/>
        <family val="3"/>
        <charset val="134"/>
      </rPr>
      <t>营业收入</t>
    </r>
    <phoneticPr fontId="4" type="noConversion"/>
  </si>
  <si>
    <t>资产处置收益</t>
    <phoneticPr fontId="4" type="noConversion"/>
  </si>
  <si>
    <t>应收票据及应收账款</t>
    <phoneticPr fontId="4" type="noConversion"/>
  </si>
  <si>
    <r>
      <rPr>
        <sz val="9"/>
        <rFont val="宋体"/>
        <family val="3"/>
        <charset val="134"/>
      </rPr>
      <t>营业收入</t>
    </r>
    <r>
      <rPr>
        <sz val="9"/>
        <rFont val="Arial"/>
        <family val="2"/>
      </rPr>
      <t>/</t>
    </r>
    <r>
      <rPr>
        <sz val="9"/>
        <rFont val="宋体"/>
        <family val="3"/>
        <charset val="134"/>
      </rPr>
      <t>平均应收票据及应收账款</t>
    </r>
    <phoneticPr fontId="4" type="noConversion"/>
  </si>
  <si>
    <t>其他应收款（含应收股利、应收利息）</t>
    <phoneticPr fontId="4" type="noConversion"/>
  </si>
  <si>
    <t>应付票据及应付账款</t>
    <phoneticPr fontId="4" type="noConversion"/>
  </si>
  <si>
    <r>
      <rPr>
        <sz val="9"/>
        <rFont val="宋体"/>
        <family val="3"/>
        <charset val="134"/>
      </rPr>
      <t>营业成本</t>
    </r>
    <r>
      <rPr>
        <sz val="9"/>
        <rFont val="Arial"/>
        <family val="2"/>
      </rPr>
      <t>/</t>
    </r>
    <r>
      <rPr>
        <sz val="9"/>
        <rFont val="宋体"/>
        <family val="3"/>
        <charset val="134"/>
      </rPr>
      <t>平均应付票据及应付账款</t>
    </r>
    <phoneticPr fontId="4" type="noConversion"/>
  </si>
  <si>
    <t>其他应付帐款（含应付股利、应付利息）</t>
    <phoneticPr fontId="4" type="noConversion"/>
  </si>
  <si>
    <t>减：研发费用</t>
    <phoneticPr fontId="7" type="noConversion"/>
  </si>
  <si>
    <t>加：其他收益</t>
    <phoneticPr fontId="7" type="noConversion"/>
  </si>
  <si>
    <t>加：资产处置收益</t>
    <phoneticPr fontId="7" type="noConversion"/>
  </si>
  <si>
    <t>【预测值】</t>
    <phoneticPr fontId="7" type="noConversion"/>
  </si>
  <si>
    <t>【预测值】</t>
    <phoneticPr fontId="7" type="noConversion"/>
  </si>
  <si>
    <t>四费相加／营业收入</t>
    <phoneticPr fontId="67" type="noConversion"/>
  </si>
  <si>
    <t>处置固定资产、无形资产和其他长期资产的损失（收益以“-”号填列）</t>
    <phoneticPr fontId="4" type="noConversion"/>
  </si>
  <si>
    <t>资产处置收益</t>
    <phoneticPr fontId="4" type="noConversion"/>
  </si>
  <si>
    <t>应收票据及应收账款</t>
    <phoneticPr fontId="7" type="noConversion"/>
  </si>
  <si>
    <t>营业收入*2/【应收票据及应收账款周转率预测值】-期初应收票据及应收账款</t>
    <phoneticPr fontId="7" type="noConversion"/>
  </si>
  <si>
    <t>其他应收账款（含其他应收账款、应收股利、应收利息）</t>
    <phoneticPr fontId="7" type="noConversion"/>
  </si>
  <si>
    <t>应付票据及应付账款</t>
    <phoneticPr fontId="7" type="noConversion"/>
  </si>
  <si>
    <t>营业成本*2/【应付票据及应付账款周转率预测值】-期初应付票据及应付账款</t>
    <phoneticPr fontId="7" type="noConversion"/>
  </si>
  <si>
    <t>其他应付账款（含其他应付款、应付股利、应付利息）</t>
    <phoneticPr fontId="7" type="noConversion"/>
  </si>
  <si>
    <t xml:space="preserve">    其中：应收票据及应收账款(%)</t>
    <phoneticPr fontId="7" type="noConversion"/>
  </si>
  <si>
    <t xml:space="preserve">    其中：应收票据及应收账款同比(%)</t>
    <phoneticPr fontId="7" type="noConversion"/>
  </si>
  <si>
    <t xml:space="preserve">    其中：其他应收账款（含其他应收账款、应收股利、应收利息）(%)</t>
    <phoneticPr fontId="7" type="noConversion"/>
  </si>
  <si>
    <t xml:space="preserve">    其中：其他应收账款（含其他应收账款、应收股利、应收利息）同比(%)</t>
    <phoneticPr fontId="7" type="noConversion"/>
  </si>
  <si>
    <t xml:space="preserve">    其中：应付票据及应付账款(%)</t>
    <phoneticPr fontId="7" type="noConversion"/>
  </si>
  <si>
    <t xml:space="preserve">    其中：应付票据及应付账款同比(%)</t>
    <phoneticPr fontId="7" type="noConversion"/>
  </si>
  <si>
    <t>利润分配表</t>
    <phoneticPr fontId="7" type="noConversion"/>
  </si>
  <si>
    <t>减：研发费用</t>
    <phoneticPr fontId="7" type="noConversion"/>
  </si>
  <si>
    <t>加：其他收益</t>
    <phoneticPr fontId="7" type="noConversion"/>
  </si>
  <si>
    <t>加：资产处置收益</t>
    <phoneticPr fontId="7" type="noConversion"/>
  </si>
  <si>
    <t>应收票据及应收账款</t>
    <phoneticPr fontId="7" type="noConversion"/>
  </si>
  <si>
    <t>应收股利、应收利息和其他应收账款</t>
    <phoneticPr fontId="7" type="noConversion"/>
  </si>
  <si>
    <t>应付票据及应付账款</t>
    <phoneticPr fontId="7" type="noConversion"/>
  </si>
  <si>
    <t>应付股利、应付利息和其他应付款</t>
    <phoneticPr fontId="7" type="noConversion"/>
  </si>
  <si>
    <t>减：研发费用</t>
    <phoneticPr fontId="7" type="noConversion"/>
  </si>
  <si>
    <t>加：其他收益</t>
    <phoneticPr fontId="7" type="noConversion"/>
  </si>
  <si>
    <t>加：资产处置收益</t>
    <phoneticPr fontId="7" type="noConversion"/>
  </si>
  <si>
    <t>应收股利、应收利息和其他应收账款</t>
    <phoneticPr fontId="7" type="noConversion"/>
  </si>
  <si>
    <t>应付票据和应付账款</t>
    <phoneticPr fontId="7" type="noConversion"/>
  </si>
  <si>
    <t>应付股利、应付利息和其他应付款</t>
    <phoneticPr fontId="7" type="noConversion"/>
  </si>
  <si>
    <t>R_D_EXP</t>
    <phoneticPr fontId="7" type="noConversion"/>
  </si>
  <si>
    <t>R_D_EXP</t>
    <phoneticPr fontId="7" type="noConversion"/>
  </si>
  <si>
    <t>OTH_INC</t>
    <phoneticPr fontId="7" type="noConversion"/>
  </si>
  <si>
    <t>AST_DSPL_INC</t>
    <phoneticPr fontId="7" type="noConversion"/>
  </si>
  <si>
    <t>AST_DSPL_INC</t>
    <phoneticPr fontId="7" type="noConversion"/>
  </si>
  <si>
    <t>OTH_INC</t>
    <phoneticPr fontId="7" type="noConversion"/>
  </si>
  <si>
    <t>S_NOTEACCTRCV_SUM</t>
    <phoneticPr fontId="7" type="noConversion"/>
  </si>
  <si>
    <t>S_NOTEACCTRCV_SUM</t>
    <phoneticPr fontId="7" type="noConversion"/>
  </si>
  <si>
    <t>S_NEWOTHRCV_SUM</t>
    <phoneticPr fontId="7" type="noConversion"/>
  </si>
  <si>
    <t>S_NEWOTHRCV_SUM</t>
    <phoneticPr fontId="7" type="noConversion"/>
  </si>
  <si>
    <t>S_NOTEACCTPAY_SUM</t>
    <phoneticPr fontId="7" type="noConversion"/>
  </si>
  <si>
    <t>S_NOTEACCTPAY_SUM</t>
    <phoneticPr fontId="7" type="noConversion"/>
  </si>
  <si>
    <t>S_NEWOTHPAY_SUM</t>
    <phoneticPr fontId="7" type="noConversion"/>
  </si>
  <si>
    <t>S_NEWOTHPAY_SUM</t>
    <phoneticPr fontId="7" type="noConversion"/>
  </si>
  <si>
    <r>
      <t>*</t>
    </r>
    <r>
      <rPr>
        <sz val="9"/>
        <color indexed="10"/>
        <rFont val="宋体"/>
        <family val="3"/>
        <charset val="134"/>
      </rPr>
      <t>每股指标采用当期期末股本摊薄</t>
    </r>
    <phoneticPr fontId="67" type="noConversion"/>
  </si>
  <si>
    <t>单位</t>
    <phoneticPr fontId="7" type="noConversion"/>
  </si>
  <si>
    <t>单位</t>
    <phoneticPr fontId="7" type="noConversion"/>
  </si>
  <si>
    <r>
      <t>提示：仅适用于每股股本</t>
    </r>
    <r>
      <rPr>
        <b/>
        <sz val="9"/>
        <color rgb="FFFF0000"/>
        <rFont val="Arial"/>
        <family val="2"/>
      </rPr>
      <t>=1</t>
    </r>
    <r>
      <rPr>
        <b/>
        <sz val="9"/>
        <color rgb="FFFF0000"/>
        <rFont val="宋体"/>
        <family val="3"/>
        <charset val="134"/>
      </rPr>
      <t>的情况</t>
    </r>
  </si>
  <si>
    <t>提示：选择双倍余额递减法时，仅固定资产折旧采用双倍余额递减法计算，其他仍采用直线法。</t>
    <phoneticPr fontId="7" type="noConversion"/>
  </si>
  <si>
    <t>期初+归属于母公司净利润+融资增加-派现+外币报表折算差额</t>
    <phoneticPr fontId="7" type="noConversion"/>
  </si>
  <si>
    <t>应收账款</t>
    <phoneticPr fontId="7" type="noConversion"/>
  </si>
  <si>
    <t>应付账款</t>
    <phoneticPr fontId="7" type="noConversion"/>
  </si>
  <si>
    <t>应收账款</t>
    <phoneticPr fontId="7" type="noConversion"/>
  </si>
  <si>
    <t>应付账款</t>
    <phoneticPr fontId="7" type="noConversion"/>
  </si>
  <si>
    <t>S_RcvAcct</t>
    <phoneticPr fontId="7" type="noConversion"/>
  </si>
  <si>
    <t>S_AcctPay</t>
    <phoneticPr fontId="7" type="noConversion"/>
  </si>
  <si>
    <t>应收票据</t>
    <phoneticPr fontId="7" type="noConversion"/>
  </si>
  <si>
    <t>应收账款</t>
    <phoneticPr fontId="7" type="noConversion"/>
  </si>
  <si>
    <t>应付票据</t>
    <phoneticPr fontId="7" type="noConversion"/>
  </si>
  <si>
    <t>应付账款</t>
    <phoneticPr fontId="7" type="noConversion"/>
  </si>
  <si>
    <r>
      <rPr>
        <sz val="9"/>
        <rFont val="宋体"/>
        <family val="3"/>
        <charset val="134"/>
      </rPr>
      <t>营业收入</t>
    </r>
    <r>
      <rPr>
        <sz val="9"/>
        <rFont val="Arial"/>
        <family val="2"/>
      </rPr>
      <t>/</t>
    </r>
    <r>
      <rPr>
        <sz val="9"/>
        <rFont val="宋体"/>
        <family val="3"/>
        <charset val="134"/>
      </rPr>
      <t>平均应收票据</t>
    </r>
    <phoneticPr fontId="4" type="noConversion"/>
  </si>
  <si>
    <r>
      <rPr>
        <sz val="9"/>
        <rFont val="宋体"/>
        <family val="3"/>
        <charset val="134"/>
      </rPr>
      <t>营业收入</t>
    </r>
    <r>
      <rPr>
        <sz val="9"/>
        <rFont val="Arial"/>
        <family val="2"/>
      </rPr>
      <t>/</t>
    </r>
    <r>
      <rPr>
        <sz val="9"/>
        <rFont val="宋体"/>
        <family val="3"/>
        <charset val="134"/>
      </rPr>
      <t>平均应收账款</t>
    </r>
    <phoneticPr fontId="4" type="noConversion"/>
  </si>
  <si>
    <t>营业收入*2/【应收票据周转率预测值】-期初应收票据</t>
    <phoneticPr fontId="7" type="noConversion"/>
  </si>
  <si>
    <t>营业收入*2/【应收账款周转率预测值】-期初应收账款</t>
    <phoneticPr fontId="7" type="noConversion"/>
  </si>
  <si>
    <t>营业成本*2/【应付票据周转率预测值】-期初应付票据</t>
    <phoneticPr fontId="7" type="noConversion"/>
  </si>
  <si>
    <t>营业成本*2/【应付账款周转率预测值】-期初应付账款</t>
    <phoneticPr fontId="7" type="noConversion"/>
  </si>
  <si>
    <r>
      <rPr>
        <sz val="9"/>
        <rFont val="宋体"/>
        <family val="3"/>
        <charset val="134"/>
      </rPr>
      <t>营业成本</t>
    </r>
    <r>
      <rPr>
        <sz val="9"/>
        <rFont val="Arial"/>
        <family val="2"/>
      </rPr>
      <t>/</t>
    </r>
    <r>
      <rPr>
        <sz val="9"/>
        <rFont val="宋体"/>
        <family val="3"/>
        <charset val="134"/>
      </rPr>
      <t>平均应付票据</t>
    </r>
    <phoneticPr fontId="4" type="noConversion"/>
  </si>
  <si>
    <r>
      <rPr>
        <sz val="9"/>
        <rFont val="宋体"/>
        <family val="3"/>
        <charset val="134"/>
      </rPr>
      <t>营业成本</t>
    </r>
    <r>
      <rPr>
        <sz val="9"/>
        <rFont val="Arial"/>
        <family val="2"/>
      </rPr>
      <t>/</t>
    </r>
    <r>
      <rPr>
        <sz val="9"/>
        <rFont val="宋体"/>
        <family val="3"/>
        <charset val="134"/>
      </rPr>
      <t>平均应付账款</t>
    </r>
    <phoneticPr fontId="4" type="noConversion"/>
  </si>
  <si>
    <t xml:space="preserve">  应收票据</t>
    <phoneticPr fontId="4" type="noConversion"/>
  </si>
  <si>
    <t xml:space="preserve">  应收账款</t>
    <phoneticPr fontId="4" type="noConversion"/>
  </si>
  <si>
    <t xml:space="preserve">  应付票据</t>
    <phoneticPr fontId="4" type="noConversion"/>
  </si>
  <si>
    <t xml:space="preserve">  应付账款</t>
    <phoneticPr fontId="4" type="noConversion"/>
  </si>
  <si>
    <t>EPS（元）</t>
    <phoneticPr fontId="7" type="noConversion"/>
  </si>
  <si>
    <t>合同资产</t>
    <phoneticPr fontId="7" type="noConversion"/>
  </si>
  <si>
    <t>S_CONTRACTASSET</t>
  </si>
  <si>
    <t>合同资产</t>
    <phoneticPr fontId="7" type="noConversion"/>
  </si>
  <si>
    <t>减：信用减值损失</t>
    <phoneticPr fontId="7" type="noConversion"/>
  </si>
  <si>
    <t>减：信用减值损失</t>
    <phoneticPr fontId="7" type="noConversion"/>
  </si>
  <si>
    <t>减：信用减值损失</t>
    <phoneticPr fontId="7" type="noConversion"/>
  </si>
  <si>
    <t>合同资产</t>
    <phoneticPr fontId="7" type="noConversion"/>
  </si>
  <si>
    <t>S_CONTRACTASSET</t>
    <phoneticPr fontId="7" type="noConversion"/>
  </si>
  <si>
    <t>减：信用减值损失</t>
    <phoneticPr fontId="7" type="noConversion"/>
  </si>
  <si>
    <t>合同资产</t>
    <phoneticPr fontId="7" type="noConversion"/>
  </si>
  <si>
    <t>S_CONTRACTASSET</t>
    <phoneticPr fontId="7" type="noConversion"/>
  </si>
  <si>
    <t>合同资产</t>
    <phoneticPr fontId="4" type="noConversion"/>
  </si>
  <si>
    <r>
      <t>营业收入</t>
    </r>
    <r>
      <rPr>
        <sz val="9"/>
        <rFont val="Arial"/>
        <family val="2"/>
      </rPr>
      <t>/</t>
    </r>
    <r>
      <rPr>
        <sz val="9"/>
        <rFont val="宋体"/>
        <family val="3"/>
        <charset val="134"/>
      </rPr>
      <t>平均合同资产</t>
    </r>
    <phoneticPr fontId="4" type="noConversion"/>
  </si>
  <si>
    <t>营业收入*2/【合同资产预测值】-期初合同资产</t>
    <phoneticPr fontId="7" type="noConversion"/>
  </si>
  <si>
    <r>
      <rPr>
        <sz val="9"/>
        <color indexed="8"/>
        <rFont val="宋体"/>
        <family val="3"/>
        <charset val="134"/>
      </rPr>
      <t>货币资金</t>
    </r>
    <r>
      <rPr>
        <sz val="9"/>
        <color indexed="8"/>
        <rFont val="Arial"/>
        <family val="2"/>
      </rPr>
      <t>/</t>
    </r>
    <r>
      <rPr>
        <sz val="9"/>
        <color indexed="8"/>
        <rFont val="宋体"/>
        <family val="3"/>
        <charset val="134"/>
      </rPr>
      <t>营业收入</t>
    </r>
    <phoneticPr fontId="4" type="noConversion"/>
  </si>
  <si>
    <t>衍生金融资产</t>
    <phoneticPr fontId="7" type="noConversion"/>
  </si>
  <si>
    <t>应收款项融资</t>
    <phoneticPr fontId="7" type="noConversion"/>
  </si>
  <si>
    <t>划分为持有待售的资产</t>
    <phoneticPr fontId="7" type="noConversion"/>
  </si>
  <si>
    <t>债权投资</t>
    <phoneticPr fontId="7" type="noConversion"/>
  </si>
  <si>
    <t>其他债权投资</t>
    <phoneticPr fontId="7" type="noConversion"/>
  </si>
  <si>
    <t>其他权益工具投资</t>
  </si>
  <si>
    <t>其他权益工具投资</t>
    <phoneticPr fontId="7" type="noConversion"/>
  </si>
  <si>
    <t>其他非流动金融资产</t>
    <phoneticPr fontId="7" type="noConversion"/>
  </si>
  <si>
    <t>使用权资产</t>
    <phoneticPr fontId="7" type="noConversion"/>
  </si>
  <si>
    <t>衍生金融负债</t>
    <phoneticPr fontId="7" type="noConversion"/>
  </si>
  <si>
    <t>合同负债</t>
    <phoneticPr fontId="7" type="noConversion"/>
  </si>
  <si>
    <t>划分为持有待售的负债</t>
    <phoneticPr fontId="7" type="noConversion"/>
  </si>
  <si>
    <t>租赁负债</t>
    <phoneticPr fontId="7" type="noConversion"/>
  </si>
  <si>
    <t>其它权益工具</t>
    <phoneticPr fontId="7" type="noConversion"/>
  </si>
  <si>
    <t>其中:_优先股</t>
  </si>
  <si>
    <t>其中:_永续债</t>
  </si>
  <si>
    <t>其它综合收益</t>
    <phoneticPr fontId="7" type="noConversion"/>
  </si>
  <si>
    <t>专项储备</t>
    <phoneticPr fontId="7" type="noConversion"/>
  </si>
  <si>
    <t>其中:_优先股</t>
    <phoneticPr fontId="7" type="noConversion"/>
  </si>
  <si>
    <t>其中:_永续债</t>
    <phoneticPr fontId="7" type="noConversion"/>
  </si>
  <si>
    <t>S_ACCHELDFORS</t>
    <phoneticPr fontId="7" type="noConversion"/>
  </si>
  <si>
    <t>S_BONDINVESTMENT</t>
  </si>
  <si>
    <t>S_OTHDEBTINVEST</t>
    <phoneticPr fontId="7" type="noConversion"/>
  </si>
  <si>
    <t>S_RIGHTUSEASSETS</t>
    <phoneticPr fontId="7" type="noConversion"/>
  </si>
  <si>
    <t>S_LIABHELDFORS</t>
    <phoneticPr fontId="7" type="noConversion"/>
  </si>
  <si>
    <t>衍生金融资产</t>
    <phoneticPr fontId="4" type="noConversion"/>
  </si>
  <si>
    <t>应收款项融资</t>
    <phoneticPr fontId="4" type="noConversion"/>
  </si>
  <si>
    <t>划分为持有待售的资产</t>
    <phoneticPr fontId="4" type="noConversion"/>
  </si>
  <si>
    <t>债权投资</t>
    <phoneticPr fontId="4" type="noConversion"/>
  </si>
  <si>
    <t>其他债权投资</t>
    <phoneticPr fontId="4" type="noConversion"/>
  </si>
  <si>
    <t>其他非流动金融资产</t>
    <phoneticPr fontId="4" type="noConversion"/>
  </si>
  <si>
    <t>使用权资产</t>
    <phoneticPr fontId="4" type="noConversion"/>
  </si>
  <si>
    <t>衍生金融负债</t>
    <phoneticPr fontId="4" type="noConversion"/>
  </si>
  <si>
    <t>合同负债</t>
    <phoneticPr fontId="4" type="noConversion"/>
  </si>
  <si>
    <t>划分为持有待售的负债</t>
    <phoneticPr fontId="4" type="noConversion"/>
  </si>
  <si>
    <t>租赁负债</t>
    <phoneticPr fontId="4" type="noConversion"/>
  </si>
  <si>
    <t>【预测值】</t>
  </si>
  <si>
    <t xml:space="preserve">应收账款融资 </t>
    <phoneticPr fontId="7" type="noConversion"/>
  </si>
  <si>
    <t>其他债券投资</t>
    <phoneticPr fontId="7" type="noConversion"/>
  </si>
  <si>
    <t>【年度数据】</t>
    <phoneticPr fontId="7" type="noConversion"/>
  </si>
  <si>
    <t>减：衍生金融资产</t>
    <phoneticPr fontId="4" type="noConversion"/>
  </si>
  <si>
    <t>衍生金融资产的减少</t>
    <phoneticPr fontId="4" type="noConversion"/>
  </si>
  <si>
    <t>债权投资的减少</t>
    <phoneticPr fontId="4" type="noConversion"/>
  </si>
  <si>
    <t>其他债权投资的减少</t>
    <phoneticPr fontId="4" type="noConversion"/>
  </si>
  <si>
    <t>其他权益工具投资的减少</t>
    <phoneticPr fontId="4" type="noConversion"/>
  </si>
  <si>
    <t>其他非流动金融资产的减少</t>
    <phoneticPr fontId="4" type="noConversion"/>
  </si>
  <si>
    <t>使用权资产的减少</t>
    <phoneticPr fontId="4" type="noConversion"/>
  </si>
  <si>
    <t>减：衍生金融负债</t>
    <phoneticPr fontId="4" type="noConversion"/>
  </si>
  <si>
    <t>衍生金融负债的增加</t>
    <phoneticPr fontId="4" type="noConversion"/>
  </si>
  <si>
    <t>租赁负债的增加</t>
    <phoneticPr fontId="4" type="noConversion"/>
  </si>
  <si>
    <t>S_BONDINVESTMENT</t>
    <phoneticPr fontId="7" type="noConversion"/>
  </si>
  <si>
    <t>该科目不需要再进行预测</t>
    <phoneticPr fontId="4" type="noConversion"/>
  </si>
  <si>
    <r>
      <rPr>
        <sz val="9"/>
        <color theme="2" tint="-9.9978637043366805E-2"/>
        <rFont val="宋体"/>
        <family val="3"/>
        <charset val="134"/>
      </rPr>
      <t>可供出售金融资产</t>
    </r>
    <phoneticPr fontId="4" type="noConversion"/>
  </si>
  <si>
    <t>3</t>
  </si>
  <si>
    <t>应收票据及应收账款</t>
    <phoneticPr fontId="7" type="noConversion"/>
  </si>
  <si>
    <t>应收款项融资</t>
  </si>
  <si>
    <t>S_NOTEACCTRCV_SUM</t>
    <phoneticPr fontId="7" type="noConversion"/>
  </si>
  <si>
    <t>S_ACCT_RCV_FIN</t>
    <phoneticPr fontId="7" type="noConversion"/>
  </si>
  <si>
    <t>S_DERIVFINASSETS</t>
    <phoneticPr fontId="7" type="noConversion"/>
  </si>
  <si>
    <t>S_OTH_EQY_INV</t>
    <phoneticPr fontId="7" type="noConversion"/>
  </si>
  <si>
    <t>S_OTH_NCUR_FIN_AST</t>
    <phoneticPr fontId="7" type="noConversion"/>
  </si>
  <si>
    <t>S_DERIVFINLIAB</t>
    <phoneticPr fontId="7" type="noConversion"/>
  </si>
  <si>
    <t>S_CONTR_LIAB</t>
    <phoneticPr fontId="7" type="noConversion"/>
  </si>
  <si>
    <t>S_LEAS_LIAB</t>
    <phoneticPr fontId="7" type="noConversion"/>
  </si>
  <si>
    <t>S_OTH_COMP_INC</t>
    <phoneticPr fontId="7" type="noConversion"/>
  </si>
  <si>
    <t>S_SPCLRSV</t>
    <phoneticPr fontId="7" type="noConversion"/>
  </si>
  <si>
    <t>S_CredImprLoss</t>
    <phoneticPr fontId="7" type="noConversion"/>
  </si>
  <si>
    <t>S_InterestFinExp</t>
    <phoneticPr fontId="7" type="noConversion"/>
  </si>
  <si>
    <t>S_InterestIncomeFin</t>
    <phoneticPr fontId="7" type="noConversion"/>
  </si>
  <si>
    <t>1、确认Excel主菜单“工具→宏→安全性”选项框，安全级别设为“中”，并在打开估值模版时，选择“启用宏”。
2、确认Excel主菜单“工具→选项→重新计算”选项框，选择“自动重算”，保证参数改变时，表格自动更新数据。</t>
    <phoneticPr fontId="7" type="noConversion"/>
  </si>
  <si>
    <t xml:space="preserve">A股(非金融)财务估值模版    </t>
    <phoneticPr fontId="7" type="noConversion"/>
  </si>
  <si>
    <r>
      <t>股票代码(</t>
    </r>
    <r>
      <rPr>
        <sz val="8"/>
        <color rgb="FFFF0000"/>
        <rFont val="宋体"/>
        <family val="3"/>
        <charset val="134"/>
        <scheme val="minor"/>
      </rPr>
      <t>请带市场简称</t>
    </r>
    <r>
      <rPr>
        <sz val="10"/>
        <color theme="1"/>
        <rFont val="宋体"/>
        <family val="3"/>
        <charset val="134"/>
        <scheme val="minor"/>
      </rPr>
      <t>)：</t>
    </r>
    <phoneticPr fontId="7" type="noConversion"/>
  </si>
  <si>
    <t xml:space="preserve">  应收票据及应收账款</t>
    <phoneticPr fontId="7" type="noConversion"/>
  </si>
  <si>
    <t xml:space="preserve">  应付票据及应付账款</t>
    <phoneticPr fontId="7" type="noConversion"/>
  </si>
  <si>
    <t>营业收入(百万元)</t>
    <phoneticPr fontId="7" type="noConversion"/>
  </si>
  <si>
    <t>YOY(%)</t>
    <phoneticPr fontId="7" type="noConversion"/>
  </si>
  <si>
    <t xml:space="preserve">YOY(%) </t>
    <phoneticPr fontId="7" type="noConversion"/>
  </si>
  <si>
    <t>EPS(摊薄/元)</t>
    <phoneticPr fontId="7" type="noConversion"/>
  </si>
  <si>
    <t>研发费用</t>
    <phoneticPr fontId="7" type="noConversion"/>
  </si>
  <si>
    <t>其他收益</t>
    <phoneticPr fontId="7" type="noConversion"/>
  </si>
  <si>
    <t>资产处置收益</t>
    <phoneticPr fontId="7" type="noConversion"/>
  </si>
  <si>
    <t>资产负债表(百万元)</t>
    <phoneticPr fontId="7" type="noConversion"/>
  </si>
  <si>
    <t>利润表(百万元)</t>
    <phoneticPr fontId="7" type="noConversion"/>
  </si>
  <si>
    <t>现金流量表(百万元)</t>
    <phoneticPr fontId="7" type="noConversion"/>
  </si>
  <si>
    <r>
      <t>P/E(</t>
    </r>
    <r>
      <rPr>
        <sz val="8"/>
        <rFont val="微软雅黑"/>
        <family val="2"/>
        <charset val="134"/>
      </rPr>
      <t>倍</t>
    </r>
    <r>
      <rPr>
        <sz val="8"/>
        <rFont val="Arial"/>
        <family val="2"/>
      </rPr>
      <t>)</t>
    </r>
    <phoneticPr fontId="7" type="noConversion"/>
  </si>
  <si>
    <r>
      <t>P/B(</t>
    </r>
    <r>
      <rPr>
        <sz val="8"/>
        <rFont val="微软雅黑"/>
        <family val="2"/>
        <charset val="134"/>
      </rPr>
      <t>倍</t>
    </r>
    <r>
      <rPr>
        <sz val="8"/>
        <rFont val="Arial"/>
        <family val="2"/>
      </rPr>
      <t>)</t>
    </r>
    <phoneticPr fontId="7" type="noConversion"/>
  </si>
  <si>
    <t>针对未上市公司，请手动输入总股本和最新收盘价</t>
    <phoneticPr fontId="7" type="noConversion"/>
  </si>
  <si>
    <t>归母净利润(百万元)</t>
    <phoneticPr fontId="7" type="noConversion"/>
  </si>
  <si>
    <t>预测期收入*【营业费用/营业收入】</t>
    <phoneticPr fontId="7" type="noConversion"/>
  </si>
  <si>
    <t>预测期收入*【管理费用/营业收入】</t>
    <phoneticPr fontId="7" type="noConversion"/>
  </si>
  <si>
    <t>预测期收入*【研发费用/营业收入】</t>
    <phoneticPr fontId="7" type="noConversion"/>
  </si>
  <si>
    <t>预测期收入*【营业税金及附加/营业收入】</t>
    <phoneticPr fontId="7" type="noConversion"/>
  </si>
  <si>
    <t>预测期收入*【营业成本/营业收入】</t>
    <phoneticPr fontId="7" type="noConversion"/>
  </si>
  <si>
    <t>预测期收入*【资产减值损失/营业收入】</t>
    <phoneticPr fontId="7" type="noConversion"/>
  </si>
  <si>
    <t>预测期收入*【信用减值损失/营业收入】</t>
    <phoneticPr fontId="7" type="noConversion"/>
  </si>
  <si>
    <r>
      <t xml:space="preserve">    </t>
    </r>
    <r>
      <rPr>
        <sz val="9"/>
        <rFont val="微软雅黑"/>
        <family val="2"/>
        <charset val="134"/>
      </rPr>
      <t>加：资产减值损失（损失以</t>
    </r>
    <r>
      <rPr>
        <sz val="9"/>
        <rFont val="Arial"/>
        <family val="2"/>
      </rPr>
      <t>"-"</t>
    </r>
    <r>
      <rPr>
        <sz val="9"/>
        <rFont val="微软雅黑"/>
        <family val="2"/>
        <charset val="134"/>
      </rPr>
      <t>填列）</t>
    </r>
    <phoneticPr fontId="4" type="noConversion"/>
  </si>
  <si>
    <r>
      <t xml:space="preserve">    </t>
    </r>
    <r>
      <rPr>
        <sz val="9"/>
        <rFont val="微软雅黑"/>
        <family val="2"/>
        <charset val="134"/>
      </rPr>
      <t>加：信用减值损失（损失以</t>
    </r>
    <r>
      <rPr>
        <sz val="9"/>
        <rFont val="Arial"/>
        <family val="2"/>
      </rPr>
      <t>"-"</t>
    </r>
    <r>
      <rPr>
        <sz val="9"/>
        <rFont val="微软雅黑"/>
        <family val="2"/>
        <charset val="134"/>
      </rPr>
      <t>填列）</t>
    </r>
    <phoneticPr fontId="4" type="noConversion"/>
  </si>
  <si>
    <t>加：资产减值损失（损失以"-"填列）</t>
    <phoneticPr fontId="7" type="noConversion"/>
  </si>
  <si>
    <t>加：信用减值损失（损失以"-"填列）</t>
    <phoneticPr fontId="7" type="noConversion"/>
  </si>
  <si>
    <t>加：信用减值损失（损失以"-"填列）</t>
    <phoneticPr fontId="4" type="noConversion"/>
  </si>
  <si>
    <t>101</t>
    <phoneticPr fontId="7" type="noConversion"/>
  </si>
  <si>
    <t>300737.SZ</t>
    <phoneticPr fontId="7" type="noConversion"/>
  </si>
  <si>
    <t>科顺股份</t>
    <phoneticPr fontId="7" type="noConversion"/>
  </si>
  <si>
    <t>防水卷材销售</t>
  </si>
  <si>
    <t>防水涂料销售</t>
  </si>
  <si>
    <t>防水工程施工</t>
  </si>
  <si>
    <t>防水卷材销售</t>
    <phoneticPr fontId="7" type="noConversion"/>
  </si>
  <si>
    <t>防水涂料销售</t>
    <phoneticPr fontId="7" type="noConversion"/>
  </si>
  <si>
    <t>防水工程施工</t>
    <phoneticPr fontId="7" type="noConversion"/>
  </si>
  <si>
    <t>其他业务</t>
    <phoneticPr fontId="7" type="noConversion"/>
  </si>
  <si>
    <t>防水卷材</t>
  </si>
  <si>
    <t>防水涂料</t>
  </si>
  <si>
    <t>防水材料销售</t>
    <phoneticPr fontId="7" type="noConversion"/>
  </si>
  <si>
    <t>科顺股份</t>
    <phoneticPr fontId="7" type="noConversion"/>
  </si>
  <si>
    <t>300737.SZ</t>
    <phoneticPr fontId="7" type="noConversion"/>
  </si>
  <si>
    <t>减隔震产品</t>
  </si>
  <si>
    <t>减隔震产品销售</t>
  </si>
  <si>
    <t>防水卷材</t>
    <phoneticPr fontId="7" type="noConversion"/>
  </si>
  <si>
    <t>防水涂料</t>
    <phoneticPr fontId="7" type="noConversion"/>
  </si>
  <si>
    <t>减隔震产品</t>
    <phoneticPr fontId="7" type="noConversion"/>
  </si>
  <si>
    <t>防水卷材</t>
    <phoneticPr fontId="4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</si>
</sst>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 #,##0.00_ ;_ * \-#,##0.00_ ;_ * &quot;-&quot;??_ ;_ @_ "/>
    <numFmt numFmtId="176" formatCode="0.00_);[Red]\(0.00\)"/>
    <numFmt numFmtId="177" formatCode="0.00_ "/>
    <numFmt numFmtId="178" formatCode="0_ ;[Red]\-0\ "/>
    <numFmt numFmtId="179" formatCode="#,##0_ ;[Red]\-#,##0\ "/>
    <numFmt numFmtId="180" formatCode="#,##0.000_ ;[Red]\-#,##0.000\ "/>
    <numFmt numFmtId="181" formatCode="0.000_ ;[Red]\-0.000\ "/>
    <numFmt numFmtId="182" formatCode="#,##0.00_ ;[Red]\-#,##0.00\ "/>
    <numFmt numFmtId="183" formatCode="0.00_ ;[Red]\-0.00\ "/>
    <numFmt numFmtId="184" formatCode="0.000_ "/>
    <numFmt numFmtId="185" formatCode="0.0000_ "/>
    <numFmt numFmtId="186" formatCode="#,##0.00000_ ;[Red]\-#,##0.00000\ "/>
    <numFmt numFmtId="187" formatCode="0_);[Red]\(0\)"/>
    <numFmt numFmtId="188" formatCode="0_);\(0\)"/>
    <numFmt numFmtId="189" formatCode="0_ "/>
    <numFmt numFmtId="190" formatCode="#,##0.00_ "/>
    <numFmt numFmtId="191" formatCode="yyyy"/>
    <numFmt numFmtId="192" formatCode="#,##0.00_ ;[Red]\!\-#,##0.00\!\ "/>
    <numFmt numFmtId="193" formatCode="_(* #,##0.00_);_(* \!\(#,##0.00\!\);_(* &quot;-&quot;??_);_(@_)"/>
    <numFmt numFmtId="194" formatCode="0.00_);[Red]\!\(0.00\!\)"/>
    <numFmt numFmtId="195" formatCode="0_ ;[Red]\!\-0\!\ "/>
    <numFmt numFmtId="196" formatCode="0_);[Red]\!\(0\!\)"/>
    <numFmt numFmtId="197" formatCode="0.00%\ "/>
    <numFmt numFmtId="198" formatCode="0.000_ ;[Red]\!\-0.000\!\ "/>
    <numFmt numFmtId="199" formatCode="0.0_ ;[Red]\-0.0\ "/>
    <numFmt numFmtId="200" formatCode="0.0_);[Red]\(0.0\)"/>
    <numFmt numFmtId="201" formatCode="0.0%"/>
  </numFmts>
  <fonts count="229">
    <font>
      <sz val="9"/>
      <name val="宋体"/>
      <charset val="134"/>
    </font>
    <font>
      <sz val="11"/>
      <color theme="1"/>
      <name val="宋体"/>
      <family val="2"/>
      <charset val="134"/>
      <scheme val="minor"/>
    </font>
    <font>
      <sz val="11"/>
      <color theme="1"/>
      <name val="宋体"/>
      <family val="2"/>
      <charset val="134"/>
      <scheme val="minor"/>
    </font>
    <font>
      <sz val="10"/>
      <name val="Arial"/>
      <family val="2"/>
    </font>
    <font>
      <sz val="9"/>
      <name val="Times New Roman"/>
      <family val="1"/>
    </font>
    <font>
      <b/>
      <sz val="9"/>
      <name val="Times New Roman"/>
      <family val="1"/>
    </font>
    <font>
      <b/>
      <sz val="9"/>
      <color indexed="8"/>
      <name val="Times New Roman"/>
      <family val="1"/>
    </font>
    <font>
      <sz val="9"/>
      <name val="宋体"/>
      <family val="3"/>
      <charset val="134"/>
    </font>
    <font>
      <sz val="9"/>
      <color indexed="8"/>
      <name val="宋体"/>
      <family val="3"/>
      <charset val="134"/>
    </font>
    <font>
      <b/>
      <sz val="9"/>
      <name val="宋体"/>
      <family val="3"/>
      <charset val="134"/>
    </font>
    <font>
      <b/>
      <sz val="10"/>
      <name val="宋体"/>
      <family val="3"/>
      <charset val="134"/>
    </font>
    <font>
      <sz val="9"/>
      <color indexed="17"/>
      <name val="Times New Roman"/>
      <family val="1"/>
    </font>
    <font>
      <sz val="9"/>
      <color indexed="12"/>
      <name val="宋体"/>
      <family val="3"/>
      <charset val="134"/>
    </font>
    <font>
      <sz val="9"/>
      <color indexed="52"/>
      <name val="宋体"/>
      <family val="3"/>
      <charset val="134"/>
    </font>
    <font>
      <sz val="9"/>
      <name val="Arial"/>
      <family val="2"/>
    </font>
    <font>
      <i/>
      <sz val="9"/>
      <name val="宋体"/>
      <family val="3"/>
      <charset val="134"/>
    </font>
    <font>
      <b/>
      <sz val="9"/>
      <color indexed="8"/>
      <name val="宋体"/>
      <family val="3"/>
      <charset val="134"/>
    </font>
    <font>
      <sz val="9"/>
      <color indexed="17"/>
      <name val="宋体"/>
      <family val="3"/>
      <charset val="134"/>
    </font>
    <font>
      <b/>
      <sz val="10"/>
      <color indexed="12"/>
      <name val="宋体"/>
      <family val="3"/>
      <charset val="134"/>
    </font>
    <font>
      <sz val="9"/>
      <color indexed="12"/>
      <name val="Arial"/>
      <family val="2"/>
    </font>
    <font>
      <b/>
      <sz val="9"/>
      <color indexed="12"/>
      <name val="Arial"/>
      <family val="2"/>
    </font>
    <font>
      <b/>
      <sz val="9"/>
      <name val="Arial"/>
      <family val="2"/>
    </font>
    <font>
      <i/>
      <sz val="9"/>
      <name val="Arial"/>
      <family val="2"/>
    </font>
    <font>
      <b/>
      <sz val="9"/>
      <color indexed="8"/>
      <name val="Arial"/>
      <family val="2"/>
    </font>
    <font>
      <b/>
      <u/>
      <sz val="9"/>
      <name val="Arial"/>
      <family val="2"/>
    </font>
    <font>
      <b/>
      <sz val="9"/>
      <color indexed="10"/>
      <name val="Arial"/>
      <family val="2"/>
    </font>
    <font>
      <b/>
      <sz val="10"/>
      <name val="Arial"/>
      <family val="2"/>
    </font>
    <font>
      <b/>
      <sz val="9"/>
      <color indexed="10"/>
      <name val="宋体"/>
      <family val="3"/>
      <charset val="134"/>
    </font>
    <font>
      <sz val="9"/>
      <color indexed="81"/>
      <name val="宋体"/>
      <family val="3"/>
      <charset val="134"/>
    </font>
    <font>
      <sz val="9"/>
      <color indexed="53"/>
      <name val="宋体"/>
      <family val="3"/>
      <charset val="134"/>
    </font>
    <font>
      <sz val="9"/>
      <color indexed="53"/>
      <name val="Times New Roman"/>
      <family val="1"/>
    </font>
    <font>
      <b/>
      <vertAlign val="subscript"/>
      <sz val="10"/>
      <name val="Bookman"/>
      <family val="1"/>
    </font>
    <font>
      <sz val="9"/>
      <color indexed="8"/>
      <name val="Arial"/>
      <family val="2"/>
    </font>
    <font>
      <vertAlign val="subscript"/>
      <sz val="9"/>
      <name val="宋体"/>
      <family val="3"/>
      <charset val="134"/>
    </font>
    <font>
      <vertAlign val="subscript"/>
      <sz val="10"/>
      <name val="Arial"/>
      <family val="2"/>
    </font>
    <font>
      <sz val="10"/>
      <name val="宋体"/>
      <family val="3"/>
      <charset val="134"/>
    </font>
    <font>
      <b/>
      <vertAlign val="subscript"/>
      <sz val="10"/>
      <name val="Arial"/>
      <family val="2"/>
    </font>
    <font>
      <b/>
      <sz val="9"/>
      <color indexed="52"/>
      <name val="宋体"/>
      <family val="3"/>
      <charset val="134"/>
    </font>
    <font>
      <vertAlign val="subscript"/>
      <sz val="9"/>
      <name val="Arial"/>
      <family val="2"/>
    </font>
    <font>
      <b/>
      <vertAlign val="subscript"/>
      <sz val="9"/>
      <name val="Arial"/>
      <family val="2"/>
    </font>
    <font>
      <vertAlign val="subscript"/>
      <sz val="9"/>
      <color indexed="8"/>
      <name val="Arial"/>
      <family val="2"/>
    </font>
    <font>
      <sz val="9"/>
      <color indexed="48"/>
      <name val="宋体"/>
      <family val="3"/>
      <charset val="134"/>
    </font>
    <font>
      <sz val="9"/>
      <color indexed="18"/>
      <name val="宋体"/>
      <family val="3"/>
      <charset val="134"/>
    </font>
    <font>
      <sz val="12"/>
      <name val="新細明體"/>
      <family val="1"/>
      <charset val="136"/>
    </font>
    <font>
      <sz val="9"/>
      <name val="新細明體"/>
      <family val="1"/>
      <charset val="136"/>
    </font>
    <font>
      <sz val="12"/>
      <name val="宋体"/>
      <family val="3"/>
      <charset val="134"/>
    </font>
    <font>
      <b/>
      <sz val="10"/>
      <color indexed="10"/>
      <name val="宋体"/>
      <family val="3"/>
      <charset val="134"/>
    </font>
    <font>
      <sz val="10"/>
      <color indexed="16"/>
      <name val="宋体"/>
      <family val="3"/>
      <charset val="134"/>
    </font>
    <font>
      <b/>
      <sz val="10"/>
      <color indexed="15"/>
      <name val="宋体"/>
      <family val="3"/>
      <charset val="134"/>
    </font>
    <font>
      <b/>
      <sz val="10"/>
      <color indexed="10"/>
      <name val="Arial"/>
      <family val="2"/>
    </font>
    <font>
      <sz val="12"/>
      <name val="黑体"/>
      <family val="3"/>
      <charset val="134"/>
    </font>
    <font>
      <b/>
      <sz val="10"/>
      <color indexed="8"/>
      <name val="宋体"/>
      <family val="3"/>
      <charset val="134"/>
    </font>
    <font>
      <sz val="9"/>
      <color indexed="10"/>
      <name val="宋体"/>
      <family val="3"/>
      <charset val="134"/>
    </font>
    <font>
      <b/>
      <sz val="12"/>
      <color indexed="10"/>
      <name val="宋体"/>
      <family val="3"/>
      <charset val="134"/>
    </font>
    <font>
      <b/>
      <sz val="12"/>
      <color indexed="10"/>
      <name val="Arial"/>
      <family val="2"/>
    </font>
    <font>
      <sz val="9"/>
      <color indexed="8"/>
      <name val="宋体"/>
      <family val="3"/>
      <charset val="134"/>
    </font>
    <font>
      <sz val="9"/>
      <color indexed="8"/>
      <name val="Times New Roman"/>
      <family val="1"/>
    </font>
    <font>
      <b/>
      <sz val="12"/>
      <color indexed="10"/>
      <name val="宋体"/>
      <family val="3"/>
      <charset val="134"/>
    </font>
    <font>
      <sz val="9"/>
      <name val="宋体"/>
      <family val="3"/>
      <charset val="134"/>
    </font>
    <font>
      <b/>
      <sz val="9"/>
      <name val="宋体"/>
      <family val="3"/>
      <charset val="134"/>
    </font>
    <font>
      <b/>
      <sz val="9"/>
      <color indexed="8"/>
      <name val="宋体"/>
      <family val="3"/>
      <charset val="134"/>
    </font>
    <font>
      <sz val="9"/>
      <color indexed="8"/>
      <name val="宋体"/>
      <family val="3"/>
      <charset val="134"/>
    </font>
    <font>
      <sz val="9"/>
      <name val="宋体"/>
      <family val="3"/>
      <charset val="134"/>
    </font>
    <font>
      <b/>
      <sz val="9"/>
      <name val="宋体"/>
      <family val="3"/>
      <charset val="134"/>
    </font>
    <font>
      <b/>
      <sz val="9"/>
      <color indexed="8"/>
      <name val="宋体"/>
      <family val="3"/>
      <charset val="134"/>
    </font>
    <font>
      <sz val="9"/>
      <name val="宋体"/>
      <family val="3"/>
      <charset val="134"/>
    </font>
    <font>
      <sz val="9"/>
      <color indexed="8"/>
      <name val="宋体"/>
      <family val="3"/>
      <charset val="134"/>
    </font>
    <font>
      <sz val="9"/>
      <name val="宋体"/>
      <family val="3"/>
      <charset val="134"/>
    </font>
    <font>
      <b/>
      <sz val="12"/>
      <name val="宋体"/>
      <family val="3"/>
      <charset val="134"/>
    </font>
    <font>
      <b/>
      <sz val="18"/>
      <name val="宋体"/>
      <family val="3"/>
      <charset val="134"/>
    </font>
    <font>
      <b/>
      <sz val="11"/>
      <name val="Times New Roman"/>
      <family val="1"/>
    </font>
    <font>
      <b/>
      <sz val="9"/>
      <color indexed="53"/>
      <name val="Arial"/>
      <family val="2"/>
    </font>
    <font>
      <sz val="9"/>
      <name val="宋体"/>
      <family val="3"/>
      <charset val="134"/>
    </font>
    <font>
      <sz val="9"/>
      <name val="宋体"/>
      <family val="3"/>
      <charset val="134"/>
    </font>
    <font>
      <b/>
      <sz val="9"/>
      <name val="宋体"/>
      <family val="3"/>
      <charset val="134"/>
    </font>
    <font>
      <sz val="9"/>
      <color indexed="8"/>
      <name val="宋体"/>
      <family val="3"/>
      <charset val="134"/>
    </font>
    <font>
      <b/>
      <sz val="9"/>
      <color indexed="8"/>
      <name val="宋体"/>
      <family val="3"/>
      <charset val="134"/>
    </font>
    <font>
      <sz val="9"/>
      <color indexed="81"/>
      <name val="Tahoma"/>
      <family val="2"/>
    </font>
    <font>
      <b/>
      <sz val="9"/>
      <name val="宋体"/>
      <family val="3"/>
      <charset val="134"/>
    </font>
    <font>
      <sz val="9"/>
      <name val="宋体"/>
      <family val="3"/>
      <charset val="134"/>
    </font>
    <font>
      <sz val="9"/>
      <name val="宋体"/>
      <family val="3"/>
      <charset val="134"/>
    </font>
    <font>
      <b/>
      <sz val="9"/>
      <name val="宋体"/>
      <family val="3"/>
      <charset val="134"/>
    </font>
    <font>
      <sz val="9"/>
      <name val="宋体"/>
      <family val="3"/>
      <charset val="134"/>
    </font>
    <font>
      <b/>
      <sz val="9"/>
      <name val="宋体"/>
      <family val="3"/>
      <charset val="134"/>
    </font>
    <font>
      <sz val="14"/>
      <name val="宋体"/>
      <family val="3"/>
      <charset val="134"/>
    </font>
    <font>
      <b/>
      <sz val="8"/>
      <color indexed="9"/>
      <name val="Arial"/>
      <family val="2"/>
    </font>
    <font>
      <sz val="8"/>
      <name val="Arial"/>
      <family val="2"/>
    </font>
    <font>
      <b/>
      <sz val="8"/>
      <name val="Arial"/>
      <family val="2"/>
    </font>
    <font>
      <b/>
      <sz val="8"/>
      <color indexed="53"/>
      <name val="Arial"/>
      <family val="2"/>
    </font>
    <font>
      <b/>
      <sz val="9"/>
      <color indexed="12"/>
      <name val="宋体"/>
      <family val="3"/>
      <charset val="134"/>
    </font>
    <font>
      <sz val="9"/>
      <name val="宋体"/>
      <family val="3"/>
      <charset val="134"/>
    </font>
    <font>
      <sz val="9"/>
      <name val="宋体"/>
      <family val="3"/>
      <charset val="134"/>
    </font>
    <font>
      <b/>
      <sz val="9"/>
      <name val="宋体"/>
      <family val="3"/>
      <charset val="134"/>
    </font>
    <font>
      <sz val="9"/>
      <color indexed="17"/>
      <name val="Arial"/>
      <family val="2"/>
    </font>
    <font>
      <b/>
      <sz val="9"/>
      <color indexed="17"/>
      <name val="Arial"/>
      <family val="2"/>
    </font>
    <font>
      <b/>
      <u/>
      <sz val="9"/>
      <name val="宋体"/>
      <family val="3"/>
      <charset val="134"/>
    </font>
    <font>
      <b/>
      <u/>
      <sz val="9"/>
      <color indexed="12"/>
      <name val="Arial"/>
      <family val="2"/>
    </font>
    <font>
      <b/>
      <sz val="10"/>
      <name val="Times New Roman"/>
      <family val="1"/>
    </font>
    <font>
      <sz val="9"/>
      <name val="宋体"/>
      <family val="3"/>
      <charset val="134"/>
    </font>
    <font>
      <sz val="10"/>
      <name val="宋体"/>
      <family val="3"/>
      <charset val="134"/>
    </font>
    <font>
      <sz val="9"/>
      <name val="宋体"/>
      <family val="3"/>
      <charset val="134"/>
    </font>
    <font>
      <sz val="9"/>
      <name val="宋体"/>
      <family val="3"/>
      <charset val="134"/>
    </font>
    <font>
      <sz val="10"/>
      <color indexed="10"/>
      <name val="宋体"/>
      <family val="3"/>
      <charset val="134"/>
    </font>
    <font>
      <sz val="9"/>
      <name val="宋体"/>
      <family val="3"/>
      <charset val="134"/>
    </font>
    <font>
      <sz val="9"/>
      <color indexed="12"/>
      <name val="宋体"/>
      <family val="3"/>
      <charset val="134"/>
    </font>
    <font>
      <b/>
      <sz val="12"/>
      <color indexed="10"/>
      <name val="宋体"/>
      <family val="3"/>
      <charset val="134"/>
    </font>
    <font>
      <b/>
      <sz val="12"/>
      <color indexed="60"/>
      <name val="宋体"/>
      <family val="3"/>
      <charset val="134"/>
    </font>
    <font>
      <b/>
      <sz val="9"/>
      <color indexed="8"/>
      <name val="Arial"/>
      <family val="2"/>
    </font>
    <font>
      <sz val="11"/>
      <color indexed="60"/>
      <name val="宋体"/>
      <family val="3"/>
      <charset val="134"/>
    </font>
    <font>
      <b/>
      <sz val="12"/>
      <color indexed="10"/>
      <name val="宋体"/>
      <family val="3"/>
      <charset val="134"/>
    </font>
    <font>
      <sz val="9"/>
      <color indexed="8"/>
      <name val="Arial"/>
      <family val="2"/>
    </font>
    <font>
      <b/>
      <sz val="9"/>
      <color indexed="8"/>
      <name val="宋体"/>
      <family val="3"/>
      <charset val="134"/>
    </font>
    <font>
      <sz val="9"/>
      <color indexed="60"/>
      <name val="宋体"/>
      <family val="3"/>
      <charset val="134"/>
    </font>
    <font>
      <b/>
      <sz val="20"/>
      <color indexed="60"/>
      <name val="华文楷体"/>
      <family val="3"/>
      <charset val="134"/>
    </font>
    <font>
      <sz val="10"/>
      <color indexed="10"/>
      <name val="宋体"/>
      <family val="3"/>
      <charset val="134"/>
    </font>
    <font>
      <sz val="10"/>
      <color indexed="10"/>
      <name val="Arial"/>
      <family val="2"/>
    </font>
    <font>
      <b/>
      <sz val="12"/>
      <color indexed="62"/>
      <name val="宋体"/>
      <family val="3"/>
      <charset val="134"/>
    </font>
    <font>
      <b/>
      <i/>
      <sz val="9"/>
      <color indexed="8"/>
      <name val="Arial"/>
      <family val="2"/>
    </font>
    <font>
      <sz val="9"/>
      <color indexed="8"/>
      <name val="宋体"/>
      <family val="3"/>
      <charset val="134"/>
    </font>
    <font>
      <sz val="9"/>
      <color indexed="10"/>
      <name val="Arial"/>
      <family val="2"/>
    </font>
    <font>
      <i/>
      <sz val="9"/>
      <color indexed="8"/>
      <name val="Arial"/>
      <family val="2"/>
    </font>
    <font>
      <sz val="9"/>
      <color indexed="8"/>
      <name val="Arial Unicode MS"/>
      <family val="2"/>
      <charset val="134"/>
    </font>
    <font>
      <sz val="9"/>
      <color indexed="8"/>
      <name val="Times New Roman"/>
      <family val="1"/>
    </font>
    <font>
      <i/>
      <sz val="9"/>
      <color indexed="8"/>
      <name val="宋体"/>
      <family val="3"/>
      <charset val="134"/>
    </font>
    <font>
      <i/>
      <sz val="9"/>
      <color indexed="8"/>
      <name val="Times New Roman"/>
      <family val="1"/>
    </font>
    <font>
      <b/>
      <sz val="9"/>
      <color indexed="12"/>
      <name val="Times New Roman"/>
      <family val="1"/>
    </font>
    <font>
      <b/>
      <sz val="14"/>
      <color indexed="60"/>
      <name val="宋体"/>
      <family val="3"/>
      <charset val="134"/>
    </font>
    <font>
      <b/>
      <sz val="14"/>
      <color indexed="10"/>
      <name val="宋体"/>
      <family val="3"/>
      <charset val="134"/>
    </font>
    <font>
      <sz val="9"/>
      <color indexed="10"/>
      <name val="宋体"/>
      <family val="3"/>
      <charset val="134"/>
    </font>
    <font>
      <sz val="9"/>
      <color indexed="10"/>
      <name val="Times New Roman"/>
      <family val="1"/>
    </font>
    <font>
      <i/>
      <vertAlign val="subscript"/>
      <sz val="9"/>
      <color indexed="8"/>
      <name val="Arial"/>
      <family val="2"/>
    </font>
    <font>
      <i/>
      <vertAlign val="subscript"/>
      <sz val="10"/>
      <color indexed="8"/>
      <name val="Arial"/>
      <family val="2"/>
    </font>
    <font>
      <b/>
      <sz val="12"/>
      <color indexed="10"/>
      <name val="Arial"/>
      <family val="2"/>
    </font>
    <font>
      <b/>
      <sz val="9"/>
      <color indexed="12"/>
      <name val="Arial"/>
      <family val="2"/>
    </font>
    <font>
      <b/>
      <sz val="10"/>
      <color indexed="48"/>
      <name val="Arial"/>
      <family val="2"/>
    </font>
    <font>
      <b/>
      <sz val="10"/>
      <color indexed="12"/>
      <name val="宋体"/>
      <family val="3"/>
      <charset val="134"/>
    </font>
    <font>
      <b/>
      <sz val="48"/>
      <name val="宋体"/>
      <family val="3"/>
      <charset val="134"/>
    </font>
    <font>
      <b/>
      <sz val="20"/>
      <name val="宋体"/>
      <family val="3"/>
      <charset val="134"/>
    </font>
    <font>
      <sz val="9"/>
      <name val="宋体"/>
      <family val="3"/>
      <charset val="134"/>
    </font>
    <font>
      <b/>
      <sz val="12"/>
      <name val="宋体"/>
      <family val="3"/>
      <charset val="134"/>
    </font>
    <font>
      <b/>
      <sz val="12"/>
      <name val="Arial"/>
      <family val="2"/>
    </font>
    <font>
      <sz val="12"/>
      <name val="宋体"/>
      <family val="3"/>
      <charset val="134"/>
    </font>
    <font>
      <b/>
      <sz val="48"/>
      <name val="宋体"/>
      <family val="3"/>
      <charset val="134"/>
    </font>
    <font>
      <sz val="9"/>
      <name val="宋体"/>
      <family val="3"/>
      <charset val="134"/>
    </font>
    <font>
      <b/>
      <sz val="9"/>
      <name val="宋体"/>
      <family val="3"/>
      <charset val="134"/>
    </font>
    <font>
      <vertAlign val="subscript"/>
      <sz val="9"/>
      <name val="宋体"/>
      <family val="3"/>
      <charset val="134"/>
    </font>
    <font>
      <b/>
      <sz val="9"/>
      <color indexed="12"/>
      <name val="宋体"/>
      <family val="3"/>
      <charset val="134"/>
    </font>
    <font>
      <sz val="9"/>
      <name val="宋体"/>
      <family val="3"/>
      <charset val="134"/>
    </font>
    <font>
      <sz val="9"/>
      <color indexed="8"/>
      <name val="宋体"/>
      <family val="3"/>
      <charset val="134"/>
    </font>
    <font>
      <b/>
      <sz val="12"/>
      <color indexed="10"/>
      <name val="宋体"/>
      <family val="3"/>
      <charset val="134"/>
    </font>
    <font>
      <b/>
      <sz val="9"/>
      <color indexed="8"/>
      <name val="宋体"/>
      <family val="3"/>
      <charset val="134"/>
    </font>
    <font>
      <b/>
      <vertAlign val="subscript"/>
      <sz val="9"/>
      <name val="宋体"/>
      <family val="3"/>
      <charset val="134"/>
    </font>
    <font>
      <sz val="9"/>
      <color indexed="12"/>
      <name val="宋体"/>
      <family val="3"/>
      <charset val="134"/>
    </font>
    <font>
      <b/>
      <sz val="10"/>
      <name val="宋体"/>
      <family val="3"/>
      <charset val="134"/>
    </font>
    <font>
      <b/>
      <vertAlign val="subscript"/>
      <sz val="10"/>
      <name val="宋体"/>
      <family val="3"/>
      <charset val="134"/>
    </font>
    <font>
      <vertAlign val="subscript"/>
      <sz val="10"/>
      <name val="宋体"/>
      <family val="3"/>
      <charset val="134"/>
    </font>
    <font>
      <sz val="11"/>
      <name val="Arial"/>
      <family val="2"/>
    </font>
    <font>
      <sz val="9"/>
      <color indexed="8"/>
      <name val="宋体"/>
      <family val="3"/>
      <charset val="134"/>
    </font>
    <font>
      <b/>
      <sz val="20"/>
      <color indexed="10"/>
      <name val="宋体"/>
      <family val="3"/>
      <charset val="134"/>
    </font>
    <font>
      <sz val="9"/>
      <color indexed="10"/>
      <name val="宋体"/>
      <family val="3"/>
      <charset val="134"/>
    </font>
    <font>
      <sz val="9"/>
      <color indexed="8"/>
      <name val="Arial"/>
      <family val="2"/>
    </font>
    <font>
      <b/>
      <sz val="20"/>
      <color indexed="8"/>
      <name val="宋体"/>
      <family val="3"/>
      <charset val="134"/>
    </font>
    <font>
      <b/>
      <sz val="9"/>
      <color indexed="8"/>
      <name val="宋体"/>
      <family val="3"/>
      <charset val="134"/>
    </font>
    <font>
      <sz val="9"/>
      <color indexed="8"/>
      <name val="宋体"/>
      <family val="3"/>
      <charset val="134"/>
    </font>
    <font>
      <b/>
      <sz val="9"/>
      <color indexed="17"/>
      <name val="宋体"/>
      <family val="3"/>
      <charset val="134"/>
    </font>
    <font>
      <b/>
      <sz val="9"/>
      <name val="宋体"/>
      <family val="3"/>
      <charset val="134"/>
    </font>
    <font>
      <sz val="9"/>
      <name val="宋体"/>
      <family val="3"/>
      <charset val="134"/>
    </font>
    <font>
      <sz val="9"/>
      <name val="宋体"/>
      <family val="3"/>
      <charset val="134"/>
    </font>
    <font>
      <b/>
      <sz val="9"/>
      <name val="楷体_GB2312"/>
      <family val="3"/>
      <charset val="134"/>
    </font>
    <font>
      <sz val="9"/>
      <name val="楷体_GB2312"/>
      <family val="3"/>
      <charset val="134"/>
    </font>
    <font>
      <sz val="9"/>
      <name val="微软雅黑"/>
      <family val="2"/>
      <charset val="134"/>
    </font>
    <font>
      <b/>
      <sz val="12"/>
      <name val="宋体"/>
      <family val="3"/>
      <charset val="134"/>
    </font>
    <font>
      <sz val="9"/>
      <name val="宋体"/>
      <family val="3"/>
      <charset val="134"/>
    </font>
    <font>
      <sz val="10"/>
      <name val="宋体"/>
      <family val="3"/>
      <charset val="134"/>
    </font>
    <font>
      <sz val="9"/>
      <name val="宋体"/>
      <family val="3"/>
      <charset val="134"/>
    </font>
    <font>
      <sz val="9"/>
      <color indexed="8"/>
      <name val="宋体"/>
      <family val="3"/>
      <charset val="134"/>
    </font>
    <font>
      <vertAlign val="subscript"/>
      <sz val="9"/>
      <name val="宋体"/>
      <family val="3"/>
      <charset val="134"/>
    </font>
    <font>
      <b/>
      <sz val="9"/>
      <color indexed="8"/>
      <name val="宋体"/>
      <family val="3"/>
      <charset val="134"/>
    </font>
    <font>
      <b/>
      <vertAlign val="subscript"/>
      <sz val="9"/>
      <name val="宋体"/>
      <family val="3"/>
      <charset val="134"/>
    </font>
    <font>
      <b/>
      <sz val="9"/>
      <name val="宋体"/>
      <family val="3"/>
      <charset val="134"/>
    </font>
    <font>
      <b/>
      <sz val="14"/>
      <name val="宋体"/>
      <family val="3"/>
      <charset val="134"/>
    </font>
    <font>
      <sz val="9"/>
      <name val="宋体"/>
      <family val="3"/>
      <charset val="134"/>
    </font>
    <font>
      <sz val="9"/>
      <name val="Arial Unicode MS"/>
      <family val="2"/>
      <charset val="134"/>
    </font>
    <font>
      <sz val="9"/>
      <name val="宋体"/>
      <family val="3"/>
      <charset val="134"/>
    </font>
    <font>
      <sz val="9"/>
      <color indexed="8"/>
      <name val="宋体"/>
      <family val="3"/>
      <charset val="134"/>
    </font>
    <font>
      <sz val="9"/>
      <name val="宋体"/>
      <family val="3"/>
      <charset val="134"/>
    </font>
    <font>
      <sz val="9"/>
      <color indexed="60"/>
      <name val="宋体"/>
      <family val="3"/>
      <charset val="134"/>
    </font>
    <font>
      <sz val="9"/>
      <color indexed="9"/>
      <name val="宋体"/>
      <family val="3"/>
      <charset val="134"/>
    </font>
    <font>
      <b/>
      <sz val="9"/>
      <color indexed="10"/>
      <name val="宋体"/>
      <family val="3"/>
      <charset val="134"/>
    </font>
    <font>
      <sz val="9"/>
      <color indexed="8"/>
      <name val="Arial"/>
      <family val="2"/>
    </font>
    <font>
      <sz val="9"/>
      <name val="宋体"/>
      <family val="3"/>
      <charset val="134"/>
    </font>
    <font>
      <b/>
      <sz val="11"/>
      <name val="微软雅黑"/>
      <family val="2"/>
      <charset val="134"/>
    </font>
    <font>
      <sz val="9"/>
      <name val="宋体"/>
      <family val="3"/>
      <charset val="134"/>
    </font>
    <font>
      <b/>
      <vertAlign val="subscript"/>
      <sz val="18"/>
      <color rgb="FFFF0000"/>
      <name val="微软雅黑"/>
      <family val="2"/>
      <charset val="134"/>
    </font>
    <font>
      <sz val="9"/>
      <name val="宋体"/>
      <family val="2"/>
      <charset val="134"/>
      <scheme val="minor"/>
    </font>
    <font>
      <b/>
      <sz val="24"/>
      <color theme="0"/>
      <name val="宋体"/>
      <family val="3"/>
      <charset val="134"/>
    </font>
    <font>
      <sz val="10"/>
      <color theme="1"/>
      <name val="宋体"/>
      <family val="3"/>
      <charset val="134"/>
      <scheme val="minor"/>
    </font>
    <font>
      <sz val="14"/>
      <name val="宋体"/>
      <family val="3"/>
      <charset val="134"/>
      <scheme val="minor"/>
    </font>
    <font>
      <sz val="10"/>
      <name val="宋体"/>
      <family val="3"/>
      <charset val="134"/>
      <scheme val="minor"/>
    </font>
    <font>
      <b/>
      <sz val="9"/>
      <color indexed="81"/>
      <name val="宋体"/>
      <family val="3"/>
      <charset val="134"/>
    </font>
    <font>
      <sz val="9"/>
      <color rgb="FF000000"/>
      <name val="宋体"/>
      <family val="3"/>
      <charset val="134"/>
    </font>
    <font>
      <b/>
      <sz val="36"/>
      <color theme="0"/>
      <name val="宋体"/>
      <family val="3"/>
      <charset val="134"/>
      <scheme val="minor"/>
    </font>
    <font>
      <b/>
      <sz val="9"/>
      <color indexed="81"/>
      <name val="Tahoma"/>
      <family val="2"/>
    </font>
    <font>
      <b/>
      <sz val="10"/>
      <color theme="1"/>
      <name val="宋体"/>
      <family val="3"/>
      <charset val="134"/>
      <scheme val="minor"/>
    </font>
    <font>
      <sz val="10"/>
      <color theme="1"/>
      <name val="宋体"/>
      <family val="2"/>
      <charset val="134"/>
      <scheme val="minor"/>
    </font>
    <font>
      <sz val="9"/>
      <color rgb="FFFF0000"/>
      <name val="Arial"/>
      <family val="2"/>
    </font>
    <font>
      <sz val="11"/>
      <color theme="1"/>
      <name val="微软雅黑"/>
      <family val="2"/>
      <charset val="134"/>
    </font>
    <font>
      <sz val="10"/>
      <color rgb="FF404040"/>
      <name val="微软雅黑"/>
      <family val="2"/>
      <charset val="134"/>
    </font>
    <font>
      <b/>
      <sz val="10"/>
      <color rgb="FF000000"/>
      <name val="微软雅黑"/>
      <family val="2"/>
      <charset val="134"/>
    </font>
    <font>
      <sz val="9"/>
      <color rgb="FFFF0000"/>
      <name val="宋体"/>
      <family val="3"/>
      <charset val="134"/>
    </font>
    <font>
      <sz val="9"/>
      <color theme="0"/>
      <name val="宋体"/>
      <family val="3"/>
      <charset val="134"/>
    </font>
    <font>
      <sz val="9"/>
      <color theme="0"/>
      <name val="Arial"/>
      <family val="2"/>
    </font>
    <font>
      <b/>
      <sz val="11"/>
      <color indexed="8"/>
      <name val="宋体"/>
      <family val="3"/>
      <charset val="134"/>
    </font>
    <font>
      <b/>
      <sz val="12"/>
      <color rgb="FFFF0000"/>
      <name val="宋体"/>
      <family val="3"/>
      <charset val="134"/>
    </font>
    <font>
      <b/>
      <sz val="11"/>
      <name val="Arial"/>
      <family val="2"/>
    </font>
    <font>
      <b/>
      <sz val="9"/>
      <color rgb="FFFF0000"/>
      <name val="宋体"/>
      <family val="3"/>
      <charset val="134"/>
    </font>
    <font>
      <b/>
      <sz val="9"/>
      <color rgb="FFFF0000"/>
      <name val="Arial"/>
      <family val="2"/>
    </font>
    <font>
      <b/>
      <sz val="9"/>
      <name val="宋体"/>
      <family val="3"/>
      <charset val="134"/>
      <scheme val="major"/>
    </font>
    <font>
      <sz val="9"/>
      <name val="宋体"/>
      <family val="3"/>
      <charset val="134"/>
      <scheme val="major"/>
    </font>
    <font>
      <sz val="9"/>
      <name val="宋体"/>
      <family val="2"/>
      <charset val="134"/>
    </font>
    <font>
      <sz val="9"/>
      <color theme="2" tint="-9.9978637043366805E-2"/>
      <name val="Arial"/>
      <family val="2"/>
    </font>
    <font>
      <sz val="9"/>
      <color theme="2" tint="-9.9978637043366805E-2"/>
      <name val="宋体"/>
      <family val="3"/>
      <charset val="134"/>
    </font>
    <font>
      <sz val="11"/>
      <color indexed="8"/>
      <name val="Calibri"/>
      <family val="2"/>
    </font>
    <font>
      <sz val="8"/>
      <color rgb="FFFF0000"/>
      <name val="宋体"/>
      <family val="3"/>
      <charset val="134"/>
      <scheme val="minor"/>
    </font>
    <font>
      <sz val="8"/>
      <name val="华文细黑"/>
      <family val="3"/>
      <charset val="134"/>
    </font>
    <font>
      <b/>
      <sz val="8"/>
      <name val="华文细黑"/>
      <family val="3"/>
      <charset val="134"/>
    </font>
    <font>
      <b/>
      <sz val="8"/>
      <name val="黑体"/>
      <family val="3"/>
      <charset val="134"/>
    </font>
    <font>
      <sz val="8"/>
      <color theme="0"/>
      <name val="华文细黑"/>
      <family val="3"/>
      <charset val="134"/>
    </font>
    <font>
      <sz val="8"/>
      <name val="微软雅黑"/>
      <family val="2"/>
      <charset val="134"/>
    </font>
  </fonts>
  <fills count="31">
    <fill>
      <patternFill patternType="none"/>
    </fill>
    <fill>
      <patternFill patternType="gray125"/>
    </fill>
    <fill>
      <patternFill patternType="solid">
        <fgColor indexed="13"/>
        <bgColor indexed="64"/>
      </patternFill>
    </fill>
    <fill>
      <patternFill patternType="solid">
        <fgColor indexed="20"/>
        <bgColor indexed="64"/>
      </patternFill>
    </fill>
    <fill>
      <patternFill patternType="solid">
        <fgColor indexed="9"/>
        <bgColor indexed="64"/>
      </patternFill>
    </fill>
    <fill>
      <patternFill patternType="solid">
        <fgColor indexed="9"/>
        <bgColor indexed="31"/>
      </patternFill>
    </fill>
    <fill>
      <patternFill patternType="solid">
        <fgColor indexed="22"/>
        <bgColor indexed="64"/>
      </patternFill>
    </fill>
    <fill>
      <patternFill patternType="solid">
        <fgColor indexed="55"/>
        <bgColor indexed="64"/>
      </patternFill>
    </fill>
    <fill>
      <patternFill patternType="solid">
        <fgColor indexed="12"/>
        <bgColor indexed="64"/>
      </patternFill>
    </fill>
    <fill>
      <patternFill patternType="solid">
        <fgColor indexed="10"/>
        <bgColor indexed="64"/>
      </patternFill>
    </fill>
    <fill>
      <patternFill patternType="solid">
        <fgColor indexed="53"/>
        <bgColor indexed="64"/>
      </patternFill>
    </fill>
    <fill>
      <patternFill patternType="solid">
        <fgColor theme="4" tint="0.79998168889431442"/>
        <bgColor indexed="65"/>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rgb="FFFF6600"/>
        <bgColor indexed="64"/>
      </patternFill>
    </fill>
    <fill>
      <patternFill patternType="solid">
        <fgColor theme="3" tint="-0.499984740745262"/>
        <bgColor indexed="64"/>
      </patternFill>
    </fill>
    <fill>
      <patternFill patternType="solid">
        <fgColor theme="4"/>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D9D9D9"/>
        <bgColor indexed="64"/>
      </patternFill>
    </fill>
    <fill>
      <patternFill patternType="solid">
        <fgColor rgb="FFC0C0C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59999389629810485"/>
        <bgColor indexed="64"/>
      </patternFill>
    </fill>
  </fills>
  <borders count="134">
    <border>
      <left/>
      <right/>
      <top/>
      <bottom/>
      <diagonal/>
    </border>
    <border>
      <left/>
      <right/>
      <top style="double">
        <color indexed="64"/>
      </top>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right/>
      <top style="thin">
        <color indexed="64"/>
      </top>
      <bottom/>
      <diagonal/>
    </border>
    <border>
      <left/>
      <right/>
      <top/>
      <bottom style="hair">
        <color indexed="64"/>
      </bottom>
      <diagonal/>
    </border>
    <border>
      <left style="thin">
        <color indexed="64"/>
      </left>
      <right/>
      <top style="thin">
        <color indexed="64"/>
      </top>
      <bottom style="hair">
        <color indexed="62"/>
      </bottom>
      <diagonal/>
    </border>
    <border>
      <left/>
      <right style="thin">
        <color indexed="64"/>
      </right>
      <top style="thin">
        <color indexed="64"/>
      </top>
      <bottom style="hair">
        <color indexed="62"/>
      </bottom>
      <diagonal/>
    </border>
    <border>
      <left style="thin">
        <color indexed="64"/>
      </left>
      <right/>
      <top style="hair">
        <color indexed="62"/>
      </top>
      <bottom style="hair">
        <color indexed="62"/>
      </bottom>
      <diagonal/>
    </border>
    <border>
      <left/>
      <right style="thin">
        <color indexed="64"/>
      </right>
      <top style="hair">
        <color indexed="62"/>
      </top>
      <bottom style="hair">
        <color indexed="62"/>
      </bottom>
      <diagonal/>
    </border>
    <border>
      <left style="thin">
        <color indexed="64"/>
      </left>
      <right/>
      <top style="hair">
        <color indexed="62"/>
      </top>
      <bottom style="thin">
        <color indexed="64"/>
      </bottom>
      <diagonal/>
    </border>
    <border>
      <left/>
      <right style="thin">
        <color indexed="64"/>
      </right>
      <top style="hair">
        <color indexed="62"/>
      </top>
      <bottom style="thin">
        <color indexed="64"/>
      </bottom>
      <diagonal/>
    </border>
    <border>
      <left/>
      <right/>
      <top/>
      <bottom style="hair">
        <color indexed="62"/>
      </bottom>
      <diagonal/>
    </border>
    <border>
      <left/>
      <right/>
      <top style="hair">
        <color indexed="62"/>
      </top>
      <bottom style="hair">
        <color indexed="62"/>
      </bottom>
      <diagonal/>
    </border>
    <border>
      <left/>
      <right/>
      <top style="thin">
        <color indexed="62"/>
      </top>
      <bottom/>
      <diagonal/>
    </border>
    <border>
      <left/>
      <right/>
      <top style="hair">
        <color indexed="62"/>
      </top>
      <bottom style="thin">
        <color indexed="62"/>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thick">
        <color indexed="64"/>
      </top>
      <bottom style="hair">
        <color indexed="64"/>
      </bottom>
      <diagonal/>
    </border>
    <border>
      <left style="hair">
        <color indexed="64"/>
      </left>
      <right style="thick">
        <color indexed="64"/>
      </right>
      <top style="thick">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style="hair">
        <color indexed="64"/>
      </right>
      <top style="hair">
        <color indexed="64"/>
      </top>
      <bottom style="hair">
        <color indexed="64"/>
      </bottom>
      <diagonal/>
    </border>
    <border>
      <left style="thick">
        <color indexed="64"/>
      </left>
      <right style="hair">
        <color indexed="64"/>
      </right>
      <top style="hair">
        <color indexed="64"/>
      </top>
      <bottom style="thick">
        <color indexed="64"/>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right style="thin">
        <color indexed="9"/>
      </right>
      <top style="thin">
        <color indexed="9"/>
      </top>
      <bottom style="thin">
        <color indexed="9"/>
      </bottom>
      <diagonal/>
    </border>
    <border>
      <left style="thin">
        <color indexed="9"/>
      </left>
      <right style="thin">
        <color indexed="9"/>
      </right>
      <top style="thick">
        <color indexed="64"/>
      </top>
      <bottom style="thin">
        <color indexed="9"/>
      </bottom>
      <diagonal/>
    </border>
    <border>
      <left style="thin">
        <color indexed="9"/>
      </left>
      <right style="thick">
        <color indexed="64"/>
      </right>
      <top style="thick">
        <color indexed="64"/>
      </top>
      <bottom style="thin">
        <color indexed="9"/>
      </bottom>
      <diagonal/>
    </border>
    <border>
      <left style="thin">
        <color indexed="9"/>
      </left>
      <right style="thin">
        <color indexed="9"/>
      </right>
      <top style="thick">
        <color indexed="8"/>
      </top>
      <bottom style="thin">
        <color indexed="9"/>
      </bottom>
      <diagonal/>
    </border>
    <border>
      <left style="thin">
        <color indexed="9"/>
      </left>
      <right style="thick">
        <color indexed="8"/>
      </right>
      <top style="thick">
        <color indexed="8"/>
      </top>
      <bottom style="thin">
        <color indexed="9"/>
      </bottom>
      <diagonal/>
    </border>
    <border>
      <left style="thin">
        <color indexed="9"/>
      </left>
      <right style="thick">
        <color indexed="8"/>
      </right>
      <top style="thin">
        <color indexed="9"/>
      </top>
      <bottom style="thin">
        <color indexed="9"/>
      </bottom>
      <diagonal/>
    </border>
    <border>
      <left style="thin">
        <color indexed="9"/>
      </left>
      <right style="thin">
        <color indexed="9"/>
      </right>
      <top style="thin">
        <color indexed="9"/>
      </top>
      <bottom style="thick">
        <color indexed="8"/>
      </bottom>
      <diagonal/>
    </border>
    <border>
      <left style="thin">
        <color indexed="9"/>
      </left>
      <right style="thick">
        <color indexed="8"/>
      </right>
      <top style="thin">
        <color indexed="9"/>
      </top>
      <bottom style="thick">
        <color indexed="8"/>
      </bottom>
      <diagonal/>
    </border>
    <border>
      <left/>
      <right/>
      <top style="thin">
        <color indexed="64"/>
      </top>
      <bottom style="thin">
        <color indexed="64"/>
      </bottom>
      <diagonal/>
    </border>
    <border>
      <left/>
      <right style="hair">
        <color indexed="64"/>
      </right>
      <top/>
      <bottom style="hair">
        <color indexed="64"/>
      </bottom>
      <diagonal/>
    </border>
    <border>
      <left/>
      <right style="hair">
        <color indexed="22"/>
      </right>
      <top style="hair">
        <color indexed="22"/>
      </top>
      <bottom style="hair">
        <color indexed="22"/>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22"/>
      </bottom>
      <diagonal/>
    </border>
    <border>
      <left style="thin">
        <color indexed="64"/>
      </left>
      <right/>
      <top/>
      <bottom/>
      <diagonal/>
    </border>
    <border>
      <left style="thin">
        <color indexed="64"/>
      </left>
      <right style="hair">
        <color indexed="22"/>
      </right>
      <top style="hair">
        <color indexed="22"/>
      </top>
      <bottom style="hair">
        <color indexed="22"/>
      </bottom>
      <diagonal/>
    </border>
    <border>
      <left style="hair">
        <color indexed="22"/>
      </left>
      <right style="hair">
        <color indexed="22"/>
      </right>
      <top/>
      <bottom style="hair">
        <color indexed="22"/>
      </bottom>
      <diagonal/>
    </border>
    <border>
      <left style="hair">
        <color indexed="22"/>
      </left>
      <right style="hair">
        <color indexed="22"/>
      </right>
      <top style="hair">
        <color indexed="22"/>
      </top>
      <bottom style="hair">
        <color indexed="22"/>
      </bottom>
      <diagonal/>
    </border>
    <border>
      <left style="hair">
        <color indexed="22"/>
      </left>
      <right/>
      <top style="hair">
        <color indexed="22"/>
      </top>
      <bottom style="hair">
        <color indexed="22"/>
      </bottom>
      <diagonal/>
    </border>
    <border>
      <left style="thin">
        <color indexed="64"/>
      </left>
      <right style="hair">
        <color indexed="22"/>
      </right>
      <top style="hair">
        <color indexed="22"/>
      </top>
      <bottom style="thin">
        <color indexed="64"/>
      </bottom>
      <diagonal/>
    </border>
    <border>
      <left style="hair">
        <color indexed="22"/>
      </left>
      <right style="hair">
        <color indexed="22"/>
      </right>
      <top style="hair">
        <color indexed="22"/>
      </top>
      <bottom style="thin">
        <color indexed="64"/>
      </bottom>
      <diagonal/>
    </border>
    <border>
      <left style="hair">
        <color indexed="22"/>
      </left>
      <right/>
      <top style="hair">
        <color indexed="22"/>
      </top>
      <bottom style="thin">
        <color indexed="64"/>
      </bottom>
      <diagonal/>
    </border>
    <border>
      <left/>
      <right/>
      <top style="thin">
        <color indexed="64"/>
      </top>
      <bottom style="hair">
        <color indexed="22"/>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thick">
        <color indexed="8"/>
      </left>
      <right style="thin">
        <color indexed="9"/>
      </right>
      <top style="thin">
        <color indexed="9"/>
      </top>
      <bottom style="thin">
        <color indexed="9"/>
      </bottom>
      <diagonal/>
    </border>
    <border>
      <left style="thin">
        <color indexed="9"/>
      </left>
      <right style="thin">
        <color indexed="9"/>
      </right>
      <top style="thin">
        <color indexed="9"/>
      </top>
      <bottom/>
      <diagonal/>
    </border>
    <border>
      <left style="thin">
        <color indexed="9"/>
      </left>
      <right style="thick">
        <color indexed="8"/>
      </right>
      <top style="thin">
        <color indexed="9"/>
      </top>
      <bottom/>
      <diagonal/>
    </border>
    <border>
      <left style="thick">
        <color indexed="8"/>
      </left>
      <right style="thin">
        <color indexed="9"/>
      </right>
      <top style="thin">
        <color indexed="9"/>
      </top>
      <bottom style="thick">
        <color indexed="8"/>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right/>
      <top style="hair">
        <color indexed="22"/>
      </top>
      <bottom style="thin">
        <color indexed="64"/>
      </bottom>
      <diagonal/>
    </border>
    <border>
      <left/>
      <right style="thin">
        <color indexed="64"/>
      </right>
      <top style="hair">
        <color indexed="22"/>
      </top>
      <bottom style="thin">
        <color indexed="64"/>
      </bottom>
      <diagonal/>
    </border>
    <border>
      <left style="thick">
        <color indexed="64"/>
      </left>
      <right style="thin">
        <color indexed="9"/>
      </right>
      <top style="thick">
        <color indexed="64"/>
      </top>
      <bottom style="thin">
        <color indexed="9"/>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ck">
        <color indexed="8"/>
      </left>
      <right style="thin">
        <color indexed="9"/>
      </right>
      <top style="thick">
        <color indexed="8"/>
      </top>
      <bottom style="thin">
        <color indexed="9"/>
      </bottom>
      <diagonal/>
    </border>
    <border>
      <left/>
      <right/>
      <top style="hair">
        <color indexed="64"/>
      </top>
      <bottom/>
      <diagonal/>
    </border>
    <border>
      <left/>
      <right/>
      <top style="medium">
        <color indexed="53"/>
      </top>
      <bottom style="thin">
        <color indexed="53"/>
      </bottom>
      <diagonal/>
    </border>
    <border>
      <left/>
      <right/>
      <top/>
      <bottom style="thin">
        <color indexed="53"/>
      </bottom>
      <diagonal/>
    </border>
    <border>
      <left style="thick">
        <color indexed="64"/>
      </left>
      <right style="thin">
        <color indexed="9"/>
      </right>
      <top style="thin">
        <color indexed="9"/>
      </top>
      <bottom style="thin">
        <color indexed="9"/>
      </bottom>
      <diagonal/>
    </border>
    <border>
      <left style="thin">
        <color indexed="9"/>
      </left>
      <right style="thick">
        <color indexed="64"/>
      </right>
      <top style="thin">
        <color indexed="9"/>
      </top>
      <bottom style="thin">
        <color indexed="9"/>
      </bottom>
      <diagonal/>
    </border>
    <border>
      <left style="thick">
        <color indexed="64"/>
      </left>
      <right style="thin">
        <color indexed="9"/>
      </right>
      <top style="thin">
        <color indexed="9"/>
      </top>
      <bottom style="thick">
        <color indexed="64"/>
      </bottom>
      <diagonal/>
    </border>
    <border>
      <left style="thin">
        <color indexed="9"/>
      </left>
      <right style="thin">
        <color indexed="9"/>
      </right>
      <top style="thin">
        <color indexed="9"/>
      </top>
      <bottom style="thick">
        <color indexed="64"/>
      </bottom>
      <diagonal/>
    </border>
    <border>
      <left style="thin">
        <color indexed="9"/>
      </left>
      <right style="thick">
        <color indexed="64"/>
      </right>
      <top style="thin">
        <color indexed="9"/>
      </top>
      <bottom style="thick">
        <color indexed="64"/>
      </bottom>
      <diagonal/>
    </border>
    <border>
      <left style="thick">
        <color indexed="64"/>
      </left>
      <right/>
      <top style="thick">
        <color indexed="64"/>
      </top>
      <bottom style="thin">
        <color indexed="9"/>
      </bottom>
      <diagonal/>
    </border>
    <border>
      <left/>
      <right/>
      <top style="thick">
        <color indexed="64"/>
      </top>
      <bottom style="thin">
        <color indexed="9"/>
      </bottom>
      <diagonal/>
    </border>
    <border>
      <left/>
      <right style="thick">
        <color indexed="64"/>
      </right>
      <top style="thick">
        <color indexed="64"/>
      </top>
      <bottom style="thin">
        <color indexed="9"/>
      </bottom>
      <diagonal/>
    </border>
    <border>
      <left style="thick">
        <color indexed="64"/>
      </left>
      <right/>
      <top/>
      <bottom/>
      <diagonal/>
    </border>
    <border>
      <left/>
      <right style="thick">
        <color indexed="64"/>
      </right>
      <top/>
      <bottom/>
      <diagonal/>
    </border>
    <border>
      <left style="thin">
        <color indexed="9"/>
      </left>
      <right/>
      <top style="thin">
        <color indexed="9"/>
      </top>
      <bottom/>
      <diagonal/>
    </border>
    <border>
      <left/>
      <right/>
      <top style="thin">
        <color indexed="9"/>
      </top>
      <bottom/>
      <diagonal/>
    </border>
    <border>
      <left style="thin">
        <color indexed="9"/>
      </left>
      <right/>
      <top/>
      <bottom style="thin">
        <color indexed="9"/>
      </bottom>
      <diagonal/>
    </border>
    <border>
      <left/>
      <right/>
      <top/>
      <bottom style="thin">
        <color indexed="9"/>
      </bottom>
      <diagonal/>
    </border>
    <border>
      <left/>
      <right/>
      <top style="thin">
        <color indexed="9"/>
      </top>
      <bottom style="thin">
        <color indexed="9"/>
      </bottom>
      <diagonal/>
    </border>
    <border>
      <left style="thick">
        <color indexed="64"/>
      </left>
      <right/>
      <top style="thin">
        <color indexed="9"/>
      </top>
      <bottom style="thin">
        <color indexed="9"/>
      </bottom>
      <diagonal/>
    </border>
    <border>
      <left/>
      <right style="thick">
        <color indexed="64"/>
      </right>
      <top style="thin">
        <color indexed="9"/>
      </top>
      <bottom style="thin">
        <color indexed="9"/>
      </bottom>
      <diagonal/>
    </border>
    <border>
      <left style="thick">
        <color indexed="64"/>
      </left>
      <right/>
      <top style="thin">
        <color indexed="9"/>
      </top>
      <bottom/>
      <diagonal/>
    </border>
    <border>
      <left/>
      <right style="thick">
        <color indexed="64"/>
      </right>
      <top style="thin">
        <color indexed="9"/>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9"/>
      </left>
      <right/>
      <top style="thin">
        <color indexed="9"/>
      </top>
      <bottom style="thick">
        <color indexed="64"/>
      </bottom>
      <diagonal/>
    </border>
    <border>
      <left/>
      <right/>
      <top style="thin">
        <color indexed="9"/>
      </top>
      <bottom style="thick">
        <color indexed="64"/>
      </bottom>
      <diagonal/>
    </border>
    <border>
      <left/>
      <right style="thin">
        <color indexed="9"/>
      </right>
      <top style="thin">
        <color indexed="9"/>
      </top>
      <bottom style="thick">
        <color indexed="64"/>
      </bottom>
      <diagonal/>
    </border>
    <border>
      <left style="hair">
        <color indexed="64"/>
      </left>
      <right style="thick">
        <color indexed="64"/>
      </right>
      <top/>
      <bottom style="hair">
        <color indexed="64"/>
      </bottom>
      <diagonal/>
    </border>
    <border>
      <left style="thick">
        <color indexed="64"/>
      </left>
      <right style="hair">
        <color indexed="64"/>
      </right>
      <top style="thick">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5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34998626667073579"/>
      </right>
      <top style="thin">
        <color theme="0" tint="-0.14999847407452621"/>
      </top>
      <bottom style="thin">
        <color theme="0" tint="-0.34998626667073579"/>
      </bottom>
      <diagonal/>
    </border>
    <border>
      <left style="thin">
        <color theme="0" tint="-0.34998626667073579"/>
      </left>
      <right style="thin">
        <color theme="0" tint="-0.14999847407452621"/>
      </right>
      <top style="thin">
        <color theme="0" tint="-0.14999847407452621"/>
      </top>
      <bottom style="thin">
        <color theme="0" tint="-0.34998626667073579"/>
      </bottom>
      <diagonal/>
    </border>
    <border>
      <left style="thin">
        <color theme="0" tint="-0.14999847407452621"/>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14999847407452621"/>
      </right>
      <top style="thin">
        <color theme="0" tint="-0.34998626667073579"/>
      </top>
      <bottom style="thin">
        <color theme="0" tint="-0.34998626667073579"/>
      </bottom>
      <diagonal/>
    </border>
    <border>
      <left style="thin">
        <color theme="0" tint="-0.14999847407452621"/>
      </left>
      <right style="thin">
        <color theme="0" tint="-0.34998626667073579"/>
      </right>
      <top style="thin">
        <color theme="0" tint="-0.34998626667073579"/>
      </top>
      <bottom style="thin">
        <color theme="0" tint="-0.14999847407452621"/>
      </bottom>
      <diagonal/>
    </border>
    <border>
      <left style="thin">
        <color theme="0" tint="-0.34998626667073579"/>
      </left>
      <right style="thin">
        <color theme="0" tint="-0.14999847407452621"/>
      </right>
      <top style="thin">
        <color theme="0" tint="-0.34998626667073579"/>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right style="thin">
        <color indexed="9"/>
      </right>
      <top style="thin">
        <color indexed="9"/>
      </top>
      <bottom/>
      <diagonal/>
    </border>
    <border>
      <left/>
      <right style="thin">
        <color indexed="9"/>
      </right>
      <top/>
      <bottom style="thin">
        <color indexed="9"/>
      </bottom>
      <diagonal/>
    </border>
    <border>
      <left style="thin">
        <color indexed="9"/>
      </left>
      <right style="thin">
        <color indexed="9"/>
      </right>
      <top style="thick">
        <color indexed="64"/>
      </top>
      <bottom/>
      <diagonal/>
    </border>
    <border>
      <left style="thin">
        <color indexed="9"/>
      </left>
      <right style="thick">
        <color indexed="64"/>
      </right>
      <top style="thick">
        <color indexed="64"/>
      </top>
      <bottom/>
      <diagonal/>
    </border>
    <border>
      <left style="thin">
        <color indexed="9"/>
      </left>
      <right/>
      <top style="thick">
        <color indexed="64"/>
      </top>
      <bottom style="thin">
        <color indexed="9"/>
      </bottom>
      <diagonal/>
    </border>
    <border>
      <left style="thin">
        <color indexed="9"/>
      </left>
      <right style="thin">
        <color indexed="9"/>
      </right>
      <top/>
      <bottom style="thin">
        <color indexed="9"/>
      </bottom>
      <diagonal/>
    </border>
    <border>
      <left/>
      <right/>
      <top style="thin">
        <color rgb="FF000000"/>
      </top>
      <bottom/>
      <diagonal/>
    </border>
    <border>
      <left/>
      <right/>
      <top style="thin">
        <color rgb="FF000000"/>
      </top>
      <bottom style="thin">
        <color rgb="FF000000"/>
      </bottom>
      <diagonal/>
    </border>
    <border>
      <left/>
      <right/>
      <top style="thin">
        <color indexed="62"/>
      </top>
      <bottom style="hair">
        <color indexed="62"/>
      </bottom>
      <diagonal/>
    </border>
    <border>
      <left/>
      <right/>
      <top/>
      <bottom style="thin">
        <color indexed="62"/>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bottom/>
      <diagonal/>
    </border>
    <border>
      <left style="thin">
        <color theme="0"/>
      </left>
      <right style="thin">
        <color theme="0"/>
      </right>
      <top/>
      <bottom/>
      <diagonal/>
    </border>
  </borders>
  <cellStyleXfs count="17">
    <xf numFmtId="2" fontId="0" fillId="0" borderId="0"/>
    <xf numFmtId="2" fontId="31" fillId="0" borderId="1"/>
    <xf numFmtId="10" fontId="3" fillId="0" borderId="0" applyFont="0" applyFill="0" applyBorder="0" applyAlignment="0" applyProtection="0"/>
    <xf numFmtId="0" fontId="43" fillId="0" borderId="0">
      <alignment vertical="center"/>
    </xf>
    <xf numFmtId="0" fontId="3" fillId="0" borderId="0"/>
    <xf numFmtId="0" fontId="45" fillId="0" borderId="0">
      <alignment vertical="center"/>
    </xf>
    <xf numFmtId="43" fontId="3" fillId="0" borderId="0" applyFont="0" applyFill="0" applyBorder="0" applyAlignment="0" applyProtection="0"/>
    <xf numFmtId="0" fontId="2" fillId="11" borderId="0" applyNumberFormat="0" applyBorder="0" applyAlignment="0" applyProtection="0">
      <alignment vertical="center"/>
    </xf>
    <xf numFmtId="2" fontId="7" fillId="0" borderId="0"/>
    <xf numFmtId="2" fontId="7" fillId="0" borderId="0"/>
    <xf numFmtId="2" fontId="7" fillId="0" borderId="0"/>
    <xf numFmtId="2" fontId="7" fillId="0" borderId="0"/>
    <xf numFmtId="43" fontId="3" fillId="0" borderId="0" applyFont="0" applyFill="0" applyBorder="0" applyAlignment="0" applyProtection="0"/>
    <xf numFmtId="193" fontId="3" fillId="0" borderId="0" applyFont="0" applyFill="0" applyBorder="0" applyAlignment="0" applyProtection="0"/>
    <xf numFmtId="0" fontId="1" fillId="11" borderId="0" applyNumberFormat="0" applyBorder="0" applyAlignment="0" applyProtection="0">
      <alignment vertical="center"/>
    </xf>
    <xf numFmtId="0" fontId="206" fillId="0" borderId="0">
      <alignment vertical="center"/>
    </xf>
    <xf numFmtId="9" fontId="222" fillId="0" borderId="0" applyFont="0" applyFill="0" applyBorder="0" applyAlignment="0" applyProtection="0"/>
  </cellStyleXfs>
  <cellXfs count="1329">
    <xf numFmtId="2" fontId="0" fillId="0" borderId="0" xfId="0"/>
    <xf numFmtId="2" fontId="4" fillId="0" borderId="0" xfId="0" applyFont="1"/>
    <xf numFmtId="2" fontId="5" fillId="0" borderId="0" xfId="0" applyFont="1"/>
    <xf numFmtId="2" fontId="7" fillId="0" borderId="2" xfId="0" applyFont="1" applyBorder="1" applyAlignment="1">
      <alignment wrapText="1"/>
    </xf>
    <xf numFmtId="177" fontId="13" fillId="0" borderId="0" xfId="0" applyNumberFormat="1" applyFont="1" applyAlignment="1">
      <alignment horizontal="left" vertical="center"/>
    </xf>
    <xf numFmtId="2" fontId="9" fillId="0" borderId="0" xfId="0" applyFont="1" applyAlignment="1">
      <alignment wrapText="1"/>
    </xf>
    <xf numFmtId="181" fontId="4" fillId="0" borderId="0" xfId="0" applyNumberFormat="1" applyFont="1"/>
    <xf numFmtId="2" fontId="9" fillId="0" borderId="0" xfId="0" applyFont="1"/>
    <xf numFmtId="2" fontId="7" fillId="0" borderId="0" xfId="0" applyFont="1"/>
    <xf numFmtId="10" fontId="0" fillId="0" borderId="0" xfId="0" applyNumberFormat="1"/>
    <xf numFmtId="179" fontId="9" fillId="0" borderId="2" xfId="0" applyNumberFormat="1" applyFont="1" applyBorder="1"/>
    <xf numFmtId="2" fontId="7" fillId="0" borderId="3" xfId="0" applyFont="1" applyBorder="1"/>
    <xf numFmtId="2" fontId="9" fillId="0" borderId="2" xfId="0" applyFont="1" applyBorder="1"/>
    <xf numFmtId="2" fontId="7" fillId="0" borderId="0" xfId="0" applyFont="1" applyAlignment="1">
      <alignment horizontal="left"/>
    </xf>
    <xf numFmtId="4" fontId="20" fillId="0" borderId="0" xfId="0" applyNumberFormat="1" applyFont="1" applyAlignment="1">
      <alignment horizontal="right"/>
    </xf>
    <xf numFmtId="2" fontId="14" fillId="0" borderId="0" xfId="0" applyFont="1" applyAlignment="1">
      <alignment horizontal="right"/>
    </xf>
    <xf numFmtId="177" fontId="14" fillId="0" borderId="0" xfId="0" applyNumberFormat="1" applyFont="1"/>
    <xf numFmtId="2" fontId="14" fillId="0" borderId="0" xfId="0" applyFont="1"/>
    <xf numFmtId="2" fontId="5" fillId="0" borderId="4" xfId="0" applyFont="1" applyBorder="1"/>
    <xf numFmtId="2" fontId="21" fillId="0" borderId="0" xfId="0" applyFont="1"/>
    <xf numFmtId="182" fontId="32" fillId="0" borderId="0" xfId="0" applyNumberFormat="1" applyFont="1" applyAlignment="1">
      <alignment horizontal="right"/>
    </xf>
    <xf numFmtId="2" fontId="0" fillId="0" borderId="4" xfId="0" applyBorder="1"/>
    <xf numFmtId="182" fontId="32" fillId="0" borderId="0" xfId="0" applyNumberFormat="1" applyFont="1" applyAlignment="1">
      <alignment wrapText="1"/>
    </xf>
    <xf numFmtId="182" fontId="23" fillId="0" borderId="0" xfId="0" applyNumberFormat="1" applyFont="1"/>
    <xf numFmtId="4" fontId="22" fillId="0" borderId="0" xfId="0" applyNumberFormat="1" applyFont="1" applyAlignment="1">
      <alignment horizontal="right"/>
    </xf>
    <xf numFmtId="182" fontId="8" fillId="0" borderId="0" xfId="0" applyNumberFormat="1" applyFont="1" applyAlignment="1">
      <alignment wrapText="1"/>
    </xf>
    <xf numFmtId="182" fontId="23" fillId="0" borderId="0" xfId="0" applyNumberFormat="1" applyFont="1" applyAlignment="1">
      <alignment wrapText="1"/>
    </xf>
    <xf numFmtId="182" fontId="16" fillId="0" borderId="0" xfId="0" applyNumberFormat="1" applyFont="1" applyAlignment="1">
      <alignment wrapText="1"/>
    </xf>
    <xf numFmtId="10" fontId="32" fillId="0" borderId="0" xfId="0" applyNumberFormat="1" applyFont="1" applyAlignment="1">
      <alignment wrapText="1"/>
    </xf>
    <xf numFmtId="182" fontId="23" fillId="0" borderId="0" xfId="0" applyNumberFormat="1" applyFont="1" applyAlignment="1">
      <alignment horizontal="right"/>
    </xf>
    <xf numFmtId="186" fontId="23" fillId="0" borderId="0" xfId="0" applyNumberFormat="1" applyFont="1" applyAlignment="1">
      <alignment wrapText="1"/>
    </xf>
    <xf numFmtId="182" fontId="23" fillId="0" borderId="4" xfId="0" applyNumberFormat="1" applyFont="1" applyBorder="1" applyAlignment="1">
      <alignment wrapText="1"/>
    </xf>
    <xf numFmtId="183" fontId="32" fillId="0" borderId="0" xfId="0" applyNumberFormat="1" applyFont="1" applyAlignment="1">
      <alignment horizontal="right" wrapText="1"/>
    </xf>
    <xf numFmtId="183" fontId="23" fillId="0" borderId="0" xfId="0" applyNumberFormat="1" applyFont="1" applyAlignment="1">
      <alignment horizontal="right"/>
    </xf>
    <xf numFmtId="177" fontId="37" fillId="0" borderId="4" xfId="0" applyNumberFormat="1" applyFont="1" applyBorder="1" applyAlignment="1">
      <alignment horizontal="left" vertical="center"/>
    </xf>
    <xf numFmtId="182" fontId="32" fillId="0" borderId="0" xfId="0" applyNumberFormat="1" applyFont="1" applyAlignment="1">
      <alignment horizontal="right" wrapText="1"/>
    </xf>
    <xf numFmtId="182" fontId="23" fillId="0" borderId="0" xfId="0" applyNumberFormat="1" applyFont="1" applyAlignment="1">
      <alignment horizontal="right" wrapText="1"/>
    </xf>
    <xf numFmtId="186" fontId="23" fillId="0" borderId="0" xfId="0" applyNumberFormat="1" applyFont="1" applyAlignment="1">
      <alignment horizontal="right" wrapText="1"/>
    </xf>
    <xf numFmtId="178" fontId="20" fillId="0" borderId="0" xfId="0" applyNumberFormat="1" applyFont="1" applyAlignment="1" applyProtection="1">
      <alignment horizontal="right"/>
      <protection hidden="1"/>
    </xf>
    <xf numFmtId="2" fontId="9" fillId="0" borderId="3" xfId="0" applyFont="1" applyBorder="1" applyAlignment="1">
      <alignment horizontal="right"/>
    </xf>
    <xf numFmtId="183" fontId="27" fillId="0" borderId="0" xfId="0" applyNumberFormat="1" applyFont="1" applyAlignment="1">
      <alignment horizontal="left" wrapText="1"/>
    </xf>
    <xf numFmtId="2" fontId="38" fillId="0" borderId="0" xfId="0" applyFont="1"/>
    <xf numFmtId="183" fontId="20" fillId="0" borderId="0" xfId="0" applyNumberFormat="1" applyFont="1"/>
    <xf numFmtId="183" fontId="20" fillId="0" borderId="0" xfId="0" applyNumberFormat="1" applyFont="1" applyProtection="1">
      <protection hidden="1"/>
    </xf>
    <xf numFmtId="178" fontId="27" fillId="0" borderId="0" xfId="0" applyNumberFormat="1" applyFont="1" applyAlignment="1" applyProtection="1">
      <alignment horizontal="left" wrapText="1"/>
      <protection hidden="1"/>
    </xf>
    <xf numFmtId="178" fontId="14" fillId="0" borderId="0" xfId="0" applyNumberFormat="1" applyFont="1" applyAlignment="1">
      <alignment wrapText="1"/>
    </xf>
    <xf numFmtId="2" fontId="39" fillId="0" borderId="0" xfId="0" applyFont="1"/>
    <xf numFmtId="180" fontId="14" fillId="0" borderId="0" xfId="0" applyNumberFormat="1" applyFont="1" applyAlignment="1">
      <alignment vertical="center"/>
    </xf>
    <xf numFmtId="2" fontId="21" fillId="0" borderId="0" xfId="0" applyFont="1" applyAlignment="1">
      <alignment wrapText="1"/>
    </xf>
    <xf numFmtId="2" fontId="14" fillId="0" borderId="0" xfId="0" applyFont="1" applyAlignment="1">
      <alignment wrapText="1"/>
    </xf>
    <xf numFmtId="0" fontId="38" fillId="0" borderId="0" xfId="0" applyNumberFormat="1" applyFont="1"/>
    <xf numFmtId="2" fontId="14" fillId="0" borderId="3" xfId="0" applyFont="1" applyBorder="1" applyAlignment="1">
      <alignment wrapText="1"/>
    </xf>
    <xf numFmtId="182" fontId="14" fillId="0" borderId="2" xfId="0" applyNumberFormat="1" applyFont="1" applyBorder="1" applyAlignment="1">
      <alignment wrapText="1"/>
    </xf>
    <xf numFmtId="178" fontId="21" fillId="2" borderId="0" xfId="0" applyNumberFormat="1" applyFont="1" applyFill="1" applyProtection="1">
      <protection hidden="1"/>
    </xf>
    <xf numFmtId="183" fontId="16" fillId="0" borderId="0" xfId="0" applyNumberFormat="1" applyFont="1" applyAlignment="1">
      <alignment wrapText="1"/>
    </xf>
    <xf numFmtId="183" fontId="21" fillId="0" borderId="0" xfId="0" applyNumberFormat="1" applyFont="1" applyAlignment="1">
      <alignment wrapText="1"/>
    </xf>
    <xf numFmtId="183" fontId="21" fillId="0" borderId="0" xfId="0" applyNumberFormat="1" applyFont="1"/>
    <xf numFmtId="2" fontId="9" fillId="0" borderId="3" xfId="0" applyFont="1" applyBorder="1" applyAlignment="1">
      <alignment horizontal="right" wrapText="1"/>
    </xf>
    <xf numFmtId="10" fontId="15" fillId="0" borderId="2" xfId="0" quotePrefix="1" applyNumberFormat="1" applyFont="1" applyBorder="1" applyAlignment="1">
      <alignment horizontal="right" wrapText="1"/>
    </xf>
    <xf numFmtId="10" fontId="22" fillId="0" borderId="0" xfId="0" applyNumberFormat="1" applyFont="1" applyAlignment="1">
      <alignment horizontal="right"/>
    </xf>
    <xf numFmtId="181" fontId="8" fillId="0" borderId="0" xfId="0" applyNumberFormat="1" applyFont="1" applyAlignment="1">
      <alignment wrapText="1"/>
    </xf>
    <xf numFmtId="181" fontId="32" fillId="0" borderId="0" xfId="0" applyNumberFormat="1" applyFont="1" applyAlignment="1">
      <alignment wrapText="1"/>
    </xf>
    <xf numFmtId="181" fontId="14" fillId="0" borderId="0" xfId="0" applyNumberFormat="1" applyFont="1" applyAlignment="1">
      <alignment wrapText="1"/>
    </xf>
    <xf numFmtId="181" fontId="38" fillId="0" borderId="0" xfId="0" applyNumberFormat="1" applyFont="1"/>
    <xf numFmtId="2" fontId="40" fillId="0" borderId="0" xfId="0" applyFont="1"/>
    <xf numFmtId="4" fontId="15" fillId="0" borderId="0" xfId="0" applyNumberFormat="1" applyFont="1" applyAlignment="1">
      <alignment horizontal="right"/>
    </xf>
    <xf numFmtId="182" fontId="14" fillId="0" borderId="0" xfId="0" applyNumberFormat="1" applyFont="1" applyAlignment="1">
      <alignment horizontal="left"/>
    </xf>
    <xf numFmtId="182" fontId="14" fillId="0" borderId="0" xfId="0" applyNumberFormat="1" applyFont="1" applyAlignment="1">
      <alignment horizontal="right"/>
    </xf>
    <xf numFmtId="182" fontId="21" fillId="0" borderId="0" xfId="0" applyNumberFormat="1" applyFont="1" applyAlignment="1">
      <alignment horizontal="left"/>
    </xf>
    <xf numFmtId="2" fontId="9" fillId="0" borderId="0" xfId="0" applyFont="1" applyAlignment="1">
      <alignment horizontal="right"/>
    </xf>
    <xf numFmtId="2" fontId="0" fillId="0" borderId="5" xfId="0" applyBorder="1"/>
    <xf numFmtId="2" fontId="0" fillId="0" borderId="6" xfId="0" applyBorder="1"/>
    <xf numFmtId="10" fontId="0" fillId="2" borderId="5" xfId="0" applyNumberFormat="1" applyFill="1" applyBorder="1"/>
    <xf numFmtId="10" fontId="0" fillId="2" borderId="6" xfId="0" applyNumberFormat="1" applyFill="1" applyBorder="1"/>
    <xf numFmtId="177" fontId="0" fillId="2" borderId="6" xfId="0" applyNumberFormat="1" applyFill="1" applyBorder="1"/>
    <xf numFmtId="10" fontId="0" fillId="0" borderId="6" xfId="0" applyNumberFormat="1" applyBorder="1"/>
    <xf numFmtId="2" fontId="0" fillId="0" borderId="7" xfId="0" applyBorder="1"/>
    <xf numFmtId="2" fontId="0" fillId="0" borderId="8" xfId="0" applyBorder="1"/>
    <xf numFmtId="2" fontId="0" fillId="0" borderId="8" xfId="0" applyBorder="1" applyAlignment="1">
      <alignment horizontal="right"/>
    </xf>
    <xf numFmtId="2" fontId="0" fillId="0" borderId="9" xfId="0" applyBorder="1" applyAlignment="1">
      <alignment horizontal="right"/>
    </xf>
    <xf numFmtId="2" fontId="0" fillId="0" borderId="6" xfId="0" applyBorder="1" applyAlignment="1">
      <alignment horizontal="right"/>
    </xf>
    <xf numFmtId="2" fontId="9" fillId="0" borderId="6" xfId="0" applyFont="1" applyBorder="1" applyAlignment="1">
      <alignment horizontal="right"/>
    </xf>
    <xf numFmtId="2" fontId="9" fillId="0" borderId="7" xfId="0" applyFont="1" applyBorder="1" applyAlignment="1">
      <alignment horizontal="right"/>
    </xf>
    <xf numFmtId="2" fontId="7" fillId="0" borderId="10" xfId="0" applyFont="1" applyBorder="1"/>
    <xf numFmtId="10" fontId="42" fillId="2" borderId="11" xfId="0" applyNumberFormat="1" applyFont="1" applyFill="1" applyBorder="1"/>
    <xf numFmtId="2" fontId="7" fillId="0" borderId="12" xfId="0" applyFont="1" applyBorder="1"/>
    <xf numFmtId="10" fontId="42" fillId="2" borderId="13" xfId="0" applyNumberFormat="1" applyFont="1" applyFill="1" applyBorder="1"/>
    <xf numFmtId="2" fontId="7" fillId="0" borderId="14" xfId="0" applyFont="1" applyBorder="1"/>
    <xf numFmtId="10" fontId="42" fillId="2" borderId="15" xfId="0" applyNumberFormat="1" applyFont="1" applyFill="1" applyBorder="1"/>
    <xf numFmtId="10" fontId="9" fillId="0" borderId="6" xfId="0" applyNumberFormat="1" applyFont="1" applyBorder="1" applyAlignment="1">
      <alignment horizontal="right"/>
    </xf>
    <xf numFmtId="10" fontId="9" fillId="0" borderId="7" xfId="0" applyNumberFormat="1" applyFont="1" applyBorder="1" applyAlignment="1">
      <alignment horizontal="right"/>
    </xf>
    <xf numFmtId="10" fontId="0" fillId="0" borderId="9" xfId="0" applyNumberFormat="1" applyBorder="1" applyAlignment="1">
      <alignment horizontal="right"/>
    </xf>
    <xf numFmtId="10" fontId="0" fillId="0" borderId="6" xfId="0" applyNumberFormat="1" applyBorder="1" applyAlignment="1">
      <alignment horizontal="right"/>
    </xf>
    <xf numFmtId="2" fontId="7" fillId="0" borderId="16" xfId="0" applyFont="1" applyBorder="1"/>
    <xf numFmtId="2" fontId="7" fillId="0" borderId="17" xfId="0" applyFont="1" applyBorder="1"/>
    <xf numFmtId="10" fontId="0" fillId="2" borderId="0" xfId="0" applyNumberFormat="1" applyFill="1"/>
    <xf numFmtId="10" fontId="41" fillId="3" borderId="0" xfId="0" applyNumberFormat="1" applyFont="1" applyFill="1"/>
    <xf numFmtId="2" fontId="41" fillId="3" borderId="9" xfId="0" applyFont="1" applyFill="1" applyBorder="1" applyAlignment="1">
      <alignment horizontal="right"/>
    </xf>
    <xf numFmtId="2" fontId="7" fillId="0" borderId="0" xfId="0" applyFont="1" applyAlignment="1">
      <alignment vertical="center"/>
    </xf>
    <xf numFmtId="2" fontId="9" fillId="0" borderId="18" xfId="0" applyFont="1" applyBorder="1"/>
    <xf numFmtId="2" fontId="7" fillId="0" borderId="0" xfId="0" applyFont="1" applyAlignment="1">
      <alignment horizontal="right"/>
    </xf>
    <xf numFmtId="2" fontId="0" fillId="0" borderId="0" xfId="0" applyAlignment="1">
      <alignment horizontal="right"/>
    </xf>
    <xf numFmtId="2" fontId="7" fillId="0" borderId="19" xfId="0" applyFont="1" applyBorder="1"/>
    <xf numFmtId="176" fontId="35" fillId="0" borderId="0" xfId="5" applyNumberFormat="1" applyFont="1">
      <alignment vertical="center"/>
    </xf>
    <xf numFmtId="10" fontId="35" fillId="0" borderId="0" xfId="5" applyNumberFormat="1" applyFont="1">
      <alignment vertical="center"/>
    </xf>
    <xf numFmtId="2" fontId="0" fillId="0" borderId="0" xfId="0" applyAlignment="1">
      <alignment vertical="center"/>
    </xf>
    <xf numFmtId="2" fontId="7" fillId="0" borderId="20" xfId="0" applyFont="1" applyBorder="1" applyAlignment="1">
      <alignment wrapText="1"/>
    </xf>
    <xf numFmtId="2" fontId="7" fillId="0" borderId="21" xfId="0" applyFont="1" applyBorder="1" applyAlignment="1">
      <alignment wrapText="1"/>
    </xf>
    <xf numFmtId="2" fontId="7" fillId="0" borderId="20" xfId="0" applyFont="1" applyBorder="1" applyAlignment="1">
      <alignment horizontal="left"/>
    </xf>
    <xf numFmtId="179" fontId="7" fillId="0" borderId="21" xfId="0" applyNumberFormat="1" applyFont="1" applyBorder="1" applyAlignment="1">
      <alignment vertical="center" wrapText="1"/>
    </xf>
    <xf numFmtId="182" fontId="8" fillId="0" borderId="20" xfId="0" applyNumberFormat="1" applyFont="1" applyBorder="1" applyAlignment="1">
      <alignment wrapText="1"/>
    </xf>
    <xf numFmtId="2" fontId="7" fillId="0" borderId="20" xfId="0" applyFont="1" applyBorder="1"/>
    <xf numFmtId="179" fontId="12" fillId="0" borderId="21" xfId="0" applyNumberFormat="1" applyFont="1" applyBorder="1" applyAlignment="1">
      <alignment vertical="center" wrapText="1"/>
    </xf>
    <xf numFmtId="178" fontId="7" fillId="0" borderId="21" xfId="0" applyNumberFormat="1" applyFont="1" applyBorder="1" applyAlignment="1">
      <alignment vertical="center" wrapText="1"/>
    </xf>
    <xf numFmtId="2" fontId="9" fillId="0" borderId="20" xfId="0" applyFont="1" applyBorder="1"/>
    <xf numFmtId="2" fontId="105" fillId="0" borderId="22" xfId="0" applyFont="1" applyBorder="1" applyAlignment="1">
      <alignment horizontal="center" vertical="center" wrapText="1"/>
    </xf>
    <xf numFmtId="179" fontId="12" fillId="0" borderId="21" xfId="0" applyNumberFormat="1" applyFont="1" applyBorder="1" applyAlignment="1">
      <alignment horizontal="left" vertical="center" wrapText="1"/>
    </xf>
    <xf numFmtId="177" fontId="37" fillId="0" borderId="0" xfId="0" applyNumberFormat="1" applyFont="1" applyAlignment="1">
      <alignment horizontal="left" vertical="center"/>
    </xf>
    <xf numFmtId="2" fontId="4" fillId="0" borderId="0" xfId="0" applyFont="1" applyAlignment="1">
      <alignment vertical="center"/>
    </xf>
    <xf numFmtId="2" fontId="0" fillId="0" borderId="0" xfId="0" applyAlignment="1">
      <alignment horizontal="left" vertical="center"/>
    </xf>
    <xf numFmtId="0" fontId="21" fillId="6" borderId="0" xfId="0" applyNumberFormat="1" applyFont="1" applyFill="1" applyAlignment="1">
      <alignment horizontal="center" vertical="center"/>
    </xf>
    <xf numFmtId="0" fontId="21" fillId="7" borderId="0" xfId="0" applyNumberFormat="1" applyFont="1" applyFill="1" applyAlignment="1">
      <alignment horizontal="center" vertical="center"/>
    </xf>
    <xf numFmtId="0" fontId="21" fillId="6" borderId="4" xfId="0" applyNumberFormat="1" applyFont="1" applyFill="1" applyBorder="1" applyAlignment="1">
      <alignment horizontal="center" vertical="center"/>
    </xf>
    <xf numFmtId="2" fontId="4" fillId="0" borderId="0" xfId="0" applyFont="1" applyAlignment="1">
      <alignment horizontal="center" vertical="center"/>
    </xf>
    <xf numFmtId="49" fontId="21" fillId="7" borderId="0" xfId="0" applyNumberFormat="1" applyFont="1" applyFill="1" applyAlignment="1">
      <alignment horizontal="center" vertical="center"/>
    </xf>
    <xf numFmtId="49" fontId="107" fillId="7" borderId="0" xfId="0" applyNumberFormat="1" applyFont="1" applyFill="1" applyAlignment="1">
      <alignment horizontal="center" vertical="center"/>
    </xf>
    <xf numFmtId="4" fontId="14" fillId="0" borderId="0" xfId="0" applyNumberFormat="1" applyFont="1" applyAlignment="1">
      <alignment horizontal="center" vertical="center"/>
    </xf>
    <xf numFmtId="2" fontId="14" fillId="0" borderId="0" xfId="0" applyFont="1" applyAlignment="1">
      <alignment horizontal="center" vertical="center"/>
    </xf>
    <xf numFmtId="177" fontId="21" fillId="0" borderId="0" xfId="0" applyNumberFormat="1" applyFont="1" applyAlignment="1">
      <alignment horizontal="center" vertical="center"/>
    </xf>
    <xf numFmtId="183" fontId="14" fillId="0" borderId="0" xfId="0" applyNumberFormat="1" applyFont="1" applyAlignment="1">
      <alignment horizontal="center" vertical="center"/>
    </xf>
    <xf numFmtId="0" fontId="35" fillId="0" borderId="23" xfId="3" applyFont="1" applyBorder="1" applyAlignment="1">
      <alignment horizontal="center" vertical="center"/>
    </xf>
    <xf numFmtId="0" fontId="35" fillId="0" borderId="23" xfId="3" applyFont="1" applyBorder="1" applyAlignment="1">
      <alignment horizontal="left" vertical="center"/>
    </xf>
    <xf numFmtId="10" fontId="35" fillId="0" borderId="23" xfId="3" applyNumberFormat="1" applyFont="1" applyBorder="1" applyAlignment="1">
      <alignment horizontal="center" vertical="center"/>
    </xf>
    <xf numFmtId="9" fontId="35" fillId="0" borderId="23" xfId="3" applyNumberFormat="1" applyFont="1" applyBorder="1">
      <alignment vertical="center"/>
    </xf>
    <xf numFmtId="10" fontId="35" fillId="0" borderId="23" xfId="5" applyNumberFormat="1" applyFont="1" applyBorder="1">
      <alignment vertical="center"/>
    </xf>
    <xf numFmtId="176" fontId="35" fillId="0" borderId="23" xfId="5" applyNumberFormat="1" applyFont="1" applyBorder="1">
      <alignment vertical="center"/>
    </xf>
    <xf numFmtId="2" fontId="108" fillId="0" borderId="24" xfId="0" applyFont="1" applyBorder="1" applyAlignment="1">
      <alignment horizontal="center" vertical="center"/>
    </xf>
    <xf numFmtId="2" fontId="108" fillId="0" borderId="25" xfId="0" applyFont="1" applyBorder="1" applyAlignment="1">
      <alignment horizontal="center" vertical="center"/>
    </xf>
    <xf numFmtId="2" fontId="0" fillId="0" borderId="26" xfId="0" applyBorder="1" applyAlignment="1">
      <alignment horizontal="center" vertical="center"/>
    </xf>
    <xf numFmtId="0" fontId="35" fillId="0" borderId="26" xfId="5" applyFont="1" applyBorder="1" applyAlignment="1">
      <alignment horizontal="center" vertical="center"/>
    </xf>
    <xf numFmtId="9" fontId="35" fillId="0" borderId="26" xfId="5" applyNumberFormat="1" applyFont="1" applyBorder="1">
      <alignment vertical="center"/>
    </xf>
    <xf numFmtId="176" fontId="35" fillId="0" borderId="27" xfId="5" applyNumberFormat="1" applyFont="1" applyBorder="1" applyAlignment="1">
      <alignment vertical="center" textRotation="90"/>
    </xf>
    <xf numFmtId="176" fontId="35" fillId="0" borderId="27" xfId="5" applyNumberFormat="1" applyFont="1" applyBorder="1">
      <alignment vertical="center"/>
    </xf>
    <xf numFmtId="176" fontId="35" fillId="0" borderId="28" xfId="5" applyNumberFormat="1" applyFont="1" applyBorder="1">
      <alignment vertical="center"/>
    </xf>
    <xf numFmtId="180" fontId="7" fillId="0" borderId="23" xfId="0" applyNumberFormat="1" applyFont="1" applyBorder="1" applyAlignment="1">
      <alignment horizontal="left" vertical="center"/>
    </xf>
    <xf numFmtId="181" fontId="7" fillId="0" borderId="23" xfId="0" applyNumberFormat="1" applyFont="1" applyBorder="1" applyAlignment="1">
      <alignment horizontal="left" vertical="center" wrapText="1"/>
    </xf>
    <xf numFmtId="180" fontId="7" fillId="0" borderId="21" xfId="0" applyNumberFormat="1" applyFont="1" applyBorder="1" applyAlignment="1">
      <alignment horizontal="left" vertical="center"/>
    </xf>
    <xf numFmtId="181" fontId="7" fillId="0" borderId="21" xfId="0" applyNumberFormat="1" applyFont="1" applyBorder="1" applyAlignment="1">
      <alignment horizontal="left" vertical="center" wrapText="1"/>
    </xf>
    <xf numFmtId="0" fontId="23" fillId="7" borderId="0" xfId="0" applyNumberFormat="1" applyFont="1" applyFill="1" applyAlignment="1">
      <alignment horizontal="center" vertical="center"/>
    </xf>
    <xf numFmtId="177" fontId="7" fillId="0" borderId="0" xfId="0" applyNumberFormat="1" applyFont="1" applyAlignment="1">
      <alignment horizontal="center" vertical="center" wrapText="1"/>
    </xf>
    <xf numFmtId="177" fontId="32" fillId="0" borderId="0" xfId="0" applyNumberFormat="1" applyFont="1" applyAlignment="1">
      <alignment horizontal="center" vertical="center" wrapText="1"/>
    </xf>
    <xf numFmtId="177" fontId="23" fillId="0" borderId="0" xfId="0" applyNumberFormat="1" applyFont="1" applyAlignment="1">
      <alignment horizontal="center" vertical="center" wrapText="1"/>
    </xf>
    <xf numFmtId="177" fontId="14" fillId="0" borderId="0" xfId="0" applyNumberFormat="1" applyFont="1" applyAlignment="1">
      <alignment horizontal="center" vertical="center" wrapText="1"/>
    </xf>
    <xf numFmtId="177" fontId="21" fillId="0" borderId="0" xfId="0" applyNumberFormat="1" applyFont="1" applyAlignment="1">
      <alignment horizontal="center" vertical="center" wrapText="1"/>
    </xf>
    <xf numFmtId="177" fontId="23" fillId="0" borderId="0" xfId="0" applyNumberFormat="1" applyFont="1" applyAlignment="1">
      <alignment horizontal="center" vertical="center"/>
    </xf>
    <xf numFmtId="177" fontId="32" fillId="0" borderId="0" xfId="0" applyNumberFormat="1" applyFont="1" applyAlignment="1">
      <alignment horizontal="center" vertical="center"/>
    </xf>
    <xf numFmtId="182" fontId="32" fillId="0" borderId="0" xfId="0" applyNumberFormat="1" applyFont="1" applyAlignment="1">
      <alignment horizontal="center" vertical="center" wrapText="1"/>
    </xf>
    <xf numFmtId="2" fontId="109" fillId="0" borderId="23" xfId="0" applyFont="1" applyBorder="1" applyAlignment="1">
      <alignment horizontal="left" vertical="center" wrapText="1"/>
    </xf>
    <xf numFmtId="2" fontId="7" fillId="0" borderId="23" xfId="0" applyFont="1" applyBorder="1" applyAlignment="1">
      <alignment horizontal="left" vertical="center" wrapText="1"/>
    </xf>
    <xf numFmtId="177" fontId="7" fillId="0" borderId="0" xfId="0" applyNumberFormat="1" applyFont="1" applyAlignment="1">
      <alignment horizontal="left" vertical="center" wrapText="1"/>
    </xf>
    <xf numFmtId="178" fontId="7" fillId="0" borderId="0" xfId="0" applyNumberFormat="1" applyFont="1" applyAlignment="1">
      <alignment horizontal="left" vertical="center" wrapText="1"/>
    </xf>
    <xf numFmtId="2" fontId="4" fillId="0" borderId="0" xfId="0" applyFont="1" applyAlignment="1">
      <alignment horizontal="left" vertical="center"/>
    </xf>
    <xf numFmtId="0" fontId="57" fillId="0" borderId="23" xfId="0" applyNumberFormat="1" applyFont="1" applyBorder="1" applyAlignment="1">
      <alignment horizontal="left" vertical="center" wrapText="1"/>
    </xf>
    <xf numFmtId="2" fontId="33" fillId="0" borderId="21" xfId="0" applyFont="1" applyBorder="1" applyAlignment="1">
      <alignment horizontal="left" vertical="center"/>
    </xf>
    <xf numFmtId="0" fontId="0" fillId="0" borderId="0" xfId="0" applyNumberFormat="1" applyAlignment="1">
      <alignment horizontal="left" vertical="center"/>
    </xf>
    <xf numFmtId="182" fontId="16" fillId="0" borderId="23" xfId="0" applyNumberFormat="1" applyFont="1" applyBorder="1" applyAlignment="1">
      <alignment horizontal="left" vertical="center" wrapText="1"/>
    </xf>
    <xf numFmtId="182" fontId="16" fillId="0" borderId="21" xfId="0" applyNumberFormat="1" applyFont="1" applyBorder="1" applyAlignment="1">
      <alignment horizontal="left" vertical="center" wrapText="1"/>
    </xf>
    <xf numFmtId="182" fontId="8" fillId="0" borderId="23" xfId="0" applyNumberFormat="1" applyFont="1" applyBorder="1" applyAlignment="1">
      <alignment horizontal="left" vertical="center" wrapText="1"/>
    </xf>
    <xf numFmtId="182" fontId="8" fillId="0" borderId="21" xfId="0" applyNumberFormat="1" applyFont="1" applyBorder="1" applyAlignment="1">
      <alignment horizontal="left" vertical="center" wrapText="1"/>
    </xf>
    <xf numFmtId="2" fontId="7" fillId="0" borderId="23" xfId="0" applyFont="1" applyBorder="1" applyAlignment="1">
      <alignment horizontal="left" vertical="center"/>
    </xf>
    <xf numFmtId="2" fontId="7" fillId="0" borderId="21" xfId="0" applyFont="1" applyBorder="1" applyAlignment="1">
      <alignment horizontal="left" vertical="center"/>
    </xf>
    <xf numFmtId="2" fontId="36" fillId="0" borderId="0" xfId="0" applyFont="1" applyAlignment="1">
      <alignment horizontal="left" vertical="center"/>
    </xf>
    <xf numFmtId="2" fontId="33" fillId="0" borderId="23" xfId="0" applyFont="1" applyBorder="1" applyAlignment="1">
      <alignment horizontal="left" vertical="center"/>
    </xf>
    <xf numFmtId="182" fontId="55" fillId="0" borderId="23" xfId="0" applyNumberFormat="1" applyFont="1" applyBorder="1" applyAlignment="1">
      <alignment horizontal="left" vertical="center" wrapText="1"/>
    </xf>
    <xf numFmtId="2" fontId="9" fillId="0" borderId="21" xfId="0" applyFont="1" applyBorder="1" applyAlignment="1">
      <alignment horizontal="left" vertical="center" wrapText="1"/>
    </xf>
    <xf numFmtId="2" fontId="58" fillId="0" borderId="23" xfId="0" applyFont="1" applyBorder="1" applyAlignment="1">
      <alignment horizontal="left" vertical="center" wrapText="1"/>
    </xf>
    <xf numFmtId="2" fontId="58" fillId="0" borderId="21" xfId="0" applyFont="1" applyBorder="1" applyAlignment="1">
      <alignment horizontal="left" vertical="center" wrapText="1"/>
    </xf>
    <xf numFmtId="177" fontId="58" fillId="0" borderId="0" xfId="0" applyNumberFormat="1" applyFont="1" applyAlignment="1">
      <alignment horizontal="left" vertical="center" wrapText="1"/>
    </xf>
    <xf numFmtId="178" fontId="58" fillId="0" borderId="0" xfId="0" applyNumberFormat="1" applyFont="1" applyAlignment="1">
      <alignment horizontal="left" vertical="center" wrapText="1"/>
    </xf>
    <xf numFmtId="2" fontId="34" fillId="0" borderId="0" xfId="0" applyFont="1" applyAlignment="1">
      <alignment horizontal="left" vertical="center"/>
    </xf>
    <xf numFmtId="182" fontId="61" fillId="0" borderId="23" xfId="0" applyNumberFormat="1" applyFont="1" applyBorder="1" applyAlignment="1">
      <alignment horizontal="left" vertical="center" wrapText="1"/>
    </xf>
    <xf numFmtId="2" fontId="58" fillId="0" borderId="0" xfId="0" applyFont="1" applyAlignment="1">
      <alignment horizontal="left" vertical="center"/>
    </xf>
    <xf numFmtId="182" fontId="61" fillId="0" borderId="21" xfId="0" applyNumberFormat="1" applyFont="1" applyBorder="1" applyAlignment="1">
      <alignment horizontal="left" vertical="center" wrapText="1"/>
    </xf>
    <xf numFmtId="2" fontId="36" fillId="0" borderId="4" xfId="0" applyFont="1" applyBorder="1" applyAlignment="1">
      <alignment horizontal="left" vertical="center"/>
    </xf>
    <xf numFmtId="2" fontId="9" fillId="0" borderId="23" xfId="0" applyFont="1" applyBorder="1" applyAlignment="1">
      <alignment horizontal="left" vertical="center" wrapText="1"/>
    </xf>
    <xf numFmtId="182" fontId="27" fillId="0" borderId="23" xfId="0" applyNumberFormat="1" applyFont="1" applyBorder="1" applyAlignment="1">
      <alignment horizontal="left" vertical="center" wrapText="1"/>
    </xf>
    <xf numFmtId="2" fontId="7" fillId="0" borderId="21" xfId="0" applyFont="1" applyBorder="1" applyAlignment="1">
      <alignment horizontal="left" vertical="center" wrapText="1"/>
    </xf>
    <xf numFmtId="4" fontId="20" fillId="0" borderId="21" xfId="0" applyNumberFormat="1" applyFont="1" applyBorder="1" applyAlignment="1">
      <alignment horizontal="left" vertical="center"/>
    </xf>
    <xf numFmtId="2" fontId="5" fillId="0" borderId="0" xfId="0" applyFont="1" applyAlignment="1">
      <alignment horizontal="left" vertical="center"/>
    </xf>
    <xf numFmtId="4" fontId="19" fillId="0" borderId="0" xfId="0" applyNumberFormat="1" applyFont="1" applyAlignment="1">
      <alignment horizontal="left" vertical="center"/>
    </xf>
    <xf numFmtId="2" fontId="33" fillId="0" borderId="0" xfId="0" applyFont="1" applyAlignment="1">
      <alignment horizontal="left" vertical="center"/>
    </xf>
    <xf numFmtId="182" fontId="60" fillId="0" borderId="23" xfId="0" applyNumberFormat="1" applyFont="1" applyBorder="1" applyAlignment="1">
      <alignment horizontal="left" vertical="center" wrapText="1"/>
    </xf>
    <xf numFmtId="2" fontId="59" fillId="0" borderId="21" xfId="0" applyFont="1" applyBorder="1" applyAlignment="1">
      <alignment horizontal="left" vertical="center" wrapText="1"/>
    </xf>
    <xf numFmtId="177" fontId="59" fillId="0" borderId="0" xfId="0" applyNumberFormat="1" applyFont="1" applyAlignment="1">
      <alignment horizontal="left" vertical="center" wrapText="1"/>
    </xf>
    <xf numFmtId="178" fontId="59" fillId="0" borderId="0" xfId="0" applyNumberFormat="1" applyFont="1" applyAlignment="1">
      <alignment horizontal="left" vertical="center" wrapText="1"/>
    </xf>
    <xf numFmtId="182" fontId="109" fillId="0" borderId="23" xfId="0" applyNumberFormat="1" applyFont="1" applyBorder="1" applyAlignment="1">
      <alignment horizontal="left" vertical="center" wrapText="1"/>
    </xf>
    <xf numFmtId="2" fontId="110" fillId="0" borderId="0" xfId="0" applyFont="1" applyAlignment="1">
      <alignment horizontal="center" vertical="center"/>
    </xf>
    <xf numFmtId="2" fontId="19" fillId="0" borderId="0" xfId="0" applyFont="1" applyAlignment="1">
      <alignment horizontal="center" vertical="center"/>
    </xf>
    <xf numFmtId="2" fontId="5" fillId="0" borderId="0" xfId="0" applyFont="1" applyAlignment="1">
      <alignment horizontal="center" vertical="center"/>
    </xf>
    <xf numFmtId="177" fontId="110" fillId="0" borderId="0" xfId="0" applyNumberFormat="1" applyFont="1" applyAlignment="1">
      <alignment horizontal="center" vertical="center"/>
    </xf>
    <xf numFmtId="177" fontId="14" fillId="0" borderId="0" xfId="0" applyNumberFormat="1" applyFont="1" applyAlignment="1">
      <alignment horizontal="center" vertical="center"/>
    </xf>
    <xf numFmtId="177" fontId="107" fillId="0" borderId="0" xfId="0" applyNumberFormat="1" applyFont="1" applyAlignment="1">
      <alignment horizontal="center" vertical="center"/>
    </xf>
    <xf numFmtId="179" fontId="12" fillId="0" borderId="21" xfId="0" applyNumberFormat="1" applyFont="1" applyBorder="1" applyAlignment="1">
      <alignment horizontal="left" vertical="center"/>
    </xf>
    <xf numFmtId="2" fontId="21" fillId="0" borderId="0" xfId="0" applyFont="1" applyAlignment="1">
      <alignment horizontal="center" vertical="center"/>
    </xf>
    <xf numFmtId="2" fontId="109" fillId="0" borderId="23" xfId="0" applyFont="1" applyBorder="1" applyAlignment="1">
      <alignment horizontal="center" vertical="center" wrapText="1"/>
    </xf>
    <xf numFmtId="4" fontId="4" fillId="0" borderId="20" xfId="0" applyNumberFormat="1" applyFont="1" applyBorder="1" applyAlignment="1">
      <alignment horizontal="left"/>
    </xf>
    <xf numFmtId="2" fontId="65" fillId="0" borderId="23" xfId="0" applyFont="1" applyBorder="1" applyAlignment="1">
      <alignment horizontal="left" vertical="center"/>
    </xf>
    <xf numFmtId="182" fontId="66" fillId="0" borderId="23" xfId="0" applyNumberFormat="1" applyFont="1" applyBorder="1" applyAlignment="1">
      <alignment horizontal="left" vertical="center" wrapText="1"/>
    </xf>
    <xf numFmtId="49" fontId="32" fillId="0" borderId="0" xfId="0" applyNumberFormat="1" applyFont="1" applyAlignment="1">
      <alignment horizontal="left" vertical="center" wrapText="1"/>
    </xf>
    <xf numFmtId="179" fontId="12" fillId="0" borderId="0" xfId="0" applyNumberFormat="1" applyFont="1" applyAlignment="1">
      <alignment vertical="center" wrapText="1"/>
    </xf>
    <xf numFmtId="0" fontId="14" fillId="4" borderId="0" xfId="0" applyNumberFormat="1" applyFont="1" applyFill="1" applyAlignment="1">
      <alignment vertical="center"/>
    </xf>
    <xf numFmtId="0" fontId="68" fillId="4" borderId="0" xfId="0" applyNumberFormat="1" applyFont="1" applyFill="1" applyAlignment="1">
      <alignment vertical="center"/>
    </xf>
    <xf numFmtId="0" fontId="117" fillId="7" borderId="0" xfId="0" applyNumberFormat="1" applyFont="1" applyFill="1" applyAlignment="1">
      <alignment horizontal="center" vertical="center"/>
    </xf>
    <xf numFmtId="0" fontId="117" fillId="6" borderId="0" xfId="0" applyNumberFormat="1" applyFont="1" applyFill="1" applyAlignment="1">
      <alignment horizontal="center" vertical="center"/>
    </xf>
    <xf numFmtId="2" fontId="118" fillId="0" borderId="0" xfId="0" applyFont="1" applyAlignment="1">
      <alignment horizontal="center" vertical="center"/>
    </xf>
    <xf numFmtId="0" fontId="67" fillId="4" borderId="0" xfId="0" applyNumberFormat="1" applyFont="1" applyFill="1" applyAlignment="1">
      <alignment vertical="center"/>
    </xf>
    <xf numFmtId="0" fontId="71" fillId="4" borderId="0" xfId="0" applyNumberFormat="1" applyFont="1" applyFill="1" applyAlignment="1">
      <alignment vertical="center"/>
    </xf>
    <xf numFmtId="0" fontId="67" fillId="0" borderId="0" xfId="0" applyNumberFormat="1" applyFont="1" applyAlignment="1">
      <alignment vertical="center"/>
    </xf>
    <xf numFmtId="0" fontId="119" fillId="4" borderId="0" xfId="0" applyNumberFormat="1" applyFont="1" applyFill="1" applyAlignment="1">
      <alignment vertical="center"/>
    </xf>
    <xf numFmtId="0" fontId="72" fillId="4" borderId="0" xfId="0" applyNumberFormat="1" applyFont="1" applyFill="1" applyAlignment="1">
      <alignment vertical="center"/>
    </xf>
    <xf numFmtId="2" fontId="7" fillId="0" borderId="0" xfId="0" applyFont="1" applyAlignment="1">
      <alignment horizontal="center" vertical="center" wrapText="1"/>
    </xf>
    <xf numFmtId="177" fontId="120" fillId="0" borderId="0" xfId="2" applyNumberFormat="1" applyFont="1" applyBorder="1" applyAlignment="1">
      <alignment horizontal="center" vertical="center"/>
    </xf>
    <xf numFmtId="10" fontId="120" fillId="0" borderId="0" xfId="2" applyFont="1" applyBorder="1" applyAlignment="1">
      <alignment horizontal="center" vertical="center"/>
    </xf>
    <xf numFmtId="10" fontId="14" fillId="0" borderId="0" xfId="0" applyNumberFormat="1" applyFont="1" applyAlignment="1">
      <alignment horizontal="center" vertical="center"/>
    </xf>
    <xf numFmtId="177" fontId="118" fillId="0" borderId="0" xfId="0" applyNumberFormat="1" applyFont="1" applyAlignment="1">
      <alignment horizontal="center" vertical="center" wrapText="1"/>
    </xf>
    <xf numFmtId="177" fontId="5" fillId="0" borderId="0" xfId="0" applyNumberFormat="1" applyFont="1" applyAlignment="1">
      <alignment horizontal="center" vertical="center"/>
    </xf>
    <xf numFmtId="0" fontId="7" fillId="4" borderId="0" xfId="0" applyNumberFormat="1" applyFont="1" applyFill="1" applyAlignment="1">
      <alignment vertical="center"/>
    </xf>
    <xf numFmtId="179" fontId="7" fillId="0" borderId="21" xfId="0" applyNumberFormat="1" applyFont="1" applyBorder="1" applyAlignment="1">
      <alignment horizontal="left" vertical="center" wrapText="1"/>
    </xf>
    <xf numFmtId="179" fontId="14" fillId="0" borderId="21" xfId="0" applyNumberFormat="1" applyFont="1" applyBorder="1" applyAlignment="1">
      <alignment horizontal="left" vertical="center" wrapText="1"/>
    </xf>
    <xf numFmtId="10" fontId="14" fillId="0" borderId="21" xfId="0" applyNumberFormat="1" applyFont="1" applyBorder="1" applyAlignment="1">
      <alignment horizontal="left" vertical="center" wrapText="1"/>
    </xf>
    <xf numFmtId="187" fontId="14" fillId="0" borderId="0" xfId="0" applyNumberFormat="1" applyFont="1" applyAlignment="1">
      <alignment horizontal="center" vertical="center"/>
    </xf>
    <xf numFmtId="2" fontId="118" fillId="0" borderId="0" xfId="0" applyFont="1" applyAlignment="1">
      <alignment horizontal="left" vertical="center" wrapText="1"/>
    </xf>
    <xf numFmtId="0" fontId="4" fillId="0" borderId="0" xfId="0" applyNumberFormat="1" applyFont="1" applyAlignment="1">
      <alignment vertical="center"/>
    </xf>
    <xf numFmtId="2" fontId="5" fillId="0" borderId="0" xfId="0" applyFont="1" applyAlignment="1">
      <alignment vertical="center"/>
    </xf>
    <xf numFmtId="2" fontId="7" fillId="0" borderId="23" xfId="0" applyFont="1" applyBorder="1" applyAlignment="1">
      <alignment vertical="center" wrapText="1"/>
    </xf>
    <xf numFmtId="2" fontId="9" fillId="0" borderId="23" xfId="0" applyFont="1" applyBorder="1" applyAlignment="1">
      <alignment vertical="center" wrapText="1"/>
    </xf>
    <xf numFmtId="2" fontId="5" fillId="0" borderId="4" xfId="0" applyFont="1" applyBorder="1" applyAlignment="1">
      <alignment vertical="center"/>
    </xf>
    <xf numFmtId="2" fontId="7" fillId="0" borderId="0" xfId="0" applyFont="1" applyAlignment="1">
      <alignment vertical="center" wrapText="1"/>
    </xf>
    <xf numFmtId="39" fontId="14" fillId="0" borderId="0" xfId="0" applyNumberFormat="1" applyFont="1" applyAlignment="1">
      <alignment horizontal="center" vertical="center"/>
    </xf>
    <xf numFmtId="4" fontId="110" fillId="0" borderId="0" xfId="0" applyNumberFormat="1" applyFont="1" applyAlignment="1">
      <alignment horizontal="center" vertical="center"/>
    </xf>
    <xf numFmtId="10" fontId="4" fillId="0" borderId="0" xfId="0" applyNumberFormat="1" applyFont="1" applyAlignment="1">
      <alignment horizontal="center" vertical="center"/>
    </xf>
    <xf numFmtId="2" fontId="18" fillId="0" borderId="0" xfId="0" applyFont="1" applyAlignment="1">
      <alignment horizontal="center" vertical="center"/>
    </xf>
    <xf numFmtId="2" fontId="5" fillId="0" borderId="23" xfId="0" applyFont="1" applyBorder="1" applyAlignment="1">
      <alignment vertical="center"/>
    </xf>
    <xf numFmtId="183" fontId="14" fillId="0" borderId="0" xfId="0" applyNumberFormat="1" applyFont="1" applyAlignment="1">
      <alignment vertical="center"/>
    </xf>
    <xf numFmtId="2" fontId="9" fillId="0" borderId="23" xfId="0" applyFont="1" applyBorder="1" applyAlignment="1">
      <alignment vertical="center"/>
    </xf>
    <xf numFmtId="10" fontId="118" fillId="0" borderId="0" xfId="0" applyNumberFormat="1" applyFont="1" applyAlignment="1">
      <alignment vertical="center" wrapText="1"/>
    </xf>
    <xf numFmtId="10" fontId="118" fillId="0" borderId="0" xfId="0" applyNumberFormat="1" applyFont="1" applyAlignment="1">
      <alignment horizontal="left" vertical="center" wrapText="1"/>
    </xf>
    <xf numFmtId="2" fontId="118" fillId="0" borderId="0" xfId="0" applyFont="1" applyAlignment="1">
      <alignment vertical="center"/>
    </xf>
    <xf numFmtId="176" fontId="118" fillId="0" borderId="0" xfId="0" applyNumberFormat="1" applyFont="1" applyAlignment="1">
      <alignment vertical="center" wrapText="1"/>
    </xf>
    <xf numFmtId="183" fontId="118" fillId="0" borderId="0" xfId="0" applyNumberFormat="1" applyFont="1" applyAlignment="1">
      <alignment vertical="center" wrapText="1"/>
    </xf>
    <xf numFmtId="177" fontId="118" fillId="0" borderId="0" xfId="0" applyNumberFormat="1" applyFont="1" applyAlignment="1">
      <alignment vertical="center" wrapText="1"/>
    </xf>
    <xf numFmtId="10" fontId="122" fillId="0" borderId="0" xfId="0" applyNumberFormat="1" applyFont="1" applyAlignment="1">
      <alignment vertical="center"/>
    </xf>
    <xf numFmtId="39" fontId="120" fillId="0" borderId="0" xfId="0" applyNumberFormat="1" applyFont="1" applyAlignment="1">
      <alignment horizontal="right" vertical="center"/>
    </xf>
    <xf numFmtId="2" fontId="120" fillId="0" borderId="0" xfId="0" applyFont="1" applyAlignment="1">
      <alignment horizontal="right" vertical="center"/>
    </xf>
    <xf numFmtId="2" fontId="68" fillId="0" borderId="0" xfId="0" applyFont="1" applyAlignment="1">
      <alignment vertical="center"/>
    </xf>
    <xf numFmtId="39" fontId="118" fillId="0" borderId="0" xfId="0" applyNumberFormat="1" applyFont="1" applyAlignment="1">
      <alignment vertical="center" wrapText="1"/>
    </xf>
    <xf numFmtId="2" fontId="118" fillId="0" borderId="0" xfId="0" applyFont="1" applyAlignment="1">
      <alignment vertical="center" wrapText="1"/>
    </xf>
    <xf numFmtId="39" fontId="123" fillId="0" borderId="0" xfId="0" applyNumberFormat="1" applyFont="1" applyAlignment="1">
      <alignment horizontal="right" vertical="center" wrapText="1"/>
    </xf>
    <xf numFmtId="2" fontId="124" fillId="0" borderId="0" xfId="0" applyFont="1" applyAlignment="1">
      <alignment horizontal="right" vertical="center"/>
    </xf>
    <xf numFmtId="2" fontId="107" fillId="0" borderId="0" xfId="0" applyFont="1" applyAlignment="1">
      <alignment vertical="center"/>
    </xf>
    <xf numFmtId="39" fontId="111" fillId="0" borderId="0" xfId="0" applyNumberFormat="1" applyFont="1" applyAlignment="1">
      <alignment vertical="center" wrapText="1"/>
    </xf>
    <xf numFmtId="2" fontId="111" fillId="0" borderId="0" xfId="0" applyFont="1" applyAlignment="1">
      <alignment vertical="center" wrapText="1"/>
    </xf>
    <xf numFmtId="2" fontId="110" fillId="0" borderId="0" xfId="0" applyFont="1" applyAlignment="1">
      <alignment vertical="center"/>
    </xf>
    <xf numFmtId="39" fontId="118" fillId="0" borderId="0" xfId="0" applyNumberFormat="1" applyFont="1" applyAlignment="1">
      <alignment horizontal="left" vertical="center" wrapText="1"/>
    </xf>
    <xf numFmtId="39" fontId="120" fillId="0" borderId="0" xfId="0" applyNumberFormat="1" applyFont="1" applyAlignment="1">
      <alignment horizontal="right" vertical="center" wrapText="1"/>
    </xf>
    <xf numFmtId="2" fontId="120" fillId="0" borderId="0" xfId="0" applyFont="1" applyAlignment="1">
      <alignment vertical="center"/>
    </xf>
    <xf numFmtId="183" fontId="4" fillId="0" borderId="0" xfId="0" applyNumberFormat="1" applyFont="1" applyAlignment="1">
      <alignment vertical="center"/>
    </xf>
    <xf numFmtId="2" fontId="9" fillId="0" borderId="0" xfId="0" applyFont="1" applyAlignment="1">
      <alignment vertical="center"/>
    </xf>
    <xf numFmtId="183" fontId="118" fillId="0" borderId="0" xfId="0" applyNumberFormat="1" applyFont="1" applyAlignment="1">
      <alignment horizontal="right" vertical="center" wrapText="1"/>
    </xf>
    <xf numFmtId="183" fontId="14" fillId="0" borderId="0" xfId="0" applyNumberFormat="1" applyFont="1" applyAlignment="1">
      <alignment horizontal="right" vertical="center"/>
    </xf>
    <xf numFmtId="2" fontId="8" fillId="0" borderId="0" xfId="0" applyFont="1" applyAlignment="1">
      <alignment vertical="center" wrapText="1"/>
    </xf>
    <xf numFmtId="4" fontId="21" fillId="0" borderId="0" xfId="0" applyNumberFormat="1" applyFont="1" applyAlignment="1">
      <alignment horizontal="right" vertical="center"/>
    </xf>
    <xf numFmtId="2" fontId="9" fillId="0" borderId="4" xfId="0" applyFont="1" applyBorder="1" applyAlignment="1">
      <alignment vertical="center" wrapText="1"/>
    </xf>
    <xf numFmtId="4" fontId="5" fillId="0" borderId="0" xfId="0" applyNumberFormat="1" applyFont="1" applyAlignment="1">
      <alignment vertical="center" wrapText="1"/>
    </xf>
    <xf numFmtId="2" fontId="9" fillId="0" borderId="0" xfId="0" applyFont="1" applyAlignment="1">
      <alignment vertical="center" wrapText="1"/>
    </xf>
    <xf numFmtId="2" fontId="4" fillId="0" borderId="4" xfId="0" applyFont="1" applyBorder="1" applyAlignment="1">
      <alignment vertical="center"/>
    </xf>
    <xf numFmtId="177" fontId="21" fillId="0" borderId="0" xfId="0" applyNumberFormat="1" applyFont="1" applyAlignment="1">
      <alignment vertical="center"/>
    </xf>
    <xf numFmtId="177" fontId="4" fillId="0" borderId="0" xfId="0" applyNumberFormat="1" applyFont="1" applyAlignment="1">
      <alignment vertical="center"/>
    </xf>
    <xf numFmtId="183" fontId="7" fillId="0" borderId="0" xfId="0" applyNumberFormat="1" applyFont="1" applyAlignment="1">
      <alignment horizontal="right" vertical="center" wrapText="1"/>
    </xf>
    <xf numFmtId="2" fontId="21" fillId="0" borderId="4" xfId="0" applyFont="1" applyBorder="1" applyAlignment="1">
      <alignment horizontal="center" vertical="center"/>
    </xf>
    <xf numFmtId="2" fontId="14" fillId="0" borderId="4" xfId="0" applyFont="1" applyBorder="1" applyAlignment="1">
      <alignment horizontal="center" vertical="center"/>
    </xf>
    <xf numFmtId="2" fontId="74" fillId="0" borderId="23" xfId="0" applyFont="1" applyBorder="1" applyAlignment="1">
      <alignment horizontal="left" vertical="center"/>
    </xf>
    <xf numFmtId="2" fontId="9" fillId="0" borderId="21" xfId="0" applyFont="1" applyBorder="1" applyAlignment="1">
      <alignment horizontal="left" vertical="center"/>
    </xf>
    <xf numFmtId="182" fontId="75" fillId="0" borderId="23" xfId="0" applyNumberFormat="1" applyFont="1" applyBorder="1" applyAlignment="1">
      <alignment horizontal="left" vertical="center" wrapText="1"/>
    </xf>
    <xf numFmtId="2" fontId="8" fillId="0" borderId="21" xfId="0" applyFont="1" applyBorder="1" applyAlignment="1">
      <alignment horizontal="left" vertical="center" wrapText="1"/>
    </xf>
    <xf numFmtId="2" fontId="76" fillId="0" borderId="23" xfId="0" applyFont="1" applyBorder="1" applyAlignment="1">
      <alignment horizontal="left" vertical="center" wrapText="1"/>
    </xf>
    <xf numFmtId="2" fontId="8" fillId="0" borderId="23" xfId="0" applyFont="1" applyBorder="1" applyAlignment="1">
      <alignment horizontal="left" vertical="center" wrapText="1"/>
    </xf>
    <xf numFmtId="2" fontId="74" fillId="0" borderId="23" xfId="0" applyFont="1" applyBorder="1" applyAlignment="1">
      <alignment horizontal="left" vertical="center" wrapText="1"/>
    </xf>
    <xf numFmtId="2" fontId="63" fillId="0" borderId="23" xfId="0" applyFont="1" applyBorder="1" applyAlignment="1">
      <alignment horizontal="left" vertical="center" wrapText="1"/>
    </xf>
    <xf numFmtId="2" fontId="63" fillId="0" borderId="23" xfId="0" applyFont="1" applyBorder="1" applyAlignment="1">
      <alignment horizontal="left" vertical="center"/>
    </xf>
    <xf numFmtId="2" fontId="62" fillId="0" borderId="23" xfId="0" applyFont="1" applyBorder="1" applyAlignment="1">
      <alignment horizontal="left" vertical="center" wrapText="1"/>
    </xf>
    <xf numFmtId="2" fontId="64" fillId="0" borderId="23" xfId="0" applyFont="1" applyBorder="1" applyAlignment="1">
      <alignment horizontal="left" vertical="center" wrapText="1"/>
    </xf>
    <xf numFmtId="2" fontId="73" fillId="0" borderId="23" xfId="0" applyFont="1" applyBorder="1" applyAlignment="1">
      <alignment horizontal="left" vertical="center" wrapText="1"/>
    </xf>
    <xf numFmtId="2" fontId="14" fillId="0" borderId="21" xfId="0" applyFont="1" applyBorder="1" applyAlignment="1">
      <alignment horizontal="left" vertical="center"/>
    </xf>
    <xf numFmtId="2" fontId="73" fillId="0" borderId="23" xfId="0" applyFont="1" applyBorder="1" applyAlignment="1">
      <alignment horizontal="left" vertical="center"/>
    </xf>
    <xf numFmtId="2" fontId="9" fillId="0" borderId="23" xfId="0" applyFont="1" applyBorder="1" applyAlignment="1">
      <alignment horizontal="left" vertical="center"/>
    </xf>
    <xf numFmtId="187" fontId="4" fillId="0" borderId="0" xfId="0" applyNumberFormat="1" applyFont="1" applyAlignment="1">
      <alignment horizontal="center" vertical="center"/>
    </xf>
    <xf numFmtId="2" fontId="4" fillId="0" borderId="39" xfId="0" applyFont="1" applyBorder="1" applyAlignment="1">
      <alignment horizontal="center" vertical="center"/>
    </xf>
    <xf numFmtId="2" fontId="4" fillId="0" borderId="4" xfId="0" applyFont="1" applyBorder="1" applyAlignment="1">
      <alignment horizontal="center" vertical="center"/>
    </xf>
    <xf numFmtId="2" fontId="7" fillId="0" borderId="0" xfId="0" applyFont="1" applyAlignment="1">
      <alignment horizontal="center" vertical="center"/>
    </xf>
    <xf numFmtId="179" fontId="7" fillId="0" borderId="0" xfId="0" applyNumberFormat="1" applyFont="1" applyAlignment="1">
      <alignment horizontal="center" vertical="center" wrapText="1"/>
    </xf>
    <xf numFmtId="179" fontId="12" fillId="0" borderId="0" xfId="0" applyNumberFormat="1" applyFont="1" applyAlignment="1">
      <alignment horizontal="center" vertical="center"/>
    </xf>
    <xf numFmtId="179" fontId="14"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2" fontId="5" fillId="0" borderId="4" xfId="0" applyFont="1" applyBorder="1" applyAlignment="1">
      <alignment horizontal="center" vertical="center"/>
    </xf>
    <xf numFmtId="2" fontId="4" fillId="0" borderId="2" xfId="0" applyFont="1" applyBorder="1" applyAlignment="1">
      <alignment horizontal="center" vertical="center"/>
    </xf>
    <xf numFmtId="2" fontId="5" fillId="0" borderId="23" xfId="0" applyFont="1" applyBorder="1" applyAlignment="1">
      <alignment horizontal="left" vertical="center"/>
    </xf>
    <xf numFmtId="2" fontId="79" fillId="0" borderId="23" xfId="0" applyFont="1" applyBorder="1" applyAlignment="1">
      <alignment horizontal="left" vertical="center"/>
    </xf>
    <xf numFmtId="10" fontId="21" fillId="0" borderId="21" xfId="0" applyNumberFormat="1" applyFont="1" applyBorder="1" applyAlignment="1">
      <alignment horizontal="left" vertical="center"/>
    </xf>
    <xf numFmtId="2" fontId="78" fillId="0" borderId="23" xfId="0" applyFont="1" applyBorder="1" applyAlignment="1">
      <alignment horizontal="left" vertical="center"/>
    </xf>
    <xf numFmtId="39" fontId="14" fillId="0" borderId="21" xfId="0" applyNumberFormat="1" applyFont="1" applyBorder="1" applyAlignment="1">
      <alignment horizontal="left" vertical="center"/>
    </xf>
    <xf numFmtId="2" fontId="4" fillId="0" borderId="23" xfId="0" applyFont="1" applyBorder="1" applyAlignment="1">
      <alignment horizontal="left" vertical="center"/>
    </xf>
    <xf numFmtId="183" fontId="14" fillId="0" borderId="21" xfId="0" applyNumberFormat="1" applyFont="1" applyBorder="1" applyAlignment="1">
      <alignment horizontal="left" vertical="center"/>
    </xf>
    <xf numFmtId="10" fontId="9" fillId="0" borderId="23" xfId="0" applyNumberFormat="1" applyFont="1" applyBorder="1" applyAlignment="1">
      <alignment horizontal="left" vertical="center"/>
    </xf>
    <xf numFmtId="10" fontId="4" fillId="0" borderId="23" xfId="0" applyNumberFormat="1" applyFont="1" applyBorder="1" applyAlignment="1">
      <alignment horizontal="left" vertical="center"/>
    </xf>
    <xf numFmtId="2" fontId="14" fillId="0" borderId="23" xfId="0" applyFont="1" applyBorder="1" applyAlignment="1">
      <alignment horizontal="left" vertical="center"/>
    </xf>
    <xf numFmtId="2" fontId="80" fillId="0" borderId="23" xfId="0" applyFont="1" applyBorder="1" applyAlignment="1">
      <alignment horizontal="left" vertical="center"/>
    </xf>
    <xf numFmtId="0" fontId="21" fillId="0" borderId="21" xfId="0" applyNumberFormat="1" applyFont="1" applyBorder="1" applyAlignment="1">
      <alignment horizontal="left" vertical="center"/>
    </xf>
    <xf numFmtId="2" fontId="81" fillId="0" borderId="23" xfId="0" applyFont="1" applyBorder="1" applyAlignment="1">
      <alignment horizontal="left" vertical="center"/>
    </xf>
    <xf numFmtId="4" fontId="21" fillId="0" borderId="0" xfId="0" applyNumberFormat="1" applyFont="1" applyAlignment="1">
      <alignment horizontal="left"/>
    </xf>
    <xf numFmtId="2" fontId="105" fillId="0" borderId="40" xfId="0" applyFont="1" applyBorder="1" applyAlignment="1">
      <alignment horizontal="center" vertical="center" wrapText="1"/>
    </xf>
    <xf numFmtId="0" fontId="109" fillId="0" borderId="23" xfId="0" applyNumberFormat="1" applyFont="1" applyBorder="1" applyAlignment="1">
      <alignment horizontal="center" vertical="center" wrapText="1"/>
    </xf>
    <xf numFmtId="2" fontId="109" fillId="0" borderId="23" xfId="0" applyFont="1" applyBorder="1" applyAlignment="1">
      <alignment horizontal="center" vertical="center"/>
    </xf>
    <xf numFmtId="2" fontId="109" fillId="0" borderId="21" xfId="0" applyFont="1" applyBorder="1" applyAlignment="1">
      <alignment horizontal="center" vertical="center" wrapText="1"/>
    </xf>
    <xf numFmtId="2" fontId="14" fillId="0" borderId="0" xfId="0" applyFont="1" applyAlignment="1">
      <alignment vertical="center"/>
    </xf>
    <xf numFmtId="2" fontId="14" fillId="0" borderId="0" xfId="0" applyFont="1" applyAlignment="1">
      <alignment horizontal="right" vertical="center"/>
    </xf>
    <xf numFmtId="2" fontId="82" fillId="0" borderId="0" xfId="0" applyFont="1" applyAlignment="1">
      <alignment horizontal="left" vertical="center"/>
    </xf>
    <xf numFmtId="2" fontId="7" fillId="0" borderId="0" xfId="0" applyFont="1" applyAlignment="1">
      <alignment horizontal="left" vertical="center"/>
    </xf>
    <xf numFmtId="4" fontId="82" fillId="0" borderId="0" xfId="0" applyNumberFormat="1" applyFont="1" applyAlignment="1">
      <alignment horizontal="left" vertical="center"/>
    </xf>
    <xf numFmtId="4" fontId="82" fillId="0" borderId="0" xfId="0" applyNumberFormat="1" applyFont="1" applyAlignment="1">
      <alignment horizontal="left"/>
    </xf>
    <xf numFmtId="2" fontId="112" fillId="0" borderId="0" xfId="0" applyFont="1" applyAlignment="1">
      <alignment vertical="center"/>
    </xf>
    <xf numFmtId="10" fontId="0" fillId="0" borderId="0" xfId="0" applyNumberFormat="1" applyAlignment="1">
      <alignment horizontal="center" vertical="center"/>
    </xf>
    <xf numFmtId="2" fontId="21" fillId="6" borderId="0" xfId="0" applyFont="1" applyFill="1" applyAlignment="1">
      <alignment horizontal="center" vertical="center"/>
    </xf>
    <xf numFmtId="2" fontId="126" fillId="0" borderId="0" xfId="0" applyFont="1" applyAlignment="1">
      <alignment horizontal="center" vertical="center"/>
    </xf>
    <xf numFmtId="0" fontId="82" fillId="4" borderId="41" xfId="0" applyNumberFormat="1" applyFont="1" applyFill="1" applyBorder="1" applyAlignment="1">
      <alignment vertical="center"/>
    </xf>
    <xf numFmtId="2" fontId="127" fillId="0" borderId="0" xfId="0" applyFont="1" applyAlignment="1">
      <alignment horizontal="center" vertical="center"/>
    </xf>
    <xf numFmtId="2" fontId="83" fillId="0" borderId="0" xfId="0" applyFont="1" applyAlignment="1">
      <alignment horizontal="left" vertical="center"/>
    </xf>
    <xf numFmtId="0" fontId="83" fillId="4" borderId="41" xfId="0" applyNumberFormat="1" applyFont="1" applyFill="1" applyBorder="1" applyAlignment="1">
      <alignment vertical="center"/>
    </xf>
    <xf numFmtId="0" fontId="21" fillId="7" borderId="42" xfId="0" applyNumberFormat="1" applyFont="1" applyFill="1" applyBorder="1" applyAlignment="1">
      <alignment horizontal="left" vertical="center" wrapText="1"/>
    </xf>
    <xf numFmtId="10" fontId="21" fillId="7" borderId="43" xfId="0" applyNumberFormat="1" applyFont="1" applyFill="1" applyBorder="1" applyAlignment="1">
      <alignment horizontal="center" vertical="center"/>
    </xf>
    <xf numFmtId="10" fontId="9" fillId="7" borderId="43" xfId="0" applyNumberFormat="1" applyFont="1" applyFill="1" applyBorder="1" applyAlignment="1">
      <alignment horizontal="center" vertical="center"/>
    </xf>
    <xf numFmtId="10" fontId="9" fillId="7" borderId="43" xfId="0" applyNumberFormat="1" applyFont="1" applyFill="1" applyBorder="1" applyAlignment="1">
      <alignment horizontal="left" vertical="center"/>
    </xf>
    <xf numFmtId="0" fontId="14" fillId="4" borderId="0" xfId="0" applyNumberFormat="1" applyFont="1" applyFill="1" applyAlignment="1">
      <alignment horizontal="center" vertical="center"/>
    </xf>
    <xf numFmtId="0" fontId="85" fillId="4" borderId="0" xfId="0" applyNumberFormat="1" applyFont="1" applyFill="1" applyAlignment="1">
      <alignment horizontal="center" vertical="center"/>
    </xf>
    <xf numFmtId="0" fontId="71" fillId="4" borderId="0" xfId="0" applyNumberFormat="1" applyFont="1" applyFill="1" applyAlignment="1" applyProtection="1">
      <alignment vertical="center"/>
      <protection locked="0"/>
    </xf>
    <xf numFmtId="0" fontId="14" fillId="4" borderId="44" xfId="0" applyNumberFormat="1" applyFont="1" applyFill="1" applyBorder="1" applyAlignment="1">
      <alignment horizontal="center" vertical="center"/>
    </xf>
    <xf numFmtId="14" fontId="85" fillId="4" borderId="45" xfId="0" applyNumberFormat="1" applyFont="1" applyFill="1" applyBorder="1" applyAlignment="1">
      <alignment horizontal="center" vertical="center"/>
    </xf>
    <xf numFmtId="14" fontId="85" fillId="4" borderId="0" xfId="0" applyNumberFormat="1" applyFont="1" applyFill="1" applyAlignment="1">
      <alignment horizontal="center" vertical="center"/>
    </xf>
    <xf numFmtId="0" fontId="7" fillId="4" borderId="46" xfId="0" applyNumberFormat="1" applyFont="1" applyFill="1" applyBorder="1" applyAlignment="1">
      <alignment horizontal="left" vertical="center"/>
    </xf>
    <xf numFmtId="182" fontId="14" fillId="4" borderId="47" xfId="0" applyNumberFormat="1" applyFont="1" applyFill="1" applyBorder="1" applyAlignment="1">
      <alignment horizontal="center" vertical="center"/>
    </xf>
    <xf numFmtId="183" fontId="14" fillId="4" borderId="45" xfId="0" applyNumberFormat="1" applyFont="1" applyFill="1" applyBorder="1" applyAlignment="1">
      <alignment horizontal="center" vertical="center"/>
    </xf>
    <xf numFmtId="183" fontId="14" fillId="4" borderId="0" xfId="0" applyNumberFormat="1" applyFont="1" applyFill="1" applyAlignment="1">
      <alignment horizontal="center" vertical="center"/>
    </xf>
    <xf numFmtId="183" fontId="14" fillId="4" borderId="0" xfId="0" applyNumberFormat="1" applyFont="1" applyFill="1" applyAlignment="1">
      <alignment vertical="center"/>
    </xf>
    <xf numFmtId="182" fontId="14" fillId="4" borderId="48" xfId="0" applyNumberFormat="1" applyFont="1" applyFill="1" applyBorder="1" applyAlignment="1">
      <alignment horizontal="center" vertical="center"/>
    </xf>
    <xf numFmtId="182" fontId="14" fillId="4" borderId="49" xfId="0" applyNumberFormat="1" applyFont="1" applyFill="1" applyBorder="1" applyAlignment="1">
      <alignment horizontal="center" vertical="center"/>
    </xf>
    <xf numFmtId="0" fontId="7" fillId="4" borderId="50" xfId="0" applyNumberFormat="1" applyFont="1" applyFill="1" applyBorder="1" applyAlignment="1">
      <alignment horizontal="left" vertical="center"/>
    </xf>
    <xf numFmtId="182" fontId="14" fillId="4" borderId="51" xfId="0" applyNumberFormat="1" applyFont="1" applyFill="1" applyBorder="1" applyAlignment="1">
      <alignment horizontal="center" vertical="center"/>
    </xf>
    <xf numFmtId="182" fontId="14" fillId="4" borderId="52" xfId="0" applyNumberFormat="1" applyFont="1" applyFill="1" applyBorder="1" applyAlignment="1">
      <alignment horizontal="center" vertical="center"/>
    </xf>
    <xf numFmtId="0" fontId="88" fillId="4" borderId="0" xfId="0" applyNumberFormat="1" applyFont="1" applyFill="1" applyAlignment="1" applyProtection="1">
      <alignment vertical="center"/>
      <protection locked="0"/>
    </xf>
    <xf numFmtId="0" fontId="86" fillId="4" borderId="0" xfId="0" applyNumberFormat="1" applyFont="1" applyFill="1" applyAlignment="1">
      <alignment vertical="center"/>
    </xf>
    <xf numFmtId="0" fontId="86" fillId="4" borderId="0" xfId="0" applyNumberFormat="1" applyFont="1" applyFill="1" applyAlignment="1">
      <alignment horizontal="center" vertical="center"/>
    </xf>
    <xf numFmtId="0" fontId="21" fillId="4" borderId="0" xfId="0" applyNumberFormat="1" applyFont="1" applyFill="1" applyAlignment="1">
      <alignment vertical="center"/>
    </xf>
    <xf numFmtId="14" fontId="87" fillId="6" borderId="53" xfId="0" applyNumberFormat="1" applyFont="1" applyFill="1" applyBorder="1" applyAlignment="1">
      <alignment horizontal="center" vertical="center"/>
    </xf>
    <xf numFmtId="0" fontId="107" fillId="7" borderId="0" xfId="0" applyNumberFormat="1" applyFont="1" applyFill="1" applyAlignment="1">
      <alignment horizontal="center" vertical="center" wrapText="1"/>
    </xf>
    <xf numFmtId="177" fontId="109" fillId="0" borderId="23" xfId="0" applyNumberFormat="1" applyFont="1" applyBorder="1" applyAlignment="1">
      <alignment horizontal="center" vertical="center" wrapText="1"/>
    </xf>
    <xf numFmtId="177" fontId="9" fillId="0" borderId="23" xfId="0" applyNumberFormat="1" applyFont="1" applyBorder="1" applyAlignment="1">
      <alignment vertical="center" wrapText="1"/>
    </xf>
    <xf numFmtId="177" fontId="7" fillId="0" borderId="23" xfId="0" applyNumberFormat="1" applyFont="1" applyBorder="1" applyAlignment="1">
      <alignment vertical="center" wrapText="1"/>
    </xf>
    <xf numFmtId="177" fontId="4" fillId="0" borderId="0" xfId="0" applyNumberFormat="1" applyFont="1" applyAlignment="1">
      <alignment horizontal="center" vertical="center"/>
    </xf>
    <xf numFmtId="177" fontId="5" fillId="0" borderId="0" xfId="0" applyNumberFormat="1" applyFont="1" applyAlignment="1">
      <alignment vertical="center"/>
    </xf>
    <xf numFmtId="177" fontId="7" fillId="0" borderId="21" xfId="0" applyNumberFormat="1" applyFont="1" applyBorder="1" applyAlignment="1">
      <alignment vertical="center" wrapText="1"/>
    </xf>
    <xf numFmtId="177" fontId="14" fillId="0" borderId="0" xfId="6" applyNumberFormat="1" applyFont="1" applyBorder="1" applyAlignment="1">
      <alignment horizontal="center" vertical="center" wrapText="1"/>
    </xf>
    <xf numFmtId="177" fontId="12" fillId="0" borderId="21" xfId="0" applyNumberFormat="1" applyFont="1" applyBorder="1" applyAlignment="1">
      <alignment vertical="center" wrapText="1"/>
    </xf>
    <xf numFmtId="177" fontId="5" fillId="0" borderId="4" xfId="0" applyNumberFormat="1" applyFont="1" applyBorder="1" applyAlignment="1">
      <alignment vertical="center"/>
    </xf>
    <xf numFmtId="177" fontId="8" fillId="0" borderId="23" xfId="0" applyNumberFormat="1" applyFont="1" applyBorder="1" applyAlignment="1">
      <alignment vertical="center" wrapText="1"/>
    </xf>
    <xf numFmtId="177" fontId="4" fillId="0" borderId="23" xfId="0" applyNumberFormat="1" applyFont="1" applyBorder="1" applyAlignment="1">
      <alignment horizontal="left" vertical="center" wrapText="1"/>
    </xf>
    <xf numFmtId="177" fontId="14" fillId="0" borderId="0" xfId="6" applyNumberFormat="1" applyFont="1" applyFill="1" applyBorder="1" applyAlignment="1">
      <alignment horizontal="center" vertical="center" wrapText="1"/>
    </xf>
    <xf numFmtId="177" fontId="16" fillId="0" borderId="23" xfId="0" applyNumberFormat="1" applyFont="1" applyBorder="1" applyAlignment="1">
      <alignment vertical="center" wrapText="1"/>
    </xf>
    <xf numFmtId="177" fontId="13" fillId="0" borderId="21" xfId="0" applyNumberFormat="1" applyFont="1" applyBorder="1" applyAlignment="1">
      <alignment horizontal="left" vertical="center" wrapText="1"/>
    </xf>
    <xf numFmtId="177" fontId="9" fillId="0" borderId="21" xfId="0" applyNumberFormat="1" applyFont="1" applyBorder="1" applyAlignment="1">
      <alignment vertical="center" wrapText="1"/>
    </xf>
    <xf numFmtId="177" fontId="4" fillId="0" borderId="21" xfId="0" applyNumberFormat="1" applyFont="1" applyBorder="1" applyAlignment="1">
      <alignment horizontal="left" vertical="center" wrapText="1"/>
    </xf>
    <xf numFmtId="177" fontId="12" fillId="0" borderId="21" xfId="0" applyNumberFormat="1" applyFont="1" applyBorder="1" applyAlignment="1">
      <alignment horizontal="left" vertical="center" wrapText="1"/>
    </xf>
    <xf numFmtId="177" fontId="7" fillId="0" borderId="54" xfId="0" applyNumberFormat="1" applyFont="1" applyBorder="1" applyAlignment="1">
      <alignment vertical="center" wrapText="1"/>
    </xf>
    <xf numFmtId="177" fontId="7" fillId="0" borderId="55" xfId="0" applyNumberFormat="1" applyFont="1" applyBorder="1" applyAlignment="1">
      <alignment vertical="center" wrapText="1"/>
    </xf>
    <xf numFmtId="177" fontId="14" fillId="0" borderId="0" xfId="0" quotePrefix="1" applyNumberFormat="1" applyFont="1" applyAlignment="1">
      <alignment horizontal="center" vertical="center"/>
    </xf>
    <xf numFmtId="177" fontId="110" fillId="0" borderId="0" xfId="0" quotePrefix="1" applyNumberFormat="1" applyFont="1" applyAlignment="1">
      <alignment horizontal="center" vertical="center"/>
    </xf>
    <xf numFmtId="177" fontId="7" fillId="0" borderId="0" xfId="0" applyNumberFormat="1" applyFont="1" applyAlignment="1">
      <alignment vertical="center" wrapText="1"/>
    </xf>
    <xf numFmtId="177" fontId="19" fillId="0" borderId="0" xfId="0" applyNumberFormat="1" applyFont="1" applyAlignment="1">
      <alignment horizontal="center" vertical="center"/>
    </xf>
    <xf numFmtId="177" fontId="6" fillId="0" borderId="0" xfId="0" applyNumberFormat="1" applyFont="1" applyAlignment="1">
      <alignment horizontal="center" vertical="center"/>
    </xf>
    <xf numFmtId="177" fontId="7" fillId="0" borderId="3" xfId="0" applyNumberFormat="1" applyFont="1" applyBorder="1" applyAlignment="1">
      <alignment vertical="center" wrapText="1"/>
    </xf>
    <xf numFmtId="177" fontId="7" fillId="0" borderId="2" xfId="0" applyNumberFormat="1" applyFont="1" applyBorder="1" applyAlignment="1">
      <alignment vertical="center" wrapText="1"/>
    </xf>
    <xf numFmtId="177" fontId="128" fillId="0" borderId="23" xfId="0" applyNumberFormat="1" applyFont="1" applyBorder="1" applyAlignment="1">
      <alignment vertical="center" wrapText="1"/>
    </xf>
    <xf numFmtId="177" fontId="128" fillId="0" borderId="21" xfId="0" applyNumberFormat="1" applyFont="1" applyBorder="1" applyAlignment="1">
      <alignment vertical="center" wrapText="1"/>
    </xf>
    <xf numFmtId="177" fontId="129" fillId="0" borderId="0" xfId="0" applyNumberFormat="1" applyFont="1" applyAlignment="1">
      <alignment vertical="center"/>
    </xf>
    <xf numFmtId="177" fontId="119" fillId="0" borderId="0" xfId="0" applyNumberFormat="1" applyFont="1" applyAlignment="1">
      <alignment horizontal="center" vertical="center"/>
    </xf>
    <xf numFmtId="183" fontId="118" fillId="0" borderId="0" xfId="0" applyNumberFormat="1" applyFont="1" applyAlignment="1">
      <alignment horizontal="center" vertical="center" wrapText="1"/>
    </xf>
    <xf numFmtId="2" fontId="109" fillId="0" borderId="0" xfId="0" applyFont="1" applyAlignment="1">
      <alignment horizontal="center" vertical="center" wrapText="1"/>
    </xf>
    <xf numFmtId="39" fontId="120" fillId="0" borderId="0" xfId="0" applyNumberFormat="1" applyFont="1" applyAlignment="1">
      <alignment horizontal="center" vertical="center"/>
    </xf>
    <xf numFmtId="2" fontId="120" fillId="0" borderId="0" xfId="0" applyFont="1" applyAlignment="1">
      <alignment horizontal="center" vertical="center"/>
    </xf>
    <xf numFmtId="2" fontId="124" fillId="0" borderId="0" xfId="0" applyFont="1" applyAlignment="1">
      <alignment horizontal="center" vertical="center"/>
    </xf>
    <xf numFmtId="39" fontId="120" fillId="0" borderId="0" xfId="0" applyNumberFormat="1" applyFont="1" applyAlignment="1">
      <alignment horizontal="center" vertical="center" wrapText="1"/>
    </xf>
    <xf numFmtId="0" fontId="90" fillId="4" borderId="0" xfId="0" applyNumberFormat="1" applyFont="1" applyFill="1" applyAlignment="1">
      <alignment vertical="center"/>
    </xf>
    <xf numFmtId="10" fontId="117" fillId="0" borderId="0" xfId="2" applyFont="1" applyBorder="1" applyAlignment="1">
      <alignment horizontal="center" vertical="center"/>
    </xf>
    <xf numFmtId="10" fontId="107" fillId="0" borderId="0" xfId="2" applyFont="1" applyBorder="1" applyAlignment="1">
      <alignment horizontal="center" vertical="center"/>
    </xf>
    <xf numFmtId="10" fontId="110" fillId="0" borderId="0" xfId="2" applyFont="1" applyBorder="1" applyAlignment="1">
      <alignment horizontal="center" vertical="center"/>
    </xf>
    <xf numFmtId="182" fontId="118" fillId="0" borderId="0" xfId="0" applyNumberFormat="1" applyFont="1" applyAlignment="1">
      <alignment vertical="center" wrapText="1"/>
    </xf>
    <xf numFmtId="10" fontId="118" fillId="0" borderId="0" xfId="0" applyNumberFormat="1" applyFont="1" applyAlignment="1">
      <alignment vertical="center"/>
    </xf>
    <xf numFmtId="2" fontId="122" fillId="0" borderId="0" xfId="0" applyFont="1" applyAlignment="1">
      <alignment vertical="center"/>
    </xf>
    <xf numFmtId="2" fontId="124" fillId="0" borderId="0" xfId="0" applyFont="1" applyAlignment="1">
      <alignment vertical="center"/>
    </xf>
    <xf numFmtId="176" fontId="110" fillId="0" borderId="0" xfId="0" applyNumberFormat="1" applyFont="1" applyAlignment="1">
      <alignment vertical="center"/>
    </xf>
    <xf numFmtId="176" fontId="122" fillId="0" borderId="0" xfId="0" applyNumberFormat="1" applyFont="1" applyAlignment="1">
      <alignment vertical="center"/>
    </xf>
    <xf numFmtId="177" fontId="122" fillId="0" borderId="0" xfId="0" applyNumberFormat="1" applyFont="1" applyAlignment="1">
      <alignment vertical="center"/>
    </xf>
    <xf numFmtId="183" fontId="122" fillId="0" borderId="0" xfId="0" applyNumberFormat="1" applyFont="1" applyAlignment="1">
      <alignment vertical="center"/>
    </xf>
    <xf numFmtId="181" fontId="122" fillId="0" borderId="0" xfId="0" applyNumberFormat="1" applyFont="1" applyAlignment="1">
      <alignment vertical="center"/>
    </xf>
    <xf numFmtId="39" fontId="110" fillId="0" borderId="0" xfId="0" applyNumberFormat="1" applyFont="1" applyAlignment="1">
      <alignment vertical="center" wrapText="1"/>
    </xf>
    <xf numFmtId="2" fontId="123" fillId="0" borderId="0" xfId="0" applyFont="1" applyAlignment="1">
      <alignment horizontal="right" vertical="center" wrapText="1"/>
    </xf>
    <xf numFmtId="2" fontId="130" fillId="0" borderId="0" xfId="0" applyFont="1" applyAlignment="1">
      <alignment horizontal="right" vertical="center"/>
    </xf>
    <xf numFmtId="2" fontId="131" fillId="0" borderId="0" xfId="0" applyFont="1" applyAlignment="1">
      <alignment vertical="center"/>
    </xf>
    <xf numFmtId="10" fontId="118" fillId="0" borderId="0" xfId="0" applyNumberFormat="1" applyFont="1" applyAlignment="1">
      <alignment horizontal="center" vertical="center"/>
    </xf>
    <xf numFmtId="2" fontId="122" fillId="0" borderId="0" xfId="0" applyFont="1" applyAlignment="1">
      <alignment horizontal="center" vertical="center"/>
    </xf>
    <xf numFmtId="176" fontId="110" fillId="0" borderId="0" xfId="0" applyNumberFormat="1" applyFont="1" applyAlignment="1">
      <alignment horizontal="center" vertical="center"/>
    </xf>
    <xf numFmtId="176" fontId="122" fillId="0" borderId="0" xfId="0" applyNumberFormat="1" applyFont="1" applyAlignment="1">
      <alignment horizontal="center" vertical="center"/>
    </xf>
    <xf numFmtId="177" fontId="122" fillId="0" borderId="0" xfId="0" applyNumberFormat="1" applyFont="1" applyAlignment="1">
      <alignment horizontal="center" vertical="center"/>
    </xf>
    <xf numFmtId="183" fontId="122" fillId="0" borderId="0" xfId="0" applyNumberFormat="1" applyFont="1" applyAlignment="1">
      <alignment horizontal="center" vertical="center"/>
    </xf>
    <xf numFmtId="0" fontId="91" fillId="4" borderId="0" xfId="0" applyNumberFormat="1" applyFont="1" applyFill="1" applyAlignment="1">
      <alignment vertical="center"/>
    </xf>
    <xf numFmtId="2" fontId="92" fillId="0" borderId="23" xfId="0" applyFont="1" applyBorder="1" applyAlignment="1">
      <alignment horizontal="left" vertical="center" wrapText="1"/>
    </xf>
    <xf numFmtId="2" fontId="91" fillId="0" borderId="23" xfId="0" applyFont="1" applyBorder="1" applyAlignment="1">
      <alignment horizontal="left" vertical="center" wrapText="1"/>
    </xf>
    <xf numFmtId="188" fontId="92" fillId="0" borderId="23" xfId="0" applyNumberFormat="1" applyFont="1" applyBorder="1" applyAlignment="1">
      <alignment horizontal="left" vertical="center"/>
    </xf>
    <xf numFmtId="2" fontId="0" fillId="0" borderId="0" xfId="0" applyAlignment="1">
      <alignment horizontal="center" vertical="center"/>
    </xf>
    <xf numFmtId="179" fontId="12" fillId="0" borderId="0" xfId="0" applyNumberFormat="1" applyFont="1" applyAlignment="1">
      <alignment horizontal="center" vertical="center" wrapText="1"/>
    </xf>
    <xf numFmtId="0" fontId="91" fillId="4" borderId="41" xfId="0" applyNumberFormat="1" applyFont="1" applyFill="1" applyBorder="1" applyAlignment="1">
      <alignment vertical="center"/>
    </xf>
    <xf numFmtId="2" fontId="91" fillId="0" borderId="0" xfId="0" applyFont="1" applyAlignment="1">
      <alignment horizontal="left" vertical="center"/>
    </xf>
    <xf numFmtId="182" fontId="14" fillId="2" borderId="48" xfId="0" applyNumberFormat="1" applyFont="1" applyFill="1" applyBorder="1" applyAlignment="1">
      <alignment horizontal="center" vertical="center"/>
    </xf>
    <xf numFmtId="177" fontId="9" fillId="7" borderId="43" xfId="0" applyNumberFormat="1" applyFont="1" applyFill="1" applyBorder="1" applyAlignment="1">
      <alignment horizontal="center" vertical="center"/>
    </xf>
    <xf numFmtId="177" fontId="21" fillId="7" borderId="43" xfId="0" applyNumberFormat="1" applyFont="1" applyFill="1" applyBorder="1" applyAlignment="1">
      <alignment horizontal="center" vertical="center"/>
    </xf>
    <xf numFmtId="182" fontId="14" fillId="0" borderId="48" xfId="0" applyNumberFormat="1" applyFont="1" applyBorder="1" applyAlignment="1">
      <alignment horizontal="center" vertical="center"/>
    </xf>
    <xf numFmtId="10" fontId="14" fillId="2" borderId="47" xfId="0" applyNumberFormat="1" applyFont="1" applyFill="1" applyBorder="1" applyAlignment="1">
      <alignment horizontal="center" vertical="center"/>
    </xf>
    <xf numFmtId="10" fontId="14" fillId="0" borderId="47" xfId="0" applyNumberFormat="1" applyFont="1" applyBorder="1" applyAlignment="1">
      <alignment horizontal="center" vertical="center"/>
    </xf>
    <xf numFmtId="177" fontId="21" fillId="0" borderId="0" xfId="0" applyNumberFormat="1" applyFont="1" applyAlignment="1">
      <alignment horizontal="right" vertical="center"/>
    </xf>
    <xf numFmtId="177" fontId="118" fillId="0" borderId="0" xfId="0" applyNumberFormat="1" applyFont="1" applyAlignment="1">
      <alignment horizontal="right" vertical="center" wrapText="1"/>
    </xf>
    <xf numFmtId="177" fontId="14" fillId="0" borderId="0" xfId="0" applyNumberFormat="1" applyFont="1" applyAlignment="1">
      <alignment horizontal="right" vertical="center"/>
    </xf>
    <xf numFmtId="177" fontId="14" fillId="0" borderId="0" xfId="0" applyNumberFormat="1" applyFont="1" applyAlignment="1">
      <alignment vertical="center"/>
    </xf>
    <xf numFmtId="177" fontId="118" fillId="0" borderId="0" xfId="0" applyNumberFormat="1" applyFont="1" applyAlignment="1">
      <alignment horizontal="left" vertical="center"/>
    </xf>
    <xf numFmtId="177" fontId="7" fillId="0" borderId="0" xfId="0" applyNumberFormat="1" applyFont="1" applyAlignment="1">
      <alignment horizontal="right" vertical="center" wrapText="1"/>
    </xf>
    <xf numFmtId="177" fontId="5" fillId="0" borderId="0" xfId="0" applyNumberFormat="1" applyFont="1"/>
    <xf numFmtId="177" fontId="4" fillId="0" borderId="0" xfId="0" applyNumberFormat="1" applyFont="1"/>
    <xf numFmtId="177" fontId="14" fillId="7" borderId="0" xfId="0" applyNumberFormat="1" applyFont="1" applyFill="1" applyAlignment="1">
      <alignment horizontal="center" vertical="center"/>
    </xf>
    <xf numFmtId="177" fontId="24" fillId="0" borderId="0" xfId="0" applyNumberFormat="1" applyFont="1" applyAlignment="1">
      <alignment horizontal="center" vertical="center"/>
    </xf>
    <xf numFmtId="177" fontId="0" fillId="0" borderId="0" xfId="0" applyNumberFormat="1" applyAlignment="1">
      <alignment horizontal="center" vertical="center"/>
    </xf>
    <xf numFmtId="177" fontId="7" fillId="0" borderId="0" xfId="0" applyNumberFormat="1" applyFont="1" applyAlignment="1">
      <alignment horizontal="center" vertical="center"/>
    </xf>
    <xf numFmtId="177" fontId="14" fillId="0" borderId="0" xfId="0" applyNumberFormat="1" applyFont="1" applyAlignment="1">
      <alignment horizontal="right"/>
    </xf>
    <xf numFmtId="177" fontId="0" fillId="0" borderId="0" xfId="0" applyNumberFormat="1"/>
    <xf numFmtId="177" fontId="4" fillId="0" borderId="0" xfId="0" applyNumberFormat="1" applyFont="1" applyAlignment="1">
      <alignment vertical="center" wrapText="1"/>
    </xf>
    <xf numFmtId="177" fontId="7" fillId="0" borderId="21" xfId="0" applyNumberFormat="1" applyFont="1" applyBorder="1" applyAlignment="1">
      <alignment horizontal="left" vertical="center" wrapText="1"/>
    </xf>
    <xf numFmtId="177" fontId="119" fillId="0" borderId="9" xfId="0" applyNumberFormat="1" applyFont="1" applyBorder="1" applyAlignment="1">
      <alignment horizontal="center" vertical="center"/>
    </xf>
    <xf numFmtId="182" fontId="16" fillId="0" borderId="20" xfId="0" applyNumberFormat="1" applyFont="1" applyBorder="1" applyAlignment="1">
      <alignment wrapText="1"/>
    </xf>
    <xf numFmtId="181" fontId="9" fillId="0" borderId="20" xfId="0" applyNumberFormat="1" applyFont="1" applyBorder="1"/>
    <xf numFmtId="0" fontId="7" fillId="7" borderId="0" xfId="0" applyNumberFormat="1" applyFont="1" applyFill="1" applyAlignment="1">
      <alignment vertical="center" wrapText="1"/>
    </xf>
    <xf numFmtId="183" fontId="7" fillId="0" borderId="0" xfId="0" applyNumberFormat="1" applyFont="1" applyAlignment="1">
      <alignment horizontal="center" vertical="center" wrapText="1"/>
    </xf>
    <xf numFmtId="183" fontId="9" fillId="0" borderId="0" xfId="0" applyNumberFormat="1" applyFont="1" applyAlignment="1">
      <alignment horizontal="center" vertical="center"/>
    </xf>
    <xf numFmtId="177" fontId="9" fillId="0" borderId="0" xfId="0" applyNumberFormat="1" applyFont="1" applyAlignment="1">
      <alignment horizontal="center" vertical="center"/>
    </xf>
    <xf numFmtId="0" fontId="7" fillId="0" borderId="0" xfId="0" applyNumberFormat="1" applyFont="1" applyAlignment="1" applyProtection="1">
      <alignment vertical="center"/>
      <protection locked="0"/>
    </xf>
    <xf numFmtId="4" fontId="7" fillId="0" borderId="23" xfId="0" applyNumberFormat="1" applyFont="1" applyBorder="1" applyAlignment="1">
      <alignment vertical="center" wrapText="1"/>
    </xf>
    <xf numFmtId="177" fontId="9" fillId="0" borderId="0" xfId="0" applyNumberFormat="1" applyFont="1" applyAlignment="1">
      <alignment horizontal="center" vertical="center" wrapText="1"/>
    </xf>
    <xf numFmtId="49" fontId="7" fillId="0" borderId="0" xfId="0" applyNumberFormat="1" applyFont="1" applyAlignment="1">
      <alignment vertical="center"/>
    </xf>
    <xf numFmtId="177" fontId="20" fillId="0" borderId="0" xfId="0" applyNumberFormat="1" applyFont="1" applyAlignment="1">
      <alignment horizontal="center" vertical="center"/>
    </xf>
    <xf numFmtId="177" fontId="96" fillId="0" borderId="0" xfId="0" applyNumberFormat="1" applyFont="1" applyAlignment="1">
      <alignment horizontal="center" vertical="center"/>
    </xf>
    <xf numFmtId="0" fontId="98" fillId="4" borderId="0" xfId="0" applyNumberFormat="1" applyFont="1" applyFill="1" applyAlignment="1">
      <alignment vertical="center"/>
    </xf>
    <xf numFmtId="0" fontId="99" fillId="0" borderId="23" xfId="3" applyFont="1" applyBorder="1" applyAlignment="1">
      <alignment horizontal="left" vertical="center"/>
    </xf>
    <xf numFmtId="183" fontId="35" fillId="0" borderId="0" xfId="5" applyNumberFormat="1" applyFont="1">
      <alignment vertical="center"/>
    </xf>
    <xf numFmtId="183" fontId="35" fillId="0" borderId="23" xfId="5" applyNumberFormat="1" applyFont="1" applyBorder="1">
      <alignment vertical="center"/>
    </xf>
    <xf numFmtId="183" fontId="35" fillId="0" borderId="26" xfId="5" applyNumberFormat="1" applyFont="1" applyBorder="1">
      <alignment vertical="center"/>
    </xf>
    <xf numFmtId="183" fontId="35" fillId="0" borderId="61" xfId="5" applyNumberFormat="1" applyFont="1" applyBorder="1">
      <alignment vertical="center"/>
    </xf>
    <xf numFmtId="183" fontId="35" fillId="0" borderId="62" xfId="5" applyNumberFormat="1" applyFont="1" applyBorder="1">
      <alignment vertical="center"/>
    </xf>
    <xf numFmtId="0" fontId="100" fillId="4" borderId="46" xfId="0" applyNumberFormat="1" applyFont="1" applyFill="1" applyBorder="1" applyAlignment="1">
      <alignment horizontal="left" vertical="center"/>
    </xf>
    <xf numFmtId="182" fontId="14" fillId="4" borderId="63" xfId="0" applyNumberFormat="1" applyFont="1" applyFill="1" applyBorder="1" applyAlignment="1">
      <alignment horizontal="center" vertical="center"/>
    </xf>
    <xf numFmtId="182" fontId="14" fillId="4" borderId="64" xfId="0" applyNumberFormat="1" applyFont="1" applyFill="1" applyBorder="1" applyAlignment="1">
      <alignment horizontal="center" vertical="center"/>
    </xf>
    <xf numFmtId="0" fontId="100" fillId="4" borderId="50" xfId="0" applyNumberFormat="1" applyFont="1" applyFill="1" applyBorder="1" applyAlignment="1">
      <alignment horizontal="left" vertical="center"/>
    </xf>
    <xf numFmtId="0" fontId="100" fillId="4" borderId="0" xfId="0" applyNumberFormat="1" applyFont="1" applyFill="1" applyAlignment="1">
      <alignment vertical="center"/>
    </xf>
    <xf numFmtId="177" fontId="14" fillId="4" borderId="47" xfId="0" applyNumberFormat="1" applyFont="1" applyFill="1" applyBorder="1" applyAlignment="1">
      <alignment horizontal="center" vertical="center"/>
    </xf>
    <xf numFmtId="177" fontId="14" fillId="2" borderId="47" xfId="0" applyNumberFormat="1" applyFont="1" applyFill="1" applyBorder="1" applyAlignment="1">
      <alignment horizontal="center" vertical="center"/>
    </xf>
    <xf numFmtId="177" fontId="14" fillId="4" borderId="48" xfId="0" applyNumberFormat="1" applyFont="1" applyFill="1" applyBorder="1" applyAlignment="1">
      <alignment horizontal="center" vertical="center"/>
    </xf>
    <xf numFmtId="177" fontId="14" fillId="4" borderId="49" xfId="0" applyNumberFormat="1" applyFont="1" applyFill="1" applyBorder="1" applyAlignment="1">
      <alignment horizontal="center" vertical="center"/>
    </xf>
    <xf numFmtId="2" fontId="0" fillId="0" borderId="23" xfId="0" applyBorder="1" applyAlignment="1">
      <alignment vertical="center"/>
    </xf>
    <xf numFmtId="0" fontId="53" fillId="0" borderId="23" xfId="0" applyNumberFormat="1" applyFont="1" applyBorder="1" applyAlignment="1">
      <alignment horizontal="center" vertical="center" wrapText="1"/>
    </xf>
    <xf numFmtId="0" fontId="134" fillId="0" borderId="23" xfId="5" applyFont="1" applyBorder="1" applyAlignment="1">
      <alignment horizontal="right" vertical="center"/>
    </xf>
    <xf numFmtId="0" fontId="35" fillId="0" borderId="0" xfId="5" applyFont="1">
      <alignment vertical="center"/>
    </xf>
    <xf numFmtId="0" fontId="46" fillId="0" borderId="27" xfId="5" applyFont="1" applyBorder="1">
      <alignment vertical="center"/>
    </xf>
    <xf numFmtId="0" fontId="35" fillId="0" borderId="23" xfId="5" applyFont="1" applyBorder="1">
      <alignment vertical="center"/>
    </xf>
    <xf numFmtId="2" fontId="0" fillId="0" borderId="23" xfId="0" applyBorder="1" applyAlignment="1">
      <alignment horizontal="center" vertical="center"/>
    </xf>
    <xf numFmtId="0" fontId="35" fillId="0" borderId="26" xfId="5" applyFont="1" applyBorder="1">
      <alignment vertical="center"/>
    </xf>
    <xf numFmtId="0" fontId="135" fillId="0" borderId="27" xfId="5" applyFont="1" applyBorder="1">
      <alignment vertical="center"/>
    </xf>
    <xf numFmtId="10" fontId="101" fillId="0" borderId="23" xfId="0" applyNumberFormat="1" applyFont="1" applyBorder="1" applyAlignment="1">
      <alignment vertical="center"/>
    </xf>
    <xf numFmtId="0" fontId="35" fillId="0" borderId="27" xfId="5" applyFont="1" applyBorder="1">
      <alignment vertical="center"/>
    </xf>
    <xf numFmtId="0" fontId="35" fillId="2" borderId="23" xfId="3" applyFont="1" applyFill="1" applyBorder="1">
      <alignment vertical="center"/>
    </xf>
    <xf numFmtId="10" fontId="0" fillId="0" borderId="23" xfId="0" applyNumberFormat="1" applyBorder="1" applyAlignment="1">
      <alignment vertical="center"/>
    </xf>
    <xf numFmtId="0" fontId="0" fillId="0" borderId="23" xfId="0" applyNumberFormat="1" applyBorder="1" applyAlignment="1">
      <alignment horizontal="center" vertical="center"/>
    </xf>
    <xf numFmtId="0" fontId="35" fillId="6" borderId="23" xfId="5" applyFont="1" applyFill="1" applyBorder="1">
      <alignment vertical="center"/>
    </xf>
    <xf numFmtId="10" fontId="35" fillId="2" borderId="23" xfId="5" applyNumberFormat="1" applyFont="1" applyFill="1" applyBorder="1">
      <alignment vertical="center"/>
    </xf>
    <xf numFmtId="0" fontId="35" fillId="0" borderId="23" xfId="3" applyFont="1" applyBorder="1">
      <alignment vertical="center"/>
    </xf>
    <xf numFmtId="0" fontId="135" fillId="0" borderId="23" xfId="5" applyFont="1" applyBorder="1" applyAlignment="1">
      <alignment horizontal="right" vertical="center"/>
    </xf>
    <xf numFmtId="0" fontId="3" fillId="0" borderId="27" xfId="5" applyFont="1" applyBorder="1" applyAlignment="1">
      <alignment horizontal="center" vertical="center"/>
    </xf>
    <xf numFmtId="10" fontId="35" fillId="0" borderId="27" xfId="5" applyNumberFormat="1" applyFont="1" applyBorder="1">
      <alignment vertical="center"/>
    </xf>
    <xf numFmtId="10" fontId="47" fillId="0" borderId="23" xfId="5" applyNumberFormat="1" applyFont="1" applyBorder="1">
      <alignment vertical="center"/>
    </xf>
    <xf numFmtId="176" fontId="35" fillId="0" borderId="61" xfId="5" applyNumberFormat="1" applyFont="1" applyBorder="1">
      <alignment vertical="center"/>
    </xf>
    <xf numFmtId="10" fontId="35" fillId="0" borderId="61" xfId="5" applyNumberFormat="1" applyFont="1" applyBorder="1">
      <alignment vertical="center"/>
    </xf>
    <xf numFmtId="10" fontId="48" fillId="0" borderId="0" xfId="5" applyNumberFormat="1" applyFont="1">
      <alignment vertical="center"/>
    </xf>
    <xf numFmtId="183" fontId="48" fillId="0" borderId="0" xfId="5" applyNumberFormat="1" applyFont="1">
      <alignment vertical="center"/>
    </xf>
    <xf numFmtId="176" fontId="114" fillId="0" borderId="23" xfId="5" applyNumberFormat="1" applyFont="1" applyBorder="1">
      <alignment vertical="center"/>
    </xf>
    <xf numFmtId="0" fontId="102" fillId="0" borderId="23" xfId="5" applyFont="1" applyBorder="1">
      <alignment vertical="center"/>
    </xf>
    <xf numFmtId="179" fontId="104" fillId="0" borderId="21" xfId="0" applyNumberFormat="1" applyFont="1" applyBorder="1" applyAlignment="1">
      <alignment horizontal="left" vertical="center"/>
    </xf>
    <xf numFmtId="0" fontId="103" fillId="4" borderId="41" xfId="0" applyNumberFormat="1" applyFont="1" applyFill="1" applyBorder="1" applyAlignment="1">
      <alignment vertical="center"/>
    </xf>
    <xf numFmtId="177" fontId="14" fillId="4" borderId="0" xfId="0" applyNumberFormat="1" applyFont="1" applyFill="1" applyAlignment="1">
      <alignment horizontal="center" vertical="center"/>
    </xf>
    <xf numFmtId="177" fontId="14" fillId="4" borderId="2" xfId="0" applyNumberFormat="1" applyFont="1" applyFill="1" applyBorder="1" applyAlignment="1">
      <alignment horizontal="center" vertical="center"/>
    </xf>
    <xf numFmtId="177" fontId="14" fillId="4" borderId="4" xfId="0" applyNumberFormat="1" applyFont="1" applyFill="1" applyBorder="1" applyAlignment="1">
      <alignment horizontal="center" vertical="center"/>
    </xf>
    <xf numFmtId="177" fontId="14" fillId="4" borderId="66" xfId="0" applyNumberFormat="1" applyFont="1" applyFill="1" applyBorder="1" applyAlignment="1">
      <alignment horizontal="center" vertical="center"/>
    </xf>
    <xf numFmtId="182" fontId="14" fillId="4" borderId="0" xfId="0" applyNumberFormat="1" applyFont="1" applyFill="1" applyAlignment="1">
      <alignment horizontal="center" vertical="center"/>
    </xf>
    <xf numFmtId="182" fontId="14" fillId="4" borderId="2" xfId="0" applyNumberFormat="1" applyFont="1" applyFill="1" applyBorder="1" applyAlignment="1">
      <alignment horizontal="center" vertical="center"/>
    </xf>
    <xf numFmtId="182" fontId="14" fillId="4" borderId="4" xfId="0" applyNumberFormat="1" applyFont="1" applyFill="1" applyBorder="1" applyAlignment="1">
      <alignment horizontal="center" vertical="center"/>
    </xf>
    <xf numFmtId="182" fontId="14" fillId="4" borderId="66" xfId="0" applyNumberFormat="1" applyFont="1" applyFill="1" applyBorder="1" applyAlignment="1">
      <alignment horizontal="center" vertical="center"/>
    </xf>
    <xf numFmtId="177" fontId="14" fillId="4" borderId="67" xfId="0" applyNumberFormat="1" applyFont="1" applyFill="1" applyBorder="1" applyAlignment="1">
      <alignment horizontal="center" vertical="center"/>
    </xf>
    <xf numFmtId="177" fontId="14" fillId="4" borderId="8" xfId="0" applyNumberFormat="1" applyFont="1" applyFill="1" applyBorder="1" applyAlignment="1">
      <alignment horizontal="center" vertical="center"/>
    </xf>
    <xf numFmtId="177" fontId="14" fillId="4" borderId="68" xfId="0" applyNumberFormat="1" applyFont="1" applyFill="1" applyBorder="1" applyAlignment="1">
      <alignment horizontal="center" vertical="center"/>
    </xf>
    <xf numFmtId="177" fontId="14" fillId="4" borderId="45" xfId="0" applyNumberFormat="1" applyFont="1" applyFill="1" applyBorder="1" applyAlignment="1">
      <alignment horizontal="center" vertical="center"/>
    </xf>
    <xf numFmtId="177" fontId="14" fillId="4" borderId="69" xfId="0" applyNumberFormat="1" applyFont="1" applyFill="1" applyBorder="1" applyAlignment="1">
      <alignment horizontal="center" vertical="center"/>
    </xf>
    <xf numFmtId="2" fontId="109" fillId="0" borderId="23" xfId="0" applyFont="1" applyBorder="1" applyAlignment="1">
      <alignment horizontal="left" vertical="center"/>
    </xf>
    <xf numFmtId="2" fontId="158" fillId="0" borderId="0" xfId="0" applyFont="1"/>
    <xf numFmtId="2" fontId="136" fillId="0" borderId="0" xfId="0" applyFont="1" applyAlignment="1">
      <alignment vertical="center"/>
    </xf>
    <xf numFmtId="2" fontId="0" fillId="0" borderId="23" xfId="0" applyBorder="1" applyAlignment="1">
      <alignment horizontal="left" vertical="center"/>
    </xf>
    <xf numFmtId="2" fontId="159" fillId="8" borderId="0" xfId="0" applyFont="1" applyFill="1"/>
    <xf numFmtId="2" fontId="0" fillId="8" borderId="0" xfId="0" applyFill="1"/>
    <xf numFmtId="2" fontId="158" fillId="0" borderId="0" xfId="0" applyFont="1" applyAlignment="1">
      <alignment vertical="center"/>
    </xf>
    <xf numFmtId="2" fontId="0" fillId="0" borderId="21" xfId="0" applyBorder="1" applyAlignment="1">
      <alignment wrapText="1"/>
    </xf>
    <xf numFmtId="181" fontId="138" fillId="0" borderId="20" xfId="0" applyNumberFormat="1" applyFont="1" applyBorder="1"/>
    <xf numFmtId="0" fontId="138" fillId="4" borderId="46" xfId="0" applyNumberFormat="1" applyFont="1" applyFill="1" applyBorder="1" applyAlignment="1">
      <alignment horizontal="left" vertical="center"/>
    </xf>
    <xf numFmtId="0" fontId="0" fillId="4" borderId="46" xfId="0" applyNumberFormat="1" applyFill="1" applyBorder="1" applyAlignment="1">
      <alignment horizontal="left" vertical="center"/>
    </xf>
    <xf numFmtId="0" fontId="139" fillId="4" borderId="0" xfId="0" applyNumberFormat="1" applyFont="1" applyFill="1" applyAlignment="1">
      <alignment vertical="center"/>
    </xf>
    <xf numFmtId="2" fontId="7" fillId="4" borderId="20" xfId="0" applyFont="1" applyFill="1" applyBorder="1" applyAlignment="1">
      <alignment horizontal="left"/>
    </xf>
    <xf numFmtId="177" fontId="7" fillId="4" borderId="23" xfId="0" applyNumberFormat="1" applyFont="1" applyFill="1" applyBorder="1" applyAlignment="1">
      <alignment vertical="center" wrapText="1"/>
    </xf>
    <xf numFmtId="177" fontId="14" fillId="0" borderId="21" xfId="0" applyNumberFormat="1" applyFont="1" applyBorder="1" applyAlignment="1">
      <alignment horizontal="left" vertical="center"/>
    </xf>
    <xf numFmtId="177" fontId="140" fillId="9" borderId="0" xfId="0" applyNumberFormat="1" applyFont="1" applyFill="1" applyAlignment="1">
      <alignment horizontal="center" vertical="center"/>
    </xf>
    <xf numFmtId="177" fontId="141" fillId="0" borderId="0" xfId="0" applyNumberFormat="1" applyFont="1" applyAlignment="1">
      <alignment horizontal="center" vertical="center"/>
    </xf>
    <xf numFmtId="2" fontId="140" fillId="9" borderId="0" xfId="0" applyFont="1" applyFill="1" applyAlignment="1">
      <alignment horizontal="center" vertical="center"/>
    </xf>
    <xf numFmtId="177" fontId="140" fillId="9" borderId="52" xfId="0" applyNumberFormat="1" applyFont="1" applyFill="1" applyBorder="1" applyAlignment="1">
      <alignment horizontal="center" vertical="center"/>
    </xf>
    <xf numFmtId="10" fontId="14" fillId="2" borderId="0" xfId="0" applyNumberFormat="1" applyFont="1" applyFill="1" applyAlignment="1">
      <alignment horizontal="center" vertical="center"/>
    </xf>
    <xf numFmtId="177" fontId="14" fillId="2" borderId="0" xfId="0" applyNumberFormat="1" applyFont="1" applyFill="1" applyAlignment="1">
      <alignment horizontal="center" vertical="center"/>
    </xf>
    <xf numFmtId="10" fontId="9" fillId="0" borderId="23" xfId="0" applyNumberFormat="1" applyFont="1" applyBorder="1" applyAlignment="1">
      <alignment horizontal="left" vertical="center" wrapText="1"/>
    </xf>
    <xf numFmtId="177" fontId="143" fillId="0" borderId="23" xfId="0" applyNumberFormat="1" applyFont="1" applyBorder="1" applyAlignment="1">
      <alignment vertical="center" wrapText="1"/>
    </xf>
    <xf numFmtId="177" fontId="143" fillId="0" borderId="21" xfId="0" applyNumberFormat="1" applyFont="1" applyBorder="1" applyAlignment="1">
      <alignment vertical="center" wrapText="1"/>
    </xf>
    <xf numFmtId="2" fontId="145" fillId="0" borderId="0" xfId="0" applyFont="1" applyAlignment="1">
      <alignment horizontal="center" vertical="center"/>
    </xf>
    <xf numFmtId="183" fontId="146" fillId="0" borderId="0" xfId="0" applyNumberFormat="1" applyFont="1" applyAlignment="1">
      <alignment horizontal="center" vertical="center"/>
    </xf>
    <xf numFmtId="2" fontId="144" fillId="0" borderId="0" xfId="0" applyFont="1" applyAlignment="1">
      <alignment horizontal="center" vertical="center" wrapText="1"/>
    </xf>
    <xf numFmtId="2" fontId="147" fillId="0" borderId="0" xfId="0" applyFont="1" applyAlignment="1">
      <alignment horizontal="center" vertical="center" wrapText="1"/>
    </xf>
    <xf numFmtId="182" fontId="147" fillId="0" borderId="0" xfId="0" applyNumberFormat="1" applyFont="1" applyAlignment="1">
      <alignment horizontal="center" vertical="center" wrapText="1"/>
    </xf>
    <xf numFmtId="183" fontId="146" fillId="0" borderId="0" xfId="0" applyNumberFormat="1" applyFont="1" applyAlignment="1" applyProtection="1">
      <alignment horizontal="center" vertical="center"/>
      <protection hidden="1"/>
    </xf>
    <xf numFmtId="183" fontId="148" fillId="0" borderId="0" xfId="0" applyNumberFormat="1" applyFont="1" applyAlignment="1">
      <alignment horizontal="right" wrapText="1"/>
    </xf>
    <xf numFmtId="183" fontId="148" fillId="0" borderId="0" xfId="0" applyNumberFormat="1" applyFont="1" applyAlignment="1">
      <alignment wrapText="1"/>
    </xf>
    <xf numFmtId="0" fontId="149" fillId="0" borderId="23" xfId="0" applyNumberFormat="1" applyFont="1" applyBorder="1" applyAlignment="1">
      <alignment horizontal="center" vertical="center" wrapText="1"/>
    </xf>
    <xf numFmtId="0" fontId="150" fillId="0" borderId="0" xfId="0" applyNumberFormat="1" applyFont="1" applyAlignment="1">
      <alignment horizontal="center" vertical="center" wrapText="1"/>
    </xf>
    <xf numFmtId="178" fontId="146" fillId="0" borderId="0" xfId="0" applyNumberFormat="1" applyFont="1" applyAlignment="1" applyProtection="1">
      <alignment horizontal="right"/>
      <protection hidden="1"/>
    </xf>
    <xf numFmtId="182" fontId="150" fillId="0" borderId="9" xfId="0" applyNumberFormat="1" applyFont="1" applyBorder="1" applyAlignment="1">
      <alignment wrapText="1"/>
    </xf>
    <xf numFmtId="177" fontId="150" fillId="0" borderId="0" xfId="0" applyNumberFormat="1" applyFont="1" applyAlignment="1">
      <alignment horizontal="center" vertical="center" wrapText="1"/>
    </xf>
    <xf numFmtId="177" fontId="148" fillId="0" borderId="0" xfId="0" applyNumberFormat="1" applyFont="1" applyAlignment="1">
      <alignment horizontal="center" vertical="center" wrapText="1"/>
    </xf>
    <xf numFmtId="177" fontId="147" fillId="0" borderId="0" xfId="0" applyNumberFormat="1" applyFont="1" applyAlignment="1">
      <alignment horizontal="center" vertical="center" wrapText="1"/>
    </xf>
    <xf numFmtId="178" fontId="147" fillId="0" borderId="0" xfId="0" applyNumberFormat="1" applyFont="1" applyAlignment="1">
      <alignment horizontal="center" vertical="center" wrapText="1"/>
    </xf>
    <xf numFmtId="178" fontId="147" fillId="0" borderId="0" xfId="0" applyNumberFormat="1" applyFont="1" applyAlignment="1">
      <alignment wrapText="1"/>
    </xf>
    <xf numFmtId="0" fontId="145" fillId="0" borderId="0" xfId="0" applyNumberFormat="1" applyFont="1"/>
    <xf numFmtId="182" fontId="148" fillId="0" borderId="6" xfId="0" applyNumberFormat="1" applyFont="1" applyBorder="1" applyAlignment="1">
      <alignment wrapText="1"/>
    </xf>
    <xf numFmtId="182" fontId="148" fillId="0" borderId="0" xfId="0" applyNumberFormat="1" applyFont="1" applyAlignment="1">
      <alignment horizontal="center" vertical="center" wrapText="1"/>
    </xf>
    <xf numFmtId="182" fontId="148" fillId="0" borderId="0" xfId="0" applyNumberFormat="1" applyFont="1" applyAlignment="1">
      <alignment wrapText="1"/>
    </xf>
    <xf numFmtId="2" fontId="145" fillId="0" borderId="0" xfId="0" applyFont="1"/>
    <xf numFmtId="182" fontId="150" fillId="0" borderId="6" xfId="0" applyNumberFormat="1" applyFont="1" applyBorder="1" applyAlignment="1">
      <alignment wrapText="1"/>
    </xf>
    <xf numFmtId="182" fontId="150" fillId="0" borderId="0" xfId="0" applyNumberFormat="1" applyFont="1" applyAlignment="1">
      <alignment horizontal="center" vertical="center" wrapText="1"/>
    </xf>
    <xf numFmtId="182" fontId="150" fillId="0" borderId="0" xfId="0" applyNumberFormat="1" applyFont="1" applyAlignment="1">
      <alignment wrapText="1"/>
    </xf>
    <xf numFmtId="2" fontId="151" fillId="0" borderId="0" xfId="0" applyFont="1"/>
    <xf numFmtId="181" fontId="148" fillId="0" borderId="6" xfId="0" applyNumberFormat="1" applyFont="1" applyBorder="1" applyAlignment="1">
      <alignment wrapText="1"/>
    </xf>
    <xf numFmtId="181" fontId="147" fillId="0" borderId="0" xfId="0" applyNumberFormat="1" applyFont="1" applyAlignment="1">
      <alignment horizontal="center" vertical="center" wrapText="1"/>
    </xf>
    <xf numFmtId="181" fontId="147" fillId="0" borderId="0" xfId="0" applyNumberFormat="1" applyFont="1" applyAlignment="1">
      <alignment wrapText="1"/>
    </xf>
    <xf numFmtId="181" fontId="145" fillId="0" borderId="0" xfId="0" applyNumberFormat="1" applyFont="1"/>
    <xf numFmtId="177" fontId="145" fillId="0" borderId="0" xfId="0" applyNumberFormat="1" applyFont="1" applyAlignment="1">
      <alignment horizontal="center" vertical="center"/>
    </xf>
    <xf numFmtId="2" fontId="144" fillId="0" borderId="6" xfId="0" applyFont="1" applyBorder="1" applyAlignment="1">
      <alignment wrapText="1"/>
    </xf>
    <xf numFmtId="182" fontId="148" fillId="0" borderId="6" xfId="0" applyNumberFormat="1" applyFont="1" applyBorder="1" applyAlignment="1">
      <alignment horizontal="left" vertical="center" wrapText="1"/>
    </xf>
    <xf numFmtId="177" fontId="150" fillId="0" borderId="6" xfId="0" applyNumberFormat="1" applyFont="1" applyBorder="1" applyAlignment="1">
      <alignment wrapText="1"/>
    </xf>
    <xf numFmtId="182" fontId="148" fillId="0" borderId="23" xfId="0" applyNumberFormat="1" applyFont="1" applyBorder="1" applyAlignment="1">
      <alignment horizontal="left" vertical="center" wrapText="1"/>
    </xf>
    <xf numFmtId="177" fontId="148" fillId="0" borderId="0" xfId="0" applyNumberFormat="1" applyFont="1" applyAlignment="1">
      <alignment horizontal="center" vertical="center"/>
    </xf>
    <xf numFmtId="2" fontId="147" fillId="0" borderId="0" xfId="0" applyFont="1"/>
    <xf numFmtId="177" fontId="152" fillId="0" borderId="0" xfId="0" applyNumberFormat="1" applyFont="1" applyAlignment="1">
      <alignment horizontal="center" vertical="center"/>
    </xf>
    <xf numFmtId="183" fontId="148" fillId="0" borderId="71" xfId="0" applyNumberFormat="1" applyFont="1" applyBorder="1" applyAlignment="1">
      <alignment horizontal="right" wrapText="1"/>
    </xf>
    <xf numFmtId="183" fontId="147" fillId="0" borderId="0" xfId="0" applyNumberFormat="1" applyFont="1" applyAlignment="1">
      <alignment horizontal="center" vertical="center" wrapText="1"/>
    </xf>
    <xf numFmtId="183" fontId="147" fillId="0" borderId="0" xfId="0" applyNumberFormat="1" applyFont="1" applyAlignment="1">
      <alignment wrapText="1"/>
    </xf>
    <xf numFmtId="183" fontId="147" fillId="0" borderId="0" xfId="0" applyNumberFormat="1" applyFont="1"/>
    <xf numFmtId="177" fontId="145" fillId="0" borderId="0" xfId="0" applyNumberFormat="1" applyFont="1"/>
    <xf numFmtId="2" fontId="147" fillId="0" borderId="0" xfId="0" applyFont="1" applyAlignment="1">
      <alignment wrapText="1"/>
    </xf>
    <xf numFmtId="182" fontId="147" fillId="0" borderId="0" xfId="0" applyNumberFormat="1" applyFont="1" applyAlignment="1">
      <alignment wrapText="1"/>
    </xf>
    <xf numFmtId="183" fontId="152" fillId="0" borderId="0" xfId="0" applyNumberFormat="1" applyFont="1"/>
    <xf numFmtId="2" fontId="153" fillId="0" borderId="0" xfId="0" applyFont="1" applyAlignment="1">
      <alignment horizontal="center" vertical="center" wrapText="1"/>
    </xf>
    <xf numFmtId="2" fontId="53" fillId="0" borderId="23" xfId="0" applyFont="1" applyBorder="1" applyAlignment="1">
      <alignment horizontal="center" vertical="center" wrapText="1"/>
    </xf>
    <xf numFmtId="177" fontId="8" fillId="0" borderId="0" xfId="0" applyNumberFormat="1" applyFont="1" applyAlignment="1">
      <alignment horizontal="center" vertical="center" wrapText="1"/>
    </xf>
    <xf numFmtId="0" fontId="7" fillId="0" borderId="0" xfId="0" applyNumberFormat="1" applyFont="1" applyAlignment="1">
      <alignment horizontal="left" vertical="center"/>
    </xf>
    <xf numFmtId="177" fontId="9" fillId="0" borderId="0" xfId="0" applyNumberFormat="1" applyFont="1" applyAlignment="1">
      <alignment horizontal="left" vertical="center" wrapText="1"/>
    </xf>
    <xf numFmtId="2" fontId="154" fillId="0" borderId="0" xfId="0" applyFont="1" applyAlignment="1">
      <alignment horizontal="left" vertical="center"/>
    </xf>
    <xf numFmtId="177" fontId="52" fillId="0" borderId="0" xfId="0" applyNumberFormat="1" applyFont="1" applyAlignment="1">
      <alignment horizontal="left" vertical="center" wrapText="1"/>
    </xf>
    <xf numFmtId="2" fontId="155" fillId="0" borderId="0" xfId="0" applyFont="1" applyAlignment="1">
      <alignment horizontal="left" vertical="center"/>
    </xf>
    <xf numFmtId="2" fontId="154" fillId="0" borderId="4" xfId="0" applyFont="1" applyBorder="1" applyAlignment="1">
      <alignment horizontal="left" vertical="center"/>
    </xf>
    <xf numFmtId="178" fontId="9" fillId="0" borderId="0" xfId="0" applyNumberFormat="1" applyFont="1" applyAlignment="1">
      <alignment horizontal="left" vertical="center" wrapText="1"/>
    </xf>
    <xf numFmtId="182" fontId="53" fillId="0" borderId="23" xfId="0" applyNumberFormat="1" applyFont="1" applyBorder="1" applyAlignment="1">
      <alignment horizontal="center" vertical="center" wrapText="1"/>
    </xf>
    <xf numFmtId="2" fontId="9" fillId="0" borderId="0" xfId="0" applyFont="1" applyAlignment="1">
      <alignment horizontal="left" vertical="center"/>
    </xf>
    <xf numFmtId="182" fontId="8" fillId="0" borderId="0" xfId="0" applyNumberFormat="1" applyFont="1" applyAlignment="1">
      <alignment horizontal="center" vertical="center" wrapText="1"/>
    </xf>
    <xf numFmtId="177" fontId="157" fillId="0" borderId="0" xfId="0" applyNumberFormat="1" applyFont="1" applyAlignment="1">
      <alignment horizontal="center" vertical="center" wrapText="1"/>
    </xf>
    <xf numFmtId="2" fontId="166" fillId="0" borderId="23" xfId="0" applyFont="1" applyBorder="1" applyAlignment="1">
      <alignment horizontal="right" vertical="center"/>
    </xf>
    <xf numFmtId="0" fontId="67" fillId="4" borderId="0" xfId="0" applyNumberFormat="1" applyFont="1" applyFill="1" applyAlignment="1">
      <alignment horizontal="right" vertical="center"/>
    </xf>
    <xf numFmtId="2" fontId="166" fillId="0" borderId="60" xfId="0" applyFont="1" applyBorder="1" applyAlignment="1">
      <alignment horizontal="right" vertical="center"/>
    </xf>
    <xf numFmtId="181" fontId="166" fillId="0" borderId="20" xfId="0" applyNumberFormat="1" applyFont="1" applyBorder="1" applyAlignment="1">
      <alignment horizontal="right"/>
    </xf>
    <xf numFmtId="177" fontId="7" fillId="0" borderId="20" xfId="0" applyNumberFormat="1" applyFont="1" applyBorder="1"/>
    <xf numFmtId="177" fontId="7" fillId="0" borderId="20" xfId="0" applyNumberFormat="1" applyFont="1" applyBorder="1" applyAlignment="1">
      <alignment horizontal="left"/>
    </xf>
    <xf numFmtId="177" fontId="7" fillId="0" borderId="20" xfId="0" applyNumberFormat="1" applyFont="1" applyBorder="1" applyAlignment="1">
      <alignment wrapText="1"/>
    </xf>
    <xf numFmtId="177" fontId="8" fillId="0" borderId="20" xfId="0" applyNumberFormat="1" applyFont="1" applyBorder="1" applyAlignment="1">
      <alignment wrapText="1"/>
    </xf>
    <xf numFmtId="177" fontId="7" fillId="4" borderId="20" xfId="0" applyNumberFormat="1" applyFont="1" applyFill="1" applyBorder="1" applyAlignment="1">
      <alignment horizontal="left"/>
    </xf>
    <xf numFmtId="10" fontId="67" fillId="4" borderId="0" xfId="0" applyNumberFormat="1" applyFont="1" applyFill="1" applyAlignment="1">
      <alignment horizontal="right" vertical="center"/>
    </xf>
    <xf numFmtId="177" fontId="9" fillId="0" borderId="20" xfId="0" applyNumberFormat="1" applyFont="1" applyBorder="1"/>
    <xf numFmtId="2" fontId="165" fillId="0" borderId="0" xfId="0" applyFont="1"/>
    <xf numFmtId="181" fontId="165" fillId="0" borderId="20" xfId="0" applyNumberFormat="1" applyFont="1" applyBorder="1"/>
    <xf numFmtId="2" fontId="165" fillId="0" borderId="0" xfId="0" applyFont="1" applyAlignment="1">
      <alignment horizontal="right" vertical="center"/>
    </xf>
    <xf numFmtId="177" fontId="162" fillId="0" borderId="20" xfId="0" applyNumberFormat="1" applyFont="1" applyBorder="1" applyAlignment="1">
      <alignment wrapText="1"/>
    </xf>
    <xf numFmtId="177" fontId="165" fillId="0" borderId="0" xfId="0" applyNumberFormat="1" applyFont="1" applyAlignment="1">
      <alignment horizontal="right"/>
    </xf>
    <xf numFmtId="177" fontId="163" fillId="0" borderId="20" xfId="0" applyNumberFormat="1" applyFont="1" applyBorder="1" applyAlignment="1">
      <alignment wrapText="1"/>
    </xf>
    <xf numFmtId="177" fontId="166" fillId="0" borderId="0" xfId="0" applyNumberFormat="1" applyFont="1" applyAlignment="1">
      <alignment horizontal="right"/>
    </xf>
    <xf numFmtId="177" fontId="165" fillId="0" borderId="20" xfId="0" applyNumberFormat="1" applyFont="1" applyBorder="1"/>
    <xf numFmtId="177" fontId="165" fillId="0" borderId="0" xfId="0" applyNumberFormat="1" applyFont="1"/>
    <xf numFmtId="2" fontId="165" fillId="0" borderId="20" xfId="0" applyFont="1" applyBorder="1"/>
    <xf numFmtId="182" fontId="162" fillId="0" borderId="20" xfId="0" applyNumberFormat="1" applyFont="1" applyBorder="1" applyAlignment="1">
      <alignment wrapText="1"/>
    </xf>
    <xf numFmtId="10" fontId="166" fillId="0" borderId="20" xfId="0" applyNumberFormat="1" applyFont="1" applyBorder="1" applyAlignment="1">
      <alignment horizontal="right"/>
    </xf>
    <xf numFmtId="10" fontId="166" fillId="0" borderId="60" xfId="0" applyNumberFormat="1" applyFont="1" applyBorder="1" applyAlignment="1">
      <alignment horizontal="right" vertical="center"/>
    </xf>
    <xf numFmtId="10" fontId="166" fillId="0" borderId="23" xfId="0" applyNumberFormat="1" applyFont="1" applyBorder="1" applyAlignment="1">
      <alignment horizontal="right" vertical="center"/>
    </xf>
    <xf numFmtId="10" fontId="14" fillId="0" borderId="0" xfId="0" applyNumberFormat="1" applyFont="1" applyAlignment="1">
      <alignment horizontal="right"/>
    </xf>
    <xf numFmtId="177" fontId="168" fillId="0" borderId="0" xfId="0" applyNumberFormat="1" applyFont="1" applyAlignment="1">
      <alignment horizontal="left"/>
    </xf>
    <xf numFmtId="177" fontId="167" fillId="0" borderId="0" xfId="0" applyNumberFormat="1" applyFont="1"/>
    <xf numFmtId="0" fontId="168" fillId="0" borderId="72" xfId="0" applyNumberFormat="1" applyFont="1" applyBorder="1" applyAlignment="1">
      <alignment horizontal="left"/>
    </xf>
    <xf numFmtId="0" fontId="21" fillId="0" borderId="72" xfId="0" applyNumberFormat="1" applyFont="1" applyBorder="1" applyAlignment="1">
      <alignment horizontal="right"/>
    </xf>
    <xf numFmtId="177" fontId="168" fillId="0" borderId="0" xfId="0" applyNumberFormat="1" applyFont="1" applyAlignment="1">
      <alignment horizontal="left" wrapText="1"/>
    </xf>
    <xf numFmtId="177" fontId="169" fillId="0" borderId="0" xfId="0" applyNumberFormat="1" applyFont="1" applyAlignment="1">
      <alignment wrapText="1"/>
    </xf>
    <xf numFmtId="177" fontId="169" fillId="0" borderId="0" xfId="0" applyNumberFormat="1" applyFont="1"/>
    <xf numFmtId="177" fontId="169" fillId="0" borderId="0" xfId="0" applyNumberFormat="1" applyFont="1" applyAlignment="1">
      <alignment horizontal="left"/>
    </xf>
    <xf numFmtId="177" fontId="168" fillId="0" borderId="0" xfId="0" applyNumberFormat="1" applyFont="1" applyAlignment="1">
      <alignment horizontal="left" shrinkToFit="1"/>
    </xf>
    <xf numFmtId="177" fontId="14" fillId="0" borderId="0" xfId="0" applyNumberFormat="1" applyFont="1" applyAlignment="1">
      <alignment horizontal="left" wrapText="1"/>
    </xf>
    <xf numFmtId="177" fontId="14" fillId="0" borderId="73" xfId="0" applyNumberFormat="1" applyFont="1" applyBorder="1" applyAlignment="1">
      <alignment horizontal="left"/>
    </xf>
    <xf numFmtId="177" fontId="14" fillId="0" borderId="73" xfId="0" applyNumberFormat="1" applyFont="1" applyBorder="1" applyAlignment="1">
      <alignment horizontal="right"/>
    </xf>
    <xf numFmtId="177" fontId="168" fillId="0" borderId="72" xfId="0" applyNumberFormat="1" applyFont="1" applyBorder="1" applyAlignment="1">
      <alignment horizontal="left"/>
    </xf>
    <xf numFmtId="177" fontId="168" fillId="0" borderId="0" xfId="0" applyNumberFormat="1" applyFont="1" applyAlignment="1">
      <alignment wrapText="1"/>
    </xf>
    <xf numFmtId="177" fontId="168" fillId="0" borderId="73" xfId="0" applyNumberFormat="1" applyFont="1" applyBorder="1" applyAlignment="1">
      <alignment horizontal="left"/>
    </xf>
    <xf numFmtId="0" fontId="167" fillId="0" borderId="0" xfId="0" applyNumberFormat="1" applyFont="1"/>
    <xf numFmtId="177" fontId="14" fillId="0" borderId="0" xfId="0" applyNumberFormat="1" applyFont="1" applyAlignment="1">
      <alignment horizontal="left"/>
    </xf>
    <xf numFmtId="177" fontId="169" fillId="0" borderId="0" xfId="0" applyNumberFormat="1" applyFont="1" applyAlignment="1">
      <alignment horizontal="justify" wrapText="1"/>
    </xf>
    <xf numFmtId="177" fontId="169" fillId="0" borderId="8" xfId="0" applyNumberFormat="1" applyFont="1" applyBorder="1" applyAlignment="1">
      <alignment horizontal="justify" wrapText="1"/>
    </xf>
    <xf numFmtId="177" fontId="14" fillId="0" borderId="4" xfId="0" applyNumberFormat="1" applyFont="1" applyBorder="1" applyAlignment="1">
      <alignment horizontal="justify" wrapText="1"/>
    </xf>
    <xf numFmtId="177" fontId="169" fillId="0" borderId="0" xfId="0" applyNumberFormat="1" applyFont="1" applyAlignment="1">
      <alignment horizontal="justify" vertical="top" wrapText="1"/>
    </xf>
    <xf numFmtId="177" fontId="14" fillId="0" borderId="0" xfId="0" applyNumberFormat="1" applyFont="1" applyAlignment="1">
      <alignment horizontal="justify" vertical="top" wrapText="1"/>
    </xf>
    <xf numFmtId="49" fontId="21" fillId="0" borderId="72" xfId="0" applyNumberFormat="1" applyFont="1" applyBorder="1" applyAlignment="1">
      <alignment horizontal="right"/>
    </xf>
    <xf numFmtId="10" fontId="14" fillId="0" borderId="8" xfId="0" applyNumberFormat="1" applyFont="1" applyBorder="1" applyAlignment="1">
      <alignment horizontal="right"/>
    </xf>
    <xf numFmtId="10" fontId="14" fillId="0" borderId="4" xfId="0" applyNumberFormat="1" applyFont="1" applyBorder="1" applyAlignment="1">
      <alignment horizontal="right"/>
    </xf>
    <xf numFmtId="177" fontId="14" fillId="0" borderId="73" xfId="0" applyNumberFormat="1" applyFont="1" applyBorder="1" applyAlignment="1">
      <alignment horizontal="right" vertical="center"/>
    </xf>
    <xf numFmtId="177" fontId="170" fillId="0" borderId="73" xfId="0" applyNumberFormat="1" applyFont="1" applyBorder="1" applyAlignment="1">
      <alignment horizontal="right"/>
    </xf>
    <xf numFmtId="177" fontId="170" fillId="0" borderId="0" xfId="0" applyNumberFormat="1" applyFont="1" applyAlignment="1">
      <alignment horizontal="right"/>
    </xf>
    <xf numFmtId="177" fontId="169" fillId="0" borderId="0" xfId="0" applyNumberFormat="1" applyFont="1" applyAlignment="1">
      <alignment horizontal="left" vertical="center"/>
    </xf>
    <xf numFmtId="177" fontId="169" fillId="0" borderId="73" xfId="0" applyNumberFormat="1" applyFont="1" applyBorder="1" applyAlignment="1">
      <alignment horizontal="left"/>
    </xf>
    <xf numFmtId="2" fontId="171" fillId="0" borderId="0" xfId="0" applyFont="1" applyAlignment="1">
      <alignment horizontal="right"/>
    </xf>
    <xf numFmtId="181" fontId="171" fillId="0" borderId="20" xfId="0" applyNumberFormat="1" applyFont="1" applyBorder="1" applyAlignment="1">
      <alignment horizontal="right" vertical="center"/>
    </xf>
    <xf numFmtId="2" fontId="156" fillId="0" borderId="0" xfId="0" applyFont="1"/>
    <xf numFmtId="2" fontId="172" fillId="0" borderId="21" xfId="0" applyFont="1" applyBorder="1" applyAlignment="1">
      <alignment horizontal="left" vertical="center"/>
    </xf>
    <xf numFmtId="183" fontId="35" fillId="7" borderId="23" xfId="5" applyNumberFormat="1" applyFont="1" applyFill="1" applyBorder="1">
      <alignment vertical="center"/>
    </xf>
    <xf numFmtId="10" fontId="173" fillId="0" borderId="23" xfId="5" applyNumberFormat="1" applyFont="1" applyBorder="1">
      <alignment vertical="center"/>
    </xf>
    <xf numFmtId="10" fontId="173" fillId="0" borderId="26" xfId="5" applyNumberFormat="1" applyFont="1" applyBorder="1">
      <alignment vertical="center"/>
    </xf>
    <xf numFmtId="177" fontId="173" fillId="0" borderId="23" xfId="5" applyNumberFormat="1" applyFont="1" applyBorder="1">
      <alignment vertical="center"/>
    </xf>
    <xf numFmtId="183" fontId="35" fillId="7" borderId="26" xfId="5" applyNumberFormat="1" applyFont="1" applyFill="1" applyBorder="1">
      <alignment vertical="center"/>
    </xf>
    <xf numFmtId="183" fontId="35" fillId="7" borderId="23" xfId="5" applyNumberFormat="1" applyFont="1" applyFill="1" applyBorder="1" applyAlignment="1">
      <alignment horizontal="right" vertical="center"/>
    </xf>
    <xf numFmtId="183" fontId="35" fillId="7" borderId="23" xfId="3" applyNumberFormat="1" applyFont="1" applyFill="1" applyBorder="1" applyAlignment="1">
      <alignment horizontal="right" vertical="center"/>
    </xf>
    <xf numFmtId="49" fontId="173" fillId="0" borderId="27" xfId="5" applyNumberFormat="1" applyFont="1" applyBorder="1" applyAlignment="1">
      <alignment horizontal="center" vertical="center"/>
    </xf>
    <xf numFmtId="49" fontId="173" fillId="0" borderId="27" xfId="5" applyNumberFormat="1" applyFont="1" applyBorder="1" applyAlignment="1">
      <alignment horizontal="right" vertical="center"/>
    </xf>
    <xf numFmtId="182" fontId="175" fillId="0" borderId="6" xfId="0" applyNumberFormat="1" applyFont="1" applyBorder="1" applyAlignment="1">
      <alignment wrapText="1"/>
    </xf>
    <xf numFmtId="177" fontId="175" fillId="0" borderId="0" xfId="0" applyNumberFormat="1" applyFont="1" applyAlignment="1">
      <alignment horizontal="center" vertical="center" wrapText="1"/>
    </xf>
    <xf numFmtId="182" fontId="175" fillId="0" borderId="0" xfId="0" applyNumberFormat="1" applyFont="1" applyAlignment="1">
      <alignment horizontal="center" vertical="center" wrapText="1"/>
    </xf>
    <xf numFmtId="182" fontId="175" fillId="0" borderId="0" xfId="0" applyNumberFormat="1" applyFont="1" applyAlignment="1">
      <alignment wrapText="1"/>
    </xf>
    <xf numFmtId="2" fontId="176" fillId="0" borderId="0" xfId="0" applyFont="1"/>
    <xf numFmtId="177" fontId="174" fillId="0" borderId="0" xfId="0" applyNumberFormat="1" applyFont="1" applyAlignment="1">
      <alignment horizontal="center" vertical="center" wrapText="1"/>
    </xf>
    <xf numFmtId="178" fontId="174" fillId="0" borderId="0" xfId="0" applyNumberFormat="1" applyFont="1" applyAlignment="1">
      <alignment horizontal="center" vertical="center" wrapText="1"/>
    </xf>
    <xf numFmtId="178" fontId="174" fillId="0" borderId="0" xfId="0" applyNumberFormat="1" applyFont="1" applyAlignment="1">
      <alignment wrapText="1"/>
    </xf>
    <xf numFmtId="182" fontId="177" fillId="0" borderId="6" xfId="0" applyNumberFormat="1" applyFont="1" applyBorder="1" applyAlignment="1">
      <alignment wrapText="1"/>
    </xf>
    <xf numFmtId="177" fontId="177" fillId="0" borderId="0" xfId="0" applyNumberFormat="1" applyFont="1" applyAlignment="1">
      <alignment horizontal="center" vertical="center" wrapText="1"/>
    </xf>
    <xf numFmtId="182" fontId="177" fillId="0" borderId="0" xfId="0" applyNumberFormat="1" applyFont="1" applyAlignment="1">
      <alignment horizontal="center" vertical="center" wrapText="1"/>
    </xf>
    <xf numFmtId="182" fontId="177" fillId="0" borderId="0" xfId="0" applyNumberFormat="1" applyFont="1" applyAlignment="1">
      <alignment wrapText="1"/>
    </xf>
    <xf numFmtId="2" fontId="178" fillId="0" borderId="0" xfId="0" applyFont="1"/>
    <xf numFmtId="177" fontId="179" fillId="0" borderId="0" xfId="0" applyNumberFormat="1" applyFont="1" applyAlignment="1">
      <alignment horizontal="center" vertical="center" wrapText="1"/>
    </xf>
    <xf numFmtId="178" fontId="179" fillId="0" borderId="0" xfId="0" applyNumberFormat="1" applyFont="1" applyAlignment="1">
      <alignment horizontal="center" vertical="center" wrapText="1"/>
    </xf>
    <xf numFmtId="178" fontId="179" fillId="0" borderId="0" xfId="0" applyNumberFormat="1" applyFont="1" applyAlignment="1">
      <alignment wrapText="1"/>
    </xf>
    <xf numFmtId="177" fontId="176" fillId="0" borderId="0" xfId="0" applyNumberFormat="1" applyFont="1" applyAlignment="1">
      <alignment horizontal="center" vertical="center"/>
    </xf>
    <xf numFmtId="2" fontId="176" fillId="0" borderId="0" xfId="0" applyFont="1" applyAlignment="1">
      <alignment horizontal="center" vertical="center"/>
    </xf>
    <xf numFmtId="183" fontId="175" fillId="0" borderId="0" xfId="0" applyNumberFormat="1" applyFont="1" applyAlignment="1">
      <alignment horizontal="right" wrapText="1"/>
    </xf>
    <xf numFmtId="2" fontId="181" fillId="0" borderId="0" xfId="0" applyFont="1" applyAlignment="1">
      <alignment horizontal="left" vertical="center"/>
    </xf>
    <xf numFmtId="2" fontId="187" fillId="0" borderId="0" xfId="0" applyFont="1"/>
    <xf numFmtId="2" fontId="27" fillId="0" borderId="0" xfId="0" applyFont="1" applyAlignment="1">
      <alignment horizontal="center" vertical="center"/>
    </xf>
    <xf numFmtId="189" fontId="14" fillId="2" borderId="0" xfId="0" applyNumberFormat="1" applyFont="1" applyFill="1" applyAlignment="1">
      <alignment horizontal="center" vertical="center"/>
    </xf>
    <xf numFmtId="10" fontId="182" fillId="0" borderId="0" xfId="0" applyNumberFormat="1" applyFont="1" applyAlignment="1">
      <alignment horizontal="center" vertical="center"/>
    </xf>
    <xf numFmtId="2" fontId="182" fillId="0" borderId="0" xfId="0" applyFont="1" applyAlignment="1">
      <alignment horizontal="center" vertical="center"/>
    </xf>
    <xf numFmtId="2" fontId="183" fillId="0" borderId="0" xfId="0" applyFont="1" applyAlignment="1">
      <alignment horizontal="left" vertical="center"/>
    </xf>
    <xf numFmtId="182" fontId="184" fillId="0" borderId="23" xfId="0" applyNumberFormat="1" applyFont="1" applyBorder="1" applyAlignment="1">
      <alignment horizontal="left" vertical="center" wrapText="1"/>
    </xf>
    <xf numFmtId="2" fontId="185" fillId="0" borderId="23" xfId="0" applyFont="1" applyBorder="1" applyAlignment="1">
      <alignment vertical="center" wrapText="1"/>
    </xf>
    <xf numFmtId="2" fontId="186" fillId="0" borderId="0" xfId="0" applyFont="1" applyAlignment="1">
      <alignment vertical="center"/>
    </xf>
    <xf numFmtId="10" fontId="110" fillId="0" borderId="0" xfId="2" applyFont="1" applyBorder="1" applyAlignment="1" applyProtection="1">
      <alignment horizontal="center" vertical="center"/>
    </xf>
    <xf numFmtId="2" fontId="110" fillId="0" borderId="0" xfId="0" applyFont="1" applyAlignment="1">
      <alignment horizontal="center" vertical="center" wrapText="1"/>
    </xf>
    <xf numFmtId="2" fontId="14" fillId="0" borderId="0" xfId="0" applyFont="1" applyAlignment="1">
      <alignment horizontal="center" vertical="center" wrapText="1"/>
    </xf>
    <xf numFmtId="2" fontId="132" fillId="4" borderId="4" xfId="0" applyFont="1" applyFill="1" applyBorder="1" applyAlignment="1">
      <alignment horizontal="center" vertical="center"/>
    </xf>
    <xf numFmtId="10" fontId="132" fillId="4" borderId="4" xfId="0" applyNumberFormat="1" applyFont="1" applyFill="1" applyBorder="1" applyAlignment="1">
      <alignment horizontal="center" vertical="center"/>
    </xf>
    <xf numFmtId="2" fontId="14" fillId="0" borderId="60" xfId="0" applyFont="1" applyBorder="1" applyAlignment="1">
      <alignment vertical="center"/>
    </xf>
    <xf numFmtId="10" fontId="93" fillId="0" borderId="60" xfId="0" applyNumberFormat="1" applyFont="1" applyBorder="1" applyAlignment="1">
      <alignment vertical="center"/>
    </xf>
    <xf numFmtId="10" fontId="110" fillId="0" borderId="0" xfId="0" applyNumberFormat="1" applyFont="1" applyAlignment="1">
      <alignment horizontal="center" vertical="center"/>
    </xf>
    <xf numFmtId="10" fontId="14" fillId="0" borderId="0" xfId="0" applyNumberFormat="1" applyFont="1" applyAlignment="1">
      <alignment vertical="center"/>
    </xf>
    <xf numFmtId="2" fontId="14" fillId="0" borderId="23" xfId="0" applyFont="1" applyBorder="1" applyAlignment="1">
      <alignment vertical="center"/>
    </xf>
    <xf numFmtId="2" fontId="93" fillId="0" borderId="23" xfId="0" applyFont="1" applyBorder="1" applyAlignment="1">
      <alignment vertical="center"/>
    </xf>
    <xf numFmtId="183" fontId="14" fillId="0" borderId="23" xfId="0" applyNumberFormat="1" applyFont="1" applyBorder="1" applyAlignment="1">
      <alignment vertical="center"/>
    </xf>
    <xf numFmtId="183" fontId="93" fillId="0" borderId="23" xfId="0" applyNumberFormat="1" applyFont="1" applyBorder="1" applyAlignment="1">
      <alignment vertical="center"/>
    </xf>
    <xf numFmtId="182" fontId="14" fillId="0" borderId="23" xfId="0" applyNumberFormat="1" applyFont="1" applyBorder="1" applyAlignment="1">
      <alignment vertical="center"/>
    </xf>
    <xf numFmtId="177" fontId="110" fillId="0" borderId="0" xfId="2" applyNumberFormat="1" applyFont="1" applyBorder="1" applyAlignment="1" applyProtection="1">
      <alignment horizontal="center" vertical="center"/>
    </xf>
    <xf numFmtId="183" fontId="93" fillId="4" borderId="23" xfId="0" applyNumberFormat="1" applyFont="1" applyFill="1" applyBorder="1" applyAlignment="1">
      <alignment vertical="center"/>
    </xf>
    <xf numFmtId="2" fontId="14" fillId="4" borderId="23" xfId="0" applyFont="1" applyFill="1" applyBorder="1" applyAlignment="1">
      <alignment vertical="center"/>
    </xf>
    <xf numFmtId="182" fontId="14" fillId="4" borderId="23" xfId="0" applyNumberFormat="1" applyFont="1" applyFill="1" applyBorder="1" applyAlignment="1">
      <alignment vertical="center"/>
    </xf>
    <xf numFmtId="2" fontId="93" fillId="4" borderId="23" xfId="0" applyFont="1" applyFill="1" applyBorder="1" applyAlignment="1">
      <alignment vertical="center"/>
    </xf>
    <xf numFmtId="177" fontId="110" fillId="4" borderId="0" xfId="2" applyNumberFormat="1" applyFont="1" applyFill="1" applyBorder="1" applyAlignment="1" applyProtection="1">
      <alignment horizontal="center" vertical="center"/>
    </xf>
    <xf numFmtId="177" fontId="14" fillId="4" borderId="0" xfId="0" applyNumberFormat="1" applyFont="1" applyFill="1" applyAlignment="1">
      <alignment vertical="center"/>
    </xf>
    <xf numFmtId="2" fontId="14" fillId="4" borderId="0" xfId="0" applyFont="1" applyFill="1" applyAlignment="1">
      <alignment vertical="center"/>
    </xf>
    <xf numFmtId="181" fontId="93" fillId="0" borderId="23" xfId="0" applyNumberFormat="1" applyFont="1" applyBorder="1" applyAlignment="1">
      <alignment horizontal="right" vertical="center"/>
    </xf>
    <xf numFmtId="181" fontId="14" fillId="0" borderId="0" xfId="0" applyNumberFormat="1" applyFont="1" applyAlignment="1">
      <alignment vertical="center"/>
    </xf>
    <xf numFmtId="10" fontId="93" fillId="0" borderId="23" xfId="0" applyNumberFormat="1" applyFont="1" applyBorder="1" applyAlignment="1">
      <alignment vertical="center"/>
    </xf>
    <xf numFmtId="10" fontId="21" fillId="0" borderId="0" xfId="0" applyNumberFormat="1" applyFont="1" applyAlignment="1">
      <alignment horizontal="center" vertical="center"/>
    </xf>
    <xf numFmtId="10" fontId="110" fillId="0" borderId="0" xfId="0" applyNumberFormat="1" applyFont="1" applyAlignment="1">
      <alignment horizontal="center" vertical="center" wrapText="1"/>
    </xf>
    <xf numFmtId="2" fontId="132" fillId="0" borderId="23" xfId="0" applyFont="1" applyBorder="1" applyAlignment="1">
      <alignment horizontal="center" vertical="center"/>
    </xf>
    <xf numFmtId="2" fontId="21" fillId="0" borderId="23" xfId="0" applyFont="1" applyBorder="1" applyAlignment="1">
      <alignment vertical="center"/>
    </xf>
    <xf numFmtId="2" fontId="94" fillId="0" borderId="23" xfId="0" applyFont="1" applyBorder="1" applyAlignment="1">
      <alignment vertical="center"/>
    </xf>
    <xf numFmtId="10" fontId="107" fillId="0" borderId="0" xfId="0" applyNumberFormat="1" applyFont="1" applyAlignment="1">
      <alignment horizontal="center" vertical="center"/>
    </xf>
    <xf numFmtId="2" fontId="133" fillId="0" borderId="23" xfId="0" applyFont="1" applyBorder="1" applyAlignment="1">
      <alignment vertical="center"/>
    </xf>
    <xf numFmtId="10" fontId="110" fillId="2" borderId="0" xfId="2" applyFont="1" applyFill="1" applyBorder="1" applyAlignment="1" applyProtection="1">
      <alignment horizontal="center" vertical="center"/>
    </xf>
    <xf numFmtId="10" fontId="110" fillId="0" borderId="0" xfId="2" applyFont="1" applyFill="1" applyBorder="1" applyAlignment="1" applyProtection="1">
      <alignment vertical="center"/>
    </xf>
    <xf numFmtId="177" fontId="110" fillId="0" borderId="0" xfId="0" applyNumberFormat="1" applyFont="1" applyAlignment="1">
      <alignment horizontal="center" vertical="center" wrapText="1"/>
    </xf>
    <xf numFmtId="177" fontId="14" fillId="2" borderId="0" xfId="2" applyNumberFormat="1" applyFont="1" applyFill="1" applyBorder="1" applyAlignment="1" applyProtection="1">
      <alignment horizontal="center" vertical="center"/>
    </xf>
    <xf numFmtId="177" fontId="14" fillId="0" borderId="0" xfId="2" applyNumberFormat="1" applyFont="1" applyBorder="1" applyAlignment="1" applyProtection="1">
      <alignment horizontal="center" vertical="center"/>
    </xf>
    <xf numFmtId="2" fontId="93" fillId="0" borderId="23" xfId="0" applyFont="1" applyBorder="1" applyAlignment="1">
      <alignment vertical="center" wrapText="1"/>
    </xf>
    <xf numFmtId="183" fontId="21" fillId="0" borderId="23" xfId="0" applyNumberFormat="1" applyFont="1" applyBorder="1" applyAlignment="1">
      <alignment vertical="center"/>
    </xf>
    <xf numFmtId="2" fontId="24" fillId="0" borderId="23" xfId="0" applyFont="1" applyBorder="1" applyAlignment="1">
      <alignment vertical="center"/>
    </xf>
    <xf numFmtId="10" fontId="14" fillId="0" borderId="23" xfId="0" applyNumberFormat="1" applyFont="1" applyBorder="1" applyAlignment="1">
      <alignment vertical="center"/>
    </xf>
    <xf numFmtId="177" fontId="160" fillId="10" borderId="0" xfId="0" applyNumberFormat="1" applyFont="1" applyFill="1" applyAlignment="1">
      <alignment horizontal="center" vertical="center"/>
    </xf>
    <xf numFmtId="183" fontId="0" fillId="0" borderId="23" xfId="0" applyNumberFormat="1" applyBorder="1" applyAlignment="1">
      <alignment vertical="center"/>
    </xf>
    <xf numFmtId="10" fontId="14" fillId="2" borderId="0" xfId="2" applyFont="1" applyFill="1" applyBorder="1" applyAlignment="1" applyProtection="1">
      <alignment horizontal="center" vertical="center"/>
    </xf>
    <xf numFmtId="182" fontId="14" fillId="0" borderId="0" xfId="0" applyNumberFormat="1" applyFont="1" applyAlignment="1">
      <alignment vertical="center"/>
    </xf>
    <xf numFmtId="10" fontId="14" fillId="10" borderId="0" xfId="2" applyFont="1" applyFill="1" applyBorder="1" applyAlignment="1" applyProtection="1">
      <alignment horizontal="center" vertical="center"/>
    </xf>
    <xf numFmtId="182" fontId="7" fillId="0" borderId="23" xfId="0" applyNumberFormat="1" applyFont="1" applyBorder="1" applyAlignment="1">
      <alignment vertical="center"/>
    </xf>
    <xf numFmtId="182" fontId="19" fillId="0" borderId="23" xfId="0" applyNumberFormat="1" applyFont="1" applyBorder="1" applyAlignment="1">
      <alignment vertical="center"/>
    </xf>
    <xf numFmtId="182" fontId="93" fillId="0" borderId="23" xfId="0" applyNumberFormat="1" applyFont="1" applyBorder="1" applyAlignment="1">
      <alignment vertical="center"/>
    </xf>
    <xf numFmtId="183" fontId="14" fillId="0" borderId="23" xfId="2" applyNumberFormat="1" applyFont="1" applyBorder="1" applyAlignment="1" applyProtection="1">
      <alignment vertical="center"/>
    </xf>
    <xf numFmtId="183" fontId="19" fillId="0" borderId="23" xfId="2" applyNumberFormat="1" applyFont="1" applyBorder="1" applyAlignment="1" applyProtection="1">
      <alignment vertical="center"/>
    </xf>
    <xf numFmtId="177" fontId="14" fillId="0" borderId="0" xfId="2" applyNumberFormat="1" applyFont="1" applyFill="1" applyBorder="1" applyAlignment="1" applyProtection="1">
      <alignment horizontal="center" vertical="center"/>
    </xf>
    <xf numFmtId="177" fontId="19" fillId="0" borderId="0" xfId="2" applyNumberFormat="1" applyFont="1" applyBorder="1" applyAlignment="1" applyProtection="1">
      <alignment vertical="center"/>
    </xf>
    <xf numFmtId="183" fontId="19" fillId="0" borderId="0" xfId="2" applyNumberFormat="1" applyFont="1" applyBorder="1" applyAlignment="1" applyProtection="1">
      <alignment vertical="center"/>
    </xf>
    <xf numFmtId="177" fontId="93" fillId="0" borderId="0" xfId="0" applyNumberFormat="1" applyFont="1" applyAlignment="1">
      <alignment vertical="center"/>
    </xf>
    <xf numFmtId="182" fontId="93" fillId="0" borderId="0" xfId="0" applyNumberFormat="1" applyFont="1" applyAlignment="1">
      <alignment vertical="center"/>
    </xf>
    <xf numFmtId="2" fontId="54" fillId="0" borderId="23" xfId="0" applyFont="1" applyBorder="1" applyAlignment="1">
      <alignment horizontal="center" vertical="center"/>
    </xf>
    <xf numFmtId="181" fontId="21" fillId="0" borderId="23" xfId="0" applyNumberFormat="1" applyFont="1" applyBorder="1" applyAlignment="1">
      <alignment vertical="center"/>
    </xf>
    <xf numFmtId="181" fontId="14" fillId="0" borderId="23" xfId="0" applyNumberFormat="1" applyFont="1" applyBorder="1" applyAlignment="1">
      <alignment vertical="center"/>
    </xf>
    <xf numFmtId="181" fontId="93" fillId="0" borderId="23" xfId="0" applyNumberFormat="1" applyFont="1" applyBorder="1" applyAlignment="1">
      <alignment vertical="center"/>
    </xf>
    <xf numFmtId="181" fontId="14" fillId="0" borderId="23" xfId="0" applyNumberFormat="1" applyFont="1" applyBorder="1" applyAlignment="1">
      <alignment horizontal="left" vertical="center"/>
    </xf>
    <xf numFmtId="181" fontId="14" fillId="0" borderId="23" xfId="0" applyNumberFormat="1" applyFont="1" applyBorder="1" applyAlignment="1">
      <alignment horizontal="right" vertical="center"/>
    </xf>
    <xf numFmtId="177" fontId="14" fillId="10" borderId="0" xfId="0" applyNumberFormat="1" applyFont="1" applyFill="1" applyAlignment="1">
      <alignment horizontal="center" vertical="center"/>
    </xf>
    <xf numFmtId="2" fontId="21" fillId="0" borderId="0" xfId="0" applyFont="1" applyAlignment="1">
      <alignment vertical="center"/>
    </xf>
    <xf numFmtId="181" fontId="21" fillId="0" borderId="23" xfId="0" applyNumberFormat="1" applyFont="1" applyBorder="1" applyAlignment="1">
      <alignment horizontal="left" vertical="center"/>
    </xf>
    <xf numFmtId="2" fontId="14" fillId="0" borderId="23" xfId="0" applyFont="1" applyBorder="1" applyAlignment="1">
      <alignment vertical="center" wrapText="1"/>
    </xf>
    <xf numFmtId="177" fontId="14" fillId="0" borderId="0" xfId="4" applyNumberFormat="1" applyFont="1" applyAlignment="1">
      <alignment horizontal="center" vertical="center"/>
    </xf>
    <xf numFmtId="181" fontId="188" fillId="0" borderId="23" xfId="0" applyNumberFormat="1" applyFont="1" applyBorder="1" applyAlignment="1">
      <alignment horizontal="left" vertical="center"/>
    </xf>
    <xf numFmtId="182" fontId="19" fillId="0" borderId="23" xfId="2" applyNumberFormat="1" applyFont="1" applyBorder="1" applyAlignment="1" applyProtection="1">
      <alignment vertical="center"/>
    </xf>
    <xf numFmtId="2" fontId="25" fillId="0" borderId="23" xfId="0" applyFont="1" applyBorder="1" applyAlignment="1">
      <alignment vertical="center" wrapText="1"/>
    </xf>
    <xf numFmtId="2" fontId="14" fillId="0" borderId="3" xfId="0" applyFont="1" applyBorder="1" applyAlignment="1">
      <alignment vertical="center"/>
    </xf>
    <xf numFmtId="2" fontId="32" fillId="0" borderId="0" xfId="0" applyFont="1" applyAlignment="1">
      <alignment horizontal="left" vertical="center" wrapText="1"/>
    </xf>
    <xf numFmtId="2" fontId="189" fillId="0" borderId="23" xfId="0" applyFont="1" applyBorder="1" applyAlignment="1">
      <alignment vertical="center"/>
    </xf>
    <xf numFmtId="14" fontId="4" fillId="0" borderId="0" xfId="0" applyNumberFormat="1" applyFont="1" applyAlignment="1">
      <alignment horizontal="center" vertical="center"/>
    </xf>
    <xf numFmtId="189" fontId="21" fillId="2" borderId="23" xfId="0" applyNumberFormat="1" applyFont="1" applyFill="1" applyBorder="1" applyAlignment="1">
      <alignment horizontal="right" vertical="center"/>
    </xf>
    <xf numFmtId="2" fontId="190" fillId="0" borderId="0" xfId="0" applyFont="1" applyAlignment="1">
      <alignment horizontal="center" vertical="center"/>
    </xf>
    <xf numFmtId="49" fontId="0" fillId="0" borderId="23" xfId="0" applyNumberFormat="1" applyBorder="1" applyAlignment="1">
      <alignment horizontal="right" vertical="center"/>
    </xf>
    <xf numFmtId="2" fontId="0" fillId="0" borderId="23" xfId="0" applyBorder="1" applyAlignment="1">
      <alignment horizontal="right" vertical="center" wrapText="1"/>
    </xf>
    <xf numFmtId="2" fontId="193" fillId="0" borderId="0" xfId="0" applyFont="1" applyAlignment="1">
      <alignment horizontal="center"/>
    </xf>
    <xf numFmtId="1" fontId="191" fillId="0" borderId="0" xfId="0" applyNumberFormat="1" applyFont="1" applyAlignment="1">
      <alignment horizontal="center" wrapText="1"/>
    </xf>
    <xf numFmtId="49" fontId="97" fillId="0" borderId="0" xfId="0" applyNumberFormat="1" applyFont="1" applyAlignment="1">
      <alignment horizontal="right" wrapText="1"/>
    </xf>
    <xf numFmtId="177" fontId="192" fillId="0" borderId="21" xfId="0" applyNumberFormat="1" applyFont="1" applyBorder="1" applyAlignment="1">
      <alignment vertical="center" wrapText="1"/>
    </xf>
    <xf numFmtId="183" fontId="192" fillId="0" borderId="23" xfId="0" applyNumberFormat="1" applyFont="1" applyBorder="1" applyAlignment="1">
      <alignment vertical="center"/>
    </xf>
    <xf numFmtId="2" fontId="7" fillId="0" borderId="0" xfId="8" applyAlignment="1">
      <alignment vertical="center"/>
    </xf>
    <xf numFmtId="0" fontId="7" fillId="4" borderId="0" xfId="8" applyNumberFormat="1" applyFill="1" applyAlignment="1">
      <alignment vertical="center"/>
    </xf>
    <xf numFmtId="0" fontId="7" fillId="0" borderId="0" xfId="8" applyNumberFormat="1" applyAlignment="1">
      <alignment vertical="center"/>
    </xf>
    <xf numFmtId="2" fontId="4" fillId="0" borderId="0" xfId="8" applyFont="1" applyAlignment="1">
      <alignment vertical="center"/>
    </xf>
    <xf numFmtId="0" fontId="50" fillId="4" borderId="0" xfId="8" applyNumberFormat="1" applyFont="1" applyFill="1" applyAlignment="1">
      <alignment horizontal="center" vertical="center"/>
    </xf>
    <xf numFmtId="0" fontId="195" fillId="14" borderId="0" xfId="8" applyNumberFormat="1" applyFont="1" applyFill="1" applyAlignment="1">
      <alignment vertical="center"/>
    </xf>
    <xf numFmtId="0" fontId="195" fillId="0" borderId="0" xfId="8" applyNumberFormat="1" applyFont="1" applyAlignment="1">
      <alignment vertical="center"/>
    </xf>
    <xf numFmtId="14" fontId="106" fillId="0" borderId="0" xfId="8" applyNumberFormat="1" applyFont="1" applyAlignment="1">
      <alignment horizontal="center" vertical="center"/>
    </xf>
    <xf numFmtId="14" fontId="84" fillId="0" borderId="0" xfId="8" applyNumberFormat="1" applyFont="1" applyAlignment="1">
      <alignment horizontal="center"/>
    </xf>
    <xf numFmtId="191" fontId="4" fillId="0" borderId="0" xfId="8" applyNumberFormat="1" applyFont="1" applyAlignment="1">
      <alignment vertical="center"/>
    </xf>
    <xf numFmtId="14" fontId="4" fillId="0" borderId="0" xfId="8" applyNumberFormat="1" applyFont="1" applyAlignment="1">
      <alignment vertical="center"/>
    </xf>
    <xf numFmtId="49" fontId="51" fillId="0" borderId="0" xfId="8" applyNumberFormat="1" applyFont="1" applyAlignment="1" applyProtection="1">
      <alignment horizontal="right" vertical="center"/>
      <protection locked="0"/>
    </xf>
    <xf numFmtId="2" fontId="84" fillId="0" borderId="0" xfId="8" applyFont="1" applyAlignment="1">
      <alignment horizontal="center"/>
    </xf>
    <xf numFmtId="49" fontId="196" fillId="0" borderId="104" xfId="7" applyNumberFormat="1" applyFont="1" applyFill="1" applyBorder="1" applyAlignment="1" applyProtection="1">
      <alignment horizontal="right" vertical="center"/>
      <protection locked="0"/>
    </xf>
    <xf numFmtId="49" fontId="197" fillId="15" borderId="104" xfId="8" applyNumberFormat="1" applyFont="1" applyFill="1" applyBorder="1" applyAlignment="1">
      <alignment horizontal="left"/>
    </xf>
    <xf numFmtId="49" fontId="84" fillId="0" borderId="0" xfId="8" applyNumberFormat="1" applyFont="1" applyAlignment="1">
      <alignment horizontal="left"/>
    </xf>
    <xf numFmtId="49" fontId="196" fillId="0" borderId="105" xfId="7" applyNumberFormat="1" applyFont="1" applyFill="1" applyBorder="1" applyAlignment="1" applyProtection="1">
      <alignment horizontal="right" vertical="center"/>
      <protection locked="0"/>
    </xf>
    <xf numFmtId="0" fontId="51" fillId="0" borderId="106" xfId="8" applyNumberFormat="1" applyFont="1" applyBorder="1" applyAlignment="1">
      <alignment horizontal="right" vertical="center"/>
    </xf>
    <xf numFmtId="14" fontId="7" fillId="0" borderId="0" xfId="8" applyNumberFormat="1" applyAlignment="1">
      <alignment vertical="center"/>
    </xf>
    <xf numFmtId="0" fontId="51" fillId="0" borderId="0" xfId="8" applyNumberFormat="1" applyFont="1" applyAlignment="1">
      <alignment horizontal="center" vertical="center"/>
    </xf>
    <xf numFmtId="14" fontId="197" fillId="15" borderId="104" xfId="8" applyNumberFormat="1" applyFont="1" applyFill="1" applyBorder="1" applyAlignment="1">
      <alignment horizontal="left"/>
    </xf>
    <xf numFmtId="14" fontId="84" fillId="0" borderId="0" xfId="8" applyNumberFormat="1" applyFont="1" applyAlignment="1">
      <alignment horizontal="left"/>
    </xf>
    <xf numFmtId="49" fontId="196" fillId="0" borderId="107" xfId="7" applyNumberFormat="1" applyFont="1" applyFill="1" applyBorder="1" applyAlignment="1" applyProtection="1">
      <alignment horizontal="right" vertical="center"/>
      <protection locked="0"/>
    </xf>
    <xf numFmtId="0" fontId="51" fillId="0" borderId="108" xfId="8" applyNumberFormat="1" applyFont="1" applyBorder="1" applyAlignment="1">
      <alignment horizontal="right" vertical="center"/>
    </xf>
    <xf numFmtId="2" fontId="129" fillId="0" borderId="0" xfId="8" applyFont="1" applyAlignment="1">
      <alignment vertical="center"/>
    </xf>
    <xf numFmtId="0" fontId="198" fillId="4" borderId="104" xfId="8" applyNumberFormat="1" applyFont="1" applyFill="1" applyBorder="1" applyAlignment="1">
      <alignment horizontal="right" vertical="center"/>
    </xf>
    <xf numFmtId="0" fontId="4" fillId="0" borderId="0" xfId="8" applyNumberFormat="1" applyFont="1" applyAlignment="1">
      <alignment vertical="center"/>
    </xf>
    <xf numFmtId="177" fontId="51" fillId="0" borderId="0" xfId="8" applyNumberFormat="1" applyFont="1" applyAlignment="1">
      <alignment horizontal="center" vertical="center"/>
    </xf>
    <xf numFmtId="2" fontId="4" fillId="15" borderId="104" xfId="8" applyFont="1" applyFill="1" applyBorder="1" applyAlignment="1">
      <alignment vertical="center"/>
    </xf>
    <xf numFmtId="184" fontId="51" fillId="0" borderId="0" xfId="8" applyNumberFormat="1" applyFont="1" applyAlignment="1">
      <alignment horizontal="center" vertical="center"/>
    </xf>
    <xf numFmtId="184" fontId="10" fillId="0" borderId="0" xfId="8" applyNumberFormat="1" applyFont="1" applyAlignment="1">
      <alignment horizontal="center" vertical="center"/>
    </xf>
    <xf numFmtId="185" fontId="10" fillId="0" borderId="108" xfId="8" applyNumberFormat="1" applyFont="1" applyBorder="1" applyAlignment="1">
      <alignment horizontal="right" vertical="center"/>
    </xf>
    <xf numFmtId="185" fontId="10" fillId="0" borderId="0" xfId="8" applyNumberFormat="1" applyFont="1" applyAlignment="1">
      <alignment horizontal="center" vertical="center"/>
    </xf>
    <xf numFmtId="49" fontId="196" fillId="0" borderId="109" xfId="7" applyNumberFormat="1" applyFont="1" applyFill="1" applyBorder="1" applyAlignment="1" applyProtection="1">
      <alignment horizontal="right" vertical="center"/>
      <protection locked="0"/>
    </xf>
    <xf numFmtId="185" fontId="10" fillId="0" borderId="110" xfId="8" applyNumberFormat="1" applyFont="1" applyBorder="1" applyAlignment="1">
      <alignment horizontal="right" vertical="center"/>
    </xf>
    <xf numFmtId="0" fontId="70" fillId="0" borderId="0" xfId="8" applyNumberFormat="1" applyFont="1" applyAlignment="1">
      <alignment horizontal="center" vertical="center"/>
    </xf>
    <xf numFmtId="49" fontId="2" fillId="0" borderId="0" xfId="7" applyNumberFormat="1" applyFill="1" applyBorder="1" applyAlignment="1" applyProtection="1">
      <alignment horizontal="right" vertical="center"/>
      <protection locked="0"/>
    </xf>
    <xf numFmtId="177" fontId="7" fillId="0" borderId="0" xfId="8" applyNumberFormat="1" applyAlignment="1">
      <alignment vertical="center"/>
    </xf>
    <xf numFmtId="49" fontId="51" fillId="5" borderId="0" xfId="8" applyNumberFormat="1" applyFont="1" applyFill="1" applyAlignment="1" applyProtection="1">
      <alignment horizontal="right" vertical="center"/>
      <protection locked="0"/>
    </xf>
    <xf numFmtId="0" fontId="7" fillId="4" borderId="111" xfId="8" applyNumberFormat="1" applyFill="1" applyBorder="1" applyAlignment="1">
      <alignment horizontal="left" vertical="center" wrapText="1"/>
    </xf>
    <xf numFmtId="0" fontId="7" fillId="4" borderId="111" xfId="8" applyNumberFormat="1" applyFill="1" applyBorder="1" applyAlignment="1">
      <alignment horizontal="left" vertical="center"/>
    </xf>
    <xf numFmtId="194" fontId="52" fillId="0" borderId="0" xfId="8" applyNumberFormat="1" applyFont="1" applyAlignment="1">
      <alignment vertical="center" wrapText="1"/>
    </xf>
    <xf numFmtId="195" fontId="7" fillId="0" borderId="23" xfId="0" applyNumberFormat="1" applyFont="1" applyBorder="1" applyAlignment="1">
      <alignment horizontal="left" vertical="center" wrapText="1"/>
    </xf>
    <xf numFmtId="177" fontId="8" fillId="0" borderId="23" xfId="8" applyNumberFormat="1" applyFont="1" applyBorder="1" applyAlignment="1">
      <alignment horizontal="left" vertical="center" wrapText="1"/>
    </xf>
    <xf numFmtId="177" fontId="8" fillId="0" borderId="23" xfId="8" applyNumberFormat="1" applyFont="1" applyBorder="1" applyAlignment="1">
      <alignment horizontal="left" vertical="center"/>
    </xf>
    <xf numFmtId="177" fontId="7" fillId="0" borderId="23" xfId="8" applyNumberFormat="1" applyBorder="1" applyAlignment="1">
      <alignment horizontal="left" vertical="center" wrapText="1"/>
    </xf>
    <xf numFmtId="2" fontId="7" fillId="0" borderId="0" xfId="8"/>
    <xf numFmtId="0" fontId="89" fillId="0" borderId="0" xfId="8" applyNumberFormat="1" applyFont="1"/>
    <xf numFmtId="196" fontId="23" fillId="7" borderId="0" xfId="8" applyNumberFormat="1" applyFont="1" applyFill="1" applyAlignment="1">
      <alignment horizontal="center" vertical="center"/>
    </xf>
    <xf numFmtId="4" fontId="23" fillId="6" borderId="0" xfId="8" applyNumberFormat="1" applyFont="1" applyFill="1" applyAlignment="1">
      <alignment horizontal="center" vertical="center"/>
    </xf>
    <xf numFmtId="2" fontId="9" fillId="0" borderId="23" xfId="8" applyFont="1" applyBorder="1" applyAlignment="1">
      <alignment vertical="center"/>
    </xf>
    <xf numFmtId="4" fontId="32" fillId="0" borderId="0" xfId="8" applyNumberFormat="1" applyFont="1" applyAlignment="1">
      <alignment horizontal="center" vertical="center"/>
    </xf>
    <xf numFmtId="2" fontId="11" fillId="0" borderId="23" xfId="8" applyFont="1" applyBorder="1" applyAlignment="1">
      <alignment vertical="center"/>
    </xf>
    <xf numFmtId="4" fontId="32" fillId="0" borderId="0" xfId="8" applyNumberFormat="1" applyFont="1" applyAlignment="1">
      <alignment horizontal="right" vertical="center"/>
    </xf>
    <xf numFmtId="2" fontId="121" fillId="0" borderId="0" xfId="8" applyFont="1" applyAlignment="1">
      <alignment horizontal="center" vertical="center"/>
    </xf>
    <xf numFmtId="2" fontId="8" fillId="0" borderId="0" xfId="8" applyFont="1" applyAlignment="1">
      <alignment horizontal="center" vertical="center"/>
    </xf>
    <xf numFmtId="2" fontId="7" fillId="0" borderId="0" xfId="8" applyAlignment="1">
      <alignment horizontal="center" vertical="center"/>
    </xf>
    <xf numFmtId="2" fontId="125" fillId="0" borderId="23" xfId="8" applyFont="1" applyBorder="1" applyAlignment="1">
      <alignment vertical="center"/>
    </xf>
    <xf numFmtId="2" fontId="16" fillId="0" borderId="0" xfId="8" applyFont="1" applyAlignment="1">
      <alignment vertical="center"/>
    </xf>
    <xf numFmtId="2" fontId="16" fillId="0" borderId="0" xfId="8" applyFont="1" applyAlignment="1">
      <alignment horizontal="center" vertical="center"/>
    </xf>
    <xf numFmtId="2" fontId="8" fillId="0" borderId="0" xfId="8" applyFont="1" applyAlignment="1">
      <alignment vertical="center"/>
    </xf>
    <xf numFmtId="10" fontId="32" fillId="0" borderId="0" xfId="8" applyNumberFormat="1" applyFont="1" applyAlignment="1">
      <alignment horizontal="center" vertical="center"/>
    </xf>
    <xf numFmtId="2" fontId="17" fillId="0" borderId="23" xfId="8" applyFont="1" applyBorder="1" applyAlignment="1">
      <alignment vertical="center"/>
    </xf>
    <xf numFmtId="4" fontId="53" fillId="0" borderId="23" xfId="8" applyNumberFormat="1" applyFont="1" applyBorder="1" applyAlignment="1">
      <alignment horizontal="center" vertical="center"/>
    </xf>
    <xf numFmtId="4" fontId="16" fillId="0" borderId="0" xfId="8" applyNumberFormat="1" applyFont="1" applyAlignment="1">
      <alignment horizontal="left" vertical="center" wrapText="1"/>
    </xf>
    <xf numFmtId="189" fontId="164" fillId="0" borderId="0" xfId="8" applyNumberFormat="1" applyFont="1" applyAlignment="1">
      <alignment horizontal="left"/>
    </xf>
    <xf numFmtId="0" fontId="89" fillId="0" borderId="0" xfId="8" applyNumberFormat="1" applyFont="1" applyAlignment="1">
      <alignment wrapText="1"/>
    </xf>
    <xf numFmtId="189" fontId="9" fillId="0" borderId="0" xfId="8" applyNumberFormat="1" applyFont="1" applyAlignment="1">
      <alignment horizontal="right" wrapText="1"/>
    </xf>
    <xf numFmtId="189" fontId="7" fillId="0" borderId="0" xfId="8" applyNumberFormat="1" applyAlignment="1">
      <alignment horizontal="right"/>
    </xf>
    <xf numFmtId="14" fontId="7" fillId="0" borderId="0" xfId="8" applyNumberFormat="1" applyAlignment="1">
      <alignment horizontal="right"/>
    </xf>
    <xf numFmtId="176" fontId="7" fillId="0" borderId="0" xfId="8" applyNumberFormat="1"/>
    <xf numFmtId="176" fontId="89" fillId="0" borderId="0" xfId="8" applyNumberFormat="1" applyFont="1" applyAlignment="1">
      <alignment wrapText="1"/>
    </xf>
    <xf numFmtId="176" fontId="12" fillId="0" borderId="0" xfId="8" applyNumberFormat="1" applyFont="1" applyAlignment="1">
      <alignment horizontal="right" wrapText="1"/>
    </xf>
    <xf numFmtId="176" fontId="7" fillId="0" borderId="0" xfId="8" applyNumberFormat="1" applyAlignment="1">
      <alignment horizontal="right"/>
    </xf>
    <xf numFmtId="10" fontId="15" fillId="0" borderId="0" xfId="8" applyNumberFormat="1" applyFont="1" applyAlignment="1">
      <alignment horizontal="right"/>
    </xf>
    <xf numFmtId="10" fontId="89" fillId="0" borderId="0" xfId="8" applyNumberFormat="1" applyFont="1" applyAlignment="1">
      <alignment wrapText="1"/>
    </xf>
    <xf numFmtId="10" fontId="12" fillId="0" borderId="0" xfId="8" applyNumberFormat="1" applyFont="1" applyAlignment="1">
      <alignment horizontal="right" wrapText="1"/>
    </xf>
    <xf numFmtId="10" fontId="7" fillId="0" borderId="0" xfId="8" applyNumberFormat="1" applyAlignment="1">
      <alignment horizontal="right"/>
    </xf>
    <xf numFmtId="4" fontId="12" fillId="0" borderId="0" xfId="8" applyNumberFormat="1" applyFont="1" applyAlignment="1">
      <alignment horizontal="right" wrapText="1"/>
    </xf>
    <xf numFmtId="2" fontId="7" fillId="0" borderId="0" xfId="8" applyAlignment="1">
      <alignment horizontal="right"/>
    </xf>
    <xf numFmtId="2" fontId="15" fillId="0" borderId="0" xfId="8" applyFont="1" applyAlignment="1">
      <alignment horizontal="right"/>
    </xf>
    <xf numFmtId="2" fontId="7" fillId="0" borderId="43" xfId="8" applyBorder="1" applyAlignment="1">
      <alignment horizontal="right"/>
    </xf>
    <xf numFmtId="2" fontId="9" fillId="0" borderId="0" xfId="8" applyFont="1" applyAlignment="1">
      <alignment horizontal="right"/>
    </xf>
    <xf numFmtId="0" fontId="9" fillId="0" borderId="0" xfId="8" applyNumberFormat="1" applyFont="1" applyAlignment="1">
      <alignment horizontal="right"/>
    </xf>
    <xf numFmtId="2" fontId="7" fillId="0" borderId="113" xfId="8" applyBorder="1" applyAlignment="1">
      <alignment horizontal="right"/>
    </xf>
    <xf numFmtId="4" fontId="20" fillId="0" borderId="0" xfId="8" applyNumberFormat="1" applyFont="1"/>
    <xf numFmtId="4" fontId="19" fillId="0" borderId="0" xfId="8" applyNumberFormat="1" applyFont="1" applyAlignment="1">
      <alignment horizontal="right"/>
    </xf>
    <xf numFmtId="2" fontId="9" fillId="0" borderId="0" xfId="8" applyFont="1"/>
    <xf numFmtId="4" fontId="20" fillId="0" borderId="0" xfId="8" applyNumberFormat="1" applyFont="1" applyAlignment="1">
      <alignment horizontal="right"/>
    </xf>
    <xf numFmtId="4" fontId="14" fillId="0" borderId="0" xfId="13" applyNumberFormat="1" applyFont="1" applyFill="1" applyBorder="1" applyAlignment="1">
      <alignment horizontal="right" wrapText="1"/>
    </xf>
    <xf numFmtId="189" fontId="19" fillId="0" borderId="0" xfId="8" applyNumberFormat="1" applyFont="1" applyAlignment="1">
      <alignment horizontal="right"/>
    </xf>
    <xf numFmtId="4" fontId="7" fillId="0" borderId="0" xfId="8" applyNumberFormat="1" applyAlignment="1">
      <alignment horizontal="right" wrapText="1"/>
    </xf>
    <xf numFmtId="4" fontId="21" fillId="0" borderId="0" xfId="8" applyNumberFormat="1" applyFont="1" applyAlignment="1">
      <alignment horizontal="right"/>
    </xf>
    <xf numFmtId="4" fontId="7" fillId="0" borderId="0" xfId="8" applyNumberFormat="1"/>
    <xf numFmtId="2" fontId="53" fillId="0" borderId="54" xfId="8" applyFont="1" applyBorder="1" applyAlignment="1">
      <alignment horizontal="center" vertical="center" wrapText="1"/>
    </xf>
    <xf numFmtId="0" fontId="23" fillId="7" borderId="0" xfId="8" applyNumberFormat="1" applyFont="1" applyFill="1" applyAlignment="1">
      <alignment horizontal="center" vertical="center" wrapText="1"/>
    </xf>
    <xf numFmtId="177" fontId="9" fillId="12" borderId="114" xfId="8" applyNumberFormat="1" applyFont="1" applyFill="1" applyBorder="1" applyAlignment="1">
      <alignment horizontal="left" vertical="center" wrapText="1"/>
    </xf>
    <xf numFmtId="2" fontId="9" fillId="0" borderId="39" xfId="8" applyFont="1" applyBorder="1"/>
    <xf numFmtId="2" fontId="9" fillId="0" borderId="4" xfId="8" applyFont="1" applyBorder="1"/>
    <xf numFmtId="2" fontId="7" fillId="0" borderId="2" xfId="8" applyBorder="1" applyAlignment="1">
      <alignment horizontal="left"/>
    </xf>
    <xf numFmtId="2" fontId="7" fillId="0" borderId="2" xfId="8" applyBorder="1" applyAlignment="1">
      <alignment horizontal="left" vertical="center"/>
    </xf>
    <xf numFmtId="177" fontId="9" fillId="0" borderId="114" xfId="8" applyNumberFormat="1" applyFont="1" applyBorder="1" applyAlignment="1">
      <alignment horizontal="left" vertical="center" wrapText="1"/>
    </xf>
    <xf numFmtId="2" fontId="7" fillId="0" borderId="66" xfId="8" applyBorder="1" applyAlignment="1">
      <alignment horizontal="left" vertical="center"/>
    </xf>
    <xf numFmtId="2" fontId="7" fillId="0" borderId="4" xfId="8" applyBorder="1"/>
    <xf numFmtId="177" fontId="9" fillId="0" borderId="115" xfId="8" applyNumberFormat="1" applyFont="1" applyBorder="1" applyAlignment="1">
      <alignment horizontal="left" vertical="center" wrapText="1"/>
    </xf>
    <xf numFmtId="2" fontId="9" fillId="0" borderId="8" xfId="8" applyFont="1" applyBorder="1"/>
    <xf numFmtId="177" fontId="9" fillId="0" borderId="2" xfId="8" applyNumberFormat="1" applyFont="1" applyBorder="1" applyAlignment="1">
      <alignment horizontal="left" vertical="center" wrapText="1"/>
    </xf>
    <xf numFmtId="177" fontId="9" fillId="0" borderId="116" xfId="8" applyNumberFormat="1" applyFont="1" applyBorder="1" applyAlignment="1">
      <alignment horizontal="left" vertical="center" wrapText="1"/>
    </xf>
    <xf numFmtId="2" fontId="7" fillId="0" borderId="8" xfId="8" applyBorder="1" applyAlignment="1">
      <alignment horizontal="left"/>
    </xf>
    <xf numFmtId="2" fontId="7" fillId="0" borderId="0" xfId="8" applyAlignment="1">
      <alignment horizontal="left" vertical="center"/>
    </xf>
    <xf numFmtId="2" fontId="9" fillId="0" borderId="39" xfId="8" applyFont="1" applyBorder="1" applyAlignment="1">
      <alignment horizontal="center"/>
    </xf>
    <xf numFmtId="49" fontId="9" fillId="0" borderId="39" xfId="8" applyNumberFormat="1" applyFont="1" applyBorder="1" applyAlignment="1">
      <alignment horizontal="center"/>
    </xf>
    <xf numFmtId="2" fontId="7" fillId="0" borderId="68" xfId="8" applyBorder="1" applyAlignment="1">
      <alignment vertical="center"/>
    </xf>
    <xf numFmtId="2" fontId="7" fillId="0" borderId="2" xfId="8" applyBorder="1" applyAlignment="1">
      <alignment vertical="center"/>
    </xf>
    <xf numFmtId="2" fontId="7" fillId="0" borderId="66" xfId="8" applyBorder="1" applyAlignment="1">
      <alignment vertical="center"/>
    </xf>
    <xf numFmtId="2" fontId="7" fillId="0" borderId="39" xfId="8" applyBorder="1"/>
    <xf numFmtId="2" fontId="7" fillId="0" borderId="8" xfId="8" applyBorder="1"/>
    <xf numFmtId="2" fontId="14" fillId="0" borderId="0" xfId="2" applyNumberFormat="1" applyFont="1" applyBorder="1" applyAlignment="1" applyProtection="1">
      <alignment horizontal="center" vertical="center"/>
    </xf>
    <xf numFmtId="2" fontId="14" fillId="2" borderId="0" xfId="2" applyNumberFormat="1" applyFont="1" applyFill="1" applyBorder="1" applyAlignment="1" applyProtection="1">
      <alignment horizontal="center" vertical="center"/>
    </xf>
    <xf numFmtId="0" fontId="7" fillId="0" borderId="29" xfId="8" applyNumberFormat="1" applyBorder="1" applyAlignment="1">
      <alignment vertical="center"/>
    </xf>
    <xf numFmtId="0" fontId="113" fillId="0" borderId="29" xfId="8" applyNumberFormat="1" applyFont="1" applyBorder="1" applyAlignment="1">
      <alignment vertical="center"/>
    </xf>
    <xf numFmtId="2" fontId="112" fillId="0" borderId="29" xfId="8" applyFont="1" applyBorder="1" applyAlignment="1">
      <alignment vertical="center"/>
    </xf>
    <xf numFmtId="0" fontId="7" fillId="4" borderId="29" xfId="8" applyNumberFormat="1" applyFill="1" applyBorder="1" applyAlignment="1">
      <alignment vertical="center"/>
    </xf>
    <xf numFmtId="0" fontId="7" fillId="19" borderId="29" xfId="8" applyNumberFormat="1" applyFill="1" applyBorder="1" applyAlignment="1">
      <alignment vertical="center"/>
    </xf>
    <xf numFmtId="0" fontId="7" fillId="0" borderId="31" xfId="8" applyNumberFormat="1" applyBorder="1" applyAlignment="1">
      <alignment vertical="center"/>
    </xf>
    <xf numFmtId="0" fontId="116" fillId="0" borderId="31" xfId="8" applyNumberFormat="1" applyFont="1" applyBorder="1" applyAlignment="1" applyProtection="1">
      <alignment vertical="center"/>
      <protection hidden="1"/>
    </xf>
    <xf numFmtId="0" fontId="180" fillId="0" borderId="29" xfId="8" applyNumberFormat="1" applyFont="1" applyBorder="1" applyAlignment="1">
      <alignment vertical="center"/>
    </xf>
    <xf numFmtId="0" fontId="7" fillId="0" borderId="30" xfId="8" applyNumberFormat="1" applyBorder="1" applyAlignment="1">
      <alignment vertical="center"/>
    </xf>
    <xf numFmtId="0" fontId="10" fillId="0" borderId="65" xfId="8" applyNumberFormat="1" applyFont="1" applyBorder="1" applyAlignment="1">
      <alignment vertical="center"/>
    </xf>
    <xf numFmtId="0" fontId="7" fillId="0" borderId="32" xfId="8" applyNumberFormat="1" applyBorder="1" applyAlignment="1">
      <alignment vertical="center"/>
    </xf>
    <xf numFmtId="0" fontId="7" fillId="0" borderId="119" xfId="8" applyNumberFormat="1" applyBorder="1" applyAlignment="1">
      <alignment vertical="center"/>
    </xf>
    <xf numFmtId="0" fontId="7" fillId="0" borderId="120" xfId="8" applyNumberFormat="1" applyBorder="1" applyAlignment="1">
      <alignment vertical="center"/>
    </xf>
    <xf numFmtId="0" fontId="7" fillId="0" borderId="121" xfId="8" applyNumberFormat="1" applyBorder="1" applyAlignment="1">
      <alignment vertical="center"/>
    </xf>
    <xf numFmtId="0" fontId="7" fillId="0" borderId="43" xfId="8" applyNumberFormat="1" applyBorder="1" applyAlignment="1">
      <alignment vertical="center"/>
    </xf>
    <xf numFmtId="0" fontId="7" fillId="0" borderId="57" xfId="8" applyNumberFormat="1" applyBorder="1" applyAlignment="1">
      <alignment vertical="center"/>
    </xf>
    <xf numFmtId="14" fontId="7" fillId="0" borderId="29" xfId="8" applyNumberFormat="1" applyBorder="1" applyAlignment="1">
      <alignment vertical="center"/>
    </xf>
    <xf numFmtId="0" fontId="14" fillId="0" borderId="29" xfId="8" applyNumberFormat="1" applyFont="1" applyBorder="1" applyAlignment="1">
      <alignment vertical="center" wrapText="1"/>
    </xf>
    <xf numFmtId="0" fontId="14" fillId="0" borderId="31" xfId="8" applyNumberFormat="1" applyFont="1" applyBorder="1" applyAlignment="1">
      <alignment vertical="center" wrapText="1"/>
    </xf>
    <xf numFmtId="0" fontId="115" fillId="0" borderId="29" xfId="8" applyNumberFormat="1" applyFont="1" applyBorder="1" applyAlignment="1">
      <alignment vertical="center" wrapText="1"/>
    </xf>
    <xf numFmtId="0" fontId="102" fillId="0" borderId="29" xfId="8" applyNumberFormat="1" applyFont="1" applyBorder="1" applyAlignment="1">
      <alignment vertical="center"/>
    </xf>
    <xf numFmtId="0" fontId="10" fillId="0" borderId="70" xfId="8" applyNumberFormat="1" applyFont="1" applyBorder="1" applyProtection="1">
      <protection hidden="1"/>
    </xf>
    <xf numFmtId="0" fontId="7" fillId="0" borderId="34" xfId="8" applyNumberFormat="1" applyBorder="1" applyProtection="1">
      <protection hidden="1"/>
    </xf>
    <xf numFmtId="0" fontId="7" fillId="0" borderId="35" xfId="8" applyNumberFormat="1" applyBorder="1" applyAlignment="1" applyProtection="1">
      <alignment wrapText="1"/>
      <protection hidden="1"/>
    </xf>
    <xf numFmtId="0" fontId="7" fillId="0" borderId="56" xfId="8" applyNumberFormat="1" applyBorder="1" applyAlignment="1" applyProtection="1">
      <alignment vertical="center"/>
      <protection hidden="1"/>
    </xf>
    <xf numFmtId="0" fontId="7" fillId="0" borderId="29" xfId="8" applyNumberFormat="1" applyBorder="1" applyAlignment="1" applyProtection="1">
      <alignment vertical="center"/>
      <protection hidden="1"/>
    </xf>
    <xf numFmtId="0" fontId="7" fillId="0" borderId="36" xfId="8" applyNumberFormat="1" applyBorder="1" applyAlignment="1" applyProtection="1">
      <alignment vertical="center"/>
      <protection hidden="1"/>
    </xf>
    <xf numFmtId="0" fontId="115" fillId="0" borderId="31" xfId="8" applyNumberFormat="1" applyFont="1" applyBorder="1" applyAlignment="1">
      <alignment vertical="center" wrapText="1"/>
    </xf>
    <xf numFmtId="0" fontId="7" fillId="0" borderId="57" xfId="8" applyNumberFormat="1" applyBorder="1" applyAlignment="1" applyProtection="1">
      <alignment vertical="center"/>
      <protection hidden="1"/>
    </xf>
    <xf numFmtId="0" fontId="7" fillId="0" borderId="58" xfId="8" applyNumberFormat="1" applyBorder="1" applyAlignment="1" applyProtection="1">
      <alignment vertical="center"/>
      <protection hidden="1"/>
    </xf>
    <xf numFmtId="0" fontId="7" fillId="0" borderId="59" xfId="8" applyNumberFormat="1" applyBorder="1" applyAlignment="1" applyProtection="1">
      <alignment vertical="center"/>
      <protection hidden="1"/>
    </xf>
    <xf numFmtId="0" fontId="7" fillId="0" borderId="37" xfId="8" applyNumberFormat="1" applyBorder="1" applyAlignment="1" applyProtection="1">
      <alignment vertical="center"/>
      <protection hidden="1"/>
    </xf>
    <xf numFmtId="0" fontId="7" fillId="0" borderId="38" xfId="8" applyNumberFormat="1" applyBorder="1" applyAlignment="1" applyProtection="1">
      <alignment vertical="center"/>
      <protection hidden="1"/>
    </xf>
    <xf numFmtId="0" fontId="3" fillId="0" borderId="29" xfId="8" applyNumberFormat="1" applyFont="1" applyBorder="1" applyAlignment="1">
      <alignment wrapText="1"/>
    </xf>
    <xf numFmtId="49" fontId="3" fillId="0" borderId="29" xfId="8" applyNumberFormat="1" applyFont="1" applyBorder="1"/>
    <xf numFmtId="0" fontId="3" fillId="0" borderId="29" xfId="8" applyNumberFormat="1" applyFont="1" applyBorder="1"/>
    <xf numFmtId="0" fontId="46" fillId="0" borderId="29" xfId="8" applyNumberFormat="1" applyFont="1" applyBorder="1"/>
    <xf numFmtId="0" fontId="49" fillId="0" borderId="29" xfId="8" applyNumberFormat="1" applyFont="1" applyBorder="1"/>
    <xf numFmtId="2" fontId="7" fillId="0" borderId="0" xfId="8" applyAlignment="1">
      <alignment horizontal="right" vertical="center"/>
    </xf>
    <xf numFmtId="0" fontId="7" fillId="0" borderId="122" xfId="8" applyNumberFormat="1" applyBorder="1" applyAlignment="1">
      <alignment vertical="center"/>
    </xf>
    <xf numFmtId="2" fontId="7" fillId="0" borderId="0" xfId="9"/>
    <xf numFmtId="14" fontId="8" fillId="0" borderId="23" xfId="9" applyNumberFormat="1" applyFont="1" applyBorder="1" applyAlignment="1">
      <alignment horizontal="left" vertical="center"/>
    </xf>
    <xf numFmtId="49" fontId="8" fillId="0" borderId="23" xfId="9" applyNumberFormat="1" applyFont="1" applyBorder="1" applyAlignment="1">
      <alignment horizontal="left" vertical="center" wrapText="1"/>
    </xf>
    <xf numFmtId="2" fontId="52" fillId="12" borderId="0" xfId="9" applyFont="1" applyFill="1"/>
    <xf numFmtId="177" fontId="8" fillId="0" borderId="23" xfId="9" applyNumberFormat="1" applyFont="1" applyBorder="1" applyAlignment="1">
      <alignment horizontal="left" vertical="center" wrapText="1"/>
    </xf>
    <xf numFmtId="2" fontId="52" fillId="0" borderId="0" xfId="9" applyFont="1"/>
    <xf numFmtId="177" fontId="8" fillId="2" borderId="23" xfId="9" applyNumberFormat="1" applyFont="1" applyFill="1" applyBorder="1" applyAlignment="1">
      <alignment horizontal="left" vertical="center" wrapText="1"/>
    </xf>
    <xf numFmtId="177" fontId="7" fillId="2" borderId="23" xfId="9" applyNumberFormat="1" applyFill="1" applyBorder="1" applyAlignment="1">
      <alignment horizontal="left" vertical="center" wrapText="1"/>
    </xf>
    <xf numFmtId="177" fontId="7" fillId="0" borderId="23" xfId="9" applyNumberFormat="1" applyBorder="1" applyAlignment="1">
      <alignment horizontal="left" vertical="center" wrapText="1"/>
    </xf>
    <xf numFmtId="177" fontId="8" fillId="0" borderId="23" xfId="9" applyNumberFormat="1" applyFont="1" applyBorder="1" applyAlignment="1">
      <alignment horizontal="left" vertical="center"/>
    </xf>
    <xf numFmtId="177" fontId="8" fillId="2" borderId="23" xfId="9" applyNumberFormat="1" applyFont="1" applyFill="1" applyBorder="1" applyAlignment="1">
      <alignment horizontal="left" vertical="center"/>
    </xf>
    <xf numFmtId="177" fontId="8" fillId="0" borderId="23" xfId="9" quotePrefix="1" applyNumberFormat="1" applyFont="1" applyBorder="1" applyAlignment="1">
      <alignment horizontal="left" vertical="center" wrapText="1"/>
    </xf>
    <xf numFmtId="192" fontId="8" fillId="0" borderId="23" xfId="9" applyNumberFormat="1" applyFont="1" applyBorder="1" applyAlignment="1">
      <alignment horizontal="left" vertical="center" wrapText="1"/>
    </xf>
    <xf numFmtId="0" fontId="4" fillId="15" borderId="104" xfId="8" applyNumberFormat="1" applyFont="1" applyFill="1" applyBorder="1" applyAlignment="1">
      <alignment horizontal="left" vertical="center"/>
    </xf>
    <xf numFmtId="2" fontId="9" fillId="0" borderId="21" xfId="0" applyFont="1" applyBorder="1" applyAlignment="1">
      <alignment wrapText="1"/>
    </xf>
    <xf numFmtId="198" fontId="7" fillId="0" borderId="20" xfId="0" applyNumberFormat="1" applyFont="1" applyBorder="1"/>
    <xf numFmtId="2" fontId="32" fillId="0" borderId="0" xfId="0" applyFont="1" applyAlignment="1">
      <alignment horizontal="center" vertical="center"/>
    </xf>
    <xf numFmtId="2" fontId="9" fillId="0" borderId="0" xfId="0" applyFont="1" applyAlignment="1">
      <alignment horizontal="right" vertical="center"/>
    </xf>
    <xf numFmtId="2" fontId="9" fillId="0" borderId="23" xfId="0" applyFont="1" applyBorder="1" applyAlignment="1">
      <alignment horizontal="right" vertical="center"/>
    </xf>
    <xf numFmtId="196" fontId="89" fillId="0" borderId="0" xfId="8" applyNumberFormat="1" applyFont="1" applyAlignment="1">
      <alignment horizontal="right" wrapText="1"/>
    </xf>
    <xf numFmtId="196" fontId="20" fillId="0" borderId="0" xfId="8" applyNumberFormat="1" applyFont="1" applyAlignment="1">
      <alignment horizontal="right"/>
    </xf>
    <xf numFmtId="49" fontId="10" fillId="20" borderId="0" xfId="10" applyNumberFormat="1" applyFont="1" applyFill="1" applyAlignment="1">
      <alignment horizontal="center" vertical="center"/>
    </xf>
    <xf numFmtId="14" fontId="21" fillId="0" borderId="0" xfId="0" applyNumberFormat="1" applyFont="1" applyAlignment="1">
      <alignment horizontal="center" vertical="center"/>
    </xf>
    <xf numFmtId="190" fontId="16" fillId="4" borderId="0" xfId="0" applyNumberFormat="1" applyFont="1" applyFill="1" applyAlignment="1">
      <alignment horizontal="left" vertical="center"/>
    </xf>
    <xf numFmtId="190" fontId="16" fillId="4" borderId="0" xfId="0" applyNumberFormat="1" applyFont="1" applyFill="1" applyAlignment="1">
      <alignment vertical="center"/>
    </xf>
    <xf numFmtId="177" fontId="129" fillId="0" borderId="0" xfId="0" applyNumberFormat="1" applyFont="1" applyAlignment="1">
      <alignment horizontal="center" vertical="center"/>
    </xf>
    <xf numFmtId="2" fontId="7" fillId="0" borderId="23" xfId="0" applyFont="1" applyBorder="1" applyAlignment="1">
      <alignment vertical="center"/>
    </xf>
    <xf numFmtId="2" fontId="8" fillId="0" borderId="23" xfId="0" applyFont="1" applyBorder="1" applyAlignment="1">
      <alignment vertical="center" wrapText="1"/>
    </xf>
    <xf numFmtId="178" fontId="52" fillId="0" borderId="0" xfId="0" applyNumberFormat="1" applyFont="1" applyAlignment="1">
      <alignment horizontal="left" vertical="center" wrapText="1"/>
    </xf>
    <xf numFmtId="197" fontId="0" fillId="0" borderId="0" xfId="0" applyNumberFormat="1"/>
    <xf numFmtId="10" fontId="7" fillId="0" borderId="0" xfId="8" applyNumberFormat="1"/>
    <xf numFmtId="49" fontId="0" fillId="0" borderId="0" xfId="0" applyNumberFormat="1"/>
    <xf numFmtId="49" fontId="84" fillId="15" borderId="0" xfId="0" applyNumberFormat="1" applyFont="1" applyFill="1"/>
    <xf numFmtId="49" fontId="7" fillId="0" borderId="0" xfId="8" applyNumberFormat="1" applyAlignment="1">
      <alignment vertical="center"/>
    </xf>
    <xf numFmtId="190" fontId="204" fillId="0" borderId="0" xfId="8" applyNumberFormat="1" applyFont="1" applyAlignment="1">
      <alignment horizontal="left" vertical="center"/>
    </xf>
    <xf numFmtId="2" fontId="203" fillId="0" borderId="0" xfId="8" applyFont="1" applyAlignment="1">
      <alignment vertical="center"/>
    </xf>
    <xf numFmtId="2" fontId="204" fillId="0" borderId="0" xfId="8" applyFont="1" applyAlignment="1">
      <alignment horizontal="left" vertical="center"/>
    </xf>
    <xf numFmtId="0" fontId="8" fillId="0" borderId="0" xfId="0" applyNumberFormat="1" applyFont="1" applyAlignment="1">
      <alignment horizontal="left" vertical="center" wrapText="1"/>
    </xf>
    <xf numFmtId="2" fontId="204" fillId="0" borderId="0" xfId="0" applyFont="1" applyAlignment="1">
      <alignment vertical="center"/>
    </xf>
    <xf numFmtId="176" fontId="35" fillId="7" borderId="23" xfId="5" applyNumberFormat="1" applyFont="1" applyFill="1" applyBorder="1">
      <alignment vertical="center"/>
    </xf>
    <xf numFmtId="49" fontId="87" fillId="6" borderId="53" xfId="0" applyNumberFormat="1" applyFont="1" applyFill="1" applyBorder="1" applyAlignment="1">
      <alignment horizontal="center" vertical="center"/>
    </xf>
    <xf numFmtId="0" fontId="7" fillId="0" borderId="0" xfId="8" applyNumberFormat="1"/>
    <xf numFmtId="0" fontId="0" fillId="0" borderId="0" xfId="0" applyNumberFormat="1"/>
    <xf numFmtId="0" fontId="52" fillId="0" borderId="0" xfId="8" applyNumberFormat="1" applyFont="1"/>
    <xf numFmtId="0" fontId="7" fillId="12" borderId="0" xfId="8" applyNumberFormat="1" applyFill="1"/>
    <xf numFmtId="0" fontId="0" fillId="0" borderId="43" xfId="0" applyNumberFormat="1" applyBorder="1"/>
    <xf numFmtId="0" fontId="52" fillId="0" borderId="0" xfId="0" applyNumberFormat="1" applyFont="1"/>
    <xf numFmtId="0" fontId="7" fillId="0" borderId="0" xfId="0" applyNumberFormat="1" applyFont="1"/>
    <xf numFmtId="0" fontId="8" fillId="16" borderId="23" xfId="8" applyNumberFormat="1" applyFont="1" applyFill="1" applyBorder="1" applyAlignment="1">
      <alignment horizontal="center" vertical="center"/>
    </xf>
    <xf numFmtId="0" fontId="8" fillId="0" borderId="23" xfId="8" applyNumberFormat="1" applyFont="1" applyBorder="1" applyAlignment="1">
      <alignment horizontal="left" vertical="center"/>
    </xf>
    <xf numFmtId="0" fontId="7" fillId="12" borderId="0" xfId="8" applyNumberFormat="1" applyFill="1" applyAlignment="1">
      <alignment vertical="center"/>
    </xf>
    <xf numFmtId="0" fontId="8" fillId="0" borderId="23" xfId="8" applyNumberFormat="1" applyFont="1" applyBorder="1" applyAlignment="1">
      <alignment horizontal="left" vertical="center" wrapText="1"/>
    </xf>
    <xf numFmtId="0" fontId="8" fillId="2" borderId="23" xfId="8" applyNumberFormat="1" applyFont="1" applyFill="1" applyBorder="1" applyAlignment="1">
      <alignment horizontal="left" vertical="center" wrapText="1"/>
    </xf>
    <xf numFmtId="0" fontId="7" fillId="2" borderId="23" xfId="8" applyNumberFormat="1" applyFill="1" applyBorder="1" applyAlignment="1">
      <alignment horizontal="left" vertical="center" wrapText="1"/>
    </xf>
    <xf numFmtId="0" fontId="7" fillId="0" borderId="23" xfId="8" applyNumberFormat="1" applyBorder="1" applyAlignment="1">
      <alignment horizontal="left" vertical="center" wrapText="1"/>
    </xf>
    <xf numFmtId="0" fontId="7" fillId="13" borderId="0" xfId="8" applyNumberFormat="1" applyFill="1"/>
    <xf numFmtId="0" fontId="7" fillId="0" borderId="0" xfId="0" applyNumberFormat="1" applyFont="1" applyAlignment="1">
      <alignment horizontal="left" vertical="center" wrapText="1"/>
    </xf>
    <xf numFmtId="0" fontId="8" fillId="2" borderId="23" xfId="8" applyNumberFormat="1" applyFont="1" applyFill="1" applyBorder="1" applyAlignment="1">
      <alignment horizontal="left" vertical="center"/>
    </xf>
    <xf numFmtId="0" fontId="8" fillId="0" borderId="23" xfId="8" quotePrefix="1" applyNumberFormat="1" applyFont="1" applyBorder="1" applyAlignment="1">
      <alignment horizontal="left" vertical="center" wrapText="1"/>
    </xf>
    <xf numFmtId="181" fontId="17" fillId="0" borderId="0" xfId="0" applyNumberFormat="1" applyFont="1" applyAlignment="1">
      <alignment horizontal="left"/>
    </xf>
    <xf numFmtId="2" fontId="9" fillId="15" borderId="0" xfId="0" applyFont="1" applyFill="1"/>
    <xf numFmtId="2" fontId="14" fillId="15" borderId="23" xfId="0" applyFont="1" applyFill="1" applyBorder="1" applyAlignment="1">
      <alignment vertical="center"/>
    </xf>
    <xf numFmtId="177" fontId="110" fillId="15" borderId="0" xfId="0" applyNumberFormat="1" applyFont="1" applyFill="1" applyAlignment="1">
      <alignment horizontal="center" vertical="center" wrapText="1"/>
    </xf>
    <xf numFmtId="177" fontId="14" fillId="15" borderId="0" xfId="0" applyNumberFormat="1" applyFont="1" applyFill="1" applyAlignment="1">
      <alignment horizontal="center" vertical="center" wrapText="1"/>
    </xf>
    <xf numFmtId="177" fontId="14" fillId="15" borderId="0" xfId="0" applyNumberFormat="1" applyFont="1" applyFill="1" applyAlignment="1">
      <alignment horizontal="center" vertical="center"/>
    </xf>
    <xf numFmtId="2" fontId="14" fillId="15" borderId="0" xfId="0" applyFont="1" applyFill="1" applyAlignment="1">
      <alignment horizontal="center" vertical="center"/>
    </xf>
    <xf numFmtId="177" fontId="14" fillId="15" borderId="0" xfId="0" applyNumberFormat="1" applyFont="1" applyFill="1" applyAlignment="1">
      <alignment vertical="center"/>
    </xf>
    <xf numFmtId="2" fontId="14" fillId="15" borderId="0" xfId="0" applyFont="1" applyFill="1" applyAlignment="1">
      <alignment vertical="center"/>
    </xf>
    <xf numFmtId="181" fontId="17" fillId="15" borderId="43" xfId="0" applyNumberFormat="1" applyFont="1" applyFill="1" applyBorder="1" applyAlignment="1">
      <alignment horizontal="left"/>
    </xf>
    <xf numFmtId="2" fontId="14" fillId="15" borderId="20" xfId="0" applyFont="1" applyFill="1" applyBorder="1" applyAlignment="1">
      <alignment vertical="center"/>
    </xf>
    <xf numFmtId="2" fontId="7" fillId="15" borderId="43" xfId="0" applyFont="1" applyFill="1" applyBorder="1" applyAlignment="1">
      <alignment horizontal="right" wrapText="1"/>
    </xf>
    <xf numFmtId="2" fontId="7" fillId="15" borderId="43" xfId="0" quotePrefix="1" applyFont="1" applyFill="1" applyBorder="1" applyAlignment="1">
      <alignment horizontal="right" wrapText="1"/>
    </xf>
    <xf numFmtId="2" fontId="7" fillId="15" borderId="20" xfId="0" applyFont="1" applyFill="1" applyBorder="1" applyAlignment="1">
      <alignment vertical="center"/>
    </xf>
    <xf numFmtId="177" fontId="9" fillId="15" borderId="23" xfId="0" applyNumberFormat="1" applyFont="1" applyFill="1" applyBorder="1" applyAlignment="1">
      <alignment vertical="center" wrapText="1"/>
    </xf>
    <xf numFmtId="177" fontId="21" fillId="15" borderId="0" xfId="0" applyNumberFormat="1" applyFont="1" applyFill="1" applyAlignment="1">
      <alignment horizontal="center" vertical="center" wrapText="1"/>
    </xf>
    <xf numFmtId="177" fontId="5" fillId="15" borderId="0" xfId="0" applyNumberFormat="1" applyFont="1" applyFill="1" applyAlignment="1">
      <alignment horizontal="center" vertical="center"/>
    </xf>
    <xf numFmtId="177" fontId="5" fillId="15" borderId="0" xfId="0" applyNumberFormat="1" applyFont="1" applyFill="1" applyAlignment="1">
      <alignment vertical="center"/>
    </xf>
    <xf numFmtId="177" fontId="7" fillId="15" borderId="21" xfId="0" applyNumberFormat="1" applyFont="1" applyFill="1" applyBorder="1" applyAlignment="1">
      <alignment vertical="center" wrapText="1"/>
    </xf>
    <xf numFmtId="2" fontId="52" fillId="15" borderId="23" xfId="0" applyFont="1" applyFill="1" applyBorder="1" applyAlignment="1">
      <alignment vertical="center"/>
    </xf>
    <xf numFmtId="181" fontId="93" fillId="15" borderId="23" xfId="0" applyNumberFormat="1" applyFont="1" applyFill="1" applyBorder="1" applyAlignment="1">
      <alignment horizontal="right" vertical="center"/>
    </xf>
    <xf numFmtId="10" fontId="110" fillId="15" borderId="0" xfId="2" applyFont="1" applyFill="1" applyBorder="1" applyAlignment="1" applyProtection="1">
      <alignment horizontal="center" vertical="center"/>
    </xf>
    <xf numFmtId="10" fontId="14" fillId="15" borderId="0" xfId="0" applyNumberFormat="1" applyFont="1" applyFill="1" applyAlignment="1">
      <alignment vertical="center"/>
    </xf>
    <xf numFmtId="181" fontId="14" fillId="15" borderId="0" xfId="0" applyNumberFormat="1" applyFont="1" applyFill="1" applyAlignment="1">
      <alignment vertical="center"/>
    </xf>
    <xf numFmtId="181" fontId="7" fillId="15" borderId="0" xfId="0" applyNumberFormat="1" applyFont="1" applyFill="1" applyAlignment="1">
      <alignment vertical="center"/>
    </xf>
    <xf numFmtId="181" fontId="17" fillId="15" borderId="23" xfId="0" applyNumberFormat="1" applyFont="1" applyFill="1" applyBorder="1" applyAlignment="1">
      <alignment horizontal="right" vertical="center"/>
    </xf>
    <xf numFmtId="181" fontId="9" fillId="15" borderId="23" xfId="0" applyNumberFormat="1" applyFont="1" applyFill="1" applyBorder="1" applyAlignment="1">
      <alignment horizontal="left" vertical="center"/>
    </xf>
    <xf numFmtId="177" fontId="14" fillId="15" borderId="0" xfId="4" applyNumberFormat="1" applyFont="1" applyFill="1" applyAlignment="1">
      <alignment horizontal="center" vertical="center"/>
    </xf>
    <xf numFmtId="177" fontId="21" fillId="15" borderId="0" xfId="0" applyNumberFormat="1" applyFont="1" applyFill="1" applyAlignment="1">
      <alignment horizontal="center" vertical="center"/>
    </xf>
    <xf numFmtId="2" fontId="7" fillId="15" borderId="23" xfId="0" applyFont="1" applyFill="1" applyBorder="1" applyAlignment="1">
      <alignment vertical="center" wrapText="1"/>
    </xf>
    <xf numFmtId="2" fontId="7" fillId="15" borderId="0" xfId="0" applyFont="1" applyFill="1" applyAlignment="1">
      <alignment vertical="center" wrapText="1"/>
    </xf>
    <xf numFmtId="177" fontId="110" fillId="15" borderId="0" xfId="0" applyNumberFormat="1" applyFont="1" applyFill="1" applyAlignment="1">
      <alignment horizontal="center" vertical="center"/>
    </xf>
    <xf numFmtId="177" fontId="4" fillId="15" borderId="0" xfId="0" applyNumberFormat="1" applyFont="1" applyFill="1" applyAlignment="1">
      <alignment horizontal="center" vertical="center"/>
    </xf>
    <xf numFmtId="2" fontId="4" fillId="15" borderId="0" xfId="0" applyFont="1" applyFill="1" applyAlignment="1">
      <alignment vertical="center"/>
    </xf>
    <xf numFmtId="177" fontId="4" fillId="15" borderId="0" xfId="0" applyNumberFormat="1" applyFont="1" applyFill="1" applyAlignment="1">
      <alignment vertical="center"/>
    </xf>
    <xf numFmtId="177" fontId="205" fillId="15" borderId="0" xfId="0" applyNumberFormat="1" applyFont="1" applyFill="1" applyAlignment="1">
      <alignment horizontal="center" vertical="center"/>
    </xf>
    <xf numFmtId="2" fontId="7" fillId="22" borderId="23" xfId="0" applyFont="1" applyFill="1" applyBorder="1" applyAlignment="1">
      <alignment vertical="center" wrapText="1"/>
    </xf>
    <xf numFmtId="2" fontId="7" fillId="22" borderId="0" xfId="0" applyFont="1" applyFill="1" applyAlignment="1">
      <alignment vertical="center" wrapText="1"/>
    </xf>
    <xf numFmtId="177" fontId="110" fillId="22" borderId="0" xfId="0" applyNumberFormat="1" applyFont="1" applyFill="1" applyAlignment="1">
      <alignment horizontal="center" vertical="center"/>
    </xf>
    <xf numFmtId="177" fontId="4" fillId="22" borderId="0" xfId="0" applyNumberFormat="1" applyFont="1" applyFill="1" applyAlignment="1">
      <alignment horizontal="center" vertical="center"/>
    </xf>
    <xf numFmtId="2" fontId="4" fillId="22" borderId="0" xfId="0" applyFont="1" applyFill="1" applyAlignment="1">
      <alignment vertical="center"/>
    </xf>
    <xf numFmtId="177" fontId="4" fillId="22" borderId="0" xfId="0" applyNumberFormat="1" applyFont="1" applyFill="1" applyAlignment="1">
      <alignment vertical="center"/>
    </xf>
    <xf numFmtId="177" fontId="169" fillId="21" borderId="0" xfId="0" applyNumberFormat="1" applyFont="1" applyFill="1" applyAlignment="1">
      <alignment horizontal="left"/>
    </xf>
    <xf numFmtId="177" fontId="14" fillId="21" borderId="0" xfId="0" applyNumberFormat="1" applyFont="1" applyFill="1" applyAlignment="1">
      <alignment horizontal="right"/>
    </xf>
    <xf numFmtId="177" fontId="9" fillId="21" borderId="23" xfId="0" applyNumberFormat="1" applyFont="1" applyFill="1" applyBorder="1" applyAlignment="1">
      <alignment vertical="center" wrapText="1"/>
    </xf>
    <xf numFmtId="10" fontId="21" fillId="2" borderId="0" xfId="0" applyNumberFormat="1" applyFont="1" applyFill="1" applyAlignment="1">
      <alignment horizontal="center" vertical="center"/>
    </xf>
    <xf numFmtId="0" fontId="201" fillId="18" borderId="84" xfId="8" applyNumberFormat="1" applyFont="1" applyFill="1" applyBorder="1" applyAlignment="1" applyProtection="1">
      <alignment horizontal="center" vertical="center"/>
      <protection hidden="1"/>
    </xf>
    <xf numFmtId="0" fontId="201" fillId="18" borderId="85" xfId="8" applyNumberFormat="1" applyFont="1" applyFill="1" applyBorder="1" applyAlignment="1" applyProtection="1">
      <alignment vertical="center"/>
      <protection hidden="1"/>
    </xf>
    <xf numFmtId="0" fontId="201" fillId="18" borderId="117" xfId="8" applyNumberFormat="1" applyFont="1" applyFill="1" applyBorder="1" applyAlignment="1" applyProtection="1">
      <alignment vertical="center"/>
      <protection hidden="1"/>
    </xf>
    <xf numFmtId="0" fontId="201" fillId="18" borderId="86" xfId="8" applyNumberFormat="1" applyFont="1" applyFill="1" applyBorder="1" applyAlignment="1" applyProtection="1">
      <alignment vertical="center"/>
      <protection hidden="1"/>
    </xf>
    <xf numFmtId="0" fontId="201" fillId="18" borderId="87" xfId="8" applyNumberFormat="1" applyFont="1" applyFill="1" applyBorder="1" applyAlignment="1" applyProtection="1">
      <alignment vertical="center"/>
      <protection hidden="1"/>
    </xf>
    <xf numFmtId="0" fontId="201" fillId="18" borderId="118" xfId="8" applyNumberFormat="1" applyFont="1" applyFill="1" applyBorder="1" applyAlignment="1" applyProtection="1">
      <alignment vertical="center"/>
      <protection hidden="1"/>
    </xf>
    <xf numFmtId="2" fontId="207" fillId="24" borderId="123" xfId="0" applyFont="1" applyFill="1" applyBorder="1"/>
    <xf numFmtId="2" fontId="207" fillId="25" borderId="123" xfId="0" applyFont="1" applyFill="1" applyBorder="1"/>
    <xf numFmtId="2" fontId="207" fillId="25" borderId="124" xfId="0" applyFont="1" applyFill="1" applyBorder="1"/>
    <xf numFmtId="2" fontId="207" fillId="24" borderId="124" xfId="0" applyFont="1" applyFill="1" applyBorder="1"/>
    <xf numFmtId="2" fontId="207" fillId="25" borderId="0" xfId="0" applyFont="1" applyFill="1"/>
    <xf numFmtId="2" fontId="207" fillId="0" borderId="0" xfId="0" applyFont="1"/>
    <xf numFmtId="2" fontId="208" fillId="26" borderId="124" xfId="0" applyFont="1" applyFill="1" applyBorder="1" applyAlignment="1">
      <alignment horizontal="center"/>
    </xf>
    <xf numFmtId="2" fontId="35" fillId="0" borderId="0" xfId="0" applyFont="1"/>
    <xf numFmtId="10" fontId="32" fillId="17" borderId="0" xfId="8" applyNumberFormat="1" applyFont="1" applyFill="1" applyAlignment="1">
      <alignment horizontal="center" vertical="center"/>
    </xf>
    <xf numFmtId="177" fontId="0" fillId="17" borderId="0" xfId="0" applyNumberFormat="1" applyFill="1"/>
    <xf numFmtId="2" fontId="209" fillId="0" borderId="0" xfId="8" applyFont="1" applyAlignment="1">
      <alignment vertical="center"/>
    </xf>
    <xf numFmtId="2" fontId="209" fillId="0" borderId="0" xfId="8" applyFont="1"/>
    <xf numFmtId="177" fontId="32" fillId="0" borderId="0" xfId="2" applyNumberFormat="1" applyFont="1" applyBorder="1" applyAlignment="1" applyProtection="1">
      <alignment horizontal="center" vertical="center"/>
    </xf>
    <xf numFmtId="177" fontId="32" fillId="15" borderId="0" xfId="0" applyNumberFormat="1" applyFont="1" applyFill="1" applyAlignment="1">
      <alignment horizontal="center" vertical="center" wrapText="1"/>
    </xf>
    <xf numFmtId="0" fontId="46" fillId="0" borderId="23" xfId="0" applyNumberFormat="1" applyFont="1" applyBorder="1" applyAlignment="1">
      <alignment horizontal="center" vertical="center" wrapText="1"/>
    </xf>
    <xf numFmtId="182" fontId="16" fillId="0" borderId="6" xfId="0" applyNumberFormat="1" applyFont="1" applyBorder="1" applyAlignment="1">
      <alignment wrapText="1"/>
    </xf>
    <xf numFmtId="2" fontId="7" fillId="0" borderId="125" xfId="0" applyFont="1" applyBorder="1" applyAlignment="1">
      <alignment vertical="center"/>
    </xf>
    <xf numFmtId="2" fontId="7" fillId="0" borderId="16" xfId="0" applyFont="1" applyBorder="1" applyAlignment="1">
      <alignment vertical="center"/>
    </xf>
    <xf numFmtId="2" fontId="7" fillId="0" borderId="17" xfId="0" applyFont="1" applyBorder="1" applyAlignment="1">
      <alignment vertical="center"/>
    </xf>
    <xf numFmtId="2" fontId="7" fillId="0" borderId="126" xfId="0" applyFont="1" applyBorder="1" applyAlignment="1">
      <alignment vertical="center"/>
    </xf>
    <xf numFmtId="195" fontId="20" fillId="27" borderId="0" xfId="9" applyNumberFormat="1" applyFont="1" applyFill="1" applyAlignment="1" applyProtection="1">
      <alignment horizontal="center"/>
      <protection hidden="1"/>
    </xf>
    <xf numFmtId="177" fontId="16" fillId="0" borderId="0" xfId="0" applyNumberFormat="1" applyFont="1" applyAlignment="1">
      <alignment horizontal="center" vertical="center" wrapText="1"/>
    </xf>
    <xf numFmtId="201" fontId="7" fillId="0" borderId="125" xfId="2" applyNumberFormat="1" applyFont="1" applyFill="1" applyBorder="1" applyAlignment="1">
      <alignment horizontal="right" vertical="center"/>
    </xf>
    <xf numFmtId="195" fontId="20" fillId="14" borderId="0" xfId="9" applyNumberFormat="1" applyFont="1" applyFill="1" applyAlignment="1" applyProtection="1">
      <alignment horizontal="center"/>
      <protection hidden="1"/>
    </xf>
    <xf numFmtId="201" fontId="7" fillId="0" borderId="16" xfId="2" applyNumberFormat="1" applyFont="1" applyFill="1" applyBorder="1" applyAlignment="1">
      <alignment horizontal="right" vertical="center"/>
    </xf>
    <xf numFmtId="0" fontId="187" fillId="0" borderId="0" xfId="0" applyNumberFormat="1" applyFont="1" applyAlignment="1">
      <alignment vertical="center"/>
    </xf>
    <xf numFmtId="177" fontId="148" fillId="14" borderId="0" xfId="0" applyNumberFormat="1" applyFont="1" applyFill="1" applyAlignment="1">
      <alignment horizontal="center" vertical="center" wrapText="1"/>
    </xf>
    <xf numFmtId="2" fontId="210" fillId="0" borderId="0" xfId="0" applyFont="1" applyAlignment="1">
      <alignment vertical="center"/>
    </xf>
    <xf numFmtId="183" fontId="210" fillId="0" borderId="0" xfId="0" applyNumberFormat="1" applyFont="1" applyAlignment="1">
      <alignment horizontal="left" wrapText="1"/>
    </xf>
    <xf numFmtId="183" fontId="7" fillId="0" borderId="0" xfId="0" applyNumberFormat="1" applyFont="1" applyAlignment="1">
      <alignment horizontal="right" wrapText="1"/>
    </xf>
    <xf numFmtId="2" fontId="210" fillId="0" borderId="0" xfId="9" applyFont="1"/>
    <xf numFmtId="0" fontId="7" fillId="0" borderId="0" xfId="9" applyNumberFormat="1"/>
    <xf numFmtId="177" fontId="211" fillId="0" borderId="0" xfId="0" applyNumberFormat="1" applyFont="1" applyAlignment="1">
      <alignment horizontal="center" vertical="center"/>
    </xf>
    <xf numFmtId="0" fontId="9" fillId="12" borderId="0" xfId="0" applyNumberFormat="1" applyFont="1" applyFill="1"/>
    <xf numFmtId="0" fontId="0" fillId="12" borderId="0" xfId="0" applyNumberFormat="1" applyFill="1"/>
    <xf numFmtId="0" fontId="7" fillId="12" borderId="0" xfId="0" applyNumberFormat="1" applyFont="1" applyFill="1"/>
    <xf numFmtId="0" fontId="7" fillId="12" borderId="2" xfId="0" applyNumberFormat="1" applyFont="1" applyFill="1" applyBorder="1"/>
    <xf numFmtId="0" fontId="9" fillId="12" borderId="2" xfId="0" applyNumberFormat="1" applyFont="1" applyFill="1" applyBorder="1"/>
    <xf numFmtId="0" fontId="0" fillId="0" borderId="2" xfId="0" applyNumberFormat="1" applyBorder="1"/>
    <xf numFmtId="0" fontId="7" fillId="12" borderId="45" xfId="0" applyNumberFormat="1" applyFont="1" applyFill="1" applyBorder="1"/>
    <xf numFmtId="0" fontId="9" fillId="12" borderId="45" xfId="0" applyNumberFormat="1" applyFont="1" applyFill="1" applyBorder="1"/>
    <xf numFmtId="0" fontId="0" fillId="0" borderId="45" xfId="0" applyNumberFormat="1" applyBorder="1"/>
    <xf numFmtId="0" fontId="9" fillId="28" borderId="0" xfId="0" applyNumberFormat="1" applyFont="1" applyFill="1"/>
    <xf numFmtId="0" fontId="0" fillId="28" borderId="0" xfId="0" applyNumberFormat="1" applyFill="1"/>
    <xf numFmtId="0" fontId="0" fillId="29" borderId="0" xfId="0" applyNumberFormat="1" applyFill="1"/>
    <xf numFmtId="0" fontId="9" fillId="29" borderId="0" xfId="0" applyNumberFormat="1" applyFont="1" applyFill="1"/>
    <xf numFmtId="0" fontId="0" fillId="30" borderId="0" xfId="0" applyNumberFormat="1" applyFill="1"/>
    <xf numFmtId="183" fontId="7" fillId="0" borderId="23" xfId="0" applyNumberFormat="1" applyFont="1" applyBorder="1" applyAlignment="1">
      <alignment vertical="center"/>
    </xf>
    <xf numFmtId="176" fontId="8" fillId="0" borderId="0" xfId="0" applyNumberFormat="1" applyFont="1" applyAlignment="1">
      <alignment horizontal="right" vertical="center" wrapText="1"/>
    </xf>
    <xf numFmtId="176" fontId="7" fillId="0" borderId="0" xfId="0" applyNumberFormat="1" applyFont="1" applyAlignment="1">
      <alignment horizontal="right" vertical="center" wrapText="1"/>
    </xf>
    <xf numFmtId="176" fontId="16" fillId="16" borderId="23" xfId="8" applyNumberFormat="1" applyFont="1" applyFill="1" applyBorder="1" applyAlignment="1">
      <alignment horizontal="right" vertical="center"/>
    </xf>
    <xf numFmtId="190" fontId="16" fillId="4" borderId="20" xfId="0" applyNumberFormat="1" applyFont="1" applyFill="1" applyBorder="1" applyAlignment="1">
      <alignment vertical="center"/>
    </xf>
    <xf numFmtId="190" fontId="212" fillId="4" borderId="0" xfId="0" applyNumberFormat="1" applyFont="1" applyFill="1" applyAlignment="1">
      <alignment vertical="center"/>
    </xf>
    <xf numFmtId="0" fontId="7" fillId="0" borderId="0" xfId="8" applyNumberFormat="1" applyAlignment="1">
      <alignment wrapText="1"/>
    </xf>
    <xf numFmtId="0" fontId="0" fillId="0" borderId="0" xfId="0" applyNumberFormat="1" applyAlignment="1">
      <alignment wrapText="1"/>
    </xf>
    <xf numFmtId="0" fontId="213" fillId="0" borderId="0" xfId="0" applyNumberFormat="1" applyFont="1" applyAlignment="1">
      <alignment wrapText="1"/>
    </xf>
    <xf numFmtId="0" fontId="16" fillId="0" borderId="23" xfId="0" applyNumberFormat="1" applyFont="1" applyBorder="1" applyAlignment="1">
      <alignment horizontal="left" vertical="center" wrapText="1"/>
    </xf>
    <xf numFmtId="0" fontId="8" fillId="0" borderId="23" xfId="0" applyNumberFormat="1" applyFont="1" applyBorder="1" applyAlignment="1">
      <alignment horizontal="left" vertical="center" wrapText="1"/>
    </xf>
    <xf numFmtId="0" fontId="7" fillId="0" borderId="0" xfId="0" applyNumberFormat="1" applyFont="1" applyAlignment="1">
      <alignment wrapText="1"/>
    </xf>
    <xf numFmtId="0" fontId="9" fillId="0" borderId="0" xfId="0" applyNumberFormat="1" applyFont="1" applyAlignment="1">
      <alignment wrapText="1"/>
    </xf>
    <xf numFmtId="0" fontId="8" fillId="0" borderId="0" xfId="0" applyNumberFormat="1" applyFont="1" applyAlignment="1">
      <alignment horizontal="center" vertical="center" wrapText="1"/>
    </xf>
    <xf numFmtId="0" fontId="10" fillId="0" borderId="0" xfId="0" applyNumberFormat="1" applyFont="1" applyAlignment="1">
      <alignment wrapText="1"/>
    </xf>
    <xf numFmtId="0" fontId="7" fillId="0" borderId="0" xfId="8" applyNumberFormat="1" applyAlignment="1">
      <alignment horizontal="right"/>
    </xf>
    <xf numFmtId="0" fontId="0" fillId="0" borderId="0" xfId="0" applyNumberFormat="1" applyAlignment="1">
      <alignment horizontal="right"/>
    </xf>
    <xf numFmtId="2" fontId="53" fillId="0" borderId="23" xfId="0" applyFont="1" applyBorder="1" applyAlignment="1">
      <alignment horizontal="center" vertical="center"/>
    </xf>
    <xf numFmtId="2" fontId="52" fillId="0" borderId="23" xfId="0" applyFont="1" applyBorder="1" applyAlignment="1">
      <alignment vertical="center"/>
    </xf>
    <xf numFmtId="181" fontId="17" fillId="0" borderId="0" xfId="0" applyNumberFormat="1" applyFont="1" applyAlignment="1">
      <alignment horizontal="right" vertical="center"/>
    </xf>
    <xf numFmtId="10" fontId="110" fillId="0" borderId="0" xfId="2" applyFont="1" applyFill="1" applyBorder="1" applyAlignment="1" applyProtection="1">
      <alignment horizontal="center" vertical="center"/>
    </xf>
    <xf numFmtId="10" fontId="14" fillId="0" borderId="0" xfId="2" applyFont="1" applyFill="1" applyBorder="1" applyAlignment="1" applyProtection="1">
      <alignment horizontal="center" vertical="center"/>
    </xf>
    <xf numFmtId="10" fontId="14" fillId="17" borderId="0" xfId="2" applyFont="1" applyFill="1" applyBorder="1" applyAlignment="1" applyProtection="1">
      <alignment horizontal="center" vertical="center"/>
    </xf>
    <xf numFmtId="2" fontId="8" fillId="0" borderId="0" xfId="0" applyFont="1" applyAlignment="1">
      <alignment horizontal="left" vertical="center" wrapText="1"/>
    </xf>
    <xf numFmtId="4" fontId="7" fillId="0" borderId="20" xfId="0" applyNumberFormat="1" applyFont="1" applyBorder="1" applyAlignment="1">
      <alignment horizontal="left"/>
    </xf>
    <xf numFmtId="2" fontId="213" fillId="0" borderId="0" xfId="9" applyFont="1"/>
    <xf numFmtId="182" fontId="8" fillId="0" borderId="6" xfId="0" applyNumberFormat="1" applyFont="1" applyBorder="1" applyAlignment="1">
      <alignment wrapText="1"/>
    </xf>
    <xf numFmtId="1" fontId="191" fillId="0" borderId="0" xfId="0" applyNumberFormat="1" applyFont="1" applyAlignment="1">
      <alignment horizontal="right" wrapText="1"/>
    </xf>
    <xf numFmtId="2" fontId="153" fillId="0" borderId="0" xfId="0" applyFont="1" applyAlignment="1">
      <alignment horizontal="right" vertical="center" wrapText="1"/>
    </xf>
    <xf numFmtId="2" fontId="145" fillId="0" borderId="0" xfId="0" applyFont="1" applyAlignment="1">
      <alignment horizontal="right" vertical="center"/>
    </xf>
    <xf numFmtId="183" fontId="146" fillId="0" borderId="0" xfId="0" applyNumberFormat="1" applyFont="1" applyAlignment="1">
      <alignment horizontal="right" vertical="center"/>
    </xf>
    <xf numFmtId="2" fontId="144" fillId="0" borderId="0" xfId="0" applyFont="1" applyAlignment="1">
      <alignment horizontal="right" vertical="center" wrapText="1"/>
    </xf>
    <xf numFmtId="2" fontId="147" fillId="0" borderId="0" xfId="0" applyFont="1" applyAlignment="1">
      <alignment horizontal="right" vertical="center" wrapText="1"/>
    </xf>
    <xf numFmtId="182" fontId="147" fillId="0" borderId="0" xfId="0" applyNumberFormat="1" applyFont="1" applyAlignment="1">
      <alignment horizontal="right" vertical="center" wrapText="1"/>
    </xf>
    <xf numFmtId="183" fontId="146" fillId="0" borderId="0" xfId="0" applyNumberFormat="1" applyFont="1" applyAlignment="1" applyProtection="1">
      <alignment horizontal="right" vertical="center"/>
      <protection hidden="1"/>
    </xf>
    <xf numFmtId="195" fontId="20" fillId="14" borderId="0" xfId="9" applyNumberFormat="1" applyFont="1" applyFill="1" applyAlignment="1" applyProtection="1">
      <alignment horizontal="right"/>
      <protection hidden="1"/>
    </xf>
    <xf numFmtId="177" fontId="148" fillId="0" borderId="0" xfId="0" applyNumberFormat="1" applyFont="1" applyAlignment="1">
      <alignment horizontal="right" vertical="center" wrapText="1"/>
    </xf>
    <xf numFmtId="177" fontId="147" fillId="0" borderId="0" xfId="0" applyNumberFormat="1" applyFont="1" applyAlignment="1">
      <alignment horizontal="right" vertical="center" wrapText="1"/>
    </xf>
    <xf numFmtId="177" fontId="177" fillId="0" borderId="0" xfId="0" applyNumberFormat="1" applyFont="1" applyAlignment="1">
      <alignment horizontal="right" vertical="center" wrapText="1"/>
    </xf>
    <xf numFmtId="177" fontId="179" fillId="0" borderId="0" xfId="0" applyNumberFormat="1" applyFont="1" applyAlignment="1">
      <alignment horizontal="right" vertical="center" wrapText="1"/>
    </xf>
    <xf numFmtId="177" fontId="175" fillId="0" borderId="0" xfId="0" applyNumberFormat="1" applyFont="1" applyAlignment="1">
      <alignment horizontal="right" vertical="center" wrapText="1"/>
    </xf>
    <xf numFmtId="177" fontId="174" fillId="0" borderId="0" xfId="0" applyNumberFormat="1" applyFont="1" applyAlignment="1">
      <alignment horizontal="right" vertical="center" wrapText="1"/>
    </xf>
    <xf numFmtId="177" fontId="150" fillId="0" borderId="0" xfId="0" applyNumberFormat="1" applyFont="1" applyAlignment="1">
      <alignment horizontal="right" vertical="center" wrapText="1"/>
    </xf>
    <xf numFmtId="177" fontId="145" fillId="0" borderId="0" xfId="0" applyNumberFormat="1" applyFont="1" applyAlignment="1">
      <alignment horizontal="right" vertical="center"/>
    </xf>
    <xf numFmtId="177" fontId="148" fillId="0" borderId="0" xfId="0" applyNumberFormat="1" applyFont="1" applyAlignment="1">
      <alignment horizontal="right" vertical="center"/>
    </xf>
    <xf numFmtId="177" fontId="145" fillId="0" borderId="0" xfId="0" applyNumberFormat="1" applyFont="1" applyAlignment="1">
      <alignment horizontal="right"/>
    </xf>
    <xf numFmtId="2" fontId="145" fillId="0" borderId="0" xfId="0" applyFont="1" applyAlignment="1">
      <alignment horizontal="right"/>
    </xf>
    <xf numFmtId="183" fontId="152" fillId="0" borderId="0" xfId="0" applyNumberFormat="1" applyFont="1" applyAlignment="1">
      <alignment horizontal="right"/>
    </xf>
    <xf numFmtId="2" fontId="147" fillId="0" borderId="0" xfId="0" applyFont="1" applyAlignment="1">
      <alignment horizontal="right"/>
    </xf>
    <xf numFmtId="182" fontId="147" fillId="0" borderId="0" xfId="0" applyNumberFormat="1" applyFont="1" applyAlignment="1">
      <alignment horizontal="right" wrapText="1"/>
    </xf>
    <xf numFmtId="177" fontId="9" fillId="26" borderId="0" xfId="0" applyNumberFormat="1" applyFont="1" applyFill="1" applyAlignment="1">
      <alignment horizontal="center" vertical="center"/>
    </xf>
    <xf numFmtId="2" fontId="9" fillId="26" borderId="0" xfId="0" applyFont="1" applyFill="1" applyAlignment="1">
      <alignment horizontal="center" vertical="center"/>
    </xf>
    <xf numFmtId="177" fontId="9" fillId="26" borderId="0" xfId="2" applyNumberFormat="1" applyFont="1" applyFill="1" applyBorder="1" applyAlignment="1" applyProtection="1">
      <alignment horizontal="center" vertical="center"/>
    </xf>
    <xf numFmtId="177" fontId="214" fillId="26" borderId="0" xfId="0" applyNumberFormat="1" applyFont="1" applyFill="1" applyAlignment="1">
      <alignment horizontal="center" vertical="center"/>
    </xf>
    <xf numFmtId="2" fontId="215" fillId="0" borderId="23" xfId="0" applyFont="1" applyBorder="1" applyAlignment="1">
      <alignment vertical="center"/>
    </xf>
    <xf numFmtId="2" fontId="215" fillId="0" borderId="0" xfId="0" applyFont="1" applyAlignment="1">
      <alignment horizontal="left" vertical="center"/>
    </xf>
    <xf numFmtId="2" fontId="218" fillId="4" borderId="0" xfId="0" applyFont="1" applyFill="1" applyAlignment="1">
      <alignment horizontal="left"/>
    </xf>
    <xf numFmtId="178" fontId="218" fillId="4" borderId="0" xfId="0" applyNumberFormat="1" applyFont="1" applyFill="1" applyAlignment="1">
      <alignment horizontal="right"/>
    </xf>
    <xf numFmtId="2" fontId="217" fillId="4" borderId="0" xfId="0" applyFont="1" applyFill="1" applyAlignment="1">
      <alignment horizontal="left"/>
    </xf>
    <xf numFmtId="2" fontId="218" fillId="4" borderId="0" xfId="0" applyFont="1" applyFill="1"/>
    <xf numFmtId="177" fontId="14" fillId="17" borderId="0" xfId="0" applyNumberFormat="1" applyFont="1" applyFill="1" applyAlignment="1">
      <alignment horizontal="center" vertical="center"/>
    </xf>
    <xf numFmtId="0" fontId="7" fillId="12" borderId="0" xfId="0" applyNumberFormat="1" applyFont="1" applyFill="1" applyAlignment="1">
      <alignment wrapText="1"/>
    </xf>
    <xf numFmtId="182" fontId="8" fillId="12" borderId="6" xfId="0" applyNumberFormat="1" applyFont="1" applyFill="1" applyBorder="1" applyAlignment="1">
      <alignment wrapText="1"/>
    </xf>
    <xf numFmtId="182" fontId="8" fillId="12" borderId="6" xfId="0" applyNumberFormat="1" applyFont="1" applyFill="1" applyBorder="1" applyAlignment="1">
      <alignment horizontal="left" vertical="center" wrapText="1"/>
    </xf>
    <xf numFmtId="182" fontId="8" fillId="0" borderId="6" xfId="0" applyNumberFormat="1" applyFont="1" applyBorder="1" applyAlignment="1">
      <alignment horizontal="left" vertical="center" wrapText="1"/>
    </xf>
    <xf numFmtId="2" fontId="219" fillId="0" borderId="23" xfId="0" applyFont="1" applyBorder="1" applyAlignment="1">
      <alignment vertical="center"/>
    </xf>
    <xf numFmtId="183" fontId="219" fillId="0" borderId="23" xfId="0" applyNumberFormat="1" applyFont="1" applyBorder="1" applyAlignment="1">
      <alignment vertical="center"/>
    </xf>
    <xf numFmtId="183" fontId="220" fillId="16" borderId="23" xfId="0" applyNumberFormat="1" applyFont="1" applyFill="1" applyBorder="1" applyAlignment="1">
      <alignment vertical="center"/>
    </xf>
    <xf numFmtId="183" fontId="215" fillId="0" borderId="23" xfId="0" applyNumberFormat="1" applyFont="1" applyBorder="1" applyAlignment="1">
      <alignment vertical="center"/>
    </xf>
    <xf numFmtId="2" fontId="86" fillId="23" borderId="39" xfId="0" applyFont="1" applyFill="1" applyBorder="1" applyAlignment="1">
      <alignment horizontal="justify" vertical="top" wrapText="1"/>
    </xf>
    <xf numFmtId="179" fontId="224" fillId="4" borderId="39" xfId="0" applyNumberFormat="1" applyFont="1" applyFill="1" applyBorder="1" applyAlignment="1">
      <alignment horizontal="right" wrapText="1"/>
    </xf>
    <xf numFmtId="2" fontId="224" fillId="4" borderId="39" xfId="0" applyFont="1" applyFill="1" applyBorder="1" applyAlignment="1">
      <alignment horizontal="justify" wrapText="1"/>
    </xf>
    <xf numFmtId="2" fontId="86" fillId="23" borderId="39" xfId="0" applyFont="1" applyFill="1" applyBorder="1" applyAlignment="1">
      <alignment horizontal="left" wrapText="1"/>
    </xf>
    <xf numFmtId="179" fontId="86" fillId="4" borderId="39" xfId="0" applyNumberFormat="1" applyFont="1" applyFill="1" applyBorder="1" applyAlignment="1">
      <alignment horizontal="right"/>
    </xf>
    <xf numFmtId="2" fontId="224" fillId="23" borderId="39" xfId="0" applyFont="1" applyFill="1" applyBorder="1" applyAlignment="1">
      <alignment horizontal="justify" wrapText="1"/>
    </xf>
    <xf numFmtId="2" fontId="86" fillId="4" borderId="39" xfId="0" applyFont="1" applyFill="1" applyBorder="1" applyAlignment="1">
      <alignment horizontal="justify" wrapText="1"/>
    </xf>
    <xf numFmtId="2" fontId="86" fillId="4" borderId="39" xfId="0" applyFont="1" applyFill="1" applyBorder="1" applyAlignment="1">
      <alignment horizontal="justify" vertical="top" wrapText="1"/>
    </xf>
    <xf numFmtId="199" fontId="86" fillId="23" borderId="39" xfId="0" applyNumberFormat="1" applyFont="1" applyFill="1" applyBorder="1" applyAlignment="1">
      <alignment horizontal="right" vertical="top" wrapText="1"/>
    </xf>
    <xf numFmtId="199" fontId="86" fillId="23" borderId="39" xfId="0" applyNumberFormat="1" applyFont="1" applyFill="1" applyBorder="1" applyAlignment="1">
      <alignment horizontal="right"/>
    </xf>
    <xf numFmtId="199" fontId="86" fillId="4" borderId="39" xfId="0" applyNumberFormat="1" applyFont="1" applyFill="1" applyBorder="1" applyAlignment="1">
      <alignment horizontal="right" vertical="top" wrapText="1"/>
    </xf>
    <xf numFmtId="183" fontId="86" fillId="23" borderId="39" xfId="0" applyNumberFormat="1" applyFont="1" applyFill="1" applyBorder="1" applyAlignment="1">
      <alignment horizontal="right" vertical="top" wrapText="1"/>
    </xf>
    <xf numFmtId="178" fontId="225" fillId="6" borderId="39" xfId="0" applyNumberFormat="1" applyFont="1" applyFill="1" applyBorder="1" applyAlignment="1">
      <alignment horizontal="right"/>
    </xf>
    <xf numFmtId="2" fontId="226" fillId="4" borderId="0" xfId="0" applyFont="1" applyFill="1" applyAlignment="1">
      <alignment horizontal="left"/>
    </xf>
    <xf numFmtId="178" fontId="225" fillId="6" borderId="39" xfId="0" applyNumberFormat="1" applyFont="1" applyFill="1" applyBorder="1" applyAlignment="1">
      <alignment horizontal="left"/>
    </xf>
    <xf numFmtId="2" fontId="225" fillId="4" borderId="0" xfId="0" applyFont="1" applyFill="1" applyAlignment="1">
      <alignment horizontal="left"/>
    </xf>
    <xf numFmtId="2" fontId="224" fillId="4" borderId="0" xfId="0" applyFont="1" applyFill="1"/>
    <xf numFmtId="178" fontId="225" fillId="4" borderId="0" xfId="0" applyNumberFormat="1" applyFont="1" applyFill="1" applyAlignment="1">
      <alignment horizontal="left"/>
    </xf>
    <xf numFmtId="2" fontId="225" fillId="4" borderId="39" xfId="0" applyFont="1" applyFill="1" applyBorder="1" applyAlignment="1">
      <alignment horizontal="left"/>
    </xf>
    <xf numFmtId="178" fontId="224" fillId="4" borderId="39" xfId="0" applyNumberFormat="1" applyFont="1" applyFill="1" applyBorder="1" applyAlignment="1">
      <alignment horizontal="right"/>
    </xf>
    <xf numFmtId="2" fontId="225" fillId="4" borderId="0" xfId="0" applyFont="1" applyFill="1" applyAlignment="1">
      <alignment wrapText="1"/>
    </xf>
    <xf numFmtId="178" fontId="224" fillId="4" borderId="0" xfId="0" applyNumberFormat="1" applyFont="1" applyFill="1" applyAlignment="1">
      <alignment horizontal="right" wrapText="1"/>
    </xf>
    <xf numFmtId="178" fontId="224" fillId="4" borderId="0" xfId="0" applyNumberFormat="1" applyFont="1" applyFill="1" applyAlignment="1">
      <alignment horizontal="right"/>
    </xf>
    <xf numFmtId="2" fontId="224" fillId="4" borderId="0" xfId="0" applyFont="1" applyFill="1" applyAlignment="1">
      <alignment wrapText="1"/>
    </xf>
    <xf numFmtId="2" fontId="224" fillId="0" borderId="127" xfId="0" applyFont="1" applyBorder="1" applyAlignment="1">
      <alignment wrapText="1"/>
    </xf>
    <xf numFmtId="178" fontId="224" fillId="0" borderId="128" xfId="0" applyNumberFormat="1" applyFont="1" applyBorder="1" applyAlignment="1">
      <alignment horizontal="right"/>
    </xf>
    <xf numFmtId="2" fontId="224" fillId="0" borderId="129" xfId="0" applyFont="1" applyBorder="1" applyAlignment="1">
      <alignment wrapText="1"/>
    </xf>
    <xf numFmtId="178" fontId="224" fillId="0" borderId="130" xfId="0" applyNumberFormat="1" applyFont="1" applyBorder="1" applyAlignment="1">
      <alignment horizontal="right"/>
    </xf>
    <xf numFmtId="178" fontId="224" fillId="0" borderId="131" xfId="0" applyNumberFormat="1" applyFont="1" applyBorder="1" applyAlignment="1">
      <alignment horizontal="right"/>
    </xf>
    <xf numFmtId="2" fontId="225" fillId="4" borderId="4" xfId="0" applyFont="1" applyFill="1" applyBorder="1" applyAlignment="1">
      <alignment horizontal="left"/>
    </xf>
    <xf numFmtId="178" fontId="224" fillId="4" borderId="4" xfId="0" applyNumberFormat="1" applyFont="1" applyFill="1" applyBorder="1" applyAlignment="1">
      <alignment horizontal="right"/>
    </xf>
    <xf numFmtId="2" fontId="224" fillId="0" borderId="132" xfId="0" applyFont="1" applyBorder="1" applyAlignment="1">
      <alignment wrapText="1"/>
    </xf>
    <xf numFmtId="178" fontId="224" fillId="0" borderId="133" xfId="0" applyNumberFormat="1" applyFont="1" applyBorder="1" applyAlignment="1">
      <alignment horizontal="right"/>
    </xf>
    <xf numFmtId="2" fontId="224" fillId="4" borderId="0" xfId="0" applyFont="1" applyFill="1" applyAlignment="1">
      <alignment horizontal="left" wrapText="1"/>
    </xf>
    <xf numFmtId="2" fontId="224" fillId="4" borderId="4" xfId="0" applyFont="1" applyFill="1" applyBorder="1" applyAlignment="1">
      <alignment wrapText="1"/>
    </xf>
    <xf numFmtId="183" fontId="224" fillId="4" borderId="4" xfId="0" applyNumberFormat="1" applyFont="1" applyFill="1" applyBorder="1" applyAlignment="1">
      <alignment horizontal="right" wrapText="1"/>
    </xf>
    <xf numFmtId="183" fontId="224" fillId="4" borderId="4" xfId="0" applyNumberFormat="1" applyFont="1" applyFill="1" applyBorder="1" applyAlignment="1">
      <alignment horizontal="right"/>
    </xf>
    <xf numFmtId="2" fontId="224" fillId="14" borderId="0" xfId="0" applyFont="1" applyFill="1" applyAlignment="1">
      <alignment wrapText="1"/>
    </xf>
    <xf numFmtId="178" fontId="224" fillId="14" borderId="0" xfId="0" applyNumberFormat="1" applyFont="1" applyFill="1" applyAlignment="1">
      <alignment horizontal="right"/>
    </xf>
    <xf numFmtId="2" fontId="224" fillId="4" borderId="0" xfId="0" applyFont="1" applyFill="1" applyAlignment="1">
      <alignment horizontal="right"/>
    </xf>
    <xf numFmtId="2" fontId="225" fillId="4" borderId="0" xfId="0" applyFont="1" applyFill="1" applyAlignment="1">
      <alignment horizontal="right"/>
    </xf>
    <xf numFmtId="2" fontId="224" fillId="4" borderId="0" xfId="0" applyFont="1" applyFill="1" applyAlignment="1">
      <alignment horizontal="left"/>
    </xf>
    <xf numFmtId="2" fontId="225" fillId="4" borderId="8" xfId="0" applyFont="1" applyFill="1" applyBorder="1" applyAlignment="1">
      <alignment horizontal="left"/>
    </xf>
    <xf numFmtId="183" fontId="224" fillId="4" borderId="0" xfId="0" applyNumberFormat="1" applyFont="1" applyFill="1" applyAlignment="1">
      <alignment horizontal="left"/>
    </xf>
    <xf numFmtId="201" fontId="224" fillId="4" borderId="0" xfId="0" applyNumberFormat="1" applyFont="1" applyFill="1" applyAlignment="1">
      <alignment horizontal="right"/>
    </xf>
    <xf numFmtId="2" fontId="227" fillId="4" borderId="0" xfId="0" applyFont="1" applyFill="1"/>
    <xf numFmtId="200" fontId="225" fillId="4" borderId="4" xfId="0" applyNumberFormat="1" applyFont="1" applyFill="1" applyBorder="1" applyAlignment="1">
      <alignment horizontal="right"/>
    </xf>
    <xf numFmtId="199" fontId="224" fillId="4" borderId="4" xfId="0" applyNumberFormat="1" applyFont="1" applyFill="1" applyBorder="1" applyAlignment="1">
      <alignment horizontal="right"/>
    </xf>
    <xf numFmtId="2" fontId="225" fillId="4" borderId="0" xfId="0" applyFont="1" applyFill="1"/>
    <xf numFmtId="183" fontId="224" fillId="14" borderId="0" xfId="0" applyNumberFormat="1" applyFont="1" applyFill="1" applyAlignment="1">
      <alignment horizontal="left"/>
    </xf>
    <xf numFmtId="199" fontId="224" fillId="4" borderId="0" xfId="0" applyNumberFormat="1" applyFont="1" applyFill="1" applyAlignment="1">
      <alignment horizontal="right"/>
    </xf>
    <xf numFmtId="2" fontId="225" fillId="4" borderId="4" xfId="0" applyFont="1" applyFill="1" applyBorder="1" applyAlignment="1">
      <alignment wrapText="1"/>
    </xf>
    <xf numFmtId="2" fontId="225" fillId="4" borderId="4" xfId="0" applyFont="1" applyFill="1" applyBorder="1" applyAlignment="1">
      <alignment horizontal="right"/>
    </xf>
    <xf numFmtId="2" fontId="225" fillId="14" borderId="4" xfId="0" applyFont="1" applyFill="1" applyBorder="1" applyAlignment="1">
      <alignment wrapText="1"/>
    </xf>
    <xf numFmtId="183" fontId="224" fillId="4" borderId="0" xfId="0" applyNumberFormat="1" applyFont="1" applyFill="1" applyAlignment="1">
      <alignment horizontal="right"/>
    </xf>
    <xf numFmtId="2" fontId="224" fillId="14" borderId="0" xfId="0" applyFont="1" applyFill="1" applyAlignment="1">
      <alignment horizontal="left"/>
    </xf>
    <xf numFmtId="178" fontId="224" fillId="0" borderId="0" xfId="0" applyNumberFormat="1" applyFont="1" applyAlignment="1">
      <alignment horizontal="right"/>
    </xf>
    <xf numFmtId="2" fontId="224" fillId="4" borderId="4" xfId="0" applyFont="1" applyFill="1" applyBorder="1" applyAlignment="1">
      <alignment horizontal="left"/>
    </xf>
    <xf numFmtId="183" fontId="224" fillId="4" borderId="4" xfId="0" applyNumberFormat="1" applyFont="1" applyFill="1" applyBorder="1" applyAlignment="1">
      <alignment horizontal="left"/>
    </xf>
    <xf numFmtId="178" fontId="225" fillId="6" borderId="43" xfId="15" applyNumberFormat="1" applyFont="1" applyFill="1" applyBorder="1" applyAlignment="1">
      <alignment horizontal="right"/>
    </xf>
    <xf numFmtId="178" fontId="225" fillId="23" borderId="43" xfId="15" applyNumberFormat="1" applyFont="1" applyFill="1" applyBorder="1" applyAlignment="1">
      <alignment horizontal="left"/>
    </xf>
    <xf numFmtId="201" fontId="86" fillId="23" borderId="39" xfId="0" applyNumberFormat="1" applyFont="1" applyFill="1" applyBorder="1" applyAlignment="1">
      <alignment horizontal="right" wrapText="1"/>
    </xf>
    <xf numFmtId="201" fontId="224" fillId="4" borderId="39" xfId="0" applyNumberFormat="1" applyFont="1" applyFill="1" applyBorder="1" applyAlignment="1">
      <alignment horizontal="right" wrapText="1"/>
    </xf>
    <xf numFmtId="201" fontId="224" fillId="23" borderId="39" xfId="0" applyNumberFormat="1" applyFont="1" applyFill="1" applyBorder="1" applyAlignment="1">
      <alignment horizontal="right" wrapText="1"/>
    </xf>
    <xf numFmtId="201" fontId="86" fillId="4" borderId="39" xfId="0" applyNumberFormat="1" applyFont="1" applyFill="1" applyBorder="1" applyAlignment="1">
      <alignment horizontal="right" wrapText="1"/>
    </xf>
    <xf numFmtId="0" fontId="7" fillId="0" borderId="74" xfId="8" applyNumberFormat="1" applyBorder="1" applyAlignment="1" applyProtection="1">
      <alignment horizontal="left" vertical="center" wrapText="1"/>
      <protection hidden="1"/>
    </xf>
    <xf numFmtId="0" fontId="7" fillId="0" borderId="29" xfId="8" applyNumberFormat="1" applyBorder="1" applyAlignment="1" applyProtection="1">
      <alignment horizontal="left" vertical="center" wrapText="1"/>
      <protection hidden="1"/>
    </xf>
    <xf numFmtId="0" fontId="7" fillId="0" borderId="75" xfId="8" applyNumberFormat="1" applyBorder="1" applyAlignment="1" applyProtection="1">
      <alignment horizontal="left" vertical="center" wrapText="1"/>
      <protection hidden="1"/>
    </xf>
    <xf numFmtId="0" fontId="7" fillId="0" borderId="76" xfId="8" applyNumberFormat="1" applyBorder="1" applyAlignment="1" applyProtection="1">
      <alignment horizontal="left" vertical="center" wrapText="1"/>
      <protection hidden="1"/>
    </xf>
    <xf numFmtId="0" fontId="7" fillId="0" borderId="77" xfId="8" applyNumberFormat="1" applyBorder="1" applyAlignment="1" applyProtection="1">
      <alignment horizontal="left" vertical="center" wrapText="1"/>
      <protection hidden="1"/>
    </xf>
    <xf numFmtId="0" fontId="7" fillId="0" borderId="78" xfId="8" applyNumberFormat="1" applyBorder="1" applyAlignment="1" applyProtection="1">
      <alignment horizontal="left" vertical="center" wrapText="1"/>
      <protection hidden="1"/>
    </xf>
    <xf numFmtId="0" fontId="10" fillId="0" borderId="79" xfId="8" applyNumberFormat="1" applyFont="1" applyBorder="1" applyAlignment="1" applyProtection="1">
      <alignment horizontal="left" vertical="center"/>
      <protection hidden="1"/>
    </xf>
    <xf numFmtId="0" fontId="10" fillId="0" borderId="80" xfId="8" applyNumberFormat="1" applyFont="1" applyBorder="1" applyAlignment="1" applyProtection="1">
      <alignment horizontal="left" vertical="center"/>
      <protection hidden="1"/>
    </xf>
    <xf numFmtId="0" fontId="10" fillId="0" borderId="81" xfId="8" applyNumberFormat="1" applyFont="1" applyBorder="1" applyAlignment="1" applyProtection="1">
      <alignment horizontal="left" vertical="center"/>
      <protection hidden="1"/>
    </xf>
    <xf numFmtId="0" fontId="7" fillId="0" borderId="91" xfId="8" applyNumberFormat="1" applyBorder="1" applyAlignment="1" applyProtection="1">
      <alignment horizontal="left" vertical="center" wrapText="1"/>
      <protection hidden="1"/>
    </xf>
    <xf numFmtId="0" fontId="7" fillId="0" borderId="85" xfId="8" applyNumberFormat="1" applyBorder="1" applyAlignment="1" applyProtection="1">
      <alignment horizontal="left" vertical="center" wrapText="1"/>
      <protection hidden="1"/>
    </xf>
    <xf numFmtId="0" fontId="7" fillId="0" borderId="92" xfId="8" applyNumberFormat="1" applyBorder="1" applyAlignment="1" applyProtection="1">
      <alignment horizontal="left" vertical="center" wrapText="1"/>
      <protection hidden="1"/>
    </xf>
    <xf numFmtId="0" fontId="7" fillId="0" borderId="82" xfId="8" applyNumberFormat="1" applyBorder="1" applyAlignment="1" applyProtection="1">
      <alignment horizontal="left" vertical="center" wrapText="1"/>
      <protection hidden="1"/>
    </xf>
    <xf numFmtId="0" fontId="7" fillId="0" borderId="0" xfId="8" applyNumberFormat="1" applyAlignment="1" applyProtection="1">
      <alignment horizontal="left" vertical="center" wrapText="1"/>
      <protection hidden="1"/>
    </xf>
    <xf numFmtId="0" fontId="7" fillId="0" borderId="83" xfId="8" applyNumberFormat="1" applyBorder="1" applyAlignment="1" applyProtection="1">
      <alignment horizontal="left" vertical="center" wrapText="1"/>
      <protection hidden="1"/>
    </xf>
    <xf numFmtId="2" fontId="7" fillId="0" borderId="82" xfId="8" applyBorder="1" applyAlignment="1">
      <alignment horizontal="left" vertical="center" wrapText="1"/>
    </xf>
    <xf numFmtId="2" fontId="7" fillId="0" borderId="0" xfId="8" applyAlignment="1">
      <alignment horizontal="left" vertical="center" wrapText="1"/>
    </xf>
    <xf numFmtId="2" fontId="7" fillId="0" borderId="83" xfId="8" applyBorder="1" applyAlignment="1">
      <alignment horizontal="left" vertical="center" wrapText="1"/>
    </xf>
    <xf numFmtId="2" fontId="7" fillId="0" borderId="93" xfId="8" applyBorder="1" applyAlignment="1">
      <alignment horizontal="left" vertical="center" wrapText="1"/>
    </xf>
    <xf numFmtId="2" fontId="7" fillId="0" borderId="94" xfId="8" applyBorder="1" applyAlignment="1">
      <alignment horizontal="left" vertical="center" wrapText="1"/>
    </xf>
    <xf numFmtId="2" fontId="7" fillId="0" borderId="95" xfId="8" applyBorder="1" applyAlignment="1">
      <alignment horizontal="left" vertical="center" wrapText="1"/>
    </xf>
    <xf numFmtId="0" fontId="10" fillId="0" borderId="79" xfId="8" applyNumberFormat="1" applyFont="1" applyBorder="1" applyAlignment="1" applyProtection="1">
      <alignment horizontal="left"/>
      <protection hidden="1"/>
    </xf>
    <xf numFmtId="0" fontId="10" fillId="0" borderId="80" xfId="8" applyNumberFormat="1" applyFont="1" applyBorder="1" applyAlignment="1" applyProtection="1">
      <alignment horizontal="left"/>
      <protection hidden="1"/>
    </xf>
    <xf numFmtId="0" fontId="10" fillId="0" borderId="81" xfId="8" applyNumberFormat="1" applyFont="1" applyBorder="1" applyAlignment="1" applyProtection="1">
      <alignment horizontal="left"/>
      <protection hidden="1"/>
    </xf>
    <xf numFmtId="0" fontId="7" fillId="0" borderId="89" xfId="8" applyNumberFormat="1" applyBorder="1" applyAlignment="1" applyProtection="1">
      <alignment horizontal="left" vertical="center" wrapText="1"/>
      <protection hidden="1"/>
    </xf>
    <xf numFmtId="0" fontId="7" fillId="0" borderId="88" xfId="8" applyNumberFormat="1" applyBorder="1" applyAlignment="1" applyProtection="1">
      <alignment horizontal="left" vertical="center" wrapText="1"/>
      <protection hidden="1"/>
    </xf>
    <xf numFmtId="0" fontId="7" fillId="0" borderId="90" xfId="8" applyNumberFormat="1" applyBorder="1" applyAlignment="1" applyProtection="1">
      <alignment horizontal="left" vertical="center" wrapText="1"/>
      <protection hidden="1"/>
    </xf>
    <xf numFmtId="0" fontId="10" fillId="0" borderId="65" xfId="8" applyNumberFormat="1" applyFont="1" applyBorder="1" applyAlignment="1" applyProtection="1">
      <alignment horizontal="left"/>
      <protection hidden="1"/>
    </xf>
    <xf numFmtId="0" fontId="10" fillId="0" borderId="32" xfId="8" applyNumberFormat="1" applyFont="1" applyBorder="1" applyAlignment="1" applyProtection="1">
      <alignment horizontal="left"/>
      <protection hidden="1"/>
    </xf>
    <xf numFmtId="0" fontId="10" fillId="0" borderId="33" xfId="8" applyNumberFormat="1" applyFont="1" applyBorder="1" applyAlignment="1" applyProtection="1">
      <alignment horizontal="left"/>
      <protection hidden="1"/>
    </xf>
    <xf numFmtId="0" fontId="69" fillId="0" borderId="30" xfId="8" applyNumberFormat="1" applyFont="1" applyBorder="1" applyAlignment="1" applyProtection="1">
      <alignment horizontal="center" vertical="center"/>
      <protection hidden="1"/>
    </xf>
    <xf numFmtId="0" fontId="69" fillId="0" borderId="88" xfId="8" applyNumberFormat="1" applyFont="1" applyBorder="1" applyAlignment="1" applyProtection="1">
      <alignment horizontal="center" vertical="center"/>
      <protection hidden="1"/>
    </xf>
    <xf numFmtId="0" fontId="116" fillId="0" borderId="96" xfId="8" applyNumberFormat="1" applyFont="1" applyBorder="1" applyAlignment="1" applyProtection="1">
      <alignment horizontal="center" vertical="center"/>
      <protection hidden="1"/>
    </xf>
    <xf numFmtId="0" fontId="116" fillId="0" borderId="97" xfId="8" applyNumberFormat="1" applyFont="1" applyBorder="1" applyAlignment="1" applyProtection="1">
      <alignment horizontal="center" vertical="center"/>
      <protection hidden="1"/>
    </xf>
    <xf numFmtId="0" fontId="116" fillId="0" borderId="98" xfId="8" applyNumberFormat="1" applyFont="1" applyBorder="1" applyAlignment="1" applyProtection="1">
      <alignment horizontal="center" vertical="center"/>
      <protection hidden="1"/>
    </xf>
    <xf numFmtId="2" fontId="7" fillId="0" borderId="43" xfId="8" applyBorder="1" applyAlignment="1">
      <alignment horizontal="left" vertical="center" wrapText="1"/>
    </xf>
    <xf numFmtId="0" fontId="7" fillId="4" borderId="111" xfId="8" applyNumberFormat="1" applyFill="1" applyBorder="1" applyAlignment="1">
      <alignment horizontal="left" vertical="center"/>
    </xf>
    <xf numFmtId="0" fontId="7" fillId="4" borderId="112" xfId="8" applyNumberFormat="1" applyFill="1" applyBorder="1" applyAlignment="1">
      <alignment horizontal="left" vertical="center"/>
    </xf>
    <xf numFmtId="0" fontId="7" fillId="4" borderId="111" xfId="8" applyNumberFormat="1" applyFill="1" applyBorder="1" applyAlignment="1">
      <alignment horizontal="left" vertical="center" wrapText="1"/>
    </xf>
    <xf numFmtId="0" fontId="7" fillId="4" borderId="112" xfId="8" applyNumberFormat="1" applyFill="1" applyBorder="1" applyAlignment="1">
      <alignment horizontal="left" vertical="center" wrapText="1"/>
    </xf>
    <xf numFmtId="0" fontId="68" fillId="4" borderId="0" xfId="8" applyNumberFormat="1" applyFont="1" applyFill="1" applyAlignment="1">
      <alignment horizontal="left" vertical="center"/>
    </xf>
    <xf numFmtId="2" fontId="29" fillId="0" borderId="0" xfId="8" applyFont="1" applyAlignment="1">
      <alignment vertical="center" wrapText="1"/>
    </xf>
    <xf numFmtId="2" fontId="30" fillId="0" borderId="0" xfId="8" applyFont="1" applyAlignment="1">
      <alignment vertical="center" wrapText="1"/>
    </xf>
    <xf numFmtId="2" fontId="27" fillId="0" borderId="0" xfId="8" applyFont="1" applyAlignment="1">
      <alignment vertical="center" wrapText="1"/>
    </xf>
    <xf numFmtId="0" fontId="173" fillId="0" borderId="23" xfId="5" applyFont="1" applyBorder="1" applyAlignment="1">
      <alignment horizontal="center" vertical="center"/>
    </xf>
    <xf numFmtId="0" fontId="35" fillId="0" borderId="23" xfId="5" applyFont="1" applyBorder="1" applyAlignment="1">
      <alignment horizontal="center" vertical="center"/>
    </xf>
    <xf numFmtId="0" fontId="35" fillId="0" borderId="99" xfId="5" applyFont="1" applyBorder="1" applyAlignment="1">
      <alignment horizontal="center" vertical="center"/>
    </xf>
    <xf numFmtId="2" fontId="0" fillId="0" borderId="23" xfId="0" applyBorder="1" applyAlignment="1">
      <alignment horizontal="center" vertical="center"/>
    </xf>
    <xf numFmtId="0" fontId="126" fillId="0" borderId="100" xfId="5" applyFont="1" applyBorder="1" applyAlignment="1">
      <alignment horizontal="center" vertical="center"/>
    </xf>
    <xf numFmtId="2" fontId="84" fillId="0" borderId="24" xfId="0" applyFont="1" applyBorder="1" applyAlignment="1">
      <alignment horizontal="center" vertical="center"/>
    </xf>
    <xf numFmtId="2" fontId="54" fillId="0" borderId="0" xfId="0" applyFont="1" applyAlignment="1">
      <alignment horizontal="left" vertical="center" wrapText="1"/>
    </xf>
    <xf numFmtId="182" fontId="163" fillId="0" borderId="21" xfId="0" applyNumberFormat="1" applyFont="1" applyBorder="1" applyAlignment="1">
      <alignment horizontal="left" vertical="center" wrapText="1"/>
    </xf>
    <xf numFmtId="182" fontId="163" fillId="0" borderId="6" xfId="0" applyNumberFormat="1" applyFont="1" applyBorder="1" applyAlignment="1">
      <alignment horizontal="left" vertical="center" wrapText="1"/>
    </xf>
    <xf numFmtId="182" fontId="8" fillId="0" borderId="21" xfId="0" applyNumberFormat="1" applyFont="1" applyBorder="1" applyAlignment="1">
      <alignment horizontal="left" vertical="center" wrapText="1"/>
    </xf>
    <xf numFmtId="182" fontId="8" fillId="0" borderId="6" xfId="0" applyNumberFormat="1" applyFont="1" applyBorder="1" applyAlignment="1">
      <alignment horizontal="left" vertical="center" wrapText="1"/>
    </xf>
    <xf numFmtId="177" fontId="96" fillId="0" borderId="0" xfId="0" applyNumberFormat="1" applyFont="1" applyAlignment="1">
      <alignment horizontal="center" vertical="center"/>
    </xf>
    <xf numFmtId="2" fontId="5" fillId="0" borderId="0" xfId="0" applyFont="1" applyAlignment="1">
      <alignment horizontal="center" vertical="center"/>
    </xf>
    <xf numFmtId="2" fontId="21" fillId="0" borderId="0" xfId="0" applyFont="1" applyAlignment="1">
      <alignment horizontal="center" vertical="center"/>
    </xf>
    <xf numFmtId="2" fontId="109" fillId="0" borderId="0" xfId="0" applyFont="1" applyAlignment="1">
      <alignment horizontal="left" vertical="center" wrapText="1"/>
    </xf>
    <xf numFmtId="2" fontId="161" fillId="0" borderId="0" xfId="0" applyFont="1" applyAlignment="1">
      <alignment horizontal="center" vertical="center"/>
    </xf>
    <xf numFmtId="2" fontId="142" fillId="0" borderId="0" xfId="0" applyFont="1" applyAlignment="1">
      <alignment horizontal="center" vertical="center"/>
    </xf>
    <xf numFmtId="2" fontId="136" fillId="0" borderId="0" xfId="0" applyFont="1" applyAlignment="1">
      <alignment horizontal="center" vertical="center"/>
    </xf>
    <xf numFmtId="0" fontId="137" fillId="0" borderId="0" xfId="0" applyNumberFormat="1" applyFont="1" applyAlignment="1">
      <alignment horizontal="center" vertical="center"/>
    </xf>
    <xf numFmtId="2" fontId="0" fillId="0" borderId="101" xfId="0" applyBorder="1" applyAlignment="1">
      <alignment horizontal="center"/>
    </xf>
    <xf numFmtId="2" fontId="0" fillId="0" borderId="102" xfId="0" applyBorder="1" applyAlignment="1">
      <alignment horizontal="center"/>
    </xf>
    <xf numFmtId="2" fontId="0" fillId="0" borderId="0" xfId="0" applyAlignment="1">
      <alignment horizontal="center"/>
    </xf>
    <xf numFmtId="2" fontId="126" fillId="0" borderId="0" xfId="0" applyFont="1" applyAlignment="1">
      <alignment horizontal="center" vertical="center"/>
    </xf>
    <xf numFmtId="2" fontId="35" fillId="0" borderId="4" xfId="0" applyFont="1" applyBorder="1" applyAlignment="1">
      <alignment horizontal="left" vertical="center"/>
    </xf>
    <xf numFmtId="2" fontId="126" fillId="0" borderId="0" xfId="0" applyFont="1" applyAlignment="1">
      <alignment horizontal="left" vertical="center"/>
    </xf>
    <xf numFmtId="0" fontId="126" fillId="4" borderId="0" xfId="0" applyNumberFormat="1" applyFont="1" applyFill="1" applyAlignment="1">
      <alignment horizontal="center" vertical="center"/>
    </xf>
    <xf numFmtId="177" fontId="169" fillId="0" borderId="103" xfId="0" applyNumberFormat="1" applyFont="1" applyBorder="1" applyAlignment="1">
      <alignment horizontal="right" wrapText="1"/>
    </xf>
    <xf numFmtId="10" fontId="9" fillId="0" borderId="0" xfId="0" applyNumberFormat="1" applyFont="1" applyAlignment="1">
      <alignment wrapText="1"/>
    </xf>
    <xf numFmtId="10" fontId="21" fillId="0" borderId="2" xfId="0" applyNumberFormat="1" applyFont="1" applyBorder="1" applyAlignment="1">
      <alignment wrapText="1"/>
    </xf>
    <xf numFmtId="2" fontId="224" fillId="4" borderId="0" xfId="0" applyFont="1" applyFill="1" applyAlignment="1">
      <alignment horizontal="right" wrapText="1"/>
    </xf>
    <xf numFmtId="2" fontId="224" fillId="4" borderId="4" xfId="0" applyFont="1" applyFill="1" applyBorder="1" applyAlignment="1">
      <alignment horizontal="right" wrapText="1"/>
    </xf>
    <xf numFmtId="10" fontId="14" fillId="0" borderId="0" xfId="2" applyNumberFormat="1" applyFont="1" applyBorder="1" applyAlignment="1" applyProtection="1">
      <alignment horizontal="center" vertical="center"/>
    </xf>
    <xf numFmtId="10" fontId="14" fillId="2" borderId="0" xfId="2" applyNumberFormat="1" applyFont="1" applyFill="1" applyBorder="1" applyAlignment="1" applyProtection="1">
      <alignment horizontal="center" vertical="center"/>
    </xf>
    <xf numFmtId="10" fontId="110" fillId="0" borderId="0" xfId="2" applyNumberFormat="1" applyFont="1" applyBorder="1" applyAlignment="1" applyProtection="1">
      <alignment horizontal="center" vertical="center"/>
    </xf>
    <xf numFmtId="185" fontId="51" fillId="0" borderId="108" xfId="8" applyNumberFormat="1" applyFont="1" applyFill="1" applyBorder="1" applyAlignment="1">
      <alignment horizontal="right" vertical="center"/>
    </xf>
    <xf numFmtId="177" fontId="51" fillId="0" borderId="108" xfId="8" applyNumberFormat="1" applyFont="1" applyFill="1" applyBorder="1" applyAlignment="1">
      <alignment horizontal="right" vertical="center"/>
    </xf>
    <xf numFmtId="184" fontId="51" fillId="0" borderId="108" xfId="8" applyNumberFormat="1" applyFont="1" applyFill="1" applyBorder="1" applyAlignment="1">
      <alignment horizontal="right" vertical="center"/>
    </xf>
    <xf numFmtId="184" fontId="10" fillId="0" borderId="108" xfId="8" applyNumberFormat="1" applyFont="1" applyFill="1" applyBorder="1" applyAlignment="1">
      <alignment horizontal="right" vertical="center"/>
    </xf>
    <xf numFmtId="176" fontId="8" fillId="0" borderId="0" xfId="0" applyNumberFormat="1" applyFont="1" applyFill="1" applyAlignment="1">
      <alignment horizontal="right" vertical="center" wrapText="1"/>
    </xf>
    <xf numFmtId="176" fontId="16" fillId="0" borderId="0" xfId="0" applyNumberFormat="1" applyFont="1" applyFill="1" applyAlignment="1">
      <alignment horizontal="right" vertical="center" wrapText="1"/>
    </xf>
    <xf numFmtId="176" fontId="9" fillId="0" borderId="0" xfId="0" applyNumberFormat="1" applyFont="1" applyFill="1" applyAlignment="1">
      <alignment horizontal="right" vertical="center" wrapText="1"/>
    </xf>
    <xf numFmtId="176" fontId="16" fillId="0" borderId="0" xfId="0" applyNumberFormat="1" applyFont="1" applyFill="1" applyAlignment="1">
      <alignment horizontal="right" vertical="center"/>
    </xf>
    <xf numFmtId="176" fontId="8" fillId="0" borderId="0" xfId="0" applyNumberFormat="1" applyFont="1" applyFill="1" applyAlignment="1">
      <alignment horizontal="right" vertical="center"/>
    </xf>
    <xf numFmtId="176" fontId="7" fillId="0" borderId="0" xfId="0" applyNumberFormat="1" applyFont="1" applyFill="1" applyAlignment="1">
      <alignment horizontal="right" vertical="center" wrapText="1"/>
    </xf>
    <xf numFmtId="10" fontId="32" fillId="2" borderId="0" xfId="8" applyNumberFormat="1" applyFont="1" applyFill="1" applyAlignment="1">
      <alignment horizontal="center" vertical="center"/>
    </xf>
  </cellXfs>
  <cellStyles count="17">
    <cellStyle name="20% - 强调文字颜色 1 2" xfId="14" xr:uid="{00000000-0005-0000-0000-000001000000}"/>
    <cellStyle name="20% - 着色 1" xfId="7" builtinId="30"/>
    <cellStyle name="Bookman Top Border" xfId="1" xr:uid="{00000000-0005-0000-0000-000002000000}"/>
    <cellStyle name="百分比" xfId="2" builtinId="5"/>
    <cellStyle name="百分比 2" xfId="16" xr:uid="{00000000-0005-0000-0000-000004000000}"/>
    <cellStyle name="常规" xfId="0" builtinId="0"/>
    <cellStyle name="常规 2" xfId="8" xr:uid="{00000000-0005-0000-0000-000006000000}"/>
    <cellStyle name="常规 2 2" xfId="9" xr:uid="{00000000-0005-0000-0000-000007000000}"/>
    <cellStyle name="常规 3" xfId="10" xr:uid="{00000000-0005-0000-0000-000008000000}"/>
    <cellStyle name="常规 4" xfId="11" xr:uid="{00000000-0005-0000-0000-000009000000}"/>
    <cellStyle name="常规 5" xfId="15" xr:uid="{00000000-0005-0000-0000-00000A000000}"/>
    <cellStyle name="常规_sensitive-multi" xfId="3" xr:uid="{00000000-0005-0000-0000-00000B000000}"/>
    <cellStyle name="常规_财务预测及估值作业0305" xfId="4" xr:uid="{00000000-0005-0000-0000-00000C000000}"/>
    <cellStyle name="常规_敏感性分析" xfId="5" xr:uid="{00000000-0005-0000-0000-00000D000000}"/>
    <cellStyle name="千位分隔" xfId="6" builtinId="3"/>
    <cellStyle name="千位分隔 2" xfId="12" xr:uid="{00000000-0005-0000-0000-00000F000000}"/>
    <cellStyle name="千位分隔 3" xfId="13" xr:uid="{00000000-0005-0000-0000-000010000000}"/>
  </cellStyles>
  <dxfs count="1">
    <dxf>
      <font>
        <b val="0"/>
        <condense val="0"/>
        <extend val="0"/>
        <color indexed="10"/>
      </font>
    </dxf>
  </dxfs>
  <tableStyles count="0" defaultTableStyle="TableStyleMedium9" defaultPivotStyle="PivotStyleLight16"/>
  <colors>
    <mruColors>
      <color rgb="FFFF6600"/>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3.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DFD181E0-5E2F-11CE-A449-00AA004A803D}" ax:persistence="persistStreamInit" r:id="rId1"/>
</file>

<file path=xl/activeX/activeX65.xml><?xml version="1.0" encoding="utf-8"?>
<ax:ocx xmlns:ax="http://schemas.microsoft.com/office/2006/activeX" xmlns:r="http://schemas.openxmlformats.org/officeDocument/2006/relationships" ax:classid="{DFD181E0-5E2F-11CE-A449-00AA004A803D}" ax:persistence="persistStreamInit" r:id="rId1"/>
</file>

<file path=xl/activeX/activeX66.xml><?xml version="1.0" encoding="utf-8"?>
<ax:ocx xmlns:ax="http://schemas.microsoft.com/office/2006/activeX" xmlns:r="http://schemas.openxmlformats.org/officeDocument/2006/relationships" ax:classid="{DFD181E0-5E2F-11CE-A449-00AA004A803D}"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charts/_rels/chart24.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9.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0.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938303341902652"/>
          <c:y val="7.0422535211267623E-2"/>
          <c:w val="0.6401028277635068"/>
          <c:h val="0.68075117370892024"/>
        </c:manualLayout>
      </c:layout>
      <c:barChart>
        <c:barDir val="col"/>
        <c:grouping val="clustered"/>
        <c:varyColors val="0"/>
        <c:ser>
          <c:idx val="1"/>
          <c:order val="0"/>
          <c:tx>
            <c:strRef>
              <c:f>利润表!$A$25</c:f>
              <c:strCache>
                <c:ptCount val="1"/>
                <c:pt idx="0">
                  <c:v>净利润</c:v>
                </c:pt>
              </c:strCache>
            </c:strRef>
          </c:tx>
          <c:spPr>
            <a:solidFill>
              <a:srgbClr val="EE7B36"/>
            </a:solidFill>
            <a:ln w="9525" cap="flat" cmpd="sng" algn="ctr">
              <a:solidFill>
                <a:srgbClr val="EE7B36"/>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利润表!$F$25:$K$25</c:f>
              <c:numCache>
                <c:formatCode>0.00_ </c:formatCode>
                <c:ptCount val="6"/>
                <c:pt idx="0">
                  <c:v>890.33413537000001</c:v>
                </c:pt>
                <c:pt idx="1">
                  <c:v>672.61913852999999</c:v>
                </c:pt>
                <c:pt idx="2">
                  <c:v>177.91475842</c:v>
                </c:pt>
                <c:pt idx="3">
                  <c:v>-199.25122841240608</c:v>
                </c:pt>
                <c:pt idx="4">
                  <c:v>167.7204316946341</c:v>
                </c:pt>
                <c:pt idx="5">
                  <c:v>114.43447540068274</c:v>
                </c:pt>
              </c:numCache>
            </c:numRef>
          </c:val>
          <c:extLst>
            <c:ext xmlns:c16="http://schemas.microsoft.com/office/drawing/2014/chart" uri="{C3380CC4-5D6E-409C-BE32-E72D297353CC}">
              <c16:uniqueId val="{00000000-4812-46CF-94E1-A0303E6D818F}"/>
            </c:ext>
          </c:extLst>
        </c:ser>
        <c:ser>
          <c:idx val="2"/>
          <c:order val="1"/>
          <c:tx>
            <c:v>股东权益</c:v>
          </c:tx>
          <c:spPr>
            <a:solidFill>
              <a:srgbClr val="B4B4B4"/>
            </a:solidFill>
            <a:ln w="9525" cap="flat" cmpd="sng" algn="ctr">
              <a:solidFill>
                <a:srgbClr val="B4B4B4"/>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资产负债!$F$86:$K$86</c:f>
              <c:numCache>
                <c:formatCode>0.00_ </c:formatCode>
                <c:ptCount val="6"/>
                <c:pt idx="0">
                  <c:v>4152.4887971999997</c:v>
                </c:pt>
                <c:pt idx="1">
                  <c:v>4967.87543155</c:v>
                </c:pt>
                <c:pt idx="2">
                  <c:v>5617.8785541300003</c:v>
                </c:pt>
                <c:pt idx="3">
                  <c:v>5359.5833943675943</c:v>
                </c:pt>
                <c:pt idx="4">
                  <c:v>5468.2598947122278</c:v>
                </c:pt>
                <c:pt idx="5">
                  <c:v>5508.8894559254113</c:v>
                </c:pt>
              </c:numCache>
            </c:numRef>
          </c:val>
          <c:extLst>
            <c:ext xmlns:c16="http://schemas.microsoft.com/office/drawing/2014/chart" uri="{C3380CC4-5D6E-409C-BE32-E72D297353CC}">
              <c16:uniqueId val="{00000001-4812-46CF-94E1-A0303E6D818F}"/>
            </c:ext>
          </c:extLst>
        </c:ser>
        <c:dLbls>
          <c:showLegendKey val="0"/>
          <c:showVal val="0"/>
          <c:showCatName val="0"/>
          <c:showSerName val="0"/>
          <c:showPercent val="0"/>
          <c:showBubbleSize val="0"/>
        </c:dLbls>
        <c:gapWidth val="150"/>
        <c:axId val="425182336"/>
        <c:axId val="425183872"/>
      </c:barChart>
      <c:lineChart>
        <c:grouping val="standard"/>
        <c:varyColors val="0"/>
        <c:ser>
          <c:idx val="0"/>
          <c:order val="2"/>
          <c:tx>
            <c:strRef>
              <c:f>财务分析!$B$19</c:f>
              <c:strCache>
                <c:ptCount val="1"/>
                <c:pt idx="0">
                  <c:v>净资产收益率(ROE)</c:v>
                </c:pt>
              </c:strCache>
            </c:strRef>
          </c:tx>
          <c:spPr>
            <a:ln w="28575" cap="rnd" cmpd="sng" algn="ctr">
              <a:solidFill>
                <a:srgbClr val="F8C097"/>
              </a:solidFill>
              <a:prstDash val="solid"/>
              <a:round/>
              <a:headEnd type="none" w="med" len="med"/>
              <a:tailEnd type="none" w="med" len="med"/>
            </a:ln>
          </c:spPr>
          <c:marker>
            <c:symbol val="square"/>
            <c:size val="5"/>
            <c:spPr>
              <a:solidFill>
                <a:schemeClr val="accent1"/>
              </a:solidFill>
              <a:ln w="28575" cap="rnd" cmpd="sng" algn="ctr">
                <a:solidFill>
                  <a:srgbClr val="F8C097"/>
                </a:solidFill>
                <a:prstDash val="solid"/>
                <a:round/>
                <a:headEnd type="none" w="med" len="med"/>
                <a:tailEnd type="none" w="med" len="med"/>
              </a:ln>
            </c:spPr>
          </c:marker>
          <c:cat>
            <c:strRef>
              <c:f>利润表!$F$1:$K$1</c:f>
              <c:strCache>
                <c:ptCount val="6"/>
                <c:pt idx="0">
                  <c:v>2020-12-31</c:v>
                </c:pt>
                <c:pt idx="1">
                  <c:v>2021-12-31</c:v>
                </c:pt>
                <c:pt idx="2">
                  <c:v>2022-12-31</c:v>
                </c:pt>
                <c:pt idx="3">
                  <c:v>2023E</c:v>
                </c:pt>
                <c:pt idx="4">
                  <c:v>2024E</c:v>
                </c:pt>
                <c:pt idx="5">
                  <c:v>2025E</c:v>
                </c:pt>
              </c:strCache>
            </c:strRef>
          </c:cat>
          <c:val>
            <c:numRef>
              <c:f>财务分析!$F$19:$K$19</c:f>
              <c:numCache>
                <c:formatCode>0.00%</c:formatCode>
                <c:ptCount val="6"/>
                <c:pt idx="0">
                  <c:v>0.21440976215766011</c:v>
                </c:pt>
                <c:pt idx="1">
                  <c:v>0.13539372067550812</c:v>
                </c:pt>
                <c:pt idx="2">
                  <c:v>3.1669384929869197E-2</c:v>
                </c:pt>
                <c:pt idx="3">
                  <c:v>-3.7176626194826992E-2</c:v>
                </c:pt>
                <c:pt idx="4">
                  <c:v>3.0671627706799136E-2</c:v>
                </c:pt>
                <c:pt idx="5">
                  <c:v>2.0772694082215788E-2</c:v>
                </c:pt>
              </c:numCache>
            </c:numRef>
          </c:val>
          <c:smooth val="0"/>
          <c:extLst>
            <c:ext xmlns:c16="http://schemas.microsoft.com/office/drawing/2014/chart" uri="{C3380CC4-5D6E-409C-BE32-E72D297353CC}">
              <c16:uniqueId val="{00000002-4812-46CF-94E1-A0303E6D818F}"/>
            </c:ext>
          </c:extLst>
        </c:ser>
        <c:dLbls>
          <c:showLegendKey val="0"/>
          <c:showVal val="0"/>
          <c:showCatName val="0"/>
          <c:showSerName val="0"/>
          <c:showPercent val="0"/>
          <c:showBubbleSize val="0"/>
        </c:dLbls>
        <c:marker val="1"/>
        <c:smooth val="0"/>
        <c:axId val="262097920"/>
        <c:axId val="262110592"/>
      </c:lineChart>
      <c:catAx>
        <c:axId val="262097920"/>
        <c:scaling>
          <c:orientation val="minMax"/>
        </c:scaling>
        <c:delete val="0"/>
        <c:axPos val="b"/>
        <c:numFmt formatCode="General" sourceLinked="1"/>
        <c:majorTickMark val="none"/>
        <c:minorTickMark val="out"/>
        <c:tickLblPos val="low"/>
        <c:crossAx val="262110592"/>
        <c:crosses val="autoZero"/>
        <c:auto val="0"/>
        <c:lblAlgn val="ctr"/>
        <c:lblOffset val="100"/>
        <c:noMultiLvlLbl val="0"/>
      </c:catAx>
      <c:valAx>
        <c:axId val="262110592"/>
        <c:scaling>
          <c:orientation val="minMax"/>
        </c:scaling>
        <c:delete val="0"/>
        <c:axPos val="l"/>
        <c:majorGridlines/>
        <c:numFmt formatCode="0.00%" sourceLinked="1"/>
        <c:majorTickMark val="out"/>
        <c:minorTickMark val="none"/>
        <c:tickLblPos val="nextTo"/>
        <c:crossAx val="262097920"/>
        <c:crosses val="autoZero"/>
        <c:crossBetween val="between"/>
      </c:valAx>
      <c:catAx>
        <c:axId val="425182336"/>
        <c:scaling>
          <c:orientation val="minMax"/>
        </c:scaling>
        <c:delete val="1"/>
        <c:axPos val="b"/>
        <c:numFmt formatCode="General" sourceLinked="1"/>
        <c:majorTickMark val="out"/>
        <c:minorTickMark val="none"/>
        <c:tickLblPos val="none"/>
        <c:crossAx val="425183872"/>
        <c:crosses val="autoZero"/>
        <c:auto val="0"/>
        <c:lblAlgn val="ctr"/>
        <c:lblOffset val="100"/>
        <c:noMultiLvlLbl val="0"/>
      </c:catAx>
      <c:valAx>
        <c:axId val="425183872"/>
        <c:scaling>
          <c:orientation val="minMax"/>
        </c:scaling>
        <c:delete val="0"/>
        <c:axPos val="r"/>
        <c:numFmt formatCode="0.00_ " sourceLinked="1"/>
        <c:majorTickMark val="out"/>
        <c:minorTickMark val="none"/>
        <c:tickLblPos val="nextTo"/>
        <c:crossAx val="425182336"/>
        <c:crosses val="max"/>
        <c:crossBetween val="between"/>
      </c:valAx>
    </c:plotArea>
    <c:legend>
      <c:legendPos val="r"/>
      <c:layout>
        <c:manualLayout>
          <c:xMode val="edge"/>
          <c:yMode val="edge"/>
          <c:x val="1.7994858611825496E-2"/>
          <c:y val="0.88732394366197187"/>
          <c:w val="0.94858611825191741"/>
          <c:h val="9.8591549295775766E-2"/>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223650385604194"/>
          <c:y val="7.0707070707070704E-2"/>
          <c:w val="0.61696658097685431"/>
          <c:h val="0.66666666666666663"/>
        </c:manualLayout>
      </c:layout>
      <c:barChart>
        <c:barDir val="col"/>
        <c:grouping val="clustered"/>
        <c:varyColors val="0"/>
        <c:ser>
          <c:idx val="1"/>
          <c:order val="0"/>
          <c:tx>
            <c:strRef>
              <c:f>资产负债!$A$40</c:f>
              <c:strCache>
                <c:ptCount val="1"/>
                <c:pt idx="0">
                  <c:v>资产总计</c:v>
                </c:pt>
              </c:strCache>
            </c:strRef>
          </c:tx>
          <c:spPr>
            <a:solidFill>
              <a:srgbClr val="EE7B36"/>
            </a:solidFill>
            <a:ln w="9525" cap="flat" cmpd="sng" algn="ctr">
              <a:solidFill>
                <a:srgbClr val="EE7B36"/>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资产负债!$F$40:$K$40</c:f>
              <c:numCache>
                <c:formatCode>0.00_ </c:formatCode>
                <c:ptCount val="6"/>
                <c:pt idx="0">
                  <c:v>8165.1224772599999</c:v>
                </c:pt>
                <c:pt idx="1">
                  <c:v>10789.49010838</c:v>
                </c:pt>
                <c:pt idx="2">
                  <c:v>12639.39639009</c:v>
                </c:pt>
                <c:pt idx="3">
                  <c:v>10436.385430546285</c:v>
                </c:pt>
                <c:pt idx="4">
                  <c:v>14935.353979427569</c:v>
                </c:pt>
                <c:pt idx="5">
                  <c:v>14338.799006839905</c:v>
                </c:pt>
              </c:numCache>
            </c:numRef>
          </c:val>
          <c:extLst>
            <c:ext xmlns:c16="http://schemas.microsoft.com/office/drawing/2014/chart" uri="{C3380CC4-5D6E-409C-BE32-E72D297353CC}">
              <c16:uniqueId val="{00000000-01F7-45F7-9294-06135107B6DC}"/>
            </c:ext>
          </c:extLst>
        </c:ser>
        <c:ser>
          <c:idx val="2"/>
          <c:order val="1"/>
          <c:tx>
            <c:v>股东权益</c:v>
          </c:tx>
          <c:spPr>
            <a:solidFill>
              <a:srgbClr val="B4B4B4"/>
            </a:solidFill>
            <a:ln w="9525" cap="flat" cmpd="sng" algn="ctr">
              <a:solidFill>
                <a:srgbClr val="B4B4B4"/>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资产负债!$F$86:$K$86</c:f>
              <c:numCache>
                <c:formatCode>0.00_ </c:formatCode>
                <c:ptCount val="6"/>
                <c:pt idx="0">
                  <c:v>4152.4887971999997</c:v>
                </c:pt>
                <c:pt idx="1">
                  <c:v>4967.87543155</c:v>
                </c:pt>
                <c:pt idx="2">
                  <c:v>5617.8785541300003</c:v>
                </c:pt>
                <c:pt idx="3">
                  <c:v>5359.5833943675943</c:v>
                </c:pt>
                <c:pt idx="4">
                  <c:v>5468.2598947122278</c:v>
                </c:pt>
                <c:pt idx="5">
                  <c:v>5508.8894559254113</c:v>
                </c:pt>
              </c:numCache>
            </c:numRef>
          </c:val>
          <c:extLst>
            <c:ext xmlns:c16="http://schemas.microsoft.com/office/drawing/2014/chart" uri="{C3380CC4-5D6E-409C-BE32-E72D297353CC}">
              <c16:uniqueId val="{00000001-01F7-45F7-9294-06135107B6DC}"/>
            </c:ext>
          </c:extLst>
        </c:ser>
        <c:dLbls>
          <c:showLegendKey val="0"/>
          <c:showVal val="0"/>
          <c:showCatName val="0"/>
          <c:showSerName val="0"/>
          <c:showPercent val="0"/>
          <c:showBubbleSize val="0"/>
        </c:dLbls>
        <c:gapWidth val="150"/>
        <c:axId val="426747392"/>
        <c:axId val="426748928"/>
      </c:barChart>
      <c:lineChart>
        <c:grouping val="standard"/>
        <c:varyColors val="0"/>
        <c:ser>
          <c:idx val="0"/>
          <c:order val="2"/>
          <c:tx>
            <c:v>权益乘数(%)</c:v>
          </c:tx>
          <c:spPr>
            <a:ln w="28575" cap="rnd" cmpd="sng" algn="ctr">
              <a:solidFill>
                <a:srgbClr val="F8C097"/>
              </a:solidFill>
              <a:prstDash val="solid"/>
              <a:round/>
              <a:headEnd type="none" w="med" len="med"/>
              <a:tailEnd type="none" w="med" len="med"/>
            </a:ln>
          </c:spPr>
          <c:marker>
            <c:symbol val="square"/>
            <c:size val="5"/>
            <c:spPr>
              <a:solidFill>
                <a:schemeClr val="accent1"/>
              </a:solidFill>
              <a:ln w="28575" cap="rnd" cmpd="sng" algn="ctr">
                <a:solidFill>
                  <a:srgbClr val="F8C097"/>
                </a:solidFill>
                <a:prstDash val="solid"/>
                <a:round/>
                <a:headEnd type="none" w="med" len="med"/>
                <a:tailEnd type="none" w="med" len="med"/>
              </a:ln>
            </c:spPr>
          </c:marker>
          <c:cat>
            <c:strRef>
              <c:f>利润表!$F$1:$K$1</c:f>
              <c:strCache>
                <c:ptCount val="6"/>
                <c:pt idx="0">
                  <c:v>2020-12-31</c:v>
                </c:pt>
                <c:pt idx="1">
                  <c:v>2021-12-31</c:v>
                </c:pt>
                <c:pt idx="2">
                  <c:v>2022-12-31</c:v>
                </c:pt>
                <c:pt idx="3">
                  <c:v>2023E</c:v>
                </c:pt>
                <c:pt idx="4">
                  <c:v>2024E</c:v>
                </c:pt>
                <c:pt idx="5">
                  <c:v>2025E</c:v>
                </c:pt>
              </c:strCache>
            </c:strRef>
          </c:cat>
          <c:val>
            <c:numRef>
              <c:f>财务分析!$F$39:$K$39</c:f>
              <c:numCache>
                <c:formatCode>0.00%</c:formatCode>
                <c:ptCount val="6"/>
                <c:pt idx="0">
                  <c:v>1.9663201699100783</c:v>
                </c:pt>
                <c:pt idx="1">
                  <c:v>2.1718519832156153</c:v>
                </c:pt>
                <c:pt idx="2">
                  <c:v>2.249852193903001</c:v>
                </c:pt>
                <c:pt idx="3">
                  <c:v>1.9472381830113736</c:v>
                </c:pt>
                <c:pt idx="4">
                  <c:v>2.7312809315939721</c:v>
                </c:pt>
                <c:pt idx="5">
                  <c:v>2.6028474743520156</c:v>
                </c:pt>
              </c:numCache>
            </c:numRef>
          </c:val>
          <c:smooth val="0"/>
          <c:extLst>
            <c:ext xmlns:c16="http://schemas.microsoft.com/office/drawing/2014/chart" uri="{C3380CC4-5D6E-409C-BE32-E72D297353CC}">
              <c16:uniqueId val="{00000002-01F7-45F7-9294-06135107B6DC}"/>
            </c:ext>
          </c:extLst>
        </c:ser>
        <c:dLbls>
          <c:showLegendKey val="0"/>
          <c:showVal val="0"/>
          <c:showCatName val="0"/>
          <c:showSerName val="0"/>
          <c:showPercent val="0"/>
          <c:showBubbleSize val="0"/>
        </c:dLbls>
        <c:marker val="1"/>
        <c:smooth val="0"/>
        <c:axId val="426739584"/>
        <c:axId val="426745856"/>
      </c:lineChart>
      <c:catAx>
        <c:axId val="426739584"/>
        <c:scaling>
          <c:orientation val="minMax"/>
        </c:scaling>
        <c:delete val="0"/>
        <c:axPos val="b"/>
        <c:numFmt formatCode="General" sourceLinked="1"/>
        <c:majorTickMark val="none"/>
        <c:minorTickMark val="out"/>
        <c:tickLblPos val="low"/>
        <c:crossAx val="426745856"/>
        <c:crosses val="autoZero"/>
        <c:auto val="1"/>
        <c:lblAlgn val="ctr"/>
        <c:lblOffset val="100"/>
        <c:noMultiLvlLbl val="0"/>
      </c:catAx>
      <c:valAx>
        <c:axId val="426745856"/>
        <c:scaling>
          <c:orientation val="minMax"/>
        </c:scaling>
        <c:delete val="0"/>
        <c:axPos val="l"/>
        <c:majorGridlines/>
        <c:numFmt formatCode="0.00%" sourceLinked="1"/>
        <c:majorTickMark val="out"/>
        <c:minorTickMark val="none"/>
        <c:tickLblPos val="nextTo"/>
        <c:crossAx val="426739584"/>
        <c:crosses val="autoZero"/>
        <c:crossBetween val="between"/>
      </c:valAx>
      <c:catAx>
        <c:axId val="426747392"/>
        <c:scaling>
          <c:orientation val="minMax"/>
        </c:scaling>
        <c:delete val="1"/>
        <c:axPos val="b"/>
        <c:numFmt formatCode="General" sourceLinked="1"/>
        <c:majorTickMark val="out"/>
        <c:minorTickMark val="none"/>
        <c:tickLblPos val="none"/>
        <c:crossAx val="426748928"/>
        <c:crosses val="autoZero"/>
        <c:auto val="0"/>
        <c:lblAlgn val="ctr"/>
        <c:lblOffset val="100"/>
        <c:noMultiLvlLbl val="0"/>
      </c:catAx>
      <c:valAx>
        <c:axId val="426748928"/>
        <c:scaling>
          <c:orientation val="minMax"/>
        </c:scaling>
        <c:delete val="0"/>
        <c:axPos val="r"/>
        <c:numFmt formatCode="0.00_ " sourceLinked="1"/>
        <c:majorTickMark val="out"/>
        <c:minorTickMark val="none"/>
        <c:tickLblPos val="nextTo"/>
        <c:crossAx val="426747392"/>
        <c:crosses val="max"/>
        <c:crossBetween val="between"/>
      </c:valAx>
    </c:plotArea>
    <c:legend>
      <c:legendPos val="r"/>
      <c:layout>
        <c:manualLayout>
          <c:xMode val="edge"/>
          <c:yMode val="edge"/>
          <c:x val="1.7994858611825496E-2"/>
          <c:y val="0.88383838383838387"/>
          <c:w val="0.94858611825191741"/>
          <c:h val="0.10101010101010112"/>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3931423465684"/>
          <c:y val="7.0829471674892314E-2"/>
          <c:w val="0.64261797062602122"/>
          <c:h val="0.69254111584675759"/>
        </c:manualLayout>
      </c:layout>
      <c:barChart>
        <c:barDir val="col"/>
        <c:grouping val="clustered"/>
        <c:varyColors val="0"/>
        <c:ser>
          <c:idx val="1"/>
          <c:order val="0"/>
          <c:tx>
            <c:strRef>
              <c:f>利润表!$A$25</c:f>
              <c:strCache>
                <c:ptCount val="1"/>
                <c:pt idx="0">
                  <c:v>净利润</c:v>
                </c:pt>
              </c:strCache>
            </c:strRef>
          </c:tx>
          <c:spPr>
            <a:solidFill>
              <a:srgbClr val="EE7B36"/>
            </a:solidFill>
            <a:ln w="9525" cap="flat" cmpd="sng" algn="ctr">
              <a:solidFill>
                <a:srgbClr val="EE7B36"/>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利润表!$F$25:$K$25</c:f>
              <c:numCache>
                <c:formatCode>0.00_ </c:formatCode>
                <c:ptCount val="6"/>
                <c:pt idx="0">
                  <c:v>890.33413537000001</c:v>
                </c:pt>
                <c:pt idx="1">
                  <c:v>672.61913852999999</c:v>
                </c:pt>
                <c:pt idx="2">
                  <c:v>177.91475842</c:v>
                </c:pt>
                <c:pt idx="3">
                  <c:v>-199.25122841240608</c:v>
                </c:pt>
                <c:pt idx="4">
                  <c:v>167.7204316946341</c:v>
                </c:pt>
                <c:pt idx="5">
                  <c:v>114.43447540068274</c:v>
                </c:pt>
              </c:numCache>
            </c:numRef>
          </c:val>
          <c:extLst>
            <c:ext xmlns:c16="http://schemas.microsoft.com/office/drawing/2014/chart" uri="{C3380CC4-5D6E-409C-BE32-E72D297353CC}">
              <c16:uniqueId val="{00000000-5BB4-4A88-A0B6-96BBFEA65008}"/>
            </c:ext>
          </c:extLst>
        </c:ser>
        <c:ser>
          <c:idx val="2"/>
          <c:order val="1"/>
          <c:tx>
            <c:v>总资产</c:v>
          </c:tx>
          <c:spPr>
            <a:solidFill>
              <a:srgbClr val="B4B4B4"/>
            </a:solidFill>
            <a:ln w="9525" cap="flat" cmpd="sng" algn="ctr">
              <a:solidFill>
                <a:srgbClr val="B4B4B4"/>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资产负债!$F$40:$K$40</c:f>
              <c:numCache>
                <c:formatCode>0.00_ </c:formatCode>
                <c:ptCount val="6"/>
                <c:pt idx="0">
                  <c:v>8165.1224772599999</c:v>
                </c:pt>
                <c:pt idx="1">
                  <c:v>10789.49010838</c:v>
                </c:pt>
                <c:pt idx="2">
                  <c:v>12639.39639009</c:v>
                </c:pt>
                <c:pt idx="3">
                  <c:v>10436.385430546285</c:v>
                </c:pt>
                <c:pt idx="4">
                  <c:v>14935.353979427569</c:v>
                </c:pt>
                <c:pt idx="5">
                  <c:v>14338.799006839905</c:v>
                </c:pt>
              </c:numCache>
            </c:numRef>
          </c:val>
          <c:extLst>
            <c:ext xmlns:c16="http://schemas.microsoft.com/office/drawing/2014/chart" uri="{C3380CC4-5D6E-409C-BE32-E72D297353CC}">
              <c16:uniqueId val="{00000001-5BB4-4A88-A0B6-96BBFEA65008}"/>
            </c:ext>
          </c:extLst>
        </c:ser>
        <c:dLbls>
          <c:showLegendKey val="0"/>
          <c:showVal val="0"/>
          <c:showCatName val="0"/>
          <c:showSerName val="0"/>
          <c:showPercent val="0"/>
          <c:showBubbleSize val="0"/>
        </c:dLbls>
        <c:gapWidth val="150"/>
        <c:axId val="427059072"/>
        <c:axId val="427060608"/>
      </c:barChart>
      <c:lineChart>
        <c:grouping val="standard"/>
        <c:varyColors val="0"/>
        <c:ser>
          <c:idx val="0"/>
          <c:order val="2"/>
          <c:tx>
            <c:strRef>
              <c:f>财务分析!$B$20</c:f>
              <c:strCache>
                <c:ptCount val="1"/>
                <c:pt idx="0">
                  <c:v>资产收益率(ROA)</c:v>
                </c:pt>
              </c:strCache>
            </c:strRef>
          </c:tx>
          <c:spPr>
            <a:ln w="28575" cap="rnd" cmpd="sng" algn="ctr">
              <a:solidFill>
                <a:srgbClr val="F8C097"/>
              </a:solidFill>
              <a:prstDash val="solid"/>
              <a:round/>
              <a:headEnd type="none" w="med" len="med"/>
              <a:tailEnd type="none" w="med" len="med"/>
            </a:ln>
          </c:spPr>
          <c:marker>
            <c:symbol val="square"/>
            <c:size val="5"/>
            <c:spPr>
              <a:solidFill>
                <a:schemeClr val="accent1"/>
              </a:solidFill>
              <a:ln w="28575" cap="rnd" cmpd="sng" algn="ctr">
                <a:solidFill>
                  <a:srgbClr val="F8C097"/>
                </a:solidFill>
                <a:prstDash val="solid"/>
                <a:round/>
                <a:headEnd type="none" w="med" len="med"/>
                <a:tailEnd type="none" w="med" len="med"/>
              </a:ln>
            </c:spPr>
          </c:marker>
          <c:cat>
            <c:strRef>
              <c:f>利润表!$F$1:$K$1</c:f>
              <c:strCache>
                <c:ptCount val="6"/>
                <c:pt idx="0">
                  <c:v>2020-12-31</c:v>
                </c:pt>
                <c:pt idx="1">
                  <c:v>2021-12-31</c:v>
                </c:pt>
                <c:pt idx="2">
                  <c:v>2022-12-31</c:v>
                </c:pt>
                <c:pt idx="3">
                  <c:v>2023E</c:v>
                </c:pt>
                <c:pt idx="4">
                  <c:v>2024E</c:v>
                </c:pt>
                <c:pt idx="5">
                  <c:v>2025E</c:v>
                </c:pt>
              </c:strCache>
            </c:strRef>
          </c:cat>
          <c:val>
            <c:numRef>
              <c:f>财务分析!$F$20:$K$20</c:f>
              <c:numCache>
                <c:formatCode>0.00%</c:formatCode>
                <c:ptCount val="6"/>
                <c:pt idx="0">
                  <c:v>0.10904112434927893</c:v>
                </c:pt>
                <c:pt idx="1">
                  <c:v>6.2340215503565735E-2</c:v>
                </c:pt>
                <c:pt idx="2">
                  <c:v>1.4076206879586054E-2</c:v>
                </c:pt>
                <c:pt idx="3">
                  <c:v>-1.909197679008837E-2</c:v>
                </c:pt>
                <c:pt idx="4">
                  <c:v>1.1229759396774763E-2</c:v>
                </c:pt>
                <c:pt idx="5">
                  <c:v>7.980757338609399E-3</c:v>
                </c:pt>
              </c:numCache>
            </c:numRef>
          </c:val>
          <c:smooth val="0"/>
          <c:extLst>
            <c:ext xmlns:c16="http://schemas.microsoft.com/office/drawing/2014/chart" uri="{C3380CC4-5D6E-409C-BE32-E72D297353CC}">
              <c16:uniqueId val="{00000002-5BB4-4A88-A0B6-96BBFEA65008}"/>
            </c:ext>
          </c:extLst>
        </c:ser>
        <c:dLbls>
          <c:showLegendKey val="0"/>
          <c:showVal val="0"/>
          <c:showCatName val="0"/>
          <c:showSerName val="0"/>
          <c:showPercent val="0"/>
          <c:showBubbleSize val="0"/>
        </c:dLbls>
        <c:marker val="1"/>
        <c:smooth val="0"/>
        <c:axId val="427055360"/>
        <c:axId val="427057536"/>
      </c:lineChart>
      <c:catAx>
        <c:axId val="427055360"/>
        <c:scaling>
          <c:orientation val="minMax"/>
        </c:scaling>
        <c:delete val="0"/>
        <c:axPos val="b"/>
        <c:numFmt formatCode="General" sourceLinked="1"/>
        <c:majorTickMark val="none"/>
        <c:minorTickMark val="out"/>
        <c:tickLblPos val="low"/>
        <c:crossAx val="427057536"/>
        <c:crosses val="autoZero"/>
        <c:auto val="1"/>
        <c:lblAlgn val="ctr"/>
        <c:lblOffset val="100"/>
        <c:noMultiLvlLbl val="0"/>
      </c:catAx>
      <c:valAx>
        <c:axId val="427057536"/>
        <c:scaling>
          <c:orientation val="minMax"/>
        </c:scaling>
        <c:delete val="0"/>
        <c:axPos val="l"/>
        <c:majorGridlines/>
        <c:numFmt formatCode="0.00%" sourceLinked="1"/>
        <c:majorTickMark val="out"/>
        <c:minorTickMark val="none"/>
        <c:tickLblPos val="nextTo"/>
        <c:crossAx val="427055360"/>
        <c:crosses val="autoZero"/>
        <c:crossBetween val="between"/>
      </c:valAx>
      <c:catAx>
        <c:axId val="427059072"/>
        <c:scaling>
          <c:orientation val="minMax"/>
        </c:scaling>
        <c:delete val="1"/>
        <c:axPos val="b"/>
        <c:numFmt formatCode="General" sourceLinked="1"/>
        <c:majorTickMark val="out"/>
        <c:minorTickMark val="none"/>
        <c:tickLblPos val="none"/>
        <c:crossAx val="427060608"/>
        <c:crosses val="autoZero"/>
        <c:auto val="0"/>
        <c:lblAlgn val="ctr"/>
        <c:lblOffset val="100"/>
        <c:noMultiLvlLbl val="0"/>
      </c:catAx>
      <c:valAx>
        <c:axId val="427060608"/>
        <c:scaling>
          <c:orientation val="minMax"/>
        </c:scaling>
        <c:delete val="0"/>
        <c:axPos val="r"/>
        <c:numFmt formatCode="0.00_ " sourceLinked="1"/>
        <c:majorTickMark val="out"/>
        <c:minorTickMark val="none"/>
        <c:tickLblPos val="nextTo"/>
        <c:crossAx val="427059072"/>
        <c:crosses val="max"/>
        <c:crossBetween val="between"/>
      </c:valAx>
    </c:plotArea>
    <c:legend>
      <c:legendPos val="r"/>
      <c:layout>
        <c:manualLayout>
          <c:xMode val="edge"/>
          <c:yMode val="edge"/>
          <c:x val="1.7902813299233111E-2"/>
          <c:y val="0.88532110091742289"/>
          <c:w val="0.9488491048593356"/>
          <c:h val="0.10091743119265995"/>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3931423465684"/>
          <c:y val="7.0829471674892314E-2"/>
          <c:w val="0.64261797062602144"/>
          <c:h val="0.67039043564532086"/>
        </c:manualLayout>
      </c:layout>
      <c:barChart>
        <c:barDir val="col"/>
        <c:grouping val="clustered"/>
        <c:varyColors val="0"/>
        <c:ser>
          <c:idx val="1"/>
          <c:order val="0"/>
          <c:tx>
            <c:strRef>
              <c:f>利润表!$A$25</c:f>
              <c:strCache>
                <c:ptCount val="1"/>
                <c:pt idx="0">
                  <c:v>净利润</c:v>
                </c:pt>
              </c:strCache>
            </c:strRef>
          </c:tx>
          <c:spPr>
            <a:solidFill>
              <a:srgbClr val="EE7B36"/>
            </a:solidFill>
            <a:ln w="9525" cap="flat" cmpd="sng" algn="ctr">
              <a:solidFill>
                <a:srgbClr val="EE7B36"/>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利润表!$F$25:$K$25</c:f>
              <c:numCache>
                <c:formatCode>0.00_ </c:formatCode>
                <c:ptCount val="6"/>
                <c:pt idx="0">
                  <c:v>890.33413537000001</c:v>
                </c:pt>
                <c:pt idx="1">
                  <c:v>672.61913852999999</c:v>
                </c:pt>
                <c:pt idx="2">
                  <c:v>177.91475842</c:v>
                </c:pt>
                <c:pt idx="3">
                  <c:v>-199.25122841240608</c:v>
                </c:pt>
                <c:pt idx="4">
                  <c:v>167.7204316946341</c:v>
                </c:pt>
                <c:pt idx="5">
                  <c:v>114.43447540068274</c:v>
                </c:pt>
              </c:numCache>
            </c:numRef>
          </c:val>
          <c:extLst>
            <c:ext xmlns:c16="http://schemas.microsoft.com/office/drawing/2014/chart" uri="{C3380CC4-5D6E-409C-BE32-E72D297353CC}">
              <c16:uniqueId val="{00000000-CBFA-4A95-B140-07583F262B37}"/>
            </c:ext>
          </c:extLst>
        </c:ser>
        <c:ser>
          <c:idx val="2"/>
          <c:order val="1"/>
          <c:tx>
            <c:strRef>
              <c:f>利润表!$A$2</c:f>
              <c:strCache>
                <c:ptCount val="1"/>
                <c:pt idx="0">
                  <c:v>营业收入</c:v>
                </c:pt>
              </c:strCache>
            </c:strRef>
          </c:tx>
          <c:spPr>
            <a:solidFill>
              <a:srgbClr val="B4B4B4"/>
            </a:solidFill>
            <a:ln w="9525" cap="flat" cmpd="sng" algn="ctr">
              <a:solidFill>
                <a:srgbClr val="B4B4B4"/>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利润表!$F$2:$K$2</c:f>
              <c:numCache>
                <c:formatCode>0.00_ </c:formatCode>
                <c:ptCount val="6"/>
                <c:pt idx="0">
                  <c:v>6237.8785046200001</c:v>
                </c:pt>
                <c:pt idx="1">
                  <c:v>7770.7241516800004</c:v>
                </c:pt>
                <c:pt idx="2">
                  <c:v>7660.6405554399998</c:v>
                </c:pt>
                <c:pt idx="3">
                  <c:v>8366.1855505960248</c:v>
                </c:pt>
                <c:pt idx="4">
                  <c:v>9687.2062490351364</c:v>
                </c:pt>
                <c:pt idx="5">
                  <c:v>11280.713586890948</c:v>
                </c:pt>
              </c:numCache>
            </c:numRef>
          </c:val>
          <c:extLst>
            <c:ext xmlns:c16="http://schemas.microsoft.com/office/drawing/2014/chart" uri="{C3380CC4-5D6E-409C-BE32-E72D297353CC}">
              <c16:uniqueId val="{00000001-CBFA-4A95-B140-07583F262B37}"/>
            </c:ext>
          </c:extLst>
        </c:ser>
        <c:dLbls>
          <c:showLegendKey val="0"/>
          <c:showVal val="0"/>
          <c:showCatName val="0"/>
          <c:showSerName val="0"/>
          <c:showPercent val="0"/>
          <c:showBubbleSize val="0"/>
        </c:dLbls>
        <c:gapWidth val="150"/>
        <c:axId val="426791296"/>
        <c:axId val="426792832"/>
      </c:barChart>
      <c:lineChart>
        <c:grouping val="standard"/>
        <c:varyColors val="0"/>
        <c:ser>
          <c:idx val="0"/>
          <c:order val="2"/>
          <c:tx>
            <c:v>销售净利率(%)</c:v>
          </c:tx>
          <c:spPr>
            <a:ln w="28575" cap="rnd" cmpd="sng" algn="ctr">
              <a:solidFill>
                <a:srgbClr val="F8C097"/>
              </a:solidFill>
              <a:prstDash val="solid"/>
              <a:round/>
              <a:headEnd type="none" w="med" len="med"/>
              <a:tailEnd type="none" w="med" len="med"/>
            </a:ln>
          </c:spPr>
          <c:marker>
            <c:symbol val="square"/>
            <c:size val="5"/>
            <c:spPr>
              <a:solidFill>
                <a:schemeClr val="accent1"/>
              </a:solidFill>
              <a:ln w="28575" cap="rnd" cmpd="sng" algn="ctr">
                <a:solidFill>
                  <a:srgbClr val="F8C097"/>
                </a:solidFill>
                <a:prstDash val="solid"/>
                <a:round/>
                <a:headEnd type="none" w="med" len="med"/>
                <a:tailEnd type="none" w="med" len="med"/>
              </a:ln>
            </c:spPr>
          </c:marker>
          <c:cat>
            <c:strRef>
              <c:f>利润表!$F$1:$K$1</c:f>
              <c:strCache>
                <c:ptCount val="6"/>
                <c:pt idx="0">
                  <c:v>2020-12-31</c:v>
                </c:pt>
                <c:pt idx="1">
                  <c:v>2021-12-31</c:v>
                </c:pt>
                <c:pt idx="2">
                  <c:v>2022-12-31</c:v>
                </c:pt>
                <c:pt idx="3">
                  <c:v>2023E</c:v>
                </c:pt>
                <c:pt idx="4">
                  <c:v>2024E</c:v>
                </c:pt>
                <c:pt idx="5">
                  <c:v>2025E</c:v>
                </c:pt>
              </c:strCache>
            </c:strRef>
          </c:cat>
          <c:val>
            <c:numRef>
              <c:f>财务分析!$F$14:$K$14</c:f>
              <c:numCache>
                <c:formatCode>0.00%</c:formatCode>
                <c:ptCount val="6"/>
                <c:pt idx="0">
                  <c:v>0.14273027836476554</c:v>
                </c:pt>
                <c:pt idx="1">
                  <c:v>8.6558102617062052E-2</c:v>
                </c:pt>
                <c:pt idx="2">
                  <c:v>2.3259795953155211E-2</c:v>
                </c:pt>
                <c:pt idx="3">
                  <c:v>-2.3823490934774424E-2</c:v>
                </c:pt>
                <c:pt idx="4">
                  <c:v>1.7319912064933211E-2</c:v>
                </c:pt>
                <c:pt idx="5">
                  <c:v>1.0148695196687395E-2</c:v>
                </c:pt>
              </c:numCache>
            </c:numRef>
          </c:val>
          <c:smooth val="0"/>
          <c:extLst>
            <c:ext xmlns:c16="http://schemas.microsoft.com/office/drawing/2014/chart" uri="{C3380CC4-5D6E-409C-BE32-E72D297353CC}">
              <c16:uniqueId val="{00000002-CBFA-4A95-B140-07583F262B37}"/>
            </c:ext>
          </c:extLst>
        </c:ser>
        <c:dLbls>
          <c:showLegendKey val="0"/>
          <c:showVal val="0"/>
          <c:showCatName val="0"/>
          <c:showSerName val="0"/>
          <c:showPercent val="0"/>
          <c:showBubbleSize val="0"/>
        </c:dLbls>
        <c:marker val="1"/>
        <c:smooth val="0"/>
        <c:axId val="426775296"/>
        <c:axId val="426777216"/>
      </c:lineChart>
      <c:catAx>
        <c:axId val="426775296"/>
        <c:scaling>
          <c:orientation val="minMax"/>
        </c:scaling>
        <c:delete val="0"/>
        <c:axPos val="b"/>
        <c:numFmt formatCode="General" sourceLinked="1"/>
        <c:majorTickMark val="none"/>
        <c:minorTickMark val="out"/>
        <c:tickLblPos val="low"/>
        <c:crossAx val="426777216"/>
        <c:crosses val="autoZero"/>
        <c:auto val="1"/>
        <c:lblAlgn val="ctr"/>
        <c:lblOffset val="100"/>
        <c:noMultiLvlLbl val="0"/>
      </c:catAx>
      <c:valAx>
        <c:axId val="426777216"/>
        <c:scaling>
          <c:orientation val="minMax"/>
        </c:scaling>
        <c:delete val="0"/>
        <c:axPos val="l"/>
        <c:majorGridlines/>
        <c:numFmt formatCode="0.00%" sourceLinked="1"/>
        <c:majorTickMark val="out"/>
        <c:minorTickMark val="none"/>
        <c:tickLblPos val="nextTo"/>
        <c:crossAx val="426775296"/>
        <c:crosses val="autoZero"/>
        <c:crossBetween val="between"/>
      </c:valAx>
      <c:catAx>
        <c:axId val="426791296"/>
        <c:scaling>
          <c:orientation val="minMax"/>
        </c:scaling>
        <c:delete val="1"/>
        <c:axPos val="b"/>
        <c:numFmt formatCode="General" sourceLinked="1"/>
        <c:majorTickMark val="out"/>
        <c:minorTickMark val="none"/>
        <c:tickLblPos val="none"/>
        <c:crossAx val="426792832"/>
        <c:crosses val="autoZero"/>
        <c:auto val="0"/>
        <c:lblAlgn val="ctr"/>
        <c:lblOffset val="100"/>
        <c:noMultiLvlLbl val="0"/>
      </c:catAx>
      <c:valAx>
        <c:axId val="426792832"/>
        <c:scaling>
          <c:orientation val="minMax"/>
        </c:scaling>
        <c:delete val="0"/>
        <c:axPos val="r"/>
        <c:numFmt formatCode="0.00_ " sourceLinked="1"/>
        <c:majorTickMark val="out"/>
        <c:minorTickMark val="none"/>
        <c:tickLblPos val="nextTo"/>
        <c:crossAx val="426791296"/>
        <c:crosses val="max"/>
        <c:crossBetween val="between"/>
      </c:valAx>
    </c:plotArea>
    <c:legend>
      <c:legendPos val="r"/>
      <c:layout>
        <c:manualLayout>
          <c:xMode val="edge"/>
          <c:yMode val="edge"/>
          <c:x val="1.7766497461928935E-2"/>
          <c:y val="0.88532110091742289"/>
          <c:w val="0.95177664974619292"/>
          <c:h val="0.10091743119265995"/>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3931423465684"/>
          <c:y val="7.0829471674892314E-2"/>
          <c:w val="0.64261797062602166"/>
          <c:h val="0.6703904356453213"/>
        </c:manualLayout>
      </c:layout>
      <c:barChart>
        <c:barDir val="col"/>
        <c:grouping val="clustered"/>
        <c:varyColors val="0"/>
        <c:ser>
          <c:idx val="1"/>
          <c:order val="0"/>
          <c:tx>
            <c:strRef>
              <c:f>利润表!$A$2</c:f>
              <c:strCache>
                <c:ptCount val="1"/>
                <c:pt idx="0">
                  <c:v>营业收入</c:v>
                </c:pt>
              </c:strCache>
            </c:strRef>
          </c:tx>
          <c:spPr>
            <a:solidFill>
              <a:srgbClr val="EE7B36"/>
            </a:solidFill>
            <a:ln w="9525" cap="flat" cmpd="sng" algn="ctr">
              <a:solidFill>
                <a:srgbClr val="EE7B36"/>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利润表!$F$2:$K$2</c:f>
              <c:numCache>
                <c:formatCode>0.00_ </c:formatCode>
                <c:ptCount val="6"/>
                <c:pt idx="0">
                  <c:v>6237.8785046200001</c:v>
                </c:pt>
                <c:pt idx="1">
                  <c:v>7770.7241516800004</c:v>
                </c:pt>
                <c:pt idx="2">
                  <c:v>7660.6405554399998</c:v>
                </c:pt>
                <c:pt idx="3">
                  <c:v>8366.1855505960248</c:v>
                </c:pt>
                <c:pt idx="4">
                  <c:v>9687.2062490351364</c:v>
                </c:pt>
                <c:pt idx="5">
                  <c:v>11280.713586890948</c:v>
                </c:pt>
              </c:numCache>
            </c:numRef>
          </c:val>
          <c:extLst>
            <c:ext xmlns:c16="http://schemas.microsoft.com/office/drawing/2014/chart" uri="{C3380CC4-5D6E-409C-BE32-E72D297353CC}">
              <c16:uniqueId val="{00000000-2A1B-42E2-89FC-C367F7D35678}"/>
            </c:ext>
          </c:extLst>
        </c:ser>
        <c:ser>
          <c:idx val="2"/>
          <c:order val="1"/>
          <c:tx>
            <c:v>总资产</c:v>
          </c:tx>
          <c:spPr>
            <a:solidFill>
              <a:srgbClr val="B4B4B4"/>
            </a:solidFill>
            <a:ln w="9525" cap="flat" cmpd="sng" algn="ctr">
              <a:solidFill>
                <a:srgbClr val="B4B4B4"/>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资产负债!$F$40:$K$40</c:f>
              <c:numCache>
                <c:formatCode>0.00_ </c:formatCode>
                <c:ptCount val="6"/>
                <c:pt idx="0">
                  <c:v>8165.1224772599999</c:v>
                </c:pt>
                <c:pt idx="1">
                  <c:v>10789.49010838</c:v>
                </c:pt>
                <c:pt idx="2">
                  <c:v>12639.39639009</c:v>
                </c:pt>
                <c:pt idx="3">
                  <c:v>10436.385430546285</c:v>
                </c:pt>
                <c:pt idx="4">
                  <c:v>14935.353979427569</c:v>
                </c:pt>
                <c:pt idx="5">
                  <c:v>14338.799006839905</c:v>
                </c:pt>
              </c:numCache>
            </c:numRef>
          </c:val>
          <c:extLst>
            <c:ext xmlns:c16="http://schemas.microsoft.com/office/drawing/2014/chart" uri="{C3380CC4-5D6E-409C-BE32-E72D297353CC}">
              <c16:uniqueId val="{00000001-2A1B-42E2-89FC-C367F7D35678}"/>
            </c:ext>
          </c:extLst>
        </c:ser>
        <c:dLbls>
          <c:showLegendKey val="0"/>
          <c:showVal val="0"/>
          <c:showCatName val="0"/>
          <c:showSerName val="0"/>
          <c:showPercent val="0"/>
          <c:showBubbleSize val="0"/>
        </c:dLbls>
        <c:gapWidth val="150"/>
        <c:axId val="426836736"/>
        <c:axId val="426838272"/>
      </c:barChart>
      <c:lineChart>
        <c:grouping val="standard"/>
        <c:varyColors val="0"/>
        <c:ser>
          <c:idx val="0"/>
          <c:order val="2"/>
          <c:tx>
            <c:strRef>
              <c:f>财务分析!$B$28</c:f>
              <c:strCache>
                <c:ptCount val="1"/>
                <c:pt idx="0">
                  <c:v>总资产周转率</c:v>
                </c:pt>
              </c:strCache>
            </c:strRef>
          </c:tx>
          <c:spPr>
            <a:ln w="28575" cap="rnd" cmpd="sng" algn="ctr">
              <a:solidFill>
                <a:srgbClr val="F8C097"/>
              </a:solidFill>
              <a:prstDash val="solid"/>
              <a:round/>
              <a:headEnd type="none" w="med" len="med"/>
              <a:tailEnd type="none" w="med" len="med"/>
            </a:ln>
          </c:spPr>
          <c:marker>
            <c:symbol val="square"/>
            <c:size val="5"/>
            <c:spPr>
              <a:solidFill>
                <a:schemeClr val="accent1"/>
              </a:solidFill>
              <a:ln w="28575" cap="rnd" cmpd="sng" algn="ctr">
                <a:solidFill>
                  <a:srgbClr val="F8C097"/>
                </a:solidFill>
                <a:prstDash val="solid"/>
                <a:round/>
                <a:headEnd type="none" w="med" len="med"/>
                <a:tailEnd type="none" w="med" len="med"/>
              </a:ln>
            </c:spPr>
          </c:marker>
          <c:cat>
            <c:strRef>
              <c:f>利润表!$F$1:$K$1</c:f>
              <c:strCache>
                <c:ptCount val="6"/>
                <c:pt idx="0">
                  <c:v>2020-12-31</c:v>
                </c:pt>
                <c:pt idx="1">
                  <c:v>2021-12-31</c:v>
                </c:pt>
                <c:pt idx="2">
                  <c:v>2022-12-31</c:v>
                </c:pt>
                <c:pt idx="3">
                  <c:v>2023E</c:v>
                </c:pt>
                <c:pt idx="4">
                  <c:v>2024E</c:v>
                </c:pt>
                <c:pt idx="5">
                  <c:v>2025E</c:v>
                </c:pt>
              </c:strCache>
            </c:strRef>
          </c:cat>
          <c:val>
            <c:numRef>
              <c:f>财务分析!$F$28:$K$28</c:f>
              <c:numCache>
                <c:formatCode>0.00_ </c:formatCode>
                <c:ptCount val="6"/>
                <c:pt idx="0">
                  <c:v>0.88227319618308031</c:v>
                </c:pt>
                <c:pt idx="1">
                  <c:v>0.81992962046263029</c:v>
                </c:pt>
                <c:pt idx="2">
                  <c:v>0.65394832622030685</c:v>
                </c:pt>
                <c:pt idx="3">
                  <c:v>0.72510527405960168</c:v>
                </c:pt>
                <c:pt idx="4">
                  <c:v>0.76362176770797285</c:v>
                </c:pt>
                <c:pt idx="5">
                  <c:v>0.77069444790991837</c:v>
                </c:pt>
              </c:numCache>
            </c:numRef>
          </c:val>
          <c:smooth val="0"/>
          <c:extLst>
            <c:ext xmlns:c16="http://schemas.microsoft.com/office/drawing/2014/chart" uri="{C3380CC4-5D6E-409C-BE32-E72D297353CC}">
              <c16:uniqueId val="{00000002-2A1B-42E2-89FC-C367F7D35678}"/>
            </c:ext>
          </c:extLst>
        </c:ser>
        <c:dLbls>
          <c:showLegendKey val="0"/>
          <c:showVal val="0"/>
          <c:showCatName val="0"/>
          <c:showSerName val="0"/>
          <c:showPercent val="0"/>
          <c:showBubbleSize val="0"/>
        </c:dLbls>
        <c:marker val="1"/>
        <c:smooth val="0"/>
        <c:axId val="426820736"/>
        <c:axId val="426822656"/>
      </c:lineChart>
      <c:catAx>
        <c:axId val="426820736"/>
        <c:scaling>
          <c:orientation val="minMax"/>
        </c:scaling>
        <c:delete val="0"/>
        <c:axPos val="b"/>
        <c:numFmt formatCode="General" sourceLinked="1"/>
        <c:majorTickMark val="none"/>
        <c:minorTickMark val="out"/>
        <c:tickLblPos val="nextTo"/>
        <c:crossAx val="426822656"/>
        <c:crosses val="autoZero"/>
        <c:auto val="1"/>
        <c:lblAlgn val="ctr"/>
        <c:lblOffset val="100"/>
        <c:noMultiLvlLbl val="0"/>
      </c:catAx>
      <c:valAx>
        <c:axId val="426822656"/>
        <c:scaling>
          <c:orientation val="minMax"/>
        </c:scaling>
        <c:delete val="0"/>
        <c:axPos val="l"/>
        <c:majorGridlines/>
        <c:numFmt formatCode="0.00_ " sourceLinked="1"/>
        <c:majorTickMark val="out"/>
        <c:minorTickMark val="none"/>
        <c:tickLblPos val="nextTo"/>
        <c:crossAx val="426820736"/>
        <c:crosses val="autoZero"/>
        <c:crossBetween val="between"/>
      </c:valAx>
      <c:catAx>
        <c:axId val="426836736"/>
        <c:scaling>
          <c:orientation val="minMax"/>
        </c:scaling>
        <c:delete val="1"/>
        <c:axPos val="b"/>
        <c:numFmt formatCode="General" sourceLinked="1"/>
        <c:majorTickMark val="out"/>
        <c:minorTickMark val="none"/>
        <c:tickLblPos val="none"/>
        <c:crossAx val="426838272"/>
        <c:crosses val="autoZero"/>
        <c:auto val="0"/>
        <c:lblAlgn val="ctr"/>
        <c:lblOffset val="100"/>
        <c:noMultiLvlLbl val="0"/>
      </c:catAx>
      <c:valAx>
        <c:axId val="426838272"/>
        <c:scaling>
          <c:orientation val="minMax"/>
        </c:scaling>
        <c:delete val="0"/>
        <c:axPos val="r"/>
        <c:numFmt formatCode="0.00_ " sourceLinked="1"/>
        <c:majorTickMark val="out"/>
        <c:minorTickMark val="none"/>
        <c:tickLblPos val="nextTo"/>
        <c:crossAx val="426836736"/>
        <c:crosses val="max"/>
        <c:crossBetween val="between"/>
      </c:valAx>
    </c:plotArea>
    <c:legend>
      <c:legendPos val="r"/>
      <c:layout>
        <c:manualLayout>
          <c:xMode val="edge"/>
          <c:yMode val="edge"/>
          <c:x val="1.7902813299233111E-2"/>
          <c:y val="0.88532110091742289"/>
          <c:w val="0.9488491048593356"/>
          <c:h val="0.10091743119265995"/>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1" l="0.70000000000000062" r="0.70000000000000062" t="0.750000000000009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223650385604194"/>
          <c:y val="7.0707070707070704E-2"/>
          <c:w val="0.61696658097685431"/>
          <c:h val="0.66666666666666663"/>
        </c:manualLayout>
      </c:layout>
      <c:barChart>
        <c:barDir val="col"/>
        <c:grouping val="clustered"/>
        <c:varyColors val="0"/>
        <c:ser>
          <c:idx val="1"/>
          <c:order val="0"/>
          <c:tx>
            <c:strRef>
              <c:f>资产负债!$A$40</c:f>
              <c:strCache>
                <c:ptCount val="1"/>
                <c:pt idx="0">
                  <c:v>资产总计</c:v>
                </c:pt>
              </c:strCache>
            </c:strRef>
          </c:tx>
          <c:spPr>
            <a:solidFill>
              <a:srgbClr val="EE7B36"/>
            </a:solidFill>
            <a:ln w="9525" cap="flat" cmpd="sng" algn="ctr">
              <a:solidFill>
                <a:srgbClr val="EE7B36"/>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资产负债!$F$40:$K$40</c:f>
              <c:numCache>
                <c:formatCode>0.00_ </c:formatCode>
                <c:ptCount val="6"/>
                <c:pt idx="0">
                  <c:v>8165.1224772599999</c:v>
                </c:pt>
                <c:pt idx="1">
                  <c:v>10789.49010838</c:v>
                </c:pt>
                <c:pt idx="2">
                  <c:v>12639.39639009</c:v>
                </c:pt>
                <c:pt idx="3">
                  <c:v>10436.385430546285</c:v>
                </c:pt>
                <c:pt idx="4">
                  <c:v>14935.353979427569</c:v>
                </c:pt>
                <c:pt idx="5">
                  <c:v>14338.799006839905</c:v>
                </c:pt>
              </c:numCache>
            </c:numRef>
          </c:val>
          <c:extLst>
            <c:ext xmlns:c16="http://schemas.microsoft.com/office/drawing/2014/chart" uri="{C3380CC4-5D6E-409C-BE32-E72D297353CC}">
              <c16:uniqueId val="{00000000-A1A4-422B-BE6B-95ADA1F18F15}"/>
            </c:ext>
          </c:extLst>
        </c:ser>
        <c:ser>
          <c:idx val="2"/>
          <c:order val="1"/>
          <c:tx>
            <c:strRef>
              <c:f>资产负债!$A$72</c:f>
              <c:strCache>
                <c:ptCount val="1"/>
                <c:pt idx="0">
                  <c:v>负债总额</c:v>
                </c:pt>
              </c:strCache>
            </c:strRef>
          </c:tx>
          <c:spPr>
            <a:solidFill>
              <a:srgbClr val="B4B4B4"/>
            </a:solidFill>
            <a:ln w="9525" cap="flat" cmpd="sng" algn="ctr">
              <a:solidFill>
                <a:srgbClr val="B4B4B4"/>
              </a:solidFill>
              <a:prstDash val="solid"/>
              <a:round/>
              <a:headEnd type="none" w="med" len="med"/>
              <a:tailEnd type="none" w="med" len="med"/>
            </a:ln>
          </c:spPr>
          <c:invertIfNegative val="0"/>
          <c:cat>
            <c:strRef>
              <c:f>资产负债!$F$1:$K$1</c:f>
              <c:strCache>
                <c:ptCount val="6"/>
                <c:pt idx="0">
                  <c:v>2020-12-31</c:v>
                </c:pt>
                <c:pt idx="1">
                  <c:v>2021-12-31</c:v>
                </c:pt>
                <c:pt idx="2">
                  <c:v>2022-12-31</c:v>
                </c:pt>
                <c:pt idx="3">
                  <c:v>2023E</c:v>
                </c:pt>
                <c:pt idx="4">
                  <c:v>2024E</c:v>
                </c:pt>
                <c:pt idx="5">
                  <c:v>2025E</c:v>
                </c:pt>
              </c:strCache>
            </c:strRef>
          </c:cat>
          <c:val>
            <c:numRef>
              <c:f>资产负债!$F$72:$K$72</c:f>
              <c:numCache>
                <c:formatCode>0.00_ </c:formatCode>
                <c:ptCount val="6"/>
                <c:pt idx="0">
                  <c:v>4012.6336800599997</c:v>
                </c:pt>
                <c:pt idx="1">
                  <c:v>5821.6146768299996</c:v>
                </c:pt>
                <c:pt idx="2">
                  <c:v>7021.5178359600004</c:v>
                </c:pt>
                <c:pt idx="3">
                  <c:v>5076.8020361786894</c:v>
                </c:pt>
                <c:pt idx="4">
                  <c:v>9467.0940847153415</c:v>
                </c:pt>
                <c:pt idx="5">
                  <c:v>8829.9095509144936</c:v>
                </c:pt>
              </c:numCache>
            </c:numRef>
          </c:val>
          <c:extLst>
            <c:ext xmlns:c16="http://schemas.microsoft.com/office/drawing/2014/chart" uri="{C3380CC4-5D6E-409C-BE32-E72D297353CC}">
              <c16:uniqueId val="{00000001-A1A4-422B-BE6B-95ADA1F18F15}"/>
            </c:ext>
          </c:extLst>
        </c:ser>
        <c:dLbls>
          <c:showLegendKey val="0"/>
          <c:showVal val="0"/>
          <c:showCatName val="0"/>
          <c:showSerName val="0"/>
          <c:showPercent val="0"/>
          <c:showBubbleSize val="0"/>
        </c:dLbls>
        <c:gapWidth val="150"/>
        <c:axId val="426873984"/>
        <c:axId val="426875520"/>
      </c:barChart>
      <c:lineChart>
        <c:grouping val="standard"/>
        <c:varyColors val="0"/>
        <c:ser>
          <c:idx val="0"/>
          <c:order val="2"/>
          <c:tx>
            <c:v>资产负债率(%)</c:v>
          </c:tx>
          <c:spPr>
            <a:ln w="28575" cap="rnd" cmpd="sng" algn="ctr">
              <a:solidFill>
                <a:srgbClr val="F8C097"/>
              </a:solidFill>
              <a:prstDash val="solid"/>
              <a:round/>
              <a:headEnd type="none" w="med" len="med"/>
              <a:tailEnd type="none" w="med" len="med"/>
            </a:ln>
          </c:spPr>
          <c:marker>
            <c:symbol val="square"/>
            <c:size val="5"/>
            <c:spPr>
              <a:solidFill>
                <a:schemeClr val="accent1"/>
              </a:solidFill>
              <a:ln w="28575" cap="rnd" cmpd="sng" algn="ctr">
                <a:solidFill>
                  <a:srgbClr val="F8C097"/>
                </a:solidFill>
                <a:prstDash val="solid"/>
                <a:round/>
                <a:headEnd type="none" w="med" len="med"/>
                <a:tailEnd type="none" w="med" len="med"/>
              </a:ln>
            </c:spPr>
          </c:marker>
          <c:cat>
            <c:strRef>
              <c:f>利润表!$F$1:$K$1</c:f>
              <c:strCache>
                <c:ptCount val="6"/>
                <c:pt idx="0">
                  <c:v>2020-12-31</c:v>
                </c:pt>
                <c:pt idx="1">
                  <c:v>2021-12-31</c:v>
                </c:pt>
                <c:pt idx="2">
                  <c:v>2022-12-31</c:v>
                </c:pt>
                <c:pt idx="3">
                  <c:v>2023E</c:v>
                </c:pt>
                <c:pt idx="4">
                  <c:v>2024E</c:v>
                </c:pt>
                <c:pt idx="5">
                  <c:v>2025E</c:v>
                </c:pt>
              </c:strCache>
            </c:strRef>
          </c:cat>
          <c:val>
            <c:numRef>
              <c:f>财务分析!$F$31:$K$31</c:f>
              <c:numCache>
                <c:formatCode>0.00%</c:formatCode>
                <c:ptCount val="6"/>
                <c:pt idx="0">
                  <c:v>0.4914358224552357</c:v>
                </c:pt>
                <c:pt idx="1">
                  <c:v>0.53956346577568648</c:v>
                </c:pt>
                <c:pt idx="2">
                  <c:v>0.55552635737140632</c:v>
                </c:pt>
                <c:pt idx="3">
                  <c:v>0.4864521409222185</c:v>
                </c:pt>
                <c:pt idx="4">
                  <c:v>0.63387142331916724</c:v>
                </c:pt>
                <c:pt idx="5">
                  <c:v>0.61580537858871187</c:v>
                </c:pt>
              </c:numCache>
            </c:numRef>
          </c:val>
          <c:smooth val="0"/>
          <c:extLst>
            <c:ext xmlns:c16="http://schemas.microsoft.com/office/drawing/2014/chart" uri="{C3380CC4-5D6E-409C-BE32-E72D297353CC}">
              <c16:uniqueId val="{00000002-A1A4-422B-BE6B-95ADA1F18F15}"/>
            </c:ext>
          </c:extLst>
        </c:ser>
        <c:dLbls>
          <c:showLegendKey val="0"/>
          <c:showVal val="0"/>
          <c:showCatName val="0"/>
          <c:showSerName val="0"/>
          <c:showPercent val="0"/>
          <c:showBubbleSize val="0"/>
        </c:dLbls>
        <c:marker val="1"/>
        <c:smooth val="0"/>
        <c:axId val="426866176"/>
        <c:axId val="426868096"/>
      </c:lineChart>
      <c:catAx>
        <c:axId val="426866176"/>
        <c:scaling>
          <c:orientation val="minMax"/>
        </c:scaling>
        <c:delete val="0"/>
        <c:axPos val="b"/>
        <c:numFmt formatCode="General" sourceLinked="1"/>
        <c:majorTickMark val="none"/>
        <c:minorTickMark val="out"/>
        <c:tickLblPos val="nextTo"/>
        <c:crossAx val="426868096"/>
        <c:crosses val="autoZero"/>
        <c:auto val="1"/>
        <c:lblAlgn val="ctr"/>
        <c:lblOffset val="100"/>
        <c:noMultiLvlLbl val="0"/>
      </c:catAx>
      <c:valAx>
        <c:axId val="426868096"/>
        <c:scaling>
          <c:orientation val="minMax"/>
        </c:scaling>
        <c:delete val="0"/>
        <c:axPos val="l"/>
        <c:majorGridlines/>
        <c:numFmt formatCode="0.00%" sourceLinked="1"/>
        <c:majorTickMark val="out"/>
        <c:minorTickMark val="none"/>
        <c:tickLblPos val="nextTo"/>
        <c:crossAx val="426866176"/>
        <c:crosses val="autoZero"/>
        <c:crossBetween val="between"/>
      </c:valAx>
      <c:catAx>
        <c:axId val="426873984"/>
        <c:scaling>
          <c:orientation val="minMax"/>
        </c:scaling>
        <c:delete val="1"/>
        <c:axPos val="b"/>
        <c:numFmt formatCode="General" sourceLinked="1"/>
        <c:majorTickMark val="out"/>
        <c:minorTickMark val="none"/>
        <c:tickLblPos val="none"/>
        <c:crossAx val="426875520"/>
        <c:crosses val="autoZero"/>
        <c:auto val="0"/>
        <c:lblAlgn val="ctr"/>
        <c:lblOffset val="100"/>
        <c:noMultiLvlLbl val="0"/>
      </c:catAx>
      <c:valAx>
        <c:axId val="426875520"/>
        <c:scaling>
          <c:orientation val="minMax"/>
        </c:scaling>
        <c:delete val="0"/>
        <c:axPos val="r"/>
        <c:numFmt formatCode="0.00_ " sourceLinked="1"/>
        <c:majorTickMark val="out"/>
        <c:minorTickMark val="none"/>
        <c:tickLblPos val="nextTo"/>
        <c:crossAx val="426873984"/>
        <c:crosses val="max"/>
        <c:crossBetween val="between"/>
      </c:valAx>
    </c:plotArea>
    <c:legend>
      <c:legendPos val="r"/>
      <c:layout>
        <c:manualLayout>
          <c:xMode val="edge"/>
          <c:yMode val="edge"/>
          <c:x val="1.7994858611825496E-2"/>
          <c:y val="0.88383838383838387"/>
          <c:w val="0.94858611825191741"/>
          <c:h val="0.10101010101010112"/>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70428893905192"/>
          <c:y val="6.8181969508987722E-2"/>
          <c:w val="0.68623024830699753"/>
          <c:h val="0.69091062435774231"/>
        </c:manualLayout>
      </c:layout>
      <c:barChart>
        <c:barDir val="col"/>
        <c:grouping val="clustered"/>
        <c:varyColors val="0"/>
        <c:ser>
          <c:idx val="1"/>
          <c:order val="1"/>
          <c:tx>
            <c:strRef>
              <c:f>利润表!$A$2</c:f>
              <c:strCache>
                <c:ptCount val="1"/>
                <c:pt idx="0">
                  <c:v>营业收入</c:v>
                </c:pt>
              </c:strCache>
            </c:strRef>
          </c:tx>
          <c:spPr>
            <a:solidFill>
              <a:srgbClr val="B4B4B4"/>
            </a:solidFill>
            <a:ln w="9525" cap="flat" cmpd="sng" algn="ctr">
              <a:solidFill>
                <a:srgbClr val="B4B4B4"/>
              </a:solidFill>
              <a:prstDash val="solid"/>
              <a:round/>
              <a:headEnd type="none" w="med" len="med"/>
              <a:tailEnd type="none" w="med" len="med"/>
            </a:ln>
          </c:spPr>
          <c:invertIfNegative val="0"/>
          <c:cat>
            <c:strRef>
              <c:f>利润表!$D$1:$K$1</c:f>
              <c:strCache>
                <c:ptCount val="6"/>
                <c:pt idx="0">
                  <c:v>2020-12-31</c:v>
                </c:pt>
                <c:pt idx="1">
                  <c:v>2021-12-31</c:v>
                </c:pt>
                <c:pt idx="2">
                  <c:v>2022-12-31</c:v>
                </c:pt>
                <c:pt idx="3">
                  <c:v>2023E</c:v>
                </c:pt>
                <c:pt idx="4">
                  <c:v>2024E</c:v>
                </c:pt>
                <c:pt idx="5">
                  <c:v>2025E</c:v>
                </c:pt>
              </c:strCache>
            </c:strRef>
          </c:cat>
          <c:val>
            <c:numRef>
              <c:f>利润表!$D$2:$K$2</c:f>
              <c:numCache>
                <c:formatCode>0.00_ </c:formatCode>
                <c:ptCount val="6"/>
                <c:pt idx="0">
                  <c:v>6237.8785046200001</c:v>
                </c:pt>
                <c:pt idx="1">
                  <c:v>7770.7241516800004</c:v>
                </c:pt>
                <c:pt idx="2">
                  <c:v>7660.6405554399998</c:v>
                </c:pt>
                <c:pt idx="3">
                  <c:v>8366.1855505960248</c:v>
                </c:pt>
                <c:pt idx="4">
                  <c:v>9687.2062490351364</c:v>
                </c:pt>
                <c:pt idx="5">
                  <c:v>11280.713586890948</c:v>
                </c:pt>
              </c:numCache>
            </c:numRef>
          </c:val>
          <c:extLst>
            <c:ext xmlns:c16="http://schemas.microsoft.com/office/drawing/2014/chart" uri="{C3380CC4-5D6E-409C-BE32-E72D297353CC}">
              <c16:uniqueId val="{00000000-7118-4255-91FA-84D41CA1FC8C}"/>
            </c:ext>
          </c:extLst>
        </c:ser>
        <c:dLbls>
          <c:showLegendKey val="0"/>
          <c:showVal val="0"/>
          <c:showCatName val="0"/>
          <c:showSerName val="0"/>
          <c:showPercent val="0"/>
          <c:showBubbleSize val="0"/>
        </c:dLbls>
        <c:gapWidth val="150"/>
        <c:axId val="426892288"/>
        <c:axId val="426976384"/>
      </c:barChart>
      <c:lineChart>
        <c:grouping val="standard"/>
        <c:varyColors val="0"/>
        <c:ser>
          <c:idx val="0"/>
          <c:order val="0"/>
          <c:tx>
            <c:strRef>
              <c:f>财务分析!$B$3</c:f>
              <c:strCache>
                <c:ptCount val="1"/>
                <c:pt idx="0">
                  <c:v>营业收入增长率</c:v>
                </c:pt>
              </c:strCache>
            </c:strRef>
          </c:tx>
          <c:spPr>
            <a:ln w="28575" cap="rnd" cmpd="sng" algn="ctr">
              <a:solidFill>
                <a:srgbClr val="EE7B36"/>
              </a:solidFill>
              <a:prstDash val="solid"/>
              <a:round/>
              <a:headEnd type="none" w="med" len="med"/>
              <a:tailEnd type="none" w="med" len="med"/>
            </a:ln>
          </c:spPr>
          <c:marker>
            <c:symbol val="square"/>
            <c:size val="5"/>
            <c:spPr>
              <a:solidFill>
                <a:schemeClr val="accent1"/>
              </a:solidFill>
              <a:ln w="28575" cap="rnd" cmpd="sng" algn="ctr">
                <a:solidFill>
                  <a:srgbClr val="EE7B36"/>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财务分析!$D$3:$K$3</c:f>
              <c:numCache>
                <c:formatCode>0.00%</c:formatCode>
                <c:ptCount val="6"/>
                <c:pt idx="0">
                  <c:v>0.34091490710877626</c:v>
                </c:pt>
                <c:pt idx="1">
                  <c:v>0.24573188559615566</c:v>
                </c:pt>
                <c:pt idx="2">
                  <c:v>-1.4166452712930377E-2</c:v>
                </c:pt>
                <c:pt idx="3">
                  <c:v>9.2100000000000001E-2</c:v>
                </c:pt>
                <c:pt idx="4">
                  <c:v>0.15790000000000001</c:v>
                </c:pt>
                <c:pt idx="5">
                  <c:v>0.1644960679984003</c:v>
                </c:pt>
              </c:numCache>
            </c:numRef>
          </c:val>
          <c:smooth val="0"/>
          <c:extLst>
            <c:ext xmlns:c16="http://schemas.microsoft.com/office/drawing/2014/chart" uri="{C3380CC4-5D6E-409C-BE32-E72D297353CC}">
              <c16:uniqueId val="{00000001-7118-4255-91FA-84D41CA1FC8C}"/>
            </c:ext>
          </c:extLst>
        </c:ser>
        <c:dLbls>
          <c:showLegendKey val="0"/>
          <c:showVal val="0"/>
          <c:showCatName val="0"/>
          <c:showSerName val="0"/>
          <c:showPercent val="0"/>
          <c:showBubbleSize val="0"/>
        </c:dLbls>
        <c:marker val="1"/>
        <c:smooth val="0"/>
        <c:axId val="426977920"/>
        <c:axId val="426996096"/>
      </c:lineChart>
      <c:catAx>
        <c:axId val="426892288"/>
        <c:scaling>
          <c:orientation val="minMax"/>
        </c:scaling>
        <c:delete val="0"/>
        <c:axPos val="b"/>
        <c:numFmt formatCode="g/&quot;通&quot;&quot;用&quot;&quot;格&quot;&quot;式&quot;" sourceLinked="0"/>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6976384"/>
        <c:crosses val="autoZero"/>
        <c:auto val="1"/>
        <c:lblAlgn val="ctr"/>
        <c:lblOffset val="100"/>
        <c:noMultiLvlLbl val="0"/>
      </c:catAx>
      <c:valAx>
        <c:axId val="426976384"/>
        <c:scaling>
          <c:orientation val="minMax"/>
        </c:scaling>
        <c:delete val="0"/>
        <c:axPos val="l"/>
        <c:majorGridlines/>
        <c:numFmt formatCode="0.00_ " sourceLinked="1"/>
        <c:majorTickMark val="out"/>
        <c:minorTickMark val="none"/>
        <c:tickLblPos val="nextTo"/>
        <c:crossAx val="426892288"/>
        <c:crosses val="autoZero"/>
        <c:crossBetween val="between"/>
      </c:valAx>
      <c:catAx>
        <c:axId val="426977920"/>
        <c:scaling>
          <c:orientation val="minMax"/>
        </c:scaling>
        <c:delete val="1"/>
        <c:axPos val="b"/>
        <c:numFmt formatCode="General" sourceLinked="1"/>
        <c:majorTickMark val="out"/>
        <c:minorTickMark val="none"/>
        <c:tickLblPos val="none"/>
        <c:crossAx val="426996096"/>
        <c:crosses val="autoZero"/>
        <c:auto val="0"/>
        <c:lblAlgn val="ctr"/>
        <c:lblOffset val="100"/>
        <c:noMultiLvlLbl val="0"/>
      </c:catAx>
      <c:valAx>
        <c:axId val="426996096"/>
        <c:scaling>
          <c:orientation val="minMax"/>
        </c:scaling>
        <c:delete val="0"/>
        <c:axPos val="r"/>
        <c:numFmt formatCode="0.00%" sourceLinked="1"/>
        <c:majorTickMark val="out"/>
        <c:minorTickMark val="none"/>
        <c:tickLblPos val="nextTo"/>
        <c:crossAx val="426977920"/>
        <c:crosses val="max"/>
        <c:crossBetween val="between"/>
      </c:valAx>
    </c:plotArea>
    <c:legend>
      <c:legendPos val="r"/>
      <c:layout>
        <c:manualLayout>
          <c:xMode val="edge"/>
          <c:yMode val="edge"/>
          <c:x val="0.20316027088036379"/>
          <c:y val="0.87727272727272732"/>
          <c:w val="0.56884875846502203"/>
          <c:h val="0.10909090909090922"/>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1" l="0.70000000000000062" r="0.70000000000000062" t="0.750000000000009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554809843400667"/>
          <c:y val="6.8807339449542024E-2"/>
          <c:w val="0.68232662192393656"/>
          <c:h val="0.68807339449541283"/>
        </c:manualLayout>
      </c:layout>
      <c:barChart>
        <c:barDir val="col"/>
        <c:grouping val="clustered"/>
        <c:varyColors val="0"/>
        <c:ser>
          <c:idx val="1"/>
          <c:order val="0"/>
          <c:tx>
            <c:strRef>
              <c:f>利润表!$A$19</c:f>
              <c:strCache>
                <c:ptCount val="1"/>
                <c:pt idx="0">
                  <c:v>营业利润</c:v>
                </c:pt>
              </c:strCache>
            </c:strRef>
          </c:tx>
          <c:spPr>
            <a:solidFill>
              <a:srgbClr val="EE7B36"/>
            </a:solidFill>
            <a:ln w="9525" cap="flat" cmpd="sng" algn="ctr">
              <a:solidFill>
                <a:srgbClr val="EE7B36"/>
              </a:solidFill>
              <a:prstDash val="solid"/>
              <a:round/>
              <a:headEnd type="none" w="med" len="med"/>
              <a:tailEnd type="none" w="med" len="med"/>
            </a:ln>
          </c:spPr>
          <c:invertIfNegative val="0"/>
          <c:cat>
            <c:strRef>
              <c:f>利润表!$D$1:$K$1</c:f>
              <c:strCache>
                <c:ptCount val="6"/>
                <c:pt idx="0">
                  <c:v>2020-12-31</c:v>
                </c:pt>
                <c:pt idx="1">
                  <c:v>2021-12-31</c:v>
                </c:pt>
                <c:pt idx="2">
                  <c:v>2022-12-31</c:v>
                </c:pt>
                <c:pt idx="3">
                  <c:v>2023E</c:v>
                </c:pt>
                <c:pt idx="4">
                  <c:v>2024E</c:v>
                </c:pt>
                <c:pt idx="5">
                  <c:v>2025E</c:v>
                </c:pt>
              </c:strCache>
            </c:strRef>
          </c:cat>
          <c:val>
            <c:numRef>
              <c:f>利润表!$D$19:$K$19</c:f>
              <c:numCache>
                <c:formatCode>0.00_ </c:formatCode>
                <c:ptCount val="6"/>
                <c:pt idx="0">
                  <c:v>1033.1185133900001</c:v>
                </c:pt>
                <c:pt idx="1">
                  <c:v>810.67712725000001</c:v>
                </c:pt>
                <c:pt idx="2">
                  <c:v>191.46961677000002</c:v>
                </c:pt>
                <c:pt idx="3">
                  <c:v>-240.72270657508631</c:v>
                </c:pt>
                <c:pt idx="4">
                  <c:v>190.64219335690083</c:v>
                </c:pt>
                <c:pt idx="5">
                  <c:v>126.97893179493485</c:v>
                </c:pt>
              </c:numCache>
            </c:numRef>
          </c:val>
          <c:extLst>
            <c:ext xmlns:c16="http://schemas.microsoft.com/office/drawing/2014/chart" uri="{C3380CC4-5D6E-409C-BE32-E72D297353CC}">
              <c16:uniqueId val="{00000000-74A3-407F-A153-C82E7B88E5B1}"/>
            </c:ext>
          </c:extLst>
        </c:ser>
        <c:dLbls>
          <c:showLegendKey val="0"/>
          <c:showVal val="0"/>
          <c:showCatName val="0"/>
          <c:showSerName val="0"/>
          <c:showPercent val="0"/>
          <c:showBubbleSize val="0"/>
        </c:dLbls>
        <c:gapWidth val="150"/>
        <c:axId val="427018496"/>
        <c:axId val="427020672"/>
      </c:barChart>
      <c:lineChart>
        <c:grouping val="standard"/>
        <c:varyColors val="0"/>
        <c:ser>
          <c:idx val="0"/>
          <c:order val="1"/>
          <c:tx>
            <c:strRef>
              <c:f>财务分析!$B$4</c:f>
              <c:strCache>
                <c:ptCount val="1"/>
                <c:pt idx="0">
                  <c:v>营业利润增长率</c:v>
                </c:pt>
              </c:strCache>
            </c:strRef>
          </c:tx>
          <c:spPr>
            <a:ln w="28575" cap="rnd" cmpd="sng" algn="ctr">
              <a:solidFill>
                <a:srgbClr val="B4B4B4"/>
              </a:solidFill>
              <a:prstDash val="solid"/>
              <a:round/>
              <a:headEnd type="none" w="med" len="med"/>
              <a:tailEnd type="none" w="med" len="med"/>
            </a:ln>
          </c:spPr>
          <c:marker>
            <c:symbol val="square"/>
            <c:size val="5"/>
            <c:spPr>
              <a:solidFill>
                <a:schemeClr val="accent1"/>
              </a:solidFill>
              <a:ln w="28575" cap="rnd" cmpd="sng" algn="ctr">
                <a:solidFill>
                  <a:srgbClr val="B4B4B4"/>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财务分析!$D$4:$K$4</c:f>
              <c:numCache>
                <c:formatCode>0.00%</c:formatCode>
                <c:ptCount val="6"/>
                <c:pt idx="0">
                  <c:v>1.4179649498003783</c:v>
                </c:pt>
                <c:pt idx="1">
                  <c:v>-0.21531061853697409</c:v>
                </c:pt>
                <c:pt idx="2">
                  <c:v>-0.76381519801908282</c:v>
                </c:pt>
                <c:pt idx="3">
                  <c:v>-2.2572371044344379</c:v>
                </c:pt>
                <c:pt idx="4">
                  <c:v>1.7919576680957416</c:v>
                </c:pt>
                <c:pt idx="5">
                  <c:v>-0.33394108849126664</c:v>
                </c:pt>
              </c:numCache>
            </c:numRef>
          </c:val>
          <c:smooth val="0"/>
          <c:extLst>
            <c:ext xmlns:c16="http://schemas.microsoft.com/office/drawing/2014/chart" uri="{C3380CC4-5D6E-409C-BE32-E72D297353CC}">
              <c16:uniqueId val="{00000001-74A3-407F-A153-C82E7B88E5B1}"/>
            </c:ext>
          </c:extLst>
        </c:ser>
        <c:dLbls>
          <c:showLegendKey val="0"/>
          <c:showVal val="0"/>
          <c:showCatName val="0"/>
          <c:showSerName val="0"/>
          <c:showPercent val="0"/>
          <c:showBubbleSize val="0"/>
        </c:dLbls>
        <c:marker val="1"/>
        <c:smooth val="0"/>
        <c:axId val="427022208"/>
        <c:axId val="427023744"/>
      </c:lineChart>
      <c:catAx>
        <c:axId val="427018496"/>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020672"/>
        <c:crosses val="autoZero"/>
        <c:auto val="1"/>
        <c:lblAlgn val="ctr"/>
        <c:lblOffset val="100"/>
        <c:noMultiLvlLbl val="0"/>
      </c:catAx>
      <c:valAx>
        <c:axId val="427020672"/>
        <c:scaling>
          <c:orientation val="minMax"/>
        </c:scaling>
        <c:delete val="0"/>
        <c:axPos val="l"/>
        <c:majorGridlines/>
        <c:numFmt formatCode="0.00_ " sourceLinked="1"/>
        <c:majorTickMark val="out"/>
        <c:minorTickMark val="none"/>
        <c:tickLblPos val="nextTo"/>
        <c:crossAx val="427018496"/>
        <c:crosses val="autoZero"/>
        <c:crossBetween val="between"/>
      </c:valAx>
      <c:catAx>
        <c:axId val="427022208"/>
        <c:scaling>
          <c:orientation val="minMax"/>
        </c:scaling>
        <c:delete val="1"/>
        <c:axPos val="b"/>
        <c:numFmt formatCode="General" sourceLinked="1"/>
        <c:majorTickMark val="out"/>
        <c:minorTickMark val="none"/>
        <c:tickLblPos val="none"/>
        <c:crossAx val="427023744"/>
        <c:crosses val="autoZero"/>
        <c:auto val="0"/>
        <c:lblAlgn val="ctr"/>
        <c:lblOffset val="100"/>
        <c:noMultiLvlLbl val="0"/>
      </c:catAx>
      <c:valAx>
        <c:axId val="427023744"/>
        <c:scaling>
          <c:orientation val="minMax"/>
        </c:scaling>
        <c:delete val="0"/>
        <c:axPos val="r"/>
        <c:numFmt formatCode="0.00%" sourceLinked="1"/>
        <c:majorTickMark val="out"/>
        <c:minorTickMark val="none"/>
        <c:tickLblPos val="nextTo"/>
        <c:crossAx val="427022208"/>
        <c:crosses val="max"/>
        <c:crossBetween val="between"/>
      </c:valAx>
    </c:plotArea>
    <c:legend>
      <c:legendPos val="r"/>
      <c:layout>
        <c:manualLayout>
          <c:xMode val="edge"/>
          <c:yMode val="edge"/>
          <c:x val="0.27069351230425082"/>
          <c:y val="0.87614678899082554"/>
          <c:w val="0.56375838926174449"/>
          <c:h val="0.11009174311926617"/>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33" l="0.70000000000000062" r="0.70000000000000062" t="0.75000000000000933"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444444444444864"/>
          <c:y val="6.8807339449542024E-2"/>
          <c:w val="0.68444444444444463"/>
          <c:h val="0.67889908256883547"/>
        </c:manualLayout>
      </c:layout>
      <c:barChart>
        <c:barDir val="col"/>
        <c:grouping val="clustered"/>
        <c:varyColors val="0"/>
        <c:ser>
          <c:idx val="1"/>
          <c:order val="0"/>
          <c:tx>
            <c:strRef>
              <c:f>利润表!$A$25</c:f>
              <c:strCache>
                <c:ptCount val="1"/>
                <c:pt idx="0">
                  <c:v>净利润</c:v>
                </c:pt>
              </c:strCache>
            </c:strRef>
          </c:tx>
          <c:spPr>
            <a:solidFill>
              <a:srgbClr val="EE7B36"/>
            </a:solidFill>
            <a:ln w="9525" cap="flat" cmpd="sng" algn="ctr">
              <a:solidFill>
                <a:srgbClr val="EE7B36"/>
              </a:solidFill>
              <a:prstDash val="solid"/>
              <a:round/>
              <a:headEnd type="none" w="med" len="med"/>
              <a:tailEnd type="none" w="med" len="med"/>
            </a:ln>
          </c:spPr>
          <c:invertIfNegative val="0"/>
          <c:cat>
            <c:strRef>
              <c:f>利润表!$D$1:$K$1</c:f>
              <c:strCache>
                <c:ptCount val="6"/>
                <c:pt idx="0">
                  <c:v>2020-12-31</c:v>
                </c:pt>
                <c:pt idx="1">
                  <c:v>2021-12-31</c:v>
                </c:pt>
                <c:pt idx="2">
                  <c:v>2022-12-31</c:v>
                </c:pt>
                <c:pt idx="3">
                  <c:v>2023E</c:v>
                </c:pt>
                <c:pt idx="4">
                  <c:v>2024E</c:v>
                </c:pt>
                <c:pt idx="5">
                  <c:v>2025E</c:v>
                </c:pt>
              </c:strCache>
            </c:strRef>
          </c:cat>
          <c:val>
            <c:numRef>
              <c:f>利润表!$D$25:$K$25</c:f>
              <c:numCache>
                <c:formatCode>0.00_ </c:formatCode>
                <c:ptCount val="6"/>
                <c:pt idx="0">
                  <c:v>890.33413537000001</c:v>
                </c:pt>
                <c:pt idx="1">
                  <c:v>672.61913852999999</c:v>
                </c:pt>
                <c:pt idx="2">
                  <c:v>177.91475842</c:v>
                </c:pt>
                <c:pt idx="3">
                  <c:v>-199.25122841240608</c:v>
                </c:pt>
                <c:pt idx="4">
                  <c:v>167.7204316946341</c:v>
                </c:pt>
                <c:pt idx="5">
                  <c:v>114.43447540068274</c:v>
                </c:pt>
              </c:numCache>
            </c:numRef>
          </c:val>
          <c:extLst>
            <c:ext xmlns:c16="http://schemas.microsoft.com/office/drawing/2014/chart" uri="{C3380CC4-5D6E-409C-BE32-E72D297353CC}">
              <c16:uniqueId val="{00000000-EC04-4C70-80CF-2A6690CEA6BA}"/>
            </c:ext>
          </c:extLst>
        </c:ser>
        <c:dLbls>
          <c:showLegendKey val="0"/>
          <c:showVal val="0"/>
          <c:showCatName val="0"/>
          <c:showSerName val="0"/>
          <c:showPercent val="0"/>
          <c:showBubbleSize val="0"/>
        </c:dLbls>
        <c:gapWidth val="150"/>
        <c:axId val="427390464"/>
        <c:axId val="427392384"/>
      </c:barChart>
      <c:lineChart>
        <c:grouping val="standard"/>
        <c:varyColors val="0"/>
        <c:ser>
          <c:idx val="0"/>
          <c:order val="1"/>
          <c:tx>
            <c:strRef>
              <c:f>财务分析!$B$5</c:f>
              <c:strCache>
                <c:ptCount val="1"/>
                <c:pt idx="0">
                  <c:v>净利润增长率</c:v>
                </c:pt>
              </c:strCache>
            </c:strRef>
          </c:tx>
          <c:spPr>
            <a:ln w="28575" cap="rnd" cmpd="sng" algn="ctr">
              <a:solidFill>
                <a:srgbClr val="B4B4B4"/>
              </a:solidFill>
              <a:prstDash val="solid"/>
              <a:round/>
              <a:headEnd type="none" w="med" len="med"/>
              <a:tailEnd type="none" w="med" len="med"/>
            </a:ln>
          </c:spPr>
          <c:marker>
            <c:symbol val="square"/>
            <c:size val="5"/>
            <c:spPr>
              <a:solidFill>
                <a:schemeClr val="accent1"/>
              </a:solidFill>
              <a:ln w="28575" cap="rnd" cmpd="sng" algn="ctr">
                <a:solidFill>
                  <a:srgbClr val="B4B4B4"/>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财务分析!$D$5:$K$5</c:f>
              <c:numCache>
                <c:formatCode>0.00%</c:formatCode>
                <c:ptCount val="6"/>
                <c:pt idx="0">
                  <c:v>1.450270869080551</c:v>
                </c:pt>
                <c:pt idx="1">
                  <c:v>-0.24453178665279779</c:v>
                </c:pt>
                <c:pt idx="2">
                  <c:v>-0.73548959845414108</c:v>
                </c:pt>
                <c:pt idx="3">
                  <c:v>-2.1199252393780479</c:v>
                </c:pt>
                <c:pt idx="4">
                  <c:v>1.8417535642364513</c:v>
                </c:pt>
                <c:pt idx="5">
                  <c:v>-0.31770700656774031</c:v>
                </c:pt>
              </c:numCache>
            </c:numRef>
          </c:val>
          <c:smooth val="0"/>
          <c:extLst>
            <c:ext xmlns:c16="http://schemas.microsoft.com/office/drawing/2014/chart" uri="{C3380CC4-5D6E-409C-BE32-E72D297353CC}">
              <c16:uniqueId val="{00000001-EC04-4C70-80CF-2A6690CEA6BA}"/>
            </c:ext>
          </c:extLst>
        </c:ser>
        <c:dLbls>
          <c:showLegendKey val="0"/>
          <c:showVal val="0"/>
          <c:showCatName val="0"/>
          <c:showSerName val="0"/>
          <c:showPercent val="0"/>
          <c:showBubbleSize val="0"/>
        </c:dLbls>
        <c:marker val="1"/>
        <c:smooth val="0"/>
        <c:axId val="427402368"/>
        <c:axId val="427403904"/>
      </c:lineChart>
      <c:catAx>
        <c:axId val="427390464"/>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392384"/>
        <c:crosses val="autoZero"/>
        <c:auto val="1"/>
        <c:lblAlgn val="ctr"/>
        <c:lblOffset val="100"/>
        <c:noMultiLvlLbl val="0"/>
      </c:catAx>
      <c:valAx>
        <c:axId val="427392384"/>
        <c:scaling>
          <c:orientation val="minMax"/>
        </c:scaling>
        <c:delete val="0"/>
        <c:axPos val="l"/>
        <c:majorGridlines/>
        <c:numFmt formatCode="0.00_ " sourceLinked="1"/>
        <c:majorTickMark val="out"/>
        <c:minorTickMark val="none"/>
        <c:tickLblPos val="nextTo"/>
        <c:crossAx val="427390464"/>
        <c:crosses val="autoZero"/>
        <c:crossBetween val="between"/>
      </c:valAx>
      <c:catAx>
        <c:axId val="427402368"/>
        <c:scaling>
          <c:orientation val="minMax"/>
        </c:scaling>
        <c:delete val="1"/>
        <c:axPos val="b"/>
        <c:numFmt formatCode="General" sourceLinked="1"/>
        <c:majorTickMark val="out"/>
        <c:minorTickMark val="none"/>
        <c:tickLblPos val="none"/>
        <c:crossAx val="427403904"/>
        <c:crosses val="autoZero"/>
        <c:auto val="0"/>
        <c:lblAlgn val="ctr"/>
        <c:lblOffset val="100"/>
        <c:noMultiLvlLbl val="0"/>
      </c:catAx>
      <c:valAx>
        <c:axId val="427403904"/>
        <c:scaling>
          <c:orientation val="minMax"/>
        </c:scaling>
        <c:delete val="0"/>
        <c:axPos val="r"/>
        <c:numFmt formatCode="0.00%" sourceLinked="1"/>
        <c:majorTickMark val="out"/>
        <c:minorTickMark val="none"/>
        <c:tickLblPos val="nextTo"/>
        <c:crossAx val="427402368"/>
        <c:crosses val="max"/>
        <c:crossBetween val="between"/>
      </c:valAx>
    </c:plotArea>
    <c:legend>
      <c:legendPos val="r"/>
      <c:layout>
        <c:manualLayout>
          <c:xMode val="edge"/>
          <c:yMode val="edge"/>
          <c:x val="0.27333333333333326"/>
          <c:y val="0.87614678899082554"/>
          <c:w val="0.56000000000000061"/>
          <c:h val="0.11009174311926617"/>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481069042316271"/>
          <c:y val="6.8807339449542024E-2"/>
          <c:w val="0.69933184855233854"/>
          <c:h val="0.69724770642201861"/>
        </c:manualLayout>
      </c:layout>
      <c:barChart>
        <c:barDir val="col"/>
        <c:grouping val="clustered"/>
        <c:varyColors val="0"/>
        <c:ser>
          <c:idx val="1"/>
          <c:order val="0"/>
          <c:tx>
            <c:v>净资产</c:v>
          </c:tx>
          <c:spPr>
            <a:solidFill>
              <a:srgbClr val="EE7B36"/>
            </a:solidFill>
            <a:ln w="9525" cap="flat" cmpd="sng" algn="ctr">
              <a:solidFill>
                <a:srgbClr val="EE7B36"/>
              </a:solidFill>
              <a:prstDash val="solid"/>
              <a:round/>
              <a:headEnd type="none" w="med" len="med"/>
              <a:tailEnd type="none" w="med" len="med"/>
            </a:ln>
          </c:spPr>
          <c:invertIfNegative val="0"/>
          <c:cat>
            <c:strRef>
              <c:f>利润表!$D$1:$K$1</c:f>
              <c:strCache>
                <c:ptCount val="6"/>
                <c:pt idx="0">
                  <c:v>2020-12-31</c:v>
                </c:pt>
                <c:pt idx="1">
                  <c:v>2021-12-31</c:v>
                </c:pt>
                <c:pt idx="2">
                  <c:v>2022-12-31</c:v>
                </c:pt>
                <c:pt idx="3">
                  <c:v>2023E</c:v>
                </c:pt>
                <c:pt idx="4">
                  <c:v>2024E</c:v>
                </c:pt>
                <c:pt idx="5">
                  <c:v>2025E</c:v>
                </c:pt>
              </c:strCache>
            </c:strRef>
          </c:cat>
          <c:val>
            <c:numRef>
              <c:f>资产负债!$D$84:$K$84</c:f>
              <c:numCache>
                <c:formatCode>0.00_ </c:formatCode>
                <c:ptCount val="6"/>
                <c:pt idx="0">
                  <c:v>4152.4887971999997</c:v>
                </c:pt>
                <c:pt idx="1">
                  <c:v>4967.87543155</c:v>
                </c:pt>
                <c:pt idx="2">
                  <c:v>5616.8441891000002</c:v>
                </c:pt>
                <c:pt idx="3">
                  <c:v>5358.4885121267353</c:v>
                </c:pt>
                <c:pt idx="4">
                  <c:v>5467.2261411648951</c:v>
                </c:pt>
                <c:pt idx="5">
                  <c:v>5507.9057507718817</c:v>
                </c:pt>
              </c:numCache>
            </c:numRef>
          </c:val>
          <c:extLst>
            <c:ext xmlns:c16="http://schemas.microsoft.com/office/drawing/2014/chart" uri="{C3380CC4-5D6E-409C-BE32-E72D297353CC}">
              <c16:uniqueId val="{00000000-29C0-4F7C-A04B-A1F46778DC4F}"/>
            </c:ext>
          </c:extLst>
        </c:ser>
        <c:dLbls>
          <c:showLegendKey val="0"/>
          <c:showVal val="0"/>
          <c:showCatName val="0"/>
          <c:showSerName val="0"/>
          <c:showPercent val="0"/>
          <c:showBubbleSize val="0"/>
        </c:dLbls>
        <c:gapWidth val="150"/>
        <c:axId val="427102592"/>
        <c:axId val="427104512"/>
      </c:barChart>
      <c:lineChart>
        <c:grouping val="standard"/>
        <c:varyColors val="0"/>
        <c:ser>
          <c:idx val="0"/>
          <c:order val="1"/>
          <c:tx>
            <c:v>净资产增长率</c:v>
          </c:tx>
          <c:spPr>
            <a:ln w="28575" cap="rnd" cmpd="sng" algn="ctr">
              <a:solidFill>
                <a:srgbClr val="B4B4B4"/>
              </a:solidFill>
              <a:prstDash val="solid"/>
              <a:round/>
              <a:headEnd type="none" w="med" len="med"/>
              <a:tailEnd type="none" w="med" len="med"/>
            </a:ln>
          </c:spPr>
          <c:marker>
            <c:symbol val="square"/>
            <c:size val="5"/>
            <c:spPr>
              <a:solidFill>
                <a:schemeClr val="accent1"/>
              </a:solidFill>
              <a:ln w="28575" cap="rnd" cmpd="sng" algn="ctr">
                <a:solidFill>
                  <a:srgbClr val="B4B4B4"/>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财务分析!$D$10:$K$10</c:f>
              <c:numCache>
                <c:formatCode>0.00%</c:formatCode>
                <c:ptCount val="6"/>
                <c:pt idx="0">
                  <c:v>0.32642378317405168</c:v>
                </c:pt>
                <c:pt idx="1">
                  <c:v>0.19636094741539364</c:v>
                </c:pt>
                <c:pt idx="2">
                  <c:v>0.13063305763033575</c:v>
                </c:pt>
                <c:pt idx="3">
                  <c:v>-4.5996589592894134E-2</c:v>
                </c:pt>
                <c:pt idx="4">
                  <c:v>2.0292593478940368E-2</c:v>
                </c:pt>
                <c:pt idx="5">
                  <c:v>7.4406305056038905E-3</c:v>
                </c:pt>
              </c:numCache>
            </c:numRef>
          </c:val>
          <c:smooth val="0"/>
          <c:extLst>
            <c:ext xmlns:c16="http://schemas.microsoft.com/office/drawing/2014/chart" uri="{C3380CC4-5D6E-409C-BE32-E72D297353CC}">
              <c16:uniqueId val="{00000001-29C0-4F7C-A04B-A1F46778DC4F}"/>
            </c:ext>
          </c:extLst>
        </c:ser>
        <c:dLbls>
          <c:showLegendKey val="0"/>
          <c:showVal val="0"/>
          <c:showCatName val="0"/>
          <c:showSerName val="0"/>
          <c:showPercent val="0"/>
          <c:showBubbleSize val="0"/>
        </c:dLbls>
        <c:marker val="1"/>
        <c:smooth val="0"/>
        <c:axId val="427114496"/>
        <c:axId val="427116032"/>
      </c:lineChart>
      <c:catAx>
        <c:axId val="427102592"/>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104512"/>
        <c:crosses val="autoZero"/>
        <c:auto val="1"/>
        <c:lblAlgn val="ctr"/>
        <c:lblOffset val="100"/>
        <c:noMultiLvlLbl val="0"/>
      </c:catAx>
      <c:valAx>
        <c:axId val="427104512"/>
        <c:scaling>
          <c:orientation val="minMax"/>
        </c:scaling>
        <c:delete val="0"/>
        <c:axPos val="l"/>
        <c:majorGridlines/>
        <c:numFmt formatCode="0.00_ " sourceLinked="1"/>
        <c:majorTickMark val="out"/>
        <c:minorTickMark val="none"/>
        <c:tickLblPos val="nextTo"/>
        <c:crossAx val="427102592"/>
        <c:crosses val="autoZero"/>
        <c:crossBetween val="between"/>
      </c:valAx>
      <c:catAx>
        <c:axId val="427114496"/>
        <c:scaling>
          <c:orientation val="minMax"/>
        </c:scaling>
        <c:delete val="1"/>
        <c:axPos val="b"/>
        <c:numFmt formatCode="General" sourceLinked="1"/>
        <c:majorTickMark val="out"/>
        <c:minorTickMark val="none"/>
        <c:tickLblPos val="none"/>
        <c:crossAx val="427116032"/>
        <c:crosses val="autoZero"/>
        <c:auto val="0"/>
        <c:lblAlgn val="ctr"/>
        <c:lblOffset val="100"/>
        <c:noMultiLvlLbl val="0"/>
      </c:catAx>
      <c:valAx>
        <c:axId val="427116032"/>
        <c:scaling>
          <c:orientation val="minMax"/>
        </c:scaling>
        <c:delete val="0"/>
        <c:axPos val="r"/>
        <c:numFmt formatCode="0.00%" sourceLinked="1"/>
        <c:majorTickMark val="out"/>
        <c:minorTickMark val="none"/>
        <c:tickLblPos val="nextTo"/>
        <c:crossAx val="427114496"/>
        <c:crosses val="max"/>
        <c:crossBetween val="between"/>
      </c:valAx>
    </c:plotArea>
    <c:legend>
      <c:legendPos val="r"/>
      <c:layout>
        <c:manualLayout>
          <c:xMode val="edge"/>
          <c:yMode val="edge"/>
          <c:x val="0.24053452115812921"/>
          <c:y val="0.87614678899082554"/>
          <c:w val="0.56124721603563565"/>
          <c:h val="0.11009174311926617"/>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77" l="0.70000000000000062" r="0.70000000000000062" t="0.75000000000000977"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161434977578494"/>
          <c:y val="6.8807339449542024E-2"/>
          <c:w val="0.66591928251122012"/>
          <c:h val="0.69266055045872388"/>
        </c:manualLayout>
      </c:layout>
      <c:barChart>
        <c:barDir val="col"/>
        <c:grouping val="clustered"/>
        <c:varyColors val="0"/>
        <c:ser>
          <c:idx val="1"/>
          <c:order val="0"/>
          <c:tx>
            <c:v>总资产</c:v>
          </c:tx>
          <c:spPr>
            <a:solidFill>
              <a:srgbClr val="EE7B36"/>
            </a:solidFill>
            <a:ln w="9525" cap="flat" cmpd="sng" algn="ctr">
              <a:solidFill>
                <a:srgbClr val="EE7B36"/>
              </a:solidFill>
              <a:prstDash val="solid"/>
              <a:round/>
              <a:headEnd type="none" w="med" len="med"/>
              <a:tailEnd type="none" w="med" len="med"/>
            </a:ln>
          </c:spPr>
          <c:invertIfNegative val="0"/>
          <c:cat>
            <c:strRef>
              <c:f>利润表!$D$1:$K$1</c:f>
              <c:strCache>
                <c:ptCount val="6"/>
                <c:pt idx="0">
                  <c:v>2020-12-31</c:v>
                </c:pt>
                <c:pt idx="1">
                  <c:v>2021-12-31</c:v>
                </c:pt>
                <c:pt idx="2">
                  <c:v>2022-12-31</c:v>
                </c:pt>
                <c:pt idx="3">
                  <c:v>2023E</c:v>
                </c:pt>
                <c:pt idx="4">
                  <c:v>2024E</c:v>
                </c:pt>
                <c:pt idx="5">
                  <c:v>2025E</c:v>
                </c:pt>
              </c:strCache>
            </c:strRef>
          </c:cat>
          <c:val>
            <c:numRef>
              <c:f>资产负债!$D$40:$K$40</c:f>
              <c:numCache>
                <c:formatCode>0.00_ </c:formatCode>
                <c:ptCount val="6"/>
                <c:pt idx="0">
                  <c:v>8165.1224772599999</c:v>
                </c:pt>
                <c:pt idx="1">
                  <c:v>10789.49010838</c:v>
                </c:pt>
                <c:pt idx="2">
                  <c:v>12639.39639009</c:v>
                </c:pt>
                <c:pt idx="3">
                  <c:v>10436.385430546285</c:v>
                </c:pt>
                <c:pt idx="4">
                  <c:v>14935.353979427569</c:v>
                </c:pt>
                <c:pt idx="5">
                  <c:v>14338.799006839905</c:v>
                </c:pt>
              </c:numCache>
            </c:numRef>
          </c:val>
          <c:extLst>
            <c:ext xmlns:c16="http://schemas.microsoft.com/office/drawing/2014/chart" uri="{C3380CC4-5D6E-409C-BE32-E72D297353CC}">
              <c16:uniqueId val="{00000000-F857-4ADC-8524-25D4F9A4B2E9}"/>
            </c:ext>
          </c:extLst>
        </c:ser>
        <c:dLbls>
          <c:showLegendKey val="0"/>
          <c:showVal val="0"/>
          <c:showCatName val="0"/>
          <c:showSerName val="0"/>
          <c:showPercent val="0"/>
          <c:showBubbleSize val="0"/>
        </c:dLbls>
        <c:gapWidth val="150"/>
        <c:axId val="427151360"/>
        <c:axId val="427153280"/>
      </c:barChart>
      <c:lineChart>
        <c:grouping val="standard"/>
        <c:varyColors val="0"/>
        <c:ser>
          <c:idx val="0"/>
          <c:order val="1"/>
          <c:tx>
            <c:v>总资产增长率</c:v>
          </c:tx>
          <c:spPr>
            <a:ln w="28575" cap="rnd" cmpd="sng" algn="ctr">
              <a:solidFill>
                <a:srgbClr val="B4B4B4"/>
              </a:solidFill>
              <a:prstDash val="solid"/>
              <a:round/>
              <a:headEnd type="none" w="med" len="med"/>
              <a:tailEnd type="none" w="med" len="med"/>
            </a:ln>
          </c:spPr>
          <c:marker>
            <c:symbol val="square"/>
            <c:size val="5"/>
            <c:spPr>
              <a:solidFill>
                <a:schemeClr val="accent1"/>
              </a:solidFill>
              <a:ln w="28575" cap="rnd" cmpd="sng" algn="ctr">
                <a:solidFill>
                  <a:srgbClr val="B4B4B4"/>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财务分析!$D$9:$K$9</c:f>
              <c:numCache>
                <c:formatCode>0.00%</c:formatCode>
                <c:ptCount val="6"/>
                <c:pt idx="0">
                  <c:v>0.36646838662544373</c:v>
                </c:pt>
                <c:pt idx="1">
                  <c:v>0.32141191248862544</c:v>
                </c:pt>
                <c:pt idx="2">
                  <c:v>0.17145446755386631</c:v>
                </c:pt>
                <c:pt idx="3">
                  <c:v>-0.17429716511391322</c:v>
                </c:pt>
                <c:pt idx="4">
                  <c:v>0.43108493633372735</c:v>
                </c:pt>
                <c:pt idx="5">
                  <c:v>-3.9942472967790264E-2</c:v>
                </c:pt>
              </c:numCache>
            </c:numRef>
          </c:val>
          <c:smooth val="0"/>
          <c:extLst>
            <c:ext xmlns:c16="http://schemas.microsoft.com/office/drawing/2014/chart" uri="{C3380CC4-5D6E-409C-BE32-E72D297353CC}">
              <c16:uniqueId val="{00000001-F857-4ADC-8524-25D4F9A4B2E9}"/>
            </c:ext>
          </c:extLst>
        </c:ser>
        <c:dLbls>
          <c:showLegendKey val="0"/>
          <c:showVal val="0"/>
          <c:showCatName val="0"/>
          <c:showSerName val="0"/>
          <c:showPercent val="0"/>
          <c:showBubbleSize val="0"/>
        </c:dLbls>
        <c:marker val="1"/>
        <c:smooth val="0"/>
        <c:axId val="427154816"/>
        <c:axId val="427160704"/>
      </c:lineChart>
      <c:catAx>
        <c:axId val="427151360"/>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153280"/>
        <c:crosses val="autoZero"/>
        <c:auto val="1"/>
        <c:lblAlgn val="ctr"/>
        <c:lblOffset val="100"/>
        <c:noMultiLvlLbl val="0"/>
      </c:catAx>
      <c:valAx>
        <c:axId val="427153280"/>
        <c:scaling>
          <c:orientation val="minMax"/>
        </c:scaling>
        <c:delete val="0"/>
        <c:axPos val="l"/>
        <c:majorGridlines/>
        <c:numFmt formatCode="0.00_ " sourceLinked="1"/>
        <c:majorTickMark val="out"/>
        <c:minorTickMark val="none"/>
        <c:tickLblPos val="nextTo"/>
        <c:crossAx val="427151360"/>
        <c:crosses val="autoZero"/>
        <c:crossBetween val="between"/>
      </c:valAx>
      <c:catAx>
        <c:axId val="427154816"/>
        <c:scaling>
          <c:orientation val="minMax"/>
        </c:scaling>
        <c:delete val="1"/>
        <c:axPos val="b"/>
        <c:numFmt formatCode="General" sourceLinked="1"/>
        <c:majorTickMark val="out"/>
        <c:minorTickMark val="none"/>
        <c:tickLblPos val="none"/>
        <c:crossAx val="427160704"/>
        <c:crosses val="autoZero"/>
        <c:auto val="0"/>
        <c:lblAlgn val="ctr"/>
        <c:lblOffset val="100"/>
        <c:noMultiLvlLbl val="0"/>
      </c:catAx>
      <c:valAx>
        <c:axId val="427160704"/>
        <c:scaling>
          <c:orientation val="minMax"/>
        </c:scaling>
        <c:delete val="0"/>
        <c:axPos val="r"/>
        <c:numFmt formatCode="0.00%" sourceLinked="1"/>
        <c:majorTickMark val="out"/>
        <c:minorTickMark val="none"/>
        <c:tickLblPos val="nextTo"/>
        <c:crossAx val="427154816"/>
        <c:crosses val="max"/>
        <c:crossBetween val="between"/>
      </c:valAx>
    </c:plotArea>
    <c:legend>
      <c:legendPos val="r"/>
      <c:layout>
        <c:manualLayout>
          <c:xMode val="edge"/>
          <c:yMode val="edge"/>
          <c:x val="0.27130044843049328"/>
          <c:y val="0.87614678899082554"/>
          <c:w val="0.56502242152466353"/>
          <c:h val="0.11009174311926617"/>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59192825112161"/>
          <c:y val="6.8807339449542024E-2"/>
          <c:w val="0.6816143497757845"/>
          <c:h val="0.69266055045872388"/>
        </c:manualLayout>
      </c:layout>
      <c:barChart>
        <c:barDir val="col"/>
        <c:grouping val="clustered"/>
        <c:varyColors val="0"/>
        <c:ser>
          <c:idx val="1"/>
          <c:order val="0"/>
          <c:tx>
            <c:v>EBIT</c:v>
          </c:tx>
          <c:spPr>
            <a:solidFill>
              <a:srgbClr val="EE7B36"/>
            </a:solidFill>
            <a:ln w="9525" cap="flat" cmpd="sng" algn="ctr">
              <a:solidFill>
                <a:srgbClr val="EE7B36"/>
              </a:solidFill>
              <a:prstDash val="solid"/>
              <a:round/>
              <a:headEnd type="none" w="med" len="med"/>
              <a:tailEnd type="none" w="med" len="med"/>
            </a:ln>
          </c:spPr>
          <c:invertIfNegative val="0"/>
          <c:cat>
            <c:strRef>
              <c:f>利润表!$D$1:$K$1</c:f>
              <c:strCache>
                <c:ptCount val="6"/>
                <c:pt idx="0">
                  <c:v>2020-12-31</c:v>
                </c:pt>
                <c:pt idx="1">
                  <c:v>2021-12-31</c:v>
                </c:pt>
                <c:pt idx="2">
                  <c:v>2022-12-31</c:v>
                </c:pt>
                <c:pt idx="3">
                  <c:v>2023E</c:v>
                </c:pt>
                <c:pt idx="4">
                  <c:v>2024E</c:v>
                </c:pt>
                <c:pt idx="5">
                  <c:v>2025E</c:v>
                </c:pt>
              </c:strCache>
            </c:strRef>
          </c:cat>
          <c:val>
            <c:numRef>
              <c:f>利润表!$D$26:$K$26</c:f>
              <c:numCache>
                <c:formatCode>0.00_ </c:formatCode>
                <c:ptCount val="6"/>
                <c:pt idx="0">
                  <c:v>1050.147390597544</c:v>
                </c:pt>
                <c:pt idx="1">
                  <c:v>847.44926653871994</c:v>
                </c:pt>
                <c:pt idx="2">
                  <c:v>247.760573732686</c:v>
                </c:pt>
                <c:pt idx="3">
                  <c:v>-145.39915065661293</c:v>
                </c:pt>
                <c:pt idx="4">
                  <c:v>480.34660586143002</c:v>
                </c:pt>
                <c:pt idx="5">
                  <c:v>518.47038468711276</c:v>
                </c:pt>
              </c:numCache>
            </c:numRef>
          </c:val>
          <c:extLst>
            <c:ext xmlns:c16="http://schemas.microsoft.com/office/drawing/2014/chart" uri="{C3380CC4-5D6E-409C-BE32-E72D297353CC}">
              <c16:uniqueId val="{00000000-342F-42BA-BC51-3AC250A962E3}"/>
            </c:ext>
          </c:extLst>
        </c:ser>
        <c:dLbls>
          <c:showLegendKey val="0"/>
          <c:showVal val="0"/>
          <c:showCatName val="0"/>
          <c:showSerName val="0"/>
          <c:showPercent val="0"/>
          <c:showBubbleSize val="0"/>
        </c:dLbls>
        <c:gapWidth val="150"/>
        <c:axId val="427260928"/>
        <c:axId val="427267200"/>
      </c:barChart>
      <c:lineChart>
        <c:grouping val="standard"/>
        <c:varyColors val="0"/>
        <c:ser>
          <c:idx val="0"/>
          <c:order val="1"/>
          <c:tx>
            <c:v>EBIT增长率</c:v>
          </c:tx>
          <c:spPr>
            <a:ln w="28575" cap="rnd" cmpd="sng" algn="ctr">
              <a:solidFill>
                <a:srgbClr val="B4B4B4"/>
              </a:solidFill>
              <a:prstDash val="solid"/>
              <a:round/>
              <a:headEnd type="none" w="med" len="med"/>
              <a:tailEnd type="none" w="med" len="med"/>
            </a:ln>
          </c:spPr>
          <c:marker>
            <c:symbol val="square"/>
            <c:size val="5"/>
            <c:spPr>
              <a:solidFill>
                <a:schemeClr val="accent1"/>
              </a:solidFill>
              <a:ln w="28575" cap="rnd" cmpd="sng" algn="ctr">
                <a:solidFill>
                  <a:srgbClr val="B4B4B4"/>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财务分析!$D$6:$K$6</c:f>
              <c:numCache>
                <c:formatCode>0.00%</c:formatCode>
                <c:ptCount val="6"/>
                <c:pt idx="0">
                  <c:v>1.4174444266836872</c:v>
                </c:pt>
                <c:pt idx="1">
                  <c:v>-0.1930187380111347</c:v>
                </c:pt>
                <c:pt idx="2">
                  <c:v>-0.70763963871887325</c:v>
                </c:pt>
                <c:pt idx="3">
                  <c:v>-1.5868534628656741</c:v>
                </c:pt>
                <c:pt idx="4">
                  <c:v>4.3036410714382898</c:v>
                </c:pt>
                <c:pt idx="5">
                  <c:v>7.9367228498083003E-2</c:v>
                </c:pt>
              </c:numCache>
            </c:numRef>
          </c:val>
          <c:smooth val="0"/>
          <c:extLst>
            <c:ext xmlns:c16="http://schemas.microsoft.com/office/drawing/2014/chart" uri="{C3380CC4-5D6E-409C-BE32-E72D297353CC}">
              <c16:uniqueId val="{00000001-342F-42BA-BC51-3AC250A962E3}"/>
            </c:ext>
          </c:extLst>
        </c:ser>
        <c:dLbls>
          <c:showLegendKey val="0"/>
          <c:showVal val="0"/>
          <c:showCatName val="0"/>
          <c:showSerName val="0"/>
          <c:showPercent val="0"/>
          <c:showBubbleSize val="0"/>
        </c:dLbls>
        <c:marker val="1"/>
        <c:smooth val="0"/>
        <c:axId val="427268736"/>
        <c:axId val="427278720"/>
      </c:lineChart>
      <c:catAx>
        <c:axId val="427260928"/>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267200"/>
        <c:crosses val="autoZero"/>
        <c:auto val="1"/>
        <c:lblAlgn val="ctr"/>
        <c:lblOffset val="100"/>
        <c:noMultiLvlLbl val="0"/>
      </c:catAx>
      <c:valAx>
        <c:axId val="427267200"/>
        <c:scaling>
          <c:orientation val="minMax"/>
        </c:scaling>
        <c:delete val="0"/>
        <c:axPos val="l"/>
        <c:majorGridlines/>
        <c:numFmt formatCode="0.00_ " sourceLinked="1"/>
        <c:majorTickMark val="out"/>
        <c:minorTickMark val="none"/>
        <c:tickLblPos val="nextTo"/>
        <c:crossAx val="427260928"/>
        <c:crosses val="autoZero"/>
        <c:crossBetween val="between"/>
      </c:valAx>
      <c:catAx>
        <c:axId val="427268736"/>
        <c:scaling>
          <c:orientation val="minMax"/>
        </c:scaling>
        <c:delete val="1"/>
        <c:axPos val="b"/>
        <c:numFmt formatCode="General" sourceLinked="1"/>
        <c:majorTickMark val="out"/>
        <c:minorTickMark val="none"/>
        <c:tickLblPos val="none"/>
        <c:crossAx val="427278720"/>
        <c:crosses val="autoZero"/>
        <c:auto val="0"/>
        <c:lblAlgn val="ctr"/>
        <c:lblOffset val="100"/>
        <c:noMultiLvlLbl val="0"/>
      </c:catAx>
      <c:valAx>
        <c:axId val="427278720"/>
        <c:scaling>
          <c:orientation val="minMax"/>
        </c:scaling>
        <c:delete val="0"/>
        <c:axPos val="r"/>
        <c:numFmt formatCode="0.00%" sourceLinked="1"/>
        <c:majorTickMark val="out"/>
        <c:minorTickMark val="none"/>
        <c:tickLblPos val="nextTo"/>
        <c:crossAx val="427268736"/>
        <c:crosses val="max"/>
        <c:crossBetween val="between"/>
      </c:valAx>
    </c:plotArea>
    <c:legend>
      <c:legendPos val="r"/>
      <c:layout>
        <c:manualLayout>
          <c:xMode val="edge"/>
          <c:yMode val="edge"/>
          <c:x val="0.23542600896860988"/>
          <c:y val="0.87614678899082554"/>
          <c:w val="0.56502242152466386"/>
          <c:h val="0.11009174311926617"/>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1021" l="0.70000000000000062" r="0.70000000000000062" t="0.7500000000000102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32599557364331"/>
          <c:y val="6.8807339449542024E-2"/>
          <c:w val="0.85168632778081954"/>
          <c:h val="0.69266055045872388"/>
        </c:manualLayout>
      </c:layout>
      <c:lineChart>
        <c:grouping val="standard"/>
        <c:varyColors val="0"/>
        <c:ser>
          <c:idx val="0"/>
          <c:order val="0"/>
          <c:tx>
            <c:strRef>
              <c:f>财务分析!$B$13</c:f>
              <c:strCache>
                <c:ptCount val="1"/>
                <c:pt idx="0">
                  <c:v>销售毛利率</c:v>
                </c:pt>
              </c:strCache>
            </c:strRef>
          </c:tx>
          <c:spPr>
            <a:ln w="28575" cap="rnd" cmpd="sng" algn="ctr">
              <a:solidFill>
                <a:srgbClr val="EE7B36"/>
              </a:solidFill>
              <a:prstDash val="solid"/>
              <a:round/>
              <a:headEnd type="none" w="med" len="med"/>
              <a:tailEnd type="none" w="med" len="med"/>
            </a:ln>
          </c:spPr>
          <c:marker>
            <c:symbol val="square"/>
            <c:size val="5"/>
            <c:spPr>
              <a:solidFill>
                <a:schemeClr val="accent1"/>
              </a:solidFill>
              <a:ln w="28575" cap="rnd" cmpd="sng" algn="ctr">
                <a:solidFill>
                  <a:srgbClr val="EE7B36"/>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财务分析!$D$13:$K$13</c:f>
              <c:numCache>
                <c:formatCode>0.00%</c:formatCode>
                <c:ptCount val="6"/>
                <c:pt idx="0">
                  <c:v>0.36939372845004936</c:v>
                </c:pt>
                <c:pt idx="1">
                  <c:v>0.28514371264111327</c:v>
                </c:pt>
                <c:pt idx="2">
                  <c:v>0.2121076578193104</c:v>
                </c:pt>
                <c:pt idx="3">
                  <c:v>0.17689999999999995</c:v>
                </c:pt>
                <c:pt idx="4">
                  <c:v>0.24416336816713236</c:v>
                </c:pt>
                <c:pt idx="5">
                  <c:v>0.2336280645350578</c:v>
                </c:pt>
              </c:numCache>
            </c:numRef>
          </c:val>
          <c:smooth val="0"/>
          <c:extLst>
            <c:ext xmlns:c16="http://schemas.microsoft.com/office/drawing/2014/chart" uri="{C3380CC4-5D6E-409C-BE32-E72D297353CC}">
              <c16:uniqueId val="{00000000-43C7-4AB5-84CD-B613434A8100}"/>
            </c:ext>
          </c:extLst>
        </c:ser>
        <c:dLbls>
          <c:showLegendKey val="0"/>
          <c:showVal val="0"/>
          <c:showCatName val="0"/>
          <c:showSerName val="0"/>
          <c:showPercent val="0"/>
          <c:showBubbleSize val="0"/>
        </c:dLbls>
        <c:marker val="1"/>
        <c:smooth val="0"/>
        <c:axId val="427315200"/>
        <c:axId val="427317120"/>
      </c:lineChart>
      <c:catAx>
        <c:axId val="427315200"/>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317120"/>
        <c:crosses val="autoZero"/>
        <c:auto val="1"/>
        <c:lblAlgn val="ctr"/>
        <c:lblOffset val="100"/>
        <c:noMultiLvlLbl val="0"/>
      </c:catAx>
      <c:valAx>
        <c:axId val="427317120"/>
        <c:scaling>
          <c:orientation val="minMax"/>
        </c:scaling>
        <c:delete val="0"/>
        <c:axPos val="l"/>
        <c:majorGridlines/>
        <c:numFmt formatCode="0.00%" sourceLinked="1"/>
        <c:majorTickMark val="out"/>
        <c:minorTickMark val="none"/>
        <c:tickLblPos val="nextTo"/>
        <c:crossAx val="427315200"/>
        <c:crosses val="autoZero"/>
        <c:crossBetween val="between"/>
      </c:valAx>
    </c:plotArea>
    <c:legend>
      <c:legendPos val="r"/>
      <c:layout>
        <c:manualLayout>
          <c:xMode val="edge"/>
          <c:yMode val="edge"/>
          <c:x val="0.20000023592556548"/>
          <c:y val="0.87614678899082554"/>
          <c:w val="0.56629284260816792"/>
          <c:h val="0.11009174311926617"/>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33" l="0.70000000000000062" r="0.70000000000000062" t="0.75000000000000933"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70276387453656"/>
          <c:y val="6.8807339449542024E-2"/>
          <c:w val="0.85235085542255562"/>
          <c:h val="0.69724770642201861"/>
        </c:manualLayout>
      </c:layout>
      <c:lineChart>
        <c:grouping val="standard"/>
        <c:varyColors val="0"/>
        <c:ser>
          <c:idx val="0"/>
          <c:order val="0"/>
          <c:tx>
            <c:strRef>
              <c:f>财务分析!$B$14</c:f>
              <c:strCache>
                <c:ptCount val="1"/>
                <c:pt idx="0">
                  <c:v>销售净利率</c:v>
                </c:pt>
              </c:strCache>
            </c:strRef>
          </c:tx>
          <c:spPr>
            <a:ln w="28575" cap="rnd" cmpd="sng" algn="ctr">
              <a:solidFill>
                <a:srgbClr val="EE7B36"/>
              </a:solidFill>
              <a:prstDash val="solid"/>
              <a:round/>
              <a:headEnd type="none" w="med" len="med"/>
              <a:tailEnd type="none" w="med" len="med"/>
            </a:ln>
          </c:spPr>
          <c:marker>
            <c:symbol val="square"/>
            <c:size val="5"/>
            <c:spPr>
              <a:solidFill>
                <a:schemeClr val="accent1"/>
              </a:solidFill>
              <a:ln w="28575" cap="rnd" cmpd="sng" algn="ctr">
                <a:solidFill>
                  <a:srgbClr val="EE7B36"/>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财务分析!$D$14:$K$14</c:f>
              <c:numCache>
                <c:formatCode>0.00%</c:formatCode>
                <c:ptCount val="6"/>
                <c:pt idx="0">
                  <c:v>0.14273027836476554</c:v>
                </c:pt>
                <c:pt idx="1">
                  <c:v>8.6558102617062052E-2</c:v>
                </c:pt>
                <c:pt idx="2">
                  <c:v>2.3259795953155211E-2</c:v>
                </c:pt>
                <c:pt idx="3">
                  <c:v>-2.3823490934774424E-2</c:v>
                </c:pt>
                <c:pt idx="4">
                  <c:v>1.7319912064933211E-2</c:v>
                </c:pt>
                <c:pt idx="5">
                  <c:v>1.0148695196687395E-2</c:v>
                </c:pt>
              </c:numCache>
            </c:numRef>
          </c:val>
          <c:smooth val="0"/>
          <c:extLst>
            <c:ext xmlns:c16="http://schemas.microsoft.com/office/drawing/2014/chart" uri="{C3380CC4-5D6E-409C-BE32-E72D297353CC}">
              <c16:uniqueId val="{00000000-CFB3-4D04-9366-3EFB219BC225}"/>
            </c:ext>
          </c:extLst>
        </c:ser>
        <c:dLbls>
          <c:showLegendKey val="0"/>
          <c:showVal val="0"/>
          <c:showCatName val="0"/>
          <c:showSerName val="0"/>
          <c:showPercent val="0"/>
          <c:showBubbleSize val="0"/>
        </c:dLbls>
        <c:marker val="1"/>
        <c:smooth val="0"/>
        <c:axId val="427329024"/>
        <c:axId val="427330944"/>
      </c:lineChart>
      <c:catAx>
        <c:axId val="427329024"/>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330944"/>
        <c:crosses val="autoZero"/>
        <c:auto val="1"/>
        <c:lblAlgn val="ctr"/>
        <c:lblOffset val="100"/>
        <c:noMultiLvlLbl val="0"/>
      </c:catAx>
      <c:valAx>
        <c:axId val="427330944"/>
        <c:scaling>
          <c:orientation val="minMax"/>
        </c:scaling>
        <c:delete val="0"/>
        <c:axPos val="l"/>
        <c:majorGridlines/>
        <c:numFmt formatCode="0.00%" sourceLinked="1"/>
        <c:majorTickMark val="out"/>
        <c:minorTickMark val="none"/>
        <c:tickLblPos val="nextTo"/>
        <c:crossAx val="427329024"/>
        <c:crosses val="autoZero"/>
        <c:crossBetween val="between"/>
      </c:valAx>
    </c:plotArea>
    <c:legend>
      <c:legendPos val="r"/>
      <c:layout>
        <c:manualLayout>
          <c:xMode val="edge"/>
          <c:yMode val="edge"/>
          <c:x val="0.20134275161913484"/>
          <c:y val="0.87614678899082554"/>
          <c:w val="0.56375956361160062"/>
          <c:h val="0.11009174311926617"/>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47243265013831"/>
          <c:y val="6.8807339449542024E-2"/>
          <c:w val="0.8536594608113276"/>
          <c:h val="0.70183486238532966"/>
        </c:manualLayout>
      </c:layout>
      <c:lineChart>
        <c:grouping val="standard"/>
        <c:varyColors val="0"/>
        <c:ser>
          <c:idx val="0"/>
          <c:order val="0"/>
          <c:tx>
            <c:strRef>
              <c:f>财务分析!$B$19</c:f>
              <c:strCache>
                <c:ptCount val="1"/>
                <c:pt idx="0">
                  <c:v>净资产收益率(ROE)</c:v>
                </c:pt>
              </c:strCache>
            </c:strRef>
          </c:tx>
          <c:spPr>
            <a:ln w="28575" cap="rnd" cmpd="sng" algn="ctr">
              <a:solidFill>
                <a:srgbClr val="EE7B36"/>
              </a:solidFill>
              <a:prstDash val="solid"/>
              <a:round/>
              <a:headEnd type="none" w="med" len="med"/>
              <a:tailEnd type="none" w="med" len="med"/>
            </a:ln>
          </c:spPr>
          <c:marker>
            <c:symbol val="square"/>
            <c:size val="5"/>
            <c:spPr>
              <a:solidFill>
                <a:schemeClr val="accent1"/>
              </a:solidFill>
              <a:ln w="28575" cap="rnd" cmpd="sng" algn="ctr">
                <a:solidFill>
                  <a:srgbClr val="EE7B36"/>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财务分析!$D$19:$K$19</c:f>
              <c:numCache>
                <c:formatCode>0.00%</c:formatCode>
                <c:ptCount val="6"/>
                <c:pt idx="0">
                  <c:v>0.21440976215766011</c:v>
                </c:pt>
                <c:pt idx="1">
                  <c:v>0.13539372067550812</c:v>
                </c:pt>
                <c:pt idx="2">
                  <c:v>3.1669384929869197E-2</c:v>
                </c:pt>
                <c:pt idx="3">
                  <c:v>-3.7176626194826992E-2</c:v>
                </c:pt>
                <c:pt idx="4">
                  <c:v>3.0671627706799136E-2</c:v>
                </c:pt>
                <c:pt idx="5">
                  <c:v>2.0772694082215788E-2</c:v>
                </c:pt>
              </c:numCache>
            </c:numRef>
          </c:val>
          <c:smooth val="0"/>
          <c:extLst>
            <c:ext xmlns:c16="http://schemas.microsoft.com/office/drawing/2014/chart" uri="{C3380CC4-5D6E-409C-BE32-E72D297353CC}">
              <c16:uniqueId val="{00000000-1739-42FC-85A7-3EB20DCB666B}"/>
            </c:ext>
          </c:extLst>
        </c:ser>
        <c:dLbls>
          <c:showLegendKey val="0"/>
          <c:showVal val="0"/>
          <c:showCatName val="0"/>
          <c:showSerName val="0"/>
          <c:showPercent val="0"/>
          <c:showBubbleSize val="0"/>
        </c:dLbls>
        <c:marker val="1"/>
        <c:smooth val="0"/>
        <c:axId val="427338752"/>
        <c:axId val="427447424"/>
      </c:lineChart>
      <c:catAx>
        <c:axId val="427338752"/>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447424"/>
        <c:crosses val="autoZero"/>
        <c:auto val="1"/>
        <c:lblAlgn val="ctr"/>
        <c:lblOffset val="100"/>
        <c:noMultiLvlLbl val="0"/>
      </c:catAx>
      <c:valAx>
        <c:axId val="427447424"/>
        <c:scaling>
          <c:orientation val="minMax"/>
        </c:scaling>
        <c:delete val="0"/>
        <c:axPos val="l"/>
        <c:majorGridlines/>
        <c:numFmt formatCode="0.00%" sourceLinked="1"/>
        <c:majorTickMark val="out"/>
        <c:minorTickMark val="none"/>
        <c:tickLblPos val="nextTo"/>
        <c:crossAx val="427338752"/>
        <c:crosses val="autoZero"/>
        <c:crossBetween val="between"/>
      </c:valAx>
    </c:plotArea>
    <c:legend>
      <c:legendPos val="r"/>
      <c:layout>
        <c:manualLayout>
          <c:xMode val="edge"/>
          <c:yMode val="edge"/>
          <c:x val="0.20177406870704354"/>
          <c:y val="0.87614678899082554"/>
          <c:w val="0.55875901321649291"/>
          <c:h val="0.11009174311926617"/>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77" l="0.70000000000000062" r="0.70000000000000062" t="0.75000000000000977"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46562252172395"/>
          <c:y val="6.8807339449542024E-2"/>
          <c:w val="0.85235085542255562"/>
          <c:h val="0.69724770642201861"/>
        </c:manualLayout>
      </c:layout>
      <c:lineChart>
        <c:grouping val="standard"/>
        <c:varyColors val="0"/>
        <c:ser>
          <c:idx val="0"/>
          <c:order val="0"/>
          <c:tx>
            <c:strRef>
              <c:f>财务分析!$B$20</c:f>
              <c:strCache>
                <c:ptCount val="1"/>
                <c:pt idx="0">
                  <c:v>资产收益率(ROA)</c:v>
                </c:pt>
              </c:strCache>
            </c:strRef>
          </c:tx>
          <c:spPr>
            <a:ln w="28575" cap="rnd" cmpd="sng" algn="ctr">
              <a:solidFill>
                <a:srgbClr val="EE7B36"/>
              </a:solidFill>
              <a:prstDash val="solid"/>
              <a:round/>
              <a:headEnd type="none" w="med" len="med"/>
              <a:tailEnd type="none" w="med" len="med"/>
            </a:ln>
          </c:spPr>
          <c:marker>
            <c:symbol val="square"/>
            <c:size val="5"/>
            <c:spPr>
              <a:solidFill>
                <a:schemeClr val="accent1"/>
              </a:solidFill>
              <a:ln w="28575" cap="rnd" cmpd="sng" algn="ctr">
                <a:solidFill>
                  <a:srgbClr val="EE7B36"/>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财务分析!$D$20:$K$20</c:f>
              <c:numCache>
                <c:formatCode>0.00%</c:formatCode>
                <c:ptCount val="6"/>
                <c:pt idx="0">
                  <c:v>0.10904112434927893</c:v>
                </c:pt>
                <c:pt idx="1">
                  <c:v>6.2340215503565735E-2</c:v>
                </c:pt>
                <c:pt idx="2">
                  <c:v>1.4076206879586054E-2</c:v>
                </c:pt>
                <c:pt idx="3">
                  <c:v>-1.909197679008837E-2</c:v>
                </c:pt>
                <c:pt idx="4">
                  <c:v>1.1229759396774763E-2</c:v>
                </c:pt>
                <c:pt idx="5">
                  <c:v>7.980757338609399E-3</c:v>
                </c:pt>
              </c:numCache>
            </c:numRef>
          </c:val>
          <c:smooth val="0"/>
          <c:extLst>
            <c:ext xmlns:c16="http://schemas.microsoft.com/office/drawing/2014/chart" uri="{C3380CC4-5D6E-409C-BE32-E72D297353CC}">
              <c16:uniqueId val="{00000000-1FE5-4F73-9C51-0508E76D8632}"/>
            </c:ext>
          </c:extLst>
        </c:ser>
        <c:dLbls>
          <c:showLegendKey val="0"/>
          <c:showVal val="0"/>
          <c:showCatName val="0"/>
          <c:showSerName val="0"/>
          <c:showPercent val="0"/>
          <c:showBubbleSize val="0"/>
        </c:dLbls>
        <c:marker val="1"/>
        <c:smooth val="0"/>
        <c:axId val="427471616"/>
        <c:axId val="427473536"/>
      </c:lineChart>
      <c:catAx>
        <c:axId val="427471616"/>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473536"/>
        <c:crosses val="autoZero"/>
        <c:auto val="1"/>
        <c:lblAlgn val="ctr"/>
        <c:lblOffset val="100"/>
        <c:noMultiLvlLbl val="0"/>
      </c:catAx>
      <c:valAx>
        <c:axId val="427473536"/>
        <c:scaling>
          <c:orientation val="minMax"/>
        </c:scaling>
        <c:delete val="0"/>
        <c:axPos val="l"/>
        <c:majorGridlines/>
        <c:numFmt formatCode="0.00%" sourceLinked="1"/>
        <c:majorTickMark val="out"/>
        <c:minorTickMark val="none"/>
        <c:tickLblPos val="nextTo"/>
        <c:crossAx val="427471616"/>
        <c:crosses val="autoZero"/>
        <c:crossBetween val="between"/>
      </c:valAx>
    </c:plotArea>
    <c:legend>
      <c:legendPos val="r"/>
      <c:layout>
        <c:manualLayout>
          <c:xMode val="edge"/>
          <c:yMode val="edge"/>
          <c:x val="0.19910561515381037"/>
          <c:y val="0.87614678899082554"/>
          <c:w val="0.56375956361160062"/>
          <c:h val="0.11009174311926617"/>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39300797926546"/>
          <c:y val="6.8807339449542024E-2"/>
          <c:w val="0.85267950077548504"/>
          <c:h val="0.69266055045872388"/>
        </c:manualLayout>
      </c:layout>
      <c:lineChart>
        <c:grouping val="standard"/>
        <c:varyColors val="0"/>
        <c:ser>
          <c:idx val="0"/>
          <c:order val="0"/>
          <c:tx>
            <c:strRef>
              <c:f>财务分析!$B$21</c:f>
              <c:strCache>
                <c:ptCount val="1"/>
                <c:pt idx="0">
                  <c:v>投入资本回报率(ROIC)</c:v>
                </c:pt>
              </c:strCache>
            </c:strRef>
          </c:tx>
          <c:spPr>
            <a:ln w="28575" cap="rnd" cmpd="sng" algn="ctr">
              <a:solidFill>
                <a:srgbClr val="EE7B36"/>
              </a:solidFill>
              <a:prstDash val="solid"/>
              <a:round/>
              <a:headEnd type="none" w="med" len="med"/>
              <a:tailEnd type="none" w="med" len="med"/>
            </a:ln>
          </c:spPr>
          <c:marker>
            <c:symbol val="square"/>
            <c:size val="5"/>
            <c:spPr>
              <a:solidFill>
                <a:schemeClr val="accent1"/>
              </a:solidFill>
              <a:ln w="28575" cap="rnd" cmpd="sng" algn="ctr">
                <a:solidFill>
                  <a:srgbClr val="EE7B36"/>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财务分析!$D$21:$K$21</c:f>
              <c:numCache>
                <c:formatCode>0.00%</c:formatCode>
                <c:ptCount val="6"/>
                <c:pt idx="0">
                  <c:v>0.17791368049134737</c:v>
                </c:pt>
                <c:pt idx="1">
                  <c:v>0.10618401440088081</c:v>
                </c:pt>
                <c:pt idx="2">
                  <c:v>2.7088712790866092E-2</c:v>
                </c:pt>
                <c:pt idx="3">
                  <c:v>-1.3129373382206771E-2</c:v>
                </c:pt>
                <c:pt idx="4">
                  <c:v>2.938703107764391E-2</c:v>
                </c:pt>
                <c:pt idx="5">
                  <c:v>3.337717908941569E-2</c:v>
                </c:pt>
              </c:numCache>
            </c:numRef>
          </c:val>
          <c:smooth val="0"/>
          <c:extLst>
            <c:ext xmlns:c16="http://schemas.microsoft.com/office/drawing/2014/chart" uri="{C3380CC4-5D6E-409C-BE32-E72D297353CC}">
              <c16:uniqueId val="{00000000-A29F-43B8-B108-34613FA1E342}"/>
            </c:ext>
          </c:extLst>
        </c:ser>
        <c:dLbls>
          <c:showLegendKey val="0"/>
          <c:showVal val="0"/>
          <c:showCatName val="0"/>
          <c:showSerName val="0"/>
          <c:showPercent val="0"/>
          <c:showBubbleSize val="0"/>
        </c:dLbls>
        <c:marker val="1"/>
        <c:smooth val="0"/>
        <c:axId val="427559168"/>
        <c:axId val="427573632"/>
      </c:lineChart>
      <c:catAx>
        <c:axId val="427559168"/>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573632"/>
        <c:crosses val="autoZero"/>
        <c:auto val="1"/>
        <c:lblAlgn val="ctr"/>
        <c:lblOffset val="100"/>
        <c:noMultiLvlLbl val="0"/>
      </c:catAx>
      <c:valAx>
        <c:axId val="427573632"/>
        <c:scaling>
          <c:orientation val="minMax"/>
        </c:scaling>
        <c:delete val="0"/>
        <c:axPos val="l"/>
        <c:majorGridlines/>
        <c:numFmt formatCode="0.00%" sourceLinked="1"/>
        <c:majorTickMark val="out"/>
        <c:minorTickMark val="none"/>
        <c:tickLblPos val="nextTo"/>
        <c:crossAx val="427559168"/>
        <c:crosses val="autoZero"/>
        <c:crossBetween val="between"/>
      </c:valAx>
    </c:plotArea>
    <c:legend>
      <c:legendPos val="r"/>
      <c:layout>
        <c:manualLayout>
          <c:xMode val="edge"/>
          <c:yMode val="edge"/>
          <c:x val="0.20312523434570678"/>
          <c:y val="0.87614678899082554"/>
          <c:w val="0.56250070303712052"/>
          <c:h val="0.11009174311926617"/>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77" l="0.70000000000000062" r="0.70000000000000062" t="0.75000000000000977"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77807677534024"/>
          <c:y val="6.8807339449542024E-2"/>
          <c:w val="0.8488907310996876"/>
          <c:h val="0.70183486238532966"/>
        </c:manualLayout>
      </c:layout>
      <c:lineChart>
        <c:grouping val="standard"/>
        <c:varyColors val="0"/>
        <c:ser>
          <c:idx val="0"/>
          <c:order val="0"/>
          <c:tx>
            <c:strRef>
              <c:f>财务分析!$B$25</c:f>
              <c:strCache>
                <c:ptCount val="1"/>
                <c:pt idx="0">
                  <c:v>存货周转率</c:v>
                </c:pt>
              </c:strCache>
            </c:strRef>
          </c:tx>
          <c:spPr>
            <a:ln w="28575" cap="rnd" cmpd="sng" algn="ctr">
              <a:solidFill>
                <a:srgbClr val="EE7B36"/>
              </a:solidFill>
              <a:prstDash val="solid"/>
              <a:round/>
              <a:headEnd type="none" w="med" len="med"/>
              <a:tailEnd type="none" w="med" len="med"/>
            </a:ln>
          </c:spPr>
          <c:marker>
            <c:symbol val="square"/>
            <c:size val="5"/>
            <c:spPr>
              <a:solidFill>
                <a:schemeClr val="accent1"/>
              </a:solidFill>
              <a:ln w="28575" cap="rnd" cmpd="sng" algn="ctr">
                <a:solidFill>
                  <a:srgbClr val="EE7B36"/>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财务分析!$D$25:$K$25</c:f>
              <c:numCache>
                <c:formatCode>0.00_ </c:formatCode>
                <c:ptCount val="6"/>
                <c:pt idx="0">
                  <c:v>12.550664351341824</c:v>
                </c:pt>
                <c:pt idx="1">
                  <c:v>14.940238549257248</c:v>
                </c:pt>
                <c:pt idx="2">
                  <c:v>12.598158910232744</c:v>
                </c:pt>
                <c:pt idx="3">
                  <c:v>11.499464654341198</c:v>
                </c:pt>
                <c:pt idx="4">
                  <c:v>12.326668125480026</c:v>
                </c:pt>
                <c:pt idx="5">
                  <c:v>12.734178436338347</c:v>
                </c:pt>
              </c:numCache>
            </c:numRef>
          </c:val>
          <c:smooth val="0"/>
          <c:extLst>
            <c:ext xmlns:c16="http://schemas.microsoft.com/office/drawing/2014/chart" uri="{C3380CC4-5D6E-409C-BE32-E72D297353CC}">
              <c16:uniqueId val="{00000000-DEF1-4C31-9DF5-A8D04AB8A380}"/>
            </c:ext>
          </c:extLst>
        </c:ser>
        <c:dLbls>
          <c:showLegendKey val="0"/>
          <c:showVal val="0"/>
          <c:showCatName val="0"/>
          <c:showSerName val="0"/>
          <c:showPercent val="0"/>
          <c:showBubbleSize val="0"/>
        </c:dLbls>
        <c:marker val="1"/>
        <c:smooth val="0"/>
        <c:axId val="427601920"/>
        <c:axId val="427603840"/>
      </c:lineChart>
      <c:catAx>
        <c:axId val="427601920"/>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603840"/>
        <c:crosses val="autoZero"/>
        <c:auto val="1"/>
        <c:lblAlgn val="ctr"/>
        <c:lblOffset val="100"/>
        <c:noMultiLvlLbl val="0"/>
      </c:catAx>
      <c:valAx>
        <c:axId val="427603840"/>
        <c:scaling>
          <c:orientation val="minMax"/>
        </c:scaling>
        <c:delete val="0"/>
        <c:axPos val="l"/>
        <c:majorGridlines/>
        <c:numFmt formatCode="0.00_ " sourceLinked="1"/>
        <c:majorTickMark val="out"/>
        <c:minorTickMark val="none"/>
        <c:tickLblPos val="nextTo"/>
        <c:crossAx val="427601920"/>
        <c:crosses val="autoZero"/>
        <c:crossBetween val="between"/>
      </c:valAx>
    </c:plotArea>
    <c:legend>
      <c:legendPos val="r"/>
      <c:layout>
        <c:manualLayout>
          <c:xMode val="edge"/>
          <c:yMode val="edge"/>
          <c:x val="0.20222222222222241"/>
          <c:y val="0.87614678899082554"/>
          <c:w val="0.56000000000000005"/>
          <c:h val="0.11009174311926617"/>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14285714285714"/>
          <c:y val="6.8807339449542024E-2"/>
          <c:w val="0.88392857142858361"/>
          <c:h val="0.69724770642201861"/>
        </c:manualLayout>
      </c:layout>
      <c:lineChart>
        <c:grouping val="standard"/>
        <c:varyColors val="0"/>
        <c:ser>
          <c:idx val="0"/>
          <c:order val="0"/>
          <c:tx>
            <c:strRef>
              <c:f>财务分析!$B$26</c:f>
              <c:strCache>
                <c:ptCount val="1"/>
                <c:pt idx="0">
                  <c:v>应收账款周转率</c:v>
                </c:pt>
              </c:strCache>
            </c:strRef>
          </c:tx>
          <c:spPr>
            <a:ln w="28575" cap="rnd" cmpd="sng" algn="ctr">
              <a:solidFill>
                <a:srgbClr val="EE7B36"/>
              </a:solidFill>
              <a:prstDash val="solid"/>
              <a:round/>
              <a:headEnd type="none" w="med" len="med"/>
              <a:tailEnd type="none" w="med" len="med"/>
            </a:ln>
          </c:spPr>
          <c:marker>
            <c:symbol val="square"/>
            <c:size val="5"/>
            <c:spPr>
              <a:solidFill>
                <a:schemeClr val="accent1"/>
              </a:solidFill>
              <a:ln w="28575" cap="rnd" cmpd="sng" algn="ctr">
                <a:solidFill>
                  <a:srgbClr val="EE7B36"/>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财务分析!$D$26:$K$26</c:f>
              <c:numCache>
                <c:formatCode>0.00_ </c:formatCode>
                <c:ptCount val="6"/>
                <c:pt idx="0">
                  <c:v>2.9409804274459743</c:v>
                </c:pt>
                <c:pt idx="1">
                  <c:v>2.6753791715776272</c:v>
                </c:pt>
                <c:pt idx="2">
                  <c:v>1.8940564228063765</c:v>
                </c:pt>
                <c:pt idx="3">
                  <c:v>2.5034720072766592</c:v>
                </c:pt>
                <c:pt idx="4">
                  <c:v>2.3576358672202207</c:v>
                </c:pt>
                <c:pt idx="5">
                  <c:v>2.2517214324344188</c:v>
                </c:pt>
              </c:numCache>
            </c:numRef>
          </c:val>
          <c:smooth val="0"/>
          <c:extLst>
            <c:ext xmlns:c16="http://schemas.microsoft.com/office/drawing/2014/chart" uri="{C3380CC4-5D6E-409C-BE32-E72D297353CC}">
              <c16:uniqueId val="{00000000-56B1-4484-811A-8BD8D863E09D}"/>
            </c:ext>
          </c:extLst>
        </c:ser>
        <c:dLbls>
          <c:showLegendKey val="0"/>
          <c:showVal val="0"/>
          <c:showCatName val="0"/>
          <c:showSerName val="0"/>
          <c:showPercent val="0"/>
          <c:showBubbleSize val="0"/>
        </c:dLbls>
        <c:marker val="1"/>
        <c:smooth val="0"/>
        <c:axId val="427615744"/>
        <c:axId val="427617664"/>
      </c:lineChart>
      <c:catAx>
        <c:axId val="427615744"/>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617664"/>
        <c:crosses val="autoZero"/>
        <c:auto val="1"/>
        <c:lblAlgn val="ctr"/>
        <c:lblOffset val="100"/>
        <c:noMultiLvlLbl val="0"/>
      </c:catAx>
      <c:valAx>
        <c:axId val="427617664"/>
        <c:scaling>
          <c:orientation val="minMax"/>
        </c:scaling>
        <c:delete val="0"/>
        <c:axPos val="l"/>
        <c:majorGridlines/>
        <c:numFmt formatCode="0.00_ " sourceLinked="1"/>
        <c:majorTickMark val="out"/>
        <c:minorTickMark val="none"/>
        <c:tickLblPos val="nextTo"/>
        <c:crossAx val="427615744"/>
        <c:crosses val="autoZero"/>
        <c:crossBetween val="between"/>
      </c:valAx>
    </c:plotArea>
    <c:legend>
      <c:legendPos val="r"/>
      <c:layout>
        <c:manualLayout>
          <c:xMode val="edge"/>
          <c:yMode val="edge"/>
          <c:x val="0.20089285714285721"/>
          <c:y val="0.87614678899082554"/>
          <c:w val="0.5625"/>
          <c:h val="0.11009174311926606"/>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77" l="0.70000000000000062" r="0.70000000000000062" t="0.75000000000000977"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7130044843094"/>
          <c:y val="6.8807339449542024E-2"/>
          <c:w val="0.85201793721973162"/>
          <c:h val="0.70183486238532966"/>
        </c:manualLayout>
      </c:layout>
      <c:lineChart>
        <c:grouping val="standard"/>
        <c:varyColors val="0"/>
        <c:ser>
          <c:idx val="0"/>
          <c:order val="0"/>
          <c:tx>
            <c:strRef>
              <c:f>财务分析!$B$27</c:f>
              <c:strCache>
                <c:ptCount val="1"/>
                <c:pt idx="0">
                  <c:v>固定资产周转率</c:v>
                </c:pt>
              </c:strCache>
            </c:strRef>
          </c:tx>
          <c:spPr>
            <a:ln w="28575" cap="rnd" cmpd="sng" algn="ctr">
              <a:solidFill>
                <a:srgbClr val="EE7B36"/>
              </a:solidFill>
              <a:prstDash val="solid"/>
              <a:round/>
              <a:headEnd type="none" w="med" len="med"/>
              <a:tailEnd type="none" w="med" len="med"/>
            </a:ln>
          </c:spPr>
          <c:marker>
            <c:symbol val="square"/>
            <c:size val="5"/>
            <c:spPr>
              <a:solidFill>
                <a:schemeClr val="accent1"/>
              </a:solidFill>
              <a:ln w="28575" cap="rnd" cmpd="sng" algn="ctr">
                <a:solidFill>
                  <a:srgbClr val="EE7B36"/>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财务分析!$D$27:$K$27</c:f>
              <c:numCache>
                <c:formatCode>0.00_ </c:formatCode>
                <c:ptCount val="6"/>
                <c:pt idx="0">
                  <c:v>6.1329587994191428</c:v>
                </c:pt>
                <c:pt idx="1">
                  <c:v>5.1947594195592455</c:v>
                </c:pt>
                <c:pt idx="2">
                  <c:v>4.2151899716779235</c:v>
                </c:pt>
                <c:pt idx="3">
                  <c:v>4.2409551041481084</c:v>
                </c:pt>
                <c:pt idx="4">
                  <c:v>4.6734611918032432</c:v>
                </c:pt>
                <c:pt idx="5">
                  <c:v>4.9889637335987951</c:v>
                </c:pt>
              </c:numCache>
            </c:numRef>
          </c:val>
          <c:smooth val="0"/>
          <c:extLst>
            <c:ext xmlns:c16="http://schemas.microsoft.com/office/drawing/2014/chart" uri="{C3380CC4-5D6E-409C-BE32-E72D297353CC}">
              <c16:uniqueId val="{00000000-A2E1-4E68-A1ED-5F715BC9DC90}"/>
            </c:ext>
          </c:extLst>
        </c:ser>
        <c:dLbls>
          <c:showLegendKey val="0"/>
          <c:showVal val="0"/>
          <c:showCatName val="0"/>
          <c:showSerName val="0"/>
          <c:showPercent val="0"/>
          <c:showBubbleSize val="0"/>
        </c:dLbls>
        <c:marker val="1"/>
        <c:smooth val="0"/>
        <c:axId val="427641856"/>
        <c:axId val="427660416"/>
      </c:lineChart>
      <c:catAx>
        <c:axId val="427641856"/>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660416"/>
        <c:crosses val="autoZero"/>
        <c:auto val="1"/>
        <c:lblAlgn val="ctr"/>
        <c:lblOffset val="100"/>
        <c:noMultiLvlLbl val="0"/>
      </c:catAx>
      <c:valAx>
        <c:axId val="427660416"/>
        <c:scaling>
          <c:orientation val="minMax"/>
        </c:scaling>
        <c:delete val="0"/>
        <c:axPos val="l"/>
        <c:majorGridlines/>
        <c:numFmt formatCode="0.00_ " sourceLinked="1"/>
        <c:majorTickMark val="out"/>
        <c:minorTickMark val="none"/>
        <c:tickLblPos val="nextTo"/>
        <c:crossAx val="427641856"/>
        <c:crosses val="autoZero"/>
        <c:crossBetween val="between"/>
      </c:valAx>
    </c:plotArea>
    <c:legend>
      <c:legendPos val="r"/>
      <c:layout>
        <c:manualLayout>
          <c:xMode val="edge"/>
          <c:yMode val="edge"/>
          <c:x val="0.19955156950672645"/>
          <c:y val="0.87614678899082554"/>
          <c:w val="0.56502242152466353"/>
          <c:h val="0.11009174311926606"/>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77807677534024"/>
          <c:y val="6.8807339449542024E-2"/>
          <c:w val="0.85333518518920359"/>
          <c:h val="0.69724770642201861"/>
        </c:manualLayout>
      </c:layout>
      <c:lineChart>
        <c:grouping val="standard"/>
        <c:varyColors val="0"/>
        <c:ser>
          <c:idx val="0"/>
          <c:order val="0"/>
          <c:tx>
            <c:strRef>
              <c:f>财务分析!$B$28</c:f>
              <c:strCache>
                <c:ptCount val="1"/>
                <c:pt idx="0">
                  <c:v>总资产周转率</c:v>
                </c:pt>
              </c:strCache>
            </c:strRef>
          </c:tx>
          <c:spPr>
            <a:ln w="28575" cap="rnd" cmpd="sng" algn="ctr">
              <a:solidFill>
                <a:srgbClr val="EE7B36"/>
              </a:solidFill>
              <a:prstDash val="solid"/>
              <a:round/>
              <a:headEnd type="none" w="med" len="med"/>
              <a:tailEnd type="none" w="med" len="med"/>
            </a:ln>
          </c:spPr>
          <c:marker>
            <c:symbol val="square"/>
            <c:size val="5"/>
            <c:spPr>
              <a:solidFill>
                <a:schemeClr val="accent1"/>
              </a:solidFill>
              <a:ln w="28575" cap="rnd" cmpd="sng" algn="ctr">
                <a:solidFill>
                  <a:srgbClr val="EE7B36"/>
                </a:solidFill>
                <a:prstDash val="solid"/>
                <a:round/>
                <a:headEnd type="none" w="med" len="med"/>
                <a:tailEnd type="none" w="med" len="med"/>
              </a:ln>
            </c:spPr>
          </c:marker>
          <c:cat>
            <c:strRef>
              <c:f>财务分析!$D$1:$K$1</c:f>
              <c:strCache>
                <c:ptCount val="6"/>
                <c:pt idx="0">
                  <c:v>2020</c:v>
                </c:pt>
                <c:pt idx="1">
                  <c:v>2021</c:v>
                </c:pt>
                <c:pt idx="2">
                  <c:v>2022</c:v>
                </c:pt>
                <c:pt idx="3">
                  <c:v>2023E</c:v>
                </c:pt>
                <c:pt idx="4">
                  <c:v>2024E</c:v>
                </c:pt>
                <c:pt idx="5">
                  <c:v>2025E</c:v>
                </c:pt>
              </c:strCache>
            </c:strRef>
          </c:cat>
          <c:val>
            <c:numRef>
              <c:f>财务分析!$D$28:$K$28</c:f>
              <c:numCache>
                <c:formatCode>0.00_ </c:formatCode>
                <c:ptCount val="6"/>
                <c:pt idx="0">
                  <c:v>0.88227319618308031</c:v>
                </c:pt>
                <c:pt idx="1">
                  <c:v>0.81992962046263029</c:v>
                </c:pt>
                <c:pt idx="2">
                  <c:v>0.65394832622030685</c:v>
                </c:pt>
                <c:pt idx="3">
                  <c:v>0.72510527405960168</c:v>
                </c:pt>
                <c:pt idx="4">
                  <c:v>0.76362176770797285</c:v>
                </c:pt>
                <c:pt idx="5">
                  <c:v>0.77069444790991837</c:v>
                </c:pt>
              </c:numCache>
            </c:numRef>
          </c:val>
          <c:smooth val="0"/>
          <c:extLst>
            <c:ext xmlns:c16="http://schemas.microsoft.com/office/drawing/2014/chart" uri="{C3380CC4-5D6E-409C-BE32-E72D297353CC}">
              <c16:uniqueId val="{00000000-F750-4868-ADAC-819F4FB88153}"/>
            </c:ext>
          </c:extLst>
        </c:ser>
        <c:dLbls>
          <c:showLegendKey val="0"/>
          <c:showVal val="0"/>
          <c:showCatName val="0"/>
          <c:showSerName val="0"/>
          <c:showPercent val="0"/>
          <c:showBubbleSize val="0"/>
        </c:dLbls>
        <c:marker val="1"/>
        <c:smooth val="0"/>
        <c:axId val="427680896"/>
        <c:axId val="427682816"/>
      </c:lineChart>
      <c:catAx>
        <c:axId val="427680896"/>
        <c:scaling>
          <c:orientation val="minMax"/>
        </c:scaling>
        <c:delete val="0"/>
        <c:axPos val="b"/>
        <c:numFmt formatCode="General" sourceLinked="1"/>
        <c:majorTickMark val="none"/>
        <c:minorTickMark val="out"/>
        <c:tickLblPos val="low"/>
        <c:spPr>
          <a:ln w="6350"/>
        </c:spPr>
        <c:txPr>
          <a:bodyPr rot="0" vert="horz"/>
          <a:lstStyle/>
          <a:p>
            <a:pPr>
              <a:defRPr sz="1000" b="0" i="0" u="none" strike="noStrike" baseline="0">
                <a:solidFill>
                  <a:srgbClr val="000000"/>
                </a:solidFill>
                <a:latin typeface="宋体"/>
                <a:ea typeface="宋体"/>
                <a:cs typeface="宋体"/>
              </a:defRPr>
            </a:pPr>
            <a:endParaRPr lang="zh-CN"/>
          </a:p>
        </c:txPr>
        <c:crossAx val="427682816"/>
        <c:crosses val="autoZero"/>
        <c:auto val="1"/>
        <c:lblAlgn val="ctr"/>
        <c:lblOffset val="100"/>
        <c:noMultiLvlLbl val="0"/>
      </c:catAx>
      <c:valAx>
        <c:axId val="427682816"/>
        <c:scaling>
          <c:orientation val="minMax"/>
        </c:scaling>
        <c:delete val="0"/>
        <c:axPos val="l"/>
        <c:majorGridlines/>
        <c:numFmt formatCode="0.00_ " sourceLinked="1"/>
        <c:majorTickMark val="out"/>
        <c:minorTickMark val="none"/>
        <c:tickLblPos val="nextTo"/>
        <c:crossAx val="427680896"/>
        <c:crosses val="autoZero"/>
        <c:crossBetween val="between"/>
      </c:valAx>
    </c:plotArea>
    <c:legend>
      <c:legendPos val="r"/>
      <c:layout>
        <c:manualLayout>
          <c:xMode val="edge"/>
          <c:yMode val="edge"/>
          <c:x val="0.20222222222222241"/>
          <c:y val="0.87614678899082554"/>
          <c:w val="0.56000000000000005"/>
          <c:h val="0.11009174311926606"/>
        </c:manualLayout>
      </c:layout>
      <c:overlay val="0"/>
      <c:spPr>
        <a:effectLst>
          <a:outerShdw dist="38100" sx="1000" sy="1000" algn="ctr" rotWithShape="0">
            <a:srgbClr val="000000"/>
          </a:outerShdw>
        </a:effectLst>
      </c:spPr>
    </c:legend>
    <c:plotVisOnly val="1"/>
    <c:dispBlanksAs val="gap"/>
    <c:showDLblsOverMax val="0"/>
  </c:chart>
  <c:printSettings>
    <c:headerFooter/>
    <c:pageMargins b="0.75000000000001021" l="0.70000000000000062" r="0.70000000000000062" t="0.75000000000001021"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depthPercent val="100"/>
      <c:rAngAx val="1"/>
    </c:view3D>
    <c:floor>
      <c:thickness val="0"/>
    </c:floor>
    <c:sideWall>
      <c:thickness val="0"/>
    </c:sideWall>
    <c:backWall>
      <c:thickness val="0"/>
    </c:backWall>
    <c:plotArea>
      <c:layout/>
      <c:bar3DChart>
        <c:barDir val="bar"/>
        <c:grouping val="stacked"/>
        <c:varyColors val="0"/>
        <c:ser>
          <c:idx val="0"/>
          <c:order val="0"/>
          <c:spPr>
            <a:solidFill>
              <a:srgbClr val="EE7B36"/>
            </a:solidFill>
            <a:ln w="9525" cap="flat" cmpd="sng" algn="ctr">
              <a:solidFill>
                <a:srgbClr val="EE7B36"/>
              </a:solidFill>
              <a:prstDash val="solid"/>
              <a:round/>
              <a:headEnd type="none" w="med" len="med"/>
              <a:tailEnd type="none" w="med" len="med"/>
            </a:ln>
          </c:spPr>
          <c:invertIfNegative val="0"/>
          <c:cat>
            <c:strRef>
              <c:f>图形!$A$110:$A$114</c:f>
              <c:strCache>
                <c:ptCount val="5"/>
                <c:pt idx="0">
                  <c:v>FCFF</c:v>
                </c:pt>
                <c:pt idx="1">
                  <c:v>FCFE</c:v>
                </c:pt>
                <c:pt idx="2">
                  <c:v>DDM</c:v>
                </c:pt>
                <c:pt idx="3">
                  <c:v>EVA</c:v>
                </c:pt>
                <c:pt idx="4">
                  <c:v>AE</c:v>
                </c:pt>
              </c:strCache>
            </c:strRef>
          </c:cat>
          <c:val>
            <c:numRef>
              <c:f>图形!$B$110:$B$114</c:f>
              <c:numCache>
                <c:formatCode>0.00</c:formatCode>
                <c:ptCount val="5"/>
              </c:numCache>
            </c:numRef>
          </c:val>
          <c:extLst>
            <c:ext xmlns:c16="http://schemas.microsoft.com/office/drawing/2014/chart" uri="{C3380CC4-5D6E-409C-BE32-E72D297353CC}">
              <c16:uniqueId val="{00000000-5B51-44A6-A058-91E3D45A8383}"/>
            </c:ext>
          </c:extLst>
        </c:ser>
        <c:ser>
          <c:idx val="1"/>
          <c:order val="1"/>
          <c:spPr>
            <a:solidFill>
              <a:srgbClr val="B4B4B4"/>
            </a:solidFill>
            <a:ln w="9525" cap="flat" cmpd="sng" algn="ctr">
              <a:solidFill>
                <a:srgbClr val="B4B4B4"/>
              </a:solidFill>
              <a:prstDash val="solid"/>
              <a:round/>
              <a:headEnd type="none" w="med" len="med"/>
              <a:tailEnd type="none" w="med" len="med"/>
            </a:ln>
          </c:spPr>
          <c:invertIfNegative val="0"/>
          <c:cat>
            <c:strRef>
              <c:f>图形!$A$110:$A$114</c:f>
              <c:strCache>
                <c:ptCount val="5"/>
                <c:pt idx="0">
                  <c:v>FCFF</c:v>
                </c:pt>
                <c:pt idx="1">
                  <c:v>FCFE</c:v>
                </c:pt>
                <c:pt idx="2">
                  <c:v>DDM</c:v>
                </c:pt>
                <c:pt idx="3">
                  <c:v>EVA</c:v>
                </c:pt>
                <c:pt idx="4">
                  <c:v>AE</c:v>
                </c:pt>
              </c:strCache>
            </c:strRef>
          </c:cat>
          <c:val>
            <c:numRef>
              <c:f>图形!$E$110:$E$114</c:f>
              <c:numCache>
                <c:formatCode>0.00</c:formatCode>
                <c:ptCount val="5"/>
                <c:pt idx="0">
                  <c:v>16.971305076330456</c:v>
                </c:pt>
                <c:pt idx="1">
                  <c:v>3.9963453431629636</c:v>
                </c:pt>
                <c:pt idx="2">
                  <c:v>0.69425833968512995</c:v>
                </c:pt>
                <c:pt idx="3">
                  <c:v>-5.6685328801998267</c:v>
                </c:pt>
                <c:pt idx="4">
                  <c:v>-1.9102187836956055</c:v>
                </c:pt>
              </c:numCache>
            </c:numRef>
          </c:val>
          <c:extLst>
            <c:ext xmlns:c16="http://schemas.microsoft.com/office/drawing/2014/chart" uri="{C3380CC4-5D6E-409C-BE32-E72D297353CC}">
              <c16:uniqueId val="{00000001-5B51-44A6-A058-91E3D45A8383}"/>
            </c:ext>
          </c:extLst>
        </c:ser>
        <c:ser>
          <c:idx val="2"/>
          <c:order val="2"/>
          <c:spPr>
            <a:solidFill>
              <a:srgbClr val="F8C097"/>
            </a:solidFill>
            <a:ln w="9525" cap="flat" cmpd="sng" algn="ctr">
              <a:solidFill>
                <a:srgbClr val="F8C097"/>
              </a:solidFill>
              <a:prstDash val="solid"/>
              <a:round/>
              <a:headEnd type="none" w="med" len="med"/>
              <a:tailEnd type="none" w="med" len="med"/>
            </a:ln>
          </c:spPr>
          <c:invertIfNegative val="0"/>
          <c:cat>
            <c:strRef>
              <c:f>图形!$A$110:$A$114</c:f>
              <c:strCache>
                <c:ptCount val="5"/>
                <c:pt idx="0">
                  <c:v>FCFF</c:v>
                </c:pt>
                <c:pt idx="1">
                  <c:v>FCFE</c:v>
                </c:pt>
                <c:pt idx="2">
                  <c:v>DDM</c:v>
                </c:pt>
                <c:pt idx="3">
                  <c:v>EVA</c:v>
                </c:pt>
                <c:pt idx="4">
                  <c:v>AE</c:v>
                </c:pt>
              </c:strCache>
            </c:strRef>
          </c:cat>
          <c:val>
            <c:numRef>
              <c:f>图形!$N$110:$N$114</c:f>
              <c:numCache>
                <c:formatCode>0.00</c:formatCode>
                <c:ptCount val="5"/>
                <c:pt idx="0">
                  <c:v>6.3177385274112083</c:v>
                </c:pt>
                <c:pt idx="1">
                  <c:v>1.1918179935686402</c:v>
                </c:pt>
                <c:pt idx="2">
                  <c:v>0.16691575511770274</c:v>
                </c:pt>
                <c:pt idx="3">
                  <c:v>-2.7555817041697335</c:v>
                </c:pt>
                <c:pt idx="4">
                  <c:v>-1.61417239872816</c:v>
                </c:pt>
              </c:numCache>
            </c:numRef>
          </c:val>
          <c:extLst>
            <c:ext xmlns:c16="http://schemas.microsoft.com/office/drawing/2014/chart" uri="{C3380CC4-5D6E-409C-BE32-E72D297353CC}">
              <c16:uniqueId val="{00000002-5B51-44A6-A058-91E3D45A8383}"/>
            </c:ext>
          </c:extLst>
        </c:ser>
        <c:dLbls>
          <c:showLegendKey val="0"/>
          <c:showVal val="0"/>
          <c:showCatName val="0"/>
          <c:showSerName val="0"/>
          <c:showPercent val="0"/>
          <c:showBubbleSize val="0"/>
        </c:dLbls>
        <c:gapWidth val="150"/>
        <c:shape val="box"/>
        <c:axId val="427788160"/>
        <c:axId val="427789696"/>
        <c:axId val="0"/>
      </c:bar3DChart>
      <c:catAx>
        <c:axId val="427788160"/>
        <c:scaling>
          <c:orientation val="maxMin"/>
        </c:scaling>
        <c:delete val="0"/>
        <c:axPos val="l"/>
        <c:numFmt formatCode="General" sourceLinked="1"/>
        <c:majorTickMark val="out"/>
        <c:minorTickMark val="none"/>
        <c:tickLblPos val="nextTo"/>
        <c:spPr>
          <a:noFill/>
          <a:ln>
            <a:noFill/>
          </a:ln>
        </c:spPr>
        <c:crossAx val="427789696"/>
        <c:crosses val="autoZero"/>
        <c:auto val="1"/>
        <c:lblAlgn val="ctr"/>
        <c:lblOffset val="100"/>
        <c:noMultiLvlLbl val="0"/>
      </c:catAx>
      <c:valAx>
        <c:axId val="427789696"/>
        <c:scaling>
          <c:orientation val="minMax"/>
        </c:scaling>
        <c:delete val="0"/>
        <c:axPos val="b"/>
        <c:majorGridlines/>
        <c:numFmt formatCode="0.00" sourceLinked="1"/>
        <c:majorTickMark val="out"/>
        <c:minorTickMark val="none"/>
        <c:tickLblPos val="nextTo"/>
        <c:crossAx val="427788160"/>
        <c:crosses val="max"/>
        <c:crossBetween val="between"/>
      </c:valAx>
      <c:spPr>
        <a:noFill/>
        <a:ln w="25400">
          <a:noFill/>
        </a:ln>
      </c:spPr>
    </c:plotArea>
    <c:plotVisOnly val="1"/>
    <c:dispBlanksAs val="gap"/>
    <c:showDLblsOverMax val="0"/>
  </c:chart>
  <c:spPr>
    <a:ln w="25400">
      <a:noFill/>
    </a:ln>
  </c:spPr>
  <c:printSettings>
    <c:headerFooter/>
    <c:pageMargins b="0.75000000000000844" l="0.70000000000000062" r="0.70000000000000062" t="0.75000000000000844"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depthPercent val="100"/>
      <c:rAngAx val="1"/>
    </c:view3D>
    <c:floor>
      <c:thickness val="0"/>
    </c:floor>
    <c:sideWall>
      <c:thickness val="0"/>
    </c:sideWall>
    <c:backWall>
      <c:thickness val="0"/>
    </c:backWall>
    <c:plotArea>
      <c:layout/>
      <c:bar3DChart>
        <c:barDir val="bar"/>
        <c:grouping val="stacked"/>
        <c:varyColors val="0"/>
        <c:ser>
          <c:idx val="0"/>
          <c:order val="0"/>
          <c:spPr>
            <a:solidFill>
              <a:srgbClr val="EE7B36"/>
            </a:solidFill>
            <a:ln w="9525" cap="flat" cmpd="sng" algn="ctr">
              <a:solidFill>
                <a:srgbClr val="EE7B36"/>
              </a:solidFill>
              <a:prstDash val="solid"/>
              <a:round/>
              <a:headEnd type="none" w="med" len="med"/>
              <a:tailEnd type="none" w="med" len="med"/>
            </a:ln>
          </c:spPr>
          <c:invertIfNegative val="0"/>
          <c:cat>
            <c:strRef>
              <c:f>图形!$A$136:$A$139</c:f>
              <c:strCache>
                <c:ptCount val="4"/>
                <c:pt idx="0">
                  <c:v>PE</c:v>
                </c:pt>
                <c:pt idx="1">
                  <c:v>PS</c:v>
                </c:pt>
                <c:pt idx="2">
                  <c:v>PB</c:v>
                </c:pt>
                <c:pt idx="3">
                  <c:v>EV/EBITDA</c:v>
                </c:pt>
              </c:strCache>
            </c:strRef>
          </c:cat>
          <c:val>
            <c:numRef>
              <c:f>图形!$B$136:$B$139</c:f>
              <c:numCache>
                <c:formatCode>0.00</c:formatCode>
                <c:ptCount val="4"/>
              </c:numCache>
            </c:numRef>
          </c:val>
          <c:extLst>
            <c:ext xmlns:c16="http://schemas.microsoft.com/office/drawing/2014/chart" uri="{C3380CC4-5D6E-409C-BE32-E72D297353CC}">
              <c16:uniqueId val="{00000000-F88B-4EE5-ABE9-C1482FDCCBAF}"/>
            </c:ext>
          </c:extLst>
        </c:ser>
        <c:ser>
          <c:idx val="1"/>
          <c:order val="1"/>
          <c:spPr>
            <a:solidFill>
              <a:srgbClr val="B4B4B4"/>
            </a:solidFill>
            <a:ln w="9525" cap="flat" cmpd="sng" algn="ctr">
              <a:solidFill>
                <a:srgbClr val="B4B4B4"/>
              </a:solidFill>
              <a:prstDash val="solid"/>
              <a:round/>
              <a:headEnd type="none" w="med" len="med"/>
              <a:tailEnd type="none" w="med" len="med"/>
            </a:ln>
          </c:spPr>
          <c:invertIfNegative val="0"/>
          <c:cat>
            <c:strRef>
              <c:f>图形!$A$136:$A$139</c:f>
              <c:strCache>
                <c:ptCount val="4"/>
                <c:pt idx="0">
                  <c:v>PE</c:v>
                </c:pt>
                <c:pt idx="1">
                  <c:v>PS</c:v>
                </c:pt>
                <c:pt idx="2">
                  <c:v>PB</c:v>
                </c:pt>
                <c:pt idx="3">
                  <c:v>EV/EBITDA</c:v>
                </c:pt>
              </c:strCache>
            </c:strRef>
          </c:cat>
          <c:val>
            <c:numRef>
              <c:f>图形!$E$136:$E$139</c:f>
              <c:numCache>
                <c:formatCode>0.00</c:formatCode>
                <c:ptCount val="4"/>
                <c:pt idx="0">
                  <c:v>-3.9324389130389257</c:v>
                </c:pt>
                <c:pt idx="1">
                  <c:v>14.733157296540561</c:v>
                </c:pt>
                <c:pt idx="2">
                  <c:v>10.426119619021666</c:v>
                </c:pt>
                <c:pt idx="3">
                  <c:v>-1.4386686727734883</c:v>
                </c:pt>
              </c:numCache>
            </c:numRef>
          </c:val>
          <c:extLst>
            <c:ext xmlns:c16="http://schemas.microsoft.com/office/drawing/2014/chart" uri="{C3380CC4-5D6E-409C-BE32-E72D297353CC}">
              <c16:uniqueId val="{00000001-F88B-4EE5-ABE9-C1482FDCCBAF}"/>
            </c:ext>
          </c:extLst>
        </c:ser>
        <c:ser>
          <c:idx val="2"/>
          <c:order val="2"/>
          <c:spPr>
            <a:solidFill>
              <a:srgbClr val="F8C097"/>
            </a:solidFill>
            <a:ln w="9525" cap="flat" cmpd="sng" algn="ctr">
              <a:solidFill>
                <a:srgbClr val="F8C097"/>
              </a:solidFill>
              <a:prstDash val="solid"/>
              <a:round/>
              <a:headEnd type="none" w="med" len="med"/>
              <a:tailEnd type="none" w="med" len="med"/>
            </a:ln>
          </c:spPr>
          <c:invertIfNegative val="0"/>
          <c:cat>
            <c:strRef>
              <c:f>图形!$A$136:$A$139</c:f>
              <c:strCache>
                <c:ptCount val="4"/>
                <c:pt idx="0">
                  <c:v>PE</c:v>
                </c:pt>
                <c:pt idx="1">
                  <c:v>PS</c:v>
                </c:pt>
                <c:pt idx="2">
                  <c:v>PB</c:v>
                </c:pt>
                <c:pt idx="3">
                  <c:v>EV/EBITDA</c:v>
                </c:pt>
              </c:strCache>
            </c:strRef>
          </c:cat>
          <c:val>
            <c:numRef>
              <c:f>图形!$N$136:$N$139</c:f>
              <c:numCache>
                <c:formatCode>0.00</c:formatCode>
                <c:ptCount val="4"/>
                <c:pt idx="0">
                  <c:v>-1.8250448995413677</c:v>
                </c:pt>
                <c:pt idx="1">
                  <c:v>6.8376583013244812</c:v>
                </c:pt>
                <c:pt idx="2">
                  <c:v>4.8387621151879596</c:v>
                </c:pt>
                <c:pt idx="3">
                  <c:v>9.9523704508215349E-3</c:v>
                </c:pt>
              </c:numCache>
            </c:numRef>
          </c:val>
          <c:extLst>
            <c:ext xmlns:c16="http://schemas.microsoft.com/office/drawing/2014/chart" uri="{C3380CC4-5D6E-409C-BE32-E72D297353CC}">
              <c16:uniqueId val="{00000002-F88B-4EE5-ABE9-C1482FDCCBAF}"/>
            </c:ext>
          </c:extLst>
        </c:ser>
        <c:dLbls>
          <c:showLegendKey val="0"/>
          <c:showVal val="0"/>
          <c:showCatName val="0"/>
          <c:showSerName val="0"/>
          <c:showPercent val="0"/>
          <c:showBubbleSize val="0"/>
        </c:dLbls>
        <c:gapWidth val="150"/>
        <c:shape val="box"/>
        <c:axId val="427833216"/>
        <c:axId val="427834752"/>
        <c:axId val="0"/>
      </c:bar3DChart>
      <c:catAx>
        <c:axId val="427833216"/>
        <c:scaling>
          <c:orientation val="maxMin"/>
        </c:scaling>
        <c:delete val="0"/>
        <c:axPos val="l"/>
        <c:numFmt formatCode="General" sourceLinked="1"/>
        <c:majorTickMark val="out"/>
        <c:minorTickMark val="none"/>
        <c:tickLblPos val="nextTo"/>
        <c:spPr>
          <a:noFill/>
          <a:ln>
            <a:noFill/>
          </a:ln>
        </c:spPr>
        <c:crossAx val="427834752"/>
        <c:crosses val="autoZero"/>
        <c:auto val="1"/>
        <c:lblAlgn val="ctr"/>
        <c:lblOffset val="100"/>
        <c:noMultiLvlLbl val="0"/>
      </c:catAx>
      <c:valAx>
        <c:axId val="427834752"/>
        <c:scaling>
          <c:orientation val="minMax"/>
        </c:scaling>
        <c:delete val="0"/>
        <c:axPos val="b"/>
        <c:majorGridlines/>
        <c:numFmt formatCode="0.00" sourceLinked="1"/>
        <c:majorTickMark val="out"/>
        <c:minorTickMark val="none"/>
        <c:tickLblPos val="nextTo"/>
        <c:crossAx val="427833216"/>
        <c:crosses val="max"/>
        <c:crossBetween val="between"/>
      </c:valAx>
      <c:spPr>
        <a:noFill/>
        <a:ln w="25400">
          <a:noFill/>
        </a:ln>
      </c:spPr>
    </c:plotArea>
    <c:plotVisOnly val="1"/>
    <c:dispBlanksAs val="gap"/>
    <c:showDLblsOverMax val="0"/>
  </c:chart>
  <c:spPr>
    <a:ln w="25400">
      <a:noFill/>
    </a:ln>
  </c:spPr>
  <c:printSettings>
    <c:headerFooter/>
    <c:pageMargins b="0.75000000000000866" l="0.70000000000000062" r="0.70000000000000062" t="0.75000000000000866"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lineChart>
        <c:grouping val="percentStacked"/>
        <c:varyColors val="0"/>
        <c:ser>
          <c:idx val="0"/>
          <c:order val="0"/>
          <c:spPr>
            <a:ln w="28575" cap="rnd" cmpd="sng" algn="ctr">
              <a:solidFill>
                <a:srgbClr val="EE7B36"/>
              </a:solidFill>
              <a:prstDash val="solid"/>
              <a:round/>
              <a:headEnd type="none" w="med" len="med"/>
              <a:tailEnd type="none" w="med" len="med"/>
            </a:ln>
          </c:spPr>
          <c:marker>
            <c:spPr>
              <a:solidFill>
                <a:srgbClr val="4F81BD"/>
              </a:solidFill>
              <a:ln w="28575" cap="rnd" cmpd="sng" algn="ctr">
                <a:solidFill>
                  <a:srgbClr val="EE7B36"/>
                </a:solidFill>
                <a:prstDash val="solid"/>
                <a:round/>
                <a:headEnd type="none" w="med" len="med"/>
                <a:tailEnd type="none" w="med" len="med"/>
              </a:ln>
            </c:spPr>
          </c:marker>
          <c:cat>
            <c:strLit>
              <c:ptCount val="13"/>
              <c:pt idx="0">
                <c:v>Working Cash Balance</c:v>
              </c:pt>
              <c:pt idx="1">
                <c:v>应收票据(元) </c:v>
              </c:pt>
              <c:pt idx="2">
                <c:v>应收账款(元) </c:v>
              </c:pt>
              <c:pt idx="3">
                <c:v>预付款项(元) </c:v>
              </c:pt>
              <c:pt idx="4">
                <c:v>其他应收款(元) </c:v>
              </c:pt>
              <c:pt idx="5">
                <c:v>存货(元) </c:v>
              </c:pt>
              <c:pt idx="6">
                <c:v>应付票据(元) </c:v>
              </c:pt>
              <c:pt idx="7">
                <c:v>应付账款(元) </c:v>
              </c:pt>
              <c:pt idx="8">
                <c:v>预收款项(元) </c:v>
              </c:pt>
              <c:pt idx="9">
                <c:v>应付职工薪酬(元) </c:v>
              </c:pt>
              <c:pt idx="10">
                <c:v>应交税费(元) </c:v>
              </c:pt>
              <c:pt idx="11">
                <c:v>其他应付款(元) </c:v>
              </c:pt>
              <c:pt idx="12">
                <c:v>递延收益-流动负债(元) </c:v>
              </c:pt>
            </c:strLit>
          </c:cat>
          <c:val>
            <c:numLit>
              <c:formatCode>General</c:formatCode>
              <c:ptCount val="13"/>
            </c:numLit>
          </c:val>
          <c:smooth val="0"/>
          <c:extLst>
            <c:ext xmlns:c16="http://schemas.microsoft.com/office/drawing/2014/chart" uri="{C3380CC4-5D6E-409C-BE32-E72D297353CC}">
              <c16:uniqueId val="{00000000-1EB0-403D-A7DF-AAC4295B2374}"/>
            </c:ext>
          </c:extLst>
        </c:ser>
        <c:ser>
          <c:idx val="1"/>
          <c:order val="1"/>
          <c:spPr>
            <a:ln w="28575" cap="rnd" cmpd="sng" algn="ctr">
              <a:solidFill>
                <a:srgbClr val="B4B4B4"/>
              </a:solidFill>
              <a:prstDash val="solid"/>
              <a:round/>
              <a:headEnd type="none" w="med" len="med"/>
              <a:tailEnd type="none" w="med" len="med"/>
            </a:ln>
          </c:spPr>
          <c:marker>
            <c:symbol val="none"/>
          </c:marker>
          <c:cat>
            <c:strRef>
              <c:f>(资产规模指数化分析!$A$25:$A$30,资产规模指数化分析!$A$32:$A$38)</c:f>
              <c:strCache>
                <c:ptCount val="13"/>
                <c:pt idx="0">
                  <c:v>Working Cash Balance</c:v>
                </c:pt>
                <c:pt idx="1">
                  <c:v>应收票据(元) </c:v>
                </c:pt>
                <c:pt idx="2">
                  <c:v>应收账款(元) </c:v>
                </c:pt>
                <c:pt idx="3">
                  <c:v>预付款项(元) </c:v>
                </c:pt>
                <c:pt idx="4">
                  <c:v>其他应收款(元) </c:v>
                </c:pt>
                <c:pt idx="5">
                  <c:v>存货(元) </c:v>
                </c:pt>
                <c:pt idx="6">
                  <c:v>应付票据(元) </c:v>
                </c:pt>
                <c:pt idx="7">
                  <c:v>应付账款(元) </c:v>
                </c:pt>
                <c:pt idx="8">
                  <c:v>预收款项(元) </c:v>
                </c:pt>
                <c:pt idx="9">
                  <c:v>应付职工薪酬(元) </c:v>
                </c:pt>
                <c:pt idx="10">
                  <c:v>应交税费(元) </c:v>
                </c:pt>
                <c:pt idx="11">
                  <c:v>其他应付款(元) </c:v>
                </c:pt>
                <c:pt idx="12">
                  <c:v>递延收益-流动负债(元) </c:v>
                </c:pt>
              </c:strCache>
            </c:strRef>
          </c:cat>
          <c:val>
            <c:numRef>
              <c:f>(资产规模指数化分析!$C$25:$C$30,资产规模指数化分析!$C$32:$C$38)</c:f>
              <c:numCache>
                <c:formatCode>0.00</c:formatCode>
                <c:ptCount val="13"/>
                <c:pt idx="0">
                  <c:v>-3.0443552328269393E-2</c:v>
                </c:pt>
                <c:pt idx="1">
                  <c:v>0</c:v>
                </c:pt>
                <c:pt idx="2">
                  <c:v>0</c:v>
                </c:pt>
                <c:pt idx="3">
                  <c:v>0</c:v>
                </c:pt>
                <c:pt idx="4">
                  <c:v>0</c:v>
                </c:pt>
                <c:pt idx="5">
                  <c:v>0</c:v>
                </c:pt>
                <c:pt idx="6">
                  <c:v>0</c:v>
                </c:pt>
                <c:pt idx="7">
                  <c:v>0</c:v>
                </c:pt>
                <c:pt idx="8">
                  <c:v>0</c:v>
                </c:pt>
                <c:pt idx="9">
                  <c:v>0.82138452330362455</c:v>
                </c:pt>
                <c:pt idx="10">
                  <c:v>0.2090590290246449</c:v>
                </c:pt>
                <c:pt idx="11">
                  <c:v>0</c:v>
                </c:pt>
                <c:pt idx="12">
                  <c:v>0</c:v>
                </c:pt>
              </c:numCache>
            </c:numRef>
          </c:val>
          <c:smooth val="0"/>
          <c:extLst>
            <c:ext xmlns:c16="http://schemas.microsoft.com/office/drawing/2014/chart" uri="{C3380CC4-5D6E-409C-BE32-E72D297353CC}">
              <c16:uniqueId val="{00000001-1EB0-403D-A7DF-AAC4295B2374}"/>
            </c:ext>
          </c:extLst>
        </c:ser>
        <c:ser>
          <c:idx val="2"/>
          <c:order val="2"/>
          <c:spPr>
            <a:ln w="28575" cap="rnd" cmpd="sng" algn="ctr">
              <a:solidFill>
                <a:srgbClr val="F8C097"/>
              </a:solidFill>
              <a:prstDash val="solid"/>
              <a:round/>
              <a:headEnd type="none" w="med" len="med"/>
              <a:tailEnd type="none" w="med" len="med"/>
            </a:ln>
          </c:spPr>
          <c:marker>
            <c:symbol val="none"/>
          </c:marker>
          <c:cat>
            <c:strRef>
              <c:f>(资产规模指数化分析!$A$25:$A$30,资产规模指数化分析!$A$32:$A$38)</c:f>
              <c:strCache>
                <c:ptCount val="13"/>
                <c:pt idx="0">
                  <c:v>Working Cash Balance</c:v>
                </c:pt>
                <c:pt idx="1">
                  <c:v>应收票据(元) </c:v>
                </c:pt>
                <c:pt idx="2">
                  <c:v>应收账款(元) </c:v>
                </c:pt>
                <c:pt idx="3">
                  <c:v>预付款项(元) </c:v>
                </c:pt>
                <c:pt idx="4">
                  <c:v>其他应收款(元) </c:v>
                </c:pt>
                <c:pt idx="5">
                  <c:v>存货(元) </c:v>
                </c:pt>
                <c:pt idx="6">
                  <c:v>应付票据(元) </c:v>
                </c:pt>
                <c:pt idx="7">
                  <c:v>应付账款(元) </c:v>
                </c:pt>
                <c:pt idx="8">
                  <c:v>预收款项(元) </c:v>
                </c:pt>
                <c:pt idx="9">
                  <c:v>应付职工薪酬(元) </c:v>
                </c:pt>
                <c:pt idx="10">
                  <c:v>应交税费(元) </c:v>
                </c:pt>
                <c:pt idx="11">
                  <c:v>其他应付款(元) </c:v>
                </c:pt>
                <c:pt idx="12">
                  <c:v>递延收益-流动负债(元) </c:v>
                </c:pt>
              </c:strCache>
            </c:strRef>
          </c:cat>
          <c:val>
            <c:numRef>
              <c:f>(资产规模指数化分析!$D$25:$D$30,资产规模指数化分析!$D$32:$D$38)</c:f>
              <c:numCache>
                <c:formatCode>0.00</c:formatCode>
                <c:ptCount val="13"/>
                <c:pt idx="0">
                  <c:v>-3.8331396115519993E-2</c:v>
                </c:pt>
                <c:pt idx="1">
                  <c:v>0</c:v>
                </c:pt>
                <c:pt idx="2">
                  <c:v>0</c:v>
                </c:pt>
                <c:pt idx="3">
                  <c:v>0</c:v>
                </c:pt>
                <c:pt idx="4">
                  <c:v>0</c:v>
                </c:pt>
                <c:pt idx="5">
                  <c:v>0</c:v>
                </c:pt>
                <c:pt idx="6">
                  <c:v>0</c:v>
                </c:pt>
                <c:pt idx="7">
                  <c:v>0</c:v>
                </c:pt>
                <c:pt idx="8">
                  <c:v>0</c:v>
                </c:pt>
                <c:pt idx="9">
                  <c:v>0.87992791408952176</c:v>
                </c:pt>
                <c:pt idx="10">
                  <c:v>0.15840348202599833</c:v>
                </c:pt>
                <c:pt idx="11">
                  <c:v>0</c:v>
                </c:pt>
                <c:pt idx="12">
                  <c:v>0</c:v>
                </c:pt>
              </c:numCache>
            </c:numRef>
          </c:val>
          <c:smooth val="0"/>
          <c:extLst>
            <c:ext xmlns:c16="http://schemas.microsoft.com/office/drawing/2014/chart" uri="{C3380CC4-5D6E-409C-BE32-E72D297353CC}">
              <c16:uniqueId val="{00000002-1EB0-403D-A7DF-AAC4295B2374}"/>
            </c:ext>
          </c:extLst>
        </c:ser>
        <c:ser>
          <c:idx val="3"/>
          <c:order val="3"/>
          <c:spPr>
            <a:ln w="28575" cap="rnd" cmpd="sng" algn="ctr">
              <a:solidFill>
                <a:srgbClr val="DCDCDC"/>
              </a:solidFill>
              <a:prstDash val="solid"/>
              <a:round/>
              <a:headEnd type="none" w="med" len="med"/>
              <a:tailEnd type="none" w="med" len="med"/>
            </a:ln>
          </c:spPr>
          <c:marker>
            <c:symbol val="none"/>
          </c:marker>
          <c:cat>
            <c:strRef>
              <c:f>(资产规模指数化分析!$A$25:$A$30,资产规模指数化分析!$A$32:$A$38)</c:f>
              <c:strCache>
                <c:ptCount val="13"/>
                <c:pt idx="0">
                  <c:v>Working Cash Balance</c:v>
                </c:pt>
                <c:pt idx="1">
                  <c:v>应收票据(元) </c:v>
                </c:pt>
                <c:pt idx="2">
                  <c:v>应收账款(元) </c:v>
                </c:pt>
                <c:pt idx="3">
                  <c:v>预付款项(元) </c:v>
                </c:pt>
                <c:pt idx="4">
                  <c:v>其他应收款(元) </c:v>
                </c:pt>
                <c:pt idx="5">
                  <c:v>存货(元) </c:v>
                </c:pt>
                <c:pt idx="6">
                  <c:v>应付票据(元) </c:v>
                </c:pt>
                <c:pt idx="7">
                  <c:v>应付账款(元) </c:v>
                </c:pt>
                <c:pt idx="8">
                  <c:v>预收款项(元) </c:v>
                </c:pt>
                <c:pt idx="9">
                  <c:v>应付职工薪酬(元) </c:v>
                </c:pt>
                <c:pt idx="10">
                  <c:v>应交税费(元) </c:v>
                </c:pt>
                <c:pt idx="11">
                  <c:v>其他应付款(元) </c:v>
                </c:pt>
                <c:pt idx="12">
                  <c:v>递延收益-流动负债(元) </c:v>
                </c:pt>
              </c:strCache>
            </c:strRef>
          </c:cat>
          <c:val>
            <c:numRef>
              <c:f>(资产规模指数化分析!$E$25:$E$30,资产规模指数化分析!$E$32:$E$38)</c:f>
              <c:numCache>
                <c:formatCode>0.00</c:formatCode>
                <c:ptCount val="13"/>
                <c:pt idx="0">
                  <c:v>-3.8237130799977787E-2</c:v>
                </c:pt>
                <c:pt idx="1">
                  <c:v>0</c:v>
                </c:pt>
                <c:pt idx="2">
                  <c:v>0</c:v>
                </c:pt>
                <c:pt idx="3">
                  <c:v>0</c:v>
                </c:pt>
                <c:pt idx="4">
                  <c:v>0</c:v>
                </c:pt>
                <c:pt idx="5">
                  <c:v>0</c:v>
                </c:pt>
                <c:pt idx="6">
                  <c:v>0</c:v>
                </c:pt>
                <c:pt idx="7">
                  <c:v>0</c:v>
                </c:pt>
                <c:pt idx="8">
                  <c:v>0</c:v>
                </c:pt>
                <c:pt idx="9">
                  <c:v>0.82778626091412999</c:v>
                </c:pt>
                <c:pt idx="10">
                  <c:v>0.2104508698858478</c:v>
                </c:pt>
                <c:pt idx="11">
                  <c:v>0</c:v>
                </c:pt>
                <c:pt idx="12">
                  <c:v>0</c:v>
                </c:pt>
              </c:numCache>
            </c:numRef>
          </c:val>
          <c:smooth val="0"/>
          <c:extLst>
            <c:ext xmlns:c16="http://schemas.microsoft.com/office/drawing/2014/chart" uri="{C3380CC4-5D6E-409C-BE32-E72D297353CC}">
              <c16:uniqueId val="{00000003-1EB0-403D-A7DF-AAC4295B2374}"/>
            </c:ext>
          </c:extLst>
        </c:ser>
        <c:ser>
          <c:idx val="4"/>
          <c:order val="4"/>
          <c:spPr>
            <a:ln w="28575" cap="rnd" cmpd="sng" algn="ctr">
              <a:solidFill>
                <a:srgbClr val="F39E64"/>
              </a:solidFill>
              <a:prstDash val="solid"/>
              <a:round/>
              <a:headEnd type="none" w="med" len="med"/>
              <a:tailEnd type="none" w="med" len="med"/>
            </a:ln>
          </c:spPr>
          <c:marker>
            <c:symbol val="none"/>
          </c:marker>
          <c:cat>
            <c:strRef>
              <c:f>(资产规模指数化分析!$A$25:$A$30,资产规模指数化分析!$A$32:$A$38)</c:f>
              <c:strCache>
                <c:ptCount val="13"/>
                <c:pt idx="0">
                  <c:v>Working Cash Balance</c:v>
                </c:pt>
                <c:pt idx="1">
                  <c:v>应收票据(元) </c:v>
                </c:pt>
                <c:pt idx="2">
                  <c:v>应收账款(元) </c:v>
                </c:pt>
                <c:pt idx="3">
                  <c:v>预付款项(元) </c:v>
                </c:pt>
                <c:pt idx="4">
                  <c:v>其他应收款(元) </c:v>
                </c:pt>
                <c:pt idx="5">
                  <c:v>存货(元) </c:v>
                </c:pt>
                <c:pt idx="6">
                  <c:v>应付票据(元) </c:v>
                </c:pt>
                <c:pt idx="7">
                  <c:v>应付账款(元) </c:v>
                </c:pt>
                <c:pt idx="8">
                  <c:v>预收款项(元) </c:v>
                </c:pt>
                <c:pt idx="9">
                  <c:v>应付职工薪酬(元) </c:v>
                </c:pt>
                <c:pt idx="10">
                  <c:v>应交税费(元) </c:v>
                </c:pt>
                <c:pt idx="11">
                  <c:v>其他应付款(元) </c:v>
                </c:pt>
                <c:pt idx="12">
                  <c:v>递延收益-流动负债(元) </c:v>
                </c:pt>
              </c:strCache>
            </c:strRef>
          </c:cat>
          <c:val>
            <c:numRef>
              <c:f>(资产规模指数化分析!$F$25:$F$30,资产规模指数化分析!$F$32:$F$38)</c:f>
              <c:numCache>
                <c:formatCode>0.00</c:formatCode>
                <c:ptCount val="13"/>
                <c:pt idx="0">
                  <c:v>-2.5870307391892437E-2</c:v>
                </c:pt>
                <c:pt idx="1">
                  <c:v>0</c:v>
                </c:pt>
                <c:pt idx="2">
                  <c:v>0</c:v>
                </c:pt>
                <c:pt idx="3">
                  <c:v>0</c:v>
                </c:pt>
                <c:pt idx="4">
                  <c:v>0</c:v>
                </c:pt>
                <c:pt idx="5">
                  <c:v>0</c:v>
                </c:pt>
                <c:pt idx="6">
                  <c:v>0</c:v>
                </c:pt>
                <c:pt idx="7">
                  <c:v>0</c:v>
                </c:pt>
                <c:pt idx="8">
                  <c:v>0</c:v>
                </c:pt>
                <c:pt idx="9">
                  <c:v>0.58176488383558889</c:v>
                </c:pt>
                <c:pt idx="10">
                  <c:v>0.44410542355630361</c:v>
                </c:pt>
                <c:pt idx="11">
                  <c:v>0</c:v>
                </c:pt>
                <c:pt idx="12">
                  <c:v>0</c:v>
                </c:pt>
              </c:numCache>
            </c:numRef>
          </c:val>
          <c:smooth val="0"/>
          <c:extLst>
            <c:ext xmlns:c16="http://schemas.microsoft.com/office/drawing/2014/chart" uri="{C3380CC4-5D6E-409C-BE32-E72D297353CC}">
              <c16:uniqueId val="{00000004-1EB0-403D-A7DF-AAC4295B2374}"/>
            </c:ext>
          </c:extLst>
        </c:ser>
        <c:ser>
          <c:idx val="5"/>
          <c:order val="5"/>
          <c:spPr>
            <a:ln w="28575" cap="rnd" cmpd="sng" algn="ctr">
              <a:solidFill>
                <a:srgbClr val="878787"/>
              </a:solidFill>
              <a:prstDash val="solid"/>
              <a:round/>
              <a:headEnd type="none" w="med" len="med"/>
              <a:tailEnd type="none" w="med" len="med"/>
            </a:ln>
          </c:spPr>
          <c:marker>
            <c:symbol val="none"/>
          </c:marker>
          <c:cat>
            <c:strRef>
              <c:f>(资产规模指数化分析!$A$25:$A$30,资产规模指数化分析!$A$32:$A$38)</c:f>
              <c:strCache>
                <c:ptCount val="13"/>
                <c:pt idx="0">
                  <c:v>Working Cash Balance</c:v>
                </c:pt>
                <c:pt idx="1">
                  <c:v>应收票据(元) </c:v>
                </c:pt>
                <c:pt idx="2">
                  <c:v>应收账款(元) </c:v>
                </c:pt>
                <c:pt idx="3">
                  <c:v>预付款项(元) </c:v>
                </c:pt>
                <c:pt idx="4">
                  <c:v>其他应收款(元) </c:v>
                </c:pt>
                <c:pt idx="5">
                  <c:v>存货(元) </c:v>
                </c:pt>
                <c:pt idx="6">
                  <c:v>应付票据(元) </c:v>
                </c:pt>
                <c:pt idx="7">
                  <c:v>应付账款(元) </c:v>
                </c:pt>
                <c:pt idx="8">
                  <c:v>预收款项(元) </c:v>
                </c:pt>
                <c:pt idx="9">
                  <c:v>应付职工薪酬(元) </c:v>
                </c:pt>
                <c:pt idx="10">
                  <c:v>应交税费(元) </c:v>
                </c:pt>
                <c:pt idx="11">
                  <c:v>其他应付款(元) </c:v>
                </c:pt>
                <c:pt idx="12">
                  <c:v>递延收益-流动负债(元) </c:v>
                </c:pt>
              </c:strCache>
            </c:strRef>
          </c:cat>
          <c:val>
            <c:numRef>
              <c:f>(资产规模指数化分析!$G$25:$G$30,资产规模指数化分析!$G$32:$G$38)</c:f>
              <c:numCache>
                <c:formatCode>0.00</c:formatCode>
                <c:ptCount val="13"/>
                <c:pt idx="0">
                  <c:v>-4.2512106229499733E-2</c:v>
                </c:pt>
                <c:pt idx="1">
                  <c:v>0</c:v>
                </c:pt>
                <c:pt idx="2">
                  <c:v>0</c:v>
                </c:pt>
                <c:pt idx="3">
                  <c:v>0</c:v>
                </c:pt>
                <c:pt idx="4">
                  <c:v>0</c:v>
                </c:pt>
                <c:pt idx="5">
                  <c:v>0</c:v>
                </c:pt>
                <c:pt idx="6">
                  <c:v>0</c:v>
                </c:pt>
                <c:pt idx="7">
                  <c:v>0</c:v>
                </c:pt>
                <c:pt idx="8">
                  <c:v>0</c:v>
                </c:pt>
                <c:pt idx="9">
                  <c:v>0.70297761733778652</c:v>
                </c:pt>
                <c:pt idx="10">
                  <c:v>0.33953448889171323</c:v>
                </c:pt>
                <c:pt idx="11">
                  <c:v>0</c:v>
                </c:pt>
                <c:pt idx="12">
                  <c:v>0</c:v>
                </c:pt>
              </c:numCache>
            </c:numRef>
          </c:val>
          <c:smooth val="0"/>
          <c:extLst>
            <c:ext xmlns:c16="http://schemas.microsoft.com/office/drawing/2014/chart" uri="{C3380CC4-5D6E-409C-BE32-E72D297353CC}">
              <c16:uniqueId val="{00000005-1EB0-403D-A7DF-AAC4295B2374}"/>
            </c:ext>
          </c:extLst>
        </c:ser>
        <c:ser>
          <c:idx val="6"/>
          <c:order val="6"/>
          <c:spPr>
            <a:ln w="28575" cap="rnd" cmpd="sng" algn="ctr">
              <a:solidFill>
                <a:srgbClr val="FCE1CC"/>
              </a:solidFill>
              <a:prstDash val="solid"/>
              <a:round/>
              <a:headEnd type="none" w="med" len="med"/>
              <a:tailEnd type="none" w="med" len="med"/>
            </a:ln>
          </c:spPr>
          <c:marker>
            <c:symbol val="none"/>
          </c:marker>
          <c:cat>
            <c:strRef>
              <c:f>(资产规模指数化分析!$A$25:$A$30,资产规模指数化分析!$A$32:$A$38)</c:f>
              <c:strCache>
                <c:ptCount val="13"/>
                <c:pt idx="0">
                  <c:v>Working Cash Balance</c:v>
                </c:pt>
                <c:pt idx="1">
                  <c:v>应收票据(元) </c:v>
                </c:pt>
                <c:pt idx="2">
                  <c:v>应收账款(元) </c:v>
                </c:pt>
                <c:pt idx="3">
                  <c:v>预付款项(元) </c:v>
                </c:pt>
                <c:pt idx="4">
                  <c:v>其他应收款(元) </c:v>
                </c:pt>
                <c:pt idx="5">
                  <c:v>存货(元) </c:v>
                </c:pt>
                <c:pt idx="6">
                  <c:v>应付票据(元) </c:v>
                </c:pt>
                <c:pt idx="7">
                  <c:v>应付账款(元) </c:v>
                </c:pt>
                <c:pt idx="8">
                  <c:v>预收款项(元) </c:v>
                </c:pt>
                <c:pt idx="9">
                  <c:v>应付职工薪酬(元) </c:v>
                </c:pt>
                <c:pt idx="10">
                  <c:v>应交税费(元) </c:v>
                </c:pt>
                <c:pt idx="11">
                  <c:v>其他应付款(元) </c:v>
                </c:pt>
                <c:pt idx="12">
                  <c:v>递延收益-流动负债(元) </c:v>
                </c:pt>
              </c:strCache>
            </c:strRef>
          </c:cat>
          <c:val>
            <c:numRef>
              <c:f>(资产规模指数化分析!$H$25:$H$30,资产规模指数化分析!$H$32:$H$38)</c:f>
              <c:numCache>
                <c:formatCode>0.00</c:formatCode>
                <c:ptCount val="13"/>
                <c:pt idx="0">
                  <c:v>-5.9568875144141664E-2</c:v>
                </c:pt>
                <c:pt idx="1">
                  <c:v>0</c:v>
                </c:pt>
                <c:pt idx="2">
                  <c:v>0</c:v>
                </c:pt>
                <c:pt idx="3">
                  <c:v>0</c:v>
                </c:pt>
                <c:pt idx="4">
                  <c:v>0</c:v>
                </c:pt>
                <c:pt idx="5">
                  <c:v>0</c:v>
                </c:pt>
                <c:pt idx="6">
                  <c:v>0</c:v>
                </c:pt>
                <c:pt idx="7">
                  <c:v>0</c:v>
                </c:pt>
                <c:pt idx="8">
                  <c:v>0</c:v>
                </c:pt>
                <c:pt idx="9">
                  <c:v>0.77762728446324236</c:v>
                </c:pt>
                <c:pt idx="10">
                  <c:v>0.28194159068089936</c:v>
                </c:pt>
                <c:pt idx="11">
                  <c:v>0</c:v>
                </c:pt>
                <c:pt idx="12">
                  <c:v>0</c:v>
                </c:pt>
              </c:numCache>
            </c:numRef>
          </c:val>
          <c:smooth val="0"/>
          <c:extLst>
            <c:ext xmlns:c16="http://schemas.microsoft.com/office/drawing/2014/chart" uri="{C3380CC4-5D6E-409C-BE32-E72D297353CC}">
              <c16:uniqueId val="{00000006-1EB0-403D-A7DF-AAC4295B2374}"/>
            </c:ext>
          </c:extLst>
        </c:ser>
        <c:ser>
          <c:idx val="7"/>
          <c:order val="7"/>
          <c:spPr>
            <a:ln w="28575" cap="rnd" cmpd="sng" algn="ctr">
              <a:solidFill>
                <a:srgbClr val="5A5A5A"/>
              </a:solidFill>
              <a:prstDash val="solid"/>
              <a:round/>
              <a:headEnd type="none" w="med" len="med"/>
              <a:tailEnd type="none" w="med" len="med"/>
            </a:ln>
          </c:spPr>
          <c:marker>
            <c:symbol val="none"/>
          </c:marker>
          <c:cat>
            <c:strRef>
              <c:f>(资产规模指数化分析!$A$25:$A$30,资产规模指数化分析!$A$32:$A$38)</c:f>
              <c:strCache>
                <c:ptCount val="13"/>
                <c:pt idx="0">
                  <c:v>Working Cash Balance</c:v>
                </c:pt>
                <c:pt idx="1">
                  <c:v>应收票据(元) </c:v>
                </c:pt>
                <c:pt idx="2">
                  <c:v>应收账款(元) </c:v>
                </c:pt>
                <c:pt idx="3">
                  <c:v>预付款项(元) </c:v>
                </c:pt>
                <c:pt idx="4">
                  <c:v>其他应收款(元) </c:v>
                </c:pt>
                <c:pt idx="5">
                  <c:v>存货(元) </c:v>
                </c:pt>
                <c:pt idx="6">
                  <c:v>应付票据(元) </c:v>
                </c:pt>
                <c:pt idx="7">
                  <c:v>应付账款(元) </c:v>
                </c:pt>
                <c:pt idx="8">
                  <c:v>预收款项(元) </c:v>
                </c:pt>
                <c:pt idx="9">
                  <c:v>应付职工薪酬(元) </c:v>
                </c:pt>
                <c:pt idx="10">
                  <c:v>应交税费(元) </c:v>
                </c:pt>
                <c:pt idx="11">
                  <c:v>其他应付款(元) </c:v>
                </c:pt>
                <c:pt idx="12">
                  <c:v>递延收益-流动负债(元) </c:v>
                </c:pt>
              </c:strCache>
            </c:strRef>
          </c:cat>
          <c:val>
            <c:numRef>
              <c:f>(资产规模指数化分析!$I$25:$I$30,资产规模指数化分析!$I$32:$I$38)</c:f>
              <c:numCache>
                <c:formatCode>0.00</c:formatCode>
                <c:ptCount val="13"/>
                <c:pt idx="0">
                  <c:v>-8.6864180209611133E-2</c:v>
                </c:pt>
                <c:pt idx="1">
                  <c:v>0</c:v>
                </c:pt>
                <c:pt idx="2">
                  <c:v>0</c:v>
                </c:pt>
                <c:pt idx="3">
                  <c:v>0</c:v>
                </c:pt>
                <c:pt idx="4">
                  <c:v>0</c:v>
                </c:pt>
                <c:pt idx="5">
                  <c:v>0</c:v>
                </c:pt>
                <c:pt idx="6">
                  <c:v>0</c:v>
                </c:pt>
                <c:pt idx="7">
                  <c:v>0</c:v>
                </c:pt>
                <c:pt idx="8">
                  <c:v>0</c:v>
                </c:pt>
                <c:pt idx="9">
                  <c:v>0.73225578157226368</c:v>
                </c:pt>
                <c:pt idx="10">
                  <c:v>0.35460839863734755</c:v>
                </c:pt>
                <c:pt idx="11">
                  <c:v>0</c:v>
                </c:pt>
                <c:pt idx="12">
                  <c:v>0</c:v>
                </c:pt>
              </c:numCache>
            </c:numRef>
          </c:val>
          <c:smooth val="0"/>
          <c:extLst>
            <c:ext xmlns:c16="http://schemas.microsoft.com/office/drawing/2014/chart" uri="{C3380CC4-5D6E-409C-BE32-E72D297353CC}">
              <c16:uniqueId val="{00000007-1EB0-403D-A7DF-AAC4295B2374}"/>
            </c:ext>
          </c:extLst>
        </c:ser>
        <c:dLbls>
          <c:showLegendKey val="0"/>
          <c:showVal val="0"/>
          <c:showCatName val="0"/>
          <c:showSerName val="0"/>
          <c:showPercent val="0"/>
          <c:showBubbleSize val="0"/>
        </c:dLbls>
        <c:marker val="1"/>
        <c:smooth val="0"/>
        <c:axId val="429078400"/>
        <c:axId val="429079936"/>
      </c:lineChart>
      <c:catAx>
        <c:axId val="429078400"/>
        <c:scaling>
          <c:orientation val="minMax"/>
        </c:scaling>
        <c:delete val="0"/>
        <c:axPos val="b"/>
        <c:numFmt formatCode="General" sourceLinked="0"/>
        <c:majorTickMark val="out"/>
        <c:minorTickMark val="none"/>
        <c:tickLblPos val="nextTo"/>
        <c:crossAx val="429079936"/>
        <c:crosses val="autoZero"/>
        <c:auto val="1"/>
        <c:lblAlgn val="ctr"/>
        <c:lblOffset val="100"/>
        <c:noMultiLvlLbl val="0"/>
      </c:catAx>
      <c:valAx>
        <c:axId val="429079936"/>
        <c:scaling>
          <c:orientation val="minMax"/>
        </c:scaling>
        <c:delete val="0"/>
        <c:axPos val="l"/>
        <c:majorGridlines/>
        <c:numFmt formatCode="0%" sourceLinked="1"/>
        <c:majorTickMark val="out"/>
        <c:minorTickMark val="none"/>
        <c:tickLblPos val="nextTo"/>
        <c:crossAx val="429078400"/>
        <c:crosses val="autoZero"/>
        <c:crossBetween val="between"/>
      </c:valAx>
    </c:plotArea>
    <c:legend>
      <c:legendPos val="r"/>
      <c:overlay val="0"/>
    </c:legend>
    <c:plotVisOnly val="1"/>
    <c:dispBlanksAs val="zero"/>
    <c:showDLblsOverMax val="0"/>
  </c:chart>
  <c:printSettings>
    <c:headerFooter alignWithMargins="0"/>
    <c:pageMargins b="1" l="0.75000000000000411" r="0.75000000000000411" t="1" header="0.5" footer="0.5"/>
    <c:pageSetup paperSize="9" orientation="landscape"/>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839791773380827E-2"/>
          <c:y val="6.8924631231551514E-2"/>
          <c:w val="0.59903002291128138"/>
          <c:h val="0.84524701065509389"/>
        </c:manualLayout>
      </c:layout>
      <c:lineChart>
        <c:grouping val="percentStacked"/>
        <c:varyColors val="0"/>
        <c:ser>
          <c:idx val="0"/>
          <c:order val="0"/>
          <c:tx>
            <c:strRef>
              <c:f>资产规模指数化分析!$A$104</c:f>
              <c:strCache>
                <c:ptCount val="1"/>
                <c:pt idx="0">
                  <c:v>在建工程(元) </c:v>
                </c:pt>
              </c:strCache>
            </c:strRef>
          </c:tx>
          <c:spPr>
            <a:ln w="28575" cap="rnd" cmpd="sng" algn="ctr">
              <a:solidFill>
                <a:srgbClr val="EE7B36"/>
              </a:solidFill>
              <a:prstDash val="solid"/>
              <a:round/>
              <a:headEnd type="none" w="med" len="med"/>
              <a:tailEnd type="none" w="med" len="med"/>
            </a:ln>
          </c:spPr>
          <c:marker>
            <c:symbol val="none"/>
          </c:marker>
          <c:val>
            <c:numRef>
              <c:f>资产规模指数化分析!$B$104:$M$104</c:f>
              <c:numCache>
                <c:formatCode>0.00</c:formatCode>
                <c:ptCount val="11"/>
                <c:pt idx="0">
                  <c:v>0.91949851108594816</c:v>
                </c:pt>
                <c:pt idx="1">
                  <c:v>0.91814072349140818</c:v>
                </c:pt>
                <c:pt idx="2">
                  <c:v>0.92359474137660924</c:v>
                </c:pt>
                <c:pt idx="3">
                  <c:v>0.94921010700513797</c:v>
                </c:pt>
                <c:pt idx="4">
                  <c:v>0.95182014823842964</c:v>
                </c:pt>
                <c:pt idx="5">
                  <c:v>0.95512840371938912</c:v>
                </c:pt>
                <c:pt idx="6">
                  <c:v>0.69006484357990083</c:v>
                </c:pt>
                <c:pt idx="7">
                  <c:v>0.83295804664319961</c:v>
                </c:pt>
                <c:pt idx="8">
                  <c:v>0.85697346775243599</c:v>
                </c:pt>
                <c:pt idx="9">
                  <c:v>0.86213377878069541</c:v>
                </c:pt>
                <c:pt idx="10">
                  <c:v>0.86093155262647703</c:v>
                </c:pt>
              </c:numCache>
            </c:numRef>
          </c:val>
          <c:smooth val="0"/>
          <c:extLst>
            <c:ext xmlns:c16="http://schemas.microsoft.com/office/drawing/2014/chart" uri="{C3380CC4-5D6E-409C-BE32-E72D297353CC}">
              <c16:uniqueId val="{00000000-BC4B-43F8-8042-DE457949ED8D}"/>
            </c:ext>
          </c:extLst>
        </c:ser>
        <c:ser>
          <c:idx val="1"/>
          <c:order val="1"/>
          <c:tx>
            <c:strRef>
              <c:f>资产规模指数化分析!$A$105</c:f>
              <c:strCache>
                <c:ptCount val="1"/>
                <c:pt idx="0">
                  <c:v>工程物资(元) </c:v>
                </c:pt>
              </c:strCache>
            </c:strRef>
          </c:tx>
          <c:spPr>
            <a:ln w="28575" cap="rnd" cmpd="sng" algn="ctr">
              <a:solidFill>
                <a:srgbClr val="B4B4B4"/>
              </a:solidFill>
              <a:prstDash val="solid"/>
              <a:round/>
              <a:headEnd type="none" w="med" len="med"/>
              <a:tailEnd type="none" w="med" len="med"/>
            </a:ln>
          </c:spPr>
          <c:marker>
            <c:symbol val="none"/>
          </c:marker>
          <c:val>
            <c:numRef>
              <c:f>资产规模指数化分析!$B$105:$M$105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BC4B-43F8-8042-DE457949ED8D}"/>
            </c:ext>
          </c:extLst>
        </c:ser>
        <c:ser>
          <c:idx val="2"/>
          <c:order val="2"/>
          <c:tx>
            <c:strRef>
              <c:f>资产规模指数化分析!$A$106</c:f>
              <c:strCache>
                <c:ptCount val="1"/>
                <c:pt idx="0">
                  <c:v>生产性生物资产(元) </c:v>
                </c:pt>
              </c:strCache>
            </c:strRef>
          </c:tx>
          <c:spPr>
            <a:ln w="28575" cap="rnd" cmpd="sng" algn="ctr">
              <a:solidFill>
                <a:srgbClr val="F8C097"/>
              </a:solidFill>
              <a:prstDash val="solid"/>
              <a:round/>
              <a:headEnd type="none" w="med" len="med"/>
              <a:tailEnd type="none" w="med" len="med"/>
            </a:ln>
          </c:spPr>
          <c:marker>
            <c:symbol val="none"/>
          </c:marker>
          <c:val>
            <c:numRef>
              <c:f>资产规模指数化分析!$B$106:$M$106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2-BC4B-43F8-8042-DE457949ED8D}"/>
            </c:ext>
          </c:extLst>
        </c:ser>
        <c:ser>
          <c:idx val="3"/>
          <c:order val="3"/>
          <c:tx>
            <c:strRef>
              <c:f>资产规模指数化分析!$A$107</c:f>
              <c:strCache>
                <c:ptCount val="1"/>
                <c:pt idx="0">
                  <c:v>油气资产(元) </c:v>
                </c:pt>
              </c:strCache>
            </c:strRef>
          </c:tx>
          <c:spPr>
            <a:ln w="28575" cap="rnd" cmpd="sng" algn="ctr">
              <a:solidFill>
                <a:srgbClr val="DCDCDC"/>
              </a:solidFill>
              <a:prstDash val="solid"/>
              <a:round/>
              <a:headEnd type="none" w="med" len="med"/>
              <a:tailEnd type="none" w="med" len="med"/>
            </a:ln>
          </c:spPr>
          <c:marker>
            <c:symbol val="none"/>
          </c:marker>
          <c:val>
            <c:numRef>
              <c:f>资产规模指数化分析!$B$107:$M$107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3-BC4B-43F8-8042-DE457949ED8D}"/>
            </c:ext>
          </c:extLst>
        </c:ser>
        <c:ser>
          <c:idx val="4"/>
          <c:order val="4"/>
          <c:tx>
            <c:strRef>
              <c:f>资产规模指数化分析!$A$108</c:f>
              <c:strCache>
                <c:ptCount val="1"/>
                <c:pt idx="0">
                  <c:v>无形资产(元) </c:v>
                </c:pt>
              </c:strCache>
            </c:strRef>
          </c:tx>
          <c:spPr>
            <a:ln w="28575" cap="rnd" cmpd="sng" algn="ctr">
              <a:solidFill>
                <a:srgbClr val="F39E64"/>
              </a:solidFill>
              <a:prstDash val="solid"/>
              <a:round/>
              <a:headEnd type="none" w="med" len="med"/>
              <a:tailEnd type="none" w="med" len="med"/>
            </a:ln>
          </c:spPr>
          <c:marker>
            <c:symbol val="none"/>
          </c:marker>
          <c:val>
            <c:numRef>
              <c:f>资产规模指数化分析!$B$108:$M$108</c:f>
              <c:numCache>
                <c:formatCode>0.00</c:formatCode>
                <c:ptCount val="11"/>
                <c:pt idx="0">
                  <c:v>8.0501488914051761E-2</c:v>
                </c:pt>
                <c:pt idx="1">
                  <c:v>8.185927650859183E-2</c:v>
                </c:pt>
                <c:pt idx="2">
                  <c:v>7.6405258623390704E-2</c:v>
                </c:pt>
                <c:pt idx="3">
                  <c:v>5.0789892994862071E-2</c:v>
                </c:pt>
                <c:pt idx="4">
                  <c:v>4.817985176157033E-2</c:v>
                </c:pt>
                <c:pt idx="5">
                  <c:v>4.4871596280610902E-2</c:v>
                </c:pt>
                <c:pt idx="6">
                  <c:v>0.30993515642009917</c:v>
                </c:pt>
                <c:pt idx="7">
                  <c:v>0.16704195335680036</c:v>
                </c:pt>
                <c:pt idx="8">
                  <c:v>0.14302653224756409</c:v>
                </c:pt>
                <c:pt idx="9">
                  <c:v>0.13786622121930459</c:v>
                </c:pt>
                <c:pt idx="10">
                  <c:v>0.13906844737352297</c:v>
                </c:pt>
              </c:numCache>
            </c:numRef>
          </c:val>
          <c:smooth val="0"/>
          <c:extLst>
            <c:ext xmlns:c16="http://schemas.microsoft.com/office/drawing/2014/chart" uri="{C3380CC4-5D6E-409C-BE32-E72D297353CC}">
              <c16:uniqueId val="{00000004-BC4B-43F8-8042-DE457949ED8D}"/>
            </c:ext>
          </c:extLst>
        </c:ser>
        <c:ser>
          <c:idx val="5"/>
          <c:order val="5"/>
          <c:tx>
            <c:strRef>
              <c:f>资产规模指数化分析!$A$109</c:f>
              <c:strCache>
                <c:ptCount val="1"/>
                <c:pt idx="0">
                  <c:v>开发支出(元) </c:v>
                </c:pt>
              </c:strCache>
            </c:strRef>
          </c:tx>
          <c:spPr>
            <a:ln w="28575" cap="rnd" cmpd="sng" algn="ctr">
              <a:solidFill>
                <a:srgbClr val="878787"/>
              </a:solidFill>
              <a:prstDash val="solid"/>
              <a:round/>
              <a:headEnd type="none" w="med" len="med"/>
              <a:tailEnd type="none" w="med" len="med"/>
            </a:ln>
          </c:spPr>
          <c:marker>
            <c:symbol val="none"/>
          </c:marker>
          <c:val>
            <c:numRef>
              <c:f>资产规模指数化分析!$B$109:$M$109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5-BC4B-43F8-8042-DE457949ED8D}"/>
            </c:ext>
          </c:extLst>
        </c:ser>
        <c:ser>
          <c:idx val="6"/>
          <c:order val="6"/>
          <c:tx>
            <c:strRef>
              <c:f>资产规模指数化分析!$A$110</c:f>
              <c:strCache>
                <c:ptCount val="1"/>
                <c:pt idx="0">
                  <c:v>长期待摊费用(元) </c:v>
                </c:pt>
              </c:strCache>
            </c:strRef>
          </c:tx>
          <c:spPr>
            <a:ln w="28575" cap="rnd" cmpd="sng" algn="ctr">
              <a:solidFill>
                <a:srgbClr val="FCE1CC"/>
              </a:solidFill>
              <a:prstDash val="solid"/>
              <a:round/>
              <a:headEnd type="none" w="med" len="med"/>
              <a:tailEnd type="none" w="med" len="med"/>
            </a:ln>
          </c:spPr>
          <c:marker>
            <c:symbol val="none"/>
          </c:marker>
          <c:val>
            <c:numRef>
              <c:f>资产规模指数化分析!$B$110:$M$110</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6-BC4B-43F8-8042-DE457949ED8D}"/>
            </c:ext>
          </c:extLst>
        </c:ser>
        <c:ser>
          <c:idx val="7"/>
          <c:order val="7"/>
          <c:tx>
            <c:strRef>
              <c:f>资产规模指数化分析!$A$112</c:f>
              <c:strCache>
                <c:ptCount val="1"/>
                <c:pt idx="0">
                  <c:v>长期应付款(元)  </c:v>
                </c:pt>
              </c:strCache>
            </c:strRef>
          </c:tx>
          <c:spPr>
            <a:ln w="28575" cap="rnd" cmpd="sng" algn="ctr">
              <a:solidFill>
                <a:srgbClr val="5A5A5A"/>
              </a:solidFill>
              <a:prstDash val="solid"/>
              <a:round/>
              <a:headEnd type="none" w="med" len="med"/>
              <a:tailEnd type="none" w="med" len="med"/>
            </a:ln>
          </c:spPr>
          <c:marker>
            <c:symbol val="none"/>
          </c:marker>
          <c:val>
            <c:numRef>
              <c:f>资产规模指数化分析!$B$112:$M$112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7-BC4B-43F8-8042-DE457949ED8D}"/>
            </c:ext>
          </c:extLst>
        </c:ser>
        <c:dLbls>
          <c:showLegendKey val="0"/>
          <c:showVal val="0"/>
          <c:showCatName val="0"/>
          <c:showSerName val="0"/>
          <c:showPercent val="0"/>
          <c:showBubbleSize val="0"/>
        </c:dLbls>
        <c:smooth val="0"/>
        <c:axId val="425603072"/>
        <c:axId val="425604608"/>
      </c:lineChart>
      <c:catAx>
        <c:axId val="425603072"/>
        <c:scaling>
          <c:orientation val="minMax"/>
        </c:scaling>
        <c:delete val="0"/>
        <c:axPos val="b"/>
        <c:majorTickMark val="out"/>
        <c:minorTickMark val="none"/>
        <c:tickLblPos val="nextTo"/>
        <c:crossAx val="425604608"/>
        <c:crosses val="autoZero"/>
        <c:auto val="1"/>
        <c:lblAlgn val="ctr"/>
        <c:lblOffset val="100"/>
        <c:noMultiLvlLbl val="0"/>
      </c:catAx>
      <c:valAx>
        <c:axId val="425604608"/>
        <c:scaling>
          <c:orientation val="minMax"/>
        </c:scaling>
        <c:delete val="0"/>
        <c:axPos val="l"/>
        <c:majorGridlines/>
        <c:numFmt formatCode="0%" sourceLinked="1"/>
        <c:majorTickMark val="out"/>
        <c:minorTickMark val="none"/>
        <c:tickLblPos val="nextTo"/>
        <c:crossAx val="425603072"/>
        <c:crosses val="autoZero"/>
        <c:crossBetween val="between"/>
      </c:valAx>
    </c:plotArea>
    <c:legend>
      <c:legendPos val="r"/>
      <c:overlay val="0"/>
    </c:legend>
    <c:plotVisOnly val="1"/>
    <c:dispBlanksAs val="zero"/>
    <c:showDLblsOverMax val="0"/>
  </c:chart>
  <c:spPr>
    <a:ln w="0">
      <a:noFill/>
    </a:ln>
  </c:spPr>
  <c:printSettings>
    <c:headerFooter/>
    <c:pageMargins b="0.75000000000001044" l="0.70000000000000062" r="0.70000000000000062" t="0.75000000000001044"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percentStacked"/>
        <c:varyColors val="0"/>
        <c:ser>
          <c:idx val="0"/>
          <c:order val="0"/>
          <c:tx>
            <c:strRef>
              <c:f>资产规模指数化分析!$A$133</c:f>
              <c:strCache>
                <c:ptCount val="1"/>
                <c:pt idx="0">
                  <c:v>在建工程(元) </c:v>
                </c:pt>
              </c:strCache>
            </c:strRef>
          </c:tx>
          <c:spPr>
            <a:ln w="28575" cap="rnd" cmpd="sng" algn="ctr">
              <a:solidFill>
                <a:srgbClr val="EE7B36"/>
              </a:solidFill>
              <a:prstDash val="solid"/>
              <a:round/>
              <a:headEnd type="none" w="med" len="med"/>
              <a:tailEnd type="none" w="med" len="med"/>
            </a:ln>
          </c:spPr>
          <c:marker>
            <c:symbol val="none"/>
          </c:marker>
          <c:val>
            <c:numRef>
              <c:f>资产规模指数化分析!$B$133:$M$133</c:f>
              <c:numCache>
                <c:formatCode>0.00</c:formatCode>
                <c:ptCount val="11"/>
                <c:pt idx="0">
                  <c:v>11.860907685130755</c:v>
                </c:pt>
                <c:pt idx="1">
                  <c:v>12.028563185922074</c:v>
                </c:pt>
                <c:pt idx="2">
                  <c:v>13.040322088778355</c:v>
                </c:pt>
                <c:pt idx="3">
                  <c:v>14.519245775868566</c:v>
                </c:pt>
                <c:pt idx="4">
                  <c:v>15.348081919888465</c:v>
                </c:pt>
                <c:pt idx="5">
                  <c:v>16.431027979727187</c:v>
                </c:pt>
                <c:pt idx="6">
                  <c:v>1.7515803829226013</c:v>
                </c:pt>
                <c:pt idx="7">
                  <c:v>5.2145739197377345</c:v>
                </c:pt>
                <c:pt idx="8">
                  <c:v>5.9171415036551371</c:v>
                </c:pt>
                <c:pt idx="9">
                  <c:v>6.3434064737357758</c:v>
                </c:pt>
                <c:pt idx="10">
                  <c:v>6.5464373330318795</c:v>
                </c:pt>
              </c:numCache>
            </c:numRef>
          </c:val>
          <c:smooth val="0"/>
          <c:extLst>
            <c:ext xmlns:c16="http://schemas.microsoft.com/office/drawing/2014/chart" uri="{C3380CC4-5D6E-409C-BE32-E72D297353CC}">
              <c16:uniqueId val="{00000000-2705-4550-ABDA-21C49509DAD2}"/>
            </c:ext>
          </c:extLst>
        </c:ser>
        <c:ser>
          <c:idx val="1"/>
          <c:order val="1"/>
          <c:tx>
            <c:strRef>
              <c:f>资产规模指数化分析!$A$134</c:f>
              <c:strCache>
                <c:ptCount val="1"/>
                <c:pt idx="0">
                  <c:v>工程物资(元) </c:v>
                </c:pt>
              </c:strCache>
            </c:strRef>
          </c:tx>
          <c:spPr>
            <a:ln w="28575" cap="rnd" cmpd="sng" algn="ctr">
              <a:solidFill>
                <a:srgbClr val="B4B4B4"/>
              </a:solidFill>
              <a:prstDash val="solid"/>
              <a:round/>
              <a:headEnd type="none" w="med" len="med"/>
              <a:tailEnd type="none" w="med" len="med"/>
            </a:ln>
          </c:spPr>
          <c:marker>
            <c:symbol val="none"/>
          </c:marker>
          <c:val>
            <c:numRef>
              <c:f>资产规模指数化分析!$B$134:$M$134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2705-4550-ABDA-21C49509DAD2}"/>
            </c:ext>
          </c:extLst>
        </c:ser>
        <c:ser>
          <c:idx val="2"/>
          <c:order val="2"/>
          <c:tx>
            <c:strRef>
              <c:f>资产规模指数化分析!$A$135</c:f>
              <c:strCache>
                <c:ptCount val="1"/>
                <c:pt idx="0">
                  <c:v>生产性生物资产(元) </c:v>
                </c:pt>
              </c:strCache>
            </c:strRef>
          </c:tx>
          <c:spPr>
            <a:ln w="28575" cap="rnd" cmpd="sng" algn="ctr">
              <a:solidFill>
                <a:srgbClr val="F8C097"/>
              </a:solidFill>
              <a:prstDash val="solid"/>
              <a:round/>
              <a:headEnd type="none" w="med" len="med"/>
              <a:tailEnd type="none" w="med" len="med"/>
            </a:ln>
          </c:spPr>
          <c:marker>
            <c:symbol val="none"/>
          </c:marker>
          <c:val>
            <c:numRef>
              <c:f>资产规模指数化分析!$B$135:$M$135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2-2705-4550-ABDA-21C49509DAD2}"/>
            </c:ext>
          </c:extLst>
        </c:ser>
        <c:ser>
          <c:idx val="3"/>
          <c:order val="3"/>
          <c:tx>
            <c:strRef>
              <c:f>资产规模指数化分析!$A$136</c:f>
              <c:strCache>
                <c:ptCount val="1"/>
                <c:pt idx="0">
                  <c:v>油气资产(元) </c:v>
                </c:pt>
              </c:strCache>
            </c:strRef>
          </c:tx>
          <c:spPr>
            <a:ln w="28575" cap="rnd" cmpd="sng" algn="ctr">
              <a:solidFill>
                <a:srgbClr val="DCDCDC"/>
              </a:solidFill>
              <a:prstDash val="solid"/>
              <a:round/>
              <a:headEnd type="none" w="med" len="med"/>
              <a:tailEnd type="none" w="med" len="med"/>
            </a:ln>
          </c:spPr>
          <c:marker>
            <c:symbol val="none"/>
          </c:marker>
          <c:val>
            <c:numRef>
              <c:f>资产规模指数化分析!$B$136:$M$136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3-2705-4550-ABDA-21C49509DAD2}"/>
            </c:ext>
          </c:extLst>
        </c:ser>
        <c:ser>
          <c:idx val="4"/>
          <c:order val="4"/>
          <c:tx>
            <c:strRef>
              <c:f>资产规模指数化分析!$A$137</c:f>
              <c:strCache>
                <c:ptCount val="1"/>
                <c:pt idx="0">
                  <c:v>无形资产(元) </c:v>
                </c:pt>
              </c:strCache>
            </c:strRef>
          </c:tx>
          <c:spPr>
            <a:ln w="28575" cap="rnd" cmpd="sng" algn="ctr">
              <a:solidFill>
                <a:srgbClr val="F39E64"/>
              </a:solidFill>
              <a:prstDash val="solid"/>
              <a:round/>
              <a:headEnd type="none" w="med" len="med"/>
              <a:tailEnd type="none" w="med" len="med"/>
            </a:ln>
          </c:spPr>
          <c:marker>
            <c:symbol val="none"/>
          </c:marker>
          <c:val>
            <c:numRef>
              <c:f>资产规模指数化分析!$B$137:$M$137</c:f>
              <c:numCache>
                <c:formatCode>0.00</c:formatCode>
                <c:ptCount val="11"/>
                <c:pt idx="0">
                  <c:v>1.0384146543070314</c:v>
                </c:pt>
                <c:pt idx="1">
                  <c:v>1.0724385212902252</c:v>
                </c:pt>
                <c:pt idx="2">
                  <c:v>1.078773121033989</c:v>
                </c:pt>
                <c:pt idx="3">
                  <c:v>0.77688905109654083</c:v>
                </c:pt>
                <c:pt idx="4">
                  <c:v>0.77689920001507273</c:v>
                </c:pt>
                <c:pt idx="5">
                  <c:v>0.77192391212600797</c:v>
                </c:pt>
                <c:pt idx="6">
                  <c:v>0.78670337289923875</c:v>
                </c:pt>
                <c:pt idx="7">
                  <c:v>1.0457340762679932</c:v>
                </c:pt>
                <c:pt idx="8">
                  <c:v>0.98755476328283986</c:v>
                </c:pt>
                <c:pt idx="9">
                  <c:v>1.0143918516090136</c:v>
                </c:pt>
                <c:pt idx="10">
                  <c:v>1.0574625508327682</c:v>
                </c:pt>
              </c:numCache>
            </c:numRef>
          </c:val>
          <c:smooth val="0"/>
          <c:extLst>
            <c:ext xmlns:c16="http://schemas.microsoft.com/office/drawing/2014/chart" uri="{C3380CC4-5D6E-409C-BE32-E72D297353CC}">
              <c16:uniqueId val="{00000004-2705-4550-ABDA-21C49509DAD2}"/>
            </c:ext>
          </c:extLst>
        </c:ser>
        <c:ser>
          <c:idx val="5"/>
          <c:order val="5"/>
          <c:tx>
            <c:strRef>
              <c:f>资产规模指数化分析!$A$138</c:f>
              <c:strCache>
                <c:ptCount val="1"/>
                <c:pt idx="0">
                  <c:v>开发支出(元) </c:v>
                </c:pt>
              </c:strCache>
            </c:strRef>
          </c:tx>
          <c:spPr>
            <a:ln w="28575" cap="rnd" cmpd="sng" algn="ctr">
              <a:solidFill>
                <a:srgbClr val="878787"/>
              </a:solidFill>
              <a:prstDash val="solid"/>
              <a:round/>
              <a:headEnd type="none" w="med" len="med"/>
              <a:tailEnd type="none" w="med" len="med"/>
            </a:ln>
          </c:spPr>
          <c:marker>
            <c:symbol val="none"/>
          </c:marker>
          <c:val>
            <c:numRef>
              <c:f>资产规模指数化分析!$B$138:$M$138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5-2705-4550-ABDA-21C49509DAD2}"/>
            </c:ext>
          </c:extLst>
        </c:ser>
        <c:ser>
          <c:idx val="6"/>
          <c:order val="6"/>
          <c:tx>
            <c:strRef>
              <c:f>资产规模指数化分析!$A$139</c:f>
              <c:strCache>
                <c:ptCount val="1"/>
                <c:pt idx="0">
                  <c:v>长期待摊费用(元) </c:v>
                </c:pt>
              </c:strCache>
            </c:strRef>
          </c:tx>
          <c:spPr>
            <a:ln w="28575" cap="rnd" cmpd="sng" algn="ctr">
              <a:solidFill>
                <a:srgbClr val="FCE1CC"/>
              </a:solidFill>
              <a:prstDash val="solid"/>
              <a:round/>
              <a:headEnd type="none" w="med" len="med"/>
              <a:tailEnd type="none" w="med" len="med"/>
            </a:ln>
          </c:spPr>
          <c:marker>
            <c:symbol val="none"/>
          </c:marker>
          <c:val>
            <c:numRef>
              <c:f>资产规模指数化分析!$B$139:$M$139</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6-2705-4550-ABDA-21C49509DAD2}"/>
            </c:ext>
          </c:extLst>
        </c:ser>
        <c:ser>
          <c:idx val="7"/>
          <c:order val="7"/>
          <c:tx>
            <c:strRef>
              <c:f>资产规模指数化分析!$A$141</c:f>
              <c:strCache>
                <c:ptCount val="1"/>
                <c:pt idx="0">
                  <c:v>长期应付款(元)  </c:v>
                </c:pt>
              </c:strCache>
            </c:strRef>
          </c:tx>
          <c:spPr>
            <a:ln w="28575" cap="rnd" cmpd="sng" algn="ctr">
              <a:solidFill>
                <a:srgbClr val="5A5A5A"/>
              </a:solidFill>
              <a:prstDash val="solid"/>
              <a:round/>
              <a:headEnd type="none" w="med" len="med"/>
              <a:tailEnd type="none" w="med" len="med"/>
            </a:ln>
          </c:spPr>
          <c:marker>
            <c:symbol val="none"/>
          </c:marker>
          <c:val>
            <c:numRef>
              <c:f>资产规模指数化分析!$B$141:$M$141</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7-2705-4550-ABDA-21C49509DAD2}"/>
            </c:ext>
          </c:extLst>
        </c:ser>
        <c:dLbls>
          <c:showLegendKey val="0"/>
          <c:showVal val="0"/>
          <c:showCatName val="0"/>
          <c:showSerName val="0"/>
          <c:showPercent val="0"/>
          <c:showBubbleSize val="0"/>
        </c:dLbls>
        <c:smooth val="0"/>
        <c:axId val="426116992"/>
        <c:axId val="426118528"/>
      </c:lineChart>
      <c:catAx>
        <c:axId val="426116992"/>
        <c:scaling>
          <c:orientation val="minMax"/>
        </c:scaling>
        <c:delete val="0"/>
        <c:axPos val="b"/>
        <c:majorTickMark val="out"/>
        <c:minorTickMark val="none"/>
        <c:tickLblPos val="nextTo"/>
        <c:crossAx val="426118528"/>
        <c:crosses val="autoZero"/>
        <c:auto val="1"/>
        <c:lblAlgn val="ctr"/>
        <c:lblOffset val="100"/>
        <c:noMultiLvlLbl val="0"/>
      </c:catAx>
      <c:valAx>
        <c:axId val="426118528"/>
        <c:scaling>
          <c:orientation val="minMax"/>
        </c:scaling>
        <c:delete val="0"/>
        <c:axPos val="l"/>
        <c:majorGridlines/>
        <c:numFmt formatCode="0%" sourceLinked="1"/>
        <c:majorTickMark val="out"/>
        <c:minorTickMark val="none"/>
        <c:tickLblPos val="nextTo"/>
        <c:crossAx val="426116992"/>
        <c:crosses val="autoZero"/>
        <c:crossBetween val="between"/>
      </c:valAx>
    </c:plotArea>
    <c:legend>
      <c:legendPos val="r"/>
      <c:overlay val="0"/>
    </c:legend>
    <c:plotVisOnly val="1"/>
    <c:dispBlanksAs val="zero"/>
    <c:showDLblsOverMax val="0"/>
  </c:chart>
  <c:spPr>
    <a:ln>
      <a:noFill/>
    </a:ln>
  </c:spPr>
  <c:printSettings>
    <c:headerFooter/>
    <c:pageMargins b="0.75000000000001044" l="0.70000000000000062" r="0.70000000000000062" t="0.75000000000001044"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资产规模指数化分析!$A$187</c:f>
              <c:strCache>
                <c:ptCount val="1"/>
                <c:pt idx="0">
                  <c:v>（固定资产（净PP&amp;E）——均值）/Revenue（季度）</c:v>
                </c:pt>
              </c:strCache>
            </c:strRef>
          </c:tx>
          <c:spPr>
            <a:ln w="28575" cap="rnd" cmpd="sng" algn="ctr">
              <a:solidFill>
                <a:srgbClr val="EE7B36"/>
              </a:solidFill>
              <a:prstDash val="solid"/>
              <a:round/>
              <a:headEnd type="none" w="med" len="med"/>
              <a:tailEnd type="none" w="med" len="med"/>
            </a:ln>
          </c:spPr>
          <c:marker>
            <c:symbol val="none"/>
          </c:marker>
          <c:val>
            <c:numRef>
              <c:f>资产规模指数化分析!$B$187:$N$187</c:f>
              <c:numCache>
                <c:formatCode>0.00</c:formatCode>
                <c:ptCount val="12"/>
                <c:pt idx="0">
                  <c:v>0.19756983308664958</c:v>
                </c:pt>
                <c:pt idx="1">
                  <c:v>0.22356494446840167</c:v>
                </c:pt>
                <c:pt idx="2">
                  <c:v>0.16295787676347345</c:v>
                </c:pt>
                <c:pt idx="3">
                  <c:v>3.5986591235815962E-2</c:v>
                </c:pt>
                <c:pt idx="4">
                  <c:v>0.15879619257531966</c:v>
                </c:pt>
                <c:pt idx="5">
                  <c:v>0.38586908525836588</c:v>
                </c:pt>
                <c:pt idx="6">
                  <c:v>1.3463591016877878</c:v>
                </c:pt>
                <c:pt idx="7">
                  <c:v>0.16562961532796838</c:v>
                </c:pt>
                <c:pt idx="8">
                  <c:v>1.0400179378900631</c:v>
                </c:pt>
                <c:pt idx="9">
                  <c:v>0.71372402527717493</c:v>
                </c:pt>
                <c:pt idx="10">
                  <c:v>1.0488910101594919</c:v>
                </c:pt>
                <c:pt idx="11">
                  <c:v>0.46979920525319568</c:v>
                </c:pt>
              </c:numCache>
            </c:numRef>
          </c:val>
          <c:smooth val="0"/>
          <c:extLst>
            <c:ext xmlns:c16="http://schemas.microsoft.com/office/drawing/2014/chart" uri="{C3380CC4-5D6E-409C-BE32-E72D297353CC}">
              <c16:uniqueId val="{00000000-1FAB-437B-8BEC-E1B476B67FF9}"/>
            </c:ext>
          </c:extLst>
        </c:ser>
        <c:ser>
          <c:idx val="1"/>
          <c:order val="1"/>
          <c:tx>
            <c:strRef>
              <c:f>资产规模指数化分析!$A$188</c:f>
              <c:strCache>
                <c:ptCount val="1"/>
                <c:pt idx="0">
                  <c:v>（Working Capital Invested——均值）/Revenue（季度）</c:v>
                </c:pt>
              </c:strCache>
            </c:strRef>
          </c:tx>
          <c:spPr>
            <a:ln w="28575" cap="rnd" cmpd="sng" algn="ctr">
              <a:solidFill>
                <a:srgbClr val="B4B4B4"/>
              </a:solidFill>
              <a:prstDash val="solid"/>
              <a:round/>
              <a:headEnd type="none" w="med" len="med"/>
              <a:tailEnd type="none" w="med" len="med"/>
            </a:ln>
          </c:spPr>
          <c:marker>
            <c:symbol val="none"/>
          </c:marker>
          <c:val>
            <c:numRef>
              <c:f>资产规模指数化分析!$B$188:$N$188</c:f>
              <c:numCache>
                <c:formatCode>0.00</c:formatCode>
                <c:ptCount val="12"/>
                <c:pt idx="0">
                  <c:v>-1.6310781982345874</c:v>
                </c:pt>
                <c:pt idx="1">
                  <c:v>-1.5290638845877194</c:v>
                </c:pt>
                <c:pt idx="2">
                  <c:v>-1.6138730126902809</c:v>
                </c:pt>
                <c:pt idx="3">
                  <c:v>-0.48377807363132713</c:v>
                </c:pt>
                <c:pt idx="4">
                  <c:v>-1.5365238649800115</c:v>
                </c:pt>
                <c:pt idx="5">
                  <c:v>-0.91555702847739617</c:v>
                </c:pt>
                <c:pt idx="6">
                  <c:v>-2.2073840320645615</c:v>
                </c:pt>
                <c:pt idx="7">
                  <c:v>-0.28812708722094071</c:v>
                </c:pt>
                <c:pt idx="8">
                  <c:v>-1.2511185522534276</c:v>
                </c:pt>
                <c:pt idx="9">
                  <c:v>-0.70846888204384506</c:v>
                </c:pt>
                <c:pt idx="10">
                  <c:v>-1.1119772092366618</c:v>
                </c:pt>
                <c:pt idx="11">
                  <c:v>-0.33262365402198057</c:v>
                </c:pt>
              </c:numCache>
            </c:numRef>
          </c:val>
          <c:smooth val="0"/>
          <c:extLst>
            <c:ext xmlns:c16="http://schemas.microsoft.com/office/drawing/2014/chart" uri="{C3380CC4-5D6E-409C-BE32-E72D297353CC}">
              <c16:uniqueId val="{00000001-1FAB-437B-8BEC-E1B476B67FF9}"/>
            </c:ext>
          </c:extLst>
        </c:ser>
        <c:ser>
          <c:idx val="2"/>
          <c:order val="2"/>
          <c:tx>
            <c:strRef>
              <c:f>资产规模指数化分析!$A$189</c:f>
              <c:strCache>
                <c:ptCount val="1"/>
                <c:pt idx="0">
                  <c:v>（Net Other Operating Assets——均值）/Revenue（季度）</c:v>
                </c:pt>
              </c:strCache>
            </c:strRef>
          </c:tx>
          <c:spPr>
            <a:ln w="28575" cap="rnd" cmpd="sng" algn="ctr">
              <a:solidFill>
                <a:srgbClr val="F8C097"/>
              </a:solidFill>
              <a:prstDash val="solid"/>
              <a:round/>
              <a:headEnd type="none" w="med" len="med"/>
              <a:tailEnd type="none" w="med" len="med"/>
            </a:ln>
          </c:spPr>
          <c:marker>
            <c:symbol val="none"/>
          </c:marker>
          <c:val>
            <c:numRef>
              <c:f>资产规模指数化分析!$B$189:$N$189</c:f>
              <c:numCache>
                <c:formatCode>0.00</c:formatCode>
                <c:ptCount val="12"/>
                <c:pt idx="0">
                  <c:v>0.4245267979283649</c:v>
                </c:pt>
                <c:pt idx="1">
                  <c:v>0.47004216247536618</c:v>
                </c:pt>
                <c:pt idx="2">
                  <c:v>0.4321673441888792</c:v>
                </c:pt>
                <c:pt idx="3">
                  <c:v>0.13559647592126339</c:v>
                </c:pt>
                <c:pt idx="4">
                  <c:v>0.64147433532655551</c:v>
                </c:pt>
                <c:pt idx="5">
                  <c:v>0.32249660329060242</c:v>
                </c:pt>
                <c:pt idx="6">
                  <c:v>0.30063114725280238</c:v>
                </c:pt>
                <c:pt idx="7">
                  <c:v>5.6049339666077114E-2</c:v>
                </c:pt>
                <c:pt idx="8">
                  <c:v>0.39607106857965135</c:v>
                </c:pt>
                <c:pt idx="9">
                  <c:v>0.29202740899456087</c:v>
                </c:pt>
                <c:pt idx="10">
                  <c:v>0.4108296331550168</c:v>
                </c:pt>
                <c:pt idx="11">
                  <c:v>0.18593104866938676</c:v>
                </c:pt>
              </c:numCache>
            </c:numRef>
          </c:val>
          <c:smooth val="0"/>
          <c:extLst>
            <c:ext xmlns:c16="http://schemas.microsoft.com/office/drawing/2014/chart" uri="{C3380CC4-5D6E-409C-BE32-E72D297353CC}">
              <c16:uniqueId val="{00000002-1FAB-437B-8BEC-E1B476B67FF9}"/>
            </c:ext>
          </c:extLst>
        </c:ser>
        <c:dLbls>
          <c:showLegendKey val="0"/>
          <c:showVal val="0"/>
          <c:showCatName val="0"/>
          <c:showSerName val="0"/>
          <c:showPercent val="0"/>
          <c:showBubbleSize val="0"/>
        </c:dLbls>
        <c:smooth val="0"/>
        <c:axId val="428099456"/>
        <c:axId val="428100992"/>
      </c:lineChart>
      <c:catAx>
        <c:axId val="428099456"/>
        <c:scaling>
          <c:orientation val="minMax"/>
        </c:scaling>
        <c:delete val="0"/>
        <c:axPos val="b"/>
        <c:majorTickMark val="out"/>
        <c:minorTickMark val="none"/>
        <c:tickLblPos val="nextTo"/>
        <c:crossAx val="428100992"/>
        <c:crosses val="autoZero"/>
        <c:auto val="1"/>
        <c:lblAlgn val="ctr"/>
        <c:lblOffset val="100"/>
        <c:noMultiLvlLbl val="0"/>
      </c:catAx>
      <c:valAx>
        <c:axId val="428100992"/>
        <c:scaling>
          <c:orientation val="minMax"/>
        </c:scaling>
        <c:delete val="0"/>
        <c:axPos val="l"/>
        <c:majorGridlines/>
        <c:numFmt formatCode="0.00" sourceLinked="1"/>
        <c:majorTickMark val="out"/>
        <c:minorTickMark val="none"/>
        <c:tickLblPos val="nextTo"/>
        <c:crossAx val="428099456"/>
        <c:crosses val="autoZero"/>
        <c:crossBetween val="between"/>
      </c:valAx>
    </c:plotArea>
    <c:legend>
      <c:legendPos val="r"/>
      <c:overlay val="0"/>
    </c:legend>
    <c:plotVisOnly val="1"/>
    <c:dispBlanksAs val="gap"/>
    <c:showDLblsOverMax val="0"/>
  </c:chart>
  <c:spPr>
    <a:ln>
      <a:noFill/>
    </a:ln>
  </c:spPr>
  <c:printSettings>
    <c:headerFooter/>
    <c:pageMargins b="0.75000000000001044" l="0.70000000000000062" r="0.70000000000000062" t="0.75000000000001044"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资产规模指数化分析!$A$197</c:f>
              <c:strCache>
                <c:ptCount val="1"/>
                <c:pt idx="0">
                  <c:v>（固定资产（净PP&amp;E）——均值）/Revenue（年度）</c:v>
                </c:pt>
              </c:strCache>
            </c:strRef>
          </c:tx>
          <c:spPr>
            <a:ln w="28575" cap="rnd" cmpd="sng" algn="ctr">
              <a:solidFill>
                <a:srgbClr val="EE7B36"/>
              </a:solidFill>
              <a:prstDash val="solid"/>
              <a:round/>
              <a:headEnd type="none" w="med" len="med"/>
              <a:tailEnd type="none" w="med" len="med"/>
            </a:ln>
          </c:spPr>
          <c:marker>
            <c:symbol val="none"/>
          </c:marker>
          <c:val>
            <c:numRef>
              <c:f>(资产规模指数化分析!$F$197,资产规模指数化分析!$J$197,资产规模指数化分析!$N$197:$O$197)</c:f>
              <c:numCache>
                <c:formatCode>0.00</c:formatCode>
                <c:ptCount val="4"/>
                <c:pt idx="0">
                  <c:v>0.36652351754696222</c:v>
                </c:pt>
                <c:pt idx="1">
                  <c:v>0.45578082512026569</c:v>
                </c:pt>
                <c:pt idx="2">
                  <c:v>0.24795420438517846</c:v>
                </c:pt>
                <c:pt idx="3">
                  <c:v>0.11174565142526958</c:v>
                </c:pt>
              </c:numCache>
            </c:numRef>
          </c:val>
          <c:smooth val="0"/>
          <c:extLst>
            <c:ext xmlns:c16="http://schemas.microsoft.com/office/drawing/2014/chart" uri="{C3380CC4-5D6E-409C-BE32-E72D297353CC}">
              <c16:uniqueId val="{00000000-B04C-4E1F-9C92-36A9CD3F3D2C}"/>
            </c:ext>
          </c:extLst>
        </c:ser>
        <c:ser>
          <c:idx val="1"/>
          <c:order val="1"/>
          <c:tx>
            <c:strRef>
              <c:f>资产规模指数化分析!$A$198</c:f>
              <c:strCache>
                <c:ptCount val="1"/>
                <c:pt idx="0">
                  <c:v>（Working Capital Invested——均值）/Revenue（年度）</c:v>
                </c:pt>
              </c:strCache>
            </c:strRef>
          </c:tx>
          <c:spPr>
            <a:ln w="28575" cap="rnd" cmpd="sng" algn="ctr">
              <a:solidFill>
                <a:srgbClr val="B4B4B4"/>
              </a:solidFill>
              <a:prstDash val="solid"/>
              <a:round/>
              <a:headEnd type="none" w="med" len="med"/>
              <a:tailEnd type="none" w="med" len="med"/>
            </a:ln>
          </c:spPr>
          <c:marker>
            <c:symbol val="none"/>
          </c:marker>
          <c:val>
            <c:numRef>
              <c:f>(资产规模指数化分析!$F$198,资产规模指数化分析!$J$198,资产规模指数化分析!$N$198:$O$198)</c:f>
              <c:numCache>
                <c:formatCode>0.00</c:formatCode>
                <c:ptCount val="4"/>
                <c:pt idx="0">
                  <c:v>-1.6257766295644505</c:v>
                </c:pt>
                <c:pt idx="1">
                  <c:v>-0.74737781118947266</c:v>
                </c:pt>
                <c:pt idx="2">
                  <c:v>-0.17555464668838974</c:v>
                </c:pt>
                <c:pt idx="3">
                  <c:v>9.3598014384557088E-2</c:v>
                </c:pt>
              </c:numCache>
            </c:numRef>
          </c:val>
          <c:smooth val="0"/>
          <c:extLst>
            <c:ext xmlns:c16="http://schemas.microsoft.com/office/drawing/2014/chart" uri="{C3380CC4-5D6E-409C-BE32-E72D297353CC}">
              <c16:uniqueId val="{00000001-B04C-4E1F-9C92-36A9CD3F3D2C}"/>
            </c:ext>
          </c:extLst>
        </c:ser>
        <c:ser>
          <c:idx val="2"/>
          <c:order val="2"/>
          <c:tx>
            <c:strRef>
              <c:f>资产规模指数化分析!$A$199</c:f>
              <c:strCache>
                <c:ptCount val="1"/>
                <c:pt idx="0">
                  <c:v>（Net Other Operating Assets——均值）/Revenue（年度）</c:v>
                </c:pt>
              </c:strCache>
            </c:strRef>
          </c:tx>
          <c:spPr>
            <a:ln w="28575" cap="rnd" cmpd="sng" algn="ctr">
              <a:solidFill>
                <a:srgbClr val="F8C097"/>
              </a:solidFill>
              <a:prstDash val="solid"/>
              <a:round/>
              <a:headEnd type="none" w="med" len="med"/>
              <a:tailEnd type="none" w="med" len="med"/>
            </a:ln>
          </c:spPr>
          <c:marker>
            <c:symbol val="none"/>
          </c:marker>
          <c:val>
            <c:numRef>
              <c:f>(资产规模指数化分析!$F$199,资产规模指数化分析!$J$199,资产规模指数化分析!$N$199:$O$199)</c:f>
              <c:numCache>
                <c:formatCode>0.00</c:formatCode>
                <c:ptCount val="4"/>
                <c:pt idx="0">
                  <c:v>0.32654479220743804</c:v>
                </c:pt>
                <c:pt idx="1">
                  <c:v>0.1543599975553753</c:v>
                </c:pt>
                <c:pt idx="2">
                  <c:v>9.8132105648141871E-2</c:v>
                </c:pt>
                <c:pt idx="3">
                  <c:v>5.753867662575067E-2</c:v>
                </c:pt>
              </c:numCache>
            </c:numRef>
          </c:val>
          <c:smooth val="0"/>
          <c:extLst>
            <c:ext xmlns:c16="http://schemas.microsoft.com/office/drawing/2014/chart" uri="{C3380CC4-5D6E-409C-BE32-E72D297353CC}">
              <c16:uniqueId val="{00000002-B04C-4E1F-9C92-36A9CD3F3D2C}"/>
            </c:ext>
          </c:extLst>
        </c:ser>
        <c:dLbls>
          <c:showLegendKey val="0"/>
          <c:showVal val="0"/>
          <c:showCatName val="0"/>
          <c:showSerName val="0"/>
          <c:showPercent val="0"/>
          <c:showBubbleSize val="0"/>
        </c:dLbls>
        <c:smooth val="0"/>
        <c:axId val="429328256"/>
        <c:axId val="429329792"/>
      </c:lineChart>
      <c:catAx>
        <c:axId val="429328256"/>
        <c:scaling>
          <c:orientation val="minMax"/>
        </c:scaling>
        <c:delete val="0"/>
        <c:axPos val="b"/>
        <c:majorTickMark val="out"/>
        <c:minorTickMark val="none"/>
        <c:tickLblPos val="nextTo"/>
        <c:crossAx val="429329792"/>
        <c:crosses val="autoZero"/>
        <c:auto val="1"/>
        <c:lblAlgn val="ctr"/>
        <c:lblOffset val="100"/>
        <c:noMultiLvlLbl val="0"/>
      </c:catAx>
      <c:valAx>
        <c:axId val="429329792"/>
        <c:scaling>
          <c:orientation val="minMax"/>
        </c:scaling>
        <c:delete val="0"/>
        <c:axPos val="l"/>
        <c:majorGridlines/>
        <c:numFmt formatCode="0.00" sourceLinked="1"/>
        <c:majorTickMark val="out"/>
        <c:minorTickMark val="none"/>
        <c:tickLblPos val="nextTo"/>
        <c:crossAx val="429328256"/>
        <c:crosses val="autoZero"/>
        <c:crossBetween val="between"/>
      </c:valAx>
    </c:plotArea>
    <c:legend>
      <c:legendPos val="r"/>
      <c:overlay val="0"/>
    </c:legend>
    <c:plotVisOnly val="1"/>
    <c:dispBlanksAs val="gap"/>
    <c:showDLblsOverMax val="0"/>
  </c:chart>
  <c:spPr>
    <a:ln>
      <a:noFill/>
    </a:ln>
  </c:spPr>
  <c:printSettings>
    <c:headerFooter/>
    <c:pageMargins b="0.75000000000001044" l="0.70000000000000062" r="0.70000000000000062" t="0.75000000000001044"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461562037775088"/>
          <c:y val="0.24738739091267262"/>
          <c:w val="0.84923268306644328"/>
          <c:h val="0.48432179347692234"/>
        </c:manualLayout>
      </c:layout>
      <c:lineChart>
        <c:grouping val="standard"/>
        <c:varyColors val="0"/>
        <c:ser>
          <c:idx val="0"/>
          <c:order val="0"/>
          <c:tx>
            <c:strRef>
              <c:f>资产规模指数化分析!$A$25</c:f>
              <c:strCache>
                <c:ptCount val="1"/>
                <c:pt idx="0">
                  <c:v>Working Cash Balance</c:v>
                </c:pt>
              </c:strCache>
            </c:strRef>
          </c:tx>
          <c:spPr>
            <a:ln w="25400" cap="rnd" cmpd="sng" algn="ctr">
              <a:solidFill>
                <a:srgbClr val="EE7B36"/>
              </a:solidFill>
              <a:prstDash val="solid"/>
              <a:round/>
              <a:headEnd type="none" w="med" len="med"/>
              <a:tailEnd type="none" w="med" len="med"/>
            </a:ln>
          </c:spPr>
          <c:marker>
            <c:symbol val="none"/>
          </c:marker>
          <c:cat>
            <c:strRef>
              <c:f>资产规模指数化分析!$C$24:$O$24</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资产规模指数化分析!$C$25:$O$25</c:f>
              <c:numCache>
                <c:formatCode>0.00</c:formatCode>
                <c:ptCount val="13"/>
                <c:pt idx="0">
                  <c:v>-3.0443552328269393E-2</c:v>
                </c:pt>
                <c:pt idx="1">
                  <c:v>-3.8331396115519993E-2</c:v>
                </c:pt>
                <c:pt idx="2">
                  <c:v>-3.8237130799977787E-2</c:v>
                </c:pt>
                <c:pt idx="3">
                  <c:v>-2.5870307391892437E-2</c:v>
                </c:pt>
                <c:pt idx="4">
                  <c:v>-4.2512106229499733E-2</c:v>
                </c:pt>
                <c:pt idx="5">
                  <c:v>-5.9568875144141664E-2</c:v>
                </c:pt>
                <c:pt idx="6">
                  <c:v>-8.6864180209611133E-2</c:v>
                </c:pt>
                <c:pt idx="7">
                  <c:v>-4.7372950585011994E-2</c:v>
                </c:pt>
                <c:pt idx="8">
                  <c:v>-9.966025478534693E-2</c:v>
                </c:pt>
                <c:pt idx="9">
                  <c:v>-0.13441854816154766</c:v>
                </c:pt>
                <c:pt idx="10">
                  <c:v>-0.15063738812343166</c:v>
                </c:pt>
                <c:pt idx="11">
                  <c:v>-0.11496146028478657</c:v>
                </c:pt>
                <c:pt idx="12">
                  <c:v>0.65370806060569864</c:v>
                </c:pt>
              </c:numCache>
            </c:numRef>
          </c:val>
          <c:smooth val="0"/>
          <c:extLst>
            <c:ext xmlns:c16="http://schemas.microsoft.com/office/drawing/2014/chart" uri="{C3380CC4-5D6E-409C-BE32-E72D297353CC}">
              <c16:uniqueId val="{00000000-0CE1-4E43-B236-461616277943}"/>
            </c:ext>
          </c:extLst>
        </c:ser>
        <c:ser>
          <c:idx val="1"/>
          <c:order val="1"/>
          <c:tx>
            <c:strRef>
              <c:f>资产规模指数化分析!$A$26</c:f>
              <c:strCache>
                <c:ptCount val="1"/>
                <c:pt idx="0">
                  <c:v>应收票据(元) </c:v>
                </c:pt>
              </c:strCache>
            </c:strRef>
          </c:tx>
          <c:spPr>
            <a:ln w="25400" cap="rnd" cmpd="sng" algn="ctr">
              <a:solidFill>
                <a:srgbClr val="B4B4B4"/>
              </a:solidFill>
              <a:prstDash val="solid"/>
              <a:round/>
              <a:headEnd type="none" w="med" len="med"/>
              <a:tailEnd type="none" w="med" len="med"/>
            </a:ln>
          </c:spPr>
          <c:marker>
            <c:symbol val="none"/>
          </c:marker>
          <c:cat>
            <c:strRef>
              <c:f>资产规模指数化分析!$C$24:$O$24</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资产规模指数化分析!$C$26:$O$26</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4.6893765506389965E-3</c:v>
                </c:pt>
              </c:numCache>
            </c:numRef>
          </c:val>
          <c:smooth val="0"/>
          <c:extLst>
            <c:ext xmlns:c16="http://schemas.microsoft.com/office/drawing/2014/chart" uri="{C3380CC4-5D6E-409C-BE32-E72D297353CC}">
              <c16:uniqueId val="{00000001-0CE1-4E43-B236-461616277943}"/>
            </c:ext>
          </c:extLst>
        </c:ser>
        <c:ser>
          <c:idx val="2"/>
          <c:order val="2"/>
          <c:tx>
            <c:strRef>
              <c:f>资产规模指数化分析!$A$27</c:f>
              <c:strCache>
                <c:ptCount val="1"/>
                <c:pt idx="0">
                  <c:v>应收账款(元) </c:v>
                </c:pt>
              </c:strCache>
            </c:strRef>
          </c:tx>
          <c:spPr>
            <a:ln w="25400" cap="rnd" cmpd="sng" algn="ctr">
              <a:solidFill>
                <a:srgbClr val="F8C097"/>
              </a:solidFill>
              <a:prstDash val="solid"/>
              <a:round/>
              <a:headEnd type="none" w="med" len="med"/>
              <a:tailEnd type="none" w="med" len="med"/>
            </a:ln>
          </c:spPr>
          <c:marker>
            <c:symbol val="none"/>
          </c:marker>
          <c:cat>
            <c:strRef>
              <c:f>资产规模指数化分析!$C$24:$O$24</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资产规模指数化分析!$C$27:$O$27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7.9157549886701456E-2</c:v>
                </c:pt>
              </c:numCache>
            </c:numRef>
          </c:val>
          <c:smooth val="0"/>
          <c:extLst>
            <c:ext xmlns:c16="http://schemas.microsoft.com/office/drawing/2014/chart" uri="{C3380CC4-5D6E-409C-BE32-E72D297353CC}">
              <c16:uniqueId val="{00000002-0CE1-4E43-B236-461616277943}"/>
            </c:ext>
          </c:extLst>
        </c:ser>
        <c:ser>
          <c:idx val="3"/>
          <c:order val="3"/>
          <c:tx>
            <c:strRef>
              <c:f>资产规模指数化分析!$A$28</c:f>
              <c:strCache>
                <c:ptCount val="1"/>
                <c:pt idx="0">
                  <c:v>预付款项(元) </c:v>
                </c:pt>
              </c:strCache>
            </c:strRef>
          </c:tx>
          <c:spPr>
            <a:ln w="25400" cap="rnd" cmpd="sng" algn="ctr">
              <a:solidFill>
                <a:srgbClr val="DCDCDC"/>
              </a:solidFill>
              <a:prstDash val="solid"/>
              <a:round/>
              <a:headEnd type="none" w="med" len="med"/>
              <a:tailEnd type="none" w="med" len="med"/>
            </a:ln>
          </c:spPr>
          <c:marker>
            <c:symbol val="none"/>
          </c:marker>
          <c:cat>
            <c:strRef>
              <c:f>资产规模指数化分析!$C$24:$O$24</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资产规模指数化分析!$C$28:$O$28</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0.25045956174724276</c:v>
                </c:pt>
              </c:numCache>
            </c:numRef>
          </c:val>
          <c:smooth val="0"/>
          <c:extLst>
            <c:ext xmlns:c16="http://schemas.microsoft.com/office/drawing/2014/chart" uri="{C3380CC4-5D6E-409C-BE32-E72D297353CC}">
              <c16:uniqueId val="{00000003-0CE1-4E43-B236-461616277943}"/>
            </c:ext>
          </c:extLst>
        </c:ser>
        <c:ser>
          <c:idx val="4"/>
          <c:order val="4"/>
          <c:tx>
            <c:strRef>
              <c:f>资产规模指数化分析!$A$29</c:f>
              <c:strCache>
                <c:ptCount val="1"/>
                <c:pt idx="0">
                  <c:v>其他应收款(元) </c:v>
                </c:pt>
              </c:strCache>
            </c:strRef>
          </c:tx>
          <c:spPr>
            <a:ln w="25400" cap="rnd" cmpd="sng" algn="ctr">
              <a:solidFill>
                <a:srgbClr val="F39E64"/>
              </a:solidFill>
              <a:prstDash val="solid"/>
              <a:round/>
              <a:headEnd type="none" w="med" len="med"/>
              <a:tailEnd type="none" w="med" len="med"/>
            </a:ln>
          </c:spPr>
          <c:marker>
            <c:symbol val="none"/>
          </c:marker>
          <c:cat>
            <c:strRef>
              <c:f>资产规模指数化分析!$C$24:$O$24</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资产规模指数化分析!$C$29:$O$29</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3.9645385503218847E-2</c:v>
                </c:pt>
              </c:numCache>
            </c:numRef>
          </c:val>
          <c:smooth val="0"/>
          <c:extLst>
            <c:ext xmlns:c16="http://schemas.microsoft.com/office/drawing/2014/chart" uri="{C3380CC4-5D6E-409C-BE32-E72D297353CC}">
              <c16:uniqueId val="{00000004-0CE1-4E43-B236-461616277943}"/>
            </c:ext>
          </c:extLst>
        </c:ser>
        <c:ser>
          <c:idx val="5"/>
          <c:order val="5"/>
          <c:tx>
            <c:strRef>
              <c:f>资产规模指数化分析!$A$30</c:f>
              <c:strCache>
                <c:ptCount val="1"/>
                <c:pt idx="0">
                  <c:v>存货(元) </c:v>
                </c:pt>
              </c:strCache>
            </c:strRef>
          </c:tx>
          <c:spPr>
            <a:ln w="25400" cap="rnd" cmpd="sng" algn="ctr">
              <a:solidFill>
                <a:srgbClr val="878787"/>
              </a:solidFill>
              <a:prstDash val="solid"/>
              <a:round/>
              <a:headEnd type="none" w="med" len="med"/>
              <a:tailEnd type="none" w="med" len="med"/>
            </a:ln>
          </c:spPr>
          <c:marker>
            <c:symbol val="none"/>
          </c:marker>
          <c:cat>
            <c:strRef>
              <c:f>资产规模指数化分析!$C$24:$O$24</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资产规模指数化分析!$C$30:$O$30</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0.60380668409537541</c:v>
                </c:pt>
              </c:numCache>
            </c:numRef>
          </c:val>
          <c:smooth val="0"/>
          <c:extLst>
            <c:ext xmlns:c16="http://schemas.microsoft.com/office/drawing/2014/chart" uri="{C3380CC4-5D6E-409C-BE32-E72D297353CC}">
              <c16:uniqueId val="{00000005-0CE1-4E43-B236-461616277943}"/>
            </c:ext>
          </c:extLst>
        </c:ser>
        <c:ser>
          <c:idx val="6"/>
          <c:order val="6"/>
          <c:tx>
            <c:strRef>
              <c:f>资产规模指数化分析!$A$32</c:f>
              <c:strCache>
                <c:ptCount val="1"/>
                <c:pt idx="0">
                  <c:v>应付票据(元) </c:v>
                </c:pt>
              </c:strCache>
            </c:strRef>
          </c:tx>
          <c:spPr>
            <a:ln w="25400" cap="rnd" cmpd="sng" algn="ctr">
              <a:solidFill>
                <a:srgbClr val="FCE1CC"/>
              </a:solidFill>
              <a:prstDash val="solid"/>
              <a:round/>
              <a:headEnd type="none" w="med" len="med"/>
              <a:tailEnd type="none" w="med" len="med"/>
            </a:ln>
          </c:spPr>
          <c:marker>
            <c:symbol val="none"/>
          </c:marker>
          <c:cat>
            <c:strRef>
              <c:f>资产规模指数化分析!$C$24:$O$24</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资产规模指数化分析!$C$32:$O$32</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-1.1349601150792683E-2</c:v>
                </c:pt>
              </c:numCache>
            </c:numRef>
          </c:val>
          <c:smooth val="0"/>
          <c:extLst>
            <c:ext xmlns:c16="http://schemas.microsoft.com/office/drawing/2014/chart" uri="{C3380CC4-5D6E-409C-BE32-E72D297353CC}">
              <c16:uniqueId val="{00000006-0CE1-4E43-B236-461616277943}"/>
            </c:ext>
          </c:extLst>
        </c:ser>
        <c:ser>
          <c:idx val="7"/>
          <c:order val="7"/>
          <c:tx>
            <c:strRef>
              <c:f>资产规模指数化分析!$A$33</c:f>
              <c:strCache>
                <c:ptCount val="1"/>
                <c:pt idx="0">
                  <c:v>应付账款(元) </c:v>
                </c:pt>
              </c:strCache>
            </c:strRef>
          </c:tx>
          <c:spPr>
            <a:ln w="28575" cap="rnd" cmpd="sng" algn="ctr">
              <a:solidFill>
                <a:srgbClr val="5A5A5A"/>
              </a:solidFill>
              <a:prstDash val="solid"/>
              <a:round/>
              <a:headEnd type="none" w="med" len="med"/>
              <a:tailEnd type="none" w="med" len="med"/>
            </a:ln>
          </c:spPr>
          <c:marker>
            <c:symbol val="none"/>
          </c:marker>
          <c:cat>
            <c:strRef>
              <c:f>资产规模指数化分析!$C$24:$O$24</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资产规模指数化分析!$C$33:$O$33</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-0.28063504928013744</c:v>
                </c:pt>
              </c:numCache>
            </c:numRef>
          </c:val>
          <c:smooth val="0"/>
          <c:extLst>
            <c:ext xmlns:c16="http://schemas.microsoft.com/office/drawing/2014/chart" uri="{C3380CC4-5D6E-409C-BE32-E72D297353CC}">
              <c16:uniqueId val="{00000007-0CE1-4E43-B236-461616277943}"/>
            </c:ext>
          </c:extLst>
        </c:ser>
        <c:dLbls>
          <c:showLegendKey val="0"/>
          <c:showVal val="0"/>
          <c:showCatName val="0"/>
          <c:showSerName val="0"/>
          <c:showPercent val="0"/>
          <c:showBubbleSize val="0"/>
        </c:dLbls>
        <c:smooth val="0"/>
        <c:axId val="429760512"/>
        <c:axId val="429762048"/>
      </c:lineChart>
      <c:catAx>
        <c:axId val="429760512"/>
        <c:scaling>
          <c:orientation val="minMax"/>
        </c:scaling>
        <c:delete val="0"/>
        <c:axPos val="b"/>
        <c:numFmt formatCode="yyyy/mm/dd" sourceLinked="0"/>
        <c:majorTickMark val="in"/>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zh-CN"/>
          </a:p>
        </c:txPr>
        <c:crossAx val="429762048"/>
        <c:crosses val="autoZero"/>
        <c:auto val="1"/>
        <c:lblAlgn val="ctr"/>
        <c:lblOffset val="100"/>
        <c:noMultiLvlLbl val="0"/>
      </c:catAx>
      <c:valAx>
        <c:axId val="429762048"/>
        <c:scaling>
          <c:orientation val="minMax"/>
        </c:scaling>
        <c:delete val="0"/>
        <c:axPos val="l"/>
        <c:numFmt formatCode="#,##0.00_);[Red]\(#,##0.00\)"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429760512"/>
        <c:crosses val="autoZero"/>
        <c:crossBetween val="between"/>
      </c:valAx>
      <c:spPr>
        <a:noFill/>
        <a:ln w="25400">
          <a:noFill/>
        </a:ln>
      </c:spPr>
    </c:plotArea>
    <c:legend>
      <c:legendPos val="r"/>
      <c:layout>
        <c:manualLayout>
          <c:xMode val="edge"/>
          <c:yMode val="edge"/>
          <c:x val="0.10661764705882359"/>
          <c:y val="4.5705419175544312E-2"/>
          <c:w val="0.8045350856878184"/>
          <c:h val="0.14586150995831387"/>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zh-CN"/>
    </a:p>
  </c:txPr>
  <c:printSettings>
    <c:headerFooter alignWithMargins="0"/>
    <c:pageMargins b="1" l="0.75000000000000411" r="0.75000000000000411" t="1" header="0.5" footer="0.5"/>
    <c:pageSetup paperSize="9"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461562037775088"/>
          <c:y val="0.24738739091267262"/>
          <c:w val="0.84923268306644328"/>
          <c:h val="0.48432179347692234"/>
        </c:manualLayout>
      </c:layout>
      <c:lineChart>
        <c:grouping val="standard"/>
        <c:varyColors val="0"/>
        <c:ser>
          <c:idx val="0"/>
          <c:order val="0"/>
          <c:tx>
            <c:strRef>
              <c:f>资产规模指数化分析!$A$56</c:f>
              <c:strCache>
                <c:ptCount val="1"/>
                <c:pt idx="0">
                  <c:v>Working Cash Balance</c:v>
                </c:pt>
              </c:strCache>
            </c:strRef>
          </c:tx>
          <c:spPr>
            <a:ln w="25400" cap="rnd" cmpd="sng" algn="ctr">
              <a:solidFill>
                <a:srgbClr val="EE7B36"/>
              </a:solidFill>
              <a:prstDash val="solid"/>
              <a:round/>
              <a:headEnd type="none" w="med" len="med"/>
              <a:tailEnd type="none" w="med" len="med"/>
            </a:ln>
          </c:spPr>
          <c:marker>
            <c:symbol val="none"/>
          </c:marker>
          <c:cat>
            <c:strRef>
              <c:f>资产规模指数化分析!$C$55:$O$55</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资产规模指数化分析!$C$56:$O$56</c:f>
              <c:numCache>
                <c:formatCode>0.00</c:formatCode>
                <c:ptCount val="13"/>
                <c:pt idx="0">
                  <c:v>0.24826007551427245</c:v>
                </c:pt>
                <c:pt idx="1">
                  <c:v>0.24826007551427245</c:v>
                </c:pt>
                <c:pt idx="2">
                  <c:v>0.24826007551427248</c:v>
                </c:pt>
                <c:pt idx="3">
                  <c:v>0.24826007551427245</c:v>
                </c:pt>
                <c:pt idx="4">
                  <c:v>0.29006434479568172</c:v>
                </c:pt>
                <c:pt idx="5">
                  <c:v>0.29006434479568177</c:v>
                </c:pt>
                <c:pt idx="6">
                  <c:v>0.29006434479568172</c:v>
                </c:pt>
                <c:pt idx="7">
                  <c:v>0.29006434479568177</c:v>
                </c:pt>
                <c:pt idx="8">
                  <c:v>0.3776406191251076</c:v>
                </c:pt>
                <c:pt idx="9">
                  <c:v>0.3776406191251076</c:v>
                </c:pt>
                <c:pt idx="10">
                  <c:v>0.3776406191251076</c:v>
                </c:pt>
                <c:pt idx="11">
                  <c:v>0.3776406191251076</c:v>
                </c:pt>
                <c:pt idx="12">
                  <c:v>0.4450428671614014</c:v>
                </c:pt>
              </c:numCache>
            </c:numRef>
          </c:val>
          <c:smooth val="0"/>
          <c:extLst>
            <c:ext xmlns:c16="http://schemas.microsoft.com/office/drawing/2014/chart" uri="{C3380CC4-5D6E-409C-BE32-E72D297353CC}">
              <c16:uniqueId val="{00000000-A1B9-43BE-B917-1FD3DBEEE6E8}"/>
            </c:ext>
          </c:extLst>
        </c:ser>
        <c:ser>
          <c:idx val="1"/>
          <c:order val="1"/>
          <c:tx>
            <c:strRef>
              <c:f>资产规模指数化分析!$A$57</c:f>
              <c:strCache>
                <c:ptCount val="1"/>
                <c:pt idx="0">
                  <c:v>应收票据(元) </c:v>
                </c:pt>
              </c:strCache>
            </c:strRef>
          </c:tx>
          <c:spPr>
            <a:ln w="25400" cap="rnd" cmpd="sng" algn="ctr">
              <a:solidFill>
                <a:srgbClr val="B4B4B4"/>
              </a:solidFill>
              <a:prstDash val="solid"/>
              <a:round/>
              <a:headEnd type="none" w="med" len="med"/>
              <a:tailEnd type="none" w="med" len="med"/>
            </a:ln>
          </c:spPr>
          <c:marker>
            <c:symbol val="none"/>
          </c:marker>
          <c:cat>
            <c:strRef>
              <c:f>资产规模指数化分析!$C$55:$O$55</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资产规模指数化分析!$C$57:$O$57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3.1925162179614534E-3</c:v>
                </c:pt>
              </c:numCache>
            </c:numRef>
          </c:val>
          <c:smooth val="0"/>
          <c:extLst>
            <c:ext xmlns:c16="http://schemas.microsoft.com/office/drawing/2014/chart" uri="{C3380CC4-5D6E-409C-BE32-E72D297353CC}">
              <c16:uniqueId val="{00000001-A1B9-43BE-B917-1FD3DBEEE6E8}"/>
            </c:ext>
          </c:extLst>
        </c:ser>
        <c:ser>
          <c:idx val="2"/>
          <c:order val="2"/>
          <c:tx>
            <c:strRef>
              <c:f>资产规模指数化分析!$A$58</c:f>
              <c:strCache>
                <c:ptCount val="1"/>
                <c:pt idx="0">
                  <c:v>应收账款(元) </c:v>
                </c:pt>
              </c:strCache>
            </c:strRef>
          </c:tx>
          <c:spPr>
            <a:ln w="25400" cap="rnd" cmpd="sng" algn="ctr">
              <a:solidFill>
                <a:srgbClr val="F8C097"/>
              </a:solidFill>
              <a:prstDash val="solid"/>
              <a:round/>
              <a:headEnd type="none" w="med" len="med"/>
              <a:tailEnd type="none" w="med" len="med"/>
            </a:ln>
          </c:spPr>
          <c:marker>
            <c:symbol val="none"/>
          </c:marker>
          <c:cat>
            <c:strRef>
              <c:f>资产规模指数化分析!$C$55:$O$55</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资产规模指数化分析!$C$58:$O$58</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5.3890268580148788E-2</c:v>
                </c:pt>
              </c:numCache>
            </c:numRef>
          </c:val>
          <c:smooth val="0"/>
          <c:extLst>
            <c:ext xmlns:c16="http://schemas.microsoft.com/office/drawing/2014/chart" uri="{C3380CC4-5D6E-409C-BE32-E72D297353CC}">
              <c16:uniqueId val="{00000002-A1B9-43BE-B917-1FD3DBEEE6E8}"/>
            </c:ext>
          </c:extLst>
        </c:ser>
        <c:ser>
          <c:idx val="3"/>
          <c:order val="3"/>
          <c:tx>
            <c:strRef>
              <c:f>资产规模指数化分析!$A$59</c:f>
              <c:strCache>
                <c:ptCount val="1"/>
                <c:pt idx="0">
                  <c:v>预付款项(元) </c:v>
                </c:pt>
              </c:strCache>
            </c:strRef>
          </c:tx>
          <c:spPr>
            <a:ln w="25400" cap="rnd" cmpd="sng" algn="ctr">
              <a:solidFill>
                <a:srgbClr val="DCDCDC"/>
              </a:solidFill>
              <a:prstDash val="solid"/>
              <a:round/>
              <a:headEnd type="none" w="med" len="med"/>
              <a:tailEnd type="none" w="med" len="med"/>
            </a:ln>
          </c:spPr>
          <c:marker>
            <c:symbol val="none"/>
          </c:marker>
          <c:cat>
            <c:strRef>
              <c:f>资产规模指数化分析!$C$55:$O$55</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资产规模指数化分析!$C$59:$O$59</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0.1705122640903371</c:v>
                </c:pt>
              </c:numCache>
            </c:numRef>
          </c:val>
          <c:smooth val="0"/>
          <c:extLst>
            <c:ext xmlns:c16="http://schemas.microsoft.com/office/drawing/2014/chart" uri="{C3380CC4-5D6E-409C-BE32-E72D297353CC}">
              <c16:uniqueId val="{00000003-A1B9-43BE-B917-1FD3DBEEE6E8}"/>
            </c:ext>
          </c:extLst>
        </c:ser>
        <c:ser>
          <c:idx val="4"/>
          <c:order val="4"/>
          <c:tx>
            <c:strRef>
              <c:f>资产规模指数化分析!$A$60</c:f>
              <c:strCache>
                <c:ptCount val="1"/>
                <c:pt idx="0">
                  <c:v>其他应收款(元) </c:v>
                </c:pt>
              </c:strCache>
            </c:strRef>
          </c:tx>
          <c:spPr>
            <a:ln w="25400" cap="rnd" cmpd="sng" algn="ctr">
              <a:solidFill>
                <a:srgbClr val="F39E64"/>
              </a:solidFill>
              <a:prstDash val="solid"/>
              <a:round/>
              <a:headEnd type="none" w="med" len="med"/>
              <a:tailEnd type="none" w="med" len="med"/>
            </a:ln>
          </c:spPr>
          <c:marker>
            <c:symbol val="none"/>
          </c:marker>
          <c:cat>
            <c:strRef>
              <c:f>资产规模指数化分析!$C$55:$O$55</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资产规模指数化分析!$C$60:$O$60</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2.6990482598185307E-2</c:v>
                </c:pt>
              </c:numCache>
            </c:numRef>
          </c:val>
          <c:smooth val="0"/>
          <c:extLst>
            <c:ext xmlns:c16="http://schemas.microsoft.com/office/drawing/2014/chart" uri="{C3380CC4-5D6E-409C-BE32-E72D297353CC}">
              <c16:uniqueId val="{00000004-A1B9-43BE-B917-1FD3DBEEE6E8}"/>
            </c:ext>
          </c:extLst>
        </c:ser>
        <c:ser>
          <c:idx val="5"/>
          <c:order val="5"/>
          <c:tx>
            <c:strRef>
              <c:f>资产规模指数化分析!$A$61</c:f>
              <c:strCache>
                <c:ptCount val="1"/>
                <c:pt idx="0">
                  <c:v>存货(元) </c:v>
                </c:pt>
              </c:strCache>
            </c:strRef>
          </c:tx>
          <c:spPr>
            <a:ln w="25400" cap="rnd" cmpd="sng" algn="ctr">
              <a:solidFill>
                <a:srgbClr val="878787"/>
              </a:solidFill>
              <a:prstDash val="solid"/>
              <a:round/>
              <a:headEnd type="none" w="med" len="med"/>
              <a:tailEnd type="none" w="med" len="med"/>
            </a:ln>
          </c:spPr>
          <c:marker>
            <c:symbol val="none"/>
          </c:marker>
          <c:cat>
            <c:strRef>
              <c:f>资产规模指数化分析!$C$55:$O$55</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资产规模指数化分析!$C$61:$O$61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0.41107013068194354</c:v>
                </c:pt>
              </c:numCache>
            </c:numRef>
          </c:val>
          <c:smooth val="0"/>
          <c:extLst>
            <c:ext xmlns:c16="http://schemas.microsoft.com/office/drawing/2014/chart" uri="{C3380CC4-5D6E-409C-BE32-E72D297353CC}">
              <c16:uniqueId val="{00000005-A1B9-43BE-B917-1FD3DBEEE6E8}"/>
            </c:ext>
          </c:extLst>
        </c:ser>
        <c:ser>
          <c:idx val="6"/>
          <c:order val="6"/>
          <c:tx>
            <c:strRef>
              <c:f>资产规模指数化分析!$A$63</c:f>
              <c:strCache>
                <c:ptCount val="1"/>
                <c:pt idx="0">
                  <c:v>应付票据(元) </c:v>
                </c:pt>
              </c:strCache>
            </c:strRef>
          </c:tx>
          <c:spPr>
            <a:ln w="25400" cap="rnd" cmpd="sng" algn="ctr">
              <a:solidFill>
                <a:srgbClr val="FCE1CC"/>
              </a:solidFill>
              <a:prstDash val="solid"/>
              <a:round/>
              <a:headEnd type="none" w="med" len="med"/>
              <a:tailEnd type="none" w="med" len="med"/>
            </a:ln>
          </c:spPr>
          <c:marker>
            <c:symbol val="none"/>
          </c:marker>
          <c:cat>
            <c:strRef>
              <c:f>资产规模指数化分析!$C$55:$O$55</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资产规模指数化分析!$C$63:$O$63</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-7.7267810230258072E-3</c:v>
                </c:pt>
              </c:numCache>
            </c:numRef>
          </c:val>
          <c:smooth val="0"/>
          <c:extLst>
            <c:ext xmlns:c16="http://schemas.microsoft.com/office/drawing/2014/chart" uri="{C3380CC4-5D6E-409C-BE32-E72D297353CC}">
              <c16:uniqueId val="{00000006-A1B9-43BE-B917-1FD3DBEEE6E8}"/>
            </c:ext>
          </c:extLst>
        </c:ser>
        <c:ser>
          <c:idx val="7"/>
          <c:order val="7"/>
          <c:tx>
            <c:strRef>
              <c:f>资产规模指数化分析!$A$64</c:f>
              <c:strCache>
                <c:ptCount val="1"/>
                <c:pt idx="0">
                  <c:v>应付账款(元) </c:v>
                </c:pt>
              </c:strCache>
            </c:strRef>
          </c:tx>
          <c:spPr>
            <a:ln w="28575" cap="rnd" cmpd="sng" algn="ctr">
              <a:solidFill>
                <a:srgbClr val="5A5A5A"/>
              </a:solidFill>
              <a:prstDash val="solid"/>
              <a:round/>
              <a:headEnd type="none" w="med" len="med"/>
              <a:tailEnd type="none" w="med" len="med"/>
            </a:ln>
          </c:spPr>
          <c:marker>
            <c:symbol val="none"/>
          </c:marker>
          <c:cat>
            <c:strRef>
              <c:f>资产规模指数化分析!$C$55:$O$55</c:f>
              <c:strCache>
                <c:ptCount val="13"/>
                <c:pt idx="0">
                  <c:v>2009-03-31</c:v>
                </c:pt>
                <c:pt idx="1">
                  <c:v>2009-06-30</c:v>
                </c:pt>
                <c:pt idx="2">
                  <c:v>2009-09-30</c:v>
                </c:pt>
                <c:pt idx="3">
                  <c:v>2009-12-31</c:v>
                </c:pt>
                <c:pt idx="4">
                  <c:v>2010-03-31</c:v>
                </c:pt>
                <c:pt idx="5">
                  <c:v>2010-06-30</c:v>
                </c:pt>
                <c:pt idx="6">
                  <c:v>2010-09-30</c:v>
                </c:pt>
                <c:pt idx="7">
                  <c:v>2010-12-31</c:v>
                </c:pt>
                <c:pt idx="8">
                  <c:v>2011-03-31</c:v>
                </c:pt>
                <c:pt idx="9">
                  <c:v>2011-06-30</c:v>
                </c:pt>
                <c:pt idx="10">
                  <c:v>2011-09-30</c:v>
                </c:pt>
                <c:pt idx="11">
                  <c:v>2011-12-31</c:v>
                </c:pt>
                <c:pt idx="12">
                  <c:v>2012E</c:v>
                </c:pt>
              </c:strCache>
            </c:strRef>
          </c:cat>
          <c:val>
            <c:numRef>
              <c:f>资产规模指数化分析!$C$64:$O$64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-0.19105566304611785</c:v>
                </c:pt>
              </c:numCache>
            </c:numRef>
          </c:val>
          <c:smooth val="0"/>
          <c:extLst>
            <c:ext xmlns:c16="http://schemas.microsoft.com/office/drawing/2014/chart" uri="{C3380CC4-5D6E-409C-BE32-E72D297353CC}">
              <c16:uniqueId val="{00000007-A1B9-43BE-B917-1FD3DBEEE6E8}"/>
            </c:ext>
          </c:extLst>
        </c:ser>
        <c:dLbls>
          <c:showLegendKey val="0"/>
          <c:showVal val="0"/>
          <c:showCatName val="0"/>
          <c:showSerName val="0"/>
          <c:showPercent val="0"/>
          <c:showBubbleSize val="0"/>
        </c:dLbls>
        <c:smooth val="0"/>
        <c:axId val="429827968"/>
        <c:axId val="429829504"/>
      </c:lineChart>
      <c:catAx>
        <c:axId val="429827968"/>
        <c:scaling>
          <c:orientation val="minMax"/>
        </c:scaling>
        <c:delete val="0"/>
        <c:axPos val="b"/>
        <c:numFmt formatCode="yyyy/mm/dd" sourceLinked="0"/>
        <c:majorTickMark val="in"/>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zh-CN"/>
          </a:p>
        </c:txPr>
        <c:crossAx val="429829504"/>
        <c:crosses val="autoZero"/>
        <c:auto val="1"/>
        <c:lblAlgn val="ctr"/>
        <c:lblOffset val="100"/>
        <c:noMultiLvlLbl val="0"/>
      </c:catAx>
      <c:valAx>
        <c:axId val="429829504"/>
        <c:scaling>
          <c:orientation val="minMax"/>
        </c:scaling>
        <c:delete val="0"/>
        <c:axPos val="l"/>
        <c:numFmt formatCode="#,##0.00_);[Red]\(#,##0.00\)"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429827968"/>
        <c:crosses val="autoZero"/>
        <c:crossBetween val="between"/>
      </c:valAx>
      <c:spPr>
        <a:noFill/>
        <a:ln w="25400">
          <a:noFill/>
        </a:ln>
      </c:spPr>
    </c:plotArea>
    <c:legend>
      <c:legendPos val="r"/>
      <c:layout>
        <c:manualLayout>
          <c:xMode val="edge"/>
          <c:yMode val="edge"/>
          <c:x val="0.10661764705882359"/>
          <c:y val="4.5705419175544312E-2"/>
          <c:w val="0.8045350856878184"/>
          <c:h val="0.14586150995831387"/>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zh-CN"/>
    </a:p>
  </c:txPr>
  <c:printSettings>
    <c:headerFooter alignWithMargins="0"/>
    <c:pageMargins b="1" l="0.75000000000000411" r="0.75000000000000411" t="1" header="0.5" footer="0.5"/>
    <c:pageSetup paperSize="9" orientation="landscape"/>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381574981963416E-2"/>
          <c:y val="7.5409836065573776E-2"/>
          <c:w val="0.90024992465730491"/>
          <c:h val="0.73442622950819669"/>
        </c:manualLayout>
      </c:layout>
      <c:lineChart>
        <c:grouping val="standard"/>
        <c:varyColors val="0"/>
        <c:ser>
          <c:idx val="0"/>
          <c:order val="0"/>
          <c:tx>
            <c:strRef>
              <c:f>报告期利润变化!$A$48</c:f>
              <c:strCache>
                <c:ptCount val="1"/>
                <c:pt idx="0">
                  <c:v>净利润增长率</c:v>
                </c:pt>
              </c:strCache>
            </c:strRef>
          </c:tx>
          <c:spPr>
            <a:ln w="25400">
              <a:solidFill>
                <a:srgbClr val="333399"/>
              </a:solidFill>
              <a:prstDash val="solid"/>
            </a:ln>
          </c:spPr>
          <c:marker>
            <c:symbol val="none"/>
          </c:marker>
          <c:cat>
            <c:strRef>
              <c:f>报告期利润变化!$C$2:$N$2</c:f>
              <c:strCache>
                <c:ptCount val="9"/>
                <c:pt idx="0">
                  <c:v>2021-12-31</c:v>
                </c:pt>
                <c:pt idx="1">
                  <c:v>2022-03-31</c:v>
                </c:pt>
                <c:pt idx="2">
                  <c:v>2022-06-30</c:v>
                </c:pt>
                <c:pt idx="3">
                  <c:v>2022-09-30</c:v>
                </c:pt>
                <c:pt idx="4">
                  <c:v>2022-12-31</c:v>
                </c:pt>
                <c:pt idx="5">
                  <c:v>2023-03-31</c:v>
                </c:pt>
                <c:pt idx="6">
                  <c:v>2023-06-30</c:v>
                </c:pt>
                <c:pt idx="7">
                  <c:v>2023-09-30</c:v>
                </c:pt>
                <c:pt idx="8">
                  <c:v>2023-12-31</c:v>
                </c:pt>
              </c:strCache>
            </c:strRef>
          </c:cat>
          <c:val>
            <c:numRef>
              <c:f>报告期利润变化!$C$45:$N$45</c:f>
              <c:numCache>
                <c:formatCode>0.0%</c:formatCode>
                <c:ptCount val="9"/>
                <c:pt idx="0">
                  <c:v>0</c:v>
                </c:pt>
                <c:pt idx="1">
                  <c:v>0</c:v>
                </c:pt>
                <c:pt idx="2">
                  <c:v>0</c:v>
                </c:pt>
                <c:pt idx="3">
                  <c:v>0</c:v>
                </c:pt>
                <c:pt idx="4">
                  <c:v>-0.73548959845414108</c:v>
                </c:pt>
                <c:pt idx="5">
                  <c:v>-0.41601389993819138</c:v>
                </c:pt>
                <c:pt idx="6">
                  <c:v>-0.75379776257457642</c:v>
                </c:pt>
                <c:pt idx="7">
                  <c:v>-0.70241832583423958</c:v>
                </c:pt>
                <c:pt idx="8">
                  <c:v>-1</c:v>
                </c:pt>
              </c:numCache>
            </c:numRef>
          </c:val>
          <c:smooth val="0"/>
          <c:extLst>
            <c:ext xmlns:c16="http://schemas.microsoft.com/office/drawing/2014/chart" uri="{C3380CC4-5D6E-409C-BE32-E72D297353CC}">
              <c16:uniqueId val="{00000000-8E1F-46FD-A73E-09E82A38AB9D}"/>
            </c:ext>
          </c:extLst>
        </c:ser>
        <c:dLbls>
          <c:showLegendKey val="0"/>
          <c:showVal val="0"/>
          <c:showCatName val="0"/>
          <c:showSerName val="0"/>
          <c:showPercent val="0"/>
          <c:showBubbleSize val="0"/>
        </c:dLbls>
        <c:marker val="1"/>
        <c:smooth val="0"/>
        <c:axId val="430695552"/>
        <c:axId val="430697088"/>
      </c:lineChart>
      <c:lineChart>
        <c:grouping val="standard"/>
        <c:varyColors val="0"/>
        <c:ser>
          <c:idx val="1"/>
          <c:order val="1"/>
          <c:tx>
            <c:strRef>
              <c:f>报告期利润变化!$A$49</c:f>
              <c:strCache>
                <c:ptCount val="1"/>
                <c:pt idx="0">
                  <c:v>净利润增长率(环比)</c:v>
                </c:pt>
              </c:strCache>
            </c:strRef>
          </c:tx>
          <c:spPr>
            <a:ln w="25400">
              <a:solidFill>
                <a:srgbClr val="C00000"/>
              </a:solidFill>
              <a:prstDash val="solid"/>
            </a:ln>
          </c:spPr>
          <c:marker>
            <c:symbol val="none"/>
          </c:marker>
          <c:cat>
            <c:strRef>
              <c:f>报告期利润变化!$C$2:$N$2</c:f>
              <c:strCache>
                <c:ptCount val="9"/>
                <c:pt idx="0">
                  <c:v>2021-12-31</c:v>
                </c:pt>
                <c:pt idx="1">
                  <c:v>2022-03-31</c:v>
                </c:pt>
                <c:pt idx="2">
                  <c:v>2022-06-30</c:v>
                </c:pt>
                <c:pt idx="3">
                  <c:v>2022-09-30</c:v>
                </c:pt>
                <c:pt idx="4">
                  <c:v>2022-12-31</c:v>
                </c:pt>
                <c:pt idx="5">
                  <c:v>2023-03-31</c:v>
                </c:pt>
                <c:pt idx="6">
                  <c:v>2023-06-30</c:v>
                </c:pt>
                <c:pt idx="7">
                  <c:v>2023-09-30</c:v>
                </c:pt>
                <c:pt idx="8">
                  <c:v>2023-12-31</c:v>
                </c:pt>
              </c:strCache>
            </c:strRef>
          </c:cat>
          <c:val>
            <c:numRef>
              <c:f>报告期利润变化!$C$46:$N$46</c:f>
              <c:numCache>
                <c:formatCode>0.0%</c:formatCode>
                <c:ptCount val="9"/>
                <c:pt idx="0">
                  <c:v>0</c:v>
                </c:pt>
                <c:pt idx="1">
                  <c:v>0</c:v>
                </c:pt>
                <c:pt idx="2">
                  <c:v>0.46852580336126826</c:v>
                </c:pt>
                <c:pt idx="3">
                  <c:v>-0.83792972848519987</c:v>
                </c:pt>
                <c:pt idx="4">
                  <c:v>-4.8247205136511973</c:v>
                </c:pt>
                <c:pt idx="5">
                  <c:v>-1.641531319579717</c:v>
                </c:pt>
                <c:pt idx="6">
                  <c:v>-0.95929616155999098</c:v>
                </c:pt>
                <c:pt idx="7">
                  <c:v>7.3152397547722643</c:v>
                </c:pt>
                <c:pt idx="8">
                  <c:v>0</c:v>
                </c:pt>
              </c:numCache>
            </c:numRef>
          </c:val>
          <c:smooth val="0"/>
          <c:extLst>
            <c:ext xmlns:c16="http://schemas.microsoft.com/office/drawing/2014/chart" uri="{C3380CC4-5D6E-409C-BE32-E72D297353CC}">
              <c16:uniqueId val="{00000001-8E1F-46FD-A73E-09E82A38AB9D}"/>
            </c:ext>
          </c:extLst>
        </c:ser>
        <c:dLbls>
          <c:showLegendKey val="0"/>
          <c:showVal val="0"/>
          <c:showCatName val="0"/>
          <c:showSerName val="0"/>
          <c:showPercent val="0"/>
          <c:showBubbleSize val="0"/>
        </c:dLbls>
        <c:marker val="1"/>
        <c:smooth val="0"/>
        <c:axId val="430518656"/>
        <c:axId val="430520192"/>
      </c:lineChart>
      <c:catAx>
        <c:axId val="430695552"/>
        <c:scaling>
          <c:orientation val="minMax"/>
        </c:scaling>
        <c:delete val="0"/>
        <c:axPos val="b"/>
        <c:numFmt formatCode="[$-409]mmm/yy;@" sourceLinked="0"/>
        <c:majorTickMark val="in"/>
        <c:minorTickMark val="none"/>
        <c:tickLblPos val="nextTo"/>
        <c:spPr>
          <a:ln w="3175">
            <a:solidFill>
              <a:srgbClr val="333333"/>
            </a:solidFill>
            <a:prstDash val="solid"/>
          </a:ln>
        </c:spPr>
        <c:txPr>
          <a:bodyPr rot="-5400000" vert="horz"/>
          <a:lstStyle/>
          <a:p>
            <a:pPr>
              <a:defRPr sz="900" b="1" i="0" u="none" strike="noStrike" baseline="0">
                <a:solidFill>
                  <a:srgbClr val="333333"/>
                </a:solidFill>
                <a:latin typeface="宋体"/>
                <a:ea typeface="宋体"/>
                <a:cs typeface="宋体"/>
              </a:defRPr>
            </a:pPr>
            <a:endParaRPr lang="zh-CN"/>
          </a:p>
        </c:txPr>
        <c:crossAx val="430697088"/>
        <c:crossesAt val="0"/>
        <c:auto val="1"/>
        <c:lblAlgn val="ctr"/>
        <c:lblOffset val="100"/>
        <c:tickLblSkip val="1"/>
        <c:tickMarkSkip val="1"/>
        <c:noMultiLvlLbl val="0"/>
      </c:catAx>
      <c:valAx>
        <c:axId val="430697088"/>
        <c:scaling>
          <c:orientation val="minMax"/>
        </c:scaling>
        <c:delete val="0"/>
        <c:axPos val="l"/>
        <c:numFmt formatCode="0%" sourceLinked="0"/>
        <c:majorTickMark val="in"/>
        <c:minorTickMark val="none"/>
        <c:tickLblPos val="nextTo"/>
        <c:spPr>
          <a:ln w="3175">
            <a:solidFill>
              <a:srgbClr val="333333"/>
            </a:solidFill>
            <a:prstDash val="solid"/>
          </a:ln>
        </c:spPr>
        <c:txPr>
          <a:bodyPr rot="0" vert="horz"/>
          <a:lstStyle/>
          <a:p>
            <a:pPr rtl="0">
              <a:defRPr sz="900" b="1" i="0" u="none" strike="noStrike" baseline="0">
                <a:solidFill>
                  <a:srgbClr val="333333"/>
                </a:solidFill>
                <a:latin typeface="宋体"/>
                <a:ea typeface="宋体"/>
                <a:cs typeface="宋体"/>
              </a:defRPr>
            </a:pPr>
            <a:endParaRPr lang="zh-CN"/>
          </a:p>
        </c:txPr>
        <c:crossAx val="430695552"/>
        <c:crosses val="autoZero"/>
        <c:crossBetween val="between"/>
      </c:valAx>
      <c:catAx>
        <c:axId val="430518656"/>
        <c:scaling>
          <c:orientation val="minMax"/>
        </c:scaling>
        <c:delete val="1"/>
        <c:axPos val="b"/>
        <c:numFmt formatCode="General" sourceLinked="1"/>
        <c:majorTickMark val="out"/>
        <c:minorTickMark val="none"/>
        <c:tickLblPos val="nextTo"/>
        <c:crossAx val="430520192"/>
        <c:crossesAt val="0"/>
        <c:auto val="1"/>
        <c:lblAlgn val="ctr"/>
        <c:lblOffset val="100"/>
        <c:noMultiLvlLbl val="0"/>
      </c:catAx>
      <c:valAx>
        <c:axId val="430520192"/>
        <c:scaling>
          <c:orientation val="minMax"/>
        </c:scaling>
        <c:delete val="0"/>
        <c:axPos val="r"/>
        <c:numFmt formatCode="0%" sourceLinked="0"/>
        <c:majorTickMark val="in"/>
        <c:minorTickMark val="none"/>
        <c:tickLblPos val="nextTo"/>
        <c:spPr>
          <a:ln w="3175">
            <a:solidFill>
              <a:srgbClr val="000000"/>
            </a:solidFill>
            <a:prstDash val="solid"/>
          </a:ln>
        </c:spPr>
        <c:txPr>
          <a:bodyPr rot="0" vert="horz"/>
          <a:lstStyle/>
          <a:p>
            <a:pPr>
              <a:defRPr sz="900" b="1" i="0" u="none" strike="noStrike" baseline="0">
                <a:solidFill>
                  <a:srgbClr val="333333"/>
                </a:solidFill>
                <a:latin typeface="宋体"/>
                <a:ea typeface="宋体"/>
                <a:cs typeface="宋体"/>
              </a:defRPr>
            </a:pPr>
            <a:endParaRPr lang="zh-CN"/>
          </a:p>
        </c:txPr>
        <c:crossAx val="430518656"/>
        <c:crosses val="max"/>
        <c:crossBetween val="between"/>
      </c:valAx>
    </c:plotArea>
    <c:legend>
      <c:legendPos val="r"/>
      <c:layout>
        <c:manualLayout>
          <c:xMode val="edge"/>
          <c:yMode val="edge"/>
          <c:x val="0.16583535770899926"/>
          <c:y val="1.6393442622950821E-2"/>
          <c:w val="0.6384039915802604"/>
          <c:h val="5.2459016393442623E-2"/>
        </c:manualLayout>
      </c:layout>
      <c:overlay val="0"/>
      <c:spPr>
        <a:solidFill>
          <a:srgbClr val="FFFFFF"/>
        </a:solidFill>
        <a:ln w="25400">
          <a:noFill/>
        </a:ln>
      </c:spPr>
      <c:txPr>
        <a:bodyPr/>
        <a:lstStyle/>
        <a:p>
          <a:pPr>
            <a:defRPr sz="825" b="1" i="0" u="none" strike="noStrike" baseline="0">
              <a:solidFill>
                <a:srgbClr val="333333"/>
              </a:solidFill>
              <a:latin typeface="宋体"/>
              <a:ea typeface="宋体"/>
              <a:cs typeface="宋体"/>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900" b="1" i="0" u="none" strike="noStrike" baseline="0">
          <a:solidFill>
            <a:srgbClr val="333333"/>
          </a:solidFill>
          <a:latin typeface="宋体"/>
          <a:ea typeface="宋体"/>
          <a:cs typeface="宋体"/>
        </a:defRPr>
      </a:pPr>
      <a:endParaRPr lang="zh-CN"/>
    </a:p>
  </c:txPr>
  <c:printSettings>
    <c:headerFooter alignWithMargins="0">
      <c:oddHeader>&amp;A</c:oddHeader>
      <c:oddFooter>Page &amp;P</c:oddFooter>
    </c:headerFooter>
    <c:pageMargins b="1" l="0.75" r="0.75" t="1" header="0.5" footer="0.5"/>
    <c:pageSetup paperSize="9" orientation="landscape" horizontalDpi="1200" verticalDpi="12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AN$44" fmlaRange="$A$25:$A$43" noThreeD="1" sel="15" val="11"/>
</file>

<file path=xl/ctrlProps/ctrlProp3.xml><?xml version="1.0" encoding="utf-8"?>
<formControlPr xmlns="http://schemas.microsoft.com/office/spreadsheetml/2009/9/main" objectType="Drop" dropStyle="combo" dx="16" fmlaLink="$AO$44" fmlaRange="$A$25:$A$43" noThreeD="1" sel="16" val="11"/>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49.png"/></Relationships>
</file>

<file path=xl/drawings/_rels/drawing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xml"/><Relationship Id="rId7" Type="http://schemas.openxmlformats.org/officeDocument/2006/relationships/chart" Target="../charts/chart30.xml"/><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chart" Target="../charts/chart29.xml"/><Relationship Id="rId5" Type="http://schemas.openxmlformats.org/officeDocument/2006/relationships/chart" Target="../charts/chart28.xml"/><Relationship Id="rId4" Type="http://schemas.openxmlformats.org/officeDocument/2006/relationships/chart" Target="../charts/chart27.xml"/></Relationships>
</file>

<file path=xl/drawings/_rels/drawing13.xml.rels><?xml version="1.0" encoding="UTF-8" standalone="yes"?>
<Relationships xmlns="http://schemas.openxmlformats.org/package/2006/relationships"><Relationship Id="rId2" Type="http://schemas.openxmlformats.org/officeDocument/2006/relationships/image" Target="../media/image147.png"/><Relationship Id="rId1" Type="http://schemas.openxmlformats.org/officeDocument/2006/relationships/image" Target="../media/image146.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31.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3" Type="http://schemas.openxmlformats.org/officeDocument/2006/relationships/image" Target="../media/image22.emf"/><Relationship Id="rId18" Type="http://schemas.openxmlformats.org/officeDocument/2006/relationships/image" Target="../media/image27.emf"/><Relationship Id="rId26" Type="http://schemas.openxmlformats.org/officeDocument/2006/relationships/image" Target="../media/image35.emf"/><Relationship Id="rId3" Type="http://schemas.openxmlformats.org/officeDocument/2006/relationships/image" Target="../media/image12.emf"/><Relationship Id="rId21" Type="http://schemas.openxmlformats.org/officeDocument/2006/relationships/image" Target="../media/image30.emf"/><Relationship Id="rId34" Type="http://schemas.openxmlformats.org/officeDocument/2006/relationships/image" Target="../media/image43.emf"/><Relationship Id="rId7" Type="http://schemas.openxmlformats.org/officeDocument/2006/relationships/image" Target="../media/image16.emf"/><Relationship Id="rId12" Type="http://schemas.openxmlformats.org/officeDocument/2006/relationships/image" Target="../media/image21.emf"/><Relationship Id="rId17" Type="http://schemas.openxmlformats.org/officeDocument/2006/relationships/image" Target="../media/image26.emf"/><Relationship Id="rId25" Type="http://schemas.openxmlformats.org/officeDocument/2006/relationships/image" Target="../media/image34.emf"/><Relationship Id="rId33" Type="http://schemas.openxmlformats.org/officeDocument/2006/relationships/image" Target="../media/image42.emf"/><Relationship Id="rId2" Type="http://schemas.openxmlformats.org/officeDocument/2006/relationships/image" Target="../media/image11.emf"/><Relationship Id="rId16" Type="http://schemas.openxmlformats.org/officeDocument/2006/relationships/image" Target="../media/image25.emf"/><Relationship Id="rId20" Type="http://schemas.openxmlformats.org/officeDocument/2006/relationships/image" Target="../media/image29.emf"/><Relationship Id="rId29" Type="http://schemas.openxmlformats.org/officeDocument/2006/relationships/image" Target="../media/image38.emf"/><Relationship Id="rId1" Type="http://schemas.openxmlformats.org/officeDocument/2006/relationships/image" Target="../media/image10.emf"/><Relationship Id="rId6" Type="http://schemas.openxmlformats.org/officeDocument/2006/relationships/image" Target="../media/image15.emf"/><Relationship Id="rId11" Type="http://schemas.openxmlformats.org/officeDocument/2006/relationships/image" Target="../media/image20.emf"/><Relationship Id="rId24" Type="http://schemas.openxmlformats.org/officeDocument/2006/relationships/image" Target="../media/image33.emf"/><Relationship Id="rId32" Type="http://schemas.openxmlformats.org/officeDocument/2006/relationships/image" Target="../media/image41.emf"/><Relationship Id="rId5" Type="http://schemas.openxmlformats.org/officeDocument/2006/relationships/image" Target="../media/image14.emf"/><Relationship Id="rId15" Type="http://schemas.openxmlformats.org/officeDocument/2006/relationships/image" Target="../media/image24.emf"/><Relationship Id="rId23" Type="http://schemas.openxmlformats.org/officeDocument/2006/relationships/image" Target="../media/image32.emf"/><Relationship Id="rId28" Type="http://schemas.openxmlformats.org/officeDocument/2006/relationships/image" Target="../media/image37.emf"/><Relationship Id="rId10" Type="http://schemas.openxmlformats.org/officeDocument/2006/relationships/image" Target="../media/image19.emf"/><Relationship Id="rId19" Type="http://schemas.openxmlformats.org/officeDocument/2006/relationships/image" Target="../media/image28.emf"/><Relationship Id="rId31" Type="http://schemas.openxmlformats.org/officeDocument/2006/relationships/image" Target="../media/image40.emf"/><Relationship Id="rId4" Type="http://schemas.openxmlformats.org/officeDocument/2006/relationships/image" Target="../media/image13.emf"/><Relationship Id="rId9" Type="http://schemas.openxmlformats.org/officeDocument/2006/relationships/image" Target="../media/image18.emf"/><Relationship Id="rId14" Type="http://schemas.openxmlformats.org/officeDocument/2006/relationships/image" Target="../media/image23.emf"/><Relationship Id="rId22" Type="http://schemas.openxmlformats.org/officeDocument/2006/relationships/image" Target="../media/image31.emf"/><Relationship Id="rId27" Type="http://schemas.openxmlformats.org/officeDocument/2006/relationships/image" Target="../media/image36.emf"/><Relationship Id="rId30" Type="http://schemas.openxmlformats.org/officeDocument/2006/relationships/image" Target="../media/image39.emf"/><Relationship Id="rId35" Type="http://schemas.openxmlformats.org/officeDocument/2006/relationships/image" Target="../media/image44.emf"/><Relationship Id="rId8"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7.emf"/><Relationship Id="rId1" Type="http://schemas.openxmlformats.org/officeDocument/2006/relationships/image" Target="../media/image48.emf"/><Relationship Id="rId4" Type="http://schemas.openxmlformats.org/officeDocument/2006/relationships/image" Target="../media/image46.emf"/></Relationships>
</file>

<file path=xl/drawings/_rels/vmlDrawing5.vml.rels><?xml version="1.0" encoding="UTF-8" standalone="yes"?>
<Relationships xmlns="http://schemas.openxmlformats.org/package/2006/relationships"><Relationship Id="rId26" Type="http://schemas.openxmlformats.org/officeDocument/2006/relationships/image" Target="../media/image92.emf"/><Relationship Id="rId21" Type="http://schemas.openxmlformats.org/officeDocument/2006/relationships/image" Target="../media/image97.emf"/><Relationship Id="rId42" Type="http://schemas.openxmlformats.org/officeDocument/2006/relationships/image" Target="../media/image76.emf"/><Relationship Id="rId47" Type="http://schemas.openxmlformats.org/officeDocument/2006/relationships/image" Target="../media/image71.emf"/><Relationship Id="rId63" Type="http://schemas.openxmlformats.org/officeDocument/2006/relationships/image" Target="../media/image54.emf"/><Relationship Id="rId68" Type="http://schemas.openxmlformats.org/officeDocument/2006/relationships/image" Target="../media/image121.emf"/><Relationship Id="rId84" Type="http://schemas.openxmlformats.org/officeDocument/2006/relationships/image" Target="../media/image133.emf"/><Relationship Id="rId89" Type="http://schemas.openxmlformats.org/officeDocument/2006/relationships/image" Target="../media/image138.emf"/><Relationship Id="rId16" Type="http://schemas.openxmlformats.org/officeDocument/2006/relationships/image" Target="../media/image102.emf"/><Relationship Id="rId11" Type="http://schemas.openxmlformats.org/officeDocument/2006/relationships/image" Target="../media/image107.emf"/><Relationship Id="rId32" Type="http://schemas.openxmlformats.org/officeDocument/2006/relationships/image" Target="../media/image86.emf"/><Relationship Id="rId37" Type="http://schemas.openxmlformats.org/officeDocument/2006/relationships/image" Target="../media/image81.emf"/><Relationship Id="rId53" Type="http://schemas.openxmlformats.org/officeDocument/2006/relationships/image" Target="../media/image65.emf"/><Relationship Id="rId58" Type="http://schemas.openxmlformats.org/officeDocument/2006/relationships/image" Target="../media/image60.emf"/><Relationship Id="rId74" Type="http://schemas.openxmlformats.org/officeDocument/2006/relationships/image" Target="../media/image53.emf"/><Relationship Id="rId79" Type="http://schemas.openxmlformats.org/officeDocument/2006/relationships/image" Target="../media/image128.emf"/><Relationship Id="rId5" Type="http://schemas.openxmlformats.org/officeDocument/2006/relationships/image" Target="../media/image114.emf"/><Relationship Id="rId90" Type="http://schemas.openxmlformats.org/officeDocument/2006/relationships/image" Target="../media/image139.emf"/><Relationship Id="rId14" Type="http://schemas.openxmlformats.org/officeDocument/2006/relationships/image" Target="../media/image104.emf"/><Relationship Id="rId22" Type="http://schemas.openxmlformats.org/officeDocument/2006/relationships/image" Target="../media/image96.emf"/><Relationship Id="rId27" Type="http://schemas.openxmlformats.org/officeDocument/2006/relationships/image" Target="../media/image91.emf"/><Relationship Id="rId30" Type="http://schemas.openxmlformats.org/officeDocument/2006/relationships/image" Target="../media/image88.emf"/><Relationship Id="rId35" Type="http://schemas.openxmlformats.org/officeDocument/2006/relationships/image" Target="../media/image83.emf"/><Relationship Id="rId43" Type="http://schemas.openxmlformats.org/officeDocument/2006/relationships/image" Target="../media/image75.emf"/><Relationship Id="rId48" Type="http://schemas.openxmlformats.org/officeDocument/2006/relationships/image" Target="../media/image70.emf"/><Relationship Id="rId56" Type="http://schemas.openxmlformats.org/officeDocument/2006/relationships/image" Target="../media/image62.emf"/><Relationship Id="rId64" Type="http://schemas.openxmlformats.org/officeDocument/2006/relationships/image" Target="../media/image110.emf"/><Relationship Id="rId69" Type="http://schemas.openxmlformats.org/officeDocument/2006/relationships/image" Target="../media/image122.emf"/><Relationship Id="rId77" Type="http://schemas.openxmlformats.org/officeDocument/2006/relationships/image" Target="../media/image51.emf"/><Relationship Id="rId8" Type="http://schemas.openxmlformats.org/officeDocument/2006/relationships/image" Target="../media/image111.emf"/><Relationship Id="rId51" Type="http://schemas.openxmlformats.org/officeDocument/2006/relationships/image" Target="../media/image67.emf"/><Relationship Id="rId72" Type="http://schemas.openxmlformats.org/officeDocument/2006/relationships/image" Target="../media/image125.emf"/><Relationship Id="rId80" Type="http://schemas.openxmlformats.org/officeDocument/2006/relationships/image" Target="../media/image129.emf"/><Relationship Id="rId85" Type="http://schemas.openxmlformats.org/officeDocument/2006/relationships/image" Target="../media/image134.emf"/><Relationship Id="rId3" Type="http://schemas.openxmlformats.org/officeDocument/2006/relationships/image" Target="../media/image116.emf"/><Relationship Id="rId12" Type="http://schemas.openxmlformats.org/officeDocument/2006/relationships/image" Target="../media/image106.emf"/><Relationship Id="rId17" Type="http://schemas.openxmlformats.org/officeDocument/2006/relationships/image" Target="../media/image101.emf"/><Relationship Id="rId25" Type="http://schemas.openxmlformats.org/officeDocument/2006/relationships/image" Target="../media/image93.emf"/><Relationship Id="rId33" Type="http://schemas.openxmlformats.org/officeDocument/2006/relationships/image" Target="../media/image85.emf"/><Relationship Id="rId38" Type="http://schemas.openxmlformats.org/officeDocument/2006/relationships/image" Target="../media/image80.emf"/><Relationship Id="rId46" Type="http://schemas.openxmlformats.org/officeDocument/2006/relationships/image" Target="../media/image72.emf"/><Relationship Id="rId59" Type="http://schemas.openxmlformats.org/officeDocument/2006/relationships/image" Target="../media/image58.emf"/><Relationship Id="rId67" Type="http://schemas.openxmlformats.org/officeDocument/2006/relationships/image" Target="../media/image120.emf"/><Relationship Id="rId20" Type="http://schemas.openxmlformats.org/officeDocument/2006/relationships/image" Target="../media/image98.emf"/><Relationship Id="rId41" Type="http://schemas.openxmlformats.org/officeDocument/2006/relationships/image" Target="../media/image77.emf"/><Relationship Id="rId54" Type="http://schemas.openxmlformats.org/officeDocument/2006/relationships/image" Target="../media/image64.emf"/><Relationship Id="rId62" Type="http://schemas.openxmlformats.org/officeDocument/2006/relationships/image" Target="../media/image55.emf"/><Relationship Id="rId70" Type="http://schemas.openxmlformats.org/officeDocument/2006/relationships/image" Target="../media/image123.emf"/><Relationship Id="rId75" Type="http://schemas.openxmlformats.org/officeDocument/2006/relationships/image" Target="../media/image127.emf"/><Relationship Id="rId83" Type="http://schemas.openxmlformats.org/officeDocument/2006/relationships/image" Target="../media/image132.emf"/><Relationship Id="rId88" Type="http://schemas.openxmlformats.org/officeDocument/2006/relationships/image" Target="../media/image137.emf"/><Relationship Id="rId1" Type="http://schemas.openxmlformats.org/officeDocument/2006/relationships/image" Target="../media/image118.emf"/><Relationship Id="rId6" Type="http://schemas.openxmlformats.org/officeDocument/2006/relationships/image" Target="../media/image113.emf"/><Relationship Id="rId15" Type="http://schemas.openxmlformats.org/officeDocument/2006/relationships/image" Target="../media/image103.emf"/><Relationship Id="rId23" Type="http://schemas.openxmlformats.org/officeDocument/2006/relationships/image" Target="../media/image95.emf"/><Relationship Id="rId28" Type="http://schemas.openxmlformats.org/officeDocument/2006/relationships/image" Target="../media/image90.emf"/><Relationship Id="rId36" Type="http://schemas.openxmlformats.org/officeDocument/2006/relationships/image" Target="../media/image82.emf"/><Relationship Id="rId49" Type="http://schemas.openxmlformats.org/officeDocument/2006/relationships/image" Target="../media/image69.emf"/><Relationship Id="rId57" Type="http://schemas.openxmlformats.org/officeDocument/2006/relationships/image" Target="../media/image61.emf"/><Relationship Id="rId10" Type="http://schemas.openxmlformats.org/officeDocument/2006/relationships/image" Target="../media/image108.emf"/><Relationship Id="rId31" Type="http://schemas.openxmlformats.org/officeDocument/2006/relationships/image" Target="../media/image87.emf"/><Relationship Id="rId44" Type="http://schemas.openxmlformats.org/officeDocument/2006/relationships/image" Target="../media/image74.emf"/><Relationship Id="rId52" Type="http://schemas.openxmlformats.org/officeDocument/2006/relationships/image" Target="../media/image66.emf"/><Relationship Id="rId60" Type="http://schemas.openxmlformats.org/officeDocument/2006/relationships/image" Target="../media/image57.emf"/><Relationship Id="rId65" Type="http://schemas.openxmlformats.org/officeDocument/2006/relationships/image" Target="../media/image59.emf"/><Relationship Id="rId73" Type="http://schemas.openxmlformats.org/officeDocument/2006/relationships/image" Target="../media/image126.emf"/><Relationship Id="rId78" Type="http://schemas.openxmlformats.org/officeDocument/2006/relationships/image" Target="../media/image50.emf"/><Relationship Id="rId81" Type="http://schemas.openxmlformats.org/officeDocument/2006/relationships/image" Target="../media/image130.emf"/><Relationship Id="rId86" Type="http://schemas.openxmlformats.org/officeDocument/2006/relationships/image" Target="../media/image135.emf"/><Relationship Id="rId4" Type="http://schemas.openxmlformats.org/officeDocument/2006/relationships/image" Target="../media/image115.emf"/><Relationship Id="rId9" Type="http://schemas.openxmlformats.org/officeDocument/2006/relationships/image" Target="../media/image109.emf"/><Relationship Id="rId13" Type="http://schemas.openxmlformats.org/officeDocument/2006/relationships/image" Target="../media/image105.emf"/><Relationship Id="rId18" Type="http://schemas.openxmlformats.org/officeDocument/2006/relationships/image" Target="../media/image100.emf"/><Relationship Id="rId39" Type="http://schemas.openxmlformats.org/officeDocument/2006/relationships/image" Target="../media/image79.emf"/><Relationship Id="rId34" Type="http://schemas.openxmlformats.org/officeDocument/2006/relationships/image" Target="../media/image84.emf"/><Relationship Id="rId50" Type="http://schemas.openxmlformats.org/officeDocument/2006/relationships/image" Target="../media/image68.emf"/><Relationship Id="rId55" Type="http://schemas.openxmlformats.org/officeDocument/2006/relationships/image" Target="../media/image63.emf"/><Relationship Id="rId76" Type="http://schemas.openxmlformats.org/officeDocument/2006/relationships/image" Target="../media/image52.emf"/><Relationship Id="rId7" Type="http://schemas.openxmlformats.org/officeDocument/2006/relationships/image" Target="../media/image112.emf"/><Relationship Id="rId71" Type="http://schemas.openxmlformats.org/officeDocument/2006/relationships/image" Target="../media/image124.emf"/><Relationship Id="rId2" Type="http://schemas.openxmlformats.org/officeDocument/2006/relationships/image" Target="../media/image117.emf"/><Relationship Id="rId29" Type="http://schemas.openxmlformats.org/officeDocument/2006/relationships/image" Target="../media/image89.emf"/><Relationship Id="rId24" Type="http://schemas.openxmlformats.org/officeDocument/2006/relationships/image" Target="../media/image94.emf"/><Relationship Id="rId40" Type="http://schemas.openxmlformats.org/officeDocument/2006/relationships/image" Target="../media/image78.emf"/><Relationship Id="rId45" Type="http://schemas.openxmlformats.org/officeDocument/2006/relationships/image" Target="../media/image73.emf"/><Relationship Id="rId66" Type="http://schemas.openxmlformats.org/officeDocument/2006/relationships/image" Target="../media/image119.emf"/><Relationship Id="rId87" Type="http://schemas.openxmlformats.org/officeDocument/2006/relationships/image" Target="../media/image136.emf"/><Relationship Id="rId61" Type="http://schemas.openxmlformats.org/officeDocument/2006/relationships/image" Target="../media/image56.emf"/><Relationship Id="rId82" Type="http://schemas.openxmlformats.org/officeDocument/2006/relationships/image" Target="../media/image131.emf"/><Relationship Id="rId19" Type="http://schemas.openxmlformats.org/officeDocument/2006/relationships/image" Target="../media/image9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40.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41.emf"/><Relationship Id="rId2" Type="http://schemas.openxmlformats.org/officeDocument/2006/relationships/image" Target="../media/image142.emf"/><Relationship Id="rId1" Type="http://schemas.openxmlformats.org/officeDocument/2006/relationships/image" Target="../media/image143.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44.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45.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48.emf"/><Relationship Id="rId1" Type="http://schemas.openxmlformats.org/officeDocument/2006/relationships/image" Target="../media/image149.emf"/></Relationships>
</file>

<file path=xl/drawings/drawing1.xml><?xml version="1.0" encoding="utf-8"?>
<xdr:wsDr xmlns:xdr="http://schemas.openxmlformats.org/drawingml/2006/spreadsheetDrawing" xmlns:a="http://schemas.openxmlformats.org/drawingml/2006/main">
  <xdr:twoCellAnchor>
    <xdr:from>
      <xdr:col>5</xdr:col>
      <xdr:colOff>285750</xdr:colOff>
      <xdr:row>5</xdr:row>
      <xdr:rowOff>19050</xdr:rowOff>
    </xdr:from>
    <xdr:to>
      <xdr:col>17</xdr:col>
      <xdr:colOff>495300</xdr:colOff>
      <xdr:row>40</xdr:row>
      <xdr:rowOff>0</xdr:rowOff>
    </xdr:to>
    <xdr:grpSp>
      <xdr:nvGrpSpPr>
        <xdr:cNvPr id="2" name="组合 8352">
          <a:extLst>
            <a:ext uri="{FF2B5EF4-FFF2-40B4-BE49-F238E27FC236}">
              <a16:creationId xmlns:a16="http://schemas.microsoft.com/office/drawing/2014/main" id="{00000000-0008-0000-0600-000002000000}"/>
            </a:ext>
          </a:extLst>
        </xdr:cNvPr>
        <xdr:cNvGrpSpPr>
          <a:grpSpLocks/>
        </xdr:cNvGrpSpPr>
      </xdr:nvGrpSpPr>
      <xdr:grpSpPr bwMode="auto">
        <a:xfrm>
          <a:off x="3998768" y="1390650"/>
          <a:ext cx="9471314" cy="6499514"/>
          <a:chOff x="388" y="106"/>
          <a:chExt cx="934" cy="655"/>
        </a:xfrm>
      </xdr:grpSpPr>
      <xdr:sp macro="" textlink="">
        <xdr:nvSpPr>
          <xdr:cNvPr id="3" name="AutoShape 39">
            <a:extLst>
              <a:ext uri="{FF2B5EF4-FFF2-40B4-BE49-F238E27FC236}">
                <a16:creationId xmlns:a16="http://schemas.microsoft.com/office/drawing/2014/main" id="{00000000-0008-0000-0600-000003000000}"/>
              </a:ext>
            </a:extLst>
          </xdr:cNvPr>
          <xdr:cNvSpPr>
            <a:spLocks noChangeArrowheads="1"/>
          </xdr:cNvSpPr>
        </xdr:nvSpPr>
        <xdr:spPr bwMode="auto">
          <a:xfrm rot="5400000">
            <a:off x="590" y="172"/>
            <a:ext cx="29" cy="30"/>
          </a:xfrm>
          <a:prstGeom prst="notchedRightArrow">
            <a:avLst>
              <a:gd name="adj1" fmla="val 50000"/>
              <a:gd name="adj2" fmla="val 25000"/>
            </a:avLst>
          </a:prstGeom>
          <a:solidFill>
            <a:srgbClr val="404040"/>
          </a:solidFill>
          <a:ln w="9525">
            <a:solidFill>
              <a:srgbClr val="000000"/>
            </a:solidFill>
            <a:miter lim="800000"/>
            <a:headEnd/>
            <a:tailEnd/>
          </a:ln>
        </xdr:spPr>
      </xdr:sp>
      <xdr:sp macro="" textlink="" fLocksText="0">
        <xdr:nvSpPr>
          <xdr:cNvPr id="4" name="desk1">
            <a:extLst>
              <a:ext uri="{FF2B5EF4-FFF2-40B4-BE49-F238E27FC236}">
                <a16:creationId xmlns:a16="http://schemas.microsoft.com/office/drawing/2014/main" id="{00000000-0008-0000-0600-000004000000}"/>
              </a:ext>
            </a:extLst>
          </xdr:cNvPr>
          <xdr:cNvSpPr>
            <a:spLocks noEditPoints="1" noChangeArrowheads="1"/>
          </xdr:cNvSpPr>
        </xdr:nvSpPr>
        <xdr:spPr bwMode="auto">
          <a:xfrm>
            <a:off x="908" y="301"/>
            <a:ext cx="414" cy="130"/>
          </a:xfrm>
          <a:custGeom>
            <a:avLst/>
            <a:gdLst>
              <a:gd name="T0" fmla="*/ 0 w 21600"/>
              <a:gd name="T1" fmla="*/ 0 h 21600"/>
              <a:gd name="T2" fmla="*/ 5157112 w 21600"/>
              <a:gd name="T3" fmla="*/ 0 h 21600"/>
              <a:gd name="T4" fmla="*/ 5157112 w 21600"/>
              <a:gd name="T5" fmla="*/ 1051056 h 21600"/>
              <a:gd name="T6" fmla="*/ 0 w 21600"/>
              <a:gd name="T7" fmla="*/ 1051056 h 21600"/>
              <a:gd name="T8" fmla="*/ 2578556 w 21600"/>
              <a:gd name="T9" fmla="*/ 0 h 21600"/>
              <a:gd name="T10" fmla="*/ 5157112 w 21600"/>
              <a:gd name="T11" fmla="*/ 525528 h 21600"/>
              <a:gd name="T12" fmla="*/ 2578556 w 21600"/>
              <a:gd name="T13" fmla="*/ 1051056 h 21600"/>
              <a:gd name="T14" fmla="*/ 0 w 21600"/>
              <a:gd name="T15" fmla="*/ 525528 h 21600"/>
              <a:gd name="T16" fmla="*/ 0 60000 65536"/>
              <a:gd name="T17" fmla="*/ 0 60000 65536"/>
              <a:gd name="T18" fmla="*/ 0 60000 65536"/>
              <a:gd name="T19" fmla="*/ 0 60000 65536"/>
              <a:gd name="T20" fmla="*/ 0 60000 65536"/>
              <a:gd name="T21" fmla="*/ 0 60000 65536"/>
              <a:gd name="T22" fmla="*/ 0 60000 65536"/>
              <a:gd name="T23" fmla="*/ 0 60000 65536"/>
              <a:gd name="T24" fmla="*/ 1000 w 21600"/>
              <a:gd name="T25" fmla="*/ 1000 h 21600"/>
              <a:gd name="T26" fmla="*/ 20600 w 21600"/>
              <a:gd name="T27" fmla="*/ 2060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0"/>
                </a:moveTo>
                <a:lnTo>
                  <a:pt x="21600" y="0"/>
                </a:lnTo>
                <a:lnTo>
                  <a:pt x="21600" y="21600"/>
                </a:lnTo>
                <a:lnTo>
                  <a:pt x="0" y="21600"/>
                </a:lnTo>
                <a:lnTo>
                  <a:pt x="0" y="0"/>
                </a:lnTo>
                <a:close/>
              </a:path>
            </a:pathLst>
          </a:custGeom>
          <a:solidFill>
            <a:srgbClr val="FFFFFF"/>
          </a:solidFill>
          <a:ln w="38100">
            <a:solidFill>
              <a:srgbClr val="000000"/>
            </a:solidFill>
            <a:miter lim="800000"/>
            <a:headEnd/>
            <a:tailEnd/>
          </a:ln>
          <a:effectLst>
            <a:outerShdw dist="107763" dir="2700000" algn="ctr" rotWithShape="0">
              <a:srgbClr val="808080"/>
            </a:outerShdw>
          </a:effectLst>
        </xdr:spPr>
        <xdr:txBody>
          <a:bodyPr vertOverflow="clip" wrap="square" lIns="27432" tIns="18288" rIns="0" bIns="0" anchor="t"/>
          <a:lstStyle/>
          <a:p>
            <a:pPr algn="l" rtl="0">
              <a:defRPr sz="1000"/>
            </a:pPr>
            <a:r>
              <a:rPr lang="zh-CN" altLang="en-US" sz="1000" b="0" i="0" u="none" strike="noStrike" baseline="0">
                <a:solidFill>
                  <a:srgbClr val="000000"/>
                </a:solidFill>
                <a:latin typeface="宋体"/>
                <a:ea typeface="宋体"/>
              </a:rPr>
              <a:t>进入</a:t>
            </a:r>
            <a:r>
              <a:rPr lang="en-US" altLang="zh-CN" sz="1000" b="0" i="0" u="none" strike="noStrike" baseline="0">
                <a:solidFill>
                  <a:srgbClr val="FF0000"/>
                </a:solidFill>
                <a:latin typeface="宋体"/>
                <a:ea typeface="宋体"/>
              </a:rPr>
              <a:t>【</a:t>
            </a:r>
            <a:r>
              <a:rPr lang="zh-CN" altLang="en-US" sz="1000" b="0" i="0" u="none" strike="noStrike" baseline="0">
                <a:solidFill>
                  <a:srgbClr val="FF0000"/>
                </a:solidFill>
                <a:latin typeface="宋体"/>
                <a:ea typeface="宋体"/>
              </a:rPr>
              <a:t>绝对估值</a:t>
            </a:r>
            <a:r>
              <a:rPr lang="en-US" altLang="zh-CN" sz="1000" b="0" i="0" u="none" strike="noStrike" baseline="0">
                <a:solidFill>
                  <a:srgbClr val="FF0000"/>
                </a:solidFill>
                <a:latin typeface="宋体"/>
                <a:ea typeface="宋体"/>
              </a:rPr>
              <a:t>】</a:t>
            </a:r>
            <a:r>
              <a:rPr lang="zh-CN" altLang="en-US" sz="1000" b="0" i="0" u="none" strike="noStrike" baseline="0">
                <a:solidFill>
                  <a:srgbClr val="000000"/>
                </a:solidFill>
                <a:latin typeface="宋体"/>
                <a:ea typeface="宋体"/>
              </a:rPr>
              <a:t>页，设置关键估值假设</a:t>
            </a:r>
            <a:r>
              <a:rPr lang="en-US" altLang="zh-CN" sz="1000" b="0" i="0" u="none" strike="noStrike" baseline="0">
                <a:solidFill>
                  <a:srgbClr val="000000"/>
                </a:solidFill>
                <a:latin typeface="Arial"/>
                <a:cs typeface="Arial"/>
              </a:rPr>
              <a:t>(</a:t>
            </a:r>
            <a:r>
              <a:rPr lang="zh-CN" altLang="en-US" sz="1000" b="0" i="0" u="none" strike="noStrike" baseline="0">
                <a:solidFill>
                  <a:srgbClr val="000000"/>
                </a:solidFill>
                <a:latin typeface="宋体"/>
                <a:ea typeface="宋体"/>
              </a:rPr>
              <a:t>以黄色背景标识</a:t>
            </a:r>
            <a:r>
              <a:rPr lang="en-US" altLang="zh-CN" sz="1000" b="0" i="0" u="none" strike="noStrike" baseline="0">
                <a:solidFill>
                  <a:srgbClr val="000000"/>
                </a:solidFill>
                <a:latin typeface="Arial"/>
                <a:cs typeface="Arial"/>
              </a:rPr>
              <a:t>)</a:t>
            </a:r>
            <a:r>
              <a:rPr lang="zh-CN" altLang="en-US" sz="1000" b="0" i="0" u="none" strike="noStrike" baseline="0">
                <a:solidFill>
                  <a:srgbClr val="000000"/>
                </a:solidFill>
                <a:latin typeface="宋体"/>
                <a:ea typeface="宋体"/>
              </a:rPr>
              <a:t>，系统将自动完成估值结果，估值计算结果以紫色背景标志。</a:t>
            </a:r>
          </a:p>
          <a:p>
            <a:pPr algn="l" rtl="0">
              <a:defRPr sz="1000"/>
            </a:pPr>
            <a:r>
              <a:rPr lang="zh-CN" altLang="en-US" sz="1000" b="0" i="0" u="none" strike="noStrike" baseline="0">
                <a:solidFill>
                  <a:srgbClr val="000000"/>
                </a:solidFill>
                <a:latin typeface="宋体"/>
                <a:ea typeface="宋体"/>
              </a:rPr>
              <a:t>系统提供的估值方法：</a:t>
            </a:r>
            <a:r>
              <a:rPr lang="en-US" altLang="zh-CN" sz="1000" b="0" i="0" u="none" strike="noStrike" baseline="0">
                <a:solidFill>
                  <a:srgbClr val="FF0000"/>
                </a:solidFill>
                <a:latin typeface="Arial"/>
                <a:cs typeface="Arial"/>
              </a:rPr>
              <a:t>FCFF</a:t>
            </a:r>
            <a:r>
              <a:rPr lang="zh-CN" altLang="en-US" sz="1000" b="0" i="0" u="none" strike="noStrike" baseline="0">
                <a:solidFill>
                  <a:srgbClr val="FF0000"/>
                </a:solidFill>
                <a:latin typeface="宋体"/>
                <a:ea typeface="宋体"/>
              </a:rPr>
              <a:t>、</a:t>
            </a:r>
            <a:r>
              <a:rPr lang="en-US" altLang="zh-CN" sz="1000" b="0" i="0" u="none" strike="noStrike" baseline="0">
                <a:solidFill>
                  <a:srgbClr val="FF0000"/>
                </a:solidFill>
                <a:latin typeface="Arial"/>
                <a:cs typeface="Arial"/>
              </a:rPr>
              <a:t>FCFE</a:t>
            </a:r>
            <a:r>
              <a:rPr lang="zh-CN" altLang="en-US" sz="1000" b="0" i="0" u="none" strike="noStrike" baseline="0">
                <a:solidFill>
                  <a:srgbClr val="FF0000"/>
                </a:solidFill>
                <a:latin typeface="宋体"/>
                <a:ea typeface="宋体"/>
              </a:rPr>
              <a:t>、</a:t>
            </a:r>
            <a:r>
              <a:rPr lang="en-US" altLang="zh-CN" sz="1000" b="0" i="0" u="none" strike="noStrike" baseline="0">
                <a:solidFill>
                  <a:srgbClr val="FF0000"/>
                </a:solidFill>
                <a:latin typeface="Arial"/>
                <a:cs typeface="Arial"/>
              </a:rPr>
              <a:t>DDM</a:t>
            </a:r>
            <a:r>
              <a:rPr lang="zh-CN" altLang="en-US" sz="1000" b="0" i="0" u="none" strike="noStrike" baseline="0">
                <a:solidFill>
                  <a:srgbClr val="FF0000"/>
                </a:solidFill>
                <a:latin typeface="宋体"/>
                <a:ea typeface="宋体"/>
              </a:rPr>
              <a:t>、</a:t>
            </a:r>
            <a:r>
              <a:rPr lang="en-US" altLang="zh-CN" sz="1000" b="0" i="0" u="none" strike="noStrike" baseline="0">
                <a:solidFill>
                  <a:srgbClr val="FF0000"/>
                </a:solidFill>
                <a:latin typeface="Arial"/>
                <a:cs typeface="Arial"/>
              </a:rPr>
              <a:t>EVA</a:t>
            </a:r>
            <a:r>
              <a:rPr lang="zh-CN" altLang="en-US" sz="1000" b="0" i="0" u="none" strike="noStrike" baseline="0">
                <a:solidFill>
                  <a:srgbClr val="FF0000"/>
                </a:solidFill>
                <a:latin typeface="宋体"/>
                <a:ea typeface="宋体"/>
              </a:rPr>
              <a:t>、</a:t>
            </a:r>
            <a:r>
              <a:rPr lang="en-US" altLang="zh-CN" sz="1000" b="0" i="0" u="none" strike="noStrike" baseline="0">
                <a:solidFill>
                  <a:srgbClr val="FF0000"/>
                </a:solidFill>
                <a:latin typeface="Arial"/>
                <a:cs typeface="Arial"/>
              </a:rPr>
              <a:t>AE</a:t>
            </a:r>
            <a:r>
              <a:rPr lang="zh-CN" altLang="en-US" sz="1000" b="0" i="0" u="none" strike="noStrike" baseline="0">
                <a:solidFill>
                  <a:srgbClr val="000000"/>
                </a:solidFill>
                <a:latin typeface="宋体"/>
                <a:ea typeface="宋体"/>
              </a:rPr>
              <a:t>。</a:t>
            </a:r>
          </a:p>
          <a:p>
            <a:pPr algn="l" rtl="0">
              <a:defRPr sz="1000"/>
            </a:pPr>
            <a:r>
              <a:rPr lang="zh-CN" altLang="en-US" sz="1000" b="0" i="0" u="none" strike="noStrike" baseline="0">
                <a:solidFill>
                  <a:srgbClr val="000000"/>
                </a:solidFill>
                <a:latin typeface="宋体"/>
                <a:ea typeface="宋体"/>
              </a:rPr>
              <a:t>同时，系统自动生成五种预测方法下每股理论价格对</a:t>
            </a:r>
            <a:r>
              <a:rPr lang="en-US" altLang="zh-CN" sz="1000" b="0" i="0" u="none" strike="noStrike" baseline="0">
                <a:solidFill>
                  <a:srgbClr val="000000"/>
                </a:solidFill>
                <a:latin typeface="Calibri"/>
                <a:cs typeface="Calibri"/>
              </a:rPr>
              <a:t>WACC</a:t>
            </a:r>
            <a:r>
              <a:rPr lang="zh-CN" altLang="en-US" sz="1000" b="0" i="0" u="none" strike="noStrike" baseline="0">
                <a:solidFill>
                  <a:srgbClr val="000000"/>
                </a:solidFill>
                <a:latin typeface="宋体"/>
                <a:ea typeface="宋体"/>
              </a:rPr>
              <a:t>或</a:t>
            </a:r>
            <a:r>
              <a:rPr lang="en-US" altLang="zh-CN" sz="1000" b="0" i="0" u="none" strike="noStrike" baseline="0">
                <a:solidFill>
                  <a:srgbClr val="000000"/>
                </a:solidFill>
                <a:latin typeface="Calibri"/>
                <a:cs typeface="Calibri"/>
              </a:rPr>
              <a:t>Ke</a:t>
            </a:r>
            <a:r>
              <a:rPr lang="zh-CN" altLang="en-US" sz="1000" b="0" i="0" u="none" strike="noStrike" baseline="0">
                <a:solidFill>
                  <a:srgbClr val="000000"/>
                </a:solidFill>
                <a:latin typeface="宋体"/>
                <a:ea typeface="宋体"/>
              </a:rPr>
              <a:t>和可持续增长率的敏感性矩阵。</a:t>
            </a:r>
          </a:p>
          <a:p>
            <a:pPr algn="l" rtl="0">
              <a:lnSpc>
                <a:spcPts val="900"/>
              </a:lnSpc>
              <a:defRPr sz="1000"/>
            </a:pPr>
            <a:endParaRPr lang="zh-CN" altLang="en-US" sz="1000" b="0" i="0" u="none" strike="noStrike" baseline="0">
              <a:solidFill>
                <a:srgbClr val="000000"/>
              </a:solidFill>
              <a:latin typeface="宋体"/>
              <a:ea typeface="宋体"/>
            </a:endParaRPr>
          </a:p>
        </xdr:txBody>
      </xdr:sp>
      <xdr:sp macro="" textlink="" fLocksText="0">
        <xdr:nvSpPr>
          <xdr:cNvPr id="5" name="desk1">
            <a:extLst>
              <a:ext uri="{FF2B5EF4-FFF2-40B4-BE49-F238E27FC236}">
                <a16:creationId xmlns:a16="http://schemas.microsoft.com/office/drawing/2014/main" id="{00000000-0008-0000-0600-000005000000}"/>
              </a:ext>
            </a:extLst>
          </xdr:cNvPr>
          <xdr:cNvSpPr>
            <a:spLocks noEditPoints="1" noChangeArrowheads="1"/>
          </xdr:cNvSpPr>
        </xdr:nvSpPr>
        <xdr:spPr bwMode="auto">
          <a:xfrm>
            <a:off x="908" y="476"/>
            <a:ext cx="413" cy="87"/>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rgbClr val="FFFFFF"/>
          </a:solidFill>
          <a:ln w="38100" cmpd="sng">
            <a:solidFill>
              <a:schemeClr val="tx1"/>
            </a:solidFill>
            <a:miter lim="800000"/>
            <a:headEnd/>
            <a:tailEnd/>
          </a:ln>
          <a:effectLst>
            <a:outerShdw dist="107763" dir="2700000" algn="ctr" rotWithShape="0">
              <a:srgbClr val="808080"/>
            </a:outerShdw>
          </a:effectLst>
        </xdr:spPr>
        <xdr:txBody>
          <a:bodyPr vertOverflow="clip" wrap="square" lIns="91440" tIns="45720" rIns="91440" bIns="45720" anchor="t" upright="1"/>
          <a:lstStyle/>
          <a:p>
            <a:pPr algn="l" rtl="1">
              <a:lnSpc>
                <a:spcPts val="1100"/>
              </a:lnSpc>
              <a:defRPr sz="1000"/>
            </a:pPr>
            <a:r>
              <a:rPr lang="zh-CN" altLang="en-US" sz="1000" b="0" i="0" strike="noStrike">
                <a:solidFill>
                  <a:srgbClr val="000000"/>
                </a:solidFill>
                <a:latin typeface="宋体"/>
                <a:ea typeface="宋体"/>
              </a:rPr>
              <a:t>在</a:t>
            </a:r>
            <a:r>
              <a:rPr lang="en-US" altLang="zh-CN" sz="1000" b="0" i="0" strike="noStrike">
                <a:solidFill>
                  <a:srgbClr val="FF0000"/>
                </a:solidFill>
                <a:latin typeface="宋体"/>
                <a:ea typeface="宋体"/>
                <a:cs typeface="+mn-cs"/>
              </a:rPr>
              <a:t>【</a:t>
            </a:r>
            <a:r>
              <a:rPr lang="zh-CN" altLang="en-US" sz="1000" b="0" i="0" strike="noStrike">
                <a:solidFill>
                  <a:srgbClr val="FF0000"/>
                </a:solidFill>
                <a:latin typeface="宋体"/>
                <a:ea typeface="宋体"/>
                <a:cs typeface="+mn-cs"/>
              </a:rPr>
              <a:t>相对估值</a:t>
            </a:r>
            <a:r>
              <a:rPr lang="en-US" altLang="zh-CN" sz="1000" b="0" i="0" strike="noStrike">
                <a:solidFill>
                  <a:srgbClr val="FF0000"/>
                </a:solidFill>
                <a:latin typeface="宋体"/>
                <a:ea typeface="宋体"/>
                <a:cs typeface="+mn-cs"/>
              </a:rPr>
              <a:t>】</a:t>
            </a:r>
            <a:r>
              <a:rPr lang="zh-CN" altLang="en-US" sz="1000" b="0" i="0" strike="noStrike">
                <a:solidFill>
                  <a:srgbClr val="000000"/>
                </a:solidFill>
                <a:latin typeface="宋体"/>
                <a:ea typeface="宋体"/>
              </a:rPr>
              <a:t>页，</a:t>
            </a:r>
            <a:r>
              <a:rPr lang="zh-CN" altLang="zh-CN" sz="1000" b="0" i="0">
                <a:latin typeface="+mn-lt"/>
                <a:ea typeface="+mn-ea"/>
                <a:cs typeface="+mn-cs"/>
              </a:rPr>
              <a:t>设置关键估值假设</a:t>
            </a:r>
            <a:r>
              <a:rPr lang="en-US" altLang="zh-CN" sz="1000" b="0" i="0">
                <a:latin typeface="+mn-lt"/>
                <a:ea typeface="+mn-ea"/>
                <a:cs typeface="+mn-cs"/>
              </a:rPr>
              <a:t>(</a:t>
            </a:r>
            <a:r>
              <a:rPr lang="zh-CN" altLang="zh-CN" sz="1000" b="0" i="0">
                <a:latin typeface="+mn-lt"/>
                <a:ea typeface="+mn-ea"/>
                <a:cs typeface="+mn-cs"/>
              </a:rPr>
              <a:t>以黄色背景标识</a:t>
            </a:r>
            <a:r>
              <a:rPr lang="en-US" altLang="zh-CN" sz="1000" b="0" i="0">
                <a:latin typeface="+mn-lt"/>
                <a:ea typeface="+mn-ea"/>
                <a:cs typeface="+mn-cs"/>
              </a:rPr>
              <a:t>)</a:t>
            </a:r>
            <a:r>
              <a:rPr lang="zh-CN" altLang="zh-CN" sz="1000" b="0" i="0">
                <a:latin typeface="+mn-lt"/>
                <a:ea typeface="+mn-ea"/>
                <a:cs typeface="+mn-cs"/>
              </a:rPr>
              <a:t>，</a:t>
            </a:r>
            <a:r>
              <a:rPr lang="zh-CN" altLang="en-US" sz="1000" b="0" i="0">
                <a:latin typeface="+mn-lt"/>
                <a:ea typeface="+mn-ea"/>
                <a:cs typeface="+mn-cs"/>
              </a:rPr>
              <a:t>系统</a:t>
            </a:r>
            <a:r>
              <a:rPr lang="zh-CN" altLang="en-US" sz="1000" b="0" i="0" strike="noStrike">
                <a:solidFill>
                  <a:srgbClr val="000000"/>
                </a:solidFill>
                <a:latin typeface="宋体"/>
                <a:ea typeface="宋体"/>
              </a:rPr>
              <a:t>自动生成</a:t>
            </a:r>
            <a:r>
              <a:rPr lang="en-US" altLang="zh-CN" sz="1000" b="0" i="0" strike="noStrike">
                <a:solidFill>
                  <a:srgbClr val="FF0000"/>
                </a:solidFill>
                <a:latin typeface="Arial"/>
                <a:cs typeface="Arial"/>
              </a:rPr>
              <a:t>PE</a:t>
            </a:r>
            <a:r>
              <a:rPr lang="zh-CN" altLang="en-US" sz="1000" b="0" i="0" strike="noStrike">
                <a:solidFill>
                  <a:srgbClr val="FF0000"/>
                </a:solidFill>
                <a:latin typeface="宋体"/>
                <a:ea typeface="宋体"/>
              </a:rPr>
              <a:t>估值法、</a:t>
            </a:r>
            <a:r>
              <a:rPr lang="en-US" altLang="zh-CN" sz="1000" b="0" i="0" strike="noStrike">
                <a:solidFill>
                  <a:srgbClr val="FF0000"/>
                </a:solidFill>
                <a:latin typeface="Arial"/>
                <a:cs typeface="Arial"/>
              </a:rPr>
              <a:t>PS</a:t>
            </a:r>
            <a:r>
              <a:rPr lang="zh-CN" altLang="en-US" sz="1000" b="0" i="0" strike="noStrike">
                <a:solidFill>
                  <a:srgbClr val="FF0000"/>
                </a:solidFill>
                <a:latin typeface="宋体"/>
                <a:ea typeface="宋体"/>
              </a:rPr>
              <a:t>估值法、</a:t>
            </a:r>
            <a:r>
              <a:rPr lang="en-US" altLang="zh-CN" sz="1000" b="0" i="0" strike="noStrike">
                <a:solidFill>
                  <a:srgbClr val="FF0000"/>
                </a:solidFill>
                <a:latin typeface="Arial"/>
                <a:cs typeface="Arial"/>
              </a:rPr>
              <a:t>PB</a:t>
            </a:r>
            <a:r>
              <a:rPr lang="zh-CN" altLang="en-US" sz="1000" b="0" i="0" strike="noStrike">
                <a:solidFill>
                  <a:srgbClr val="FF0000"/>
                </a:solidFill>
                <a:latin typeface="宋体"/>
                <a:ea typeface="宋体"/>
              </a:rPr>
              <a:t>估值法、</a:t>
            </a:r>
            <a:r>
              <a:rPr lang="en-US" altLang="zh-CN" sz="1000" b="0" i="0" strike="noStrike">
                <a:solidFill>
                  <a:srgbClr val="FF0000"/>
                </a:solidFill>
                <a:latin typeface="宋体"/>
                <a:ea typeface="宋体"/>
              </a:rPr>
              <a:t>PEG</a:t>
            </a:r>
            <a:r>
              <a:rPr lang="zh-CN" altLang="en-US" sz="1000" b="0" i="0" strike="noStrike">
                <a:solidFill>
                  <a:srgbClr val="FF0000"/>
                </a:solidFill>
                <a:latin typeface="宋体"/>
                <a:ea typeface="宋体"/>
              </a:rPr>
              <a:t>估值法和</a:t>
            </a:r>
            <a:r>
              <a:rPr lang="en-US" altLang="zh-CN" sz="1000" b="0" i="0" strike="noStrike">
                <a:solidFill>
                  <a:srgbClr val="FF0000"/>
                </a:solidFill>
                <a:latin typeface="宋体"/>
                <a:ea typeface="宋体"/>
              </a:rPr>
              <a:t>EV/EBITDA</a:t>
            </a:r>
            <a:r>
              <a:rPr lang="zh-CN" altLang="en-US" sz="1000" b="0" i="0" strike="noStrike">
                <a:solidFill>
                  <a:srgbClr val="FF0000"/>
                </a:solidFill>
                <a:latin typeface="宋体"/>
                <a:ea typeface="宋体"/>
              </a:rPr>
              <a:t>估值法</a:t>
            </a:r>
            <a:r>
              <a:rPr lang="zh-CN" altLang="en-US" sz="1000" b="0" i="0" strike="noStrike">
                <a:solidFill>
                  <a:srgbClr val="000000"/>
                </a:solidFill>
                <a:latin typeface="宋体"/>
                <a:ea typeface="宋体"/>
              </a:rPr>
              <a:t>五种方法下的相对价值，以及每股理论价格对估值要素的敏感性矩阵。</a:t>
            </a:r>
          </a:p>
        </xdr:txBody>
      </xdr:sp>
      <xdr:sp macro="" textlink="">
        <xdr:nvSpPr>
          <xdr:cNvPr id="6" name="AutoShape 55">
            <a:extLst>
              <a:ext uri="{FF2B5EF4-FFF2-40B4-BE49-F238E27FC236}">
                <a16:creationId xmlns:a16="http://schemas.microsoft.com/office/drawing/2014/main" id="{00000000-0008-0000-0600-000006000000}"/>
              </a:ext>
            </a:extLst>
          </xdr:cNvPr>
          <xdr:cNvSpPr>
            <a:spLocks noChangeArrowheads="1"/>
          </xdr:cNvSpPr>
        </xdr:nvSpPr>
        <xdr:spPr bwMode="auto">
          <a:xfrm rot="5400000">
            <a:off x="1085" y="440"/>
            <a:ext cx="34" cy="30"/>
          </a:xfrm>
          <a:prstGeom prst="notchedRightArrow">
            <a:avLst>
              <a:gd name="adj1" fmla="val 50000"/>
              <a:gd name="adj2" fmla="val 35002"/>
            </a:avLst>
          </a:prstGeom>
          <a:solidFill>
            <a:srgbClr val="404040"/>
          </a:solidFill>
          <a:ln w="9525">
            <a:solidFill>
              <a:srgbClr val="000000"/>
            </a:solidFill>
            <a:miter lim="800000"/>
            <a:headEnd/>
            <a:tailEnd/>
          </a:ln>
        </xdr:spPr>
      </xdr:sp>
      <xdr:sp macro="" textlink="" fLocksText="0">
        <xdr:nvSpPr>
          <xdr:cNvPr id="7" name="AutoShape 60">
            <a:extLst>
              <a:ext uri="{FF2B5EF4-FFF2-40B4-BE49-F238E27FC236}">
                <a16:creationId xmlns:a16="http://schemas.microsoft.com/office/drawing/2014/main" id="{00000000-0008-0000-0600-000007000000}"/>
              </a:ext>
            </a:extLst>
          </xdr:cNvPr>
          <xdr:cNvSpPr>
            <a:spLocks noChangeArrowheads="1"/>
          </xdr:cNvSpPr>
        </xdr:nvSpPr>
        <xdr:spPr bwMode="auto">
          <a:xfrm>
            <a:off x="986" y="710"/>
            <a:ext cx="234" cy="51"/>
          </a:xfrm>
          <a:prstGeom prst="bevel">
            <a:avLst>
              <a:gd name="adj" fmla="val 12500"/>
            </a:avLst>
          </a:prstGeom>
          <a:solidFill>
            <a:srgbClr val="404040"/>
          </a:solidFill>
          <a:ln w="9525">
            <a:solidFill>
              <a:srgbClr val="3C2CB2"/>
            </a:solidFill>
            <a:miter lim="800000"/>
            <a:headEnd/>
            <a:tailEnd/>
          </a:ln>
        </xdr:spPr>
        <xdr:txBody>
          <a:bodyPr vertOverflow="clip" wrap="square" lIns="36576" tIns="27432" rIns="36576" bIns="0" anchor="ctr"/>
          <a:lstStyle/>
          <a:p>
            <a:pPr algn="ctr" rtl="0">
              <a:defRPr sz="1000"/>
            </a:pPr>
            <a:r>
              <a:rPr lang="en-US" altLang="zh-CN" sz="1100" b="1" i="0" u="none" strike="noStrike" baseline="0">
                <a:solidFill>
                  <a:srgbClr val="FFFFFF"/>
                </a:solidFill>
                <a:latin typeface="宋体"/>
                <a:ea typeface="宋体"/>
              </a:rPr>
              <a:t>【</a:t>
            </a:r>
            <a:r>
              <a:rPr lang="zh-CN" altLang="en-US" sz="1100" b="1" i="0" u="none" strike="noStrike" baseline="0">
                <a:solidFill>
                  <a:srgbClr val="FFFFFF"/>
                </a:solidFill>
                <a:latin typeface="宋体"/>
                <a:ea typeface="宋体"/>
              </a:rPr>
              <a:t>输出报告</a:t>
            </a:r>
            <a:r>
              <a:rPr lang="en-US" altLang="zh-CN" sz="1100" b="1" i="0" u="none" strike="noStrike" baseline="0">
                <a:solidFill>
                  <a:srgbClr val="FFFFFF"/>
                </a:solidFill>
                <a:latin typeface="宋体"/>
                <a:ea typeface="宋体"/>
              </a:rPr>
              <a:t>】</a:t>
            </a:r>
          </a:p>
        </xdr:txBody>
      </xdr:sp>
      <xdr:sp macro="" textlink="">
        <xdr:nvSpPr>
          <xdr:cNvPr id="8" name="Line 61">
            <a:extLst>
              <a:ext uri="{FF2B5EF4-FFF2-40B4-BE49-F238E27FC236}">
                <a16:creationId xmlns:a16="http://schemas.microsoft.com/office/drawing/2014/main" id="{00000000-0008-0000-0600-000008000000}"/>
              </a:ext>
            </a:extLst>
          </xdr:cNvPr>
          <xdr:cNvSpPr>
            <a:spLocks noChangeShapeType="1"/>
          </xdr:cNvSpPr>
        </xdr:nvSpPr>
        <xdr:spPr bwMode="auto">
          <a:xfrm>
            <a:off x="1103" y="676"/>
            <a:ext cx="0" cy="34"/>
          </a:xfrm>
          <a:prstGeom prst="line">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9" name="Line 62">
            <a:extLst>
              <a:ext uri="{FF2B5EF4-FFF2-40B4-BE49-F238E27FC236}">
                <a16:creationId xmlns:a16="http://schemas.microsoft.com/office/drawing/2014/main" id="{00000000-0008-0000-0600-000009000000}"/>
              </a:ext>
            </a:extLst>
          </xdr:cNvPr>
          <xdr:cNvSpPr>
            <a:spLocks noChangeShapeType="1"/>
          </xdr:cNvSpPr>
        </xdr:nvSpPr>
        <xdr:spPr bwMode="auto">
          <a:xfrm>
            <a:off x="1102" y="575"/>
            <a:ext cx="0" cy="32"/>
          </a:xfrm>
          <a:prstGeom prst="line">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fLocksText="0">
        <xdr:nvSpPr>
          <xdr:cNvPr id="10" name="desk1">
            <a:extLst>
              <a:ext uri="{FF2B5EF4-FFF2-40B4-BE49-F238E27FC236}">
                <a16:creationId xmlns:a16="http://schemas.microsoft.com/office/drawing/2014/main" id="{00000000-0008-0000-0600-00000A000000}"/>
              </a:ext>
            </a:extLst>
          </xdr:cNvPr>
          <xdr:cNvSpPr>
            <a:spLocks noEditPoints="1" noChangeArrowheads="1"/>
          </xdr:cNvSpPr>
        </xdr:nvSpPr>
        <xdr:spPr bwMode="auto">
          <a:xfrm>
            <a:off x="389" y="204"/>
            <a:ext cx="433" cy="44"/>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rgbClr val="FFFFFF"/>
          </a:solidFill>
          <a:ln w="38100" cmpd="sng">
            <a:solidFill>
              <a:schemeClr val="tx1"/>
            </a:solidFill>
            <a:miter lim="800000"/>
            <a:headEnd/>
            <a:tailEnd/>
          </a:ln>
          <a:effectLst>
            <a:outerShdw dist="107763" dir="2700000" algn="ctr" rotWithShape="0">
              <a:srgbClr val="808080"/>
            </a:outerShdw>
          </a:effectLst>
        </xdr:spPr>
        <xdr:txBody>
          <a:bodyPr vertOverflow="clip" wrap="square" lIns="91440" tIns="45720" rIns="91440" bIns="45720" anchor="t" upright="1"/>
          <a:lstStyle/>
          <a:p>
            <a:pPr algn="l" rtl="1">
              <a:defRPr sz="1000"/>
            </a:pPr>
            <a:r>
              <a:rPr lang="zh-CN" altLang="en-US" sz="1000" b="0" i="0" strike="noStrike">
                <a:solidFill>
                  <a:srgbClr val="000000"/>
                </a:solidFill>
                <a:latin typeface="宋体"/>
                <a:ea typeface="宋体"/>
              </a:rPr>
              <a:t>观察</a:t>
            </a:r>
            <a:r>
              <a:rPr lang="en-US" altLang="zh-CN" sz="1000" b="0" i="0" strike="noStrike">
                <a:solidFill>
                  <a:srgbClr val="FF0000"/>
                </a:solidFill>
                <a:latin typeface="宋体"/>
                <a:ea typeface="宋体"/>
                <a:cs typeface="+mn-cs"/>
              </a:rPr>
              <a:t>【</a:t>
            </a:r>
            <a:r>
              <a:rPr lang="zh-CN" altLang="en-US" sz="1000" b="0" i="0" strike="noStrike">
                <a:solidFill>
                  <a:srgbClr val="FF0000"/>
                </a:solidFill>
                <a:latin typeface="宋体"/>
                <a:ea typeface="宋体"/>
                <a:cs typeface="+mn-cs"/>
              </a:rPr>
              <a:t>财务分析</a:t>
            </a:r>
            <a:r>
              <a:rPr lang="en-US" altLang="zh-CN" sz="1000" b="0" i="0" strike="noStrike">
                <a:solidFill>
                  <a:srgbClr val="FF0000"/>
                </a:solidFill>
                <a:latin typeface="宋体"/>
                <a:ea typeface="宋体"/>
              </a:rPr>
              <a:t>】</a:t>
            </a:r>
            <a:r>
              <a:rPr lang="zh-CN" altLang="en-US" sz="1000" b="0" i="0" strike="noStrike">
                <a:solidFill>
                  <a:srgbClr val="000000"/>
                </a:solidFill>
                <a:latin typeface="宋体"/>
                <a:ea typeface="宋体"/>
                <a:cs typeface="+mn-cs"/>
              </a:rPr>
              <a:t>页历史财务比例</a:t>
            </a:r>
            <a:r>
              <a:rPr lang="zh-CN" altLang="en-US" sz="1000" b="0" i="0" strike="noStrike">
                <a:solidFill>
                  <a:srgbClr val="000000"/>
                </a:solidFill>
                <a:latin typeface="宋体"/>
                <a:ea typeface="宋体"/>
              </a:rPr>
              <a:t>，分析目标公司近几年的经营状况和财务状况。</a:t>
            </a:r>
          </a:p>
        </xdr:txBody>
      </xdr:sp>
      <xdr:sp macro="" textlink="" fLocksText="0">
        <xdr:nvSpPr>
          <xdr:cNvPr id="11" name="desk1">
            <a:extLst>
              <a:ext uri="{FF2B5EF4-FFF2-40B4-BE49-F238E27FC236}">
                <a16:creationId xmlns:a16="http://schemas.microsoft.com/office/drawing/2014/main" id="{00000000-0008-0000-0600-00000B000000}"/>
              </a:ext>
            </a:extLst>
          </xdr:cNvPr>
          <xdr:cNvSpPr>
            <a:spLocks noEditPoints="1" noChangeArrowheads="1"/>
          </xdr:cNvSpPr>
        </xdr:nvSpPr>
        <xdr:spPr bwMode="auto">
          <a:xfrm>
            <a:off x="389" y="298"/>
            <a:ext cx="434" cy="120"/>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rgbClr val="FFFFFF"/>
          </a:solidFill>
          <a:ln w="38100" cmpd="sng">
            <a:solidFill>
              <a:schemeClr val="tx1"/>
            </a:solidFill>
            <a:miter lim="800000"/>
            <a:headEnd/>
            <a:tailEnd/>
          </a:ln>
          <a:effectLst>
            <a:outerShdw dist="107763" dir="2700000" algn="ctr" rotWithShape="0">
              <a:srgbClr val="808080"/>
            </a:outerShdw>
          </a:effectLst>
        </xdr:spPr>
        <xdr:txBody>
          <a:bodyPr vertOverflow="clip" wrap="square" lIns="91440" tIns="45720" rIns="91440" bIns="45720" anchor="t" upright="1"/>
          <a:lstStyle/>
          <a:p>
            <a:pPr algn="l" rtl="1">
              <a:lnSpc>
                <a:spcPts val="1000"/>
              </a:lnSpc>
              <a:defRPr sz="1000"/>
            </a:pPr>
            <a:r>
              <a:rPr lang="zh-CN" altLang="en-US" sz="1000" b="0" i="0" strike="noStrike">
                <a:solidFill>
                  <a:srgbClr val="000000"/>
                </a:solidFill>
                <a:latin typeface="宋体"/>
                <a:ea typeface="宋体"/>
              </a:rPr>
              <a:t>在</a:t>
            </a:r>
            <a:r>
              <a:rPr lang="en-US" altLang="zh-CN" sz="1000" b="0" i="0" strike="noStrike">
                <a:solidFill>
                  <a:srgbClr val="FF0000"/>
                </a:solidFill>
                <a:latin typeface="宋体"/>
                <a:ea typeface="宋体"/>
              </a:rPr>
              <a:t>【</a:t>
            </a:r>
            <a:r>
              <a:rPr lang="zh-CN" altLang="en-US" sz="1000" b="0" i="0" strike="noStrike">
                <a:solidFill>
                  <a:srgbClr val="FF0000"/>
                </a:solidFill>
                <a:latin typeface="宋体"/>
                <a:ea typeface="宋体"/>
              </a:rPr>
              <a:t>收入成本预测</a:t>
            </a:r>
            <a:r>
              <a:rPr lang="en-US" altLang="zh-CN" sz="1000" b="0" i="0" strike="noStrike">
                <a:solidFill>
                  <a:srgbClr val="FF0000"/>
                </a:solidFill>
                <a:latin typeface="宋体"/>
                <a:ea typeface="宋体"/>
              </a:rPr>
              <a:t>】</a:t>
            </a:r>
            <a:r>
              <a:rPr lang="zh-CN" altLang="en-US" sz="1000" b="0" i="0" strike="noStrike">
                <a:solidFill>
                  <a:srgbClr val="000000"/>
                </a:solidFill>
                <a:latin typeface="宋体"/>
                <a:ea typeface="宋体"/>
              </a:rPr>
              <a:t>页输入预测期营业收入和营业成本的金额； </a:t>
            </a:r>
            <a:r>
              <a:rPr lang="en-US" altLang="zh-CN" sz="1000" b="0" i="0" strike="noStrike">
                <a:solidFill>
                  <a:srgbClr val="000000"/>
                </a:solidFill>
                <a:latin typeface="宋体"/>
                <a:ea typeface="宋体"/>
              </a:rPr>
              <a:t>(</a:t>
            </a:r>
            <a:r>
              <a:rPr lang="zh-CN" altLang="en-US" sz="1000" b="0" i="0" strike="noStrike">
                <a:solidFill>
                  <a:srgbClr val="000000"/>
                </a:solidFill>
                <a:latin typeface="宋体"/>
                <a:ea typeface="宋体"/>
              </a:rPr>
              <a:t>预测参考企业产能、销售计划、市场占有率、行业景气周期等</a:t>
            </a:r>
            <a:r>
              <a:rPr lang="en-US" altLang="zh-CN" sz="1000" b="0" i="0" strike="noStrike">
                <a:solidFill>
                  <a:srgbClr val="000000"/>
                </a:solidFill>
                <a:latin typeface="宋体"/>
                <a:ea typeface="宋体"/>
              </a:rPr>
              <a:t>)</a:t>
            </a:r>
            <a:r>
              <a:rPr lang="zh-CN" altLang="en-US" sz="1000" b="0" i="0" strike="noStrike">
                <a:solidFill>
                  <a:srgbClr val="000000"/>
                </a:solidFill>
                <a:latin typeface="宋体"/>
                <a:ea typeface="宋体"/>
              </a:rPr>
              <a:t>。</a:t>
            </a:r>
            <a:endParaRPr lang="en-US" altLang="zh-CN" sz="1000" b="0" i="0" strike="noStrike">
              <a:solidFill>
                <a:srgbClr val="000000"/>
              </a:solidFill>
              <a:latin typeface="宋体"/>
              <a:ea typeface="宋体"/>
            </a:endParaRPr>
          </a:p>
          <a:p>
            <a:pPr algn="l" rtl="1">
              <a:lnSpc>
                <a:spcPts val="900"/>
              </a:lnSpc>
              <a:defRPr sz="1000"/>
            </a:pPr>
            <a:r>
              <a:rPr lang="zh-CN" altLang="en-US" sz="1000" b="0" i="0" strike="noStrike">
                <a:solidFill>
                  <a:srgbClr val="000000"/>
                </a:solidFill>
                <a:latin typeface="宋体"/>
                <a:ea typeface="宋体"/>
              </a:rPr>
              <a:t>在</a:t>
            </a:r>
            <a:r>
              <a:rPr lang="en-US" altLang="zh-CN" sz="1000" b="0" i="0" strike="noStrike">
                <a:solidFill>
                  <a:srgbClr val="FF0000"/>
                </a:solidFill>
                <a:latin typeface="宋体"/>
                <a:ea typeface="宋体"/>
                <a:cs typeface="+mn-cs"/>
              </a:rPr>
              <a:t>【</a:t>
            </a:r>
            <a:r>
              <a:rPr lang="zh-CN" altLang="en-US" sz="1000" b="0" i="0" strike="noStrike">
                <a:solidFill>
                  <a:srgbClr val="FF0000"/>
                </a:solidFill>
                <a:latin typeface="宋体"/>
                <a:ea typeface="宋体"/>
                <a:cs typeface="+mn-cs"/>
              </a:rPr>
              <a:t>单产品敏感性分析</a:t>
            </a:r>
            <a:r>
              <a:rPr lang="en-US" altLang="zh-CN" sz="1000" b="0" i="0" strike="noStrike">
                <a:solidFill>
                  <a:srgbClr val="FF0000"/>
                </a:solidFill>
                <a:latin typeface="宋体"/>
                <a:ea typeface="宋体"/>
                <a:cs typeface="+mn-cs"/>
              </a:rPr>
              <a:t>】</a:t>
            </a:r>
            <a:r>
              <a:rPr lang="zh-CN" altLang="en-US" sz="1000" b="0" i="0" strike="noStrike">
                <a:solidFill>
                  <a:srgbClr val="000000"/>
                </a:solidFill>
                <a:latin typeface="宋体"/>
                <a:ea typeface="宋体"/>
              </a:rPr>
              <a:t>页可以看到单产品营业收入或营业成本的变动对公司</a:t>
            </a:r>
            <a:r>
              <a:rPr lang="en-US" altLang="zh-CN" sz="1000" b="0" i="0" strike="noStrike">
                <a:solidFill>
                  <a:srgbClr val="000000"/>
                </a:solidFill>
                <a:latin typeface="宋体"/>
                <a:ea typeface="宋体"/>
              </a:rPr>
              <a:t>EPS</a:t>
            </a:r>
            <a:r>
              <a:rPr lang="zh-CN" altLang="en-US" sz="1000" b="0" i="0" strike="noStrike">
                <a:solidFill>
                  <a:srgbClr val="000000"/>
                </a:solidFill>
                <a:latin typeface="宋体"/>
                <a:ea typeface="宋体"/>
              </a:rPr>
              <a:t>的影响。</a:t>
            </a:r>
            <a:endParaRPr lang="en-US" altLang="zh-CN" sz="1000" b="0" i="0" strike="noStrike">
              <a:solidFill>
                <a:srgbClr val="000000"/>
              </a:solidFill>
              <a:latin typeface="宋体"/>
              <a:ea typeface="宋体"/>
            </a:endParaRPr>
          </a:p>
          <a:p>
            <a:pPr algn="l" rtl="1">
              <a:lnSpc>
                <a:spcPts val="900"/>
              </a:lnSpc>
              <a:defRPr sz="1000"/>
            </a:pPr>
            <a:r>
              <a:rPr lang="zh-CN" altLang="en-US" sz="1000" b="0" i="0" strike="noStrike">
                <a:solidFill>
                  <a:srgbClr val="FF0000"/>
                </a:solidFill>
                <a:latin typeface="宋体"/>
                <a:ea typeface="宋体"/>
              </a:rPr>
              <a:t>说明：需要研究员做预测的数据，都是以黄色背景标识，其他区域是程序自动计算生成，不可修改。</a:t>
            </a:r>
          </a:p>
        </xdr:txBody>
      </xdr:sp>
      <xdr:sp macro="" textlink="" fLocksText="0">
        <xdr:nvSpPr>
          <xdr:cNvPr id="12" name="Rectangle 67">
            <a:extLst>
              <a:ext uri="{FF2B5EF4-FFF2-40B4-BE49-F238E27FC236}">
                <a16:creationId xmlns:a16="http://schemas.microsoft.com/office/drawing/2014/main" id="{00000000-0008-0000-0600-00000C000000}"/>
              </a:ext>
            </a:extLst>
          </xdr:cNvPr>
          <xdr:cNvSpPr>
            <a:spLocks noChangeArrowheads="1"/>
          </xdr:cNvSpPr>
        </xdr:nvSpPr>
        <xdr:spPr bwMode="auto">
          <a:xfrm>
            <a:off x="617" y="173"/>
            <a:ext cx="234" cy="25"/>
          </a:xfrm>
          <a:prstGeom prst="rect">
            <a:avLst/>
          </a:prstGeom>
          <a:solidFill>
            <a:schemeClr val="tx1">
              <a:lumMod val="75000"/>
              <a:lumOff val="25000"/>
            </a:schemeClr>
          </a:solidFill>
          <a:ln w="9525">
            <a:solidFill>
              <a:srgbClr val="FFFFFF"/>
            </a:solidFill>
            <a:miter lim="800000"/>
            <a:headEnd/>
            <a:tailEnd/>
          </a:ln>
        </xdr:spPr>
        <xdr:txBody>
          <a:bodyPr vertOverflow="clip" wrap="square" lIns="27432" tIns="18288" rIns="0" bIns="0" anchor="ctr" upright="1"/>
          <a:lstStyle/>
          <a:p>
            <a:pPr algn="ctr" rtl="1">
              <a:defRPr sz="1000"/>
            </a:pPr>
            <a:r>
              <a:rPr lang="zh-CN" altLang="en-US" sz="900" b="0" i="0" strike="noStrike">
                <a:solidFill>
                  <a:schemeClr val="bg1"/>
                </a:solidFill>
                <a:latin typeface="宋体"/>
                <a:ea typeface="宋体"/>
              </a:rPr>
              <a:t>提取历史数据</a:t>
            </a:r>
          </a:p>
        </xdr:txBody>
      </xdr:sp>
      <xdr:sp macro="" textlink="">
        <xdr:nvSpPr>
          <xdr:cNvPr id="13" name="AutoShape 69">
            <a:extLst>
              <a:ext uri="{FF2B5EF4-FFF2-40B4-BE49-F238E27FC236}">
                <a16:creationId xmlns:a16="http://schemas.microsoft.com/office/drawing/2014/main" id="{00000000-0008-0000-0600-00000D000000}"/>
              </a:ext>
            </a:extLst>
          </xdr:cNvPr>
          <xdr:cNvSpPr>
            <a:spLocks noChangeArrowheads="1"/>
          </xdr:cNvSpPr>
        </xdr:nvSpPr>
        <xdr:spPr bwMode="auto">
          <a:xfrm rot="5400000">
            <a:off x="592" y="261"/>
            <a:ext cx="26" cy="30"/>
          </a:xfrm>
          <a:prstGeom prst="notchedRightArrow">
            <a:avLst>
              <a:gd name="adj1" fmla="val 50000"/>
              <a:gd name="adj2" fmla="val 25000"/>
            </a:avLst>
          </a:prstGeom>
          <a:solidFill>
            <a:srgbClr val="404040"/>
          </a:solidFill>
          <a:ln w="9525">
            <a:solidFill>
              <a:srgbClr val="000000"/>
            </a:solidFill>
            <a:miter lim="800000"/>
            <a:headEnd/>
            <a:tailEnd/>
          </a:ln>
        </xdr:spPr>
      </xdr:sp>
      <xdr:sp macro="" textlink="" fLocksText="0">
        <xdr:nvSpPr>
          <xdr:cNvPr id="14" name="desk1">
            <a:extLst>
              <a:ext uri="{FF2B5EF4-FFF2-40B4-BE49-F238E27FC236}">
                <a16:creationId xmlns:a16="http://schemas.microsoft.com/office/drawing/2014/main" id="{00000000-0008-0000-0600-00000E000000}"/>
              </a:ext>
            </a:extLst>
          </xdr:cNvPr>
          <xdr:cNvSpPr>
            <a:spLocks noEditPoints="1" noChangeArrowheads="1"/>
          </xdr:cNvSpPr>
        </xdr:nvSpPr>
        <xdr:spPr bwMode="auto">
          <a:xfrm>
            <a:off x="390" y="625"/>
            <a:ext cx="434" cy="49"/>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rgbClr val="FFFFFF"/>
          </a:solidFill>
          <a:ln w="38100" cmpd="sng">
            <a:solidFill>
              <a:schemeClr val="tx1"/>
            </a:solidFill>
            <a:miter lim="800000"/>
            <a:headEnd/>
            <a:tailEnd/>
          </a:ln>
          <a:effectLst>
            <a:outerShdw dist="107763" dir="2700000" algn="ctr" rotWithShape="0">
              <a:srgbClr val="808080"/>
            </a:outerShdw>
          </a:effectLst>
        </xdr:spPr>
        <xdr:txBody>
          <a:bodyPr vertOverflow="clip" wrap="square" lIns="91440" tIns="45720" rIns="91440" bIns="45720" anchor="t" upright="1"/>
          <a:lstStyle/>
          <a:p>
            <a:pPr algn="l" rtl="1">
              <a:defRPr sz="1000"/>
            </a:pPr>
            <a:r>
              <a:rPr lang="zh-CN" altLang="en-US" sz="1000" b="0" i="0" strike="noStrike">
                <a:solidFill>
                  <a:srgbClr val="000000"/>
                </a:solidFill>
                <a:latin typeface="宋体"/>
                <a:ea typeface="宋体"/>
              </a:rPr>
              <a:t>观察</a:t>
            </a:r>
            <a:r>
              <a:rPr lang="en-US" altLang="zh-CN" sz="1000" b="0" i="0" strike="noStrike">
                <a:solidFill>
                  <a:srgbClr val="FF0000"/>
                </a:solidFill>
                <a:latin typeface="宋体"/>
                <a:ea typeface="宋体"/>
                <a:cs typeface="+mn-cs"/>
              </a:rPr>
              <a:t>【</a:t>
            </a:r>
            <a:r>
              <a:rPr lang="zh-CN" altLang="en-US" sz="1000" b="0" i="0" strike="noStrike">
                <a:solidFill>
                  <a:srgbClr val="FF0000"/>
                </a:solidFill>
                <a:latin typeface="宋体"/>
                <a:ea typeface="宋体"/>
                <a:cs typeface="+mn-cs"/>
              </a:rPr>
              <a:t>财务分析</a:t>
            </a:r>
            <a:r>
              <a:rPr lang="en-US" altLang="zh-CN" sz="1000" b="0" i="0" strike="noStrike">
                <a:solidFill>
                  <a:srgbClr val="FF0000"/>
                </a:solidFill>
                <a:latin typeface="宋体"/>
                <a:ea typeface="宋体"/>
                <a:cs typeface="+mn-cs"/>
              </a:rPr>
              <a:t>】</a:t>
            </a:r>
            <a:r>
              <a:rPr lang="zh-CN" altLang="en-US" sz="1000" b="0" i="0" strike="noStrike">
                <a:solidFill>
                  <a:srgbClr val="000000"/>
                </a:solidFill>
                <a:latin typeface="宋体"/>
                <a:ea typeface="宋体"/>
                <a:cs typeface="+mn-cs"/>
              </a:rPr>
              <a:t>页预测部分的</a:t>
            </a:r>
            <a:r>
              <a:rPr lang="zh-CN" altLang="en-US" sz="1000" b="0" i="0" strike="noStrike">
                <a:solidFill>
                  <a:srgbClr val="000000"/>
                </a:solidFill>
                <a:latin typeface="宋体"/>
                <a:ea typeface="宋体"/>
              </a:rPr>
              <a:t>相关财务指标是否合理，判断的原因，重新设置预设项，修正预测结果。</a:t>
            </a:r>
          </a:p>
        </xdr:txBody>
      </xdr:sp>
      <xdr:sp macro="" textlink="" fLocksText="0">
        <xdr:nvSpPr>
          <xdr:cNvPr id="15" name="desk1">
            <a:extLst>
              <a:ext uri="{FF2B5EF4-FFF2-40B4-BE49-F238E27FC236}">
                <a16:creationId xmlns:a16="http://schemas.microsoft.com/office/drawing/2014/main" id="{00000000-0008-0000-0600-00000F000000}"/>
              </a:ext>
            </a:extLst>
          </xdr:cNvPr>
          <xdr:cNvSpPr>
            <a:spLocks noEditPoints="1" noChangeArrowheads="1"/>
          </xdr:cNvSpPr>
        </xdr:nvSpPr>
        <xdr:spPr bwMode="auto">
          <a:xfrm>
            <a:off x="388" y="473"/>
            <a:ext cx="435" cy="106"/>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rgbClr val="FFFFFF"/>
          </a:solidFill>
          <a:ln w="38100" cmpd="sng">
            <a:solidFill>
              <a:schemeClr val="tx1"/>
            </a:solidFill>
            <a:miter lim="800000"/>
            <a:headEnd/>
            <a:tailEnd/>
          </a:ln>
          <a:effectLst>
            <a:outerShdw dist="107763" dir="2700000" algn="ctr" rotWithShape="0">
              <a:srgbClr val="808080"/>
            </a:outerShdw>
          </a:effectLst>
        </xdr:spPr>
        <xdr:txBody>
          <a:bodyPr vertOverflow="clip" wrap="square" lIns="91440" tIns="45720" rIns="91440" bIns="45720" anchor="t" upright="1"/>
          <a:lstStyle/>
          <a:p>
            <a:pPr algn="l" rtl="1">
              <a:lnSpc>
                <a:spcPts val="1100"/>
              </a:lnSpc>
              <a:defRPr sz="1000"/>
            </a:pPr>
            <a:r>
              <a:rPr lang="zh-CN" altLang="en-US" sz="1000" b="0" i="0" strike="noStrike">
                <a:solidFill>
                  <a:srgbClr val="000000"/>
                </a:solidFill>
                <a:latin typeface="宋体"/>
                <a:ea typeface="宋体"/>
              </a:rPr>
              <a:t>程序自动完成</a:t>
            </a:r>
            <a:r>
              <a:rPr lang="en-US" altLang="zh-CN" sz="1000" b="0" i="0" strike="noStrike">
                <a:solidFill>
                  <a:srgbClr val="FF0000"/>
                </a:solidFill>
                <a:latin typeface="宋体"/>
                <a:ea typeface="宋体"/>
                <a:cs typeface="+mn-cs"/>
              </a:rPr>
              <a:t>【</a:t>
            </a:r>
            <a:r>
              <a:rPr lang="zh-CN" altLang="en-US" sz="1000" b="0" i="0" strike="noStrike">
                <a:solidFill>
                  <a:srgbClr val="FF0000"/>
                </a:solidFill>
                <a:latin typeface="宋体"/>
                <a:ea typeface="宋体"/>
                <a:cs typeface="+mn-cs"/>
              </a:rPr>
              <a:t>利润表</a:t>
            </a:r>
            <a:r>
              <a:rPr lang="en-US" altLang="zh-CN" sz="1000" b="0" i="0" strike="noStrike">
                <a:solidFill>
                  <a:srgbClr val="FF0000"/>
                </a:solidFill>
                <a:latin typeface="宋体"/>
                <a:ea typeface="宋体"/>
                <a:cs typeface="+mn-cs"/>
              </a:rPr>
              <a:t>】</a:t>
            </a:r>
            <a:r>
              <a:rPr lang="zh-CN" altLang="en-US" sz="1000" b="0" i="0" strike="noStrike">
                <a:solidFill>
                  <a:srgbClr val="FF0000"/>
                </a:solidFill>
                <a:latin typeface="宋体"/>
                <a:ea typeface="宋体"/>
                <a:cs typeface="+mn-cs"/>
              </a:rPr>
              <a:t>、</a:t>
            </a:r>
            <a:r>
              <a:rPr lang="en-US" altLang="zh-CN" sz="1000" b="0" i="0" strike="noStrike">
                <a:solidFill>
                  <a:srgbClr val="FF0000"/>
                </a:solidFill>
                <a:latin typeface="宋体"/>
                <a:ea typeface="宋体"/>
                <a:cs typeface="+mn-cs"/>
              </a:rPr>
              <a:t>【</a:t>
            </a:r>
            <a:r>
              <a:rPr lang="zh-CN" altLang="en-US" sz="1000" b="0" i="0" strike="noStrike">
                <a:solidFill>
                  <a:srgbClr val="FF0000"/>
                </a:solidFill>
                <a:latin typeface="宋体"/>
                <a:ea typeface="宋体"/>
                <a:cs typeface="+mn-cs"/>
              </a:rPr>
              <a:t>资产负债表</a:t>
            </a:r>
            <a:r>
              <a:rPr lang="en-US" altLang="zh-CN" sz="1000" b="0" i="0" strike="noStrike">
                <a:solidFill>
                  <a:srgbClr val="FF0000"/>
                </a:solidFill>
                <a:latin typeface="宋体"/>
                <a:ea typeface="宋体"/>
                <a:cs typeface="+mn-cs"/>
              </a:rPr>
              <a:t>】</a:t>
            </a:r>
            <a:r>
              <a:rPr lang="zh-CN" altLang="en-US" sz="1000" b="0" i="0" strike="noStrike">
                <a:solidFill>
                  <a:srgbClr val="FF0000"/>
                </a:solidFill>
                <a:latin typeface="宋体"/>
                <a:ea typeface="宋体"/>
                <a:cs typeface="+mn-cs"/>
              </a:rPr>
              <a:t>、</a:t>
            </a:r>
            <a:r>
              <a:rPr lang="en-US" altLang="zh-CN" sz="1000" b="0" i="0" strike="noStrike">
                <a:solidFill>
                  <a:srgbClr val="FF0000"/>
                </a:solidFill>
                <a:latin typeface="宋体"/>
                <a:ea typeface="宋体"/>
                <a:cs typeface="+mn-cs"/>
              </a:rPr>
              <a:t>【</a:t>
            </a:r>
            <a:r>
              <a:rPr lang="zh-CN" altLang="en-US" sz="1000" b="0" i="0" strike="noStrike">
                <a:solidFill>
                  <a:srgbClr val="FF0000"/>
                </a:solidFill>
                <a:latin typeface="宋体"/>
                <a:ea typeface="宋体"/>
                <a:cs typeface="+mn-cs"/>
              </a:rPr>
              <a:t>现金流量表</a:t>
            </a:r>
            <a:r>
              <a:rPr lang="en-US" altLang="zh-CN" sz="1000" b="0" i="0" strike="noStrike">
                <a:solidFill>
                  <a:srgbClr val="FF0000"/>
                </a:solidFill>
                <a:latin typeface="宋体"/>
                <a:ea typeface="宋体"/>
                <a:cs typeface="+mn-cs"/>
              </a:rPr>
              <a:t>】</a:t>
            </a:r>
            <a:r>
              <a:rPr lang="zh-CN" altLang="en-US" sz="1000" b="0" i="0" strike="noStrike">
                <a:solidFill>
                  <a:srgbClr val="000000"/>
                </a:solidFill>
                <a:latin typeface="宋体"/>
                <a:ea typeface="宋体"/>
              </a:rPr>
              <a:t>。</a:t>
            </a:r>
            <a:r>
              <a:rPr lang="en-US" altLang="zh-CN" sz="1000" b="0" i="0" strike="noStrike">
                <a:solidFill>
                  <a:srgbClr val="FF0000"/>
                </a:solidFill>
                <a:latin typeface="宋体"/>
                <a:ea typeface="宋体"/>
              </a:rPr>
              <a:t>【</a:t>
            </a:r>
            <a:r>
              <a:rPr lang="zh-CN" altLang="en-US" sz="1000" b="0" i="0" strike="noStrike">
                <a:solidFill>
                  <a:srgbClr val="FF0000"/>
                </a:solidFill>
                <a:latin typeface="宋体"/>
                <a:ea typeface="宋体"/>
              </a:rPr>
              <a:t>营运资本</a:t>
            </a:r>
            <a:r>
              <a:rPr lang="en-US" altLang="zh-CN" sz="1000" b="0" i="0" strike="noStrike">
                <a:solidFill>
                  <a:srgbClr val="FF0000"/>
                </a:solidFill>
                <a:latin typeface="宋体"/>
                <a:ea typeface="宋体"/>
              </a:rPr>
              <a:t>】</a:t>
            </a:r>
            <a:r>
              <a:rPr lang="zh-CN" altLang="en-US" sz="1000" b="0" i="0" strike="noStrike">
                <a:solidFill>
                  <a:srgbClr val="FF0000"/>
                </a:solidFill>
                <a:latin typeface="宋体"/>
                <a:ea typeface="宋体"/>
              </a:rPr>
              <a:t>、</a:t>
            </a:r>
            <a:r>
              <a:rPr lang="en-US" altLang="zh-CN" sz="1000" b="0" i="0" strike="noStrike">
                <a:solidFill>
                  <a:srgbClr val="FF0000"/>
                </a:solidFill>
                <a:latin typeface="宋体"/>
                <a:ea typeface="宋体"/>
              </a:rPr>
              <a:t>【</a:t>
            </a:r>
            <a:r>
              <a:rPr lang="zh-CN" altLang="en-US" sz="1000" b="0" i="0" strike="noStrike">
                <a:solidFill>
                  <a:srgbClr val="FF0000"/>
                </a:solidFill>
                <a:latin typeface="宋体"/>
                <a:ea typeface="宋体"/>
              </a:rPr>
              <a:t>资本投资</a:t>
            </a:r>
            <a:r>
              <a:rPr lang="en-US" altLang="zh-CN" sz="1000" b="0" i="0" strike="noStrike">
                <a:solidFill>
                  <a:srgbClr val="FF0000"/>
                </a:solidFill>
                <a:latin typeface="宋体"/>
                <a:ea typeface="宋体"/>
              </a:rPr>
              <a:t>】</a:t>
            </a:r>
            <a:r>
              <a:rPr lang="zh-CN" altLang="en-US" sz="1000" b="0" i="0" strike="noStrike">
                <a:solidFill>
                  <a:srgbClr val="FF0000"/>
                </a:solidFill>
                <a:latin typeface="宋体"/>
                <a:ea typeface="宋体"/>
              </a:rPr>
              <a:t>、</a:t>
            </a:r>
            <a:r>
              <a:rPr lang="en-US" altLang="zh-CN" sz="1000" b="0" i="0" strike="noStrike">
                <a:solidFill>
                  <a:srgbClr val="FF0000"/>
                </a:solidFill>
                <a:latin typeface="宋体"/>
                <a:ea typeface="宋体"/>
              </a:rPr>
              <a:t>【</a:t>
            </a:r>
            <a:r>
              <a:rPr lang="zh-CN" altLang="en-US" sz="1000" b="0" i="0" strike="noStrike">
                <a:solidFill>
                  <a:srgbClr val="FF0000"/>
                </a:solidFill>
                <a:latin typeface="宋体"/>
                <a:ea typeface="宋体"/>
              </a:rPr>
              <a:t>债务</a:t>
            </a:r>
            <a:r>
              <a:rPr lang="en-US" altLang="zh-CN" sz="1000" b="0" i="0" strike="noStrike">
                <a:solidFill>
                  <a:srgbClr val="FF0000"/>
                </a:solidFill>
                <a:latin typeface="宋体"/>
                <a:ea typeface="宋体"/>
              </a:rPr>
              <a:t>】</a:t>
            </a:r>
            <a:r>
              <a:rPr lang="zh-CN" altLang="en-US" sz="1000" b="0" i="0" strike="noStrike">
                <a:solidFill>
                  <a:srgbClr val="000000"/>
                </a:solidFill>
                <a:latin typeface="宋体"/>
                <a:ea typeface="宋体"/>
              </a:rPr>
              <a:t>相关科目直接从上述预测页导入，其他科目由系统默认的预测方法自动生成。研究员可以根据目标公司的财务状况调整预测方法。</a:t>
            </a:r>
            <a:endParaRPr lang="en-US" altLang="zh-CN" sz="1000" b="0" i="0" strike="noStrike">
              <a:solidFill>
                <a:srgbClr val="000000"/>
              </a:solidFill>
              <a:latin typeface="宋体"/>
              <a:ea typeface="宋体"/>
            </a:endParaRPr>
          </a:p>
          <a:p>
            <a:pPr algn="l" rtl="1">
              <a:lnSpc>
                <a:spcPts val="1000"/>
              </a:lnSpc>
              <a:defRPr sz="1000"/>
            </a:pPr>
            <a:r>
              <a:rPr lang="zh-CN" altLang="en-US" sz="1000" b="0" i="0" strike="noStrike">
                <a:solidFill>
                  <a:srgbClr val="000000"/>
                </a:solidFill>
                <a:latin typeface="宋体"/>
                <a:ea typeface="宋体"/>
              </a:rPr>
              <a:t>全部预测方法汇总在</a:t>
            </a:r>
            <a:r>
              <a:rPr lang="en-US" altLang="zh-CN" sz="1000" b="0" i="0" strike="noStrike">
                <a:solidFill>
                  <a:srgbClr val="FF0000"/>
                </a:solidFill>
                <a:latin typeface="宋体"/>
                <a:ea typeface="宋体"/>
                <a:cs typeface="+mn-cs"/>
              </a:rPr>
              <a:t>【</a:t>
            </a:r>
            <a:r>
              <a:rPr lang="zh-CN" altLang="en-US" sz="1000" b="0" i="0" strike="noStrike">
                <a:solidFill>
                  <a:srgbClr val="FF0000"/>
                </a:solidFill>
                <a:latin typeface="宋体"/>
                <a:ea typeface="宋体"/>
                <a:cs typeface="+mn-cs"/>
              </a:rPr>
              <a:t>假设</a:t>
            </a:r>
            <a:r>
              <a:rPr lang="en-US" altLang="zh-CN" sz="1000" b="0" i="0" strike="noStrike">
                <a:solidFill>
                  <a:srgbClr val="FF0000"/>
                </a:solidFill>
                <a:latin typeface="宋体"/>
                <a:ea typeface="宋体"/>
                <a:cs typeface="+mn-cs"/>
              </a:rPr>
              <a:t>】</a:t>
            </a:r>
            <a:r>
              <a:rPr lang="zh-CN" altLang="en-US" sz="1000" b="0" i="0" strike="noStrike">
                <a:solidFill>
                  <a:srgbClr val="000000"/>
                </a:solidFill>
                <a:latin typeface="宋体"/>
                <a:ea typeface="宋体"/>
              </a:rPr>
              <a:t>页。</a:t>
            </a:r>
          </a:p>
        </xdr:txBody>
      </xdr:sp>
      <xdr:sp macro="" textlink="">
        <xdr:nvSpPr>
          <xdr:cNvPr id="16" name="AutoShape 68">
            <a:extLst>
              <a:ext uri="{FF2B5EF4-FFF2-40B4-BE49-F238E27FC236}">
                <a16:creationId xmlns:a16="http://schemas.microsoft.com/office/drawing/2014/main" id="{00000000-0008-0000-0600-000010000000}"/>
              </a:ext>
            </a:extLst>
          </xdr:cNvPr>
          <xdr:cNvSpPr>
            <a:spLocks noChangeArrowheads="1"/>
          </xdr:cNvSpPr>
        </xdr:nvSpPr>
        <xdr:spPr bwMode="auto">
          <a:xfrm rot="5400000">
            <a:off x="588" y="432"/>
            <a:ext cx="32" cy="30"/>
          </a:xfrm>
          <a:prstGeom prst="notchedRightArrow">
            <a:avLst>
              <a:gd name="adj1" fmla="val 50000"/>
              <a:gd name="adj2" fmla="val 26667"/>
            </a:avLst>
          </a:prstGeom>
          <a:solidFill>
            <a:srgbClr val="404040"/>
          </a:solidFill>
          <a:ln w="9525">
            <a:solidFill>
              <a:srgbClr val="000000"/>
            </a:solidFill>
            <a:miter lim="800000"/>
            <a:headEnd/>
            <a:tailEnd/>
          </a:ln>
        </xdr:spPr>
      </xdr:sp>
      <xdr:sp macro="" textlink="" fLocksText="0">
        <xdr:nvSpPr>
          <xdr:cNvPr id="17" name="Rectangle 71">
            <a:extLst>
              <a:ext uri="{FF2B5EF4-FFF2-40B4-BE49-F238E27FC236}">
                <a16:creationId xmlns:a16="http://schemas.microsoft.com/office/drawing/2014/main" id="{00000000-0008-0000-0600-000011000000}"/>
              </a:ext>
            </a:extLst>
          </xdr:cNvPr>
          <xdr:cNvSpPr>
            <a:spLocks noChangeArrowheads="1"/>
          </xdr:cNvSpPr>
        </xdr:nvSpPr>
        <xdr:spPr bwMode="auto">
          <a:xfrm>
            <a:off x="616" y="436"/>
            <a:ext cx="234" cy="23"/>
          </a:xfrm>
          <a:prstGeom prst="rect">
            <a:avLst/>
          </a:prstGeom>
          <a:solidFill>
            <a:srgbClr val="404040"/>
          </a:solidFill>
          <a:ln w="9525">
            <a:solidFill>
              <a:srgbClr val="FFFFFF"/>
            </a:solidFill>
            <a:miter lim="800000"/>
            <a:headEnd/>
            <a:tailEnd/>
          </a:ln>
        </xdr:spPr>
        <xdr:txBody>
          <a:bodyPr vertOverflow="clip" wrap="square" lIns="27432" tIns="18288" rIns="0" bIns="0" anchor="ctr"/>
          <a:lstStyle/>
          <a:p>
            <a:pPr algn="ctr" rtl="0">
              <a:defRPr sz="1000"/>
            </a:pPr>
            <a:r>
              <a:rPr lang="zh-CN" altLang="en-US" sz="900" b="0" i="0" u="none" strike="noStrike" baseline="0">
                <a:solidFill>
                  <a:srgbClr val="FFFFFF"/>
                </a:solidFill>
                <a:latin typeface="宋体"/>
                <a:ea typeface="宋体"/>
              </a:rPr>
              <a:t>计算预测三大报表</a:t>
            </a:r>
          </a:p>
        </xdr:txBody>
      </xdr:sp>
      <xdr:sp macro="" textlink="">
        <xdr:nvSpPr>
          <xdr:cNvPr id="18" name="AutoShape 74">
            <a:extLst>
              <a:ext uri="{FF2B5EF4-FFF2-40B4-BE49-F238E27FC236}">
                <a16:creationId xmlns:a16="http://schemas.microsoft.com/office/drawing/2014/main" id="{00000000-0008-0000-0600-000012000000}"/>
              </a:ext>
            </a:extLst>
          </xdr:cNvPr>
          <xdr:cNvSpPr>
            <a:spLocks noChangeArrowheads="1"/>
          </xdr:cNvSpPr>
        </xdr:nvSpPr>
        <xdr:spPr bwMode="auto">
          <a:xfrm rot="5400000">
            <a:off x="592" y="592"/>
            <a:ext cx="26" cy="30"/>
          </a:xfrm>
          <a:prstGeom prst="notchedRightArrow">
            <a:avLst>
              <a:gd name="adj1" fmla="val 50000"/>
              <a:gd name="adj2" fmla="val 25000"/>
            </a:avLst>
          </a:prstGeom>
          <a:solidFill>
            <a:srgbClr val="404040"/>
          </a:solidFill>
          <a:ln w="9525">
            <a:solidFill>
              <a:srgbClr val="000000"/>
            </a:solidFill>
            <a:miter lim="800000"/>
            <a:headEnd/>
            <a:tailEnd/>
          </a:ln>
        </xdr:spPr>
      </xdr:sp>
      <xdr:grpSp>
        <xdr:nvGrpSpPr>
          <xdr:cNvPr id="19" name="组合 37">
            <a:extLst>
              <a:ext uri="{FF2B5EF4-FFF2-40B4-BE49-F238E27FC236}">
                <a16:creationId xmlns:a16="http://schemas.microsoft.com/office/drawing/2014/main" id="{00000000-0008-0000-0600-000013000000}"/>
              </a:ext>
            </a:extLst>
          </xdr:cNvPr>
          <xdr:cNvGrpSpPr>
            <a:grpSpLocks/>
          </xdr:cNvGrpSpPr>
        </xdr:nvGrpSpPr>
        <xdr:grpSpPr bwMode="auto">
          <a:xfrm>
            <a:off x="613" y="273"/>
            <a:ext cx="242" cy="384"/>
            <a:chOff x="3124200" y="2229789"/>
            <a:chExt cx="3028047" cy="3383831"/>
          </a:xfrm>
        </xdr:grpSpPr>
        <xdr:sp macro="" textlink="">
          <xdr:nvSpPr>
            <xdr:cNvPr id="29" name="Line 80">
              <a:extLst>
                <a:ext uri="{FF2B5EF4-FFF2-40B4-BE49-F238E27FC236}">
                  <a16:creationId xmlns:a16="http://schemas.microsoft.com/office/drawing/2014/main" id="{00000000-0008-0000-0600-00001D000000}"/>
                </a:ext>
              </a:extLst>
            </xdr:cNvPr>
            <xdr:cNvSpPr>
              <a:spLocks noChangeShapeType="1"/>
            </xdr:cNvSpPr>
          </xdr:nvSpPr>
          <xdr:spPr bwMode="auto">
            <a:xfrm flipH="1">
              <a:off x="3124200" y="2243231"/>
              <a:ext cx="3019426" cy="9525"/>
            </a:xfrm>
            <a:prstGeom prst="line">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sp>
        <xdr:grpSp>
          <xdr:nvGrpSpPr>
            <xdr:cNvPr id="30" name="组合 43">
              <a:extLst>
                <a:ext uri="{FF2B5EF4-FFF2-40B4-BE49-F238E27FC236}">
                  <a16:creationId xmlns:a16="http://schemas.microsoft.com/office/drawing/2014/main" id="{00000000-0008-0000-0600-00001E000000}"/>
                </a:ext>
              </a:extLst>
            </xdr:cNvPr>
            <xdr:cNvGrpSpPr>
              <a:grpSpLocks/>
            </xdr:cNvGrpSpPr>
          </xdr:nvGrpSpPr>
          <xdr:grpSpPr bwMode="auto">
            <a:xfrm>
              <a:off x="5753124" y="2229789"/>
              <a:ext cx="399123" cy="3383831"/>
              <a:chOff x="5200645" y="2377789"/>
              <a:chExt cx="369917" cy="2670972"/>
            </a:xfrm>
          </xdr:grpSpPr>
          <xdr:cxnSp macro="">
            <xdr:nvCxnSpPr>
              <xdr:cNvPr id="31" name="AutoShape 50">
                <a:extLst>
                  <a:ext uri="{FF2B5EF4-FFF2-40B4-BE49-F238E27FC236}">
                    <a16:creationId xmlns:a16="http://schemas.microsoft.com/office/drawing/2014/main" id="{00000000-0008-0000-0600-00001F000000}"/>
                  </a:ext>
                </a:extLst>
              </xdr:cNvPr>
              <xdr:cNvCxnSpPr>
                <a:cxnSpLocks noChangeShapeType="1"/>
              </xdr:cNvCxnSpPr>
            </xdr:nvCxnSpPr>
            <xdr:spPr bwMode="auto">
              <a:xfrm rot="16200000" flipH="1">
                <a:off x="4231081" y="3709279"/>
                <a:ext cx="2670972" cy="7991"/>
              </a:xfrm>
              <a:prstGeom prst="straightConnector1">
                <a:avLst/>
              </a:prstGeom>
              <a:noFill/>
              <a:ln w="38100">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32" name="Line 82">
                <a:extLst>
                  <a:ext uri="{FF2B5EF4-FFF2-40B4-BE49-F238E27FC236}">
                    <a16:creationId xmlns:a16="http://schemas.microsoft.com/office/drawing/2014/main" id="{00000000-0008-0000-0600-000020000000}"/>
                  </a:ext>
                </a:extLst>
              </xdr:cNvPr>
              <xdr:cNvSpPr>
                <a:spLocks noChangeShapeType="1"/>
              </xdr:cNvSpPr>
            </xdr:nvSpPr>
            <xdr:spPr bwMode="auto">
              <a:xfrm>
                <a:off x="5200645" y="5034411"/>
                <a:ext cx="352424" cy="0"/>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20" name="Line 90">
            <a:extLst>
              <a:ext uri="{FF2B5EF4-FFF2-40B4-BE49-F238E27FC236}">
                <a16:creationId xmlns:a16="http://schemas.microsoft.com/office/drawing/2014/main" id="{00000000-0008-0000-0600-000014000000}"/>
              </a:ext>
            </a:extLst>
          </xdr:cNvPr>
          <xdr:cNvSpPr>
            <a:spLocks noChangeShapeType="1"/>
          </xdr:cNvSpPr>
        </xdr:nvSpPr>
        <xdr:spPr bwMode="auto">
          <a:xfrm>
            <a:off x="606" y="686"/>
            <a:ext cx="0" cy="24"/>
          </a:xfrm>
          <a:prstGeom prst="line">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sp>
      <xdr:grpSp>
        <xdr:nvGrpSpPr>
          <xdr:cNvPr id="21" name="组合 40">
            <a:extLst>
              <a:ext uri="{FF2B5EF4-FFF2-40B4-BE49-F238E27FC236}">
                <a16:creationId xmlns:a16="http://schemas.microsoft.com/office/drawing/2014/main" id="{00000000-0008-0000-0600-000015000000}"/>
              </a:ext>
            </a:extLst>
          </xdr:cNvPr>
          <xdr:cNvGrpSpPr>
            <a:grpSpLocks/>
          </xdr:cNvGrpSpPr>
        </xdr:nvGrpSpPr>
        <xdr:grpSpPr bwMode="auto">
          <a:xfrm>
            <a:off x="667" y="364"/>
            <a:ext cx="241" cy="370"/>
            <a:chOff x="3705225" y="1674871"/>
            <a:chExt cx="2390914" cy="3563418"/>
          </a:xfrm>
        </xdr:grpSpPr>
        <xdr:sp macro="" textlink="">
          <xdr:nvSpPr>
            <xdr:cNvPr id="25" name="Line 84">
              <a:extLst>
                <a:ext uri="{FF2B5EF4-FFF2-40B4-BE49-F238E27FC236}">
                  <a16:creationId xmlns:a16="http://schemas.microsoft.com/office/drawing/2014/main" id="{00000000-0008-0000-0600-000019000000}"/>
                </a:ext>
              </a:extLst>
            </xdr:cNvPr>
            <xdr:cNvSpPr>
              <a:spLocks noChangeShapeType="1"/>
            </xdr:cNvSpPr>
          </xdr:nvSpPr>
          <xdr:spPr bwMode="auto">
            <a:xfrm>
              <a:off x="3705225" y="5238287"/>
              <a:ext cx="2105025" cy="0"/>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grpSp>
          <xdr:nvGrpSpPr>
            <xdr:cNvPr id="26" name="组合 76">
              <a:extLst>
                <a:ext uri="{FF2B5EF4-FFF2-40B4-BE49-F238E27FC236}">
                  <a16:creationId xmlns:a16="http://schemas.microsoft.com/office/drawing/2014/main" id="{00000000-0008-0000-0600-00001A000000}"/>
                </a:ext>
              </a:extLst>
            </xdr:cNvPr>
            <xdr:cNvGrpSpPr>
              <a:grpSpLocks/>
            </xdr:cNvGrpSpPr>
          </xdr:nvGrpSpPr>
          <xdr:grpSpPr bwMode="auto">
            <a:xfrm>
              <a:off x="5781804" y="1674871"/>
              <a:ext cx="314335" cy="3563418"/>
              <a:chOff x="5657850" y="1055460"/>
              <a:chExt cx="438150" cy="4226381"/>
            </a:xfrm>
          </xdr:grpSpPr>
          <xdr:cxnSp macro="">
            <xdr:nvCxnSpPr>
              <xdr:cNvPr id="27" name="AutoShape 57">
                <a:extLst>
                  <a:ext uri="{FF2B5EF4-FFF2-40B4-BE49-F238E27FC236}">
                    <a16:creationId xmlns:a16="http://schemas.microsoft.com/office/drawing/2014/main" id="{00000000-0008-0000-0600-00001B000000}"/>
                  </a:ext>
                </a:extLst>
              </xdr:cNvPr>
              <xdr:cNvCxnSpPr>
                <a:cxnSpLocks noChangeShapeType="1"/>
                <a:stCxn id="25" idx="1"/>
              </xdr:cNvCxnSpPr>
            </xdr:nvCxnSpPr>
            <xdr:spPr bwMode="auto">
              <a:xfrm rot="16200000" flipV="1">
                <a:off x="3569252" y="3153591"/>
                <a:ext cx="4226381" cy="30119"/>
              </a:xfrm>
              <a:prstGeom prst="straightConnector1">
                <a:avLst/>
              </a:prstGeom>
              <a:noFill/>
              <a:ln w="38100">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28" name="Line 94">
                <a:extLst>
                  <a:ext uri="{FF2B5EF4-FFF2-40B4-BE49-F238E27FC236}">
                    <a16:creationId xmlns:a16="http://schemas.microsoft.com/office/drawing/2014/main" id="{00000000-0008-0000-0600-00001C000000}"/>
                  </a:ext>
                </a:extLst>
              </xdr:cNvPr>
              <xdr:cNvSpPr>
                <a:spLocks noChangeShapeType="1"/>
              </xdr:cNvSpPr>
            </xdr:nvSpPr>
            <xdr:spPr bwMode="auto">
              <a:xfrm flipV="1">
                <a:off x="5657850" y="1057274"/>
                <a:ext cx="438150" cy="9526"/>
              </a:xfrm>
              <a:prstGeom prst="line">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sp>
        </xdr:grpSp>
      </xdr:grpSp>
      <xdr:sp macro="" textlink="" fLocksText="0">
        <xdr:nvSpPr>
          <xdr:cNvPr id="22" name="desk1">
            <a:extLst>
              <a:ext uri="{FF2B5EF4-FFF2-40B4-BE49-F238E27FC236}">
                <a16:creationId xmlns:a16="http://schemas.microsoft.com/office/drawing/2014/main" id="{00000000-0008-0000-0600-000016000000}"/>
              </a:ext>
            </a:extLst>
          </xdr:cNvPr>
          <xdr:cNvSpPr>
            <a:spLocks noEditPoints="1" noChangeArrowheads="1"/>
          </xdr:cNvSpPr>
        </xdr:nvSpPr>
        <xdr:spPr bwMode="auto">
          <a:xfrm>
            <a:off x="503" y="106"/>
            <a:ext cx="234" cy="58"/>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rgbClr val="FFFFFF"/>
          </a:solidFill>
          <a:ln w="38100" cmpd="sng">
            <a:solidFill>
              <a:schemeClr val="tx1"/>
            </a:solidFill>
            <a:miter lim="800000"/>
            <a:headEnd/>
            <a:tailEnd/>
          </a:ln>
          <a:effectLst>
            <a:outerShdw dist="107763" dir="2700000" algn="ctr" rotWithShape="0">
              <a:srgbClr val="808080"/>
            </a:outerShdw>
          </a:effectLst>
        </xdr:spPr>
        <xdr:txBody>
          <a:bodyPr vertOverflow="clip" wrap="square" lIns="91440" tIns="45720" rIns="91440" bIns="45720" anchor="ctr" upright="1"/>
          <a:lstStyle/>
          <a:p>
            <a:pPr algn="ctr" rtl="1">
              <a:lnSpc>
                <a:spcPts val="900"/>
              </a:lnSpc>
            </a:pPr>
            <a:r>
              <a:rPr lang="zh-CN" altLang="zh-CN" sz="1000" b="0" i="0">
                <a:latin typeface="+mn-lt"/>
                <a:ea typeface="+mn-ea"/>
                <a:cs typeface="+mn-cs"/>
              </a:rPr>
              <a:t>在</a:t>
            </a:r>
            <a:r>
              <a:rPr lang="en-US" altLang="zh-CN" sz="1000" b="0" i="0">
                <a:solidFill>
                  <a:srgbClr val="FF0000"/>
                </a:solidFill>
                <a:latin typeface="+mn-lt"/>
                <a:ea typeface="+mn-ea"/>
                <a:cs typeface="+mn-cs"/>
              </a:rPr>
              <a:t>【</a:t>
            </a:r>
            <a:r>
              <a:rPr lang="zh-CN" altLang="zh-CN" sz="1000" b="0" i="0">
                <a:solidFill>
                  <a:srgbClr val="FF0000"/>
                </a:solidFill>
                <a:latin typeface="+mn-lt"/>
                <a:ea typeface="+mn-ea"/>
                <a:cs typeface="+mn-cs"/>
              </a:rPr>
              <a:t>目录</a:t>
            </a:r>
            <a:r>
              <a:rPr lang="en-US" altLang="zh-CN" sz="1000" b="0" i="0">
                <a:solidFill>
                  <a:srgbClr val="FF0000"/>
                </a:solidFill>
                <a:latin typeface="+mn-lt"/>
                <a:ea typeface="+mn-ea"/>
                <a:cs typeface="+mn-cs"/>
              </a:rPr>
              <a:t>】</a:t>
            </a:r>
            <a:r>
              <a:rPr lang="zh-CN" altLang="zh-CN" sz="1000" b="0" i="0">
                <a:latin typeface="+mn-lt"/>
                <a:ea typeface="+mn-ea"/>
                <a:cs typeface="+mn-cs"/>
              </a:rPr>
              <a:t>页输入全局参数</a:t>
            </a:r>
            <a:endParaRPr lang="zh-CN" altLang="zh-CN" sz="1000"/>
          </a:p>
          <a:p>
            <a:pPr algn="ctr" rtl="1">
              <a:lnSpc>
                <a:spcPts val="1000"/>
              </a:lnSpc>
            </a:pPr>
            <a:r>
              <a:rPr lang="zh-CN" altLang="zh-CN" sz="1000" b="0" i="0">
                <a:latin typeface="+mn-lt"/>
                <a:ea typeface="+mn-ea"/>
                <a:cs typeface="+mn-cs"/>
              </a:rPr>
              <a:t>单击“提取历史数据”</a:t>
            </a:r>
            <a:endParaRPr lang="zh-CN" altLang="zh-CN" sz="1000"/>
          </a:p>
        </xdr:txBody>
      </xdr:sp>
      <xdr:sp macro="" textlink="" fLocksText="0">
        <xdr:nvSpPr>
          <xdr:cNvPr id="23" name="五边形 22">
            <a:extLst>
              <a:ext uri="{FF2B5EF4-FFF2-40B4-BE49-F238E27FC236}">
                <a16:creationId xmlns:a16="http://schemas.microsoft.com/office/drawing/2014/main" id="{00000000-0008-0000-0600-000017000000}"/>
              </a:ext>
            </a:extLst>
          </xdr:cNvPr>
          <xdr:cNvSpPr/>
        </xdr:nvSpPr>
        <xdr:spPr bwMode="auto">
          <a:xfrm>
            <a:off x="504" y="711"/>
            <a:ext cx="234" cy="49"/>
          </a:xfrm>
          <a:prstGeom prst="homePlate">
            <a:avLst/>
          </a:prstGeom>
          <a:solidFill>
            <a:srgbClr val="FFFF00"/>
          </a:solidFill>
          <a:ln w="15875" cap="flat" cmpd="sng" algn="ctr">
            <a:solidFill>
              <a:schemeClr val="tx1"/>
            </a:solidFill>
            <a:prstDash val="solid"/>
            <a:round/>
            <a:headEnd type="none" w="med" len="med"/>
            <a:tailEnd type="none" w="med" len="med"/>
          </a:ln>
          <a:effectLst>
            <a:outerShdw dist="107950" dir="2700000" algn="ctr" rotWithShape="0">
              <a:schemeClr val="tx1">
                <a:lumMod val="50000"/>
                <a:lumOff val="50000"/>
              </a:schemeClr>
            </a:outerShdw>
          </a:effectLst>
        </xdr:spPr>
        <xdr:txBody>
          <a:bodyPr vertOverflow="clip" wrap="square" lIns="18288" tIns="0" rIns="0" bIns="0" rtlCol="0" anchor="ctr" upright="1"/>
          <a:lstStyle/>
          <a:p>
            <a:pPr algn="ctr"/>
            <a:r>
              <a:rPr lang="zh-CN" altLang="en-US" sz="1000" b="1">
                <a:latin typeface="+mj-ea"/>
                <a:ea typeface="+mj-ea"/>
              </a:rPr>
              <a:t>报表预测过程结束</a:t>
            </a:r>
          </a:p>
        </xdr:txBody>
      </xdr:sp>
      <xdr:sp macro="" textlink="" fLocksText="0">
        <xdr:nvSpPr>
          <xdr:cNvPr id="24" name="五边形 31">
            <a:extLst>
              <a:ext uri="{FF2B5EF4-FFF2-40B4-BE49-F238E27FC236}">
                <a16:creationId xmlns:a16="http://schemas.microsoft.com/office/drawing/2014/main" id="{00000000-0008-0000-0600-000018000000}"/>
              </a:ext>
            </a:extLst>
          </xdr:cNvPr>
          <xdr:cNvSpPr>
            <a:spLocks noChangeArrowheads="1"/>
          </xdr:cNvSpPr>
        </xdr:nvSpPr>
        <xdr:spPr bwMode="auto">
          <a:xfrm rot="5400000">
            <a:off x="1071" y="520"/>
            <a:ext cx="61" cy="234"/>
          </a:xfrm>
          <a:prstGeom prst="homePlate">
            <a:avLst>
              <a:gd name="adj" fmla="val 50000"/>
            </a:avLst>
          </a:prstGeom>
          <a:solidFill>
            <a:schemeClr val="tx1">
              <a:lumMod val="75000"/>
              <a:lumOff val="25000"/>
            </a:schemeClr>
          </a:solidFill>
          <a:ln w="38100" algn="ctr">
            <a:solidFill>
              <a:srgbClr val="000000"/>
            </a:solidFill>
            <a:round/>
            <a:headEnd/>
            <a:tailEnd/>
          </a:ln>
          <a:effectLst>
            <a:outerShdw dist="107950" dir="2700000" algn="ctr" rotWithShape="0">
              <a:srgbClr val="7F7F7F"/>
            </a:outerShdw>
          </a:effectLst>
          <a:scene3d>
            <a:camera prst="orthographicFront">
              <a:rot lat="0" lon="0" rev="0"/>
            </a:camera>
            <a:lightRig rig="threePt" dir="t"/>
          </a:scene3d>
        </xdr:spPr>
        <xdr:txBody>
          <a:bodyPr vertOverflow="clip" vert="vert270" wrap="square" lIns="18288" tIns="0" rIns="0" bIns="0" anchor="ctr"/>
          <a:lstStyle/>
          <a:p>
            <a:pPr algn="ctr" rtl="0">
              <a:defRPr sz="1000"/>
            </a:pPr>
            <a:r>
              <a:rPr lang="zh-CN" altLang="en-US" sz="1000" b="1" i="0" u="none" strike="noStrike" baseline="0">
                <a:solidFill>
                  <a:srgbClr val="FFFFFF"/>
                </a:solidFill>
                <a:latin typeface="宋体"/>
                <a:ea typeface="宋体"/>
              </a:rPr>
              <a:t>估值过程结束</a:t>
            </a:r>
          </a:p>
        </xdr:txBody>
      </xdr:sp>
    </xdr:grpSp>
    <xdr:clientData/>
  </xdr:twoCellAnchor>
  <xdr:oneCellAnchor>
    <xdr:from>
      <xdr:col>11</xdr:col>
      <xdr:colOff>727362</xdr:colOff>
      <xdr:row>5</xdr:row>
      <xdr:rowOff>8657</xdr:rowOff>
    </xdr:from>
    <xdr:ext cx="2600325" cy="825867"/>
    <xdr:sp macro="" textlink="">
      <xdr:nvSpPr>
        <xdr:cNvPr id="33" name="TextBox 32">
          <a:extLst>
            <a:ext uri="{FF2B5EF4-FFF2-40B4-BE49-F238E27FC236}">
              <a16:creationId xmlns:a16="http://schemas.microsoft.com/office/drawing/2014/main" id="{00000000-0008-0000-0600-000021000000}"/>
            </a:ext>
          </a:extLst>
        </xdr:cNvPr>
        <xdr:cNvSpPr txBox="1"/>
      </xdr:nvSpPr>
      <xdr:spPr>
        <a:xfrm>
          <a:off x="8671212" y="1132607"/>
          <a:ext cx="2600325" cy="825867"/>
        </a:xfrm>
        <a:prstGeom prst="rect">
          <a:avLst/>
        </a:prstGeom>
        <a:solidFill>
          <a:schemeClr val="tx2">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b="1">
              <a:solidFill>
                <a:schemeClr val="bg1"/>
              </a:solidFill>
            </a:rPr>
            <a:t>机构名称 ：</a:t>
          </a:r>
          <a:endParaRPr lang="en-US" altLang="zh-CN" sz="1100" b="1">
            <a:solidFill>
              <a:schemeClr val="bg1"/>
            </a:solidFill>
          </a:endParaRPr>
        </a:p>
        <a:p>
          <a:r>
            <a:rPr lang="zh-CN" altLang="en-US" sz="1100" b="1">
              <a:solidFill>
                <a:schemeClr val="bg1"/>
              </a:solidFill>
            </a:rPr>
            <a:t>分析师：</a:t>
          </a:r>
          <a:endParaRPr lang="en-US" altLang="zh-CN" sz="1100" b="1">
            <a:solidFill>
              <a:schemeClr val="bg1"/>
            </a:solidFill>
          </a:endParaRPr>
        </a:p>
        <a:p>
          <a:r>
            <a:rPr lang="zh-CN" altLang="en-US" sz="1100" b="1">
              <a:solidFill>
                <a:schemeClr val="bg1"/>
              </a:solidFill>
            </a:rPr>
            <a:t>电话：</a:t>
          </a:r>
          <a:endParaRPr lang="en-US" altLang="zh-CN" sz="1100" b="1">
            <a:solidFill>
              <a:schemeClr val="bg1"/>
            </a:solidFill>
          </a:endParaRPr>
        </a:p>
        <a:p>
          <a:r>
            <a:rPr lang="en-US" altLang="zh-CN" sz="1100" b="1">
              <a:solidFill>
                <a:schemeClr val="bg1"/>
              </a:solidFill>
            </a:rPr>
            <a:t>E-mail</a:t>
          </a:r>
          <a:r>
            <a:rPr lang="zh-CN" altLang="en-US" sz="1100" b="1">
              <a:solidFill>
                <a:schemeClr val="bg1"/>
              </a:solidFill>
            </a:rPr>
            <a:t>：</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xdr:colOff>
          <xdr:row>9</xdr:row>
          <xdr:rowOff>22860</xdr:rowOff>
        </xdr:from>
        <xdr:to>
          <xdr:col>2</xdr:col>
          <xdr:colOff>1592580</xdr:colOff>
          <xdr:row>10</xdr:row>
          <xdr:rowOff>0</xdr:rowOff>
        </xdr:to>
        <xdr:sp macro="" textlink="">
          <xdr:nvSpPr>
            <xdr:cNvPr id="22873089" name="HisYear" hidden="1">
              <a:extLst>
                <a:ext uri="{63B3BB69-23CF-44E3-9099-C40C66FF867C}">
                  <a14:compatExt spid="_x0000_s22873089"/>
                </a:ext>
                <a:ext uri="{FF2B5EF4-FFF2-40B4-BE49-F238E27FC236}">
                  <a16:creationId xmlns:a16="http://schemas.microsoft.com/office/drawing/2014/main" id="{00000000-0008-0000-0700-000001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8</xdr:row>
          <xdr:rowOff>22860</xdr:rowOff>
        </xdr:from>
        <xdr:to>
          <xdr:col>2</xdr:col>
          <xdr:colOff>1592580</xdr:colOff>
          <xdr:row>9</xdr:row>
          <xdr:rowOff>22860</xdr:rowOff>
        </xdr:to>
        <xdr:sp macro="" textlink="">
          <xdr:nvSpPr>
            <xdr:cNvPr id="22873090" name="CBY" hidden="1">
              <a:extLst>
                <a:ext uri="{63B3BB69-23CF-44E3-9099-C40C66FF867C}">
                  <a14:compatExt spid="_x0000_s22873090"/>
                </a:ext>
                <a:ext uri="{FF2B5EF4-FFF2-40B4-BE49-F238E27FC236}">
                  <a16:creationId xmlns:a16="http://schemas.microsoft.com/office/drawing/2014/main" id="{00000000-0008-0000-0700-000002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10</xdr:row>
          <xdr:rowOff>22860</xdr:rowOff>
        </xdr:from>
        <xdr:to>
          <xdr:col>2</xdr:col>
          <xdr:colOff>1592580</xdr:colOff>
          <xdr:row>11</xdr:row>
          <xdr:rowOff>30480</xdr:rowOff>
        </xdr:to>
        <xdr:sp macro="" textlink="">
          <xdr:nvSpPr>
            <xdr:cNvPr id="22873091" name="cboRptTyp" hidden="1">
              <a:extLst>
                <a:ext uri="{63B3BB69-23CF-44E3-9099-C40C66FF867C}">
                  <a14:compatExt spid="_x0000_s22873091"/>
                </a:ext>
                <a:ext uri="{FF2B5EF4-FFF2-40B4-BE49-F238E27FC236}">
                  <a16:creationId xmlns:a16="http://schemas.microsoft.com/office/drawing/2014/main" id="{00000000-0008-0000-0700-000003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11</xdr:row>
          <xdr:rowOff>22860</xdr:rowOff>
        </xdr:from>
        <xdr:to>
          <xdr:col>2</xdr:col>
          <xdr:colOff>1592580</xdr:colOff>
          <xdr:row>11</xdr:row>
          <xdr:rowOff>220980</xdr:rowOff>
        </xdr:to>
        <xdr:sp macro="" textlink="">
          <xdr:nvSpPr>
            <xdr:cNvPr id="22873092" name="cboDataScope" hidden="1">
              <a:extLst>
                <a:ext uri="{63B3BB69-23CF-44E3-9099-C40C66FF867C}">
                  <a14:compatExt spid="_x0000_s22873092"/>
                </a:ext>
                <a:ext uri="{FF2B5EF4-FFF2-40B4-BE49-F238E27FC236}">
                  <a16:creationId xmlns:a16="http://schemas.microsoft.com/office/drawing/2014/main" id="{00000000-0008-0000-0700-000004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7620</xdr:rowOff>
        </xdr:from>
        <xdr:to>
          <xdr:col>2</xdr:col>
          <xdr:colOff>144780</xdr:colOff>
          <xdr:row>18</xdr:row>
          <xdr:rowOff>228600</xdr:rowOff>
        </xdr:to>
        <xdr:sp macro="" textlink="">
          <xdr:nvSpPr>
            <xdr:cNvPr id="22873093" name="CheckBox1" hidden="1">
              <a:extLst>
                <a:ext uri="{63B3BB69-23CF-44E3-9099-C40C66FF867C}">
                  <a14:compatExt spid="_x0000_s22873093"/>
                </a:ext>
                <a:ext uri="{FF2B5EF4-FFF2-40B4-BE49-F238E27FC236}">
                  <a16:creationId xmlns:a16="http://schemas.microsoft.com/office/drawing/2014/main" id="{00000000-0008-0000-0700-000005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22860</xdr:rowOff>
        </xdr:from>
        <xdr:to>
          <xdr:col>2</xdr:col>
          <xdr:colOff>144780</xdr:colOff>
          <xdr:row>20</xdr:row>
          <xdr:rowOff>243840</xdr:rowOff>
        </xdr:to>
        <xdr:sp macro="" textlink="">
          <xdr:nvSpPr>
            <xdr:cNvPr id="22873094" name="CheckBox2" hidden="1">
              <a:extLst>
                <a:ext uri="{63B3BB69-23CF-44E3-9099-C40C66FF867C}">
                  <a14:compatExt spid="_x0000_s22873094"/>
                </a:ext>
                <a:ext uri="{FF2B5EF4-FFF2-40B4-BE49-F238E27FC236}">
                  <a16:creationId xmlns:a16="http://schemas.microsoft.com/office/drawing/2014/main" id="{00000000-0008-0000-0700-000006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22860</xdr:rowOff>
        </xdr:from>
        <xdr:to>
          <xdr:col>2</xdr:col>
          <xdr:colOff>144780</xdr:colOff>
          <xdr:row>21</xdr:row>
          <xdr:rowOff>243840</xdr:rowOff>
        </xdr:to>
        <xdr:sp macro="" textlink="">
          <xdr:nvSpPr>
            <xdr:cNvPr id="22873095" name="CheckBox3" hidden="1">
              <a:extLst>
                <a:ext uri="{63B3BB69-23CF-44E3-9099-C40C66FF867C}">
                  <a14:compatExt spid="_x0000_s22873095"/>
                </a:ext>
                <a:ext uri="{FF2B5EF4-FFF2-40B4-BE49-F238E27FC236}">
                  <a16:creationId xmlns:a16="http://schemas.microsoft.com/office/drawing/2014/main" id="{00000000-0008-0000-0700-000007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30480</xdr:rowOff>
        </xdr:from>
        <xdr:to>
          <xdr:col>2</xdr:col>
          <xdr:colOff>144780</xdr:colOff>
          <xdr:row>23</xdr:row>
          <xdr:rowOff>0</xdr:rowOff>
        </xdr:to>
        <xdr:sp macro="" textlink="">
          <xdr:nvSpPr>
            <xdr:cNvPr id="22873096" name="CheckBox4" hidden="1">
              <a:extLst>
                <a:ext uri="{63B3BB69-23CF-44E3-9099-C40C66FF867C}">
                  <a14:compatExt spid="_x0000_s22873096"/>
                </a:ext>
                <a:ext uri="{FF2B5EF4-FFF2-40B4-BE49-F238E27FC236}">
                  <a16:creationId xmlns:a16="http://schemas.microsoft.com/office/drawing/2014/main" id="{00000000-0008-0000-0700-000008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7620</xdr:rowOff>
        </xdr:from>
        <xdr:to>
          <xdr:col>2</xdr:col>
          <xdr:colOff>144780</xdr:colOff>
          <xdr:row>23</xdr:row>
          <xdr:rowOff>228600</xdr:rowOff>
        </xdr:to>
        <xdr:sp macro="" textlink="">
          <xdr:nvSpPr>
            <xdr:cNvPr id="22873097" name="CheckBox5" hidden="1">
              <a:extLst>
                <a:ext uri="{63B3BB69-23CF-44E3-9099-C40C66FF867C}">
                  <a14:compatExt spid="_x0000_s22873097"/>
                </a:ext>
                <a:ext uri="{FF2B5EF4-FFF2-40B4-BE49-F238E27FC236}">
                  <a16:creationId xmlns:a16="http://schemas.microsoft.com/office/drawing/2014/main" id="{00000000-0008-0000-0700-000009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2</xdr:col>
          <xdr:colOff>144780</xdr:colOff>
          <xdr:row>25</xdr:row>
          <xdr:rowOff>220980</xdr:rowOff>
        </xdr:to>
        <xdr:sp macro="" textlink="">
          <xdr:nvSpPr>
            <xdr:cNvPr id="22873098" name="CheckBox6" hidden="1">
              <a:extLst>
                <a:ext uri="{63B3BB69-23CF-44E3-9099-C40C66FF867C}">
                  <a14:compatExt spid="_x0000_s22873098"/>
                </a:ext>
                <a:ext uri="{FF2B5EF4-FFF2-40B4-BE49-F238E27FC236}">
                  <a16:creationId xmlns:a16="http://schemas.microsoft.com/office/drawing/2014/main" id="{00000000-0008-0000-0700-00000A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22860</xdr:rowOff>
        </xdr:from>
        <xdr:to>
          <xdr:col>2</xdr:col>
          <xdr:colOff>144780</xdr:colOff>
          <xdr:row>25</xdr:row>
          <xdr:rowOff>243840</xdr:rowOff>
        </xdr:to>
        <xdr:sp macro="" textlink="">
          <xdr:nvSpPr>
            <xdr:cNvPr id="22873099" name="CheckBox7" hidden="1">
              <a:extLst>
                <a:ext uri="{63B3BB69-23CF-44E3-9099-C40C66FF867C}">
                  <a14:compatExt spid="_x0000_s22873099"/>
                </a:ext>
                <a:ext uri="{FF2B5EF4-FFF2-40B4-BE49-F238E27FC236}">
                  <a16:creationId xmlns:a16="http://schemas.microsoft.com/office/drawing/2014/main" id="{00000000-0008-0000-0700-00000B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30480</xdr:rowOff>
        </xdr:from>
        <xdr:to>
          <xdr:col>2</xdr:col>
          <xdr:colOff>144780</xdr:colOff>
          <xdr:row>27</xdr:row>
          <xdr:rowOff>0</xdr:rowOff>
        </xdr:to>
        <xdr:sp macro="" textlink="">
          <xdr:nvSpPr>
            <xdr:cNvPr id="22873100" name="CheckBox8" hidden="1">
              <a:extLst>
                <a:ext uri="{63B3BB69-23CF-44E3-9099-C40C66FF867C}">
                  <a14:compatExt spid="_x0000_s22873100"/>
                </a:ext>
                <a:ext uri="{FF2B5EF4-FFF2-40B4-BE49-F238E27FC236}">
                  <a16:creationId xmlns:a16="http://schemas.microsoft.com/office/drawing/2014/main" id="{00000000-0008-0000-0700-00000C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7620</xdr:rowOff>
        </xdr:from>
        <xdr:to>
          <xdr:col>2</xdr:col>
          <xdr:colOff>144780</xdr:colOff>
          <xdr:row>27</xdr:row>
          <xdr:rowOff>228600</xdr:rowOff>
        </xdr:to>
        <xdr:sp macro="" textlink="">
          <xdr:nvSpPr>
            <xdr:cNvPr id="22873101" name="CheckBox9" hidden="1">
              <a:extLst>
                <a:ext uri="{63B3BB69-23CF-44E3-9099-C40C66FF867C}">
                  <a14:compatExt spid="_x0000_s22873101"/>
                </a:ext>
                <a:ext uri="{FF2B5EF4-FFF2-40B4-BE49-F238E27FC236}">
                  <a16:creationId xmlns:a16="http://schemas.microsoft.com/office/drawing/2014/main" id="{00000000-0008-0000-0700-00000D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22860</xdr:rowOff>
        </xdr:from>
        <xdr:to>
          <xdr:col>2</xdr:col>
          <xdr:colOff>144780</xdr:colOff>
          <xdr:row>28</xdr:row>
          <xdr:rowOff>243840</xdr:rowOff>
        </xdr:to>
        <xdr:sp macro="" textlink="">
          <xdr:nvSpPr>
            <xdr:cNvPr id="22873102" name="CheckBox10" hidden="1">
              <a:extLst>
                <a:ext uri="{63B3BB69-23CF-44E3-9099-C40C66FF867C}">
                  <a14:compatExt spid="_x0000_s22873102"/>
                </a:ext>
                <a:ext uri="{FF2B5EF4-FFF2-40B4-BE49-F238E27FC236}">
                  <a16:creationId xmlns:a16="http://schemas.microsoft.com/office/drawing/2014/main" id="{00000000-0008-0000-0700-00000E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22860</xdr:rowOff>
        </xdr:from>
        <xdr:to>
          <xdr:col>2</xdr:col>
          <xdr:colOff>144780</xdr:colOff>
          <xdr:row>29</xdr:row>
          <xdr:rowOff>243840</xdr:rowOff>
        </xdr:to>
        <xdr:sp macro="" textlink="">
          <xdr:nvSpPr>
            <xdr:cNvPr id="22873103" name="CheckBox11" hidden="1">
              <a:extLst>
                <a:ext uri="{63B3BB69-23CF-44E3-9099-C40C66FF867C}">
                  <a14:compatExt spid="_x0000_s22873103"/>
                </a:ext>
                <a:ext uri="{FF2B5EF4-FFF2-40B4-BE49-F238E27FC236}">
                  <a16:creationId xmlns:a16="http://schemas.microsoft.com/office/drawing/2014/main" id="{00000000-0008-0000-0700-00000F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30480</xdr:rowOff>
        </xdr:from>
        <xdr:to>
          <xdr:col>2</xdr:col>
          <xdr:colOff>144780</xdr:colOff>
          <xdr:row>31</xdr:row>
          <xdr:rowOff>0</xdr:rowOff>
        </xdr:to>
        <xdr:sp macro="" textlink="">
          <xdr:nvSpPr>
            <xdr:cNvPr id="22873104" name="CheckBox12" hidden="1">
              <a:extLst>
                <a:ext uri="{63B3BB69-23CF-44E3-9099-C40C66FF867C}">
                  <a14:compatExt spid="_x0000_s22873104"/>
                </a:ext>
                <a:ext uri="{FF2B5EF4-FFF2-40B4-BE49-F238E27FC236}">
                  <a16:creationId xmlns:a16="http://schemas.microsoft.com/office/drawing/2014/main" id="{00000000-0008-0000-0700-000010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31</xdr:row>
          <xdr:rowOff>7620</xdr:rowOff>
        </xdr:from>
        <xdr:to>
          <xdr:col>2</xdr:col>
          <xdr:colOff>144780</xdr:colOff>
          <xdr:row>31</xdr:row>
          <xdr:rowOff>228600</xdr:rowOff>
        </xdr:to>
        <xdr:sp macro="" textlink="">
          <xdr:nvSpPr>
            <xdr:cNvPr id="22873105" name="CheckBox13" hidden="1">
              <a:extLst>
                <a:ext uri="{63B3BB69-23CF-44E3-9099-C40C66FF867C}">
                  <a14:compatExt spid="_x0000_s22873105"/>
                </a:ext>
                <a:ext uri="{FF2B5EF4-FFF2-40B4-BE49-F238E27FC236}">
                  <a16:creationId xmlns:a16="http://schemas.microsoft.com/office/drawing/2014/main" id="{00000000-0008-0000-0700-000011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2</xdr:col>
          <xdr:colOff>144780</xdr:colOff>
          <xdr:row>34</xdr:row>
          <xdr:rowOff>220980</xdr:rowOff>
        </xdr:to>
        <xdr:sp macro="" textlink="">
          <xdr:nvSpPr>
            <xdr:cNvPr id="22873106" name="CheckBox14" hidden="1">
              <a:extLst>
                <a:ext uri="{63B3BB69-23CF-44E3-9099-C40C66FF867C}">
                  <a14:compatExt spid="_x0000_s22873106"/>
                </a:ext>
                <a:ext uri="{FF2B5EF4-FFF2-40B4-BE49-F238E27FC236}">
                  <a16:creationId xmlns:a16="http://schemas.microsoft.com/office/drawing/2014/main" id="{00000000-0008-0000-0700-000012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2</xdr:col>
          <xdr:colOff>144780</xdr:colOff>
          <xdr:row>34</xdr:row>
          <xdr:rowOff>220980</xdr:rowOff>
        </xdr:to>
        <xdr:sp macro="" textlink="">
          <xdr:nvSpPr>
            <xdr:cNvPr id="22873107" name="CheckBox15" hidden="1">
              <a:extLst>
                <a:ext uri="{63B3BB69-23CF-44E3-9099-C40C66FF867C}">
                  <a14:compatExt spid="_x0000_s22873107"/>
                </a:ext>
                <a:ext uri="{FF2B5EF4-FFF2-40B4-BE49-F238E27FC236}">
                  <a16:creationId xmlns:a16="http://schemas.microsoft.com/office/drawing/2014/main" id="{00000000-0008-0000-0700-000013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30480</xdr:rowOff>
        </xdr:from>
        <xdr:to>
          <xdr:col>2</xdr:col>
          <xdr:colOff>144780</xdr:colOff>
          <xdr:row>35</xdr:row>
          <xdr:rowOff>0</xdr:rowOff>
        </xdr:to>
        <xdr:sp macro="" textlink="">
          <xdr:nvSpPr>
            <xdr:cNvPr id="22873108" name="CheckBox16" hidden="1">
              <a:extLst>
                <a:ext uri="{63B3BB69-23CF-44E3-9099-C40C66FF867C}">
                  <a14:compatExt spid="_x0000_s22873108"/>
                </a:ext>
                <a:ext uri="{FF2B5EF4-FFF2-40B4-BE49-F238E27FC236}">
                  <a16:creationId xmlns:a16="http://schemas.microsoft.com/office/drawing/2014/main" id="{00000000-0008-0000-0700-000014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35</xdr:row>
          <xdr:rowOff>30480</xdr:rowOff>
        </xdr:from>
        <xdr:to>
          <xdr:col>2</xdr:col>
          <xdr:colOff>144780</xdr:colOff>
          <xdr:row>36</xdr:row>
          <xdr:rowOff>0</xdr:rowOff>
        </xdr:to>
        <xdr:sp macro="" textlink="">
          <xdr:nvSpPr>
            <xdr:cNvPr id="22873109" name="CheckBox17" hidden="1">
              <a:extLst>
                <a:ext uri="{63B3BB69-23CF-44E3-9099-C40C66FF867C}">
                  <a14:compatExt spid="_x0000_s22873109"/>
                </a:ext>
                <a:ext uri="{FF2B5EF4-FFF2-40B4-BE49-F238E27FC236}">
                  <a16:creationId xmlns:a16="http://schemas.microsoft.com/office/drawing/2014/main" id="{00000000-0008-0000-0700-000015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22860</xdr:rowOff>
        </xdr:from>
        <xdr:to>
          <xdr:col>2</xdr:col>
          <xdr:colOff>144780</xdr:colOff>
          <xdr:row>36</xdr:row>
          <xdr:rowOff>243840</xdr:rowOff>
        </xdr:to>
        <xdr:sp macro="" textlink="">
          <xdr:nvSpPr>
            <xdr:cNvPr id="22873110" name="CheckBox18" hidden="1">
              <a:extLst>
                <a:ext uri="{63B3BB69-23CF-44E3-9099-C40C66FF867C}">
                  <a14:compatExt spid="_x0000_s22873110"/>
                </a:ext>
                <a:ext uri="{FF2B5EF4-FFF2-40B4-BE49-F238E27FC236}">
                  <a16:creationId xmlns:a16="http://schemas.microsoft.com/office/drawing/2014/main" id="{00000000-0008-0000-0700-000016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37</xdr:row>
          <xdr:rowOff>22860</xdr:rowOff>
        </xdr:from>
        <xdr:to>
          <xdr:col>2</xdr:col>
          <xdr:colOff>144780</xdr:colOff>
          <xdr:row>37</xdr:row>
          <xdr:rowOff>243840</xdr:rowOff>
        </xdr:to>
        <xdr:sp macro="" textlink="">
          <xdr:nvSpPr>
            <xdr:cNvPr id="22873111" name="CheckBox19" hidden="1">
              <a:extLst>
                <a:ext uri="{63B3BB69-23CF-44E3-9099-C40C66FF867C}">
                  <a14:compatExt spid="_x0000_s22873111"/>
                </a:ext>
                <a:ext uri="{FF2B5EF4-FFF2-40B4-BE49-F238E27FC236}">
                  <a16:creationId xmlns:a16="http://schemas.microsoft.com/office/drawing/2014/main" id="{00000000-0008-0000-0700-000017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30480</xdr:rowOff>
        </xdr:from>
        <xdr:to>
          <xdr:col>2</xdr:col>
          <xdr:colOff>144780</xdr:colOff>
          <xdr:row>39</xdr:row>
          <xdr:rowOff>0</xdr:rowOff>
        </xdr:to>
        <xdr:sp macro="" textlink="">
          <xdr:nvSpPr>
            <xdr:cNvPr id="22873112" name="CheckBox20" hidden="1">
              <a:extLst>
                <a:ext uri="{63B3BB69-23CF-44E3-9099-C40C66FF867C}">
                  <a14:compatExt spid="_x0000_s22873112"/>
                </a:ext>
                <a:ext uri="{FF2B5EF4-FFF2-40B4-BE49-F238E27FC236}">
                  <a16:creationId xmlns:a16="http://schemas.microsoft.com/office/drawing/2014/main" id="{00000000-0008-0000-0700-000018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30480</xdr:rowOff>
        </xdr:from>
        <xdr:to>
          <xdr:col>2</xdr:col>
          <xdr:colOff>144780</xdr:colOff>
          <xdr:row>40</xdr:row>
          <xdr:rowOff>0</xdr:rowOff>
        </xdr:to>
        <xdr:sp macro="" textlink="">
          <xdr:nvSpPr>
            <xdr:cNvPr id="22873113" name="CheckBox21" hidden="1">
              <a:extLst>
                <a:ext uri="{63B3BB69-23CF-44E3-9099-C40C66FF867C}">
                  <a14:compatExt spid="_x0000_s22873113"/>
                </a:ext>
                <a:ext uri="{FF2B5EF4-FFF2-40B4-BE49-F238E27FC236}">
                  <a16:creationId xmlns:a16="http://schemas.microsoft.com/office/drawing/2014/main" id="{00000000-0008-0000-0700-000019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22860</xdr:rowOff>
        </xdr:from>
        <xdr:to>
          <xdr:col>2</xdr:col>
          <xdr:colOff>144780</xdr:colOff>
          <xdr:row>40</xdr:row>
          <xdr:rowOff>243840</xdr:rowOff>
        </xdr:to>
        <xdr:sp macro="" textlink="">
          <xdr:nvSpPr>
            <xdr:cNvPr id="22873114" name="CheckBox22" hidden="1">
              <a:extLst>
                <a:ext uri="{63B3BB69-23CF-44E3-9099-C40C66FF867C}">
                  <a14:compatExt spid="_x0000_s22873114"/>
                </a:ext>
                <a:ext uri="{FF2B5EF4-FFF2-40B4-BE49-F238E27FC236}">
                  <a16:creationId xmlns:a16="http://schemas.microsoft.com/office/drawing/2014/main" id="{00000000-0008-0000-0700-00001A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22860</xdr:rowOff>
        </xdr:from>
        <xdr:to>
          <xdr:col>2</xdr:col>
          <xdr:colOff>144780</xdr:colOff>
          <xdr:row>41</xdr:row>
          <xdr:rowOff>243840</xdr:rowOff>
        </xdr:to>
        <xdr:sp macro="" textlink="">
          <xdr:nvSpPr>
            <xdr:cNvPr id="22873115" name="CheckBox23" hidden="1">
              <a:extLst>
                <a:ext uri="{63B3BB69-23CF-44E3-9099-C40C66FF867C}">
                  <a14:compatExt spid="_x0000_s22873115"/>
                </a:ext>
                <a:ext uri="{FF2B5EF4-FFF2-40B4-BE49-F238E27FC236}">
                  <a16:creationId xmlns:a16="http://schemas.microsoft.com/office/drawing/2014/main" id="{00000000-0008-0000-0700-00001B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1188720</xdr:colOff>
          <xdr:row>12</xdr:row>
          <xdr:rowOff>198120</xdr:rowOff>
        </xdr:from>
        <xdr:to>
          <xdr:col>2</xdr:col>
          <xdr:colOff>548640</xdr:colOff>
          <xdr:row>15</xdr:row>
          <xdr:rowOff>205740</xdr:rowOff>
        </xdr:to>
        <xdr:sp macro="" textlink="">
          <xdr:nvSpPr>
            <xdr:cNvPr id="22873118" name="cmdGetData" hidden="1">
              <a:extLst>
                <a:ext uri="{63B3BB69-23CF-44E3-9099-C40C66FF867C}">
                  <a14:compatExt spid="_x0000_s22873118"/>
                </a:ext>
                <a:ext uri="{FF2B5EF4-FFF2-40B4-BE49-F238E27FC236}">
                  <a16:creationId xmlns:a16="http://schemas.microsoft.com/office/drawing/2014/main" id="{00000000-0008-0000-0700-00001E0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0</xdr:row>
      <xdr:rowOff>0</xdr:rowOff>
    </xdr:from>
    <xdr:to>
      <xdr:col>2</xdr:col>
      <xdr:colOff>549275</xdr:colOff>
      <xdr:row>3</xdr:row>
      <xdr:rowOff>79375</xdr:rowOff>
    </xdr:to>
    <xdr:pic>
      <xdr:nvPicPr>
        <xdr:cNvPr id="33" name="图片 32">
          <a:extLst>
            <a:ext uri="{FF2B5EF4-FFF2-40B4-BE49-F238E27FC236}">
              <a16:creationId xmlns:a16="http://schemas.microsoft.com/office/drawing/2014/main" id="{00000000-0008-0000-0700-000021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0"/>
          <a:ext cx="2006600" cy="384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9</xdr:row>
          <xdr:rowOff>7620</xdr:rowOff>
        </xdr:from>
        <xdr:to>
          <xdr:col>6</xdr:col>
          <xdr:colOff>7620</xdr:colOff>
          <xdr:row>10</xdr:row>
          <xdr:rowOff>22860</xdr:rowOff>
        </xdr:to>
        <xdr:sp macro="" textlink="">
          <xdr:nvSpPr>
            <xdr:cNvPr id="22889473" name="cboProdType" hidden="1">
              <a:extLst>
                <a:ext uri="{63B3BB69-23CF-44E3-9099-C40C66FF867C}">
                  <a14:compatExt spid="_x0000_s22889473"/>
                </a:ext>
                <a:ext uri="{FF2B5EF4-FFF2-40B4-BE49-F238E27FC236}">
                  <a16:creationId xmlns:a16="http://schemas.microsoft.com/office/drawing/2014/main" id="{00000000-0008-0000-0A00-000001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xdr:colOff>
          <xdr:row>9</xdr:row>
          <xdr:rowOff>0</xdr:rowOff>
        </xdr:from>
        <xdr:to>
          <xdr:col>9</xdr:col>
          <xdr:colOff>777240</xdr:colOff>
          <xdr:row>10</xdr:row>
          <xdr:rowOff>15240</xdr:rowOff>
        </xdr:to>
        <xdr:sp macro="" textlink="">
          <xdr:nvSpPr>
            <xdr:cNvPr id="22889474" name="cmdProdIn" hidden="1">
              <a:extLst>
                <a:ext uri="{63B3BB69-23CF-44E3-9099-C40C66FF867C}">
                  <a14:compatExt spid="_x0000_s22889474"/>
                </a:ext>
                <a:ext uri="{FF2B5EF4-FFF2-40B4-BE49-F238E27FC236}">
                  <a16:creationId xmlns:a16="http://schemas.microsoft.com/office/drawing/2014/main" id="{00000000-0008-0000-0A00-000002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11</xdr:row>
          <xdr:rowOff>7620</xdr:rowOff>
        </xdr:from>
        <xdr:to>
          <xdr:col>3</xdr:col>
          <xdr:colOff>190500</xdr:colOff>
          <xdr:row>12</xdr:row>
          <xdr:rowOff>38100</xdr:rowOff>
        </xdr:to>
        <xdr:sp macro="" textlink="">
          <xdr:nvSpPr>
            <xdr:cNvPr id="22889475" name="ComboBox1" hidden="1">
              <a:extLst>
                <a:ext uri="{63B3BB69-23CF-44E3-9099-C40C66FF867C}">
                  <a14:compatExt spid="_x0000_s22889475"/>
                </a:ext>
                <a:ext uri="{FF2B5EF4-FFF2-40B4-BE49-F238E27FC236}">
                  <a16:creationId xmlns:a16="http://schemas.microsoft.com/office/drawing/2014/main" id="{00000000-0008-0000-0A00-000003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13</xdr:row>
          <xdr:rowOff>22860</xdr:rowOff>
        </xdr:from>
        <xdr:to>
          <xdr:col>3</xdr:col>
          <xdr:colOff>190500</xdr:colOff>
          <xdr:row>14</xdr:row>
          <xdr:rowOff>22860</xdr:rowOff>
        </xdr:to>
        <xdr:sp macro="" textlink="">
          <xdr:nvSpPr>
            <xdr:cNvPr id="22889476" name="ComboBox2" hidden="1">
              <a:extLst>
                <a:ext uri="{63B3BB69-23CF-44E3-9099-C40C66FF867C}">
                  <a14:compatExt spid="_x0000_s22889476"/>
                </a:ext>
                <a:ext uri="{FF2B5EF4-FFF2-40B4-BE49-F238E27FC236}">
                  <a16:creationId xmlns:a16="http://schemas.microsoft.com/office/drawing/2014/main" id="{00000000-0008-0000-0A00-000004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15</xdr:row>
          <xdr:rowOff>7620</xdr:rowOff>
        </xdr:from>
        <xdr:to>
          <xdr:col>3</xdr:col>
          <xdr:colOff>190500</xdr:colOff>
          <xdr:row>16</xdr:row>
          <xdr:rowOff>7620</xdr:rowOff>
        </xdr:to>
        <xdr:sp macro="" textlink="">
          <xdr:nvSpPr>
            <xdr:cNvPr id="22889477" name="ComboBox3" hidden="1">
              <a:extLst>
                <a:ext uri="{63B3BB69-23CF-44E3-9099-C40C66FF867C}">
                  <a14:compatExt spid="_x0000_s22889477"/>
                </a:ext>
                <a:ext uri="{FF2B5EF4-FFF2-40B4-BE49-F238E27FC236}">
                  <a16:creationId xmlns:a16="http://schemas.microsoft.com/office/drawing/2014/main" id="{00000000-0008-0000-0A00-000005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17</xdr:row>
          <xdr:rowOff>22860</xdr:rowOff>
        </xdr:from>
        <xdr:to>
          <xdr:col>3</xdr:col>
          <xdr:colOff>190500</xdr:colOff>
          <xdr:row>18</xdr:row>
          <xdr:rowOff>22860</xdr:rowOff>
        </xdr:to>
        <xdr:sp macro="" textlink="">
          <xdr:nvSpPr>
            <xdr:cNvPr id="22889478" name="ComboBox4" hidden="1">
              <a:extLst>
                <a:ext uri="{63B3BB69-23CF-44E3-9099-C40C66FF867C}">
                  <a14:compatExt spid="_x0000_s22889478"/>
                </a:ext>
                <a:ext uri="{FF2B5EF4-FFF2-40B4-BE49-F238E27FC236}">
                  <a16:creationId xmlns:a16="http://schemas.microsoft.com/office/drawing/2014/main" id="{00000000-0008-0000-0A00-000006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19</xdr:row>
          <xdr:rowOff>22860</xdr:rowOff>
        </xdr:from>
        <xdr:to>
          <xdr:col>3</xdr:col>
          <xdr:colOff>190500</xdr:colOff>
          <xdr:row>20</xdr:row>
          <xdr:rowOff>22860</xdr:rowOff>
        </xdr:to>
        <xdr:sp macro="" textlink="">
          <xdr:nvSpPr>
            <xdr:cNvPr id="22889479" name="ComboBox5" hidden="1">
              <a:extLst>
                <a:ext uri="{63B3BB69-23CF-44E3-9099-C40C66FF867C}">
                  <a14:compatExt spid="_x0000_s22889479"/>
                </a:ext>
                <a:ext uri="{FF2B5EF4-FFF2-40B4-BE49-F238E27FC236}">
                  <a16:creationId xmlns:a16="http://schemas.microsoft.com/office/drawing/2014/main" id="{00000000-0008-0000-0A00-000007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21</xdr:row>
          <xdr:rowOff>7620</xdr:rowOff>
        </xdr:from>
        <xdr:to>
          <xdr:col>3</xdr:col>
          <xdr:colOff>190500</xdr:colOff>
          <xdr:row>22</xdr:row>
          <xdr:rowOff>7620</xdr:rowOff>
        </xdr:to>
        <xdr:sp macro="" textlink="">
          <xdr:nvSpPr>
            <xdr:cNvPr id="22889480" name="ComboBox6" hidden="1">
              <a:extLst>
                <a:ext uri="{63B3BB69-23CF-44E3-9099-C40C66FF867C}">
                  <a14:compatExt spid="_x0000_s22889480"/>
                </a:ext>
                <a:ext uri="{FF2B5EF4-FFF2-40B4-BE49-F238E27FC236}">
                  <a16:creationId xmlns:a16="http://schemas.microsoft.com/office/drawing/2014/main" id="{00000000-0008-0000-0A00-000008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23</xdr:row>
          <xdr:rowOff>7620</xdr:rowOff>
        </xdr:from>
        <xdr:to>
          <xdr:col>3</xdr:col>
          <xdr:colOff>190500</xdr:colOff>
          <xdr:row>24</xdr:row>
          <xdr:rowOff>7620</xdr:rowOff>
        </xdr:to>
        <xdr:sp macro="" textlink="">
          <xdr:nvSpPr>
            <xdr:cNvPr id="22889481" name="ComboBox7" hidden="1">
              <a:extLst>
                <a:ext uri="{63B3BB69-23CF-44E3-9099-C40C66FF867C}">
                  <a14:compatExt spid="_x0000_s22889481"/>
                </a:ext>
                <a:ext uri="{FF2B5EF4-FFF2-40B4-BE49-F238E27FC236}">
                  <a16:creationId xmlns:a16="http://schemas.microsoft.com/office/drawing/2014/main" id="{00000000-0008-0000-0A00-000009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24</xdr:row>
          <xdr:rowOff>182880</xdr:rowOff>
        </xdr:from>
        <xdr:to>
          <xdr:col>3</xdr:col>
          <xdr:colOff>190500</xdr:colOff>
          <xdr:row>25</xdr:row>
          <xdr:rowOff>182880</xdr:rowOff>
        </xdr:to>
        <xdr:sp macro="" textlink="">
          <xdr:nvSpPr>
            <xdr:cNvPr id="22889482" name="ComboBox8" hidden="1">
              <a:extLst>
                <a:ext uri="{63B3BB69-23CF-44E3-9099-C40C66FF867C}">
                  <a14:compatExt spid="_x0000_s22889482"/>
                </a:ext>
                <a:ext uri="{FF2B5EF4-FFF2-40B4-BE49-F238E27FC236}">
                  <a16:creationId xmlns:a16="http://schemas.microsoft.com/office/drawing/2014/main" id="{00000000-0008-0000-0A00-00000A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44</xdr:row>
          <xdr:rowOff>22860</xdr:rowOff>
        </xdr:from>
        <xdr:to>
          <xdr:col>3</xdr:col>
          <xdr:colOff>190500</xdr:colOff>
          <xdr:row>46</xdr:row>
          <xdr:rowOff>22860</xdr:rowOff>
        </xdr:to>
        <xdr:sp macro="" textlink="">
          <xdr:nvSpPr>
            <xdr:cNvPr id="22889483" name="ComboBox9" hidden="1">
              <a:extLst>
                <a:ext uri="{63B3BB69-23CF-44E3-9099-C40C66FF867C}">
                  <a14:compatExt spid="_x0000_s22889483"/>
                </a:ext>
                <a:ext uri="{FF2B5EF4-FFF2-40B4-BE49-F238E27FC236}">
                  <a16:creationId xmlns:a16="http://schemas.microsoft.com/office/drawing/2014/main" id="{00000000-0008-0000-0A00-00000B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47</xdr:row>
          <xdr:rowOff>0</xdr:rowOff>
        </xdr:from>
        <xdr:to>
          <xdr:col>3</xdr:col>
          <xdr:colOff>190500</xdr:colOff>
          <xdr:row>50</xdr:row>
          <xdr:rowOff>0</xdr:rowOff>
        </xdr:to>
        <xdr:sp macro="" textlink="">
          <xdr:nvSpPr>
            <xdr:cNvPr id="22889484" name="ComboBox10" hidden="1">
              <a:extLst>
                <a:ext uri="{63B3BB69-23CF-44E3-9099-C40C66FF867C}">
                  <a14:compatExt spid="_x0000_s22889484"/>
                </a:ext>
                <a:ext uri="{FF2B5EF4-FFF2-40B4-BE49-F238E27FC236}">
                  <a16:creationId xmlns:a16="http://schemas.microsoft.com/office/drawing/2014/main" id="{00000000-0008-0000-0A00-00000C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50</xdr:row>
          <xdr:rowOff>175260</xdr:rowOff>
        </xdr:from>
        <xdr:to>
          <xdr:col>3</xdr:col>
          <xdr:colOff>190500</xdr:colOff>
          <xdr:row>51</xdr:row>
          <xdr:rowOff>175260</xdr:rowOff>
        </xdr:to>
        <xdr:sp macro="" textlink="">
          <xdr:nvSpPr>
            <xdr:cNvPr id="22889485" name="ComboBox11" hidden="1">
              <a:extLst>
                <a:ext uri="{63B3BB69-23CF-44E3-9099-C40C66FF867C}">
                  <a14:compatExt spid="_x0000_s22889485"/>
                </a:ext>
                <a:ext uri="{FF2B5EF4-FFF2-40B4-BE49-F238E27FC236}">
                  <a16:creationId xmlns:a16="http://schemas.microsoft.com/office/drawing/2014/main" id="{00000000-0008-0000-0A00-00000D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52</xdr:row>
          <xdr:rowOff>175260</xdr:rowOff>
        </xdr:from>
        <xdr:to>
          <xdr:col>3</xdr:col>
          <xdr:colOff>190500</xdr:colOff>
          <xdr:row>53</xdr:row>
          <xdr:rowOff>175260</xdr:rowOff>
        </xdr:to>
        <xdr:sp macro="" textlink="">
          <xdr:nvSpPr>
            <xdr:cNvPr id="22889486" name="ComboBox12" hidden="1">
              <a:extLst>
                <a:ext uri="{63B3BB69-23CF-44E3-9099-C40C66FF867C}">
                  <a14:compatExt spid="_x0000_s22889486"/>
                </a:ext>
                <a:ext uri="{FF2B5EF4-FFF2-40B4-BE49-F238E27FC236}">
                  <a16:creationId xmlns:a16="http://schemas.microsoft.com/office/drawing/2014/main" id="{00000000-0008-0000-0A00-00000E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55</xdr:row>
          <xdr:rowOff>0</xdr:rowOff>
        </xdr:from>
        <xdr:to>
          <xdr:col>3</xdr:col>
          <xdr:colOff>190500</xdr:colOff>
          <xdr:row>56</xdr:row>
          <xdr:rowOff>0</xdr:rowOff>
        </xdr:to>
        <xdr:sp macro="" textlink="">
          <xdr:nvSpPr>
            <xdr:cNvPr id="22889487" name="ComboBox13" hidden="1">
              <a:extLst>
                <a:ext uri="{63B3BB69-23CF-44E3-9099-C40C66FF867C}">
                  <a14:compatExt spid="_x0000_s22889487"/>
                </a:ext>
                <a:ext uri="{FF2B5EF4-FFF2-40B4-BE49-F238E27FC236}">
                  <a16:creationId xmlns:a16="http://schemas.microsoft.com/office/drawing/2014/main" id="{00000000-0008-0000-0A00-00000F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57</xdr:row>
          <xdr:rowOff>7620</xdr:rowOff>
        </xdr:from>
        <xdr:to>
          <xdr:col>3</xdr:col>
          <xdr:colOff>190500</xdr:colOff>
          <xdr:row>58</xdr:row>
          <xdr:rowOff>7620</xdr:rowOff>
        </xdr:to>
        <xdr:sp macro="" textlink="">
          <xdr:nvSpPr>
            <xdr:cNvPr id="22889488" name="ComboBox14" hidden="1">
              <a:extLst>
                <a:ext uri="{63B3BB69-23CF-44E3-9099-C40C66FF867C}">
                  <a14:compatExt spid="_x0000_s22889488"/>
                </a:ext>
                <a:ext uri="{FF2B5EF4-FFF2-40B4-BE49-F238E27FC236}">
                  <a16:creationId xmlns:a16="http://schemas.microsoft.com/office/drawing/2014/main" id="{00000000-0008-0000-0A00-000010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59</xdr:row>
          <xdr:rowOff>0</xdr:rowOff>
        </xdr:from>
        <xdr:to>
          <xdr:col>3</xdr:col>
          <xdr:colOff>190500</xdr:colOff>
          <xdr:row>60</xdr:row>
          <xdr:rowOff>0</xdr:rowOff>
        </xdr:to>
        <xdr:sp macro="" textlink="">
          <xdr:nvSpPr>
            <xdr:cNvPr id="22889489" name="ComboBox15" hidden="1">
              <a:extLst>
                <a:ext uri="{63B3BB69-23CF-44E3-9099-C40C66FF867C}">
                  <a14:compatExt spid="_x0000_s22889489"/>
                </a:ext>
                <a:ext uri="{FF2B5EF4-FFF2-40B4-BE49-F238E27FC236}">
                  <a16:creationId xmlns:a16="http://schemas.microsoft.com/office/drawing/2014/main" id="{00000000-0008-0000-0A00-000011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61</xdr:row>
          <xdr:rowOff>22860</xdr:rowOff>
        </xdr:from>
        <xdr:to>
          <xdr:col>3</xdr:col>
          <xdr:colOff>190500</xdr:colOff>
          <xdr:row>62</xdr:row>
          <xdr:rowOff>22860</xdr:rowOff>
        </xdr:to>
        <xdr:sp macro="" textlink="">
          <xdr:nvSpPr>
            <xdr:cNvPr id="22889490" name="ComboBox16" hidden="1">
              <a:extLst>
                <a:ext uri="{63B3BB69-23CF-44E3-9099-C40C66FF867C}">
                  <a14:compatExt spid="_x0000_s22889490"/>
                </a:ext>
                <a:ext uri="{FF2B5EF4-FFF2-40B4-BE49-F238E27FC236}">
                  <a16:creationId xmlns:a16="http://schemas.microsoft.com/office/drawing/2014/main" id="{00000000-0008-0000-0A00-000012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52</xdr:row>
          <xdr:rowOff>7620</xdr:rowOff>
        </xdr:from>
        <xdr:to>
          <xdr:col>3</xdr:col>
          <xdr:colOff>190500</xdr:colOff>
          <xdr:row>53</xdr:row>
          <xdr:rowOff>7620</xdr:rowOff>
        </xdr:to>
        <xdr:sp macro="" textlink="">
          <xdr:nvSpPr>
            <xdr:cNvPr id="22889491" name="ComboBox21" hidden="1">
              <a:extLst>
                <a:ext uri="{63B3BB69-23CF-44E3-9099-C40C66FF867C}">
                  <a14:compatExt spid="_x0000_s22889491"/>
                </a:ext>
                <a:ext uri="{FF2B5EF4-FFF2-40B4-BE49-F238E27FC236}">
                  <a16:creationId xmlns:a16="http://schemas.microsoft.com/office/drawing/2014/main" id="{00000000-0008-0000-0A00-000013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54</xdr:row>
          <xdr:rowOff>7620</xdr:rowOff>
        </xdr:from>
        <xdr:to>
          <xdr:col>3</xdr:col>
          <xdr:colOff>190500</xdr:colOff>
          <xdr:row>55</xdr:row>
          <xdr:rowOff>7620</xdr:rowOff>
        </xdr:to>
        <xdr:sp macro="" textlink="">
          <xdr:nvSpPr>
            <xdr:cNvPr id="22889492" name="ComboBox22" hidden="1">
              <a:extLst>
                <a:ext uri="{63B3BB69-23CF-44E3-9099-C40C66FF867C}">
                  <a14:compatExt spid="_x0000_s22889492"/>
                </a:ext>
                <a:ext uri="{FF2B5EF4-FFF2-40B4-BE49-F238E27FC236}">
                  <a16:creationId xmlns:a16="http://schemas.microsoft.com/office/drawing/2014/main" id="{00000000-0008-0000-0A00-000014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56</xdr:row>
          <xdr:rowOff>7620</xdr:rowOff>
        </xdr:from>
        <xdr:to>
          <xdr:col>3</xdr:col>
          <xdr:colOff>190500</xdr:colOff>
          <xdr:row>57</xdr:row>
          <xdr:rowOff>7620</xdr:rowOff>
        </xdr:to>
        <xdr:sp macro="" textlink="">
          <xdr:nvSpPr>
            <xdr:cNvPr id="22889493" name="ComboBox23" hidden="1">
              <a:extLst>
                <a:ext uri="{63B3BB69-23CF-44E3-9099-C40C66FF867C}">
                  <a14:compatExt spid="_x0000_s22889493"/>
                </a:ext>
                <a:ext uri="{FF2B5EF4-FFF2-40B4-BE49-F238E27FC236}">
                  <a16:creationId xmlns:a16="http://schemas.microsoft.com/office/drawing/2014/main" id="{00000000-0008-0000-0A00-000015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58</xdr:row>
          <xdr:rowOff>7620</xdr:rowOff>
        </xdr:from>
        <xdr:to>
          <xdr:col>3</xdr:col>
          <xdr:colOff>190500</xdr:colOff>
          <xdr:row>59</xdr:row>
          <xdr:rowOff>7620</xdr:rowOff>
        </xdr:to>
        <xdr:sp macro="" textlink="">
          <xdr:nvSpPr>
            <xdr:cNvPr id="22889494" name="ComboBox24" hidden="1">
              <a:extLst>
                <a:ext uri="{63B3BB69-23CF-44E3-9099-C40C66FF867C}">
                  <a14:compatExt spid="_x0000_s22889494"/>
                </a:ext>
                <a:ext uri="{FF2B5EF4-FFF2-40B4-BE49-F238E27FC236}">
                  <a16:creationId xmlns:a16="http://schemas.microsoft.com/office/drawing/2014/main" id="{00000000-0008-0000-0A00-000016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60</xdr:row>
          <xdr:rowOff>7620</xdr:rowOff>
        </xdr:from>
        <xdr:to>
          <xdr:col>3</xdr:col>
          <xdr:colOff>190500</xdr:colOff>
          <xdr:row>61</xdr:row>
          <xdr:rowOff>38100</xdr:rowOff>
        </xdr:to>
        <xdr:sp macro="" textlink="">
          <xdr:nvSpPr>
            <xdr:cNvPr id="22889495" name="ComboBox25" hidden="1">
              <a:extLst>
                <a:ext uri="{63B3BB69-23CF-44E3-9099-C40C66FF867C}">
                  <a14:compatExt spid="_x0000_s22889495"/>
                </a:ext>
                <a:ext uri="{FF2B5EF4-FFF2-40B4-BE49-F238E27FC236}">
                  <a16:creationId xmlns:a16="http://schemas.microsoft.com/office/drawing/2014/main" id="{00000000-0008-0000-0A00-000017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62</xdr:row>
          <xdr:rowOff>38100</xdr:rowOff>
        </xdr:from>
        <xdr:to>
          <xdr:col>3</xdr:col>
          <xdr:colOff>190500</xdr:colOff>
          <xdr:row>63</xdr:row>
          <xdr:rowOff>38100</xdr:rowOff>
        </xdr:to>
        <xdr:sp macro="" textlink="">
          <xdr:nvSpPr>
            <xdr:cNvPr id="22889496" name="ComboBox26" hidden="1">
              <a:extLst>
                <a:ext uri="{63B3BB69-23CF-44E3-9099-C40C66FF867C}">
                  <a14:compatExt spid="_x0000_s22889496"/>
                </a:ext>
                <a:ext uri="{FF2B5EF4-FFF2-40B4-BE49-F238E27FC236}">
                  <a16:creationId xmlns:a16="http://schemas.microsoft.com/office/drawing/2014/main" id="{00000000-0008-0000-0A00-000018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64</xdr:row>
          <xdr:rowOff>38100</xdr:rowOff>
        </xdr:from>
        <xdr:to>
          <xdr:col>3</xdr:col>
          <xdr:colOff>190500</xdr:colOff>
          <xdr:row>65</xdr:row>
          <xdr:rowOff>38100</xdr:rowOff>
        </xdr:to>
        <xdr:sp macro="" textlink="">
          <xdr:nvSpPr>
            <xdr:cNvPr id="22889497" name="ComboBox27" hidden="1">
              <a:extLst>
                <a:ext uri="{63B3BB69-23CF-44E3-9099-C40C66FF867C}">
                  <a14:compatExt spid="_x0000_s22889497"/>
                </a:ext>
                <a:ext uri="{FF2B5EF4-FFF2-40B4-BE49-F238E27FC236}">
                  <a16:creationId xmlns:a16="http://schemas.microsoft.com/office/drawing/2014/main" id="{00000000-0008-0000-0A00-000019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66</xdr:row>
          <xdr:rowOff>38100</xdr:rowOff>
        </xdr:from>
        <xdr:to>
          <xdr:col>3</xdr:col>
          <xdr:colOff>190500</xdr:colOff>
          <xdr:row>84</xdr:row>
          <xdr:rowOff>38100</xdr:rowOff>
        </xdr:to>
        <xdr:sp macro="" textlink="">
          <xdr:nvSpPr>
            <xdr:cNvPr id="22889498" name="ComboBox28" hidden="1">
              <a:extLst>
                <a:ext uri="{63B3BB69-23CF-44E3-9099-C40C66FF867C}">
                  <a14:compatExt spid="_x0000_s22889498"/>
                </a:ext>
                <a:ext uri="{FF2B5EF4-FFF2-40B4-BE49-F238E27FC236}">
                  <a16:creationId xmlns:a16="http://schemas.microsoft.com/office/drawing/2014/main" id="{00000000-0008-0000-0A00-00001A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86</xdr:row>
          <xdr:rowOff>38100</xdr:rowOff>
        </xdr:from>
        <xdr:to>
          <xdr:col>3</xdr:col>
          <xdr:colOff>190500</xdr:colOff>
          <xdr:row>87</xdr:row>
          <xdr:rowOff>76200</xdr:rowOff>
        </xdr:to>
        <xdr:sp macro="" textlink="">
          <xdr:nvSpPr>
            <xdr:cNvPr id="22889499" name="ComboBox29" hidden="1">
              <a:extLst>
                <a:ext uri="{63B3BB69-23CF-44E3-9099-C40C66FF867C}">
                  <a14:compatExt spid="_x0000_s22889499"/>
                </a:ext>
                <a:ext uri="{FF2B5EF4-FFF2-40B4-BE49-F238E27FC236}">
                  <a16:creationId xmlns:a16="http://schemas.microsoft.com/office/drawing/2014/main" id="{00000000-0008-0000-0A00-00001B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88</xdr:row>
          <xdr:rowOff>76200</xdr:rowOff>
        </xdr:from>
        <xdr:to>
          <xdr:col>3</xdr:col>
          <xdr:colOff>190500</xdr:colOff>
          <xdr:row>89</xdr:row>
          <xdr:rowOff>76200</xdr:rowOff>
        </xdr:to>
        <xdr:sp macro="" textlink="">
          <xdr:nvSpPr>
            <xdr:cNvPr id="22889500" name="ComboBox210" hidden="1">
              <a:extLst>
                <a:ext uri="{63B3BB69-23CF-44E3-9099-C40C66FF867C}">
                  <a14:compatExt spid="_x0000_s22889500"/>
                </a:ext>
                <a:ext uri="{FF2B5EF4-FFF2-40B4-BE49-F238E27FC236}">
                  <a16:creationId xmlns:a16="http://schemas.microsoft.com/office/drawing/2014/main" id="{00000000-0008-0000-0A00-00001C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90</xdr:row>
          <xdr:rowOff>76200</xdr:rowOff>
        </xdr:from>
        <xdr:to>
          <xdr:col>3</xdr:col>
          <xdr:colOff>190500</xdr:colOff>
          <xdr:row>91</xdr:row>
          <xdr:rowOff>76200</xdr:rowOff>
        </xdr:to>
        <xdr:sp macro="" textlink="">
          <xdr:nvSpPr>
            <xdr:cNvPr id="22889501" name="ComboBox211" hidden="1">
              <a:extLst>
                <a:ext uri="{63B3BB69-23CF-44E3-9099-C40C66FF867C}">
                  <a14:compatExt spid="_x0000_s22889501"/>
                </a:ext>
                <a:ext uri="{FF2B5EF4-FFF2-40B4-BE49-F238E27FC236}">
                  <a16:creationId xmlns:a16="http://schemas.microsoft.com/office/drawing/2014/main" id="{00000000-0008-0000-0A00-00001D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92</xdr:row>
          <xdr:rowOff>76200</xdr:rowOff>
        </xdr:from>
        <xdr:to>
          <xdr:col>3</xdr:col>
          <xdr:colOff>190500</xdr:colOff>
          <xdr:row>93</xdr:row>
          <xdr:rowOff>76200</xdr:rowOff>
        </xdr:to>
        <xdr:sp macro="" textlink="">
          <xdr:nvSpPr>
            <xdr:cNvPr id="22889502" name="ComboBox212" hidden="1">
              <a:extLst>
                <a:ext uri="{63B3BB69-23CF-44E3-9099-C40C66FF867C}">
                  <a14:compatExt spid="_x0000_s22889502"/>
                </a:ext>
                <a:ext uri="{FF2B5EF4-FFF2-40B4-BE49-F238E27FC236}">
                  <a16:creationId xmlns:a16="http://schemas.microsoft.com/office/drawing/2014/main" id="{00000000-0008-0000-0A00-00001E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94</xdr:row>
          <xdr:rowOff>76200</xdr:rowOff>
        </xdr:from>
        <xdr:to>
          <xdr:col>3</xdr:col>
          <xdr:colOff>190500</xdr:colOff>
          <xdr:row>95</xdr:row>
          <xdr:rowOff>76200</xdr:rowOff>
        </xdr:to>
        <xdr:sp macro="" textlink="">
          <xdr:nvSpPr>
            <xdr:cNvPr id="22889503" name="ComboBox213" hidden="1">
              <a:extLst>
                <a:ext uri="{63B3BB69-23CF-44E3-9099-C40C66FF867C}">
                  <a14:compatExt spid="_x0000_s22889503"/>
                </a:ext>
                <a:ext uri="{FF2B5EF4-FFF2-40B4-BE49-F238E27FC236}">
                  <a16:creationId xmlns:a16="http://schemas.microsoft.com/office/drawing/2014/main" id="{00000000-0008-0000-0A00-00001F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96</xdr:row>
          <xdr:rowOff>76200</xdr:rowOff>
        </xdr:from>
        <xdr:to>
          <xdr:col>3</xdr:col>
          <xdr:colOff>190500</xdr:colOff>
          <xdr:row>97</xdr:row>
          <xdr:rowOff>76200</xdr:rowOff>
        </xdr:to>
        <xdr:sp macro="" textlink="">
          <xdr:nvSpPr>
            <xdr:cNvPr id="22889504" name="ComboBox214" hidden="1">
              <a:extLst>
                <a:ext uri="{63B3BB69-23CF-44E3-9099-C40C66FF867C}">
                  <a14:compatExt spid="_x0000_s22889504"/>
                </a:ext>
                <a:ext uri="{FF2B5EF4-FFF2-40B4-BE49-F238E27FC236}">
                  <a16:creationId xmlns:a16="http://schemas.microsoft.com/office/drawing/2014/main" id="{00000000-0008-0000-0A00-000020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98</xdr:row>
          <xdr:rowOff>76200</xdr:rowOff>
        </xdr:from>
        <xdr:to>
          <xdr:col>3</xdr:col>
          <xdr:colOff>190500</xdr:colOff>
          <xdr:row>99</xdr:row>
          <xdr:rowOff>76200</xdr:rowOff>
        </xdr:to>
        <xdr:sp macro="" textlink="">
          <xdr:nvSpPr>
            <xdr:cNvPr id="22889505" name="ComboBox215" hidden="1">
              <a:extLst>
                <a:ext uri="{63B3BB69-23CF-44E3-9099-C40C66FF867C}">
                  <a14:compatExt spid="_x0000_s22889505"/>
                </a:ext>
                <a:ext uri="{FF2B5EF4-FFF2-40B4-BE49-F238E27FC236}">
                  <a16:creationId xmlns:a16="http://schemas.microsoft.com/office/drawing/2014/main" id="{00000000-0008-0000-0A00-000021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441960</xdr:colOff>
          <xdr:row>100</xdr:row>
          <xdr:rowOff>76200</xdr:rowOff>
        </xdr:from>
        <xdr:to>
          <xdr:col>3</xdr:col>
          <xdr:colOff>190500</xdr:colOff>
          <xdr:row>101</xdr:row>
          <xdr:rowOff>76200</xdr:rowOff>
        </xdr:to>
        <xdr:sp macro="" textlink="">
          <xdr:nvSpPr>
            <xdr:cNvPr id="22889506" name="ComboBox216" hidden="1">
              <a:extLst>
                <a:ext uri="{63B3BB69-23CF-44E3-9099-C40C66FF867C}">
                  <a14:compatExt spid="_x0000_s22889506"/>
                </a:ext>
                <a:ext uri="{FF2B5EF4-FFF2-40B4-BE49-F238E27FC236}">
                  <a16:creationId xmlns:a16="http://schemas.microsoft.com/office/drawing/2014/main" id="{00000000-0008-0000-0A00-000022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419100</xdr:colOff>
          <xdr:row>9</xdr:row>
          <xdr:rowOff>45720</xdr:rowOff>
        </xdr:from>
        <xdr:to>
          <xdr:col>3</xdr:col>
          <xdr:colOff>175260</xdr:colOff>
          <xdr:row>9</xdr:row>
          <xdr:rowOff>266700</xdr:rowOff>
        </xdr:to>
        <xdr:sp macro="" textlink="">
          <xdr:nvSpPr>
            <xdr:cNvPr id="22889507" name="ComboBox17" hidden="1">
              <a:extLst>
                <a:ext uri="{63B3BB69-23CF-44E3-9099-C40C66FF867C}">
                  <a14:compatExt spid="_x0000_s22889507"/>
                </a:ext>
                <a:ext uri="{FF2B5EF4-FFF2-40B4-BE49-F238E27FC236}">
                  <a16:creationId xmlns:a16="http://schemas.microsoft.com/office/drawing/2014/main" id="{00000000-0008-0000-0A00-000023445D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11</xdr:col>
      <xdr:colOff>19050</xdr:colOff>
      <xdr:row>2</xdr:row>
      <xdr:rowOff>76200</xdr:rowOff>
    </xdr:from>
    <xdr:to>
      <xdr:col>16</xdr:col>
      <xdr:colOff>314325</xdr:colOff>
      <xdr:row>22</xdr:row>
      <xdr:rowOff>180975</xdr:rowOff>
    </xdr:to>
    <xdr:pic>
      <xdr:nvPicPr>
        <xdr:cNvPr id="16526730" name="Picture 17">
          <a:extLst>
            <a:ext uri="{FF2B5EF4-FFF2-40B4-BE49-F238E27FC236}">
              <a16:creationId xmlns:a16="http://schemas.microsoft.com/office/drawing/2014/main" id="{00000000-0008-0000-0B00-00008A2DFC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96550" y="581025"/>
          <a:ext cx="4819650" cy="3914775"/>
        </a:xfrm>
        <a:prstGeom prst="rect">
          <a:avLst/>
        </a:prstGeom>
        <a:noFill/>
        <a:ln w="25400">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3</xdr:row>
          <xdr:rowOff>7620</xdr:rowOff>
        </xdr:from>
        <xdr:to>
          <xdr:col>1</xdr:col>
          <xdr:colOff>30480</xdr:colOff>
          <xdr:row>4</xdr:row>
          <xdr:rowOff>22860</xdr:rowOff>
        </xdr:to>
        <xdr:sp macro="" textlink="">
          <xdr:nvSpPr>
            <xdr:cNvPr id="394242" name="cboProduct" hidden="1">
              <a:extLst>
                <a:ext uri="{63B3BB69-23CF-44E3-9099-C40C66FF867C}">
                  <a14:compatExt spid="_x0000_s394242"/>
                </a:ext>
                <a:ext uri="{FF2B5EF4-FFF2-40B4-BE49-F238E27FC236}">
                  <a16:creationId xmlns:a16="http://schemas.microsoft.com/office/drawing/2014/main" id="{00000000-0008-0000-0B00-0000020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38100</xdr:rowOff>
        </xdr:from>
        <xdr:to>
          <xdr:col>0</xdr:col>
          <xdr:colOff>1363980</xdr:colOff>
          <xdr:row>7</xdr:row>
          <xdr:rowOff>182880</xdr:rowOff>
        </xdr:to>
        <xdr:sp macro="" textlink="">
          <xdr:nvSpPr>
            <xdr:cNvPr id="394243" name="cmdMakeTable" hidden="1">
              <a:extLst>
                <a:ext uri="{63B3BB69-23CF-44E3-9099-C40C66FF867C}">
                  <a14:compatExt spid="_x0000_s394243"/>
                </a:ext>
                <a:ext uri="{FF2B5EF4-FFF2-40B4-BE49-F238E27FC236}">
                  <a16:creationId xmlns:a16="http://schemas.microsoft.com/office/drawing/2014/main" id="{00000000-0008-0000-0B00-0000030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xdr:row>
          <xdr:rowOff>22860</xdr:rowOff>
        </xdr:from>
        <xdr:to>
          <xdr:col>4</xdr:col>
          <xdr:colOff>883920</xdr:colOff>
          <xdr:row>4</xdr:row>
          <xdr:rowOff>175260</xdr:rowOff>
        </xdr:to>
        <xdr:sp macro="" textlink="">
          <xdr:nvSpPr>
            <xdr:cNvPr id="394244" name="ScrollBar2" hidden="1">
              <a:extLst>
                <a:ext uri="{63B3BB69-23CF-44E3-9099-C40C66FF867C}">
                  <a14:compatExt spid="_x0000_s394244"/>
                </a:ext>
                <a:ext uri="{FF2B5EF4-FFF2-40B4-BE49-F238E27FC236}">
                  <a16:creationId xmlns:a16="http://schemas.microsoft.com/office/drawing/2014/main" id="{00000000-0008-0000-0B00-0000040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xdr:row>
          <xdr:rowOff>22860</xdr:rowOff>
        </xdr:from>
        <xdr:to>
          <xdr:col>4</xdr:col>
          <xdr:colOff>899160</xdr:colOff>
          <xdr:row>5</xdr:row>
          <xdr:rowOff>175260</xdr:rowOff>
        </xdr:to>
        <xdr:sp macro="" textlink="">
          <xdr:nvSpPr>
            <xdr:cNvPr id="394245" name="ScrollBar3" hidden="1">
              <a:extLst>
                <a:ext uri="{63B3BB69-23CF-44E3-9099-C40C66FF867C}">
                  <a14:compatExt spid="_x0000_s394245"/>
                </a:ext>
                <a:ext uri="{FF2B5EF4-FFF2-40B4-BE49-F238E27FC236}">
                  <a16:creationId xmlns:a16="http://schemas.microsoft.com/office/drawing/2014/main" id="{00000000-0008-0000-0B00-0000050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22860</xdr:rowOff>
        </xdr:from>
        <xdr:to>
          <xdr:col>4</xdr:col>
          <xdr:colOff>883920</xdr:colOff>
          <xdr:row>3</xdr:row>
          <xdr:rowOff>175260</xdr:rowOff>
        </xdr:to>
        <xdr:sp macro="" textlink="">
          <xdr:nvSpPr>
            <xdr:cNvPr id="394247" name="ScrollBar1" hidden="1">
              <a:extLst>
                <a:ext uri="{63B3BB69-23CF-44E3-9099-C40C66FF867C}">
                  <a14:compatExt spid="_x0000_s394247"/>
                </a:ext>
                <a:ext uri="{FF2B5EF4-FFF2-40B4-BE49-F238E27FC236}">
                  <a16:creationId xmlns:a16="http://schemas.microsoft.com/office/drawing/2014/main" id="{00000000-0008-0000-0B00-0000070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xdr:colOff>
          <xdr:row>2</xdr:row>
          <xdr:rowOff>7620</xdr:rowOff>
        </xdr:from>
        <xdr:to>
          <xdr:col>2</xdr:col>
          <xdr:colOff>1447800</xdr:colOff>
          <xdr:row>3</xdr:row>
          <xdr:rowOff>7620</xdr:rowOff>
        </xdr:to>
        <xdr:sp macro="" textlink="">
          <xdr:nvSpPr>
            <xdr:cNvPr id="9224" name="cbo_yysr" hidden="1">
              <a:extLst>
                <a:ext uri="{63B3BB69-23CF-44E3-9099-C40C66FF867C}">
                  <a14:compatExt spid="_x0000_s9224"/>
                </a:ext>
                <a:ext uri="{FF2B5EF4-FFF2-40B4-BE49-F238E27FC236}">
                  <a16:creationId xmlns:a16="http://schemas.microsoft.com/office/drawing/2014/main" id="{00000000-0008-0000-0C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3</xdr:row>
          <xdr:rowOff>7620</xdr:rowOff>
        </xdr:from>
        <xdr:to>
          <xdr:col>2</xdr:col>
          <xdr:colOff>1447800</xdr:colOff>
          <xdr:row>4</xdr:row>
          <xdr:rowOff>7620</xdr:rowOff>
        </xdr:to>
        <xdr:sp macro="" textlink="">
          <xdr:nvSpPr>
            <xdr:cNvPr id="9226" name="cbo_yycb" hidden="1">
              <a:extLst>
                <a:ext uri="{63B3BB69-23CF-44E3-9099-C40C66FF867C}">
                  <a14:compatExt spid="_x0000_s9226"/>
                </a:ext>
                <a:ext uri="{FF2B5EF4-FFF2-40B4-BE49-F238E27FC236}">
                  <a16:creationId xmlns:a16="http://schemas.microsoft.com/office/drawing/2014/main" id="{00000000-0008-0000-0C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xdr:row>
          <xdr:rowOff>7620</xdr:rowOff>
        </xdr:from>
        <xdr:to>
          <xdr:col>2</xdr:col>
          <xdr:colOff>1447800</xdr:colOff>
          <xdr:row>5</xdr:row>
          <xdr:rowOff>7620</xdr:rowOff>
        </xdr:to>
        <xdr:sp macro="" textlink="">
          <xdr:nvSpPr>
            <xdr:cNvPr id="9227" name="cbo_yysjjfj" hidden="1">
              <a:extLst>
                <a:ext uri="{63B3BB69-23CF-44E3-9099-C40C66FF867C}">
                  <a14:compatExt spid="_x0000_s9227"/>
                </a:ext>
                <a:ext uri="{FF2B5EF4-FFF2-40B4-BE49-F238E27FC236}">
                  <a16:creationId xmlns:a16="http://schemas.microsoft.com/office/drawing/2014/main" id="{00000000-0008-0000-0C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5</xdr:row>
          <xdr:rowOff>7620</xdr:rowOff>
        </xdr:from>
        <xdr:to>
          <xdr:col>2</xdr:col>
          <xdr:colOff>1447800</xdr:colOff>
          <xdr:row>6</xdr:row>
          <xdr:rowOff>7620</xdr:rowOff>
        </xdr:to>
        <xdr:sp macro="" textlink="">
          <xdr:nvSpPr>
            <xdr:cNvPr id="9228" name="cbo_yyfy" hidden="1">
              <a:extLst>
                <a:ext uri="{63B3BB69-23CF-44E3-9099-C40C66FF867C}">
                  <a14:compatExt spid="_x0000_s9228"/>
                </a:ext>
                <a:ext uri="{FF2B5EF4-FFF2-40B4-BE49-F238E27FC236}">
                  <a16:creationId xmlns:a16="http://schemas.microsoft.com/office/drawing/2014/main" id="{00000000-0008-0000-0C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6</xdr:row>
          <xdr:rowOff>7620</xdr:rowOff>
        </xdr:from>
        <xdr:to>
          <xdr:col>2</xdr:col>
          <xdr:colOff>1447800</xdr:colOff>
          <xdr:row>7</xdr:row>
          <xdr:rowOff>7620</xdr:rowOff>
        </xdr:to>
        <xdr:sp macro="" textlink="">
          <xdr:nvSpPr>
            <xdr:cNvPr id="9229" name="cbo_glfy" hidden="1">
              <a:extLst>
                <a:ext uri="{63B3BB69-23CF-44E3-9099-C40C66FF867C}">
                  <a14:compatExt spid="_x0000_s9229"/>
                </a:ext>
                <a:ext uri="{FF2B5EF4-FFF2-40B4-BE49-F238E27FC236}">
                  <a16:creationId xmlns:a16="http://schemas.microsoft.com/office/drawing/2014/main" id="{00000000-0008-0000-0C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18</xdr:row>
          <xdr:rowOff>7620</xdr:rowOff>
        </xdr:from>
        <xdr:to>
          <xdr:col>2</xdr:col>
          <xdr:colOff>1447800</xdr:colOff>
          <xdr:row>20</xdr:row>
          <xdr:rowOff>22860</xdr:rowOff>
        </xdr:to>
        <xdr:sp macro="" textlink="">
          <xdr:nvSpPr>
            <xdr:cNvPr id="9230" name="cbo_sl" hidden="1">
              <a:extLst>
                <a:ext uri="{63B3BB69-23CF-44E3-9099-C40C66FF867C}">
                  <a14:compatExt spid="_x0000_s9230"/>
                </a:ext>
                <a:ext uri="{FF2B5EF4-FFF2-40B4-BE49-F238E27FC236}">
                  <a16:creationId xmlns:a16="http://schemas.microsoft.com/office/drawing/2014/main" id="{00000000-0008-0000-0C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32</xdr:row>
          <xdr:rowOff>7620</xdr:rowOff>
        </xdr:from>
        <xdr:to>
          <xdr:col>2</xdr:col>
          <xdr:colOff>1447800</xdr:colOff>
          <xdr:row>33</xdr:row>
          <xdr:rowOff>0</xdr:rowOff>
        </xdr:to>
        <xdr:sp macro="" textlink="">
          <xdr:nvSpPr>
            <xdr:cNvPr id="9236" name="cbo_yszk" hidden="1">
              <a:extLst>
                <a:ext uri="{63B3BB69-23CF-44E3-9099-C40C66FF867C}">
                  <a14:compatExt spid="_x0000_s9236"/>
                </a:ext>
                <a:ext uri="{FF2B5EF4-FFF2-40B4-BE49-F238E27FC236}">
                  <a16:creationId xmlns:a16="http://schemas.microsoft.com/office/drawing/2014/main" id="{00000000-0008-0000-0C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37</xdr:row>
          <xdr:rowOff>22860</xdr:rowOff>
        </xdr:from>
        <xdr:to>
          <xdr:col>2</xdr:col>
          <xdr:colOff>1447800</xdr:colOff>
          <xdr:row>38</xdr:row>
          <xdr:rowOff>15240</xdr:rowOff>
        </xdr:to>
        <xdr:sp macro="" textlink="">
          <xdr:nvSpPr>
            <xdr:cNvPr id="9240" name="cbo_qtysk" hidden="1">
              <a:extLst>
                <a:ext uri="{63B3BB69-23CF-44E3-9099-C40C66FF867C}">
                  <a14:compatExt spid="_x0000_s9240"/>
                </a:ext>
                <a:ext uri="{FF2B5EF4-FFF2-40B4-BE49-F238E27FC236}">
                  <a16:creationId xmlns:a16="http://schemas.microsoft.com/office/drawing/2014/main" id="{00000000-0008-0000-0C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9</xdr:row>
          <xdr:rowOff>7620</xdr:rowOff>
        </xdr:from>
        <xdr:to>
          <xdr:col>2</xdr:col>
          <xdr:colOff>1447800</xdr:colOff>
          <xdr:row>10</xdr:row>
          <xdr:rowOff>7620</xdr:rowOff>
        </xdr:to>
        <xdr:sp macro="" textlink="">
          <xdr:nvSpPr>
            <xdr:cNvPr id="9405" name="cbo_jszcjzss" hidden="1">
              <a:extLst>
                <a:ext uri="{63B3BB69-23CF-44E3-9099-C40C66FF867C}">
                  <a14:compatExt spid="_x0000_s9405"/>
                </a:ext>
                <a:ext uri="{FF2B5EF4-FFF2-40B4-BE49-F238E27FC236}">
                  <a16:creationId xmlns:a16="http://schemas.microsoft.com/office/drawing/2014/main" id="{00000000-0008-0000-0C00-0000B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11</xdr:row>
          <xdr:rowOff>7620</xdr:rowOff>
        </xdr:from>
        <xdr:to>
          <xdr:col>2</xdr:col>
          <xdr:colOff>1455420</xdr:colOff>
          <xdr:row>12</xdr:row>
          <xdr:rowOff>7620</xdr:rowOff>
        </xdr:to>
        <xdr:sp macro="" textlink="">
          <xdr:nvSpPr>
            <xdr:cNvPr id="9406" name="cbo_gyjzbdsy" hidden="1">
              <a:extLst>
                <a:ext uri="{63B3BB69-23CF-44E3-9099-C40C66FF867C}">
                  <a14:compatExt spid="_x0000_s9406"/>
                </a:ext>
                <a:ext uri="{FF2B5EF4-FFF2-40B4-BE49-F238E27FC236}">
                  <a16:creationId xmlns:a16="http://schemas.microsoft.com/office/drawing/2014/main" id="{00000000-0008-0000-0C00-0000B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13</xdr:row>
          <xdr:rowOff>7620</xdr:rowOff>
        </xdr:from>
        <xdr:to>
          <xdr:col>2</xdr:col>
          <xdr:colOff>1455420</xdr:colOff>
          <xdr:row>14</xdr:row>
          <xdr:rowOff>7620</xdr:rowOff>
        </xdr:to>
        <xdr:sp macro="" textlink="">
          <xdr:nvSpPr>
            <xdr:cNvPr id="9407" name="cbo_tzjsyqt" hidden="1">
              <a:extLst>
                <a:ext uri="{63B3BB69-23CF-44E3-9099-C40C66FF867C}">
                  <a14:compatExt spid="_x0000_s9407"/>
                </a:ext>
                <a:ext uri="{FF2B5EF4-FFF2-40B4-BE49-F238E27FC236}">
                  <a16:creationId xmlns:a16="http://schemas.microsoft.com/office/drawing/2014/main" id="{00000000-0008-0000-0C00-0000B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16</xdr:row>
          <xdr:rowOff>7620</xdr:rowOff>
        </xdr:from>
        <xdr:to>
          <xdr:col>2</xdr:col>
          <xdr:colOff>1447800</xdr:colOff>
          <xdr:row>17</xdr:row>
          <xdr:rowOff>7620</xdr:rowOff>
        </xdr:to>
        <xdr:sp macro="" textlink="">
          <xdr:nvSpPr>
            <xdr:cNvPr id="9408" name="cbo_yywsr" hidden="1">
              <a:extLst>
                <a:ext uri="{63B3BB69-23CF-44E3-9099-C40C66FF867C}">
                  <a14:compatExt spid="_x0000_s9408"/>
                </a:ext>
                <a:ext uri="{FF2B5EF4-FFF2-40B4-BE49-F238E27FC236}">
                  <a16:creationId xmlns:a16="http://schemas.microsoft.com/office/drawing/2014/main" id="{00000000-0008-0000-0C00-0000C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17</xdr:row>
          <xdr:rowOff>7620</xdr:rowOff>
        </xdr:from>
        <xdr:to>
          <xdr:col>2</xdr:col>
          <xdr:colOff>1455420</xdr:colOff>
          <xdr:row>18</xdr:row>
          <xdr:rowOff>7620</xdr:rowOff>
        </xdr:to>
        <xdr:sp macro="" textlink="">
          <xdr:nvSpPr>
            <xdr:cNvPr id="9409" name="cbo_yywzc" hidden="1">
              <a:extLst>
                <a:ext uri="{63B3BB69-23CF-44E3-9099-C40C66FF867C}">
                  <a14:compatExt spid="_x0000_s9409"/>
                </a:ext>
                <a:ext uri="{FF2B5EF4-FFF2-40B4-BE49-F238E27FC236}">
                  <a16:creationId xmlns:a16="http://schemas.microsoft.com/office/drawing/2014/main" id="{00000000-0008-0000-0C00-0000C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20</xdr:row>
          <xdr:rowOff>7620</xdr:rowOff>
        </xdr:from>
        <xdr:to>
          <xdr:col>2</xdr:col>
          <xdr:colOff>1440180</xdr:colOff>
          <xdr:row>21</xdr:row>
          <xdr:rowOff>7620</xdr:rowOff>
        </xdr:to>
        <xdr:sp macro="" textlink="">
          <xdr:nvSpPr>
            <xdr:cNvPr id="9411" name="cbo_ssgdsy" hidden="1">
              <a:extLst>
                <a:ext uri="{63B3BB69-23CF-44E3-9099-C40C66FF867C}">
                  <a14:compatExt spid="_x0000_s9411"/>
                </a:ext>
                <a:ext uri="{FF2B5EF4-FFF2-40B4-BE49-F238E27FC236}">
                  <a16:creationId xmlns:a16="http://schemas.microsoft.com/office/drawing/2014/main" id="{00000000-0008-0000-0C00-0000C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29</xdr:row>
          <xdr:rowOff>7620</xdr:rowOff>
        </xdr:from>
        <xdr:to>
          <xdr:col>2</xdr:col>
          <xdr:colOff>1447800</xdr:colOff>
          <xdr:row>30</xdr:row>
          <xdr:rowOff>0</xdr:rowOff>
        </xdr:to>
        <xdr:sp macro="" textlink="">
          <xdr:nvSpPr>
            <xdr:cNvPr id="9414" name="cbo_zdxjye" hidden="1">
              <a:extLst>
                <a:ext uri="{63B3BB69-23CF-44E3-9099-C40C66FF867C}">
                  <a14:compatExt spid="_x0000_s9414"/>
                </a:ext>
                <a:ext uri="{FF2B5EF4-FFF2-40B4-BE49-F238E27FC236}">
                  <a16:creationId xmlns:a16="http://schemas.microsoft.com/office/drawing/2014/main" id="{00000000-0008-0000-0C00-0000C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38</xdr:row>
          <xdr:rowOff>7620</xdr:rowOff>
        </xdr:from>
        <xdr:to>
          <xdr:col>2</xdr:col>
          <xdr:colOff>1455420</xdr:colOff>
          <xdr:row>39</xdr:row>
          <xdr:rowOff>7620</xdr:rowOff>
        </xdr:to>
        <xdr:sp macro="" textlink="">
          <xdr:nvSpPr>
            <xdr:cNvPr id="9420" name="cbo_yfzk" hidden="1">
              <a:extLst>
                <a:ext uri="{63B3BB69-23CF-44E3-9099-C40C66FF867C}">
                  <a14:compatExt spid="_x0000_s9420"/>
                </a:ext>
                <a:ext uri="{FF2B5EF4-FFF2-40B4-BE49-F238E27FC236}">
                  <a16:creationId xmlns:a16="http://schemas.microsoft.com/office/drawing/2014/main" id="{00000000-0008-0000-0C00-0000C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49</xdr:row>
          <xdr:rowOff>7620</xdr:rowOff>
        </xdr:from>
        <xdr:to>
          <xdr:col>2</xdr:col>
          <xdr:colOff>1455420</xdr:colOff>
          <xdr:row>50</xdr:row>
          <xdr:rowOff>7620</xdr:rowOff>
        </xdr:to>
        <xdr:sp macro="" textlink="">
          <xdr:nvSpPr>
            <xdr:cNvPr id="9431" name="cbo_cyzdqtz" hidden="1">
              <a:extLst>
                <a:ext uri="{63B3BB69-23CF-44E3-9099-C40C66FF867C}">
                  <a14:compatExt spid="_x0000_s9431"/>
                </a:ext>
                <a:ext uri="{FF2B5EF4-FFF2-40B4-BE49-F238E27FC236}">
                  <a16:creationId xmlns:a16="http://schemas.microsoft.com/office/drawing/2014/main" id="{00000000-0008-0000-0C00-0000D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53</xdr:row>
          <xdr:rowOff>7620</xdr:rowOff>
        </xdr:from>
        <xdr:to>
          <xdr:col>2</xdr:col>
          <xdr:colOff>1463040</xdr:colOff>
          <xdr:row>54</xdr:row>
          <xdr:rowOff>7620</xdr:rowOff>
        </xdr:to>
        <xdr:sp macro="" textlink="">
          <xdr:nvSpPr>
            <xdr:cNvPr id="9432" name="cbo_jscqysk" hidden="1">
              <a:extLst>
                <a:ext uri="{63B3BB69-23CF-44E3-9099-C40C66FF867C}">
                  <a14:compatExt spid="_x0000_s9432"/>
                </a:ext>
                <a:ext uri="{FF2B5EF4-FFF2-40B4-BE49-F238E27FC236}">
                  <a16:creationId xmlns:a16="http://schemas.microsoft.com/office/drawing/2014/main" id="{00000000-0008-0000-0C00-0000D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65</xdr:row>
          <xdr:rowOff>22860</xdr:rowOff>
        </xdr:from>
        <xdr:to>
          <xdr:col>2</xdr:col>
          <xdr:colOff>1447800</xdr:colOff>
          <xdr:row>66</xdr:row>
          <xdr:rowOff>15240</xdr:rowOff>
        </xdr:to>
        <xdr:sp macro="" textlink="">
          <xdr:nvSpPr>
            <xdr:cNvPr id="9446" name="cbo_jsqtyfzk" hidden="1">
              <a:extLst>
                <a:ext uri="{63B3BB69-23CF-44E3-9099-C40C66FF867C}">
                  <a14:compatExt spid="_x0000_s9446"/>
                </a:ext>
                <a:ext uri="{FF2B5EF4-FFF2-40B4-BE49-F238E27FC236}">
                  <a16:creationId xmlns:a16="http://schemas.microsoft.com/office/drawing/2014/main" id="{00000000-0008-0000-0C00-0000E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62</xdr:row>
          <xdr:rowOff>22860</xdr:rowOff>
        </xdr:from>
        <xdr:to>
          <xdr:col>2</xdr:col>
          <xdr:colOff>1447800</xdr:colOff>
          <xdr:row>63</xdr:row>
          <xdr:rowOff>15240</xdr:rowOff>
        </xdr:to>
        <xdr:sp macro="" textlink="">
          <xdr:nvSpPr>
            <xdr:cNvPr id="9448" name="cbo_jsyfzk" hidden="1">
              <a:extLst>
                <a:ext uri="{63B3BB69-23CF-44E3-9099-C40C66FF867C}">
                  <a14:compatExt spid="_x0000_s9448"/>
                </a:ext>
                <a:ext uri="{FF2B5EF4-FFF2-40B4-BE49-F238E27FC236}">
                  <a16:creationId xmlns:a16="http://schemas.microsoft.com/office/drawing/2014/main" id="{00000000-0008-0000-0C00-0000E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68</xdr:row>
          <xdr:rowOff>7620</xdr:rowOff>
        </xdr:from>
        <xdr:to>
          <xdr:col>2</xdr:col>
          <xdr:colOff>1447800</xdr:colOff>
          <xdr:row>69</xdr:row>
          <xdr:rowOff>0</xdr:rowOff>
        </xdr:to>
        <xdr:sp macro="" textlink="">
          <xdr:nvSpPr>
            <xdr:cNvPr id="9451" name="cbo_jsdysy" hidden="1">
              <a:extLst>
                <a:ext uri="{63B3BB69-23CF-44E3-9099-C40C66FF867C}">
                  <a14:compatExt spid="_x0000_s9451"/>
                </a:ext>
                <a:ext uri="{FF2B5EF4-FFF2-40B4-BE49-F238E27FC236}">
                  <a16:creationId xmlns:a16="http://schemas.microsoft.com/office/drawing/2014/main" id="{00000000-0008-0000-0C00-0000E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69</xdr:row>
          <xdr:rowOff>7620</xdr:rowOff>
        </xdr:from>
        <xdr:to>
          <xdr:col>2</xdr:col>
          <xdr:colOff>1447800</xdr:colOff>
          <xdr:row>71</xdr:row>
          <xdr:rowOff>7620</xdr:rowOff>
        </xdr:to>
        <xdr:sp macro="" textlink="">
          <xdr:nvSpPr>
            <xdr:cNvPr id="9454" name="cbo_jsyfzgxc" hidden="1">
              <a:extLst>
                <a:ext uri="{63B3BB69-23CF-44E3-9099-C40C66FF867C}">
                  <a14:compatExt spid="_x0000_s9454"/>
                </a:ext>
                <a:ext uri="{FF2B5EF4-FFF2-40B4-BE49-F238E27FC236}">
                  <a16:creationId xmlns:a16="http://schemas.microsoft.com/office/drawing/2014/main" id="{00000000-0008-0000-0C00-0000E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0</xdr:row>
          <xdr:rowOff>38100</xdr:rowOff>
        </xdr:from>
        <xdr:to>
          <xdr:col>2</xdr:col>
          <xdr:colOff>1455420</xdr:colOff>
          <xdr:row>0</xdr:row>
          <xdr:rowOff>274320</xdr:rowOff>
        </xdr:to>
        <xdr:sp macro="" textlink="">
          <xdr:nvSpPr>
            <xdr:cNvPr id="9459" name="cboDefault" hidden="1">
              <a:extLst>
                <a:ext uri="{63B3BB69-23CF-44E3-9099-C40C66FF867C}">
                  <a14:compatExt spid="_x0000_s9459"/>
                </a:ext>
                <a:ext uri="{FF2B5EF4-FFF2-40B4-BE49-F238E27FC236}">
                  <a16:creationId xmlns:a16="http://schemas.microsoft.com/office/drawing/2014/main" id="{00000000-0008-0000-0C00-0000F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12</xdr:row>
          <xdr:rowOff>7620</xdr:rowOff>
        </xdr:from>
        <xdr:to>
          <xdr:col>2</xdr:col>
          <xdr:colOff>1455420</xdr:colOff>
          <xdr:row>13</xdr:row>
          <xdr:rowOff>0</xdr:rowOff>
        </xdr:to>
        <xdr:sp macro="" textlink="">
          <xdr:nvSpPr>
            <xdr:cNvPr id="9488" name="cbo_tzjsyly" hidden="1">
              <a:extLst>
                <a:ext uri="{63B3BB69-23CF-44E3-9099-C40C66FF867C}">
                  <a14:compatExt spid="_x0000_s9488"/>
                </a:ext>
                <a:ext uri="{FF2B5EF4-FFF2-40B4-BE49-F238E27FC236}">
                  <a16:creationId xmlns:a16="http://schemas.microsoft.com/office/drawing/2014/main" id="{00000000-0008-0000-0C00-000010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60</xdr:row>
          <xdr:rowOff>22860</xdr:rowOff>
        </xdr:from>
        <xdr:to>
          <xdr:col>2</xdr:col>
          <xdr:colOff>1447800</xdr:colOff>
          <xdr:row>61</xdr:row>
          <xdr:rowOff>15240</xdr:rowOff>
        </xdr:to>
        <xdr:sp macro="" textlink="">
          <xdr:nvSpPr>
            <xdr:cNvPr id="9496" name="cbo_jsjyxjrfz" hidden="1">
              <a:extLst>
                <a:ext uri="{63B3BB69-23CF-44E3-9099-C40C66FF867C}">
                  <a14:compatExt spid="_x0000_s9496"/>
                </a:ext>
                <a:ext uri="{FF2B5EF4-FFF2-40B4-BE49-F238E27FC236}">
                  <a16:creationId xmlns:a16="http://schemas.microsoft.com/office/drawing/2014/main" id="{00000000-0008-0000-0C00-000018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47</xdr:row>
          <xdr:rowOff>7620</xdr:rowOff>
        </xdr:from>
        <xdr:to>
          <xdr:col>2</xdr:col>
          <xdr:colOff>1447800</xdr:colOff>
          <xdr:row>48</xdr:row>
          <xdr:rowOff>7620</xdr:rowOff>
        </xdr:to>
        <xdr:sp macro="" textlink="">
          <xdr:nvSpPr>
            <xdr:cNvPr id="9510" name="cbo_kgcsjrzc" hidden="1">
              <a:extLst>
                <a:ext uri="{63B3BB69-23CF-44E3-9099-C40C66FF867C}">
                  <a14:compatExt spid="_x0000_s9510"/>
                </a:ext>
                <a:ext uri="{FF2B5EF4-FFF2-40B4-BE49-F238E27FC236}">
                  <a16:creationId xmlns:a16="http://schemas.microsoft.com/office/drawing/2014/main" id="{00000000-0008-0000-0C00-000026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71</xdr:row>
          <xdr:rowOff>22860</xdr:rowOff>
        </xdr:from>
        <xdr:to>
          <xdr:col>2</xdr:col>
          <xdr:colOff>1447800</xdr:colOff>
          <xdr:row>73</xdr:row>
          <xdr:rowOff>15240</xdr:rowOff>
        </xdr:to>
        <xdr:sp macro="" textlink="">
          <xdr:nvSpPr>
            <xdr:cNvPr id="9516" name="cbo_jsyjsf" hidden="1">
              <a:extLst>
                <a:ext uri="{63B3BB69-23CF-44E3-9099-C40C66FF867C}">
                  <a14:compatExt spid="_x0000_s9516"/>
                </a:ext>
                <a:ext uri="{FF2B5EF4-FFF2-40B4-BE49-F238E27FC236}">
                  <a16:creationId xmlns:a16="http://schemas.microsoft.com/office/drawing/2014/main" id="{00000000-0008-0000-0C00-00002C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8</xdr:row>
          <xdr:rowOff>7620</xdr:rowOff>
        </xdr:from>
        <xdr:to>
          <xdr:col>2</xdr:col>
          <xdr:colOff>1455420</xdr:colOff>
          <xdr:row>9</xdr:row>
          <xdr:rowOff>7620</xdr:rowOff>
        </xdr:to>
        <xdr:sp macro="" textlink="">
          <xdr:nvSpPr>
            <xdr:cNvPr id="9520" name="cbo_jsqtcwfy" hidden="1">
              <a:extLst>
                <a:ext uri="{63B3BB69-23CF-44E3-9099-C40C66FF867C}">
                  <a14:compatExt spid="_x0000_s9520"/>
                </a:ext>
                <a:ext uri="{FF2B5EF4-FFF2-40B4-BE49-F238E27FC236}">
                  <a16:creationId xmlns:a16="http://schemas.microsoft.com/office/drawing/2014/main" id="{00000000-0008-0000-0C00-000030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42</xdr:row>
          <xdr:rowOff>7620</xdr:rowOff>
        </xdr:from>
        <xdr:to>
          <xdr:col>2</xdr:col>
          <xdr:colOff>1447800</xdr:colOff>
          <xdr:row>43</xdr:row>
          <xdr:rowOff>7620</xdr:rowOff>
        </xdr:to>
        <xdr:sp macro="" textlink="">
          <xdr:nvSpPr>
            <xdr:cNvPr id="9523" name="cbo_ynndqdfldzc" hidden="1">
              <a:extLst>
                <a:ext uri="{63B3BB69-23CF-44E3-9099-C40C66FF867C}">
                  <a14:compatExt spid="_x0000_s9523"/>
                </a:ext>
                <a:ext uri="{FF2B5EF4-FFF2-40B4-BE49-F238E27FC236}">
                  <a16:creationId xmlns:a16="http://schemas.microsoft.com/office/drawing/2014/main" id="{00000000-0008-0000-0C00-000033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43</xdr:row>
          <xdr:rowOff>7620</xdr:rowOff>
        </xdr:from>
        <xdr:to>
          <xdr:col>2</xdr:col>
          <xdr:colOff>1463040</xdr:colOff>
          <xdr:row>44</xdr:row>
          <xdr:rowOff>15240</xdr:rowOff>
        </xdr:to>
        <xdr:sp macro="" textlink="">
          <xdr:nvSpPr>
            <xdr:cNvPr id="9524" name="cbo_qtldzc" hidden="1">
              <a:extLst>
                <a:ext uri="{63B3BB69-23CF-44E3-9099-C40C66FF867C}">
                  <a14:compatExt spid="_x0000_s9524"/>
                </a:ext>
                <a:ext uri="{FF2B5EF4-FFF2-40B4-BE49-F238E27FC236}">
                  <a16:creationId xmlns:a16="http://schemas.microsoft.com/office/drawing/2014/main" id="{00000000-0008-0000-0C00-000034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30</xdr:row>
          <xdr:rowOff>7620</xdr:rowOff>
        </xdr:from>
        <xdr:to>
          <xdr:col>2</xdr:col>
          <xdr:colOff>1447800</xdr:colOff>
          <xdr:row>31</xdr:row>
          <xdr:rowOff>0</xdr:rowOff>
        </xdr:to>
        <xdr:sp macro="" textlink="">
          <xdr:nvSpPr>
            <xdr:cNvPr id="9527" name="cbo_jyxjrzc" hidden="1">
              <a:extLst>
                <a:ext uri="{63B3BB69-23CF-44E3-9099-C40C66FF867C}">
                  <a14:compatExt spid="_x0000_s9527"/>
                </a:ext>
                <a:ext uri="{FF2B5EF4-FFF2-40B4-BE49-F238E27FC236}">
                  <a16:creationId xmlns:a16="http://schemas.microsoft.com/office/drawing/2014/main" id="{00000000-0008-0000-0C00-000037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57</xdr:row>
          <xdr:rowOff>7620</xdr:rowOff>
        </xdr:from>
        <xdr:to>
          <xdr:col>2</xdr:col>
          <xdr:colOff>1447800</xdr:colOff>
          <xdr:row>58</xdr:row>
          <xdr:rowOff>7620</xdr:rowOff>
        </xdr:to>
        <xdr:sp macro="" textlink="">
          <xdr:nvSpPr>
            <xdr:cNvPr id="9528" name="cbo_jsqtfldzc" hidden="1">
              <a:extLst>
                <a:ext uri="{63B3BB69-23CF-44E3-9099-C40C66FF867C}">
                  <a14:compatExt spid="_x0000_s9528"/>
                </a:ext>
                <a:ext uri="{FF2B5EF4-FFF2-40B4-BE49-F238E27FC236}">
                  <a16:creationId xmlns:a16="http://schemas.microsoft.com/office/drawing/2014/main" id="{00000000-0008-0000-0C00-000038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51</xdr:row>
          <xdr:rowOff>7620</xdr:rowOff>
        </xdr:from>
        <xdr:to>
          <xdr:col>2</xdr:col>
          <xdr:colOff>1455420</xdr:colOff>
          <xdr:row>52</xdr:row>
          <xdr:rowOff>7620</xdr:rowOff>
        </xdr:to>
        <xdr:sp macro="" textlink="">
          <xdr:nvSpPr>
            <xdr:cNvPr id="9530" name="cbo_tzxfdc" hidden="1">
              <a:extLst>
                <a:ext uri="{63B3BB69-23CF-44E3-9099-C40C66FF867C}">
                  <a14:compatExt spid="_x0000_s9530"/>
                </a:ext>
                <a:ext uri="{FF2B5EF4-FFF2-40B4-BE49-F238E27FC236}">
                  <a16:creationId xmlns:a16="http://schemas.microsoft.com/office/drawing/2014/main" id="{00000000-0008-0000-0C00-00003A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55</xdr:row>
          <xdr:rowOff>7620</xdr:rowOff>
        </xdr:from>
        <xdr:to>
          <xdr:col>2</xdr:col>
          <xdr:colOff>1447800</xdr:colOff>
          <xdr:row>56</xdr:row>
          <xdr:rowOff>7620</xdr:rowOff>
        </xdr:to>
        <xdr:sp macro="" textlink="">
          <xdr:nvSpPr>
            <xdr:cNvPr id="9531" name="cbo_jsdysdszc" hidden="1">
              <a:extLst>
                <a:ext uri="{63B3BB69-23CF-44E3-9099-C40C66FF867C}">
                  <a14:compatExt spid="_x0000_s9531"/>
                </a:ext>
                <a:ext uri="{FF2B5EF4-FFF2-40B4-BE49-F238E27FC236}">
                  <a16:creationId xmlns:a16="http://schemas.microsoft.com/office/drawing/2014/main" id="{00000000-0008-0000-0C00-00003B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59</xdr:row>
          <xdr:rowOff>7620</xdr:rowOff>
        </xdr:from>
        <xdr:to>
          <xdr:col>2</xdr:col>
          <xdr:colOff>1447800</xdr:colOff>
          <xdr:row>60</xdr:row>
          <xdr:rowOff>0</xdr:rowOff>
        </xdr:to>
        <xdr:sp macro="" textlink="">
          <xdr:nvSpPr>
            <xdr:cNvPr id="9532" name="cbo_jszddqjkye" hidden="1">
              <a:extLst>
                <a:ext uri="{63B3BB69-23CF-44E3-9099-C40C66FF867C}">
                  <a14:compatExt spid="_x0000_s9532"/>
                </a:ext>
                <a:ext uri="{FF2B5EF4-FFF2-40B4-BE49-F238E27FC236}">
                  <a16:creationId xmlns:a16="http://schemas.microsoft.com/office/drawing/2014/main" id="{00000000-0008-0000-0C00-00003C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95</xdr:row>
          <xdr:rowOff>22860</xdr:rowOff>
        </xdr:from>
        <xdr:to>
          <xdr:col>2</xdr:col>
          <xdr:colOff>1455420</xdr:colOff>
          <xdr:row>96</xdr:row>
          <xdr:rowOff>7620</xdr:rowOff>
        </xdr:to>
        <xdr:sp macro="" textlink="">
          <xdr:nvSpPr>
            <xdr:cNvPr id="9535" name="cbo_jsxzwxzc" hidden="1">
              <a:extLst>
                <a:ext uri="{63B3BB69-23CF-44E3-9099-C40C66FF867C}">
                  <a14:compatExt spid="_x0000_s9535"/>
                </a:ext>
                <a:ext uri="{FF2B5EF4-FFF2-40B4-BE49-F238E27FC236}">
                  <a16:creationId xmlns:a16="http://schemas.microsoft.com/office/drawing/2014/main" id="{00000000-0008-0000-0C00-00003F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80</xdr:row>
          <xdr:rowOff>22860</xdr:rowOff>
        </xdr:from>
        <xdr:to>
          <xdr:col>2</xdr:col>
          <xdr:colOff>1440180</xdr:colOff>
          <xdr:row>81</xdr:row>
          <xdr:rowOff>15240</xdr:rowOff>
        </xdr:to>
        <xdr:sp macro="" textlink="">
          <xdr:nvSpPr>
            <xdr:cNvPr id="9536" name="cbo_jsyjfz" hidden="1">
              <a:extLst>
                <a:ext uri="{63B3BB69-23CF-44E3-9099-C40C66FF867C}">
                  <a14:compatExt spid="_x0000_s9536"/>
                </a:ext>
                <a:ext uri="{FF2B5EF4-FFF2-40B4-BE49-F238E27FC236}">
                  <a16:creationId xmlns:a16="http://schemas.microsoft.com/office/drawing/2014/main" id="{00000000-0008-0000-0C00-000040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89</xdr:row>
          <xdr:rowOff>7620</xdr:rowOff>
        </xdr:from>
        <xdr:to>
          <xdr:col>2</xdr:col>
          <xdr:colOff>1455420</xdr:colOff>
          <xdr:row>89</xdr:row>
          <xdr:rowOff>190500</xdr:rowOff>
        </xdr:to>
        <xdr:sp macro="" textlink="">
          <xdr:nvSpPr>
            <xdr:cNvPr id="9538" name="cbo_jsgdzczjnx" hidden="1">
              <a:extLst>
                <a:ext uri="{63B3BB69-23CF-44E3-9099-C40C66FF867C}">
                  <a14:compatExt spid="_x0000_s9538"/>
                </a:ext>
                <a:ext uri="{FF2B5EF4-FFF2-40B4-BE49-F238E27FC236}">
                  <a16:creationId xmlns:a16="http://schemas.microsoft.com/office/drawing/2014/main" id="{00000000-0008-0000-0C00-000042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79</xdr:row>
          <xdr:rowOff>22860</xdr:rowOff>
        </xdr:from>
        <xdr:to>
          <xdr:col>2</xdr:col>
          <xdr:colOff>1455420</xdr:colOff>
          <xdr:row>80</xdr:row>
          <xdr:rowOff>15240</xdr:rowOff>
        </xdr:to>
        <xdr:sp macro="" textlink="">
          <xdr:nvSpPr>
            <xdr:cNvPr id="9540" name="cbo_jszxyfk" hidden="1">
              <a:extLst>
                <a:ext uri="{63B3BB69-23CF-44E3-9099-C40C66FF867C}">
                  <a14:compatExt spid="_x0000_s9540"/>
                </a:ext>
                <a:ext uri="{FF2B5EF4-FFF2-40B4-BE49-F238E27FC236}">
                  <a16:creationId xmlns:a16="http://schemas.microsoft.com/office/drawing/2014/main" id="{00000000-0008-0000-0C00-000044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81</xdr:row>
          <xdr:rowOff>22860</xdr:rowOff>
        </xdr:from>
        <xdr:to>
          <xdr:col>2</xdr:col>
          <xdr:colOff>1455420</xdr:colOff>
          <xdr:row>82</xdr:row>
          <xdr:rowOff>15240</xdr:rowOff>
        </xdr:to>
        <xdr:sp macro="" textlink="">
          <xdr:nvSpPr>
            <xdr:cNvPr id="9541" name="cbo_jsqtfldfz" hidden="1">
              <a:extLst>
                <a:ext uri="{63B3BB69-23CF-44E3-9099-C40C66FF867C}">
                  <a14:compatExt spid="_x0000_s9541"/>
                </a:ext>
                <a:ext uri="{FF2B5EF4-FFF2-40B4-BE49-F238E27FC236}">
                  <a16:creationId xmlns:a16="http://schemas.microsoft.com/office/drawing/2014/main" id="{00000000-0008-0000-0C00-000045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90</xdr:row>
          <xdr:rowOff>22860</xdr:rowOff>
        </xdr:from>
        <xdr:to>
          <xdr:col>2</xdr:col>
          <xdr:colOff>1455420</xdr:colOff>
          <xdr:row>91</xdr:row>
          <xdr:rowOff>7620</xdr:rowOff>
        </xdr:to>
        <xdr:sp macro="" textlink="">
          <xdr:nvSpPr>
            <xdr:cNvPr id="9543" name="cbo_jsxzgdzc" hidden="1">
              <a:extLst>
                <a:ext uri="{63B3BB69-23CF-44E3-9099-C40C66FF867C}">
                  <a14:compatExt spid="_x0000_s9543"/>
                </a:ext>
                <a:ext uri="{FF2B5EF4-FFF2-40B4-BE49-F238E27FC236}">
                  <a16:creationId xmlns:a16="http://schemas.microsoft.com/office/drawing/2014/main" id="{00000000-0008-0000-0C00-000047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39</xdr:row>
          <xdr:rowOff>7620</xdr:rowOff>
        </xdr:from>
        <xdr:to>
          <xdr:col>2</xdr:col>
          <xdr:colOff>1440180</xdr:colOff>
          <xdr:row>40</xdr:row>
          <xdr:rowOff>7620</xdr:rowOff>
        </xdr:to>
        <xdr:sp macro="" textlink="">
          <xdr:nvSpPr>
            <xdr:cNvPr id="9546" name="cbo_ch" hidden="1">
              <a:extLst>
                <a:ext uri="{63B3BB69-23CF-44E3-9099-C40C66FF867C}">
                  <a14:compatExt spid="_x0000_s9546"/>
                </a:ext>
                <a:ext uri="{FF2B5EF4-FFF2-40B4-BE49-F238E27FC236}">
                  <a16:creationId xmlns:a16="http://schemas.microsoft.com/office/drawing/2014/main" id="{00000000-0008-0000-0C00-00004A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54</xdr:row>
          <xdr:rowOff>7620</xdr:rowOff>
        </xdr:from>
        <xdr:to>
          <xdr:col>2</xdr:col>
          <xdr:colOff>1455420</xdr:colOff>
          <xdr:row>55</xdr:row>
          <xdr:rowOff>7620</xdr:rowOff>
        </xdr:to>
        <xdr:sp macro="" textlink="">
          <xdr:nvSpPr>
            <xdr:cNvPr id="9547" name="cbo_jssy" hidden="1">
              <a:extLst>
                <a:ext uri="{63B3BB69-23CF-44E3-9099-C40C66FF867C}">
                  <a14:compatExt spid="_x0000_s9547"/>
                </a:ext>
                <a:ext uri="{FF2B5EF4-FFF2-40B4-BE49-F238E27FC236}">
                  <a16:creationId xmlns:a16="http://schemas.microsoft.com/office/drawing/2014/main" id="{00000000-0008-0000-0C00-00004B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66</xdr:row>
          <xdr:rowOff>22860</xdr:rowOff>
        </xdr:from>
        <xdr:to>
          <xdr:col>2</xdr:col>
          <xdr:colOff>1463040</xdr:colOff>
          <xdr:row>67</xdr:row>
          <xdr:rowOff>15240</xdr:rowOff>
        </xdr:to>
        <xdr:sp macro="" textlink="">
          <xdr:nvSpPr>
            <xdr:cNvPr id="9549" name="cbo_jsyszk" hidden="1">
              <a:extLst>
                <a:ext uri="{63B3BB69-23CF-44E3-9099-C40C66FF867C}">
                  <a14:compatExt spid="_x0000_s9549"/>
                </a:ext>
                <a:ext uri="{FF2B5EF4-FFF2-40B4-BE49-F238E27FC236}">
                  <a16:creationId xmlns:a16="http://schemas.microsoft.com/office/drawing/2014/main" id="{00000000-0008-0000-0C00-00004D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xdr:row>
          <xdr:rowOff>22860</xdr:rowOff>
        </xdr:from>
        <xdr:to>
          <xdr:col>2</xdr:col>
          <xdr:colOff>1447800</xdr:colOff>
          <xdr:row>75</xdr:row>
          <xdr:rowOff>7620</xdr:rowOff>
        </xdr:to>
        <xdr:sp macro="" textlink="">
          <xdr:nvSpPr>
            <xdr:cNvPr id="9552" name="cbo_jsqtldfz" hidden="1">
              <a:extLst>
                <a:ext uri="{63B3BB69-23CF-44E3-9099-C40C66FF867C}">
                  <a14:compatExt spid="_x0000_s9552"/>
                </a:ext>
                <a:ext uri="{FF2B5EF4-FFF2-40B4-BE49-F238E27FC236}">
                  <a16:creationId xmlns:a16="http://schemas.microsoft.com/office/drawing/2014/main" id="{00000000-0008-0000-0C00-000050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82</xdr:row>
          <xdr:rowOff>7620</xdr:rowOff>
        </xdr:from>
        <xdr:to>
          <xdr:col>2</xdr:col>
          <xdr:colOff>1455420</xdr:colOff>
          <xdr:row>83</xdr:row>
          <xdr:rowOff>0</xdr:rowOff>
        </xdr:to>
        <xdr:sp macro="" textlink="">
          <xdr:nvSpPr>
            <xdr:cNvPr id="9553" name="cbo_jswbbbzsce" hidden="1">
              <a:extLst>
                <a:ext uri="{63B3BB69-23CF-44E3-9099-C40C66FF867C}">
                  <a14:compatExt spid="_x0000_s9553"/>
                </a:ext>
                <a:ext uri="{FF2B5EF4-FFF2-40B4-BE49-F238E27FC236}">
                  <a16:creationId xmlns:a16="http://schemas.microsoft.com/office/drawing/2014/main" id="{00000000-0008-0000-0C00-000051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77</xdr:row>
          <xdr:rowOff>22860</xdr:rowOff>
        </xdr:from>
        <xdr:to>
          <xdr:col>2</xdr:col>
          <xdr:colOff>1447800</xdr:colOff>
          <xdr:row>78</xdr:row>
          <xdr:rowOff>15240</xdr:rowOff>
        </xdr:to>
        <xdr:sp macro="" textlink="">
          <xdr:nvSpPr>
            <xdr:cNvPr id="9554" name="cbo_jscqyfk" hidden="1">
              <a:extLst>
                <a:ext uri="{63B3BB69-23CF-44E3-9099-C40C66FF867C}">
                  <a14:compatExt spid="_x0000_s9554"/>
                </a:ext>
                <a:ext uri="{FF2B5EF4-FFF2-40B4-BE49-F238E27FC236}">
                  <a16:creationId xmlns:a16="http://schemas.microsoft.com/office/drawing/2014/main" id="{00000000-0008-0000-0C00-000052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78</xdr:row>
          <xdr:rowOff>22860</xdr:rowOff>
        </xdr:from>
        <xdr:to>
          <xdr:col>2</xdr:col>
          <xdr:colOff>1447800</xdr:colOff>
          <xdr:row>79</xdr:row>
          <xdr:rowOff>15240</xdr:rowOff>
        </xdr:to>
        <xdr:sp macro="" textlink="">
          <xdr:nvSpPr>
            <xdr:cNvPr id="9555" name="cbo_jsdysdsfz" hidden="1">
              <a:extLst>
                <a:ext uri="{63B3BB69-23CF-44E3-9099-C40C66FF867C}">
                  <a14:compatExt spid="_x0000_s9555"/>
                </a:ext>
                <a:ext uri="{FF2B5EF4-FFF2-40B4-BE49-F238E27FC236}">
                  <a16:creationId xmlns:a16="http://schemas.microsoft.com/office/drawing/2014/main" id="{00000000-0008-0000-0C00-000053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88</xdr:row>
          <xdr:rowOff>7620</xdr:rowOff>
        </xdr:from>
        <xdr:to>
          <xdr:col>2</xdr:col>
          <xdr:colOff>1455420</xdr:colOff>
          <xdr:row>88</xdr:row>
          <xdr:rowOff>190500</xdr:rowOff>
        </xdr:to>
        <xdr:sp macro="" textlink="">
          <xdr:nvSpPr>
            <xdr:cNvPr id="9557" name="cbo_jsxzzjgc" hidden="1">
              <a:extLst>
                <a:ext uri="{63B3BB69-23CF-44E3-9099-C40C66FF867C}">
                  <a14:compatExt spid="_x0000_s9557"/>
                </a:ext>
                <a:ext uri="{FF2B5EF4-FFF2-40B4-BE49-F238E27FC236}">
                  <a16:creationId xmlns:a16="http://schemas.microsoft.com/office/drawing/2014/main" id="{00000000-0008-0000-0C00-000055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94</xdr:row>
          <xdr:rowOff>22860</xdr:rowOff>
        </xdr:from>
        <xdr:to>
          <xdr:col>2</xdr:col>
          <xdr:colOff>1455420</xdr:colOff>
          <xdr:row>95</xdr:row>
          <xdr:rowOff>7620</xdr:rowOff>
        </xdr:to>
        <xdr:sp macro="" textlink="">
          <xdr:nvSpPr>
            <xdr:cNvPr id="9558" name="cbo_jswxzctxnx" hidden="1">
              <a:extLst>
                <a:ext uri="{63B3BB69-23CF-44E3-9099-C40C66FF867C}">
                  <a14:compatExt spid="_x0000_s9558"/>
                </a:ext>
                <a:ext uri="{FF2B5EF4-FFF2-40B4-BE49-F238E27FC236}">
                  <a16:creationId xmlns:a16="http://schemas.microsoft.com/office/drawing/2014/main" id="{00000000-0008-0000-0C00-000056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99</xdr:row>
          <xdr:rowOff>22860</xdr:rowOff>
        </xdr:from>
        <xdr:to>
          <xdr:col>2</xdr:col>
          <xdr:colOff>1455420</xdr:colOff>
          <xdr:row>100</xdr:row>
          <xdr:rowOff>7620</xdr:rowOff>
        </xdr:to>
        <xdr:sp macro="" textlink="">
          <xdr:nvSpPr>
            <xdr:cNvPr id="9559" name="cbo_jsxzcqdtfy" hidden="1">
              <a:extLst>
                <a:ext uri="{63B3BB69-23CF-44E3-9099-C40C66FF867C}">
                  <a14:compatExt spid="_x0000_s9559"/>
                </a:ext>
                <a:ext uri="{FF2B5EF4-FFF2-40B4-BE49-F238E27FC236}">
                  <a16:creationId xmlns:a16="http://schemas.microsoft.com/office/drawing/2014/main" id="{00000000-0008-0000-0C00-000057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98</xdr:row>
          <xdr:rowOff>22860</xdr:rowOff>
        </xdr:from>
        <xdr:to>
          <xdr:col>2</xdr:col>
          <xdr:colOff>1455420</xdr:colOff>
          <xdr:row>99</xdr:row>
          <xdr:rowOff>7620</xdr:rowOff>
        </xdr:to>
        <xdr:sp macro="" textlink="">
          <xdr:nvSpPr>
            <xdr:cNvPr id="9560" name="cbo_jscqdtfytxnx" hidden="1">
              <a:extLst>
                <a:ext uri="{63B3BB69-23CF-44E3-9099-C40C66FF867C}">
                  <a14:compatExt spid="_x0000_s9560"/>
                </a:ext>
                <a:ext uri="{FF2B5EF4-FFF2-40B4-BE49-F238E27FC236}">
                  <a16:creationId xmlns:a16="http://schemas.microsoft.com/office/drawing/2014/main" id="{00000000-0008-0000-0C00-000058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104</xdr:row>
          <xdr:rowOff>22860</xdr:rowOff>
        </xdr:from>
        <xdr:to>
          <xdr:col>2</xdr:col>
          <xdr:colOff>1455420</xdr:colOff>
          <xdr:row>105</xdr:row>
          <xdr:rowOff>7620</xdr:rowOff>
        </xdr:to>
        <xdr:sp macro="" textlink="">
          <xdr:nvSpPr>
            <xdr:cNvPr id="9561" name="cbo_jsxzcqjk" hidden="1">
              <a:extLst>
                <a:ext uri="{63B3BB69-23CF-44E3-9099-C40C66FF867C}">
                  <a14:compatExt spid="_x0000_s9561"/>
                </a:ext>
                <a:ext uri="{FF2B5EF4-FFF2-40B4-BE49-F238E27FC236}">
                  <a16:creationId xmlns:a16="http://schemas.microsoft.com/office/drawing/2014/main" id="{00000000-0008-0000-0C00-000059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88</xdr:row>
          <xdr:rowOff>0</xdr:rowOff>
        </xdr:from>
        <xdr:to>
          <xdr:col>1</xdr:col>
          <xdr:colOff>1836420</xdr:colOff>
          <xdr:row>89</xdr:row>
          <xdr:rowOff>7620</xdr:rowOff>
        </xdr:to>
        <xdr:sp macro="" textlink="">
          <xdr:nvSpPr>
            <xdr:cNvPr id="9584" name="cbo_xzzjgc" hidden="1">
              <a:extLst>
                <a:ext uri="{63B3BB69-23CF-44E3-9099-C40C66FF867C}">
                  <a14:compatExt spid="_x0000_s9584"/>
                </a:ext>
                <a:ext uri="{FF2B5EF4-FFF2-40B4-BE49-F238E27FC236}">
                  <a16:creationId xmlns:a16="http://schemas.microsoft.com/office/drawing/2014/main" id="{00000000-0008-0000-0C00-000070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90</xdr:row>
          <xdr:rowOff>22860</xdr:rowOff>
        </xdr:from>
        <xdr:to>
          <xdr:col>1</xdr:col>
          <xdr:colOff>1836420</xdr:colOff>
          <xdr:row>91</xdr:row>
          <xdr:rowOff>30480</xdr:rowOff>
        </xdr:to>
        <xdr:sp macro="" textlink="">
          <xdr:nvSpPr>
            <xdr:cNvPr id="9585" name="cbo_xzgdzc" hidden="1">
              <a:extLst>
                <a:ext uri="{63B3BB69-23CF-44E3-9099-C40C66FF867C}">
                  <a14:compatExt spid="_x0000_s9585"/>
                </a:ext>
                <a:ext uri="{FF2B5EF4-FFF2-40B4-BE49-F238E27FC236}">
                  <a16:creationId xmlns:a16="http://schemas.microsoft.com/office/drawing/2014/main" id="{00000000-0008-0000-0C00-000071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95</xdr:row>
          <xdr:rowOff>7620</xdr:rowOff>
        </xdr:from>
        <xdr:to>
          <xdr:col>1</xdr:col>
          <xdr:colOff>1844040</xdr:colOff>
          <xdr:row>96</xdr:row>
          <xdr:rowOff>15240</xdr:rowOff>
        </xdr:to>
        <xdr:sp macro="" textlink="">
          <xdr:nvSpPr>
            <xdr:cNvPr id="9586" name="cbo_xzwxzc" hidden="1">
              <a:extLst>
                <a:ext uri="{63B3BB69-23CF-44E3-9099-C40C66FF867C}">
                  <a14:compatExt spid="_x0000_s9586"/>
                </a:ext>
                <a:ext uri="{FF2B5EF4-FFF2-40B4-BE49-F238E27FC236}">
                  <a16:creationId xmlns:a16="http://schemas.microsoft.com/office/drawing/2014/main" id="{00000000-0008-0000-0C00-000072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98</xdr:row>
          <xdr:rowOff>190500</xdr:rowOff>
        </xdr:from>
        <xdr:to>
          <xdr:col>1</xdr:col>
          <xdr:colOff>1844040</xdr:colOff>
          <xdr:row>100</xdr:row>
          <xdr:rowOff>0</xdr:rowOff>
        </xdr:to>
        <xdr:sp macro="" textlink="">
          <xdr:nvSpPr>
            <xdr:cNvPr id="9587" name="cbo_xzcqdtfy" hidden="1">
              <a:extLst>
                <a:ext uri="{63B3BB69-23CF-44E3-9099-C40C66FF867C}">
                  <a14:compatExt spid="_x0000_s9587"/>
                </a:ext>
                <a:ext uri="{FF2B5EF4-FFF2-40B4-BE49-F238E27FC236}">
                  <a16:creationId xmlns:a16="http://schemas.microsoft.com/office/drawing/2014/main" id="{00000000-0008-0000-0C00-000073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104</xdr:row>
          <xdr:rowOff>0</xdr:rowOff>
        </xdr:from>
        <xdr:to>
          <xdr:col>1</xdr:col>
          <xdr:colOff>1844040</xdr:colOff>
          <xdr:row>105</xdr:row>
          <xdr:rowOff>22860</xdr:rowOff>
        </xdr:to>
        <xdr:sp macro="" textlink="">
          <xdr:nvSpPr>
            <xdr:cNvPr id="9588" name="cbo_xzcqjk" hidden="1">
              <a:extLst>
                <a:ext uri="{63B3BB69-23CF-44E3-9099-C40C66FF867C}">
                  <a14:compatExt spid="_x0000_s9588"/>
                </a:ext>
                <a:ext uri="{FF2B5EF4-FFF2-40B4-BE49-F238E27FC236}">
                  <a16:creationId xmlns:a16="http://schemas.microsoft.com/office/drawing/2014/main" id="{00000000-0008-0000-0C00-000074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20</xdr:row>
          <xdr:rowOff>182880</xdr:rowOff>
        </xdr:from>
        <xdr:to>
          <xdr:col>1</xdr:col>
          <xdr:colOff>1699260</xdr:colOff>
          <xdr:row>22</xdr:row>
          <xdr:rowOff>7620</xdr:rowOff>
        </xdr:to>
        <xdr:sp macro="" textlink="">
          <xdr:nvSpPr>
            <xdr:cNvPr id="9590" name="cboMgpx" hidden="1">
              <a:extLst>
                <a:ext uri="{63B3BB69-23CF-44E3-9099-C40C66FF867C}">
                  <a14:compatExt spid="_x0000_s9590"/>
                </a:ext>
                <a:ext uri="{FF2B5EF4-FFF2-40B4-BE49-F238E27FC236}">
                  <a16:creationId xmlns:a16="http://schemas.microsoft.com/office/drawing/2014/main" id="{00000000-0008-0000-0C00-000076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8</xdr:row>
          <xdr:rowOff>0</xdr:rowOff>
        </xdr:from>
        <xdr:to>
          <xdr:col>1</xdr:col>
          <xdr:colOff>1714500</xdr:colOff>
          <xdr:row>9</xdr:row>
          <xdr:rowOff>15240</xdr:rowOff>
        </xdr:to>
        <xdr:sp macro="" textlink="">
          <xdr:nvSpPr>
            <xdr:cNvPr id="9591" name="cboqtcwfy" hidden="1">
              <a:extLst>
                <a:ext uri="{63B3BB69-23CF-44E3-9099-C40C66FF867C}">
                  <a14:compatExt spid="_x0000_s9591"/>
                </a:ext>
                <a:ext uri="{FF2B5EF4-FFF2-40B4-BE49-F238E27FC236}">
                  <a16:creationId xmlns:a16="http://schemas.microsoft.com/office/drawing/2014/main" id="{00000000-0008-0000-0C00-000077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9</xdr:row>
          <xdr:rowOff>0</xdr:rowOff>
        </xdr:from>
        <xdr:to>
          <xdr:col>1</xdr:col>
          <xdr:colOff>1714500</xdr:colOff>
          <xdr:row>10</xdr:row>
          <xdr:rowOff>15240</xdr:rowOff>
        </xdr:to>
        <xdr:sp macro="" textlink="">
          <xdr:nvSpPr>
            <xdr:cNvPr id="9592" name="cbozcjzss" hidden="1">
              <a:extLst>
                <a:ext uri="{63B3BB69-23CF-44E3-9099-C40C66FF867C}">
                  <a14:compatExt spid="_x0000_s9592"/>
                </a:ext>
                <a:ext uri="{FF2B5EF4-FFF2-40B4-BE49-F238E27FC236}">
                  <a16:creationId xmlns:a16="http://schemas.microsoft.com/office/drawing/2014/main" id="{00000000-0008-0000-0C00-000078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52</xdr:row>
          <xdr:rowOff>7620</xdr:rowOff>
        </xdr:from>
        <xdr:to>
          <xdr:col>2</xdr:col>
          <xdr:colOff>1455420</xdr:colOff>
          <xdr:row>53</xdr:row>
          <xdr:rowOff>7620</xdr:rowOff>
        </xdr:to>
        <xdr:sp macro="" textlink="">
          <xdr:nvSpPr>
            <xdr:cNvPr id="9593" name="cbo_jscqgqtz" hidden="1">
              <a:extLst>
                <a:ext uri="{63B3BB69-23CF-44E3-9099-C40C66FF867C}">
                  <a14:compatExt spid="_x0000_s9593"/>
                </a:ext>
                <a:ext uri="{FF2B5EF4-FFF2-40B4-BE49-F238E27FC236}">
                  <a16:creationId xmlns:a16="http://schemas.microsoft.com/office/drawing/2014/main" id="{00000000-0008-0000-0C00-000079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25</xdr:row>
          <xdr:rowOff>182880</xdr:rowOff>
        </xdr:from>
        <xdr:to>
          <xdr:col>2</xdr:col>
          <xdr:colOff>1440180</xdr:colOff>
          <xdr:row>27</xdr:row>
          <xdr:rowOff>30480</xdr:rowOff>
        </xdr:to>
        <xdr:sp macro="" textlink="">
          <xdr:nvSpPr>
            <xdr:cNvPr id="9594" name="cboAssetBalance" hidden="1">
              <a:extLst>
                <a:ext uri="{63B3BB69-23CF-44E3-9099-C40C66FF867C}">
                  <a14:compatExt spid="_x0000_s9594"/>
                </a:ext>
                <a:ext uri="{FF2B5EF4-FFF2-40B4-BE49-F238E27FC236}">
                  <a16:creationId xmlns:a16="http://schemas.microsoft.com/office/drawing/2014/main" id="{00000000-0008-0000-0C00-00007A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22</xdr:row>
          <xdr:rowOff>7620</xdr:rowOff>
        </xdr:from>
        <xdr:to>
          <xdr:col>2</xdr:col>
          <xdr:colOff>1447800</xdr:colOff>
          <xdr:row>23</xdr:row>
          <xdr:rowOff>0</xdr:rowOff>
        </xdr:to>
        <xdr:sp macro="" textlink="">
          <xdr:nvSpPr>
            <xdr:cNvPr id="9262" name="cbo_xjfxl" hidden="1">
              <a:extLst>
                <a:ext uri="{63B3BB69-23CF-44E3-9099-C40C66FF867C}">
                  <a14:compatExt spid="_x0000_s9262"/>
                </a:ext>
                <a:ext uri="{FF2B5EF4-FFF2-40B4-BE49-F238E27FC236}">
                  <a16:creationId xmlns:a16="http://schemas.microsoft.com/office/drawing/2014/main" id="{00000000-0008-0000-0C00-00002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21</xdr:row>
          <xdr:rowOff>7620</xdr:rowOff>
        </xdr:from>
        <xdr:to>
          <xdr:col>2</xdr:col>
          <xdr:colOff>1440180</xdr:colOff>
          <xdr:row>22</xdr:row>
          <xdr:rowOff>7620</xdr:rowOff>
        </xdr:to>
        <xdr:sp macro="" textlink="">
          <xdr:nvSpPr>
            <xdr:cNvPr id="9589" name="cbo_jsmgpx" hidden="1">
              <a:extLst>
                <a:ext uri="{63B3BB69-23CF-44E3-9099-C40C66FF867C}">
                  <a14:compatExt spid="_x0000_s9589"/>
                </a:ext>
                <a:ext uri="{FF2B5EF4-FFF2-40B4-BE49-F238E27FC236}">
                  <a16:creationId xmlns:a16="http://schemas.microsoft.com/office/drawing/2014/main" id="{00000000-0008-0000-0C00-000075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23</xdr:row>
          <xdr:rowOff>7620</xdr:rowOff>
        </xdr:from>
        <xdr:to>
          <xdr:col>2</xdr:col>
          <xdr:colOff>1447800</xdr:colOff>
          <xdr:row>24</xdr:row>
          <xdr:rowOff>7620</xdr:rowOff>
        </xdr:to>
        <xdr:sp macro="" textlink="">
          <xdr:nvSpPr>
            <xdr:cNvPr id="9596" name="cbo_yygjj" hidden="1">
              <a:extLst>
                <a:ext uri="{63B3BB69-23CF-44E3-9099-C40C66FF867C}">
                  <a14:compatExt spid="_x0000_s9596"/>
                </a:ext>
                <a:ext uri="{FF2B5EF4-FFF2-40B4-BE49-F238E27FC236}">
                  <a16:creationId xmlns:a16="http://schemas.microsoft.com/office/drawing/2014/main" id="{00000000-0008-0000-0C00-00007C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14</xdr:row>
          <xdr:rowOff>7620</xdr:rowOff>
        </xdr:from>
        <xdr:to>
          <xdr:col>2</xdr:col>
          <xdr:colOff>1447800</xdr:colOff>
          <xdr:row>15</xdr:row>
          <xdr:rowOff>0</xdr:rowOff>
        </xdr:to>
        <xdr:sp macro="" textlink="">
          <xdr:nvSpPr>
            <xdr:cNvPr id="9600" name="cbo_qtsy" hidden="1">
              <a:extLst>
                <a:ext uri="{63B3BB69-23CF-44E3-9099-C40C66FF867C}">
                  <a14:compatExt spid="_x0000_s9600"/>
                </a:ext>
                <a:ext uri="{FF2B5EF4-FFF2-40B4-BE49-F238E27FC236}">
                  <a16:creationId xmlns:a16="http://schemas.microsoft.com/office/drawing/2014/main" id="{00000000-0008-0000-0C00-000080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15</xdr:row>
          <xdr:rowOff>7620</xdr:rowOff>
        </xdr:from>
        <xdr:to>
          <xdr:col>2</xdr:col>
          <xdr:colOff>1447800</xdr:colOff>
          <xdr:row>16</xdr:row>
          <xdr:rowOff>0</xdr:rowOff>
        </xdr:to>
        <xdr:sp macro="" textlink="">
          <xdr:nvSpPr>
            <xdr:cNvPr id="9603" name="cbo_zcczsy" hidden="1">
              <a:extLst>
                <a:ext uri="{63B3BB69-23CF-44E3-9099-C40C66FF867C}">
                  <a14:compatExt spid="_x0000_s9603"/>
                </a:ext>
                <a:ext uri="{FF2B5EF4-FFF2-40B4-BE49-F238E27FC236}">
                  <a16:creationId xmlns:a16="http://schemas.microsoft.com/office/drawing/2014/main" id="{00000000-0008-0000-0C00-000083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7</xdr:row>
          <xdr:rowOff>7620</xdr:rowOff>
        </xdr:from>
        <xdr:to>
          <xdr:col>2</xdr:col>
          <xdr:colOff>1447800</xdr:colOff>
          <xdr:row>8</xdr:row>
          <xdr:rowOff>7620</xdr:rowOff>
        </xdr:to>
        <xdr:sp macro="" textlink="">
          <xdr:nvSpPr>
            <xdr:cNvPr id="9604" name="cbo_yffy" hidden="1">
              <a:extLst>
                <a:ext uri="{63B3BB69-23CF-44E3-9099-C40C66FF867C}">
                  <a14:compatExt spid="_x0000_s9604"/>
                </a:ext>
                <a:ext uri="{FF2B5EF4-FFF2-40B4-BE49-F238E27FC236}">
                  <a16:creationId xmlns:a16="http://schemas.microsoft.com/office/drawing/2014/main" id="{00000000-0008-0000-0C00-000084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33</xdr:row>
          <xdr:rowOff>7620</xdr:rowOff>
        </xdr:from>
        <xdr:to>
          <xdr:col>2</xdr:col>
          <xdr:colOff>1447800</xdr:colOff>
          <xdr:row>34</xdr:row>
          <xdr:rowOff>0</xdr:rowOff>
        </xdr:to>
        <xdr:sp macro="" textlink="">
          <xdr:nvSpPr>
            <xdr:cNvPr id="9605" name="cbo_yspj" hidden="1">
              <a:extLst>
                <a:ext uri="{63B3BB69-23CF-44E3-9099-C40C66FF867C}">
                  <a14:compatExt spid="_x0000_s9605"/>
                </a:ext>
                <a:ext uri="{FF2B5EF4-FFF2-40B4-BE49-F238E27FC236}">
                  <a16:creationId xmlns:a16="http://schemas.microsoft.com/office/drawing/2014/main" id="{00000000-0008-0000-0C00-000085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xdr:row>
          <xdr:rowOff>7620</xdr:rowOff>
        </xdr:from>
        <xdr:to>
          <xdr:col>2</xdr:col>
          <xdr:colOff>1447800</xdr:colOff>
          <xdr:row>35</xdr:row>
          <xdr:rowOff>0</xdr:rowOff>
        </xdr:to>
        <xdr:sp macro="" textlink="">
          <xdr:nvSpPr>
            <xdr:cNvPr id="9606" name="cbo_yszk_mx" hidden="1">
              <a:extLst>
                <a:ext uri="{63B3BB69-23CF-44E3-9099-C40C66FF867C}">
                  <a14:compatExt spid="_x0000_s9606"/>
                </a:ext>
                <a:ext uri="{FF2B5EF4-FFF2-40B4-BE49-F238E27FC236}">
                  <a16:creationId xmlns:a16="http://schemas.microsoft.com/office/drawing/2014/main" id="{00000000-0008-0000-0C00-000086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63</xdr:row>
          <xdr:rowOff>22860</xdr:rowOff>
        </xdr:from>
        <xdr:to>
          <xdr:col>2</xdr:col>
          <xdr:colOff>1447800</xdr:colOff>
          <xdr:row>64</xdr:row>
          <xdr:rowOff>15240</xdr:rowOff>
        </xdr:to>
        <xdr:sp macro="" textlink="">
          <xdr:nvSpPr>
            <xdr:cNvPr id="9607" name="cbo_yfpj" hidden="1">
              <a:extLst>
                <a:ext uri="{63B3BB69-23CF-44E3-9099-C40C66FF867C}">
                  <a14:compatExt spid="_x0000_s9607"/>
                </a:ext>
                <a:ext uri="{FF2B5EF4-FFF2-40B4-BE49-F238E27FC236}">
                  <a16:creationId xmlns:a16="http://schemas.microsoft.com/office/drawing/2014/main" id="{00000000-0008-0000-0C00-000087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xdr:row>
          <xdr:rowOff>22860</xdr:rowOff>
        </xdr:from>
        <xdr:to>
          <xdr:col>2</xdr:col>
          <xdr:colOff>1447800</xdr:colOff>
          <xdr:row>65</xdr:row>
          <xdr:rowOff>15240</xdr:rowOff>
        </xdr:to>
        <xdr:sp macro="" textlink="">
          <xdr:nvSpPr>
            <xdr:cNvPr id="9608" name="cbo_yfzk_mx" hidden="1">
              <a:extLst>
                <a:ext uri="{63B3BB69-23CF-44E3-9099-C40C66FF867C}">
                  <a14:compatExt spid="_x0000_s9608"/>
                </a:ext>
                <a:ext uri="{FF2B5EF4-FFF2-40B4-BE49-F238E27FC236}">
                  <a16:creationId xmlns:a16="http://schemas.microsoft.com/office/drawing/2014/main" id="{00000000-0008-0000-0C00-000088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1</xdr:col>
          <xdr:colOff>1844040</xdr:colOff>
          <xdr:row>33</xdr:row>
          <xdr:rowOff>22860</xdr:rowOff>
        </xdr:to>
        <xdr:sp macro="" textlink="">
          <xdr:nvSpPr>
            <xdr:cNvPr id="9609" name="cbo_js_yspjyszk" hidden="1">
              <a:extLst>
                <a:ext uri="{63B3BB69-23CF-44E3-9099-C40C66FF867C}">
                  <a14:compatExt spid="_x0000_s9609"/>
                </a:ext>
                <a:ext uri="{FF2B5EF4-FFF2-40B4-BE49-F238E27FC236}">
                  <a16:creationId xmlns:a16="http://schemas.microsoft.com/office/drawing/2014/main" id="{00000000-0008-0000-0C00-000089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62</xdr:row>
          <xdr:rowOff>22860</xdr:rowOff>
        </xdr:from>
        <xdr:to>
          <xdr:col>1</xdr:col>
          <xdr:colOff>1844040</xdr:colOff>
          <xdr:row>63</xdr:row>
          <xdr:rowOff>22860</xdr:rowOff>
        </xdr:to>
        <xdr:sp macro="" textlink="">
          <xdr:nvSpPr>
            <xdr:cNvPr id="9610" name="cbo_js_yfpjyfzk" hidden="1">
              <a:extLst>
                <a:ext uri="{63B3BB69-23CF-44E3-9099-C40C66FF867C}">
                  <a14:compatExt spid="_x0000_s9610"/>
                </a:ext>
                <a:ext uri="{FF2B5EF4-FFF2-40B4-BE49-F238E27FC236}">
                  <a16:creationId xmlns:a16="http://schemas.microsoft.com/office/drawing/2014/main" id="{00000000-0008-0000-0C00-00008A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10</xdr:row>
          <xdr:rowOff>0</xdr:rowOff>
        </xdr:from>
        <xdr:to>
          <xdr:col>1</xdr:col>
          <xdr:colOff>1714500</xdr:colOff>
          <xdr:row>11</xdr:row>
          <xdr:rowOff>15240</xdr:rowOff>
        </xdr:to>
        <xdr:sp macro="" textlink="">
          <xdr:nvSpPr>
            <xdr:cNvPr id="9611" name="cboxyjzss" hidden="1">
              <a:extLst>
                <a:ext uri="{63B3BB69-23CF-44E3-9099-C40C66FF867C}">
                  <a14:compatExt spid="_x0000_s9611"/>
                </a:ext>
                <a:ext uri="{FF2B5EF4-FFF2-40B4-BE49-F238E27FC236}">
                  <a16:creationId xmlns:a16="http://schemas.microsoft.com/office/drawing/2014/main" id="{00000000-0008-0000-0C00-00008B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10</xdr:row>
          <xdr:rowOff>7620</xdr:rowOff>
        </xdr:from>
        <xdr:to>
          <xdr:col>2</xdr:col>
          <xdr:colOff>1447800</xdr:colOff>
          <xdr:row>11</xdr:row>
          <xdr:rowOff>7620</xdr:rowOff>
        </xdr:to>
        <xdr:sp macro="" textlink="">
          <xdr:nvSpPr>
            <xdr:cNvPr id="9612" name="cbo_jsxyjzss" hidden="1">
              <a:extLst>
                <a:ext uri="{63B3BB69-23CF-44E3-9099-C40C66FF867C}">
                  <a14:compatExt spid="_x0000_s9612"/>
                </a:ext>
                <a:ext uri="{FF2B5EF4-FFF2-40B4-BE49-F238E27FC236}">
                  <a16:creationId xmlns:a16="http://schemas.microsoft.com/office/drawing/2014/main" id="{00000000-0008-0000-0C00-00008C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40</xdr:row>
          <xdr:rowOff>7620</xdr:rowOff>
        </xdr:from>
        <xdr:to>
          <xdr:col>2</xdr:col>
          <xdr:colOff>1440180</xdr:colOff>
          <xdr:row>41</xdr:row>
          <xdr:rowOff>7620</xdr:rowOff>
        </xdr:to>
        <xdr:sp macro="" textlink="">
          <xdr:nvSpPr>
            <xdr:cNvPr id="9613" name="cbo_htzc" hidden="1">
              <a:extLst>
                <a:ext uri="{63B3BB69-23CF-44E3-9099-C40C66FF867C}">
                  <a14:compatExt spid="_x0000_s9613"/>
                </a:ext>
                <a:ext uri="{FF2B5EF4-FFF2-40B4-BE49-F238E27FC236}">
                  <a16:creationId xmlns:a16="http://schemas.microsoft.com/office/drawing/2014/main" id="{00000000-0008-0000-0C00-00008D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31</xdr:row>
          <xdr:rowOff>7620</xdr:rowOff>
        </xdr:from>
        <xdr:to>
          <xdr:col>2</xdr:col>
          <xdr:colOff>1447800</xdr:colOff>
          <xdr:row>32</xdr:row>
          <xdr:rowOff>0</xdr:rowOff>
        </xdr:to>
        <xdr:sp macro="" textlink="">
          <xdr:nvSpPr>
            <xdr:cNvPr id="9614" name="cbo_ysjrzc" hidden="1">
              <a:extLst>
                <a:ext uri="{63B3BB69-23CF-44E3-9099-C40C66FF867C}">
                  <a14:compatExt spid="_x0000_s9614"/>
                </a:ext>
                <a:ext uri="{FF2B5EF4-FFF2-40B4-BE49-F238E27FC236}">
                  <a16:creationId xmlns:a16="http://schemas.microsoft.com/office/drawing/2014/main" id="{00000000-0008-0000-0C00-00008E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36</xdr:row>
          <xdr:rowOff>7620</xdr:rowOff>
        </xdr:from>
        <xdr:to>
          <xdr:col>2</xdr:col>
          <xdr:colOff>1447800</xdr:colOff>
          <xdr:row>37</xdr:row>
          <xdr:rowOff>38100</xdr:rowOff>
        </xdr:to>
        <xdr:sp macro="" textlink="">
          <xdr:nvSpPr>
            <xdr:cNvPr id="9615" name="cbo_yskxrz" hidden="1">
              <a:extLst>
                <a:ext uri="{63B3BB69-23CF-44E3-9099-C40C66FF867C}">
                  <a14:compatExt spid="_x0000_s9615"/>
                </a:ext>
                <a:ext uri="{FF2B5EF4-FFF2-40B4-BE49-F238E27FC236}">
                  <a16:creationId xmlns:a16="http://schemas.microsoft.com/office/drawing/2014/main" id="{00000000-0008-0000-0C00-00008F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41</xdr:row>
          <xdr:rowOff>7620</xdr:rowOff>
        </xdr:from>
        <xdr:to>
          <xdr:col>2</xdr:col>
          <xdr:colOff>1440180</xdr:colOff>
          <xdr:row>42</xdr:row>
          <xdr:rowOff>7620</xdr:rowOff>
        </xdr:to>
        <xdr:sp macro="" textlink="">
          <xdr:nvSpPr>
            <xdr:cNvPr id="9616" name="cbo_hfwcydsdzc" hidden="1">
              <a:extLst>
                <a:ext uri="{63B3BB69-23CF-44E3-9099-C40C66FF867C}">
                  <a14:compatExt spid="_x0000_s9616"/>
                </a:ext>
                <a:ext uri="{FF2B5EF4-FFF2-40B4-BE49-F238E27FC236}">
                  <a16:creationId xmlns:a16="http://schemas.microsoft.com/office/drawing/2014/main" id="{00000000-0008-0000-0C00-000090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45</xdr:row>
          <xdr:rowOff>7620</xdr:rowOff>
        </xdr:from>
        <xdr:to>
          <xdr:col>2</xdr:col>
          <xdr:colOff>1463040</xdr:colOff>
          <xdr:row>46</xdr:row>
          <xdr:rowOff>0</xdr:rowOff>
        </xdr:to>
        <xdr:sp macro="" textlink="">
          <xdr:nvSpPr>
            <xdr:cNvPr id="9617" name="cbo_zqtz" hidden="1">
              <a:extLst>
                <a:ext uri="{63B3BB69-23CF-44E3-9099-C40C66FF867C}">
                  <a14:compatExt spid="_x0000_s9617"/>
                </a:ext>
                <a:ext uri="{FF2B5EF4-FFF2-40B4-BE49-F238E27FC236}">
                  <a16:creationId xmlns:a16="http://schemas.microsoft.com/office/drawing/2014/main" id="{00000000-0008-0000-0C00-000091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46</xdr:row>
          <xdr:rowOff>7620</xdr:rowOff>
        </xdr:from>
        <xdr:to>
          <xdr:col>2</xdr:col>
          <xdr:colOff>1463040</xdr:colOff>
          <xdr:row>47</xdr:row>
          <xdr:rowOff>0</xdr:rowOff>
        </xdr:to>
        <xdr:sp macro="" textlink="">
          <xdr:nvSpPr>
            <xdr:cNvPr id="9618" name="cbo_qtzqtz" hidden="1">
              <a:extLst>
                <a:ext uri="{63B3BB69-23CF-44E3-9099-C40C66FF867C}">
                  <a14:compatExt spid="_x0000_s9618"/>
                </a:ext>
                <a:ext uri="{FF2B5EF4-FFF2-40B4-BE49-F238E27FC236}">
                  <a16:creationId xmlns:a16="http://schemas.microsoft.com/office/drawing/2014/main" id="{00000000-0008-0000-0C00-000092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7620</xdr:rowOff>
        </xdr:from>
        <xdr:to>
          <xdr:col>2</xdr:col>
          <xdr:colOff>1447800</xdr:colOff>
          <xdr:row>49</xdr:row>
          <xdr:rowOff>7620</xdr:rowOff>
        </xdr:to>
        <xdr:sp macro="" textlink="">
          <xdr:nvSpPr>
            <xdr:cNvPr id="9619" name="cbo_qtqygjzt" hidden="1">
              <a:extLst>
                <a:ext uri="{63B3BB69-23CF-44E3-9099-C40C66FF867C}">
                  <a14:compatExt spid="_x0000_s9619"/>
                </a:ext>
                <a:ext uri="{FF2B5EF4-FFF2-40B4-BE49-F238E27FC236}">
                  <a16:creationId xmlns:a16="http://schemas.microsoft.com/office/drawing/2014/main" id="{00000000-0008-0000-0C00-000093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50</xdr:row>
          <xdr:rowOff>7620</xdr:rowOff>
        </xdr:from>
        <xdr:to>
          <xdr:col>2</xdr:col>
          <xdr:colOff>1455420</xdr:colOff>
          <xdr:row>51</xdr:row>
          <xdr:rowOff>7620</xdr:rowOff>
        </xdr:to>
        <xdr:sp macro="" textlink="">
          <xdr:nvSpPr>
            <xdr:cNvPr id="9620" name="cbo_qtfldjrzc" hidden="1">
              <a:extLst>
                <a:ext uri="{63B3BB69-23CF-44E3-9099-C40C66FF867C}">
                  <a14:compatExt spid="_x0000_s9620"/>
                </a:ext>
                <a:ext uri="{FF2B5EF4-FFF2-40B4-BE49-F238E27FC236}">
                  <a16:creationId xmlns:a16="http://schemas.microsoft.com/office/drawing/2014/main" id="{00000000-0008-0000-0C00-000094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56</xdr:row>
          <xdr:rowOff>7620</xdr:rowOff>
        </xdr:from>
        <xdr:to>
          <xdr:col>2</xdr:col>
          <xdr:colOff>1447800</xdr:colOff>
          <xdr:row>57</xdr:row>
          <xdr:rowOff>7620</xdr:rowOff>
        </xdr:to>
        <xdr:sp macro="" textlink="">
          <xdr:nvSpPr>
            <xdr:cNvPr id="9621" name="cbo_syqzc" hidden="1">
              <a:extLst>
                <a:ext uri="{63B3BB69-23CF-44E3-9099-C40C66FF867C}">
                  <a14:compatExt spid="_x0000_s9621"/>
                </a:ext>
                <a:ext uri="{FF2B5EF4-FFF2-40B4-BE49-F238E27FC236}">
                  <a16:creationId xmlns:a16="http://schemas.microsoft.com/office/drawing/2014/main" id="{00000000-0008-0000-0C00-000095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61</xdr:row>
          <xdr:rowOff>22860</xdr:rowOff>
        </xdr:from>
        <xdr:to>
          <xdr:col>2</xdr:col>
          <xdr:colOff>1447800</xdr:colOff>
          <xdr:row>62</xdr:row>
          <xdr:rowOff>15240</xdr:rowOff>
        </xdr:to>
        <xdr:sp macro="" textlink="">
          <xdr:nvSpPr>
            <xdr:cNvPr id="9622" name="cbo_ysjrfz" hidden="1">
              <a:extLst>
                <a:ext uri="{63B3BB69-23CF-44E3-9099-C40C66FF867C}">
                  <a14:compatExt spid="_x0000_s9622"/>
                </a:ext>
                <a:ext uri="{FF2B5EF4-FFF2-40B4-BE49-F238E27FC236}">
                  <a16:creationId xmlns:a16="http://schemas.microsoft.com/office/drawing/2014/main" id="{00000000-0008-0000-0C00-000096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67</xdr:row>
          <xdr:rowOff>22860</xdr:rowOff>
        </xdr:from>
        <xdr:to>
          <xdr:col>2</xdr:col>
          <xdr:colOff>1463040</xdr:colOff>
          <xdr:row>68</xdr:row>
          <xdr:rowOff>15240</xdr:rowOff>
        </xdr:to>
        <xdr:sp macro="" textlink="">
          <xdr:nvSpPr>
            <xdr:cNvPr id="9623" name="cbo_htfz" hidden="1">
              <a:extLst>
                <a:ext uri="{63B3BB69-23CF-44E3-9099-C40C66FF867C}">
                  <a14:compatExt spid="_x0000_s9623"/>
                </a:ext>
                <a:ext uri="{FF2B5EF4-FFF2-40B4-BE49-F238E27FC236}">
                  <a16:creationId xmlns:a16="http://schemas.microsoft.com/office/drawing/2014/main" id="{00000000-0008-0000-0C00-000097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73</xdr:row>
          <xdr:rowOff>22860</xdr:rowOff>
        </xdr:from>
        <xdr:to>
          <xdr:col>2</xdr:col>
          <xdr:colOff>1447800</xdr:colOff>
          <xdr:row>74</xdr:row>
          <xdr:rowOff>15240</xdr:rowOff>
        </xdr:to>
        <xdr:sp macro="" textlink="">
          <xdr:nvSpPr>
            <xdr:cNvPr id="9624" name="cbo_hfwcydsdfz" hidden="1">
              <a:extLst>
                <a:ext uri="{63B3BB69-23CF-44E3-9099-C40C66FF867C}">
                  <a14:compatExt spid="_x0000_s9624"/>
                </a:ext>
                <a:ext uri="{FF2B5EF4-FFF2-40B4-BE49-F238E27FC236}">
                  <a16:creationId xmlns:a16="http://schemas.microsoft.com/office/drawing/2014/main" id="{00000000-0008-0000-0C00-000098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76</xdr:row>
          <xdr:rowOff>22860</xdr:rowOff>
        </xdr:from>
        <xdr:to>
          <xdr:col>2</xdr:col>
          <xdr:colOff>1447800</xdr:colOff>
          <xdr:row>76</xdr:row>
          <xdr:rowOff>205740</xdr:rowOff>
        </xdr:to>
        <xdr:sp macro="" textlink="">
          <xdr:nvSpPr>
            <xdr:cNvPr id="9625" name="cbo_zlfz" hidden="1">
              <a:extLst>
                <a:ext uri="{63B3BB69-23CF-44E3-9099-C40C66FF867C}">
                  <a14:compatExt spid="_x0000_s9625"/>
                </a:ext>
                <a:ext uri="{FF2B5EF4-FFF2-40B4-BE49-F238E27FC236}">
                  <a16:creationId xmlns:a16="http://schemas.microsoft.com/office/drawing/2014/main" id="{00000000-0008-0000-0C00-0000992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1</xdr:row>
          <xdr:rowOff>22860</xdr:rowOff>
        </xdr:from>
        <xdr:to>
          <xdr:col>1</xdr:col>
          <xdr:colOff>1226820</xdr:colOff>
          <xdr:row>2</xdr:row>
          <xdr:rowOff>15240</xdr:rowOff>
        </xdr:to>
        <xdr:sp macro="" textlink="">
          <xdr:nvSpPr>
            <xdr:cNvPr id="80929" name="cboCalMethod" hidden="1">
              <a:extLst>
                <a:ext uri="{63B3BB69-23CF-44E3-9099-C40C66FF867C}">
                  <a14:compatExt spid="_x0000_s80929"/>
                </a:ext>
                <a:ext uri="{FF2B5EF4-FFF2-40B4-BE49-F238E27FC236}">
                  <a16:creationId xmlns:a16="http://schemas.microsoft.com/office/drawing/2014/main" id="{00000000-0008-0000-0E00-00002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1478280</xdr:colOff>
          <xdr:row>0</xdr:row>
          <xdr:rowOff>38100</xdr:rowOff>
        </xdr:from>
        <xdr:to>
          <xdr:col>2</xdr:col>
          <xdr:colOff>0</xdr:colOff>
          <xdr:row>0</xdr:row>
          <xdr:rowOff>297180</xdr:rowOff>
        </xdr:to>
        <xdr:sp macro="" textlink="">
          <xdr:nvSpPr>
            <xdr:cNvPr id="15403" name="Button 43" hidden="1">
              <a:extLst>
                <a:ext uri="{63B3BB69-23CF-44E3-9099-C40C66FF867C}">
                  <a14:compatExt spid="_x0000_s15403"/>
                </a:ext>
                <a:ext uri="{FF2B5EF4-FFF2-40B4-BE49-F238E27FC236}">
                  <a16:creationId xmlns:a16="http://schemas.microsoft.com/office/drawing/2014/main" id="{00000000-0008-0000-1300-00002B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00"/>
                  </a:solidFill>
                  <a:latin typeface="宋体"/>
                  <a:ea typeface="宋体"/>
                </a:rPr>
                <a:t>自定义财务指标</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285750</xdr:colOff>
      <xdr:row>13</xdr:row>
      <xdr:rowOff>114300</xdr:rowOff>
    </xdr:from>
    <xdr:to>
      <xdr:col>5</xdr:col>
      <xdr:colOff>514350</xdr:colOff>
      <xdr:row>23</xdr:row>
      <xdr:rowOff>50800</xdr:rowOff>
    </xdr:to>
    <xdr:graphicFrame macro="">
      <xdr:nvGraphicFramePr>
        <xdr:cNvPr id="26496344" name="图表 3">
          <a:extLst>
            <a:ext uri="{FF2B5EF4-FFF2-40B4-BE49-F238E27FC236}">
              <a16:creationId xmlns:a16="http://schemas.microsoft.com/office/drawing/2014/main" id="{00000000-0008-0000-1400-000058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9525</xdr:colOff>
      <xdr:row>21</xdr:row>
      <xdr:rowOff>0</xdr:rowOff>
    </xdr:from>
    <xdr:to>
      <xdr:col>14</xdr:col>
      <xdr:colOff>238125</xdr:colOff>
      <xdr:row>30</xdr:row>
      <xdr:rowOff>127000</xdr:rowOff>
    </xdr:to>
    <xdr:graphicFrame macro="">
      <xdr:nvGraphicFramePr>
        <xdr:cNvPr id="26496345" name="图表 4">
          <a:extLst>
            <a:ext uri="{FF2B5EF4-FFF2-40B4-BE49-F238E27FC236}">
              <a16:creationId xmlns:a16="http://schemas.microsoft.com/office/drawing/2014/main" id="{00000000-0008-0000-1400-000059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9525</xdr:colOff>
      <xdr:row>5</xdr:row>
      <xdr:rowOff>19050</xdr:rowOff>
    </xdr:from>
    <xdr:to>
      <xdr:col>14</xdr:col>
      <xdr:colOff>238125</xdr:colOff>
      <xdr:row>14</xdr:row>
      <xdr:rowOff>127000</xdr:rowOff>
    </xdr:to>
    <xdr:graphicFrame macro="">
      <xdr:nvGraphicFramePr>
        <xdr:cNvPr id="26496346" name="图表 5">
          <a:extLst>
            <a:ext uri="{FF2B5EF4-FFF2-40B4-BE49-F238E27FC236}">
              <a16:creationId xmlns:a16="http://schemas.microsoft.com/office/drawing/2014/main" id="{00000000-0008-0000-1400-00005A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523875</xdr:colOff>
      <xdr:row>4</xdr:row>
      <xdr:rowOff>161925</xdr:rowOff>
    </xdr:from>
    <xdr:to>
      <xdr:col>23</xdr:col>
      <xdr:colOff>190500</xdr:colOff>
      <xdr:row>14</xdr:row>
      <xdr:rowOff>79375</xdr:rowOff>
    </xdr:to>
    <xdr:graphicFrame macro="">
      <xdr:nvGraphicFramePr>
        <xdr:cNvPr id="26496347" name="图表 6">
          <a:extLst>
            <a:ext uri="{FF2B5EF4-FFF2-40B4-BE49-F238E27FC236}">
              <a16:creationId xmlns:a16="http://schemas.microsoft.com/office/drawing/2014/main" id="{00000000-0008-0000-1400-00005B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0</xdr:colOff>
      <xdr:row>5</xdr:row>
      <xdr:rowOff>0</xdr:rowOff>
    </xdr:from>
    <xdr:to>
      <xdr:col>32</xdr:col>
      <xdr:colOff>228600</xdr:colOff>
      <xdr:row>14</xdr:row>
      <xdr:rowOff>107950</xdr:rowOff>
    </xdr:to>
    <xdr:graphicFrame macro="">
      <xdr:nvGraphicFramePr>
        <xdr:cNvPr id="26496348" name="图表 7">
          <a:extLst>
            <a:ext uri="{FF2B5EF4-FFF2-40B4-BE49-F238E27FC236}">
              <a16:creationId xmlns:a16="http://schemas.microsoft.com/office/drawing/2014/main" id="{00000000-0008-0000-1400-00005C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0</xdr:colOff>
      <xdr:row>21</xdr:row>
      <xdr:rowOff>0</xdr:rowOff>
    </xdr:from>
    <xdr:to>
      <xdr:col>28</xdr:col>
      <xdr:colOff>228600</xdr:colOff>
      <xdr:row>30</xdr:row>
      <xdr:rowOff>127000</xdr:rowOff>
    </xdr:to>
    <xdr:graphicFrame macro="">
      <xdr:nvGraphicFramePr>
        <xdr:cNvPr id="26496349" name="图表 9">
          <a:extLst>
            <a:ext uri="{FF2B5EF4-FFF2-40B4-BE49-F238E27FC236}">
              <a16:creationId xmlns:a16="http://schemas.microsoft.com/office/drawing/2014/main" id="{00000000-0008-0000-1400-00005D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28575</xdr:colOff>
      <xdr:row>36</xdr:row>
      <xdr:rowOff>0</xdr:rowOff>
    </xdr:from>
    <xdr:to>
      <xdr:col>5</xdr:col>
      <xdr:colOff>257175</xdr:colOff>
      <xdr:row>45</xdr:row>
      <xdr:rowOff>127000</xdr:rowOff>
    </xdr:to>
    <xdr:graphicFrame macro="">
      <xdr:nvGraphicFramePr>
        <xdr:cNvPr id="26496350" name="图表 6">
          <a:extLst>
            <a:ext uri="{FF2B5EF4-FFF2-40B4-BE49-F238E27FC236}">
              <a16:creationId xmlns:a16="http://schemas.microsoft.com/office/drawing/2014/main" id="{00000000-0008-0000-1400-00005E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0</xdr:colOff>
      <xdr:row>36</xdr:row>
      <xdr:rowOff>0</xdr:rowOff>
    </xdr:from>
    <xdr:to>
      <xdr:col>14</xdr:col>
      <xdr:colOff>228600</xdr:colOff>
      <xdr:row>45</xdr:row>
      <xdr:rowOff>127000</xdr:rowOff>
    </xdr:to>
    <xdr:graphicFrame macro="">
      <xdr:nvGraphicFramePr>
        <xdr:cNvPr id="26496351" name="图表 6">
          <a:extLst>
            <a:ext uri="{FF2B5EF4-FFF2-40B4-BE49-F238E27FC236}">
              <a16:creationId xmlns:a16="http://schemas.microsoft.com/office/drawing/2014/main" id="{00000000-0008-0000-1400-00005F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0</xdr:colOff>
      <xdr:row>36</xdr:row>
      <xdr:rowOff>0</xdr:rowOff>
    </xdr:from>
    <xdr:to>
      <xdr:col>23</xdr:col>
      <xdr:colOff>200025</xdr:colOff>
      <xdr:row>45</xdr:row>
      <xdr:rowOff>127000</xdr:rowOff>
    </xdr:to>
    <xdr:graphicFrame macro="">
      <xdr:nvGraphicFramePr>
        <xdr:cNvPr id="26496352" name="图表 6">
          <a:extLst>
            <a:ext uri="{FF2B5EF4-FFF2-40B4-BE49-F238E27FC236}">
              <a16:creationId xmlns:a16="http://schemas.microsoft.com/office/drawing/2014/main" id="{00000000-0008-0000-1400-000060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9524</xdr:colOff>
      <xdr:row>50</xdr:row>
      <xdr:rowOff>0</xdr:rowOff>
    </xdr:from>
    <xdr:to>
      <xdr:col>23</xdr:col>
      <xdr:colOff>209549</xdr:colOff>
      <xdr:row>59</xdr:row>
      <xdr:rowOff>127000</xdr:rowOff>
    </xdr:to>
    <xdr:graphicFrame macro="">
      <xdr:nvGraphicFramePr>
        <xdr:cNvPr id="26496353" name="图表 6">
          <a:extLst>
            <a:ext uri="{FF2B5EF4-FFF2-40B4-BE49-F238E27FC236}">
              <a16:creationId xmlns:a16="http://schemas.microsoft.com/office/drawing/2014/main" id="{00000000-0008-0000-1400-000061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0</xdr:colOff>
      <xdr:row>50</xdr:row>
      <xdr:rowOff>0</xdr:rowOff>
    </xdr:from>
    <xdr:to>
      <xdr:col>14</xdr:col>
      <xdr:colOff>228600</xdr:colOff>
      <xdr:row>59</xdr:row>
      <xdr:rowOff>127000</xdr:rowOff>
    </xdr:to>
    <xdr:graphicFrame macro="">
      <xdr:nvGraphicFramePr>
        <xdr:cNvPr id="26496354" name="图表 6">
          <a:extLst>
            <a:ext uri="{FF2B5EF4-FFF2-40B4-BE49-F238E27FC236}">
              <a16:creationId xmlns:a16="http://schemas.microsoft.com/office/drawing/2014/main" id="{00000000-0008-0000-1400-000062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50</xdr:row>
      <xdr:rowOff>0</xdr:rowOff>
    </xdr:from>
    <xdr:to>
      <xdr:col>5</xdr:col>
      <xdr:colOff>228600</xdr:colOff>
      <xdr:row>59</xdr:row>
      <xdr:rowOff>127000</xdr:rowOff>
    </xdr:to>
    <xdr:graphicFrame macro="">
      <xdr:nvGraphicFramePr>
        <xdr:cNvPr id="26496355" name="图表 6">
          <a:extLst>
            <a:ext uri="{FF2B5EF4-FFF2-40B4-BE49-F238E27FC236}">
              <a16:creationId xmlns:a16="http://schemas.microsoft.com/office/drawing/2014/main" id="{00000000-0008-0000-1400-000063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66</xdr:row>
      <xdr:rowOff>0</xdr:rowOff>
    </xdr:from>
    <xdr:to>
      <xdr:col>5</xdr:col>
      <xdr:colOff>257175</xdr:colOff>
      <xdr:row>75</xdr:row>
      <xdr:rowOff>127000</xdr:rowOff>
    </xdr:to>
    <xdr:graphicFrame macro="">
      <xdr:nvGraphicFramePr>
        <xdr:cNvPr id="26496356" name="图表 6">
          <a:extLst>
            <a:ext uri="{FF2B5EF4-FFF2-40B4-BE49-F238E27FC236}">
              <a16:creationId xmlns:a16="http://schemas.microsoft.com/office/drawing/2014/main" id="{00000000-0008-0000-1400-000064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66</xdr:row>
      <xdr:rowOff>0</xdr:rowOff>
    </xdr:from>
    <xdr:to>
      <xdr:col>14</xdr:col>
      <xdr:colOff>228600</xdr:colOff>
      <xdr:row>75</xdr:row>
      <xdr:rowOff>127000</xdr:rowOff>
    </xdr:to>
    <xdr:graphicFrame macro="">
      <xdr:nvGraphicFramePr>
        <xdr:cNvPr id="26496357" name="图表 6">
          <a:extLst>
            <a:ext uri="{FF2B5EF4-FFF2-40B4-BE49-F238E27FC236}">
              <a16:creationId xmlns:a16="http://schemas.microsoft.com/office/drawing/2014/main" id="{00000000-0008-0000-1400-000065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0</xdr:colOff>
      <xdr:row>66</xdr:row>
      <xdr:rowOff>0</xdr:rowOff>
    </xdr:from>
    <xdr:to>
      <xdr:col>23</xdr:col>
      <xdr:colOff>200025</xdr:colOff>
      <xdr:row>75</xdr:row>
      <xdr:rowOff>127000</xdr:rowOff>
    </xdr:to>
    <xdr:graphicFrame macro="">
      <xdr:nvGraphicFramePr>
        <xdr:cNvPr id="26496358" name="图表 6">
          <a:extLst>
            <a:ext uri="{FF2B5EF4-FFF2-40B4-BE49-F238E27FC236}">
              <a16:creationId xmlns:a16="http://schemas.microsoft.com/office/drawing/2014/main" id="{00000000-0008-0000-1400-000066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80</xdr:row>
      <xdr:rowOff>0</xdr:rowOff>
    </xdr:from>
    <xdr:to>
      <xdr:col>5</xdr:col>
      <xdr:colOff>228600</xdr:colOff>
      <xdr:row>89</xdr:row>
      <xdr:rowOff>127000</xdr:rowOff>
    </xdr:to>
    <xdr:graphicFrame macro="">
      <xdr:nvGraphicFramePr>
        <xdr:cNvPr id="26496359" name="图表 6">
          <a:extLst>
            <a:ext uri="{FF2B5EF4-FFF2-40B4-BE49-F238E27FC236}">
              <a16:creationId xmlns:a16="http://schemas.microsoft.com/office/drawing/2014/main" id="{00000000-0008-0000-1400-000067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0</xdr:colOff>
      <xdr:row>80</xdr:row>
      <xdr:rowOff>0</xdr:rowOff>
    </xdr:from>
    <xdr:to>
      <xdr:col>14</xdr:col>
      <xdr:colOff>228600</xdr:colOff>
      <xdr:row>89</xdr:row>
      <xdr:rowOff>127000</xdr:rowOff>
    </xdr:to>
    <xdr:graphicFrame macro="">
      <xdr:nvGraphicFramePr>
        <xdr:cNvPr id="26496360" name="图表 6">
          <a:extLst>
            <a:ext uri="{FF2B5EF4-FFF2-40B4-BE49-F238E27FC236}">
              <a16:creationId xmlns:a16="http://schemas.microsoft.com/office/drawing/2014/main" id="{00000000-0008-0000-1400-000068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18</xdr:col>
      <xdr:colOff>0</xdr:colOff>
      <xdr:row>80</xdr:row>
      <xdr:rowOff>0</xdr:rowOff>
    </xdr:from>
    <xdr:to>
      <xdr:col>23</xdr:col>
      <xdr:colOff>200025</xdr:colOff>
      <xdr:row>89</xdr:row>
      <xdr:rowOff>127000</xdr:rowOff>
    </xdr:to>
    <xdr:graphicFrame macro="">
      <xdr:nvGraphicFramePr>
        <xdr:cNvPr id="26496361" name="图表 6">
          <a:extLst>
            <a:ext uri="{FF2B5EF4-FFF2-40B4-BE49-F238E27FC236}">
              <a16:creationId xmlns:a16="http://schemas.microsoft.com/office/drawing/2014/main" id="{00000000-0008-0000-1400-000069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94</xdr:row>
      <xdr:rowOff>0</xdr:rowOff>
    </xdr:from>
    <xdr:to>
      <xdr:col>5</xdr:col>
      <xdr:colOff>228600</xdr:colOff>
      <xdr:row>103</xdr:row>
      <xdr:rowOff>127000</xdr:rowOff>
    </xdr:to>
    <xdr:graphicFrame macro="">
      <xdr:nvGraphicFramePr>
        <xdr:cNvPr id="26496362" name="图表 6">
          <a:extLst>
            <a:ext uri="{FF2B5EF4-FFF2-40B4-BE49-F238E27FC236}">
              <a16:creationId xmlns:a16="http://schemas.microsoft.com/office/drawing/2014/main" id="{00000000-0008-0000-1400-00006A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0</xdr:colOff>
      <xdr:row>94</xdr:row>
      <xdr:rowOff>0</xdr:rowOff>
    </xdr:from>
    <xdr:to>
      <xdr:col>14</xdr:col>
      <xdr:colOff>228600</xdr:colOff>
      <xdr:row>103</xdr:row>
      <xdr:rowOff>127000</xdr:rowOff>
    </xdr:to>
    <xdr:graphicFrame macro="">
      <xdr:nvGraphicFramePr>
        <xdr:cNvPr id="26496363" name="图表 6">
          <a:extLst>
            <a:ext uri="{FF2B5EF4-FFF2-40B4-BE49-F238E27FC236}">
              <a16:creationId xmlns:a16="http://schemas.microsoft.com/office/drawing/2014/main" id="{00000000-0008-0000-1400-00006B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18</xdr:col>
      <xdr:colOff>0</xdr:colOff>
      <xdr:row>94</xdr:row>
      <xdr:rowOff>0</xdr:rowOff>
    </xdr:from>
    <xdr:to>
      <xdr:col>23</xdr:col>
      <xdr:colOff>200025</xdr:colOff>
      <xdr:row>103</xdr:row>
      <xdr:rowOff>127000</xdr:rowOff>
    </xdr:to>
    <xdr:graphicFrame macro="">
      <xdr:nvGraphicFramePr>
        <xdr:cNvPr id="26496364" name="图表 6">
          <a:extLst>
            <a:ext uri="{FF2B5EF4-FFF2-40B4-BE49-F238E27FC236}">
              <a16:creationId xmlns:a16="http://schemas.microsoft.com/office/drawing/2014/main" id="{00000000-0008-0000-1400-00006C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47625</xdr:colOff>
      <xdr:row>116</xdr:row>
      <xdr:rowOff>28575</xdr:rowOff>
    </xdr:from>
    <xdr:to>
      <xdr:col>5</xdr:col>
      <xdr:colOff>276225</xdr:colOff>
      <xdr:row>125</xdr:row>
      <xdr:rowOff>155575</xdr:rowOff>
    </xdr:to>
    <xdr:graphicFrame macro="">
      <xdr:nvGraphicFramePr>
        <xdr:cNvPr id="26496365" name="图表 26">
          <a:extLst>
            <a:ext uri="{FF2B5EF4-FFF2-40B4-BE49-F238E27FC236}">
              <a16:creationId xmlns:a16="http://schemas.microsoft.com/office/drawing/2014/main" id="{00000000-0008-0000-1400-00006D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47625</xdr:colOff>
      <xdr:row>143</xdr:row>
      <xdr:rowOff>123825</xdr:rowOff>
    </xdr:from>
    <xdr:to>
      <xdr:col>5</xdr:col>
      <xdr:colOff>276225</xdr:colOff>
      <xdr:row>153</xdr:row>
      <xdr:rowOff>60325</xdr:rowOff>
    </xdr:to>
    <xdr:graphicFrame macro="">
      <xdr:nvGraphicFramePr>
        <xdr:cNvPr id="26496366" name="图表 26">
          <a:extLst>
            <a:ext uri="{FF2B5EF4-FFF2-40B4-BE49-F238E27FC236}">
              <a16:creationId xmlns:a16="http://schemas.microsoft.com/office/drawing/2014/main" id="{00000000-0008-0000-1400-00006E4D9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56</xdr:row>
          <xdr:rowOff>7620</xdr:rowOff>
        </xdr:from>
        <xdr:to>
          <xdr:col>1</xdr:col>
          <xdr:colOff>944880</xdr:colOff>
          <xdr:row>57</xdr:row>
          <xdr:rowOff>7620</xdr:rowOff>
        </xdr:to>
        <xdr:sp macro="" textlink="">
          <xdr:nvSpPr>
            <xdr:cNvPr id="259074" name="cmdBad" hidden="1">
              <a:extLst>
                <a:ext uri="{63B3BB69-23CF-44E3-9099-C40C66FF867C}">
                  <a14:compatExt spid="_x0000_s259074"/>
                </a:ext>
                <a:ext uri="{FF2B5EF4-FFF2-40B4-BE49-F238E27FC236}">
                  <a16:creationId xmlns:a16="http://schemas.microsoft.com/office/drawing/2014/main" id="{00000000-0008-0000-1600-000002F4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27</xdr:row>
          <xdr:rowOff>182880</xdr:rowOff>
        </xdr:from>
        <xdr:to>
          <xdr:col>1</xdr:col>
          <xdr:colOff>929640</xdr:colOff>
          <xdr:row>29</xdr:row>
          <xdr:rowOff>7620</xdr:rowOff>
        </xdr:to>
        <xdr:sp macro="" textlink="">
          <xdr:nvSpPr>
            <xdr:cNvPr id="259075" name="cmdCommon" hidden="1">
              <a:extLst>
                <a:ext uri="{63B3BB69-23CF-44E3-9099-C40C66FF867C}">
                  <a14:compatExt spid="_x0000_s259075"/>
                </a:ext>
                <a:ext uri="{FF2B5EF4-FFF2-40B4-BE49-F238E27FC236}">
                  <a16:creationId xmlns:a16="http://schemas.microsoft.com/office/drawing/2014/main" id="{00000000-0008-0000-1600-000003F4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0</xdr:row>
          <xdr:rowOff>7620</xdr:rowOff>
        </xdr:from>
        <xdr:to>
          <xdr:col>2</xdr:col>
          <xdr:colOff>68580</xdr:colOff>
          <xdr:row>0</xdr:row>
          <xdr:rowOff>281940</xdr:rowOff>
        </xdr:to>
        <xdr:sp macro="" textlink="">
          <xdr:nvSpPr>
            <xdr:cNvPr id="259076" name="cmdGood" hidden="1">
              <a:extLst>
                <a:ext uri="{63B3BB69-23CF-44E3-9099-C40C66FF867C}">
                  <a14:compatExt spid="_x0000_s259076"/>
                </a:ext>
                <a:ext uri="{FF2B5EF4-FFF2-40B4-BE49-F238E27FC236}">
                  <a16:creationId xmlns:a16="http://schemas.microsoft.com/office/drawing/2014/main" id="{00000000-0008-0000-1600-000004F4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883920</xdr:colOff>
          <xdr:row>0</xdr:row>
          <xdr:rowOff>274320</xdr:rowOff>
        </xdr:from>
        <xdr:to>
          <xdr:col>5</xdr:col>
          <xdr:colOff>716280</xdr:colOff>
          <xdr:row>2</xdr:row>
          <xdr:rowOff>175260</xdr:rowOff>
        </xdr:to>
        <xdr:sp macro="" textlink="">
          <xdr:nvSpPr>
            <xdr:cNvPr id="71275" name="cmdReCalculate" hidden="1">
              <a:extLst>
                <a:ext uri="{63B3BB69-23CF-44E3-9099-C40C66FF867C}">
                  <a14:compatExt spid="_x0000_s71275"/>
                </a:ext>
                <a:ext uri="{FF2B5EF4-FFF2-40B4-BE49-F238E27FC236}">
                  <a16:creationId xmlns:a16="http://schemas.microsoft.com/office/drawing/2014/main" id="{00000000-0008-0000-1700-00006B1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45720</xdr:colOff>
          <xdr:row>0</xdr:row>
          <xdr:rowOff>45720</xdr:rowOff>
        </xdr:from>
        <xdr:to>
          <xdr:col>2</xdr:col>
          <xdr:colOff>883920</xdr:colOff>
          <xdr:row>2</xdr:row>
          <xdr:rowOff>7620</xdr:rowOff>
        </xdr:to>
        <xdr:sp macro="" textlink="">
          <xdr:nvSpPr>
            <xdr:cNvPr id="104462" name="cmdUpdate" hidden="1">
              <a:extLst>
                <a:ext uri="{63B3BB69-23CF-44E3-9099-C40C66FF867C}">
                  <a14:compatExt spid="_x0000_s104462"/>
                </a:ext>
                <a:ext uri="{FF2B5EF4-FFF2-40B4-BE49-F238E27FC236}">
                  <a16:creationId xmlns:a16="http://schemas.microsoft.com/office/drawing/2014/main" id="{00000000-0008-0000-1A00-00000E9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4</xdr:col>
      <xdr:colOff>219074</xdr:colOff>
      <xdr:row>40</xdr:row>
      <xdr:rowOff>52387</xdr:rowOff>
    </xdr:from>
    <xdr:to>
      <xdr:col>9</xdr:col>
      <xdr:colOff>676275</xdr:colOff>
      <xdr:row>49</xdr:row>
      <xdr:rowOff>104775</xdr:rowOff>
    </xdr:to>
    <xdr:graphicFrame macro="">
      <xdr:nvGraphicFramePr>
        <xdr:cNvPr id="2" name="图表 1">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761999</xdr:colOff>
      <xdr:row>114</xdr:row>
      <xdr:rowOff>109537</xdr:rowOff>
    </xdr:from>
    <xdr:to>
      <xdr:col>8</xdr:col>
      <xdr:colOff>514349</xdr:colOff>
      <xdr:row>124</xdr:row>
      <xdr:rowOff>77787</xdr:rowOff>
    </xdr:to>
    <xdr:graphicFrame macro="">
      <xdr:nvGraphicFramePr>
        <xdr:cNvPr id="3" name="图表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180974</xdr:colOff>
      <xdr:row>144</xdr:row>
      <xdr:rowOff>80962</xdr:rowOff>
    </xdr:from>
    <xdr:to>
      <xdr:col>9</xdr:col>
      <xdr:colOff>838199</xdr:colOff>
      <xdr:row>154</xdr:row>
      <xdr:rowOff>49212</xdr:rowOff>
    </xdr:to>
    <xdr:graphicFrame macro="">
      <xdr:nvGraphicFramePr>
        <xdr:cNvPr id="4" name="图表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266700</xdr:colOff>
      <xdr:row>200</xdr:row>
      <xdr:rowOff>214312</xdr:rowOff>
    </xdr:from>
    <xdr:to>
      <xdr:col>8</xdr:col>
      <xdr:colOff>19050</xdr:colOff>
      <xdr:row>210</xdr:row>
      <xdr:rowOff>182562</xdr:rowOff>
    </xdr:to>
    <xdr:graphicFrame macro="">
      <xdr:nvGraphicFramePr>
        <xdr:cNvPr id="5" name="图表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619125</xdr:colOff>
      <xdr:row>200</xdr:row>
      <xdr:rowOff>195262</xdr:rowOff>
    </xdr:from>
    <xdr:to>
      <xdr:col>14</xdr:col>
      <xdr:colOff>371475</xdr:colOff>
      <xdr:row>210</xdr:row>
      <xdr:rowOff>163512</xdr:rowOff>
    </xdr:to>
    <xdr:graphicFrame macro="">
      <xdr:nvGraphicFramePr>
        <xdr:cNvPr id="6" name="图表 5">
          <a:extLst>
            <a:ext uri="{FF2B5EF4-FFF2-40B4-BE49-F238E27FC236}">
              <a16:creationId xmlns:a16="http://schemas.microsoft.com/office/drawing/2014/main" id="{00000000-0008-0000-1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171450</xdr:colOff>
      <xdr:row>40</xdr:row>
      <xdr:rowOff>9525</xdr:rowOff>
    </xdr:from>
    <xdr:to>
      <xdr:col>9</xdr:col>
      <xdr:colOff>828675</xdr:colOff>
      <xdr:row>49</xdr:row>
      <xdr:rowOff>196850</xdr:rowOff>
    </xdr:to>
    <xdr:graphicFrame macro="">
      <xdr:nvGraphicFramePr>
        <xdr:cNvPr id="7" name="图表 6">
          <a:extLst>
            <a:ext uri="{FF2B5EF4-FFF2-40B4-BE49-F238E27FC236}">
              <a16:creationId xmlns:a16="http://schemas.microsoft.com/office/drawing/2014/main" id="{00000000-0008-0000-1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209550</xdr:colOff>
      <xdr:row>71</xdr:row>
      <xdr:rowOff>38100</xdr:rowOff>
    </xdr:from>
    <xdr:to>
      <xdr:col>9</xdr:col>
      <xdr:colOff>866775</xdr:colOff>
      <xdr:row>81</xdr:row>
      <xdr:rowOff>6350</xdr:rowOff>
    </xdr:to>
    <xdr:graphicFrame macro="">
      <xdr:nvGraphicFramePr>
        <xdr:cNvPr id="8" name="图表 7">
          <a:extLst>
            <a:ext uri="{FF2B5EF4-FFF2-40B4-BE49-F238E27FC236}">
              <a16:creationId xmlns:a16="http://schemas.microsoft.com/office/drawing/2014/main" id="{00000000-0008-0000-1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314325</xdr:colOff>
      <xdr:row>1</xdr:row>
      <xdr:rowOff>104775</xdr:rowOff>
    </xdr:from>
    <xdr:to>
      <xdr:col>20</xdr:col>
      <xdr:colOff>409030</xdr:colOff>
      <xdr:row>4</xdr:row>
      <xdr:rowOff>142799</xdr:rowOff>
    </xdr:to>
    <xdr:pic>
      <xdr:nvPicPr>
        <xdr:cNvPr id="2" name="图片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cstate="print"/>
        <a:stretch>
          <a:fillRect/>
        </a:stretch>
      </xdr:blipFill>
      <xdr:spPr>
        <a:xfrm>
          <a:off x="9344025" y="257175"/>
          <a:ext cx="4361905" cy="609524"/>
        </a:xfrm>
        <a:prstGeom prst="rect">
          <a:avLst/>
        </a:prstGeom>
      </xdr:spPr>
    </xdr:pic>
    <xdr:clientData/>
  </xdr:twoCellAnchor>
  <xdr:twoCellAnchor editAs="oneCell">
    <xdr:from>
      <xdr:col>12</xdr:col>
      <xdr:colOff>390525</xdr:colOff>
      <xdr:row>5</xdr:row>
      <xdr:rowOff>0</xdr:rowOff>
    </xdr:from>
    <xdr:to>
      <xdr:col>20</xdr:col>
      <xdr:colOff>447135</xdr:colOff>
      <xdr:row>5</xdr:row>
      <xdr:rowOff>190476</xdr:rowOff>
    </xdr:to>
    <xdr:pic>
      <xdr:nvPicPr>
        <xdr:cNvPr id="3" name="图片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cstate="print"/>
        <a:stretch>
          <a:fillRect/>
        </a:stretch>
      </xdr:blipFill>
      <xdr:spPr>
        <a:xfrm>
          <a:off x="9420225" y="914400"/>
          <a:ext cx="4323810" cy="19047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419100</xdr:colOff>
          <xdr:row>0</xdr:row>
          <xdr:rowOff>76200</xdr:rowOff>
        </xdr:from>
        <xdr:to>
          <xdr:col>11</xdr:col>
          <xdr:colOff>0</xdr:colOff>
          <xdr:row>2</xdr:row>
          <xdr:rowOff>15240</xdr:rowOff>
        </xdr:to>
        <xdr:sp macro="" textlink="">
          <xdr:nvSpPr>
            <xdr:cNvPr id="105473" name="CommandButton1" hidden="1">
              <a:extLst>
                <a:ext uri="{63B3BB69-23CF-44E3-9099-C40C66FF867C}">
                  <a14:compatExt spid="_x0000_s105473"/>
                </a:ext>
                <a:ext uri="{FF2B5EF4-FFF2-40B4-BE49-F238E27FC236}">
                  <a16:creationId xmlns:a16="http://schemas.microsoft.com/office/drawing/2014/main" id="{00000000-0008-0000-1E00-0000019C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0</xdr:row>
          <xdr:rowOff>0</xdr:rowOff>
        </xdr:from>
        <xdr:to>
          <xdr:col>9</xdr:col>
          <xdr:colOff>190500</xdr:colOff>
          <xdr:row>1</xdr:row>
          <xdr:rowOff>15240</xdr:rowOff>
        </xdr:to>
        <xdr:sp macro="" textlink="">
          <xdr:nvSpPr>
            <xdr:cNvPr id="105474" name="CBSortOrder" hidden="1">
              <a:extLst>
                <a:ext uri="{63B3BB69-23CF-44E3-9099-C40C66FF867C}">
                  <a14:compatExt spid="_x0000_s105474"/>
                </a:ext>
                <a:ext uri="{FF2B5EF4-FFF2-40B4-BE49-F238E27FC236}">
                  <a16:creationId xmlns:a16="http://schemas.microsoft.com/office/drawing/2014/main" id="{00000000-0008-0000-1E00-000002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44</xdr:row>
          <xdr:rowOff>30480</xdr:rowOff>
        </xdr:from>
        <xdr:to>
          <xdr:col>1</xdr:col>
          <xdr:colOff>0</xdr:colOff>
          <xdr:row>44</xdr:row>
          <xdr:rowOff>220980</xdr:rowOff>
        </xdr:to>
        <xdr:sp macro="" textlink="">
          <xdr:nvSpPr>
            <xdr:cNvPr id="22939649" name="Drop Down 1" hidden="1">
              <a:extLst>
                <a:ext uri="{63B3BB69-23CF-44E3-9099-C40C66FF867C}">
                  <a14:compatExt spid="_x0000_s22939649"/>
                </a:ext>
                <a:ext uri="{FF2B5EF4-FFF2-40B4-BE49-F238E27FC236}">
                  <a16:creationId xmlns:a16="http://schemas.microsoft.com/office/drawing/2014/main" id="{00000000-0008-0000-2000-000001085E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45</xdr:row>
          <xdr:rowOff>30480</xdr:rowOff>
        </xdr:from>
        <xdr:to>
          <xdr:col>1</xdr:col>
          <xdr:colOff>0</xdr:colOff>
          <xdr:row>46</xdr:row>
          <xdr:rowOff>7620</xdr:rowOff>
        </xdr:to>
        <xdr:sp macro="" textlink="">
          <xdr:nvSpPr>
            <xdr:cNvPr id="22939650" name="Drop Down 2" hidden="1">
              <a:extLst>
                <a:ext uri="{63B3BB69-23CF-44E3-9099-C40C66FF867C}">
                  <a14:compatExt spid="_x0000_s22939650"/>
                </a:ext>
                <a:ext uri="{FF2B5EF4-FFF2-40B4-BE49-F238E27FC236}">
                  <a16:creationId xmlns:a16="http://schemas.microsoft.com/office/drawing/2014/main" id="{00000000-0008-0000-2000-000002085E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46</xdr:row>
      <xdr:rowOff>28575</xdr:rowOff>
    </xdr:from>
    <xdr:to>
      <xdr:col>14</xdr:col>
      <xdr:colOff>0</xdr:colOff>
      <xdr:row>58</xdr:row>
      <xdr:rowOff>161925</xdr:rowOff>
    </xdr:to>
    <xdr:graphicFrame macro="">
      <xdr:nvGraphicFramePr>
        <xdr:cNvPr id="5" name="Chart 17">
          <a:extLst>
            <a:ext uri="{FF2B5EF4-FFF2-40B4-BE49-F238E27FC236}">
              <a16:creationId xmlns:a16="http://schemas.microsoft.com/office/drawing/2014/main" id="{00000000-0008-0000-2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zhaohual\AppData\Local\Microsoft\Windows\Temporary%20Internet%20Files\Content.IE5\EWI2632H\&#20272;&#20540;\&#31454;&#20105;&#23545;&#25163;&#20272;&#20540;&#27169;&#22411;\Wind&#20272;&#20540;&#27169;&#2241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zhaohual\AppData\Local\Microsoft\Windows\Temporary%20Internet%20Files\Content.IE5\EWI2632H\&#24037;&#20316;&#25991;&#26723;\Excel\&#32929;&#31080;&#20272;&#20540;&#27169;&#26495;\&#27169;&#26495;VBA&#21151;&#33021;&#35797;&#3956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Users\zhaohual\AppData\Local\Microsoft\Windows\Temporary%20Internet%20Files\Content.IE5\EWI2632H\&#36130;&#21153;&#20272;&#20540;&#24179;&#21488;.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Users\zhaohual\AppData\Local\Microsoft\Windows\Temporary%20Internet%20Files\Content.IE5\EWI2632H\Users\winnie\Desktop\&#36125;&#26684;&#36130;&#21153;&#20272;&#20540;&#24179;&#21488;&#65288;&#27665;&#26063;&#25913;&#65289;.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Users\zhaohual\AppData\Local\Microsoft\Windows\Temporary%20Internet%20Files\Content.IE5\EWI2632H\&#20272;&#20540;\&#31454;&#20105;&#23545;&#25163;&#20272;&#20540;&#27169;&#22411;\&#30331;&#28023;&#31181;&#19994;&#65288;002041&#65289;Valuation%20Model-v1-201002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首页"/>
      <sheetName val="说明"/>
      <sheetName val="历史报表(简化)"/>
      <sheetName val="历史报表(原始)"/>
      <sheetName val="基本假设"/>
      <sheetName val="收入"/>
      <sheetName val="投资"/>
      <sheetName val="筹资"/>
      <sheetName val="预测IS"/>
      <sheetName val="预测BS"/>
      <sheetName val="预测CS"/>
      <sheetName val="财务分析"/>
      <sheetName val="预测合理性检验"/>
      <sheetName val="绝对估值"/>
      <sheetName val="敏感分析"/>
      <sheetName val="估值(可比公司)"/>
      <sheetName val="相对估值"/>
      <sheetName val="杜邦分析"/>
      <sheetName val="历史报表(单季)"/>
      <sheetName val="输出报告"/>
      <sheetName val="创建预测she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隐藏行列"/>
      <sheetName val="Sheet4"/>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财务数据对照表"/>
      <sheetName val="数据输入"/>
      <sheetName val="主营业务名称"/>
      <sheetName val="说明1"/>
      <sheetName val="目录1"/>
      <sheetName val="年度数据"/>
      <sheetName val="收入成本预测1"/>
      <sheetName val="单产品敏感性分析"/>
      <sheetName val="假设"/>
      <sheetName val="假设记录表"/>
      <sheetName val="假设控件参照"/>
      <sheetName val="营运资本"/>
      <sheetName val="资本投资"/>
      <sheetName val="债务"/>
      <sheetName val="利润表"/>
      <sheetName val="资产负债"/>
      <sheetName val="现金流量"/>
      <sheetName val="资产规模指数化分析"/>
      <sheetName val="同比报表"/>
      <sheetName val="财务分析"/>
      <sheetName val="杜邦分析"/>
      <sheetName val="图形"/>
      <sheetName val="估值"/>
      <sheetName val="情景表"/>
      <sheetName val="绝对估值"/>
      <sheetName val="绝对估值敏感性分析"/>
      <sheetName val="相对估值"/>
      <sheetName val="输出"/>
      <sheetName val="数据输入季度数据"/>
      <sheetName val="季度数据"/>
      <sheetName val="财务估值平台"/>
    </sheetNames>
    <sheetDataSet>
      <sheetData sheetId="0"/>
      <sheetData sheetId="1"/>
      <sheetData sheetId="2"/>
      <sheetData sheetId="3"/>
      <sheetData sheetId="4">
        <row r="7">
          <cell r="L7" t="str">
            <v>002567.SZ</v>
          </cell>
        </row>
      </sheetData>
      <sheetData sheetId="5">
        <row r="1">
          <cell r="C1" t="str">
            <v>2007-12-31</v>
          </cell>
        </row>
      </sheetData>
      <sheetData sheetId="6"/>
      <sheetData sheetId="7"/>
      <sheetData sheetId="8">
        <row r="2">
          <cell r="I2" t="str">
            <v>2013E</v>
          </cell>
        </row>
      </sheetData>
      <sheetData sheetId="9"/>
      <sheetData sheetId="10"/>
      <sheetData sheetId="11"/>
      <sheetData sheetId="12"/>
      <sheetData sheetId="13"/>
      <sheetData sheetId="14">
        <row r="2">
          <cell r="E2">
            <v>3748.4788801899999</v>
          </cell>
        </row>
      </sheetData>
      <sheetData sheetId="15">
        <row r="1">
          <cell r="I1" t="str">
            <v>2013E</v>
          </cell>
        </row>
      </sheetData>
      <sheetData sheetId="16"/>
      <sheetData sheetId="17">
        <row r="24">
          <cell r="C24" t="str">
            <v>2009-03-31</v>
          </cell>
        </row>
      </sheetData>
      <sheetData sheetId="18"/>
      <sheetData sheetId="19"/>
      <sheetData sheetId="20"/>
      <sheetData sheetId="21"/>
      <sheetData sheetId="22"/>
      <sheetData sheetId="23"/>
      <sheetData sheetId="24"/>
      <sheetData sheetId="25"/>
      <sheetData sheetId="26"/>
      <sheetData sheetId="27"/>
      <sheetData sheetId="28"/>
      <sheetData sheetId="29">
        <row r="1">
          <cell r="C1" t="str">
            <v>2010-03-31</v>
          </cell>
        </row>
      </sheetData>
      <sheetData sheetId="3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财务数据对照表"/>
      <sheetName val="数据输入"/>
      <sheetName val="主营业务名称"/>
      <sheetName val="说明"/>
      <sheetName val="目录"/>
      <sheetName val="年度数据"/>
      <sheetName val="收入成本预测"/>
      <sheetName val="单产品敏感性分析"/>
      <sheetName val="假设"/>
      <sheetName val="假设记录表"/>
      <sheetName val="假设控件参照"/>
      <sheetName val="营运资本"/>
      <sheetName val="资本投资"/>
      <sheetName val="债务"/>
      <sheetName val="利润表"/>
      <sheetName val="资产负债"/>
      <sheetName val="现金流量"/>
      <sheetName val="资产规模指数化分析"/>
      <sheetName val="同比报表"/>
      <sheetName val="财务分析"/>
      <sheetName val="杜邦分析"/>
      <sheetName val="图形"/>
      <sheetName val="估值"/>
      <sheetName val="情景表"/>
      <sheetName val="绝对估值"/>
      <sheetName val="绝对估值敏感性分析"/>
      <sheetName val="相对估值"/>
      <sheetName val="输出"/>
      <sheetName val="数据输入季度数据"/>
      <sheetName val="季度数据"/>
      <sheetName val="民族输出"/>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说明"/>
      <sheetName val="operating"/>
      <sheetName val="Assumption"/>
      <sheetName val="Scenerio"/>
      <sheetName val="D&amp;A"/>
      <sheetName val="Financing"/>
      <sheetName val="IS"/>
      <sheetName val="BS"/>
      <sheetName val="SCF"/>
      <sheetName val="FCF"/>
      <sheetName val="Valuation"/>
      <sheetName val="Ratios"/>
      <sheetName val="输出表格"/>
      <sheetName val="单季度分析"/>
      <sheetName val="原始报表"/>
      <sheetName val="明细科目"/>
      <sheetName val="单季"/>
      <sheetName val="累计单季"/>
    </sheetNames>
    <sheetDataSet>
      <sheetData sheetId="0"/>
      <sheetData sheetId="1"/>
      <sheetData sheetId="2"/>
      <sheetData sheetId="3"/>
      <sheetData sheetId="4"/>
      <sheetData sheetId="5"/>
      <sheetData sheetId="6"/>
      <sheetData sheetId="7"/>
      <sheetData sheetId="8"/>
      <sheetData sheetId="9"/>
      <sheetData sheetId="10">
        <row r="9">
          <cell r="P9">
            <v>9.5923950000000008E-2</v>
          </cell>
        </row>
      </sheetData>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image" Target="../media/image7.emf"/><Relationship Id="rId26" Type="http://schemas.openxmlformats.org/officeDocument/2006/relationships/control" Target="../activeX/activeX16.xml"/><Relationship Id="rId39" Type="http://schemas.openxmlformats.org/officeDocument/2006/relationships/image" Target="../media/image8.emf"/><Relationship Id="rId21" Type="http://schemas.openxmlformats.org/officeDocument/2006/relationships/control" Target="../activeX/activeX11.xml"/><Relationship Id="rId34" Type="http://schemas.openxmlformats.org/officeDocument/2006/relationships/control" Target="../activeX/activeX24.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ntrol" Target="../activeX/activeX8.xml"/><Relationship Id="rId25" Type="http://schemas.openxmlformats.org/officeDocument/2006/relationships/control" Target="../activeX/activeX15.xml"/><Relationship Id="rId33" Type="http://schemas.openxmlformats.org/officeDocument/2006/relationships/control" Target="../activeX/activeX23.xml"/><Relationship Id="rId38" Type="http://schemas.openxmlformats.org/officeDocument/2006/relationships/control" Target="../activeX/activeX28.xml"/><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10.xml"/><Relationship Id="rId29" Type="http://schemas.openxmlformats.org/officeDocument/2006/relationships/control" Target="../activeX/activeX19.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4.xml"/><Relationship Id="rId32" Type="http://schemas.openxmlformats.org/officeDocument/2006/relationships/control" Target="../activeX/activeX22.xml"/><Relationship Id="rId37" Type="http://schemas.openxmlformats.org/officeDocument/2006/relationships/control" Target="../activeX/activeX27.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ontrol" Target="../activeX/activeX13.xml"/><Relationship Id="rId28" Type="http://schemas.openxmlformats.org/officeDocument/2006/relationships/control" Target="../activeX/activeX18.xml"/><Relationship Id="rId36" Type="http://schemas.openxmlformats.org/officeDocument/2006/relationships/control" Target="../activeX/activeX26.xml"/><Relationship Id="rId10" Type="http://schemas.openxmlformats.org/officeDocument/2006/relationships/control" Target="../activeX/activeX4.xml"/><Relationship Id="rId19" Type="http://schemas.openxmlformats.org/officeDocument/2006/relationships/control" Target="../activeX/activeX9.xml"/><Relationship Id="rId31"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2.xml"/><Relationship Id="rId27" Type="http://schemas.openxmlformats.org/officeDocument/2006/relationships/control" Target="../activeX/activeX17.xml"/><Relationship Id="rId30" Type="http://schemas.openxmlformats.org/officeDocument/2006/relationships/control" Target="../activeX/activeX20.xml"/><Relationship Id="rId35" Type="http://schemas.openxmlformats.org/officeDocument/2006/relationships/control" Target="../activeX/activeX25.xml"/><Relationship Id="rId8" Type="http://schemas.openxmlformats.org/officeDocument/2006/relationships/control" Target="../activeX/activeX3.xml"/><Relationship Id="rId3"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40.xml"/><Relationship Id="rId21" Type="http://schemas.openxmlformats.org/officeDocument/2006/relationships/image" Target="../media/image18.emf"/><Relationship Id="rId42" Type="http://schemas.openxmlformats.org/officeDocument/2006/relationships/control" Target="../activeX/activeX48.xml"/><Relationship Id="rId47" Type="http://schemas.openxmlformats.org/officeDocument/2006/relationships/image" Target="../media/image31.emf"/><Relationship Id="rId63" Type="http://schemas.openxmlformats.org/officeDocument/2006/relationships/image" Target="../media/image39.emf"/><Relationship Id="rId68" Type="http://schemas.openxmlformats.org/officeDocument/2006/relationships/control" Target="../activeX/activeX61.xml"/><Relationship Id="rId2" Type="http://schemas.openxmlformats.org/officeDocument/2006/relationships/drawing" Target="../drawings/drawing3.xml"/><Relationship Id="rId16" Type="http://schemas.openxmlformats.org/officeDocument/2006/relationships/control" Target="../activeX/activeX35.xml"/><Relationship Id="rId29" Type="http://schemas.openxmlformats.org/officeDocument/2006/relationships/image" Target="../media/image22.emf"/><Relationship Id="rId11" Type="http://schemas.openxmlformats.org/officeDocument/2006/relationships/image" Target="../media/image13.emf"/><Relationship Id="rId24" Type="http://schemas.openxmlformats.org/officeDocument/2006/relationships/control" Target="../activeX/activeX39.xml"/><Relationship Id="rId32" Type="http://schemas.openxmlformats.org/officeDocument/2006/relationships/control" Target="../activeX/activeX43.xml"/><Relationship Id="rId37" Type="http://schemas.openxmlformats.org/officeDocument/2006/relationships/image" Target="../media/image26.emf"/><Relationship Id="rId40" Type="http://schemas.openxmlformats.org/officeDocument/2006/relationships/control" Target="../activeX/activeX47.xml"/><Relationship Id="rId45" Type="http://schemas.openxmlformats.org/officeDocument/2006/relationships/image" Target="../media/image30.emf"/><Relationship Id="rId53" Type="http://schemas.openxmlformats.org/officeDocument/2006/relationships/image" Target="../media/image34.emf"/><Relationship Id="rId58" Type="http://schemas.openxmlformats.org/officeDocument/2006/relationships/control" Target="../activeX/activeX56.xml"/><Relationship Id="rId66" Type="http://schemas.openxmlformats.org/officeDocument/2006/relationships/control" Target="../activeX/activeX60.xml"/><Relationship Id="rId74" Type="http://schemas.openxmlformats.org/officeDocument/2006/relationships/comments" Target="../comments2.xml"/><Relationship Id="rId5" Type="http://schemas.openxmlformats.org/officeDocument/2006/relationships/image" Target="../media/image10.emf"/><Relationship Id="rId61" Type="http://schemas.openxmlformats.org/officeDocument/2006/relationships/image" Target="../media/image38.emf"/><Relationship Id="rId19" Type="http://schemas.openxmlformats.org/officeDocument/2006/relationships/image" Target="../media/image17.emf"/><Relationship Id="rId14" Type="http://schemas.openxmlformats.org/officeDocument/2006/relationships/control" Target="../activeX/activeX34.xml"/><Relationship Id="rId22" Type="http://schemas.openxmlformats.org/officeDocument/2006/relationships/control" Target="../activeX/activeX38.xml"/><Relationship Id="rId27" Type="http://schemas.openxmlformats.org/officeDocument/2006/relationships/image" Target="../media/image21.emf"/><Relationship Id="rId30" Type="http://schemas.openxmlformats.org/officeDocument/2006/relationships/control" Target="../activeX/activeX42.xml"/><Relationship Id="rId35" Type="http://schemas.openxmlformats.org/officeDocument/2006/relationships/image" Target="../media/image25.emf"/><Relationship Id="rId43" Type="http://schemas.openxmlformats.org/officeDocument/2006/relationships/image" Target="../media/image29.emf"/><Relationship Id="rId48" Type="http://schemas.openxmlformats.org/officeDocument/2006/relationships/control" Target="../activeX/activeX51.xml"/><Relationship Id="rId56" Type="http://schemas.openxmlformats.org/officeDocument/2006/relationships/control" Target="../activeX/activeX55.xml"/><Relationship Id="rId64" Type="http://schemas.openxmlformats.org/officeDocument/2006/relationships/control" Target="../activeX/activeX59.xml"/><Relationship Id="rId69" Type="http://schemas.openxmlformats.org/officeDocument/2006/relationships/image" Target="../media/image42.emf"/><Relationship Id="rId8" Type="http://schemas.openxmlformats.org/officeDocument/2006/relationships/control" Target="../activeX/activeX31.xml"/><Relationship Id="rId51" Type="http://schemas.openxmlformats.org/officeDocument/2006/relationships/image" Target="../media/image33.emf"/><Relationship Id="rId72" Type="http://schemas.openxmlformats.org/officeDocument/2006/relationships/control" Target="../activeX/activeX63.xml"/><Relationship Id="rId3" Type="http://schemas.openxmlformats.org/officeDocument/2006/relationships/vmlDrawing" Target="../drawings/vmlDrawing3.vml"/><Relationship Id="rId12" Type="http://schemas.openxmlformats.org/officeDocument/2006/relationships/control" Target="../activeX/activeX33.xml"/><Relationship Id="rId17" Type="http://schemas.openxmlformats.org/officeDocument/2006/relationships/image" Target="../media/image16.emf"/><Relationship Id="rId25" Type="http://schemas.openxmlformats.org/officeDocument/2006/relationships/image" Target="../media/image20.emf"/><Relationship Id="rId33" Type="http://schemas.openxmlformats.org/officeDocument/2006/relationships/image" Target="../media/image24.emf"/><Relationship Id="rId38" Type="http://schemas.openxmlformats.org/officeDocument/2006/relationships/control" Target="../activeX/activeX46.xml"/><Relationship Id="rId46" Type="http://schemas.openxmlformats.org/officeDocument/2006/relationships/control" Target="../activeX/activeX50.xml"/><Relationship Id="rId59" Type="http://schemas.openxmlformats.org/officeDocument/2006/relationships/image" Target="../media/image37.emf"/><Relationship Id="rId67" Type="http://schemas.openxmlformats.org/officeDocument/2006/relationships/image" Target="../media/image41.emf"/><Relationship Id="rId20" Type="http://schemas.openxmlformats.org/officeDocument/2006/relationships/control" Target="../activeX/activeX37.xml"/><Relationship Id="rId41" Type="http://schemas.openxmlformats.org/officeDocument/2006/relationships/image" Target="../media/image28.emf"/><Relationship Id="rId54" Type="http://schemas.openxmlformats.org/officeDocument/2006/relationships/control" Target="../activeX/activeX54.xml"/><Relationship Id="rId62" Type="http://schemas.openxmlformats.org/officeDocument/2006/relationships/control" Target="../activeX/activeX58.xml"/><Relationship Id="rId70" Type="http://schemas.openxmlformats.org/officeDocument/2006/relationships/control" Target="../activeX/activeX62.xml"/><Relationship Id="rId1" Type="http://schemas.openxmlformats.org/officeDocument/2006/relationships/printerSettings" Target="../printerSettings/printerSettings6.bin"/><Relationship Id="rId6" Type="http://schemas.openxmlformats.org/officeDocument/2006/relationships/control" Target="../activeX/activeX30.xml"/><Relationship Id="rId15" Type="http://schemas.openxmlformats.org/officeDocument/2006/relationships/image" Target="../media/image15.emf"/><Relationship Id="rId23" Type="http://schemas.openxmlformats.org/officeDocument/2006/relationships/image" Target="../media/image19.emf"/><Relationship Id="rId28" Type="http://schemas.openxmlformats.org/officeDocument/2006/relationships/control" Target="../activeX/activeX41.xml"/><Relationship Id="rId36" Type="http://schemas.openxmlformats.org/officeDocument/2006/relationships/control" Target="../activeX/activeX45.xml"/><Relationship Id="rId49" Type="http://schemas.openxmlformats.org/officeDocument/2006/relationships/image" Target="../media/image32.emf"/><Relationship Id="rId57" Type="http://schemas.openxmlformats.org/officeDocument/2006/relationships/image" Target="../media/image36.emf"/><Relationship Id="rId10" Type="http://schemas.openxmlformats.org/officeDocument/2006/relationships/control" Target="../activeX/activeX32.xml"/><Relationship Id="rId31" Type="http://schemas.openxmlformats.org/officeDocument/2006/relationships/image" Target="../media/image23.emf"/><Relationship Id="rId44" Type="http://schemas.openxmlformats.org/officeDocument/2006/relationships/control" Target="../activeX/activeX49.xml"/><Relationship Id="rId52" Type="http://schemas.openxmlformats.org/officeDocument/2006/relationships/control" Target="../activeX/activeX53.xml"/><Relationship Id="rId60" Type="http://schemas.openxmlformats.org/officeDocument/2006/relationships/control" Target="../activeX/activeX57.xml"/><Relationship Id="rId65" Type="http://schemas.openxmlformats.org/officeDocument/2006/relationships/image" Target="../media/image40.emf"/><Relationship Id="rId73" Type="http://schemas.openxmlformats.org/officeDocument/2006/relationships/image" Target="../media/image44.emf"/><Relationship Id="rId4" Type="http://schemas.openxmlformats.org/officeDocument/2006/relationships/control" Target="../activeX/activeX29.xml"/><Relationship Id="rId9" Type="http://schemas.openxmlformats.org/officeDocument/2006/relationships/image" Target="../media/image12.emf"/><Relationship Id="rId13" Type="http://schemas.openxmlformats.org/officeDocument/2006/relationships/image" Target="../media/image14.emf"/><Relationship Id="rId18" Type="http://schemas.openxmlformats.org/officeDocument/2006/relationships/control" Target="../activeX/activeX36.xml"/><Relationship Id="rId39" Type="http://schemas.openxmlformats.org/officeDocument/2006/relationships/image" Target="../media/image27.emf"/><Relationship Id="rId34" Type="http://schemas.openxmlformats.org/officeDocument/2006/relationships/control" Target="../activeX/activeX44.xml"/><Relationship Id="rId50" Type="http://schemas.openxmlformats.org/officeDocument/2006/relationships/control" Target="../activeX/activeX52.xml"/><Relationship Id="rId55" Type="http://schemas.openxmlformats.org/officeDocument/2006/relationships/image" Target="../media/image35.emf"/><Relationship Id="rId7" Type="http://schemas.openxmlformats.org/officeDocument/2006/relationships/image" Target="../media/image11.emf"/><Relationship Id="rId71" Type="http://schemas.openxmlformats.org/officeDocument/2006/relationships/image" Target="../media/image43.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4.vml"/><Relationship Id="rId7" Type="http://schemas.openxmlformats.org/officeDocument/2006/relationships/image" Target="../media/image46.emf"/><Relationship Id="rId12" Type="http://schemas.openxmlformats.org/officeDocument/2006/relationships/image" Target="../media/image48.emf"/><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ntrol" Target="../activeX/activeX65.xml"/><Relationship Id="rId11" Type="http://schemas.openxmlformats.org/officeDocument/2006/relationships/control" Target="../activeX/activeX68.xml"/><Relationship Id="rId5" Type="http://schemas.openxmlformats.org/officeDocument/2006/relationships/image" Target="../media/image45.emf"/><Relationship Id="rId10" Type="http://schemas.openxmlformats.org/officeDocument/2006/relationships/image" Target="../media/image47.emf"/><Relationship Id="rId4" Type="http://schemas.openxmlformats.org/officeDocument/2006/relationships/control" Target="../activeX/activeX64.xml"/><Relationship Id="rId9" Type="http://schemas.openxmlformats.org/officeDocument/2006/relationships/control" Target="../activeX/activeX67.xml"/></Relationships>
</file>

<file path=xl/worksheets/_rels/sheet13.xml.rels><?xml version="1.0" encoding="UTF-8" standalone="yes"?>
<Relationships xmlns="http://schemas.openxmlformats.org/package/2006/relationships"><Relationship Id="rId117" Type="http://schemas.openxmlformats.org/officeDocument/2006/relationships/image" Target="../media/image106.emf"/><Relationship Id="rId21" Type="http://schemas.openxmlformats.org/officeDocument/2006/relationships/image" Target="../media/image58.emf"/><Relationship Id="rId42" Type="http://schemas.openxmlformats.org/officeDocument/2006/relationships/control" Target="../activeX/activeX88.xml"/><Relationship Id="rId63" Type="http://schemas.openxmlformats.org/officeDocument/2006/relationships/image" Target="../media/image79.emf"/><Relationship Id="rId84" Type="http://schemas.openxmlformats.org/officeDocument/2006/relationships/control" Target="../activeX/activeX109.xml"/><Relationship Id="rId138" Type="http://schemas.openxmlformats.org/officeDocument/2006/relationships/control" Target="../activeX/activeX136.xml"/><Relationship Id="rId159" Type="http://schemas.openxmlformats.org/officeDocument/2006/relationships/image" Target="../media/image127.emf"/><Relationship Id="rId170" Type="http://schemas.openxmlformats.org/officeDocument/2006/relationships/control" Target="../activeX/activeX152.xml"/><Relationship Id="rId107" Type="http://schemas.openxmlformats.org/officeDocument/2006/relationships/image" Target="../media/image101.emf"/><Relationship Id="rId11" Type="http://schemas.openxmlformats.org/officeDocument/2006/relationships/image" Target="../media/image53.emf"/><Relationship Id="rId32" Type="http://schemas.openxmlformats.org/officeDocument/2006/relationships/control" Target="../activeX/activeX83.xml"/><Relationship Id="rId53" Type="http://schemas.openxmlformats.org/officeDocument/2006/relationships/image" Target="../media/image74.emf"/><Relationship Id="rId74" Type="http://schemas.openxmlformats.org/officeDocument/2006/relationships/control" Target="../activeX/activeX104.xml"/><Relationship Id="rId128" Type="http://schemas.openxmlformats.org/officeDocument/2006/relationships/control" Target="../activeX/activeX131.xml"/><Relationship Id="rId149" Type="http://schemas.openxmlformats.org/officeDocument/2006/relationships/image" Target="../media/image122.emf"/><Relationship Id="rId5" Type="http://schemas.openxmlformats.org/officeDocument/2006/relationships/image" Target="../media/image50.emf"/><Relationship Id="rId95" Type="http://schemas.openxmlformats.org/officeDocument/2006/relationships/image" Target="../media/image95.emf"/><Relationship Id="rId160" Type="http://schemas.openxmlformats.org/officeDocument/2006/relationships/control" Target="../activeX/activeX147.xml"/><Relationship Id="rId181" Type="http://schemas.openxmlformats.org/officeDocument/2006/relationships/image" Target="../media/image138.emf"/><Relationship Id="rId22" Type="http://schemas.openxmlformats.org/officeDocument/2006/relationships/control" Target="../activeX/activeX78.xml"/><Relationship Id="rId43" Type="http://schemas.openxmlformats.org/officeDocument/2006/relationships/image" Target="../media/image69.emf"/><Relationship Id="rId64" Type="http://schemas.openxmlformats.org/officeDocument/2006/relationships/control" Target="../activeX/activeX99.xml"/><Relationship Id="rId118" Type="http://schemas.openxmlformats.org/officeDocument/2006/relationships/control" Target="../activeX/activeX126.xml"/><Relationship Id="rId139" Type="http://schemas.openxmlformats.org/officeDocument/2006/relationships/image" Target="../media/image117.emf"/><Relationship Id="rId85" Type="http://schemas.openxmlformats.org/officeDocument/2006/relationships/image" Target="../media/image90.emf"/><Relationship Id="rId150" Type="http://schemas.openxmlformats.org/officeDocument/2006/relationships/control" Target="../activeX/activeX142.xml"/><Relationship Id="rId171" Type="http://schemas.openxmlformats.org/officeDocument/2006/relationships/image" Target="../media/image133.emf"/><Relationship Id="rId12" Type="http://schemas.openxmlformats.org/officeDocument/2006/relationships/control" Target="../activeX/activeX73.xml"/><Relationship Id="rId33" Type="http://schemas.openxmlformats.org/officeDocument/2006/relationships/image" Target="../media/image64.emf"/><Relationship Id="rId108" Type="http://schemas.openxmlformats.org/officeDocument/2006/relationships/control" Target="../activeX/activeX121.xml"/><Relationship Id="rId129" Type="http://schemas.openxmlformats.org/officeDocument/2006/relationships/image" Target="../media/image112.emf"/><Relationship Id="rId54" Type="http://schemas.openxmlformats.org/officeDocument/2006/relationships/control" Target="../activeX/activeX94.xml"/><Relationship Id="rId75" Type="http://schemas.openxmlformats.org/officeDocument/2006/relationships/image" Target="../media/image85.emf"/><Relationship Id="rId96" Type="http://schemas.openxmlformats.org/officeDocument/2006/relationships/control" Target="../activeX/activeX115.xml"/><Relationship Id="rId140" Type="http://schemas.openxmlformats.org/officeDocument/2006/relationships/control" Target="../activeX/activeX137.xml"/><Relationship Id="rId161" Type="http://schemas.openxmlformats.org/officeDocument/2006/relationships/image" Target="../media/image128.emf"/><Relationship Id="rId182" Type="http://schemas.openxmlformats.org/officeDocument/2006/relationships/control" Target="../activeX/activeX158.xml"/><Relationship Id="rId6" Type="http://schemas.openxmlformats.org/officeDocument/2006/relationships/control" Target="../activeX/activeX70.xml"/><Relationship Id="rId23" Type="http://schemas.openxmlformats.org/officeDocument/2006/relationships/image" Target="../media/image59.emf"/><Relationship Id="rId119" Type="http://schemas.openxmlformats.org/officeDocument/2006/relationships/image" Target="../media/image107.emf"/><Relationship Id="rId44" Type="http://schemas.openxmlformats.org/officeDocument/2006/relationships/control" Target="../activeX/activeX89.xml"/><Relationship Id="rId60" Type="http://schemas.openxmlformats.org/officeDocument/2006/relationships/control" Target="../activeX/activeX97.xml"/><Relationship Id="rId65" Type="http://schemas.openxmlformats.org/officeDocument/2006/relationships/image" Target="../media/image80.emf"/><Relationship Id="rId81" Type="http://schemas.openxmlformats.org/officeDocument/2006/relationships/image" Target="../media/image88.emf"/><Relationship Id="rId86" Type="http://schemas.openxmlformats.org/officeDocument/2006/relationships/control" Target="../activeX/activeX110.xml"/><Relationship Id="rId130" Type="http://schemas.openxmlformats.org/officeDocument/2006/relationships/control" Target="../activeX/activeX132.xml"/><Relationship Id="rId135" Type="http://schemas.openxmlformats.org/officeDocument/2006/relationships/image" Target="../media/image115.emf"/><Relationship Id="rId151" Type="http://schemas.openxmlformats.org/officeDocument/2006/relationships/image" Target="../media/image123.emf"/><Relationship Id="rId156" Type="http://schemas.openxmlformats.org/officeDocument/2006/relationships/control" Target="../activeX/activeX145.xml"/><Relationship Id="rId177" Type="http://schemas.openxmlformats.org/officeDocument/2006/relationships/image" Target="../media/image136.emf"/><Relationship Id="rId172" Type="http://schemas.openxmlformats.org/officeDocument/2006/relationships/control" Target="../activeX/activeX153.xml"/><Relationship Id="rId13" Type="http://schemas.openxmlformats.org/officeDocument/2006/relationships/image" Target="../media/image54.emf"/><Relationship Id="rId18" Type="http://schemas.openxmlformats.org/officeDocument/2006/relationships/control" Target="../activeX/activeX76.xml"/><Relationship Id="rId39" Type="http://schemas.openxmlformats.org/officeDocument/2006/relationships/image" Target="../media/image67.emf"/><Relationship Id="rId109" Type="http://schemas.openxmlformats.org/officeDocument/2006/relationships/image" Target="../media/image102.emf"/><Relationship Id="rId34" Type="http://schemas.openxmlformats.org/officeDocument/2006/relationships/control" Target="../activeX/activeX84.xml"/><Relationship Id="rId50" Type="http://schemas.openxmlformats.org/officeDocument/2006/relationships/control" Target="../activeX/activeX92.xml"/><Relationship Id="rId55" Type="http://schemas.openxmlformats.org/officeDocument/2006/relationships/image" Target="../media/image75.emf"/><Relationship Id="rId76" Type="http://schemas.openxmlformats.org/officeDocument/2006/relationships/control" Target="../activeX/activeX105.xml"/><Relationship Id="rId97" Type="http://schemas.openxmlformats.org/officeDocument/2006/relationships/image" Target="../media/image96.emf"/><Relationship Id="rId104" Type="http://schemas.openxmlformats.org/officeDocument/2006/relationships/control" Target="../activeX/activeX119.xml"/><Relationship Id="rId120" Type="http://schemas.openxmlformats.org/officeDocument/2006/relationships/control" Target="../activeX/activeX127.xml"/><Relationship Id="rId125" Type="http://schemas.openxmlformats.org/officeDocument/2006/relationships/image" Target="../media/image110.emf"/><Relationship Id="rId141" Type="http://schemas.openxmlformats.org/officeDocument/2006/relationships/image" Target="../media/image118.emf"/><Relationship Id="rId146" Type="http://schemas.openxmlformats.org/officeDocument/2006/relationships/control" Target="../activeX/activeX140.xml"/><Relationship Id="rId167" Type="http://schemas.openxmlformats.org/officeDocument/2006/relationships/image" Target="../media/image131.emf"/><Relationship Id="rId7" Type="http://schemas.openxmlformats.org/officeDocument/2006/relationships/image" Target="../media/image51.emf"/><Relationship Id="rId71" Type="http://schemas.openxmlformats.org/officeDocument/2006/relationships/image" Target="../media/image83.emf"/><Relationship Id="rId92" Type="http://schemas.openxmlformats.org/officeDocument/2006/relationships/control" Target="../activeX/activeX113.xml"/><Relationship Id="rId162" Type="http://schemas.openxmlformats.org/officeDocument/2006/relationships/control" Target="../activeX/activeX148.xml"/><Relationship Id="rId183" Type="http://schemas.openxmlformats.org/officeDocument/2006/relationships/image" Target="../media/image139.emf"/><Relationship Id="rId2" Type="http://schemas.openxmlformats.org/officeDocument/2006/relationships/drawing" Target="../drawings/drawing5.xml"/><Relationship Id="rId29" Type="http://schemas.openxmlformats.org/officeDocument/2006/relationships/image" Target="../media/image62.emf"/><Relationship Id="rId24" Type="http://schemas.openxmlformats.org/officeDocument/2006/relationships/control" Target="../activeX/activeX79.xml"/><Relationship Id="rId40" Type="http://schemas.openxmlformats.org/officeDocument/2006/relationships/control" Target="../activeX/activeX87.xml"/><Relationship Id="rId45" Type="http://schemas.openxmlformats.org/officeDocument/2006/relationships/image" Target="../media/image70.emf"/><Relationship Id="rId66" Type="http://schemas.openxmlformats.org/officeDocument/2006/relationships/control" Target="../activeX/activeX100.xml"/><Relationship Id="rId87" Type="http://schemas.openxmlformats.org/officeDocument/2006/relationships/image" Target="../media/image91.emf"/><Relationship Id="rId110" Type="http://schemas.openxmlformats.org/officeDocument/2006/relationships/control" Target="../activeX/activeX122.xml"/><Relationship Id="rId115" Type="http://schemas.openxmlformats.org/officeDocument/2006/relationships/image" Target="../media/image105.emf"/><Relationship Id="rId131" Type="http://schemas.openxmlformats.org/officeDocument/2006/relationships/image" Target="../media/image113.emf"/><Relationship Id="rId136" Type="http://schemas.openxmlformats.org/officeDocument/2006/relationships/control" Target="../activeX/activeX135.xml"/><Relationship Id="rId157" Type="http://schemas.openxmlformats.org/officeDocument/2006/relationships/image" Target="../media/image126.emf"/><Relationship Id="rId178" Type="http://schemas.openxmlformats.org/officeDocument/2006/relationships/control" Target="../activeX/activeX156.xml"/><Relationship Id="rId61" Type="http://schemas.openxmlformats.org/officeDocument/2006/relationships/image" Target="../media/image78.emf"/><Relationship Id="rId82" Type="http://schemas.openxmlformats.org/officeDocument/2006/relationships/control" Target="../activeX/activeX108.xml"/><Relationship Id="rId152" Type="http://schemas.openxmlformats.org/officeDocument/2006/relationships/control" Target="../activeX/activeX143.xml"/><Relationship Id="rId173" Type="http://schemas.openxmlformats.org/officeDocument/2006/relationships/image" Target="../media/image134.emf"/><Relationship Id="rId19" Type="http://schemas.openxmlformats.org/officeDocument/2006/relationships/image" Target="../media/image57.emf"/><Relationship Id="rId14" Type="http://schemas.openxmlformats.org/officeDocument/2006/relationships/control" Target="../activeX/activeX74.xml"/><Relationship Id="rId30" Type="http://schemas.openxmlformats.org/officeDocument/2006/relationships/control" Target="../activeX/activeX82.xml"/><Relationship Id="rId35" Type="http://schemas.openxmlformats.org/officeDocument/2006/relationships/image" Target="../media/image65.emf"/><Relationship Id="rId56" Type="http://schemas.openxmlformats.org/officeDocument/2006/relationships/control" Target="../activeX/activeX95.xml"/><Relationship Id="rId77" Type="http://schemas.openxmlformats.org/officeDocument/2006/relationships/image" Target="../media/image86.emf"/><Relationship Id="rId100" Type="http://schemas.openxmlformats.org/officeDocument/2006/relationships/control" Target="../activeX/activeX117.xml"/><Relationship Id="rId105" Type="http://schemas.openxmlformats.org/officeDocument/2006/relationships/image" Target="../media/image100.emf"/><Relationship Id="rId126" Type="http://schemas.openxmlformats.org/officeDocument/2006/relationships/control" Target="../activeX/activeX130.xml"/><Relationship Id="rId147" Type="http://schemas.openxmlformats.org/officeDocument/2006/relationships/image" Target="../media/image121.emf"/><Relationship Id="rId168" Type="http://schemas.openxmlformats.org/officeDocument/2006/relationships/control" Target="../activeX/activeX151.xml"/><Relationship Id="rId8" Type="http://schemas.openxmlformats.org/officeDocument/2006/relationships/control" Target="../activeX/activeX71.xml"/><Relationship Id="rId51" Type="http://schemas.openxmlformats.org/officeDocument/2006/relationships/image" Target="../media/image73.emf"/><Relationship Id="rId72" Type="http://schemas.openxmlformats.org/officeDocument/2006/relationships/control" Target="../activeX/activeX103.xml"/><Relationship Id="rId93" Type="http://schemas.openxmlformats.org/officeDocument/2006/relationships/image" Target="../media/image94.emf"/><Relationship Id="rId98" Type="http://schemas.openxmlformats.org/officeDocument/2006/relationships/control" Target="../activeX/activeX116.xml"/><Relationship Id="rId121" Type="http://schemas.openxmlformats.org/officeDocument/2006/relationships/image" Target="../media/image108.emf"/><Relationship Id="rId142" Type="http://schemas.openxmlformats.org/officeDocument/2006/relationships/control" Target="../activeX/activeX138.xml"/><Relationship Id="rId163" Type="http://schemas.openxmlformats.org/officeDocument/2006/relationships/image" Target="../media/image129.emf"/><Relationship Id="rId184" Type="http://schemas.openxmlformats.org/officeDocument/2006/relationships/comments" Target="../comments3.xml"/><Relationship Id="rId3" Type="http://schemas.openxmlformats.org/officeDocument/2006/relationships/vmlDrawing" Target="../drawings/vmlDrawing5.vml"/><Relationship Id="rId25" Type="http://schemas.openxmlformats.org/officeDocument/2006/relationships/image" Target="../media/image60.emf"/><Relationship Id="rId46" Type="http://schemas.openxmlformats.org/officeDocument/2006/relationships/control" Target="../activeX/activeX90.xml"/><Relationship Id="rId67" Type="http://schemas.openxmlformats.org/officeDocument/2006/relationships/image" Target="../media/image81.emf"/><Relationship Id="rId116" Type="http://schemas.openxmlformats.org/officeDocument/2006/relationships/control" Target="../activeX/activeX125.xml"/><Relationship Id="rId137" Type="http://schemas.openxmlformats.org/officeDocument/2006/relationships/image" Target="../media/image116.emf"/><Relationship Id="rId158" Type="http://schemas.openxmlformats.org/officeDocument/2006/relationships/control" Target="../activeX/activeX146.xml"/><Relationship Id="rId20" Type="http://schemas.openxmlformats.org/officeDocument/2006/relationships/control" Target="../activeX/activeX77.xml"/><Relationship Id="rId41" Type="http://schemas.openxmlformats.org/officeDocument/2006/relationships/image" Target="../media/image68.emf"/><Relationship Id="rId62" Type="http://schemas.openxmlformats.org/officeDocument/2006/relationships/control" Target="../activeX/activeX98.xml"/><Relationship Id="rId83" Type="http://schemas.openxmlformats.org/officeDocument/2006/relationships/image" Target="../media/image89.emf"/><Relationship Id="rId88" Type="http://schemas.openxmlformats.org/officeDocument/2006/relationships/control" Target="../activeX/activeX111.xml"/><Relationship Id="rId111" Type="http://schemas.openxmlformats.org/officeDocument/2006/relationships/image" Target="../media/image103.emf"/><Relationship Id="rId132" Type="http://schemas.openxmlformats.org/officeDocument/2006/relationships/control" Target="../activeX/activeX133.xml"/><Relationship Id="rId153" Type="http://schemas.openxmlformats.org/officeDocument/2006/relationships/image" Target="../media/image124.emf"/><Relationship Id="rId174" Type="http://schemas.openxmlformats.org/officeDocument/2006/relationships/control" Target="../activeX/activeX154.xml"/><Relationship Id="rId179" Type="http://schemas.openxmlformats.org/officeDocument/2006/relationships/image" Target="../media/image137.emf"/><Relationship Id="rId15" Type="http://schemas.openxmlformats.org/officeDocument/2006/relationships/image" Target="../media/image55.emf"/><Relationship Id="rId36" Type="http://schemas.openxmlformats.org/officeDocument/2006/relationships/control" Target="../activeX/activeX85.xml"/><Relationship Id="rId57" Type="http://schemas.openxmlformats.org/officeDocument/2006/relationships/image" Target="../media/image76.emf"/><Relationship Id="rId106" Type="http://schemas.openxmlformats.org/officeDocument/2006/relationships/control" Target="../activeX/activeX120.xml"/><Relationship Id="rId127" Type="http://schemas.openxmlformats.org/officeDocument/2006/relationships/image" Target="../media/image111.emf"/><Relationship Id="rId10" Type="http://schemas.openxmlformats.org/officeDocument/2006/relationships/control" Target="../activeX/activeX72.xml"/><Relationship Id="rId31" Type="http://schemas.openxmlformats.org/officeDocument/2006/relationships/image" Target="../media/image63.emf"/><Relationship Id="rId52" Type="http://schemas.openxmlformats.org/officeDocument/2006/relationships/control" Target="../activeX/activeX93.xml"/><Relationship Id="rId73" Type="http://schemas.openxmlformats.org/officeDocument/2006/relationships/image" Target="../media/image84.emf"/><Relationship Id="rId78" Type="http://schemas.openxmlformats.org/officeDocument/2006/relationships/control" Target="../activeX/activeX106.xml"/><Relationship Id="rId94" Type="http://schemas.openxmlformats.org/officeDocument/2006/relationships/control" Target="../activeX/activeX114.xml"/><Relationship Id="rId99" Type="http://schemas.openxmlformats.org/officeDocument/2006/relationships/image" Target="../media/image97.emf"/><Relationship Id="rId101" Type="http://schemas.openxmlformats.org/officeDocument/2006/relationships/image" Target="../media/image98.emf"/><Relationship Id="rId122" Type="http://schemas.openxmlformats.org/officeDocument/2006/relationships/control" Target="../activeX/activeX128.xml"/><Relationship Id="rId143" Type="http://schemas.openxmlformats.org/officeDocument/2006/relationships/image" Target="../media/image119.emf"/><Relationship Id="rId148" Type="http://schemas.openxmlformats.org/officeDocument/2006/relationships/control" Target="../activeX/activeX141.xml"/><Relationship Id="rId164" Type="http://schemas.openxmlformats.org/officeDocument/2006/relationships/control" Target="../activeX/activeX149.xml"/><Relationship Id="rId169" Type="http://schemas.openxmlformats.org/officeDocument/2006/relationships/image" Target="../media/image132.emf"/><Relationship Id="rId4" Type="http://schemas.openxmlformats.org/officeDocument/2006/relationships/control" Target="../activeX/activeX69.xml"/><Relationship Id="rId9" Type="http://schemas.openxmlformats.org/officeDocument/2006/relationships/image" Target="../media/image52.emf"/><Relationship Id="rId180" Type="http://schemas.openxmlformats.org/officeDocument/2006/relationships/control" Target="../activeX/activeX157.xml"/><Relationship Id="rId26" Type="http://schemas.openxmlformats.org/officeDocument/2006/relationships/control" Target="../activeX/activeX80.xml"/><Relationship Id="rId47" Type="http://schemas.openxmlformats.org/officeDocument/2006/relationships/image" Target="../media/image71.emf"/><Relationship Id="rId68" Type="http://schemas.openxmlformats.org/officeDocument/2006/relationships/control" Target="../activeX/activeX101.xml"/><Relationship Id="rId89" Type="http://schemas.openxmlformats.org/officeDocument/2006/relationships/image" Target="../media/image92.emf"/><Relationship Id="rId112" Type="http://schemas.openxmlformats.org/officeDocument/2006/relationships/control" Target="../activeX/activeX123.xml"/><Relationship Id="rId133" Type="http://schemas.openxmlformats.org/officeDocument/2006/relationships/image" Target="../media/image114.emf"/><Relationship Id="rId154" Type="http://schemas.openxmlformats.org/officeDocument/2006/relationships/control" Target="../activeX/activeX144.xml"/><Relationship Id="rId175" Type="http://schemas.openxmlformats.org/officeDocument/2006/relationships/image" Target="../media/image135.emf"/><Relationship Id="rId16" Type="http://schemas.openxmlformats.org/officeDocument/2006/relationships/control" Target="../activeX/activeX75.xml"/><Relationship Id="rId37" Type="http://schemas.openxmlformats.org/officeDocument/2006/relationships/image" Target="../media/image66.emf"/><Relationship Id="rId58" Type="http://schemas.openxmlformats.org/officeDocument/2006/relationships/control" Target="../activeX/activeX96.xml"/><Relationship Id="rId79" Type="http://schemas.openxmlformats.org/officeDocument/2006/relationships/image" Target="../media/image87.emf"/><Relationship Id="rId102" Type="http://schemas.openxmlformats.org/officeDocument/2006/relationships/control" Target="../activeX/activeX118.xml"/><Relationship Id="rId123" Type="http://schemas.openxmlformats.org/officeDocument/2006/relationships/image" Target="../media/image109.emf"/><Relationship Id="rId144" Type="http://schemas.openxmlformats.org/officeDocument/2006/relationships/control" Target="../activeX/activeX139.xml"/><Relationship Id="rId90" Type="http://schemas.openxmlformats.org/officeDocument/2006/relationships/control" Target="../activeX/activeX112.xml"/><Relationship Id="rId165" Type="http://schemas.openxmlformats.org/officeDocument/2006/relationships/image" Target="../media/image130.emf"/><Relationship Id="rId27" Type="http://schemas.openxmlformats.org/officeDocument/2006/relationships/image" Target="../media/image61.emf"/><Relationship Id="rId48" Type="http://schemas.openxmlformats.org/officeDocument/2006/relationships/control" Target="../activeX/activeX91.xml"/><Relationship Id="rId69" Type="http://schemas.openxmlformats.org/officeDocument/2006/relationships/image" Target="../media/image82.emf"/><Relationship Id="rId113" Type="http://schemas.openxmlformats.org/officeDocument/2006/relationships/image" Target="../media/image104.emf"/><Relationship Id="rId134" Type="http://schemas.openxmlformats.org/officeDocument/2006/relationships/control" Target="../activeX/activeX134.xml"/><Relationship Id="rId80" Type="http://schemas.openxmlformats.org/officeDocument/2006/relationships/control" Target="../activeX/activeX107.xml"/><Relationship Id="rId155" Type="http://schemas.openxmlformats.org/officeDocument/2006/relationships/image" Target="../media/image125.emf"/><Relationship Id="rId176" Type="http://schemas.openxmlformats.org/officeDocument/2006/relationships/control" Target="../activeX/activeX155.xml"/><Relationship Id="rId17" Type="http://schemas.openxmlformats.org/officeDocument/2006/relationships/image" Target="../media/image56.emf"/><Relationship Id="rId38" Type="http://schemas.openxmlformats.org/officeDocument/2006/relationships/control" Target="../activeX/activeX86.xml"/><Relationship Id="rId59" Type="http://schemas.openxmlformats.org/officeDocument/2006/relationships/image" Target="../media/image77.emf"/><Relationship Id="rId103" Type="http://schemas.openxmlformats.org/officeDocument/2006/relationships/image" Target="../media/image99.emf"/><Relationship Id="rId124" Type="http://schemas.openxmlformats.org/officeDocument/2006/relationships/control" Target="../activeX/activeX129.xml"/><Relationship Id="rId70" Type="http://schemas.openxmlformats.org/officeDocument/2006/relationships/control" Target="../activeX/activeX102.xml"/><Relationship Id="rId91" Type="http://schemas.openxmlformats.org/officeDocument/2006/relationships/image" Target="../media/image93.emf"/><Relationship Id="rId145" Type="http://schemas.openxmlformats.org/officeDocument/2006/relationships/image" Target="../media/image120.emf"/><Relationship Id="rId166" Type="http://schemas.openxmlformats.org/officeDocument/2006/relationships/control" Target="../activeX/activeX150.xml"/><Relationship Id="rId1" Type="http://schemas.openxmlformats.org/officeDocument/2006/relationships/printerSettings" Target="../printerSettings/printerSettings8.bin"/><Relationship Id="rId28" Type="http://schemas.openxmlformats.org/officeDocument/2006/relationships/control" Target="../activeX/activeX81.xml"/><Relationship Id="rId49" Type="http://schemas.openxmlformats.org/officeDocument/2006/relationships/image" Target="../media/image72.emf"/><Relationship Id="rId114" Type="http://schemas.openxmlformats.org/officeDocument/2006/relationships/control" Target="../activeX/activeX124.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omments" Target="../comments5.xml"/><Relationship Id="rId5" Type="http://schemas.openxmlformats.org/officeDocument/2006/relationships/image" Target="../media/image140.emf"/><Relationship Id="rId4" Type="http://schemas.openxmlformats.org/officeDocument/2006/relationships/control" Target="../activeX/activeX15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5" Type="http://schemas.openxmlformats.org/officeDocument/2006/relationships/comments" Target="../comments9.xml"/><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162.xml"/><Relationship Id="rId3" Type="http://schemas.openxmlformats.org/officeDocument/2006/relationships/vmlDrawing" Target="../drawings/vmlDrawing12.vml"/><Relationship Id="rId7" Type="http://schemas.openxmlformats.org/officeDocument/2006/relationships/image" Target="../media/image142.emf"/><Relationship Id="rId2" Type="http://schemas.openxmlformats.org/officeDocument/2006/relationships/drawing" Target="../drawings/drawing9.xml"/><Relationship Id="rId1" Type="http://schemas.openxmlformats.org/officeDocument/2006/relationships/printerSettings" Target="../printerSettings/printerSettings18.bin"/><Relationship Id="rId6" Type="http://schemas.openxmlformats.org/officeDocument/2006/relationships/control" Target="../activeX/activeX161.xml"/><Relationship Id="rId5" Type="http://schemas.openxmlformats.org/officeDocument/2006/relationships/image" Target="../media/image141.emf"/><Relationship Id="rId4" Type="http://schemas.openxmlformats.org/officeDocument/2006/relationships/control" Target="../activeX/activeX160.xml"/><Relationship Id="rId9" Type="http://schemas.openxmlformats.org/officeDocument/2006/relationships/image" Target="../media/image143.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9.bin"/><Relationship Id="rId6" Type="http://schemas.openxmlformats.org/officeDocument/2006/relationships/comments" Target="../comments10.xml"/><Relationship Id="rId5" Type="http://schemas.openxmlformats.org/officeDocument/2006/relationships/image" Target="../media/image144.emf"/><Relationship Id="rId4" Type="http://schemas.openxmlformats.org/officeDocument/2006/relationships/control" Target="../activeX/activeX16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2.bin"/><Relationship Id="rId5" Type="http://schemas.openxmlformats.org/officeDocument/2006/relationships/image" Target="../media/image145.emf"/><Relationship Id="rId4" Type="http://schemas.openxmlformats.org/officeDocument/2006/relationships/control" Target="../activeX/activeX16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3.bin"/><Relationship Id="rId4" Type="http://schemas.openxmlformats.org/officeDocument/2006/relationships/comments" Target="../comments11.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65.xml"/><Relationship Id="rId7"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drawing" Target="../drawings/drawing14.xml"/><Relationship Id="rId6" Type="http://schemas.openxmlformats.org/officeDocument/2006/relationships/image" Target="../media/image149.emf"/><Relationship Id="rId5" Type="http://schemas.openxmlformats.org/officeDocument/2006/relationships/control" Target="../activeX/activeX166.xml"/><Relationship Id="rId4" Type="http://schemas.openxmlformats.org/officeDocument/2006/relationships/image" Target="../media/image148.emf"/></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17.vml"/><Relationship Id="rId1" Type="http://schemas.openxmlformats.org/officeDocument/2006/relationships/drawing" Target="../drawings/drawing15.xml"/><Relationship Id="rId4" Type="http://schemas.openxmlformats.org/officeDocument/2006/relationships/ctrlProp" Target="../ctrlProps/ctrlProp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dimension ref="A1:DC500"/>
  <sheetViews>
    <sheetView topLeftCell="A91" workbookViewId="0">
      <selection activeCell="BA7" sqref="BA7"/>
    </sheetView>
  </sheetViews>
  <sheetFormatPr defaultColWidth="9.375" defaultRowHeight="10.8"/>
  <cols>
    <col min="1" max="1" width="22.875" style="990" customWidth="1"/>
    <col min="2" max="2" width="18.375" style="990" customWidth="1"/>
    <col min="3" max="3" width="15.5" style="990" customWidth="1"/>
    <col min="4" max="4" width="16.625" style="990" customWidth="1"/>
    <col min="5" max="5" width="22" style="990" customWidth="1"/>
    <col min="6" max="6" width="12.375" style="990" bestFit="1" customWidth="1"/>
    <col min="7" max="7" width="13.5" style="990" bestFit="1" customWidth="1"/>
    <col min="8" max="8" width="12.125" style="990" bestFit="1" customWidth="1"/>
    <col min="9" max="11" width="9.375" style="990"/>
    <col min="12" max="14" width="9.625" style="990" bestFit="1" customWidth="1"/>
    <col min="15" max="15" width="21.875" style="990" customWidth="1"/>
    <col min="16" max="21" width="9.375" style="990"/>
    <col min="22" max="22" width="12.375" style="990" bestFit="1" customWidth="1"/>
    <col min="23" max="25" width="9.375" style="990"/>
    <col min="26" max="26" width="25.875" style="990" customWidth="1"/>
    <col min="27" max="27" width="13.875" style="990" bestFit="1" customWidth="1"/>
    <col min="28" max="28" width="9.375" style="990" customWidth="1"/>
    <col min="29" max="30" width="13.875" style="990" bestFit="1" customWidth="1"/>
    <col min="31" max="33" width="12.125" style="990" bestFit="1" customWidth="1"/>
    <col min="34" max="34" width="17" style="990" customWidth="1"/>
    <col min="35" max="35" width="13.375" style="990" bestFit="1" customWidth="1"/>
    <col min="36" max="36" width="12.125" style="990" bestFit="1" customWidth="1"/>
    <col min="37" max="37" width="13.625" style="990" bestFit="1" customWidth="1"/>
    <col min="38" max="39" width="13.375" style="990" bestFit="1" customWidth="1"/>
    <col min="40" max="40" width="12.125" style="990" bestFit="1" customWidth="1"/>
    <col min="41" max="41" width="12.5" style="990" bestFit="1" customWidth="1"/>
    <col min="42" max="42" width="11" style="990" bestFit="1" customWidth="1"/>
    <col min="43" max="43" width="10.125" style="990" bestFit="1" customWidth="1"/>
    <col min="44" max="44" width="12.375" style="990" bestFit="1" customWidth="1"/>
    <col min="45" max="47" width="11.125" style="990" bestFit="1" customWidth="1"/>
    <col min="48" max="49" width="10.125" style="990" bestFit="1" customWidth="1"/>
    <col min="50" max="50" width="12.375" style="990" bestFit="1" customWidth="1"/>
    <col min="51" max="51" width="11.125" style="990" bestFit="1" customWidth="1"/>
    <col min="52" max="52" width="7.125" style="990" customWidth="1"/>
    <col min="53" max="53" width="12.125" style="990" customWidth="1"/>
    <col min="54" max="54" width="18.375" style="990" customWidth="1"/>
    <col min="55" max="55" width="10.875" style="1100" customWidth="1"/>
    <col min="56" max="56" width="10.875" style="1097" customWidth="1"/>
    <col min="57" max="57" width="10.875" style="990" customWidth="1"/>
    <col min="58" max="58" width="10.875" style="1097" customWidth="1"/>
    <col min="59" max="59" width="10.875" style="990" customWidth="1"/>
    <col min="60" max="60" width="10.875" style="1097" customWidth="1"/>
    <col min="61" max="61" width="10.875" style="990" customWidth="1"/>
    <col min="62" max="62" width="10.875" style="1097" customWidth="1"/>
    <col min="63" max="66" width="0" style="990" hidden="1" customWidth="1"/>
    <col min="67" max="67" width="8.375" style="1102" customWidth="1"/>
    <col min="68" max="68" width="14.625" style="1102" customWidth="1"/>
    <col min="69" max="69" width="10.875" style="1100" customWidth="1"/>
    <col min="70" max="70" width="10.875" style="1097" customWidth="1"/>
    <col min="71" max="71" width="10.875" style="990" customWidth="1"/>
    <col min="72" max="72" width="10.875" style="1097" customWidth="1"/>
    <col min="73" max="73" width="10.875" style="990" customWidth="1"/>
    <col min="74" max="74" width="10.875" style="1097" customWidth="1"/>
    <col min="75" max="75" width="10.875" style="990" customWidth="1"/>
    <col min="76" max="76" width="10.875" style="1097" customWidth="1"/>
    <col min="77" max="16384" width="9.375" style="990"/>
  </cols>
  <sheetData>
    <row r="1" spans="1:107">
      <c r="A1" s="989" t="s">
        <v>1870</v>
      </c>
      <c r="B1" s="989"/>
      <c r="C1" s="989"/>
      <c r="D1" s="989"/>
      <c r="E1" s="989"/>
      <c r="F1" s="989"/>
      <c r="G1" s="989"/>
      <c r="I1" s="990" t="s">
        <v>2495</v>
      </c>
      <c r="J1" s="989"/>
      <c r="K1" s="989"/>
      <c r="L1" s="989"/>
      <c r="M1" s="989"/>
      <c r="N1" s="989"/>
      <c r="O1" s="989"/>
      <c r="P1" s="989"/>
      <c r="Q1" s="989"/>
      <c r="R1" s="989"/>
      <c r="S1" s="989"/>
      <c r="T1" s="989"/>
      <c r="U1" s="989"/>
      <c r="V1" s="989"/>
      <c r="W1" s="989"/>
      <c r="X1" s="989"/>
      <c r="Y1" s="989"/>
      <c r="Z1" s="989"/>
      <c r="AB1" s="989"/>
      <c r="AC1" s="989"/>
      <c r="AD1" s="989"/>
      <c r="AE1" s="989"/>
      <c r="AF1" s="989"/>
      <c r="AG1" s="989"/>
      <c r="AH1" s="989"/>
      <c r="BA1" s="1092" t="s">
        <v>2501</v>
      </c>
      <c r="BB1" s="1104"/>
      <c r="BC1" s="1098" t="s">
        <v>2499</v>
      </c>
      <c r="BD1" s="1095" t="s">
        <v>2500</v>
      </c>
      <c r="BE1" s="1094" t="s">
        <v>2499</v>
      </c>
      <c r="BF1" s="1095" t="s">
        <v>2500</v>
      </c>
      <c r="BG1" s="1094" t="s">
        <v>2499</v>
      </c>
      <c r="BH1" s="1095" t="s">
        <v>2500</v>
      </c>
      <c r="BI1" s="1094" t="s">
        <v>2499</v>
      </c>
      <c r="BJ1" s="1095" t="s">
        <v>2500</v>
      </c>
      <c r="BO1" s="1101" t="s">
        <v>2502</v>
      </c>
      <c r="BP1" s="1101"/>
      <c r="BQ1" s="1099" t="s">
        <v>2503</v>
      </c>
      <c r="BR1" s="1095" t="s">
        <v>2504</v>
      </c>
      <c r="BS1" s="1094" t="s">
        <v>2505</v>
      </c>
      <c r="BT1" s="1095" t="s">
        <v>2506</v>
      </c>
      <c r="BU1" s="1094" t="s">
        <v>2507</v>
      </c>
      <c r="BV1" s="1095" t="s">
        <v>2506</v>
      </c>
      <c r="BW1" s="1094" t="s">
        <v>2507</v>
      </c>
      <c r="BX1" s="1095" t="s">
        <v>2506</v>
      </c>
      <c r="BY1" s="1094"/>
      <c r="BZ1" s="1093"/>
      <c r="CA1" s="1093"/>
      <c r="CB1" s="1093"/>
    </row>
    <row r="2" spans="1:107">
      <c r="A2" s="989" t="str">
        <f>IF(IFERROR(FIND(".",(IF(MID((IF(IFERROR(FIND(".",目录!C6,1),0)&gt;0,UPPER(目录!C6),IF(MID(目录!C6,1,1)="8",目录!C6&amp;".TB",目录!C6))),1,1)="4",(IF(IFERROR(FIND(".",目录!C6,1),0)&gt;0,UPPER(目录!C6),IF(MID(目录!C6,1,1)="8",目录!C6&amp;".TB",目录!C6)))&amp;".TB",(IF(IFERROR(FIND(".",目录!C6,1),0)&gt;0,UPPER(目录!C6),IF(MID(目录!C6,1,1)="8",目录!C6&amp;".TB",目录!C6))))),1),0)&gt;0,UPPER((IF(MID((IF(IFERROR(FIND(".",目录!C6,1),0)&gt;0,UPPER(目录!C6),IF(MID(目录!C6,1,1)="8",目录!C6&amp;".TB",目录!C6))),1,1)="4",(IF(IFERROR(FIND(".",目录!C6,1),0)&gt;0,UPPER(目录!C6),IF(MID(目录!C6,1,1)="8",目录!C6&amp;".TB",目录!C6)))&amp;".TB",(IF(IFERROR(FIND(".",目录!C6,1),0)&gt;0,UPPER(目录!C6),IF(MID(目录!C6,1,1)="8",目录!C6&amp;".TB",目录!C6)))))),IF(MID(目录!C6,1,1)="6",目录!C6&amp;".SH",目录!C6&amp;".SZ"))</f>
        <v>300737.SZ</v>
      </c>
      <c r="B2" s="989" t="str">
        <f>数据输入!E1</f>
        <v>2019-12-31</v>
      </c>
      <c r="C2" s="989" t="str">
        <f>数据输入!F1</f>
        <v>2020-12-31</v>
      </c>
      <c r="D2" s="989" t="str">
        <f>数据输入!G1</f>
        <v>2021-12-31</v>
      </c>
      <c r="E2" s="989" t="str">
        <f>数据输入!H1</f>
        <v>2022-12-31</v>
      </c>
      <c r="F2" s="989"/>
      <c r="G2" s="989"/>
      <c r="I2" s="990" t="s">
        <v>2498</v>
      </c>
      <c r="J2" s="989"/>
      <c r="K2" s="989"/>
      <c r="L2" s="989"/>
      <c r="M2" s="989"/>
      <c r="N2" s="989"/>
      <c r="O2" s="989"/>
      <c r="P2" s="989"/>
      <c r="Q2" s="989"/>
      <c r="R2" s="989"/>
      <c r="S2" s="989"/>
      <c r="T2" s="989"/>
      <c r="U2" s="989"/>
      <c r="V2" s="989"/>
      <c r="W2" s="989"/>
      <c r="X2" s="989"/>
      <c r="Y2" s="989"/>
      <c r="Z2" s="989"/>
      <c r="AC2" s="989"/>
      <c r="AD2" s="989"/>
      <c r="AE2" s="989"/>
      <c r="AF2" s="989"/>
      <c r="AG2" s="989"/>
      <c r="AH2" s="989"/>
      <c r="AZ2" s="995" t="s">
        <v>2509</v>
      </c>
      <c r="BA2" s="1092" t="str">
        <f>A2</f>
        <v>300737.SZ</v>
      </c>
      <c r="BB2" s="1104" t="s">
        <v>2511</v>
      </c>
      <c r="BC2" s="1099" t="str">
        <f>B2</f>
        <v>2019-12-31</v>
      </c>
      <c r="BD2" s="1099"/>
      <c r="BE2" s="1092" t="str">
        <f>C2</f>
        <v>2020-12-31</v>
      </c>
      <c r="BF2" s="1092"/>
      <c r="BG2" s="1092" t="str">
        <f>D2</f>
        <v>2021-12-31</v>
      </c>
      <c r="BH2" s="1092"/>
      <c r="BI2" s="1092" t="str">
        <f>E2</f>
        <v>2022-12-31</v>
      </c>
      <c r="BJ2" s="1092"/>
      <c r="BP2" s="1101" t="s">
        <v>2510</v>
      </c>
      <c r="BQ2" s="1099" t="str">
        <f>BC2</f>
        <v>2019-12-31</v>
      </c>
      <c r="BR2" s="1096"/>
      <c r="BS2" s="1092" t="str">
        <f>BE2</f>
        <v>2020-12-31</v>
      </c>
      <c r="BT2" s="1096"/>
      <c r="BU2" s="1092" t="str">
        <f>BG2</f>
        <v>2021-12-31</v>
      </c>
      <c r="BV2" s="1096"/>
      <c r="BW2" s="1092" t="str">
        <f>BI2</f>
        <v>2022-12-31</v>
      </c>
      <c r="BX2" s="1096"/>
      <c r="BY2" s="1092"/>
      <c r="BZ2" s="1092"/>
      <c r="CA2" s="1092"/>
      <c r="CB2" s="1092"/>
    </row>
    <row r="3" spans="1:107">
      <c r="A3" s="989"/>
      <c r="B3" s="990" t="s">
        <v>2495</v>
      </c>
      <c r="C3" s="990" t="s">
        <v>2495</v>
      </c>
      <c r="D3" s="990" t="s">
        <v>2495</v>
      </c>
      <c r="E3" s="990" t="s">
        <v>2495</v>
      </c>
      <c r="F3" s="989">
        <v>1</v>
      </c>
      <c r="G3" s="989"/>
      <c r="I3" s="990" t="s">
        <v>2078</v>
      </c>
      <c r="J3" s="989"/>
      <c r="K3" s="989"/>
      <c r="L3" s="989"/>
      <c r="M3" s="989"/>
      <c r="N3" s="989"/>
      <c r="O3" s="989"/>
      <c r="P3" s="989"/>
      <c r="Q3" s="989"/>
      <c r="R3" s="989"/>
      <c r="S3" s="989"/>
      <c r="T3" s="989"/>
      <c r="U3" s="989"/>
      <c r="V3" s="989"/>
      <c r="W3" s="989"/>
      <c r="X3" s="989"/>
      <c r="Y3" s="989"/>
      <c r="Z3" s="989"/>
      <c r="AA3" s="990" t="s">
        <v>2495</v>
      </c>
      <c r="AB3" s="990" t="s">
        <v>2495</v>
      </c>
      <c r="AC3" s="990" t="s">
        <v>2495</v>
      </c>
      <c r="AD3" s="990" t="s">
        <v>2495</v>
      </c>
      <c r="AE3" s="990">
        <v>0</v>
      </c>
      <c r="AF3" s="989"/>
      <c r="AG3" s="989"/>
      <c r="AH3" s="990" t="s">
        <v>2495</v>
      </c>
      <c r="AI3" s="990" t="s">
        <v>2496</v>
      </c>
      <c r="AJ3" s="990" t="s">
        <v>2078</v>
      </c>
      <c r="AK3" s="990" t="s">
        <v>2058</v>
      </c>
      <c r="AZ3" s="995" t="s">
        <v>2508</v>
      </c>
      <c r="BA3" s="1103">
        <f>ROW(BD2)</f>
        <v>2</v>
      </c>
      <c r="BB3" s="990" t="s">
        <v>2895</v>
      </c>
      <c r="BC3" s="990"/>
      <c r="BD3" s="990"/>
      <c r="BF3" s="990"/>
      <c r="BH3" s="990"/>
      <c r="BI3" s="990">
        <v>4336176659.71</v>
      </c>
      <c r="BJ3" s="990">
        <v>3521203785.3899999</v>
      </c>
      <c r="BO3" s="990"/>
      <c r="BP3" s="990" t="s">
        <v>2897</v>
      </c>
      <c r="BQ3" s="990">
        <v>4092258449.04</v>
      </c>
      <c r="BR3" s="990">
        <v>2652986898.98</v>
      </c>
      <c r="BS3" s="990">
        <v>5210698887.6700001</v>
      </c>
      <c r="BT3" s="990">
        <v>3209209160.9099998</v>
      </c>
      <c r="BU3" s="990">
        <v>6238844187.6400003</v>
      </c>
      <c r="BV3" s="990">
        <v>4375429083.8699999</v>
      </c>
      <c r="BW3" s="990">
        <v>6017126853.6800003</v>
      </c>
      <c r="BX3" s="990">
        <v>4764969477.4799995</v>
      </c>
      <c r="BY3" s="989"/>
      <c r="BZ3" s="989"/>
      <c r="CA3" s="989"/>
      <c r="CB3" s="989"/>
      <c r="CC3" s="989"/>
      <c r="CD3" s="989"/>
      <c r="CE3" s="989"/>
      <c r="CF3" s="989"/>
      <c r="CG3" s="989"/>
      <c r="CH3" s="989"/>
      <c r="CI3" s="989"/>
      <c r="CJ3" s="989"/>
      <c r="CK3" s="989"/>
      <c r="CL3" s="989"/>
      <c r="CM3" s="989"/>
      <c r="CN3" s="989"/>
      <c r="CO3" s="989"/>
      <c r="CP3" s="989"/>
      <c r="CQ3" s="989"/>
      <c r="CR3" s="989"/>
      <c r="CS3" s="989"/>
      <c r="CT3" s="989"/>
      <c r="CU3" s="989"/>
      <c r="CV3" s="989"/>
      <c r="CW3" s="989"/>
      <c r="CX3" s="989"/>
      <c r="CY3" s="989"/>
      <c r="CZ3" s="989"/>
      <c r="DA3" s="989"/>
      <c r="DB3" s="989"/>
      <c r="DC3" s="989"/>
    </row>
    <row r="4" spans="1:107">
      <c r="A4" s="989"/>
      <c r="B4" s="990" t="s">
        <v>2496</v>
      </c>
      <c r="C4" s="990" t="s">
        <v>2498</v>
      </c>
      <c r="D4" s="990" t="s">
        <v>2498</v>
      </c>
      <c r="E4" s="990" t="s">
        <v>2498</v>
      </c>
      <c r="F4" s="989">
        <v>2</v>
      </c>
      <c r="G4" s="989"/>
      <c r="I4" s="990" t="s">
        <v>2494</v>
      </c>
      <c r="J4" s="989"/>
      <c r="K4" s="989"/>
      <c r="L4" s="989"/>
      <c r="M4" s="989"/>
      <c r="N4" s="989"/>
      <c r="O4" s="989"/>
      <c r="P4" s="989"/>
      <c r="Q4" s="989"/>
      <c r="R4" s="989"/>
      <c r="S4" s="989"/>
      <c r="T4" s="989"/>
      <c r="U4" s="989"/>
      <c r="V4" s="989"/>
      <c r="W4" s="989"/>
      <c r="X4" s="989"/>
      <c r="Y4" s="989"/>
      <c r="Z4" s="989"/>
      <c r="AA4" s="990" t="s">
        <v>2496</v>
      </c>
      <c r="AB4" s="990" t="s">
        <v>2498</v>
      </c>
      <c r="AC4" s="990" t="s">
        <v>2498</v>
      </c>
      <c r="AD4" s="990" t="s">
        <v>2498</v>
      </c>
      <c r="AE4" s="990">
        <v>0</v>
      </c>
      <c r="AF4" s="989"/>
      <c r="AG4" s="989"/>
      <c r="AH4" s="990" t="s">
        <v>2495</v>
      </c>
      <c r="AI4" s="990" t="s">
        <v>2498</v>
      </c>
      <c r="AJ4" s="990" t="s">
        <v>2078</v>
      </c>
      <c r="AK4" s="990" t="s">
        <v>2494</v>
      </c>
      <c r="AZ4" s="995" t="s">
        <v>2512</v>
      </c>
      <c r="BA4" s="1103">
        <f>COLUMN(BB2)</f>
        <v>54</v>
      </c>
      <c r="BB4" s="990" t="s">
        <v>2896</v>
      </c>
      <c r="BC4" s="990"/>
      <c r="BD4" s="990"/>
      <c r="BF4" s="990"/>
      <c r="BH4" s="990"/>
      <c r="BI4" s="990">
        <v>1680950193.97</v>
      </c>
      <c r="BJ4" s="990">
        <v>1243765692.0899999</v>
      </c>
      <c r="BO4" s="990"/>
      <c r="BP4" s="990" t="s">
        <v>2893</v>
      </c>
      <c r="BQ4" s="990">
        <v>504372442.98000002</v>
      </c>
      <c r="BR4" s="990">
        <v>386819867.43000001</v>
      </c>
      <c r="BS4" s="990">
        <v>989773745.15999997</v>
      </c>
      <c r="BT4" s="990">
        <v>691762234.32000005</v>
      </c>
      <c r="BU4" s="990">
        <v>1528262171.4100001</v>
      </c>
      <c r="BV4" s="990">
        <v>1177134354.24</v>
      </c>
      <c r="BW4" s="990">
        <v>1323517313.21</v>
      </c>
      <c r="BX4" s="990">
        <v>1034904377</v>
      </c>
    </row>
    <row r="5" spans="1:107">
      <c r="A5" s="989"/>
      <c r="B5" s="990" t="s">
        <v>2078</v>
      </c>
      <c r="C5" s="990" t="s">
        <v>2078</v>
      </c>
      <c r="D5" s="990" t="s">
        <v>2078</v>
      </c>
      <c r="E5" s="990" t="s">
        <v>2078</v>
      </c>
      <c r="F5" s="989">
        <v>3</v>
      </c>
      <c r="G5" s="989"/>
      <c r="I5" s="990" t="s">
        <v>2496</v>
      </c>
      <c r="J5" s="989"/>
      <c r="K5" s="989"/>
      <c r="L5" s="989"/>
      <c r="M5" s="991"/>
      <c r="N5" s="989"/>
      <c r="O5" s="989"/>
      <c r="P5" s="989"/>
      <c r="Q5" s="989"/>
      <c r="R5" s="989"/>
      <c r="S5" s="989"/>
      <c r="T5" s="989"/>
      <c r="U5" s="989"/>
      <c r="V5" s="989"/>
      <c r="W5" s="989"/>
      <c r="X5" s="989" t="s">
        <v>1874</v>
      </c>
      <c r="Y5" s="989"/>
      <c r="Z5" s="989"/>
      <c r="AA5" s="990" t="s">
        <v>2078</v>
      </c>
      <c r="AB5" s="990" t="s">
        <v>2078</v>
      </c>
      <c r="AC5" s="990" t="s">
        <v>2078</v>
      </c>
      <c r="AD5" s="990" t="s">
        <v>2078</v>
      </c>
      <c r="AE5" s="990">
        <v>0</v>
      </c>
      <c r="AF5" s="989"/>
      <c r="AG5" s="989"/>
      <c r="AH5" s="990" t="s">
        <v>2495</v>
      </c>
      <c r="AI5" s="990" t="s">
        <v>2498</v>
      </c>
      <c r="AJ5" s="990" t="s">
        <v>2078</v>
      </c>
      <c r="AK5" s="990" t="s">
        <v>2494</v>
      </c>
      <c r="AZ5" s="995" t="s">
        <v>2513</v>
      </c>
      <c r="BA5" s="1103">
        <f>COLUMN(BP2)</f>
        <v>68</v>
      </c>
      <c r="BB5" s="990" t="s">
        <v>2893</v>
      </c>
      <c r="BC5" s="990">
        <v>504372442.98000002</v>
      </c>
      <c r="BD5" s="990">
        <v>386819867.43000001</v>
      </c>
      <c r="BE5" s="990">
        <v>989773745.15999997</v>
      </c>
      <c r="BF5" s="990">
        <v>691762234.32000005</v>
      </c>
      <c r="BG5" s="990">
        <v>1528262171.4100001</v>
      </c>
      <c r="BH5" s="990">
        <v>1177134354.24</v>
      </c>
      <c r="BI5" s="990">
        <v>1323517313.21</v>
      </c>
      <c r="BJ5" s="990">
        <v>1034904377</v>
      </c>
      <c r="BO5" s="990"/>
      <c r="BP5" s="990" t="s">
        <v>2901</v>
      </c>
      <c r="BQ5" s="990"/>
      <c r="BR5" s="990"/>
      <c r="BT5" s="990"/>
      <c r="BV5" s="990"/>
      <c r="BW5" s="990">
        <v>261207313.68000001</v>
      </c>
      <c r="BX5" s="990"/>
    </row>
    <row r="6" spans="1:107" ht="12">
      <c r="A6" s="989"/>
      <c r="B6" s="990" t="s">
        <v>2058</v>
      </c>
      <c r="C6" s="990" t="s">
        <v>2494</v>
      </c>
      <c r="D6" s="990" t="s">
        <v>2494</v>
      </c>
      <c r="E6" s="990" t="s">
        <v>2494</v>
      </c>
      <c r="F6" s="989">
        <v>4</v>
      </c>
      <c r="G6" s="989"/>
      <c r="I6" s="990" t="s">
        <v>2058</v>
      </c>
      <c r="J6" s="989"/>
      <c r="K6" s="989"/>
      <c r="L6" s="989"/>
      <c r="M6" s="989"/>
      <c r="N6" s="989"/>
      <c r="O6" s="989"/>
      <c r="P6" s="989"/>
      <c r="Q6" s="989"/>
      <c r="R6" s="989"/>
      <c r="S6" s="989"/>
      <c r="T6" s="989"/>
      <c r="U6" s="989"/>
      <c r="V6" s="991" t="e">
        <f ca="1">_xll.BD_COLLECTION(1,Z6)</f>
        <v>#NAME?</v>
      </c>
      <c r="W6" s="989"/>
      <c r="X6" s="989" t="s">
        <v>1875</v>
      </c>
      <c r="Y6" s="989"/>
      <c r="Z6" s="815"/>
      <c r="AA6" s="990" t="s">
        <v>2058</v>
      </c>
      <c r="AB6" s="990" t="s">
        <v>2494</v>
      </c>
      <c r="AC6" s="990" t="s">
        <v>2494</v>
      </c>
      <c r="AD6" s="990" t="s">
        <v>2494</v>
      </c>
      <c r="AE6" s="990">
        <v>0</v>
      </c>
      <c r="AF6" s="989"/>
      <c r="AG6" s="989"/>
      <c r="AH6" s="990" t="s">
        <v>2495</v>
      </c>
      <c r="AI6" s="990" t="s">
        <v>2498</v>
      </c>
      <c r="AJ6" s="990" t="s">
        <v>2078</v>
      </c>
      <c r="AK6" s="990" t="s">
        <v>2494</v>
      </c>
      <c r="AZ6" s="995" t="s">
        <v>2514</v>
      </c>
      <c r="BA6" s="1105">
        <v>8</v>
      </c>
      <c r="BB6" s="990" t="s">
        <v>2900</v>
      </c>
      <c r="BC6" s="990"/>
      <c r="BD6" s="990"/>
      <c r="BF6" s="990"/>
      <c r="BH6" s="990"/>
      <c r="BI6" s="990">
        <v>261207313.68000001</v>
      </c>
      <c r="BJ6" s="990">
        <v>197493319.56</v>
      </c>
      <c r="BO6" s="990"/>
      <c r="BP6" s="990" t="s">
        <v>862</v>
      </c>
      <c r="BQ6" s="990">
        <v>6611082.7999999998</v>
      </c>
      <c r="BR6" s="990">
        <v>52343028.649999999</v>
      </c>
      <c r="BS6" s="990">
        <v>5410299.0499999998</v>
      </c>
      <c r="BT6" s="990"/>
      <c r="BU6" s="990">
        <v>813601.5</v>
      </c>
      <c r="BV6" s="990"/>
      <c r="BW6" s="990">
        <v>26880046.559999999</v>
      </c>
      <c r="BX6" s="990"/>
    </row>
    <row r="7" spans="1:107">
      <c r="A7" s="989"/>
      <c r="B7" s="990">
        <v>0</v>
      </c>
      <c r="C7" s="990">
        <v>0</v>
      </c>
      <c r="D7" s="990">
        <v>0</v>
      </c>
      <c r="E7" s="990">
        <v>0</v>
      </c>
      <c r="F7" s="989">
        <v>5</v>
      </c>
      <c r="G7" s="989"/>
      <c r="J7" s="989"/>
      <c r="K7" s="989"/>
      <c r="L7" s="989"/>
      <c r="M7" s="989"/>
      <c r="N7" s="989"/>
      <c r="O7" s="989"/>
      <c r="P7" s="989"/>
      <c r="Q7" s="989"/>
      <c r="R7" s="989"/>
      <c r="S7" s="989"/>
      <c r="T7" s="989"/>
      <c r="U7" s="989"/>
      <c r="V7" s="989" t="s">
        <v>2274</v>
      </c>
      <c r="W7" s="991"/>
      <c r="X7" s="989"/>
      <c r="Y7" s="989"/>
      <c r="Z7" s="991" t="s">
        <v>2887</v>
      </c>
      <c r="AA7" s="990">
        <v>0</v>
      </c>
      <c r="AB7" s="990">
        <v>0</v>
      </c>
      <c r="AC7" s="990">
        <v>0</v>
      </c>
      <c r="AD7" s="990">
        <v>0</v>
      </c>
      <c r="AE7" s="990">
        <v>0</v>
      </c>
      <c r="AF7" s="989"/>
      <c r="AG7" s="989"/>
      <c r="AH7" s="990">
        <v>2075956002</v>
      </c>
      <c r="AI7" s="990">
        <v>2152243158</v>
      </c>
      <c r="AJ7" s="990">
        <v>110303772</v>
      </c>
      <c r="AK7" s="990">
        <v>112769087</v>
      </c>
      <c r="AZ7" s="995" t="s">
        <v>2515</v>
      </c>
      <c r="BA7" s="1105">
        <v>5</v>
      </c>
      <c r="BB7" s="990" t="s">
        <v>862</v>
      </c>
      <c r="BC7" s="990">
        <v>6611082.7999999998</v>
      </c>
      <c r="BD7" s="990">
        <v>5267536.17</v>
      </c>
      <c r="BE7" s="990">
        <v>5410299.0499999998</v>
      </c>
      <c r="BF7" s="990"/>
      <c r="BG7" s="990">
        <v>813601.5</v>
      </c>
      <c r="BH7" s="990"/>
      <c r="BI7" s="990">
        <v>26880046.559999999</v>
      </c>
      <c r="BJ7" s="990"/>
      <c r="BO7" s="990"/>
      <c r="BP7" s="990" t="s">
        <v>2894</v>
      </c>
      <c r="BQ7" s="990">
        <v>48715037.18</v>
      </c>
      <c r="BR7" s="990"/>
      <c r="BS7" s="990">
        <v>31995572.739999998</v>
      </c>
      <c r="BT7" s="990">
        <v>29320257.329999998</v>
      </c>
      <c r="BU7" s="990">
        <v>2804191.13</v>
      </c>
      <c r="BV7" s="990">
        <v>1624964.91</v>
      </c>
      <c r="BW7" s="990">
        <v>31909028.309999999</v>
      </c>
      <c r="BX7" s="990">
        <v>14800792.74</v>
      </c>
    </row>
    <row r="8" spans="1:107">
      <c r="A8" s="992"/>
      <c r="B8" s="990">
        <v>0</v>
      </c>
      <c r="C8" s="990">
        <v>0</v>
      </c>
      <c r="D8" s="990">
        <v>0</v>
      </c>
      <c r="E8" s="990">
        <v>0</v>
      </c>
      <c r="F8" s="989">
        <v>6</v>
      </c>
      <c r="G8" s="989"/>
      <c r="J8" s="989"/>
      <c r="K8" s="989"/>
      <c r="L8" s="989"/>
      <c r="M8" s="989"/>
      <c r="N8" s="989"/>
      <c r="O8" s="989"/>
      <c r="P8" s="989"/>
      <c r="Q8" s="989"/>
      <c r="R8" s="989"/>
      <c r="S8" s="989"/>
      <c r="T8" s="989"/>
      <c r="U8" s="989"/>
      <c r="V8" s="989" t="s">
        <v>2275</v>
      </c>
      <c r="W8" s="989"/>
      <c r="X8" s="989"/>
      <c r="Y8" s="989"/>
      <c r="Z8" s="989"/>
      <c r="AA8" s="990">
        <v>0</v>
      </c>
      <c r="AB8" s="990">
        <v>0</v>
      </c>
      <c r="AC8" s="990">
        <v>0</v>
      </c>
      <c r="AD8" s="990">
        <v>0</v>
      </c>
      <c r="AE8" s="990">
        <v>0</v>
      </c>
      <c r="AF8" s="989"/>
      <c r="AG8" s="989"/>
      <c r="AH8" s="990">
        <v>2365109627</v>
      </c>
      <c r="AI8" s="990">
        <v>2527615621</v>
      </c>
      <c r="AJ8" s="990">
        <v>90964093</v>
      </c>
      <c r="AK8" s="990">
        <v>129659520</v>
      </c>
      <c r="BB8" s="990" t="s">
        <v>2894</v>
      </c>
      <c r="BC8" s="990">
        <v>48715037.18</v>
      </c>
      <c r="BD8" s="990">
        <v>47075492.469999999</v>
      </c>
      <c r="BE8" s="990">
        <v>31995572.739999998</v>
      </c>
      <c r="BF8" s="990">
        <v>29320257.329999998</v>
      </c>
      <c r="BG8" s="990">
        <v>2804191.13</v>
      </c>
      <c r="BH8" s="990">
        <v>1624964.91</v>
      </c>
      <c r="BI8" s="990">
        <v>31909028.309999999</v>
      </c>
      <c r="BJ8" s="990">
        <v>14800792.74</v>
      </c>
      <c r="BO8" s="990"/>
      <c r="BP8" s="990"/>
      <c r="BQ8" s="990"/>
      <c r="BR8" s="990"/>
      <c r="BT8" s="990"/>
      <c r="BV8" s="990"/>
      <c r="BX8" s="990"/>
    </row>
    <row r="9" spans="1:107">
      <c r="A9" s="989"/>
      <c r="B9" s="990">
        <v>0</v>
      </c>
      <c r="C9" s="990">
        <v>0</v>
      </c>
      <c r="D9" s="990">
        <v>0</v>
      </c>
      <c r="E9" s="990">
        <v>0</v>
      </c>
      <c r="F9" s="989">
        <v>7</v>
      </c>
      <c r="G9" s="989"/>
      <c r="J9" s="989"/>
      <c r="K9" s="989"/>
      <c r="L9" s="989"/>
      <c r="M9" s="989"/>
      <c r="N9" s="989"/>
      <c r="O9" s="989"/>
      <c r="P9" s="989"/>
      <c r="Q9" s="989"/>
      <c r="R9" s="989"/>
      <c r="S9" s="989"/>
      <c r="T9" s="989"/>
      <c r="U9" s="989"/>
      <c r="V9" s="989">
        <v>120000000</v>
      </c>
      <c r="W9" s="989"/>
      <c r="X9" s="989"/>
      <c r="Y9" s="989"/>
      <c r="Z9" s="989">
        <v>1177.2865629999999</v>
      </c>
      <c r="AA9" s="990">
        <v>0</v>
      </c>
      <c r="AB9" s="990">
        <v>0</v>
      </c>
      <c r="AC9" s="990">
        <v>0</v>
      </c>
      <c r="AD9" s="990">
        <v>0</v>
      </c>
      <c r="AE9" s="990">
        <v>0</v>
      </c>
      <c r="AF9" s="989"/>
      <c r="AG9" s="989"/>
      <c r="AH9" s="990">
        <v>2563816287</v>
      </c>
      <c r="AI9" s="990">
        <v>3464308195</v>
      </c>
      <c r="AJ9" s="990">
        <v>122678118</v>
      </c>
      <c r="AK9" s="990">
        <v>192855949</v>
      </c>
      <c r="BA9" s="989"/>
      <c r="BB9" s="990" t="s">
        <v>2891</v>
      </c>
      <c r="BC9" s="990">
        <v>3168858422.4299998</v>
      </c>
      <c r="BD9" s="990">
        <v>2046580105.3099999</v>
      </c>
      <c r="BE9" s="990">
        <v>4058997246.9400001</v>
      </c>
      <c r="BF9" s="990">
        <v>2463480375.5100002</v>
      </c>
      <c r="BG9" s="990">
        <v>4554542427.7399998</v>
      </c>
      <c r="BH9" s="990">
        <v>3064019614.9400001</v>
      </c>
      <c r="BJ9" s="990"/>
      <c r="BO9" s="990"/>
      <c r="BP9" s="990"/>
      <c r="BQ9" s="990"/>
      <c r="BR9" s="990"/>
      <c r="BT9" s="990"/>
      <c r="BV9" s="990"/>
      <c r="BX9" s="990"/>
      <c r="BY9" s="989"/>
      <c r="BZ9" s="989"/>
      <c r="CA9" s="989"/>
      <c r="CB9" s="989"/>
      <c r="CC9" s="989"/>
      <c r="CD9" s="989"/>
      <c r="CE9" s="989"/>
      <c r="CF9" s="989"/>
      <c r="CG9" s="989"/>
      <c r="CH9" s="989"/>
      <c r="CI9" s="989"/>
      <c r="CJ9" s="989"/>
      <c r="CK9" s="989"/>
      <c r="CL9" s="989"/>
      <c r="CM9" s="989"/>
      <c r="CN9" s="989"/>
      <c r="CO9" s="989"/>
      <c r="CP9" s="989"/>
      <c r="CQ9" s="989"/>
      <c r="CR9" s="989"/>
      <c r="CS9" s="989"/>
      <c r="CT9" s="989"/>
      <c r="CU9" s="989"/>
      <c r="CV9" s="989"/>
      <c r="CW9" s="989"/>
      <c r="CX9" s="989"/>
      <c r="CY9" s="989"/>
      <c r="CZ9" s="989"/>
      <c r="DA9" s="989"/>
      <c r="DB9" s="989"/>
      <c r="DC9" s="989"/>
    </row>
    <row r="10" spans="1:107">
      <c r="A10" s="989"/>
      <c r="B10" s="990">
        <v>0</v>
      </c>
      <c r="C10" s="990">
        <v>0</v>
      </c>
      <c r="D10" s="990">
        <v>0</v>
      </c>
      <c r="E10" s="990">
        <v>0</v>
      </c>
      <c r="F10" s="989">
        <v>8</v>
      </c>
      <c r="G10" s="989"/>
      <c r="J10" s="989"/>
      <c r="K10" s="989"/>
      <c r="L10" s="989"/>
      <c r="M10" s="989"/>
      <c r="N10" s="989"/>
      <c r="O10" s="989"/>
      <c r="P10" s="989"/>
      <c r="Q10" s="989"/>
      <c r="R10" s="989"/>
      <c r="S10" s="989"/>
      <c r="T10" s="989"/>
      <c r="U10" s="989"/>
      <c r="V10" s="989">
        <v>128612</v>
      </c>
      <c r="W10" s="989"/>
      <c r="X10" s="989"/>
      <c r="Y10" s="989"/>
      <c r="Z10" s="989">
        <v>899.48524999999995</v>
      </c>
      <c r="AA10" s="990">
        <v>0</v>
      </c>
      <c r="AB10" s="990">
        <v>0</v>
      </c>
      <c r="AC10" s="990">
        <v>0</v>
      </c>
      <c r="AD10" s="990">
        <v>0</v>
      </c>
      <c r="AE10" s="990">
        <v>0</v>
      </c>
      <c r="AF10" s="989"/>
      <c r="AG10" s="989"/>
      <c r="AH10" s="990">
        <v>2690022369</v>
      </c>
      <c r="AI10" s="990">
        <v>4594991710</v>
      </c>
      <c r="AJ10" s="990">
        <v>158268689</v>
      </c>
      <c r="AK10" s="990">
        <v>260212278</v>
      </c>
      <c r="BB10" s="990" t="s">
        <v>2892</v>
      </c>
      <c r="BC10" s="990">
        <v>923400026.61000001</v>
      </c>
      <c r="BD10" s="990">
        <v>606406793.66999996</v>
      </c>
      <c r="BE10" s="990">
        <v>1151701640.73</v>
      </c>
      <c r="BF10" s="990">
        <v>745728785.39999998</v>
      </c>
      <c r="BG10" s="990">
        <v>1684301759.9000001</v>
      </c>
      <c r="BH10" s="990">
        <v>1311409468.9300001</v>
      </c>
      <c r="BJ10" s="990"/>
      <c r="BO10" s="990"/>
      <c r="BP10" s="990"/>
      <c r="BQ10" s="990"/>
      <c r="BR10" s="990"/>
      <c r="BT10" s="990"/>
      <c r="BV10" s="990"/>
      <c r="BX10" s="990"/>
    </row>
    <row r="11" spans="1:107">
      <c r="A11" s="989"/>
      <c r="B11" s="990">
        <v>0</v>
      </c>
      <c r="C11" s="990">
        <v>0</v>
      </c>
      <c r="D11" s="990">
        <v>0</v>
      </c>
      <c r="E11" s="990">
        <v>0</v>
      </c>
      <c r="F11" s="989">
        <v>9</v>
      </c>
      <c r="G11" s="989"/>
      <c r="J11" s="989"/>
      <c r="K11" s="989"/>
      <c r="L11" s="989"/>
      <c r="M11" s="989"/>
      <c r="N11" s="989"/>
      <c r="O11" s="989"/>
      <c r="P11" s="989"/>
      <c r="Q11" s="989"/>
      <c r="R11" s="989"/>
      <c r="S11" s="989"/>
      <c r="T11" s="989"/>
      <c r="U11" s="989"/>
      <c r="V11" s="989">
        <v>0</v>
      </c>
      <c r="W11" s="989"/>
      <c r="X11" s="989"/>
      <c r="Y11" s="989"/>
      <c r="Z11" s="989">
        <v>0</v>
      </c>
      <c r="AA11" s="990">
        <v>0</v>
      </c>
      <c r="AB11" s="990">
        <v>0</v>
      </c>
      <c r="AC11" s="990">
        <v>0</v>
      </c>
      <c r="AD11" s="990">
        <v>0</v>
      </c>
      <c r="AE11" s="990">
        <v>0</v>
      </c>
      <c r="AF11" s="989"/>
      <c r="AG11" s="989"/>
      <c r="AH11" s="990">
        <v>23383863</v>
      </c>
      <c r="AI11" s="990">
        <v>1307402671</v>
      </c>
      <c r="AJ11" s="990">
        <v>86357319</v>
      </c>
      <c r="AK11" s="990">
        <v>13805415</v>
      </c>
      <c r="BC11" s="990"/>
      <c r="BD11" s="990"/>
      <c r="BF11" s="990"/>
      <c r="BH11" s="990"/>
      <c r="BJ11" s="990"/>
      <c r="BO11" s="990"/>
      <c r="BP11" s="990"/>
      <c r="BQ11" s="990"/>
      <c r="BR11" s="990"/>
      <c r="BT11" s="990"/>
      <c r="BV11" s="990"/>
      <c r="BX11" s="990"/>
    </row>
    <row r="12" spans="1:107">
      <c r="A12" s="989"/>
      <c r="B12" s="990">
        <v>0</v>
      </c>
      <c r="C12" s="990">
        <v>0</v>
      </c>
      <c r="D12" s="990">
        <v>0</v>
      </c>
      <c r="E12" s="990">
        <v>0</v>
      </c>
      <c r="F12" s="989">
        <v>10</v>
      </c>
      <c r="G12" s="989"/>
      <c r="J12" s="989"/>
      <c r="K12" s="989"/>
      <c r="L12" s="989"/>
      <c r="M12" s="989"/>
      <c r="N12" s="989"/>
      <c r="O12" s="989"/>
      <c r="P12" s="989"/>
      <c r="Q12" s="989"/>
      <c r="R12" s="989"/>
      <c r="S12" s="989"/>
      <c r="T12" s="989"/>
      <c r="U12" s="989"/>
      <c r="V12" s="989">
        <v>0</v>
      </c>
      <c r="W12" s="989"/>
      <c r="X12" s="989"/>
      <c r="Y12" s="989"/>
      <c r="Z12" s="989">
        <v>0</v>
      </c>
      <c r="AA12" s="990">
        <v>0</v>
      </c>
      <c r="AB12" s="990">
        <v>0</v>
      </c>
      <c r="AC12" s="990">
        <v>0</v>
      </c>
      <c r="AD12" s="990">
        <v>0</v>
      </c>
      <c r="AE12" s="990">
        <v>0</v>
      </c>
      <c r="AF12" s="989"/>
      <c r="AG12" s="989"/>
      <c r="AH12" s="990">
        <v>39799387</v>
      </c>
      <c r="AI12" s="990">
        <v>1467077667</v>
      </c>
      <c r="AJ12" s="990">
        <v>74178296</v>
      </c>
      <c r="AK12" s="990">
        <v>22511657</v>
      </c>
      <c r="BC12" s="990"/>
      <c r="BD12" s="990"/>
      <c r="BF12" s="990"/>
      <c r="BH12" s="990"/>
      <c r="BJ12" s="990"/>
      <c r="BO12" s="990"/>
      <c r="BP12" s="990"/>
      <c r="BQ12" s="990"/>
      <c r="BR12" s="990"/>
      <c r="BT12" s="990"/>
      <c r="BV12" s="990"/>
      <c r="BX12" s="990"/>
    </row>
    <row r="13" spans="1:107">
      <c r="A13" s="989"/>
      <c r="B13" s="990">
        <v>0</v>
      </c>
      <c r="C13" s="990">
        <v>0</v>
      </c>
      <c r="D13" s="990">
        <v>0</v>
      </c>
      <c r="E13" s="990">
        <v>0</v>
      </c>
      <c r="F13" s="989">
        <v>11</v>
      </c>
      <c r="G13" s="989"/>
      <c r="J13" s="989"/>
      <c r="K13" s="989"/>
      <c r="L13" s="989"/>
      <c r="M13" s="989"/>
      <c r="N13" s="989"/>
      <c r="O13" s="989"/>
      <c r="P13" s="989"/>
      <c r="Q13" s="989"/>
      <c r="R13" s="989"/>
      <c r="S13" s="989"/>
      <c r="T13" s="989"/>
      <c r="U13" s="989"/>
      <c r="V13" s="989">
        <v>16.18</v>
      </c>
      <c r="W13" s="989"/>
      <c r="X13" s="989"/>
      <c r="Y13" s="989"/>
      <c r="Z13" s="989">
        <v>4.4000000000000004</v>
      </c>
      <c r="AA13" s="990">
        <v>0</v>
      </c>
      <c r="AB13" s="990">
        <v>0</v>
      </c>
      <c r="AC13" s="990">
        <v>0</v>
      </c>
      <c r="AD13" s="990">
        <v>0</v>
      </c>
      <c r="AE13" s="990">
        <v>0</v>
      </c>
      <c r="AF13" s="989"/>
      <c r="AG13" s="989"/>
      <c r="AH13" s="990">
        <v>41734791</v>
      </c>
      <c r="AI13" s="990">
        <v>1657311564</v>
      </c>
      <c r="AJ13" s="990">
        <v>93566933</v>
      </c>
      <c r="AK13" s="990">
        <v>19841250</v>
      </c>
      <c r="BC13" s="990"/>
      <c r="BD13" s="990"/>
      <c r="BF13" s="990"/>
      <c r="BH13" s="990"/>
      <c r="BJ13" s="990"/>
      <c r="BO13" s="990"/>
      <c r="BP13" s="990"/>
      <c r="BQ13" s="990"/>
      <c r="BR13" s="990"/>
      <c r="BT13" s="990"/>
      <c r="BV13" s="990"/>
      <c r="BX13" s="990"/>
    </row>
    <row r="14" spans="1:107">
      <c r="A14" s="989"/>
      <c r="B14" s="990">
        <v>0</v>
      </c>
      <c r="C14" s="990">
        <v>0</v>
      </c>
      <c r="D14" s="990">
        <v>0</v>
      </c>
      <c r="E14" s="990">
        <v>0</v>
      </c>
      <c r="F14" s="989">
        <v>12</v>
      </c>
      <c r="G14" s="989"/>
      <c r="J14" s="989"/>
      <c r="K14" s="989"/>
      <c r="L14" s="989"/>
      <c r="M14" s="989"/>
      <c r="N14" s="989"/>
      <c r="O14" s="989"/>
      <c r="P14" s="989"/>
      <c r="Q14" s="989"/>
      <c r="R14" s="989"/>
      <c r="S14" s="989"/>
      <c r="T14" s="989"/>
      <c r="U14" s="989"/>
      <c r="V14" s="989">
        <v>0</v>
      </c>
      <c r="W14" s="989"/>
      <c r="X14" s="989"/>
      <c r="Y14" s="989"/>
      <c r="Z14" s="989"/>
      <c r="AA14" s="990">
        <v>0</v>
      </c>
      <c r="AB14" s="990">
        <v>0</v>
      </c>
      <c r="AC14" s="990">
        <v>0</v>
      </c>
      <c r="AD14" s="990">
        <v>0</v>
      </c>
      <c r="AE14" s="990">
        <v>0</v>
      </c>
      <c r="AF14" s="989"/>
      <c r="AG14" s="989"/>
      <c r="AH14" s="990">
        <v>40740935</v>
      </c>
      <c r="AI14" s="990">
        <v>2120286892</v>
      </c>
      <c r="AJ14" s="990">
        <v>125746896</v>
      </c>
      <c r="AK14" s="990">
        <v>28050475</v>
      </c>
      <c r="BC14" s="990"/>
      <c r="BD14" s="990"/>
      <c r="BF14" s="990"/>
      <c r="BH14" s="990"/>
      <c r="BJ14" s="990"/>
      <c r="BO14" s="990"/>
      <c r="BP14" s="990"/>
      <c r="BQ14" s="990"/>
      <c r="BR14" s="990"/>
      <c r="BT14" s="990"/>
      <c r="BV14" s="990"/>
      <c r="BX14" s="990"/>
    </row>
    <row r="15" spans="1:107">
      <c r="A15" s="989"/>
      <c r="B15" s="990">
        <v>0</v>
      </c>
      <c r="C15" s="990">
        <v>0</v>
      </c>
      <c r="D15" s="990">
        <v>0</v>
      </c>
      <c r="E15" s="990">
        <v>0</v>
      </c>
      <c r="F15" s="989">
        <v>13</v>
      </c>
      <c r="G15" s="989"/>
      <c r="J15" s="989"/>
      <c r="K15" s="989"/>
      <c r="L15" s="989"/>
      <c r="M15" s="989"/>
      <c r="N15" s="989"/>
      <c r="O15" s="989"/>
      <c r="P15" s="989"/>
      <c r="Q15" s="989"/>
      <c r="R15" s="989"/>
      <c r="S15" s="989"/>
      <c r="T15" s="989"/>
      <c r="U15" s="989"/>
      <c r="V15" s="989">
        <v>0</v>
      </c>
      <c r="W15" s="989"/>
      <c r="X15" s="989"/>
      <c r="Y15" s="989"/>
      <c r="Z15" s="989"/>
      <c r="AA15" s="990">
        <v>0</v>
      </c>
      <c r="AB15" s="990">
        <v>0</v>
      </c>
      <c r="AC15" s="990">
        <v>0</v>
      </c>
      <c r="AD15" s="990">
        <v>0</v>
      </c>
      <c r="AE15" s="990">
        <v>0</v>
      </c>
      <c r="AF15" s="991"/>
      <c r="AG15" s="989"/>
      <c r="BC15" s="990"/>
      <c r="BD15" s="990"/>
      <c r="BF15" s="990"/>
      <c r="BH15" s="990"/>
      <c r="BJ15" s="990"/>
      <c r="BO15" s="990"/>
      <c r="BP15" s="990"/>
      <c r="BQ15" s="990"/>
      <c r="BR15" s="990"/>
      <c r="BT15" s="990"/>
      <c r="BV15" s="990"/>
      <c r="BX15" s="990"/>
    </row>
    <row r="16" spans="1:107">
      <c r="A16" s="989"/>
      <c r="B16" s="990">
        <v>0</v>
      </c>
      <c r="C16" s="990">
        <v>0</v>
      </c>
      <c r="D16" s="990">
        <v>0</v>
      </c>
      <c r="E16" s="990">
        <v>0</v>
      </c>
      <c r="F16" s="989">
        <v>14</v>
      </c>
      <c r="G16" s="989"/>
      <c r="J16" s="989"/>
      <c r="K16" s="989"/>
      <c r="L16" s="989"/>
      <c r="M16" s="989"/>
      <c r="N16" s="989"/>
      <c r="O16" s="989"/>
      <c r="P16" s="989"/>
      <c r="Q16" s="989"/>
      <c r="R16" s="989"/>
      <c r="S16" s="989"/>
      <c r="T16" s="989"/>
      <c r="U16" s="989"/>
      <c r="V16" s="989">
        <v>0.78742000000000001</v>
      </c>
      <c r="W16" s="989"/>
      <c r="X16" s="989"/>
      <c r="Y16" s="989"/>
      <c r="Z16" s="989">
        <v>0.90854999999999997</v>
      </c>
      <c r="AA16" s="990">
        <v>0</v>
      </c>
      <c r="AB16" s="990">
        <v>0</v>
      </c>
      <c r="AC16" s="990">
        <v>0</v>
      </c>
      <c r="AD16" s="990">
        <v>0</v>
      </c>
      <c r="AE16" s="990">
        <v>0</v>
      </c>
      <c r="AF16" s="989"/>
      <c r="AG16" s="989"/>
      <c r="AH16" s="990" t="s">
        <v>2497</v>
      </c>
      <c r="AI16" s="990" t="s">
        <v>2058</v>
      </c>
      <c r="BC16" s="990"/>
      <c r="BD16" s="990"/>
      <c r="BF16" s="990"/>
      <c r="BH16" s="990"/>
      <c r="BJ16" s="990"/>
      <c r="BO16" s="990"/>
      <c r="BP16" s="990"/>
      <c r="BQ16" s="990"/>
      <c r="BR16" s="990"/>
      <c r="BT16" s="990"/>
      <c r="BV16" s="990"/>
      <c r="BX16" s="990"/>
    </row>
    <row r="17" spans="2:76">
      <c r="B17" s="990">
        <v>0</v>
      </c>
      <c r="C17" s="990">
        <v>0</v>
      </c>
      <c r="D17" s="990">
        <v>0</v>
      </c>
      <c r="E17" s="990">
        <v>0</v>
      </c>
      <c r="F17" s="989">
        <v>15</v>
      </c>
      <c r="G17" s="989"/>
      <c r="J17" s="989"/>
      <c r="K17" s="989"/>
      <c r="L17" s="989"/>
      <c r="M17" s="989"/>
      <c r="N17" s="989"/>
      <c r="O17" s="989"/>
      <c r="P17" s="989"/>
      <c r="Q17" s="989"/>
      <c r="R17" s="989"/>
      <c r="S17" s="989"/>
      <c r="T17" s="989"/>
      <c r="U17" s="989"/>
      <c r="V17" s="989">
        <v>6.1059000000000001</v>
      </c>
      <c r="W17" s="989"/>
      <c r="X17" s="989"/>
      <c r="Y17" s="989"/>
      <c r="Z17" s="989">
        <v>7.1070000000000002</v>
      </c>
      <c r="AA17" s="990">
        <v>0</v>
      </c>
      <c r="AB17" s="990">
        <v>0</v>
      </c>
      <c r="AC17" s="990">
        <v>0</v>
      </c>
      <c r="AD17" s="990">
        <v>0</v>
      </c>
      <c r="AE17" s="990">
        <v>0</v>
      </c>
      <c r="AF17" s="989"/>
      <c r="AG17" s="989"/>
      <c r="AH17" s="990" t="s">
        <v>2497</v>
      </c>
      <c r="AI17" s="990" t="s">
        <v>2494</v>
      </c>
      <c r="BC17" s="990"/>
      <c r="BD17" s="990"/>
      <c r="BF17" s="990"/>
      <c r="BH17" s="990"/>
      <c r="BJ17" s="990"/>
      <c r="BO17" s="990"/>
      <c r="BP17" s="990"/>
      <c r="BQ17" s="990"/>
      <c r="BR17" s="990"/>
      <c r="BT17" s="990"/>
      <c r="BV17" s="990"/>
      <c r="BX17" s="990"/>
    </row>
    <row r="18" spans="2:76">
      <c r="B18" s="990">
        <v>0</v>
      </c>
      <c r="C18" s="990">
        <v>0</v>
      </c>
      <c r="D18" s="990">
        <v>0</v>
      </c>
      <c r="E18" s="990">
        <v>0</v>
      </c>
      <c r="F18" s="989">
        <v>16</v>
      </c>
      <c r="G18" s="989"/>
      <c r="J18" s="989"/>
      <c r="K18" s="989"/>
      <c r="L18" s="989"/>
      <c r="M18" s="989"/>
      <c r="N18" s="989"/>
      <c r="O18" s="989"/>
      <c r="P18" s="989"/>
      <c r="Q18" s="989"/>
      <c r="R18" s="989"/>
      <c r="S18" s="989"/>
      <c r="T18" s="989"/>
      <c r="U18" s="989"/>
      <c r="V18" s="989"/>
      <c r="W18" s="989"/>
      <c r="X18" s="989"/>
      <c r="Y18" s="989"/>
      <c r="Z18" s="989"/>
      <c r="AA18" s="990">
        <v>0</v>
      </c>
      <c r="AB18" s="990">
        <v>0</v>
      </c>
      <c r="AC18" s="990">
        <v>0</v>
      </c>
      <c r="AD18" s="990">
        <v>0</v>
      </c>
      <c r="AE18" s="990">
        <v>0</v>
      </c>
      <c r="AF18" s="989"/>
      <c r="AG18" s="989"/>
      <c r="AH18" s="990" t="s">
        <v>2497</v>
      </c>
      <c r="AI18" s="990" t="s">
        <v>2494</v>
      </c>
      <c r="BC18" s="990"/>
      <c r="BD18" s="990"/>
      <c r="BF18" s="990"/>
      <c r="BH18" s="990"/>
      <c r="BJ18" s="990"/>
      <c r="BO18" s="990"/>
      <c r="BP18" s="990"/>
      <c r="BQ18" s="990"/>
      <c r="BR18" s="990"/>
      <c r="BT18" s="990"/>
      <c r="BV18" s="990"/>
      <c r="BX18" s="990"/>
    </row>
    <row r="19" spans="2:76">
      <c r="B19" s="992">
        <v>0</v>
      </c>
      <c r="C19" s="992"/>
      <c r="D19" s="992"/>
      <c r="E19" s="992"/>
      <c r="F19" s="992"/>
      <c r="G19" s="989"/>
      <c r="J19" s="989"/>
      <c r="K19" s="989"/>
      <c r="L19" s="989"/>
      <c r="M19" s="989"/>
      <c r="N19" s="989"/>
      <c r="O19" s="989"/>
      <c r="P19" s="989"/>
      <c r="Q19" s="989"/>
      <c r="R19" s="989"/>
      <c r="S19" s="989"/>
      <c r="T19" s="989"/>
      <c r="U19" s="989"/>
      <c r="V19" s="989"/>
      <c r="W19" s="989"/>
      <c r="X19" s="989"/>
      <c r="Y19" s="989"/>
      <c r="Z19" s="989"/>
      <c r="AA19" s="989"/>
      <c r="AB19" s="989"/>
      <c r="AC19" s="989"/>
      <c r="AD19" s="989"/>
      <c r="AE19" s="989"/>
      <c r="AF19" s="989"/>
      <c r="AG19" s="989"/>
      <c r="AH19" s="990" t="s">
        <v>2497</v>
      </c>
      <c r="AI19" s="990" t="s">
        <v>2494</v>
      </c>
      <c r="BC19" s="990"/>
      <c r="BD19" s="990"/>
      <c r="BF19" s="990"/>
      <c r="BH19" s="990"/>
      <c r="BJ19" s="990"/>
      <c r="BO19" s="990"/>
      <c r="BP19" s="990"/>
      <c r="BQ19" s="990"/>
      <c r="BR19" s="990"/>
      <c r="BT19" s="990"/>
      <c r="BV19" s="990"/>
      <c r="BX19" s="990"/>
    </row>
    <row r="20" spans="2:76">
      <c r="B20" s="989" t="s">
        <v>1876</v>
      </c>
      <c r="C20" s="989"/>
      <c r="D20" s="989"/>
      <c r="E20" s="989"/>
      <c r="F20" s="989"/>
      <c r="G20" s="989"/>
      <c r="J20" s="989"/>
      <c r="K20" s="989"/>
      <c r="L20" s="989"/>
      <c r="M20" s="989"/>
      <c r="N20" s="989"/>
      <c r="O20" s="989"/>
      <c r="P20" s="989"/>
      <c r="Q20" s="989"/>
      <c r="R20" s="989"/>
      <c r="S20" s="989"/>
      <c r="T20" s="989"/>
      <c r="U20" s="989"/>
      <c r="V20" s="989"/>
      <c r="W20" s="989"/>
      <c r="X20" s="989"/>
      <c r="Y20" s="989"/>
      <c r="Z20" s="989"/>
      <c r="AA20" s="989"/>
      <c r="AB20" s="989"/>
      <c r="AC20" s="989"/>
      <c r="AD20" s="989"/>
      <c r="AE20" s="989"/>
      <c r="AF20" s="989"/>
      <c r="AG20" s="989"/>
      <c r="AH20" s="990">
        <v>4338502932</v>
      </c>
      <c r="AI20" s="990">
        <v>112769087</v>
      </c>
      <c r="BC20" s="990"/>
      <c r="BD20" s="990"/>
      <c r="BF20" s="990"/>
      <c r="BH20" s="990"/>
      <c r="BJ20" s="990"/>
      <c r="BO20" s="990"/>
      <c r="BP20" s="990"/>
      <c r="BQ20" s="990"/>
      <c r="BR20" s="990"/>
      <c r="BT20" s="990"/>
      <c r="BV20" s="990"/>
      <c r="BX20" s="990"/>
    </row>
    <row r="21" spans="2:76" ht="12">
      <c r="B21" s="993">
        <f>IF(ISNUMBER(VLOOKUP($H21,B$3:$F$18,5,FALSE)),VLOOKUP($H21,B$3:$F$18,5,FALSE),0)</f>
        <v>1</v>
      </c>
      <c r="C21" s="993">
        <f>IF(ISNUMBER(VLOOKUP($H21,C$3:$F$18,4,FALSE)),VLOOKUP($H21,C$3:$F$18,4,FALSE),0)</f>
        <v>1</v>
      </c>
      <c r="D21" s="993">
        <f>IF(ISNUMBER(VLOOKUP($H21,D$3:$F$18,3,FALSE)),VLOOKUP($H21,D$3:$F$18,3,FALSE),0)</f>
        <v>1</v>
      </c>
      <c r="E21" s="993">
        <f>IF(ISNUMBER(VLOOKUP($H21,E$3:$F$18,2,FALSE)),VLOOKUP($H21,E$3:$F$18,2,FALSE),0)</f>
        <v>1</v>
      </c>
      <c r="F21" s="989"/>
      <c r="G21" s="989"/>
      <c r="H21" s="990" t="s">
        <v>2495</v>
      </c>
      <c r="J21" s="989"/>
      <c r="K21" s="989"/>
      <c r="L21" s="989"/>
      <c r="M21" s="989"/>
      <c r="N21" s="989"/>
      <c r="O21" s="989"/>
      <c r="P21" s="989"/>
      <c r="Q21" s="989"/>
      <c r="R21" s="989"/>
      <c r="S21" s="989"/>
      <c r="T21" s="989"/>
      <c r="U21" s="989"/>
      <c r="V21" s="989"/>
      <c r="W21" s="989"/>
      <c r="X21" s="989"/>
      <c r="Y21" s="989"/>
      <c r="Z21" s="815"/>
      <c r="AA21" s="989"/>
      <c r="AB21" s="989"/>
      <c r="AC21" s="989"/>
      <c r="AD21" s="989"/>
      <c r="AE21" s="989"/>
      <c r="AF21" s="989"/>
      <c r="AG21" s="989"/>
      <c r="AH21" s="990">
        <v>4983689341</v>
      </c>
      <c r="AI21" s="990">
        <v>129659520</v>
      </c>
      <c r="BC21" s="990"/>
      <c r="BD21" s="990"/>
      <c r="BF21" s="990"/>
      <c r="BH21" s="990"/>
      <c r="BJ21" s="990"/>
      <c r="BO21" s="990"/>
      <c r="BP21" s="990"/>
      <c r="BQ21" s="990"/>
      <c r="BR21" s="990"/>
      <c r="BT21" s="990"/>
      <c r="BV21" s="990"/>
      <c r="BX21" s="990"/>
    </row>
    <row r="22" spans="2:76">
      <c r="B22" s="993">
        <f>IF(ISNUMBER(VLOOKUP($H22,B$3:$F$18,5,FALSE)),VLOOKUP($H22,B$3:$F$18,5,FALSE),0)</f>
        <v>0</v>
      </c>
      <c r="C22" s="993">
        <f>IF(ISNUMBER(VLOOKUP($H22,C$3:$F$18,4,FALSE)),VLOOKUP($H22,C$3:$F$18,4,FALSE),0)</f>
        <v>2</v>
      </c>
      <c r="D22" s="993">
        <f>IF(ISNUMBER(VLOOKUP($H22,D$3:$F$18,3,FALSE)),VLOOKUP($H22,D$3:$F$18,3,FALSE),0)</f>
        <v>2</v>
      </c>
      <c r="E22" s="993">
        <f>IF(ISNUMBER(VLOOKUP($H22,E$3:$F$18,2,FALSE)),VLOOKUP($H22,E$3:$F$18,2,FALSE),0)</f>
        <v>2</v>
      </c>
      <c r="F22" s="989"/>
      <c r="G22" s="989"/>
      <c r="H22" s="990" t="s">
        <v>2498</v>
      </c>
      <c r="J22" s="989"/>
      <c r="K22" s="989"/>
      <c r="L22" s="989"/>
      <c r="M22" s="989"/>
      <c r="N22" s="989"/>
      <c r="O22" s="989"/>
      <c r="P22" s="989"/>
      <c r="Q22" s="989"/>
      <c r="R22" s="989"/>
      <c r="S22" s="989"/>
      <c r="T22" s="989"/>
      <c r="U22" s="989"/>
      <c r="V22" s="989"/>
      <c r="W22" s="989"/>
      <c r="X22" s="989"/>
      <c r="Y22" s="989"/>
      <c r="Z22" s="989"/>
      <c r="AA22" s="989"/>
      <c r="AB22" s="989"/>
      <c r="AC22" s="989"/>
      <c r="AD22" s="989"/>
      <c r="AE22" s="989"/>
      <c r="AF22" s="989"/>
      <c r="AG22" s="989"/>
      <c r="AH22" s="990">
        <v>6150802600</v>
      </c>
      <c r="AI22" s="990">
        <v>192855949</v>
      </c>
      <c r="BC22" s="990"/>
      <c r="BD22" s="990"/>
      <c r="BF22" s="990"/>
      <c r="BH22" s="990"/>
      <c r="BJ22" s="990"/>
      <c r="BO22" s="990"/>
      <c r="BP22" s="990"/>
      <c r="BQ22" s="990"/>
      <c r="BR22" s="990"/>
      <c r="BT22" s="990"/>
      <c r="BV22" s="990"/>
      <c r="BX22" s="990"/>
    </row>
    <row r="23" spans="2:76">
      <c r="B23" s="993">
        <f>IF(ISNUMBER(VLOOKUP($H23,B$3:$F$18,5,FALSE)),VLOOKUP($H23,B$3:$F$18,5,FALSE),0)</f>
        <v>3</v>
      </c>
      <c r="C23" s="993">
        <f>IF(ISNUMBER(VLOOKUP($H23,C$3:$F$18,4,FALSE)),VLOOKUP($H23,C$3:$F$18,4,FALSE),0)</f>
        <v>3</v>
      </c>
      <c r="D23" s="993">
        <f>IF(ISNUMBER(VLOOKUP($H23,D$3:$F$18,3,FALSE)),VLOOKUP($H23,D$3:$F$18,3,FALSE),0)</f>
        <v>3</v>
      </c>
      <c r="E23" s="993">
        <f>IF(ISNUMBER(VLOOKUP($H23,E$3:$F$18,2,FALSE)),VLOOKUP($H23,E$3:$F$18,2,FALSE),0)</f>
        <v>3</v>
      </c>
      <c r="F23" s="989"/>
      <c r="G23" s="989"/>
      <c r="H23" s="990" t="s">
        <v>2078</v>
      </c>
      <c r="J23" s="989"/>
      <c r="K23" s="989"/>
      <c r="L23" s="989"/>
      <c r="M23" s="989"/>
      <c r="N23" s="989"/>
      <c r="O23" s="989"/>
      <c r="P23" s="989"/>
      <c r="Q23" s="989"/>
      <c r="R23" s="989"/>
      <c r="S23" s="989"/>
      <c r="T23" s="989"/>
      <c r="U23" s="989"/>
      <c r="V23" s="989"/>
      <c r="W23" s="989"/>
      <c r="X23" s="991"/>
      <c r="Y23" s="989"/>
      <c r="Z23" s="991"/>
      <c r="AA23" s="989"/>
      <c r="AB23" s="989"/>
      <c r="AC23" s="989"/>
      <c r="AD23" s="989"/>
      <c r="AE23" s="989"/>
      <c r="AF23" s="989"/>
      <c r="AG23" s="989"/>
      <c r="AH23" s="990">
        <v>7443282768</v>
      </c>
      <c r="AI23" s="990">
        <v>260212278</v>
      </c>
      <c r="BC23" s="990"/>
      <c r="BD23" s="990"/>
      <c r="BF23" s="990"/>
      <c r="BH23" s="990"/>
      <c r="BJ23" s="990"/>
      <c r="BO23" s="990"/>
      <c r="BP23" s="990"/>
      <c r="BQ23" s="990"/>
      <c r="BR23" s="990"/>
      <c r="BT23" s="990"/>
      <c r="BV23" s="990"/>
      <c r="BX23" s="990"/>
    </row>
    <row r="24" spans="2:76">
      <c r="B24" s="993">
        <f>IF(ISNUMBER(VLOOKUP($H24,B$3:$F$18,5,FALSE)),VLOOKUP($H24,B$3:$F$18,5,FALSE),0)</f>
        <v>0</v>
      </c>
      <c r="C24" s="993">
        <f>IF(ISNUMBER(VLOOKUP($H24,C$3:$F$18,4,FALSE)),VLOOKUP($H24,C$3:$F$18,4,FALSE),0)</f>
        <v>4</v>
      </c>
      <c r="D24" s="993">
        <f>IF(ISNUMBER(VLOOKUP($H24,D$3:$F$18,3,FALSE)),VLOOKUP($H24,D$3:$F$18,3,FALSE),0)</f>
        <v>4</v>
      </c>
      <c r="E24" s="993">
        <f>IF(ISNUMBER(VLOOKUP($H24,E$3:$F$18,2,FALSE)),VLOOKUP($H24,E$3:$F$18,2,FALSE),0)</f>
        <v>4</v>
      </c>
      <c r="F24" s="989"/>
      <c r="G24" s="989"/>
      <c r="H24" s="990" t="s">
        <v>2494</v>
      </c>
      <c r="J24" s="989"/>
      <c r="K24" s="989"/>
      <c r="L24" s="989"/>
      <c r="M24" s="989"/>
      <c r="N24" s="989"/>
      <c r="O24" s="989"/>
      <c r="P24" s="989"/>
      <c r="Q24" s="989"/>
      <c r="R24" s="989"/>
      <c r="S24" s="989"/>
      <c r="T24" s="989"/>
      <c r="U24" s="989"/>
      <c r="V24" s="989"/>
      <c r="W24" s="989"/>
      <c r="X24" s="989"/>
      <c r="Y24" s="989"/>
      <c r="Z24" s="991"/>
      <c r="AA24" s="989"/>
      <c r="AB24" s="989"/>
      <c r="AC24" s="989"/>
      <c r="AD24" s="989"/>
      <c r="AE24" s="989"/>
      <c r="AF24" s="989"/>
      <c r="AG24" s="989"/>
      <c r="AH24" s="990">
        <v>1417143853</v>
      </c>
      <c r="AI24" s="990">
        <v>13805415</v>
      </c>
      <c r="BC24" s="990"/>
      <c r="BD24" s="990"/>
      <c r="BF24" s="990"/>
      <c r="BH24" s="990"/>
      <c r="BJ24" s="990"/>
      <c r="BO24" s="990"/>
      <c r="BP24" s="990"/>
      <c r="BQ24" s="990"/>
      <c r="BR24" s="990"/>
      <c r="BT24" s="990"/>
      <c r="BV24" s="990"/>
      <c r="BX24" s="990"/>
    </row>
    <row r="25" spans="2:76">
      <c r="B25" s="993">
        <f>IF(ISNUMBER(VLOOKUP($H25,B$3:$F$18,5,FALSE)),VLOOKUP($H25,B$3:$F$18,5,FALSE),0)</f>
        <v>2</v>
      </c>
      <c r="C25" s="993">
        <f>IF(ISNUMBER(VLOOKUP($H25,C$3:$F$18,4,FALSE)),VLOOKUP($H25,C$3:$F$18,4,FALSE),0)</f>
        <v>0</v>
      </c>
      <c r="D25" s="993">
        <f>IF(ISNUMBER(VLOOKUP($H25,D$3:$F$18,3,FALSE)),VLOOKUP($H25,D$3:$F$18,3,FALSE),0)</f>
        <v>0</v>
      </c>
      <c r="E25" s="993">
        <f>IF(ISNUMBER(VLOOKUP($H25,E$3:$F$18,2,FALSE)),VLOOKUP($H25,E$3:$F$18,2,FALSE),0)</f>
        <v>0</v>
      </c>
      <c r="F25" s="989"/>
      <c r="G25" s="989"/>
      <c r="H25" s="990" t="s">
        <v>2496</v>
      </c>
      <c r="J25" s="989"/>
      <c r="K25" s="989"/>
      <c r="L25" s="989"/>
      <c r="M25" s="989"/>
      <c r="N25" s="989"/>
      <c r="O25" s="989"/>
      <c r="P25" s="989"/>
      <c r="Q25" s="989"/>
      <c r="R25" s="989"/>
      <c r="S25" s="989"/>
      <c r="T25" s="989"/>
      <c r="U25" s="989"/>
      <c r="V25" s="989"/>
      <c r="W25" s="989"/>
      <c r="X25" s="989"/>
      <c r="Y25" s="989"/>
      <c r="Z25" s="991" t="e">
        <f ca="1">_xll.BD_COLLECTION(1,Z23)</f>
        <v>#NAME?</v>
      </c>
      <c r="AA25" s="989"/>
      <c r="AB25" s="989"/>
      <c r="AC25" s="989"/>
      <c r="AD25" s="989"/>
      <c r="AE25" s="989"/>
      <c r="AF25" s="989"/>
      <c r="AG25" s="989"/>
      <c r="AH25" s="990">
        <v>1581055350</v>
      </c>
      <c r="AI25" s="990">
        <v>22511657</v>
      </c>
      <c r="BC25" s="990"/>
      <c r="BD25" s="990"/>
      <c r="BF25" s="990"/>
      <c r="BH25" s="990"/>
      <c r="BJ25" s="990"/>
      <c r="BO25" s="990"/>
      <c r="BP25" s="990"/>
      <c r="BQ25" s="990"/>
      <c r="BR25" s="990"/>
      <c r="BT25" s="990"/>
      <c r="BV25" s="990"/>
      <c r="BX25" s="990"/>
    </row>
    <row r="26" spans="2:76">
      <c r="B26" s="993">
        <f>IF(ISNUMBER(VLOOKUP($H26,B$3:$F$18,5,FALSE)),VLOOKUP($H26,B$3:$F$18,5,FALSE),0)</f>
        <v>4</v>
      </c>
      <c r="C26" s="993">
        <f>IF(ISNUMBER(VLOOKUP($H26,C$3:$F$18,4,FALSE)),VLOOKUP($H26,C$3:$F$18,4,FALSE),0)</f>
        <v>0</v>
      </c>
      <c r="D26" s="993">
        <f>IF(ISNUMBER(VLOOKUP($H26,D$3:$F$18,3,FALSE)),VLOOKUP($H26,D$3:$F$18,3,FALSE),0)</f>
        <v>0</v>
      </c>
      <c r="E26" s="993">
        <f>IF(ISNUMBER(VLOOKUP($H26,E$3:$F$18,2,FALSE)),VLOOKUP($H26,E$3:$F$18,2,FALSE),0)</f>
        <v>0</v>
      </c>
      <c r="F26" s="989"/>
      <c r="G26" s="989"/>
      <c r="H26" s="990" t="s">
        <v>2058</v>
      </c>
      <c r="J26" s="989"/>
      <c r="K26" s="989"/>
      <c r="L26" s="989"/>
      <c r="M26" s="989"/>
      <c r="N26" s="989"/>
      <c r="O26" s="989"/>
      <c r="P26" s="989"/>
      <c r="Q26" s="989"/>
      <c r="R26" s="989"/>
      <c r="S26" s="989"/>
      <c r="T26" s="989"/>
      <c r="U26" s="989"/>
      <c r="V26" s="989"/>
      <c r="W26" s="989"/>
      <c r="X26" s="991"/>
      <c r="Y26" s="989"/>
      <c r="Z26" s="989" t="s">
        <v>2273</v>
      </c>
      <c r="AA26" s="989"/>
      <c r="AB26" s="989"/>
      <c r="AC26" s="989"/>
      <c r="AD26" s="989"/>
      <c r="AE26" s="989"/>
      <c r="AF26" s="989"/>
      <c r="AG26" s="989"/>
      <c r="AH26" s="990">
        <v>1792613288</v>
      </c>
      <c r="AI26" s="990">
        <v>19841250</v>
      </c>
      <c r="BC26" s="990"/>
      <c r="BD26" s="990"/>
      <c r="BF26" s="990"/>
      <c r="BH26" s="990"/>
      <c r="BJ26" s="990"/>
      <c r="BO26" s="990"/>
      <c r="BP26" s="990"/>
      <c r="BQ26" s="990"/>
      <c r="BR26" s="990"/>
      <c r="BT26" s="990"/>
      <c r="BV26" s="990"/>
      <c r="BX26" s="990"/>
    </row>
    <row r="27" spans="2:76">
      <c r="B27" s="993">
        <f>IF(ISNUMBER(VLOOKUP($H27,B$3:$F$18,5,FALSE)),VLOOKUP($H27,B$3:$F$18,5,FALSE),0)</f>
        <v>5</v>
      </c>
      <c r="C27" s="993">
        <f>IF(ISNUMBER(VLOOKUP($H27,C$3:$F$18,4,FALSE)),VLOOKUP($H27,C$3:$F$18,4,FALSE),0)</f>
        <v>5</v>
      </c>
      <c r="D27" s="993">
        <f>IF(ISNUMBER(VLOOKUP($H27,D$3:$F$18,3,FALSE)),VLOOKUP($H27,D$3:$F$18,3,FALSE),0)</f>
        <v>5</v>
      </c>
      <c r="E27" s="993">
        <f>IF(ISNUMBER(VLOOKUP($H27,E$3:$F$18,2,FALSE)),VLOOKUP($H27,E$3:$F$18,2,FALSE),0)</f>
        <v>5</v>
      </c>
      <c r="F27" s="989"/>
      <c r="G27" s="989"/>
      <c r="J27" s="989"/>
      <c r="K27" s="989"/>
      <c r="L27" s="989"/>
      <c r="M27" s="989"/>
      <c r="N27" s="989"/>
      <c r="O27" s="989"/>
      <c r="P27" s="989"/>
      <c r="Q27" s="989"/>
      <c r="R27" s="989"/>
      <c r="S27" s="989"/>
      <c r="T27" s="989"/>
      <c r="U27" s="989"/>
      <c r="V27" s="989"/>
      <c r="W27" s="989"/>
      <c r="X27" s="989"/>
      <c r="Y27" s="989"/>
      <c r="Z27" s="989"/>
      <c r="AA27" s="989"/>
      <c r="AB27" s="989"/>
      <c r="AC27" s="989"/>
      <c r="AD27" s="989"/>
      <c r="AE27" s="989"/>
      <c r="AF27" s="989"/>
      <c r="AG27" s="989"/>
      <c r="AH27" s="990">
        <v>2286774723</v>
      </c>
      <c r="AI27" s="990">
        <v>28050475</v>
      </c>
      <c r="BC27" s="990"/>
      <c r="BD27" s="990"/>
      <c r="BF27" s="990"/>
      <c r="BH27" s="990"/>
      <c r="BJ27" s="990"/>
      <c r="BO27" s="990"/>
      <c r="BP27" s="990"/>
      <c r="BQ27" s="990"/>
      <c r="BR27" s="990"/>
      <c r="BT27" s="990"/>
      <c r="BV27" s="990"/>
      <c r="BX27" s="990"/>
    </row>
    <row r="28" spans="2:76">
      <c r="B28" s="993">
        <f>IF(ISNUMBER(VLOOKUP($H28,B$3:$F$18,5,FALSE)),VLOOKUP($H28,B$3:$F$18,5,FALSE),0)</f>
        <v>5</v>
      </c>
      <c r="C28" s="993">
        <f>IF(ISNUMBER(VLOOKUP($H28,C$3:$F$18,4,FALSE)),VLOOKUP($H28,C$3:$F$18,4,FALSE),0)</f>
        <v>5</v>
      </c>
      <c r="D28" s="993">
        <f>IF(ISNUMBER(VLOOKUP($H28,D$3:$F$18,3,FALSE)),VLOOKUP($H28,D$3:$F$18,3,FALSE),0)</f>
        <v>5</v>
      </c>
      <c r="E28" s="993">
        <f>IF(ISNUMBER(VLOOKUP($H28,E$3:$F$18,2,FALSE)),VLOOKUP($H28,E$3:$F$18,2,FALSE),0)</f>
        <v>5</v>
      </c>
      <c r="F28" s="989"/>
      <c r="G28" s="989"/>
      <c r="J28" s="989"/>
      <c r="K28" s="989"/>
      <c r="L28" s="989"/>
      <c r="M28" s="989"/>
      <c r="N28" s="989"/>
      <c r="O28" s="989"/>
      <c r="P28" s="989"/>
      <c r="Q28" s="989"/>
      <c r="R28" s="989"/>
      <c r="S28" s="989"/>
      <c r="T28" s="989"/>
      <c r="U28" s="989"/>
      <c r="V28" s="989"/>
      <c r="W28" s="989"/>
      <c r="X28" s="989"/>
      <c r="Y28" s="989"/>
      <c r="Z28" s="989"/>
      <c r="AA28" s="989"/>
      <c r="AB28" s="989"/>
      <c r="AC28" s="989"/>
      <c r="AD28" s="989"/>
      <c r="AE28" s="989"/>
      <c r="AF28" s="989"/>
      <c r="AG28" s="989"/>
      <c r="BC28" s="990"/>
      <c r="BD28" s="990"/>
      <c r="BF28" s="990"/>
      <c r="BH28" s="990"/>
      <c r="BJ28" s="990"/>
      <c r="BO28" s="990"/>
      <c r="BP28" s="990"/>
      <c r="BQ28" s="990"/>
      <c r="BR28" s="990"/>
      <c r="BT28" s="990"/>
      <c r="BV28" s="990"/>
      <c r="BX28" s="990"/>
    </row>
    <row r="29" spans="2:76">
      <c r="B29" s="993">
        <f>IF(ISNUMBER(VLOOKUP($H29,B$3:$F$18,5,FALSE)),VLOOKUP($H29,B$3:$F$18,5,FALSE),0)</f>
        <v>5</v>
      </c>
      <c r="C29" s="993">
        <f>IF(ISNUMBER(VLOOKUP($H29,C$3:$F$18,4,FALSE)),VLOOKUP($H29,C$3:$F$18,4,FALSE),0)</f>
        <v>5</v>
      </c>
      <c r="D29" s="993">
        <f>IF(ISNUMBER(VLOOKUP($H29,D$3:$F$18,3,FALSE)),VLOOKUP($H29,D$3:$F$18,3,FALSE),0)</f>
        <v>5</v>
      </c>
      <c r="E29" s="993">
        <f>IF(ISNUMBER(VLOOKUP($H29,E$3:$F$18,2,FALSE)),VLOOKUP($H29,E$3:$F$18,2,FALSE),0)</f>
        <v>5</v>
      </c>
      <c r="F29" s="989"/>
      <c r="G29" s="989"/>
      <c r="J29" s="989"/>
      <c r="K29" s="989"/>
      <c r="L29" s="989"/>
      <c r="M29" s="989"/>
      <c r="N29" s="989"/>
      <c r="O29" s="989"/>
      <c r="P29" s="989"/>
      <c r="Q29" s="989"/>
      <c r="R29" s="989"/>
      <c r="S29" s="989"/>
      <c r="T29" s="989"/>
      <c r="U29" s="989"/>
      <c r="V29" s="989"/>
      <c r="W29" s="989"/>
      <c r="X29" s="991"/>
      <c r="Y29" s="989"/>
      <c r="Z29" s="989"/>
      <c r="AA29" s="991"/>
      <c r="AB29" s="989"/>
      <c r="AC29" s="991"/>
      <c r="AD29" s="989"/>
      <c r="AE29" s="989"/>
      <c r="AF29" s="989"/>
      <c r="AG29" s="989"/>
      <c r="BC29" s="990"/>
      <c r="BD29" s="990"/>
      <c r="BF29" s="990"/>
      <c r="BH29" s="990"/>
      <c r="BJ29" s="990"/>
      <c r="BO29" s="990"/>
      <c r="BP29" s="990"/>
      <c r="BQ29" s="990"/>
      <c r="BR29" s="990"/>
      <c r="BT29" s="990"/>
      <c r="BV29" s="990"/>
      <c r="BX29" s="990"/>
    </row>
    <row r="30" spans="2:76">
      <c r="B30" s="993">
        <f>IF(ISNUMBER(VLOOKUP($H30,B$3:$F$18,5,FALSE)),VLOOKUP($H30,B$3:$F$18,5,FALSE),0)</f>
        <v>5</v>
      </c>
      <c r="C30" s="993">
        <f>IF(ISNUMBER(VLOOKUP($H30,C$3:$F$18,4,FALSE)),VLOOKUP($H30,C$3:$F$18,4,FALSE),0)</f>
        <v>5</v>
      </c>
      <c r="D30" s="993">
        <f>IF(ISNUMBER(VLOOKUP($H30,D$3:$F$18,3,FALSE)),VLOOKUP($H30,D$3:$F$18,3,FALSE),0)</f>
        <v>5</v>
      </c>
      <c r="E30" s="993">
        <f>IF(ISNUMBER(VLOOKUP($H30,E$3:$F$18,2,FALSE)),VLOOKUP($H30,E$3:$F$18,2,FALSE),0)</f>
        <v>5</v>
      </c>
      <c r="F30" s="989"/>
      <c r="G30" s="989"/>
      <c r="J30" s="989"/>
      <c r="K30" s="989"/>
      <c r="L30" s="989"/>
      <c r="M30" s="989"/>
      <c r="N30" s="989"/>
      <c r="O30" s="989"/>
      <c r="P30" s="989"/>
      <c r="Q30" s="989"/>
      <c r="R30" s="989"/>
      <c r="S30" s="989"/>
      <c r="T30" s="989"/>
      <c r="U30" s="989"/>
      <c r="V30" s="989"/>
      <c r="W30" s="989"/>
      <c r="X30" s="989"/>
      <c r="Y30" s="989"/>
      <c r="Z30" s="989"/>
      <c r="AA30" s="989"/>
      <c r="AB30" s="989"/>
      <c r="AC30" s="989"/>
      <c r="AD30" s="989"/>
      <c r="AE30" s="989"/>
      <c r="AF30" s="989"/>
      <c r="AG30" s="989"/>
      <c r="BC30" s="990"/>
      <c r="BD30" s="990"/>
      <c r="BF30" s="990"/>
      <c r="BH30" s="990"/>
      <c r="BJ30" s="990"/>
      <c r="BO30" s="990"/>
      <c r="BP30" s="990"/>
      <c r="BQ30" s="990"/>
      <c r="BR30" s="990"/>
      <c r="BT30" s="990"/>
      <c r="BV30" s="990"/>
      <c r="BX30" s="990"/>
    </row>
    <row r="31" spans="2:76">
      <c r="B31" s="993">
        <f>IF(ISNUMBER(VLOOKUP($H31,B$3:$F$18,5,FALSE)),VLOOKUP($H31,B$3:$F$18,5,FALSE),0)</f>
        <v>5</v>
      </c>
      <c r="C31" s="993">
        <f>IF(ISNUMBER(VLOOKUP($H31,C$3:$F$18,4,FALSE)),VLOOKUP($H31,C$3:$F$18,4,FALSE),0)</f>
        <v>5</v>
      </c>
      <c r="D31" s="993">
        <f>IF(ISNUMBER(VLOOKUP($H31,D$3:$F$18,3,FALSE)),VLOOKUP($H31,D$3:$F$18,3,FALSE),0)</f>
        <v>5</v>
      </c>
      <c r="E31" s="993">
        <f>IF(ISNUMBER(VLOOKUP($H31,E$3:$F$18,2,FALSE)),VLOOKUP($H31,E$3:$F$18,2,FALSE),0)</f>
        <v>5</v>
      </c>
      <c r="F31" s="989"/>
      <c r="G31" s="989"/>
      <c r="J31" s="989"/>
      <c r="K31" s="989"/>
      <c r="L31" s="989"/>
      <c r="M31" s="989"/>
      <c r="N31" s="989"/>
      <c r="O31" s="989"/>
      <c r="P31" s="989"/>
      <c r="Q31" s="989"/>
      <c r="R31" s="989"/>
      <c r="S31" s="989"/>
      <c r="T31" s="989"/>
      <c r="U31" s="989"/>
      <c r="V31" s="989"/>
      <c r="W31" s="989"/>
      <c r="X31" s="989"/>
      <c r="Y31" s="989"/>
      <c r="Z31" s="989"/>
      <c r="AA31" s="989"/>
      <c r="AB31" s="989"/>
      <c r="AC31" s="989"/>
      <c r="AD31" s="989"/>
      <c r="AE31" s="989"/>
      <c r="AF31" s="989"/>
      <c r="AG31" s="989"/>
      <c r="BC31" s="990"/>
      <c r="BD31" s="990"/>
      <c r="BF31" s="990"/>
      <c r="BH31" s="990"/>
      <c r="BJ31" s="990"/>
      <c r="BO31" s="990"/>
      <c r="BP31" s="990"/>
      <c r="BQ31" s="990"/>
      <c r="BR31" s="990"/>
      <c r="BT31" s="990"/>
      <c r="BV31" s="990"/>
      <c r="BX31" s="990"/>
    </row>
    <row r="32" spans="2:76">
      <c r="B32" s="993">
        <f>IF(ISNUMBER(VLOOKUP($H32,B$3:$F$18,5,FALSE)),VLOOKUP($H32,B$3:$F$18,5,FALSE),0)</f>
        <v>5</v>
      </c>
      <c r="C32" s="993">
        <f>IF(ISNUMBER(VLOOKUP($H32,C$3:$F$18,4,FALSE)),VLOOKUP($H32,C$3:$F$18,4,FALSE),0)</f>
        <v>5</v>
      </c>
      <c r="D32" s="993">
        <f>IF(ISNUMBER(VLOOKUP($H32,D$3:$F$18,3,FALSE)),VLOOKUP($H32,D$3:$F$18,3,FALSE),0)</f>
        <v>5</v>
      </c>
      <c r="E32" s="993">
        <f>IF(ISNUMBER(VLOOKUP($H32,E$3:$F$18,2,FALSE)),VLOOKUP($H32,E$3:$F$18,2,FALSE),0)</f>
        <v>5</v>
      </c>
      <c r="F32" s="989"/>
      <c r="G32" s="989"/>
      <c r="J32" s="989"/>
      <c r="K32" s="989"/>
      <c r="L32" s="989"/>
      <c r="M32" s="989"/>
      <c r="N32" s="989"/>
      <c r="O32" s="989"/>
      <c r="P32" s="989"/>
      <c r="Q32" s="989"/>
      <c r="R32" s="989"/>
      <c r="S32" s="989"/>
      <c r="T32" s="989"/>
      <c r="U32" s="989"/>
      <c r="V32" s="989"/>
      <c r="W32" s="989"/>
      <c r="X32" s="989"/>
      <c r="Y32" s="989"/>
      <c r="Z32" s="989"/>
      <c r="AA32" s="989"/>
      <c r="AB32" s="989"/>
      <c r="AC32" s="989"/>
      <c r="AD32" s="989"/>
      <c r="AE32" s="989"/>
      <c r="AF32" s="989"/>
      <c r="AG32" s="989"/>
      <c r="BC32" s="990"/>
      <c r="BD32" s="990"/>
      <c r="BF32" s="990"/>
      <c r="BH32" s="990"/>
      <c r="BJ32" s="990"/>
      <c r="BO32" s="990"/>
      <c r="BP32" s="990"/>
      <c r="BQ32" s="990"/>
      <c r="BR32" s="990"/>
      <c r="BT32" s="990"/>
      <c r="BV32" s="990"/>
      <c r="BX32" s="990"/>
    </row>
    <row r="33" spans="1:76">
      <c r="A33" s="989"/>
      <c r="B33" s="993">
        <f>IF(ISNUMBER(VLOOKUP($H33,B$3:$F$18,5,FALSE)),VLOOKUP($H33,B$3:$F$18,5,FALSE),0)</f>
        <v>5</v>
      </c>
      <c r="C33" s="993">
        <f>IF(ISNUMBER(VLOOKUP($H33,C$3:$F$18,4,FALSE)),VLOOKUP($H33,C$3:$F$18,4,FALSE),0)</f>
        <v>5</v>
      </c>
      <c r="D33" s="993">
        <f>IF(ISNUMBER(VLOOKUP($H33,D$3:$F$18,3,FALSE)),VLOOKUP($H33,D$3:$F$18,3,FALSE),0)</f>
        <v>5</v>
      </c>
      <c r="E33" s="993">
        <f>IF(ISNUMBER(VLOOKUP($H33,E$3:$F$18,2,FALSE)),VLOOKUP($H33,E$3:$F$18,2,FALSE),0)</f>
        <v>5</v>
      </c>
      <c r="F33" s="989"/>
      <c r="G33" s="989"/>
      <c r="J33" s="989"/>
      <c r="K33" s="989"/>
      <c r="L33" s="989"/>
      <c r="M33" s="989"/>
      <c r="N33" s="989"/>
      <c r="O33" s="989"/>
      <c r="P33" s="989"/>
      <c r="Q33" s="989"/>
      <c r="R33" s="989"/>
      <c r="S33" s="989"/>
      <c r="T33" s="989"/>
      <c r="U33" s="989"/>
      <c r="V33" s="989"/>
      <c r="W33" s="989"/>
      <c r="X33" s="989"/>
      <c r="Y33" s="989"/>
      <c r="Z33" s="989"/>
      <c r="BC33" s="990"/>
      <c r="BD33" s="990"/>
      <c r="BF33" s="990"/>
      <c r="BH33" s="990"/>
      <c r="BJ33" s="990"/>
      <c r="BO33" s="990"/>
      <c r="BP33" s="990"/>
      <c r="BQ33" s="990"/>
      <c r="BR33" s="990"/>
      <c r="BT33" s="990"/>
      <c r="BV33" s="990"/>
      <c r="BX33" s="990"/>
    </row>
    <row r="34" spans="1:76" ht="10.5" customHeight="1">
      <c r="A34" s="989"/>
      <c r="B34" s="993">
        <f>IF(ISNUMBER(VLOOKUP($H34,B$3:$F$18,5,FALSE)),VLOOKUP($H34,B$3:$F$18,5,FALSE),0)</f>
        <v>5</v>
      </c>
      <c r="C34" s="993">
        <f>IF(ISNUMBER(VLOOKUP($H34,C$3:$F$18,4,FALSE)),VLOOKUP($H34,C$3:$F$18,4,FALSE),0)</f>
        <v>5</v>
      </c>
      <c r="D34" s="993">
        <f>IF(ISNUMBER(VLOOKUP($H34,D$3:$F$18,3,FALSE)),VLOOKUP($H34,D$3:$F$18,3,FALSE),0)</f>
        <v>5</v>
      </c>
      <c r="E34" s="993">
        <f>IF(ISNUMBER(VLOOKUP($H34,E$3:$F$18,2,FALSE)),VLOOKUP($H34,E$3:$F$18,2,FALSE),0)</f>
        <v>5</v>
      </c>
      <c r="F34" s="989"/>
      <c r="G34" s="989"/>
      <c r="J34" s="989"/>
      <c r="K34" s="989"/>
      <c r="L34" s="989"/>
      <c r="M34" s="989"/>
      <c r="N34" s="989"/>
      <c r="O34" s="989"/>
      <c r="P34" s="989"/>
      <c r="Q34" s="989"/>
      <c r="R34" s="989"/>
      <c r="S34" s="989"/>
      <c r="T34" s="989"/>
      <c r="U34" s="989"/>
      <c r="V34" s="989"/>
      <c r="W34" s="989"/>
      <c r="X34" s="989"/>
      <c r="Y34" s="989"/>
      <c r="Z34" s="989"/>
      <c r="BC34" s="990"/>
      <c r="BD34" s="990"/>
      <c r="BF34" s="990"/>
      <c r="BH34" s="990"/>
      <c r="BJ34" s="990"/>
      <c r="BO34" s="990"/>
      <c r="BP34" s="990"/>
      <c r="BQ34" s="990"/>
      <c r="BR34" s="990"/>
      <c r="BT34" s="990"/>
      <c r="BV34" s="990"/>
      <c r="BX34" s="990"/>
    </row>
    <row r="35" spans="1:76">
      <c r="A35" s="989"/>
      <c r="B35" s="993">
        <f>IF(ISNUMBER(VLOOKUP($H35,B$3:$F$18,5,FALSE)),VLOOKUP($H35,B$3:$F$18,5,FALSE),0)</f>
        <v>5</v>
      </c>
      <c r="C35" s="993">
        <f>IF(ISNUMBER(VLOOKUP($H35,C$3:$F$18,4,FALSE)),VLOOKUP($H35,C$3:$F$18,4,FALSE),0)</f>
        <v>5</v>
      </c>
      <c r="D35" s="993">
        <f>IF(ISNUMBER(VLOOKUP($H35,D$3:$F$18,3,FALSE)),VLOOKUP($H35,D$3:$F$18,3,FALSE),0)</f>
        <v>5</v>
      </c>
      <c r="E35" s="993">
        <f>IF(ISNUMBER(VLOOKUP($H35,E$3:$F$18,2,FALSE)),VLOOKUP($H35,E$3:$F$18,2,FALSE),0)</f>
        <v>5</v>
      </c>
      <c r="F35" s="989"/>
      <c r="G35" s="989"/>
      <c r="J35" s="989"/>
      <c r="K35" s="989"/>
      <c r="L35" s="989"/>
      <c r="M35" s="989"/>
      <c r="N35" s="989"/>
      <c r="O35" s="989"/>
      <c r="P35" s="989"/>
      <c r="Q35" s="989"/>
      <c r="R35" s="989"/>
      <c r="S35" s="989"/>
      <c r="T35" s="989"/>
      <c r="U35" s="989"/>
      <c r="V35" s="989"/>
      <c r="W35" s="989"/>
      <c r="X35" s="989"/>
      <c r="Y35" s="989"/>
      <c r="Z35" s="989"/>
      <c r="BC35" s="990"/>
      <c r="BD35" s="990"/>
      <c r="BF35" s="990"/>
      <c r="BH35" s="990"/>
      <c r="BJ35" s="990"/>
      <c r="BO35" s="990"/>
      <c r="BP35" s="990"/>
      <c r="BQ35" s="990"/>
      <c r="BR35" s="990"/>
      <c r="BT35" s="990"/>
      <c r="BV35" s="990"/>
      <c r="BX35" s="990"/>
    </row>
    <row r="36" spans="1:76">
      <c r="A36" s="989"/>
      <c r="B36" s="993">
        <f>IF(ISNUMBER(VLOOKUP($H36,B$3:$F$18,5,FALSE)),VLOOKUP($H36,B$3:$F$18,5,FALSE),0)</f>
        <v>5</v>
      </c>
      <c r="C36" s="993">
        <f>IF(ISNUMBER(VLOOKUP($H36,C$3:$F$18,4,FALSE)),VLOOKUP($H36,C$3:$F$18,4,FALSE),0)</f>
        <v>5</v>
      </c>
      <c r="D36" s="993">
        <f>IF(ISNUMBER(VLOOKUP($H36,D$3:$F$18,3,FALSE)),VLOOKUP($H36,D$3:$F$18,3,FALSE),0)</f>
        <v>5</v>
      </c>
      <c r="E36" s="993">
        <f>IF(ISNUMBER(VLOOKUP($H36,E$3:$F$18,2,FALSE)),VLOOKUP($H36,E$3:$F$18,2,FALSE),0)</f>
        <v>5</v>
      </c>
      <c r="F36" s="989"/>
      <c r="G36" s="989"/>
      <c r="J36" s="989"/>
      <c r="K36" s="989"/>
      <c r="L36" s="989"/>
      <c r="M36" s="989"/>
      <c r="N36" s="989"/>
      <c r="O36" s="989"/>
      <c r="P36" s="989"/>
      <c r="Q36" s="989"/>
      <c r="R36" s="989"/>
      <c r="S36" s="989"/>
      <c r="T36" s="989"/>
      <c r="U36" s="989"/>
      <c r="V36" s="989"/>
      <c r="W36" s="989"/>
      <c r="X36" s="989"/>
      <c r="Y36" s="989"/>
      <c r="Z36" s="989"/>
      <c r="BC36" s="990"/>
      <c r="BD36" s="990"/>
      <c r="BF36" s="990"/>
      <c r="BH36" s="990"/>
      <c r="BJ36" s="990"/>
      <c r="BO36" s="990"/>
      <c r="BP36" s="990"/>
      <c r="BQ36" s="990"/>
      <c r="BR36" s="990"/>
      <c r="BT36" s="990"/>
      <c r="BV36" s="990"/>
      <c r="BX36" s="990"/>
    </row>
    <row r="37" spans="1:76">
      <c r="BC37" s="990"/>
      <c r="BD37" s="990"/>
      <c r="BF37" s="990"/>
      <c r="BH37" s="990"/>
      <c r="BJ37" s="990"/>
      <c r="BO37" s="990"/>
      <c r="BP37" s="990"/>
      <c r="BQ37" s="990"/>
      <c r="BR37" s="990"/>
      <c r="BT37" s="990"/>
      <c r="BV37" s="990"/>
      <c r="BX37" s="990"/>
    </row>
    <row r="38" spans="1:76">
      <c r="A38" s="989" t="s">
        <v>1877</v>
      </c>
      <c r="B38" s="989"/>
      <c r="C38" s="989"/>
      <c r="D38" s="989"/>
      <c r="E38" s="989"/>
      <c r="F38" s="989"/>
      <c r="G38" s="989"/>
      <c r="I38" s="990" t="s">
        <v>2497</v>
      </c>
      <c r="J38" s="989"/>
      <c r="K38" s="989"/>
      <c r="L38" s="989"/>
      <c r="M38" s="989"/>
      <c r="N38" s="989"/>
      <c r="O38" s="989"/>
      <c r="P38" s="989"/>
      <c r="Q38" s="989"/>
      <c r="R38" s="989"/>
      <c r="S38" s="989"/>
      <c r="T38" s="989"/>
      <c r="U38" s="989"/>
      <c r="V38" s="989"/>
      <c r="W38" s="989"/>
      <c r="X38" s="989"/>
      <c r="Y38" s="989"/>
      <c r="Z38" s="989"/>
      <c r="BC38" s="990"/>
      <c r="BD38" s="990"/>
      <c r="BF38" s="990"/>
      <c r="BH38" s="990"/>
      <c r="BJ38" s="990"/>
      <c r="BO38" s="990"/>
      <c r="BP38" s="990"/>
      <c r="BQ38" s="990"/>
      <c r="BR38" s="990"/>
      <c r="BT38" s="990"/>
      <c r="BV38" s="990"/>
      <c r="BX38" s="990"/>
    </row>
    <row r="39" spans="1:76">
      <c r="A39" s="989"/>
      <c r="B39" s="989" t="str">
        <f>B2</f>
        <v>2019-12-31</v>
      </c>
      <c r="C39" s="989" t="str">
        <f>C2</f>
        <v>2020-12-31</v>
      </c>
      <c r="D39" s="989" t="str">
        <f>D2</f>
        <v>2021-12-31</v>
      </c>
      <c r="E39" s="989" t="str">
        <f>E2</f>
        <v>2022-12-31</v>
      </c>
      <c r="F39" s="989"/>
      <c r="G39" s="989"/>
      <c r="I39" s="990" t="s">
        <v>2058</v>
      </c>
      <c r="J39" s="989"/>
      <c r="K39" s="989"/>
      <c r="L39" s="989"/>
      <c r="M39" s="989"/>
      <c r="N39" s="989"/>
      <c r="O39" s="989"/>
      <c r="P39" s="989"/>
      <c r="Q39" s="989"/>
      <c r="R39" s="989"/>
      <c r="S39" s="989"/>
      <c r="T39" s="989"/>
      <c r="U39" s="989"/>
      <c r="V39" s="989"/>
      <c r="W39" s="989"/>
      <c r="X39" s="989"/>
      <c r="Y39" s="989"/>
      <c r="Z39" s="989"/>
      <c r="BC39" s="990"/>
      <c r="BD39" s="990"/>
      <c r="BF39" s="990"/>
      <c r="BH39" s="990"/>
      <c r="BJ39" s="990"/>
      <c r="BO39" s="990"/>
      <c r="BP39" s="990"/>
      <c r="BQ39" s="990"/>
      <c r="BR39" s="990"/>
      <c r="BT39" s="990"/>
      <c r="BV39" s="990"/>
      <c r="BX39" s="990"/>
    </row>
    <row r="40" spans="1:76">
      <c r="A40" s="989"/>
      <c r="B40" s="990" t="s">
        <v>2497</v>
      </c>
      <c r="C40" s="990" t="s">
        <v>2497</v>
      </c>
      <c r="D40" s="990" t="s">
        <v>2497</v>
      </c>
      <c r="E40" s="990" t="s">
        <v>2497</v>
      </c>
      <c r="F40" s="989">
        <v>1</v>
      </c>
      <c r="G40" s="989"/>
      <c r="I40" s="990" t="s">
        <v>2494</v>
      </c>
      <c r="J40" s="989"/>
      <c r="K40" s="989"/>
      <c r="L40" s="989"/>
      <c r="M40" s="989"/>
      <c r="N40" s="989"/>
      <c r="O40" s="989"/>
      <c r="P40" s="989"/>
      <c r="Q40" s="989"/>
      <c r="R40" s="989"/>
      <c r="S40" s="989"/>
      <c r="T40" s="989"/>
      <c r="U40" s="989"/>
      <c r="V40" s="989"/>
      <c r="W40" s="989"/>
      <c r="X40" s="989"/>
      <c r="Y40" s="989"/>
      <c r="Z40" s="989"/>
      <c r="AA40" s="990" t="s">
        <v>2497</v>
      </c>
      <c r="AB40" s="990" t="s">
        <v>2497</v>
      </c>
      <c r="AC40" s="990" t="s">
        <v>2497</v>
      </c>
      <c r="AD40" s="990" t="s">
        <v>2497</v>
      </c>
      <c r="AE40" s="990">
        <v>0</v>
      </c>
      <c r="BC40" s="990"/>
      <c r="BD40" s="990"/>
      <c r="BF40" s="990"/>
      <c r="BH40" s="990"/>
      <c r="BJ40" s="990"/>
      <c r="BO40" s="990"/>
      <c r="BP40" s="990"/>
      <c r="BQ40" s="990"/>
      <c r="BR40" s="990"/>
      <c r="BT40" s="990"/>
      <c r="BV40" s="990"/>
      <c r="BX40" s="990"/>
    </row>
    <row r="41" spans="1:76">
      <c r="A41" s="989"/>
      <c r="B41" s="990" t="s">
        <v>2058</v>
      </c>
      <c r="C41" s="990" t="s">
        <v>2494</v>
      </c>
      <c r="D41" s="990" t="s">
        <v>2494</v>
      </c>
      <c r="E41" s="990" t="s">
        <v>2494</v>
      </c>
      <c r="F41" s="989">
        <v>2</v>
      </c>
      <c r="G41" s="989"/>
      <c r="J41" s="989"/>
      <c r="K41" s="989"/>
      <c r="L41" s="989"/>
      <c r="M41" s="989"/>
      <c r="N41" s="989"/>
      <c r="O41" s="989"/>
      <c r="P41" s="989"/>
      <c r="Q41" s="989"/>
      <c r="R41" s="989"/>
      <c r="S41" s="989"/>
      <c r="T41" s="989"/>
      <c r="U41" s="989"/>
      <c r="V41" s="989"/>
      <c r="W41" s="989"/>
      <c r="X41" s="989"/>
      <c r="Y41" s="989"/>
      <c r="Z41" s="991"/>
      <c r="AA41" s="990" t="s">
        <v>2058</v>
      </c>
      <c r="AB41" s="990" t="s">
        <v>2494</v>
      </c>
      <c r="AC41" s="990" t="s">
        <v>2494</v>
      </c>
      <c r="AD41" s="990" t="s">
        <v>2494</v>
      </c>
      <c r="AE41" s="990">
        <v>0</v>
      </c>
      <c r="BC41" s="990"/>
      <c r="BD41" s="990"/>
      <c r="BF41" s="990"/>
      <c r="BH41" s="990"/>
      <c r="BJ41" s="990"/>
      <c r="BO41" s="990"/>
      <c r="BP41" s="990"/>
      <c r="BQ41" s="990"/>
      <c r="BR41" s="990"/>
      <c r="BT41" s="990"/>
      <c r="BV41" s="990"/>
      <c r="BX41" s="990"/>
    </row>
    <row r="42" spans="1:76">
      <c r="A42" s="989"/>
      <c r="B42" s="990">
        <v>0</v>
      </c>
      <c r="C42" s="990">
        <v>0</v>
      </c>
      <c r="D42" s="990">
        <v>0</v>
      </c>
      <c r="E42" s="990">
        <v>0</v>
      </c>
      <c r="F42" s="989">
        <v>3</v>
      </c>
      <c r="G42" s="989"/>
      <c r="J42" s="989"/>
      <c r="K42" s="989"/>
      <c r="L42" s="989"/>
      <c r="M42" s="989"/>
      <c r="N42" s="989"/>
      <c r="O42" s="989"/>
      <c r="P42" s="989"/>
      <c r="Q42" s="989"/>
      <c r="R42" s="989"/>
      <c r="S42" s="989"/>
      <c r="T42" s="989"/>
      <c r="U42" s="989"/>
      <c r="V42" s="989"/>
      <c r="W42" s="989"/>
      <c r="X42" s="989"/>
      <c r="Y42" s="989"/>
      <c r="Z42" s="989"/>
      <c r="AA42" s="990">
        <v>0</v>
      </c>
      <c r="AB42" s="990">
        <v>0</v>
      </c>
      <c r="AC42" s="990">
        <v>0</v>
      </c>
      <c r="AD42" s="990">
        <v>0</v>
      </c>
      <c r="AE42" s="990">
        <v>0</v>
      </c>
      <c r="BC42" s="990"/>
      <c r="BD42" s="990"/>
      <c r="BF42" s="990"/>
      <c r="BH42" s="990"/>
      <c r="BJ42" s="990"/>
      <c r="BO42" s="990"/>
      <c r="BP42" s="990"/>
      <c r="BQ42" s="990"/>
      <c r="BR42" s="990"/>
      <c r="BT42" s="990"/>
      <c r="BV42" s="990"/>
      <c r="BX42" s="990"/>
    </row>
    <row r="43" spans="1:76">
      <c r="A43" s="989"/>
      <c r="B43" s="990">
        <v>0</v>
      </c>
      <c r="C43" s="990">
        <v>0</v>
      </c>
      <c r="D43" s="990">
        <v>0</v>
      </c>
      <c r="E43" s="990">
        <v>0</v>
      </c>
      <c r="F43" s="989">
        <v>4</v>
      </c>
      <c r="G43" s="989"/>
      <c r="J43" s="989"/>
      <c r="K43" s="989"/>
      <c r="L43" s="989"/>
      <c r="M43" s="989"/>
      <c r="N43" s="989"/>
      <c r="O43" s="989"/>
      <c r="P43" s="989"/>
      <c r="Q43" s="989"/>
      <c r="R43" s="989"/>
      <c r="S43" s="989"/>
      <c r="T43" s="989"/>
      <c r="U43" s="989"/>
      <c r="V43" s="989"/>
      <c r="W43" s="989"/>
      <c r="X43" s="989"/>
      <c r="Y43" s="989"/>
      <c r="Z43" s="989"/>
      <c r="AA43" s="990">
        <v>0</v>
      </c>
      <c r="AB43" s="990">
        <v>0</v>
      </c>
      <c r="AC43" s="990">
        <v>0</v>
      </c>
      <c r="AD43" s="990">
        <v>0</v>
      </c>
      <c r="AE43" s="990">
        <v>0</v>
      </c>
      <c r="BC43" s="990"/>
      <c r="BD43" s="990"/>
      <c r="BF43" s="990"/>
      <c r="BH43" s="990"/>
      <c r="BJ43" s="990"/>
      <c r="BO43" s="990"/>
      <c r="BP43" s="990"/>
      <c r="BQ43" s="990"/>
      <c r="BR43" s="990"/>
      <c r="BT43" s="990"/>
      <c r="BV43" s="990"/>
      <c r="BX43" s="990"/>
    </row>
    <row r="44" spans="1:76">
      <c r="A44" s="992"/>
      <c r="B44" s="990">
        <v>0</v>
      </c>
      <c r="C44" s="990">
        <v>0</v>
      </c>
      <c r="D44" s="990">
        <v>0</v>
      </c>
      <c r="E44" s="990">
        <v>0</v>
      </c>
      <c r="F44" s="989">
        <v>5</v>
      </c>
      <c r="G44" s="989"/>
      <c r="J44" s="989"/>
      <c r="K44" s="989"/>
      <c r="L44" s="989"/>
      <c r="M44" s="989"/>
      <c r="N44" s="989"/>
      <c r="O44" s="989"/>
      <c r="P44" s="989"/>
      <c r="Q44" s="989"/>
      <c r="R44" s="989"/>
      <c r="S44" s="989"/>
      <c r="T44" s="989"/>
      <c r="U44" s="989"/>
      <c r="V44" s="989"/>
      <c r="W44" s="989"/>
      <c r="X44" s="989"/>
      <c r="Y44" s="989"/>
      <c r="Z44" s="989"/>
      <c r="AA44" s="990">
        <v>0</v>
      </c>
      <c r="AB44" s="990">
        <v>0</v>
      </c>
      <c r="AC44" s="990">
        <v>0</v>
      </c>
      <c r="AD44" s="990">
        <v>0</v>
      </c>
      <c r="AE44" s="990">
        <v>0</v>
      </c>
      <c r="BC44" s="990"/>
      <c r="BD44" s="990"/>
      <c r="BF44" s="990"/>
      <c r="BH44" s="990"/>
      <c r="BJ44" s="990"/>
      <c r="BO44" s="990"/>
      <c r="BP44" s="990"/>
      <c r="BQ44" s="990"/>
      <c r="BR44" s="990"/>
      <c r="BT44" s="990"/>
      <c r="BV44" s="990"/>
      <c r="BX44" s="990"/>
    </row>
    <row r="45" spans="1:76">
      <c r="A45" s="989" t="s">
        <v>1878</v>
      </c>
      <c r="B45" s="990">
        <v>0</v>
      </c>
      <c r="C45" s="990">
        <v>0</v>
      </c>
      <c r="D45" s="990">
        <v>0</v>
      </c>
      <c r="E45" s="990">
        <v>0</v>
      </c>
      <c r="F45" s="989">
        <v>6</v>
      </c>
      <c r="G45" s="989"/>
      <c r="J45" s="989"/>
      <c r="K45" s="989"/>
      <c r="L45" s="989"/>
      <c r="M45" s="989"/>
      <c r="N45" s="989"/>
      <c r="O45" s="989"/>
      <c r="P45" s="989"/>
      <c r="Q45" s="989"/>
      <c r="R45" s="989"/>
      <c r="S45" s="989"/>
      <c r="T45" s="989"/>
      <c r="U45" s="989"/>
      <c r="V45" s="989"/>
      <c r="W45" s="989"/>
      <c r="X45" s="989"/>
      <c r="Y45" s="989"/>
      <c r="Z45" s="989"/>
      <c r="AA45" s="990">
        <v>0</v>
      </c>
      <c r="AB45" s="990">
        <v>0</v>
      </c>
      <c r="AC45" s="990">
        <v>0</v>
      </c>
      <c r="AD45" s="990">
        <v>0</v>
      </c>
      <c r="AE45" s="990">
        <v>0</v>
      </c>
      <c r="BC45" s="990"/>
      <c r="BD45" s="990"/>
      <c r="BF45" s="990"/>
      <c r="BH45" s="990"/>
      <c r="BJ45" s="990"/>
      <c r="BO45" s="990"/>
      <c r="BP45" s="990"/>
      <c r="BQ45" s="990"/>
      <c r="BR45" s="990"/>
      <c r="BT45" s="990"/>
      <c r="BV45" s="990"/>
      <c r="BX45" s="990"/>
    </row>
    <row r="46" spans="1:76">
      <c r="B46" s="990">
        <v>0</v>
      </c>
      <c r="C46" s="990">
        <v>0</v>
      </c>
      <c r="D46" s="990">
        <v>0</v>
      </c>
      <c r="E46" s="990">
        <v>0</v>
      </c>
      <c r="G46" s="989"/>
      <c r="J46" s="989"/>
      <c r="K46" s="989"/>
      <c r="L46" s="989"/>
      <c r="M46" s="989"/>
      <c r="N46" s="989"/>
      <c r="O46" s="989"/>
      <c r="P46" s="989"/>
      <c r="Q46" s="989"/>
      <c r="R46" s="989"/>
      <c r="S46" s="989"/>
      <c r="T46" s="989"/>
      <c r="U46" s="991"/>
      <c r="V46" s="989"/>
      <c r="W46" s="989"/>
      <c r="X46" s="989"/>
      <c r="Y46" s="989"/>
      <c r="Z46" s="989"/>
      <c r="AA46" s="990">
        <v>0</v>
      </c>
      <c r="AB46" s="990">
        <v>0</v>
      </c>
      <c r="AC46" s="990">
        <v>0</v>
      </c>
      <c r="AD46" s="990">
        <v>0</v>
      </c>
      <c r="AE46" s="990">
        <v>0</v>
      </c>
      <c r="BC46" s="990"/>
      <c r="BD46" s="990"/>
      <c r="BF46" s="990"/>
      <c r="BH46" s="990"/>
      <c r="BJ46" s="990"/>
      <c r="BO46" s="990"/>
      <c r="BP46" s="990"/>
      <c r="BQ46" s="990"/>
      <c r="BR46" s="990"/>
      <c r="BT46" s="990"/>
      <c r="BV46" s="990"/>
      <c r="BX46" s="990"/>
    </row>
    <row r="47" spans="1:76">
      <c r="B47" s="990">
        <v>0</v>
      </c>
      <c r="C47" s="990">
        <v>0</v>
      </c>
      <c r="D47" s="990">
        <v>0</v>
      </c>
      <c r="E47" s="990">
        <v>0</v>
      </c>
      <c r="G47" s="989"/>
      <c r="J47" s="989"/>
      <c r="K47" s="989"/>
      <c r="L47" s="989"/>
      <c r="M47" s="989"/>
      <c r="N47" s="989"/>
      <c r="O47" s="989"/>
      <c r="P47" s="989"/>
      <c r="Q47" s="989"/>
      <c r="R47" s="989"/>
      <c r="S47" s="989"/>
      <c r="T47" s="989"/>
      <c r="U47" s="989"/>
      <c r="V47" s="989"/>
      <c r="W47" s="989"/>
      <c r="X47" s="989"/>
      <c r="Y47" s="989"/>
      <c r="Z47" s="989"/>
      <c r="AA47" s="990">
        <v>0</v>
      </c>
      <c r="AB47" s="990">
        <v>0</v>
      </c>
      <c r="AC47" s="990">
        <v>0</v>
      </c>
      <c r="AD47" s="990">
        <v>0</v>
      </c>
      <c r="AE47" s="990">
        <v>0</v>
      </c>
      <c r="BC47" s="990"/>
      <c r="BD47" s="990"/>
      <c r="BF47" s="990"/>
      <c r="BH47" s="990"/>
      <c r="BJ47" s="990"/>
      <c r="BO47" s="990"/>
      <c r="BP47" s="990"/>
      <c r="BQ47" s="990"/>
      <c r="BR47" s="990"/>
      <c r="BT47" s="990"/>
      <c r="BV47" s="990"/>
      <c r="BX47" s="990"/>
    </row>
    <row r="48" spans="1:76">
      <c r="B48" s="990">
        <v>0</v>
      </c>
      <c r="C48" s="990">
        <v>0</v>
      </c>
      <c r="D48" s="990">
        <v>0</v>
      </c>
      <c r="E48" s="990">
        <v>0</v>
      </c>
      <c r="G48" s="989"/>
      <c r="J48" s="989"/>
      <c r="K48" s="989"/>
      <c r="L48" s="989"/>
      <c r="M48" s="989"/>
      <c r="N48" s="989"/>
      <c r="O48" s="989"/>
      <c r="P48" s="989"/>
      <c r="Q48" s="989"/>
      <c r="R48" s="989"/>
      <c r="S48" s="989"/>
      <c r="T48" s="989"/>
      <c r="U48" s="989"/>
      <c r="V48" s="989"/>
      <c r="W48" s="989"/>
      <c r="X48" s="989"/>
      <c r="Y48" s="989"/>
      <c r="Z48" s="989"/>
      <c r="AA48" s="990">
        <v>0</v>
      </c>
      <c r="AB48" s="990">
        <v>0</v>
      </c>
      <c r="AC48" s="990">
        <v>0</v>
      </c>
      <c r="AD48" s="990">
        <v>0</v>
      </c>
      <c r="AE48" s="990">
        <v>0</v>
      </c>
      <c r="BC48" s="990"/>
      <c r="BD48" s="990"/>
      <c r="BF48" s="990"/>
      <c r="BH48" s="990"/>
      <c r="BJ48" s="990"/>
      <c r="BO48" s="990"/>
      <c r="BP48" s="990"/>
      <c r="BQ48" s="990"/>
      <c r="BR48" s="990"/>
      <c r="BT48" s="990"/>
      <c r="BV48" s="990"/>
      <c r="BX48" s="990"/>
    </row>
    <row r="49" spans="1:76">
      <c r="B49" s="990">
        <v>0</v>
      </c>
      <c r="C49" s="990">
        <v>0</v>
      </c>
      <c r="D49" s="990">
        <v>0</v>
      </c>
      <c r="E49" s="990">
        <v>0</v>
      </c>
      <c r="G49" s="989"/>
      <c r="J49" s="989"/>
      <c r="K49" s="989"/>
      <c r="AA49" s="990">
        <v>0</v>
      </c>
      <c r="AB49" s="990">
        <v>0</v>
      </c>
      <c r="AC49" s="990">
        <v>0</v>
      </c>
      <c r="AD49" s="990">
        <v>0</v>
      </c>
      <c r="AE49" s="990">
        <v>0</v>
      </c>
      <c r="BC49" s="990"/>
      <c r="BD49" s="990"/>
      <c r="BF49" s="990"/>
      <c r="BH49" s="990"/>
      <c r="BJ49" s="990"/>
      <c r="BO49" s="990"/>
      <c r="BP49" s="990"/>
      <c r="BQ49" s="990"/>
      <c r="BR49" s="990"/>
      <c r="BT49" s="990"/>
      <c r="BV49" s="990"/>
      <c r="BX49" s="990"/>
    </row>
    <row r="50" spans="1:76">
      <c r="B50" s="990">
        <v>0</v>
      </c>
      <c r="C50" s="990">
        <v>0</v>
      </c>
      <c r="D50" s="990">
        <v>0</v>
      </c>
      <c r="E50" s="990">
        <v>0</v>
      </c>
      <c r="G50" s="989"/>
      <c r="J50" s="989"/>
      <c r="K50" s="989"/>
      <c r="AA50" s="990">
        <v>0</v>
      </c>
      <c r="AB50" s="990">
        <v>0</v>
      </c>
      <c r="AC50" s="990">
        <v>0</v>
      </c>
      <c r="AD50" s="990">
        <v>0</v>
      </c>
      <c r="AE50" s="990">
        <v>0</v>
      </c>
      <c r="BC50" s="990"/>
      <c r="BD50" s="990"/>
      <c r="BF50" s="990"/>
      <c r="BH50" s="990"/>
      <c r="BJ50" s="990"/>
      <c r="BO50" s="990"/>
      <c r="BP50" s="990"/>
      <c r="BQ50" s="990"/>
      <c r="BR50" s="990"/>
      <c r="BT50" s="990"/>
      <c r="BV50" s="990"/>
      <c r="BX50" s="990"/>
    </row>
    <row r="51" spans="1:76">
      <c r="B51" s="990">
        <v>0</v>
      </c>
      <c r="C51" s="990">
        <v>0</v>
      </c>
      <c r="D51" s="990">
        <v>0</v>
      </c>
      <c r="E51" s="990">
        <v>0</v>
      </c>
      <c r="G51" s="989"/>
      <c r="J51" s="989"/>
      <c r="K51" s="989"/>
      <c r="AA51" s="990">
        <v>0</v>
      </c>
      <c r="AB51" s="990">
        <v>0</v>
      </c>
      <c r="AC51" s="990">
        <v>0</v>
      </c>
      <c r="AD51" s="990">
        <v>0</v>
      </c>
      <c r="AE51" s="990">
        <v>0</v>
      </c>
      <c r="BC51" s="990"/>
      <c r="BD51" s="990"/>
      <c r="BF51" s="990"/>
      <c r="BH51" s="990"/>
      <c r="BJ51" s="990"/>
      <c r="BO51" s="990"/>
      <c r="BP51" s="990"/>
      <c r="BQ51" s="990"/>
      <c r="BR51" s="990"/>
      <c r="BT51" s="990"/>
      <c r="BV51" s="990"/>
      <c r="BX51" s="990"/>
    </row>
    <row r="52" spans="1:76">
      <c r="B52" s="990">
        <v>0</v>
      </c>
      <c r="C52" s="990">
        <v>0</v>
      </c>
      <c r="D52" s="990">
        <v>0</v>
      </c>
      <c r="E52" s="990">
        <v>0</v>
      </c>
      <c r="G52" s="989"/>
      <c r="J52" s="989"/>
      <c r="K52" s="989"/>
      <c r="AA52" s="990">
        <v>0</v>
      </c>
      <c r="AB52" s="990">
        <v>0</v>
      </c>
      <c r="AC52" s="990">
        <v>0</v>
      </c>
      <c r="AD52" s="990">
        <v>0</v>
      </c>
      <c r="AE52" s="990">
        <v>0</v>
      </c>
      <c r="BC52" s="990"/>
      <c r="BD52" s="990"/>
      <c r="BF52" s="990"/>
      <c r="BH52" s="990"/>
      <c r="BJ52" s="990"/>
      <c r="BO52" s="990"/>
      <c r="BP52" s="990"/>
      <c r="BQ52" s="990"/>
      <c r="BR52" s="990"/>
      <c r="BT52" s="990"/>
      <c r="BV52" s="990"/>
      <c r="BX52" s="990"/>
    </row>
    <row r="53" spans="1:76">
      <c r="B53" s="990">
        <v>0</v>
      </c>
      <c r="C53" s="990">
        <v>0</v>
      </c>
      <c r="D53" s="990">
        <v>0</v>
      </c>
      <c r="E53" s="990">
        <v>0</v>
      </c>
      <c r="G53" s="989"/>
      <c r="J53" s="989"/>
      <c r="K53" s="989"/>
      <c r="AA53" s="990">
        <v>0</v>
      </c>
      <c r="AB53" s="990">
        <v>0</v>
      </c>
      <c r="AC53" s="990">
        <v>0</v>
      </c>
      <c r="AD53" s="990">
        <v>0</v>
      </c>
      <c r="AE53" s="990">
        <v>0</v>
      </c>
      <c r="BC53" s="990"/>
      <c r="BD53" s="990"/>
      <c r="BF53" s="990"/>
      <c r="BH53" s="990"/>
      <c r="BJ53" s="990"/>
      <c r="BO53" s="990"/>
      <c r="BP53" s="990"/>
      <c r="BQ53" s="990"/>
      <c r="BR53" s="990"/>
      <c r="BT53" s="990"/>
      <c r="BV53" s="990"/>
      <c r="BX53" s="990"/>
    </row>
    <row r="54" spans="1:76">
      <c r="B54" s="990">
        <v>0</v>
      </c>
      <c r="C54" s="990">
        <v>0</v>
      </c>
      <c r="D54" s="990">
        <v>0</v>
      </c>
      <c r="E54" s="990">
        <v>0</v>
      </c>
      <c r="G54" s="989"/>
      <c r="J54" s="989"/>
      <c r="K54" s="989"/>
      <c r="AA54" s="990">
        <v>0</v>
      </c>
      <c r="AB54" s="990">
        <v>0</v>
      </c>
      <c r="AC54" s="990">
        <v>0</v>
      </c>
      <c r="AD54" s="990">
        <v>0</v>
      </c>
      <c r="AE54" s="990">
        <v>0</v>
      </c>
      <c r="BC54" s="990"/>
      <c r="BD54" s="990"/>
      <c r="BF54" s="990"/>
      <c r="BH54" s="990"/>
      <c r="BJ54" s="990"/>
      <c r="BO54" s="990"/>
      <c r="BP54" s="990"/>
      <c r="BQ54" s="990"/>
      <c r="BR54" s="990"/>
      <c r="BT54" s="990"/>
      <c r="BV54" s="990"/>
      <c r="BX54" s="990"/>
    </row>
    <row r="55" spans="1:76">
      <c r="B55" s="990">
        <v>0</v>
      </c>
      <c r="C55" s="990">
        <v>0</v>
      </c>
      <c r="D55" s="990">
        <v>0</v>
      </c>
      <c r="E55" s="990">
        <v>0</v>
      </c>
      <c r="G55" s="989"/>
      <c r="J55" s="989"/>
      <c r="K55" s="989"/>
      <c r="AA55" s="990">
        <v>0</v>
      </c>
      <c r="AB55" s="990">
        <v>0</v>
      </c>
      <c r="AC55" s="990">
        <v>0</v>
      </c>
      <c r="AD55" s="990">
        <v>0</v>
      </c>
      <c r="AE55" s="990">
        <v>0</v>
      </c>
      <c r="BC55" s="990"/>
      <c r="BD55" s="990"/>
      <c r="BF55" s="990"/>
      <c r="BH55" s="990"/>
      <c r="BJ55" s="990"/>
      <c r="BO55" s="990"/>
      <c r="BP55" s="990"/>
      <c r="BQ55" s="990"/>
      <c r="BR55" s="990"/>
      <c r="BT55" s="990"/>
      <c r="BV55" s="990"/>
      <c r="BX55" s="990"/>
    </row>
    <row r="56" spans="1:76">
      <c r="G56" s="989"/>
      <c r="J56" s="989"/>
      <c r="K56" s="989"/>
      <c r="M56" s="994"/>
      <c r="BC56" s="990"/>
      <c r="BD56" s="990"/>
      <c r="BF56" s="990"/>
      <c r="BH56" s="990"/>
      <c r="BJ56" s="990"/>
      <c r="BO56" s="990"/>
      <c r="BP56" s="990"/>
      <c r="BQ56" s="990"/>
      <c r="BR56" s="990"/>
      <c r="BT56" s="990"/>
      <c r="BV56" s="990"/>
      <c r="BX56" s="990"/>
    </row>
    <row r="57" spans="1:76">
      <c r="B57" s="989" t="s">
        <v>1876</v>
      </c>
      <c r="C57" s="989"/>
      <c r="D57" s="989"/>
      <c r="E57" s="989"/>
      <c r="G57" s="989"/>
      <c r="J57" s="989"/>
      <c r="K57" s="989"/>
      <c r="BC57" s="990"/>
      <c r="BD57" s="990"/>
      <c r="BF57" s="990"/>
      <c r="BH57" s="990"/>
      <c r="BJ57" s="990"/>
      <c r="BO57" s="990"/>
      <c r="BP57" s="990"/>
      <c r="BQ57" s="990"/>
      <c r="BR57" s="990"/>
      <c r="BT57" s="990"/>
      <c r="BV57" s="990"/>
      <c r="BX57" s="990"/>
    </row>
    <row r="58" spans="1:76">
      <c r="B58" s="993">
        <f>IF(ISNUMBER(VLOOKUP($H58,B$40:$F$55,5,FALSE)),VLOOKUP($H58,B$40:$F$55,5,FALSE),0)</f>
        <v>1</v>
      </c>
      <c r="C58" s="993">
        <f>IF(ISNUMBER(VLOOKUP($H58,C$40:$F$55,4,FALSE)),VLOOKUP($H58,C$40:$F$55,4,FALSE),0)</f>
        <v>1</v>
      </c>
      <c r="D58" s="993">
        <f>IF(ISNUMBER(VLOOKUP($H58,D$40:$F$55,3,FALSE)),VLOOKUP($H58,D$40:$F$55,3,FALSE),0)</f>
        <v>1</v>
      </c>
      <c r="E58" s="993">
        <f>IF(ISNUMBER(VLOOKUP($H58,E$40:$F$55,2,FALSE)),VLOOKUP($H58,E$40:$F$55,2,FALSE),0)</f>
        <v>1</v>
      </c>
      <c r="G58" s="989"/>
      <c r="H58" s="990" t="s">
        <v>2497</v>
      </c>
      <c r="J58" s="989"/>
      <c r="K58" s="989"/>
      <c r="BC58" s="990"/>
      <c r="BD58" s="990"/>
      <c r="BF58" s="990"/>
      <c r="BH58" s="990"/>
      <c r="BJ58" s="990"/>
      <c r="BO58" s="990"/>
      <c r="BP58" s="990"/>
      <c r="BQ58" s="990"/>
      <c r="BR58" s="990"/>
      <c r="BT58" s="990"/>
      <c r="BV58" s="990"/>
      <c r="BX58" s="990"/>
    </row>
    <row r="59" spans="1:76">
      <c r="B59" s="993">
        <f>IF(ISNUMBER(VLOOKUP($H59,B$40:$F$55,5,FALSE)),VLOOKUP($H59,B$40:$F$55,5,FALSE),0)</f>
        <v>2</v>
      </c>
      <c r="C59" s="993">
        <f>IF(ISNUMBER(VLOOKUP($H59,C$40:$F$55,4,FALSE)),VLOOKUP($H59,C$40:$F$55,4,FALSE),0)</f>
        <v>0</v>
      </c>
      <c r="D59" s="993">
        <f>IF(ISNUMBER(VLOOKUP($H59,D$40:$F$55,3,FALSE)),VLOOKUP($H59,D$40:$F$55,3,FALSE),0)</f>
        <v>0</v>
      </c>
      <c r="E59" s="993">
        <f>IF(ISNUMBER(VLOOKUP($H59,E$40:$F$55,2,FALSE)),VLOOKUP($H59,E$40:$F$55,2,FALSE),0)</f>
        <v>0</v>
      </c>
      <c r="G59" s="989"/>
      <c r="H59" s="990" t="s">
        <v>2058</v>
      </c>
      <c r="J59" s="989"/>
      <c r="K59" s="989"/>
      <c r="BC59" s="990"/>
      <c r="BD59" s="990"/>
      <c r="BF59" s="990"/>
      <c r="BH59" s="990"/>
      <c r="BJ59" s="990"/>
      <c r="BO59" s="990"/>
      <c r="BP59" s="990"/>
      <c r="BQ59" s="990"/>
      <c r="BR59" s="990"/>
      <c r="BT59" s="990"/>
      <c r="BV59" s="990"/>
      <c r="BX59" s="990"/>
    </row>
    <row r="60" spans="1:76">
      <c r="B60" s="993">
        <f>IF(ISNUMBER(VLOOKUP($H60,B$40:$F$55,5,FALSE)),VLOOKUP($H60,B$40:$F$55,5,FALSE),0)</f>
        <v>0</v>
      </c>
      <c r="C60" s="993">
        <f>IF(ISNUMBER(VLOOKUP($H60,C$40:$F$55,4,FALSE)),VLOOKUP($H60,C$40:$F$55,4,FALSE),0)</f>
        <v>2</v>
      </c>
      <c r="D60" s="993">
        <f>IF(ISNUMBER(VLOOKUP($H60,D$40:$F$55,3,FALSE)),VLOOKUP($H60,D$40:$F$55,3,FALSE),0)</f>
        <v>2</v>
      </c>
      <c r="E60" s="993">
        <f>IF(ISNUMBER(VLOOKUP($H60,E$40:$F$55,2,FALSE)),VLOOKUP($H60,E$40:$F$55,2,FALSE),0)</f>
        <v>2</v>
      </c>
      <c r="G60" s="989"/>
      <c r="H60" s="990" t="s">
        <v>2494</v>
      </c>
      <c r="J60" s="989"/>
      <c r="K60" s="989"/>
      <c r="BC60" s="990"/>
      <c r="BD60" s="990"/>
      <c r="BF60" s="990"/>
      <c r="BH60" s="990"/>
      <c r="BJ60" s="990"/>
      <c r="BO60" s="990"/>
      <c r="BP60" s="990"/>
      <c r="BQ60" s="990"/>
      <c r="BR60" s="990"/>
      <c r="BT60" s="990"/>
      <c r="BV60" s="990"/>
      <c r="BX60" s="990"/>
    </row>
    <row r="61" spans="1:76">
      <c r="B61" s="993">
        <f>IF(ISNUMBER(VLOOKUP($H61,B$40:$F$55,5,FALSE)),VLOOKUP($H61,B$40:$F$55,5,FALSE),0)</f>
        <v>3</v>
      </c>
      <c r="C61" s="993">
        <f>IF(ISNUMBER(VLOOKUP($H61,C$40:$F$55,4,FALSE)),VLOOKUP($H61,C$40:$F$55,4,FALSE),0)</f>
        <v>3</v>
      </c>
      <c r="D61" s="993">
        <f>IF(ISNUMBER(VLOOKUP($H61,D$40:$F$55,3,FALSE)),VLOOKUP($H61,D$40:$F$55,3,FALSE),0)</f>
        <v>3</v>
      </c>
      <c r="E61" s="993">
        <f>IF(ISNUMBER(VLOOKUP($H61,E$40:$F$55,2,FALSE)),VLOOKUP($H61,E$40:$F$55,2,FALSE),0)</f>
        <v>3</v>
      </c>
      <c r="G61" s="989"/>
      <c r="J61" s="989"/>
      <c r="K61" s="989"/>
      <c r="BC61" s="990"/>
      <c r="BD61" s="990"/>
      <c r="BF61" s="990"/>
      <c r="BH61" s="990"/>
      <c r="BJ61" s="990"/>
      <c r="BO61" s="990"/>
      <c r="BP61" s="990"/>
      <c r="BQ61" s="990"/>
      <c r="BR61" s="990"/>
      <c r="BT61" s="990"/>
      <c r="BV61" s="990"/>
      <c r="BX61" s="990"/>
    </row>
    <row r="62" spans="1:76">
      <c r="B62" s="993">
        <f>IF(ISNUMBER(VLOOKUP($H62,B$40:$F$55,5,FALSE)),VLOOKUP($H62,B$40:$F$55,5,FALSE),0)</f>
        <v>3</v>
      </c>
      <c r="C62" s="993">
        <f>IF(ISNUMBER(VLOOKUP($H62,C$40:$F$55,4,FALSE)),VLOOKUP($H62,C$40:$F$55,4,FALSE),0)</f>
        <v>3</v>
      </c>
      <c r="D62" s="993">
        <f>IF(ISNUMBER(VLOOKUP($H62,D$40:$F$55,3,FALSE)),VLOOKUP($H62,D$40:$F$55,3,FALSE),0)</f>
        <v>3</v>
      </c>
      <c r="E62" s="993">
        <f>IF(ISNUMBER(VLOOKUP($H62,E$40:$F$55,2,FALSE)),VLOOKUP($H62,E$40:$F$55,2,FALSE),0)</f>
        <v>3</v>
      </c>
      <c r="G62" s="989"/>
      <c r="J62" s="989"/>
      <c r="K62" s="989"/>
      <c r="BC62" s="990"/>
      <c r="BD62" s="990"/>
      <c r="BF62" s="990"/>
      <c r="BH62" s="990"/>
      <c r="BJ62" s="990"/>
      <c r="BO62" s="990"/>
      <c r="BP62" s="990"/>
      <c r="BQ62" s="990"/>
      <c r="BR62" s="990"/>
      <c r="BT62" s="990"/>
      <c r="BV62" s="990"/>
      <c r="BX62" s="990"/>
    </row>
    <row r="63" spans="1:76">
      <c r="A63" s="994"/>
      <c r="B63" s="993">
        <f>IF(ISNUMBER(VLOOKUP($H63,B$40:$F$55,5,FALSE)),VLOOKUP($H63,B$40:$F$55,5,FALSE),0)</f>
        <v>3</v>
      </c>
      <c r="C63" s="993">
        <f>IF(ISNUMBER(VLOOKUP($H63,C$40:$F$55,4,FALSE)),VLOOKUP($H63,C$40:$F$55,4,FALSE),0)</f>
        <v>3</v>
      </c>
      <c r="D63" s="993">
        <f>IF(ISNUMBER(VLOOKUP($H63,D$40:$F$55,3,FALSE)),VLOOKUP($H63,D$40:$F$55,3,FALSE),0)</f>
        <v>3</v>
      </c>
      <c r="E63" s="993">
        <f>IF(ISNUMBER(VLOOKUP($H63,E$40:$F$55,2,FALSE)),VLOOKUP($H63,E$40:$F$55,2,FALSE),0)</f>
        <v>3</v>
      </c>
      <c r="G63" s="989"/>
      <c r="J63" s="989"/>
      <c r="K63" s="989"/>
      <c r="BC63" s="990"/>
      <c r="BD63" s="990"/>
      <c r="BF63" s="990"/>
      <c r="BH63" s="990"/>
      <c r="BJ63" s="990"/>
      <c r="BO63" s="990"/>
      <c r="BP63" s="990"/>
      <c r="BQ63" s="990"/>
      <c r="BR63" s="990"/>
      <c r="BT63" s="990"/>
      <c r="BV63" s="990"/>
      <c r="BX63" s="990"/>
    </row>
    <row r="64" spans="1:76">
      <c r="B64" s="993">
        <f>IF(ISNUMBER(VLOOKUP($H64,B$40:$F$55,5,FALSE)),VLOOKUP($H64,B$40:$F$55,5,FALSE),0)</f>
        <v>3</v>
      </c>
      <c r="C64" s="993">
        <f>IF(ISNUMBER(VLOOKUP($H64,C$40:$F$55,4,FALSE)),VLOOKUP($H64,C$40:$F$55,4,FALSE),0)</f>
        <v>3</v>
      </c>
      <c r="D64" s="993">
        <f>IF(ISNUMBER(VLOOKUP($H64,D$40:$F$55,3,FALSE)),VLOOKUP($H64,D$40:$F$55,3,FALSE),0)</f>
        <v>3</v>
      </c>
      <c r="E64" s="993">
        <f>IF(ISNUMBER(VLOOKUP($H64,E$40:$F$55,2,FALSE)),VLOOKUP($H64,E$40:$F$55,2,FALSE),0)</f>
        <v>3</v>
      </c>
      <c r="G64" s="989"/>
      <c r="J64" s="989"/>
      <c r="K64" s="989"/>
      <c r="BC64" s="990"/>
      <c r="BD64" s="990"/>
      <c r="BF64" s="990"/>
      <c r="BH64" s="990"/>
      <c r="BJ64" s="990"/>
      <c r="BO64" s="990"/>
      <c r="BP64" s="990"/>
      <c r="BQ64" s="990"/>
      <c r="BR64" s="990"/>
      <c r="BT64" s="990"/>
      <c r="BV64" s="990"/>
      <c r="BX64" s="990"/>
    </row>
    <row r="65" spans="1:76">
      <c r="B65" s="993">
        <f>IF(ISNUMBER(VLOOKUP($H65,B$40:$F$55,5,FALSE)),VLOOKUP($H65,B$40:$F$55,5,FALSE),0)</f>
        <v>3</v>
      </c>
      <c r="C65" s="993">
        <f>IF(ISNUMBER(VLOOKUP($H65,C$40:$F$55,4,FALSE)),VLOOKUP($H65,C$40:$F$55,4,FALSE),0)</f>
        <v>3</v>
      </c>
      <c r="D65" s="993">
        <f>IF(ISNUMBER(VLOOKUP($H65,D$40:$F$55,3,FALSE)),VLOOKUP($H65,D$40:$F$55,3,FALSE),0)</f>
        <v>3</v>
      </c>
      <c r="E65" s="993">
        <f>IF(ISNUMBER(VLOOKUP($H65,E$40:$F$55,2,FALSE)),VLOOKUP($H65,E$40:$F$55,2,FALSE),0)</f>
        <v>3</v>
      </c>
      <c r="BC65" s="990"/>
      <c r="BD65" s="990"/>
      <c r="BF65" s="990"/>
      <c r="BH65" s="990"/>
      <c r="BJ65" s="990"/>
      <c r="BO65" s="990"/>
      <c r="BP65" s="990"/>
      <c r="BQ65" s="990"/>
      <c r="BR65" s="990"/>
      <c r="BT65" s="990"/>
      <c r="BV65" s="990"/>
      <c r="BX65" s="990"/>
    </row>
    <row r="66" spans="1:76">
      <c r="B66" s="993">
        <f>IF(ISNUMBER(VLOOKUP($H66,B$40:$F$55,5,FALSE)),VLOOKUP($H66,B$40:$F$55,5,FALSE),0)</f>
        <v>3</v>
      </c>
      <c r="C66" s="993">
        <f>IF(ISNUMBER(VLOOKUP($H66,C$40:$F$55,4,FALSE)),VLOOKUP($H66,C$40:$F$55,4,FALSE),0)</f>
        <v>3</v>
      </c>
      <c r="D66" s="993">
        <f>IF(ISNUMBER(VLOOKUP($H66,D$40:$F$55,3,FALSE)),VLOOKUP($H66,D$40:$F$55,3,FALSE),0)</f>
        <v>3</v>
      </c>
      <c r="E66" s="993">
        <f>IF(ISNUMBER(VLOOKUP($H66,E$40:$F$55,2,FALSE)),VLOOKUP($H66,E$40:$F$55,2,FALSE),0)</f>
        <v>3</v>
      </c>
      <c r="BC66" s="990"/>
      <c r="BD66" s="990"/>
      <c r="BF66" s="990"/>
      <c r="BH66" s="990"/>
      <c r="BJ66" s="990"/>
      <c r="BO66" s="990"/>
      <c r="BP66" s="990"/>
      <c r="BQ66" s="990"/>
      <c r="BR66" s="990"/>
      <c r="BT66" s="990"/>
      <c r="BV66" s="990"/>
      <c r="BX66" s="990"/>
    </row>
    <row r="67" spans="1:76">
      <c r="B67" s="993">
        <f>IF(ISNUMBER(VLOOKUP($H67,B$40:$F$55,5,FALSE)),VLOOKUP($H67,B$40:$F$55,5,FALSE),0)</f>
        <v>3</v>
      </c>
      <c r="C67" s="993">
        <f>IF(ISNUMBER(VLOOKUP($H67,C$40:$F$55,4,FALSE)),VLOOKUP($H67,C$40:$F$55,4,FALSE),0)</f>
        <v>3</v>
      </c>
      <c r="D67" s="993">
        <f>IF(ISNUMBER(VLOOKUP($H67,D$40:$F$55,3,FALSE)),VLOOKUP($H67,D$40:$F$55,3,FALSE),0)</f>
        <v>3</v>
      </c>
      <c r="E67" s="993">
        <f>IF(ISNUMBER(VLOOKUP($H67,E$40:$F$55,2,FALSE)),VLOOKUP($H67,E$40:$F$55,2,FALSE),0)</f>
        <v>3</v>
      </c>
      <c r="BC67" s="990"/>
      <c r="BD67" s="990"/>
      <c r="BF67" s="990"/>
      <c r="BH67" s="990"/>
      <c r="BJ67" s="990"/>
      <c r="BO67" s="990"/>
      <c r="BP67" s="990"/>
      <c r="BQ67" s="990"/>
      <c r="BR67" s="990"/>
      <c r="BT67" s="990"/>
      <c r="BV67" s="990"/>
      <c r="BX67" s="990"/>
    </row>
    <row r="68" spans="1:76">
      <c r="B68" s="993">
        <f>IF(ISNUMBER(VLOOKUP($H68,B$40:$F$55,5,FALSE)),VLOOKUP($H68,B$40:$F$55,5,FALSE),0)</f>
        <v>3</v>
      </c>
      <c r="C68" s="993">
        <f>IF(ISNUMBER(VLOOKUP($H68,C$40:$F$55,4,FALSE)),VLOOKUP($H68,C$40:$F$55,4,FALSE),0)</f>
        <v>3</v>
      </c>
      <c r="D68" s="993">
        <f>IF(ISNUMBER(VLOOKUP($H68,D$40:$F$55,3,FALSE)),VLOOKUP($H68,D$40:$F$55,3,FALSE),0)</f>
        <v>3</v>
      </c>
      <c r="E68" s="993">
        <f>IF(ISNUMBER(VLOOKUP($H68,E$40:$F$55,2,FALSE)),VLOOKUP($H68,E$40:$F$55,2,FALSE),0)</f>
        <v>3</v>
      </c>
      <c r="BC68" s="990"/>
      <c r="BD68" s="990"/>
      <c r="BF68" s="990"/>
      <c r="BH68" s="990"/>
      <c r="BJ68" s="990"/>
      <c r="BO68" s="990"/>
      <c r="BP68" s="990"/>
      <c r="BQ68" s="990"/>
      <c r="BR68" s="990"/>
      <c r="BT68" s="990"/>
      <c r="BV68" s="990"/>
      <c r="BX68" s="990"/>
    </row>
    <row r="69" spans="1:76">
      <c r="B69" s="993">
        <f>IF(ISNUMBER(VLOOKUP($H69,B$40:$F$55,5,FALSE)),VLOOKUP($H69,B$40:$F$55,5,FALSE),0)</f>
        <v>3</v>
      </c>
      <c r="C69" s="993">
        <f>IF(ISNUMBER(VLOOKUP($H69,C$40:$F$55,4,FALSE)),VLOOKUP($H69,C$40:$F$55,4,FALSE),0)</f>
        <v>3</v>
      </c>
      <c r="D69" s="993">
        <f>IF(ISNUMBER(VLOOKUP($H69,D$40:$F$55,3,FALSE)),VLOOKUP($H69,D$40:$F$55,3,FALSE),0)</f>
        <v>3</v>
      </c>
      <c r="E69" s="993">
        <f>IF(ISNUMBER(VLOOKUP($H69,E$40:$F$55,2,FALSE)),VLOOKUP($H69,E$40:$F$55,2,FALSE),0)</f>
        <v>3</v>
      </c>
      <c r="BC69" s="990"/>
      <c r="BD69" s="990"/>
      <c r="BF69" s="990"/>
      <c r="BH69" s="990"/>
      <c r="BJ69" s="990"/>
      <c r="BO69" s="990"/>
      <c r="BP69" s="990"/>
      <c r="BQ69" s="990"/>
      <c r="BR69" s="990"/>
      <c r="BT69" s="990"/>
      <c r="BV69" s="990"/>
      <c r="BX69" s="990"/>
    </row>
    <row r="70" spans="1:76">
      <c r="B70" s="993">
        <f>IF(ISNUMBER(VLOOKUP($H70,B$40:$F$55,5,FALSE)),VLOOKUP($H70,B$40:$F$55,5,FALSE),0)</f>
        <v>3</v>
      </c>
      <c r="C70" s="993">
        <f>IF(ISNUMBER(VLOOKUP($H70,C$40:$F$55,4,FALSE)),VLOOKUP($H70,C$40:$F$55,4,FALSE),0)</f>
        <v>3</v>
      </c>
      <c r="D70" s="993">
        <f>IF(ISNUMBER(VLOOKUP($H70,D$40:$F$55,3,FALSE)),VLOOKUP($H70,D$40:$F$55,3,FALSE),0)</f>
        <v>3</v>
      </c>
      <c r="E70" s="993">
        <f>IF(ISNUMBER(VLOOKUP($H70,E$40:$F$55,2,FALSE)),VLOOKUP($H70,E$40:$F$55,2,FALSE),0)</f>
        <v>3</v>
      </c>
      <c r="M70" s="995"/>
      <c r="N70" s="995"/>
      <c r="O70" s="995"/>
      <c r="BC70" s="990"/>
      <c r="BD70" s="990"/>
      <c r="BF70" s="990"/>
      <c r="BH70" s="990"/>
      <c r="BJ70" s="990"/>
      <c r="BO70" s="990"/>
      <c r="BP70" s="990"/>
      <c r="BQ70" s="990"/>
      <c r="BR70" s="990"/>
      <c r="BT70" s="990"/>
      <c r="BV70" s="990"/>
      <c r="BX70" s="990"/>
    </row>
    <row r="71" spans="1:76">
      <c r="B71" s="993">
        <f>IF(ISNUMBER(VLOOKUP($H71,B$40:$F$55,5,FALSE)),VLOOKUP($H71,B$40:$F$55,5,FALSE),0)</f>
        <v>3</v>
      </c>
      <c r="C71" s="993">
        <f>IF(ISNUMBER(VLOOKUP($H71,C$40:$F$55,4,FALSE)),VLOOKUP($H71,C$40:$F$55,4,FALSE),0)</f>
        <v>3</v>
      </c>
      <c r="D71" s="993">
        <f>IF(ISNUMBER(VLOOKUP($H71,D$40:$F$55,3,FALSE)),VLOOKUP($H71,D$40:$F$55,3,FALSE),0)</f>
        <v>3</v>
      </c>
      <c r="E71" s="993">
        <f>IF(ISNUMBER(VLOOKUP($H71,E$40:$F$55,2,FALSE)),VLOOKUP($H71,E$40:$F$55,2,FALSE),0)</f>
        <v>3</v>
      </c>
      <c r="M71" s="995"/>
      <c r="N71" s="995"/>
      <c r="O71" s="995"/>
      <c r="BC71" s="990"/>
      <c r="BD71" s="990"/>
      <c r="BF71" s="990"/>
      <c r="BH71" s="990"/>
      <c r="BJ71" s="990"/>
      <c r="BO71" s="990"/>
      <c r="BP71" s="990"/>
      <c r="BQ71" s="990"/>
      <c r="BR71" s="990"/>
      <c r="BT71" s="990"/>
      <c r="BV71" s="990"/>
      <c r="BX71" s="990"/>
    </row>
    <row r="72" spans="1:76">
      <c r="B72" s="993">
        <f>IF(ISNUMBER(VLOOKUP($H72,B$40:$F$55,5,FALSE)),VLOOKUP($H72,B$40:$F$55,5,FALSE),0)</f>
        <v>3</v>
      </c>
      <c r="C72" s="993">
        <f>IF(ISNUMBER(VLOOKUP($H72,C$40:$F$55,4,FALSE)),VLOOKUP($H72,C$40:$F$55,4,FALSE),0)</f>
        <v>3</v>
      </c>
      <c r="D72" s="993">
        <f>IF(ISNUMBER(VLOOKUP($H72,D$40:$F$55,3,FALSE)),VLOOKUP($H72,D$40:$F$55,3,FALSE),0)</f>
        <v>3</v>
      </c>
      <c r="E72" s="993">
        <f>IF(ISNUMBER(VLOOKUP($H72,E$40:$F$55,2,FALSE)),VLOOKUP($H72,E$40:$F$55,2,FALSE),0)</f>
        <v>3</v>
      </c>
      <c r="M72" s="995"/>
      <c r="N72" s="995"/>
      <c r="O72" s="995"/>
      <c r="BC72" s="990"/>
      <c r="BD72" s="990"/>
      <c r="BF72" s="990"/>
      <c r="BH72" s="990"/>
      <c r="BJ72" s="990"/>
      <c r="BO72" s="990"/>
      <c r="BP72" s="990"/>
      <c r="BQ72" s="990"/>
      <c r="BR72" s="990"/>
      <c r="BT72" s="990"/>
      <c r="BV72" s="990"/>
      <c r="BX72" s="990"/>
    </row>
    <row r="73" spans="1:76">
      <c r="B73" s="993">
        <f>IF(ISNUMBER(VLOOKUP($H73,B$40:$F$55,5,FALSE)),VLOOKUP($H73,B$40:$F$55,5,FALSE),0)</f>
        <v>3</v>
      </c>
      <c r="C73" s="993">
        <f>IF(ISNUMBER(VLOOKUP($H73,C$40:$F$55,4,FALSE)),VLOOKUP($H73,C$40:$F$55,4,FALSE),0)</f>
        <v>3</v>
      </c>
      <c r="D73" s="993">
        <f>IF(ISNUMBER(VLOOKUP($H73,D$40:$F$55,3,FALSE)),VLOOKUP($H73,D$40:$F$55,3,FALSE),0)</f>
        <v>3</v>
      </c>
      <c r="E73" s="993">
        <f>IF(ISNUMBER(VLOOKUP($H73,E$40:$F$55,2,FALSE)),VLOOKUP($H73,E$40:$F$55,2,FALSE),0)</f>
        <v>3</v>
      </c>
      <c r="M73" s="995"/>
      <c r="N73" s="995"/>
      <c r="O73" s="995"/>
      <c r="BC73" s="990"/>
      <c r="BD73" s="990"/>
      <c r="BF73" s="990"/>
      <c r="BH73" s="990"/>
      <c r="BJ73" s="990"/>
      <c r="BO73" s="990"/>
      <c r="BP73" s="990"/>
      <c r="BQ73" s="990"/>
      <c r="BR73" s="990"/>
      <c r="BT73" s="990"/>
      <c r="BV73" s="990"/>
      <c r="BX73" s="990"/>
    </row>
    <row r="74" spans="1:76">
      <c r="BC74" s="990"/>
      <c r="BD74" s="990"/>
      <c r="BF74" s="990"/>
      <c r="BH74" s="990"/>
      <c r="BJ74" s="990"/>
      <c r="BO74" s="990"/>
      <c r="BP74" s="990"/>
      <c r="BQ74" s="990"/>
      <c r="BR74" s="990"/>
      <c r="BT74" s="990"/>
      <c r="BV74" s="990"/>
      <c r="BX74" s="990"/>
    </row>
    <row r="75" spans="1:76">
      <c r="A75" s="992"/>
      <c r="B75" s="992"/>
      <c r="C75" s="992"/>
      <c r="D75" s="992"/>
      <c r="E75" s="992"/>
      <c r="BC75" s="990"/>
      <c r="BD75" s="990"/>
      <c r="BF75" s="990"/>
      <c r="BH75" s="990"/>
      <c r="BJ75" s="990"/>
      <c r="BO75" s="990"/>
      <c r="BP75" s="990"/>
      <c r="BQ75" s="990"/>
      <c r="BR75" s="990"/>
      <c r="BT75" s="990"/>
      <c r="BV75" s="990"/>
      <c r="BX75" s="990"/>
    </row>
    <row r="76" spans="1:76">
      <c r="A76" s="989" t="s">
        <v>1879</v>
      </c>
      <c r="B76" s="989"/>
      <c r="C76" s="989"/>
      <c r="D76" s="989"/>
      <c r="E76" s="989"/>
      <c r="BC76" s="990"/>
      <c r="BD76" s="990"/>
      <c r="BF76" s="990"/>
      <c r="BH76" s="990"/>
      <c r="BJ76" s="990"/>
      <c r="BO76" s="990"/>
      <c r="BP76" s="990"/>
      <c r="BQ76" s="990"/>
      <c r="BR76" s="990"/>
      <c r="BT76" s="990"/>
      <c r="BV76" s="990"/>
      <c r="BX76" s="990"/>
    </row>
    <row r="77" spans="1:76">
      <c r="A77" s="989" t="s">
        <v>1880</v>
      </c>
      <c r="B77" s="989"/>
      <c r="C77" s="989"/>
      <c r="D77" s="989"/>
      <c r="E77" s="989"/>
      <c r="BC77" s="990"/>
      <c r="BD77" s="990"/>
      <c r="BF77" s="990"/>
      <c r="BH77" s="990"/>
      <c r="BJ77" s="990"/>
      <c r="BO77" s="990"/>
      <c r="BP77" s="990"/>
      <c r="BQ77" s="990"/>
      <c r="BR77" s="990"/>
      <c r="BT77" s="990"/>
      <c r="BV77" s="990"/>
      <c r="BX77" s="990"/>
    </row>
    <row r="78" spans="1:76">
      <c r="A78" s="989"/>
      <c r="B78" s="990">
        <v>2075956002</v>
      </c>
      <c r="C78" s="990">
        <v>2365109627</v>
      </c>
      <c r="D78" s="990">
        <v>2563816287</v>
      </c>
      <c r="E78" s="990">
        <v>2690022369</v>
      </c>
      <c r="I78" s="994"/>
      <c r="AA78" s="990">
        <v>2075956002</v>
      </c>
      <c r="AB78" s="990">
        <v>2365109627</v>
      </c>
      <c r="AC78" s="990">
        <v>2563816287</v>
      </c>
      <c r="AD78" s="990">
        <v>2690022369</v>
      </c>
      <c r="AE78" s="990">
        <v>0</v>
      </c>
      <c r="BC78" s="990"/>
      <c r="BD78" s="990"/>
      <c r="BF78" s="990"/>
      <c r="BH78" s="990"/>
      <c r="BJ78" s="990"/>
      <c r="BO78" s="990"/>
      <c r="BP78" s="990"/>
      <c r="BQ78" s="990"/>
      <c r="BR78" s="990"/>
      <c r="BT78" s="990"/>
      <c r="BV78" s="990"/>
      <c r="BX78" s="990"/>
    </row>
    <row r="79" spans="1:76">
      <c r="A79" s="989"/>
      <c r="B79" s="990">
        <v>0</v>
      </c>
      <c r="C79" s="990">
        <v>2527615621</v>
      </c>
      <c r="D79" s="990">
        <v>3464308195</v>
      </c>
      <c r="E79" s="990">
        <v>4594991710</v>
      </c>
      <c r="AA79" s="990">
        <v>2152243158</v>
      </c>
      <c r="AB79" s="990">
        <v>2527615621</v>
      </c>
      <c r="AC79" s="990">
        <v>3464308195</v>
      </c>
      <c r="AD79" s="990">
        <v>4594991710</v>
      </c>
      <c r="AE79" s="990">
        <v>0</v>
      </c>
      <c r="BC79" s="990"/>
      <c r="BD79" s="990"/>
      <c r="BF79" s="990"/>
      <c r="BH79" s="990"/>
      <c r="BJ79" s="990"/>
      <c r="BO79" s="990"/>
      <c r="BP79" s="990"/>
      <c r="BQ79" s="990"/>
      <c r="BR79" s="990"/>
      <c r="BT79" s="990"/>
      <c r="BV79" s="990"/>
      <c r="BX79" s="990"/>
    </row>
    <row r="80" spans="1:76">
      <c r="A80" s="989"/>
      <c r="B80" s="990">
        <v>110303772</v>
      </c>
      <c r="C80" s="990">
        <v>90964093</v>
      </c>
      <c r="D80" s="990">
        <v>122678118</v>
      </c>
      <c r="E80" s="990">
        <v>158268689</v>
      </c>
      <c r="AA80" s="990">
        <v>110303772</v>
      </c>
      <c r="AB80" s="990">
        <v>90964093</v>
      </c>
      <c r="AC80" s="990">
        <v>122678118</v>
      </c>
      <c r="AD80" s="990">
        <v>158268689</v>
      </c>
      <c r="AE80" s="990">
        <v>0</v>
      </c>
      <c r="BC80" s="990"/>
      <c r="BD80" s="990"/>
      <c r="BF80" s="990"/>
      <c r="BH80" s="990"/>
      <c r="BJ80" s="990"/>
      <c r="BO80" s="990"/>
      <c r="BP80" s="990"/>
      <c r="BQ80" s="990"/>
      <c r="BR80" s="990"/>
      <c r="BT80" s="990"/>
      <c r="BV80" s="990"/>
      <c r="BX80" s="990"/>
    </row>
    <row r="81" spans="1:76">
      <c r="A81" s="989"/>
      <c r="B81" s="990">
        <v>0</v>
      </c>
      <c r="C81" s="990">
        <v>129659520</v>
      </c>
      <c r="D81" s="990">
        <v>192855949</v>
      </c>
      <c r="E81" s="990">
        <v>260212278</v>
      </c>
      <c r="AA81" s="990">
        <v>112769087</v>
      </c>
      <c r="AB81" s="990">
        <v>129659520</v>
      </c>
      <c r="AC81" s="990">
        <v>192855949</v>
      </c>
      <c r="AD81" s="990">
        <v>260212278</v>
      </c>
      <c r="AE81" s="990">
        <v>0</v>
      </c>
      <c r="BC81" s="990"/>
      <c r="BD81" s="990"/>
      <c r="BF81" s="990"/>
      <c r="BH81" s="990"/>
      <c r="BJ81" s="990"/>
      <c r="BO81" s="990"/>
      <c r="BP81" s="990"/>
      <c r="BQ81" s="990"/>
      <c r="BR81" s="990"/>
      <c r="BT81" s="990"/>
      <c r="BV81" s="990"/>
      <c r="BX81" s="990"/>
    </row>
    <row r="82" spans="1:76">
      <c r="A82" s="989"/>
      <c r="B82" s="990">
        <v>2152243158</v>
      </c>
      <c r="C82" s="990">
        <v>0</v>
      </c>
      <c r="D82" s="990">
        <v>0</v>
      </c>
      <c r="E82" s="990">
        <v>0</v>
      </c>
      <c r="AA82" s="990">
        <v>0</v>
      </c>
      <c r="AB82" s="990">
        <v>0</v>
      </c>
      <c r="AC82" s="990">
        <v>0</v>
      </c>
      <c r="AD82" s="990">
        <v>0</v>
      </c>
      <c r="AE82" s="990">
        <v>0</v>
      </c>
      <c r="BC82" s="990"/>
      <c r="BD82" s="990"/>
      <c r="BF82" s="990"/>
      <c r="BH82" s="990"/>
      <c r="BJ82" s="990"/>
      <c r="BO82" s="990"/>
      <c r="BP82" s="990"/>
      <c r="BQ82" s="990"/>
      <c r="BR82" s="990"/>
      <c r="BT82" s="990"/>
      <c r="BV82" s="990"/>
      <c r="BX82" s="990"/>
    </row>
    <row r="83" spans="1:76">
      <c r="A83" s="989"/>
      <c r="B83" s="990">
        <v>112769087</v>
      </c>
      <c r="C83" s="990">
        <v>0</v>
      </c>
      <c r="D83" s="990">
        <v>0</v>
      </c>
      <c r="E83" s="990">
        <v>0</v>
      </c>
      <c r="AA83" s="990">
        <v>0</v>
      </c>
      <c r="AB83" s="990">
        <v>0</v>
      </c>
      <c r="AC83" s="990">
        <v>0</v>
      </c>
      <c r="AD83" s="990">
        <v>0</v>
      </c>
      <c r="AE83" s="990">
        <v>0</v>
      </c>
      <c r="BC83" s="990"/>
      <c r="BD83" s="990"/>
      <c r="BF83" s="990"/>
      <c r="BH83" s="990"/>
      <c r="BJ83" s="990"/>
      <c r="BO83" s="990"/>
      <c r="BP83" s="990"/>
      <c r="BQ83" s="990"/>
      <c r="BR83" s="990"/>
      <c r="BT83" s="990"/>
      <c r="BV83" s="990"/>
      <c r="BX83" s="990"/>
    </row>
    <row r="84" spans="1:76">
      <c r="A84" s="989"/>
      <c r="B84" s="990">
        <v>0</v>
      </c>
      <c r="C84" s="990">
        <v>0</v>
      </c>
      <c r="D84" s="990">
        <v>0</v>
      </c>
      <c r="E84" s="990">
        <v>0</v>
      </c>
      <c r="AA84" s="990">
        <v>0</v>
      </c>
      <c r="AB84" s="990">
        <v>0</v>
      </c>
      <c r="AC84" s="990">
        <v>0</v>
      </c>
      <c r="AD84" s="990">
        <v>0</v>
      </c>
      <c r="AE84" s="990">
        <v>0</v>
      </c>
      <c r="BC84" s="990"/>
      <c r="BD84" s="990"/>
      <c r="BF84" s="990"/>
      <c r="BH84" s="990"/>
      <c r="BJ84" s="990"/>
      <c r="BO84" s="990"/>
      <c r="BP84" s="990"/>
      <c r="BQ84" s="990"/>
      <c r="BR84" s="990"/>
      <c r="BT84" s="990"/>
      <c r="BV84" s="990"/>
      <c r="BX84" s="990"/>
    </row>
    <row r="85" spans="1:76">
      <c r="A85" s="989"/>
      <c r="B85" s="990">
        <v>0</v>
      </c>
      <c r="C85" s="990">
        <v>0</v>
      </c>
      <c r="D85" s="990">
        <v>0</v>
      </c>
      <c r="E85" s="990">
        <v>0</v>
      </c>
      <c r="AA85" s="990">
        <v>0</v>
      </c>
      <c r="AB85" s="990">
        <v>0</v>
      </c>
      <c r="AC85" s="990">
        <v>0</v>
      </c>
      <c r="AD85" s="990">
        <v>0</v>
      </c>
      <c r="AE85" s="990">
        <v>0</v>
      </c>
      <c r="BC85" s="990"/>
      <c r="BD85" s="990"/>
      <c r="BF85" s="990"/>
      <c r="BH85" s="990"/>
      <c r="BJ85" s="990"/>
      <c r="BO85" s="990"/>
      <c r="BP85" s="990"/>
      <c r="BQ85" s="990"/>
      <c r="BR85" s="990"/>
      <c r="BT85" s="990"/>
      <c r="BV85" s="990"/>
      <c r="BX85" s="990"/>
    </row>
    <row r="86" spans="1:76">
      <c r="A86" s="989"/>
      <c r="B86" s="990">
        <v>0</v>
      </c>
      <c r="C86" s="990">
        <v>0</v>
      </c>
      <c r="D86" s="990">
        <v>0</v>
      </c>
      <c r="E86" s="990">
        <v>0</v>
      </c>
      <c r="AA86" s="990">
        <v>0</v>
      </c>
      <c r="AB86" s="990">
        <v>0</v>
      </c>
      <c r="AC86" s="990">
        <v>0</v>
      </c>
      <c r="AD86" s="990">
        <v>0</v>
      </c>
      <c r="AE86" s="990">
        <v>0</v>
      </c>
      <c r="BC86" s="990"/>
      <c r="BD86" s="990"/>
      <c r="BF86" s="990"/>
      <c r="BH86" s="990"/>
      <c r="BJ86" s="990"/>
      <c r="BO86" s="990"/>
      <c r="BP86" s="990"/>
      <c r="BQ86" s="990"/>
      <c r="BR86" s="990"/>
      <c r="BT86" s="990"/>
      <c r="BV86" s="990"/>
      <c r="BX86" s="990"/>
    </row>
    <row r="87" spans="1:76">
      <c r="A87" s="989"/>
      <c r="B87" s="990">
        <v>0</v>
      </c>
      <c r="C87" s="990">
        <v>0</v>
      </c>
      <c r="D87" s="990">
        <v>0</v>
      </c>
      <c r="E87" s="990">
        <v>0</v>
      </c>
      <c r="AA87" s="990">
        <v>0</v>
      </c>
      <c r="AB87" s="990">
        <v>0</v>
      </c>
      <c r="AC87" s="990">
        <v>0</v>
      </c>
      <c r="AD87" s="990">
        <v>0</v>
      </c>
      <c r="AE87" s="990">
        <v>0</v>
      </c>
      <c r="BC87" s="990"/>
      <c r="BD87" s="990"/>
      <c r="BF87" s="990"/>
      <c r="BH87" s="990"/>
      <c r="BJ87" s="990"/>
      <c r="BO87" s="990"/>
      <c r="BP87" s="990"/>
      <c r="BQ87" s="990"/>
      <c r="BR87" s="990"/>
      <c r="BT87" s="990"/>
      <c r="BV87" s="990"/>
      <c r="BX87" s="990"/>
    </row>
    <row r="88" spans="1:76">
      <c r="A88" s="989"/>
      <c r="B88" s="990">
        <v>0</v>
      </c>
      <c r="C88" s="990">
        <v>0</v>
      </c>
      <c r="D88" s="990">
        <v>0</v>
      </c>
      <c r="E88" s="990">
        <v>0</v>
      </c>
      <c r="AA88" s="990">
        <v>0</v>
      </c>
      <c r="AB88" s="990">
        <v>0</v>
      </c>
      <c r="AC88" s="990">
        <v>0</v>
      </c>
      <c r="AD88" s="990">
        <v>0</v>
      </c>
      <c r="AE88" s="990">
        <v>0</v>
      </c>
      <c r="BC88" s="990"/>
      <c r="BD88" s="990"/>
      <c r="BF88" s="990"/>
      <c r="BH88" s="990"/>
      <c r="BJ88" s="990"/>
      <c r="BO88" s="990"/>
      <c r="BP88" s="990"/>
      <c r="BQ88" s="990"/>
      <c r="BR88" s="990"/>
      <c r="BT88" s="990"/>
      <c r="BV88" s="990"/>
      <c r="BX88" s="990"/>
    </row>
    <row r="89" spans="1:76">
      <c r="A89" s="989"/>
      <c r="B89" s="990">
        <v>0</v>
      </c>
      <c r="C89" s="990">
        <v>0</v>
      </c>
      <c r="D89" s="990">
        <v>0</v>
      </c>
      <c r="E89" s="990">
        <v>0</v>
      </c>
      <c r="AA89" s="990">
        <v>0</v>
      </c>
      <c r="AB89" s="990">
        <v>0</v>
      </c>
      <c r="AC89" s="990">
        <v>0</v>
      </c>
      <c r="AD89" s="990">
        <v>0</v>
      </c>
      <c r="AE89" s="990">
        <v>0</v>
      </c>
      <c r="BC89" s="990"/>
      <c r="BD89" s="990"/>
      <c r="BF89" s="990"/>
      <c r="BH89" s="990"/>
      <c r="BJ89" s="990"/>
      <c r="BO89" s="990"/>
      <c r="BP89" s="990"/>
      <c r="BQ89" s="990"/>
      <c r="BR89" s="990"/>
      <c r="BT89" s="990"/>
      <c r="BV89" s="990"/>
      <c r="BX89" s="990"/>
    </row>
    <row r="90" spans="1:76">
      <c r="A90" s="989"/>
      <c r="B90" s="990">
        <v>0</v>
      </c>
      <c r="C90" s="990">
        <v>0</v>
      </c>
      <c r="D90" s="990">
        <v>0</v>
      </c>
      <c r="E90" s="990">
        <v>0</v>
      </c>
      <c r="AA90" s="990">
        <v>0</v>
      </c>
      <c r="AB90" s="990">
        <v>0</v>
      </c>
      <c r="AC90" s="990">
        <v>0</v>
      </c>
      <c r="AD90" s="990">
        <v>0</v>
      </c>
      <c r="AE90" s="990">
        <v>0</v>
      </c>
      <c r="BC90" s="990"/>
      <c r="BD90" s="990"/>
      <c r="BF90" s="990"/>
      <c r="BH90" s="990"/>
      <c r="BJ90" s="990"/>
      <c r="BO90" s="990"/>
      <c r="BP90" s="990"/>
      <c r="BQ90" s="990"/>
      <c r="BR90" s="990"/>
      <c r="BT90" s="990"/>
      <c r="BV90" s="990"/>
      <c r="BX90" s="990"/>
    </row>
    <row r="91" spans="1:76">
      <c r="A91" s="989"/>
      <c r="B91" s="990">
        <v>0</v>
      </c>
      <c r="C91" s="990">
        <v>0</v>
      </c>
      <c r="D91" s="990">
        <v>0</v>
      </c>
      <c r="E91" s="990">
        <v>0</v>
      </c>
      <c r="AA91" s="990">
        <v>0</v>
      </c>
      <c r="AB91" s="990">
        <v>0</v>
      </c>
      <c r="AC91" s="990">
        <v>0</v>
      </c>
      <c r="AD91" s="990">
        <v>0</v>
      </c>
      <c r="AE91" s="990">
        <v>0</v>
      </c>
      <c r="BC91" s="990"/>
      <c r="BD91" s="990"/>
      <c r="BF91" s="990"/>
      <c r="BH91" s="990"/>
      <c r="BJ91" s="990"/>
      <c r="BO91" s="990"/>
      <c r="BP91" s="990"/>
      <c r="BQ91" s="990"/>
      <c r="BR91" s="990"/>
      <c r="BT91" s="990"/>
      <c r="BV91" s="990"/>
      <c r="BX91" s="990"/>
    </row>
    <row r="92" spans="1:76">
      <c r="A92" s="989"/>
      <c r="B92" s="990">
        <v>0</v>
      </c>
      <c r="C92" s="990">
        <v>0</v>
      </c>
      <c r="D92" s="990">
        <v>0</v>
      </c>
      <c r="E92" s="990">
        <v>0</v>
      </c>
      <c r="AA92" s="990">
        <v>0</v>
      </c>
      <c r="AB92" s="990">
        <v>0</v>
      </c>
      <c r="AC92" s="990">
        <v>0</v>
      </c>
      <c r="AD92" s="990">
        <v>0</v>
      </c>
      <c r="AE92" s="990">
        <v>0</v>
      </c>
      <c r="BC92" s="990"/>
      <c r="BD92" s="990"/>
      <c r="BF92" s="990"/>
      <c r="BH92" s="990"/>
      <c r="BJ92" s="990"/>
      <c r="BO92" s="990"/>
      <c r="BP92" s="990"/>
      <c r="BQ92" s="990"/>
      <c r="BR92" s="990"/>
      <c r="BT92" s="990"/>
      <c r="BV92" s="990"/>
      <c r="BX92" s="990"/>
    </row>
    <row r="93" spans="1:76">
      <c r="A93" s="989" t="s">
        <v>1881</v>
      </c>
      <c r="B93" s="990">
        <v>0</v>
      </c>
      <c r="C93" s="990">
        <v>0</v>
      </c>
      <c r="D93" s="990">
        <v>0</v>
      </c>
      <c r="E93" s="990">
        <v>0</v>
      </c>
      <c r="AA93" s="990">
        <v>0</v>
      </c>
      <c r="AB93" s="990">
        <v>0</v>
      </c>
      <c r="AC93" s="990">
        <v>0</v>
      </c>
      <c r="AD93" s="990">
        <v>0</v>
      </c>
      <c r="AE93" s="990">
        <v>0</v>
      </c>
      <c r="BC93" s="990"/>
      <c r="BD93" s="990"/>
      <c r="BF93" s="990"/>
      <c r="BH93" s="990"/>
      <c r="BJ93" s="990"/>
      <c r="BO93" s="990"/>
      <c r="BP93" s="990"/>
      <c r="BQ93" s="990"/>
      <c r="BR93" s="990"/>
      <c r="BT93" s="990"/>
      <c r="BV93" s="990"/>
      <c r="BX93" s="990"/>
    </row>
    <row r="94" spans="1:76">
      <c r="A94" s="989"/>
      <c r="B94" s="990">
        <v>23383863</v>
      </c>
      <c r="C94" s="990">
        <v>39799387</v>
      </c>
      <c r="D94" s="990">
        <v>41734791</v>
      </c>
      <c r="E94" s="990">
        <v>40740935</v>
      </c>
      <c r="AA94" s="990">
        <v>23383863</v>
      </c>
      <c r="AB94" s="990">
        <v>39799387</v>
      </c>
      <c r="AC94" s="990">
        <v>41734791</v>
      </c>
      <c r="AD94" s="990">
        <v>40740935</v>
      </c>
      <c r="AE94" s="990">
        <v>0</v>
      </c>
      <c r="BC94" s="990"/>
      <c r="BD94" s="990"/>
      <c r="BF94" s="990"/>
      <c r="BH94" s="990"/>
      <c r="BJ94" s="990"/>
      <c r="BO94" s="990"/>
      <c r="BP94" s="990"/>
      <c r="BQ94" s="990"/>
      <c r="BR94" s="990"/>
      <c r="BT94" s="990"/>
      <c r="BV94" s="990"/>
      <c r="BX94" s="990"/>
    </row>
    <row r="95" spans="1:76">
      <c r="A95" s="989"/>
      <c r="B95" s="990">
        <v>0</v>
      </c>
      <c r="C95" s="990">
        <v>1467077667</v>
      </c>
      <c r="D95" s="990">
        <v>1657311564</v>
      </c>
      <c r="E95" s="990">
        <v>2120286892</v>
      </c>
      <c r="AA95" s="990">
        <v>1307402671</v>
      </c>
      <c r="AB95" s="990">
        <v>1467077667</v>
      </c>
      <c r="AC95" s="990">
        <v>1657311564</v>
      </c>
      <c r="AD95" s="990">
        <v>2120286892</v>
      </c>
      <c r="AE95" s="990">
        <v>0</v>
      </c>
      <c r="BC95" s="990"/>
      <c r="BD95" s="990"/>
      <c r="BF95" s="990"/>
      <c r="BH95" s="990"/>
      <c r="BJ95" s="990"/>
      <c r="BO95" s="990"/>
      <c r="BP95" s="990"/>
      <c r="BQ95" s="990"/>
      <c r="BR95" s="990"/>
      <c r="BT95" s="990"/>
      <c r="BV95" s="990"/>
      <c r="BX95" s="990"/>
    </row>
    <row r="96" spans="1:76">
      <c r="A96" s="989"/>
      <c r="B96" s="990">
        <v>86357319</v>
      </c>
      <c r="C96" s="990">
        <v>74178296</v>
      </c>
      <c r="D96" s="990">
        <v>93566933</v>
      </c>
      <c r="E96" s="990">
        <v>125746896</v>
      </c>
      <c r="AA96" s="990">
        <v>86357319</v>
      </c>
      <c r="AB96" s="990">
        <v>74178296</v>
      </c>
      <c r="AC96" s="990">
        <v>93566933</v>
      </c>
      <c r="AD96" s="990">
        <v>125746896</v>
      </c>
      <c r="AE96" s="990">
        <v>0</v>
      </c>
      <c r="BC96" s="990"/>
      <c r="BD96" s="990"/>
      <c r="BF96" s="990"/>
      <c r="BH96" s="990"/>
      <c r="BJ96" s="990"/>
      <c r="BO96" s="990"/>
      <c r="BP96" s="990"/>
      <c r="BQ96" s="990"/>
      <c r="BR96" s="990"/>
      <c r="BT96" s="990"/>
      <c r="BV96" s="990"/>
      <c r="BX96" s="990"/>
    </row>
    <row r="97" spans="1:76">
      <c r="A97" s="989"/>
      <c r="B97" s="990">
        <v>0</v>
      </c>
      <c r="C97" s="990">
        <v>22511657</v>
      </c>
      <c r="D97" s="990">
        <v>19841250</v>
      </c>
      <c r="E97" s="990">
        <v>28050475</v>
      </c>
      <c r="AA97" s="990">
        <v>13805415</v>
      </c>
      <c r="AB97" s="990">
        <v>22511657</v>
      </c>
      <c r="AC97" s="990">
        <v>19841250</v>
      </c>
      <c r="AD97" s="990">
        <v>28050475</v>
      </c>
      <c r="AE97" s="990">
        <v>0</v>
      </c>
      <c r="BC97" s="990"/>
      <c r="BD97" s="990"/>
      <c r="BF97" s="990"/>
      <c r="BH97" s="990"/>
      <c r="BJ97" s="990"/>
      <c r="BO97" s="990"/>
      <c r="BP97" s="990"/>
      <c r="BQ97" s="990"/>
      <c r="BR97" s="990"/>
      <c r="BT97" s="990"/>
      <c r="BV97" s="990"/>
      <c r="BX97" s="990"/>
    </row>
    <row r="98" spans="1:76">
      <c r="A98" s="989"/>
      <c r="B98" s="990">
        <v>1307402671</v>
      </c>
      <c r="C98" s="990">
        <v>0</v>
      </c>
      <c r="D98" s="990">
        <v>0</v>
      </c>
      <c r="E98" s="990">
        <v>0</v>
      </c>
      <c r="AA98" s="990">
        <v>0</v>
      </c>
      <c r="AB98" s="990">
        <v>0</v>
      </c>
      <c r="AC98" s="990">
        <v>0</v>
      </c>
      <c r="AD98" s="990">
        <v>0</v>
      </c>
      <c r="AE98" s="990">
        <v>0</v>
      </c>
      <c r="BC98" s="990"/>
      <c r="BD98" s="990"/>
      <c r="BF98" s="990"/>
      <c r="BH98" s="990"/>
      <c r="BJ98" s="990"/>
      <c r="BO98" s="990"/>
      <c r="BP98" s="990"/>
      <c r="BQ98" s="990"/>
      <c r="BR98" s="990"/>
      <c r="BT98" s="990"/>
      <c r="BV98" s="990"/>
      <c r="BX98" s="990"/>
    </row>
    <row r="99" spans="1:76">
      <c r="A99" s="989"/>
      <c r="B99" s="990">
        <v>13805415</v>
      </c>
      <c r="C99" s="990">
        <v>0</v>
      </c>
      <c r="D99" s="990">
        <v>0</v>
      </c>
      <c r="E99" s="990">
        <v>0</v>
      </c>
      <c r="AA99" s="990">
        <v>0</v>
      </c>
      <c r="AB99" s="990">
        <v>0</v>
      </c>
      <c r="AC99" s="990">
        <v>0</v>
      </c>
      <c r="AD99" s="990">
        <v>0</v>
      </c>
      <c r="AE99" s="990">
        <v>0</v>
      </c>
      <c r="BC99" s="990"/>
      <c r="BD99" s="990"/>
      <c r="BF99" s="990"/>
      <c r="BH99" s="990"/>
      <c r="BJ99" s="990"/>
      <c r="BO99" s="990"/>
      <c r="BP99" s="990"/>
      <c r="BQ99" s="990"/>
      <c r="BR99" s="990"/>
      <c r="BT99" s="990"/>
      <c r="BV99" s="990"/>
      <c r="BX99" s="990"/>
    </row>
    <row r="100" spans="1:76">
      <c r="A100" s="989"/>
      <c r="B100" s="990">
        <v>0</v>
      </c>
      <c r="C100" s="990">
        <v>0</v>
      </c>
      <c r="D100" s="990">
        <v>0</v>
      </c>
      <c r="E100" s="990">
        <v>0</v>
      </c>
      <c r="AA100" s="990">
        <v>0</v>
      </c>
      <c r="AB100" s="990">
        <v>0</v>
      </c>
      <c r="AC100" s="990">
        <v>0</v>
      </c>
      <c r="AD100" s="990">
        <v>0</v>
      </c>
      <c r="AE100" s="990">
        <v>0</v>
      </c>
      <c r="BC100" s="990"/>
      <c r="BD100" s="990"/>
      <c r="BF100" s="990"/>
      <c r="BH100" s="990"/>
      <c r="BJ100" s="990"/>
      <c r="BO100" s="990"/>
      <c r="BP100" s="990"/>
      <c r="BQ100" s="990"/>
      <c r="BR100" s="990"/>
      <c r="BT100" s="990"/>
      <c r="BV100" s="990"/>
      <c r="BX100" s="990"/>
    </row>
    <row r="101" spans="1:76">
      <c r="A101" s="989"/>
      <c r="B101" s="990">
        <v>0</v>
      </c>
      <c r="C101" s="990">
        <v>0</v>
      </c>
      <c r="D101" s="990">
        <v>0</v>
      </c>
      <c r="E101" s="990">
        <v>0</v>
      </c>
      <c r="AA101" s="990">
        <v>0</v>
      </c>
      <c r="AB101" s="990">
        <v>0</v>
      </c>
      <c r="AC101" s="990">
        <v>0</v>
      </c>
      <c r="AD101" s="990">
        <v>0</v>
      </c>
      <c r="AE101" s="990">
        <v>0</v>
      </c>
      <c r="BC101" s="990"/>
      <c r="BD101" s="990"/>
      <c r="BF101" s="990"/>
      <c r="BH101" s="990"/>
      <c r="BJ101" s="990"/>
      <c r="BO101" s="990"/>
      <c r="BP101" s="990"/>
      <c r="BQ101" s="990"/>
      <c r="BR101" s="990"/>
      <c r="BT101" s="990"/>
      <c r="BV101" s="990"/>
      <c r="BX101" s="990"/>
    </row>
    <row r="102" spans="1:76">
      <c r="A102" s="989"/>
      <c r="B102" s="990">
        <v>0</v>
      </c>
      <c r="C102" s="990">
        <v>0</v>
      </c>
      <c r="D102" s="990">
        <v>0</v>
      </c>
      <c r="E102" s="990">
        <v>0</v>
      </c>
      <c r="AA102" s="990">
        <v>0</v>
      </c>
      <c r="AB102" s="990">
        <v>0</v>
      </c>
      <c r="AC102" s="990">
        <v>0</v>
      </c>
      <c r="AD102" s="990">
        <v>0</v>
      </c>
      <c r="AE102" s="990">
        <v>0</v>
      </c>
      <c r="BC102" s="990"/>
      <c r="BD102" s="990"/>
      <c r="BF102" s="990"/>
      <c r="BH102" s="990"/>
      <c r="BJ102" s="990"/>
      <c r="BO102" s="990"/>
      <c r="BP102" s="990"/>
      <c r="BQ102" s="990"/>
      <c r="BR102" s="990"/>
      <c r="BT102" s="990"/>
      <c r="BV102" s="990"/>
      <c r="BX102" s="990"/>
    </row>
    <row r="103" spans="1:76">
      <c r="A103" s="989"/>
      <c r="B103" s="990">
        <v>0</v>
      </c>
      <c r="C103" s="990">
        <v>0</v>
      </c>
      <c r="D103" s="990">
        <v>0</v>
      </c>
      <c r="E103" s="990">
        <v>0</v>
      </c>
      <c r="AA103" s="990">
        <v>0</v>
      </c>
      <c r="AB103" s="990">
        <v>0</v>
      </c>
      <c r="AC103" s="990">
        <v>0</v>
      </c>
      <c r="AD103" s="990">
        <v>0</v>
      </c>
      <c r="AE103" s="990">
        <v>0</v>
      </c>
      <c r="BC103" s="990"/>
      <c r="BD103" s="990"/>
      <c r="BF103" s="990"/>
      <c r="BH103" s="990"/>
      <c r="BJ103" s="990"/>
      <c r="BO103" s="990"/>
      <c r="BP103" s="990"/>
      <c r="BQ103" s="990"/>
      <c r="BR103" s="990"/>
      <c r="BT103" s="990"/>
      <c r="BV103" s="990"/>
      <c r="BX103" s="990"/>
    </row>
    <row r="104" spans="1:76">
      <c r="A104" s="989"/>
      <c r="B104" s="990">
        <v>0</v>
      </c>
      <c r="C104" s="990">
        <v>0</v>
      </c>
      <c r="D104" s="990">
        <v>0</v>
      </c>
      <c r="E104" s="990">
        <v>0</v>
      </c>
      <c r="AA104" s="990">
        <v>0</v>
      </c>
      <c r="AB104" s="990">
        <v>0</v>
      </c>
      <c r="AC104" s="990">
        <v>0</v>
      </c>
      <c r="AD104" s="990">
        <v>0</v>
      </c>
      <c r="AE104" s="990">
        <v>0</v>
      </c>
      <c r="BC104" s="990"/>
      <c r="BD104" s="990"/>
      <c r="BF104" s="990"/>
      <c r="BH104" s="990"/>
      <c r="BJ104" s="990"/>
      <c r="BO104" s="990"/>
      <c r="BP104" s="990"/>
      <c r="BQ104" s="990"/>
      <c r="BR104" s="990"/>
      <c r="BT104" s="990"/>
      <c r="BV104" s="990"/>
      <c r="BX104" s="990"/>
    </row>
    <row r="105" spans="1:76">
      <c r="A105" s="989"/>
      <c r="B105" s="990">
        <v>0</v>
      </c>
      <c r="C105" s="990">
        <v>0</v>
      </c>
      <c r="D105" s="990">
        <v>0</v>
      </c>
      <c r="E105" s="990">
        <v>0</v>
      </c>
      <c r="AA105" s="990">
        <v>0</v>
      </c>
      <c r="AB105" s="990">
        <v>0</v>
      </c>
      <c r="AC105" s="990">
        <v>0</v>
      </c>
      <c r="AD105" s="990">
        <v>0</v>
      </c>
      <c r="AE105" s="990">
        <v>0</v>
      </c>
      <c r="BC105" s="990"/>
      <c r="BD105" s="990"/>
      <c r="BF105" s="990"/>
      <c r="BH105" s="990"/>
      <c r="BJ105" s="990"/>
      <c r="BO105" s="990"/>
      <c r="BP105" s="990"/>
      <c r="BQ105" s="990"/>
      <c r="BR105" s="990"/>
      <c r="BT105" s="990"/>
      <c r="BV105" s="990"/>
      <c r="BX105" s="990"/>
    </row>
    <row r="106" spans="1:76">
      <c r="A106" s="989"/>
      <c r="B106" s="990">
        <v>0</v>
      </c>
      <c r="C106" s="990">
        <v>0</v>
      </c>
      <c r="D106" s="990">
        <v>0</v>
      </c>
      <c r="E106" s="990">
        <v>0</v>
      </c>
      <c r="AA106" s="990">
        <v>0</v>
      </c>
      <c r="AB106" s="990">
        <v>0</v>
      </c>
      <c r="AC106" s="990">
        <v>0</v>
      </c>
      <c r="AD106" s="990">
        <v>0</v>
      </c>
      <c r="AE106" s="990">
        <v>0</v>
      </c>
      <c r="BC106" s="990"/>
      <c r="BD106" s="990"/>
      <c r="BF106" s="990"/>
      <c r="BH106" s="990"/>
      <c r="BJ106" s="990"/>
      <c r="BO106" s="990"/>
      <c r="BP106" s="990"/>
      <c r="BQ106" s="990"/>
      <c r="BR106" s="990"/>
      <c r="BT106" s="990"/>
      <c r="BV106" s="990"/>
      <c r="BX106" s="990"/>
    </row>
    <row r="107" spans="1:76">
      <c r="A107" s="989"/>
      <c r="B107" s="990">
        <v>0</v>
      </c>
      <c r="C107" s="990">
        <v>0</v>
      </c>
      <c r="D107" s="990">
        <v>0</v>
      </c>
      <c r="E107" s="990">
        <v>0</v>
      </c>
      <c r="AA107" s="990">
        <v>0</v>
      </c>
      <c r="AB107" s="990">
        <v>0</v>
      </c>
      <c r="AC107" s="990">
        <v>0</v>
      </c>
      <c r="AD107" s="990">
        <v>0</v>
      </c>
      <c r="AE107" s="990">
        <v>0</v>
      </c>
      <c r="BC107" s="990"/>
      <c r="BD107" s="990"/>
      <c r="BF107" s="990"/>
      <c r="BH107" s="990"/>
      <c r="BJ107" s="990"/>
      <c r="BO107" s="990"/>
      <c r="BP107" s="990"/>
      <c r="BQ107" s="990"/>
      <c r="BR107" s="990"/>
      <c r="BT107" s="990"/>
      <c r="BV107" s="990"/>
      <c r="BX107" s="990"/>
    </row>
    <row r="108" spans="1:76">
      <c r="A108" s="989"/>
      <c r="B108" s="990">
        <v>0</v>
      </c>
      <c r="C108" s="990">
        <v>0</v>
      </c>
      <c r="D108" s="990">
        <v>0</v>
      </c>
      <c r="E108" s="990">
        <v>0</v>
      </c>
      <c r="AA108" s="990">
        <v>0</v>
      </c>
      <c r="AB108" s="990">
        <v>0</v>
      </c>
      <c r="AC108" s="990">
        <v>0</v>
      </c>
      <c r="AD108" s="990">
        <v>0</v>
      </c>
      <c r="AE108" s="990">
        <v>0</v>
      </c>
      <c r="BC108" s="990"/>
      <c r="BD108" s="990"/>
      <c r="BF108" s="990"/>
      <c r="BH108" s="990"/>
      <c r="BJ108" s="990"/>
      <c r="BO108" s="990"/>
      <c r="BP108" s="990"/>
      <c r="BQ108" s="990"/>
      <c r="BR108" s="990"/>
      <c r="BT108" s="990"/>
      <c r="BV108" s="990"/>
      <c r="BX108" s="990"/>
    </row>
    <row r="109" spans="1:76">
      <c r="A109" s="989"/>
      <c r="B109" s="990">
        <v>0</v>
      </c>
      <c r="C109" s="990">
        <v>0</v>
      </c>
      <c r="D109" s="990">
        <v>0</v>
      </c>
      <c r="E109" s="990">
        <v>0</v>
      </c>
      <c r="AA109" s="990">
        <v>0</v>
      </c>
      <c r="AB109" s="990">
        <v>0</v>
      </c>
      <c r="AC109" s="990">
        <v>0</v>
      </c>
      <c r="AD109" s="990">
        <v>0</v>
      </c>
      <c r="AE109" s="990">
        <v>0</v>
      </c>
      <c r="BC109" s="990"/>
      <c r="BD109" s="990"/>
      <c r="BF109" s="990"/>
      <c r="BH109" s="990"/>
      <c r="BJ109" s="990"/>
      <c r="BO109" s="990"/>
      <c r="BP109" s="990"/>
      <c r="BQ109" s="990"/>
      <c r="BR109" s="990"/>
      <c r="BT109" s="990"/>
      <c r="BV109" s="990"/>
      <c r="BX109" s="990"/>
    </row>
    <row r="110" spans="1:76">
      <c r="A110" s="992"/>
      <c r="B110" s="992">
        <v>0</v>
      </c>
      <c r="C110" s="992"/>
      <c r="D110" s="992"/>
      <c r="E110" s="992"/>
      <c r="BC110" s="990"/>
      <c r="BD110" s="990"/>
      <c r="BF110" s="990"/>
      <c r="BH110" s="990"/>
      <c r="BJ110" s="990"/>
      <c r="BO110" s="990"/>
      <c r="BP110" s="990"/>
      <c r="BQ110" s="990"/>
      <c r="BR110" s="990"/>
      <c r="BT110" s="990"/>
      <c r="BV110" s="990"/>
      <c r="BX110" s="990"/>
    </row>
    <row r="111" spans="1:76">
      <c r="BC111" s="990"/>
      <c r="BD111" s="990"/>
      <c r="BF111" s="990"/>
      <c r="BH111" s="990"/>
      <c r="BJ111" s="990"/>
      <c r="BO111" s="990"/>
      <c r="BP111" s="990"/>
      <c r="BQ111" s="990"/>
      <c r="BR111" s="990"/>
      <c r="BT111" s="990"/>
      <c r="BV111" s="990"/>
      <c r="BX111" s="990"/>
    </row>
    <row r="112" spans="1:76">
      <c r="G112" s="994" t="e">
        <f ca="1">_xll.BD_COLLECTION(1,G111)</f>
        <v>#NAME?</v>
      </c>
      <c r="BC112" s="990"/>
      <c r="BD112" s="990"/>
      <c r="BF112" s="990"/>
      <c r="BH112" s="990"/>
      <c r="BJ112" s="990"/>
      <c r="BO112" s="990"/>
      <c r="BP112" s="990"/>
      <c r="BQ112" s="990"/>
      <c r="BR112" s="990"/>
      <c r="BT112" s="990"/>
      <c r="BV112" s="990"/>
      <c r="BX112" s="990"/>
    </row>
    <row r="113" spans="1:76">
      <c r="A113" s="989" t="s">
        <v>1882</v>
      </c>
      <c r="B113" s="989"/>
      <c r="C113" s="989"/>
      <c r="D113" s="989"/>
      <c r="E113" s="989"/>
      <c r="G113" s="990">
        <v>1213395619.6900001</v>
      </c>
      <c r="BC113" s="990"/>
      <c r="BD113" s="990"/>
      <c r="BF113" s="990"/>
      <c r="BH113" s="990"/>
      <c r="BJ113" s="990"/>
      <c r="BO113" s="990"/>
      <c r="BP113" s="990"/>
      <c r="BQ113" s="990"/>
      <c r="BR113" s="990"/>
      <c r="BT113" s="990"/>
      <c r="BV113" s="990"/>
      <c r="BX113" s="990"/>
    </row>
    <row r="114" spans="1:76">
      <c r="A114" s="989" t="s">
        <v>1880</v>
      </c>
      <c r="B114" s="989"/>
      <c r="C114" s="989"/>
      <c r="D114" s="989"/>
      <c r="E114" s="989"/>
      <c r="BC114" s="990"/>
      <c r="BD114" s="990"/>
      <c r="BF114" s="990"/>
      <c r="BH114" s="990"/>
      <c r="BJ114" s="990"/>
      <c r="BO114" s="990"/>
      <c r="BP114" s="990"/>
      <c r="BQ114" s="990"/>
      <c r="BR114" s="990"/>
      <c r="BT114" s="990"/>
      <c r="BV114" s="990"/>
      <c r="BX114" s="990"/>
    </row>
    <row r="115" spans="1:76">
      <c r="A115" s="989"/>
      <c r="B115" s="990">
        <v>4338502932</v>
      </c>
      <c r="C115" s="990">
        <v>4983689341</v>
      </c>
      <c r="D115" s="990">
        <v>6150802600</v>
      </c>
      <c r="E115" s="990">
        <v>7443282768</v>
      </c>
      <c r="AA115" s="990">
        <v>4338502932</v>
      </c>
      <c r="AB115" s="990">
        <v>4983689341</v>
      </c>
      <c r="AC115" s="990">
        <v>6150802600</v>
      </c>
      <c r="AD115" s="990">
        <v>7443282768</v>
      </c>
      <c r="AE115" s="990">
        <v>0</v>
      </c>
      <c r="BC115" s="990"/>
      <c r="BD115" s="990"/>
      <c r="BF115" s="990"/>
      <c r="BH115" s="990"/>
      <c r="BJ115" s="990"/>
      <c r="BO115" s="990"/>
      <c r="BP115" s="990"/>
      <c r="BQ115" s="990"/>
      <c r="BR115" s="990"/>
      <c r="BT115" s="990"/>
      <c r="BV115" s="990"/>
      <c r="BX115" s="990"/>
    </row>
    <row r="116" spans="1:76">
      <c r="A116" s="989"/>
      <c r="B116" s="990">
        <v>112769087</v>
      </c>
      <c r="C116" s="990">
        <v>0</v>
      </c>
      <c r="D116" s="990">
        <v>0</v>
      </c>
      <c r="E116" s="990">
        <v>0</v>
      </c>
      <c r="AA116" s="990">
        <v>112769087</v>
      </c>
      <c r="AB116" s="990">
        <v>129659520</v>
      </c>
      <c r="AC116" s="990">
        <v>192855949</v>
      </c>
      <c r="AD116" s="990">
        <v>260212278</v>
      </c>
      <c r="AE116" s="990">
        <v>0</v>
      </c>
      <c r="BC116" s="990"/>
      <c r="BD116" s="990"/>
      <c r="BF116" s="990"/>
      <c r="BH116" s="990"/>
      <c r="BJ116" s="990"/>
      <c r="BO116" s="990"/>
      <c r="BP116" s="990"/>
      <c r="BQ116" s="990"/>
      <c r="BR116" s="990"/>
      <c r="BT116" s="990"/>
      <c r="BV116" s="990"/>
      <c r="BX116" s="990"/>
    </row>
    <row r="117" spans="1:76">
      <c r="A117" s="989"/>
      <c r="B117" s="990">
        <v>0</v>
      </c>
      <c r="C117" s="990">
        <v>129659520</v>
      </c>
      <c r="D117" s="990">
        <v>192855949</v>
      </c>
      <c r="E117" s="990">
        <v>260212278</v>
      </c>
      <c r="AA117" s="990">
        <v>0</v>
      </c>
      <c r="AB117" s="990">
        <v>0</v>
      </c>
      <c r="AC117" s="990">
        <v>0</v>
      </c>
      <c r="AD117" s="990">
        <v>0</v>
      </c>
      <c r="AE117" s="990">
        <v>0</v>
      </c>
      <c r="BC117" s="990"/>
      <c r="BD117" s="990"/>
      <c r="BF117" s="990"/>
      <c r="BH117" s="990"/>
      <c r="BJ117" s="990"/>
      <c r="BO117" s="990"/>
      <c r="BP117" s="990"/>
      <c r="BQ117" s="990"/>
      <c r="BR117" s="990"/>
      <c r="BT117" s="990"/>
      <c r="BV117" s="990"/>
      <c r="BX117" s="990"/>
    </row>
    <row r="118" spans="1:76">
      <c r="A118" s="989"/>
      <c r="B118" s="990">
        <v>0</v>
      </c>
      <c r="C118" s="990">
        <v>0</v>
      </c>
      <c r="D118" s="990">
        <v>0</v>
      </c>
      <c r="E118" s="990">
        <v>0</v>
      </c>
      <c r="AA118" s="990">
        <v>0</v>
      </c>
      <c r="AB118" s="990">
        <v>0</v>
      </c>
      <c r="AC118" s="990">
        <v>0</v>
      </c>
      <c r="AD118" s="990">
        <v>0</v>
      </c>
      <c r="AE118" s="990">
        <v>0</v>
      </c>
      <c r="BC118" s="990"/>
      <c r="BD118" s="990"/>
      <c r="BF118" s="990"/>
      <c r="BH118" s="990"/>
      <c r="BJ118" s="990"/>
      <c r="BO118" s="990"/>
      <c r="BP118" s="990"/>
      <c r="BQ118" s="990"/>
      <c r="BR118" s="990"/>
      <c r="BT118" s="990"/>
      <c r="BV118" s="990"/>
      <c r="BX118" s="990"/>
    </row>
    <row r="119" spans="1:76">
      <c r="A119" s="989"/>
      <c r="B119" s="990">
        <v>0</v>
      </c>
      <c r="C119" s="990">
        <v>0</v>
      </c>
      <c r="D119" s="990">
        <v>0</v>
      </c>
      <c r="E119" s="990">
        <v>0</v>
      </c>
      <c r="AA119" s="990">
        <v>0</v>
      </c>
      <c r="AB119" s="990">
        <v>0</v>
      </c>
      <c r="AC119" s="990">
        <v>0</v>
      </c>
      <c r="AD119" s="990">
        <v>0</v>
      </c>
      <c r="AE119" s="990">
        <v>0</v>
      </c>
      <c r="BC119" s="990"/>
      <c r="BD119" s="990"/>
      <c r="BF119" s="990"/>
      <c r="BH119" s="990"/>
      <c r="BJ119" s="990"/>
      <c r="BO119" s="990"/>
      <c r="BP119" s="990"/>
      <c r="BQ119" s="990"/>
      <c r="BR119" s="990"/>
      <c r="BT119" s="990"/>
      <c r="BV119" s="990"/>
      <c r="BX119" s="990"/>
    </row>
    <row r="120" spans="1:76">
      <c r="A120" s="989"/>
      <c r="B120" s="990">
        <v>0</v>
      </c>
      <c r="C120" s="990">
        <v>0</v>
      </c>
      <c r="D120" s="990">
        <v>0</v>
      </c>
      <c r="E120" s="990">
        <v>0</v>
      </c>
      <c r="AA120" s="990">
        <v>0</v>
      </c>
      <c r="AB120" s="990">
        <v>0</v>
      </c>
      <c r="AC120" s="990">
        <v>0</v>
      </c>
      <c r="AD120" s="990">
        <v>0</v>
      </c>
      <c r="AE120" s="990">
        <v>0</v>
      </c>
      <c r="BC120" s="990"/>
      <c r="BD120" s="990"/>
      <c r="BF120" s="990"/>
      <c r="BH120" s="990"/>
      <c r="BJ120" s="990"/>
      <c r="BO120" s="990"/>
      <c r="BP120" s="990"/>
      <c r="BQ120" s="990"/>
      <c r="BR120" s="990"/>
      <c r="BT120" s="990"/>
      <c r="BV120" s="990"/>
      <c r="BX120" s="990"/>
    </row>
    <row r="121" spans="1:76">
      <c r="A121" s="989"/>
      <c r="B121" s="990">
        <v>0</v>
      </c>
      <c r="C121" s="990">
        <v>0</v>
      </c>
      <c r="D121" s="990">
        <v>0</v>
      </c>
      <c r="E121" s="990">
        <v>0</v>
      </c>
      <c r="AA121" s="990">
        <v>0</v>
      </c>
      <c r="AB121" s="990">
        <v>0</v>
      </c>
      <c r="AC121" s="990">
        <v>0</v>
      </c>
      <c r="AD121" s="990">
        <v>0</v>
      </c>
      <c r="AE121" s="990">
        <v>0</v>
      </c>
      <c r="BC121" s="990"/>
      <c r="BD121" s="990"/>
      <c r="BF121" s="990"/>
      <c r="BH121" s="990"/>
      <c r="BJ121" s="990"/>
      <c r="BO121" s="990"/>
      <c r="BP121" s="990"/>
      <c r="BQ121" s="990"/>
      <c r="BR121" s="990"/>
      <c r="BT121" s="990"/>
      <c r="BV121" s="990"/>
      <c r="BX121" s="990"/>
    </row>
    <row r="122" spans="1:76">
      <c r="A122" s="989"/>
      <c r="B122" s="990">
        <v>0</v>
      </c>
      <c r="C122" s="990">
        <v>0</v>
      </c>
      <c r="D122" s="990">
        <v>0</v>
      </c>
      <c r="E122" s="990">
        <v>0</v>
      </c>
      <c r="AA122" s="990">
        <v>0</v>
      </c>
      <c r="AB122" s="990">
        <v>0</v>
      </c>
      <c r="AC122" s="990">
        <v>0</v>
      </c>
      <c r="AD122" s="990">
        <v>0</v>
      </c>
      <c r="AE122" s="990">
        <v>0</v>
      </c>
      <c r="BC122" s="990"/>
      <c r="BD122" s="990"/>
      <c r="BF122" s="990"/>
      <c r="BH122" s="990"/>
      <c r="BJ122" s="990"/>
      <c r="BO122" s="990"/>
      <c r="BP122" s="990"/>
      <c r="BQ122" s="990"/>
      <c r="BR122" s="990"/>
      <c r="BT122" s="990"/>
      <c r="BV122" s="990"/>
      <c r="BX122" s="990"/>
    </row>
    <row r="123" spans="1:76">
      <c r="A123" s="989"/>
      <c r="B123" s="990">
        <v>0</v>
      </c>
      <c r="C123" s="990">
        <v>0</v>
      </c>
      <c r="D123" s="990">
        <v>0</v>
      </c>
      <c r="E123" s="990">
        <v>0</v>
      </c>
      <c r="AA123" s="990">
        <v>0</v>
      </c>
      <c r="AB123" s="990">
        <v>0</v>
      </c>
      <c r="AC123" s="990">
        <v>0</v>
      </c>
      <c r="AD123" s="990">
        <v>0</v>
      </c>
      <c r="AE123" s="990">
        <v>0</v>
      </c>
      <c r="BC123" s="990"/>
      <c r="BD123" s="990"/>
      <c r="BF123" s="990"/>
      <c r="BH123" s="990"/>
      <c r="BJ123" s="990"/>
      <c r="BO123" s="990"/>
      <c r="BP123" s="990"/>
      <c r="BQ123" s="990"/>
      <c r="BR123" s="990"/>
      <c r="BT123" s="990"/>
      <c r="BV123" s="990"/>
      <c r="BX123" s="990"/>
    </row>
    <row r="124" spans="1:76">
      <c r="A124" s="989"/>
      <c r="B124" s="990">
        <v>0</v>
      </c>
      <c r="C124" s="990">
        <v>0</v>
      </c>
      <c r="D124" s="990">
        <v>0</v>
      </c>
      <c r="E124" s="990">
        <v>0</v>
      </c>
      <c r="AA124" s="990">
        <v>0</v>
      </c>
      <c r="AB124" s="990">
        <v>0</v>
      </c>
      <c r="AC124" s="990">
        <v>0</v>
      </c>
      <c r="AD124" s="990">
        <v>0</v>
      </c>
      <c r="AE124" s="990">
        <v>0</v>
      </c>
      <c r="BC124" s="990"/>
      <c r="BD124" s="990"/>
      <c r="BF124" s="990"/>
      <c r="BH124" s="990"/>
      <c r="BJ124" s="990"/>
      <c r="BO124" s="990"/>
      <c r="BP124" s="990"/>
      <c r="BQ124" s="990"/>
      <c r="BR124" s="990"/>
      <c r="BT124" s="990"/>
      <c r="BV124" s="990"/>
      <c r="BX124" s="990"/>
    </row>
    <row r="125" spans="1:76">
      <c r="A125" s="989"/>
      <c r="B125" s="990">
        <v>0</v>
      </c>
      <c r="C125" s="990">
        <v>0</v>
      </c>
      <c r="D125" s="990">
        <v>0</v>
      </c>
      <c r="E125" s="990">
        <v>0</v>
      </c>
      <c r="AA125" s="990">
        <v>0</v>
      </c>
      <c r="AB125" s="990">
        <v>0</v>
      </c>
      <c r="AC125" s="990">
        <v>0</v>
      </c>
      <c r="AD125" s="990">
        <v>0</v>
      </c>
      <c r="AE125" s="990">
        <v>0</v>
      </c>
      <c r="BC125" s="990"/>
      <c r="BD125" s="990"/>
      <c r="BF125" s="990"/>
      <c r="BH125" s="990"/>
      <c r="BJ125" s="990"/>
      <c r="BO125" s="990"/>
      <c r="BP125" s="990"/>
      <c r="BQ125" s="990"/>
      <c r="BR125" s="990"/>
      <c r="BT125" s="990"/>
      <c r="BV125" s="990"/>
      <c r="BX125" s="990"/>
    </row>
    <row r="126" spans="1:76">
      <c r="A126" s="989"/>
      <c r="B126" s="990">
        <v>0</v>
      </c>
      <c r="C126" s="990">
        <v>0</v>
      </c>
      <c r="D126" s="990">
        <v>0</v>
      </c>
      <c r="E126" s="990">
        <v>0</v>
      </c>
      <c r="AA126" s="990">
        <v>0</v>
      </c>
      <c r="AB126" s="990">
        <v>0</v>
      </c>
      <c r="AC126" s="990">
        <v>0</v>
      </c>
      <c r="AD126" s="990">
        <v>0</v>
      </c>
      <c r="AE126" s="990">
        <v>0</v>
      </c>
      <c r="BC126" s="990"/>
      <c r="BD126" s="990"/>
      <c r="BF126" s="990"/>
      <c r="BH126" s="990"/>
      <c r="BJ126" s="990"/>
      <c r="BO126" s="990"/>
      <c r="BP126" s="990"/>
      <c r="BQ126" s="990"/>
      <c r="BR126" s="990"/>
      <c r="BT126" s="990"/>
      <c r="BV126" s="990"/>
      <c r="BX126" s="990"/>
    </row>
    <row r="127" spans="1:76">
      <c r="A127" s="989"/>
      <c r="B127" s="990">
        <v>0</v>
      </c>
      <c r="C127" s="990">
        <v>0</v>
      </c>
      <c r="D127" s="990">
        <v>0</v>
      </c>
      <c r="E127" s="990">
        <v>0</v>
      </c>
      <c r="AA127" s="990">
        <v>0</v>
      </c>
      <c r="AB127" s="990">
        <v>0</v>
      </c>
      <c r="AC127" s="990">
        <v>0</v>
      </c>
      <c r="AD127" s="990">
        <v>0</v>
      </c>
      <c r="AE127" s="990">
        <v>0</v>
      </c>
      <c r="BC127" s="990"/>
      <c r="BD127" s="990"/>
      <c r="BF127" s="990"/>
      <c r="BH127" s="990"/>
      <c r="BJ127" s="990"/>
      <c r="BO127" s="990"/>
      <c r="BP127" s="990"/>
      <c r="BQ127" s="990"/>
      <c r="BR127" s="990"/>
      <c r="BT127" s="990"/>
      <c r="BV127" s="990"/>
      <c r="BX127" s="990"/>
    </row>
    <row r="128" spans="1:76">
      <c r="A128" s="989"/>
      <c r="B128" s="990">
        <v>0</v>
      </c>
      <c r="C128" s="990">
        <v>0</v>
      </c>
      <c r="D128" s="990">
        <v>0</v>
      </c>
      <c r="E128" s="990">
        <v>0</v>
      </c>
      <c r="AA128" s="990">
        <v>0</v>
      </c>
      <c r="AB128" s="990">
        <v>0</v>
      </c>
      <c r="AC128" s="990">
        <v>0</v>
      </c>
      <c r="AD128" s="990">
        <v>0</v>
      </c>
      <c r="AE128" s="990">
        <v>0</v>
      </c>
      <c r="BC128" s="990"/>
      <c r="BD128" s="990"/>
      <c r="BF128" s="990"/>
      <c r="BH128" s="990"/>
      <c r="BJ128" s="990"/>
      <c r="BO128" s="990"/>
      <c r="BP128" s="990"/>
      <c r="BQ128" s="990"/>
      <c r="BR128" s="990"/>
      <c r="BT128" s="990"/>
      <c r="BV128" s="990"/>
      <c r="BX128" s="990"/>
    </row>
    <row r="129" spans="1:76">
      <c r="A129" s="989"/>
      <c r="B129" s="990">
        <v>0</v>
      </c>
      <c r="C129" s="990">
        <v>0</v>
      </c>
      <c r="D129" s="990">
        <v>0</v>
      </c>
      <c r="E129" s="990">
        <v>0</v>
      </c>
      <c r="AA129" s="990">
        <v>0</v>
      </c>
      <c r="AB129" s="990">
        <v>0</v>
      </c>
      <c r="AC129" s="990">
        <v>0</v>
      </c>
      <c r="AD129" s="990">
        <v>0</v>
      </c>
      <c r="AE129" s="990">
        <v>0</v>
      </c>
      <c r="BC129" s="990"/>
      <c r="BD129" s="990"/>
      <c r="BF129" s="990"/>
      <c r="BH129" s="990"/>
      <c r="BJ129" s="990"/>
      <c r="BO129" s="990"/>
      <c r="BP129" s="990"/>
      <c r="BQ129" s="990"/>
      <c r="BR129" s="990"/>
      <c r="BT129" s="990"/>
      <c r="BV129" s="990"/>
      <c r="BX129" s="990"/>
    </row>
    <row r="130" spans="1:76">
      <c r="A130" s="989" t="s">
        <v>1881</v>
      </c>
      <c r="B130" s="990">
        <v>0</v>
      </c>
      <c r="C130" s="990">
        <v>0</v>
      </c>
      <c r="D130" s="990">
        <v>0</v>
      </c>
      <c r="E130" s="990">
        <v>0</v>
      </c>
      <c r="AA130" s="990">
        <v>0</v>
      </c>
      <c r="AB130" s="990">
        <v>0</v>
      </c>
      <c r="AC130" s="990">
        <v>0</v>
      </c>
      <c r="AD130" s="990">
        <v>0</v>
      </c>
      <c r="AE130" s="990">
        <v>0</v>
      </c>
      <c r="BC130" s="990"/>
      <c r="BD130" s="990"/>
      <c r="BF130" s="990"/>
      <c r="BH130" s="990"/>
      <c r="BJ130" s="990"/>
      <c r="BO130" s="990"/>
      <c r="BP130" s="990"/>
      <c r="BQ130" s="990"/>
      <c r="BR130" s="990"/>
      <c r="BT130" s="990"/>
      <c r="BV130" s="990"/>
      <c r="BX130" s="990"/>
    </row>
    <row r="131" spans="1:76">
      <c r="A131" s="989"/>
      <c r="B131" s="990">
        <v>1417143853</v>
      </c>
      <c r="C131" s="990">
        <v>1581055350</v>
      </c>
      <c r="D131" s="990">
        <v>1792613288</v>
      </c>
      <c r="E131" s="990">
        <v>2286774723</v>
      </c>
      <c r="AA131" s="990">
        <v>1417143853</v>
      </c>
      <c r="AB131" s="990">
        <v>1581055350</v>
      </c>
      <c r="AC131" s="990">
        <v>1792613288</v>
      </c>
      <c r="AD131" s="990">
        <v>2286774723</v>
      </c>
      <c r="AE131" s="990">
        <v>0</v>
      </c>
      <c r="BC131" s="990"/>
      <c r="BD131" s="990"/>
      <c r="BF131" s="990"/>
      <c r="BH131" s="990"/>
      <c r="BJ131" s="990"/>
      <c r="BO131" s="990"/>
      <c r="BP131" s="990"/>
      <c r="BQ131" s="990"/>
      <c r="BR131" s="990"/>
      <c r="BT131" s="990"/>
      <c r="BV131" s="990"/>
      <c r="BX131" s="990"/>
    </row>
    <row r="132" spans="1:76">
      <c r="A132" s="989"/>
      <c r="B132" s="990">
        <v>13805415</v>
      </c>
      <c r="C132" s="990">
        <v>0</v>
      </c>
      <c r="D132" s="990">
        <v>0</v>
      </c>
      <c r="E132" s="990">
        <v>0</v>
      </c>
      <c r="AA132" s="990">
        <v>13805415</v>
      </c>
      <c r="AB132" s="990">
        <v>22511657</v>
      </c>
      <c r="AC132" s="990">
        <v>19841250</v>
      </c>
      <c r="AD132" s="990">
        <v>28050475</v>
      </c>
      <c r="AE132" s="990">
        <v>0</v>
      </c>
      <c r="BC132" s="990"/>
      <c r="BD132" s="990"/>
      <c r="BF132" s="990"/>
      <c r="BH132" s="990"/>
      <c r="BJ132" s="990"/>
      <c r="BO132" s="990"/>
      <c r="BP132" s="990"/>
      <c r="BQ132" s="990"/>
      <c r="BR132" s="990"/>
      <c r="BT132" s="990"/>
      <c r="BV132" s="990"/>
      <c r="BX132" s="990"/>
    </row>
    <row r="133" spans="1:76">
      <c r="A133" s="989"/>
      <c r="B133" s="990">
        <v>0</v>
      </c>
      <c r="C133" s="990">
        <v>22511657</v>
      </c>
      <c r="D133" s="990">
        <v>19841250</v>
      </c>
      <c r="E133" s="990">
        <v>28050475</v>
      </c>
      <c r="AA133" s="990">
        <v>0</v>
      </c>
      <c r="AB133" s="990">
        <v>0</v>
      </c>
      <c r="AC133" s="990">
        <v>0</v>
      </c>
      <c r="AD133" s="990">
        <v>0</v>
      </c>
      <c r="AE133" s="990">
        <v>0</v>
      </c>
      <c r="BC133" s="990"/>
      <c r="BD133" s="990"/>
      <c r="BF133" s="990"/>
      <c r="BH133" s="990"/>
      <c r="BJ133" s="990"/>
      <c r="BO133" s="990"/>
      <c r="BP133" s="990"/>
      <c r="BQ133" s="990"/>
      <c r="BR133" s="990"/>
      <c r="BT133" s="990"/>
      <c r="BV133" s="990"/>
      <c r="BX133" s="990"/>
    </row>
    <row r="134" spans="1:76">
      <c r="A134" s="989"/>
      <c r="B134" s="990">
        <v>0</v>
      </c>
      <c r="C134" s="990">
        <v>0</v>
      </c>
      <c r="D134" s="990">
        <v>0</v>
      </c>
      <c r="E134" s="990">
        <v>0</v>
      </c>
      <c r="AA134" s="990">
        <v>0</v>
      </c>
      <c r="AB134" s="990">
        <v>0</v>
      </c>
      <c r="AC134" s="990">
        <v>0</v>
      </c>
      <c r="AD134" s="990">
        <v>0</v>
      </c>
      <c r="AE134" s="990">
        <v>0</v>
      </c>
      <c r="BC134" s="990"/>
      <c r="BD134" s="990"/>
      <c r="BF134" s="990"/>
      <c r="BH134" s="990"/>
      <c r="BJ134" s="990"/>
      <c r="BO134" s="990"/>
      <c r="BP134" s="990"/>
      <c r="BQ134" s="990"/>
      <c r="BR134" s="990"/>
      <c r="BT134" s="990"/>
      <c r="BV134" s="990"/>
      <c r="BX134" s="990"/>
    </row>
    <row r="135" spans="1:76">
      <c r="A135" s="989"/>
      <c r="B135" s="990">
        <v>0</v>
      </c>
      <c r="C135" s="990">
        <v>0</v>
      </c>
      <c r="D135" s="990">
        <v>0</v>
      </c>
      <c r="E135" s="990">
        <v>0</v>
      </c>
      <c r="AA135" s="990">
        <v>0</v>
      </c>
      <c r="AB135" s="990">
        <v>0</v>
      </c>
      <c r="AC135" s="990">
        <v>0</v>
      </c>
      <c r="AD135" s="990">
        <v>0</v>
      </c>
      <c r="AE135" s="990">
        <v>0</v>
      </c>
      <c r="BC135" s="990"/>
      <c r="BD135" s="990"/>
      <c r="BF135" s="990"/>
      <c r="BH135" s="990"/>
      <c r="BJ135" s="990"/>
      <c r="BO135" s="990"/>
      <c r="BP135" s="990"/>
      <c r="BQ135" s="990"/>
      <c r="BR135" s="990"/>
      <c r="BT135" s="990"/>
      <c r="BV135" s="990"/>
      <c r="BX135" s="990"/>
    </row>
    <row r="136" spans="1:76">
      <c r="A136" s="989"/>
      <c r="B136" s="990">
        <v>0</v>
      </c>
      <c r="C136" s="990">
        <v>0</v>
      </c>
      <c r="D136" s="990">
        <v>0</v>
      </c>
      <c r="E136" s="990">
        <v>0</v>
      </c>
      <c r="AA136" s="990">
        <v>0</v>
      </c>
      <c r="AB136" s="990">
        <v>0</v>
      </c>
      <c r="AC136" s="990">
        <v>0</v>
      </c>
      <c r="AD136" s="990">
        <v>0</v>
      </c>
      <c r="AE136" s="990">
        <v>0</v>
      </c>
      <c r="BC136" s="990"/>
      <c r="BD136" s="990"/>
      <c r="BF136" s="990"/>
      <c r="BH136" s="990"/>
      <c r="BJ136" s="990"/>
      <c r="BO136" s="990"/>
      <c r="BP136" s="990"/>
      <c r="BQ136" s="990"/>
      <c r="BR136" s="990"/>
      <c r="BT136" s="990"/>
      <c r="BV136" s="990"/>
      <c r="BX136" s="990"/>
    </row>
    <row r="137" spans="1:76">
      <c r="A137" s="989"/>
      <c r="B137" s="990">
        <v>0</v>
      </c>
      <c r="C137" s="990">
        <v>0</v>
      </c>
      <c r="D137" s="990">
        <v>0</v>
      </c>
      <c r="E137" s="990">
        <v>0</v>
      </c>
      <c r="AA137" s="990">
        <v>0</v>
      </c>
      <c r="AB137" s="990">
        <v>0</v>
      </c>
      <c r="AC137" s="990">
        <v>0</v>
      </c>
      <c r="AD137" s="990">
        <v>0</v>
      </c>
      <c r="AE137" s="990">
        <v>0</v>
      </c>
      <c r="BC137" s="990"/>
      <c r="BD137" s="990"/>
      <c r="BF137" s="990"/>
      <c r="BH137" s="990"/>
      <c r="BJ137" s="990"/>
      <c r="BO137" s="990"/>
      <c r="BP137" s="990"/>
      <c r="BQ137" s="990"/>
      <c r="BR137" s="990"/>
      <c r="BT137" s="990"/>
      <c r="BV137" s="990"/>
      <c r="BX137" s="990"/>
    </row>
    <row r="138" spans="1:76">
      <c r="A138" s="989"/>
      <c r="B138" s="990">
        <v>0</v>
      </c>
      <c r="C138" s="990">
        <v>0</v>
      </c>
      <c r="D138" s="990">
        <v>0</v>
      </c>
      <c r="E138" s="990">
        <v>0</v>
      </c>
      <c r="AA138" s="990">
        <v>0</v>
      </c>
      <c r="AB138" s="990">
        <v>0</v>
      </c>
      <c r="AC138" s="990">
        <v>0</v>
      </c>
      <c r="AD138" s="990">
        <v>0</v>
      </c>
      <c r="AE138" s="990">
        <v>0</v>
      </c>
      <c r="BC138" s="990"/>
      <c r="BD138" s="990"/>
      <c r="BF138" s="990"/>
      <c r="BH138" s="990"/>
      <c r="BJ138" s="990"/>
      <c r="BO138" s="990"/>
      <c r="BP138" s="990"/>
      <c r="BQ138" s="990"/>
      <c r="BR138" s="990"/>
      <c r="BT138" s="990"/>
      <c r="BV138" s="990"/>
      <c r="BX138" s="990"/>
    </row>
    <row r="139" spans="1:76">
      <c r="A139" s="989"/>
      <c r="B139" s="990">
        <v>0</v>
      </c>
      <c r="C139" s="990">
        <v>0</v>
      </c>
      <c r="D139" s="990">
        <v>0</v>
      </c>
      <c r="E139" s="990">
        <v>0</v>
      </c>
      <c r="AA139" s="990">
        <v>0</v>
      </c>
      <c r="AB139" s="990">
        <v>0</v>
      </c>
      <c r="AC139" s="990">
        <v>0</v>
      </c>
      <c r="AD139" s="990">
        <v>0</v>
      </c>
      <c r="AE139" s="990">
        <v>0</v>
      </c>
      <c r="BC139" s="990"/>
      <c r="BD139" s="990"/>
      <c r="BF139" s="990"/>
      <c r="BH139" s="990"/>
      <c r="BJ139" s="990"/>
      <c r="BO139" s="990"/>
      <c r="BP139" s="990"/>
      <c r="BQ139" s="990"/>
      <c r="BR139" s="990"/>
      <c r="BT139" s="990"/>
      <c r="BV139" s="990"/>
      <c r="BX139" s="990"/>
    </row>
    <row r="140" spans="1:76">
      <c r="A140" s="989"/>
      <c r="B140" s="990">
        <v>0</v>
      </c>
      <c r="C140" s="990">
        <v>0</v>
      </c>
      <c r="D140" s="990">
        <v>0</v>
      </c>
      <c r="E140" s="990">
        <v>0</v>
      </c>
      <c r="AA140" s="990">
        <v>0</v>
      </c>
      <c r="AB140" s="990">
        <v>0</v>
      </c>
      <c r="AC140" s="990">
        <v>0</v>
      </c>
      <c r="AD140" s="990">
        <v>0</v>
      </c>
      <c r="AE140" s="990">
        <v>0</v>
      </c>
      <c r="BC140" s="990"/>
      <c r="BD140" s="990"/>
      <c r="BF140" s="990"/>
      <c r="BH140" s="990"/>
      <c r="BJ140" s="990"/>
      <c r="BO140" s="990"/>
      <c r="BP140" s="990"/>
      <c r="BQ140" s="990"/>
      <c r="BR140" s="990"/>
      <c r="BT140" s="990"/>
      <c r="BV140" s="990"/>
      <c r="BX140" s="990"/>
    </row>
    <row r="141" spans="1:76">
      <c r="A141" s="989"/>
      <c r="B141" s="990">
        <v>0</v>
      </c>
      <c r="C141" s="990">
        <v>0</v>
      </c>
      <c r="D141" s="990">
        <v>0</v>
      </c>
      <c r="E141" s="990">
        <v>0</v>
      </c>
      <c r="AA141" s="990">
        <v>0</v>
      </c>
      <c r="AB141" s="990">
        <v>0</v>
      </c>
      <c r="AC141" s="990">
        <v>0</v>
      </c>
      <c r="AD141" s="990">
        <v>0</v>
      </c>
      <c r="AE141" s="990">
        <v>0</v>
      </c>
      <c r="BC141" s="990"/>
      <c r="BD141" s="990"/>
      <c r="BF141" s="990"/>
      <c r="BH141" s="990"/>
      <c r="BJ141" s="990"/>
      <c r="BO141" s="990"/>
      <c r="BP141" s="990"/>
      <c r="BQ141" s="990"/>
      <c r="BR141" s="990"/>
      <c r="BT141" s="990"/>
      <c r="BV141" s="990"/>
      <c r="BX141" s="990"/>
    </row>
    <row r="142" spans="1:76">
      <c r="A142" s="989"/>
      <c r="B142" s="990">
        <v>0</v>
      </c>
      <c r="C142" s="990">
        <v>0</v>
      </c>
      <c r="D142" s="990">
        <v>0</v>
      </c>
      <c r="E142" s="990">
        <v>0</v>
      </c>
      <c r="AA142" s="990">
        <v>0</v>
      </c>
      <c r="AB142" s="990">
        <v>0</v>
      </c>
      <c r="AC142" s="990">
        <v>0</v>
      </c>
      <c r="AD142" s="990">
        <v>0</v>
      </c>
      <c r="AE142" s="990">
        <v>0</v>
      </c>
      <c r="BC142" s="990"/>
      <c r="BD142" s="990"/>
      <c r="BF142" s="990"/>
      <c r="BH142" s="990"/>
      <c r="BJ142" s="990"/>
      <c r="BO142" s="990"/>
      <c r="BP142" s="990"/>
      <c r="BQ142" s="990"/>
      <c r="BR142" s="990"/>
      <c r="BT142" s="990"/>
      <c r="BV142" s="990"/>
      <c r="BX142" s="990"/>
    </row>
    <row r="143" spans="1:76">
      <c r="A143" s="989"/>
      <c r="B143" s="990">
        <v>0</v>
      </c>
      <c r="C143" s="990">
        <v>0</v>
      </c>
      <c r="D143" s="990">
        <v>0</v>
      </c>
      <c r="E143" s="990">
        <v>0</v>
      </c>
      <c r="AA143" s="990">
        <v>0</v>
      </c>
      <c r="AB143" s="990">
        <v>0</v>
      </c>
      <c r="AC143" s="990">
        <v>0</v>
      </c>
      <c r="AD143" s="990">
        <v>0</v>
      </c>
      <c r="AE143" s="990">
        <v>0</v>
      </c>
      <c r="BC143" s="990"/>
      <c r="BD143" s="990"/>
      <c r="BF143" s="990"/>
      <c r="BH143" s="990"/>
      <c r="BJ143" s="990"/>
      <c r="BO143" s="990"/>
      <c r="BP143" s="990"/>
      <c r="BQ143" s="990"/>
      <c r="BR143" s="990"/>
      <c r="BT143" s="990"/>
      <c r="BV143" s="990"/>
      <c r="BX143" s="990"/>
    </row>
    <row r="144" spans="1:76">
      <c r="A144" s="989"/>
      <c r="B144" s="990">
        <v>0</v>
      </c>
      <c r="C144" s="990">
        <v>0</v>
      </c>
      <c r="D144" s="990">
        <v>0</v>
      </c>
      <c r="E144" s="990">
        <v>0</v>
      </c>
      <c r="AA144" s="990">
        <v>0</v>
      </c>
      <c r="AB144" s="990">
        <v>0</v>
      </c>
      <c r="AC144" s="990">
        <v>0</v>
      </c>
      <c r="AD144" s="990">
        <v>0</v>
      </c>
      <c r="AE144" s="990">
        <v>0</v>
      </c>
      <c r="BC144" s="990"/>
      <c r="BD144" s="990"/>
      <c r="BF144" s="990"/>
      <c r="BH144" s="990"/>
      <c r="BJ144" s="990"/>
      <c r="BO144" s="990"/>
      <c r="BP144" s="990"/>
      <c r="BQ144" s="990"/>
      <c r="BR144" s="990"/>
      <c r="BT144" s="990"/>
      <c r="BV144" s="990"/>
      <c r="BX144" s="990"/>
    </row>
    <row r="145" spans="2:76">
      <c r="B145" s="990">
        <v>0</v>
      </c>
      <c r="C145" s="990">
        <v>0</v>
      </c>
      <c r="D145" s="990">
        <v>0</v>
      </c>
      <c r="E145" s="990">
        <v>0</v>
      </c>
      <c r="AA145" s="990">
        <v>0</v>
      </c>
      <c r="AB145" s="990">
        <v>0</v>
      </c>
      <c r="AC145" s="990">
        <v>0</v>
      </c>
      <c r="AD145" s="990">
        <v>0</v>
      </c>
      <c r="AE145" s="990">
        <v>0</v>
      </c>
      <c r="BC145" s="990"/>
      <c r="BD145" s="990"/>
      <c r="BF145" s="990"/>
      <c r="BH145" s="990"/>
      <c r="BJ145" s="990"/>
      <c r="BO145" s="990"/>
      <c r="BP145" s="990"/>
      <c r="BQ145" s="990"/>
      <c r="BR145" s="990"/>
      <c r="BT145" s="990"/>
      <c r="BV145" s="990"/>
      <c r="BX145" s="990"/>
    </row>
    <row r="146" spans="2:76">
      <c r="B146" s="990">
        <v>0</v>
      </c>
      <c r="C146" s="990">
        <v>0</v>
      </c>
      <c r="D146" s="990">
        <v>0</v>
      </c>
      <c r="E146" s="990">
        <v>0</v>
      </c>
      <c r="AA146" s="990">
        <v>0</v>
      </c>
      <c r="AB146" s="990">
        <v>0</v>
      </c>
      <c r="AC146" s="990">
        <v>0</v>
      </c>
      <c r="AD146" s="990">
        <v>0</v>
      </c>
      <c r="AE146" s="990">
        <v>0</v>
      </c>
      <c r="BC146" s="990"/>
      <c r="BD146" s="990"/>
      <c r="BF146" s="990"/>
      <c r="BH146" s="990"/>
      <c r="BJ146" s="990"/>
      <c r="BO146" s="990"/>
      <c r="BP146" s="990"/>
      <c r="BQ146" s="990"/>
      <c r="BR146" s="990"/>
      <c r="BT146" s="990"/>
      <c r="BV146" s="990"/>
      <c r="BX146" s="990"/>
    </row>
    <row r="147" spans="2:76">
      <c r="B147" s="989">
        <v>0</v>
      </c>
      <c r="C147" s="989"/>
      <c r="D147" s="989"/>
      <c r="E147" s="989"/>
      <c r="BC147" s="990"/>
      <c r="BD147" s="990"/>
      <c r="BF147" s="990"/>
      <c r="BH147" s="990"/>
      <c r="BJ147" s="990"/>
      <c r="BO147" s="990"/>
      <c r="BP147" s="990"/>
      <c r="BQ147" s="990"/>
      <c r="BR147" s="990"/>
      <c r="BT147" s="990"/>
      <c r="BV147" s="990"/>
      <c r="BX147" s="990"/>
    </row>
    <row r="148" spans="2:76">
      <c r="BC148" s="990"/>
      <c r="BD148" s="990"/>
      <c r="BF148" s="990"/>
      <c r="BH148" s="990"/>
      <c r="BJ148" s="990"/>
      <c r="BO148" s="990"/>
      <c r="BP148" s="990"/>
      <c r="BQ148" s="990"/>
      <c r="BR148" s="990"/>
      <c r="BT148" s="990"/>
      <c r="BV148" s="990"/>
      <c r="BX148" s="990"/>
    </row>
    <row r="149" spans="2:76">
      <c r="BC149" s="990"/>
      <c r="BD149" s="990"/>
      <c r="BF149" s="990"/>
      <c r="BH149" s="990"/>
      <c r="BJ149" s="990"/>
      <c r="BO149" s="990"/>
      <c r="BP149" s="990"/>
      <c r="BQ149" s="990"/>
      <c r="BR149" s="990"/>
      <c r="BT149" s="990"/>
      <c r="BV149" s="990"/>
      <c r="BX149" s="990"/>
    </row>
    <row r="150" spans="2:76">
      <c r="BC150" s="990"/>
      <c r="BD150" s="990"/>
      <c r="BF150" s="990"/>
      <c r="BH150" s="990"/>
      <c r="BJ150" s="990"/>
      <c r="BO150" s="990"/>
      <c r="BP150" s="990"/>
      <c r="BQ150" s="990"/>
      <c r="BR150" s="990"/>
      <c r="BT150" s="990"/>
      <c r="BV150" s="990"/>
      <c r="BX150" s="990"/>
    </row>
    <row r="151" spans="2:76">
      <c r="BC151" s="990"/>
      <c r="BD151" s="990"/>
      <c r="BF151" s="990"/>
      <c r="BH151" s="990"/>
      <c r="BJ151" s="990"/>
      <c r="BO151" s="990"/>
      <c r="BP151" s="990"/>
      <c r="BQ151" s="990"/>
      <c r="BR151" s="990"/>
      <c r="BT151" s="990"/>
      <c r="BV151" s="990"/>
      <c r="BX151" s="990"/>
    </row>
    <row r="152" spans="2:76">
      <c r="BC152" s="990"/>
      <c r="BD152" s="990"/>
      <c r="BF152" s="990"/>
      <c r="BH152" s="990"/>
      <c r="BJ152" s="990"/>
      <c r="BO152" s="990"/>
      <c r="BP152" s="990"/>
      <c r="BQ152" s="990"/>
      <c r="BR152" s="990"/>
      <c r="BT152" s="990"/>
      <c r="BV152" s="990"/>
      <c r="BX152" s="990"/>
    </row>
    <row r="153" spans="2:76">
      <c r="BC153" s="990"/>
      <c r="BD153" s="990"/>
      <c r="BF153" s="990"/>
      <c r="BH153" s="990"/>
      <c r="BJ153" s="990"/>
      <c r="BO153" s="990"/>
      <c r="BP153" s="990"/>
      <c r="BQ153" s="990"/>
      <c r="BR153" s="990"/>
      <c r="BT153" s="990"/>
      <c r="BV153" s="990"/>
      <c r="BX153" s="990"/>
    </row>
    <row r="154" spans="2:76">
      <c r="BC154" s="990"/>
      <c r="BD154" s="990"/>
      <c r="BF154" s="990"/>
      <c r="BH154" s="990"/>
      <c r="BJ154" s="990"/>
      <c r="BO154" s="990"/>
      <c r="BP154" s="990"/>
      <c r="BQ154" s="990"/>
      <c r="BR154" s="990"/>
      <c r="BT154" s="990"/>
      <c r="BV154" s="990"/>
      <c r="BX154" s="990"/>
    </row>
    <row r="155" spans="2:76">
      <c r="BC155" s="990"/>
      <c r="BD155" s="990"/>
      <c r="BF155" s="990"/>
      <c r="BH155" s="990"/>
      <c r="BJ155" s="990"/>
      <c r="BO155" s="990"/>
      <c r="BP155" s="990"/>
      <c r="BQ155" s="990"/>
      <c r="BR155" s="990"/>
      <c r="BT155" s="990"/>
      <c r="BV155" s="990"/>
      <c r="BX155" s="990"/>
    </row>
    <row r="156" spans="2:76">
      <c r="BC156" s="990"/>
      <c r="BD156" s="990"/>
      <c r="BF156" s="990"/>
      <c r="BH156" s="990"/>
      <c r="BJ156" s="990"/>
      <c r="BO156" s="990"/>
      <c r="BP156" s="990"/>
      <c r="BQ156" s="990"/>
      <c r="BR156" s="990"/>
      <c r="BT156" s="990"/>
      <c r="BV156" s="990"/>
      <c r="BX156" s="990"/>
    </row>
    <row r="157" spans="2:76">
      <c r="BC157" s="990"/>
      <c r="BD157" s="990"/>
      <c r="BF157" s="990"/>
      <c r="BH157" s="990"/>
      <c r="BJ157" s="990"/>
      <c r="BO157" s="990"/>
      <c r="BP157" s="990"/>
      <c r="BQ157" s="990"/>
      <c r="BR157" s="990"/>
      <c r="BT157" s="990"/>
      <c r="BV157" s="990"/>
      <c r="BX157" s="990"/>
    </row>
    <row r="158" spans="2:76">
      <c r="BC158" s="990"/>
      <c r="BD158" s="990"/>
      <c r="BF158" s="990"/>
      <c r="BH158" s="990"/>
      <c r="BJ158" s="990"/>
      <c r="BO158" s="990"/>
      <c r="BP158" s="990"/>
      <c r="BQ158" s="990"/>
      <c r="BR158" s="990"/>
      <c r="BT158" s="990"/>
      <c r="BV158" s="990"/>
      <c r="BX158" s="990"/>
    </row>
    <row r="159" spans="2:76">
      <c r="BC159" s="990"/>
      <c r="BD159" s="990"/>
      <c r="BF159" s="990"/>
      <c r="BH159" s="990"/>
      <c r="BJ159" s="990"/>
      <c r="BO159" s="990"/>
      <c r="BP159" s="990"/>
      <c r="BQ159" s="990"/>
      <c r="BR159" s="990"/>
      <c r="BT159" s="990"/>
      <c r="BV159" s="990"/>
      <c r="BX159" s="990"/>
    </row>
    <row r="160" spans="2:76">
      <c r="BC160" s="990"/>
      <c r="BD160" s="990"/>
      <c r="BF160" s="990"/>
      <c r="BH160" s="990"/>
      <c r="BJ160" s="990"/>
      <c r="BO160" s="990"/>
      <c r="BP160" s="990"/>
      <c r="BQ160" s="990"/>
      <c r="BR160" s="990"/>
      <c r="BT160" s="990"/>
      <c r="BV160" s="990"/>
      <c r="BX160" s="990"/>
    </row>
    <row r="161" spans="55:76">
      <c r="BC161" s="990"/>
      <c r="BD161" s="990"/>
      <c r="BF161" s="990"/>
      <c r="BH161" s="990"/>
      <c r="BJ161" s="990"/>
      <c r="BO161" s="990"/>
      <c r="BP161" s="990"/>
      <c r="BQ161" s="990"/>
      <c r="BR161" s="990"/>
      <c r="BT161" s="990"/>
      <c r="BV161" s="990"/>
      <c r="BX161" s="990"/>
    </row>
    <row r="162" spans="55:76">
      <c r="BC162" s="990"/>
      <c r="BD162" s="990"/>
      <c r="BF162" s="990"/>
      <c r="BH162" s="990"/>
      <c r="BJ162" s="990"/>
      <c r="BO162" s="990"/>
      <c r="BP162" s="990"/>
      <c r="BQ162" s="990"/>
      <c r="BR162" s="990"/>
      <c r="BT162" s="990"/>
      <c r="BV162" s="990"/>
      <c r="BX162" s="990"/>
    </row>
    <row r="163" spans="55:76">
      <c r="BC163" s="990"/>
      <c r="BD163" s="990"/>
      <c r="BF163" s="990"/>
      <c r="BH163" s="990"/>
      <c r="BJ163" s="990"/>
      <c r="BO163" s="990"/>
      <c r="BP163" s="990"/>
      <c r="BQ163" s="990"/>
      <c r="BR163" s="990"/>
      <c r="BT163" s="990"/>
      <c r="BV163" s="990"/>
      <c r="BX163" s="990"/>
    </row>
    <row r="164" spans="55:76">
      <c r="BC164" s="990"/>
      <c r="BD164" s="990"/>
      <c r="BF164" s="990"/>
      <c r="BH164" s="990"/>
      <c r="BJ164" s="990"/>
      <c r="BO164" s="990"/>
      <c r="BP164" s="990"/>
      <c r="BQ164" s="990"/>
      <c r="BR164" s="990"/>
      <c r="BT164" s="990"/>
      <c r="BV164" s="990"/>
      <c r="BX164" s="990"/>
    </row>
    <row r="165" spans="55:76">
      <c r="BC165" s="990"/>
      <c r="BD165" s="990"/>
      <c r="BF165" s="990"/>
      <c r="BH165" s="990"/>
      <c r="BJ165" s="990"/>
      <c r="BO165" s="990"/>
      <c r="BP165" s="990"/>
      <c r="BQ165" s="990"/>
      <c r="BR165" s="990"/>
      <c r="BT165" s="990"/>
      <c r="BV165" s="990"/>
      <c r="BX165" s="990"/>
    </row>
    <row r="166" spans="55:76">
      <c r="BC166" s="990"/>
      <c r="BD166" s="990"/>
      <c r="BF166" s="990"/>
      <c r="BH166" s="990"/>
      <c r="BJ166" s="990"/>
      <c r="BO166" s="990"/>
      <c r="BP166" s="990"/>
      <c r="BQ166" s="990"/>
      <c r="BR166" s="990"/>
      <c r="BT166" s="990"/>
      <c r="BV166" s="990"/>
      <c r="BX166" s="990"/>
    </row>
    <row r="167" spans="55:76">
      <c r="BC167" s="990"/>
      <c r="BD167" s="990"/>
      <c r="BF167" s="990"/>
      <c r="BH167" s="990"/>
      <c r="BJ167" s="990"/>
      <c r="BO167" s="990"/>
      <c r="BP167" s="990"/>
      <c r="BQ167" s="990"/>
      <c r="BR167" s="990"/>
      <c r="BT167" s="990"/>
      <c r="BV167" s="990"/>
      <c r="BX167" s="990"/>
    </row>
    <row r="168" spans="55:76">
      <c r="BC168" s="990"/>
      <c r="BD168" s="990"/>
      <c r="BF168" s="990"/>
      <c r="BH168" s="990"/>
      <c r="BJ168" s="990"/>
      <c r="BO168" s="990"/>
      <c r="BP168" s="990"/>
      <c r="BQ168" s="990"/>
      <c r="BR168" s="990"/>
      <c r="BT168" s="990"/>
      <c r="BV168" s="990"/>
      <c r="BX168" s="990"/>
    </row>
    <row r="169" spans="55:76">
      <c r="BC169" s="990"/>
      <c r="BD169" s="990"/>
      <c r="BF169" s="990"/>
      <c r="BH169" s="990"/>
      <c r="BJ169" s="990"/>
      <c r="BO169" s="990"/>
      <c r="BP169" s="990"/>
      <c r="BQ169" s="990"/>
      <c r="BR169" s="990"/>
      <c r="BT169" s="990"/>
      <c r="BV169" s="990"/>
      <c r="BX169" s="990"/>
    </row>
    <row r="170" spans="55:76">
      <c r="BC170" s="990"/>
      <c r="BD170" s="990"/>
      <c r="BF170" s="990"/>
      <c r="BH170" s="990"/>
      <c r="BJ170" s="990"/>
      <c r="BO170" s="990"/>
      <c r="BP170" s="990"/>
      <c r="BQ170" s="990"/>
      <c r="BR170" s="990"/>
      <c r="BT170" s="990"/>
      <c r="BV170" s="990"/>
      <c r="BX170" s="990"/>
    </row>
    <row r="171" spans="55:76">
      <c r="BC171" s="990"/>
      <c r="BD171" s="990"/>
      <c r="BF171" s="990"/>
      <c r="BH171" s="990"/>
      <c r="BJ171" s="990"/>
      <c r="BO171" s="990"/>
      <c r="BP171" s="990"/>
      <c r="BQ171" s="990"/>
      <c r="BR171" s="990"/>
      <c r="BT171" s="990"/>
      <c r="BV171" s="990"/>
      <c r="BX171" s="990"/>
    </row>
    <row r="172" spans="55:76">
      <c r="BC172" s="990"/>
      <c r="BD172" s="990"/>
      <c r="BF172" s="990"/>
      <c r="BH172" s="990"/>
      <c r="BJ172" s="990"/>
      <c r="BO172" s="990"/>
      <c r="BP172" s="990"/>
      <c r="BQ172" s="990"/>
      <c r="BR172" s="990"/>
      <c r="BT172" s="990"/>
      <c r="BV172" s="990"/>
      <c r="BX172" s="990"/>
    </row>
    <row r="173" spans="55:76">
      <c r="BC173" s="990"/>
      <c r="BD173" s="990"/>
      <c r="BF173" s="990"/>
      <c r="BH173" s="990"/>
      <c r="BJ173" s="990"/>
      <c r="BO173" s="990"/>
      <c r="BP173" s="990"/>
      <c r="BQ173" s="990"/>
      <c r="BR173" s="990"/>
      <c r="BT173" s="990"/>
      <c r="BV173" s="990"/>
      <c r="BX173" s="990"/>
    </row>
    <row r="174" spans="55:76">
      <c r="BC174" s="990"/>
      <c r="BD174" s="990"/>
      <c r="BF174" s="990"/>
      <c r="BH174" s="990"/>
      <c r="BJ174" s="990"/>
      <c r="BO174" s="990"/>
      <c r="BP174" s="990"/>
      <c r="BQ174" s="990"/>
      <c r="BR174" s="990"/>
      <c r="BT174" s="990"/>
      <c r="BV174" s="990"/>
      <c r="BX174" s="990"/>
    </row>
    <row r="175" spans="55:76">
      <c r="BC175" s="990"/>
      <c r="BD175" s="990"/>
      <c r="BF175" s="990"/>
      <c r="BH175" s="990"/>
      <c r="BJ175" s="990"/>
      <c r="BO175" s="990"/>
      <c r="BP175" s="990"/>
      <c r="BQ175" s="990"/>
      <c r="BR175" s="990"/>
      <c r="BT175" s="990"/>
      <c r="BV175" s="990"/>
      <c r="BX175" s="990"/>
    </row>
    <row r="176" spans="55:76">
      <c r="BC176" s="990"/>
      <c r="BD176" s="990"/>
      <c r="BF176" s="990"/>
      <c r="BH176" s="990"/>
      <c r="BJ176" s="990"/>
      <c r="BO176" s="990"/>
      <c r="BP176" s="990"/>
      <c r="BQ176" s="990"/>
      <c r="BR176" s="990"/>
      <c r="BT176" s="990"/>
      <c r="BV176" s="990"/>
      <c r="BX176" s="990"/>
    </row>
    <row r="177" spans="55:76">
      <c r="BC177" s="990"/>
      <c r="BD177" s="990"/>
      <c r="BF177" s="990"/>
      <c r="BH177" s="990"/>
      <c r="BJ177" s="990"/>
      <c r="BO177" s="990"/>
      <c r="BP177" s="990"/>
      <c r="BQ177" s="990"/>
      <c r="BR177" s="990"/>
      <c r="BT177" s="990"/>
      <c r="BV177" s="990"/>
      <c r="BX177" s="990"/>
    </row>
    <row r="178" spans="55:76">
      <c r="BC178" s="990"/>
      <c r="BD178" s="990"/>
      <c r="BF178" s="990"/>
      <c r="BH178" s="990"/>
      <c r="BJ178" s="990"/>
      <c r="BO178" s="990"/>
      <c r="BP178" s="990"/>
      <c r="BQ178" s="990"/>
      <c r="BR178" s="990"/>
      <c r="BT178" s="990"/>
      <c r="BV178" s="990"/>
      <c r="BX178" s="990"/>
    </row>
    <row r="179" spans="55:76">
      <c r="BC179" s="990"/>
      <c r="BD179" s="990"/>
      <c r="BF179" s="990"/>
      <c r="BH179" s="990"/>
      <c r="BJ179" s="990"/>
      <c r="BO179" s="990"/>
      <c r="BP179" s="990"/>
      <c r="BQ179" s="990"/>
      <c r="BR179" s="990"/>
      <c r="BT179" s="990"/>
      <c r="BV179" s="990"/>
      <c r="BX179" s="990"/>
    </row>
    <row r="180" spans="55:76">
      <c r="BC180" s="990"/>
      <c r="BD180" s="990"/>
      <c r="BF180" s="990"/>
      <c r="BH180" s="990"/>
      <c r="BJ180" s="990"/>
      <c r="BO180" s="990"/>
      <c r="BP180" s="990"/>
      <c r="BQ180" s="990"/>
      <c r="BR180" s="990"/>
      <c r="BT180" s="990"/>
      <c r="BV180" s="990"/>
      <c r="BX180" s="990"/>
    </row>
    <row r="181" spans="55:76">
      <c r="BC181" s="990"/>
      <c r="BD181" s="990"/>
      <c r="BF181" s="990"/>
      <c r="BH181" s="990"/>
      <c r="BJ181" s="990"/>
      <c r="BO181" s="990"/>
      <c r="BP181" s="990"/>
      <c r="BQ181" s="990"/>
      <c r="BR181" s="990"/>
      <c r="BT181" s="990"/>
      <c r="BV181" s="990"/>
      <c r="BX181" s="990"/>
    </row>
    <row r="182" spans="55:76">
      <c r="BC182" s="990"/>
      <c r="BD182" s="990"/>
      <c r="BF182" s="990"/>
      <c r="BH182" s="990"/>
      <c r="BJ182" s="990"/>
      <c r="BO182" s="990"/>
      <c r="BP182" s="990"/>
      <c r="BQ182" s="990"/>
      <c r="BR182" s="990"/>
      <c r="BT182" s="990"/>
      <c r="BV182" s="990"/>
      <c r="BX182" s="990"/>
    </row>
    <row r="183" spans="55:76">
      <c r="BC183" s="990"/>
      <c r="BD183" s="990"/>
      <c r="BF183" s="990"/>
      <c r="BH183" s="990"/>
      <c r="BJ183" s="990"/>
      <c r="BO183" s="990"/>
      <c r="BP183" s="990"/>
      <c r="BQ183" s="990"/>
      <c r="BR183" s="990"/>
      <c r="BT183" s="990"/>
      <c r="BV183" s="990"/>
      <c r="BX183" s="990"/>
    </row>
    <row r="184" spans="55:76">
      <c r="BC184" s="990"/>
      <c r="BD184" s="990"/>
      <c r="BF184" s="990"/>
      <c r="BH184" s="990"/>
      <c r="BJ184" s="990"/>
      <c r="BO184" s="990"/>
      <c r="BP184" s="990"/>
      <c r="BQ184" s="990"/>
      <c r="BR184" s="990"/>
      <c r="BT184" s="990"/>
      <c r="BV184" s="990"/>
      <c r="BX184" s="990"/>
    </row>
    <row r="185" spans="55:76">
      <c r="BC185" s="990"/>
      <c r="BD185" s="990"/>
      <c r="BF185" s="990"/>
      <c r="BH185" s="990"/>
      <c r="BJ185" s="990"/>
      <c r="BO185" s="990"/>
      <c r="BP185" s="990"/>
      <c r="BQ185" s="990"/>
      <c r="BR185" s="990"/>
      <c r="BT185" s="990"/>
      <c r="BV185" s="990"/>
      <c r="BX185" s="990"/>
    </row>
    <row r="186" spans="55:76">
      <c r="BC186" s="990"/>
      <c r="BD186" s="990"/>
      <c r="BF186" s="990"/>
      <c r="BH186" s="990"/>
      <c r="BJ186" s="990"/>
      <c r="BO186" s="990"/>
      <c r="BP186" s="990"/>
      <c r="BQ186" s="990"/>
      <c r="BR186" s="990"/>
      <c r="BT186" s="990"/>
      <c r="BV186" s="990"/>
      <c r="BX186" s="990"/>
    </row>
    <row r="187" spans="55:76">
      <c r="BC187" s="990"/>
      <c r="BD187" s="990"/>
      <c r="BF187" s="990"/>
      <c r="BH187" s="990"/>
      <c r="BJ187" s="990"/>
      <c r="BO187" s="990"/>
      <c r="BP187" s="990"/>
      <c r="BQ187" s="990"/>
      <c r="BR187" s="990"/>
      <c r="BT187" s="990"/>
      <c r="BV187" s="990"/>
      <c r="BX187" s="990"/>
    </row>
    <row r="188" spans="55:76">
      <c r="BC188" s="990"/>
      <c r="BD188" s="990"/>
      <c r="BF188" s="990"/>
      <c r="BH188" s="990"/>
      <c r="BJ188" s="990"/>
      <c r="BO188" s="990"/>
      <c r="BP188" s="990"/>
      <c r="BQ188" s="990"/>
      <c r="BR188" s="990"/>
      <c r="BT188" s="990"/>
      <c r="BV188" s="990"/>
      <c r="BX188" s="990"/>
    </row>
    <row r="189" spans="55:76">
      <c r="BC189" s="990"/>
      <c r="BD189" s="990"/>
      <c r="BF189" s="990"/>
      <c r="BH189" s="990"/>
      <c r="BJ189" s="990"/>
      <c r="BO189" s="990"/>
      <c r="BP189" s="990"/>
      <c r="BQ189" s="990"/>
      <c r="BR189" s="990"/>
      <c r="BT189" s="990"/>
      <c r="BV189" s="990"/>
      <c r="BX189" s="990"/>
    </row>
    <row r="190" spans="55:76">
      <c r="BC190" s="990"/>
      <c r="BD190" s="990"/>
      <c r="BF190" s="990"/>
      <c r="BH190" s="990"/>
      <c r="BJ190" s="990"/>
      <c r="BO190" s="990"/>
      <c r="BP190" s="990"/>
      <c r="BQ190" s="990"/>
      <c r="BR190" s="990"/>
      <c r="BT190" s="990"/>
      <c r="BV190" s="990"/>
      <c r="BX190" s="990"/>
    </row>
    <row r="191" spans="55:76">
      <c r="BC191" s="990"/>
      <c r="BD191" s="990"/>
      <c r="BF191" s="990"/>
      <c r="BH191" s="990"/>
      <c r="BJ191" s="990"/>
      <c r="BO191" s="990"/>
      <c r="BP191" s="990"/>
      <c r="BQ191" s="990"/>
      <c r="BR191" s="990"/>
      <c r="BT191" s="990"/>
      <c r="BV191" s="990"/>
      <c r="BX191" s="990"/>
    </row>
    <row r="192" spans="55:76">
      <c r="BC192" s="990"/>
      <c r="BD192" s="990"/>
      <c r="BF192" s="990"/>
      <c r="BH192" s="990"/>
      <c r="BJ192" s="990"/>
      <c r="BO192" s="990"/>
      <c r="BP192" s="990"/>
      <c r="BQ192" s="990"/>
      <c r="BR192" s="990"/>
      <c r="BT192" s="990"/>
      <c r="BV192" s="990"/>
      <c r="BX192" s="990"/>
    </row>
    <row r="193" spans="55:76">
      <c r="BC193" s="990"/>
      <c r="BD193" s="990"/>
      <c r="BF193" s="990"/>
      <c r="BH193" s="990"/>
      <c r="BJ193" s="990"/>
      <c r="BO193" s="990"/>
      <c r="BP193" s="990"/>
      <c r="BQ193" s="990"/>
      <c r="BR193" s="990"/>
      <c r="BT193" s="990"/>
      <c r="BV193" s="990"/>
      <c r="BX193" s="990"/>
    </row>
    <row r="194" spans="55:76">
      <c r="BC194" s="990"/>
      <c r="BD194" s="990"/>
      <c r="BF194" s="990"/>
      <c r="BH194" s="990"/>
      <c r="BJ194" s="990"/>
      <c r="BO194" s="990"/>
      <c r="BP194" s="990"/>
      <c r="BQ194" s="990"/>
      <c r="BR194" s="990"/>
      <c r="BT194" s="990"/>
      <c r="BV194" s="990"/>
      <c r="BX194" s="990"/>
    </row>
    <row r="195" spans="55:76">
      <c r="BC195" s="990"/>
      <c r="BD195" s="990"/>
      <c r="BF195" s="990"/>
      <c r="BH195" s="990"/>
      <c r="BJ195" s="990"/>
      <c r="BO195" s="990"/>
      <c r="BP195" s="990"/>
      <c r="BQ195" s="990"/>
      <c r="BR195" s="990"/>
      <c r="BT195" s="990"/>
      <c r="BV195" s="990"/>
      <c r="BX195" s="990"/>
    </row>
    <row r="196" spans="55:76">
      <c r="BC196" s="990"/>
      <c r="BD196" s="990"/>
      <c r="BF196" s="990"/>
      <c r="BH196" s="990"/>
      <c r="BJ196" s="990"/>
      <c r="BO196" s="990"/>
      <c r="BP196" s="990"/>
      <c r="BQ196" s="990"/>
      <c r="BR196" s="990"/>
      <c r="BT196" s="990"/>
      <c r="BV196" s="990"/>
      <c r="BX196" s="990"/>
    </row>
    <row r="197" spans="55:76">
      <c r="BC197" s="990"/>
      <c r="BD197" s="990"/>
      <c r="BF197" s="990"/>
      <c r="BH197" s="990"/>
      <c r="BJ197" s="990"/>
      <c r="BO197" s="990"/>
      <c r="BP197" s="990"/>
      <c r="BQ197" s="990"/>
      <c r="BR197" s="990"/>
      <c r="BT197" s="990"/>
      <c r="BV197" s="990"/>
      <c r="BX197" s="990"/>
    </row>
    <row r="198" spans="55:76">
      <c r="BC198" s="990"/>
      <c r="BD198" s="990"/>
      <c r="BF198" s="990"/>
      <c r="BH198" s="990"/>
      <c r="BJ198" s="990"/>
      <c r="BO198" s="990"/>
      <c r="BP198" s="990"/>
      <c r="BQ198" s="990"/>
      <c r="BR198" s="990"/>
      <c r="BT198" s="990"/>
      <c r="BV198" s="990"/>
      <c r="BX198" s="990"/>
    </row>
    <row r="199" spans="55:76">
      <c r="BC199" s="990"/>
      <c r="BD199" s="990"/>
      <c r="BF199" s="990"/>
      <c r="BH199" s="990"/>
      <c r="BJ199" s="990"/>
      <c r="BO199" s="990"/>
      <c r="BP199" s="990"/>
      <c r="BQ199" s="990"/>
      <c r="BR199" s="990"/>
      <c r="BT199" s="990"/>
      <c r="BV199" s="990"/>
      <c r="BX199" s="990"/>
    </row>
    <row r="200" spans="55:76">
      <c r="BC200" s="990"/>
      <c r="BD200" s="990"/>
      <c r="BF200" s="990"/>
      <c r="BH200" s="990"/>
      <c r="BJ200" s="990"/>
      <c r="BO200" s="990"/>
      <c r="BP200" s="990"/>
      <c r="BQ200" s="990"/>
      <c r="BR200" s="990"/>
      <c r="BT200" s="990"/>
      <c r="BV200" s="990"/>
      <c r="BX200" s="990"/>
    </row>
    <row r="201" spans="55:76">
      <c r="BC201" s="990"/>
      <c r="BD201" s="990"/>
      <c r="BF201" s="990"/>
      <c r="BH201" s="990"/>
      <c r="BJ201" s="990"/>
      <c r="BO201" s="990"/>
      <c r="BP201" s="990"/>
      <c r="BQ201" s="990"/>
      <c r="BR201" s="990"/>
      <c r="BT201" s="990"/>
      <c r="BV201" s="990"/>
      <c r="BX201" s="990"/>
    </row>
    <row r="202" spans="55:76">
      <c r="BC202" s="990"/>
      <c r="BD202" s="990"/>
      <c r="BF202" s="990"/>
      <c r="BH202" s="990"/>
      <c r="BJ202" s="990"/>
      <c r="BO202" s="990"/>
      <c r="BP202" s="990"/>
      <c r="BQ202" s="990"/>
      <c r="BR202" s="990"/>
      <c r="BT202" s="990"/>
      <c r="BV202" s="990"/>
      <c r="BX202" s="990"/>
    </row>
    <row r="203" spans="55:76">
      <c r="BC203" s="990"/>
      <c r="BD203" s="990"/>
      <c r="BF203" s="990"/>
      <c r="BH203" s="990"/>
      <c r="BJ203" s="990"/>
      <c r="BO203" s="990"/>
      <c r="BP203" s="990"/>
      <c r="BQ203" s="990"/>
      <c r="BR203" s="990"/>
      <c r="BT203" s="990"/>
      <c r="BV203" s="990"/>
      <c r="BX203" s="990"/>
    </row>
    <row r="204" spans="55:76">
      <c r="BC204" s="990"/>
      <c r="BD204" s="990"/>
      <c r="BF204" s="990"/>
      <c r="BH204" s="990"/>
      <c r="BJ204" s="990"/>
      <c r="BO204" s="990"/>
      <c r="BP204" s="990"/>
      <c r="BQ204" s="990"/>
      <c r="BR204" s="990"/>
      <c r="BT204" s="990"/>
      <c r="BV204" s="990"/>
      <c r="BX204" s="990"/>
    </row>
    <row r="205" spans="55:76">
      <c r="BC205" s="990"/>
      <c r="BD205" s="990"/>
      <c r="BF205" s="990"/>
      <c r="BH205" s="990"/>
      <c r="BJ205" s="990"/>
      <c r="BO205" s="990"/>
      <c r="BP205" s="990"/>
      <c r="BQ205" s="990"/>
      <c r="BR205" s="990"/>
      <c r="BT205" s="990"/>
      <c r="BV205" s="990"/>
      <c r="BX205" s="990"/>
    </row>
    <row r="206" spans="55:76">
      <c r="BC206" s="990"/>
      <c r="BD206" s="990"/>
      <c r="BF206" s="990"/>
      <c r="BH206" s="990"/>
      <c r="BJ206" s="990"/>
      <c r="BO206" s="990"/>
      <c r="BP206" s="990"/>
      <c r="BQ206" s="990"/>
      <c r="BR206" s="990"/>
      <c r="BT206" s="990"/>
      <c r="BV206" s="990"/>
      <c r="BX206" s="990"/>
    </row>
    <row r="207" spans="55:76">
      <c r="BC207" s="990"/>
      <c r="BD207" s="990"/>
      <c r="BF207" s="990"/>
      <c r="BH207" s="990"/>
      <c r="BJ207" s="990"/>
      <c r="BO207" s="990"/>
      <c r="BP207" s="990"/>
      <c r="BQ207" s="990"/>
      <c r="BR207" s="990"/>
      <c r="BT207" s="990"/>
      <c r="BV207" s="990"/>
      <c r="BX207" s="990"/>
    </row>
    <row r="208" spans="55:76">
      <c r="BC208" s="990"/>
      <c r="BD208" s="990"/>
      <c r="BF208" s="990"/>
      <c r="BH208" s="990"/>
      <c r="BJ208" s="990"/>
      <c r="BO208" s="990"/>
      <c r="BP208" s="990"/>
      <c r="BQ208" s="990"/>
      <c r="BR208" s="990"/>
      <c r="BT208" s="990"/>
      <c r="BV208" s="990"/>
      <c r="BX208" s="990"/>
    </row>
    <row r="209" spans="55:76">
      <c r="BC209" s="990"/>
      <c r="BD209" s="990"/>
      <c r="BF209" s="990"/>
      <c r="BH209" s="990"/>
      <c r="BJ209" s="990"/>
      <c r="BO209" s="990"/>
      <c r="BP209" s="990"/>
      <c r="BQ209" s="990"/>
      <c r="BR209" s="990"/>
      <c r="BT209" s="990"/>
      <c r="BV209" s="990"/>
      <c r="BX209" s="990"/>
    </row>
    <row r="210" spans="55:76">
      <c r="BC210" s="990"/>
      <c r="BD210" s="990"/>
      <c r="BF210" s="990"/>
      <c r="BH210" s="990"/>
      <c r="BJ210" s="990"/>
      <c r="BO210" s="990"/>
      <c r="BP210" s="990"/>
      <c r="BQ210" s="990"/>
      <c r="BR210" s="990"/>
      <c r="BT210" s="990"/>
      <c r="BV210" s="990"/>
      <c r="BX210" s="990"/>
    </row>
    <row r="211" spans="55:76">
      <c r="BC211" s="990"/>
      <c r="BD211" s="990"/>
      <c r="BF211" s="990"/>
      <c r="BH211" s="990"/>
      <c r="BJ211" s="990"/>
      <c r="BO211" s="990"/>
      <c r="BP211" s="990"/>
      <c r="BQ211" s="990"/>
      <c r="BR211" s="990"/>
      <c r="BT211" s="990"/>
      <c r="BV211" s="990"/>
      <c r="BX211" s="990"/>
    </row>
    <row r="212" spans="55:76">
      <c r="BC212" s="990"/>
      <c r="BD212" s="990"/>
      <c r="BF212" s="990"/>
      <c r="BH212" s="990"/>
      <c r="BJ212" s="990"/>
      <c r="BO212" s="990"/>
      <c r="BP212" s="990"/>
      <c r="BQ212" s="990"/>
      <c r="BR212" s="990"/>
      <c r="BT212" s="990"/>
      <c r="BV212" s="990"/>
      <c r="BX212" s="990"/>
    </row>
    <row r="213" spans="55:76">
      <c r="BC213" s="990"/>
      <c r="BD213" s="990"/>
      <c r="BF213" s="990"/>
      <c r="BH213" s="990"/>
      <c r="BJ213" s="990"/>
      <c r="BO213" s="990"/>
      <c r="BP213" s="990"/>
      <c r="BQ213" s="990"/>
      <c r="BR213" s="990"/>
      <c r="BT213" s="990"/>
      <c r="BV213" s="990"/>
      <c r="BX213" s="990"/>
    </row>
    <row r="214" spans="55:76">
      <c r="BC214" s="990"/>
      <c r="BD214" s="990"/>
      <c r="BF214" s="990"/>
      <c r="BH214" s="990"/>
      <c r="BJ214" s="990"/>
      <c r="BO214" s="990"/>
      <c r="BP214" s="990"/>
      <c r="BQ214" s="990"/>
      <c r="BR214" s="990"/>
      <c r="BT214" s="990"/>
      <c r="BV214" s="990"/>
      <c r="BX214" s="990"/>
    </row>
    <row r="215" spans="55:76">
      <c r="BC215" s="990"/>
      <c r="BD215" s="990"/>
      <c r="BF215" s="990"/>
      <c r="BH215" s="990"/>
      <c r="BJ215" s="990"/>
      <c r="BO215" s="990"/>
      <c r="BP215" s="990"/>
      <c r="BQ215" s="990"/>
      <c r="BR215" s="990"/>
      <c r="BT215" s="990"/>
      <c r="BV215" s="990"/>
      <c r="BX215" s="990"/>
    </row>
    <row r="216" spans="55:76">
      <c r="BC216" s="990"/>
      <c r="BD216" s="990"/>
      <c r="BF216" s="990"/>
      <c r="BH216" s="990"/>
      <c r="BJ216" s="990"/>
      <c r="BO216" s="990"/>
      <c r="BP216" s="990"/>
      <c r="BQ216" s="990"/>
      <c r="BR216" s="990"/>
      <c r="BT216" s="990"/>
      <c r="BV216" s="990"/>
      <c r="BX216" s="990"/>
    </row>
    <row r="217" spans="55:76">
      <c r="BC217" s="990"/>
      <c r="BD217" s="990"/>
      <c r="BF217" s="990"/>
      <c r="BH217" s="990"/>
      <c r="BJ217" s="990"/>
      <c r="BO217" s="990"/>
      <c r="BP217" s="990"/>
      <c r="BQ217" s="990"/>
      <c r="BR217" s="990"/>
      <c r="BT217" s="990"/>
      <c r="BV217" s="990"/>
      <c r="BX217" s="990"/>
    </row>
    <row r="218" spans="55:76">
      <c r="BC218" s="990"/>
      <c r="BD218" s="990"/>
      <c r="BF218" s="990"/>
      <c r="BH218" s="990"/>
      <c r="BJ218" s="990"/>
      <c r="BO218" s="990"/>
      <c r="BP218" s="990"/>
      <c r="BQ218" s="990"/>
      <c r="BR218" s="990"/>
      <c r="BT218" s="990"/>
      <c r="BV218" s="990"/>
      <c r="BX218" s="990"/>
    </row>
    <row r="219" spans="55:76">
      <c r="BC219" s="990"/>
      <c r="BD219" s="990"/>
      <c r="BF219" s="990"/>
      <c r="BH219" s="990"/>
      <c r="BJ219" s="990"/>
      <c r="BO219" s="990"/>
      <c r="BP219" s="990"/>
      <c r="BQ219" s="990"/>
      <c r="BR219" s="990"/>
      <c r="BT219" s="990"/>
      <c r="BV219" s="990"/>
      <c r="BX219" s="990"/>
    </row>
    <row r="220" spans="55:76">
      <c r="BC220" s="990"/>
      <c r="BD220" s="990"/>
      <c r="BF220" s="990"/>
      <c r="BH220" s="990"/>
      <c r="BJ220" s="990"/>
      <c r="BO220" s="990"/>
      <c r="BP220" s="990"/>
      <c r="BQ220" s="990"/>
      <c r="BR220" s="990"/>
      <c r="BT220" s="990"/>
      <c r="BV220" s="990"/>
      <c r="BX220" s="990"/>
    </row>
    <row r="221" spans="55:76">
      <c r="BC221" s="990"/>
      <c r="BD221" s="990"/>
      <c r="BF221" s="990"/>
      <c r="BH221" s="990"/>
      <c r="BJ221" s="990"/>
      <c r="BO221" s="990"/>
      <c r="BP221" s="990"/>
      <c r="BQ221" s="990"/>
      <c r="BR221" s="990"/>
      <c r="BT221" s="990"/>
      <c r="BV221" s="990"/>
      <c r="BX221" s="990"/>
    </row>
    <row r="222" spans="55:76">
      <c r="BC222" s="990"/>
      <c r="BD222" s="990"/>
      <c r="BF222" s="990"/>
      <c r="BH222" s="990"/>
      <c r="BJ222" s="990"/>
      <c r="BO222" s="990"/>
      <c r="BP222" s="990"/>
      <c r="BQ222" s="990"/>
      <c r="BR222" s="990"/>
      <c r="BT222" s="990"/>
      <c r="BV222" s="990"/>
      <c r="BX222" s="990"/>
    </row>
    <row r="223" spans="55:76">
      <c r="BC223" s="990"/>
      <c r="BD223" s="990"/>
      <c r="BF223" s="990"/>
      <c r="BH223" s="990"/>
      <c r="BJ223" s="990"/>
      <c r="BO223" s="990"/>
      <c r="BP223" s="990"/>
      <c r="BQ223" s="990"/>
      <c r="BR223" s="990"/>
      <c r="BT223" s="990"/>
      <c r="BV223" s="990"/>
      <c r="BX223" s="990"/>
    </row>
    <row r="224" spans="55:76">
      <c r="BC224" s="990"/>
      <c r="BD224" s="990"/>
      <c r="BF224" s="990"/>
      <c r="BH224" s="990"/>
      <c r="BJ224" s="990"/>
      <c r="BO224" s="990"/>
      <c r="BP224" s="990"/>
      <c r="BQ224" s="990"/>
      <c r="BR224" s="990"/>
      <c r="BT224" s="990"/>
      <c r="BV224" s="990"/>
      <c r="BX224" s="990"/>
    </row>
    <row r="225" spans="55:76">
      <c r="BC225" s="990"/>
      <c r="BD225" s="990"/>
      <c r="BF225" s="990"/>
      <c r="BH225" s="990"/>
      <c r="BJ225" s="990"/>
      <c r="BO225" s="990"/>
      <c r="BP225" s="990"/>
      <c r="BQ225" s="990"/>
      <c r="BR225" s="990"/>
      <c r="BT225" s="990"/>
      <c r="BV225" s="990"/>
      <c r="BX225" s="990"/>
    </row>
    <row r="226" spans="55:76">
      <c r="BC226" s="990"/>
      <c r="BD226" s="990"/>
      <c r="BF226" s="990"/>
      <c r="BH226" s="990"/>
      <c r="BJ226" s="990"/>
      <c r="BO226" s="990"/>
      <c r="BP226" s="990"/>
      <c r="BQ226" s="990"/>
      <c r="BR226" s="990"/>
      <c r="BT226" s="990"/>
      <c r="BV226" s="990"/>
      <c r="BX226" s="990"/>
    </row>
    <row r="227" spans="55:76">
      <c r="BC227" s="990"/>
      <c r="BD227" s="990"/>
      <c r="BF227" s="990"/>
      <c r="BH227" s="990"/>
      <c r="BJ227" s="990"/>
      <c r="BO227" s="990"/>
      <c r="BP227" s="990"/>
      <c r="BQ227" s="990"/>
      <c r="BR227" s="990"/>
      <c r="BT227" s="990"/>
      <c r="BV227" s="990"/>
      <c r="BX227" s="990"/>
    </row>
    <row r="228" spans="55:76">
      <c r="BC228" s="990"/>
      <c r="BD228" s="990"/>
      <c r="BF228" s="990"/>
      <c r="BH228" s="990"/>
      <c r="BJ228" s="990"/>
      <c r="BO228" s="990"/>
      <c r="BP228" s="990"/>
      <c r="BQ228" s="990"/>
      <c r="BR228" s="990"/>
      <c r="BT228" s="990"/>
      <c r="BV228" s="990"/>
      <c r="BX228" s="990"/>
    </row>
    <row r="229" spans="55:76">
      <c r="BC229" s="990"/>
      <c r="BD229" s="990"/>
      <c r="BF229" s="990"/>
      <c r="BH229" s="990"/>
      <c r="BJ229" s="990"/>
      <c r="BO229" s="990"/>
      <c r="BP229" s="990"/>
      <c r="BQ229" s="990"/>
      <c r="BR229" s="990"/>
      <c r="BT229" s="990"/>
      <c r="BV229" s="990"/>
      <c r="BX229" s="990"/>
    </row>
    <row r="230" spans="55:76">
      <c r="BC230" s="990"/>
      <c r="BD230" s="990"/>
      <c r="BF230" s="990"/>
      <c r="BH230" s="990"/>
      <c r="BJ230" s="990"/>
      <c r="BO230" s="990"/>
      <c r="BP230" s="990"/>
      <c r="BQ230" s="990"/>
      <c r="BR230" s="990"/>
      <c r="BT230" s="990"/>
      <c r="BV230" s="990"/>
      <c r="BX230" s="990"/>
    </row>
    <row r="231" spans="55:76">
      <c r="BC231" s="990"/>
      <c r="BD231" s="990"/>
      <c r="BF231" s="990"/>
      <c r="BH231" s="990"/>
      <c r="BJ231" s="990"/>
      <c r="BO231" s="990"/>
      <c r="BP231" s="990"/>
      <c r="BQ231" s="990"/>
      <c r="BR231" s="990"/>
      <c r="BT231" s="990"/>
      <c r="BV231" s="990"/>
      <c r="BX231" s="990"/>
    </row>
    <row r="232" spans="55:76">
      <c r="BC232" s="990"/>
      <c r="BD232" s="990"/>
      <c r="BF232" s="990"/>
      <c r="BH232" s="990"/>
      <c r="BJ232" s="990"/>
      <c r="BO232" s="990"/>
      <c r="BP232" s="990"/>
      <c r="BQ232" s="990"/>
      <c r="BR232" s="990"/>
      <c r="BT232" s="990"/>
      <c r="BV232" s="990"/>
      <c r="BX232" s="990"/>
    </row>
    <row r="233" spans="55:76">
      <c r="BC233" s="990"/>
      <c r="BD233" s="990"/>
      <c r="BF233" s="990"/>
      <c r="BH233" s="990"/>
      <c r="BJ233" s="990"/>
      <c r="BO233" s="990"/>
      <c r="BP233" s="990"/>
      <c r="BQ233" s="990"/>
      <c r="BR233" s="990"/>
      <c r="BT233" s="990"/>
      <c r="BV233" s="990"/>
      <c r="BX233" s="990"/>
    </row>
    <row r="234" spans="55:76">
      <c r="BC234" s="990"/>
      <c r="BD234" s="990"/>
      <c r="BF234" s="990"/>
      <c r="BH234" s="990"/>
      <c r="BJ234" s="990"/>
      <c r="BO234" s="990"/>
      <c r="BP234" s="990"/>
      <c r="BQ234" s="990"/>
      <c r="BR234" s="990"/>
      <c r="BT234" s="990"/>
      <c r="BV234" s="990"/>
      <c r="BX234" s="990"/>
    </row>
    <row r="235" spans="55:76">
      <c r="BC235" s="990"/>
      <c r="BD235" s="990"/>
      <c r="BF235" s="990"/>
      <c r="BH235" s="990"/>
      <c r="BJ235" s="990"/>
      <c r="BO235" s="990"/>
      <c r="BP235" s="990"/>
      <c r="BQ235" s="990"/>
      <c r="BR235" s="990"/>
      <c r="BT235" s="990"/>
      <c r="BV235" s="990"/>
      <c r="BX235" s="990"/>
    </row>
    <row r="236" spans="55:76">
      <c r="BC236" s="990"/>
      <c r="BD236" s="990"/>
      <c r="BF236" s="990"/>
      <c r="BH236" s="990"/>
      <c r="BJ236" s="990"/>
      <c r="BO236" s="990"/>
      <c r="BP236" s="990"/>
      <c r="BQ236" s="990"/>
      <c r="BR236" s="990"/>
      <c r="BT236" s="990"/>
      <c r="BV236" s="990"/>
      <c r="BX236" s="990"/>
    </row>
    <row r="237" spans="55:76">
      <c r="BC237" s="990"/>
      <c r="BD237" s="990"/>
      <c r="BF237" s="990"/>
      <c r="BH237" s="990"/>
      <c r="BJ237" s="990"/>
      <c r="BO237" s="990"/>
      <c r="BP237" s="990"/>
      <c r="BQ237" s="990"/>
      <c r="BR237" s="990"/>
      <c r="BT237" s="990"/>
      <c r="BV237" s="990"/>
      <c r="BX237" s="990"/>
    </row>
    <row r="238" spans="55:76">
      <c r="BC238" s="990"/>
      <c r="BD238" s="990"/>
      <c r="BF238" s="990"/>
      <c r="BH238" s="990"/>
      <c r="BJ238" s="990"/>
      <c r="BO238" s="990"/>
      <c r="BP238" s="990"/>
      <c r="BQ238" s="990"/>
      <c r="BR238" s="990"/>
      <c r="BT238" s="990"/>
      <c r="BV238" s="990"/>
      <c r="BX238" s="990"/>
    </row>
    <row r="239" spans="55:76">
      <c r="BC239" s="990"/>
      <c r="BD239" s="990"/>
      <c r="BF239" s="990"/>
      <c r="BH239" s="990"/>
      <c r="BJ239" s="990"/>
      <c r="BO239" s="990"/>
      <c r="BP239" s="990"/>
      <c r="BQ239" s="990"/>
      <c r="BR239" s="990"/>
      <c r="BT239" s="990"/>
      <c r="BV239" s="990"/>
      <c r="BX239" s="990"/>
    </row>
    <row r="240" spans="55:76">
      <c r="BC240" s="990"/>
      <c r="BD240" s="990"/>
      <c r="BF240" s="990"/>
      <c r="BH240" s="990"/>
      <c r="BJ240" s="990"/>
      <c r="BO240" s="990"/>
      <c r="BP240" s="990"/>
      <c r="BQ240" s="990"/>
      <c r="BR240" s="990"/>
      <c r="BT240" s="990"/>
      <c r="BV240" s="990"/>
      <c r="BX240" s="990"/>
    </row>
    <row r="241" spans="55:76">
      <c r="BC241" s="990"/>
      <c r="BD241" s="990"/>
      <c r="BF241" s="990"/>
      <c r="BH241" s="990"/>
      <c r="BJ241" s="990"/>
      <c r="BO241" s="990"/>
      <c r="BP241" s="990"/>
      <c r="BQ241" s="990"/>
      <c r="BR241" s="990"/>
      <c r="BT241" s="990"/>
      <c r="BV241" s="990"/>
      <c r="BX241" s="990"/>
    </row>
    <row r="242" spans="55:76">
      <c r="BC242" s="990"/>
      <c r="BD242" s="990"/>
      <c r="BF242" s="990"/>
      <c r="BH242" s="990"/>
      <c r="BJ242" s="990"/>
      <c r="BO242" s="990"/>
      <c r="BP242" s="990"/>
      <c r="BQ242" s="990"/>
      <c r="BR242" s="990"/>
      <c r="BT242" s="990"/>
      <c r="BV242" s="990"/>
      <c r="BX242" s="990"/>
    </row>
    <row r="243" spans="55:76">
      <c r="BC243" s="990"/>
      <c r="BD243" s="990"/>
      <c r="BF243" s="990"/>
      <c r="BH243" s="990"/>
      <c r="BJ243" s="990"/>
      <c r="BO243" s="990"/>
      <c r="BP243" s="990"/>
      <c r="BQ243" s="990"/>
      <c r="BR243" s="990"/>
      <c r="BT243" s="990"/>
      <c r="BV243" s="990"/>
      <c r="BX243" s="990"/>
    </row>
    <row r="244" spans="55:76">
      <c r="BC244" s="990"/>
      <c r="BD244" s="990"/>
      <c r="BF244" s="990"/>
      <c r="BH244" s="990"/>
      <c r="BJ244" s="990"/>
      <c r="BO244" s="990"/>
      <c r="BP244" s="990"/>
      <c r="BQ244" s="990"/>
      <c r="BR244" s="990"/>
      <c r="BT244" s="990"/>
      <c r="BV244" s="990"/>
      <c r="BX244" s="990"/>
    </row>
    <row r="245" spans="55:76">
      <c r="BC245" s="990"/>
      <c r="BD245" s="990"/>
      <c r="BF245" s="990"/>
      <c r="BH245" s="990"/>
      <c r="BJ245" s="990"/>
      <c r="BO245" s="990"/>
      <c r="BP245" s="990"/>
      <c r="BQ245" s="990"/>
      <c r="BR245" s="990"/>
      <c r="BT245" s="990"/>
      <c r="BV245" s="990"/>
      <c r="BX245" s="990"/>
    </row>
    <row r="246" spans="55:76">
      <c r="BC246" s="990"/>
      <c r="BD246" s="990"/>
      <c r="BF246" s="990"/>
      <c r="BH246" s="990"/>
      <c r="BJ246" s="990"/>
      <c r="BO246" s="990"/>
      <c r="BP246" s="990"/>
      <c r="BQ246" s="990"/>
      <c r="BR246" s="990"/>
      <c r="BT246" s="990"/>
      <c r="BV246" s="990"/>
      <c r="BX246" s="990"/>
    </row>
    <row r="247" spans="55:76">
      <c r="BC247" s="990"/>
      <c r="BD247" s="990"/>
      <c r="BF247" s="990"/>
      <c r="BH247" s="990"/>
      <c r="BJ247" s="990"/>
      <c r="BO247" s="990"/>
      <c r="BP247" s="990"/>
      <c r="BQ247" s="990"/>
      <c r="BR247" s="990"/>
      <c r="BT247" s="990"/>
      <c r="BV247" s="990"/>
      <c r="BX247" s="990"/>
    </row>
    <row r="248" spans="55:76">
      <c r="BC248" s="990"/>
      <c r="BD248" s="990"/>
      <c r="BF248" s="990"/>
      <c r="BH248" s="990"/>
      <c r="BJ248" s="990"/>
      <c r="BO248" s="990"/>
      <c r="BP248" s="990"/>
      <c r="BQ248" s="990"/>
      <c r="BR248" s="990"/>
      <c r="BT248" s="990"/>
      <c r="BV248" s="990"/>
      <c r="BX248" s="990"/>
    </row>
    <row r="249" spans="55:76">
      <c r="BC249" s="990"/>
      <c r="BD249" s="990"/>
      <c r="BF249" s="990"/>
      <c r="BH249" s="990"/>
      <c r="BJ249" s="990"/>
      <c r="BO249" s="990"/>
      <c r="BP249" s="990"/>
      <c r="BQ249" s="990"/>
      <c r="BR249" s="990"/>
      <c r="BT249" s="990"/>
      <c r="BV249" s="990"/>
      <c r="BX249" s="990"/>
    </row>
    <row r="250" spans="55:76">
      <c r="BC250" s="990"/>
      <c r="BD250" s="990"/>
      <c r="BF250" s="990"/>
      <c r="BH250" s="990"/>
      <c r="BJ250" s="990"/>
      <c r="BO250" s="990"/>
      <c r="BP250" s="990"/>
      <c r="BQ250" s="990"/>
      <c r="BR250" s="990"/>
      <c r="BT250" s="990"/>
      <c r="BV250" s="990"/>
      <c r="BX250" s="990"/>
    </row>
    <row r="251" spans="55:76">
      <c r="BC251" s="990"/>
      <c r="BD251" s="990"/>
      <c r="BF251" s="990"/>
      <c r="BH251" s="990"/>
      <c r="BJ251" s="990"/>
      <c r="BO251" s="990"/>
      <c r="BP251" s="990"/>
      <c r="BQ251" s="990"/>
      <c r="BR251" s="990"/>
      <c r="BT251" s="990"/>
      <c r="BV251" s="990"/>
      <c r="BX251" s="990"/>
    </row>
    <row r="252" spans="55:76">
      <c r="BC252" s="990"/>
      <c r="BD252" s="990"/>
      <c r="BF252" s="990"/>
      <c r="BH252" s="990"/>
      <c r="BJ252" s="990"/>
      <c r="BO252" s="990"/>
      <c r="BP252" s="990"/>
      <c r="BQ252" s="990"/>
      <c r="BR252" s="990"/>
      <c r="BT252" s="990"/>
      <c r="BV252" s="990"/>
      <c r="BX252" s="990"/>
    </row>
    <row r="253" spans="55:76">
      <c r="BC253" s="990"/>
      <c r="BD253" s="990"/>
      <c r="BF253" s="990"/>
      <c r="BH253" s="990"/>
      <c r="BJ253" s="990"/>
      <c r="BO253" s="990"/>
      <c r="BP253" s="990"/>
      <c r="BQ253" s="990"/>
      <c r="BR253" s="990"/>
      <c r="BT253" s="990"/>
      <c r="BV253" s="990"/>
      <c r="BX253" s="990"/>
    </row>
    <row r="254" spans="55:76">
      <c r="BC254" s="990"/>
      <c r="BD254" s="990"/>
      <c r="BF254" s="990"/>
      <c r="BH254" s="990"/>
      <c r="BJ254" s="990"/>
      <c r="BO254" s="990"/>
      <c r="BP254" s="990"/>
      <c r="BQ254" s="990"/>
      <c r="BR254" s="990"/>
      <c r="BT254" s="990"/>
      <c r="BV254" s="990"/>
      <c r="BX254" s="990"/>
    </row>
    <row r="255" spans="55:76">
      <c r="BC255" s="990"/>
      <c r="BD255" s="990"/>
      <c r="BF255" s="990"/>
      <c r="BH255" s="990"/>
      <c r="BJ255" s="990"/>
      <c r="BO255" s="990"/>
      <c r="BP255" s="990"/>
      <c r="BQ255" s="990"/>
      <c r="BR255" s="990"/>
      <c r="BT255" s="990"/>
      <c r="BV255" s="990"/>
      <c r="BX255" s="990"/>
    </row>
    <row r="256" spans="55:76">
      <c r="BC256" s="990"/>
      <c r="BD256" s="990"/>
      <c r="BF256" s="990"/>
      <c r="BH256" s="990"/>
      <c r="BJ256" s="990"/>
      <c r="BO256" s="990"/>
      <c r="BP256" s="990"/>
      <c r="BQ256" s="990"/>
      <c r="BR256" s="990"/>
      <c r="BT256" s="990"/>
      <c r="BV256" s="990"/>
      <c r="BX256" s="990"/>
    </row>
    <row r="257" spans="55:76">
      <c r="BC257" s="990"/>
      <c r="BD257" s="990"/>
      <c r="BF257" s="990"/>
      <c r="BH257" s="990"/>
      <c r="BJ257" s="990"/>
      <c r="BO257" s="990"/>
      <c r="BP257" s="990"/>
      <c r="BQ257" s="990"/>
      <c r="BR257" s="990"/>
      <c r="BT257" s="990"/>
      <c r="BV257" s="990"/>
      <c r="BX257" s="990"/>
    </row>
    <row r="258" spans="55:76">
      <c r="BC258" s="990"/>
      <c r="BD258" s="990"/>
      <c r="BF258" s="990"/>
      <c r="BH258" s="990"/>
      <c r="BJ258" s="990"/>
      <c r="BO258" s="990"/>
      <c r="BP258" s="990"/>
      <c r="BQ258" s="990"/>
      <c r="BR258" s="990"/>
      <c r="BT258" s="990"/>
      <c r="BV258" s="990"/>
      <c r="BX258" s="990"/>
    </row>
    <row r="259" spans="55:76">
      <c r="BC259" s="990"/>
      <c r="BD259" s="990"/>
      <c r="BF259" s="990"/>
      <c r="BH259" s="990"/>
      <c r="BJ259" s="990"/>
      <c r="BO259" s="990"/>
      <c r="BP259" s="990"/>
      <c r="BQ259" s="990"/>
      <c r="BR259" s="990"/>
      <c r="BT259" s="990"/>
      <c r="BV259" s="990"/>
      <c r="BX259" s="990"/>
    </row>
    <row r="260" spans="55:76">
      <c r="BC260" s="990"/>
      <c r="BD260" s="990"/>
      <c r="BF260" s="990"/>
      <c r="BH260" s="990"/>
      <c r="BJ260" s="990"/>
      <c r="BO260" s="990"/>
      <c r="BP260" s="990"/>
      <c r="BQ260" s="990"/>
      <c r="BR260" s="990"/>
      <c r="BT260" s="990"/>
      <c r="BV260" s="990"/>
      <c r="BX260" s="990"/>
    </row>
    <row r="261" spans="55:76">
      <c r="BC261" s="990"/>
      <c r="BD261" s="990"/>
      <c r="BF261" s="990"/>
      <c r="BH261" s="990"/>
      <c r="BJ261" s="990"/>
      <c r="BO261" s="990"/>
      <c r="BP261" s="990"/>
      <c r="BQ261" s="990"/>
      <c r="BR261" s="990"/>
      <c r="BT261" s="990"/>
      <c r="BV261" s="990"/>
      <c r="BX261" s="990"/>
    </row>
    <row r="262" spans="55:76">
      <c r="BC262" s="990"/>
      <c r="BD262" s="990"/>
      <c r="BF262" s="990"/>
      <c r="BH262" s="990"/>
      <c r="BJ262" s="990"/>
      <c r="BO262" s="990"/>
      <c r="BP262" s="990"/>
      <c r="BQ262" s="990"/>
      <c r="BR262" s="990"/>
      <c r="BT262" s="990"/>
      <c r="BV262" s="990"/>
      <c r="BX262" s="990"/>
    </row>
    <row r="263" spans="55:76">
      <c r="BC263" s="990"/>
      <c r="BD263" s="990"/>
      <c r="BF263" s="990"/>
      <c r="BH263" s="990"/>
      <c r="BJ263" s="990"/>
      <c r="BO263" s="990"/>
      <c r="BP263" s="990"/>
      <c r="BQ263" s="990"/>
      <c r="BR263" s="990"/>
      <c r="BT263" s="990"/>
      <c r="BV263" s="990"/>
      <c r="BX263" s="990"/>
    </row>
    <row r="264" spans="55:76">
      <c r="BC264" s="990"/>
      <c r="BD264" s="990"/>
      <c r="BF264" s="990"/>
      <c r="BH264" s="990"/>
      <c r="BJ264" s="990"/>
      <c r="BO264" s="990"/>
      <c r="BP264" s="990"/>
      <c r="BQ264" s="990"/>
      <c r="BR264" s="990"/>
      <c r="BT264" s="990"/>
      <c r="BV264" s="990"/>
      <c r="BX264" s="990"/>
    </row>
    <row r="265" spans="55:76">
      <c r="BC265" s="990"/>
      <c r="BD265" s="990"/>
      <c r="BF265" s="990"/>
      <c r="BH265" s="990"/>
      <c r="BJ265" s="990"/>
      <c r="BO265" s="990"/>
      <c r="BP265" s="990"/>
      <c r="BQ265" s="990"/>
      <c r="BR265" s="990"/>
      <c r="BT265" s="990"/>
      <c r="BV265" s="990"/>
      <c r="BX265" s="990"/>
    </row>
    <row r="266" spans="55:76">
      <c r="BC266" s="990"/>
      <c r="BD266" s="990"/>
      <c r="BF266" s="990"/>
      <c r="BH266" s="990"/>
      <c r="BJ266" s="990"/>
      <c r="BO266" s="990"/>
      <c r="BP266" s="990"/>
      <c r="BQ266" s="990"/>
      <c r="BR266" s="990"/>
      <c r="BT266" s="990"/>
      <c r="BV266" s="990"/>
      <c r="BX266" s="990"/>
    </row>
    <row r="267" spans="55:76">
      <c r="BC267" s="990"/>
      <c r="BD267" s="990"/>
      <c r="BF267" s="990"/>
      <c r="BH267" s="990"/>
      <c r="BJ267" s="990"/>
      <c r="BO267" s="990"/>
      <c r="BP267" s="990"/>
      <c r="BQ267" s="990"/>
      <c r="BR267" s="990"/>
      <c r="BT267" s="990"/>
      <c r="BV267" s="990"/>
      <c r="BX267" s="990"/>
    </row>
    <row r="268" spans="55:76">
      <c r="BC268" s="990"/>
      <c r="BD268" s="990"/>
      <c r="BF268" s="990"/>
      <c r="BH268" s="990"/>
      <c r="BJ268" s="990"/>
      <c r="BO268" s="990"/>
      <c r="BP268" s="990"/>
      <c r="BQ268" s="990"/>
      <c r="BR268" s="990"/>
      <c r="BT268" s="990"/>
      <c r="BV268" s="990"/>
      <c r="BX268" s="990"/>
    </row>
    <row r="269" spans="55:76">
      <c r="BC269" s="990"/>
      <c r="BD269" s="990"/>
      <c r="BF269" s="990"/>
      <c r="BH269" s="990"/>
      <c r="BJ269" s="990"/>
      <c r="BO269" s="990"/>
      <c r="BP269" s="990"/>
      <c r="BQ269" s="990"/>
      <c r="BR269" s="990"/>
      <c r="BT269" s="990"/>
      <c r="BV269" s="990"/>
      <c r="BX269" s="990"/>
    </row>
    <row r="270" spans="55:76">
      <c r="BC270" s="990"/>
      <c r="BD270" s="990"/>
      <c r="BF270" s="990"/>
      <c r="BH270" s="990"/>
      <c r="BJ270" s="990"/>
      <c r="BO270" s="990"/>
      <c r="BP270" s="990"/>
      <c r="BQ270" s="990"/>
      <c r="BR270" s="990"/>
      <c r="BT270" s="990"/>
      <c r="BV270" s="990"/>
      <c r="BX270" s="990"/>
    </row>
    <row r="271" spans="55:76">
      <c r="BC271" s="990"/>
      <c r="BD271" s="990"/>
      <c r="BF271" s="990"/>
      <c r="BH271" s="990"/>
      <c r="BJ271" s="990"/>
      <c r="BO271" s="990"/>
      <c r="BP271" s="990"/>
      <c r="BQ271" s="990"/>
      <c r="BR271" s="990"/>
      <c r="BT271" s="990"/>
      <c r="BV271" s="990"/>
      <c r="BX271" s="990"/>
    </row>
    <row r="272" spans="55:76">
      <c r="BC272" s="990"/>
      <c r="BD272" s="990"/>
      <c r="BF272" s="990"/>
      <c r="BH272" s="990"/>
      <c r="BJ272" s="990"/>
      <c r="BO272" s="990"/>
      <c r="BP272" s="990"/>
      <c r="BQ272" s="990"/>
      <c r="BR272" s="990"/>
      <c r="BT272" s="990"/>
      <c r="BV272" s="990"/>
      <c r="BX272" s="990"/>
    </row>
    <row r="273" spans="55:76">
      <c r="BC273" s="990"/>
      <c r="BD273" s="990"/>
      <c r="BF273" s="990"/>
      <c r="BH273" s="990"/>
      <c r="BJ273" s="990"/>
      <c r="BO273" s="990"/>
      <c r="BP273" s="990"/>
      <c r="BQ273" s="990"/>
      <c r="BR273" s="990"/>
      <c r="BT273" s="990"/>
      <c r="BV273" s="990"/>
      <c r="BX273" s="990"/>
    </row>
    <row r="274" spans="55:76">
      <c r="BC274" s="990"/>
      <c r="BD274" s="990"/>
      <c r="BF274" s="990"/>
      <c r="BH274" s="990"/>
      <c r="BJ274" s="990"/>
      <c r="BO274" s="990"/>
      <c r="BP274" s="990"/>
      <c r="BQ274" s="990"/>
      <c r="BR274" s="990"/>
      <c r="BT274" s="990"/>
      <c r="BV274" s="990"/>
      <c r="BX274" s="990"/>
    </row>
    <row r="275" spans="55:76">
      <c r="BC275" s="990"/>
      <c r="BD275" s="990"/>
      <c r="BF275" s="990"/>
      <c r="BH275" s="990"/>
      <c r="BJ275" s="990"/>
      <c r="BO275" s="990"/>
      <c r="BP275" s="990"/>
      <c r="BQ275" s="990"/>
      <c r="BR275" s="990"/>
      <c r="BT275" s="990"/>
      <c r="BV275" s="990"/>
      <c r="BX275" s="990"/>
    </row>
    <row r="276" spans="55:76">
      <c r="BC276" s="990"/>
      <c r="BD276" s="990"/>
      <c r="BF276" s="990"/>
      <c r="BH276" s="990"/>
      <c r="BJ276" s="990"/>
      <c r="BO276" s="990"/>
      <c r="BP276" s="990"/>
      <c r="BQ276" s="990"/>
      <c r="BR276" s="990"/>
      <c r="BT276" s="990"/>
      <c r="BV276" s="990"/>
      <c r="BX276" s="990"/>
    </row>
    <row r="277" spans="55:76">
      <c r="BC277" s="990"/>
      <c r="BD277" s="990"/>
      <c r="BF277" s="990"/>
      <c r="BH277" s="990"/>
      <c r="BJ277" s="990"/>
      <c r="BO277" s="990"/>
      <c r="BP277" s="990"/>
      <c r="BQ277" s="990"/>
      <c r="BR277" s="990"/>
      <c r="BT277" s="990"/>
      <c r="BV277" s="990"/>
      <c r="BX277" s="990"/>
    </row>
    <row r="278" spans="55:76">
      <c r="BC278" s="990"/>
      <c r="BD278" s="990"/>
      <c r="BF278" s="990"/>
      <c r="BH278" s="990"/>
      <c r="BJ278" s="990"/>
      <c r="BO278" s="990"/>
      <c r="BP278" s="990"/>
      <c r="BQ278" s="990"/>
      <c r="BR278" s="990"/>
      <c r="BT278" s="990"/>
      <c r="BV278" s="990"/>
      <c r="BX278" s="990"/>
    </row>
    <row r="279" spans="55:76">
      <c r="BC279" s="990"/>
      <c r="BD279" s="990"/>
      <c r="BF279" s="990"/>
      <c r="BH279" s="990"/>
      <c r="BJ279" s="990"/>
      <c r="BO279" s="990"/>
      <c r="BP279" s="990"/>
      <c r="BQ279" s="990"/>
      <c r="BR279" s="990"/>
      <c r="BT279" s="990"/>
      <c r="BV279" s="990"/>
      <c r="BX279" s="990"/>
    </row>
    <row r="280" spans="55:76">
      <c r="BC280" s="990"/>
      <c r="BD280" s="990"/>
      <c r="BF280" s="990"/>
      <c r="BH280" s="990"/>
      <c r="BJ280" s="990"/>
      <c r="BO280" s="990"/>
      <c r="BP280" s="990"/>
      <c r="BQ280" s="990"/>
      <c r="BR280" s="990"/>
      <c r="BT280" s="990"/>
      <c r="BV280" s="990"/>
      <c r="BX280" s="990"/>
    </row>
    <row r="281" spans="55:76">
      <c r="BC281" s="990"/>
      <c r="BD281" s="990"/>
      <c r="BF281" s="990"/>
      <c r="BH281" s="990"/>
      <c r="BJ281" s="990"/>
      <c r="BO281" s="990"/>
      <c r="BP281" s="990"/>
      <c r="BQ281" s="990"/>
      <c r="BR281" s="990"/>
      <c r="BT281" s="990"/>
      <c r="BV281" s="990"/>
      <c r="BX281" s="990"/>
    </row>
    <row r="282" spans="55:76">
      <c r="BC282" s="990"/>
      <c r="BD282" s="990"/>
      <c r="BF282" s="990"/>
      <c r="BH282" s="990"/>
      <c r="BJ282" s="990"/>
      <c r="BO282" s="990"/>
      <c r="BP282" s="990"/>
      <c r="BQ282" s="990"/>
      <c r="BR282" s="990"/>
      <c r="BT282" s="990"/>
      <c r="BV282" s="990"/>
      <c r="BX282" s="990"/>
    </row>
    <row r="283" spans="55:76">
      <c r="BC283" s="990"/>
      <c r="BD283" s="990"/>
      <c r="BF283" s="990"/>
      <c r="BH283" s="990"/>
      <c r="BJ283" s="990"/>
      <c r="BO283" s="990"/>
      <c r="BP283" s="990"/>
      <c r="BQ283" s="990"/>
      <c r="BR283" s="990"/>
      <c r="BT283" s="990"/>
      <c r="BV283" s="990"/>
      <c r="BX283" s="990"/>
    </row>
    <row r="284" spans="55:76">
      <c r="BC284" s="990"/>
      <c r="BD284" s="990"/>
      <c r="BF284" s="990"/>
      <c r="BH284" s="990"/>
      <c r="BJ284" s="990"/>
      <c r="BO284" s="990"/>
      <c r="BP284" s="990"/>
      <c r="BQ284" s="990"/>
      <c r="BR284" s="990"/>
      <c r="BT284" s="990"/>
      <c r="BV284" s="990"/>
      <c r="BX284" s="990"/>
    </row>
    <row r="285" spans="55:76">
      <c r="BC285" s="990"/>
      <c r="BD285" s="990"/>
      <c r="BF285" s="990"/>
      <c r="BH285" s="990"/>
      <c r="BJ285" s="990"/>
      <c r="BO285" s="990"/>
      <c r="BP285" s="990"/>
      <c r="BQ285" s="990"/>
      <c r="BR285" s="990"/>
      <c r="BT285" s="990"/>
      <c r="BV285" s="990"/>
      <c r="BX285" s="990"/>
    </row>
    <row r="286" spans="55:76">
      <c r="BC286" s="990"/>
      <c r="BD286" s="990"/>
      <c r="BF286" s="990"/>
      <c r="BH286" s="990"/>
      <c r="BJ286" s="990"/>
      <c r="BO286" s="990"/>
      <c r="BP286" s="990"/>
      <c r="BQ286" s="990"/>
      <c r="BR286" s="990"/>
      <c r="BT286" s="990"/>
      <c r="BV286" s="990"/>
      <c r="BX286" s="990"/>
    </row>
    <row r="287" spans="55:76">
      <c r="BC287" s="990"/>
      <c r="BD287" s="990"/>
      <c r="BF287" s="990"/>
      <c r="BH287" s="990"/>
      <c r="BJ287" s="990"/>
      <c r="BO287" s="990"/>
      <c r="BP287" s="990"/>
      <c r="BQ287" s="990"/>
      <c r="BR287" s="990"/>
      <c r="BT287" s="990"/>
      <c r="BV287" s="990"/>
      <c r="BX287" s="990"/>
    </row>
    <row r="288" spans="55:76">
      <c r="BC288" s="990"/>
      <c r="BD288" s="990"/>
      <c r="BF288" s="990"/>
      <c r="BH288" s="990"/>
      <c r="BJ288" s="990"/>
      <c r="BO288" s="990"/>
      <c r="BP288" s="990"/>
      <c r="BQ288" s="990"/>
      <c r="BR288" s="990"/>
      <c r="BT288" s="990"/>
      <c r="BV288" s="990"/>
      <c r="BX288" s="990"/>
    </row>
    <row r="289" spans="55:76">
      <c r="BC289" s="990"/>
      <c r="BD289" s="990"/>
      <c r="BF289" s="990"/>
      <c r="BH289" s="990"/>
      <c r="BJ289" s="990"/>
      <c r="BO289" s="990"/>
      <c r="BP289" s="990"/>
      <c r="BQ289" s="990"/>
      <c r="BR289" s="990"/>
      <c r="BT289" s="990"/>
      <c r="BV289" s="990"/>
      <c r="BX289" s="990"/>
    </row>
    <row r="290" spans="55:76">
      <c r="BC290" s="990"/>
      <c r="BD290" s="990"/>
      <c r="BF290" s="990"/>
      <c r="BH290" s="990"/>
      <c r="BJ290" s="990"/>
      <c r="BO290" s="990"/>
      <c r="BP290" s="990"/>
      <c r="BQ290" s="990"/>
      <c r="BR290" s="990"/>
      <c r="BT290" s="990"/>
      <c r="BV290" s="990"/>
      <c r="BX290" s="990"/>
    </row>
    <row r="291" spans="55:76">
      <c r="BC291" s="990"/>
      <c r="BD291" s="990"/>
      <c r="BF291" s="990"/>
      <c r="BH291" s="990"/>
      <c r="BJ291" s="990"/>
      <c r="BO291" s="990"/>
      <c r="BP291" s="990"/>
      <c r="BQ291" s="990"/>
      <c r="BR291" s="990"/>
      <c r="BT291" s="990"/>
      <c r="BV291" s="990"/>
      <c r="BX291" s="990"/>
    </row>
    <row r="292" spans="55:76">
      <c r="BC292" s="990"/>
      <c r="BD292" s="990"/>
      <c r="BF292" s="990"/>
      <c r="BH292" s="990"/>
      <c r="BJ292" s="990"/>
      <c r="BO292" s="990"/>
      <c r="BP292" s="990"/>
      <c r="BQ292" s="990"/>
      <c r="BR292" s="990"/>
      <c r="BT292" s="990"/>
      <c r="BV292" s="990"/>
      <c r="BX292" s="990"/>
    </row>
    <row r="293" spans="55:76">
      <c r="BC293" s="990"/>
      <c r="BD293" s="990"/>
      <c r="BF293" s="990"/>
      <c r="BH293" s="990"/>
      <c r="BJ293" s="990"/>
      <c r="BO293" s="990"/>
      <c r="BP293" s="990"/>
      <c r="BQ293" s="990"/>
      <c r="BR293" s="990"/>
      <c r="BT293" s="990"/>
      <c r="BV293" s="990"/>
      <c r="BX293" s="990"/>
    </row>
    <row r="294" spans="55:76">
      <c r="BC294" s="990"/>
      <c r="BD294" s="990"/>
      <c r="BF294" s="990"/>
      <c r="BH294" s="990"/>
      <c r="BJ294" s="990"/>
      <c r="BO294" s="990"/>
      <c r="BP294" s="990"/>
      <c r="BQ294" s="990"/>
      <c r="BR294" s="990"/>
      <c r="BT294" s="990"/>
      <c r="BV294" s="990"/>
      <c r="BX294" s="990"/>
    </row>
    <row r="295" spans="55:76">
      <c r="BC295" s="990"/>
      <c r="BD295" s="990"/>
      <c r="BF295" s="990"/>
      <c r="BH295" s="990"/>
      <c r="BJ295" s="990"/>
      <c r="BO295" s="990"/>
      <c r="BP295" s="990"/>
      <c r="BQ295" s="990"/>
      <c r="BR295" s="990"/>
      <c r="BT295" s="990"/>
      <c r="BV295" s="990"/>
      <c r="BX295" s="990"/>
    </row>
    <row r="296" spans="55:76">
      <c r="BC296" s="990"/>
      <c r="BD296" s="990"/>
      <c r="BF296" s="990"/>
      <c r="BH296" s="990"/>
      <c r="BJ296" s="990"/>
      <c r="BO296" s="990"/>
      <c r="BP296" s="990"/>
      <c r="BQ296" s="990"/>
      <c r="BR296" s="990"/>
      <c r="BT296" s="990"/>
      <c r="BV296" s="990"/>
      <c r="BX296" s="990"/>
    </row>
    <row r="297" spans="55:76">
      <c r="BC297" s="990"/>
      <c r="BD297" s="990"/>
      <c r="BF297" s="990"/>
      <c r="BH297" s="990"/>
      <c r="BJ297" s="990"/>
      <c r="BO297" s="990"/>
      <c r="BP297" s="990"/>
      <c r="BQ297" s="990"/>
      <c r="BR297" s="990"/>
      <c r="BT297" s="990"/>
      <c r="BV297" s="990"/>
      <c r="BX297" s="990"/>
    </row>
    <row r="298" spans="55:76">
      <c r="BC298" s="990"/>
      <c r="BD298" s="990"/>
      <c r="BF298" s="990"/>
      <c r="BH298" s="990"/>
      <c r="BJ298" s="990"/>
      <c r="BO298" s="990"/>
      <c r="BP298" s="990"/>
      <c r="BQ298" s="990"/>
      <c r="BR298" s="990"/>
      <c r="BT298" s="990"/>
      <c r="BV298" s="990"/>
      <c r="BX298" s="990"/>
    </row>
    <row r="299" spans="55:76">
      <c r="BC299" s="990"/>
      <c r="BD299" s="990"/>
      <c r="BF299" s="990"/>
      <c r="BH299" s="990"/>
      <c r="BJ299" s="990"/>
      <c r="BO299" s="990"/>
      <c r="BP299" s="990"/>
      <c r="BQ299" s="990"/>
      <c r="BR299" s="990"/>
      <c r="BT299" s="990"/>
      <c r="BV299" s="990"/>
      <c r="BX299" s="990"/>
    </row>
    <row r="300" spans="55:76">
      <c r="BC300" s="990"/>
      <c r="BD300" s="990"/>
      <c r="BF300" s="990"/>
      <c r="BH300" s="990"/>
      <c r="BJ300" s="990"/>
      <c r="BO300" s="990"/>
      <c r="BP300" s="990"/>
      <c r="BQ300" s="990"/>
      <c r="BR300" s="990"/>
      <c r="BT300" s="990"/>
      <c r="BV300" s="990"/>
      <c r="BX300" s="990"/>
    </row>
    <row r="301" spans="55:76">
      <c r="BC301" s="990"/>
      <c r="BD301" s="990"/>
      <c r="BF301" s="990"/>
      <c r="BH301" s="990"/>
      <c r="BJ301" s="990"/>
      <c r="BO301" s="990"/>
      <c r="BP301" s="990"/>
      <c r="BQ301" s="990"/>
      <c r="BR301" s="990"/>
      <c r="BT301" s="990"/>
      <c r="BV301" s="990"/>
      <c r="BX301" s="990"/>
    </row>
    <row r="302" spans="55:76">
      <c r="BC302" s="990"/>
      <c r="BD302" s="990"/>
      <c r="BF302" s="990"/>
      <c r="BH302" s="990"/>
      <c r="BJ302" s="990"/>
      <c r="BO302" s="990"/>
      <c r="BP302" s="990"/>
      <c r="BQ302" s="990"/>
      <c r="BR302" s="990"/>
      <c r="BT302" s="990"/>
      <c r="BV302" s="990"/>
      <c r="BX302" s="990"/>
    </row>
    <row r="303" spans="55:76">
      <c r="BC303" s="990"/>
      <c r="BD303" s="990"/>
      <c r="BF303" s="990"/>
      <c r="BH303" s="990"/>
      <c r="BJ303" s="990"/>
      <c r="BO303" s="990"/>
      <c r="BP303" s="990"/>
      <c r="BQ303" s="990"/>
      <c r="BR303" s="990"/>
      <c r="BT303" s="990"/>
      <c r="BV303" s="990"/>
      <c r="BX303" s="990"/>
    </row>
    <row r="304" spans="55:76">
      <c r="BC304" s="990"/>
      <c r="BD304" s="990"/>
      <c r="BF304" s="990"/>
      <c r="BH304" s="990"/>
      <c r="BJ304" s="990"/>
      <c r="BO304" s="990"/>
      <c r="BP304" s="990"/>
      <c r="BQ304" s="990"/>
      <c r="BR304" s="990"/>
      <c r="BT304" s="990"/>
      <c r="BV304" s="990"/>
      <c r="BX304" s="990"/>
    </row>
    <row r="305" spans="55:76">
      <c r="BC305" s="990"/>
      <c r="BD305" s="990"/>
      <c r="BF305" s="990"/>
      <c r="BH305" s="990"/>
      <c r="BJ305" s="990"/>
      <c r="BO305" s="990"/>
      <c r="BP305" s="990"/>
      <c r="BQ305" s="990"/>
      <c r="BR305" s="990"/>
      <c r="BT305" s="990"/>
      <c r="BV305" s="990"/>
      <c r="BX305" s="990"/>
    </row>
    <row r="306" spans="55:76">
      <c r="BC306" s="990"/>
      <c r="BD306" s="990"/>
      <c r="BF306" s="990"/>
      <c r="BH306" s="990"/>
      <c r="BJ306" s="990"/>
      <c r="BO306" s="990"/>
      <c r="BP306" s="990"/>
      <c r="BQ306" s="990"/>
      <c r="BR306" s="990"/>
      <c r="BT306" s="990"/>
      <c r="BV306" s="990"/>
      <c r="BX306" s="990"/>
    </row>
    <row r="307" spans="55:76">
      <c r="BC307" s="990"/>
      <c r="BD307" s="990"/>
      <c r="BF307" s="990"/>
      <c r="BH307" s="990"/>
      <c r="BJ307" s="990"/>
      <c r="BO307" s="990"/>
      <c r="BP307" s="990"/>
      <c r="BQ307" s="990"/>
      <c r="BR307" s="990"/>
      <c r="BT307" s="990"/>
      <c r="BV307" s="990"/>
      <c r="BX307" s="990"/>
    </row>
    <row r="308" spans="55:76">
      <c r="BC308" s="990"/>
      <c r="BD308" s="990"/>
      <c r="BF308" s="990"/>
      <c r="BH308" s="990"/>
      <c r="BJ308" s="990"/>
      <c r="BO308" s="990"/>
      <c r="BP308" s="990"/>
      <c r="BQ308" s="990"/>
      <c r="BR308" s="990"/>
      <c r="BT308" s="990"/>
      <c r="BV308" s="990"/>
      <c r="BX308" s="990"/>
    </row>
    <row r="309" spans="55:76">
      <c r="BC309" s="990"/>
      <c r="BD309" s="990"/>
      <c r="BF309" s="990"/>
      <c r="BH309" s="990"/>
      <c r="BJ309" s="990"/>
      <c r="BO309" s="990"/>
      <c r="BP309" s="990"/>
      <c r="BQ309" s="990"/>
      <c r="BR309" s="990"/>
      <c r="BT309" s="990"/>
      <c r="BV309" s="990"/>
      <c r="BX309" s="990"/>
    </row>
    <row r="310" spans="55:76">
      <c r="BC310" s="990"/>
      <c r="BD310" s="990"/>
      <c r="BF310" s="990"/>
      <c r="BH310" s="990"/>
      <c r="BJ310" s="990"/>
      <c r="BO310" s="990"/>
      <c r="BP310" s="990"/>
      <c r="BQ310" s="990"/>
      <c r="BR310" s="990"/>
      <c r="BT310" s="990"/>
      <c r="BV310" s="990"/>
      <c r="BX310" s="990"/>
    </row>
    <row r="311" spans="55:76">
      <c r="BC311" s="990"/>
      <c r="BD311" s="990"/>
      <c r="BF311" s="990"/>
      <c r="BH311" s="990"/>
      <c r="BJ311" s="990"/>
      <c r="BO311" s="990"/>
      <c r="BP311" s="990"/>
      <c r="BQ311" s="990"/>
      <c r="BR311" s="990"/>
      <c r="BT311" s="990"/>
      <c r="BV311" s="990"/>
      <c r="BX311" s="990"/>
    </row>
    <row r="312" spans="55:76">
      <c r="BC312" s="990"/>
      <c r="BD312" s="990"/>
      <c r="BF312" s="990"/>
      <c r="BH312" s="990"/>
      <c r="BJ312" s="990"/>
      <c r="BO312" s="990"/>
      <c r="BP312" s="990"/>
      <c r="BQ312" s="990"/>
      <c r="BR312" s="990"/>
      <c r="BT312" s="990"/>
      <c r="BV312" s="990"/>
      <c r="BX312" s="990"/>
    </row>
    <row r="313" spans="55:76">
      <c r="BC313" s="990"/>
      <c r="BD313" s="990"/>
      <c r="BF313" s="990"/>
      <c r="BH313" s="990"/>
      <c r="BJ313" s="990"/>
      <c r="BO313" s="990"/>
      <c r="BP313" s="990"/>
      <c r="BQ313" s="990"/>
      <c r="BR313" s="990"/>
      <c r="BT313" s="990"/>
      <c r="BV313" s="990"/>
      <c r="BX313" s="990"/>
    </row>
    <row r="314" spans="55:76">
      <c r="BC314" s="990"/>
      <c r="BD314" s="990"/>
      <c r="BF314" s="990"/>
      <c r="BH314" s="990"/>
      <c r="BJ314" s="990"/>
      <c r="BO314" s="990"/>
      <c r="BP314" s="990"/>
      <c r="BQ314" s="990"/>
      <c r="BR314" s="990"/>
      <c r="BT314" s="990"/>
      <c r="BV314" s="990"/>
      <c r="BX314" s="990"/>
    </row>
    <row r="315" spans="55:76">
      <c r="BC315" s="990"/>
      <c r="BD315" s="990"/>
      <c r="BF315" s="990"/>
      <c r="BH315" s="990"/>
      <c r="BJ315" s="990"/>
      <c r="BO315" s="990"/>
      <c r="BP315" s="990"/>
      <c r="BQ315" s="990"/>
      <c r="BR315" s="990"/>
      <c r="BT315" s="990"/>
      <c r="BV315" s="990"/>
      <c r="BX315" s="990"/>
    </row>
    <row r="316" spans="55:76">
      <c r="BC316" s="990"/>
      <c r="BD316" s="990"/>
      <c r="BF316" s="990"/>
      <c r="BH316" s="990"/>
      <c r="BJ316" s="990"/>
      <c r="BO316" s="990"/>
      <c r="BP316" s="990"/>
      <c r="BQ316" s="990"/>
      <c r="BR316" s="990"/>
      <c r="BT316" s="990"/>
      <c r="BV316" s="990"/>
      <c r="BX316" s="990"/>
    </row>
    <row r="317" spans="55:76">
      <c r="BC317" s="990"/>
      <c r="BD317" s="990"/>
      <c r="BF317" s="990"/>
      <c r="BH317" s="990"/>
      <c r="BJ317" s="990"/>
      <c r="BO317" s="990"/>
      <c r="BP317" s="990"/>
      <c r="BQ317" s="990"/>
      <c r="BR317" s="990"/>
      <c r="BT317" s="990"/>
      <c r="BV317" s="990"/>
      <c r="BX317" s="990"/>
    </row>
    <row r="318" spans="55:76">
      <c r="BC318" s="990"/>
      <c r="BD318" s="990"/>
      <c r="BF318" s="990"/>
      <c r="BH318" s="990"/>
      <c r="BJ318" s="990"/>
      <c r="BO318" s="990"/>
      <c r="BP318" s="990"/>
      <c r="BQ318" s="990"/>
      <c r="BR318" s="990"/>
      <c r="BT318" s="990"/>
      <c r="BV318" s="990"/>
      <c r="BX318" s="990"/>
    </row>
    <row r="319" spans="55:76">
      <c r="BC319" s="990"/>
      <c r="BD319" s="990"/>
      <c r="BF319" s="990"/>
      <c r="BH319" s="990"/>
      <c r="BJ319" s="990"/>
      <c r="BO319" s="990"/>
      <c r="BP319" s="990"/>
      <c r="BQ319" s="990"/>
      <c r="BR319" s="990"/>
      <c r="BT319" s="990"/>
      <c r="BV319" s="990"/>
      <c r="BX319" s="990"/>
    </row>
    <row r="320" spans="55:76">
      <c r="BC320" s="990"/>
      <c r="BD320" s="990"/>
      <c r="BF320" s="990"/>
      <c r="BH320" s="990"/>
      <c r="BJ320" s="990"/>
      <c r="BO320" s="990"/>
      <c r="BP320" s="990"/>
      <c r="BQ320" s="990"/>
      <c r="BR320" s="990"/>
      <c r="BT320" s="990"/>
      <c r="BV320" s="990"/>
      <c r="BX320" s="990"/>
    </row>
    <row r="321" spans="55:76">
      <c r="BC321" s="990"/>
      <c r="BD321" s="990"/>
      <c r="BF321" s="990"/>
      <c r="BH321" s="990"/>
      <c r="BJ321" s="990"/>
      <c r="BO321" s="990"/>
      <c r="BP321" s="990"/>
      <c r="BQ321" s="990"/>
      <c r="BR321" s="990"/>
      <c r="BT321" s="990"/>
      <c r="BV321" s="990"/>
      <c r="BX321" s="990"/>
    </row>
    <row r="322" spans="55:76">
      <c r="BC322" s="990"/>
      <c r="BD322" s="990"/>
      <c r="BF322" s="990"/>
      <c r="BH322" s="990"/>
      <c r="BJ322" s="990"/>
      <c r="BO322" s="990"/>
      <c r="BP322" s="990"/>
      <c r="BQ322" s="990"/>
      <c r="BR322" s="990"/>
      <c r="BT322" s="990"/>
      <c r="BV322" s="990"/>
      <c r="BX322" s="990"/>
    </row>
    <row r="323" spans="55:76">
      <c r="BC323" s="990"/>
      <c r="BD323" s="990"/>
      <c r="BF323" s="990"/>
      <c r="BH323" s="990"/>
      <c r="BJ323" s="990"/>
      <c r="BO323" s="990"/>
      <c r="BP323" s="990"/>
      <c r="BQ323" s="990"/>
      <c r="BR323" s="990"/>
      <c r="BT323" s="990"/>
      <c r="BV323" s="990"/>
      <c r="BX323" s="990"/>
    </row>
    <row r="324" spans="55:76">
      <c r="BC324" s="990"/>
      <c r="BD324" s="990"/>
      <c r="BF324" s="990"/>
      <c r="BH324" s="990"/>
      <c r="BJ324" s="990"/>
      <c r="BO324" s="990"/>
      <c r="BP324" s="990"/>
      <c r="BQ324" s="990"/>
      <c r="BR324" s="990"/>
      <c r="BT324" s="990"/>
      <c r="BV324" s="990"/>
      <c r="BX324" s="990"/>
    </row>
    <row r="325" spans="55:76">
      <c r="BC325" s="990"/>
      <c r="BD325" s="990"/>
      <c r="BF325" s="990"/>
      <c r="BH325" s="990"/>
      <c r="BJ325" s="990"/>
      <c r="BO325" s="990"/>
      <c r="BP325" s="990"/>
      <c r="BQ325" s="990"/>
      <c r="BR325" s="990"/>
      <c r="BT325" s="990"/>
      <c r="BV325" s="990"/>
      <c r="BX325" s="990"/>
    </row>
    <row r="326" spans="55:76">
      <c r="BC326" s="990"/>
      <c r="BD326" s="990"/>
      <c r="BF326" s="990"/>
      <c r="BH326" s="990"/>
      <c r="BJ326" s="990"/>
      <c r="BO326" s="990"/>
      <c r="BP326" s="990"/>
      <c r="BQ326" s="990"/>
      <c r="BR326" s="990"/>
      <c r="BT326" s="990"/>
      <c r="BV326" s="990"/>
      <c r="BX326" s="990"/>
    </row>
    <row r="327" spans="55:76">
      <c r="BC327" s="990"/>
      <c r="BD327" s="990"/>
      <c r="BF327" s="990"/>
      <c r="BH327" s="990"/>
      <c r="BJ327" s="990"/>
      <c r="BO327" s="990"/>
      <c r="BP327" s="990"/>
      <c r="BQ327" s="990"/>
      <c r="BR327" s="990"/>
      <c r="BT327" s="990"/>
      <c r="BV327" s="990"/>
      <c r="BX327" s="990"/>
    </row>
    <row r="328" spans="55:76">
      <c r="BC328" s="990"/>
      <c r="BD328" s="990"/>
      <c r="BF328" s="990"/>
      <c r="BH328" s="990"/>
      <c r="BJ328" s="990"/>
      <c r="BO328" s="990"/>
      <c r="BP328" s="990"/>
      <c r="BQ328" s="990"/>
      <c r="BR328" s="990"/>
      <c r="BT328" s="990"/>
      <c r="BV328" s="990"/>
      <c r="BX328" s="990"/>
    </row>
    <row r="329" spans="55:76">
      <c r="BC329" s="990"/>
      <c r="BD329" s="990"/>
      <c r="BF329" s="990"/>
      <c r="BH329" s="990"/>
      <c r="BJ329" s="990"/>
      <c r="BO329" s="990"/>
      <c r="BP329" s="990"/>
      <c r="BQ329" s="990"/>
      <c r="BR329" s="990"/>
      <c r="BT329" s="990"/>
      <c r="BV329" s="990"/>
      <c r="BX329" s="990"/>
    </row>
    <row r="330" spans="55:76">
      <c r="BC330" s="990"/>
      <c r="BD330" s="990"/>
      <c r="BF330" s="990"/>
      <c r="BH330" s="990"/>
      <c r="BJ330" s="990"/>
      <c r="BO330" s="990"/>
      <c r="BP330" s="990"/>
      <c r="BQ330" s="990"/>
      <c r="BR330" s="990"/>
      <c r="BT330" s="990"/>
      <c r="BV330" s="990"/>
      <c r="BX330" s="990"/>
    </row>
    <row r="331" spans="55:76">
      <c r="BC331" s="990"/>
      <c r="BD331" s="990"/>
      <c r="BF331" s="990"/>
      <c r="BH331" s="990"/>
      <c r="BJ331" s="990"/>
      <c r="BO331" s="990"/>
      <c r="BP331" s="990"/>
      <c r="BQ331" s="990"/>
      <c r="BR331" s="990"/>
      <c r="BT331" s="990"/>
      <c r="BV331" s="990"/>
      <c r="BX331" s="990"/>
    </row>
    <row r="332" spans="55:76">
      <c r="BC332" s="990"/>
      <c r="BD332" s="990"/>
      <c r="BF332" s="990"/>
      <c r="BH332" s="990"/>
      <c r="BJ332" s="990"/>
      <c r="BO332" s="990"/>
      <c r="BP332" s="990"/>
      <c r="BQ332" s="990"/>
      <c r="BR332" s="990"/>
      <c r="BT332" s="990"/>
      <c r="BV332" s="990"/>
      <c r="BX332" s="990"/>
    </row>
    <row r="333" spans="55:76">
      <c r="BC333" s="990"/>
      <c r="BD333" s="990"/>
      <c r="BF333" s="990"/>
      <c r="BH333" s="990"/>
      <c r="BJ333" s="990"/>
      <c r="BO333" s="990"/>
      <c r="BP333" s="990"/>
      <c r="BQ333" s="990"/>
      <c r="BR333" s="990"/>
      <c r="BT333" s="990"/>
      <c r="BV333" s="990"/>
      <c r="BX333" s="990"/>
    </row>
    <row r="334" spans="55:76">
      <c r="BC334" s="990"/>
      <c r="BD334" s="990"/>
      <c r="BF334" s="990"/>
      <c r="BH334" s="990"/>
      <c r="BJ334" s="990"/>
      <c r="BO334" s="990"/>
      <c r="BP334" s="990"/>
      <c r="BQ334" s="990"/>
      <c r="BR334" s="990"/>
      <c r="BT334" s="990"/>
      <c r="BV334" s="990"/>
      <c r="BX334" s="990"/>
    </row>
    <row r="335" spans="55:76">
      <c r="BC335" s="990"/>
      <c r="BD335" s="990"/>
      <c r="BF335" s="990"/>
      <c r="BH335" s="990"/>
      <c r="BJ335" s="990"/>
      <c r="BO335" s="990"/>
      <c r="BP335" s="990"/>
      <c r="BQ335" s="990"/>
      <c r="BR335" s="990"/>
      <c r="BT335" s="990"/>
      <c r="BV335" s="990"/>
      <c r="BX335" s="990"/>
    </row>
    <row r="336" spans="55:76">
      <c r="BC336" s="990"/>
      <c r="BD336" s="990"/>
      <c r="BF336" s="990"/>
      <c r="BH336" s="990"/>
      <c r="BJ336" s="990"/>
      <c r="BO336" s="990"/>
      <c r="BP336" s="990"/>
      <c r="BQ336" s="990"/>
      <c r="BR336" s="990"/>
      <c r="BT336" s="990"/>
      <c r="BV336" s="990"/>
      <c r="BX336" s="990"/>
    </row>
    <row r="337" spans="55:76">
      <c r="BC337" s="990"/>
      <c r="BD337" s="990"/>
      <c r="BF337" s="990"/>
      <c r="BH337" s="990"/>
      <c r="BJ337" s="990"/>
      <c r="BO337" s="990"/>
      <c r="BP337" s="990"/>
      <c r="BQ337" s="990"/>
      <c r="BR337" s="990"/>
      <c r="BT337" s="990"/>
      <c r="BV337" s="990"/>
      <c r="BX337" s="990"/>
    </row>
    <row r="338" spans="55:76">
      <c r="BC338" s="990"/>
      <c r="BD338" s="990"/>
      <c r="BF338" s="990"/>
      <c r="BH338" s="990"/>
      <c r="BJ338" s="990"/>
      <c r="BO338" s="990"/>
      <c r="BP338" s="990"/>
      <c r="BQ338" s="990"/>
      <c r="BR338" s="990"/>
      <c r="BT338" s="990"/>
      <c r="BV338" s="990"/>
      <c r="BX338" s="990"/>
    </row>
    <row r="339" spans="55:76">
      <c r="BC339" s="990"/>
      <c r="BD339" s="990"/>
      <c r="BF339" s="990"/>
      <c r="BH339" s="990"/>
      <c r="BJ339" s="990"/>
      <c r="BO339" s="990"/>
      <c r="BP339" s="990"/>
      <c r="BQ339" s="990"/>
      <c r="BR339" s="990"/>
      <c r="BT339" s="990"/>
      <c r="BV339" s="990"/>
      <c r="BX339" s="990"/>
    </row>
    <row r="340" spans="55:76">
      <c r="BC340" s="990"/>
      <c r="BD340" s="990"/>
      <c r="BF340" s="990"/>
      <c r="BH340" s="990"/>
      <c r="BJ340" s="990"/>
      <c r="BO340" s="990"/>
      <c r="BP340" s="990"/>
      <c r="BQ340" s="990"/>
      <c r="BR340" s="990"/>
      <c r="BT340" s="990"/>
      <c r="BV340" s="990"/>
      <c r="BX340" s="990"/>
    </row>
    <row r="341" spans="55:76">
      <c r="BC341" s="990"/>
      <c r="BD341" s="990"/>
      <c r="BF341" s="990"/>
      <c r="BH341" s="990"/>
      <c r="BJ341" s="990"/>
      <c r="BO341" s="990"/>
      <c r="BP341" s="990"/>
      <c r="BQ341" s="990"/>
      <c r="BR341" s="990"/>
      <c r="BT341" s="990"/>
      <c r="BV341" s="990"/>
      <c r="BX341" s="990"/>
    </row>
    <row r="342" spans="55:76">
      <c r="BC342" s="990"/>
      <c r="BD342" s="990"/>
      <c r="BF342" s="990"/>
      <c r="BH342" s="990"/>
      <c r="BJ342" s="990"/>
      <c r="BO342" s="990"/>
      <c r="BP342" s="990"/>
      <c r="BQ342" s="990"/>
      <c r="BR342" s="990"/>
      <c r="BT342" s="990"/>
      <c r="BV342" s="990"/>
      <c r="BX342" s="990"/>
    </row>
    <row r="343" spans="55:76">
      <c r="BC343" s="990"/>
      <c r="BD343" s="990"/>
      <c r="BF343" s="990"/>
      <c r="BH343" s="990"/>
      <c r="BJ343" s="990"/>
      <c r="BO343" s="990"/>
      <c r="BP343" s="990"/>
      <c r="BQ343" s="990"/>
      <c r="BR343" s="990"/>
      <c r="BT343" s="990"/>
      <c r="BV343" s="990"/>
      <c r="BX343" s="990"/>
    </row>
    <row r="344" spans="55:76">
      <c r="BC344" s="990"/>
      <c r="BD344" s="990"/>
      <c r="BF344" s="990"/>
      <c r="BH344" s="990"/>
      <c r="BJ344" s="990"/>
      <c r="BO344" s="990"/>
      <c r="BP344" s="990"/>
      <c r="BQ344" s="990"/>
      <c r="BR344" s="990"/>
      <c r="BT344" s="990"/>
      <c r="BV344" s="990"/>
      <c r="BX344" s="990"/>
    </row>
    <row r="345" spans="55:76">
      <c r="BC345" s="990"/>
      <c r="BD345" s="990"/>
      <c r="BF345" s="990"/>
      <c r="BH345" s="990"/>
      <c r="BJ345" s="990"/>
      <c r="BO345" s="990"/>
      <c r="BP345" s="990"/>
      <c r="BQ345" s="990"/>
      <c r="BR345" s="990"/>
      <c r="BT345" s="990"/>
      <c r="BV345" s="990"/>
      <c r="BX345" s="990"/>
    </row>
    <row r="346" spans="55:76">
      <c r="BC346" s="990"/>
      <c r="BD346" s="990"/>
      <c r="BF346" s="990"/>
      <c r="BH346" s="990"/>
      <c r="BJ346" s="990"/>
      <c r="BO346" s="990"/>
      <c r="BP346" s="990"/>
      <c r="BQ346" s="990"/>
      <c r="BR346" s="990"/>
      <c r="BT346" s="990"/>
      <c r="BV346" s="990"/>
      <c r="BX346" s="990"/>
    </row>
    <row r="347" spans="55:76">
      <c r="BC347" s="990"/>
      <c r="BD347" s="990"/>
      <c r="BF347" s="990"/>
      <c r="BH347" s="990"/>
      <c r="BJ347" s="990"/>
      <c r="BO347" s="990"/>
      <c r="BP347" s="990"/>
      <c r="BQ347" s="990"/>
      <c r="BR347" s="990"/>
      <c r="BT347" s="990"/>
      <c r="BV347" s="990"/>
      <c r="BX347" s="990"/>
    </row>
    <row r="348" spans="55:76">
      <c r="BC348" s="990"/>
      <c r="BD348" s="990"/>
      <c r="BF348" s="990"/>
      <c r="BH348" s="990"/>
      <c r="BJ348" s="990"/>
      <c r="BO348" s="990"/>
      <c r="BP348" s="990"/>
      <c r="BQ348" s="990"/>
      <c r="BR348" s="990"/>
      <c r="BT348" s="990"/>
      <c r="BV348" s="990"/>
      <c r="BX348" s="990"/>
    </row>
    <row r="349" spans="55:76">
      <c r="BC349" s="990"/>
      <c r="BD349" s="990"/>
      <c r="BF349" s="990"/>
      <c r="BH349" s="990"/>
      <c r="BJ349" s="990"/>
      <c r="BO349" s="990"/>
      <c r="BP349" s="990"/>
      <c r="BQ349" s="990"/>
      <c r="BR349" s="990"/>
      <c r="BT349" s="990"/>
      <c r="BV349" s="990"/>
      <c r="BX349" s="990"/>
    </row>
    <row r="350" spans="55:76">
      <c r="BC350" s="990"/>
      <c r="BD350" s="990"/>
      <c r="BF350" s="990"/>
      <c r="BH350" s="990"/>
      <c r="BJ350" s="990"/>
      <c r="BO350" s="990"/>
      <c r="BP350" s="990"/>
      <c r="BQ350" s="990"/>
      <c r="BR350" s="990"/>
      <c r="BT350" s="990"/>
      <c r="BV350" s="990"/>
      <c r="BX350" s="990"/>
    </row>
    <row r="351" spans="55:76">
      <c r="BC351" s="990"/>
      <c r="BD351" s="990"/>
      <c r="BF351" s="990"/>
      <c r="BH351" s="990"/>
      <c r="BJ351" s="990"/>
      <c r="BO351" s="990"/>
      <c r="BP351" s="990"/>
      <c r="BQ351" s="990"/>
      <c r="BR351" s="990"/>
      <c r="BT351" s="990"/>
      <c r="BV351" s="990"/>
      <c r="BX351" s="990"/>
    </row>
    <row r="352" spans="55:76">
      <c r="BC352" s="990"/>
      <c r="BD352" s="990"/>
      <c r="BF352" s="990"/>
      <c r="BH352" s="990"/>
      <c r="BJ352" s="990"/>
      <c r="BO352" s="990"/>
      <c r="BP352" s="990"/>
      <c r="BQ352" s="990"/>
      <c r="BR352" s="990"/>
      <c r="BT352" s="990"/>
      <c r="BV352" s="990"/>
      <c r="BX352" s="990"/>
    </row>
    <row r="353" spans="55:76">
      <c r="BC353" s="990"/>
      <c r="BD353" s="990"/>
      <c r="BF353" s="990"/>
      <c r="BH353" s="990"/>
      <c r="BJ353" s="990"/>
      <c r="BO353" s="990"/>
      <c r="BP353" s="990"/>
      <c r="BQ353" s="990"/>
      <c r="BR353" s="990"/>
      <c r="BT353" s="990"/>
      <c r="BV353" s="990"/>
      <c r="BX353" s="990"/>
    </row>
    <row r="354" spans="55:76">
      <c r="BC354" s="990"/>
      <c r="BD354" s="990"/>
      <c r="BF354" s="990"/>
      <c r="BH354" s="990"/>
      <c r="BJ354" s="990"/>
      <c r="BO354" s="990"/>
      <c r="BP354" s="990"/>
      <c r="BQ354" s="990"/>
      <c r="BR354" s="990"/>
      <c r="BT354" s="990"/>
      <c r="BV354" s="990"/>
      <c r="BX354" s="990"/>
    </row>
    <row r="355" spans="55:76">
      <c r="BC355" s="990"/>
      <c r="BD355" s="990"/>
      <c r="BF355" s="990"/>
      <c r="BH355" s="990"/>
      <c r="BJ355" s="990"/>
      <c r="BO355" s="990"/>
      <c r="BP355" s="990"/>
      <c r="BQ355" s="990"/>
      <c r="BR355" s="990"/>
      <c r="BT355" s="990"/>
      <c r="BV355" s="990"/>
      <c r="BX355" s="990"/>
    </row>
    <row r="356" spans="55:76">
      <c r="BC356" s="990"/>
      <c r="BD356" s="990"/>
      <c r="BF356" s="990"/>
      <c r="BH356" s="990"/>
      <c r="BJ356" s="990"/>
      <c r="BO356" s="990"/>
      <c r="BP356" s="990"/>
      <c r="BQ356" s="990"/>
      <c r="BR356" s="990"/>
      <c r="BT356" s="990"/>
      <c r="BV356" s="990"/>
      <c r="BX356" s="990"/>
    </row>
    <row r="357" spans="55:76">
      <c r="BC357" s="990"/>
      <c r="BD357" s="990"/>
      <c r="BF357" s="990"/>
      <c r="BH357" s="990"/>
      <c r="BJ357" s="990"/>
      <c r="BO357" s="990"/>
      <c r="BP357" s="990"/>
      <c r="BQ357" s="990"/>
      <c r="BR357" s="990"/>
      <c r="BT357" s="990"/>
      <c r="BV357" s="990"/>
      <c r="BX357" s="990"/>
    </row>
    <row r="358" spans="55:76">
      <c r="BC358" s="990"/>
      <c r="BD358" s="990"/>
      <c r="BF358" s="990"/>
      <c r="BH358" s="990"/>
      <c r="BJ358" s="990"/>
      <c r="BO358" s="990"/>
      <c r="BP358" s="990"/>
      <c r="BQ358" s="990"/>
      <c r="BR358" s="990"/>
      <c r="BT358" s="990"/>
      <c r="BV358" s="990"/>
      <c r="BX358" s="990"/>
    </row>
    <row r="359" spans="55:76">
      <c r="BC359" s="990"/>
      <c r="BD359" s="990"/>
      <c r="BF359" s="990"/>
      <c r="BH359" s="990"/>
      <c r="BJ359" s="990"/>
      <c r="BO359" s="990"/>
      <c r="BP359" s="990"/>
      <c r="BQ359" s="990"/>
      <c r="BR359" s="990"/>
      <c r="BT359" s="990"/>
      <c r="BV359" s="990"/>
      <c r="BX359" s="990"/>
    </row>
    <row r="360" spans="55:76">
      <c r="BC360" s="990"/>
      <c r="BD360" s="990"/>
      <c r="BF360" s="990"/>
      <c r="BH360" s="990"/>
      <c r="BJ360" s="990"/>
      <c r="BO360" s="990"/>
      <c r="BP360" s="990"/>
      <c r="BQ360" s="990"/>
      <c r="BR360" s="990"/>
      <c r="BT360" s="990"/>
      <c r="BV360" s="990"/>
      <c r="BX360" s="990"/>
    </row>
    <row r="361" spans="55:76">
      <c r="BC361" s="990"/>
      <c r="BD361" s="990"/>
      <c r="BF361" s="990"/>
      <c r="BH361" s="990"/>
      <c r="BJ361" s="990"/>
      <c r="BO361" s="990"/>
      <c r="BP361" s="990"/>
      <c r="BQ361" s="990"/>
      <c r="BR361" s="990"/>
      <c r="BT361" s="990"/>
      <c r="BV361" s="990"/>
      <c r="BX361" s="990"/>
    </row>
    <row r="362" spans="55:76">
      <c r="BC362" s="990"/>
      <c r="BD362" s="990"/>
      <c r="BF362" s="990"/>
      <c r="BH362" s="990"/>
      <c r="BJ362" s="990"/>
      <c r="BO362" s="990"/>
      <c r="BP362" s="990"/>
      <c r="BQ362" s="990"/>
      <c r="BR362" s="990"/>
      <c r="BT362" s="990"/>
      <c r="BV362" s="990"/>
      <c r="BX362" s="990"/>
    </row>
    <row r="363" spans="55:76">
      <c r="BC363" s="990"/>
      <c r="BD363" s="990"/>
      <c r="BF363" s="990"/>
      <c r="BH363" s="990"/>
      <c r="BJ363" s="990"/>
      <c r="BO363" s="990"/>
      <c r="BP363" s="990"/>
      <c r="BQ363" s="990"/>
      <c r="BR363" s="990"/>
      <c r="BT363" s="990"/>
      <c r="BV363" s="990"/>
      <c r="BX363" s="990"/>
    </row>
    <row r="364" spans="55:76">
      <c r="BC364" s="990"/>
      <c r="BD364" s="990"/>
      <c r="BF364" s="990"/>
      <c r="BH364" s="990"/>
      <c r="BJ364" s="990"/>
      <c r="BO364" s="990"/>
      <c r="BP364" s="990"/>
      <c r="BQ364" s="990"/>
      <c r="BR364" s="990"/>
      <c r="BT364" s="990"/>
      <c r="BV364" s="990"/>
      <c r="BX364" s="990"/>
    </row>
    <row r="365" spans="55:76">
      <c r="BC365" s="990"/>
      <c r="BD365" s="990"/>
      <c r="BF365" s="990"/>
      <c r="BH365" s="990"/>
      <c r="BJ365" s="990"/>
      <c r="BO365" s="990"/>
      <c r="BP365" s="990"/>
      <c r="BQ365" s="990"/>
      <c r="BR365" s="990"/>
      <c r="BT365" s="990"/>
      <c r="BV365" s="990"/>
      <c r="BX365" s="990"/>
    </row>
    <row r="366" spans="55:76">
      <c r="BC366" s="990"/>
      <c r="BD366" s="990"/>
      <c r="BF366" s="990"/>
      <c r="BH366" s="990"/>
      <c r="BJ366" s="990"/>
      <c r="BO366" s="990"/>
      <c r="BP366" s="990"/>
      <c r="BQ366" s="990"/>
      <c r="BR366" s="990"/>
      <c r="BT366" s="990"/>
      <c r="BV366" s="990"/>
      <c r="BX366" s="990"/>
    </row>
    <row r="367" spans="55:76">
      <c r="BC367" s="990"/>
      <c r="BD367" s="990"/>
      <c r="BF367" s="990"/>
      <c r="BH367" s="990"/>
      <c r="BJ367" s="990"/>
      <c r="BO367" s="990"/>
      <c r="BP367" s="990"/>
      <c r="BQ367" s="990"/>
      <c r="BR367" s="990"/>
      <c r="BT367" s="990"/>
      <c r="BV367" s="990"/>
      <c r="BX367" s="990"/>
    </row>
    <row r="368" spans="55:76">
      <c r="BC368" s="990"/>
      <c r="BD368" s="990"/>
      <c r="BF368" s="990"/>
      <c r="BH368" s="990"/>
      <c r="BJ368" s="990"/>
      <c r="BO368" s="990"/>
      <c r="BP368" s="990"/>
      <c r="BQ368" s="990"/>
      <c r="BR368" s="990"/>
      <c r="BT368" s="990"/>
      <c r="BV368" s="990"/>
      <c r="BX368" s="990"/>
    </row>
    <row r="369" spans="55:76">
      <c r="BC369" s="990"/>
      <c r="BD369" s="990"/>
      <c r="BF369" s="990"/>
      <c r="BH369" s="990"/>
      <c r="BJ369" s="990"/>
      <c r="BO369" s="990"/>
      <c r="BP369" s="990"/>
      <c r="BQ369" s="990"/>
      <c r="BR369" s="990"/>
      <c r="BT369" s="990"/>
      <c r="BV369" s="990"/>
      <c r="BX369" s="990"/>
    </row>
    <row r="370" spans="55:76">
      <c r="BC370" s="990"/>
      <c r="BD370" s="990"/>
      <c r="BF370" s="990"/>
      <c r="BH370" s="990"/>
      <c r="BJ370" s="990"/>
      <c r="BO370" s="990"/>
      <c r="BP370" s="990"/>
      <c r="BQ370" s="990"/>
      <c r="BR370" s="990"/>
      <c r="BT370" s="990"/>
      <c r="BV370" s="990"/>
      <c r="BX370" s="990"/>
    </row>
    <row r="371" spans="55:76">
      <c r="BC371" s="990"/>
      <c r="BD371" s="990"/>
      <c r="BF371" s="990"/>
      <c r="BH371" s="990"/>
      <c r="BJ371" s="990"/>
      <c r="BO371" s="990"/>
      <c r="BP371" s="990"/>
      <c r="BQ371" s="990"/>
      <c r="BR371" s="990"/>
      <c r="BT371" s="990"/>
      <c r="BV371" s="990"/>
      <c r="BX371" s="990"/>
    </row>
    <row r="372" spans="55:76">
      <c r="BC372" s="990"/>
      <c r="BD372" s="990"/>
      <c r="BF372" s="990"/>
      <c r="BH372" s="990"/>
      <c r="BJ372" s="990"/>
      <c r="BO372" s="990"/>
      <c r="BP372" s="990"/>
      <c r="BQ372" s="990"/>
      <c r="BR372" s="990"/>
      <c r="BT372" s="990"/>
      <c r="BV372" s="990"/>
      <c r="BX372" s="990"/>
    </row>
    <row r="373" spans="55:76">
      <c r="BC373" s="990"/>
      <c r="BD373" s="990"/>
      <c r="BF373" s="990"/>
      <c r="BH373" s="990"/>
      <c r="BJ373" s="990"/>
      <c r="BO373" s="990"/>
      <c r="BP373" s="990"/>
      <c r="BQ373" s="990"/>
      <c r="BR373" s="990"/>
      <c r="BT373" s="990"/>
      <c r="BV373" s="990"/>
      <c r="BX373" s="990"/>
    </row>
    <row r="374" spans="55:76">
      <c r="BC374" s="990"/>
      <c r="BD374" s="990"/>
      <c r="BF374" s="990"/>
      <c r="BH374" s="990"/>
      <c r="BJ374" s="990"/>
      <c r="BO374" s="990"/>
      <c r="BP374" s="990"/>
      <c r="BQ374" s="990"/>
      <c r="BR374" s="990"/>
      <c r="BT374" s="990"/>
      <c r="BV374" s="990"/>
      <c r="BX374" s="990"/>
    </row>
    <row r="375" spans="55:76">
      <c r="BC375" s="990"/>
      <c r="BD375" s="990"/>
      <c r="BF375" s="990"/>
      <c r="BH375" s="990"/>
      <c r="BJ375" s="990"/>
      <c r="BO375" s="990"/>
      <c r="BP375" s="990"/>
      <c r="BQ375" s="990"/>
      <c r="BR375" s="990"/>
      <c r="BT375" s="990"/>
      <c r="BV375" s="990"/>
      <c r="BX375" s="990"/>
    </row>
    <row r="376" spans="55:76">
      <c r="BC376" s="990"/>
      <c r="BD376" s="990"/>
      <c r="BF376" s="990"/>
      <c r="BH376" s="990"/>
      <c r="BJ376" s="990"/>
      <c r="BO376" s="990"/>
      <c r="BP376" s="990"/>
      <c r="BQ376" s="990"/>
      <c r="BR376" s="990"/>
      <c r="BT376" s="990"/>
      <c r="BV376" s="990"/>
      <c r="BX376" s="990"/>
    </row>
    <row r="377" spans="55:76">
      <c r="BC377" s="990"/>
      <c r="BD377" s="990"/>
      <c r="BF377" s="990"/>
      <c r="BH377" s="990"/>
      <c r="BJ377" s="990"/>
      <c r="BO377" s="990"/>
      <c r="BP377" s="990"/>
      <c r="BQ377" s="990"/>
      <c r="BR377" s="990"/>
      <c r="BT377" s="990"/>
      <c r="BV377" s="990"/>
      <c r="BX377" s="990"/>
    </row>
    <row r="378" spans="55:76">
      <c r="BC378" s="990"/>
      <c r="BD378" s="990"/>
      <c r="BF378" s="990"/>
      <c r="BH378" s="990"/>
      <c r="BJ378" s="990"/>
      <c r="BO378" s="990"/>
      <c r="BP378" s="990"/>
      <c r="BQ378" s="990"/>
      <c r="BR378" s="990"/>
      <c r="BT378" s="990"/>
      <c r="BV378" s="990"/>
      <c r="BX378" s="990"/>
    </row>
    <row r="379" spans="55:76">
      <c r="BC379" s="990"/>
      <c r="BD379" s="990"/>
      <c r="BF379" s="990"/>
      <c r="BH379" s="990"/>
      <c r="BJ379" s="990"/>
      <c r="BO379" s="990"/>
      <c r="BP379" s="990"/>
      <c r="BQ379" s="990"/>
      <c r="BR379" s="990"/>
      <c r="BT379" s="990"/>
      <c r="BV379" s="990"/>
      <c r="BX379" s="990"/>
    </row>
    <row r="380" spans="55:76">
      <c r="BC380" s="990"/>
      <c r="BD380" s="990"/>
      <c r="BF380" s="990"/>
      <c r="BH380" s="990"/>
      <c r="BJ380" s="990"/>
      <c r="BO380" s="990"/>
      <c r="BP380" s="990"/>
      <c r="BQ380" s="990"/>
      <c r="BR380" s="990"/>
      <c r="BT380" s="990"/>
      <c r="BV380" s="990"/>
      <c r="BX380" s="990"/>
    </row>
    <row r="381" spans="55:76">
      <c r="BC381" s="990"/>
      <c r="BD381" s="990"/>
      <c r="BF381" s="990"/>
      <c r="BH381" s="990"/>
      <c r="BJ381" s="990"/>
      <c r="BO381" s="990"/>
      <c r="BP381" s="990"/>
      <c r="BQ381" s="990"/>
      <c r="BR381" s="990"/>
      <c r="BT381" s="990"/>
      <c r="BV381" s="990"/>
      <c r="BX381" s="990"/>
    </row>
    <row r="382" spans="55:76">
      <c r="BC382" s="990"/>
      <c r="BD382" s="990"/>
      <c r="BF382" s="990"/>
      <c r="BH382" s="990"/>
      <c r="BJ382" s="990"/>
      <c r="BO382" s="990"/>
      <c r="BP382" s="990"/>
      <c r="BQ382" s="990"/>
      <c r="BR382" s="990"/>
      <c r="BT382" s="990"/>
      <c r="BV382" s="990"/>
      <c r="BX382" s="990"/>
    </row>
    <row r="383" spans="55:76">
      <c r="BC383" s="990"/>
      <c r="BD383" s="990"/>
      <c r="BF383" s="990"/>
      <c r="BH383" s="990"/>
      <c r="BJ383" s="990"/>
      <c r="BO383" s="990"/>
      <c r="BP383" s="990"/>
      <c r="BQ383" s="990"/>
      <c r="BR383" s="990"/>
      <c r="BT383" s="990"/>
      <c r="BV383" s="990"/>
      <c r="BX383" s="990"/>
    </row>
    <row r="384" spans="55:76">
      <c r="BC384" s="990"/>
      <c r="BD384" s="990"/>
      <c r="BF384" s="990"/>
      <c r="BH384" s="990"/>
      <c r="BJ384" s="990"/>
      <c r="BO384" s="990"/>
      <c r="BP384" s="990"/>
      <c r="BQ384" s="990"/>
      <c r="BR384" s="990"/>
      <c r="BT384" s="990"/>
      <c r="BV384" s="990"/>
      <c r="BX384" s="990"/>
    </row>
    <row r="385" spans="55:76">
      <c r="BC385" s="990"/>
      <c r="BD385" s="990"/>
      <c r="BF385" s="990"/>
      <c r="BH385" s="990"/>
      <c r="BJ385" s="990"/>
      <c r="BO385" s="990"/>
      <c r="BP385" s="990"/>
      <c r="BQ385" s="990"/>
      <c r="BR385" s="990"/>
      <c r="BT385" s="990"/>
      <c r="BV385" s="990"/>
      <c r="BX385" s="990"/>
    </row>
    <row r="386" spans="55:76">
      <c r="BC386" s="990"/>
      <c r="BD386" s="990"/>
      <c r="BF386" s="990"/>
      <c r="BH386" s="990"/>
      <c r="BJ386" s="990"/>
      <c r="BO386" s="990"/>
      <c r="BP386" s="990"/>
      <c r="BQ386" s="990"/>
      <c r="BR386" s="990"/>
      <c r="BT386" s="990"/>
      <c r="BV386" s="990"/>
      <c r="BX386" s="990"/>
    </row>
    <row r="387" spans="55:76">
      <c r="BC387" s="990"/>
      <c r="BD387" s="990"/>
      <c r="BF387" s="990"/>
      <c r="BH387" s="990"/>
      <c r="BJ387" s="990"/>
      <c r="BO387" s="990"/>
      <c r="BP387" s="990"/>
      <c r="BQ387" s="990"/>
      <c r="BR387" s="990"/>
      <c r="BT387" s="990"/>
      <c r="BV387" s="990"/>
      <c r="BX387" s="990"/>
    </row>
    <row r="388" spans="55:76">
      <c r="BC388" s="990"/>
      <c r="BD388" s="990"/>
      <c r="BF388" s="990"/>
      <c r="BH388" s="990"/>
      <c r="BJ388" s="990"/>
      <c r="BO388" s="990"/>
      <c r="BP388" s="990"/>
      <c r="BQ388" s="990"/>
      <c r="BR388" s="990"/>
      <c r="BT388" s="990"/>
      <c r="BV388" s="990"/>
      <c r="BX388" s="990"/>
    </row>
    <row r="389" spans="55:76">
      <c r="BC389" s="990"/>
      <c r="BD389" s="990"/>
      <c r="BF389" s="990"/>
      <c r="BH389" s="990"/>
      <c r="BJ389" s="990"/>
      <c r="BO389" s="990"/>
      <c r="BP389" s="990"/>
      <c r="BQ389" s="990"/>
      <c r="BR389" s="990"/>
      <c r="BT389" s="990"/>
      <c r="BV389" s="990"/>
      <c r="BX389" s="990"/>
    </row>
    <row r="390" spans="55:76">
      <c r="BC390" s="990"/>
      <c r="BD390" s="990"/>
      <c r="BF390" s="990"/>
      <c r="BH390" s="990"/>
      <c r="BJ390" s="990"/>
      <c r="BO390" s="990"/>
      <c r="BP390" s="990"/>
      <c r="BQ390" s="990"/>
      <c r="BR390" s="990"/>
      <c r="BT390" s="990"/>
      <c r="BV390" s="990"/>
      <c r="BX390" s="990"/>
    </row>
    <row r="391" spans="55:76">
      <c r="BC391" s="990"/>
      <c r="BD391" s="990"/>
      <c r="BF391" s="990"/>
      <c r="BH391" s="990"/>
      <c r="BJ391" s="990"/>
      <c r="BO391" s="990"/>
      <c r="BP391" s="990"/>
      <c r="BQ391" s="990"/>
      <c r="BR391" s="990"/>
      <c r="BT391" s="990"/>
      <c r="BV391" s="990"/>
      <c r="BX391" s="990"/>
    </row>
    <row r="392" spans="55:76">
      <c r="BC392" s="990"/>
      <c r="BD392" s="990"/>
      <c r="BF392" s="990"/>
      <c r="BH392" s="990"/>
      <c r="BJ392" s="990"/>
      <c r="BO392" s="990"/>
      <c r="BP392" s="990"/>
      <c r="BQ392" s="990"/>
      <c r="BR392" s="990"/>
      <c r="BT392" s="990"/>
      <c r="BV392" s="990"/>
      <c r="BX392" s="990"/>
    </row>
    <row r="393" spans="55:76">
      <c r="BC393" s="990"/>
      <c r="BD393" s="990"/>
      <c r="BF393" s="990"/>
      <c r="BH393" s="990"/>
      <c r="BJ393" s="990"/>
      <c r="BO393" s="990"/>
      <c r="BP393" s="990"/>
      <c r="BQ393" s="990"/>
      <c r="BR393" s="990"/>
      <c r="BT393" s="990"/>
      <c r="BV393" s="990"/>
      <c r="BX393" s="990"/>
    </row>
    <row r="394" spans="55:76">
      <c r="BC394" s="990"/>
      <c r="BD394" s="990"/>
      <c r="BF394" s="990"/>
      <c r="BH394" s="990"/>
      <c r="BJ394" s="990"/>
      <c r="BO394" s="990"/>
      <c r="BP394" s="990"/>
      <c r="BQ394" s="990"/>
      <c r="BR394" s="990"/>
      <c r="BT394" s="990"/>
      <c r="BV394" s="990"/>
      <c r="BX394" s="990"/>
    </row>
    <row r="395" spans="55:76">
      <c r="BC395" s="990"/>
      <c r="BD395" s="990"/>
      <c r="BF395" s="990"/>
      <c r="BH395" s="990"/>
      <c r="BJ395" s="990"/>
      <c r="BO395" s="990"/>
      <c r="BP395" s="990"/>
      <c r="BQ395" s="990"/>
      <c r="BR395" s="990"/>
      <c r="BT395" s="990"/>
      <c r="BV395" s="990"/>
      <c r="BX395" s="990"/>
    </row>
    <row r="396" spans="55:76">
      <c r="BC396" s="990"/>
      <c r="BD396" s="990"/>
      <c r="BF396" s="990"/>
      <c r="BH396" s="990"/>
      <c r="BJ396" s="990"/>
      <c r="BO396" s="990"/>
      <c r="BP396" s="990"/>
      <c r="BQ396" s="990"/>
      <c r="BR396" s="990"/>
      <c r="BT396" s="990"/>
      <c r="BV396" s="990"/>
      <c r="BX396" s="990"/>
    </row>
    <row r="397" spans="55:76">
      <c r="BC397" s="990"/>
      <c r="BD397" s="990"/>
      <c r="BF397" s="990"/>
      <c r="BH397" s="990"/>
      <c r="BJ397" s="990"/>
      <c r="BO397" s="990"/>
      <c r="BP397" s="990"/>
      <c r="BQ397" s="990"/>
      <c r="BR397" s="990"/>
      <c r="BT397" s="990"/>
      <c r="BV397" s="990"/>
      <c r="BX397" s="990"/>
    </row>
    <row r="398" spans="55:76">
      <c r="BC398" s="990"/>
      <c r="BD398" s="990"/>
      <c r="BF398" s="990"/>
      <c r="BH398" s="990"/>
      <c r="BJ398" s="990"/>
      <c r="BO398" s="990"/>
      <c r="BP398" s="990"/>
      <c r="BQ398" s="990"/>
      <c r="BR398" s="990"/>
      <c r="BT398" s="990"/>
      <c r="BV398" s="990"/>
      <c r="BX398" s="990"/>
    </row>
    <row r="399" spans="55:76">
      <c r="BC399" s="990"/>
      <c r="BD399" s="990"/>
      <c r="BF399" s="990"/>
      <c r="BH399" s="990"/>
      <c r="BJ399" s="990"/>
      <c r="BO399" s="990"/>
      <c r="BP399" s="990"/>
      <c r="BQ399" s="990"/>
      <c r="BR399" s="990"/>
      <c r="BT399" s="990"/>
      <c r="BV399" s="990"/>
      <c r="BX399" s="990"/>
    </row>
    <row r="400" spans="55:76">
      <c r="BC400" s="990"/>
      <c r="BD400" s="990"/>
      <c r="BF400" s="990"/>
      <c r="BH400" s="990"/>
      <c r="BJ400" s="990"/>
      <c r="BO400" s="990"/>
      <c r="BP400" s="990"/>
      <c r="BQ400" s="990"/>
      <c r="BR400" s="990"/>
      <c r="BT400" s="990"/>
      <c r="BV400" s="990"/>
      <c r="BX400" s="990"/>
    </row>
    <row r="401" spans="55:76">
      <c r="BC401" s="990"/>
      <c r="BD401" s="990"/>
      <c r="BF401" s="990"/>
      <c r="BH401" s="990"/>
      <c r="BJ401" s="990"/>
      <c r="BO401" s="990"/>
      <c r="BP401" s="990"/>
      <c r="BQ401" s="990"/>
      <c r="BR401" s="990"/>
      <c r="BT401" s="990"/>
      <c r="BV401" s="990"/>
      <c r="BX401" s="990"/>
    </row>
    <row r="402" spans="55:76">
      <c r="BC402" s="990"/>
      <c r="BD402" s="990"/>
      <c r="BF402" s="990"/>
      <c r="BH402" s="990"/>
      <c r="BJ402" s="990"/>
      <c r="BO402" s="990"/>
      <c r="BP402" s="990"/>
      <c r="BQ402" s="990"/>
      <c r="BR402" s="990"/>
      <c r="BT402" s="990"/>
      <c r="BV402" s="990"/>
      <c r="BX402" s="990"/>
    </row>
    <row r="403" spans="55:76">
      <c r="BC403" s="990"/>
      <c r="BD403" s="990"/>
      <c r="BF403" s="990"/>
      <c r="BH403" s="990"/>
      <c r="BJ403" s="990"/>
      <c r="BO403" s="990"/>
      <c r="BP403" s="990"/>
      <c r="BQ403" s="990"/>
      <c r="BR403" s="990"/>
      <c r="BT403" s="990"/>
      <c r="BV403" s="990"/>
      <c r="BX403" s="990"/>
    </row>
    <row r="404" spans="55:76">
      <c r="BC404" s="990"/>
      <c r="BD404" s="990"/>
      <c r="BF404" s="990"/>
      <c r="BH404" s="990"/>
      <c r="BJ404" s="990"/>
      <c r="BO404" s="990"/>
      <c r="BP404" s="990"/>
      <c r="BQ404" s="990"/>
      <c r="BR404" s="990"/>
      <c r="BT404" s="990"/>
      <c r="BV404" s="990"/>
      <c r="BX404" s="990"/>
    </row>
    <row r="405" spans="55:76">
      <c r="BC405" s="990"/>
      <c r="BD405" s="990"/>
      <c r="BF405" s="990"/>
      <c r="BH405" s="990"/>
      <c r="BJ405" s="990"/>
      <c r="BO405" s="990"/>
      <c r="BP405" s="990"/>
      <c r="BQ405" s="990"/>
      <c r="BR405" s="990"/>
      <c r="BT405" s="990"/>
      <c r="BV405" s="990"/>
      <c r="BX405" s="990"/>
    </row>
    <row r="406" spans="55:76">
      <c r="BC406" s="990"/>
      <c r="BD406" s="990"/>
      <c r="BF406" s="990"/>
      <c r="BH406" s="990"/>
      <c r="BJ406" s="990"/>
      <c r="BO406" s="990"/>
      <c r="BP406" s="990"/>
      <c r="BQ406" s="990"/>
      <c r="BR406" s="990"/>
      <c r="BT406" s="990"/>
      <c r="BV406" s="990"/>
      <c r="BX406" s="990"/>
    </row>
    <row r="407" spans="55:76">
      <c r="BC407" s="990"/>
      <c r="BD407" s="990"/>
      <c r="BF407" s="990"/>
      <c r="BH407" s="990"/>
      <c r="BJ407" s="990"/>
      <c r="BO407" s="990"/>
      <c r="BP407" s="990"/>
      <c r="BQ407" s="990"/>
      <c r="BR407" s="990"/>
      <c r="BT407" s="990"/>
      <c r="BV407" s="990"/>
      <c r="BX407" s="990"/>
    </row>
    <row r="408" spans="55:76">
      <c r="BC408" s="990"/>
      <c r="BD408" s="990"/>
      <c r="BF408" s="990"/>
      <c r="BH408" s="990"/>
      <c r="BJ408" s="990"/>
      <c r="BO408" s="990"/>
      <c r="BP408" s="990"/>
      <c r="BQ408" s="990"/>
      <c r="BR408" s="990"/>
      <c r="BT408" s="990"/>
      <c r="BV408" s="990"/>
      <c r="BX408" s="990"/>
    </row>
    <row r="409" spans="55:76">
      <c r="BC409" s="990"/>
      <c r="BD409" s="990"/>
      <c r="BF409" s="990"/>
      <c r="BH409" s="990"/>
      <c r="BJ409" s="990"/>
      <c r="BO409" s="990"/>
      <c r="BP409" s="990"/>
      <c r="BQ409" s="990"/>
      <c r="BR409" s="990"/>
      <c r="BT409" s="990"/>
      <c r="BV409" s="990"/>
      <c r="BX409" s="990"/>
    </row>
    <row r="410" spans="55:76">
      <c r="BC410" s="990"/>
      <c r="BD410" s="990"/>
      <c r="BF410" s="990"/>
      <c r="BH410" s="990"/>
      <c r="BJ410" s="990"/>
      <c r="BO410" s="990"/>
      <c r="BP410" s="990"/>
      <c r="BQ410" s="990"/>
      <c r="BR410" s="990"/>
      <c r="BT410" s="990"/>
      <c r="BV410" s="990"/>
      <c r="BX410" s="990"/>
    </row>
    <row r="411" spans="55:76">
      <c r="BC411" s="990"/>
      <c r="BD411" s="990"/>
      <c r="BF411" s="990"/>
      <c r="BH411" s="990"/>
      <c r="BJ411" s="990"/>
      <c r="BO411" s="990"/>
      <c r="BP411" s="990"/>
      <c r="BQ411" s="990"/>
      <c r="BR411" s="990"/>
      <c r="BT411" s="990"/>
      <c r="BV411" s="990"/>
      <c r="BX411" s="990"/>
    </row>
    <row r="412" spans="55:76">
      <c r="BC412" s="990"/>
      <c r="BD412" s="990"/>
      <c r="BF412" s="990"/>
      <c r="BH412" s="990"/>
      <c r="BJ412" s="990"/>
      <c r="BO412" s="990"/>
      <c r="BP412" s="990"/>
      <c r="BQ412" s="990"/>
      <c r="BR412" s="990"/>
      <c r="BT412" s="990"/>
      <c r="BV412" s="990"/>
      <c r="BX412" s="990"/>
    </row>
    <row r="413" spans="55:76">
      <c r="BC413" s="990"/>
      <c r="BD413" s="990"/>
      <c r="BF413" s="990"/>
      <c r="BH413" s="990"/>
      <c r="BJ413" s="990"/>
      <c r="BO413" s="990"/>
      <c r="BP413" s="990"/>
      <c r="BQ413" s="990"/>
      <c r="BR413" s="990"/>
      <c r="BT413" s="990"/>
      <c r="BV413" s="990"/>
      <c r="BX413" s="990"/>
    </row>
    <row r="414" spans="55:76">
      <c r="BC414" s="990"/>
      <c r="BD414" s="990"/>
      <c r="BF414" s="990"/>
      <c r="BH414" s="990"/>
      <c r="BJ414" s="990"/>
      <c r="BO414" s="990"/>
      <c r="BP414" s="990"/>
      <c r="BQ414" s="990"/>
      <c r="BR414" s="990"/>
      <c r="BT414" s="990"/>
      <c r="BV414" s="990"/>
      <c r="BX414" s="990"/>
    </row>
    <row r="415" spans="55:76">
      <c r="BC415" s="990"/>
      <c r="BD415" s="990"/>
      <c r="BF415" s="990"/>
      <c r="BH415" s="990"/>
      <c r="BJ415" s="990"/>
      <c r="BO415" s="990"/>
      <c r="BP415" s="990"/>
      <c r="BQ415" s="990"/>
      <c r="BR415" s="990"/>
      <c r="BT415" s="990"/>
      <c r="BV415" s="990"/>
      <c r="BX415" s="990"/>
    </row>
    <row r="416" spans="55:76">
      <c r="BC416" s="990"/>
      <c r="BD416" s="990"/>
      <c r="BF416" s="990"/>
      <c r="BH416" s="990"/>
      <c r="BJ416" s="990"/>
      <c r="BO416" s="990"/>
      <c r="BP416" s="990"/>
      <c r="BQ416" s="990"/>
      <c r="BR416" s="990"/>
      <c r="BT416" s="990"/>
      <c r="BV416" s="990"/>
      <c r="BX416" s="990"/>
    </row>
    <row r="417" spans="55:76">
      <c r="BC417" s="990"/>
      <c r="BD417" s="990"/>
      <c r="BF417" s="990"/>
      <c r="BH417" s="990"/>
      <c r="BJ417" s="990"/>
      <c r="BO417" s="990"/>
      <c r="BP417" s="990"/>
      <c r="BQ417" s="990"/>
      <c r="BR417" s="990"/>
      <c r="BT417" s="990"/>
      <c r="BV417" s="990"/>
      <c r="BX417" s="990"/>
    </row>
    <row r="418" spans="55:76">
      <c r="BC418" s="990"/>
      <c r="BD418" s="990"/>
      <c r="BF418" s="990"/>
      <c r="BH418" s="990"/>
      <c r="BJ418" s="990"/>
      <c r="BO418" s="990"/>
      <c r="BP418" s="990"/>
      <c r="BQ418" s="990"/>
      <c r="BR418" s="990"/>
      <c r="BT418" s="990"/>
      <c r="BV418" s="990"/>
      <c r="BX418" s="990"/>
    </row>
    <row r="419" spans="55:76">
      <c r="BC419" s="990"/>
      <c r="BD419" s="990"/>
      <c r="BF419" s="990"/>
      <c r="BH419" s="990"/>
      <c r="BJ419" s="990"/>
      <c r="BO419" s="990"/>
      <c r="BP419" s="990"/>
      <c r="BQ419" s="990"/>
      <c r="BR419" s="990"/>
      <c r="BT419" s="990"/>
      <c r="BV419" s="990"/>
      <c r="BX419" s="990"/>
    </row>
    <row r="420" spans="55:76">
      <c r="BC420" s="990"/>
      <c r="BD420" s="990"/>
      <c r="BF420" s="990"/>
      <c r="BH420" s="990"/>
      <c r="BJ420" s="990"/>
      <c r="BO420" s="990"/>
      <c r="BP420" s="990"/>
      <c r="BQ420" s="990"/>
      <c r="BR420" s="990"/>
      <c r="BT420" s="990"/>
      <c r="BV420" s="990"/>
      <c r="BX420" s="990"/>
    </row>
    <row r="421" spans="55:76">
      <c r="BC421" s="990"/>
      <c r="BD421" s="990"/>
      <c r="BF421" s="990"/>
      <c r="BH421" s="990"/>
      <c r="BJ421" s="990"/>
      <c r="BO421" s="990"/>
      <c r="BP421" s="990"/>
      <c r="BQ421" s="990"/>
      <c r="BR421" s="990"/>
      <c r="BT421" s="990"/>
      <c r="BV421" s="990"/>
      <c r="BX421" s="990"/>
    </row>
    <row r="422" spans="55:76">
      <c r="BC422" s="990"/>
      <c r="BD422" s="990"/>
      <c r="BF422" s="990"/>
      <c r="BH422" s="990"/>
      <c r="BJ422" s="990"/>
      <c r="BO422" s="990"/>
      <c r="BP422" s="990"/>
      <c r="BQ422" s="990"/>
      <c r="BR422" s="990"/>
      <c r="BT422" s="990"/>
      <c r="BV422" s="990"/>
      <c r="BX422" s="990"/>
    </row>
    <row r="423" spans="55:76">
      <c r="BC423" s="990"/>
      <c r="BD423" s="990"/>
      <c r="BF423" s="990"/>
      <c r="BH423" s="990"/>
      <c r="BJ423" s="990"/>
      <c r="BO423" s="990"/>
      <c r="BP423" s="990"/>
      <c r="BQ423" s="990"/>
      <c r="BR423" s="990"/>
      <c r="BT423" s="990"/>
      <c r="BV423" s="990"/>
      <c r="BX423" s="990"/>
    </row>
    <row r="424" spans="55:76">
      <c r="BC424" s="990"/>
      <c r="BD424" s="990"/>
      <c r="BF424" s="990"/>
      <c r="BH424" s="990"/>
      <c r="BJ424" s="990"/>
      <c r="BO424" s="990"/>
      <c r="BP424" s="990"/>
      <c r="BQ424" s="990"/>
      <c r="BR424" s="990"/>
      <c r="BT424" s="990"/>
      <c r="BV424" s="990"/>
      <c r="BX424" s="990"/>
    </row>
    <row r="425" spans="55:76">
      <c r="BC425" s="990"/>
      <c r="BD425" s="990"/>
      <c r="BF425" s="990"/>
      <c r="BH425" s="990"/>
      <c r="BJ425" s="990"/>
      <c r="BO425" s="990"/>
      <c r="BP425" s="990"/>
      <c r="BQ425" s="990"/>
      <c r="BR425" s="990"/>
      <c r="BT425" s="990"/>
      <c r="BV425" s="990"/>
      <c r="BX425" s="990"/>
    </row>
    <row r="426" spans="55:76">
      <c r="BC426" s="990"/>
      <c r="BD426" s="990"/>
      <c r="BF426" s="990"/>
      <c r="BH426" s="990"/>
      <c r="BJ426" s="990"/>
      <c r="BO426" s="990"/>
      <c r="BP426" s="990"/>
      <c r="BQ426" s="990"/>
      <c r="BR426" s="990"/>
      <c r="BT426" s="990"/>
      <c r="BV426" s="990"/>
      <c r="BX426" s="990"/>
    </row>
    <row r="427" spans="55:76">
      <c r="BC427" s="990"/>
      <c r="BD427" s="990"/>
      <c r="BF427" s="990"/>
      <c r="BH427" s="990"/>
      <c r="BJ427" s="990"/>
      <c r="BO427" s="990"/>
      <c r="BP427" s="990"/>
      <c r="BQ427" s="990"/>
      <c r="BR427" s="990"/>
      <c r="BT427" s="990"/>
      <c r="BV427" s="990"/>
      <c r="BX427" s="990"/>
    </row>
    <row r="428" spans="55:76">
      <c r="BC428" s="990"/>
      <c r="BD428" s="990"/>
      <c r="BF428" s="990"/>
      <c r="BH428" s="990"/>
      <c r="BJ428" s="990"/>
      <c r="BO428" s="990"/>
      <c r="BP428" s="990"/>
      <c r="BQ428" s="990"/>
      <c r="BR428" s="990"/>
      <c r="BT428" s="990"/>
      <c r="BV428" s="990"/>
      <c r="BX428" s="990"/>
    </row>
    <row r="429" spans="55:76">
      <c r="BC429" s="990"/>
      <c r="BD429" s="990"/>
      <c r="BF429" s="990"/>
      <c r="BH429" s="990"/>
      <c r="BJ429" s="990"/>
      <c r="BO429" s="990"/>
      <c r="BP429" s="990"/>
      <c r="BQ429" s="990"/>
      <c r="BR429" s="990"/>
      <c r="BT429" s="990"/>
      <c r="BV429" s="990"/>
      <c r="BX429" s="990"/>
    </row>
    <row r="430" spans="55:76">
      <c r="BC430" s="990"/>
      <c r="BD430" s="990"/>
      <c r="BF430" s="990"/>
      <c r="BH430" s="990"/>
      <c r="BJ430" s="990"/>
      <c r="BO430" s="990"/>
      <c r="BP430" s="990"/>
      <c r="BQ430" s="990"/>
      <c r="BR430" s="990"/>
      <c r="BT430" s="990"/>
      <c r="BV430" s="990"/>
      <c r="BX430" s="990"/>
    </row>
    <row r="431" spans="55:76">
      <c r="BC431" s="990"/>
      <c r="BD431" s="990"/>
      <c r="BF431" s="990"/>
      <c r="BH431" s="990"/>
      <c r="BJ431" s="990"/>
      <c r="BO431" s="990"/>
      <c r="BP431" s="990"/>
      <c r="BQ431" s="990"/>
      <c r="BR431" s="990"/>
      <c r="BT431" s="990"/>
      <c r="BV431" s="990"/>
      <c r="BX431" s="990"/>
    </row>
    <row r="432" spans="55:76">
      <c r="BC432" s="990"/>
      <c r="BD432" s="990"/>
      <c r="BF432" s="990"/>
      <c r="BH432" s="990"/>
      <c r="BJ432" s="990"/>
      <c r="BO432" s="990"/>
      <c r="BP432" s="990"/>
      <c r="BQ432" s="990"/>
      <c r="BR432" s="990"/>
      <c r="BT432" s="990"/>
      <c r="BV432" s="990"/>
      <c r="BX432" s="990"/>
    </row>
    <row r="433" spans="55:76">
      <c r="BC433" s="990"/>
      <c r="BD433" s="990"/>
      <c r="BF433" s="990"/>
      <c r="BH433" s="990"/>
      <c r="BJ433" s="990"/>
      <c r="BO433" s="990"/>
      <c r="BP433" s="990"/>
      <c r="BQ433" s="990"/>
      <c r="BR433" s="990"/>
      <c r="BT433" s="990"/>
      <c r="BV433" s="990"/>
      <c r="BX433" s="990"/>
    </row>
    <row r="434" spans="55:76">
      <c r="BC434" s="990"/>
      <c r="BD434" s="990"/>
      <c r="BF434" s="990"/>
      <c r="BH434" s="990"/>
      <c r="BJ434" s="990"/>
      <c r="BO434" s="990"/>
      <c r="BP434" s="990"/>
      <c r="BQ434" s="990"/>
      <c r="BR434" s="990"/>
      <c r="BT434" s="990"/>
      <c r="BV434" s="990"/>
      <c r="BX434" s="990"/>
    </row>
    <row r="435" spans="55:76">
      <c r="BC435" s="990"/>
      <c r="BD435" s="990"/>
      <c r="BF435" s="990"/>
      <c r="BH435" s="990"/>
      <c r="BJ435" s="990"/>
      <c r="BO435" s="990"/>
      <c r="BP435" s="990"/>
      <c r="BQ435" s="990"/>
      <c r="BR435" s="990"/>
      <c r="BT435" s="990"/>
      <c r="BV435" s="990"/>
      <c r="BX435" s="990"/>
    </row>
    <row r="436" spans="55:76">
      <c r="BC436" s="990"/>
      <c r="BD436" s="990"/>
      <c r="BF436" s="990"/>
      <c r="BH436" s="990"/>
      <c r="BJ436" s="990"/>
      <c r="BO436" s="990"/>
      <c r="BP436" s="990"/>
      <c r="BQ436" s="990"/>
      <c r="BR436" s="990"/>
      <c r="BT436" s="990"/>
      <c r="BV436" s="990"/>
      <c r="BX436" s="990"/>
    </row>
    <row r="437" spans="55:76">
      <c r="BC437" s="990"/>
      <c r="BD437" s="990"/>
      <c r="BF437" s="990"/>
      <c r="BH437" s="990"/>
      <c r="BJ437" s="990"/>
      <c r="BO437" s="990"/>
      <c r="BP437" s="990"/>
      <c r="BQ437" s="990"/>
      <c r="BR437" s="990"/>
      <c r="BT437" s="990"/>
      <c r="BV437" s="990"/>
      <c r="BX437" s="990"/>
    </row>
    <row r="438" spans="55:76">
      <c r="BC438" s="990"/>
      <c r="BD438" s="990"/>
      <c r="BF438" s="990"/>
      <c r="BH438" s="990"/>
      <c r="BJ438" s="990"/>
      <c r="BO438" s="990"/>
      <c r="BP438" s="990"/>
      <c r="BQ438" s="990"/>
      <c r="BR438" s="990"/>
      <c r="BT438" s="990"/>
      <c r="BV438" s="990"/>
      <c r="BX438" s="990"/>
    </row>
    <row r="439" spans="55:76">
      <c r="BC439" s="990"/>
      <c r="BD439" s="990"/>
      <c r="BF439" s="990"/>
      <c r="BH439" s="990"/>
      <c r="BJ439" s="990"/>
      <c r="BO439" s="990"/>
      <c r="BP439" s="990"/>
      <c r="BQ439" s="990"/>
      <c r="BR439" s="990"/>
      <c r="BT439" s="990"/>
      <c r="BV439" s="990"/>
      <c r="BX439" s="990"/>
    </row>
    <row r="440" spans="55:76">
      <c r="BC440" s="990"/>
      <c r="BD440" s="990"/>
      <c r="BF440" s="990"/>
      <c r="BH440" s="990"/>
      <c r="BJ440" s="990"/>
      <c r="BO440" s="990"/>
      <c r="BP440" s="990"/>
      <c r="BQ440" s="990"/>
      <c r="BR440" s="990"/>
      <c r="BT440" s="990"/>
      <c r="BV440" s="990"/>
      <c r="BX440" s="990"/>
    </row>
    <row r="441" spans="55:76">
      <c r="BC441" s="990"/>
      <c r="BD441" s="990"/>
      <c r="BF441" s="990"/>
      <c r="BH441" s="990"/>
      <c r="BJ441" s="990"/>
      <c r="BO441" s="990"/>
      <c r="BP441" s="990"/>
      <c r="BQ441" s="990"/>
      <c r="BR441" s="990"/>
      <c r="BT441" s="990"/>
      <c r="BV441" s="990"/>
      <c r="BX441" s="990"/>
    </row>
    <row r="442" spans="55:76">
      <c r="BC442" s="990"/>
      <c r="BD442" s="990"/>
      <c r="BF442" s="990"/>
      <c r="BH442" s="990"/>
      <c r="BJ442" s="990"/>
      <c r="BO442" s="990"/>
      <c r="BP442" s="990"/>
      <c r="BQ442" s="990"/>
      <c r="BR442" s="990"/>
      <c r="BT442" s="990"/>
      <c r="BV442" s="990"/>
      <c r="BX442" s="990"/>
    </row>
    <row r="443" spans="55:76">
      <c r="BC443" s="990"/>
      <c r="BD443" s="990"/>
      <c r="BF443" s="990"/>
      <c r="BH443" s="990"/>
      <c r="BJ443" s="990"/>
      <c r="BO443" s="990"/>
      <c r="BP443" s="990"/>
      <c r="BQ443" s="990"/>
      <c r="BR443" s="990"/>
      <c r="BT443" s="990"/>
      <c r="BV443" s="990"/>
      <c r="BX443" s="990"/>
    </row>
    <row r="444" spans="55:76">
      <c r="BC444" s="990"/>
      <c r="BD444" s="990"/>
      <c r="BF444" s="990"/>
      <c r="BH444" s="990"/>
      <c r="BJ444" s="990"/>
      <c r="BO444" s="990"/>
      <c r="BP444" s="990"/>
      <c r="BQ444" s="990"/>
      <c r="BR444" s="990"/>
      <c r="BT444" s="990"/>
      <c r="BV444" s="990"/>
      <c r="BX444" s="990"/>
    </row>
    <row r="445" spans="55:76">
      <c r="BC445" s="990"/>
      <c r="BD445" s="990"/>
      <c r="BF445" s="990"/>
      <c r="BH445" s="990"/>
      <c r="BJ445" s="990"/>
      <c r="BO445" s="990"/>
      <c r="BP445" s="990"/>
      <c r="BQ445" s="990"/>
      <c r="BR445" s="990"/>
      <c r="BT445" s="990"/>
      <c r="BV445" s="990"/>
      <c r="BX445" s="990"/>
    </row>
    <row r="446" spans="55:76">
      <c r="BC446" s="990"/>
      <c r="BD446" s="990"/>
      <c r="BF446" s="990"/>
      <c r="BH446" s="990"/>
      <c r="BJ446" s="990"/>
      <c r="BO446" s="990"/>
      <c r="BP446" s="990"/>
      <c r="BQ446" s="990"/>
      <c r="BR446" s="990"/>
      <c r="BT446" s="990"/>
      <c r="BV446" s="990"/>
      <c r="BX446" s="990"/>
    </row>
    <row r="447" spans="55:76">
      <c r="BC447" s="990"/>
      <c r="BD447" s="990"/>
      <c r="BF447" s="990"/>
      <c r="BH447" s="990"/>
      <c r="BJ447" s="990"/>
      <c r="BO447" s="990"/>
      <c r="BP447" s="990"/>
      <c r="BQ447" s="990"/>
      <c r="BR447" s="990"/>
      <c r="BT447" s="990"/>
      <c r="BV447" s="990"/>
      <c r="BX447" s="990"/>
    </row>
    <row r="448" spans="55:76">
      <c r="BC448" s="990"/>
      <c r="BD448" s="990"/>
      <c r="BF448" s="990"/>
      <c r="BH448" s="990"/>
      <c r="BJ448" s="990"/>
      <c r="BO448" s="990"/>
      <c r="BP448" s="990"/>
      <c r="BQ448" s="990"/>
      <c r="BR448" s="990"/>
      <c r="BT448" s="990"/>
      <c r="BV448" s="990"/>
      <c r="BX448" s="990"/>
    </row>
    <row r="449" spans="55:76">
      <c r="BC449" s="990"/>
      <c r="BD449" s="990"/>
      <c r="BF449" s="990"/>
      <c r="BH449" s="990"/>
      <c r="BJ449" s="990"/>
      <c r="BO449" s="990"/>
      <c r="BP449" s="990"/>
      <c r="BQ449" s="990"/>
      <c r="BR449" s="990"/>
      <c r="BT449" s="990"/>
      <c r="BV449" s="990"/>
      <c r="BX449" s="990"/>
    </row>
    <row r="450" spans="55:76">
      <c r="BC450" s="990"/>
      <c r="BD450" s="990"/>
      <c r="BF450" s="990"/>
      <c r="BH450" s="990"/>
      <c r="BJ450" s="990"/>
      <c r="BO450" s="990"/>
      <c r="BP450" s="990"/>
      <c r="BQ450" s="990"/>
      <c r="BR450" s="990"/>
      <c r="BT450" s="990"/>
      <c r="BV450" s="990"/>
      <c r="BX450" s="990"/>
    </row>
    <row r="451" spans="55:76">
      <c r="BC451" s="990"/>
      <c r="BD451" s="990"/>
      <c r="BF451" s="990"/>
      <c r="BH451" s="990"/>
      <c r="BJ451" s="990"/>
      <c r="BO451" s="990"/>
      <c r="BP451" s="990"/>
      <c r="BQ451" s="990"/>
      <c r="BR451" s="990"/>
      <c r="BT451" s="990"/>
      <c r="BV451" s="990"/>
      <c r="BX451" s="990"/>
    </row>
    <row r="452" spans="55:76">
      <c r="BC452" s="990"/>
      <c r="BD452" s="990"/>
      <c r="BF452" s="990"/>
      <c r="BH452" s="990"/>
      <c r="BJ452" s="990"/>
      <c r="BO452" s="990"/>
      <c r="BP452" s="990"/>
      <c r="BQ452" s="990"/>
      <c r="BR452" s="990"/>
      <c r="BT452" s="990"/>
      <c r="BV452" s="990"/>
      <c r="BX452" s="990"/>
    </row>
    <row r="453" spans="55:76">
      <c r="BC453" s="990"/>
      <c r="BD453" s="990"/>
      <c r="BF453" s="990"/>
      <c r="BH453" s="990"/>
      <c r="BJ453" s="990"/>
      <c r="BO453" s="990"/>
      <c r="BP453" s="990"/>
      <c r="BQ453" s="990"/>
      <c r="BR453" s="990"/>
      <c r="BT453" s="990"/>
      <c r="BV453" s="990"/>
      <c r="BX453" s="990"/>
    </row>
    <row r="454" spans="55:76">
      <c r="BC454" s="990"/>
      <c r="BD454" s="990"/>
      <c r="BF454" s="990"/>
      <c r="BH454" s="990"/>
      <c r="BJ454" s="990"/>
      <c r="BO454" s="990"/>
      <c r="BP454" s="990"/>
      <c r="BQ454" s="990"/>
      <c r="BR454" s="990"/>
      <c r="BT454" s="990"/>
      <c r="BV454" s="990"/>
      <c r="BX454" s="990"/>
    </row>
    <row r="455" spans="55:76">
      <c r="BC455" s="990"/>
      <c r="BD455" s="990"/>
      <c r="BF455" s="990"/>
      <c r="BH455" s="990"/>
      <c r="BJ455" s="990"/>
      <c r="BO455" s="990"/>
      <c r="BP455" s="990"/>
      <c r="BQ455" s="990"/>
      <c r="BR455" s="990"/>
      <c r="BT455" s="990"/>
      <c r="BV455" s="990"/>
      <c r="BX455" s="990"/>
    </row>
    <row r="456" spans="55:76">
      <c r="BC456" s="990"/>
      <c r="BD456" s="990"/>
      <c r="BF456" s="990"/>
      <c r="BH456" s="990"/>
      <c r="BJ456" s="990"/>
      <c r="BO456" s="990"/>
      <c r="BP456" s="990"/>
      <c r="BQ456" s="990"/>
      <c r="BR456" s="990"/>
      <c r="BT456" s="990"/>
      <c r="BV456" s="990"/>
      <c r="BX456" s="990"/>
    </row>
    <row r="457" spans="55:76">
      <c r="BC457" s="990"/>
      <c r="BD457" s="990"/>
      <c r="BF457" s="990"/>
      <c r="BH457" s="990"/>
      <c r="BJ457" s="990"/>
      <c r="BO457" s="990"/>
      <c r="BP457" s="990"/>
      <c r="BQ457" s="990"/>
      <c r="BR457" s="990"/>
      <c r="BT457" s="990"/>
      <c r="BV457" s="990"/>
      <c r="BX457" s="990"/>
    </row>
    <row r="458" spans="55:76">
      <c r="BC458" s="990"/>
      <c r="BD458" s="990"/>
      <c r="BF458" s="990"/>
      <c r="BH458" s="990"/>
      <c r="BJ458" s="990"/>
      <c r="BO458" s="990"/>
      <c r="BP458" s="990"/>
      <c r="BQ458" s="990"/>
      <c r="BR458" s="990"/>
      <c r="BT458" s="990"/>
      <c r="BV458" s="990"/>
      <c r="BX458" s="990"/>
    </row>
    <row r="459" spans="55:76">
      <c r="BC459" s="990"/>
      <c r="BD459" s="990"/>
      <c r="BF459" s="990"/>
      <c r="BH459" s="990"/>
      <c r="BJ459" s="990"/>
      <c r="BO459" s="990"/>
      <c r="BP459" s="990"/>
      <c r="BQ459" s="990"/>
      <c r="BR459" s="990"/>
      <c r="BT459" s="990"/>
      <c r="BV459" s="990"/>
      <c r="BX459" s="990"/>
    </row>
    <row r="460" spans="55:76">
      <c r="BC460" s="990"/>
      <c r="BD460" s="990"/>
      <c r="BF460" s="990"/>
      <c r="BH460" s="990"/>
      <c r="BJ460" s="990"/>
      <c r="BO460" s="990"/>
      <c r="BP460" s="990"/>
      <c r="BQ460" s="990"/>
      <c r="BR460" s="990"/>
      <c r="BT460" s="990"/>
      <c r="BV460" s="990"/>
      <c r="BX460" s="990"/>
    </row>
    <row r="461" spans="55:76">
      <c r="BC461" s="990"/>
      <c r="BD461" s="990"/>
      <c r="BF461" s="990"/>
      <c r="BH461" s="990"/>
      <c r="BJ461" s="990"/>
      <c r="BO461" s="990"/>
      <c r="BP461" s="990"/>
      <c r="BQ461" s="990"/>
      <c r="BR461" s="990"/>
      <c r="BT461" s="990"/>
      <c r="BV461" s="990"/>
      <c r="BX461" s="990"/>
    </row>
    <row r="462" spans="55:76">
      <c r="BC462" s="990"/>
      <c r="BD462" s="990"/>
      <c r="BF462" s="990"/>
      <c r="BH462" s="990"/>
      <c r="BJ462" s="990"/>
      <c r="BO462" s="990"/>
      <c r="BP462" s="990"/>
      <c r="BQ462" s="990"/>
      <c r="BR462" s="990"/>
      <c r="BT462" s="990"/>
      <c r="BV462" s="990"/>
      <c r="BX462" s="990"/>
    </row>
    <row r="463" spans="55:76">
      <c r="BC463" s="990"/>
      <c r="BD463" s="990"/>
      <c r="BF463" s="990"/>
      <c r="BH463" s="990"/>
      <c r="BJ463" s="990"/>
      <c r="BO463" s="990"/>
      <c r="BP463" s="990"/>
      <c r="BQ463" s="990"/>
      <c r="BR463" s="990"/>
      <c r="BT463" s="990"/>
      <c r="BV463" s="990"/>
      <c r="BX463" s="990"/>
    </row>
    <row r="464" spans="55:76">
      <c r="BC464" s="990"/>
      <c r="BD464" s="990"/>
      <c r="BF464" s="990"/>
      <c r="BH464" s="990"/>
      <c r="BJ464" s="990"/>
      <c r="BO464" s="990"/>
      <c r="BP464" s="990"/>
      <c r="BQ464" s="990"/>
      <c r="BR464" s="990"/>
      <c r="BT464" s="990"/>
      <c r="BV464" s="990"/>
      <c r="BX464" s="990"/>
    </row>
    <row r="465" spans="55:76">
      <c r="BC465" s="990"/>
      <c r="BD465" s="990"/>
      <c r="BF465" s="990"/>
      <c r="BH465" s="990"/>
      <c r="BJ465" s="990"/>
      <c r="BO465" s="990"/>
      <c r="BP465" s="990"/>
      <c r="BQ465" s="990"/>
      <c r="BR465" s="990"/>
      <c r="BT465" s="990"/>
      <c r="BV465" s="990"/>
      <c r="BX465" s="990"/>
    </row>
    <row r="466" spans="55:76">
      <c r="BC466" s="990"/>
      <c r="BD466" s="990"/>
      <c r="BF466" s="990"/>
      <c r="BH466" s="990"/>
      <c r="BJ466" s="990"/>
      <c r="BO466" s="990"/>
      <c r="BP466" s="990"/>
      <c r="BQ466" s="990"/>
      <c r="BR466" s="990"/>
      <c r="BT466" s="990"/>
      <c r="BV466" s="990"/>
      <c r="BX466" s="990"/>
    </row>
    <row r="467" spans="55:76">
      <c r="BC467" s="990"/>
      <c r="BD467" s="990"/>
      <c r="BF467" s="990"/>
      <c r="BH467" s="990"/>
      <c r="BJ467" s="990"/>
      <c r="BO467" s="990"/>
      <c r="BP467" s="990"/>
      <c r="BQ467" s="990"/>
      <c r="BR467" s="990"/>
      <c r="BT467" s="990"/>
      <c r="BV467" s="990"/>
      <c r="BX467" s="990"/>
    </row>
    <row r="468" spans="55:76">
      <c r="BC468" s="990"/>
      <c r="BD468" s="990"/>
      <c r="BF468" s="990"/>
      <c r="BH468" s="990"/>
      <c r="BJ468" s="990"/>
      <c r="BO468" s="990"/>
      <c r="BP468" s="990"/>
      <c r="BQ468" s="990"/>
      <c r="BR468" s="990"/>
      <c r="BT468" s="990"/>
      <c r="BV468" s="990"/>
      <c r="BX468" s="990"/>
    </row>
    <row r="469" spans="55:76">
      <c r="BC469" s="990"/>
      <c r="BD469" s="990"/>
      <c r="BF469" s="990"/>
      <c r="BH469" s="990"/>
      <c r="BJ469" s="990"/>
      <c r="BO469" s="990"/>
      <c r="BP469" s="990"/>
      <c r="BQ469" s="990"/>
      <c r="BR469" s="990"/>
      <c r="BT469" s="990"/>
      <c r="BV469" s="990"/>
      <c r="BX469" s="990"/>
    </row>
    <row r="470" spans="55:76">
      <c r="BC470" s="990"/>
      <c r="BD470" s="990"/>
      <c r="BF470" s="990"/>
      <c r="BH470" s="990"/>
      <c r="BJ470" s="990"/>
      <c r="BO470" s="990"/>
      <c r="BP470" s="990"/>
      <c r="BQ470" s="990"/>
      <c r="BR470" s="990"/>
      <c r="BT470" s="990"/>
      <c r="BV470" s="990"/>
      <c r="BX470" s="990"/>
    </row>
    <row r="471" spans="55:76">
      <c r="BC471" s="990"/>
      <c r="BD471" s="990"/>
      <c r="BF471" s="990"/>
      <c r="BH471" s="990"/>
      <c r="BJ471" s="990"/>
      <c r="BO471" s="990"/>
      <c r="BP471" s="990"/>
      <c r="BQ471" s="990"/>
      <c r="BR471" s="990"/>
      <c r="BT471" s="990"/>
      <c r="BV471" s="990"/>
      <c r="BX471" s="990"/>
    </row>
    <row r="472" spans="55:76">
      <c r="BC472" s="990"/>
      <c r="BD472" s="990"/>
      <c r="BF472" s="990"/>
      <c r="BH472" s="990"/>
      <c r="BJ472" s="990"/>
      <c r="BO472" s="990"/>
      <c r="BP472" s="990"/>
      <c r="BQ472" s="990"/>
      <c r="BR472" s="990"/>
      <c r="BT472" s="990"/>
      <c r="BV472" s="990"/>
      <c r="BX472" s="990"/>
    </row>
    <row r="473" spans="55:76">
      <c r="BC473" s="990"/>
      <c r="BD473" s="990"/>
      <c r="BF473" s="990"/>
      <c r="BH473" s="990"/>
      <c r="BJ473" s="990"/>
      <c r="BO473" s="990"/>
      <c r="BP473" s="990"/>
      <c r="BQ473" s="990"/>
      <c r="BR473" s="990"/>
      <c r="BT473" s="990"/>
      <c r="BV473" s="990"/>
      <c r="BX473" s="990"/>
    </row>
    <row r="474" spans="55:76">
      <c r="BC474" s="990"/>
      <c r="BD474" s="990"/>
      <c r="BF474" s="990"/>
      <c r="BH474" s="990"/>
      <c r="BJ474" s="990"/>
      <c r="BO474" s="990"/>
      <c r="BP474" s="990"/>
      <c r="BQ474" s="990"/>
      <c r="BR474" s="990"/>
      <c r="BT474" s="990"/>
      <c r="BV474" s="990"/>
      <c r="BX474" s="990"/>
    </row>
    <row r="475" spans="55:76">
      <c r="BC475" s="990"/>
      <c r="BD475" s="990"/>
      <c r="BF475" s="990"/>
      <c r="BH475" s="990"/>
      <c r="BJ475" s="990"/>
      <c r="BO475" s="990"/>
      <c r="BP475" s="990"/>
      <c r="BQ475" s="990"/>
      <c r="BR475" s="990"/>
      <c r="BT475" s="990"/>
      <c r="BV475" s="990"/>
      <c r="BX475" s="990"/>
    </row>
    <row r="476" spans="55:76">
      <c r="BC476" s="990"/>
      <c r="BD476" s="990"/>
      <c r="BF476" s="990"/>
      <c r="BH476" s="990"/>
      <c r="BJ476" s="990"/>
      <c r="BO476" s="990"/>
      <c r="BP476" s="990"/>
      <c r="BQ476" s="990"/>
      <c r="BR476" s="990"/>
      <c r="BT476" s="990"/>
      <c r="BV476" s="990"/>
      <c r="BX476" s="990"/>
    </row>
    <row r="477" spans="55:76">
      <c r="BC477" s="990"/>
      <c r="BD477" s="990"/>
      <c r="BF477" s="990"/>
      <c r="BH477" s="990"/>
      <c r="BJ477" s="990"/>
      <c r="BO477" s="990"/>
      <c r="BP477" s="990"/>
      <c r="BQ477" s="990"/>
      <c r="BR477" s="990"/>
      <c r="BT477" s="990"/>
      <c r="BV477" s="990"/>
      <c r="BX477" s="990"/>
    </row>
    <row r="478" spans="55:76">
      <c r="BC478" s="990"/>
      <c r="BD478" s="990"/>
      <c r="BF478" s="990"/>
      <c r="BH478" s="990"/>
      <c r="BJ478" s="990"/>
      <c r="BO478" s="990"/>
      <c r="BP478" s="990"/>
      <c r="BQ478" s="990"/>
      <c r="BR478" s="990"/>
      <c r="BT478" s="990"/>
      <c r="BV478" s="990"/>
      <c r="BX478" s="990"/>
    </row>
    <row r="479" spans="55:76">
      <c r="BC479" s="990"/>
      <c r="BD479" s="990"/>
      <c r="BF479" s="990"/>
      <c r="BH479" s="990"/>
      <c r="BJ479" s="990"/>
      <c r="BO479" s="990"/>
      <c r="BP479" s="990"/>
      <c r="BQ479" s="990"/>
      <c r="BR479" s="990"/>
      <c r="BT479" s="990"/>
      <c r="BV479" s="990"/>
      <c r="BX479" s="990"/>
    </row>
    <row r="480" spans="55:76">
      <c r="BC480" s="990"/>
      <c r="BD480" s="990"/>
      <c r="BF480" s="990"/>
      <c r="BH480" s="990"/>
      <c r="BJ480" s="990"/>
      <c r="BO480" s="990"/>
      <c r="BP480" s="990"/>
      <c r="BQ480" s="990"/>
      <c r="BR480" s="990"/>
      <c r="BT480" s="990"/>
      <c r="BV480" s="990"/>
      <c r="BX480" s="990"/>
    </row>
    <row r="481" spans="55:76">
      <c r="BC481" s="990"/>
      <c r="BD481" s="990"/>
      <c r="BF481" s="990"/>
      <c r="BH481" s="990"/>
      <c r="BJ481" s="990"/>
      <c r="BO481" s="990"/>
      <c r="BP481" s="990"/>
      <c r="BQ481" s="990"/>
      <c r="BR481" s="990"/>
      <c r="BT481" s="990"/>
      <c r="BV481" s="990"/>
      <c r="BX481" s="990"/>
    </row>
    <row r="482" spans="55:76">
      <c r="BC482" s="990"/>
      <c r="BD482" s="990"/>
      <c r="BF482" s="990"/>
      <c r="BH482" s="990"/>
      <c r="BJ482" s="990"/>
      <c r="BO482" s="990"/>
      <c r="BP482" s="990"/>
      <c r="BQ482" s="990"/>
      <c r="BR482" s="990"/>
      <c r="BT482" s="990"/>
      <c r="BV482" s="990"/>
      <c r="BX482" s="990"/>
    </row>
    <row r="483" spans="55:76">
      <c r="BC483" s="990"/>
      <c r="BD483" s="990"/>
      <c r="BF483" s="990"/>
      <c r="BH483" s="990"/>
      <c r="BJ483" s="990"/>
      <c r="BO483" s="990"/>
      <c r="BP483" s="990"/>
      <c r="BQ483" s="990"/>
      <c r="BR483" s="990"/>
      <c r="BT483" s="990"/>
      <c r="BV483" s="990"/>
      <c r="BX483" s="990"/>
    </row>
    <row r="484" spans="55:76">
      <c r="BC484" s="990"/>
      <c r="BD484" s="990"/>
      <c r="BF484" s="990"/>
      <c r="BH484" s="990"/>
      <c r="BJ484" s="990"/>
      <c r="BO484" s="990"/>
      <c r="BP484" s="990"/>
      <c r="BQ484" s="990"/>
      <c r="BR484" s="990"/>
      <c r="BT484" s="990"/>
      <c r="BV484" s="990"/>
      <c r="BX484" s="990"/>
    </row>
    <row r="485" spans="55:76">
      <c r="BC485" s="990"/>
      <c r="BD485" s="990"/>
      <c r="BF485" s="990"/>
      <c r="BH485" s="990"/>
      <c r="BJ485" s="990"/>
      <c r="BO485" s="990"/>
      <c r="BP485" s="990"/>
      <c r="BQ485" s="990"/>
      <c r="BR485" s="990"/>
      <c r="BT485" s="990"/>
      <c r="BV485" s="990"/>
      <c r="BX485" s="990"/>
    </row>
    <row r="486" spans="55:76">
      <c r="BC486" s="990"/>
      <c r="BD486" s="990"/>
      <c r="BF486" s="990"/>
      <c r="BH486" s="990"/>
      <c r="BJ486" s="990"/>
      <c r="BO486" s="990"/>
      <c r="BP486" s="990"/>
      <c r="BQ486" s="990"/>
      <c r="BR486" s="990"/>
      <c r="BT486" s="990"/>
      <c r="BV486" s="990"/>
      <c r="BX486" s="990"/>
    </row>
    <row r="487" spans="55:76">
      <c r="BC487" s="990"/>
      <c r="BD487" s="990"/>
      <c r="BF487" s="990"/>
      <c r="BH487" s="990"/>
      <c r="BJ487" s="990"/>
      <c r="BO487" s="990"/>
      <c r="BP487" s="990"/>
      <c r="BQ487" s="990"/>
      <c r="BR487" s="990"/>
      <c r="BT487" s="990"/>
      <c r="BV487" s="990"/>
      <c r="BX487" s="990"/>
    </row>
    <row r="488" spans="55:76">
      <c r="BC488" s="990"/>
      <c r="BD488" s="990"/>
      <c r="BF488" s="990"/>
      <c r="BH488" s="990"/>
      <c r="BJ488" s="990"/>
      <c r="BO488" s="990"/>
      <c r="BP488" s="990"/>
      <c r="BQ488" s="990"/>
      <c r="BR488" s="990"/>
      <c r="BT488" s="990"/>
      <c r="BV488" s="990"/>
      <c r="BX488" s="990"/>
    </row>
    <row r="489" spans="55:76">
      <c r="BC489" s="990"/>
      <c r="BD489" s="990"/>
      <c r="BF489" s="990"/>
      <c r="BH489" s="990"/>
      <c r="BJ489" s="990"/>
      <c r="BO489" s="990"/>
      <c r="BP489" s="990"/>
      <c r="BQ489" s="990"/>
      <c r="BR489" s="990"/>
      <c r="BT489" s="990"/>
      <c r="BV489" s="990"/>
      <c r="BX489" s="990"/>
    </row>
    <row r="490" spans="55:76">
      <c r="BC490" s="990"/>
      <c r="BD490" s="990"/>
      <c r="BF490" s="990"/>
      <c r="BH490" s="990"/>
      <c r="BJ490" s="990"/>
      <c r="BO490" s="990"/>
      <c r="BP490" s="990"/>
      <c r="BQ490" s="990"/>
      <c r="BR490" s="990"/>
      <c r="BT490" s="990"/>
      <c r="BV490" s="990"/>
      <c r="BX490" s="990"/>
    </row>
    <row r="491" spans="55:76">
      <c r="BC491" s="990"/>
      <c r="BD491" s="990"/>
      <c r="BF491" s="990"/>
      <c r="BH491" s="990"/>
      <c r="BJ491" s="990"/>
      <c r="BO491" s="990"/>
      <c r="BP491" s="990"/>
      <c r="BQ491" s="990"/>
      <c r="BR491" s="990"/>
      <c r="BT491" s="990"/>
      <c r="BV491" s="990"/>
      <c r="BX491" s="990"/>
    </row>
    <row r="492" spans="55:76">
      <c r="BC492" s="990"/>
      <c r="BD492" s="990"/>
      <c r="BF492" s="990"/>
      <c r="BH492" s="990"/>
      <c r="BJ492" s="990"/>
      <c r="BO492" s="990"/>
      <c r="BP492" s="990"/>
      <c r="BQ492" s="990"/>
      <c r="BR492" s="990"/>
      <c r="BT492" s="990"/>
      <c r="BV492" s="990"/>
      <c r="BX492" s="990"/>
    </row>
    <row r="493" spans="55:76">
      <c r="BC493" s="990"/>
      <c r="BD493" s="990"/>
      <c r="BF493" s="990"/>
      <c r="BH493" s="990"/>
      <c r="BJ493" s="990"/>
      <c r="BO493" s="990"/>
      <c r="BP493" s="990"/>
      <c r="BQ493" s="990"/>
      <c r="BR493" s="990"/>
      <c r="BT493" s="990"/>
      <c r="BV493" s="990"/>
      <c r="BX493" s="990"/>
    </row>
    <row r="494" spans="55:76">
      <c r="BC494" s="990"/>
      <c r="BD494" s="990"/>
      <c r="BF494" s="990"/>
      <c r="BH494" s="990"/>
      <c r="BJ494" s="990"/>
      <c r="BO494" s="990"/>
      <c r="BP494" s="990"/>
      <c r="BQ494" s="990"/>
      <c r="BR494" s="990"/>
      <c r="BT494" s="990"/>
      <c r="BV494" s="990"/>
      <c r="BX494" s="990"/>
    </row>
    <row r="495" spans="55:76">
      <c r="BC495" s="990"/>
      <c r="BD495" s="990"/>
      <c r="BF495" s="990"/>
      <c r="BH495" s="990"/>
      <c r="BJ495" s="990"/>
      <c r="BO495" s="990"/>
      <c r="BP495" s="990"/>
      <c r="BQ495" s="990"/>
      <c r="BR495" s="990"/>
      <c r="BT495" s="990"/>
      <c r="BV495" s="990"/>
      <c r="BX495" s="990"/>
    </row>
    <row r="496" spans="55:76">
      <c r="BC496" s="990"/>
      <c r="BD496" s="990"/>
      <c r="BF496" s="990"/>
      <c r="BH496" s="990"/>
      <c r="BJ496" s="990"/>
      <c r="BO496" s="990"/>
      <c r="BP496" s="990"/>
      <c r="BQ496" s="990"/>
      <c r="BR496" s="990"/>
      <c r="BT496" s="990"/>
      <c r="BV496" s="990"/>
      <c r="BX496" s="990"/>
    </row>
    <row r="497" spans="55:76">
      <c r="BC497" s="990"/>
      <c r="BD497" s="990"/>
      <c r="BF497" s="990"/>
      <c r="BH497" s="990"/>
      <c r="BJ497" s="990"/>
      <c r="BO497" s="990"/>
      <c r="BP497" s="990"/>
      <c r="BQ497" s="990"/>
      <c r="BR497" s="990"/>
      <c r="BT497" s="990"/>
      <c r="BV497" s="990"/>
      <c r="BX497" s="990"/>
    </row>
    <row r="498" spans="55:76">
      <c r="BC498" s="990"/>
      <c r="BD498" s="990"/>
      <c r="BF498" s="990"/>
      <c r="BH498" s="990"/>
      <c r="BJ498" s="990"/>
      <c r="BO498" s="990"/>
      <c r="BP498" s="990"/>
      <c r="BQ498" s="990"/>
      <c r="BR498" s="990"/>
      <c r="BT498" s="990"/>
      <c r="BV498" s="990"/>
      <c r="BX498" s="990"/>
    </row>
    <row r="499" spans="55:76">
      <c r="BC499" s="990"/>
      <c r="BD499" s="990"/>
      <c r="BF499" s="990"/>
      <c r="BH499" s="990"/>
      <c r="BJ499" s="990"/>
      <c r="BO499" s="990"/>
      <c r="BP499" s="990"/>
      <c r="BQ499" s="990"/>
      <c r="BR499" s="990"/>
      <c r="BT499" s="990"/>
      <c r="BV499" s="990"/>
      <c r="BX499" s="990"/>
    </row>
    <row r="500" spans="55:76">
      <c r="BC500" s="990"/>
      <c r="BD500" s="990"/>
      <c r="BF500" s="990"/>
      <c r="BH500" s="990"/>
      <c r="BJ500" s="990"/>
      <c r="BO500" s="990"/>
      <c r="BP500" s="990"/>
      <c r="BQ500" s="990"/>
      <c r="BR500" s="990"/>
      <c r="BT500" s="990"/>
      <c r="BV500" s="990"/>
      <c r="BX500" s="990"/>
    </row>
  </sheetData>
  <sheetProtection selectLockedCells="1" selectUnlockedCells="1"/>
  <phoneticPr fontId="7"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A1:N329"/>
  <sheetViews>
    <sheetView zoomScaleNormal="100" workbookViewId="0">
      <selection activeCell="L13" sqref="L13"/>
    </sheetView>
  </sheetViews>
  <sheetFormatPr defaultColWidth="9.375" defaultRowHeight="10.8"/>
  <cols>
    <col min="1" max="1" width="32.125" style="1113" customWidth="1"/>
    <col min="2" max="2" width="6.5" style="990" customWidth="1"/>
    <col min="3" max="8" width="15.875" style="1122" customWidth="1"/>
    <col min="9" max="9" width="4.375" style="990" customWidth="1"/>
    <col min="10" max="10" width="3.5" style="990" customWidth="1"/>
    <col min="11" max="11" width="3.875" style="990" customWidth="1"/>
    <col min="12" max="12" width="29.375" style="1004" bestFit="1" customWidth="1"/>
    <col min="13" max="13" width="16.875" style="990" customWidth="1"/>
    <col min="14" max="14" width="8.125" style="989" customWidth="1"/>
    <col min="15" max="16384" width="9.375" style="990"/>
  </cols>
  <sheetData>
    <row r="1" spans="1:14">
      <c r="C1" s="872" t="str">
        <f>年度数据!C1</f>
        <v>2017-12-31</v>
      </c>
      <c r="D1" s="872" t="str">
        <f>年度数据!D1</f>
        <v>2018-12-31</v>
      </c>
      <c r="E1" s="872" t="str">
        <f>年度数据!E1</f>
        <v>2019-12-31</v>
      </c>
      <c r="F1" s="872" t="str">
        <f>年度数据!F1</f>
        <v>2020-12-31</v>
      </c>
      <c r="G1" s="872" t="str">
        <f>年度数据!G1</f>
        <v>2021-12-31</v>
      </c>
      <c r="H1" s="872" t="str">
        <f>年度数据!H1</f>
        <v>2022-12-31</v>
      </c>
      <c r="M1" s="995" t="s">
        <v>2742</v>
      </c>
    </row>
    <row r="2" spans="1:14" ht="15.6">
      <c r="A2" s="1114" t="s">
        <v>2545</v>
      </c>
      <c r="C2" s="990"/>
      <c r="D2" s="990"/>
      <c r="E2" s="990"/>
      <c r="F2" s="990"/>
      <c r="G2" s="990"/>
      <c r="H2" s="990"/>
      <c r="L2" s="1004">
        <v>101</v>
      </c>
      <c r="M2" s="990">
        <v>1000000</v>
      </c>
      <c r="N2" s="991">
        <f>YEAR(目录!C7)</f>
        <v>2022</v>
      </c>
    </row>
    <row r="3" spans="1:14">
      <c r="A3" s="1115" t="s">
        <v>1050</v>
      </c>
      <c r="C3" s="990">
        <v>2038788127.6099999</v>
      </c>
      <c r="D3" s="990">
        <v>3096749290.6900001</v>
      </c>
      <c r="E3" s="990">
        <v>4651957012</v>
      </c>
      <c r="F3" s="990">
        <v>6237878504.6199999</v>
      </c>
      <c r="G3" s="990">
        <v>7770724151.6800003</v>
      </c>
      <c r="H3" s="990">
        <v>7660640555.4399996</v>
      </c>
      <c r="L3" s="999" t="s">
        <v>1863</v>
      </c>
      <c r="M3" s="990">
        <f>$M$2</f>
        <v>1000000</v>
      </c>
    </row>
    <row r="4" spans="1:14">
      <c r="A4" s="1116" t="s">
        <v>846</v>
      </c>
      <c r="C4" s="990">
        <v>2038788127.6099999</v>
      </c>
      <c r="D4" s="990">
        <v>3096749290.6900001</v>
      </c>
      <c r="E4" s="990">
        <v>4651957012</v>
      </c>
      <c r="F4" s="990">
        <v>6237878504.6199999</v>
      </c>
      <c r="G4" s="990">
        <v>7770724151.6800003</v>
      </c>
      <c r="H4" s="990">
        <v>7660640555.4399996</v>
      </c>
      <c r="L4" s="999" t="s">
        <v>1599</v>
      </c>
      <c r="M4" s="990">
        <f t="shared" ref="M4:M30" si="0">$M$2</f>
        <v>1000000</v>
      </c>
    </row>
    <row r="5" spans="1:14">
      <c r="A5" s="1116" t="s">
        <v>985</v>
      </c>
      <c r="C5" s="990">
        <v>1263523419.1700001</v>
      </c>
      <c r="D5" s="990">
        <v>2124489136.0899999</v>
      </c>
      <c r="E5" s="990">
        <v>3092149795.0500002</v>
      </c>
      <c r="F5" s="990">
        <v>3933645306.1799998</v>
      </c>
      <c r="G5" s="990">
        <v>5554951017.1599998</v>
      </c>
      <c r="H5" s="990">
        <v>6035760029.8299999</v>
      </c>
      <c r="L5" s="999" t="s">
        <v>1604</v>
      </c>
      <c r="M5" s="990">
        <f t="shared" si="0"/>
        <v>1000000</v>
      </c>
    </row>
    <row r="6" spans="1:14">
      <c r="A6" s="1116" t="s">
        <v>986</v>
      </c>
      <c r="C6" s="990">
        <v>18558996.370000001</v>
      </c>
      <c r="D6" s="990">
        <v>20628093.039999999</v>
      </c>
      <c r="E6" s="990">
        <v>32896232.670000002</v>
      </c>
      <c r="F6" s="990">
        <v>42402173.340000004</v>
      </c>
      <c r="G6" s="990">
        <v>43490777.829999998</v>
      </c>
      <c r="H6" s="990">
        <v>36744935.640000001</v>
      </c>
      <c r="L6" s="999" t="s">
        <v>1612</v>
      </c>
      <c r="M6" s="990">
        <f t="shared" si="0"/>
        <v>1000000</v>
      </c>
    </row>
    <row r="7" spans="1:14">
      <c r="A7" s="1116" t="s">
        <v>2059</v>
      </c>
      <c r="C7" s="990">
        <v>260561787</v>
      </c>
      <c r="D7" s="990">
        <v>416893497.85000002</v>
      </c>
      <c r="E7" s="990">
        <v>575764746.30999994</v>
      </c>
      <c r="F7" s="990">
        <v>389229846.81</v>
      </c>
      <c r="G7" s="990">
        <v>472995450.05000001</v>
      </c>
      <c r="H7" s="990">
        <v>509950784.39999998</v>
      </c>
      <c r="L7" s="999" t="s">
        <v>1613</v>
      </c>
      <c r="M7" s="990">
        <f t="shared" si="0"/>
        <v>1000000</v>
      </c>
    </row>
    <row r="8" spans="1:14">
      <c r="A8" s="1116" t="s">
        <v>1058</v>
      </c>
      <c r="C8" s="990">
        <v>102330230.08</v>
      </c>
      <c r="D8" s="990">
        <v>135923663.81</v>
      </c>
      <c r="E8" s="990">
        <v>205795587.08000001</v>
      </c>
      <c r="F8" s="990">
        <v>243373583.75</v>
      </c>
      <c r="G8" s="990">
        <v>289527844.51999998</v>
      </c>
      <c r="H8" s="990">
        <v>300718545.92000002</v>
      </c>
      <c r="L8" s="999" t="s">
        <v>1614</v>
      </c>
      <c r="M8" s="990">
        <f t="shared" si="0"/>
        <v>1000000</v>
      </c>
    </row>
    <row r="9" spans="1:14">
      <c r="A9" s="1117" t="s">
        <v>2546</v>
      </c>
      <c r="B9" s="995"/>
      <c r="C9" s="990">
        <v>86071131.890000001</v>
      </c>
      <c r="D9" s="990">
        <v>130691708.08</v>
      </c>
      <c r="E9" s="990">
        <v>209507282.86000001</v>
      </c>
      <c r="F9" s="990">
        <v>281832949.32999998</v>
      </c>
      <c r="G9" s="990">
        <v>339996564.45999998</v>
      </c>
      <c r="H9" s="990">
        <v>343133988.11000001</v>
      </c>
      <c r="L9" s="999" t="s">
        <v>2524</v>
      </c>
      <c r="M9" s="990">
        <f t="shared" si="0"/>
        <v>1000000</v>
      </c>
    </row>
    <row r="10" spans="1:14">
      <c r="A10" s="1113" t="s">
        <v>2547</v>
      </c>
      <c r="C10" s="990">
        <v>18762633.07</v>
      </c>
      <c r="D10" s="990">
        <v>27753008.870000001</v>
      </c>
      <c r="E10" s="990">
        <v>20159173.32</v>
      </c>
      <c r="F10" s="990">
        <v>27226078.329999998</v>
      </c>
      <c r="G10" s="990">
        <v>42603031.939999998</v>
      </c>
      <c r="H10" s="990">
        <v>75631407.650000006</v>
      </c>
      <c r="L10" s="999" t="s">
        <v>1615</v>
      </c>
      <c r="M10" s="990">
        <f t="shared" si="0"/>
        <v>1000000</v>
      </c>
    </row>
    <row r="11" spans="1:14">
      <c r="A11" s="1113" t="s">
        <v>2548</v>
      </c>
      <c r="C11" s="990">
        <v>19677316.09</v>
      </c>
      <c r="D11" s="990">
        <v>34022184.939999998</v>
      </c>
      <c r="E11" s="990">
        <v>36749823.659999996</v>
      </c>
      <c r="F11" s="990">
        <v>42888912.539999999</v>
      </c>
      <c r="G11" s="990">
        <v>62435210.450000003</v>
      </c>
      <c r="H11" s="990">
        <v>101204948.39</v>
      </c>
      <c r="L11" s="999" t="s">
        <v>2852</v>
      </c>
      <c r="M11" s="990">
        <f t="shared" si="0"/>
        <v>1000000</v>
      </c>
    </row>
    <row r="12" spans="1:14">
      <c r="A12" s="1113" t="s">
        <v>2549</v>
      </c>
      <c r="C12" s="990">
        <v>-2115349.7799999998</v>
      </c>
      <c r="D12" s="990">
        <v>-7615915.1399999997</v>
      </c>
      <c r="E12" s="990">
        <v>-18591411.379999999</v>
      </c>
      <c r="F12" s="990">
        <v>-19713053.219999999</v>
      </c>
      <c r="G12" s="990">
        <v>-24599974.100000001</v>
      </c>
      <c r="H12" s="990">
        <v>-28396491.620000001</v>
      </c>
      <c r="L12" s="999" t="s">
        <v>2853</v>
      </c>
      <c r="M12" s="990">
        <f t="shared" si="0"/>
        <v>1000000</v>
      </c>
      <c r="N12" s="991"/>
    </row>
    <row r="13" spans="1:14">
      <c r="A13" s="1113" t="s">
        <v>2550</v>
      </c>
      <c r="C13" s="990">
        <v>29382289.420000002</v>
      </c>
      <c r="D13" s="990">
        <v>-55363089.659999996</v>
      </c>
      <c r="E13" s="990">
        <v>-15152860.98</v>
      </c>
      <c r="F13" s="990">
        <v>-34924672.479999997</v>
      </c>
      <c r="G13" s="990">
        <v>-26008773.879999999</v>
      </c>
      <c r="H13" s="990">
        <v>-38068680.43</v>
      </c>
      <c r="L13" s="999" t="s">
        <v>1616</v>
      </c>
      <c r="M13" s="990">
        <f t="shared" si="0"/>
        <v>1000000</v>
      </c>
    </row>
    <row r="14" spans="1:14">
      <c r="A14" s="1117" t="s">
        <v>2774</v>
      </c>
      <c r="C14" s="990">
        <v>0</v>
      </c>
      <c r="D14" s="990">
        <v>0</v>
      </c>
      <c r="E14" s="990">
        <v>-103780772.93000001</v>
      </c>
      <c r="F14" s="990">
        <v>-242679157.44999999</v>
      </c>
      <c r="G14" s="990">
        <v>-249349161.59</v>
      </c>
      <c r="H14" s="990">
        <v>-223973394.41</v>
      </c>
      <c r="L14" s="999" t="s">
        <v>2851</v>
      </c>
      <c r="M14" s="990">
        <v>1000000</v>
      </c>
    </row>
    <row r="15" spans="1:14">
      <c r="A15" s="1113" t="s">
        <v>2551</v>
      </c>
      <c r="C15" s="990">
        <v>0</v>
      </c>
      <c r="D15" s="990">
        <v>9925104.1600000001</v>
      </c>
      <c r="E15" s="990">
        <v>0</v>
      </c>
      <c r="F15" s="990">
        <v>196372.22</v>
      </c>
      <c r="G15" s="990">
        <v>8846.59</v>
      </c>
      <c r="H15" s="990">
        <v>40805791.850000001</v>
      </c>
      <c r="L15" s="999" t="s">
        <v>1617</v>
      </c>
      <c r="M15" s="990">
        <f t="shared" si="0"/>
        <v>1000000</v>
      </c>
    </row>
    <row r="16" spans="1:14">
      <c r="A16" s="1117" t="s">
        <v>2552</v>
      </c>
      <c r="B16" s="995"/>
      <c r="C16" s="990">
        <v>3659430.25</v>
      </c>
      <c r="D16" s="990">
        <v>5746732.3099999996</v>
      </c>
      <c r="E16" s="990">
        <v>11180851.57</v>
      </c>
      <c r="F16" s="990">
        <v>26001949.02</v>
      </c>
      <c r="G16" s="990">
        <v>68307599.120000005</v>
      </c>
      <c r="H16" s="990">
        <v>53544000.43</v>
      </c>
      <c r="L16" s="999" t="s">
        <v>2521</v>
      </c>
      <c r="M16" s="990">
        <f t="shared" si="0"/>
        <v>1000000</v>
      </c>
    </row>
    <row r="17" spans="1:14">
      <c r="A17" s="1113" t="s">
        <v>2553</v>
      </c>
      <c r="C17" s="990">
        <v>-2355894.1</v>
      </c>
      <c r="D17" s="990">
        <v>19269022.91</v>
      </c>
      <c r="E17" s="990">
        <v>20729962.16</v>
      </c>
      <c r="F17" s="990">
        <v>-27984675.469999999</v>
      </c>
      <c r="G17" s="990">
        <v>-2948816.36</v>
      </c>
      <c r="H17" s="990">
        <v>3802445.53</v>
      </c>
      <c r="L17" s="999" t="s">
        <v>1618</v>
      </c>
      <c r="M17" s="990">
        <f t="shared" si="0"/>
        <v>1000000</v>
      </c>
    </row>
    <row r="18" spans="1:14">
      <c r="A18" s="1113" t="s">
        <v>926</v>
      </c>
      <c r="C18" s="990">
        <v>0</v>
      </c>
      <c r="D18" s="990">
        <v>0</v>
      </c>
      <c r="E18" s="990">
        <v>0</v>
      </c>
      <c r="F18" s="990">
        <v>0</v>
      </c>
      <c r="G18" s="990">
        <v>-583729.18999999994</v>
      </c>
      <c r="H18" s="990">
        <v>-1173128.24</v>
      </c>
      <c r="L18" s="999" t="s">
        <v>1619</v>
      </c>
      <c r="M18" s="990">
        <f t="shared" si="0"/>
        <v>1000000</v>
      </c>
    </row>
    <row r="19" spans="1:14">
      <c r="A19" s="1117" t="s">
        <v>2554</v>
      </c>
      <c r="B19" s="995"/>
      <c r="C19" s="990">
        <v>-658532.87</v>
      </c>
      <c r="D19" s="990">
        <v>1573735.25</v>
      </c>
      <c r="E19" s="990">
        <v>-1393595.7</v>
      </c>
      <c r="F19" s="990">
        <v>-7659869.3300000001</v>
      </c>
      <c r="G19" s="990">
        <v>-6492032.3499999996</v>
      </c>
      <c r="H19" s="990">
        <v>-3341410.09</v>
      </c>
      <c r="L19" s="999" t="s">
        <v>2528</v>
      </c>
      <c r="M19" s="990">
        <f t="shared" si="0"/>
        <v>1000000</v>
      </c>
    </row>
    <row r="20" spans="1:14">
      <c r="A20" s="1118" t="s">
        <v>2555</v>
      </c>
      <c r="C20" s="990">
        <v>260242643.88999999</v>
      </c>
      <c r="D20" s="990">
        <v>221521687.91999999</v>
      </c>
      <c r="E20" s="990">
        <v>427267778.82999998</v>
      </c>
      <c r="F20" s="990">
        <v>1033118513.39</v>
      </c>
      <c r="G20" s="990">
        <v>810677127.25</v>
      </c>
      <c r="H20" s="990">
        <v>191469616.77000001</v>
      </c>
      <c r="L20" s="999" t="s">
        <v>1621</v>
      </c>
      <c r="M20" s="990">
        <f t="shared" si="0"/>
        <v>1000000</v>
      </c>
    </row>
    <row r="21" spans="1:14">
      <c r="A21" s="1113" t="s">
        <v>1008</v>
      </c>
      <c r="C21" s="990">
        <v>260242643.88999999</v>
      </c>
      <c r="D21" s="990">
        <v>221521687.91999999</v>
      </c>
      <c r="E21" s="990">
        <v>427267778.82999998</v>
      </c>
      <c r="F21" s="990">
        <v>1033118513.39</v>
      </c>
      <c r="G21" s="990">
        <v>810677127.25</v>
      </c>
      <c r="H21" s="990">
        <v>191469616.77000001</v>
      </c>
      <c r="L21" s="999" t="s">
        <v>1621</v>
      </c>
      <c r="M21" s="990">
        <f t="shared" si="0"/>
        <v>1000000</v>
      </c>
    </row>
    <row r="22" spans="1:14">
      <c r="A22" s="1113" t="s">
        <v>2556</v>
      </c>
      <c r="C22" s="990">
        <v>1405863.7</v>
      </c>
      <c r="D22" s="990">
        <v>2902075.01</v>
      </c>
      <c r="E22" s="990">
        <v>5392308.96</v>
      </c>
      <c r="F22" s="990">
        <v>8343698.5199999996</v>
      </c>
      <c r="G22" s="990">
        <v>12447954.75</v>
      </c>
      <c r="H22" s="990">
        <v>11995486.109999999</v>
      </c>
      <c r="L22" s="999" t="s">
        <v>1622</v>
      </c>
      <c r="M22" s="990">
        <f t="shared" si="0"/>
        <v>1000000</v>
      </c>
    </row>
    <row r="23" spans="1:14">
      <c r="A23" s="1113" t="s">
        <v>1009</v>
      </c>
      <c r="C23" s="990">
        <v>933004.89</v>
      </c>
      <c r="D23" s="990">
        <v>1227994.8700000001</v>
      </c>
      <c r="E23" s="990">
        <v>1044248.81</v>
      </c>
      <c r="F23" s="990">
        <v>2608226.56</v>
      </c>
      <c r="G23" s="990">
        <v>2618478.4300000002</v>
      </c>
      <c r="H23" s="990">
        <v>2872649.21</v>
      </c>
      <c r="L23" s="999" t="s">
        <v>1623</v>
      </c>
      <c r="M23" s="990">
        <f t="shared" si="0"/>
        <v>1000000</v>
      </c>
      <c r="N23" s="991"/>
    </row>
    <row r="24" spans="1:14">
      <c r="A24" s="1118" t="s">
        <v>921</v>
      </c>
      <c r="C24" s="990">
        <v>260715502.69999999</v>
      </c>
      <c r="D24" s="990">
        <v>223195768.06</v>
      </c>
      <c r="E24" s="990">
        <v>431615838.98000002</v>
      </c>
      <c r="F24" s="990">
        <v>1038853985.35</v>
      </c>
      <c r="G24" s="990">
        <v>820506603.57000005</v>
      </c>
      <c r="H24" s="990">
        <v>200592453.66999999</v>
      </c>
      <c r="L24" s="999" t="s">
        <v>1625</v>
      </c>
      <c r="M24" s="990">
        <f t="shared" si="0"/>
        <v>1000000</v>
      </c>
    </row>
    <row r="25" spans="1:14">
      <c r="A25" s="1113" t="s">
        <v>44</v>
      </c>
      <c r="C25" s="990">
        <v>260715502.69999999</v>
      </c>
      <c r="D25" s="990">
        <v>223195768.06</v>
      </c>
      <c r="E25" s="990">
        <v>431615838.98000002</v>
      </c>
      <c r="F25" s="990">
        <v>1038853985.35</v>
      </c>
      <c r="G25" s="990">
        <v>820506603.57000005</v>
      </c>
      <c r="H25" s="990">
        <v>200592453.66999999</v>
      </c>
      <c r="L25" s="999" t="s">
        <v>1625</v>
      </c>
      <c r="M25" s="990">
        <f t="shared" si="0"/>
        <v>1000000</v>
      </c>
    </row>
    <row r="26" spans="1:14">
      <c r="A26" s="1113" t="s">
        <v>1026</v>
      </c>
      <c r="C26" s="990">
        <v>43278019</v>
      </c>
      <c r="D26" s="990">
        <v>37928520.75</v>
      </c>
      <c r="E26" s="990">
        <v>68254323.890000001</v>
      </c>
      <c r="F26" s="990">
        <v>148519849.97999999</v>
      </c>
      <c r="G26" s="990">
        <v>147887465.03999999</v>
      </c>
      <c r="H26" s="990">
        <v>22677695.25</v>
      </c>
      <c r="L26" s="999" t="s">
        <v>1626</v>
      </c>
      <c r="M26" s="990">
        <f t="shared" si="0"/>
        <v>1000000</v>
      </c>
    </row>
    <row r="27" spans="1:14">
      <c r="A27" s="1118" t="s">
        <v>922</v>
      </c>
      <c r="C27" s="990">
        <v>0</v>
      </c>
      <c r="D27" s="990">
        <v>0</v>
      </c>
      <c r="E27" s="990">
        <v>0</v>
      </c>
      <c r="F27" s="990">
        <v>0</v>
      </c>
      <c r="G27" s="990">
        <v>0</v>
      </c>
      <c r="H27" s="990">
        <v>0</v>
      </c>
      <c r="L27" s="999"/>
      <c r="M27" s="990">
        <f t="shared" si="0"/>
        <v>1000000</v>
      </c>
    </row>
    <row r="28" spans="1:14">
      <c r="A28" s="1113" t="s">
        <v>1025</v>
      </c>
      <c r="C28" s="990">
        <v>217437483.69999999</v>
      </c>
      <c r="D28" s="990">
        <v>185267247.31</v>
      </c>
      <c r="E28" s="990">
        <v>363361515.08999997</v>
      </c>
      <c r="F28" s="990">
        <v>890334135.37</v>
      </c>
      <c r="G28" s="990">
        <v>672619138.52999997</v>
      </c>
      <c r="H28" s="990">
        <v>177914758.41999999</v>
      </c>
      <c r="L28" s="999" t="s">
        <v>1627</v>
      </c>
      <c r="M28" s="990">
        <f t="shared" si="0"/>
        <v>1000000</v>
      </c>
    </row>
    <row r="29" spans="1:14">
      <c r="A29" s="1113" t="s">
        <v>2557</v>
      </c>
      <c r="C29" s="990">
        <v>-242476.39</v>
      </c>
      <c r="D29" s="990">
        <v>0</v>
      </c>
      <c r="E29" s="990">
        <v>-13.04</v>
      </c>
      <c r="F29" s="990">
        <v>0</v>
      </c>
      <c r="G29" s="990">
        <v>0</v>
      </c>
      <c r="H29" s="990">
        <v>-270177.77</v>
      </c>
      <c r="L29" s="999" t="s">
        <v>1628</v>
      </c>
      <c r="M29" s="990">
        <f t="shared" si="0"/>
        <v>1000000</v>
      </c>
    </row>
    <row r="30" spans="1:14">
      <c r="A30" s="1113" t="s">
        <v>971</v>
      </c>
      <c r="C30" s="990">
        <v>217679960.09</v>
      </c>
      <c r="D30" s="990">
        <v>185267247.31</v>
      </c>
      <c r="E30" s="990">
        <v>363361528.13</v>
      </c>
      <c r="F30" s="990">
        <v>890334135.37</v>
      </c>
      <c r="G30" s="990">
        <v>672619138.52999997</v>
      </c>
      <c r="H30" s="990">
        <v>178184936.19</v>
      </c>
      <c r="L30" s="999" t="s">
        <v>1629</v>
      </c>
      <c r="M30" s="990">
        <f t="shared" si="0"/>
        <v>1000000</v>
      </c>
    </row>
    <row r="31" spans="1:14">
      <c r="A31" s="1113" t="s">
        <v>2558</v>
      </c>
      <c r="C31" s="990">
        <v>0.48</v>
      </c>
      <c r="D31" s="990">
        <v>0.31</v>
      </c>
      <c r="E31" s="990">
        <v>0.6</v>
      </c>
      <c r="F31" s="990">
        <v>0.82</v>
      </c>
      <c r="G31" s="990">
        <v>0.59599999999999997</v>
      </c>
      <c r="H31" s="990">
        <v>0.15</v>
      </c>
      <c r="L31" s="999" t="s">
        <v>1630</v>
      </c>
      <c r="M31" s="990">
        <v>1</v>
      </c>
    </row>
    <row r="32" spans="1:14">
      <c r="A32" s="1118" t="s">
        <v>2559</v>
      </c>
      <c r="C32" s="990">
        <v>0</v>
      </c>
      <c r="D32" s="990">
        <v>0</v>
      </c>
      <c r="E32" s="990">
        <v>0</v>
      </c>
      <c r="F32" s="990">
        <v>0</v>
      </c>
      <c r="G32" s="990">
        <v>0</v>
      </c>
      <c r="H32" s="990">
        <v>0</v>
      </c>
    </row>
    <row r="33" spans="1:14">
      <c r="A33" s="1113" t="s">
        <v>1055</v>
      </c>
      <c r="C33" s="990">
        <v>0.05</v>
      </c>
      <c r="D33" s="990">
        <v>0.05</v>
      </c>
      <c r="E33" s="990">
        <v>0</v>
      </c>
      <c r="F33" s="990">
        <v>0.15</v>
      </c>
      <c r="G33" s="990">
        <v>0</v>
      </c>
      <c r="H33" s="990">
        <v>0.05</v>
      </c>
      <c r="L33" s="999" t="s">
        <v>1864</v>
      </c>
      <c r="M33" s="990">
        <v>1</v>
      </c>
    </row>
    <row r="34" spans="1:14">
      <c r="A34" s="1113" t="s">
        <v>1056</v>
      </c>
      <c r="C34" s="990">
        <v>0</v>
      </c>
      <c r="D34" s="990">
        <v>0</v>
      </c>
      <c r="E34" s="990">
        <v>0</v>
      </c>
      <c r="F34" s="990">
        <v>0</v>
      </c>
      <c r="G34" s="990">
        <v>0</v>
      </c>
      <c r="H34" s="990">
        <v>0</v>
      </c>
      <c r="L34" s="999" t="s">
        <v>1865</v>
      </c>
      <c r="M34" s="990">
        <v>1</v>
      </c>
    </row>
    <row r="35" spans="1:14">
      <c r="A35" s="1113" t="s">
        <v>1057</v>
      </c>
      <c r="C35" s="990">
        <v>0</v>
      </c>
      <c r="D35" s="990">
        <v>0</v>
      </c>
      <c r="E35" s="990">
        <v>0</v>
      </c>
      <c r="F35" s="990">
        <v>0.8</v>
      </c>
      <c r="G35" s="990">
        <v>0</v>
      </c>
      <c r="H35" s="990">
        <v>0</v>
      </c>
      <c r="L35" s="999" t="s">
        <v>1866</v>
      </c>
      <c r="M35" s="990">
        <v>1</v>
      </c>
    </row>
    <row r="36" spans="1:14">
      <c r="A36" s="1113" t="s">
        <v>2560</v>
      </c>
      <c r="C36" s="990">
        <v>0</v>
      </c>
      <c r="D36" s="990">
        <v>0</v>
      </c>
      <c r="E36" s="990">
        <v>0</v>
      </c>
      <c r="F36" s="990">
        <v>0</v>
      </c>
      <c r="G36" s="990">
        <v>0</v>
      </c>
      <c r="H36" s="990">
        <v>0</v>
      </c>
      <c r="M36" s="990">
        <v>1</v>
      </c>
    </row>
    <row r="37" spans="1:14">
      <c r="A37" s="1113" t="s">
        <v>2561</v>
      </c>
      <c r="C37" s="990">
        <v>0</v>
      </c>
      <c r="D37" s="990">
        <v>0</v>
      </c>
      <c r="E37" s="990">
        <v>0</v>
      </c>
      <c r="F37" s="990">
        <v>0</v>
      </c>
      <c r="G37" s="990">
        <v>0</v>
      </c>
      <c r="H37" s="990">
        <v>0</v>
      </c>
      <c r="M37" s="990">
        <v>1</v>
      </c>
      <c r="N37" s="991"/>
    </row>
    <row r="38" spans="1:14">
      <c r="A38" s="1113" t="s">
        <v>2562</v>
      </c>
      <c r="C38" s="990">
        <v>0</v>
      </c>
      <c r="D38" s="990">
        <v>0</v>
      </c>
      <c r="E38" s="990">
        <v>0</v>
      </c>
      <c r="F38" s="990">
        <v>0</v>
      </c>
      <c r="G38" s="990">
        <v>0</v>
      </c>
      <c r="H38" s="990">
        <v>0</v>
      </c>
      <c r="M38" s="990">
        <v>1</v>
      </c>
    </row>
    <row r="39" spans="1:14">
      <c r="C39" s="990">
        <v>0</v>
      </c>
      <c r="D39" s="990">
        <v>0</v>
      </c>
      <c r="E39" s="990">
        <v>0</v>
      </c>
      <c r="F39" s="990">
        <v>0</v>
      </c>
      <c r="G39" s="990">
        <v>0</v>
      </c>
      <c r="H39" s="990">
        <v>0</v>
      </c>
    </row>
    <row r="40" spans="1:14">
      <c r="C40" s="990">
        <v>0</v>
      </c>
      <c r="D40" s="990">
        <v>0</v>
      </c>
      <c r="E40" s="990">
        <v>0</v>
      </c>
      <c r="F40" s="990">
        <v>0</v>
      </c>
      <c r="G40" s="990">
        <v>0</v>
      </c>
      <c r="H40" s="990">
        <v>0</v>
      </c>
    </row>
    <row r="41" spans="1:14" ht="15.6">
      <c r="A41" s="1114" t="s">
        <v>2626</v>
      </c>
      <c r="C41" s="990">
        <v>0</v>
      </c>
      <c r="D41" s="990">
        <v>0</v>
      </c>
      <c r="E41" s="990">
        <v>0</v>
      </c>
      <c r="F41" s="990">
        <v>0</v>
      </c>
      <c r="G41" s="990">
        <v>0</v>
      </c>
      <c r="H41" s="990">
        <v>0</v>
      </c>
    </row>
    <row r="42" spans="1:14">
      <c r="A42" s="1118" t="s">
        <v>2563</v>
      </c>
      <c r="C42" s="990">
        <v>0</v>
      </c>
      <c r="D42" s="990">
        <v>0</v>
      </c>
      <c r="E42" s="990">
        <v>0</v>
      </c>
      <c r="F42" s="990">
        <v>0</v>
      </c>
      <c r="G42" s="990">
        <v>0</v>
      </c>
      <c r="H42" s="990">
        <v>0</v>
      </c>
    </row>
    <row r="43" spans="1:14">
      <c r="A43" s="1113" t="s">
        <v>2564</v>
      </c>
      <c r="C43" s="990">
        <v>345997678.36000001</v>
      </c>
      <c r="D43" s="990">
        <v>905641005.41999996</v>
      </c>
      <c r="E43" s="990">
        <v>1100965523.6700001</v>
      </c>
      <c r="F43" s="990">
        <v>1420149619.01</v>
      </c>
      <c r="G43" s="990">
        <v>2189353916.2199998</v>
      </c>
      <c r="H43" s="990">
        <v>2333587531.0100002</v>
      </c>
      <c r="L43" s="999" t="s">
        <v>1639</v>
      </c>
      <c r="M43" s="990">
        <f>$M$2</f>
        <v>1000000</v>
      </c>
    </row>
    <row r="44" spans="1:14">
      <c r="A44" s="1113" t="s">
        <v>2565</v>
      </c>
      <c r="C44" s="990">
        <v>0</v>
      </c>
      <c r="D44" s="990">
        <v>584925104.15999997</v>
      </c>
      <c r="E44" s="990">
        <v>0</v>
      </c>
      <c r="F44" s="990">
        <v>217196372.22</v>
      </c>
      <c r="G44" s="990">
        <v>54218.21</v>
      </c>
      <c r="H44" s="990">
        <v>74012589.969999999</v>
      </c>
      <c r="L44" s="999" t="s">
        <v>1640</v>
      </c>
      <c r="M44" s="990">
        <f t="shared" ref="M44:M127" si="1">$M$2</f>
        <v>1000000</v>
      </c>
    </row>
    <row r="45" spans="1:14">
      <c r="A45" s="1167" t="s">
        <v>2785</v>
      </c>
      <c r="C45" s="990">
        <v>0</v>
      </c>
      <c r="D45" s="990">
        <v>0</v>
      </c>
      <c r="E45" s="990">
        <v>0</v>
      </c>
      <c r="F45" s="990">
        <v>0</v>
      </c>
      <c r="G45" s="990">
        <v>0</v>
      </c>
      <c r="H45" s="990">
        <v>0</v>
      </c>
      <c r="L45" s="999" t="s">
        <v>2843</v>
      </c>
      <c r="M45" s="990">
        <f t="shared" si="1"/>
        <v>1000000</v>
      </c>
    </row>
    <row r="46" spans="1:14">
      <c r="A46" s="1113" t="s">
        <v>2566</v>
      </c>
      <c r="C46" s="990">
        <v>198942676.25</v>
      </c>
      <c r="D46" s="990">
        <v>198339644.03999999</v>
      </c>
      <c r="E46" s="990">
        <v>504124371.87</v>
      </c>
      <c r="F46" s="990">
        <v>608263959.78999996</v>
      </c>
      <c r="G46" s="990">
        <v>682402494.87</v>
      </c>
      <c r="H46" s="990">
        <v>209238741.65000001</v>
      </c>
      <c r="L46" s="999" t="s">
        <v>1641</v>
      </c>
      <c r="M46" s="990">
        <f t="shared" si="1"/>
        <v>1000000</v>
      </c>
    </row>
    <row r="47" spans="1:14">
      <c r="A47" s="1117" t="s">
        <v>2749</v>
      </c>
      <c r="C47" s="990">
        <v>919695403.03999996</v>
      </c>
      <c r="D47" s="990">
        <v>1441600476.51</v>
      </c>
      <c r="E47" s="990">
        <v>1853668772.1300001</v>
      </c>
      <c r="F47" s="990">
        <v>2388371362.79</v>
      </c>
      <c r="G47" s="990">
        <v>3420692439.6300001</v>
      </c>
      <c r="H47" s="990">
        <v>4668444149.1199999</v>
      </c>
      <c r="L47" s="999" t="s">
        <v>2751</v>
      </c>
      <c r="M47" s="990">
        <f>$M$2</f>
        <v>1000000</v>
      </c>
    </row>
    <row r="48" spans="1:14">
      <c r="A48" s="1113" t="s">
        <v>2567</v>
      </c>
      <c r="C48" s="990">
        <v>0</v>
      </c>
      <c r="D48" s="990">
        <v>0</v>
      </c>
      <c r="E48" s="990">
        <v>0</v>
      </c>
      <c r="F48" s="990">
        <v>0</v>
      </c>
      <c r="G48" s="990">
        <v>0</v>
      </c>
      <c r="H48" s="990">
        <v>0</v>
      </c>
      <c r="L48" s="999" t="s">
        <v>1645</v>
      </c>
      <c r="M48" s="990">
        <f t="shared" si="1"/>
        <v>1000000</v>
      </c>
    </row>
    <row r="49" spans="1:13">
      <c r="A49" s="1113" t="s">
        <v>2568</v>
      </c>
      <c r="C49" s="990">
        <v>0</v>
      </c>
      <c r="D49" s="990">
        <v>0</v>
      </c>
      <c r="E49" s="990">
        <v>0</v>
      </c>
      <c r="F49" s="990">
        <v>0</v>
      </c>
      <c r="G49" s="990">
        <v>0</v>
      </c>
      <c r="H49" s="990">
        <v>0</v>
      </c>
      <c r="L49" s="999" t="s">
        <v>1644</v>
      </c>
      <c r="M49" s="990">
        <f t="shared" si="1"/>
        <v>1000000</v>
      </c>
    </row>
    <row r="50" spans="1:13">
      <c r="A50" s="1167" t="s">
        <v>2839</v>
      </c>
      <c r="C50" s="990">
        <v>1118638079.29</v>
      </c>
      <c r="D50" s="990">
        <v>1639940120.55</v>
      </c>
      <c r="E50" s="990">
        <v>2357793144</v>
      </c>
      <c r="F50" s="990">
        <v>2996635322.5799999</v>
      </c>
      <c r="G50" s="990">
        <v>4103094934.5</v>
      </c>
      <c r="H50" s="990">
        <v>4877682890.7700005</v>
      </c>
      <c r="L50" s="999" t="s">
        <v>2841</v>
      </c>
      <c r="M50" s="990">
        <f t="shared" si="1"/>
        <v>1000000</v>
      </c>
    </row>
    <row r="51" spans="1:13">
      <c r="A51" s="1117" t="s">
        <v>2840</v>
      </c>
      <c r="B51" s="995"/>
      <c r="C51" s="990">
        <v>0</v>
      </c>
      <c r="D51" s="990">
        <v>100101927.68000001</v>
      </c>
      <c r="E51" s="990">
        <v>61930583.450000003</v>
      </c>
      <c r="F51" s="990">
        <v>226606015.86000001</v>
      </c>
      <c r="G51" s="990">
        <v>229290432.28999999</v>
      </c>
      <c r="H51" s="990">
        <v>319276471.69</v>
      </c>
      <c r="L51" s="999" t="s">
        <v>2842</v>
      </c>
      <c r="M51" s="990">
        <f t="shared" si="1"/>
        <v>1000000</v>
      </c>
    </row>
    <row r="52" spans="1:13" ht="21.6">
      <c r="A52" s="1117" t="s">
        <v>2569</v>
      </c>
      <c r="B52" s="995"/>
      <c r="C52" s="990">
        <v>29964596.32</v>
      </c>
      <c r="D52" s="990">
        <v>147694736.19999999</v>
      </c>
      <c r="E52" s="990">
        <v>156620669.66999999</v>
      </c>
      <c r="F52" s="990">
        <v>135122942.27000001</v>
      </c>
      <c r="G52" s="990">
        <v>279694506.38999999</v>
      </c>
      <c r="H52" s="990">
        <v>286873630.82999998</v>
      </c>
      <c r="L52" s="999" t="s">
        <v>2536</v>
      </c>
      <c r="M52" s="990">
        <f t="shared" si="1"/>
        <v>1000000</v>
      </c>
    </row>
    <row r="53" spans="1:13">
      <c r="A53" s="1113" t="s">
        <v>2570</v>
      </c>
      <c r="C53" s="990">
        <v>29288199.039999999</v>
      </c>
      <c r="D53" s="990">
        <v>63251528</v>
      </c>
      <c r="E53" s="990">
        <v>88378514.540000007</v>
      </c>
      <c r="F53" s="990">
        <v>150910733.31999999</v>
      </c>
      <c r="G53" s="990">
        <v>156057786.77000001</v>
      </c>
      <c r="H53" s="990">
        <v>138462682.00999999</v>
      </c>
      <c r="L53" s="999" t="s">
        <v>1643</v>
      </c>
      <c r="M53" s="990">
        <f t="shared" si="1"/>
        <v>1000000</v>
      </c>
    </row>
    <row r="54" spans="1:13">
      <c r="A54" s="1113" t="s">
        <v>2571</v>
      </c>
      <c r="C54" s="990">
        <v>219688903.33000001</v>
      </c>
      <c r="D54" s="990">
        <v>303245592.75</v>
      </c>
      <c r="E54" s="990">
        <v>287051921.77999997</v>
      </c>
      <c r="F54" s="990">
        <v>339790641.45999998</v>
      </c>
      <c r="G54" s="990">
        <v>403832159.31999999</v>
      </c>
      <c r="H54" s="990">
        <v>554364998.35000002</v>
      </c>
      <c r="L54" s="999" t="s">
        <v>1868</v>
      </c>
      <c r="M54" s="990">
        <f t="shared" si="1"/>
        <v>1000000</v>
      </c>
    </row>
    <row r="55" spans="1:13">
      <c r="A55" s="1117" t="s">
        <v>2770</v>
      </c>
      <c r="C55" s="990">
        <v>0</v>
      </c>
      <c r="D55" s="990">
        <v>0</v>
      </c>
      <c r="E55" s="990">
        <v>277341867.88</v>
      </c>
      <c r="F55" s="990">
        <v>364585482.63</v>
      </c>
      <c r="G55" s="990">
        <v>393268699.75</v>
      </c>
      <c r="H55" s="990">
        <v>409592652.57999998</v>
      </c>
      <c r="L55" s="999" t="s">
        <v>2771</v>
      </c>
      <c r="M55" s="990">
        <v>1000000</v>
      </c>
    </row>
    <row r="56" spans="1:13">
      <c r="A56" s="1167" t="s">
        <v>2787</v>
      </c>
      <c r="C56" s="990">
        <v>0</v>
      </c>
      <c r="D56" s="990">
        <v>0</v>
      </c>
      <c r="E56" s="990">
        <v>0</v>
      </c>
      <c r="F56" s="990">
        <v>0</v>
      </c>
      <c r="G56" s="990">
        <v>0</v>
      </c>
      <c r="H56" s="990">
        <v>0</v>
      </c>
      <c r="L56" s="999" t="s">
        <v>2805</v>
      </c>
      <c r="M56" s="990">
        <v>1000000</v>
      </c>
    </row>
    <row r="57" spans="1:13">
      <c r="A57" s="1113" t="s">
        <v>1377</v>
      </c>
      <c r="C57" s="990">
        <v>0</v>
      </c>
      <c r="D57" s="990">
        <v>0</v>
      </c>
      <c r="E57" s="990">
        <v>0</v>
      </c>
      <c r="F57" s="990">
        <v>0</v>
      </c>
      <c r="G57" s="990">
        <v>0</v>
      </c>
      <c r="H57" s="990">
        <v>0</v>
      </c>
      <c r="L57" s="999" t="s">
        <v>1869</v>
      </c>
      <c r="M57" s="990">
        <f t="shared" si="1"/>
        <v>1000000</v>
      </c>
    </row>
    <row r="58" spans="1:13">
      <c r="A58" s="1113" t="s">
        <v>2572</v>
      </c>
      <c r="C58" s="990">
        <v>68858698.079999998</v>
      </c>
      <c r="D58" s="990">
        <v>61022313.479999997</v>
      </c>
      <c r="E58" s="990">
        <v>122623707.15000001</v>
      </c>
      <c r="F58" s="990">
        <v>237415625.65000001</v>
      </c>
      <c r="G58" s="990">
        <v>478400615.68000001</v>
      </c>
      <c r="H58" s="990">
        <v>499327682.32999998</v>
      </c>
      <c r="L58" s="999" t="s">
        <v>1649</v>
      </c>
      <c r="M58" s="990">
        <f t="shared" si="1"/>
        <v>1000000</v>
      </c>
    </row>
    <row r="59" spans="1:13">
      <c r="A59" s="1113" t="s">
        <v>2573</v>
      </c>
      <c r="C59" s="990">
        <v>1812436154.4200001</v>
      </c>
      <c r="D59" s="990">
        <v>3805822328.2399998</v>
      </c>
      <c r="E59" s="990">
        <v>4452705932.1400003</v>
      </c>
      <c r="F59" s="990">
        <v>6088412755</v>
      </c>
      <c r="G59" s="990">
        <v>8233047269.1300001</v>
      </c>
      <c r="H59" s="990">
        <v>9493181129.5400009</v>
      </c>
      <c r="L59" s="999" t="s">
        <v>1658</v>
      </c>
      <c r="M59" s="990">
        <f t="shared" si="1"/>
        <v>1000000</v>
      </c>
    </row>
    <row r="60" spans="1:13">
      <c r="A60" s="1118" t="s">
        <v>1018</v>
      </c>
      <c r="C60" s="990">
        <v>0</v>
      </c>
      <c r="D60" s="990">
        <v>0</v>
      </c>
      <c r="E60" s="990">
        <v>0</v>
      </c>
      <c r="F60" s="990">
        <v>0</v>
      </c>
      <c r="G60" s="990">
        <v>0</v>
      </c>
      <c r="H60" s="990">
        <v>0</v>
      </c>
      <c r="M60" s="990">
        <f t="shared" si="1"/>
        <v>1000000</v>
      </c>
    </row>
    <row r="61" spans="1:13">
      <c r="A61" s="1167" t="s">
        <v>2788</v>
      </c>
      <c r="C61" s="990">
        <v>0</v>
      </c>
      <c r="D61" s="990">
        <v>0</v>
      </c>
      <c r="E61" s="990">
        <v>0</v>
      </c>
      <c r="F61" s="990">
        <v>0</v>
      </c>
      <c r="G61" s="990">
        <v>147137583.34</v>
      </c>
      <c r="H61" s="990">
        <v>139523500</v>
      </c>
      <c r="L61" s="999" t="s">
        <v>2806</v>
      </c>
      <c r="M61" s="990">
        <f t="shared" si="1"/>
        <v>1000000</v>
      </c>
    </row>
    <row r="62" spans="1:13">
      <c r="A62" s="1167" t="s">
        <v>2789</v>
      </c>
      <c r="C62" s="990">
        <v>0</v>
      </c>
      <c r="D62" s="990">
        <v>0</v>
      </c>
      <c r="E62" s="990">
        <v>0</v>
      </c>
      <c r="F62" s="990">
        <v>0</v>
      </c>
      <c r="G62" s="990">
        <v>0</v>
      </c>
      <c r="H62" s="990">
        <v>0</v>
      </c>
      <c r="L62" s="999" t="s">
        <v>2807</v>
      </c>
      <c r="M62" s="990">
        <f t="shared" si="1"/>
        <v>1000000</v>
      </c>
    </row>
    <row r="63" spans="1:13">
      <c r="A63" s="1113" t="s">
        <v>2574</v>
      </c>
      <c r="C63" s="990">
        <v>30000000</v>
      </c>
      <c r="D63" s="990">
        <v>0</v>
      </c>
      <c r="E63" s="990">
        <v>0</v>
      </c>
      <c r="F63" s="990">
        <v>0</v>
      </c>
      <c r="G63" s="990">
        <v>0</v>
      </c>
      <c r="H63" s="990">
        <v>0</v>
      </c>
      <c r="L63" s="999" t="s">
        <v>1660</v>
      </c>
      <c r="M63" s="990">
        <f t="shared" si="1"/>
        <v>1000000</v>
      </c>
    </row>
    <row r="64" spans="1:13">
      <c r="A64" s="1167" t="s">
        <v>2791</v>
      </c>
      <c r="C64" s="990">
        <v>0</v>
      </c>
      <c r="D64" s="990">
        <v>89580000</v>
      </c>
      <c r="E64" s="990">
        <v>18115979.129999999</v>
      </c>
      <c r="F64" s="990">
        <v>32205050.219999999</v>
      </c>
      <c r="G64" s="990">
        <v>19609246.120000001</v>
      </c>
      <c r="H64" s="990">
        <v>0</v>
      </c>
      <c r="L64" s="999" t="s">
        <v>2844</v>
      </c>
      <c r="M64" s="990">
        <f t="shared" si="1"/>
        <v>1000000</v>
      </c>
    </row>
    <row r="65" spans="1:13">
      <c r="A65" s="1113" t="s">
        <v>2575</v>
      </c>
      <c r="C65" s="990">
        <v>0</v>
      </c>
      <c r="D65" s="990">
        <v>0</v>
      </c>
      <c r="E65" s="990">
        <v>0</v>
      </c>
      <c r="F65" s="990">
        <v>0</v>
      </c>
      <c r="G65" s="990">
        <v>0</v>
      </c>
      <c r="H65" s="990">
        <v>0</v>
      </c>
      <c r="L65" s="999" t="s">
        <v>1661</v>
      </c>
      <c r="M65" s="990">
        <f t="shared" si="1"/>
        <v>1000000</v>
      </c>
    </row>
    <row r="66" spans="1:13">
      <c r="A66" s="1167" t="s">
        <v>2792</v>
      </c>
      <c r="C66" s="990">
        <v>0</v>
      </c>
      <c r="D66" s="990">
        <v>0</v>
      </c>
      <c r="E66" s="990">
        <v>0</v>
      </c>
      <c r="F66" s="990">
        <v>0</v>
      </c>
      <c r="G66" s="990">
        <v>0</v>
      </c>
      <c r="H66" s="990">
        <v>0</v>
      </c>
      <c r="L66" s="999" t="s">
        <v>2845</v>
      </c>
      <c r="M66" s="990">
        <f t="shared" si="1"/>
        <v>1000000</v>
      </c>
    </row>
    <row r="67" spans="1:13">
      <c r="A67" s="1113" t="s">
        <v>2576</v>
      </c>
      <c r="C67" s="990">
        <v>0</v>
      </c>
      <c r="D67" s="990">
        <v>0</v>
      </c>
      <c r="E67" s="990">
        <v>0</v>
      </c>
      <c r="F67" s="990">
        <v>0</v>
      </c>
      <c r="G67" s="990">
        <v>0</v>
      </c>
      <c r="H67" s="990">
        <v>101521104.51000001</v>
      </c>
      <c r="L67" s="999" t="s">
        <v>1664</v>
      </c>
      <c r="M67" s="990">
        <f t="shared" si="1"/>
        <v>1000000</v>
      </c>
    </row>
    <row r="68" spans="1:13">
      <c r="A68" s="1113" t="s">
        <v>2577</v>
      </c>
      <c r="C68" s="990">
        <v>0</v>
      </c>
      <c r="D68" s="990">
        <v>0</v>
      </c>
      <c r="E68" s="990">
        <v>0</v>
      </c>
      <c r="F68" s="990">
        <v>0</v>
      </c>
      <c r="G68" s="990">
        <v>24483474.050000001</v>
      </c>
      <c r="H68" s="990">
        <v>32961611.18</v>
      </c>
      <c r="L68" s="999" t="s">
        <v>1663</v>
      </c>
      <c r="M68" s="990">
        <f t="shared" si="1"/>
        <v>1000000</v>
      </c>
    </row>
    <row r="69" spans="1:13">
      <c r="A69" s="1113" t="s">
        <v>2578</v>
      </c>
      <c r="C69" s="990">
        <v>344712158.20999998</v>
      </c>
      <c r="D69" s="990">
        <v>530333190.89999998</v>
      </c>
      <c r="E69" s="990">
        <v>723691261.74000001</v>
      </c>
      <c r="F69" s="990">
        <v>1310263774.96</v>
      </c>
      <c r="G69" s="990">
        <v>1681361385.99</v>
      </c>
      <c r="H69" s="990">
        <v>1953416930.96</v>
      </c>
      <c r="L69" s="999" t="s">
        <v>1665</v>
      </c>
      <c r="M69" s="990">
        <f t="shared" si="1"/>
        <v>1000000</v>
      </c>
    </row>
    <row r="70" spans="1:13">
      <c r="A70" s="1113" t="s">
        <v>2579</v>
      </c>
      <c r="C70" s="990">
        <v>0</v>
      </c>
      <c r="D70" s="990">
        <v>0</v>
      </c>
      <c r="E70" s="990">
        <v>0</v>
      </c>
      <c r="F70" s="990">
        <v>0</v>
      </c>
      <c r="G70" s="990">
        <v>0</v>
      </c>
      <c r="H70" s="990">
        <v>0</v>
      </c>
      <c r="L70" s="999" t="s">
        <v>1667</v>
      </c>
      <c r="M70" s="990">
        <f t="shared" si="1"/>
        <v>1000000</v>
      </c>
    </row>
    <row r="71" spans="1:13">
      <c r="A71" s="1113" t="s">
        <v>2580</v>
      </c>
      <c r="C71" s="990">
        <v>209091797.40000001</v>
      </c>
      <c r="D71" s="990">
        <v>318137392.08999997</v>
      </c>
      <c r="E71" s="990">
        <v>504325196.67000002</v>
      </c>
      <c r="F71" s="990">
        <v>369262592.05000001</v>
      </c>
      <c r="G71" s="990">
        <v>266388642.94999999</v>
      </c>
      <c r="H71" s="990">
        <v>159045008.88</v>
      </c>
      <c r="L71" s="999" t="s">
        <v>1666</v>
      </c>
      <c r="M71" s="990">
        <f t="shared" si="1"/>
        <v>1000000</v>
      </c>
    </row>
    <row r="72" spans="1:13">
      <c r="A72" s="1167" t="s">
        <v>2793</v>
      </c>
      <c r="C72" s="990">
        <v>0</v>
      </c>
      <c r="D72" s="990">
        <v>0</v>
      </c>
      <c r="E72" s="990">
        <v>0</v>
      </c>
      <c r="F72" s="990">
        <v>18577870.539999999</v>
      </c>
      <c r="G72" s="990">
        <v>19665207.809999999</v>
      </c>
      <c r="H72" s="990">
        <v>42679903.590000004</v>
      </c>
      <c r="L72" s="999" t="s">
        <v>2808</v>
      </c>
      <c r="M72" s="990">
        <f t="shared" si="1"/>
        <v>1000000</v>
      </c>
    </row>
    <row r="73" spans="1:13">
      <c r="A73" s="1113" t="s">
        <v>2581</v>
      </c>
      <c r="C73" s="990">
        <v>0</v>
      </c>
      <c r="D73" s="990">
        <v>0</v>
      </c>
      <c r="E73" s="990">
        <v>130000</v>
      </c>
      <c r="F73" s="990">
        <v>130000</v>
      </c>
      <c r="G73" s="990">
        <v>0</v>
      </c>
      <c r="H73" s="990">
        <v>0</v>
      </c>
      <c r="L73" s="999" t="s">
        <v>1668</v>
      </c>
      <c r="M73" s="990">
        <f t="shared" si="1"/>
        <v>1000000</v>
      </c>
    </row>
    <row r="74" spans="1:13">
      <c r="A74" s="1113" t="s">
        <v>2582</v>
      </c>
      <c r="C74" s="990">
        <v>0</v>
      </c>
      <c r="D74" s="990">
        <v>0</v>
      </c>
      <c r="E74" s="990">
        <v>0</v>
      </c>
      <c r="F74" s="990">
        <v>0</v>
      </c>
      <c r="G74" s="990">
        <v>0</v>
      </c>
      <c r="H74" s="990">
        <v>0</v>
      </c>
      <c r="L74" s="999" t="s">
        <v>1669</v>
      </c>
      <c r="M74" s="990">
        <f t="shared" si="1"/>
        <v>1000000</v>
      </c>
    </row>
    <row r="75" spans="1:13">
      <c r="A75" s="1113" t="s">
        <v>2583</v>
      </c>
      <c r="C75" s="990">
        <v>0</v>
      </c>
      <c r="D75" s="990">
        <v>0</v>
      </c>
      <c r="E75" s="990">
        <v>0</v>
      </c>
      <c r="F75" s="990">
        <v>0</v>
      </c>
      <c r="G75" s="990">
        <v>0</v>
      </c>
      <c r="H75" s="990">
        <v>0</v>
      </c>
      <c r="L75" s="999" t="s">
        <v>1670</v>
      </c>
      <c r="M75" s="990">
        <f t="shared" si="1"/>
        <v>1000000</v>
      </c>
    </row>
    <row r="76" spans="1:13">
      <c r="A76" s="1113" t="s">
        <v>2584</v>
      </c>
      <c r="C76" s="990">
        <v>114297247.26000001</v>
      </c>
      <c r="D76" s="990">
        <v>120778955.01000001</v>
      </c>
      <c r="E76" s="990">
        <v>139139854.38999999</v>
      </c>
      <c r="F76" s="990">
        <v>147327653.18000001</v>
      </c>
      <c r="G76" s="990">
        <v>144343933.81999999</v>
      </c>
      <c r="H76" s="990">
        <v>288301967.11000001</v>
      </c>
      <c r="L76" s="999" t="s">
        <v>1671</v>
      </c>
      <c r="M76" s="990">
        <f t="shared" si="1"/>
        <v>1000000</v>
      </c>
    </row>
    <row r="77" spans="1:13">
      <c r="A77" s="1113" t="s">
        <v>2585</v>
      </c>
      <c r="C77" s="990">
        <v>0</v>
      </c>
      <c r="D77" s="990">
        <v>0</v>
      </c>
      <c r="E77" s="990">
        <v>0</v>
      </c>
      <c r="F77" s="990">
        <v>0</v>
      </c>
      <c r="G77" s="990">
        <v>0</v>
      </c>
      <c r="H77" s="990">
        <v>0</v>
      </c>
      <c r="L77" s="999" t="s">
        <v>1672</v>
      </c>
      <c r="M77" s="990">
        <f t="shared" si="1"/>
        <v>1000000</v>
      </c>
    </row>
    <row r="78" spans="1:13">
      <c r="A78" s="1113" t="s">
        <v>2586</v>
      </c>
      <c r="C78" s="990">
        <v>0</v>
      </c>
      <c r="D78" s="990">
        <v>0</v>
      </c>
      <c r="E78" s="990">
        <v>0</v>
      </c>
      <c r="F78" s="990">
        <v>0</v>
      </c>
      <c r="G78" s="990">
        <v>0</v>
      </c>
      <c r="H78" s="990">
        <v>101095828.81</v>
      </c>
      <c r="L78" s="999" t="s">
        <v>1673</v>
      </c>
      <c r="M78" s="990">
        <f t="shared" si="1"/>
        <v>1000000</v>
      </c>
    </row>
    <row r="79" spans="1:13">
      <c r="A79" s="1113" t="s">
        <v>2587</v>
      </c>
      <c r="C79" s="990">
        <v>2092711.35</v>
      </c>
      <c r="D79" s="990">
        <v>1611400.11</v>
      </c>
      <c r="E79" s="990">
        <v>2265202.6800000002</v>
      </c>
      <c r="F79" s="990">
        <v>3695687.07</v>
      </c>
      <c r="G79" s="990">
        <v>1741219.61</v>
      </c>
      <c r="H79" s="990">
        <v>2457441.1800000002</v>
      </c>
      <c r="L79" s="999" t="s">
        <v>1674</v>
      </c>
      <c r="M79" s="990">
        <f t="shared" si="1"/>
        <v>1000000</v>
      </c>
    </row>
    <row r="80" spans="1:13">
      <c r="A80" s="1113" t="s">
        <v>2588</v>
      </c>
      <c r="C80" s="990">
        <v>0</v>
      </c>
      <c r="D80" s="990">
        <v>0</v>
      </c>
      <c r="E80" s="990">
        <v>0</v>
      </c>
      <c r="F80" s="990">
        <v>0</v>
      </c>
      <c r="G80" s="990">
        <v>0</v>
      </c>
      <c r="H80" s="990">
        <v>0</v>
      </c>
      <c r="L80" s="999" t="s">
        <v>1662</v>
      </c>
      <c r="M80" s="990">
        <f t="shared" si="1"/>
        <v>1000000</v>
      </c>
    </row>
    <row r="81" spans="1:13">
      <c r="A81" s="1113" t="s">
        <v>2589</v>
      </c>
      <c r="C81" s="990">
        <v>32132332.390000001</v>
      </c>
      <c r="D81" s="990">
        <v>56109602.119999997</v>
      </c>
      <c r="E81" s="990">
        <v>111727246.05</v>
      </c>
      <c r="F81" s="990">
        <v>180133970.5</v>
      </c>
      <c r="G81" s="990">
        <v>175105621.87</v>
      </c>
      <c r="H81" s="990">
        <v>218838199.28999999</v>
      </c>
      <c r="L81" s="999" t="s">
        <v>1675</v>
      </c>
      <c r="M81" s="990">
        <f t="shared" si="1"/>
        <v>1000000</v>
      </c>
    </row>
    <row r="82" spans="1:13">
      <c r="A82" s="1113" t="s">
        <v>976</v>
      </c>
      <c r="C82" s="990">
        <v>720000</v>
      </c>
      <c r="D82" s="990">
        <v>1236300</v>
      </c>
      <c r="E82" s="990">
        <v>23376109.59</v>
      </c>
      <c r="F82" s="990">
        <v>15243123.74</v>
      </c>
      <c r="G82" s="990">
        <v>76606523.689999998</v>
      </c>
      <c r="H82" s="990">
        <v>106373765.04000001</v>
      </c>
      <c r="L82" s="999" t="s">
        <v>1676</v>
      </c>
      <c r="M82" s="990">
        <f t="shared" si="1"/>
        <v>1000000</v>
      </c>
    </row>
    <row r="83" spans="1:13">
      <c r="A83" s="1113" t="s">
        <v>2590</v>
      </c>
      <c r="C83" s="990">
        <v>733046246.61000001</v>
      </c>
      <c r="D83" s="990">
        <v>1117786840.23</v>
      </c>
      <c r="E83" s="990">
        <v>1522640850.25</v>
      </c>
      <c r="F83" s="990">
        <v>2076709722.26</v>
      </c>
      <c r="G83" s="990">
        <v>2556442839.25</v>
      </c>
      <c r="H83" s="990">
        <v>3146215260.5500002</v>
      </c>
      <c r="L83" s="999" t="s">
        <v>1659</v>
      </c>
      <c r="M83" s="990">
        <f t="shared" si="1"/>
        <v>1000000</v>
      </c>
    </row>
    <row r="84" spans="1:13">
      <c r="A84" s="1118" t="s">
        <v>2591</v>
      </c>
      <c r="C84" s="990">
        <v>0</v>
      </c>
      <c r="D84" s="990">
        <v>0</v>
      </c>
      <c r="E84" s="990">
        <v>0</v>
      </c>
      <c r="F84" s="990">
        <v>0</v>
      </c>
      <c r="G84" s="990">
        <v>0</v>
      </c>
      <c r="H84" s="990">
        <v>0</v>
      </c>
      <c r="M84" s="990">
        <f t="shared" si="1"/>
        <v>1000000</v>
      </c>
    </row>
    <row r="85" spans="1:13">
      <c r="A85" s="1113" t="s">
        <v>43</v>
      </c>
      <c r="C85" s="990">
        <v>2545482401.0300002</v>
      </c>
      <c r="D85" s="990">
        <v>4923609168.4700003</v>
      </c>
      <c r="E85" s="990">
        <v>5975346782.3900003</v>
      </c>
      <c r="F85" s="990">
        <v>8165122477.2600002</v>
      </c>
      <c r="G85" s="990">
        <v>10789490108.379999</v>
      </c>
      <c r="H85" s="990">
        <v>12639396390.09</v>
      </c>
      <c r="L85" s="999" t="s">
        <v>1678</v>
      </c>
      <c r="M85" s="990">
        <f t="shared" si="1"/>
        <v>1000000</v>
      </c>
    </row>
    <row r="86" spans="1:13">
      <c r="A86" s="1118" t="s">
        <v>2592</v>
      </c>
      <c r="C86" s="990">
        <v>0</v>
      </c>
      <c r="D86" s="990">
        <v>0</v>
      </c>
      <c r="E86" s="990">
        <v>0</v>
      </c>
      <c r="F86" s="990">
        <v>0</v>
      </c>
      <c r="G86" s="990">
        <v>0</v>
      </c>
      <c r="H86" s="990">
        <v>0</v>
      </c>
      <c r="M86" s="990">
        <f t="shared" si="1"/>
        <v>1000000</v>
      </c>
    </row>
    <row r="87" spans="1:13">
      <c r="A87" s="1113" t="s">
        <v>2593</v>
      </c>
      <c r="C87" s="990">
        <v>153000000</v>
      </c>
      <c r="D87" s="990">
        <v>286718510.20999998</v>
      </c>
      <c r="E87" s="990">
        <v>510763339.83999997</v>
      </c>
      <c r="F87" s="990">
        <v>659191283.84000003</v>
      </c>
      <c r="G87" s="990">
        <v>595518455.5</v>
      </c>
      <c r="H87" s="990">
        <v>1161975326.8099999</v>
      </c>
      <c r="L87" s="999" t="s">
        <v>1679</v>
      </c>
      <c r="M87" s="990">
        <f t="shared" si="1"/>
        <v>1000000</v>
      </c>
    </row>
    <row r="88" spans="1:13">
      <c r="A88" s="1113" t="s">
        <v>2594</v>
      </c>
      <c r="C88" s="990">
        <v>0</v>
      </c>
      <c r="D88" s="990">
        <v>0</v>
      </c>
      <c r="E88" s="990">
        <v>0</v>
      </c>
      <c r="F88" s="990">
        <v>0</v>
      </c>
      <c r="G88" s="990">
        <v>0</v>
      </c>
      <c r="H88" s="990">
        <v>0</v>
      </c>
      <c r="L88" s="999"/>
      <c r="M88" s="990">
        <f t="shared" si="1"/>
        <v>1000000</v>
      </c>
    </row>
    <row r="89" spans="1:13">
      <c r="A89" s="1167" t="s">
        <v>2794</v>
      </c>
      <c r="C89" s="990">
        <v>0</v>
      </c>
      <c r="D89" s="990">
        <v>0</v>
      </c>
      <c r="E89" s="990">
        <v>0</v>
      </c>
      <c r="F89" s="990">
        <v>0</v>
      </c>
      <c r="G89" s="990">
        <v>0</v>
      </c>
      <c r="H89" s="990">
        <v>0</v>
      </c>
      <c r="L89" s="999" t="s">
        <v>2846</v>
      </c>
      <c r="M89" s="990">
        <f t="shared" si="1"/>
        <v>1000000</v>
      </c>
    </row>
    <row r="90" spans="1:13">
      <c r="A90" s="1113" t="s">
        <v>2595</v>
      </c>
      <c r="C90" s="990">
        <v>299293917.79000002</v>
      </c>
      <c r="D90" s="990">
        <v>583975806.05999994</v>
      </c>
      <c r="E90" s="990">
        <v>764640014.41999996</v>
      </c>
      <c r="F90" s="990">
        <v>924591939.5</v>
      </c>
      <c r="G90" s="990">
        <v>1982963747.45</v>
      </c>
      <c r="H90" s="990">
        <v>1824188196.5</v>
      </c>
      <c r="L90" s="999" t="s">
        <v>1681</v>
      </c>
      <c r="M90" s="990">
        <f t="shared" si="1"/>
        <v>1000000</v>
      </c>
    </row>
    <row r="91" spans="1:13">
      <c r="A91" s="1117" t="s">
        <v>2750</v>
      </c>
      <c r="C91" s="990">
        <v>429361356.95999998</v>
      </c>
      <c r="D91" s="990">
        <v>585714797.99000001</v>
      </c>
      <c r="E91" s="990">
        <v>819364051.48000002</v>
      </c>
      <c r="F91" s="990">
        <v>1086553414.6099999</v>
      </c>
      <c r="G91" s="990">
        <v>1441734821.7</v>
      </c>
      <c r="H91" s="990">
        <v>1790435549.03</v>
      </c>
      <c r="L91" s="999" t="s">
        <v>2752</v>
      </c>
      <c r="M91" s="990">
        <f>$M$2</f>
        <v>1000000</v>
      </c>
    </row>
    <row r="92" spans="1:13">
      <c r="A92" s="1117" t="s">
        <v>2596</v>
      </c>
      <c r="B92" s="995"/>
      <c r="C92" s="990">
        <v>728655274.75</v>
      </c>
      <c r="D92" s="990">
        <v>1169690604.05</v>
      </c>
      <c r="E92" s="990">
        <v>1584004065.9000001</v>
      </c>
      <c r="F92" s="990">
        <v>2011145354.1099999</v>
      </c>
      <c r="G92" s="990">
        <v>3424698569.1500001</v>
      </c>
      <c r="H92" s="990">
        <v>3614623745.5300002</v>
      </c>
      <c r="L92" s="999" t="s">
        <v>2537</v>
      </c>
      <c r="M92" s="990">
        <f t="shared" si="1"/>
        <v>1000000</v>
      </c>
    </row>
    <row r="93" spans="1:13">
      <c r="A93" s="1113" t="s">
        <v>2597</v>
      </c>
      <c r="C93" s="990">
        <v>54915374.130000003</v>
      </c>
      <c r="D93" s="990">
        <v>135163184.90000001</v>
      </c>
      <c r="E93" s="990">
        <v>0</v>
      </c>
      <c r="F93" s="990">
        <v>0</v>
      </c>
      <c r="G93" s="990">
        <v>0</v>
      </c>
      <c r="H93" s="990">
        <v>0</v>
      </c>
      <c r="L93" s="999" t="s">
        <v>1683</v>
      </c>
      <c r="M93" s="990">
        <f t="shared" si="1"/>
        <v>1000000</v>
      </c>
    </row>
    <row r="94" spans="1:13">
      <c r="A94" s="1167" t="s">
        <v>2795</v>
      </c>
      <c r="C94" s="990">
        <v>0</v>
      </c>
      <c r="D94" s="990">
        <v>0</v>
      </c>
      <c r="E94" s="990">
        <v>116014231.20999999</v>
      </c>
      <c r="F94" s="990">
        <v>235127734.19999999</v>
      </c>
      <c r="G94" s="990">
        <v>342356971.77999997</v>
      </c>
      <c r="H94" s="990">
        <v>389809792.94</v>
      </c>
      <c r="L94" s="999" t="s">
        <v>2847</v>
      </c>
      <c r="M94" s="990">
        <f t="shared" si="1"/>
        <v>1000000</v>
      </c>
    </row>
    <row r="95" spans="1:13">
      <c r="A95" s="1113" t="s">
        <v>2598</v>
      </c>
      <c r="C95" s="990">
        <v>43121252.560000002</v>
      </c>
      <c r="D95" s="990">
        <v>66565953.189999998</v>
      </c>
      <c r="E95" s="990">
        <v>97031073.670000002</v>
      </c>
      <c r="F95" s="990">
        <v>133328704.31</v>
      </c>
      <c r="G95" s="990">
        <v>131009578.48</v>
      </c>
      <c r="H95" s="990">
        <v>103802605.58</v>
      </c>
      <c r="L95" s="999" t="s">
        <v>1684</v>
      </c>
      <c r="M95" s="990">
        <f t="shared" si="1"/>
        <v>1000000</v>
      </c>
    </row>
    <row r="96" spans="1:13">
      <c r="A96" s="1113" t="s">
        <v>2599</v>
      </c>
      <c r="C96" s="990">
        <v>0</v>
      </c>
      <c r="D96" s="990">
        <v>5225</v>
      </c>
      <c r="E96" s="990">
        <v>5225</v>
      </c>
      <c r="F96" s="990">
        <v>5225</v>
      </c>
      <c r="G96" s="990">
        <v>0</v>
      </c>
      <c r="H96" s="990">
        <v>0</v>
      </c>
      <c r="L96" s="999" t="s">
        <v>1687</v>
      </c>
      <c r="M96" s="990">
        <f t="shared" si="1"/>
        <v>1000000</v>
      </c>
    </row>
    <row r="97" spans="1:13">
      <c r="A97" s="1113" t="s">
        <v>2600</v>
      </c>
      <c r="C97" s="990">
        <v>28082651.579999998</v>
      </c>
      <c r="D97" s="990">
        <v>45711320.780000001</v>
      </c>
      <c r="E97" s="990">
        <v>79782265.920000002</v>
      </c>
      <c r="F97" s="990">
        <v>113668056.42</v>
      </c>
      <c r="G97" s="990">
        <v>74914306.090000004</v>
      </c>
      <c r="H97" s="990">
        <v>48828550.43</v>
      </c>
      <c r="L97" s="999" t="s">
        <v>1685</v>
      </c>
      <c r="M97" s="990">
        <f t="shared" si="1"/>
        <v>1000000</v>
      </c>
    </row>
    <row r="98" spans="1:13">
      <c r="A98" s="1113" t="s">
        <v>2601</v>
      </c>
      <c r="C98" s="990">
        <v>268078.2</v>
      </c>
      <c r="D98" s="990">
        <v>0</v>
      </c>
      <c r="E98" s="990">
        <v>0</v>
      </c>
      <c r="F98" s="990">
        <v>0</v>
      </c>
      <c r="G98" s="990">
        <v>0</v>
      </c>
      <c r="H98" s="990">
        <v>0</v>
      </c>
      <c r="L98" s="999" t="s">
        <v>1686</v>
      </c>
      <c r="M98" s="990">
        <f t="shared" si="1"/>
        <v>1000000</v>
      </c>
    </row>
    <row r="99" spans="1:13">
      <c r="A99" s="1167" t="s">
        <v>2796</v>
      </c>
      <c r="C99" s="990">
        <v>0</v>
      </c>
      <c r="D99" s="990">
        <v>0</v>
      </c>
      <c r="E99" s="990">
        <v>0</v>
      </c>
      <c r="F99" s="990">
        <v>0</v>
      </c>
      <c r="G99" s="990">
        <v>0</v>
      </c>
      <c r="H99" s="990">
        <v>0</v>
      </c>
      <c r="L99" s="999" t="s">
        <v>2809</v>
      </c>
      <c r="M99" s="990">
        <f t="shared" si="1"/>
        <v>1000000</v>
      </c>
    </row>
    <row r="100" spans="1:13" ht="21.6">
      <c r="A100" s="1117" t="s">
        <v>2602</v>
      </c>
      <c r="B100" s="995"/>
      <c r="C100" s="990">
        <v>59635139.490000002</v>
      </c>
      <c r="D100" s="990">
        <v>126756212.73999999</v>
      </c>
      <c r="E100" s="990">
        <v>218459968.16</v>
      </c>
      <c r="F100" s="990">
        <v>192138721.09</v>
      </c>
      <c r="G100" s="990">
        <v>174845119.71000001</v>
      </c>
      <c r="H100" s="990">
        <v>215832311.94</v>
      </c>
      <c r="L100" s="999" t="s">
        <v>2538</v>
      </c>
      <c r="M100" s="990">
        <f t="shared" si="1"/>
        <v>1000000</v>
      </c>
    </row>
    <row r="101" spans="1:13">
      <c r="A101" s="1113" t="s">
        <v>977</v>
      </c>
      <c r="C101" s="990">
        <v>0</v>
      </c>
      <c r="D101" s="990">
        <v>0</v>
      </c>
      <c r="E101" s="990">
        <v>0</v>
      </c>
      <c r="F101" s="990">
        <v>0</v>
      </c>
      <c r="G101" s="990">
        <v>0</v>
      </c>
      <c r="H101" s="990">
        <v>0</v>
      </c>
      <c r="L101" s="999" t="s">
        <v>1690</v>
      </c>
      <c r="M101" s="990">
        <f t="shared" si="1"/>
        <v>1000000</v>
      </c>
    </row>
    <row r="102" spans="1:13">
      <c r="A102" s="1113" t="s">
        <v>1378</v>
      </c>
      <c r="C102" s="990">
        <v>3881252.88</v>
      </c>
      <c r="D102" s="990">
        <v>35944653.439999998</v>
      </c>
      <c r="E102" s="990">
        <v>21633062.640000001</v>
      </c>
      <c r="F102" s="990">
        <v>32750740.190000001</v>
      </c>
      <c r="G102" s="990">
        <v>90693011.680000007</v>
      </c>
      <c r="H102" s="990">
        <v>540906418.10000002</v>
      </c>
      <c r="L102" s="999" t="s">
        <v>1691</v>
      </c>
      <c r="M102" s="990">
        <f t="shared" si="1"/>
        <v>1000000</v>
      </c>
    </row>
    <row r="103" spans="1:13">
      <c r="A103" s="1113" t="s">
        <v>2603</v>
      </c>
      <c r="C103" s="990">
        <v>0</v>
      </c>
      <c r="D103" s="990">
        <v>0</v>
      </c>
      <c r="E103" s="990">
        <v>114742097.92</v>
      </c>
      <c r="F103" s="990">
        <v>369669274.44</v>
      </c>
      <c r="G103" s="990">
        <v>24072084.59</v>
      </c>
      <c r="H103" s="990">
        <v>32731616.030000001</v>
      </c>
      <c r="L103" s="999" t="s">
        <v>1692</v>
      </c>
      <c r="M103" s="990">
        <f t="shared" si="1"/>
        <v>1000000</v>
      </c>
    </row>
    <row r="104" spans="1:13">
      <c r="A104" s="1113" t="s">
        <v>2604</v>
      </c>
      <c r="C104" s="990">
        <v>1071290945.39</v>
      </c>
      <c r="D104" s="990">
        <v>1866550439.3099999</v>
      </c>
      <c r="E104" s="990">
        <v>2742430105.2600002</v>
      </c>
      <c r="F104" s="990">
        <v>3747019868.5999999</v>
      </c>
      <c r="G104" s="990">
        <v>4858108096.9799995</v>
      </c>
      <c r="H104" s="990">
        <v>6108510367.3599997</v>
      </c>
      <c r="L104" s="999" t="s">
        <v>1704</v>
      </c>
      <c r="M104" s="990">
        <f t="shared" si="1"/>
        <v>1000000</v>
      </c>
    </row>
    <row r="105" spans="1:13">
      <c r="A105" s="1118" t="s">
        <v>2605</v>
      </c>
      <c r="C105" s="990">
        <v>0</v>
      </c>
      <c r="D105" s="990">
        <v>0</v>
      </c>
      <c r="E105" s="990">
        <v>0</v>
      </c>
      <c r="F105" s="990">
        <v>0</v>
      </c>
      <c r="G105" s="990">
        <v>0</v>
      </c>
      <c r="H105" s="990">
        <v>0</v>
      </c>
      <c r="M105" s="990">
        <f t="shared" si="1"/>
        <v>1000000</v>
      </c>
    </row>
    <row r="106" spans="1:13">
      <c r="A106" s="1113" t="s">
        <v>2606</v>
      </c>
      <c r="C106" s="990">
        <v>17943042.670000002</v>
      </c>
      <c r="D106" s="990">
        <v>126288472.98999999</v>
      </c>
      <c r="E106" s="990">
        <v>73709260.549999997</v>
      </c>
      <c r="F106" s="990">
        <v>211377303.28999999</v>
      </c>
      <c r="G106" s="990">
        <v>856588818.97000003</v>
      </c>
      <c r="H106" s="990">
        <v>708485472.54999995</v>
      </c>
      <c r="L106" s="999" t="s">
        <v>1705</v>
      </c>
      <c r="M106" s="990">
        <f t="shared" si="1"/>
        <v>1000000</v>
      </c>
    </row>
    <row r="107" spans="1:13">
      <c r="A107" s="1113" t="s">
        <v>2607</v>
      </c>
      <c r="C107" s="990">
        <v>0</v>
      </c>
      <c r="D107" s="990">
        <v>0</v>
      </c>
      <c r="E107" s="990">
        <v>0</v>
      </c>
      <c r="F107" s="990">
        <v>0</v>
      </c>
      <c r="G107" s="990">
        <v>0</v>
      </c>
      <c r="H107" s="990">
        <v>0</v>
      </c>
      <c r="L107" s="999" t="s">
        <v>1706</v>
      </c>
      <c r="M107" s="990">
        <f t="shared" si="1"/>
        <v>1000000</v>
      </c>
    </row>
    <row r="108" spans="1:13">
      <c r="A108" s="1167" t="s">
        <v>2797</v>
      </c>
      <c r="C108" s="990">
        <v>0</v>
      </c>
      <c r="D108" s="990">
        <v>0</v>
      </c>
      <c r="E108" s="990">
        <v>0</v>
      </c>
      <c r="F108" s="990">
        <v>10820055.029999999</v>
      </c>
      <c r="G108" s="990">
        <v>10031441.02</v>
      </c>
      <c r="H108" s="990">
        <v>7976192.6200000001</v>
      </c>
      <c r="L108" s="999" t="s">
        <v>2848</v>
      </c>
      <c r="M108" s="990">
        <f t="shared" si="1"/>
        <v>1000000</v>
      </c>
    </row>
    <row r="109" spans="1:13">
      <c r="A109" s="1113" t="s">
        <v>1024</v>
      </c>
      <c r="C109" s="990">
        <v>0</v>
      </c>
      <c r="D109" s="990">
        <v>0</v>
      </c>
      <c r="E109" s="990">
        <v>0</v>
      </c>
      <c r="F109" s="990">
        <v>0</v>
      </c>
      <c r="G109" s="990">
        <v>0</v>
      </c>
      <c r="H109" s="990">
        <v>0</v>
      </c>
      <c r="L109" s="999" t="s">
        <v>1707</v>
      </c>
      <c r="M109" s="990">
        <f t="shared" si="1"/>
        <v>1000000</v>
      </c>
    </row>
    <row r="110" spans="1:13">
      <c r="A110" s="1113" t="s">
        <v>2608</v>
      </c>
      <c r="C110" s="990">
        <v>0</v>
      </c>
      <c r="D110" s="990">
        <v>0</v>
      </c>
      <c r="E110" s="990">
        <v>0</v>
      </c>
      <c r="F110" s="990">
        <v>0</v>
      </c>
      <c r="G110" s="990">
        <v>0</v>
      </c>
      <c r="H110" s="990">
        <v>0</v>
      </c>
      <c r="L110" s="999" t="s">
        <v>1708</v>
      </c>
      <c r="M110" s="990">
        <f t="shared" si="1"/>
        <v>1000000</v>
      </c>
    </row>
    <row r="111" spans="1:13">
      <c r="A111" s="1113" t="s">
        <v>2609</v>
      </c>
      <c r="C111" s="990">
        <v>11800611.77</v>
      </c>
      <c r="D111" s="990">
        <v>18411667.620000001</v>
      </c>
      <c r="E111" s="990">
        <v>26436019.010000002</v>
      </c>
      <c r="F111" s="990">
        <v>40489262.490000002</v>
      </c>
      <c r="G111" s="990">
        <v>65091196.390000001</v>
      </c>
      <c r="H111" s="990">
        <v>97583334.340000004</v>
      </c>
      <c r="L111" s="999" t="s">
        <v>1709</v>
      </c>
      <c r="M111" s="990">
        <f t="shared" si="1"/>
        <v>1000000</v>
      </c>
    </row>
    <row r="112" spans="1:13">
      <c r="A112" s="1113" t="s">
        <v>2610</v>
      </c>
      <c r="C112" s="990">
        <v>0</v>
      </c>
      <c r="D112" s="990">
        <v>1488765.62</v>
      </c>
      <c r="E112" s="990">
        <v>0</v>
      </c>
      <c r="F112" s="990">
        <v>29455.83</v>
      </c>
      <c r="G112" s="990">
        <v>1326.99</v>
      </c>
      <c r="H112" s="990">
        <v>14925970.5</v>
      </c>
      <c r="L112" s="999" t="s">
        <v>1710</v>
      </c>
      <c r="M112" s="990">
        <f t="shared" si="1"/>
        <v>1000000</v>
      </c>
    </row>
    <row r="113" spans="1:14">
      <c r="A113" s="1113" t="s">
        <v>2611</v>
      </c>
      <c r="C113" s="990">
        <v>0</v>
      </c>
      <c r="D113" s="990">
        <v>0</v>
      </c>
      <c r="E113" s="990">
        <v>0</v>
      </c>
      <c r="F113" s="990">
        <v>0</v>
      </c>
      <c r="G113" s="990">
        <v>0</v>
      </c>
      <c r="H113" s="990">
        <v>0</v>
      </c>
      <c r="L113" s="999" t="s">
        <v>1712</v>
      </c>
      <c r="M113" s="990">
        <f t="shared" si="1"/>
        <v>1000000</v>
      </c>
    </row>
    <row r="114" spans="1:14">
      <c r="A114" s="1113" t="s">
        <v>2612</v>
      </c>
      <c r="C114" s="990">
        <v>31089543.399999999</v>
      </c>
      <c r="D114" s="990">
        <v>147133795.22999999</v>
      </c>
      <c r="E114" s="990">
        <v>102326853.67</v>
      </c>
      <c r="F114" s="990">
        <v>265613811.46000001</v>
      </c>
      <c r="G114" s="990">
        <v>963506579.85000002</v>
      </c>
      <c r="H114" s="990">
        <v>913007468.60000002</v>
      </c>
      <c r="L114" s="999" t="s">
        <v>1713</v>
      </c>
      <c r="M114" s="990">
        <f t="shared" si="1"/>
        <v>1000000</v>
      </c>
    </row>
    <row r="115" spans="1:14">
      <c r="A115" s="1118" t="s">
        <v>2613</v>
      </c>
      <c r="C115" s="990">
        <v>1102380488.79</v>
      </c>
      <c r="D115" s="990">
        <v>2013684234.54</v>
      </c>
      <c r="E115" s="990">
        <v>2844756958.9299998</v>
      </c>
      <c r="F115" s="990">
        <v>4012633680.0599999</v>
      </c>
      <c r="G115" s="990">
        <v>5821614676.8299999</v>
      </c>
      <c r="H115" s="990">
        <v>7021517835.96</v>
      </c>
      <c r="L115" s="999" t="s">
        <v>1714</v>
      </c>
      <c r="M115" s="990">
        <f t="shared" si="1"/>
        <v>1000000</v>
      </c>
      <c r="N115" s="991"/>
    </row>
    <row r="116" spans="1:14">
      <c r="A116" s="1113" t="s">
        <v>50</v>
      </c>
      <c r="C116" s="990">
        <v>1102380488.79</v>
      </c>
      <c r="D116" s="990">
        <v>2013684234.54</v>
      </c>
      <c r="E116" s="990">
        <v>2844756958.9299998</v>
      </c>
      <c r="F116" s="990">
        <v>4012633680.0599999</v>
      </c>
      <c r="G116" s="990">
        <v>5821614676.8299999</v>
      </c>
      <c r="H116" s="990">
        <v>7021517835.96</v>
      </c>
      <c r="L116" s="999" t="s">
        <v>1714</v>
      </c>
      <c r="M116" s="990">
        <f t="shared" si="1"/>
        <v>1000000</v>
      </c>
      <c r="N116" s="991"/>
    </row>
    <row r="117" spans="1:14">
      <c r="A117" s="1118" t="s">
        <v>2614</v>
      </c>
      <c r="C117" s="990">
        <v>1443101912.24</v>
      </c>
      <c r="D117" s="990">
        <v>2909924933.9299998</v>
      </c>
      <c r="E117" s="990">
        <v>3130589823.46</v>
      </c>
      <c r="F117" s="990">
        <v>4152488797.1999998</v>
      </c>
      <c r="G117" s="990">
        <v>4967875431.5500002</v>
      </c>
      <c r="H117" s="990">
        <v>5617878554.1300001</v>
      </c>
      <c r="L117" s="999" t="s">
        <v>1715</v>
      </c>
      <c r="M117" s="990">
        <f t="shared" si="1"/>
        <v>1000000</v>
      </c>
    </row>
    <row r="118" spans="1:14">
      <c r="A118" s="1113" t="s">
        <v>2615</v>
      </c>
      <c r="C118" s="990">
        <v>458000000</v>
      </c>
      <c r="D118" s="990">
        <v>610666600</v>
      </c>
      <c r="E118" s="990">
        <v>607723600</v>
      </c>
      <c r="F118" s="990">
        <v>611771600</v>
      </c>
      <c r="G118" s="990">
        <v>1151186580</v>
      </c>
      <c r="H118" s="990">
        <v>1180878627</v>
      </c>
      <c r="L118" s="999" t="s">
        <v>1716</v>
      </c>
      <c r="M118" s="990">
        <f t="shared" si="1"/>
        <v>1000000</v>
      </c>
    </row>
    <row r="119" spans="1:14">
      <c r="A119" s="1167" t="s">
        <v>2798</v>
      </c>
      <c r="C119" s="990">
        <v>0</v>
      </c>
      <c r="D119" s="990">
        <v>0</v>
      </c>
      <c r="E119" s="990">
        <v>0</v>
      </c>
      <c r="F119" s="990">
        <v>0</v>
      </c>
      <c r="G119" s="990">
        <v>0</v>
      </c>
      <c r="H119" s="990">
        <v>0</v>
      </c>
      <c r="L119" s="999" t="s">
        <v>2481</v>
      </c>
      <c r="M119" s="990">
        <f t="shared" si="1"/>
        <v>1000000</v>
      </c>
    </row>
    <row r="120" spans="1:14">
      <c r="A120" s="1167" t="s">
        <v>2803</v>
      </c>
      <c r="C120" s="990">
        <v>0</v>
      </c>
      <c r="D120" s="990">
        <v>0</v>
      </c>
      <c r="E120" s="990">
        <v>0</v>
      </c>
      <c r="F120" s="990">
        <v>0</v>
      </c>
      <c r="G120" s="990">
        <v>0</v>
      </c>
      <c r="H120" s="990">
        <v>0</v>
      </c>
      <c r="L120" s="999" t="s">
        <v>2482</v>
      </c>
      <c r="M120" s="990">
        <f t="shared" si="1"/>
        <v>1000000</v>
      </c>
    </row>
    <row r="121" spans="1:14">
      <c r="A121" s="1167" t="s">
        <v>2804</v>
      </c>
      <c r="C121" s="990">
        <v>0</v>
      </c>
      <c r="D121" s="990">
        <v>0</v>
      </c>
      <c r="E121" s="990">
        <v>0</v>
      </c>
      <c r="F121" s="990">
        <v>0</v>
      </c>
      <c r="G121" s="990">
        <v>0</v>
      </c>
      <c r="H121" s="990">
        <v>0</v>
      </c>
      <c r="L121" s="999" t="s">
        <v>2483</v>
      </c>
      <c r="M121" s="990">
        <f t="shared" si="1"/>
        <v>1000000</v>
      </c>
    </row>
    <row r="122" spans="1:14">
      <c r="A122" s="1113" t="s">
        <v>2616</v>
      </c>
      <c r="C122" s="990">
        <v>588923937.75999999</v>
      </c>
      <c r="D122" s="990">
        <v>1843066378.75</v>
      </c>
      <c r="E122" s="990">
        <v>1830686153.6300001</v>
      </c>
      <c r="F122" s="990">
        <v>1909004142.79</v>
      </c>
      <c r="G122" s="990">
        <v>1680990367.8599999</v>
      </c>
      <c r="H122" s="990">
        <v>2072215097.4100001</v>
      </c>
      <c r="L122" s="999" t="s">
        <v>1717</v>
      </c>
      <c r="M122" s="990">
        <f t="shared" si="1"/>
        <v>1000000</v>
      </c>
    </row>
    <row r="123" spans="1:14">
      <c r="A123" s="1113" t="s">
        <v>2617</v>
      </c>
      <c r="C123" s="990">
        <v>0</v>
      </c>
      <c r="D123" s="990">
        <v>96736005.760000005</v>
      </c>
      <c r="E123" s="990">
        <v>112101306.16</v>
      </c>
      <c r="F123" s="990">
        <v>78781229.890000001</v>
      </c>
      <c r="G123" s="990">
        <v>134457533.28</v>
      </c>
      <c r="H123" s="990">
        <v>133399151.33</v>
      </c>
      <c r="L123" s="999" t="s">
        <v>1718</v>
      </c>
      <c r="M123" s="990">
        <f t="shared" si="1"/>
        <v>1000000</v>
      </c>
    </row>
    <row r="124" spans="1:14">
      <c r="A124" s="1167" t="s">
        <v>2801</v>
      </c>
      <c r="C124" s="990">
        <v>0</v>
      </c>
      <c r="D124" s="990">
        <v>0</v>
      </c>
      <c r="E124" s="990">
        <v>-71202198.680000007</v>
      </c>
      <c r="F124" s="990">
        <v>-57719113.310000002</v>
      </c>
      <c r="G124" s="990">
        <v>-76931451.840000004</v>
      </c>
      <c r="H124" s="990">
        <v>-43282237.060000002</v>
      </c>
      <c r="L124" s="999" t="s">
        <v>2849</v>
      </c>
      <c r="M124" s="990">
        <f t="shared" si="1"/>
        <v>1000000</v>
      </c>
    </row>
    <row r="125" spans="1:14">
      <c r="A125" s="1167" t="s">
        <v>2802</v>
      </c>
      <c r="C125" s="990">
        <v>11107581.119999999</v>
      </c>
      <c r="D125" s="990">
        <v>13123650.27</v>
      </c>
      <c r="E125" s="990">
        <v>20786141.289999999</v>
      </c>
      <c r="F125" s="990">
        <v>23181828.859999999</v>
      </c>
      <c r="G125" s="990">
        <v>24925726.530000001</v>
      </c>
      <c r="H125" s="990">
        <v>30545170.02</v>
      </c>
      <c r="L125" s="999" t="s">
        <v>2850</v>
      </c>
      <c r="M125" s="990">
        <f t="shared" si="1"/>
        <v>1000000</v>
      </c>
    </row>
    <row r="126" spans="1:14">
      <c r="A126" s="1113" t="s">
        <v>2618</v>
      </c>
      <c r="C126" s="990">
        <v>62704281.270000003</v>
      </c>
      <c r="D126" s="990">
        <v>77559960.159999996</v>
      </c>
      <c r="E126" s="990">
        <v>111054156.08</v>
      </c>
      <c r="F126" s="990">
        <v>155848604.55000001</v>
      </c>
      <c r="G126" s="990">
        <v>188149807.5</v>
      </c>
      <c r="H126" s="990">
        <v>191482550.53</v>
      </c>
      <c r="L126" s="999" t="s">
        <v>1719</v>
      </c>
      <c r="M126" s="990">
        <f t="shared" si="1"/>
        <v>1000000</v>
      </c>
    </row>
    <row r="127" spans="1:14">
      <c r="A127" s="1113" t="s">
        <v>2619</v>
      </c>
      <c r="C127" s="990">
        <v>322366112.08999997</v>
      </c>
      <c r="D127" s="990">
        <v>462244350.50999999</v>
      </c>
      <c r="E127" s="990">
        <v>743643277.29999995</v>
      </c>
      <c r="F127" s="990">
        <v>1589182964.2</v>
      </c>
      <c r="G127" s="990">
        <v>2133521934.78</v>
      </c>
      <c r="H127" s="990">
        <v>2318343434.2399998</v>
      </c>
      <c r="L127" s="999" t="s">
        <v>1720</v>
      </c>
      <c r="M127" s="990">
        <f t="shared" si="1"/>
        <v>1000000</v>
      </c>
    </row>
    <row r="128" spans="1:14">
      <c r="A128" s="1113" t="s">
        <v>2620</v>
      </c>
      <c r="C128" s="990">
        <v>0</v>
      </c>
      <c r="D128" s="990">
        <v>0</v>
      </c>
      <c r="E128" s="990">
        <v>0</v>
      </c>
      <c r="F128" s="990">
        <v>0</v>
      </c>
      <c r="G128" s="990">
        <v>0</v>
      </c>
      <c r="H128" s="990">
        <v>0</v>
      </c>
      <c r="L128" s="999" t="s">
        <v>1721</v>
      </c>
      <c r="M128" s="990">
        <f t="shared" ref="M128:M133" si="2">$M$2</f>
        <v>1000000</v>
      </c>
    </row>
    <row r="129" spans="1:13">
      <c r="A129" s="1113" t="s">
        <v>2621</v>
      </c>
      <c r="C129" s="990">
        <v>1443101912.24</v>
      </c>
      <c r="D129" s="990">
        <v>2909924933.9299998</v>
      </c>
      <c r="E129" s="990">
        <v>3130589823.46</v>
      </c>
      <c r="F129" s="990">
        <v>4152488797.1999998</v>
      </c>
      <c r="G129" s="990">
        <v>4967875431.5500002</v>
      </c>
      <c r="H129" s="990">
        <v>5616844189.1000004</v>
      </c>
      <c r="L129" s="999" t="s">
        <v>1724</v>
      </c>
      <c r="M129" s="990">
        <f t="shared" si="2"/>
        <v>1000000</v>
      </c>
    </row>
    <row r="130" spans="1:13">
      <c r="A130" s="1113" t="s">
        <v>2622</v>
      </c>
      <c r="C130" s="990">
        <v>0</v>
      </c>
      <c r="D130" s="990">
        <v>0</v>
      </c>
      <c r="E130" s="990">
        <v>0</v>
      </c>
      <c r="F130" s="990">
        <v>0</v>
      </c>
      <c r="G130" s="990">
        <v>0</v>
      </c>
      <c r="H130" s="990">
        <v>1034365.03</v>
      </c>
      <c r="L130" s="999" t="s">
        <v>1725</v>
      </c>
      <c r="M130" s="990">
        <f t="shared" si="2"/>
        <v>1000000</v>
      </c>
    </row>
    <row r="131" spans="1:13">
      <c r="A131" s="1113" t="s">
        <v>2623</v>
      </c>
      <c r="C131" s="990">
        <v>1443101912.24</v>
      </c>
      <c r="D131" s="990">
        <v>2909924933.9299998</v>
      </c>
      <c r="E131" s="990">
        <v>3130589823.46</v>
      </c>
      <c r="F131" s="990">
        <v>4152488797.1999998</v>
      </c>
      <c r="G131" s="990">
        <v>4967875431.5500002</v>
      </c>
      <c r="H131" s="990">
        <v>5617878554.1300001</v>
      </c>
      <c r="L131" s="999" t="s">
        <v>1715</v>
      </c>
      <c r="M131" s="990">
        <f t="shared" si="2"/>
        <v>1000000</v>
      </c>
    </row>
    <row r="132" spans="1:13">
      <c r="A132" s="1118" t="s">
        <v>2624</v>
      </c>
      <c r="C132" s="990">
        <v>2545482401.0300002</v>
      </c>
      <c r="D132" s="990">
        <v>4923609168.4700003</v>
      </c>
      <c r="E132" s="990">
        <v>5975346782.3900003</v>
      </c>
      <c r="F132" s="990">
        <v>8165122477.2600002</v>
      </c>
      <c r="G132" s="990">
        <v>10789490108.379999</v>
      </c>
      <c r="H132" s="990">
        <v>12639396390.09</v>
      </c>
      <c r="L132" s="999" t="s">
        <v>1726</v>
      </c>
      <c r="M132" s="990">
        <f t="shared" si="2"/>
        <v>1000000</v>
      </c>
    </row>
    <row r="133" spans="1:13">
      <c r="A133" s="1113" t="s">
        <v>2625</v>
      </c>
      <c r="C133" s="990">
        <v>2545482401.0300002</v>
      </c>
      <c r="D133" s="990">
        <v>4923609168.4700003</v>
      </c>
      <c r="E133" s="990">
        <v>5975346782.3900003</v>
      </c>
      <c r="F133" s="990">
        <v>8165122477.2600002</v>
      </c>
      <c r="G133" s="990">
        <v>10789490108.379999</v>
      </c>
      <c r="H133" s="990">
        <v>12639396390.09</v>
      </c>
      <c r="L133" s="999" t="s">
        <v>1726</v>
      </c>
      <c r="M133" s="990">
        <f t="shared" si="2"/>
        <v>1000000</v>
      </c>
    </row>
    <row r="134" spans="1:13">
      <c r="C134" s="990">
        <v>0</v>
      </c>
      <c r="D134" s="990">
        <v>0</v>
      </c>
      <c r="E134" s="990">
        <v>0</v>
      </c>
      <c r="F134" s="990">
        <v>0</v>
      </c>
      <c r="G134" s="990">
        <v>0</v>
      </c>
      <c r="H134" s="990">
        <v>0</v>
      </c>
    </row>
    <row r="135" spans="1:13">
      <c r="C135" s="990">
        <v>0</v>
      </c>
      <c r="D135" s="990">
        <v>0</v>
      </c>
      <c r="E135" s="990">
        <v>0</v>
      </c>
      <c r="F135" s="990">
        <v>0</v>
      </c>
      <c r="G135" s="990">
        <v>0</v>
      </c>
      <c r="H135" s="990">
        <v>0</v>
      </c>
    </row>
    <row r="136" spans="1:13" ht="15.6">
      <c r="A136" s="1114" t="s">
        <v>2630</v>
      </c>
      <c r="C136" s="990">
        <v>0</v>
      </c>
      <c r="D136" s="990">
        <v>0</v>
      </c>
      <c r="E136" s="990">
        <v>0</v>
      </c>
      <c r="F136" s="990">
        <v>0</v>
      </c>
      <c r="G136" s="990">
        <v>0</v>
      </c>
      <c r="H136" s="990">
        <v>0</v>
      </c>
    </row>
    <row r="137" spans="1:13">
      <c r="A137" s="1113" t="s">
        <v>2627</v>
      </c>
      <c r="C137" s="990">
        <v>20968275.670000002</v>
      </c>
      <c r="D137" s="990">
        <v>38124107.509999998</v>
      </c>
      <c r="E137" s="990">
        <v>61575375.329999998</v>
      </c>
      <c r="F137" s="990">
        <v>94479129.459999993</v>
      </c>
      <c r="G137" s="990">
        <v>148868189.90000001</v>
      </c>
      <c r="H137" s="990">
        <v>192136877.38</v>
      </c>
      <c r="L137" s="997" t="s">
        <v>1774</v>
      </c>
      <c r="M137" s="990">
        <f>$M$2</f>
        <v>1000000</v>
      </c>
    </row>
    <row r="138" spans="1:13">
      <c r="A138" s="1113" t="s">
        <v>2628</v>
      </c>
      <c r="C138" s="990">
        <v>2668274.96</v>
      </c>
      <c r="D138" s="990">
        <v>2951763.6</v>
      </c>
      <c r="E138" s="990">
        <v>3289646.27</v>
      </c>
      <c r="F138" s="990">
        <v>4262116.76</v>
      </c>
      <c r="G138" s="990">
        <v>4462466.26</v>
      </c>
      <c r="H138" s="990">
        <v>9828755.7699999996</v>
      </c>
      <c r="L138" s="997" t="s">
        <v>1775</v>
      </c>
      <c r="M138" s="990">
        <f t="shared" ref="M138:M139" si="3">$M$2</f>
        <v>1000000</v>
      </c>
    </row>
    <row r="139" spans="1:13">
      <c r="A139" s="1113" t="s">
        <v>2629</v>
      </c>
      <c r="C139" s="990">
        <v>591533.22</v>
      </c>
      <c r="D139" s="990">
        <v>553252.98</v>
      </c>
      <c r="E139" s="990">
        <v>819077.52</v>
      </c>
      <c r="F139" s="990">
        <v>2623963.27</v>
      </c>
      <c r="G139" s="990">
        <v>2273777.13</v>
      </c>
      <c r="H139" s="990">
        <v>1531922.37</v>
      </c>
      <c r="L139" s="997" t="s">
        <v>1776</v>
      </c>
      <c r="M139" s="990">
        <f t="shared" si="3"/>
        <v>1000000</v>
      </c>
    </row>
    <row r="140" spans="1:13">
      <c r="C140" s="990">
        <v>0</v>
      </c>
      <c r="D140" s="990">
        <v>0</v>
      </c>
      <c r="E140" s="990">
        <v>0</v>
      </c>
      <c r="F140" s="990">
        <v>0</v>
      </c>
      <c r="G140" s="990">
        <v>0</v>
      </c>
      <c r="H140" s="990">
        <v>0</v>
      </c>
    </row>
    <row r="141" spans="1:13">
      <c r="C141" s="990">
        <v>0</v>
      </c>
      <c r="D141" s="990">
        <v>0</v>
      </c>
      <c r="E141" s="990">
        <v>0</v>
      </c>
      <c r="F141" s="990">
        <v>0</v>
      </c>
      <c r="G141" s="990">
        <v>0</v>
      </c>
      <c r="H141" s="990">
        <v>0</v>
      </c>
    </row>
    <row r="142" spans="1:13" ht="15.6">
      <c r="A142" s="1114" t="s">
        <v>2637</v>
      </c>
      <c r="C142" s="990">
        <v>0</v>
      </c>
      <c r="D142" s="990">
        <v>0</v>
      </c>
      <c r="E142" s="990">
        <v>0</v>
      </c>
      <c r="F142" s="990">
        <v>0</v>
      </c>
      <c r="G142" s="990">
        <v>0</v>
      </c>
      <c r="H142" s="990">
        <v>0</v>
      </c>
    </row>
    <row r="143" spans="1:13">
      <c r="A143" s="1113" t="s">
        <v>2631</v>
      </c>
      <c r="C143" s="990">
        <v>0</v>
      </c>
      <c r="D143" s="990">
        <v>0</v>
      </c>
      <c r="E143" s="990">
        <v>0</v>
      </c>
      <c r="F143" s="990">
        <v>0</v>
      </c>
      <c r="G143" s="990">
        <v>0</v>
      </c>
      <c r="H143" s="990">
        <v>0</v>
      </c>
      <c r="M143" s="990">
        <v>1</v>
      </c>
    </row>
    <row r="144" spans="1:13">
      <c r="A144" s="1113" t="s">
        <v>2632</v>
      </c>
      <c r="C144" s="990">
        <v>0</v>
      </c>
      <c r="D144" s="990">
        <v>24.6309</v>
      </c>
      <c r="E144" s="990">
        <v>37.1325</v>
      </c>
      <c r="F144" s="990">
        <v>36.098500000000001</v>
      </c>
      <c r="G144" s="990">
        <v>21.010100000000001</v>
      </c>
      <c r="H144" s="990">
        <v>22.085999999999999</v>
      </c>
      <c r="L144" s="1004" t="s">
        <v>2051</v>
      </c>
      <c r="M144" s="990">
        <v>1</v>
      </c>
    </row>
    <row r="145" spans="1:13">
      <c r="A145" s="1113" t="s">
        <v>2633</v>
      </c>
      <c r="C145" s="990">
        <v>0</v>
      </c>
      <c r="D145" s="990">
        <v>2.6297999999999999</v>
      </c>
      <c r="E145" s="990">
        <v>2.2214999999999998</v>
      </c>
      <c r="F145" s="990">
        <v>2.8195999999999999</v>
      </c>
      <c r="G145" s="990">
        <v>2.9988000000000001</v>
      </c>
      <c r="H145" s="990">
        <v>1.9117</v>
      </c>
      <c r="L145" s="1004" t="s">
        <v>2047</v>
      </c>
      <c r="M145" s="990">
        <v>1</v>
      </c>
    </row>
    <row r="146" spans="1:13">
      <c r="A146" s="1113" t="s">
        <v>2634</v>
      </c>
      <c r="C146" s="990">
        <v>0</v>
      </c>
      <c r="D146" s="990">
        <v>1.8601000000000001</v>
      </c>
      <c r="E146" s="990">
        <v>2.2090000000000001</v>
      </c>
      <c r="F146" s="990">
        <v>3.4443999999999999</v>
      </c>
      <c r="G146" s="990">
        <v>3.7793000000000001</v>
      </c>
      <c r="H146" s="990">
        <v>2.6052</v>
      </c>
      <c r="L146" s="1004" t="s">
        <v>2048</v>
      </c>
      <c r="M146" s="990">
        <v>1</v>
      </c>
    </row>
    <row r="147" spans="1:13">
      <c r="A147" s="1113" t="s">
        <v>2635</v>
      </c>
      <c r="C147" s="990">
        <v>0</v>
      </c>
      <c r="D147" s="990">
        <v>0</v>
      </c>
      <c r="E147" s="990">
        <v>0</v>
      </c>
      <c r="F147" s="990">
        <v>0</v>
      </c>
      <c r="G147" s="990">
        <v>0</v>
      </c>
      <c r="H147" s="990">
        <v>0</v>
      </c>
      <c r="M147" s="990">
        <v>1</v>
      </c>
    </row>
    <row r="148" spans="1:13">
      <c r="A148" s="1113" t="s">
        <v>2636</v>
      </c>
      <c r="C148" s="990">
        <v>0</v>
      </c>
      <c r="D148" s="990">
        <v>53.659300000000002</v>
      </c>
      <c r="E148" s="990">
        <v>-34.663699999999999</v>
      </c>
      <c r="F148" s="990">
        <v>75.077200000000005</v>
      </c>
      <c r="G148" s="990">
        <v>33.876600000000003</v>
      </c>
      <c r="H148" s="990">
        <v>24.308</v>
      </c>
      <c r="L148" s="1004" t="s">
        <v>2054</v>
      </c>
      <c r="M148" s="990">
        <v>1</v>
      </c>
    </row>
    <row r="149" spans="1:13">
      <c r="C149" s="990">
        <v>0</v>
      </c>
      <c r="D149" s="990">
        <v>0</v>
      </c>
      <c r="E149" s="990">
        <v>0</v>
      </c>
      <c r="F149" s="990">
        <v>0</v>
      </c>
      <c r="G149" s="990">
        <v>0</v>
      </c>
      <c r="H149" s="990">
        <v>0</v>
      </c>
    </row>
    <row r="150" spans="1:13" ht="15.6">
      <c r="A150" s="1114" t="s">
        <v>2674</v>
      </c>
      <c r="C150" s="990">
        <v>0</v>
      </c>
      <c r="D150" s="990">
        <v>0</v>
      </c>
      <c r="E150" s="990">
        <v>0</v>
      </c>
      <c r="F150" s="990">
        <v>0</v>
      </c>
      <c r="G150" s="990">
        <v>0</v>
      </c>
      <c r="H150" s="990">
        <v>0</v>
      </c>
    </row>
    <row r="151" spans="1:13">
      <c r="A151" s="1118" t="s">
        <v>2638</v>
      </c>
      <c r="C151" s="990">
        <v>0</v>
      </c>
      <c r="D151" s="990">
        <v>0</v>
      </c>
      <c r="E151" s="990">
        <v>0</v>
      </c>
      <c r="F151" s="990">
        <v>0</v>
      </c>
      <c r="G151" s="990">
        <v>0</v>
      </c>
      <c r="H151" s="990">
        <v>0</v>
      </c>
    </row>
    <row r="152" spans="1:13">
      <c r="A152" s="1113" t="s">
        <v>2639</v>
      </c>
      <c r="C152" s="990">
        <v>1989323889.27</v>
      </c>
      <c r="D152" s="990">
        <v>2773455280.71</v>
      </c>
      <c r="E152" s="990">
        <v>4438917456.9700003</v>
      </c>
      <c r="F152" s="990">
        <v>5571507848.1400003</v>
      </c>
      <c r="G152" s="990">
        <v>6866585389.1599998</v>
      </c>
      <c r="H152" s="990">
        <v>7593636937.3299999</v>
      </c>
      <c r="L152" s="1004" t="s">
        <v>1727</v>
      </c>
      <c r="M152" s="990">
        <f>$M$2</f>
        <v>1000000</v>
      </c>
    </row>
    <row r="153" spans="1:13">
      <c r="A153" s="1113" t="s">
        <v>2640</v>
      </c>
      <c r="C153" s="990">
        <v>0</v>
      </c>
      <c r="D153" s="990">
        <v>0</v>
      </c>
      <c r="E153" s="990">
        <v>0</v>
      </c>
      <c r="F153" s="990">
        <v>0</v>
      </c>
      <c r="G153" s="990">
        <v>0</v>
      </c>
      <c r="H153" s="990">
        <v>0</v>
      </c>
      <c r="L153" s="1004" t="s">
        <v>1733</v>
      </c>
      <c r="M153" s="990">
        <f t="shared" ref="M153:M191" si="4">$M$2</f>
        <v>1000000</v>
      </c>
    </row>
    <row r="154" spans="1:13">
      <c r="A154" s="1113" t="s">
        <v>2641</v>
      </c>
      <c r="C154" s="990">
        <v>13303009.220000001</v>
      </c>
      <c r="D154" s="990">
        <v>27352720.969999999</v>
      </c>
      <c r="E154" s="990">
        <v>74817096.219999999</v>
      </c>
      <c r="F154" s="990">
        <v>159477442.06</v>
      </c>
      <c r="G154" s="990">
        <v>173696211.68000001</v>
      </c>
      <c r="H154" s="990">
        <v>224424737.63</v>
      </c>
      <c r="L154" s="1004" t="s">
        <v>1734</v>
      </c>
      <c r="M154" s="990">
        <f t="shared" si="4"/>
        <v>1000000</v>
      </c>
    </row>
    <row r="155" spans="1:13">
      <c r="A155" s="1113" t="s">
        <v>2642</v>
      </c>
      <c r="C155" s="990">
        <v>2002626898.49</v>
      </c>
      <c r="D155" s="990">
        <v>2800808001.6799998</v>
      </c>
      <c r="E155" s="990">
        <v>4513734553.1899996</v>
      </c>
      <c r="F155" s="990">
        <v>5730985290.1999998</v>
      </c>
      <c r="G155" s="990">
        <v>7040281600.8400002</v>
      </c>
      <c r="H155" s="990">
        <v>7818061674.96</v>
      </c>
      <c r="L155" s="1004" t="s">
        <v>1735</v>
      </c>
      <c r="M155" s="990">
        <f t="shared" si="4"/>
        <v>1000000</v>
      </c>
    </row>
    <row r="156" spans="1:13">
      <c r="A156" s="1113" t="s">
        <v>2643</v>
      </c>
      <c r="C156" s="990">
        <v>1270267254.48</v>
      </c>
      <c r="D156" s="990">
        <v>1987529924.75</v>
      </c>
      <c r="E156" s="990">
        <v>3199326210.1399999</v>
      </c>
      <c r="F156" s="990">
        <v>3967612377.5700002</v>
      </c>
      <c r="G156" s="990">
        <v>4747631379.1899996</v>
      </c>
      <c r="H156" s="990">
        <v>6083322577.7700005</v>
      </c>
      <c r="L156" s="1004" t="s">
        <v>1738</v>
      </c>
      <c r="M156" s="990">
        <f t="shared" si="4"/>
        <v>1000000</v>
      </c>
    </row>
    <row r="157" spans="1:13">
      <c r="A157" s="1113" t="s">
        <v>2644</v>
      </c>
      <c r="C157" s="990">
        <v>214692735.11000001</v>
      </c>
      <c r="D157" s="990">
        <v>301316066.85000002</v>
      </c>
      <c r="E157" s="990">
        <v>411479930.75</v>
      </c>
      <c r="F157" s="990">
        <v>485362753.68000001</v>
      </c>
      <c r="G157" s="990">
        <v>655399201.52999997</v>
      </c>
      <c r="H157" s="990">
        <v>685352473.75</v>
      </c>
      <c r="L157" s="1004" t="s">
        <v>1739</v>
      </c>
      <c r="M157" s="990">
        <f t="shared" si="4"/>
        <v>1000000</v>
      </c>
    </row>
    <row r="158" spans="1:13">
      <c r="A158" s="1113" t="s">
        <v>2645</v>
      </c>
      <c r="C158" s="990">
        <v>180946014.81999999</v>
      </c>
      <c r="D158" s="990">
        <v>174888078.50999999</v>
      </c>
      <c r="E158" s="990">
        <v>333063279.89999998</v>
      </c>
      <c r="F158" s="990">
        <v>486022130.88999999</v>
      </c>
      <c r="G158" s="990">
        <v>416484809.63</v>
      </c>
      <c r="H158" s="990">
        <v>316563398.58999997</v>
      </c>
      <c r="L158" s="1004" t="s">
        <v>1740</v>
      </c>
      <c r="M158" s="990">
        <f t="shared" si="4"/>
        <v>1000000</v>
      </c>
    </row>
    <row r="159" spans="1:13">
      <c r="A159" s="1113" t="s">
        <v>2646</v>
      </c>
      <c r="C159" s="990">
        <v>236290603.22</v>
      </c>
      <c r="D159" s="990">
        <v>535535890.61000001</v>
      </c>
      <c r="E159" s="990">
        <v>395154407.05000001</v>
      </c>
      <c r="F159" s="990">
        <v>239807747.75</v>
      </c>
      <c r="G159" s="990">
        <v>609631643.14999998</v>
      </c>
      <c r="H159" s="990">
        <v>497525376.62</v>
      </c>
      <c r="L159" s="1004" t="s">
        <v>1741</v>
      </c>
      <c r="M159" s="990">
        <f t="shared" si="4"/>
        <v>1000000</v>
      </c>
    </row>
    <row r="160" spans="1:13">
      <c r="A160" s="1113" t="s">
        <v>2647</v>
      </c>
      <c r="C160" s="990">
        <v>1902196607.6300001</v>
      </c>
      <c r="D160" s="990">
        <v>2999269960.7199998</v>
      </c>
      <c r="E160" s="990">
        <v>4339023827.8400002</v>
      </c>
      <c r="F160" s="990">
        <v>5178805009.8800001</v>
      </c>
      <c r="G160" s="990">
        <v>6429147033.5</v>
      </c>
      <c r="H160" s="990">
        <v>7582763826.7299995</v>
      </c>
      <c r="L160" s="1004" t="s">
        <v>1742</v>
      </c>
      <c r="M160" s="990">
        <f t="shared" si="4"/>
        <v>1000000</v>
      </c>
    </row>
    <row r="161" spans="1:13">
      <c r="A161" s="1113" t="s">
        <v>1203</v>
      </c>
      <c r="C161" s="990">
        <v>100430290.86</v>
      </c>
      <c r="D161" s="990">
        <v>-198461959.03999999</v>
      </c>
      <c r="E161" s="990">
        <v>174710725.34</v>
      </c>
      <c r="F161" s="990">
        <v>552180280.32000005</v>
      </c>
      <c r="G161" s="990">
        <v>611134567.34000003</v>
      </c>
      <c r="H161" s="990">
        <v>235297848.22999999</v>
      </c>
      <c r="L161" s="1004" t="s">
        <v>1743</v>
      </c>
      <c r="M161" s="990">
        <f t="shared" si="4"/>
        <v>1000000</v>
      </c>
    </row>
    <row r="162" spans="1:13">
      <c r="A162" s="1118" t="s">
        <v>2062</v>
      </c>
      <c r="C162" s="990">
        <v>0</v>
      </c>
      <c r="D162" s="990">
        <v>0</v>
      </c>
      <c r="E162" s="990">
        <v>0</v>
      </c>
      <c r="F162" s="990">
        <v>0</v>
      </c>
      <c r="G162" s="990">
        <v>0</v>
      </c>
      <c r="H162" s="990">
        <v>0</v>
      </c>
      <c r="L162" s="1119"/>
      <c r="M162" s="990">
        <f t="shared" si="4"/>
        <v>1000000</v>
      </c>
    </row>
    <row r="163" spans="1:13">
      <c r="A163" s="1113" t="s">
        <v>2648</v>
      </c>
      <c r="C163" s="990">
        <v>60000000</v>
      </c>
      <c r="D163" s="990">
        <v>1534000000</v>
      </c>
      <c r="E163" s="990">
        <v>1024035917.41</v>
      </c>
      <c r="F163" s="990">
        <v>504769858.79000002</v>
      </c>
      <c r="G163" s="990">
        <v>438300000</v>
      </c>
      <c r="H163" s="990">
        <v>164581110.03</v>
      </c>
      <c r="L163" s="1004" t="s">
        <v>1744</v>
      </c>
      <c r="M163" s="990">
        <f t="shared" si="4"/>
        <v>1000000</v>
      </c>
    </row>
    <row r="164" spans="1:13">
      <c r="A164" s="1113" t="s">
        <v>2649</v>
      </c>
      <c r="C164" s="990">
        <v>554601.37</v>
      </c>
      <c r="D164" s="990">
        <v>19269022.91</v>
      </c>
      <c r="E164" s="990">
        <v>31904739.59</v>
      </c>
      <c r="F164" s="990">
        <v>3101981.53</v>
      </c>
      <c r="G164" s="990">
        <v>2768024.81</v>
      </c>
      <c r="H164" s="990">
        <v>23613739.859999999</v>
      </c>
      <c r="L164" s="1004" t="s">
        <v>1745</v>
      </c>
      <c r="M164" s="990">
        <f t="shared" si="4"/>
        <v>1000000</v>
      </c>
    </row>
    <row r="165" spans="1:13" ht="21.6">
      <c r="A165" s="1113" t="s">
        <v>2650</v>
      </c>
      <c r="C165" s="990">
        <v>307968.68</v>
      </c>
      <c r="D165" s="990">
        <v>4775653.43</v>
      </c>
      <c r="E165" s="990">
        <v>318833.34000000003</v>
      </c>
      <c r="F165" s="990">
        <v>12111459.869999999</v>
      </c>
      <c r="G165" s="990">
        <v>5619966.3899999997</v>
      </c>
      <c r="H165" s="990">
        <v>14857329.130000001</v>
      </c>
      <c r="L165" s="1004" t="s">
        <v>1746</v>
      </c>
      <c r="M165" s="990">
        <f t="shared" si="4"/>
        <v>1000000</v>
      </c>
    </row>
    <row r="166" spans="1:13" ht="21.6">
      <c r="A166" s="1113" t="s">
        <v>2651</v>
      </c>
      <c r="C166" s="990">
        <v>0</v>
      </c>
      <c r="D166" s="990">
        <v>0</v>
      </c>
      <c r="E166" s="990">
        <v>0</v>
      </c>
      <c r="F166" s="990">
        <v>0</v>
      </c>
      <c r="G166" s="990">
        <v>0</v>
      </c>
      <c r="H166" s="990">
        <v>0</v>
      </c>
      <c r="L166" s="1004" t="s">
        <v>1747</v>
      </c>
      <c r="M166" s="990">
        <f t="shared" si="4"/>
        <v>1000000</v>
      </c>
    </row>
    <row r="167" spans="1:13">
      <c r="A167" s="1113" t="s">
        <v>2652</v>
      </c>
      <c r="C167" s="990">
        <v>0</v>
      </c>
      <c r="D167" s="990">
        <v>0</v>
      </c>
      <c r="E167" s="990">
        <v>0</v>
      </c>
      <c r="F167" s="990">
        <v>32452400</v>
      </c>
      <c r="G167" s="990">
        <v>0</v>
      </c>
      <c r="H167" s="990">
        <v>1671600.03</v>
      </c>
      <c r="L167" s="1004" t="s">
        <v>1748</v>
      </c>
      <c r="M167" s="990">
        <f>$M$2</f>
        <v>1000000</v>
      </c>
    </row>
    <row r="168" spans="1:13">
      <c r="A168" s="1113" t="s">
        <v>2653</v>
      </c>
      <c r="C168" s="990">
        <v>60862570.049999997</v>
      </c>
      <c r="D168" s="990">
        <v>1558044676.3399999</v>
      </c>
      <c r="E168" s="990">
        <v>1056259490.34</v>
      </c>
      <c r="F168" s="990">
        <v>552435700.19000006</v>
      </c>
      <c r="G168" s="990">
        <v>446687991.19999999</v>
      </c>
      <c r="H168" s="990">
        <v>204723779.05000001</v>
      </c>
      <c r="L168" s="1004" t="s">
        <v>1749</v>
      </c>
      <c r="M168" s="990">
        <f t="shared" si="4"/>
        <v>1000000</v>
      </c>
    </row>
    <row r="169" spans="1:13" ht="21.6">
      <c r="A169" s="1113" t="s">
        <v>2654</v>
      </c>
      <c r="C169" s="990">
        <v>186138197.52000001</v>
      </c>
      <c r="D169" s="990">
        <v>344597493.37</v>
      </c>
      <c r="E169" s="990">
        <v>502553113.70999998</v>
      </c>
      <c r="F169" s="990">
        <v>607056623.63999999</v>
      </c>
      <c r="G169" s="990">
        <v>421961938.06999999</v>
      </c>
      <c r="H169" s="990">
        <v>333639880.98000002</v>
      </c>
      <c r="L169" s="1004" t="s">
        <v>1750</v>
      </c>
      <c r="M169" s="990">
        <f t="shared" si="4"/>
        <v>1000000</v>
      </c>
    </row>
    <row r="170" spans="1:13">
      <c r="A170" s="1113" t="s">
        <v>2655</v>
      </c>
      <c r="C170" s="990">
        <v>30000000</v>
      </c>
      <c r="D170" s="990">
        <v>2168580000</v>
      </c>
      <c r="E170" s="990">
        <v>448000000</v>
      </c>
      <c r="F170" s="990">
        <v>780010000</v>
      </c>
      <c r="G170" s="990">
        <v>666300000</v>
      </c>
      <c r="H170" s="990">
        <v>139000016.15000001</v>
      </c>
      <c r="L170" s="1004" t="s">
        <v>1751</v>
      </c>
      <c r="M170" s="990">
        <f t="shared" si="4"/>
        <v>1000000</v>
      </c>
    </row>
    <row r="171" spans="1:13" ht="21.6">
      <c r="A171" s="1113" t="s">
        <v>2656</v>
      </c>
      <c r="C171" s="990">
        <v>0</v>
      </c>
      <c r="D171" s="990">
        <v>0</v>
      </c>
      <c r="E171" s="990">
        <v>0</v>
      </c>
      <c r="F171" s="990">
        <v>0</v>
      </c>
      <c r="G171" s="990">
        <v>0</v>
      </c>
      <c r="H171" s="990">
        <v>66370665.479999997</v>
      </c>
      <c r="L171" s="1004" t="s">
        <v>1752</v>
      </c>
      <c r="M171" s="990">
        <f t="shared" si="4"/>
        <v>1000000</v>
      </c>
    </row>
    <row r="172" spans="1:13">
      <c r="A172" s="1113" t="s">
        <v>2657</v>
      </c>
      <c r="C172" s="990">
        <v>18072907.469999999</v>
      </c>
      <c r="D172" s="990">
        <v>0</v>
      </c>
      <c r="E172" s="990">
        <v>0</v>
      </c>
      <c r="F172" s="990">
        <v>47452400</v>
      </c>
      <c r="G172" s="990">
        <v>0</v>
      </c>
      <c r="H172" s="990">
        <v>0</v>
      </c>
      <c r="L172" s="1004" t="s">
        <v>1753</v>
      </c>
      <c r="M172" s="990">
        <f t="shared" si="4"/>
        <v>1000000</v>
      </c>
    </row>
    <row r="173" spans="1:13">
      <c r="A173" s="1113" t="s">
        <v>2658</v>
      </c>
      <c r="C173" s="990">
        <v>234211104.99000001</v>
      </c>
      <c r="D173" s="990">
        <v>2513177493.3699999</v>
      </c>
      <c r="E173" s="990">
        <v>950553113.71000004</v>
      </c>
      <c r="F173" s="990">
        <v>1434519023.6400001</v>
      </c>
      <c r="G173" s="990">
        <v>1088261938.0699999</v>
      </c>
      <c r="H173" s="990">
        <v>539010562.61000001</v>
      </c>
      <c r="L173" s="1004" t="s">
        <v>1754</v>
      </c>
      <c r="M173" s="990">
        <f t="shared" si="4"/>
        <v>1000000</v>
      </c>
    </row>
    <row r="174" spans="1:13">
      <c r="A174" s="1113" t="s">
        <v>2065</v>
      </c>
      <c r="C174" s="990">
        <v>-173348534.94</v>
      </c>
      <c r="D174" s="990">
        <v>-955132817.02999997</v>
      </c>
      <c r="E174" s="990">
        <v>105706376.63</v>
      </c>
      <c r="F174" s="990">
        <v>-882083323.45000005</v>
      </c>
      <c r="G174" s="990">
        <v>-641573946.87</v>
      </c>
      <c r="H174" s="990">
        <v>-334286783.56</v>
      </c>
      <c r="L174" s="1004" t="s">
        <v>1755</v>
      </c>
      <c r="M174" s="990">
        <f t="shared" si="4"/>
        <v>1000000</v>
      </c>
    </row>
    <row r="175" spans="1:13">
      <c r="A175" s="1118" t="s">
        <v>2063</v>
      </c>
      <c r="C175" s="990">
        <v>0</v>
      </c>
      <c r="D175" s="990">
        <v>0</v>
      </c>
      <c r="E175" s="990">
        <v>0</v>
      </c>
      <c r="F175" s="990">
        <v>0</v>
      </c>
      <c r="G175" s="990">
        <v>0</v>
      </c>
      <c r="H175" s="990">
        <v>0</v>
      </c>
      <c r="L175" s="1119"/>
      <c r="M175" s="990">
        <f>$M$2</f>
        <v>1000000</v>
      </c>
    </row>
    <row r="176" spans="1:13">
      <c r="A176" s="1113" t="s">
        <v>2659</v>
      </c>
      <c r="C176" s="990">
        <v>0</v>
      </c>
      <c r="D176" s="990">
        <v>1432250847.8199999</v>
      </c>
      <c r="E176" s="990">
        <v>0</v>
      </c>
      <c r="F176" s="990">
        <v>59067903</v>
      </c>
      <c r="G176" s="990">
        <v>283584109</v>
      </c>
      <c r="H176" s="990">
        <v>616183</v>
      </c>
      <c r="L176" s="1004" t="s">
        <v>1756</v>
      </c>
      <c r="M176" s="990">
        <f t="shared" si="4"/>
        <v>1000000</v>
      </c>
    </row>
    <row r="177" spans="1:13" ht="21.6">
      <c r="A177" s="1113" t="s">
        <v>2660</v>
      </c>
      <c r="C177" s="990">
        <v>0</v>
      </c>
      <c r="D177" s="990">
        <v>0</v>
      </c>
      <c r="E177" s="990">
        <v>0</v>
      </c>
      <c r="F177" s="990">
        <v>0</v>
      </c>
      <c r="G177" s="990">
        <v>0</v>
      </c>
      <c r="H177" s="990">
        <v>0</v>
      </c>
      <c r="L177" s="1004" t="s">
        <v>1757</v>
      </c>
      <c r="M177" s="990">
        <f t="shared" si="4"/>
        <v>1000000</v>
      </c>
    </row>
    <row r="178" spans="1:13">
      <c r="A178" s="1113" t="s">
        <v>2661</v>
      </c>
      <c r="C178" s="990">
        <v>153000000</v>
      </c>
      <c r="D178" s="990">
        <v>595500000</v>
      </c>
      <c r="E178" s="990">
        <v>879500000</v>
      </c>
      <c r="F178" s="990">
        <v>1267395629.3800001</v>
      </c>
      <c r="G178" s="990">
        <v>1906042992.25</v>
      </c>
      <c r="H178" s="990">
        <v>1713364851.7</v>
      </c>
      <c r="L178" s="1004" t="s">
        <v>1758</v>
      </c>
      <c r="M178" s="990">
        <f t="shared" si="4"/>
        <v>1000000</v>
      </c>
    </row>
    <row r="179" spans="1:13">
      <c r="A179" s="1113" t="s">
        <v>2662</v>
      </c>
      <c r="C179" s="990">
        <v>45628678.210000001</v>
      </c>
      <c r="D179" s="990">
        <v>125078666.23</v>
      </c>
      <c r="E179" s="990">
        <v>35285137.439999998</v>
      </c>
      <c r="F179" s="990">
        <v>416789389.85000002</v>
      </c>
      <c r="G179" s="990">
        <v>40136216.43</v>
      </c>
      <c r="H179" s="990">
        <v>84924493.060000002</v>
      </c>
      <c r="L179" s="1004" t="s">
        <v>1759</v>
      </c>
      <c r="M179" s="990">
        <f t="shared" si="4"/>
        <v>1000000</v>
      </c>
    </row>
    <row r="180" spans="1:13">
      <c r="A180" s="1113" t="s">
        <v>2663</v>
      </c>
      <c r="C180" s="990">
        <v>0</v>
      </c>
      <c r="D180" s="990">
        <v>0</v>
      </c>
      <c r="E180" s="990">
        <v>0</v>
      </c>
      <c r="F180" s="990">
        <v>0</v>
      </c>
      <c r="G180" s="990">
        <v>0</v>
      </c>
      <c r="H180" s="990">
        <v>0</v>
      </c>
      <c r="L180" s="1004" t="s">
        <v>1760</v>
      </c>
      <c r="M180" s="990">
        <f t="shared" si="4"/>
        <v>1000000</v>
      </c>
    </row>
    <row r="181" spans="1:13">
      <c r="A181" s="1113" t="s">
        <v>2664</v>
      </c>
      <c r="C181" s="990">
        <v>198628678.21000001</v>
      </c>
      <c r="D181" s="990">
        <v>2152829514.0500002</v>
      </c>
      <c r="E181" s="990">
        <v>914785137.44000006</v>
      </c>
      <c r="F181" s="990">
        <v>1743252922.23</v>
      </c>
      <c r="G181" s="990">
        <v>2229763317.6799998</v>
      </c>
      <c r="H181" s="990">
        <v>1798905527.76</v>
      </c>
      <c r="L181" s="1004" t="s">
        <v>1761</v>
      </c>
      <c r="M181" s="990">
        <f t="shared" si="4"/>
        <v>1000000</v>
      </c>
    </row>
    <row r="182" spans="1:13">
      <c r="A182" s="1113" t="s">
        <v>2665</v>
      </c>
      <c r="C182" s="990">
        <v>66881252.880000003</v>
      </c>
      <c r="D182" s="990">
        <v>332881252.88</v>
      </c>
      <c r="E182" s="990">
        <v>726243042.66999996</v>
      </c>
      <c r="F182" s="990">
        <v>1029200000</v>
      </c>
      <c r="G182" s="990">
        <v>1211757629.8599999</v>
      </c>
      <c r="H182" s="990">
        <v>1494420408.4300001</v>
      </c>
      <c r="L182" s="1004" t="s">
        <v>1762</v>
      </c>
      <c r="M182" s="990">
        <f>$M$2</f>
        <v>1000000</v>
      </c>
    </row>
    <row r="183" spans="1:13" ht="21.6">
      <c r="A183" s="1113" t="s">
        <v>2666</v>
      </c>
      <c r="C183" s="990">
        <v>40867154.490000002</v>
      </c>
      <c r="D183" s="990">
        <v>53534912.219999999</v>
      </c>
      <c r="E183" s="990">
        <v>59844387.200000003</v>
      </c>
      <c r="F183" s="990">
        <v>31013875.73</v>
      </c>
      <c r="G183" s="990">
        <v>147098571.84</v>
      </c>
      <c r="H183" s="990">
        <v>79145565.599999994</v>
      </c>
      <c r="L183" s="1004" t="s">
        <v>1763</v>
      </c>
      <c r="M183" s="990">
        <f t="shared" si="4"/>
        <v>1000000</v>
      </c>
    </row>
    <row r="184" spans="1:13" ht="21.6">
      <c r="A184" s="1113" t="s">
        <v>2667</v>
      </c>
      <c r="C184" s="990">
        <v>0</v>
      </c>
      <c r="D184" s="990">
        <v>0</v>
      </c>
      <c r="E184" s="990">
        <v>0</v>
      </c>
      <c r="F184" s="990">
        <v>0</v>
      </c>
      <c r="G184" s="990">
        <v>0</v>
      </c>
      <c r="H184" s="990">
        <v>0</v>
      </c>
      <c r="L184" s="1004" t="s">
        <v>1764</v>
      </c>
      <c r="M184" s="990">
        <f t="shared" si="4"/>
        <v>1000000</v>
      </c>
    </row>
    <row r="185" spans="1:13">
      <c r="A185" s="1113" t="s">
        <v>2668</v>
      </c>
      <c r="C185" s="990">
        <v>142133046.41</v>
      </c>
      <c r="D185" s="990">
        <v>131812546.84</v>
      </c>
      <c r="E185" s="990">
        <v>178890209.13</v>
      </c>
      <c r="F185" s="990">
        <v>35014488</v>
      </c>
      <c r="G185" s="990">
        <v>220975824.25</v>
      </c>
      <c r="H185" s="990">
        <v>100162522.06999999</v>
      </c>
      <c r="L185" s="1004" t="s">
        <v>1765</v>
      </c>
      <c r="M185" s="990">
        <f t="shared" si="4"/>
        <v>1000000</v>
      </c>
    </row>
    <row r="186" spans="1:13">
      <c r="A186" s="1113" t="s">
        <v>2669</v>
      </c>
      <c r="C186" s="990">
        <v>249881453.78</v>
      </c>
      <c r="D186" s="990">
        <v>518228711.94</v>
      </c>
      <c r="E186" s="990">
        <v>964977639</v>
      </c>
      <c r="F186" s="990">
        <v>1095228363.73</v>
      </c>
      <c r="G186" s="990">
        <v>1579832025.95</v>
      </c>
      <c r="H186" s="990">
        <v>1673728496.0999999</v>
      </c>
      <c r="L186" s="1004" t="s">
        <v>1766</v>
      </c>
      <c r="M186" s="990">
        <f t="shared" si="4"/>
        <v>1000000</v>
      </c>
    </row>
    <row r="187" spans="1:13">
      <c r="A187" s="1113" t="s">
        <v>2066</v>
      </c>
      <c r="C187" s="990">
        <v>-51252775.57</v>
      </c>
      <c r="D187" s="990">
        <v>1634600802.1099999</v>
      </c>
      <c r="E187" s="990">
        <v>-50192501.560000002</v>
      </c>
      <c r="F187" s="990">
        <v>648024558.5</v>
      </c>
      <c r="G187" s="990">
        <v>649931291.73000002</v>
      </c>
      <c r="H187" s="990">
        <v>125177031.66</v>
      </c>
      <c r="L187" s="1004" t="s">
        <v>1767</v>
      </c>
      <c r="M187" s="990">
        <f t="shared" si="4"/>
        <v>1000000</v>
      </c>
    </row>
    <row r="188" spans="1:13">
      <c r="A188" s="1118" t="s">
        <v>2064</v>
      </c>
      <c r="C188" s="990">
        <v>0</v>
      </c>
      <c r="D188" s="990">
        <v>0</v>
      </c>
      <c r="E188" s="990">
        <v>0</v>
      </c>
      <c r="F188" s="990">
        <v>0</v>
      </c>
      <c r="G188" s="990">
        <v>0</v>
      </c>
      <c r="H188" s="990">
        <v>0</v>
      </c>
      <c r="L188" s="1119"/>
      <c r="M188" s="990">
        <f t="shared" si="4"/>
        <v>1000000</v>
      </c>
    </row>
    <row r="189" spans="1:13">
      <c r="A189" s="1113" t="s">
        <v>2670</v>
      </c>
      <c r="C189" s="990">
        <v>0</v>
      </c>
      <c r="D189" s="990">
        <v>0</v>
      </c>
      <c r="E189" s="990">
        <v>-709571.42</v>
      </c>
      <c r="F189" s="990">
        <v>-336295.43</v>
      </c>
      <c r="G189" s="990">
        <v>277371.39</v>
      </c>
      <c r="H189" s="990">
        <v>4894685.24</v>
      </c>
      <c r="L189" s="1004" t="s">
        <v>1768</v>
      </c>
      <c r="M189" s="990">
        <f t="shared" si="4"/>
        <v>1000000</v>
      </c>
    </row>
    <row r="190" spans="1:13">
      <c r="A190" s="1113" t="s">
        <v>2671</v>
      </c>
      <c r="C190" s="990">
        <v>-124171019.65000001</v>
      </c>
      <c r="D190" s="990">
        <v>481006026.04000002</v>
      </c>
      <c r="E190" s="990">
        <v>229515028.99000001</v>
      </c>
      <c r="F190" s="990">
        <v>317785219.94</v>
      </c>
      <c r="G190" s="990">
        <v>619769283.59000003</v>
      </c>
      <c r="H190" s="990">
        <v>31082781.57</v>
      </c>
      <c r="L190" s="1004" t="s">
        <v>1769</v>
      </c>
      <c r="M190" s="990">
        <f t="shared" si="4"/>
        <v>1000000</v>
      </c>
    </row>
    <row r="191" spans="1:13">
      <c r="A191" s="1113" t="s">
        <v>2672</v>
      </c>
      <c r="C191" s="990">
        <v>351853676.60000002</v>
      </c>
      <c r="D191" s="990">
        <v>227682656.94999999</v>
      </c>
      <c r="E191" s="990">
        <v>708688682.99000001</v>
      </c>
      <c r="F191" s="990">
        <v>938203711.98000002</v>
      </c>
      <c r="G191" s="990">
        <v>1255988931.9200001</v>
      </c>
      <c r="H191" s="990">
        <v>1875758215.51</v>
      </c>
      <c r="L191" s="1004" t="s">
        <v>1770</v>
      </c>
      <c r="M191" s="990">
        <f t="shared" si="4"/>
        <v>1000000</v>
      </c>
    </row>
    <row r="192" spans="1:13">
      <c r="A192" s="1113" t="s">
        <v>2673</v>
      </c>
      <c r="C192" s="990">
        <v>227682656.94999999</v>
      </c>
      <c r="D192" s="990">
        <v>708688682.99000001</v>
      </c>
      <c r="E192" s="990">
        <v>938203711.98000002</v>
      </c>
      <c r="F192" s="990">
        <v>1255988931.9200001</v>
      </c>
      <c r="G192" s="990">
        <v>1875758215.51</v>
      </c>
      <c r="H192" s="990">
        <v>1906840997.0799999</v>
      </c>
      <c r="L192" s="1004" t="s">
        <v>1771</v>
      </c>
      <c r="M192" s="990">
        <f>$M$2</f>
        <v>1000000</v>
      </c>
    </row>
    <row r="193" spans="1:13">
      <c r="C193" s="990">
        <v>0</v>
      </c>
      <c r="D193" s="990">
        <v>0</v>
      </c>
      <c r="E193" s="990">
        <v>0</v>
      </c>
      <c r="F193" s="990">
        <v>0</v>
      </c>
      <c r="G193" s="990">
        <v>0</v>
      </c>
      <c r="H193" s="990">
        <v>0</v>
      </c>
      <c r="L193" s="1119"/>
    </row>
    <row r="194" spans="1:13" ht="12">
      <c r="A194" s="1120" t="s">
        <v>2675</v>
      </c>
      <c r="C194" s="990">
        <v>0</v>
      </c>
      <c r="D194" s="990">
        <v>0</v>
      </c>
      <c r="E194" s="990">
        <v>0</v>
      </c>
      <c r="F194" s="990">
        <v>0</v>
      </c>
      <c r="G194" s="990">
        <v>0</v>
      </c>
      <c r="H194" s="990">
        <v>0</v>
      </c>
      <c r="L194" s="1119"/>
    </row>
    <row r="195" spans="1:13">
      <c r="A195" s="1113" t="s">
        <v>1025</v>
      </c>
      <c r="C195" s="990">
        <v>217437483.69999999</v>
      </c>
      <c r="D195" s="990">
        <v>185267247.31</v>
      </c>
      <c r="E195" s="990">
        <v>363361515.08999997</v>
      </c>
      <c r="F195" s="990">
        <v>890334135.37</v>
      </c>
      <c r="G195" s="990">
        <v>672619138.52999997</v>
      </c>
      <c r="H195" s="990">
        <v>177914758.41999999</v>
      </c>
      <c r="L195" s="1004" t="s">
        <v>1772</v>
      </c>
      <c r="M195" s="990">
        <f>$M$2</f>
        <v>1000000</v>
      </c>
    </row>
    <row r="196" spans="1:13">
      <c r="A196" s="1113" t="s">
        <v>2676</v>
      </c>
      <c r="C196" s="990">
        <v>29382289.420000002</v>
      </c>
      <c r="D196" s="990">
        <v>55363089.659999996</v>
      </c>
      <c r="E196" s="990">
        <v>118933633.91</v>
      </c>
      <c r="F196" s="990">
        <v>277603829.93000001</v>
      </c>
      <c r="G196" s="990">
        <v>275357935.47000003</v>
      </c>
      <c r="H196" s="990">
        <v>262042074.84</v>
      </c>
      <c r="L196" s="1004" t="s">
        <v>1773</v>
      </c>
      <c r="M196" s="990">
        <f t="shared" ref="M196:M224" si="5">$M$2</f>
        <v>1000000</v>
      </c>
    </row>
    <row r="197" spans="1:13" ht="21.6">
      <c r="A197" s="1113" t="s">
        <v>2677</v>
      </c>
      <c r="C197" s="990">
        <v>20968275.670000002</v>
      </c>
      <c r="D197" s="990">
        <v>38124107.509999998</v>
      </c>
      <c r="E197" s="990">
        <v>61575375.329999998</v>
      </c>
      <c r="F197" s="990">
        <v>94479129.459999993</v>
      </c>
      <c r="G197" s="990">
        <v>148868189.90000001</v>
      </c>
      <c r="H197" s="990">
        <v>192136877.38</v>
      </c>
      <c r="L197" s="1004" t="s">
        <v>1774</v>
      </c>
      <c r="M197" s="990">
        <f t="shared" si="5"/>
        <v>1000000</v>
      </c>
    </row>
    <row r="198" spans="1:13">
      <c r="A198" s="1113" t="s">
        <v>2628</v>
      </c>
      <c r="C198" s="990">
        <v>2668274.96</v>
      </c>
      <c r="D198" s="990">
        <v>2951763.6</v>
      </c>
      <c r="E198" s="990">
        <v>3289646.27</v>
      </c>
      <c r="F198" s="990">
        <v>4262116.76</v>
      </c>
      <c r="G198" s="990">
        <v>4462466.26</v>
      </c>
      <c r="H198" s="990">
        <v>9828755.7699999996</v>
      </c>
      <c r="L198" s="1004" t="s">
        <v>1775</v>
      </c>
      <c r="M198" s="990">
        <f t="shared" si="5"/>
        <v>1000000</v>
      </c>
    </row>
    <row r="199" spans="1:13">
      <c r="A199" s="1113" t="s">
        <v>2629</v>
      </c>
      <c r="C199" s="990">
        <v>591533.22</v>
      </c>
      <c r="D199" s="990">
        <v>553252.98</v>
      </c>
      <c r="E199" s="990">
        <v>819077.52</v>
      </c>
      <c r="F199" s="990">
        <v>2623963.27</v>
      </c>
      <c r="G199" s="990">
        <v>2273777.13</v>
      </c>
      <c r="H199" s="990">
        <v>1531922.37</v>
      </c>
      <c r="L199" s="1004" t="s">
        <v>1776</v>
      </c>
      <c r="M199" s="990">
        <f t="shared" si="5"/>
        <v>1000000</v>
      </c>
    </row>
    <row r="200" spans="1:13">
      <c r="A200" s="1113" t="s">
        <v>2067</v>
      </c>
      <c r="C200" s="990">
        <v>0</v>
      </c>
      <c r="D200" s="990">
        <v>0</v>
      </c>
      <c r="E200" s="990">
        <v>0</v>
      </c>
      <c r="F200" s="990">
        <v>0</v>
      </c>
      <c r="G200" s="990">
        <v>0</v>
      </c>
      <c r="H200" s="990">
        <v>0</v>
      </c>
      <c r="L200" s="1004" t="s">
        <v>1777</v>
      </c>
      <c r="M200" s="990">
        <f t="shared" si="5"/>
        <v>1000000</v>
      </c>
    </row>
    <row r="201" spans="1:13">
      <c r="A201" s="1113" t="s">
        <v>2068</v>
      </c>
      <c r="C201" s="990">
        <v>0</v>
      </c>
      <c r="D201" s="990">
        <v>0</v>
      </c>
      <c r="E201" s="990">
        <v>0</v>
      </c>
      <c r="F201" s="990">
        <v>0</v>
      </c>
      <c r="G201" s="990">
        <v>0</v>
      </c>
      <c r="H201" s="990">
        <v>0</v>
      </c>
      <c r="L201" s="1004" t="s">
        <v>1778</v>
      </c>
      <c r="M201" s="990">
        <f t="shared" si="5"/>
        <v>1000000</v>
      </c>
    </row>
    <row r="202" spans="1:13" ht="21.6">
      <c r="A202" s="1113" t="s">
        <v>2069</v>
      </c>
      <c r="C202" s="990">
        <v>658532.87</v>
      </c>
      <c r="D202" s="990">
        <v>-1573735.25</v>
      </c>
      <c r="E202" s="990">
        <v>1393595.7</v>
      </c>
      <c r="F202" s="990">
        <v>7659869.3300000001</v>
      </c>
      <c r="G202" s="990">
        <v>6492032.3499999996</v>
      </c>
      <c r="H202" s="990">
        <v>3341410.09</v>
      </c>
      <c r="L202" s="1004" t="s">
        <v>1779</v>
      </c>
      <c r="M202" s="990">
        <f t="shared" si="5"/>
        <v>1000000</v>
      </c>
    </row>
    <row r="203" spans="1:13">
      <c r="A203" s="1113" t="s">
        <v>2070</v>
      </c>
      <c r="C203" s="990">
        <v>0</v>
      </c>
      <c r="D203" s="990">
        <v>0</v>
      </c>
      <c r="E203" s="990">
        <v>0</v>
      </c>
      <c r="F203" s="990">
        <v>0</v>
      </c>
      <c r="G203" s="990">
        <v>0</v>
      </c>
      <c r="H203" s="990">
        <v>390053.98</v>
      </c>
      <c r="L203" s="1004" t="s">
        <v>1780</v>
      </c>
      <c r="M203" s="990">
        <f t="shared" si="5"/>
        <v>1000000</v>
      </c>
    </row>
    <row r="204" spans="1:13">
      <c r="A204" s="1113" t="s">
        <v>2071</v>
      </c>
      <c r="C204" s="990">
        <v>0</v>
      </c>
      <c r="D204" s="990">
        <v>-9925104.1600000001</v>
      </c>
      <c r="E204" s="990">
        <v>0</v>
      </c>
      <c r="F204" s="990">
        <v>-196372.22</v>
      </c>
      <c r="G204" s="990">
        <v>-8846.59</v>
      </c>
      <c r="H204" s="990">
        <v>-40805791.850000001</v>
      </c>
      <c r="L204" s="1004" t="s">
        <v>1781</v>
      </c>
      <c r="M204" s="990">
        <f t="shared" si="5"/>
        <v>1000000</v>
      </c>
    </row>
    <row r="205" spans="1:13">
      <c r="A205" s="1113" t="s">
        <v>2045</v>
      </c>
      <c r="C205" s="990">
        <v>8931009.9399999995</v>
      </c>
      <c r="D205" s="990">
        <v>23183440.120000001</v>
      </c>
      <c r="E205" s="990">
        <v>32479917.469999999</v>
      </c>
      <c r="F205" s="990">
        <v>40948442.93</v>
      </c>
      <c r="G205" s="990">
        <v>54257942.009999998</v>
      </c>
      <c r="H205" s="990">
        <v>81759244.269999996</v>
      </c>
      <c r="L205" s="1004" t="s">
        <v>1782</v>
      </c>
      <c r="M205" s="990">
        <f t="shared" si="5"/>
        <v>1000000</v>
      </c>
    </row>
    <row r="206" spans="1:13">
      <c r="A206" s="1113" t="s">
        <v>2072</v>
      </c>
      <c r="C206" s="990">
        <v>2355894.1</v>
      </c>
      <c r="D206" s="990">
        <v>-19269022.91</v>
      </c>
      <c r="E206" s="990">
        <v>-21979622.390000001</v>
      </c>
      <c r="F206" s="990">
        <v>27984675.469999999</v>
      </c>
      <c r="G206" s="990">
        <v>-6775080.46</v>
      </c>
      <c r="H206" s="990">
        <v>-22730202.960000001</v>
      </c>
      <c r="L206" s="1004" t="s">
        <v>1783</v>
      </c>
      <c r="M206" s="990">
        <f t="shared" si="5"/>
        <v>1000000</v>
      </c>
    </row>
    <row r="207" spans="1:13">
      <c r="A207" s="1113" t="s">
        <v>2073</v>
      </c>
      <c r="C207" s="990">
        <v>-9887037.5399999991</v>
      </c>
      <c r="D207" s="990">
        <v>-23977269.73</v>
      </c>
      <c r="E207" s="990">
        <v>-50490564.689999998</v>
      </c>
      <c r="F207" s="990">
        <v>-61966418.740000002</v>
      </c>
      <c r="G207" s="990">
        <v>5028348.63</v>
      </c>
      <c r="H207" s="990">
        <v>-31366024.41</v>
      </c>
      <c r="L207" s="1004" t="s">
        <v>1784</v>
      </c>
      <c r="M207" s="990">
        <f t="shared" si="5"/>
        <v>1000000</v>
      </c>
    </row>
    <row r="208" spans="1:13">
      <c r="A208" s="1113" t="s">
        <v>2074</v>
      </c>
      <c r="C208" s="990">
        <v>-76590</v>
      </c>
      <c r="D208" s="990">
        <v>1488765.62</v>
      </c>
      <c r="E208" s="990">
        <v>-1488765.62</v>
      </c>
      <c r="F208" s="990">
        <v>29455.83</v>
      </c>
      <c r="G208" s="990">
        <v>-28128.84</v>
      </c>
      <c r="H208" s="990">
        <v>14924643.51</v>
      </c>
      <c r="L208" s="1004" t="s">
        <v>1785</v>
      </c>
      <c r="M208" s="990">
        <f t="shared" si="5"/>
        <v>1000000</v>
      </c>
    </row>
    <row r="209" spans="1:14">
      <c r="A209" s="1113" t="s">
        <v>2075</v>
      </c>
      <c r="C209" s="990">
        <v>-73469887.079999998</v>
      </c>
      <c r="D209" s="990">
        <v>-88057470.469999999</v>
      </c>
      <c r="E209" s="990">
        <v>-297197443.25</v>
      </c>
      <c r="F209" s="990">
        <v>-134897137.38</v>
      </c>
      <c r="G209" s="990">
        <v>-79760274</v>
      </c>
      <c r="H209" s="990">
        <v>-71357487.379999995</v>
      </c>
      <c r="L209" s="1004" t="s">
        <v>1786</v>
      </c>
      <c r="M209" s="990">
        <f t="shared" si="5"/>
        <v>1000000</v>
      </c>
    </row>
    <row r="210" spans="1:14">
      <c r="A210" s="1113" t="s">
        <v>2076</v>
      </c>
      <c r="C210" s="990">
        <v>-515291828.24000001</v>
      </c>
      <c r="D210" s="990">
        <v>-1041403650.51</v>
      </c>
      <c r="E210" s="990">
        <v>-891077561.88</v>
      </c>
      <c r="F210" s="990">
        <v>-1396204946.22</v>
      </c>
      <c r="G210" s="990">
        <v>-1920145062.04</v>
      </c>
      <c r="H210" s="990">
        <v>-1115525583.29</v>
      </c>
      <c r="L210" s="1004" t="s">
        <v>1787</v>
      </c>
      <c r="M210" s="990">
        <f t="shared" si="5"/>
        <v>1000000</v>
      </c>
      <c r="N210" s="1003"/>
    </row>
    <row r="211" spans="1:14">
      <c r="A211" s="1113" t="s">
        <v>2077</v>
      </c>
      <c r="C211" s="990">
        <v>416226087.99000001</v>
      </c>
      <c r="D211" s="990">
        <v>671038667.40999997</v>
      </c>
      <c r="E211" s="990">
        <v>833632968.72000003</v>
      </c>
      <c r="F211" s="990">
        <v>773147871.03999996</v>
      </c>
      <c r="G211" s="990">
        <v>1397165889.74</v>
      </c>
      <c r="H211" s="990">
        <v>728090388.91999996</v>
      </c>
      <c r="L211" s="1004" t="s">
        <v>1788</v>
      </c>
      <c r="M211" s="990">
        <f t="shared" si="5"/>
        <v>1000000</v>
      </c>
    </row>
    <row r="212" spans="1:14">
      <c r="A212" s="1113" t="s">
        <v>2078</v>
      </c>
      <c r="C212" s="990">
        <v>-63748.15</v>
      </c>
      <c r="D212" s="990">
        <v>7773959.7800000003</v>
      </c>
      <c r="E212" s="990">
        <v>21458953.16</v>
      </c>
      <c r="F212" s="990">
        <v>26371665.489999998</v>
      </c>
      <c r="G212" s="990">
        <v>43493202.840000004</v>
      </c>
      <c r="H212" s="990">
        <v>32990289.09</v>
      </c>
      <c r="L212" s="1004" t="s">
        <v>1789</v>
      </c>
      <c r="M212" s="990">
        <f t="shared" si="5"/>
        <v>1000000</v>
      </c>
    </row>
    <row r="213" spans="1:14">
      <c r="A213" s="1113" t="s">
        <v>2678</v>
      </c>
      <c r="C213" s="990">
        <v>100430290.86</v>
      </c>
      <c r="D213" s="990">
        <v>-198461959.03999999</v>
      </c>
      <c r="E213" s="990">
        <v>174710725.34</v>
      </c>
      <c r="F213" s="990">
        <v>552180280.32000005</v>
      </c>
      <c r="G213" s="990">
        <v>611134567.34000003</v>
      </c>
      <c r="H213" s="990">
        <v>235297848.22999999</v>
      </c>
      <c r="L213" s="1004" t="s">
        <v>1790</v>
      </c>
      <c r="M213" s="990">
        <f t="shared" si="5"/>
        <v>1000000</v>
      </c>
    </row>
    <row r="214" spans="1:14">
      <c r="A214" s="1113" t="s">
        <v>2079</v>
      </c>
      <c r="C214" s="990">
        <v>0</v>
      </c>
      <c r="D214" s="990">
        <v>0</v>
      </c>
      <c r="E214" s="990">
        <v>0</v>
      </c>
      <c r="F214" s="990">
        <v>0</v>
      </c>
      <c r="G214" s="990">
        <v>0</v>
      </c>
      <c r="H214" s="990">
        <v>0</v>
      </c>
      <c r="L214" s="1004" t="s">
        <v>1791</v>
      </c>
      <c r="M214" s="990">
        <f t="shared" si="5"/>
        <v>1000000</v>
      </c>
    </row>
    <row r="215" spans="1:14">
      <c r="A215" s="1113" t="s">
        <v>2080</v>
      </c>
      <c r="C215" s="990">
        <v>0</v>
      </c>
      <c r="D215" s="990">
        <v>0</v>
      </c>
      <c r="E215" s="990">
        <v>0</v>
      </c>
      <c r="F215" s="990">
        <v>0</v>
      </c>
      <c r="G215" s="990">
        <v>0</v>
      </c>
      <c r="H215" s="990">
        <v>0</v>
      </c>
      <c r="L215" s="1004" t="s">
        <v>1792</v>
      </c>
      <c r="M215" s="990">
        <f t="shared" si="5"/>
        <v>1000000</v>
      </c>
    </row>
    <row r="216" spans="1:14">
      <c r="A216" s="1113" t="s">
        <v>2081</v>
      </c>
      <c r="C216" s="990">
        <v>0</v>
      </c>
      <c r="D216" s="990">
        <v>0</v>
      </c>
      <c r="E216" s="990">
        <v>0</v>
      </c>
      <c r="F216" s="990">
        <v>0</v>
      </c>
      <c r="G216" s="990">
        <v>0</v>
      </c>
      <c r="H216" s="990">
        <v>0</v>
      </c>
      <c r="L216" s="1004" t="s">
        <v>1793</v>
      </c>
      <c r="M216" s="990">
        <f t="shared" si="5"/>
        <v>1000000</v>
      </c>
    </row>
    <row r="217" spans="1:14">
      <c r="A217" s="1113" t="s">
        <v>2082</v>
      </c>
      <c r="C217" s="990">
        <v>227682656.94999999</v>
      </c>
      <c r="D217" s="990">
        <v>708688682.99000001</v>
      </c>
      <c r="E217" s="990">
        <v>938203711.98000002</v>
      </c>
      <c r="F217" s="990">
        <v>1255988931.9200001</v>
      </c>
      <c r="G217" s="990">
        <v>1875758215.51</v>
      </c>
      <c r="H217" s="990">
        <v>1906840997.0799999</v>
      </c>
      <c r="L217" s="1004" t="s">
        <v>1794</v>
      </c>
      <c r="M217" s="990">
        <f t="shared" si="5"/>
        <v>1000000</v>
      </c>
    </row>
    <row r="218" spans="1:14">
      <c r="A218" s="1113" t="s">
        <v>2083</v>
      </c>
      <c r="C218" s="990">
        <v>351853676.60000002</v>
      </c>
      <c r="D218" s="990">
        <v>227682656.94999999</v>
      </c>
      <c r="E218" s="990">
        <v>708688682.99000001</v>
      </c>
      <c r="F218" s="990">
        <v>938203711.98000002</v>
      </c>
      <c r="G218" s="990">
        <v>1255988931.9200001</v>
      </c>
      <c r="H218" s="990">
        <v>1875758215.51</v>
      </c>
      <c r="L218" s="1004" t="s">
        <v>1795</v>
      </c>
      <c r="M218" s="990">
        <f t="shared" si="5"/>
        <v>1000000</v>
      </c>
    </row>
    <row r="219" spans="1:14">
      <c r="A219" s="1113" t="s">
        <v>2084</v>
      </c>
      <c r="C219" s="990">
        <v>0</v>
      </c>
      <c r="D219" s="990">
        <v>0</v>
      </c>
      <c r="E219" s="990">
        <v>0</v>
      </c>
      <c r="F219" s="990">
        <v>0</v>
      </c>
      <c r="G219" s="990">
        <v>0</v>
      </c>
      <c r="H219" s="990">
        <v>0</v>
      </c>
      <c r="L219" s="1004" t="s">
        <v>1796</v>
      </c>
      <c r="M219" s="990">
        <f t="shared" si="5"/>
        <v>1000000</v>
      </c>
    </row>
    <row r="220" spans="1:14">
      <c r="A220" s="1113" t="s">
        <v>2085</v>
      </c>
      <c r="C220" s="990">
        <v>0</v>
      </c>
      <c r="D220" s="990">
        <v>0</v>
      </c>
      <c r="E220" s="990">
        <v>0</v>
      </c>
      <c r="F220" s="990">
        <v>0</v>
      </c>
      <c r="G220" s="990">
        <v>0</v>
      </c>
      <c r="H220" s="990">
        <v>0</v>
      </c>
      <c r="L220" s="1004" t="s">
        <v>1797</v>
      </c>
      <c r="M220" s="990">
        <f t="shared" si="5"/>
        <v>1000000</v>
      </c>
    </row>
    <row r="221" spans="1:14">
      <c r="A221" s="1113" t="s">
        <v>2086</v>
      </c>
      <c r="C221" s="990">
        <v>-124171019.65000001</v>
      </c>
      <c r="D221" s="990">
        <v>481006026.04000002</v>
      </c>
      <c r="E221" s="990">
        <v>229515028.99000001</v>
      </c>
      <c r="F221" s="990">
        <v>317785219.94</v>
      </c>
      <c r="G221" s="990">
        <v>619769283.59000003</v>
      </c>
      <c r="H221" s="990">
        <v>31082781.57</v>
      </c>
      <c r="L221" s="1004" t="s">
        <v>1798</v>
      </c>
      <c r="M221" s="990">
        <f t="shared" si="5"/>
        <v>1000000</v>
      </c>
    </row>
    <row r="222" spans="1:14">
      <c r="A222" s="1113" t="s">
        <v>2679</v>
      </c>
      <c r="C222" s="990">
        <v>0</v>
      </c>
      <c r="D222" s="990">
        <v>0</v>
      </c>
      <c r="E222" s="990">
        <v>0</v>
      </c>
      <c r="F222" s="990">
        <v>0</v>
      </c>
      <c r="G222" s="990">
        <v>0</v>
      </c>
      <c r="H222" s="990">
        <v>0</v>
      </c>
      <c r="L222" s="1004" t="s">
        <v>2485</v>
      </c>
      <c r="M222" s="990">
        <f>$M$2</f>
        <v>1000000</v>
      </c>
    </row>
    <row r="223" spans="1:14">
      <c r="A223" s="1113" t="s">
        <v>2680</v>
      </c>
      <c r="C223" s="990">
        <v>0</v>
      </c>
      <c r="D223" s="990">
        <v>0</v>
      </c>
      <c r="E223" s="990">
        <v>0</v>
      </c>
      <c r="F223" s="990">
        <v>0</v>
      </c>
      <c r="G223" s="990">
        <v>0</v>
      </c>
      <c r="H223" s="990">
        <v>0</v>
      </c>
      <c r="L223" s="1004" t="s">
        <v>2486</v>
      </c>
      <c r="M223" s="990">
        <f t="shared" si="5"/>
        <v>1000000</v>
      </c>
    </row>
    <row r="224" spans="1:14">
      <c r="A224" s="1113" t="s">
        <v>2681</v>
      </c>
      <c r="C224" s="990">
        <v>0</v>
      </c>
      <c r="D224" s="990">
        <v>0</v>
      </c>
      <c r="E224" s="990">
        <v>0</v>
      </c>
      <c r="F224" s="990">
        <v>0</v>
      </c>
      <c r="G224" s="990">
        <v>0</v>
      </c>
      <c r="H224" s="990">
        <v>0</v>
      </c>
      <c r="L224" s="1004" t="s">
        <v>2483</v>
      </c>
      <c r="M224" s="990">
        <f t="shared" si="5"/>
        <v>1000000</v>
      </c>
    </row>
    <row r="225" spans="3:8">
      <c r="C225" s="1121"/>
      <c r="D225" s="1121"/>
      <c r="E225" s="1121"/>
      <c r="F225" s="1121"/>
      <c r="G225" s="1121"/>
      <c r="H225" s="1121"/>
    </row>
    <row r="226" spans="3:8">
      <c r="C226" s="1121"/>
      <c r="D226" s="1121"/>
      <c r="E226" s="1121"/>
      <c r="F226" s="1121"/>
      <c r="G226" s="1121"/>
      <c r="H226" s="1121"/>
    </row>
    <row r="227" spans="3:8">
      <c r="C227" s="1121"/>
      <c r="D227" s="1121"/>
      <c r="E227" s="1121"/>
      <c r="F227" s="1121"/>
      <c r="G227" s="1121"/>
      <c r="H227" s="1121"/>
    </row>
    <row r="228" spans="3:8">
      <c r="C228" s="1121"/>
      <c r="D228" s="1121"/>
      <c r="E228" s="1121"/>
      <c r="F228" s="1121"/>
      <c r="G228" s="1121"/>
      <c r="H228" s="1121"/>
    </row>
    <row r="229" spans="3:8">
      <c r="C229" s="1121"/>
      <c r="D229" s="1121"/>
      <c r="E229" s="1121"/>
      <c r="F229" s="1121"/>
      <c r="G229" s="1121"/>
      <c r="H229" s="1121"/>
    </row>
    <row r="230" spans="3:8">
      <c r="C230" s="1121"/>
      <c r="D230" s="1121"/>
      <c r="E230" s="1121"/>
      <c r="F230" s="1121"/>
      <c r="G230" s="1121"/>
      <c r="H230" s="1121"/>
    </row>
    <row r="231" spans="3:8">
      <c r="C231" s="1121"/>
      <c r="D231" s="1121"/>
      <c r="E231" s="1121"/>
      <c r="F231" s="1121"/>
      <c r="G231" s="1121"/>
      <c r="H231" s="1121"/>
    </row>
    <row r="232" spans="3:8">
      <c r="C232" s="1121"/>
      <c r="D232" s="1121"/>
      <c r="E232" s="1121"/>
      <c r="F232" s="1121"/>
      <c r="G232" s="1121"/>
      <c r="H232" s="1121"/>
    </row>
    <row r="233" spans="3:8">
      <c r="C233" s="1121"/>
      <c r="D233" s="1121"/>
      <c r="E233" s="1121"/>
      <c r="F233" s="1121"/>
      <c r="G233" s="1121"/>
      <c r="H233" s="1121"/>
    </row>
    <row r="234" spans="3:8">
      <c r="C234" s="1121"/>
      <c r="D234" s="1121"/>
      <c r="E234" s="1121"/>
      <c r="F234" s="1121"/>
      <c r="G234" s="1121"/>
      <c r="H234" s="1121"/>
    </row>
    <row r="235" spans="3:8">
      <c r="C235" s="1121"/>
      <c r="D235" s="1121"/>
      <c r="E235" s="1121"/>
      <c r="F235" s="1121"/>
      <c r="G235" s="1121"/>
      <c r="H235" s="1121"/>
    </row>
    <row r="236" spans="3:8">
      <c r="C236" s="1121"/>
      <c r="D236" s="1121"/>
      <c r="E236" s="1121"/>
      <c r="F236" s="1121"/>
      <c r="G236" s="1121"/>
      <c r="H236" s="1121"/>
    </row>
    <row r="237" spans="3:8">
      <c r="C237" s="1121"/>
      <c r="D237" s="1121"/>
      <c r="E237" s="1121"/>
      <c r="F237" s="1121"/>
      <c r="G237" s="1121"/>
      <c r="H237" s="1121"/>
    </row>
    <row r="238" spans="3:8">
      <c r="C238" s="1121"/>
      <c r="D238" s="1121"/>
      <c r="E238" s="1121"/>
      <c r="F238" s="1121"/>
      <c r="G238" s="1121"/>
      <c r="H238" s="1121"/>
    </row>
    <row r="239" spans="3:8">
      <c r="C239" s="1121"/>
      <c r="D239" s="1121"/>
      <c r="E239" s="1121"/>
      <c r="F239" s="1121"/>
      <c r="G239" s="1121"/>
      <c r="H239" s="1121"/>
    </row>
    <row r="240" spans="3:8">
      <c r="C240" s="1121"/>
      <c r="D240" s="1121"/>
      <c r="E240" s="1121"/>
      <c r="F240" s="1121"/>
      <c r="G240" s="1121"/>
      <c r="H240" s="1121"/>
    </row>
    <row r="241" spans="3:8">
      <c r="C241" s="1121"/>
      <c r="D241" s="1121"/>
      <c r="E241" s="1121"/>
      <c r="F241" s="1121"/>
      <c r="G241" s="1121"/>
      <c r="H241" s="1121"/>
    </row>
    <row r="242" spans="3:8">
      <c r="C242" s="1121"/>
      <c r="D242" s="1121"/>
      <c r="E242" s="1121"/>
      <c r="F242" s="1121"/>
      <c r="G242" s="1121"/>
      <c r="H242" s="1121"/>
    </row>
    <row r="243" spans="3:8">
      <c r="C243" s="1121"/>
      <c r="D243" s="1121"/>
      <c r="E243" s="1121"/>
      <c r="F243" s="1121"/>
      <c r="G243" s="1121"/>
      <c r="H243" s="1121"/>
    </row>
    <row r="244" spans="3:8">
      <c r="C244" s="1121"/>
      <c r="D244" s="1121"/>
      <c r="E244" s="1121"/>
      <c r="F244" s="1121"/>
      <c r="G244" s="1121"/>
      <c r="H244" s="1121"/>
    </row>
    <row r="245" spans="3:8">
      <c r="C245" s="1121"/>
      <c r="D245" s="1121"/>
      <c r="E245" s="1121"/>
      <c r="F245" s="1121"/>
      <c r="G245" s="1121"/>
      <c r="H245" s="1121"/>
    </row>
    <row r="246" spans="3:8">
      <c r="C246" s="1121"/>
      <c r="D246" s="1121"/>
      <c r="E246" s="1121"/>
      <c r="F246" s="1121"/>
      <c r="G246" s="1121"/>
      <c r="H246" s="1121"/>
    </row>
    <row r="247" spans="3:8">
      <c r="C247" s="1121"/>
      <c r="D247" s="1121"/>
      <c r="E247" s="1121"/>
      <c r="F247" s="1121"/>
      <c r="G247" s="1121"/>
      <c r="H247" s="1121"/>
    </row>
    <row r="248" spans="3:8">
      <c r="C248" s="1121"/>
      <c r="D248" s="1121"/>
      <c r="E248" s="1121"/>
      <c r="F248" s="1121"/>
      <c r="G248" s="1121"/>
      <c r="H248" s="1121"/>
    </row>
    <row r="249" spans="3:8">
      <c r="C249" s="1121"/>
      <c r="D249" s="1121"/>
      <c r="E249" s="1121"/>
      <c r="F249" s="1121"/>
      <c r="G249" s="1121"/>
      <c r="H249" s="1121"/>
    </row>
    <row r="250" spans="3:8">
      <c r="C250" s="1121"/>
      <c r="D250" s="1121"/>
      <c r="E250" s="1121"/>
      <c r="F250" s="1121"/>
      <c r="G250" s="1121"/>
      <c r="H250" s="1121"/>
    </row>
    <row r="251" spans="3:8">
      <c r="C251" s="1121"/>
      <c r="D251" s="1121"/>
      <c r="E251" s="1121"/>
      <c r="F251" s="1121"/>
      <c r="G251" s="1121"/>
      <c r="H251" s="1121"/>
    </row>
    <row r="252" spans="3:8">
      <c r="C252" s="1121"/>
      <c r="D252" s="1121"/>
      <c r="E252" s="1121"/>
      <c r="F252" s="1121"/>
      <c r="G252" s="1121"/>
      <c r="H252" s="1121"/>
    </row>
    <row r="253" spans="3:8">
      <c r="C253" s="1121"/>
      <c r="D253" s="1121"/>
      <c r="E253" s="1121"/>
      <c r="F253" s="1121"/>
      <c r="G253" s="1121"/>
      <c r="H253" s="1121"/>
    </row>
    <row r="254" spans="3:8">
      <c r="C254" s="1121"/>
      <c r="D254" s="1121"/>
      <c r="E254" s="1121"/>
      <c r="F254" s="1121"/>
      <c r="G254" s="1121"/>
      <c r="H254" s="1121"/>
    </row>
    <row r="255" spans="3:8">
      <c r="C255" s="1121"/>
      <c r="D255" s="1121"/>
      <c r="E255" s="1121"/>
      <c r="F255" s="1121"/>
      <c r="G255" s="1121"/>
      <c r="H255" s="1121"/>
    </row>
    <row r="256" spans="3:8">
      <c r="C256" s="1121"/>
      <c r="D256" s="1121"/>
      <c r="E256" s="1121"/>
      <c r="F256" s="1121"/>
      <c r="G256" s="1121"/>
      <c r="H256" s="1121"/>
    </row>
    <row r="257" spans="3:8">
      <c r="C257" s="1121"/>
      <c r="D257" s="1121"/>
      <c r="E257" s="1121"/>
      <c r="F257" s="1121"/>
      <c r="G257" s="1121"/>
      <c r="H257" s="1121"/>
    </row>
    <row r="258" spans="3:8">
      <c r="C258" s="1121"/>
      <c r="D258" s="1121"/>
      <c r="E258" s="1121"/>
      <c r="F258" s="1121"/>
      <c r="G258" s="1121"/>
      <c r="H258" s="1121"/>
    </row>
    <row r="259" spans="3:8">
      <c r="C259" s="1121"/>
      <c r="D259" s="1121"/>
      <c r="E259" s="1121"/>
      <c r="F259" s="1121"/>
      <c r="G259" s="1121"/>
      <c r="H259" s="1121"/>
    </row>
    <row r="260" spans="3:8">
      <c r="C260" s="1121"/>
      <c r="D260" s="1121"/>
      <c r="E260" s="1121"/>
      <c r="F260" s="1121"/>
      <c r="G260" s="1121"/>
      <c r="H260" s="1121"/>
    </row>
    <row r="261" spans="3:8">
      <c r="C261" s="1121"/>
      <c r="D261" s="1121"/>
      <c r="E261" s="1121"/>
      <c r="F261" s="1121"/>
      <c r="G261" s="1121"/>
      <c r="H261" s="1121"/>
    </row>
    <row r="262" spans="3:8">
      <c r="C262" s="1121"/>
      <c r="D262" s="1121"/>
      <c r="E262" s="1121"/>
      <c r="F262" s="1121"/>
      <c r="G262" s="1121"/>
      <c r="H262" s="1121"/>
    </row>
    <row r="263" spans="3:8">
      <c r="C263" s="1121"/>
      <c r="D263" s="1121"/>
      <c r="E263" s="1121"/>
      <c r="F263" s="1121"/>
      <c r="G263" s="1121"/>
      <c r="H263" s="1121"/>
    </row>
    <row r="264" spans="3:8">
      <c r="C264" s="1121"/>
      <c r="D264" s="1121"/>
      <c r="E264" s="1121"/>
      <c r="F264" s="1121"/>
      <c r="G264" s="1121"/>
      <c r="H264" s="1121"/>
    </row>
    <row r="265" spans="3:8">
      <c r="C265" s="1121"/>
      <c r="D265" s="1121"/>
      <c r="E265" s="1121"/>
      <c r="F265" s="1121"/>
      <c r="G265" s="1121"/>
      <c r="H265" s="1121"/>
    </row>
    <row r="266" spans="3:8">
      <c r="C266" s="1121"/>
      <c r="D266" s="1121"/>
      <c r="E266" s="1121"/>
      <c r="F266" s="1121"/>
      <c r="G266" s="1121"/>
      <c r="H266" s="1121"/>
    </row>
    <row r="267" spans="3:8">
      <c r="C267" s="1121"/>
      <c r="D267" s="1121"/>
      <c r="E267" s="1121"/>
      <c r="F267" s="1121"/>
      <c r="G267" s="1121"/>
      <c r="H267" s="1121"/>
    </row>
    <row r="268" spans="3:8">
      <c r="C268" s="1121"/>
      <c r="D268" s="1121"/>
      <c r="E268" s="1121"/>
      <c r="F268" s="1121"/>
      <c r="G268" s="1121"/>
      <c r="H268" s="1121"/>
    </row>
    <row r="269" spans="3:8">
      <c r="C269" s="1121"/>
      <c r="D269" s="1121"/>
      <c r="E269" s="1121"/>
      <c r="F269" s="1121"/>
      <c r="G269" s="1121"/>
      <c r="H269" s="1121"/>
    </row>
    <row r="270" spans="3:8">
      <c r="C270" s="1121"/>
      <c r="D270" s="1121"/>
      <c r="E270" s="1121"/>
      <c r="F270" s="1121"/>
      <c r="G270" s="1121"/>
      <c r="H270" s="1121"/>
    </row>
    <row r="271" spans="3:8">
      <c r="C271" s="1121"/>
      <c r="D271" s="1121"/>
      <c r="E271" s="1121"/>
      <c r="F271" s="1121"/>
      <c r="G271" s="1121"/>
      <c r="H271" s="1121"/>
    </row>
    <row r="272" spans="3:8">
      <c r="C272" s="1121"/>
      <c r="D272" s="1121"/>
      <c r="E272" s="1121"/>
      <c r="F272" s="1121"/>
      <c r="G272" s="1121"/>
      <c r="H272" s="1121"/>
    </row>
    <row r="273" spans="3:8">
      <c r="C273" s="1121"/>
      <c r="D273" s="1121"/>
      <c r="E273" s="1121"/>
      <c r="F273" s="1121"/>
      <c r="G273" s="1121"/>
      <c r="H273" s="1121"/>
    </row>
    <row r="274" spans="3:8">
      <c r="C274" s="1121"/>
      <c r="D274" s="1121"/>
      <c r="E274" s="1121"/>
      <c r="F274" s="1121"/>
      <c r="G274" s="1121"/>
      <c r="H274" s="1121"/>
    </row>
    <row r="275" spans="3:8">
      <c r="C275" s="1121"/>
      <c r="D275" s="1121"/>
      <c r="E275" s="1121"/>
      <c r="F275" s="1121"/>
      <c r="G275" s="1121"/>
      <c r="H275" s="1121"/>
    </row>
    <row r="276" spans="3:8">
      <c r="C276" s="1121"/>
      <c r="D276" s="1121"/>
      <c r="E276" s="1121"/>
      <c r="F276" s="1121"/>
      <c r="G276" s="1121"/>
      <c r="H276" s="1121"/>
    </row>
    <row r="277" spans="3:8">
      <c r="C277" s="1121"/>
      <c r="D277" s="1121"/>
      <c r="E277" s="1121"/>
      <c r="F277" s="1121"/>
      <c r="G277" s="1121"/>
      <c r="H277" s="1121"/>
    </row>
    <row r="278" spans="3:8">
      <c r="C278" s="1121"/>
      <c r="D278" s="1121"/>
      <c r="E278" s="1121"/>
      <c r="F278" s="1121"/>
      <c r="G278" s="1121"/>
      <c r="H278" s="1121"/>
    </row>
    <row r="279" spans="3:8">
      <c r="C279" s="1121"/>
      <c r="D279" s="1121"/>
      <c r="E279" s="1121"/>
      <c r="F279" s="1121"/>
      <c r="G279" s="1121"/>
      <c r="H279" s="1121"/>
    </row>
    <row r="280" spans="3:8">
      <c r="C280" s="1121"/>
      <c r="D280" s="1121"/>
      <c r="E280" s="1121"/>
      <c r="F280" s="1121"/>
      <c r="G280" s="1121"/>
      <c r="H280" s="1121"/>
    </row>
    <row r="281" spans="3:8">
      <c r="C281" s="1121"/>
      <c r="D281" s="1121"/>
      <c r="E281" s="1121"/>
      <c r="F281" s="1121"/>
      <c r="G281" s="1121"/>
      <c r="H281" s="1121"/>
    </row>
    <row r="282" spans="3:8">
      <c r="C282" s="1121"/>
      <c r="D282" s="1121"/>
      <c r="E282" s="1121"/>
      <c r="F282" s="1121"/>
      <c r="G282" s="1121"/>
      <c r="H282" s="1121"/>
    </row>
    <row r="283" spans="3:8">
      <c r="C283" s="1121"/>
      <c r="D283" s="1121"/>
      <c r="E283" s="1121"/>
      <c r="F283" s="1121"/>
      <c r="G283" s="1121"/>
      <c r="H283" s="1121"/>
    </row>
    <row r="284" spans="3:8">
      <c r="C284" s="1121"/>
      <c r="D284" s="1121"/>
      <c r="E284" s="1121"/>
      <c r="F284" s="1121"/>
      <c r="G284" s="1121"/>
      <c r="H284" s="1121"/>
    </row>
    <row r="285" spans="3:8">
      <c r="C285" s="1121"/>
      <c r="D285" s="1121"/>
      <c r="E285" s="1121"/>
      <c r="F285" s="1121"/>
      <c r="G285" s="1121"/>
      <c r="H285" s="1121"/>
    </row>
    <row r="286" spans="3:8">
      <c r="C286" s="1121"/>
      <c r="D286" s="1121"/>
      <c r="E286" s="1121"/>
      <c r="F286" s="1121"/>
      <c r="G286" s="1121"/>
      <c r="H286" s="1121"/>
    </row>
    <row r="287" spans="3:8">
      <c r="C287" s="1121"/>
      <c r="D287" s="1121"/>
      <c r="E287" s="1121"/>
      <c r="F287" s="1121"/>
      <c r="G287" s="1121"/>
      <c r="H287" s="1121"/>
    </row>
    <row r="288" spans="3:8">
      <c r="C288" s="1121"/>
      <c r="D288" s="1121"/>
      <c r="E288" s="1121"/>
      <c r="F288" s="1121"/>
      <c r="G288" s="1121"/>
      <c r="H288" s="1121"/>
    </row>
    <row r="289" spans="3:8">
      <c r="C289" s="1121"/>
      <c r="D289" s="1121"/>
      <c r="E289" s="1121"/>
      <c r="F289" s="1121"/>
      <c r="G289" s="1121"/>
      <c r="H289" s="1121"/>
    </row>
    <row r="290" spans="3:8">
      <c r="C290" s="1121"/>
      <c r="D290" s="1121"/>
      <c r="E290" s="1121"/>
      <c r="F290" s="1121"/>
      <c r="G290" s="1121"/>
      <c r="H290" s="1121"/>
    </row>
    <row r="291" spans="3:8">
      <c r="C291" s="1121"/>
      <c r="D291" s="1121"/>
      <c r="E291" s="1121"/>
      <c r="F291" s="1121"/>
      <c r="G291" s="1121"/>
      <c r="H291" s="1121"/>
    </row>
    <row r="292" spans="3:8">
      <c r="C292" s="1121"/>
      <c r="D292" s="1121"/>
      <c r="E292" s="1121"/>
      <c r="F292" s="1121"/>
      <c r="G292" s="1121"/>
      <c r="H292" s="1121"/>
    </row>
    <row r="293" spans="3:8">
      <c r="C293" s="1121"/>
      <c r="D293" s="1121"/>
      <c r="E293" s="1121"/>
      <c r="F293" s="1121"/>
      <c r="G293" s="1121"/>
      <c r="H293" s="1121"/>
    </row>
    <row r="294" spans="3:8">
      <c r="C294" s="1121"/>
      <c r="D294" s="1121"/>
      <c r="E294" s="1121"/>
      <c r="F294" s="1121"/>
      <c r="G294" s="1121"/>
      <c r="H294" s="1121"/>
    </row>
    <row r="295" spans="3:8">
      <c r="C295" s="1121"/>
      <c r="D295" s="1121"/>
      <c r="E295" s="1121"/>
      <c r="F295" s="1121"/>
      <c r="G295" s="1121"/>
      <c r="H295" s="1121"/>
    </row>
    <row r="296" spans="3:8">
      <c r="C296" s="1121"/>
      <c r="D296" s="1121"/>
      <c r="E296" s="1121"/>
      <c r="F296" s="1121"/>
      <c r="G296" s="1121"/>
      <c r="H296" s="1121"/>
    </row>
    <row r="297" spans="3:8">
      <c r="C297" s="1121"/>
      <c r="D297" s="1121"/>
      <c r="E297" s="1121"/>
      <c r="F297" s="1121"/>
      <c r="G297" s="1121"/>
      <c r="H297" s="1121"/>
    </row>
    <row r="298" spans="3:8">
      <c r="C298" s="1121"/>
      <c r="D298" s="1121"/>
      <c r="E298" s="1121"/>
      <c r="F298" s="1121"/>
      <c r="G298" s="1121"/>
      <c r="H298" s="1121"/>
    </row>
    <row r="299" spans="3:8">
      <c r="C299" s="1121"/>
      <c r="D299" s="1121"/>
      <c r="E299" s="1121"/>
      <c r="F299" s="1121"/>
      <c r="G299" s="1121"/>
      <c r="H299" s="1121"/>
    </row>
    <row r="300" spans="3:8">
      <c r="C300" s="1121"/>
      <c r="D300" s="1121"/>
      <c r="E300" s="1121"/>
      <c r="F300" s="1121"/>
      <c r="G300" s="1121"/>
      <c r="H300" s="1121"/>
    </row>
    <row r="301" spans="3:8">
      <c r="C301" s="1121"/>
      <c r="D301" s="1121"/>
      <c r="E301" s="1121"/>
      <c r="F301" s="1121"/>
      <c r="G301" s="1121"/>
      <c r="H301" s="1121"/>
    </row>
    <row r="302" spans="3:8">
      <c r="C302" s="1121"/>
      <c r="D302" s="1121"/>
      <c r="E302" s="1121"/>
      <c r="F302" s="1121"/>
      <c r="G302" s="1121"/>
      <c r="H302" s="1121"/>
    </row>
    <row r="303" spans="3:8">
      <c r="C303" s="1121"/>
      <c r="D303" s="1121"/>
      <c r="E303" s="1121"/>
      <c r="F303" s="1121"/>
      <c r="G303" s="1121"/>
      <c r="H303" s="1121"/>
    </row>
    <row r="304" spans="3:8">
      <c r="C304" s="1121"/>
      <c r="D304" s="1121"/>
      <c r="E304" s="1121"/>
      <c r="F304" s="1121"/>
      <c r="G304" s="1121"/>
      <c r="H304" s="1121"/>
    </row>
    <row r="305" spans="3:8">
      <c r="C305" s="1121"/>
      <c r="D305" s="1121"/>
      <c r="E305" s="1121"/>
      <c r="F305" s="1121"/>
      <c r="G305" s="1121"/>
      <c r="H305" s="1121"/>
    </row>
    <row r="306" spans="3:8">
      <c r="C306" s="1121"/>
      <c r="D306" s="1121"/>
      <c r="E306" s="1121"/>
      <c r="F306" s="1121"/>
      <c r="G306" s="1121"/>
      <c r="H306" s="1121"/>
    </row>
    <row r="307" spans="3:8">
      <c r="C307" s="1121"/>
      <c r="D307" s="1121"/>
      <c r="E307" s="1121"/>
      <c r="F307" s="1121"/>
      <c r="G307" s="1121"/>
      <c r="H307" s="1121"/>
    </row>
    <row r="308" spans="3:8">
      <c r="C308" s="1121"/>
      <c r="D308" s="1121"/>
      <c r="E308" s="1121"/>
      <c r="F308" s="1121"/>
      <c r="G308" s="1121"/>
      <c r="H308" s="1121"/>
    </row>
    <row r="309" spans="3:8">
      <c r="C309" s="1121"/>
      <c r="D309" s="1121"/>
      <c r="E309" s="1121"/>
      <c r="F309" s="1121"/>
      <c r="G309" s="1121"/>
      <c r="H309" s="1121"/>
    </row>
    <row r="310" spans="3:8">
      <c r="C310" s="1121"/>
      <c r="D310" s="1121"/>
      <c r="E310" s="1121"/>
      <c r="F310" s="1121"/>
      <c r="G310" s="1121"/>
      <c r="H310" s="1121"/>
    </row>
    <row r="311" spans="3:8">
      <c r="C311" s="1121"/>
      <c r="D311" s="1121"/>
      <c r="E311" s="1121"/>
      <c r="F311" s="1121"/>
      <c r="G311" s="1121"/>
      <c r="H311" s="1121"/>
    </row>
    <row r="312" spans="3:8">
      <c r="C312" s="1121"/>
      <c r="D312" s="1121"/>
      <c r="E312" s="1121"/>
      <c r="F312" s="1121"/>
      <c r="G312" s="1121"/>
      <c r="H312" s="1121"/>
    </row>
    <row r="313" spans="3:8">
      <c r="C313" s="1121"/>
      <c r="D313" s="1121"/>
      <c r="E313" s="1121"/>
      <c r="F313" s="1121"/>
      <c r="G313" s="1121"/>
      <c r="H313" s="1121"/>
    </row>
    <row r="314" spans="3:8">
      <c r="C314" s="1121"/>
      <c r="D314" s="1121"/>
      <c r="E314" s="1121"/>
      <c r="F314" s="1121"/>
      <c r="G314" s="1121"/>
      <c r="H314" s="1121"/>
    </row>
    <row r="315" spans="3:8">
      <c r="C315" s="1121"/>
      <c r="D315" s="1121"/>
      <c r="E315" s="1121"/>
      <c r="F315" s="1121"/>
      <c r="G315" s="1121"/>
      <c r="H315" s="1121"/>
    </row>
    <row r="316" spans="3:8">
      <c r="C316" s="1121"/>
      <c r="D316" s="1121"/>
      <c r="E316" s="1121"/>
      <c r="F316" s="1121"/>
      <c r="G316" s="1121"/>
      <c r="H316" s="1121"/>
    </row>
    <row r="317" spans="3:8">
      <c r="C317" s="1121"/>
      <c r="D317" s="1121"/>
      <c r="E317" s="1121"/>
      <c r="F317" s="1121"/>
      <c r="G317" s="1121"/>
      <c r="H317" s="1121"/>
    </row>
    <row r="318" spans="3:8">
      <c r="C318" s="1121"/>
      <c r="D318" s="1121"/>
      <c r="E318" s="1121"/>
      <c r="F318" s="1121"/>
      <c r="G318" s="1121"/>
      <c r="H318" s="1121"/>
    </row>
    <row r="319" spans="3:8">
      <c r="C319" s="1121"/>
      <c r="D319" s="1121"/>
      <c r="E319" s="1121"/>
      <c r="F319" s="1121"/>
      <c r="G319" s="1121"/>
      <c r="H319" s="1121"/>
    </row>
    <row r="320" spans="3:8">
      <c r="C320" s="1121"/>
      <c r="D320" s="1121"/>
      <c r="E320" s="1121"/>
      <c r="F320" s="1121"/>
      <c r="G320" s="1121"/>
      <c r="H320" s="1121"/>
    </row>
    <row r="321" spans="3:8">
      <c r="C321" s="1121"/>
      <c r="D321" s="1121"/>
      <c r="E321" s="1121"/>
      <c r="F321" s="1121"/>
      <c r="G321" s="1121"/>
      <c r="H321" s="1121"/>
    </row>
    <row r="322" spans="3:8">
      <c r="C322" s="1121"/>
      <c r="D322" s="1121"/>
      <c r="E322" s="1121"/>
      <c r="F322" s="1121"/>
      <c r="G322" s="1121"/>
      <c r="H322" s="1121"/>
    </row>
    <row r="323" spans="3:8">
      <c r="C323" s="1121"/>
      <c r="D323" s="1121"/>
      <c r="E323" s="1121"/>
      <c r="F323" s="1121"/>
      <c r="G323" s="1121"/>
      <c r="H323" s="1121"/>
    </row>
    <row r="324" spans="3:8">
      <c r="C324" s="1121"/>
      <c r="D324" s="1121"/>
      <c r="E324" s="1121"/>
      <c r="F324" s="1121"/>
      <c r="G324" s="1121"/>
      <c r="H324" s="1121"/>
    </row>
    <row r="325" spans="3:8">
      <c r="C325" s="1121"/>
      <c r="D325" s="1121"/>
      <c r="E325" s="1121"/>
      <c r="F325" s="1121"/>
      <c r="G325" s="1121"/>
      <c r="H325" s="1121"/>
    </row>
    <row r="326" spans="3:8">
      <c r="C326" s="1121"/>
      <c r="D326" s="1121"/>
      <c r="E326" s="1121"/>
      <c r="F326" s="1121"/>
      <c r="G326" s="1121"/>
      <c r="H326" s="1121"/>
    </row>
    <row r="327" spans="3:8">
      <c r="C327" s="1121"/>
      <c r="D327" s="1121"/>
      <c r="E327" s="1121"/>
      <c r="F327" s="1121"/>
      <c r="G327" s="1121"/>
      <c r="H327" s="1121"/>
    </row>
    <row r="328" spans="3:8">
      <c r="C328" s="1121"/>
      <c r="D328" s="1121"/>
      <c r="E328" s="1121"/>
      <c r="F328" s="1121"/>
      <c r="G328" s="1121"/>
      <c r="H328" s="1121"/>
    </row>
    <row r="329" spans="3:8">
      <c r="C329" s="1121"/>
      <c r="D329" s="1121"/>
      <c r="E329" s="1121"/>
      <c r="F329" s="1121"/>
      <c r="G329" s="1121"/>
      <c r="H329" s="1121"/>
    </row>
  </sheetData>
  <sheetProtection selectLockedCells="1" selectUnlockedCells="1"/>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74"/>
  <sheetViews>
    <sheetView workbookViewId="0">
      <selection activeCell="C3" sqref="C3"/>
    </sheetView>
  </sheetViews>
  <sheetFormatPr defaultColWidth="9.375" defaultRowHeight="10.8"/>
  <cols>
    <col min="1" max="1" width="7.5" style="990" customWidth="1"/>
    <col min="2" max="2" width="31.625" style="990" customWidth="1"/>
    <col min="3" max="3" width="9" style="990" customWidth="1"/>
    <col min="4" max="4" width="14.5" style="990" bestFit="1" customWidth="1"/>
    <col min="5" max="7" width="15" style="990" bestFit="1" customWidth="1"/>
    <col min="8" max="8" width="14.5" style="990" bestFit="1" customWidth="1"/>
    <col min="9" max="11" width="9.375" style="990"/>
    <col min="12" max="12" width="10" style="990" bestFit="1" customWidth="1"/>
    <col min="13" max="13" width="9.375" style="990"/>
    <col min="14" max="14" width="10" style="990" bestFit="1" customWidth="1"/>
    <col min="15" max="16384" width="9.375" style="990"/>
  </cols>
  <sheetData>
    <row r="1" spans="1:14">
      <c r="B1" s="791" t="s">
        <v>1596</v>
      </c>
      <c r="C1" s="996" t="str">
        <f>CONCATENATE(N7,"-12-","31")</f>
        <v>2017-12-31</v>
      </c>
      <c r="D1" s="996" t="str">
        <f>CONCATENATE(N6,"-12-","31")</f>
        <v>2018-12-31</v>
      </c>
      <c r="E1" s="996" t="str">
        <f>CONCATENATE(N5,"-12-","31")</f>
        <v>2019-12-31</v>
      </c>
      <c r="F1" s="996" t="str">
        <f>CONCATENATE(N4,"-12-","31")</f>
        <v>2020-12-31</v>
      </c>
      <c r="G1" s="996" t="str">
        <f>CONCATENATE(N3,"-12-","31")</f>
        <v>2021-12-31</v>
      </c>
      <c r="H1" s="996" t="str">
        <f>CONCATENATE(N2,"-12-","31")</f>
        <v>2022-12-31</v>
      </c>
    </row>
    <row r="2" spans="1:14">
      <c r="B2" s="990" t="str">
        <f>IF(IFERROR(FIND(".",目录!C6,1),0)&gt;0,UPPER(目录!C6),IF(MID(目录!C6,1,1)="6",目录!C6&amp;".SH",目录!C6&amp;".SZ"))</f>
        <v>300737.SZ</v>
      </c>
      <c r="L2" s="990">
        <f>数据输入!L2</f>
        <v>101</v>
      </c>
      <c r="N2" s="991">
        <f>YEAR(目录!C7)</f>
        <v>2022</v>
      </c>
    </row>
    <row r="3" spans="1:14">
      <c r="B3" s="1004" t="s">
        <v>1727</v>
      </c>
      <c r="C3" s="994">
        <v>1989323889.27</v>
      </c>
      <c r="D3" s="990">
        <v>2773455280.71</v>
      </c>
      <c r="E3" s="990">
        <v>4438917456.9700003</v>
      </c>
      <c r="F3" s="990">
        <v>5571507848.1400003</v>
      </c>
      <c r="G3" s="990">
        <v>6866585389.1599998</v>
      </c>
      <c r="H3" s="990">
        <v>7593636937.3299999</v>
      </c>
      <c r="L3" s="597" t="s">
        <v>1727</v>
      </c>
      <c r="N3" s="989">
        <f>N2-1</f>
        <v>2021</v>
      </c>
    </row>
    <row r="4" spans="1:14">
      <c r="A4" s="989"/>
      <c r="B4" s="1004" t="s">
        <v>1733</v>
      </c>
      <c r="C4" s="990">
        <v>0</v>
      </c>
      <c r="D4" s="990">
        <v>0</v>
      </c>
      <c r="E4" s="990">
        <v>0</v>
      </c>
      <c r="F4" s="990">
        <v>0</v>
      </c>
      <c r="G4" s="990">
        <v>0</v>
      </c>
      <c r="H4" s="990">
        <v>0</v>
      </c>
      <c r="L4" s="597" t="s">
        <v>1733</v>
      </c>
      <c r="N4" s="989">
        <f t="shared" ref="N4:N7" si="0">N3-1</f>
        <v>2020</v>
      </c>
    </row>
    <row r="5" spans="1:14">
      <c r="A5" s="989"/>
      <c r="B5" s="1004" t="s">
        <v>1734</v>
      </c>
      <c r="C5" s="990">
        <v>13303009.220000001</v>
      </c>
      <c r="D5" s="990">
        <v>27352720.969999999</v>
      </c>
      <c r="E5" s="990">
        <v>74817096.219999999</v>
      </c>
      <c r="F5" s="990">
        <v>159477442.06</v>
      </c>
      <c r="G5" s="990">
        <v>173696211.68000001</v>
      </c>
      <c r="H5" s="990">
        <v>224424737.63</v>
      </c>
      <c r="L5" s="597" t="s">
        <v>1734</v>
      </c>
      <c r="N5" s="989">
        <f t="shared" si="0"/>
        <v>2019</v>
      </c>
    </row>
    <row r="6" spans="1:14">
      <c r="A6" s="989"/>
      <c r="B6" s="1004" t="s">
        <v>1735</v>
      </c>
      <c r="C6" s="990">
        <v>2002626898.49</v>
      </c>
      <c r="D6" s="990">
        <v>2800808001.6799998</v>
      </c>
      <c r="E6" s="990">
        <v>4513734553.1899996</v>
      </c>
      <c r="F6" s="990">
        <v>5730985290.1999998</v>
      </c>
      <c r="G6" s="990">
        <v>7040281600.8400002</v>
      </c>
      <c r="H6" s="990">
        <v>7818061674.96</v>
      </c>
      <c r="L6" s="597" t="s">
        <v>1735</v>
      </c>
      <c r="N6" s="989">
        <f t="shared" si="0"/>
        <v>2018</v>
      </c>
    </row>
    <row r="7" spans="1:14">
      <c r="A7" s="989"/>
      <c r="B7" s="1004" t="s">
        <v>1738</v>
      </c>
      <c r="C7" s="990">
        <v>1270267254.48</v>
      </c>
      <c r="D7" s="990">
        <v>1987529924.75</v>
      </c>
      <c r="E7" s="990">
        <v>3199326210.1399999</v>
      </c>
      <c r="F7" s="990">
        <v>3967612377.5700002</v>
      </c>
      <c r="G7" s="990">
        <v>4747631379.1899996</v>
      </c>
      <c r="H7" s="990">
        <v>6083322577.7700005</v>
      </c>
      <c r="L7" s="597" t="s">
        <v>1738</v>
      </c>
      <c r="N7" s="989">
        <f t="shared" si="0"/>
        <v>2017</v>
      </c>
    </row>
    <row r="8" spans="1:14">
      <c r="A8" s="989"/>
      <c r="B8" s="1004" t="s">
        <v>1739</v>
      </c>
      <c r="C8" s="990">
        <v>214692735.11000001</v>
      </c>
      <c r="D8" s="990">
        <v>301316066.85000002</v>
      </c>
      <c r="E8" s="990">
        <v>411479930.75</v>
      </c>
      <c r="F8" s="990">
        <v>485362753.68000001</v>
      </c>
      <c r="G8" s="990">
        <v>655399201.52999997</v>
      </c>
      <c r="H8" s="990">
        <v>685352473.75</v>
      </c>
      <c r="L8" s="597" t="s">
        <v>1739</v>
      </c>
    </row>
    <row r="9" spans="1:14">
      <c r="A9" s="989"/>
      <c r="B9" s="1004" t="s">
        <v>1740</v>
      </c>
      <c r="C9" s="990">
        <v>180946014.81999999</v>
      </c>
      <c r="D9" s="990">
        <v>174888078.50999999</v>
      </c>
      <c r="E9" s="990">
        <v>333063279.89999998</v>
      </c>
      <c r="F9" s="990">
        <v>486022130.88999999</v>
      </c>
      <c r="G9" s="990">
        <v>416484809.63</v>
      </c>
      <c r="H9" s="990">
        <v>316563398.58999997</v>
      </c>
      <c r="L9" s="597" t="s">
        <v>1740</v>
      </c>
    </row>
    <row r="10" spans="1:14">
      <c r="A10" s="989"/>
      <c r="B10" s="1004" t="s">
        <v>1741</v>
      </c>
      <c r="C10" s="990">
        <v>236290603.22</v>
      </c>
      <c r="D10" s="990">
        <v>535535890.61000001</v>
      </c>
      <c r="E10" s="990">
        <v>395154407.05000001</v>
      </c>
      <c r="F10" s="990">
        <v>239807747.75</v>
      </c>
      <c r="G10" s="990">
        <v>609631643.14999998</v>
      </c>
      <c r="H10" s="990">
        <v>497525376.62</v>
      </c>
      <c r="L10" s="597" t="s">
        <v>1741</v>
      </c>
    </row>
    <row r="11" spans="1:14">
      <c r="A11" s="989"/>
      <c r="B11" s="1004" t="s">
        <v>1742</v>
      </c>
      <c r="C11" s="990">
        <v>1902196607.6300001</v>
      </c>
      <c r="D11" s="990">
        <v>2999269960.7199998</v>
      </c>
      <c r="E11" s="990">
        <v>4339023827.8400002</v>
      </c>
      <c r="F11" s="990">
        <v>5178805009.8800001</v>
      </c>
      <c r="G11" s="990">
        <v>6429147033.5</v>
      </c>
      <c r="H11" s="990">
        <v>7582763826.7299995</v>
      </c>
      <c r="L11" s="597" t="s">
        <v>1742</v>
      </c>
    </row>
    <row r="12" spans="1:14">
      <c r="A12" s="989"/>
      <c r="B12" s="1004" t="s">
        <v>1743</v>
      </c>
      <c r="C12" s="990">
        <v>100430290.86</v>
      </c>
      <c r="D12" s="990">
        <v>-198461959.03999999</v>
      </c>
      <c r="E12" s="990">
        <v>174710725.34</v>
      </c>
      <c r="F12" s="990">
        <v>552180280.32000005</v>
      </c>
      <c r="G12" s="990">
        <v>611134567.34000003</v>
      </c>
      <c r="H12" s="990">
        <v>235297848.22999999</v>
      </c>
      <c r="L12" s="597" t="s">
        <v>1743</v>
      </c>
    </row>
    <row r="13" spans="1:14">
      <c r="A13" s="989"/>
      <c r="B13" s="1004"/>
      <c r="C13" s="990">
        <v>0</v>
      </c>
      <c r="D13" s="990">
        <v>0</v>
      </c>
      <c r="E13" s="990">
        <v>0</v>
      </c>
      <c r="F13" s="990">
        <v>0</v>
      </c>
      <c r="G13" s="990">
        <v>0</v>
      </c>
      <c r="H13" s="990">
        <v>0</v>
      </c>
      <c r="L13" s="597"/>
    </row>
    <row r="14" spans="1:14">
      <c r="A14" s="989"/>
      <c r="B14" s="1004" t="s">
        <v>1744</v>
      </c>
      <c r="C14" s="990">
        <v>60000000</v>
      </c>
      <c r="D14" s="990">
        <v>1534000000</v>
      </c>
      <c r="E14" s="990">
        <v>1024035917.41</v>
      </c>
      <c r="F14" s="990">
        <v>504769858.79000002</v>
      </c>
      <c r="G14" s="990">
        <v>438300000</v>
      </c>
      <c r="H14" s="990">
        <v>164581110.03</v>
      </c>
      <c r="L14" s="597" t="s">
        <v>1744</v>
      </c>
    </row>
    <row r="15" spans="1:14">
      <c r="A15" s="989"/>
      <c r="B15" s="1004" t="s">
        <v>1745</v>
      </c>
      <c r="C15" s="990">
        <v>554601.37</v>
      </c>
      <c r="D15" s="990">
        <v>19269022.91</v>
      </c>
      <c r="E15" s="990">
        <v>31904739.59</v>
      </c>
      <c r="F15" s="990">
        <v>3101981.53</v>
      </c>
      <c r="G15" s="990">
        <v>2768024.81</v>
      </c>
      <c r="H15" s="990">
        <v>23613739.859999999</v>
      </c>
      <c r="L15" s="597" t="s">
        <v>1745</v>
      </c>
    </row>
    <row r="16" spans="1:14">
      <c r="A16" s="989"/>
      <c r="B16" s="1004" t="s">
        <v>1746</v>
      </c>
      <c r="C16" s="990">
        <v>307968.68</v>
      </c>
      <c r="D16" s="990">
        <v>4775653.43</v>
      </c>
      <c r="E16" s="990">
        <v>318833.34000000003</v>
      </c>
      <c r="F16" s="990">
        <v>12111459.869999999</v>
      </c>
      <c r="G16" s="990">
        <v>5619966.3899999997</v>
      </c>
      <c r="H16" s="990">
        <v>14857329.130000001</v>
      </c>
      <c r="L16" s="597" t="s">
        <v>1746</v>
      </c>
    </row>
    <row r="17" spans="1:12">
      <c r="A17" s="989"/>
      <c r="B17" s="1004" t="s">
        <v>1747</v>
      </c>
      <c r="C17" s="990">
        <v>0</v>
      </c>
      <c r="D17" s="990">
        <v>0</v>
      </c>
      <c r="E17" s="990">
        <v>0</v>
      </c>
      <c r="F17" s="990">
        <v>0</v>
      </c>
      <c r="G17" s="990">
        <v>0</v>
      </c>
      <c r="H17" s="990">
        <v>0</v>
      </c>
      <c r="L17" s="597" t="s">
        <v>1747</v>
      </c>
    </row>
    <row r="18" spans="1:12">
      <c r="A18" s="989"/>
      <c r="B18" s="1004" t="s">
        <v>1748</v>
      </c>
      <c r="C18" s="990">
        <v>0</v>
      </c>
      <c r="D18" s="990">
        <v>0</v>
      </c>
      <c r="E18" s="990">
        <v>0</v>
      </c>
      <c r="F18" s="990">
        <v>32452400</v>
      </c>
      <c r="G18" s="990">
        <v>0</v>
      </c>
      <c r="H18" s="990">
        <v>1671600.03</v>
      </c>
      <c r="L18" s="597" t="s">
        <v>1748</v>
      </c>
    </row>
    <row r="19" spans="1:12">
      <c r="A19" s="989"/>
      <c r="B19" s="1004" t="s">
        <v>1749</v>
      </c>
      <c r="C19" s="990">
        <v>60862570.049999997</v>
      </c>
      <c r="D19" s="990">
        <v>1558044676.3399999</v>
      </c>
      <c r="E19" s="990">
        <v>1056259490.34</v>
      </c>
      <c r="F19" s="990">
        <v>552435700.19000006</v>
      </c>
      <c r="G19" s="990">
        <v>446687991.19999999</v>
      </c>
      <c r="H19" s="990">
        <v>204723779.05000001</v>
      </c>
      <c r="L19" s="597" t="s">
        <v>1749</v>
      </c>
    </row>
    <row r="20" spans="1:12">
      <c r="A20" s="989"/>
      <c r="B20" s="1004" t="s">
        <v>1750</v>
      </c>
      <c r="C20" s="990">
        <v>186138197.52000001</v>
      </c>
      <c r="D20" s="990">
        <v>344597493.37</v>
      </c>
      <c r="E20" s="990">
        <v>502553113.70999998</v>
      </c>
      <c r="F20" s="990">
        <v>607056623.63999999</v>
      </c>
      <c r="G20" s="990">
        <v>421961938.06999999</v>
      </c>
      <c r="H20" s="990">
        <v>333639880.98000002</v>
      </c>
      <c r="L20" s="597" t="s">
        <v>1750</v>
      </c>
    </row>
    <row r="21" spans="1:12">
      <c r="A21" s="989"/>
      <c r="B21" s="1004" t="s">
        <v>1751</v>
      </c>
      <c r="C21" s="990">
        <v>30000000</v>
      </c>
      <c r="D21" s="990">
        <v>2168580000</v>
      </c>
      <c r="E21" s="990">
        <v>448000000</v>
      </c>
      <c r="F21" s="990">
        <v>780010000</v>
      </c>
      <c r="G21" s="990">
        <v>666300000</v>
      </c>
      <c r="H21" s="990">
        <v>139000016.15000001</v>
      </c>
      <c r="L21" s="597" t="s">
        <v>1751</v>
      </c>
    </row>
    <row r="22" spans="1:12">
      <c r="A22" s="989"/>
      <c r="B22" s="1004" t="s">
        <v>1752</v>
      </c>
      <c r="C22" s="990">
        <v>0</v>
      </c>
      <c r="D22" s="990">
        <v>0</v>
      </c>
      <c r="E22" s="990">
        <v>0</v>
      </c>
      <c r="F22" s="990">
        <v>0</v>
      </c>
      <c r="G22" s="990">
        <v>0</v>
      </c>
      <c r="H22" s="990">
        <v>66370665.479999997</v>
      </c>
      <c r="L22" s="597" t="s">
        <v>1752</v>
      </c>
    </row>
    <row r="23" spans="1:12">
      <c r="A23" s="989"/>
      <c r="B23" s="1004" t="s">
        <v>1753</v>
      </c>
      <c r="C23" s="990">
        <v>18072907.469999999</v>
      </c>
      <c r="D23" s="990">
        <v>0</v>
      </c>
      <c r="E23" s="990">
        <v>0</v>
      </c>
      <c r="F23" s="990">
        <v>47452400</v>
      </c>
      <c r="G23" s="990">
        <v>0</v>
      </c>
      <c r="H23" s="990">
        <v>0</v>
      </c>
      <c r="L23" s="597" t="s">
        <v>1753</v>
      </c>
    </row>
    <row r="24" spans="1:12">
      <c r="A24" s="989"/>
      <c r="B24" s="1004" t="s">
        <v>1754</v>
      </c>
      <c r="C24" s="990">
        <v>234211104.99000001</v>
      </c>
      <c r="D24" s="990">
        <v>2513177493.3699999</v>
      </c>
      <c r="E24" s="990">
        <v>950553113.71000004</v>
      </c>
      <c r="F24" s="990">
        <v>1434519023.6400001</v>
      </c>
      <c r="G24" s="990">
        <v>1088261938.0699999</v>
      </c>
      <c r="H24" s="990">
        <v>539010562.61000001</v>
      </c>
      <c r="L24" s="597" t="s">
        <v>1754</v>
      </c>
    </row>
    <row r="25" spans="1:12">
      <c r="A25" s="989"/>
      <c r="B25" s="1004" t="s">
        <v>1755</v>
      </c>
      <c r="C25" s="990">
        <v>-173348534.94</v>
      </c>
      <c r="D25" s="990">
        <v>-955132817.02999997</v>
      </c>
      <c r="E25" s="990">
        <v>105706376.63</v>
      </c>
      <c r="F25" s="990">
        <v>-882083323.45000005</v>
      </c>
      <c r="G25" s="990">
        <v>-641573946.87</v>
      </c>
      <c r="H25" s="990">
        <v>-334286783.56</v>
      </c>
      <c r="L25" s="597" t="s">
        <v>1755</v>
      </c>
    </row>
    <row r="26" spans="1:12">
      <c r="A26" s="989"/>
      <c r="B26" s="1004"/>
      <c r="C26" s="990">
        <v>0</v>
      </c>
      <c r="D26" s="990">
        <v>0</v>
      </c>
      <c r="E26" s="990">
        <v>0</v>
      </c>
      <c r="F26" s="990">
        <v>0</v>
      </c>
      <c r="G26" s="990">
        <v>0</v>
      </c>
      <c r="H26" s="990">
        <v>0</v>
      </c>
      <c r="L26" s="597"/>
    </row>
    <row r="27" spans="1:12">
      <c r="A27" s="989"/>
      <c r="B27" s="1004" t="s">
        <v>1756</v>
      </c>
      <c r="C27" s="990">
        <v>0</v>
      </c>
      <c r="D27" s="990">
        <v>1432250847.8199999</v>
      </c>
      <c r="E27" s="990">
        <v>0</v>
      </c>
      <c r="F27" s="990">
        <v>59067903</v>
      </c>
      <c r="G27" s="990">
        <v>283584109</v>
      </c>
      <c r="H27" s="990">
        <v>616183</v>
      </c>
      <c r="L27" s="597" t="s">
        <v>1756</v>
      </c>
    </row>
    <row r="28" spans="1:12">
      <c r="B28" s="1004" t="s">
        <v>1757</v>
      </c>
      <c r="C28" s="990">
        <v>0</v>
      </c>
      <c r="D28" s="990">
        <v>0</v>
      </c>
      <c r="E28" s="990">
        <v>0</v>
      </c>
      <c r="F28" s="990">
        <v>0</v>
      </c>
      <c r="G28" s="990">
        <v>0</v>
      </c>
      <c r="H28" s="990">
        <v>0</v>
      </c>
      <c r="L28" s="597" t="s">
        <v>1757</v>
      </c>
    </row>
    <row r="29" spans="1:12">
      <c r="B29" s="1004" t="s">
        <v>1758</v>
      </c>
      <c r="C29" s="990">
        <v>153000000</v>
      </c>
      <c r="D29" s="990">
        <v>595500000</v>
      </c>
      <c r="E29" s="990">
        <v>879500000</v>
      </c>
      <c r="F29" s="990">
        <v>1267395629.3800001</v>
      </c>
      <c r="G29" s="990">
        <v>1906042992.25</v>
      </c>
      <c r="H29" s="990">
        <v>1713364851.7</v>
      </c>
      <c r="L29" s="597" t="s">
        <v>1758</v>
      </c>
    </row>
    <row r="30" spans="1:12">
      <c r="B30" s="1004" t="s">
        <v>1759</v>
      </c>
      <c r="C30" s="990">
        <v>45628678.210000001</v>
      </c>
      <c r="D30" s="990">
        <v>125078666.23</v>
      </c>
      <c r="E30" s="990">
        <v>35285137.439999998</v>
      </c>
      <c r="F30" s="990">
        <v>416789389.85000002</v>
      </c>
      <c r="G30" s="990">
        <v>40136216.43</v>
      </c>
      <c r="H30" s="990">
        <v>84924493.060000002</v>
      </c>
      <c r="L30" s="597" t="s">
        <v>1759</v>
      </c>
    </row>
    <row r="31" spans="1:12">
      <c r="B31" s="1004" t="s">
        <v>1760</v>
      </c>
      <c r="C31" s="990">
        <v>0</v>
      </c>
      <c r="D31" s="990">
        <v>0</v>
      </c>
      <c r="E31" s="990">
        <v>0</v>
      </c>
      <c r="F31" s="990">
        <v>0</v>
      </c>
      <c r="G31" s="990">
        <v>0</v>
      </c>
      <c r="H31" s="990">
        <v>0</v>
      </c>
      <c r="L31" s="597" t="s">
        <v>1760</v>
      </c>
    </row>
    <row r="32" spans="1:12">
      <c r="B32" s="1004" t="s">
        <v>1761</v>
      </c>
      <c r="C32" s="990">
        <v>198628678.21000001</v>
      </c>
      <c r="D32" s="990">
        <v>2152829514.0500002</v>
      </c>
      <c r="E32" s="990">
        <v>914785137.44000006</v>
      </c>
      <c r="F32" s="990">
        <v>1743252922.23</v>
      </c>
      <c r="G32" s="990">
        <v>2229763317.6799998</v>
      </c>
      <c r="H32" s="990">
        <v>1798905527.76</v>
      </c>
      <c r="L32" s="597" t="s">
        <v>1761</v>
      </c>
    </row>
    <row r="33" spans="2:12">
      <c r="B33" s="1004" t="s">
        <v>1762</v>
      </c>
      <c r="C33" s="990">
        <v>66881252.880000003</v>
      </c>
      <c r="D33" s="990">
        <v>332881252.88</v>
      </c>
      <c r="E33" s="990">
        <v>726243042.66999996</v>
      </c>
      <c r="F33" s="990">
        <v>1029200000</v>
      </c>
      <c r="G33" s="990">
        <v>1211757629.8599999</v>
      </c>
      <c r="H33" s="990">
        <v>1494420408.4300001</v>
      </c>
      <c r="L33" s="597" t="s">
        <v>1762</v>
      </c>
    </row>
    <row r="34" spans="2:12">
      <c r="B34" s="1004" t="s">
        <v>1763</v>
      </c>
      <c r="C34" s="990">
        <v>40867154.490000002</v>
      </c>
      <c r="D34" s="990">
        <v>53534912.219999999</v>
      </c>
      <c r="E34" s="990">
        <v>59844387.200000003</v>
      </c>
      <c r="F34" s="990">
        <v>31013875.73</v>
      </c>
      <c r="G34" s="990">
        <v>147098571.84</v>
      </c>
      <c r="H34" s="990">
        <v>79145565.599999994</v>
      </c>
      <c r="L34" s="597" t="s">
        <v>1763</v>
      </c>
    </row>
    <row r="35" spans="2:12">
      <c r="B35" s="1004" t="s">
        <v>1764</v>
      </c>
      <c r="C35" s="990">
        <v>0</v>
      </c>
      <c r="D35" s="990">
        <v>0</v>
      </c>
      <c r="E35" s="990">
        <v>0</v>
      </c>
      <c r="F35" s="990">
        <v>0</v>
      </c>
      <c r="G35" s="990">
        <v>0</v>
      </c>
      <c r="H35" s="990">
        <v>0</v>
      </c>
      <c r="L35" s="597" t="s">
        <v>1764</v>
      </c>
    </row>
    <row r="36" spans="2:12">
      <c r="B36" s="1004" t="s">
        <v>1765</v>
      </c>
      <c r="C36" s="990">
        <v>142133046.41</v>
      </c>
      <c r="D36" s="990">
        <v>131812546.84</v>
      </c>
      <c r="E36" s="990">
        <v>178890209.13</v>
      </c>
      <c r="F36" s="990">
        <v>35014488</v>
      </c>
      <c r="G36" s="990">
        <v>220975824.25</v>
      </c>
      <c r="H36" s="990">
        <v>100162522.06999999</v>
      </c>
      <c r="L36" s="597" t="s">
        <v>1765</v>
      </c>
    </row>
    <row r="37" spans="2:12">
      <c r="B37" s="1004" t="s">
        <v>1766</v>
      </c>
      <c r="C37" s="990">
        <v>249881453.78</v>
      </c>
      <c r="D37" s="990">
        <v>518228711.94</v>
      </c>
      <c r="E37" s="990">
        <v>964977639</v>
      </c>
      <c r="F37" s="990">
        <v>1095228363.73</v>
      </c>
      <c r="G37" s="990">
        <v>1579832025.95</v>
      </c>
      <c r="H37" s="990">
        <v>1673728496.0999999</v>
      </c>
      <c r="L37" s="597" t="s">
        <v>1766</v>
      </c>
    </row>
    <row r="38" spans="2:12">
      <c r="B38" s="1004" t="s">
        <v>1767</v>
      </c>
      <c r="C38" s="990">
        <v>-51252775.57</v>
      </c>
      <c r="D38" s="990">
        <v>1634600802.1099999</v>
      </c>
      <c r="E38" s="990">
        <v>-50192501.560000002</v>
      </c>
      <c r="F38" s="990">
        <v>648024558.5</v>
      </c>
      <c r="G38" s="990">
        <v>649931291.73000002</v>
      </c>
      <c r="H38" s="990">
        <v>125177031.66</v>
      </c>
      <c r="L38" s="597" t="s">
        <v>1767</v>
      </c>
    </row>
    <row r="39" spans="2:12">
      <c r="B39" s="1004"/>
      <c r="C39" s="990">
        <v>0</v>
      </c>
      <c r="D39" s="990">
        <v>0</v>
      </c>
      <c r="E39" s="990">
        <v>0</v>
      </c>
      <c r="F39" s="990">
        <v>0</v>
      </c>
      <c r="G39" s="990">
        <v>0</v>
      </c>
      <c r="H39" s="990">
        <v>0</v>
      </c>
      <c r="L39" s="597"/>
    </row>
    <row r="40" spans="2:12">
      <c r="B40" s="1004" t="s">
        <v>1768</v>
      </c>
      <c r="C40" s="990">
        <v>0</v>
      </c>
      <c r="D40" s="990">
        <v>0</v>
      </c>
      <c r="E40" s="990">
        <v>-709571.42</v>
      </c>
      <c r="F40" s="990">
        <v>-336295.43</v>
      </c>
      <c r="G40" s="990">
        <v>277371.39</v>
      </c>
      <c r="H40" s="990">
        <v>4894685.24</v>
      </c>
      <c r="L40" s="597" t="s">
        <v>1768</v>
      </c>
    </row>
    <row r="41" spans="2:12">
      <c r="B41" s="1004" t="s">
        <v>1769</v>
      </c>
      <c r="C41" s="990">
        <v>-124171019.65000001</v>
      </c>
      <c r="D41" s="990">
        <v>481006026.04000002</v>
      </c>
      <c r="E41" s="990">
        <v>229515028.99000001</v>
      </c>
      <c r="F41" s="990">
        <v>317785219.94</v>
      </c>
      <c r="G41" s="990">
        <v>619769283.59000003</v>
      </c>
      <c r="H41" s="990">
        <v>31082781.57</v>
      </c>
      <c r="L41" s="597" t="s">
        <v>1769</v>
      </c>
    </row>
    <row r="42" spans="2:12">
      <c r="B42" s="1004" t="s">
        <v>1770</v>
      </c>
      <c r="C42" s="990">
        <v>351853676.60000002</v>
      </c>
      <c r="D42" s="990">
        <v>227682656.94999999</v>
      </c>
      <c r="E42" s="990">
        <v>708688682.99000001</v>
      </c>
      <c r="F42" s="990">
        <v>938203711.98000002</v>
      </c>
      <c r="G42" s="990">
        <v>1255988931.9200001</v>
      </c>
      <c r="H42" s="990">
        <v>1875758215.51</v>
      </c>
      <c r="L42" s="597" t="s">
        <v>1770</v>
      </c>
    </row>
    <row r="43" spans="2:12">
      <c r="B43" s="1004" t="s">
        <v>1771</v>
      </c>
      <c r="C43" s="990">
        <v>227682656.94999999</v>
      </c>
      <c r="D43" s="990">
        <v>708688682.99000001</v>
      </c>
      <c r="E43" s="990">
        <v>938203711.98000002</v>
      </c>
      <c r="F43" s="990">
        <v>1255988931.9200001</v>
      </c>
      <c r="G43" s="990">
        <v>1875758215.51</v>
      </c>
      <c r="H43" s="990">
        <v>1906840997.0799999</v>
      </c>
      <c r="L43" s="597" t="s">
        <v>1771</v>
      </c>
    </row>
    <row r="44" spans="2:12">
      <c r="B44" s="1004"/>
      <c r="C44" s="990">
        <v>0</v>
      </c>
      <c r="D44" s="990">
        <v>0</v>
      </c>
      <c r="E44" s="990">
        <v>0</v>
      </c>
      <c r="F44" s="990">
        <v>0</v>
      </c>
      <c r="G44" s="990">
        <v>0</v>
      </c>
      <c r="H44" s="990">
        <v>0</v>
      </c>
      <c r="L44" s="597"/>
    </row>
    <row r="45" spans="2:12">
      <c r="B45" s="1004"/>
      <c r="C45" s="990">
        <v>0</v>
      </c>
      <c r="D45" s="990">
        <v>0</v>
      </c>
      <c r="E45" s="990">
        <v>0</v>
      </c>
      <c r="F45" s="990">
        <v>0</v>
      </c>
      <c r="G45" s="990">
        <v>0</v>
      </c>
      <c r="H45" s="990">
        <v>0</v>
      </c>
      <c r="L45" s="597"/>
    </row>
    <row r="46" spans="2:12">
      <c r="B46" s="1004" t="s">
        <v>1772</v>
      </c>
      <c r="C46" s="990">
        <v>217437483.69999999</v>
      </c>
      <c r="D46" s="990">
        <v>185267247.31</v>
      </c>
      <c r="E46" s="990">
        <v>363361515.08999997</v>
      </c>
      <c r="F46" s="990">
        <v>890334135.37</v>
      </c>
      <c r="G46" s="990">
        <v>672619138.52999997</v>
      </c>
      <c r="H46" s="990">
        <v>177914758.41999999</v>
      </c>
      <c r="L46" s="597" t="s">
        <v>1772</v>
      </c>
    </row>
    <row r="47" spans="2:12">
      <c r="B47" s="1004" t="s">
        <v>1773</v>
      </c>
      <c r="C47" s="990">
        <v>29382289.420000002</v>
      </c>
      <c r="D47" s="990">
        <v>55363089.659999996</v>
      </c>
      <c r="E47" s="990">
        <v>118933633.91</v>
      </c>
      <c r="F47" s="990">
        <v>277603829.93000001</v>
      </c>
      <c r="G47" s="990">
        <v>275357935.47000003</v>
      </c>
      <c r="H47" s="990">
        <v>262042074.84</v>
      </c>
      <c r="L47" s="597" t="s">
        <v>1773</v>
      </c>
    </row>
    <row r="48" spans="2:12">
      <c r="B48" s="1004" t="s">
        <v>1774</v>
      </c>
      <c r="C48" s="990">
        <v>20968275.670000002</v>
      </c>
      <c r="D48" s="990">
        <v>38124107.509999998</v>
      </c>
      <c r="E48" s="990">
        <v>61575375.329999998</v>
      </c>
      <c r="F48" s="990">
        <v>94479129.459999993</v>
      </c>
      <c r="G48" s="990">
        <v>148868189.90000001</v>
      </c>
      <c r="H48" s="990">
        <v>192136877.38</v>
      </c>
      <c r="L48" s="597" t="s">
        <v>1774</v>
      </c>
    </row>
    <row r="49" spans="2:12">
      <c r="B49" s="1004" t="s">
        <v>1775</v>
      </c>
      <c r="C49" s="990">
        <v>2668274.96</v>
      </c>
      <c r="D49" s="990">
        <v>2951763.6</v>
      </c>
      <c r="E49" s="990">
        <v>3289646.27</v>
      </c>
      <c r="F49" s="990">
        <v>4262116.76</v>
      </c>
      <c r="G49" s="990">
        <v>4462466.26</v>
      </c>
      <c r="H49" s="990">
        <v>9828755.7699999996</v>
      </c>
      <c r="L49" s="597" t="s">
        <v>1775</v>
      </c>
    </row>
    <row r="50" spans="2:12">
      <c r="B50" s="1004" t="s">
        <v>1776</v>
      </c>
      <c r="C50" s="990">
        <v>591533.22</v>
      </c>
      <c r="D50" s="990">
        <v>553252.98</v>
      </c>
      <c r="E50" s="990">
        <v>819077.52</v>
      </c>
      <c r="F50" s="990">
        <v>2623963.27</v>
      </c>
      <c r="G50" s="990">
        <v>2273777.13</v>
      </c>
      <c r="H50" s="990">
        <v>1531922.37</v>
      </c>
      <c r="L50" s="597" t="s">
        <v>1776</v>
      </c>
    </row>
    <row r="51" spans="2:12">
      <c r="B51" s="1004" t="s">
        <v>1777</v>
      </c>
      <c r="C51" s="990">
        <v>0</v>
      </c>
      <c r="D51" s="990">
        <v>0</v>
      </c>
      <c r="E51" s="990">
        <v>0</v>
      </c>
      <c r="F51" s="990">
        <v>0</v>
      </c>
      <c r="G51" s="990">
        <v>0</v>
      </c>
      <c r="H51" s="990">
        <v>0</v>
      </c>
      <c r="L51" s="597" t="s">
        <v>1777</v>
      </c>
    </row>
    <row r="52" spans="2:12">
      <c r="B52" s="1004" t="s">
        <v>1778</v>
      </c>
      <c r="C52" s="990">
        <v>0</v>
      </c>
      <c r="D52" s="990">
        <v>0</v>
      </c>
      <c r="E52" s="990">
        <v>0</v>
      </c>
      <c r="F52" s="990">
        <v>0</v>
      </c>
      <c r="G52" s="990">
        <v>0</v>
      </c>
      <c r="H52" s="990">
        <v>0</v>
      </c>
      <c r="L52" s="597" t="s">
        <v>1778</v>
      </c>
    </row>
    <row r="53" spans="2:12">
      <c r="B53" s="1004" t="s">
        <v>1779</v>
      </c>
      <c r="C53" s="990">
        <v>658532.87</v>
      </c>
      <c r="D53" s="990">
        <v>-1573735.25</v>
      </c>
      <c r="E53" s="990">
        <v>1393595.7</v>
      </c>
      <c r="F53" s="990">
        <v>7659869.3300000001</v>
      </c>
      <c r="G53" s="990">
        <v>6492032.3499999996</v>
      </c>
      <c r="H53" s="990">
        <v>3341410.09</v>
      </c>
      <c r="L53" s="597" t="s">
        <v>1779</v>
      </c>
    </row>
    <row r="54" spans="2:12">
      <c r="B54" s="1004" t="s">
        <v>1780</v>
      </c>
      <c r="C54" s="990">
        <v>0</v>
      </c>
      <c r="D54" s="990">
        <v>0</v>
      </c>
      <c r="E54" s="990">
        <v>0</v>
      </c>
      <c r="F54" s="990">
        <v>0</v>
      </c>
      <c r="G54" s="990">
        <v>0</v>
      </c>
      <c r="H54" s="990">
        <v>390053.98</v>
      </c>
      <c r="L54" s="597" t="s">
        <v>1780</v>
      </c>
    </row>
    <row r="55" spans="2:12">
      <c r="B55" s="1004" t="s">
        <v>1781</v>
      </c>
      <c r="C55" s="990">
        <v>0</v>
      </c>
      <c r="D55" s="990">
        <v>-9925104.1600000001</v>
      </c>
      <c r="E55" s="990">
        <v>0</v>
      </c>
      <c r="F55" s="990">
        <v>-196372.22</v>
      </c>
      <c r="G55" s="990">
        <v>-8846.59</v>
      </c>
      <c r="H55" s="990">
        <v>-40805791.850000001</v>
      </c>
      <c r="L55" s="597" t="s">
        <v>1781</v>
      </c>
    </row>
    <row r="56" spans="2:12">
      <c r="B56" s="1004" t="s">
        <v>1782</v>
      </c>
      <c r="C56" s="990">
        <v>8931009.9399999995</v>
      </c>
      <c r="D56" s="990">
        <v>23183440.120000001</v>
      </c>
      <c r="E56" s="990">
        <v>32479917.469999999</v>
      </c>
      <c r="F56" s="990">
        <v>40948442.93</v>
      </c>
      <c r="G56" s="990">
        <v>54257942.009999998</v>
      </c>
      <c r="H56" s="990">
        <v>81759244.269999996</v>
      </c>
      <c r="L56" s="597" t="s">
        <v>1782</v>
      </c>
    </row>
    <row r="57" spans="2:12">
      <c r="B57" s="1004" t="s">
        <v>1783</v>
      </c>
      <c r="C57" s="990">
        <v>2355894.1</v>
      </c>
      <c r="D57" s="990">
        <v>-19269022.91</v>
      </c>
      <c r="E57" s="990">
        <v>-21979622.390000001</v>
      </c>
      <c r="F57" s="990">
        <v>27984675.469999999</v>
      </c>
      <c r="G57" s="990">
        <v>-6775080.46</v>
      </c>
      <c r="H57" s="990">
        <v>-22730202.960000001</v>
      </c>
      <c r="L57" s="597" t="s">
        <v>1783</v>
      </c>
    </row>
    <row r="58" spans="2:12">
      <c r="B58" s="1004" t="s">
        <v>1784</v>
      </c>
      <c r="C58" s="990">
        <v>-9887037.5399999991</v>
      </c>
      <c r="D58" s="990">
        <v>-23977269.73</v>
      </c>
      <c r="E58" s="990">
        <v>-50490564.689999998</v>
      </c>
      <c r="F58" s="990">
        <v>-61966418.740000002</v>
      </c>
      <c r="G58" s="990">
        <v>5028348.63</v>
      </c>
      <c r="H58" s="990">
        <v>-31366024.41</v>
      </c>
      <c r="L58" s="597" t="s">
        <v>1784</v>
      </c>
    </row>
    <row r="59" spans="2:12">
      <c r="B59" s="1004" t="s">
        <v>1785</v>
      </c>
      <c r="C59" s="990">
        <v>-76590</v>
      </c>
      <c r="D59" s="990">
        <v>1488765.62</v>
      </c>
      <c r="E59" s="990">
        <v>-1488765.62</v>
      </c>
      <c r="F59" s="990">
        <v>29455.83</v>
      </c>
      <c r="G59" s="990">
        <v>-28128.84</v>
      </c>
      <c r="H59" s="990">
        <v>14924643.51</v>
      </c>
      <c r="L59" s="597" t="s">
        <v>1785</v>
      </c>
    </row>
    <row r="60" spans="2:12">
      <c r="B60" s="1004" t="s">
        <v>1786</v>
      </c>
      <c r="C60" s="990">
        <v>-73469887.079999998</v>
      </c>
      <c r="D60" s="990">
        <v>-88057470.469999999</v>
      </c>
      <c r="E60" s="990">
        <v>-297197443.25</v>
      </c>
      <c r="F60" s="990">
        <v>-134897137.38</v>
      </c>
      <c r="G60" s="990">
        <v>-79760274</v>
      </c>
      <c r="H60" s="990">
        <v>-71357487.379999995</v>
      </c>
      <c r="L60" s="597" t="s">
        <v>1786</v>
      </c>
    </row>
    <row r="61" spans="2:12">
      <c r="B61" s="1004" t="s">
        <v>1787</v>
      </c>
      <c r="C61" s="990">
        <v>-515291828.24000001</v>
      </c>
      <c r="D61" s="990">
        <v>-1041403650.51</v>
      </c>
      <c r="E61" s="990">
        <v>-891077561.88</v>
      </c>
      <c r="F61" s="990">
        <v>-1396204946.22</v>
      </c>
      <c r="G61" s="990">
        <v>-1920145062.04</v>
      </c>
      <c r="H61" s="990">
        <v>-1115525583.29</v>
      </c>
      <c r="L61" s="597" t="s">
        <v>1787</v>
      </c>
    </row>
    <row r="62" spans="2:12">
      <c r="B62" s="1004" t="s">
        <v>1788</v>
      </c>
      <c r="C62" s="990">
        <v>416226087.99000001</v>
      </c>
      <c r="D62" s="990">
        <v>671038667.40999997</v>
      </c>
      <c r="E62" s="990">
        <v>833632968.72000003</v>
      </c>
      <c r="F62" s="990">
        <v>773147871.03999996</v>
      </c>
      <c r="G62" s="990">
        <v>1397165889.74</v>
      </c>
      <c r="H62" s="990">
        <v>728090388.91999996</v>
      </c>
      <c r="L62" s="597" t="s">
        <v>1788</v>
      </c>
    </row>
    <row r="63" spans="2:12">
      <c r="B63" s="1004" t="s">
        <v>1789</v>
      </c>
      <c r="C63" s="990">
        <v>-63748.15</v>
      </c>
      <c r="D63" s="990">
        <v>7773959.7800000003</v>
      </c>
      <c r="E63" s="990">
        <v>21458953.16</v>
      </c>
      <c r="F63" s="990">
        <v>26371665.489999998</v>
      </c>
      <c r="G63" s="990">
        <v>43493202.840000004</v>
      </c>
      <c r="H63" s="990">
        <v>32990289.09</v>
      </c>
      <c r="L63" s="597" t="s">
        <v>1789</v>
      </c>
    </row>
    <row r="64" spans="2:12">
      <c r="B64" s="1004" t="s">
        <v>1790</v>
      </c>
      <c r="C64" s="990">
        <v>100430290.86</v>
      </c>
      <c r="D64" s="990">
        <v>-198461959.03999999</v>
      </c>
      <c r="E64" s="990">
        <v>174710725.34</v>
      </c>
      <c r="F64" s="990">
        <v>552180280.32000005</v>
      </c>
      <c r="G64" s="990">
        <v>611134567.34000003</v>
      </c>
      <c r="H64" s="990">
        <v>235297848.22999999</v>
      </c>
      <c r="L64" s="597" t="s">
        <v>1790</v>
      </c>
    </row>
    <row r="65" spans="2:12">
      <c r="B65" s="1004" t="s">
        <v>1791</v>
      </c>
      <c r="C65" s="990">
        <v>0</v>
      </c>
      <c r="D65" s="990">
        <v>0</v>
      </c>
      <c r="E65" s="990">
        <v>0</v>
      </c>
      <c r="F65" s="990">
        <v>0</v>
      </c>
      <c r="G65" s="990">
        <v>0</v>
      </c>
      <c r="H65" s="990">
        <v>0</v>
      </c>
      <c r="L65" s="597" t="s">
        <v>1791</v>
      </c>
    </row>
    <row r="66" spans="2:12">
      <c r="B66" s="1004" t="s">
        <v>1792</v>
      </c>
      <c r="C66" s="990">
        <v>0</v>
      </c>
      <c r="D66" s="990">
        <v>0</v>
      </c>
      <c r="E66" s="990">
        <v>0</v>
      </c>
      <c r="F66" s="990">
        <v>0</v>
      </c>
      <c r="G66" s="990">
        <v>0</v>
      </c>
      <c r="H66" s="990">
        <v>0</v>
      </c>
      <c r="L66" s="597" t="s">
        <v>1792</v>
      </c>
    </row>
    <row r="67" spans="2:12">
      <c r="B67" s="1004" t="s">
        <v>1793</v>
      </c>
      <c r="C67" s="990">
        <v>0</v>
      </c>
      <c r="D67" s="990">
        <v>0</v>
      </c>
      <c r="E67" s="990">
        <v>0</v>
      </c>
      <c r="F67" s="990">
        <v>0</v>
      </c>
      <c r="G67" s="990">
        <v>0</v>
      </c>
      <c r="H67" s="990">
        <v>0</v>
      </c>
      <c r="L67" s="597" t="s">
        <v>1793</v>
      </c>
    </row>
    <row r="68" spans="2:12">
      <c r="B68" s="1004" t="s">
        <v>1794</v>
      </c>
      <c r="C68" s="990">
        <v>227682656.94999999</v>
      </c>
      <c r="D68" s="990">
        <v>708688682.99000001</v>
      </c>
      <c r="E68" s="990">
        <v>938203711.98000002</v>
      </c>
      <c r="F68" s="990">
        <v>1255988931.9200001</v>
      </c>
      <c r="G68" s="990">
        <v>1875758215.51</v>
      </c>
      <c r="H68" s="990">
        <v>1906840997.0799999</v>
      </c>
      <c r="L68" s="597" t="s">
        <v>1794</v>
      </c>
    </row>
    <row r="69" spans="2:12">
      <c r="B69" s="1004" t="s">
        <v>1795</v>
      </c>
      <c r="C69" s="990">
        <v>351853676.60000002</v>
      </c>
      <c r="D69" s="990">
        <v>227682656.94999999</v>
      </c>
      <c r="E69" s="990">
        <v>708688682.99000001</v>
      </c>
      <c r="F69" s="990">
        <v>938203711.98000002</v>
      </c>
      <c r="G69" s="990">
        <v>1255988931.9200001</v>
      </c>
      <c r="H69" s="990">
        <v>1875758215.51</v>
      </c>
      <c r="L69" s="597" t="s">
        <v>1795</v>
      </c>
    </row>
    <row r="70" spans="2:12">
      <c r="B70" s="1004" t="s">
        <v>1796</v>
      </c>
      <c r="C70" s="990">
        <v>0</v>
      </c>
      <c r="D70" s="990">
        <v>0</v>
      </c>
      <c r="E70" s="990">
        <v>0</v>
      </c>
      <c r="F70" s="990">
        <v>0</v>
      </c>
      <c r="G70" s="990">
        <v>0</v>
      </c>
      <c r="H70" s="990">
        <v>0</v>
      </c>
      <c r="L70" s="597" t="s">
        <v>1796</v>
      </c>
    </row>
    <row r="71" spans="2:12">
      <c r="B71" s="1004" t="s">
        <v>1797</v>
      </c>
      <c r="C71" s="990">
        <v>0</v>
      </c>
      <c r="D71" s="990">
        <v>0</v>
      </c>
      <c r="E71" s="990">
        <v>0</v>
      </c>
      <c r="F71" s="990">
        <v>0</v>
      </c>
      <c r="G71" s="990">
        <v>0</v>
      </c>
      <c r="H71" s="990">
        <v>0</v>
      </c>
      <c r="L71" s="597" t="s">
        <v>1797</v>
      </c>
    </row>
    <row r="72" spans="2:12">
      <c r="B72" s="1004" t="s">
        <v>1798</v>
      </c>
      <c r="C72" s="990">
        <v>-124171019.65000001</v>
      </c>
      <c r="D72" s="990">
        <v>481006026.04000002</v>
      </c>
      <c r="E72" s="990">
        <v>229515028.99000001</v>
      </c>
      <c r="F72" s="990">
        <v>317785219.94</v>
      </c>
      <c r="G72" s="990">
        <v>619769283.59000003</v>
      </c>
      <c r="H72" s="990">
        <v>31082781.57</v>
      </c>
      <c r="L72" s="597" t="s">
        <v>1798</v>
      </c>
    </row>
    <row r="73" spans="2:12">
      <c r="C73" s="990">
        <v>0</v>
      </c>
      <c r="D73" s="990">
        <v>0</v>
      </c>
      <c r="E73" s="990">
        <v>0</v>
      </c>
      <c r="F73" s="990">
        <v>0</v>
      </c>
      <c r="G73" s="990">
        <v>0</v>
      </c>
      <c r="H73" s="990">
        <v>0</v>
      </c>
    </row>
    <row r="74" spans="2:12">
      <c r="C74" s="990">
        <v>0</v>
      </c>
    </row>
  </sheetData>
  <sheetProtection selectLockedCells="1" selectUnlockedCells="1"/>
  <phoneticPr fontId="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dimension ref="A1:Z294"/>
  <sheetViews>
    <sheetView zoomScaleNormal="100" workbookViewId="0">
      <selection activeCell="B2" sqref="B2"/>
    </sheetView>
  </sheetViews>
  <sheetFormatPr defaultColWidth="9.375" defaultRowHeight="10.8"/>
  <cols>
    <col min="1" max="1" width="6.625" style="989" customWidth="1"/>
    <col min="2" max="2" width="22.5" style="989" bestFit="1" customWidth="1"/>
    <col min="3" max="3" width="18" style="989" bestFit="1" customWidth="1"/>
    <col min="4" max="7" width="19.125" style="989" bestFit="1" customWidth="1"/>
    <col min="8" max="8" width="27.625" style="989" customWidth="1"/>
    <col min="9" max="11" width="9.375" style="989"/>
    <col min="12" max="12" width="25.5" style="999" customWidth="1"/>
    <col min="13" max="13" width="9.375" style="989"/>
    <col min="14" max="15" width="18" style="989" bestFit="1" customWidth="1"/>
    <col min="16" max="19" width="19.125" style="989" bestFit="1" customWidth="1"/>
    <col min="20" max="24" width="9.375" style="989"/>
    <col min="25" max="25" width="10" style="989" bestFit="1" customWidth="1"/>
    <col min="26" max="16384" width="9.375" style="989"/>
  </cols>
  <sheetData>
    <row r="1" spans="1:26">
      <c r="A1" s="989">
        <f>18*36/12</f>
        <v>54</v>
      </c>
      <c r="B1" s="791" t="s">
        <v>1596</v>
      </c>
      <c r="C1" s="996" t="str">
        <f>CONCATENATE(N7,"-12-","31")</f>
        <v>2017-12-31</v>
      </c>
      <c r="D1" s="996" t="str">
        <f>CONCATENATE(N6,"-12-","31")</f>
        <v>2018-12-31</v>
      </c>
      <c r="E1" s="996" t="str">
        <f>CONCATENATE(N5,"-12-","31")</f>
        <v>2019-12-31</v>
      </c>
      <c r="F1" s="996" t="str">
        <f>CONCATENATE(N4,"-12-","31")</f>
        <v>2020-12-31</v>
      </c>
      <c r="G1" s="996" t="str">
        <f>CONCATENATE(N3,"-12-","31")</f>
        <v>2021-12-31</v>
      </c>
      <c r="H1" s="996" t="str">
        <f>CONCATENATE(N2,"-12-","31")</f>
        <v>2022-12-31</v>
      </c>
      <c r="L1" s="997"/>
      <c r="M1" s="989" t="s">
        <v>1597</v>
      </c>
      <c r="Y1" s="989">
        <f ca="1">目录!C8</f>
        <v>45327</v>
      </c>
      <c r="Z1" s="989" t="str">
        <f ca="1">TEXT(Y1,"yyyy-mm-dd")</f>
        <v>2024-02-05</v>
      </c>
    </row>
    <row r="2" spans="1:26">
      <c r="B2" s="998" t="str">
        <f>IF(IFERROR(FIND(".",(IF(MID((IF(IFERROR(FIND(".",目录!C6,1),0)&gt;0,UPPER(目录!C6),IF(MID(目录!C6,1,1)="8",目录!C6&amp;".TB",目录!C6))),1,1)="4",(IF(IFERROR(FIND(".",目录!C6,1),0)&gt;0,UPPER(目录!C6),IF(MID(目录!C6,1,1)="8",目录!C6&amp;".TB",目录!C6)))&amp;".TB",(IF(IFERROR(FIND(".",目录!C6,1),0)&gt;0,UPPER(目录!C6),IF(MID(目录!C6,1,1)="8",目录!C6&amp;".TB",目录!C6))))),1),0)&gt;0,UPPER((IF(MID((IF(IFERROR(FIND(".",目录!C6,1),0)&gt;0,UPPER(目录!C6),IF(MID(目录!C6,1,1)="8",目录!C6&amp;".TB",目录!C6))),1,1)="4",(IF(IFERROR(FIND(".",目录!C6,1),0)&gt;0,UPPER(目录!C6),IF(MID(目录!C6,1,1)="8",目录!C6&amp;".TB",目录!C6)))&amp;".TB",(IF(IFERROR(FIND(".",目录!C6,1),0)&gt;0,UPPER(目录!C6),IF(MID(目录!C6,1,1)="8",目录!C6&amp;".TB",目录!C6)))))),IF(MID(目录!C6,1,1)="6",目录!C6&amp;".SH",目录!C6&amp;".SZ"))</f>
        <v>300737.SZ</v>
      </c>
      <c r="C2" s="990"/>
      <c r="D2" s="990"/>
      <c r="E2" s="990"/>
      <c r="F2" s="990"/>
      <c r="G2" s="990"/>
      <c r="H2" s="990"/>
      <c r="L2" s="989">
        <v>101</v>
      </c>
      <c r="N2" s="991">
        <f>YEAR(目录!C7)</f>
        <v>2022</v>
      </c>
      <c r="O2" s="991">
        <f ca="1">YEAR(目录!C8)</f>
        <v>2024</v>
      </c>
    </row>
    <row r="3" spans="1:26">
      <c r="B3" s="999" t="s">
        <v>1598</v>
      </c>
      <c r="C3" s="990">
        <v>0</v>
      </c>
      <c r="D3" s="990">
        <v>231703242.62</v>
      </c>
      <c r="E3" s="990">
        <v>312966264.68000001</v>
      </c>
      <c r="F3" s="990">
        <v>522943116.75</v>
      </c>
      <c r="G3" s="990">
        <v>951827214.5</v>
      </c>
      <c r="H3" s="990">
        <v>1462026640.5</v>
      </c>
      <c r="L3" s="999" t="s">
        <v>1598</v>
      </c>
      <c r="N3" s="989">
        <f>N2-1</f>
        <v>2021</v>
      </c>
      <c r="O3" s="989">
        <f ca="1">O2-1</f>
        <v>2023</v>
      </c>
    </row>
    <row r="4" spans="1:26">
      <c r="B4" s="999" t="s">
        <v>1599</v>
      </c>
      <c r="C4" s="990">
        <v>0</v>
      </c>
      <c r="D4" s="990">
        <v>231703242.62</v>
      </c>
      <c r="E4" s="990">
        <v>312966264.68000001</v>
      </c>
      <c r="F4" s="990">
        <v>522943116.75</v>
      </c>
      <c r="G4" s="990">
        <v>951827214.5</v>
      </c>
      <c r="H4" s="990">
        <v>1462026640.5</v>
      </c>
      <c r="L4" s="999" t="s">
        <v>1599</v>
      </c>
      <c r="N4" s="989">
        <f t="shared" ref="N4:N7" si="0">N3-1</f>
        <v>2020</v>
      </c>
      <c r="O4" s="989">
        <f ca="1">O3-1</f>
        <v>2022</v>
      </c>
    </row>
    <row r="5" spans="1:26">
      <c r="B5" s="999" t="s">
        <v>1600</v>
      </c>
      <c r="C5" s="990">
        <v>0</v>
      </c>
      <c r="D5" s="990">
        <v>0</v>
      </c>
      <c r="E5" s="990">
        <v>0</v>
      </c>
      <c r="F5" s="990">
        <v>0</v>
      </c>
      <c r="G5" s="990">
        <v>0</v>
      </c>
      <c r="H5" s="990">
        <v>0</v>
      </c>
      <c r="L5" s="999" t="s">
        <v>1600</v>
      </c>
      <c r="N5" s="989">
        <f t="shared" si="0"/>
        <v>2019</v>
      </c>
      <c r="O5" s="989">
        <f ca="1">O4-1</f>
        <v>2021</v>
      </c>
    </row>
    <row r="6" spans="1:26">
      <c r="B6" s="999" t="s">
        <v>1601</v>
      </c>
      <c r="C6" s="990">
        <v>0</v>
      </c>
      <c r="D6" s="990">
        <v>0</v>
      </c>
      <c r="E6" s="990">
        <v>0</v>
      </c>
      <c r="F6" s="990">
        <v>0</v>
      </c>
      <c r="G6" s="990">
        <v>0</v>
      </c>
      <c r="H6" s="990">
        <v>0</v>
      </c>
      <c r="L6" s="999" t="s">
        <v>1601</v>
      </c>
      <c r="N6" s="989">
        <f t="shared" si="0"/>
        <v>2018</v>
      </c>
    </row>
    <row r="7" spans="1:26">
      <c r="B7" s="999" t="s">
        <v>1602</v>
      </c>
      <c r="C7" s="990">
        <v>0</v>
      </c>
      <c r="D7" s="990">
        <v>0</v>
      </c>
      <c r="E7" s="990">
        <v>0</v>
      </c>
      <c r="F7" s="990">
        <v>0</v>
      </c>
      <c r="G7" s="990">
        <v>0</v>
      </c>
      <c r="H7" s="990">
        <v>0</v>
      </c>
      <c r="L7" s="999" t="s">
        <v>1602</v>
      </c>
      <c r="N7" s="989">
        <f t="shared" si="0"/>
        <v>2017</v>
      </c>
    </row>
    <row r="8" spans="1:26">
      <c r="B8" s="999" t="s">
        <v>1603</v>
      </c>
      <c r="C8" s="990">
        <v>0</v>
      </c>
      <c r="D8" s="990">
        <v>222558203.31999999</v>
      </c>
      <c r="E8" s="990">
        <v>295531450.27999997</v>
      </c>
      <c r="F8" s="990">
        <v>422897866.31999999</v>
      </c>
      <c r="G8" s="990">
        <v>632297345.87</v>
      </c>
      <c r="H8" s="990">
        <v>997090764.04999995</v>
      </c>
      <c r="L8" s="999" t="s">
        <v>1603</v>
      </c>
    </row>
    <row r="9" spans="1:26">
      <c r="B9" s="999" t="s">
        <v>1604</v>
      </c>
      <c r="C9" s="990">
        <v>0</v>
      </c>
      <c r="D9" s="990">
        <v>189809401.47999999</v>
      </c>
      <c r="E9" s="990">
        <v>240739843.38999999</v>
      </c>
      <c r="F9" s="990">
        <v>335919115.22000003</v>
      </c>
      <c r="G9" s="990">
        <v>508307575.23000002</v>
      </c>
      <c r="H9" s="990">
        <v>799398714.88999999</v>
      </c>
      <c r="L9" s="999" t="s">
        <v>1604</v>
      </c>
    </row>
    <row r="10" spans="1:26">
      <c r="B10" s="999" t="s">
        <v>1605</v>
      </c>
      <c r="C10" s="990">
        <v>0</v>
      </c>
      <c r="D10" s="990">
        <v>0</v>
      </c>
      <c r="E10" s="990">
        <v>0</v>
      </c>
      <c r="F10" s="990">
        <v>0</v>
      </c>
      <c r="G10" s="990">
        <v>0</v>
      </c>
      <c r="H10" s="990">
        <v>0</v>
      </c>
      <c r="L10" s="999" t="s">
        <v>1605</v>
      </c>
    </row>
    <row r="11" spans="1:26">
      <c r="B11" s="999" t="s">
        <v>1606</v>
      </c>
      <c r="C11" s="990">
        <v>0</v>
      </c>
      <c r="D11" s="990">
        <v>0</v>
      </c>
      <c r="E11" s="990">
        <v>0</v>
      </c>
      <c r="F11" s="990">
        <v>0</v>
      </c>
      <c r="G11" s="990">
        <v>0</v>
      </c>
      <c r="H11" s="990">
        <v>0</v>
      </c>
      <c r="L11" s="999" t="s">
        <v>1606</v>
      </c>
    </row>
    <row r="12" spans="1:26">
      <c r="B12" s="999" t="s">
        <v>1607</v>
      </c>
      <c r="C12" s="990">
        <v>0</v>
      </c>
      <c r="D12" s="990">
        <v>0</v>
      </c>
      <c r="E12" s="990">
        <v>0</v>
      </c>
      <c r="F12" s="990">
        <v>0</v>
      </c>
      <c r="G12" s="990">
        <v>0</v>
      </c>
      <c r="H12" s="990">
        <v>0</v>
      </c>
      <c r="L12" s="999" t="s">
        <v>1607</v>
      </c>
      <c r="N12" s="991"/>
    </row>
    <row r="13" spans="1:26">
      <c r="B13" s="999" t="s">
        <v>1608</v>
      </c>
      <c r="C13" s="990">
        <v>0</v>
      </c>
      <c r="D13" s="990">
        <v>0</v>
      </c>
      <c r="E13" s="990">
        <v>0</v>
      </c>
      <c r="F13" s="990">
        <v>0</v>
      </c>
      <c r="G13" s="990">
        <v>0</v>
      </c>
      <c r="H13" s="990">
        <v>0</v>
      </c>
      <c r="L13" s="999" t="s">
        <v>1608</v>
      </c>
    </row>
    <row r="14" spans="1:26">
      <c r="B14" s="999" t="s">
        <v>1609</v>
      </c>
      <c r="C14" s="990">
        <v>0</v>
      </c>
      <c r="D14" s="990">
        <v>0</v>
      </c>
      <c r="E14" s="990">
        <v>0</v>
      </c>
      <c r="F14" s="990">
        <v>0</v>
      </c>
      <c r="G14" s="990">
        <v>0</v>
      </c>
      <c r="H14" s="990">
        <v>0</v>
      </c>
      <c r="L14" s="999" t="s">
        <v>1609</v>
      </c>
      <c r="O14" s="991"/>
    </row>
    <row r="15" spans="1:26">
      <c r="B15" s="999" t="s">
        <v>1610</v>
      </c>
      <c r="C15" s="990">
        <v>0</v>
      </c>
      <c r="D15" s="990">
        <v>0</v>
      </c>
      <c r="E15" s="990">
        <v>0</v>
      </c>
      <c r="F15" s="990">
        <v>0</v>
      </c>
      <c r="G15" s="990">
        <v>0</v>
      </c>
      <c r="H15" s="990">
        <v>0</v>
      </c>
      <c r="L15" s="999" t="s">
        <v>1610</v>
      </c>
    </row>
    <row r="16" spans="1:26">
      <c r="B16" s="999" t="s">
        <v>1611</v>
      </c>
      <c r="C16" s="990">
        <v>0</v>
      </c>
      <c r="D16" s="990">
        <v>0</v>
      </c>
      <c r="E16" s="990">
        <v>0</v>
      </c>
      <c r="F16" s="990">
        <v>0</v>
      </c>
      <c r="G16" s="990">
        <v>0</v>
      </c>
      <c r="H16" s="990">
        <v>0</v>
      </c>
      <c r="L16" s="999" t="s">
        <v>1611</v>
      </c>
    </row>
    <row r="17" spans="2:15">
      <c r="B17" s="999" t="s">
        <v>1612</v>
      </c>
      <c r="C17" s="990">
        <v>0</v>
      </c>
      <c r="D17" s="990">
        <v>392215.45</v>
      </c>
      <c r="E17" s="990">
        <v>1604471.73</v>
      </c>
      <c r="F17" s="990">
        <v>4443401.24</v>
      </c>
      <c r="G17" s="990">
        <v>10094570.49</v>
      </c>
      <c r="H17" s="990">
        <v>14551693.130000001</v>
      </c>
      <c r="L17" s="999" t="s">
        <v>1612</v>
      </c>
    </row>
    <row r="18" spans="2:15">
      <c r="B18" s="999" t="s">
        <v>1613</v>
      </c>
      <c r="C18" s="990">
        <v>0</v>
      </c>
      <c r="D18" s="990">
        <v>10567606.199999999</v>
      </c>
      <c r="E18" s="990">
        <v>12559978.619999999</v>
      </c>
      <c r="F18" s="990">
        <v>17832333.350000001</v>
      </c>
      <c r="G18" s="990">
        <v>29352637.559999999</v>
      </c>
      <c r="H18" s="990">
        <v>63048412.369999997</v>
      </c>
      <c r="L18" s="999" t="s">
        <v>1613</v>
      </c>
    </row>
    <row r="19" spans="2:15">
      <c r="B19" s="999" t="s">
        <v>1614</v>
      </c>
      <c r="C19" s="990">
        <v>0</v>
      </c>
      <c r="D19" s="990">
        <v>20821921.960000001</v>
      </c>
      <c r="E19" s="990">
        <v>34385194.840000004</v>
      </c>
      <c r="F19" s="990">
        <v>58754981.810000002</v>
      </c>
      <c r="G19" s="990">
        <v>72248897.079999998</v>
      </c>
      <c r="H19" s="990">
        <v>28393872.77</v>
      </c>
      <c r="L19" s="999" t="s">
        <v>1614</v>
      </c>
    </row>
    <row r="20" spans="2:15">
      <c r="B20" s="999" t="s">
        <v>1615</v>
      </c>
      <c r="C20" s="990">
        <v>0</v>
      </c>
      <c r="D20" s="990">
        <v>-254934.99</v>
      </c>
      <c r="E20" s="990">
        <v>3214665.37</v>
      </c>
      <c r="F20" s="990">
        <v>3215544.3</v>
      </c>
      <c r="G20" s="990">
        <v>1900830.55</v>
      </c>
      <c r="H20" s="990">
        <v>-3481903.13</v>
      </c>
      <c r="L20" s="999" t="s">
        <v>1615</v>
      </c>
    </row>
    <row r="21" spans="2:15">
      <c r="B21" s="999" t="s">
        <v>1616</v>
      </c>
      <c r="C21" s="990">
        <v>0</v>
      </c>
      <c r="D21" s="990">
        <v>1221993.22</v>
      </c>
      <c r="E21" s="990">
        <v>3027296.33</v>
      </c>
      <c r="F21" s="990">
        <v>2732490.4</v>
      </c>
      <c r="G21" s="990">
        <v>10392834.960000001</v>
      </c>
      <c r="H21" s="990">
        <v>8638559.5399999991</v>
      </c>
      <c r="L21" s="999" t="s">
        <v>1616</v>
      </c>
    </row>
    <row r="22" spans="2:15">
      <c r="B22" s="999" t="s">
        <v>1617</v>
      </c>
      <c r="C22" s="990">
        <v>0</v>
      </c>
      <c r="D22" s="990">
        <v>0</v>
      </c>
      <c r="E22" s="990">
        <v>0</v>
      </c>
      <c r="F22" s="990">
        <v>0</v>
      </c>
      <c r="G22" s="990">
        <v>0</v>
      </c>
      <c r="H22" s="990">
        <v>0</v>
      </c>
      <c r="L22" s="999" t="s">
        <v>1617</v>
      </c>
      <c r="N22" s="991"/>
    </row>
    <row r="23" spans="2:15">
      <c r="B23" s="999" t="s">
        <v>1618</v>
      </c>
      <c r="C23" s="990">
        <v>0</v>
      </c>
      <c r="D23" s="990">
        <v>0</v>
      </c>
      <c r="E23" s="990">
        <v>0</v>
      </c>
      <c r="F23" s="990">
        <v>0</v>
      </c>
      <c r="G23" s="990">
        <v>0</v>
      </c>
      <c r="H23" s="990">
        <v>14277345.880000001</v>
      </c>
      <c r="L23" s="999" t="s">
        <v>1618</v>
      </c>
      <c r="O23" s="991"/>
    </row>
    <row r="24" spans="2:15" ht="21.6">
      <c r="B24" s="999" t="s">
        <v>1619</v>
      </c>
      <c r="C24" s="990">
        <v>0</v>
      </c>
      <c r="D24" s="990">
        <v>0</v>
      </c>
      <c r="E24" s="990">
        <v>0</v>
      </c>
      <c r="F24" s="990">
        <v>0</v>
      </c>
      <c r="G24" s="990">
        <v>0</v>
      </c>
      <c r="H24" s="990">
        <v>0</v>
      </c>
      <c r="L24" s="999" t="s">
        <v>1619</v>
      </c>
    </row>
    <row r="25" spans="2:15">
      <c r="B25" s="999" t="s">
        <v>1620</v>
      </c>
      <c r="C25" s="990">
        <v>0</v>
      </c>
      <c r="D25" s="990">
        <v>0</v>
      </c>
      <c r="E25" s="990">
        <v>0</v>
      </c>
      <c r="F25" s="990">
        <v>0</v>
      </c>
      <c r="G25" s="990">
        <v>0</v>
      </c>
      <c r="H25" s="990">
        <v>0</v>
      </c>
      <c r="L25" s="999" t="s">
        <v>1620</v>
      </c>
    </row>
    <row r="26" spans="2:15">
      <c r="B26" s="999" t="s">
        <v>1621</v>
      </c>
      <c r="C26" s="990">
        <v>0</v>
      </c>
      <c r="D26" s="990">
        <v>9145039.3000000007</v>
      </c>
      <c r="E26" s="990">
        <v>17416832.239999998</v>
      </c>
      <c r="F26" s="990">
        <v>100091829.29000001</v>
      </c>
      <c r="G26" s="990">
        <v>325418608.25</v>
      </c>
      <c r="H26" s="990">
        <v>508003390.41000003</v>
      </c>
      <c r="L26" s="999" t="s">
        <v>1621</v>
      </c>
      <c r="O26" s="991"/>
    </row>
    <row r="27" spans="2:15">
      <c r="B27" s="999" t="s">
        <v>1622</v>
      </c>
      <c r="C27" s="990">
        <v>0</v>
      </c>
      <c r="D27" s="990">
        <v>6260599.6399999997</v>
      </c>
      <c r="E27" s="990">
        <v>11026307.619999999</v>
      </c>
      <c r="F27" s="990">
        <v>3274661.28</v>
      </c>
      <c r="G27" s="990">
        <v>1408685.22</v>
      </c>
      <c r="H27" s="990">
        <v>1834653.25</v>
      </c>
      <c r="L27" s="999" t="s">
        <v>1622</v>
      </c>
    </row>
    <row r="28" spans="2:15">
      <c r="B28" s="999" t="s">
        <v>1623</v>
      </c>
      <c r="C28" s="990">
        <v>0</v>
      </c>
      <c r="D28" s="990">
        <v>29739.9</v>
      </c>
      <c r="E28" s="990">
        <v>373813.28</v>
      </c>
      <c r="F28" s="990">
        <v>168886.37</v>
      </c>
      <c r="G28" s="990">
        <v>723013.42</v>
      </c>
      <c r="H28" s="990">
        <v>957700.76</v>
      </c>
      <c r="L28" s="999" t="s">
        <v>1623</v>
      </c>
    </row>
    <row r="29" spans="2:15" ht="21.6">
      <c r="B29" s="999" t="s">
        <v>1624</v>
      </c>
      <c r="C29" s="990">
        <v>0</v>
      </c>
      <c r="D29" s="990">
        <v>1414.58</v>
      </c>
      <c r="E29" s="990">
        <v>0</v>
      </c>
      <c r="F29" s="990">
        <v>0</v>
      </c>
      <c r="G29" s="990">
        <v>0</v>
      </c>
      <c r="H29" s="990">
        <v>0</v>
      </c>
      <c r="L29" s="999" t="s">
        <v>1624</v>
      </c>
    </row>
    <row r="30" spans="2:15">
      <c r="B30" s="999" t="s">
        <v>1625</v>
      </c>
      <c r="C30" s="990">
        <v>0</v>
      </c>
      <c r="D30" s="990">
        <v>15375899.039999999</v>
      </c>
      <c r="E30" s="990">
        <v>28069326.579999998</v>
      </c>
      <c r="F30" s="990">
        <v>103197604.2</v>
      </c>
      <c r="G30" s="990">
        <v>326104280.05000001</v>
      </c>
      <c r="H30" s="990">
        <v>508880342.89999998</v>
      </c>
      <c r="L30" s="999" t="s">
        <v>1625</v>
      </c>
      <c r="O30" s="991"/>
    </row>
    <row r="31" spans="2:15">
      <c r="B31" s="999" t="s">
        <v>1626</v>
      </c>
      <c r="C31" s="990">
        <v>0</v>
      </c>
      <c r="D31" s="990">
        <v>1941876.19</v>
      </c>
      <c r="E31" s="990">
        <v>4328223.2</v>
      </c>
      <c r="F31" s="990">
        <v>14872724.640000001</v>
      </c>
      <c r="G31" s="990">
        <v>46511559.280000001</v>
      </c>
      <c r="H31" s="990">
        <v>68948201.590000004</v>
      </c>
      <c r="L31" s="999" t="s">
        <v>1626</v>
      </c>
    </row>
    <row r="32" spans="2:15">
      <c r="B32" s="999" t="s">
        <v>1627</v>
      </c>
      <c r="C32" s="990">
        <v>0</v>
      </c>
      <c r="D32" s="990">
        <v>13434022.85</v>
      </c>
      <c r="E32" s="990">
        <v>23741103.379999999</v>
      </c>
      <c r="F32" s="990">
        <v>88324879.560000002</v>
      </c>
      <c r="G32" s="990">
        <v>279592720.76999998</v>
      </c>
      <c r="H32" s="990">
        <v>439932141.31</v>
      </c>
      <c r="L32" s="999" t="s">
        <v>1627</v>
      </c>
    </row>
    <row r="33" spans="2:14">
      <c r="B33" s="999" t="s">
        <v>1628</v>
      </c>
      <c r="C33" s="990">
        <v>0</v>
      </c>
      <c r="D33" s="990">
        <v>0</v>
      </c>
      <c r="E33" s="990">
        <v>-902149.58</v>
      </c>
      <c r="F33" s="990">
        <v>-710501.23</v>
      </c>
      <c r="G33" s="990">
        <v>2417168.7400000002</v>
      </c>
      <c r="H33" s="990">
        <v>7407175.2699999996</v>
      </c>
      <c r="L33" s="999" t="s">
        <v>1628</v>
      </c>
    </row>
    <row r="34" spans="2:14">
      <c r="B34" s="999" t="s">
        <v>1629</v>
      </c>
      <c r="C34" s="990">
        <v>0</v>
      </c>
      <c r="D34" s="990">
        <v>13434022.85</v>
      </c>
      <c r="E34" s="990">
        <v>24643252.960000001</v>
      </c>
      <c r="F34" s="990">
        <v>89035380.790000007</v>
      </c>
      <c r="G34" s="990">
        <v>277175552.02999997</v>
      </c>
      <c r="H34" s="990">
        <v>432524966.04000002</v>
      </c>
      <c r="L34" s="999" t="s">
        <v>1629</v>
      </c>
    </row>
    <row r="35" spans="2:14">
      <c r="B35" s="999" t="s">
        <v>1630</v>
      </c>
      <c r="C35" s="990">
        <v>0</v>
      </c>
      <c r="D35" s="990">
        <v>0.14000000000000001</v>
      </c>
      <c r="E35" s="990">
        <v>0.26</v>
      </c>
      <c r="F35" s="990">
        <v>0.93</v>
      </c>
      <c r="G35" s="990">
        <v>2.89</v>
      </c>
      <c r="H35" s="990">
        <v>3.86</v>
      </c>
      <c r="L35" s="999" t="s">
        <v>1630</v>
      </c>
    </row>
    <row r="36" spans="2:14">
      <c r="B36" s="999" t="s">
        <v>1631</v>
      </c>
      <c r="C36" s="990">
        <v>0</v>
      </c>
      <c r="D36" s="990">
        <v>0.14000000000000001</v>
      </c>
      <c r="E36" s="990">
        <v>0.26</v>
      </c>
      <c r="F36" s="990">
        <v>0.93</v>
      </c>
      <c r="G36" s="990">
        <v>2.89</v>
      </c>
      <c r="H36" s="990">
        <v>3.86</v>
      </c>
      <c r="L36" s="999" t="s">
        <v>1631</v>
      </c>
      <c r="N36" s="991"/>
    </row>
    <row r="37" spans="2:14">
      <c r="B37" s="999" t="s">
        <v>1632</v>
      </c>
      <c r="C37" s="990">
        <v>0</v>
      </c>
      <c r="D37" s="990">
        <v>0</v>
      </c>
      <c r="E37" s="990">
        <v>0</v>
      </c>
      <c r="F37" s="990">
        <v>0</v>
      </c>
      <c r="G37" s="990">
        <v>0</v>
      </c>
      <c r="H37" s="990">
        <v>0</v>
      </c>
      <c r="L37" s="999" t="s">
        <v>1632</v>
      </c>
    </row>
    <row r="38" spans="2:14">
      <c r="B38" s="999" t="s">
        <v>1633</v>
      </c>
      <c r="C38" s="990">
        <v>0</v>
      </c>
      <c r="D38" s="990">
        <v>13434022.85</v>
      </c>
      <c r="E38" s="990">
        <v>23741103.379999999</v>
      </c>
      <c r="F38" s="990">
        <v>88324879.560000002</v>
      </c>
      <c r="G38" s="990">
        <v>279592720.76999998</v>
      </c>
      <c r="H38" s="990">
        <v>439932141.31</v>
      </c>
      <c r="L38" s="999" t="s">
        <v>1633</v>
      </c>
    </row>
    <row r="39" spans="2:14">
      <c r="B39" s="999" t="s">
        <v>1634</v>
      </c>
      <c r="C39" s="990">
        <v>0</v>
      </c>
      <c r="D39" s="990">
        <v>0</v>
      </c>
      <c r="E39" s="990">
        <v>-902149.58</v>
      </c>
      <c r="F39" s="990">
        <v>-710501.23</v>
      </c>
      <c r="G39" s="990">
        <v>2417168.7400000002</v>
      </c>
      <c r="H39" s="990">
        <v>7407175.2699999996</v>
      </c>
      <c r="L39" s="999" t="s">
        <v>1634</v>
      </c>
    </row>
    <row r="40" spans="2:14" ht="21.6">
      <c r="B40" s="999" t="s">
        <v>1635</v>
      </c>
      <c r="C40" s="990">
        <v>0</v>
      </c>
      <c r="D40" s="990">
        <v>13434022.85</v>
      </c>
      <c r="E40" s="990">
        <v>24643252.960000001</v>
      </c>
      <c r="F40" s="990">
        <v>89035380.790000007</v>
      </c>
      <c r="G40" s="990">
        <v>277175552.02999997</v>
      </c>
      <c r="H40" s="990">
        <v>432524966.04000002</v>
      </c>
      <c r="L40" s="999" t="s">
        <v>1635</v>
      </c>
    </row>
    <row r="41" spans="2:14">
      <c r="B41" s="999" t="s">
        <v>1636</v>
      </c>
      <c r="C41" s="990">
        <v>0</v>
      </c>
      <c r="D41" s="990">
        <v>0.08</v>
      </c>
      <c r="E41" s="990">
        <v>0.05</v>
      </c>
      <c r="F41" s="990">
        <v>0.15</v>
      </c>
      <c r="G41" s="990">
        <v>0</v>
      </c>
      <c r="H41" s="990">
        <v>0.5</v>
      </c>
      <c r="L41" s="999" t="s">
        <v>1636</v>
      </c>
    </row>
    <row r="42" spans="2:14">
      <c r="B42" s="999" t="s">
        <v>1637</v>
      </c>
      <c r="C42" s="990">
        <v>0</v>
      </c>
      <c r="D42" s="990">
        <v>0</v>
      </c>
      <c r="E42" s="990">
        <v>0</v>
      </c>
      <c r="F42" s="990">
        <v>0</v>
      </c>
      <c r="G42" s="990">
        <v>0</v>
      </c>
      <c r="H42" s="990">
        <v>0</v>
      </c>
      <c r="L42" s="999" t="s">
        <v>1637</v>
      </c>
    </row>
    <row r="43" spans="2:14">
      <c r="B43" s="999" t="s">
        <v>1638</v>
      </c>
      <c r="C43" s="990">
        <v>0</v>
      </c>
      <c r="D43" s="990">
        <v>0</v>
      </c>
      <c r="E43" s="990">
        <v>0</v>
      </c>
      <c r="F43" s="990">
        <v>0</v>
      </c>
      <c r="G43" s="990">
        <v>0</v>
      </c>
      <c r="H43" s="990">
        <v>0.5</v>
      </c>
      <c r="L43" s="999" t="s">
        <v>1638</v>
      </c>
    </row>
    <row r="44" spans="2:14">
      <c r="B44" s="999" t="s">
        <v>1639</v>
      </c>
      <c r="C44" s="990">
        <v>0</v>
      </c>
      <c r="D44" s="990">
        <v>41021828.68</v>
      </c>
      <c r="E44" s="990">
        <v>42007731.979999997</v>
      </c>
      <c r="F44" s="990">
        <v>128922640.54000001</v>
      </c>
      <c r="G44" s="990">
        <v>166335114.38</v>
      </c>
      <c r="H44" s="990">
        <v>327931279.75</v>
      </c>
      <c r="L44" s="999" t="s">
        <v>1639</v>
      </c>
    </row>
    <row r="45" spans="2:14">
      <c r="B45" s="999" t="s">
        <v>1640</v>
      </c>
      <c r="C45" s="990">
        <v>0</v>
      </c>
      <c r="D45" s="990">
        <v>0</v>
      </c>
      <c r="E45" s="990">
        <v>0</v>
      </c>
      <c r="F45" s="990">
        <v>0</v>
      </c>
      <c r="G45" s="990">
        <v>0</v>
      </c>
      <c r="H45" s="990">
        <v>0</v>
      </c>
      <c r="L45" s="999" t="s">
        <v>1640</v>
      </c>
    </row>
    <row r="46" spans="2:14">
      <c r="B46" s="999" t="s">
        <v>1641</v>
      </c>
      <c r="C46" s="990">
        <v>0</v>
      </c>
      <c r="D46" s="990">
        <v>6841262.2800000003</v>
      </c>
      <c r="E46" s="990">
        <v>17997339.039999999</v>
      </c>
      <c r="F46" s="990">
        <v>31518748.07</v>
      </c>
      <c r="G46" s="990">
        <v>144436782.25999999</v>
      </c>
      <c r="H46" s="990">
        <v>153292638.46000001</v>
      </c>
      <c r="L46" s="999" t="s">
        <v>1641</v>
      </c>
    </row>
    <row r="47" spans="2:14">
      <c r="B47" s="999" t="s">
        <v>1642</v>
      </c>
      <c r="C47" s="990">
        <v>0</v>
      </c>
      <c r="D47" s="990">
        <v>55737628.079999998</v>
      </c>
      <c r="E47" s="990">
        <v>82585560.939999998</v>
      </c>
      <c r="F47" s="990">
        <v>43435097.420000002</v>
      </c>
      <c r="G47" s="990">
        <v>50947965.100000001</v>
      </c>
      <c r="H47" s="990">
        <v>220098667.97</v>
      </c>
      <c r="L47" s="999" t="s">
        <v>1642</v>
      </c>
    </row>
    <row r="48" spans="2:14">
      <c r="B48" s="999" t="s">
        <v>1643</v>
      </c>
      <c r="C48" s="990">
        <v>0</v>
      </c>
      <c r="D48" s="990">
        <v>4646198.03</v>
      </c>
      <c r="E48" s="990">
        <v>4949699.72</v>
      </c>
      <c r="F48" s="990">
        <v>6356706.0199999996</v>
      </c>
      <c r="G48" s="990">
        <v>14234477.74</v>
      </c>
      <c r="H48" s="990">
        <v>58031944.950000003</v>
      </c>
      <c r="L48" s="999" t="s">
        <v>1643</v>
      </c>
    </row>
    <row r="49" spans="2:12">
      <c r="B49" s="999" t="s">
        <v>1644</v>
      </c>
      <c r="C49" s="990">
        <v>0</v>
      </c>
      <c r="D49" s="990">
        <v>0</v>
      </c>
      <c r="E49" s="990">
        <v>0</v>
      </c>
      <c r="F49" s="990">
        <v>0</v>
      </c>
      <c r="G49" s="990">
        <v>0</v>
      </c>
      <c r="H49" s="990">
        <v>0</v>
      </c>
      <c r="L49" s="999" t="s">
        <v>1644</v>
      </c>
    </row>
    <row r="50" spans="2:12">
      <c r="B50" s="999" t="s">
        <v>1645</v>
      </c>
      <c r="C50" s="990">
        <v>0</v>
      </c>
      <c r="D50" s="990">
        <v>0</v>
      </c>
      <c r="E50" s="990">
        <v>0</v>
      </c>
      <c r="F50" s="990">
        <v>0</v>
      </c>
      <c r="G50" s="990">
        <v>0</v>
      </c>
      <c r="H50" s="990">
        <v>0</v>
      </c>
      <c r="L50" s="999" t="s">
        <v>1645</v>
      </c>
    </row>
    <row r="51" spans="2:12">
      <c r="B51" s="999" t="s">
        <v>1646</v>
      </c>
      <c r="C51" s="990">
        <v>0</v>
      </c>
      <c r="D51" s="990">
        <v>1133107.58</v>
      </c>
      <c r="E51" s="990">
        <v>544321.14</v>
      </c>
      <c r="F51" s="990">
        <v>1435404.44</v>
      </c>
      <c r="G51" s="990">
        <v>958971.37</v>
      </c>
      <c r="H51" s="990">
        <v>0</v>
      </c>
      <c r="L51" s="999" t="s">
        <v>1646</v>
      </c>
    </row>
    <row r="52" spans="2:12">
      <c r="B52" s="999" t="s">
        <v>1647</v>
      </c>
      <c r="C52" s="990">
        <v>0</v>
      </c>
      <c r="D52" s="990">
        <v>93246345.5</v>
      </c>
      <c r="E52" s="990">
        <v>105465128.64</v>
      </c>
      <c r="F52" s="990">
        <v>121112206.66</v>
      </c>
      <c r="G52" s="990">
        <v>196956555.93000001</v>
      </c>
      <c r="H52" s="990">
        <v>282643827.19</v>
      </c>
      <c r="L52" s="999" t="s">
        <v>1647</v>
      </c>
    </row>
    <row r="53" spans="2:12" ht="21.6">
      <c r="B53" s="999" t="s">
        <v>1648</v>
      </c>
      <c r="C53" s="990">
        <v>0</v>
      </c>
      <c r="D53" s="990">
        <v>0</v>
      </c>
      <c r="E53" s="990">
        <v>0</v>
      </c>
      <c r="F53" s="990">
        <v>0</v>
      </c>
      <c r="G53" s="990">
        <v>0</v>
      </c>
      <c r="H53" s="990">
        <v>0</v>
      </c>
      <c r="L53" s="999" t="s">
        <v>1648</v>
      </c>
    </row>
    <row r="54" spans="2:12">
      <c r="B54" s="1000" t="s">
        <v>1649</v>
      </c>
      <c r="C54" s="990">
        <v>0</v>
      </c>
      <c r="D54" s="990">
        <v>1270117.1000000001</v>
      </c>
      <c r="E54" s="990">
        <v>3874234.5</v>
      </c>
      <c r="F54" s="990">
        <v>5129564.3499999996</v>
      </c>
      <c r="G54" s="990">
        <v>3564673.74</v>
      </c>
      <c r="H54" s="990">
        <v>1122074051.27</v>
      </c>
      <c r="L54" s="1000" t="s">
        <v>1649</v>
      </c>
    </row>
    <row r="55" spans="2:12">
      <c r="B55" s="1000" t="s">
        <v>1650</v>
      </c>
      <c r="C55" s="990">
        <v>0</v>
      </c>
      <c r="D55" s="990">
        <v>0</v>
      </c>
      <c r="E55" s="990">
        <v>0</v>
      </c>
      <c r="F55" s="990">
        <v>0</v>
      </c>
      <c r="G55" s="990">
        <v>0</v>
      </c>
      <c r="H55" s="990">
        <v>0</v>
      </c>
      <c r="L55" s="1000" t="s">
        <v>1650</v>
      </c>
    </row>
    <row r="56" spans="2:12">
      <c r="B56" s="1000" t="s">
        <v>1651</v>
      </c>
      <c r="C56" s="990">
        <v>0</v>
      </c>
      <c r="D56" s="990">
        <v>0</v>
      </c>
      <c r="E56" s="990">
        <v>0</v>
      </c>
      <c r="F56" s="990">
        <v>0</v>
      </c>
      <c r="G56" s="990">
        <v>0</v>
      </c>
      <c r="H56" s="990">
        <v>0</v>
      </c>
      <c r="L56" s="1000" t="s">
        <v>1651</v>
      </c>
    </row>
    <row r="57" spans="2:12">
      <c r="B57" s="999" t="s">
        <v>1652</v>
      </c>
      <c r="C57" s="990">
        <v>0</v>
      </c>
      <c r="D57" s="990">
        <v>0</v>
      </c>
      <c r="E57" s="990">
        <v>0</v>
      </c>
      <c r="F57" s="990">
        <v>0</v>
      </c>
      <c r="G57" s="990">
        <v>0</v>
      </c>
      <c r="H57" s="990">
        <v>0</v>
      </c>
      <c r="L57" s="999" t="s">
        <v>1652</v>
      </c>
    </row>
    <row r="58" spans="2:12">
      <c r="B58" s="999" t="s">
        <v>1653</v>
      </c>
      <c r="C58" s="990">
        <v>0</v>
      </c>
      <c r="D58" s="990">
        <v>0</v>
      </c>
      <c r="E58" s="990">
        <v>0</v>
      </c>
      <c r="F58" s="990">
        <v>0</v>
      </c>
      <c r="G58" s="990">
        <v>0</v>
      </c>
      <c r="H58" s="990">
        <v>0</v>
      </c>
      <c r="L58" s="999" t="s">
        <v>1653</v>
      </c>
    </row>
    <row r="59" spans="2:12">
      <c r="B59" s="999" t="s">
        <v>1654</v>
      </c>
      <c r="C59" s="990">
        <v>0</v>
      </c>
      <c r="D59" s="990">
        <v>0</v>
      </c>
      <c r="E59" s="990">
        <v>0</v>
      </c>
      <c r="F59" s="990">
        <v>0</v>
      </c>
      <c r="G59" s="990">
        <v>0</v>
      </c>
      <c r="H59" s="990">
        <v>0</v>
      </c>
      <c r="L59" s="999" t="s">
        <v>1654</v>
      </c>
    </row>
    <row r="60" spans="2:12">
      <c r="B60" s="999" t="s">
        <v>1655</v>
      </c>
      <c r="C60" s="990">
        <v>0</v>
      </c>
      <c r="D60" s="990">
        <v>0</v>
      </c>
      <c r="E60" s="990">
        <v>0</v>
      </c>
      <c r="F60" s="990">
        <v>0</v>
      </c>
      <c r="G60" s="990">
        <v>0</v>
      </c>
      <c r="H60" s="990">
        <v>0</v>
      </c>
      <c r="L60" s="999" t="s">
        <v>1654</v>
      </c>
    </row>
    <row r="61" spans="2:12">
      <c r="B61" s="999" t="s">
        <v>1656</v>
      </c>
      <c r="C61" s="990">
        <v>0</v>
      </c>
      <c r="D61" s="990">
        <v>0</v>
      </c>
      <c r="E61" s="990">
        <v>0</v>
      </c>
      <c r="F61" s="990">
        <v>0</v>
      </c>
      <c r="G61" s="990">
        <v>0</v>
      </c>
      <c r="H61" s="990">
        <v>0</v>
      </c>
      <c r="L61" s="999" t="s">
        <v>1656</v>
      </c>
    </row>
    <row r="62" spans="2:12">
      <c r="B62" s="999" t="s">
        <v>1657</v>
      </c>
      <c r="C62" s="990">
        <v>0</v>
      </c>
      <c r="D62" s="990">
        <v>0</v>
      </c>
      <c r="E62" s="990">
        <v>0</v>
      </c>
      <c r="F62" s="990">
        <v>0</v>
      </c>
      <c r="G62" s="990">
        <v>0</v>
      </c>
      <c r="H62" s="990">
        <v>0</v>
      </c>
      <c r="L62" s="999" t="s">
        <v>1657</v>
      </c>
    </row>
    <row r="63" spans="2:12">
      <c r="B63" s="999" t="s">
        <v>1658</v>
      </c>
      <c r="C63" s="990">
        <v>0</v>
      </c>
      <c r="D63" s="990">
        <v>203896487.25</v>
      </c>
      <c r="E63" s="990">
        <v>257424015.96000001</v>
      </c>
      <c r="F63" s="990">
        <v>337910367.5</v>
      </c>
      <c r="G63" s="990">
        <v>577434540.51999998</v>
      </c>
      <c r="H63" s="990">
        <v>2166849321.6500001</v>
      </c>
      <c r="L63" s="999" t="s">
        <v>1658</v>
      </c>
    </row>
    <row r="64" spans="2:12" ht="21.6">
      <c r="B64" s="999" t="s">
        <v>1659</v>
      </c>
      <c r="C64" s="990">
        <v>0</v>
      </c>
      <c r="D64" s="990">
        <v>86916814.879999995</v>
      </c>
      <c r="E64" s="990">
        <v>160337545.78999999</v>
      </c>
      <c r="F64" s="990">
        <v>179795996.68000001</v>
      </c>
      <c r="G64" s="990">
        <v>189403334.50999999</v>
      </c>
      <c r="H64" s="990">
        <v>220039367.16999999</v>
      </c>
      <c r="L64" s="999" t="s">
        <v>1659</v>
      </c>
    </row>
    <row r="65" spans="2:12">
      <c r="B65" s="999" t="s">
        <v>1660</v>
      </c>
      <c r="C65" s="990">
        <v>0</v>
      </c>
      <c r="D65" s="990">
        <v>0</v>
      </c>
      <c r="E65" s="990">
        <v>0</v>
      </c>
      <c r="F65" s="990">
        <v>0</v>
      </c>
      <c r="G65" s="990">
        <v>0</v>
      </c>
      <c r="H65" s="990">
        <v>0</v>
      </c>
      <c r="L65" s="999" t="s">
        <v>1660</v>
      </c>
    </row>
    <row r="66" spans="2:12">
      <c r="B66" s="999" t="s">
        <v>1661</v>
      </c>
      <c r="C66" s="990">
        <v>0</v>
      </c>
      <c r="D66" s="990">
        <v>0</v>
      </c>
      <c r="E66" s="990">
        <v>0</v>
      </c>
      <c r="F66" s="990">
        <v>0</v>
      </c>
      <c r="G66" s="990">
        <v>0</v>
      </c>
      <c r="H66" s="990">
        <v>0</v>
      </c>
      <c r="L66" s="999" t="s">
        <v>1661</v>
      </c>
    </row>
    <row r="67" spans="2:12">
      <c r="B67" s="999" t="s">
        <v>1662</v>
      </c>
      <c r="C67" s="990">
        <v>0</v>
      </c>
      <c r="D67" s="990">
        <v>0</v>
      </c>
      <c r="E67" s="990">
        <v>0</v>
      </c>
      <c r="F67" s="990">
        <v>0</v>
      </c>
      <c r="G67" s="990">
        <v>0</v>
      </c>
      <c r="H67" s="990">
        <v>0</v>
      </c>
      <c r="L67" s="999" t="s">
        <v>1662</v>
      </c>
    </row>
    <row r="68" spans="2:12">
      <c r="B68" s="999" t="s">
        <v>1663</v>
      </c>
      <c r="C68" s="990">
        <v>0</v>
      </c>
      <c r="D68" s="990">
        <v>0</v>
      </c>
      <c r="E68" s="990">
        <v>0</v>
      </c>
      <c r="F68" s="990">
        <v>0</v>
      </c>
      <c r="G68" s="990">
        <v>0</v>
      </c>
      <c r="H68" s="990">
        <v>0</v>
      </c>
      <c r="L68" s="999" t="s">
        <v>1663</v>
      </c>
    </row>
    <row r="69" spans="2:12">
      <c r="B69" s="999" t="s">
        <v>1664</v>
      </c>
      <c r="C69" s="990">
        <v>0</v>
      </c>
      <c r="D69" s="990">
        <v>0</v>
      </c>
      <c r="E69" s="990">
        <v>4673350.21</v>
      </c>
      <c r="F69" s="990">
        <v>4488843.8499999996</v>
      </c>
      <c r="G69" s="990">
        <v>4304337.49</v>
      </c>
      <c r="H69" s="990">
        <v>4119831.13</v>
      </c>
      <c r="L69" s="999" t="s">
        <v>1664</v>
      </c>
    </row>
    <row r="70" spans="2:12">
      <c r="B70" s="999" t="s">
        <v>1665</v>
      </c>
      <c r="C70" s="990">
        <v>0</v>
      </c>
      <c r="D70" s="990">
        <v>24865984.09</v>
      </c>
      <c r="E70" s="990">
        <v>136211912.75999999</v>
      </c>
      <c r="F70" s="990">
        <v>139123758.40000001</v>
      </c>
      <c r="G70" s="990">
        <v>146054814</v>
      </c>
      <c r="H70" s="990">
        <v>164237622.34999999</v>
      </c>
      <c r="L70" s="999" t="s">
        <v>1665</v>
      </c>
    </row>
    <row r="71" spans="2:12">
      <c r="B71" s="999" t="s">
        <v>1666</v>
      </c>
      <c r="C71" s="990">
        <v>0</v>
      </c>
      <c r="D71" s="990">
        <v>42767552.439999998</v>
      </c>
      <c r="E71" s="990">
        <v>71932</v>
      </c>
      <c r="F71" s="990">
        <v>92500</v>
      </c>
      <c r="G71" s="990">
        <v>0</v>
      </c>
      <c r="H71" s="990">
        <v>7615169.4299999997</v>
      </c>
      <c r="L71" s="999" t="s">
        <v>1666</v>
      </c>
    </row>
    <row r="72" spans="2:12">
      <c r="B72" s="999" t="s">
        <v>1667</v>
      </c>
      <c r="C72" s="990">
        <v>0</v>
      </c>
      <c r="D72" s="990">
        <v>0</v>
      </c>
      <c r="E72" s="990">
        <v>0</v>
      </c>
      <c r="F72" s="990">
        <v>0</v>
      </c>
      <c r="G72" s="990">
        <v>0</v>
      </c>
      <c r="H72" s="990">
        <v>0</v>
      </c>
      <c r="L72" s="999" t="s">
        <v>1667</v>
      </c>
    </row>
    <row r="73" spans="2:12">
      <c r="B73" s="999" t="s">
        <v>1668</v>
      </c>
      <c r="C73" s="990">
        <v>0</v>
      </c>
      <c r="D73" s="990">
        <v>0</v>
      </c>
      <c r="E73" s="990">
        <v>0</v>
      </c>
      <c r="F73" s="990">
        <v>0</v>
      </c>
      <c r="G73" s="990">
        <v>0</v>
      </c>
      <c r="H73" s="990">
        <v>0</v>
      </c>
      <c r="L73" s="999" t="s">
        <v>1668</v>
      </c>
    </row>
    <row r="74" spans="2:12">
      <c r="B74" s="999" t="s">
        <v>1669</v>
      </c>
      <c r="C74" s="990">
        <v>0</v>
      </c>
      <c r="D74" s="990">
        <v>0</v>
      </c>
      <c r="E74" s="990">
        <v>0</v>
      </c>
      <c r="F74" s="990">
        <v>0</v>
      </c>
      <c r="G74" s="990">
        <v>0</v>
      </c>
      <c r="H74" s="990">
        <v>0</v>
      </c>
      <c r="L74" s="999" t="s">
        <v>1669</v>
      </c>
    </row>
    <row r="75" spans="2:12">
      <c r="B75" s="999" t="s">
        <v>1670</v>
      </c>
      <c r="C75" s="990">
        <v>0</v>
      </c>
      <c r="D75" s="990">
        <v>0</v>
      </c>
      <c r="E75" s="990">
        <v>0</v>
      </c>
      <c r="F75" s="990">
        <v>0</v>
      </c>
      <c r="G75" s="990">
        <v>0</v>
      </c>
      <c r="H75" s="990">
        <v>0</v>
      </c>
      <c r="L75" s="999" t="s">
        <v>1670</v>
      </c>
    </row>
    <row r="76" spans="2:12">
      <c r="B76" s="999" t="s">
        <v>1671</v>
      </c>
      <c r="C76" s="990">
        <v>0</v>
      </c>
      <c r="D76" s="990">
        <v>17600877.719999999</v>
      </c>
      <c r="E76" s="990">
        <v>15628866.07</v>
      </c>
      <c r="F76" s="990">
        <v>30785565.460000001</v>
      </c>
      <c r="G76" s="990">
        <v>28278908.239999998</v>
      </c>
      <c r="H76" s="990">
        <v>25997327.73</v>
      </c>
      <c r="L76" s="999" t="s">
        <v>1671</v>
      </c>
    </row>
    <row r="77" spans="2:12">
      <c r="B77" s="999" t="s">
        <v>1672</v>
      </c>
      <c r="C77" s="990">
        <v>0</v>
      </c>
      <c r="D77" s="990">
        <v>0</v>
      </c>
      <c r="E77" s="990">
        <v>0</v>
      </c>
      <c r="F77" s="990">
        <v>0</v>
      </c>
      <c r="G77" s="990">
        <v>0</v>
      </c>
      <c r="H77" s="990">
        <v>0</v>
      </c>
      <c r="L77" s="999" t="s">
        <v>1672</v>
      </c>
    </row>
    <row r="78" spans="2:12">
      <c r="B78" s="999" t="s">
        <v>1673</v>
      </c>
      <c r="C78" s="990">
        <v>0</v>
      </c>
      <c r="D78" s="990">
        <v>0</v>
      </c>
      <c r="E78" s="990">
        <v>0</v>
      </c>
      <c r="F78" s="990">
        <v>0</v>
      </c>
      <c r="G78" s="990">
        <v>0</v>
      </c>
      <c r="H78" s="990">
        <v>0</v>
      </c>
      <c r="L78" s="999" t="s">
        <v>1673</v>
      </c>
    </row>
    <row r="79" spans="2:12">
      <c r="B79" s="999" t="s">
        <v>1674</v>
      </c>
      <c r="C79" s="990">
        <v>0</v>
      </c>
      <c r="D79" s="990">
        <v>807075.56</v>
      </c>
      <c r="E79" s="990">
        <v>1922903.16</v>
      </c>
      <c r="F79" s="990">
        <v>1828500.3</v>
      </c>
      <c r="G79" s="990">
        <v>1603498.56</v>
      </c>
      <c r="H79" s="990">
        <v>4737922.68</v>
      </c>
      <c r="L79" s="999" t="s">
        <v>1674</v>
      </c>
    </row>
    <row r="80" spans="2:12">
      <c r="B80" s="999" t="s">
        <v>1675</v>
      </c>
      <c r="C80" s="990">
        <v>0</v>
      </c>
      <c r="D80" s="990">
        <v>875325.07</v>
      </c>
      <c r="E80" s="990">
        <v>1828581.59</v>
      </c>
      <c r="F80" s="990">
        <v>3476828.67</v>
      </c>
      <c r="G80" s="990">
        <v>9161776.2200000007</v>
      </c>
      <c r="H80" s="990">
        <v>8903633.3200000003</v>
      </c>
      <c r="L80" s="999" t="s">
        <v>1675</v>
      </c>
    </row>
    <row r="81" spans="2:12" ht="21.6">
      <c r="B81" s="1000" t="s">
        <v>1676</v>
      </c>
      <c r="C81" s="990">
        <v>0</v>
      </c>
      <c r="D81" s="990">
        <v>0</v>
      </c>
      <c r="E81" s="990">
        <v>0</v>
      </c>
      <c r="F81" s="990">
        <v>0</v>
      </c>
      <c r="G81" s="990">
        <v>0</v>
      </c>
      <c r="H81" s="990">
        <v>4427860.53</v>
      </c>
      <c r="L81" s="1000" t="s">
        <v>1676</v>
      </c>
    </row>
    <row r="82" spans="2:12">
      <c r="B82" s="1000" t="s">
        <v>1677</v>
      </c>
      <c r="C82" s="990">
        <v>0</v>
      </c>
      <c r="D82" s="990">
        <v>0</v>
      </c>
      <c r="E82" s="990">
        <v>0</v>
      </c>
      <c r="F82" s="990">
        <v>0</v>
      </c>
      <c r="G82" s="990">
        <v>0</v>
      </c>
      <c r="H82" s="990">
        <v>0</v>
      </c>
      <c r="L82" s="1000" t="s">
        <v>1677</v>
      </c>
    </row>
    <row r="83" spans="2:12">
      <c r="B83" s="1000" t="s">
        <v>1678</v>
      </c>
      <c r="C83" s="990">
        <v>0</v>
      </c>
      <c r="D83" s="990">
        <v>290813302.13</v>
      </c>
      <c r="E83" s="990">
        <v>417761561.75</v>
      </c>
      <c r="F83" s="990">
        <v>517706364.18000001</v>
      </c>
      <c r="G83" s="990">
        <v>766837875.02999997</v>
      </c>
      <c r="H83" s="990">
        <v>2386888688.8200002</v>
      </c>
      <c r="L83" s="1000" t="s">
        <v>1678</v>
      </c>
    </row>
    <row r="84" spans="2:12">
      <c r="B84" s="1000" t="s">
        <v>1679</v>
      </c>
      <c r="C84" s="990">
        <v>0</v>
      </c>
      <c r="D84" s="990">
        <v>5000000</v>
      </c>
      <c r="E84" s="990">
        <v>10000000</v>
      </c>
      <c r="F84" s="990">
        <v>57000000</v>
      </c>
      <c r="G84" s="990">
        <v>0</v>
      </c>
      <c r="H84" s="990">
        <v>0</v>
      </c>
      <c r="L84" s="1000" t="s">
        <v>1679</v>
      </c>
    </row>
    <row r="85" spans="2:12">
      <c r="B85" s="1000" t="s">
        <v>1680</v>
      </c>
      <c r="C85" s="990">
        <v>0</v>
      </c>
      <c r="D85" s="990">
        <v>0</v>
      </c>
      <c r="E85" s="990">
        <v>0</v>
      </c>
      <c r="F85" s="990">
        <v>0</v>
      </c>
      <c r="G85" s="990">
        <v>0</v>
      </c>
      <c r="H85" s="990">
        <v>0</v>
      </c>
      <c r="L85" s="1000" t="s">
        <v>1679</v>
      </c>
    </row>
    <row r="86" spans="2:12">
      <c r="B86" s="1000" t="s">
        <v>1681</v>
      </c>
      <c r="C86" s="990">
        <v>0</v>
      </c>
      <c r="D86" s="990">
        <v>33100500</v>
      </c>
      <c r="E86" s="990">
        <v>10300000</v>
      </c>
      <c r="F86" s="990">
        <v>0</v>
      </c>
      <c r="G86" s="990">
        <v>0</v>
      </c>
      <c r="H86" s="990">
        <v>0</v>
      </c>
      <c r="L86" s="1000" t="s">
        <v>1681</v>
      </c>
    </row>
    <row r="87" spans="2:12">
      <c r="B87" s="1000" t="s">
        <v>1682</v>
      </c>
      <c r="C87" s="990">
        <v>0</v>
      </c>
      <c r="D87" s="990">
        <v>50177201.710000001</v>
      </c>
      <c r="E87" s="990">
        <v>80533548.579999998</v>
      </c>
      <c r="F87" s="990">
        <v>79089406.650000006</v>
      </c>
      <c r="G87" s="990">
        <v>74275684.340000004</v>
      </c>
      <c r="H87" s="990">
        <v>193772541.83000001</v>
      </c>
      <c r="L87" s="1000" t="s">
        <v>1682</v>
      </c>
    </row>
    <row r="88" spans="2:12">
      <c r="B88" s="1000" t="s">
        <v>1683</v>
      </c>
      <c r="C88" s="990">
        <v>0</v>
      </c>
      <c r="D88" s="990">
        <v>3407232.91</v>
      </c>
      <c r="E88" s="990">
        <v>9549549.1999999993</v>
      </c>
      <c r="F88" s="990">
        <v>7113894.8200000003</v>
      </c>
      <c r="G88" s="990">
        <v>49155317.590000004</v>
      </c>
      <c r="H88" s="990">
        <v>20167735.920000002</v>
      </c>
      <c r="L88" s="1000" t="s">
        <v>1683</v>
      </c>
    </row>
    <row r="89" spans="2:12">
      <c r="B89" s="999" t="s">
        <v>1684</v>
      </c>
      <c r="C89" s="990">
        <v>0</v>
      </c>
      <c r="D89" s="990">
        <v>5460988.0199999996</v>
      </c>
      <c r="E89" s="990">
        <v>8562127.5299999993</v>
      </c>
      <c r="F89" s="990">
        <v>16078245.98</v>
      </c>
      <c r="G89" s="990">
        <v>22938145.199999999</v>
      </c>
      <c r="H89" s="990">
        <v>47184025.509999998</v>
      </c>
      <c r="L89" s="999" t="s">
        <v>1684</v>
      </c>
    </row>
    <row r="90" spans="2:12">
      <c r="B90" s="999" t="s">
        <v>1685</v>
      </c>
      <c r="C90" s="990">
        <v>0</v>
      </c>
      <c r="D90" s="990">
        <v>1485688.31</v>
      </c>
      <c r="E90" s="990">
        <v>9995249.5199999996</v>
      </c>
      <c r="F90" s="990">
        <v>12716893.050000001</v>
      </c>
      <c r="G90" s="990">
        <v>44637405.710000001</v>
      </c>
      <c r="H90" s="990">
        <v>23262394.870000001</v>
      </c>
      <c r="L90" s="999" t="s">
        <v>1685</v>
      </c>
    </row>
    <row r="91" spans="2:12">
      <c r="B91" s="999" t="s">
        <v>1686</v>
      </c>
      <c r="C91" s="990">
        <v>0</v>
      </c>
      <c r="D91" s="990">
        <v>35000</v>
      </c>
      <c r="E91" s="990">
        <v>90277.78</v>
      </c>
      <c r="F91" s="990">
        <v>34437.5</v>
      </c>
      <c r="G91" s="990">
        <v>0</v>
      </c>
      <c r="H91" s="990">
        <v>0</v>
      </c>
      <c r="L91" s="999" t="s">
        <v>1686</v>
      </c>
    </row>
    <row r="92" spans="2:12">
      <c r="B92" s="999" t="s">
        <v>1687</v>
      </c>
      <c r="C92" s="990">
        <v>0</v>
      </c>
      <c r="D92" s="990">
        <v>168000</v>
      </c>
      <c r="E92" s="990">
        <v>392000</v>
      </c>
      <c r="F92" s="990">
        <v>0</v>
      </c>
      <c r="G92" s="990">
        <v>0</v>
      </c>
      <c r="H92" s="990">
        <v>0</v>
      </c>
      <c r="L92" s="999" t="s">
        <v>1687</v>
      </c>
    </row>
    <row r="93" spans="2:12">
      <c r="B93" s="999" t="s">
        <v>1688</v>
      </c>
      <c r="C93" s="990">
        <v>0</v>
      </c>
      <c r="D93" s="990">
        <v>203441.44</v>
      </c>
      <c r="E93" s="990">
        <v>18817761.859999999</v>
      </c>
      <c r="F93" s="990">
        <v>1464728.56</v>
      </c>
      <c r="G93" s="990">
        <v>1504803.69</v>
      </c>
      <c r="H93" s="990">
        <v>0</v>
      </c>
      <c r="L93" s="999" t="s">
        <v>1688</v>
      </c>
    </row>
    <row r="94" spans="2:12">
      <c r="B94" s="999" t="s">
        <v>1689</v>
      </c>
      <c r="C94" s="990">
        <v>0</v>
      </c>
      <c r="D94" s="990">
        <v>0</v>
      </c>
      <c r="E94" s="990">
        <v>0</v>
      </c>
      <c r="F94" s="990">
        <v>0</v>
      </c>
      <c r="G94" s="990">
        <v>0</v>
      </c>
      <c r="H94" s="990">
        <v>0</v>
      </c>
      <c r="L94" s="999" t="s">
        <v>1689</v>
      </c>
    </row>
    <row r="95" spans="2:12">
      <c r="B95" s="999" t="s">
        <v>1692</v>
      </c>
      <c r="C95" s="990">
        <v>0</v>
      </c>
      <c r="D95" s="990">
        <v>0</v>
      </c>
      <c r="E95" s="990">
        <v>0</v>
      </c>
      <c r="F95" s="990">
        <v>0</v>
      </c>
      <c r="G95" s="990">
        <v>0</v>
      </c>
      <c r="H95" s="990">
        <v>0</v>
      </c>
      <c r="L95" s="999" t="s">
        <v>1692</v>
      </c>
    </row>
    <row r="96" spans="2:12" ht="21.6">
      <c r="B96" s="999" t="s">
        <v>1691</v>
      </c>
      <c r="C96" s="990">
        <v>0</v>
      </c>
      <c r="D96" s="990">
        <v>0</v>
      </c>
      <c r="E96" s="990">
        <v>40000000</v>
      </c>
      <c r="F96" s="990">
        <v>0</v>
      </c>
      <c r="G96" s="990">
        <v>0</v>
      </c>
      <c r="H96" s="990">
        <v>0</v>
      </c>
      <c r="L96" s="999" t="s">
        <v>1691</v>
      </c>
    </row>
    <row r="97" spans="2:14">
      <c r="B97" s="999" t="s">
        <v>1713</v>
      </c>
      <c r="C97" s="990">
        <v>0</v>
      </c>
      <c r="D97" s="990">
        <v>35470270.539999999</v>
      </c>
      <c r="E97" s="990">
        <v>34701619.609999999</v>
      </c>
      <c r="F97" s="990">
        <v>23667269.25</v>
      </c>
      <c r="G97" s="990">
        <v>47965309.359999999</v>
      </c>
      <c r="H97" s="990">
        <v>45982237.159999996</v>
      </c>
      <c r="L97" s="999" t="s">
        <v>1713</v>
      </c>
    </row>
    <row r="98" spans="2:14">
      <c r="B98" s="999" t="s">
        <v>1693</v>
      </c>
      <c r="C98" s="990">
        <v>0</v>
      </c>
      <c r="D98" s="990">
        <v>0</v>
      </c>
      <c r="E98" s="990">
        <v>0</v>
      </c>
      <c r="F98" s="990">
        <v>0</v>
      </c>
      <c r="G98" s="990">
        <v>0</v>
      </c>
      <c r="H98" s="990">
        <v>0</v>
      </c>
      <c r="L98" s="999" t="s">
        <v>1693</v>
      </c>
    </row>
    <row r="99" spans="2:14">
      <c r="B99" s="999" t="s">
        <v>1694</v>
      </c>
      <c r="C99" s="990">
        <v>0</v>
      </c>
      <c r="D99" s="990">
        <v>0</v>
      </c>
      <c r="E99" s="990">
        <v>0</v>
      </c>
      <c r="F99" s="990">
        <v>0</v>
      </c>
      <c r="G99" s="990">
        <v>0</v>
      </c>
      <c r="H99" s="990">
        <v>0</v>
      </c>
      <c r="L99" s="999" t="s">
        <v>1693</v>
      </c>
    </row>
    <row r="100" spans="2:14">
      <c r="B100" s="999" t="s">
        <v>1695</v>
      </c>
      <c r="C100" s="990">
        <v>0</v>
      </c>
      <c r="D100" s="990">
        <v>0</v>
      </c>
      <c r="E100" s="990">
        <v>0</v>
      </c>
      <c r="F100" s="990">
        <v>0</v>
      </c>
      <c r="G100" s="990">
        <v>0</v>
      </c>
      <c r="H100" s="990">
        <v>0</v>
      </c>
      <c r="L100" s="999" t="s">
        <v>1695</v>
      </c>
    </row>
    <row r="101" spans="2:14">
      <c r="B101" s="999" t="s">
        <v>1696</v>
      </c>
      <c r="C101" s="990">
        <v>0</v>
      </c>
      <c r="D101" s="990">
        <v>0</v>
      </c>
      <c r="E101" s="990">
        <v>0</v>
      </c>
      <c r="F101" s="990">
        <v>0</v>
      </c>
      <c r="G101" s="990">
        <v>0</v>
      </c>
      <c r="H101" s="990">
        <v>0</v>
      </c>
      <c r="L101" s="999" t="s">
        <v>1696</v>
      </c>
    </row>
    <row r="102" spans="2:14">
      <c r="B102" s="999" t="s">
        <v>1697</v>
      </c>
      <c r="C102" s="990">
        <v>0</v>
      </c>
      <c r="D102" s="990">
        <v>0</v>
      </c>
      <c r="E102" s="990">
        <v>0</v>
      </c>
      <c r="F102" s="990">
        <v>0</v>
      </c>
      <c r="G102" s="990">
        <v>0</v>
      </c>
      <c r="H102" s="990">
        <v>0</v>
      </c>
      <c r="L102" s="999" t="s">
        <v>1697</v>
      </c>
    </row>
    <row r="103" spans="2:14">
      <c r="B103" s="999" t="s">
        <v>1698</v>
      </c>
      <c r="C103" s="990">
        <v>0</v>
      </c>
      <c r="D103" s="990">
        <v>0</v>
      </c>
      <c r="E103" s="990">
        <v>0</v>
      </c>
      <c r="F103" s="990">
        <v>0</v>
      </c>
      <c r="G103" s="990">
        <v>0</v>
      </c>
      <c r="H103" s="990">
        <v>0</v>
      </c>
      <c r="L103" s="999" t="s">
        <v>1698</v>
      </c>
    </row>
    <row r="104" spans="2:14">
      <c r="B104" s="999" t="s">
        <v>1699</v>
      </c>
      <c r="C104" s="990">
        <v>0</v>
      </c>
      <c r="D104" s="990">
        <v>0</v>
      </c>
      <c r="E104" s="990">
        <v>0</v>
      </c>
      <c r="F104" s="990">
        <v>0</v>
      </c>
      <c r="G104" s="990">
        <v>0</v>
      </c>
      <c r="H104" s="990">
        <v>0</v>
      </c>
      <c r="L104" s="999" t="s">
        <v>1699</v>
      </c>
    </row>
    <row r="105" spans="2:14">
      <c r="B105" s="999" t="s">
        <v>1700</v>
      </c>
      <c r="C105" s="990">
        <v>0</v>
      </c>
      <c r="D105" s="990">
        <v>0</v>
      </c>
      <c r="E105" s="990">
        <v>0</v>
      </c>
      <c r="F105" s="990">
        <v>0</v>
      </c>
      <c r="G105" s="990">
        <v>0</v>
      </c>
      <c r="H105" s="990">
        <v>0</v>
      </c>
      <c r="L105" s="999" t="s">
        <v>1699</v>
      </c>
    </row>
    <row r="106" spans="2:14">
      <c r="B106" s="999" t="s">
        <v>1701</v>
      </c>
      <c r="C106" s="990">
        <v>0</v>
      </c>
      <c r="D106" s="990">
        <v>0</v>
      </c>
      <c r="E106" s="990">
        <v>0</v>
      </c>
      <c r="F106" s="990">
        <v>0</v>
      </c>
      <c r="G106" s="990">
        <v>0</v>
      </c>
      <c r="H106" s="990">
        <v>0</v>
      </c>
      <c r="L106" s="999" t="s">
        <v>1701</v>
      </c>
    </row>
    <row r="107" spans="2:14">
      <c r="B107" s="999" t="s">
        <v>1702</v>
      </c>
      <c r="C107" s="990">
        <v>0</v>
      </c>
      <c r="D107" s="990">
        <v>0</v>
      </c>
      <c r="E107" s="990">
        <v>0</v>
      </c>
      <c r="F107" s="990">
        <v>0</v>
      </c>
      <c r="G107" s="990">
        <v>0</v>
      </c>
      <c r="H107" s="990">
        <v>0</v>
      </c>
      <c r="L107" s="999" t="s">
        <v>1702</v>
      </c>
    </row>
    <row r="108" spans="2:14">
      <c r="B108" s="999" t="s">
        <v>1703</v>
      </c>
      <c r="C108" s="990">
        <v>0</v>
      </c>
      <c r="D108" s="990">
        <v>0</v>
      </c>
      <c r="E108" s="990">
        <v>0</v>
      </c>
      <c r="F108" s="990">
        <v>0</v>
      </c>
      <c r="G108" s="990">
        <v>0</v>
      </c>
      <c r="H108" s="990">
        <v>0</v>
      </c>
      <c r="L108" s="999" t="s">
        <v>1703</v>
      </c>
    </row>
    <row r="109" spans="2:14">
      <c r="B109" s="999" t="s">
        <v>1704</v>
      </c>
      <c r="C109" s="990">
        <v>0</v>
      </c>
      <c r="D109" s="990">
        <v>99038052.390000001</v>
      </c>
      <c r="E109" s="990">
        <v>188240514.47</v>
      </c>
      <c r="F109" s="990">
        <v>173497606.56</v>
      </c>
      <c r="G109" s="990">
        <v>192511356.53</v>
      </c>
      <c r="H109" s="990">
        <v>287139608.77999997</v>
      </c>
      <c r="L109" s="999" t="s">
        <v>1704</v>
      </c>
    </row>
    <row r="110" spans="2:14" s="992" customFormat="1">
      <c r="B110" s="999" t="s">
        <v>1705</v>
      </c>
      <c r="C110" s="990">
        <v>0</v>
      </c>
      <c r="D110" s="990">
        <v>30000000</v>
      </c>
      <c r="E110" s="990">
        <v>20000000</v>
      </c>
      <c r="F110" s="990">
        <v>0</v>
      </c>
      <c r="G110" s="990">
        <v>0</v>
      </c>
      <c r="H110" s="990">
        <v>0</v>
      </c>
      <c r="L110" s="999" t="s">
        <v>1705</v>
      </c>
    </row>
    <row r="111" spans="2:14">
      <c r="B111" s="999" t="s">
        <v>1706</v>
      </c>
      <c r="C111" s="990">
        <v>0</v>
      </c>
      <c r="D111" s="990">
        <v>0</v>
      </c>
      <c r="E111" s="990">
        <v>0</v>
      </c>
      <c r="F111" s="990">
        <v>0</v>
      </c>
      <c r="G111" s="990">
        <v>0</v>
      </c>
      <c r="H111" s="990">
        <v>0</v>
      </c>
      <c r="L111" s="999" t="s">
        <v>1706</v>
      </c>
      <c r="N111" s="991"/>
    </row>
    <row r="112" spans="2:14">
      <c r="B112" s="1000" t="s">
        <v>1707</v>
      </c>
      <c r="C112" s="990">
        <v>0</v>
      </c>
      <c r="D112" s="990">
        <v>0</v>
      </c>
      <c r="E112" s="990">
        <v>0</v>
      </c>
      <c r="F112" s="990">
        <v>0</v>
      </c>
      <c r="G112" s="990">
        <v>0</v>
      </c>
      <c r="H112" s="990">
        <v>0</v>
      </c>
      <c r="L112" s="1000" t="s">
        <v>1707</v>
      </c>
      <c r="N112" s="991"/>
    </row>
    <row r="113" spans="2:12">
      <c r="B113" s="1000" t="s">
        <v>1708</v>
      </c>
      <c r="C113" s="990">
        <v>0</v>
      </c>
      <c r="D113" s="990">
        <v>0</v>
      </c>
      <c r="E113" s="990">
        <v>0</v>
      </c>
      <c r="F113" s="990">
        <v>0</v>
      </c>
      <c r="G113" s="990">
        <v>0</v>
      </c>
      <c r="H113" s="990">
        <v>0</v>
      </c>
      <c r="L113" s="1000" t="s">
        <v>1708</v>
      </c>
    </row>
    <row r="114" spans="2:12">
      <c r="B114" s="1000" t="s">
        <v>1709</v>
      </c>
      <c r="C114" s="990">
        <v>0</v>
      </c>
      <c r="D114" s="990">
        <v>0</v>
      </c>
      <c r="E114" s="990">
        <v>0</v>
      </c>
      <c r="F114" s="990">
        <v>0</v>
      </c>
      <c r="G114" s="990">
        <v>0</v>
      </c>
      <c r="H114" s="990">
        <v>0</v>
      </c>
      <c r="L114" s="1000" t="s">
        <v>1709</v>
      </c>
    </row>
    <row r="115" spans="2:12">
      <c r="B115" s="999" t="s">
        <v>1710</v>
      </c>
      <c r="C115" s="990">
        <v>0</v>
      </c>
      <c r="D115" s="990">
        <v>308210.53999999998</v>
      </c>
      <c r="E115" s="990">
        <v>853226.28</v>
      </c>
      <c r="F115" s="990">
        <v>1684896.82</v>
      </c>
      <c r="G115" s="990">
        <v>2633554.14</v>
      </c>
      <c r="H115" s="990">
        <v>9674767.9399999995</v>
      </c>
      <c r="L115" s="999" t="s">
        <v>1710</v>
      </c>
    </row>
    <row r="116" spans="2:12">
      <c r="B116" s="999" t="s">
        <v>1711</v>
      </c>
      <c r="C116" s="990">
        <v>0</v>
      </c>
      <c r="D116" s="990">
        <v>5162060</v>
      </c>
      <c r="E116" s="990">
        <v>13848393.33</v>
      </c>
      <c r="F116" s="990">
        <v>21982372.43</v>
      </c>
      <c r="G116" s="990">
        <v>45331755.219999999</v>
      </c>
      <c r="H116" s="990">
        <v>36307469.219999999</v>
      </c>
      <c r="L116" s="999" t="s">
        <v>1711</v>
      </c>
    </row>
    <row r="117" spans="2:12">
      <c r="B117" s="999" t="s">
        <v>1712</v>
      </c>
      <c r="C117" s="990">
        <v>0</v>
      </c>
      <c r="D117" s="990">
        <v>0</v>
      </c>
      <c r="E117" s="990">
        <v>0</v>
      </c>
      <c r="F117" s="990">
        <v>0</v>
      </c>
      <c r="G117" s="990">
        <v>0</v>
      </c>
      <c r="H117" s="990">
        <v>0</v>
      </c>
      <c r="L117" s="999" t="s">
        <v>1712</v>
      </c>
    </row>
    <row r="118" spans="2:12">
      <c r="B118" s="999" t="s">
        <v>1713</v>
      </c>
      <c r="C118" s="990">
        <v>0</v>
      </c>
      <c r="D118" s="990">
        <v>35470270.539999999</v>
      </c>
      <c r="E118" s="990">
        <v>34701619.609999999</v>
      </c>
      <c r="F118" s="990">
        <v>23667269.25</v>
      </c>
      <c r="G118" s="990">
        <v>47965309.359999999</v>
      </c>
      <c r="H118" s="990">
        <v>45982237.159999996</v>
      </c>
      <c r="L118" s="999" t="s">
        <v>1713</v>
      </c>
    </row>
    <row r="119" spans="2:12">
      <c r="B119" s="999" t="s">
        <v>1714</v>
      </c>
      <c r="C119" s="990">
        <v>0</v>
      </c>
      <c r="D119" s="990">
        <v>134508322.93000001</v>
      </c>
      <c r="E119" s="990">
        <v>222942134.08000001</v>
      </c>
      <c r="F119" s="990">
        <v>197164875.81</v>
      </c>
      <c r="G119" s="990">
        <v>240476665.88999999</v>
      </c>
      <c r="H119" s="990">
        <v>333121845.94</v>
      </c>
      <c r="L119" s="999" t="s">
        <v>1714</v>
      </c>
    </row>
    <row r="120" spans="2:12">
      <c r="B120" s="999" t="s">
        <v>1715</v>
      </c>
      <c r="C120" s="990">
        <v>0</v>
      </c>
      <c r="D120" s="990">
        <v>156304979.19999999</v>
      </c>
      <c r="E120" s="990">
        <v>194819427.66999999</v>
      </c>
      <c r="F120" s="990">
        <v>320541488.37</v>
      </c>
      <c r="G120" s="990">
        <v>526361209.13999999</v>
      </c>
      <c r="H120" s="990">
        <v>2053766842.8800001</v>
      </c>
      <c r="L120" s="999" t="s">
        <v>1715</v>
      </c>
    </row>
    <row r="121" spans="2:12">
      <c r="B121" s="999" t="s">
        <v>1716</v>
      </c>
      <c r="C121" s="990">
        <v>0</v>
      </c>
      <c r="D121" s="990">
        <v>87070000</v>
      </c>
      <c r="E121" s="990">
        <v>96000000</v>
      </c>
      <c r="F121" s="990">
        <v>96000000</v>
      </c>
      <c r="G121" s="990">
        <v>96000000</v>
      </c>
      <c r="H121" s="990">
        <v>128000000</v>
      </c>
      <c r="L121" s="999" t="s">
        <v>1716</v>
      </c>
    </row>
    <row r="122" spans="2:12">
      <c r="B122" s="999" t="s">
        <v>1717</v>
      </c>
      <c r="C122" s="990">
        <v>0</v>
      </c>
      <c r="D122" s="990">
        <v>20339600</v>
      </c>
      <c r="E122" s="990">
        <v>60895667.590000004</v>
      </c>
      <c r="F122" s="990">
        <v>84627998.730000004</v>
      </c>
      <c r="G122" s="990">
        <v>42257747</v>
      </c>
      <c r="H122" s="990">
        <v>1129411239.4300001</v>
      </c>
      <c r="L122" s="999" t="s">
        <v>1717</v>
      </c>
    </row>
    <row r="123" spans="2:12">
      <c r="B123" s="999" t="s">
        <v>1718</v>
      </c>
      <c r="C123" s="990">
        <v>0</v>
      </c>
      <c r="D123" s="990">
        <v>0</v>
      </c>
      <c r="E123" s="990">
        <v>0</v>
      </c>
      <c r="F123" s="990">
        <v>0</v>
      </c>
      <c r="G123" s="990">
        <v>0</v>
      </c>
      <c r="H123" s="990">
        <v>0</v>
      </c>
      <c r="L123" s="999" t="s">
        <v>1718</v>
      </c>
    </row>
    <row r="124" spans="2:12">
      <c r="B124" s="999" t="s">
        <v>1719</v>
      </c>
      <c r="C124" s="990">
        <v>0</v>
      </c>
      <c r="D124" s="990">
        <v>5896795.6699999999</v>
      </c>
      <c r="E124" s="990">
        <v>3917990.3</v>
      </c>
      <c r="F124" s="990">
        <v>12908367.42</v>
      </c>
      <c r="G124" s="990">
        <v>39894925.229999997</v>
      </c>
      <c r="H124" s="990">
        <v>78399630.560000002</v>
      </c>
      <c r="L124" s="999" t="s">
        <v>1719</v>
      </c>
    </row>
    <row r="125" spans="2:12">
      <c r="B125" s="999" t="s">
        <v>1720</v>
      </c>
      <c r="C125" s="990">
        <v>0</v>
      </c>
      <c r="D125" s="990">
        <v>42998583.530000001</v>
      </c>
      <c r="E125" s="990">
        <v>25188394.07</v>
      </c>
      <c r="F125" s="990">
        <v>100433397.73999999</v>
      </c>
      <c r="G125" s="990">
        <v>336222391.95999998</v>
      </c>
      <c r="H125" s="990">
        <v>698562652.66999996</v>
      </c>
      <c r="L125" s="999" t="s">
        <v>1720</v>
      </c>
    </row>
    <row r="126" spans="2:12">
      <c r="B126" s="999" t="s">
        <v>1721</v>
      </c>
      <c r="C126" s="990">
        <v>0</v>
      </c>
      <c r="D126" s="990">
        <v>0</v>
      </c>
      <c r="E126" s="990">
        <v>0</v>
      </c>
      <c r="F126" s="990">
        <v>0</v>
      </c>
      <c r="G126" s="990">
        <v>0</v>
      </c>
      <c r="H126" s="990">
        <v>0</v>
      </c>
      <c r="L126" s="999" t="s">
        <v>1721</v>
      </c>
    </row>
    <row r="127" spans="2:12">
      <c r="B127" s="999" t="s">
        <v>1722</v>
      </c>
      <c r="C127" s="990">
        <v>0</v>
      </c>
      <c r="D127" s="990">
        <v>0</v>
      </c>
      <c r="E127" s="990">
        <v>0</v>
      </c>
      <c r="F127" s="990">
        <v>0</v>
      </c>
      <c r="G127" s="990">
        <v>0</v>
      </c>
      <c r="H127" s="990">
        <v>0</v>
      </c>
      <c r="L127" s="999" t="s">
        <v>1722</v>
      </c>
    </row>
    <row r="128" spans="2:12">
      <c r="B128" s="999" t="s">
        <v>1723</v>
      </c>
      <c r="C128" s="990">
        <v>0</v>
      </c>
      <c r="D128" s="990">
        <v>0</v>
      </c>
      <c r="E128" s="990">
        <v>0</v>
      </c>
      <c r="F128" s="990">
        <v>0</v>
      </c>
      <c r="G128" s="990">
        <v>0</v>
      </c>
      <c r="H128" s="990">
        <v>0</v>
      </c>
      <c r="L128" s="999" t="s">
        <v>1723</v>
      </c>
    </row>
    <row r="129" spans="2:12">
      <c r="B129" s="999" t="s">
        <v>1724</v>
      </c>
      <c r="C129" s="990">
        <v>0</v>
      </c>
      <c r="D129" s="990">
        <v>156304979.19999999</v>
      </c>
      <c r="E129" s="990">
        <v>186002051.96000001</v>
      </c>
      <c r="F129" s="990">
        <v>293969763.88999999</v>
      </c>
      <c r="G129" s="990">
        <v>514375064.19</v>
      </c>
      <c r="H129" s="990">
        <v>2034373522.6600001</v>
      </c>
      <c r="L129" s="999" t="s">
        <v>1724</v>
      </c>
    </row>
    <row r="130" spans="2:12">
      <c r="B130" s="999" t="s">
        <v>1725</v>
      </c>
      <c r="C130" s="990">
        <v>0</v>
      </c>
      <c r="D130" s="990">
        <v>0</v>
      </c>
      <c r="E130" s="990">
        <v>8817375.7100000009</v>
      </c>
      <c r="F130" s="990">
        <v>26571724.48</v>
      </c>
      <c r="G130" s="990">
        <v>11986144.949999999</v>
      </c>
      <c r="H130" s="990">
        <v>19393320.219999999</v>
      </c>
      <c r="L130" s="999" t="s">
        <v>1725</v>
      </c>
    </row>
    <row r="131" spans="2:12">
      <c r="B131" s="999" t="s">
        <v>1726</v>
      </c>
      <c r="C131" s="990">
        <v>0</v>
      </c>
      <c r="D131" s="990">
        <v>290813302.13</v>
      </c>
      <c r="E131" s="990">
        <v>417761561.75</v>
      </c>
      <c r="F131" s="990">
        <v>517706364.18000001</v>
      </c>
      <c r="G131" s="990">
        <v>766837875.02999997</v>
      </c>
      <c r="H131" s="990">
        <v>2386888688.8200002</v>
      </c>
      <c r="L131" s="999" t="s">
        <v>1726</v>
      </c>
    </row>
    <row r="132" spans="2:12">
      <c r="B132" s="999" t="s">
        <v>1727</v>
      </c>
      <c r="C132" s="990">
        <v>0</v>
      </c>
      <c r="D132" s="990">
        <v>160665020.15000001</v>
      </c>
      <c r="E132" s="990">
        <v>252135268.69</v>
      </c>
      <c r="F132" s="990">
        <v>468658565.06</v>
      </c>
      <c r="G132" s="990">
        <v>730243349.20000005</v>
      </c>
      <c r="H132" s="990">
        <v>1031210977.11</v>
      </c>
      <c r="L132" s="999" t="s">
        <v>1727</v>
      </c>
    </row>
    <row r="133" spans="2:12">
      <c r="B133" s="999" t="s">
        <v>1728</v>
      </c>
      <c r="C133" s="990">
        <v>0</v>
      </c>
      <c r="D133" s="990">
        <v>0</v>
      </c>
      <c r="E133" s="990">
        <v>0</v>
      </c>
      <c r="F133" s="990">
        <v>0</v>
      </c>
      <c r="G133" s="990">
        <v>0</v>
      </c>
      <c r="H133" s="990">
        <v>0</v>
      </c>
      <c r="L133" s="999" t="s">
        <v>1728</v>
      </c>
    </row>
    <row r="134" spans="2:12">
      <c r="B134" s="999" t="s">
        <v>1729</v>
      </c>
      <c r="C134" s="990">
        <v>0</v>
      </c>
      <c r="D134" s="990">
        <v>0</v>
      </c>
      <c r="E134" s="990">
        <v>0</v>
      </c>
      <c r="F134" s="990">
        <v>0</v>
      </c>
      <c r="G134" s="990">
        <v>0</v>
      </c>
      <c r="H134" s="990">
        <v>0</v>
      </c>
      <c r="L134" s="999" t="s">
        <v>1729</v>
      </c>
    </row>
    <row r="135" spans="2:12">
      <c r="B135" s="999" t="s">
        <v>1730</v>
      </c>
      <c r="C135" s="990">
        <v>0</v>
      </c>
      <c r="D135" s="990">
        <v>0</v>
      </c>
      <c r="E135" s="990">
        <v>0</v>
      </c>
      <c r="F135" s="990">
        <v>0</v>
      </c>
      <c r="G135" s="990">
        <v>0</v>
      </c>
      <c r="H135" s="990">
        <v>0</v>
      </c>
      <c r="L135" s="999" t="s">
        <v>1730</v>
      </c>
    </row>
    <row r="136" spans="2:12">
      <c r="B136" s="999" t="s">
        <v>1731</v>
      </c>
      <c r="C136" s="990">
        <v>0</v>
      </c>
      <c r="D136" s="990">
        <v>0</v>
      </c>
      <c r="E136" s="990">
        <v>0</v>
      </c>
      <c r="F136" s="990">
        <v>0</v>
      </c>
      <c r="G136" s="990">
        <v>0</v>
      </c>
      <c r="H136" s="990">
        <v>0</v>
      </c>
      <c r="L136" s="999" t="s">
        <v>1731</v>
      </c>
    </row>
    <row r="137" spans="2:12">
      <c r="B137" s="999" t="s">
        <v>1732</v>
      </c>
      <c r="C137" s="990">
        <v>0</v>
      </c>
      <c r="D137" s="990">
        <v>0</v>
      </c>
      <c r="E137" s="990">
        <v>0</v>
      </c>
      <c r="F137" s="990">
        <v>0</v>
      </c>
      <c r="G137" s="990">
        <v>0</v>
      </c>
      <c r="H137" s="990">
        <v>0</v>
      </c>
      <c r="L137" s="999" t="s">
        <v>1732</v>
      </c>
    </row>
    <row r="138" spans="2:12">
      <c r="B138" s="999" t="s">
        <v>1733</v>
      </c>
      <c r="C138" s="990">
        <v>0</v>
      </c>
      <c r="D138" s="990">
        <v>1112753.8</v>
      </c>
      <c r="E138" s="990">
        <v>3043616.04</v>
      </c>
      <c r="F138" s="990">
        <v>219946.58</v>
      </c>
      <c r="G138" s="990">
        <v>2728346.27</v>
      </c>
      <c r="H138" s="990">
        <v>2843993.91</v>
      </c>
      <c r="L138" s="999" t="s">
        <v>1733</v>
      </c>
    </row>
    <row r="139" spans="2:12">
      <c r="B139" s="999" t="s">
        <v>1734</v>
      </c>
      <c r="C139" s="990">
        <v>0</v>
      </c>
      <c r="D139" s="990">
        <v>10067082.02</v>
      </c>
      <c r="E139" s="990">
        <v>14483779.300000001</v>
      </c>
      <c r="F139" s="990">
        <v>21590460.289999999</v>
      </c>
      <c r="G139" s="990">
        <v>50812556.200000003</v>
      </c>
      <c r="H139" s="990">
        <v>30112281.780000001</v>
      </c>
      <c r="L139" s="999" t="s">
        <v>1734</v>
      </c>
    </row>
    <row r="140" spans="2:12">
      <c r="B140" s="999" t="s">
        <v>1735</v>
      </c>
      <c r="C140" s="990">
        <v>0</v>
      </c>
      <c r="D140" s="990">
        <v>171844855.97</v>
      </c>
      <c r="E140" s="990">
        <v>269662664.02999997</v>
      </c>
      <c r="F140" s="990">
        <v>490468971.93000001</v>
      </c>
      <c r="G140" s="990">
        <v>783784251.66999996</v>
      </c>
      <c r="H140" s="990">
        <v>1064167252.8</v>
      </c>
      <c r="L140" s="999" t="s">
        <v>1735</v>
      </c>
    </row>
    <row r="141" spans="2:12">
      <c r="B141" s="999" t="s">
        <v>1736</v>
      </c>
      <c r="C141" s="990">
        <v>0</v>
      </c>
      <c r="D141" s="990">
        <v>0</v>
      </c>
      <c r="E141" s="990">
        <v>0</v>
      </c>
      <c r="F141" s="990">
        <v>0</v>
      </c>
      <c r="G141" s="990">
        <v>0</v>
      </c>
      <c r="H141" s="990">
        <v>0</v>
      </c>
      <c r="L141" s="999" t="s">
        <v>1736</v>
      </c>
    </row>
    <row r="142" spans="2:12">
      <c r="B142" s="999" t="s">
        <v>1737</v>
      </c>
      <c r="C142" s="990">
        <v>0</v>
      </c>
      <c r="D142" s="990">
        <v>0</v>
      </c>
      <c r="E142" s="990">
        <v>0</v>
      </c>
      <c r="F142" s="990">
        <v>0</v>
      </c>
      <c r="G142" s="990">
        <v>0</v>
      </c>
      <c r="H142" s="990">
        <v>0</v>
      </c>
      <c r="L142" s="999" t="s">
        <v>1737</v>
      </c>
    </row>
    <row r="143" spans="2:12">
      <c r="B143" s="999" t="s">
        <v>1738</v>
      </c>
      <c r="C143" s="990">
        <v>0</v>
      </c>
      <c r="D143" s="990">
        <v>117660401.53</v>
      </c>
      <c r="E143" s="990">
        <v>201464695.5</v>
      </c>
      <c r="F143" s="990">
        <v>239008330.78</v>
      </c>
      <c r="G143" s="990">
        <v>352077097.33999997</v>
      </c>
      <c r="H143" s="990">
        <v>423942796.29000002</v>
      </c>
      <c r="L143" s="999" t="s">
        <v>1738</v>
      </c>
    </row>
    <row r="144" spans="2:12">
      <c r="B144" s="999" t="s">
        <v>1739</v>
      </c>
      <c r="C144" s="990">
        <v>0</v>
      </c>
      <c r="D144" s="990">
        <v>27490827.059999999</v>
      </c>
      <c r="E144" s="990">
        <v>48725473.270000003</v>
      </c>
      <c r="F144" s="990">
        <v>63718970.890000001</v>
      </c>
      <c r="G144" s="990">
        <v>96830052.260000005</v>
      </c>
      <c r="H144" s="990">
        <v>151232010.83000001</v>
      </c>
      <c r="L144" s="999" t="s">
        <v>1739</v>
      </c>
    </row>
    <row r="145" spans="2:12">
      <c r="B145" s="999" t="s">
        <v>1740</v>
      </c>
      <c r="C145" s="990">
        <v>0</v>
      </c>
      <c r="D145" s="990">
        <v>5771838.7199999997</v>
      </c>
      <c r="E145" s="990">
        <v>8646032.9399999995</v>
      </c>
      <c r="F145" s="990">
        <v>42312427.079999998</v>
      </c>
      <c r="G145" s="990">
        <v>87438364.349999994</v>
      </c>
      <c r="H145" s="990">
        <v>186385917.56999999</v>
      </c>
      <c r="L145" s="999" t="s">
        <v>1740</v>
      </c>
    </row>
    <row r="146" spans="2:12">
      <c r="B146" s="999" t="s">
        <v>1741</v>
      </c>
      <c r="C146" s="990">
        <v>0</v>
      </c>
      <c r="D146" s="990">
        <v>16806774.030000001</v>
      </c>
      <c r="E146" s="990">
        <v>15142402.869999999</v>
      </c>
      <c r="F146" s="990">
        <v>22551163.989999998</v>
      </c>
      <c r="G146" s="990">
        <v>43820675.109999999</v>
      </c>
      <c r="H146" s="990">
        <v>41100192.090000004</v>
      </c>
      <c r="L146" s="999" t="s">
        <v>1741</v>
      </c>
    </row>
    <row r="147" spans="2:12">
      <c r="B147" s="1000" t="s">
        <v>1742</v>
      </c>
      <c r="C147" s="990">
        <v>0</v>
      </c>
      <c r="D147" s="990">
        <v>167729841.34</v>
      </c>
      <c r="E147" s="990">
        <v>273978604.57999998</v>
      </c>
      <c r="F147" s="990">
        <v>367590892.74000001</v>
      </c>
      <c r="G147" s="990">
        <v>580166189.05999994</v>
      </c>
      <c r="H147" s="990">
        <v>802660916.77999997</v>
      </c>
      <c r="L147" s="1000" t="s">
        <v>1742</v>
      </c>
    </row>
    <row r="148" spans="2:12">
      <c r="B148" s="1000" t="s">
        <v>1743</v>
      </c>
      <c r="C148" s="990">
        <v>0</v>
      </c>
      <c r="D148" s="990">
        <v>4115014.63</v>
      </c>
      <c r="E148" s="990">
        <v>-4315940.55</v>
      </c>
      <c r="F148" s="990">
        <v>122878079.19</v>
      </c>
      <c r="G148" s="990">
        <v>203618062.61000001</v>
      </c>
      <c r="H148" s="990">
        <v>261506336.02000001</v>
      </c>
      <c r="L148" s="1000" t="s">
        <v>1743</v>
      </c>
    </row>
    <row r="149" spans="2:12">
      <c r="B149" s="1000" t="s">
        <v>1744</v>
      </c>
      <c r="C149" s="990">
        <v>0</v>
      </c>
      <c r="D149" s="990">
        <v>0</v>
      </c>
      <c r="E149" s="990">
        <v>0</v>
      </c>
      <c r="F149" s="990">
        <v>0</v>
      </c>
      <c r="G149" s="990">
        <v>0</v>
      </c>
      <c r="H149" s="990">
        <v>50000000</v>
      </c>
      <c r="L149" s="1000" t="s">
        <v>1744</v>
      </c>
    </row>
    <row r="150" spans="2:12">
      <c r="B150" s="1000" t="s">
        <v>1745</v>
      </c>
      <c r="C150" s="990">
        <v>0</v>
      </c>
      <c r="D150" s="990">
        <v>0</v>
      </c>
      <c r="E150" s="990">
        <v>0</v>
      </c>
      <c r="F150" s="990">
        <v>0</v>
      </c>
      <c r="G150" s="990">
        <v>0</v>
      </c>
      <c r="H150" s="990">
        <v>145833.32999999999</v>
      </c>
      <c r="L150" s="1000" t="s">
        <v>1745</v>
      </c>
    </row>
    <row r="151" spans="2:12" ht="21.6">
      <c r="B151" s="1000" t="s">
        <v>1746</v>
      </c>
      <c r="C151" s="990">
        <v>0</v>
      </c>
      <c r="D151" s="990">
        <v>0</v>
      </c>
      <c r="E151" s="990">
        <v>0</v>
      </c>
      <c r="F151" s="990">
        <v>184145.3</v>
      </c>
      <c r="G151" s="990">
        <v>400000</v>
      </c>
      <c r="H151" s="990">
        <v>0</v>
      </c>
      <c r="L151" s="1000" t="s">
        <v>1746</v>
      </c>
    </row>
    <row r="152" spans="2:12" ht="21.6">
      <c r="B152" s="1000" t="s">
        <v>1747</v>
      </c>
      <c r="C152" s="990">
        <v>0</v>
      </c>
      <c r="D152" s="990">
        <v>0</v>
      </c>
      <c r="E152" s="990">
        <v>0</v>
      </c>
      <c r="F152" s="990">
        <v>0</v>
      </c>
      <c r="G152" s="990">
        <v>0</v>
      </c>
      <c r="H152" s="990">
        <v>0</v>
      </c>
      <c r="L152" s="1000" t="s">
        <v>1747</v>
      </c>
    </row>
    <row r="153" spans="2:12">
      <c r="B153" s="1000" t="s">
        <v>1748</v>
      </c>
      <c r="C153" s="990">
        <v>0</v>
      </c>
      <c r="D153" s="990">
        <v>0</v>
      </c>
      <c r="E153" s="990">
        <v>0</v>
      </c>
      <c r="F153" s="990">
        <v>0</v>
      </c>
      <c r="G153" s="990">
        <v>0</v>
      </c>
      <c r="H153" s="990">
        <v>0</v>
      </c>
      <c r="L153" s="1000" t="s">
        <v>1748</v>
      </c>
    </row>
    <row r="154" spans="2:12">
      <c r="B154" s="1000" t="s">
        <v>1749</v>
      </c>
      <c r="C154" s="990">
        <v>0</v>
      </c>
      <c r="D154" s="990">
        <v>0</v>
      </c>
      <c r="E154" s="990">
        <v>0</v>
      </c>
      <c r="F154" s="990">
        <v>184145.3</v>
      </c>
      <c r="G154" s="990">
        <v>400000</v>
      </c>
      <c r="H154" s="990">
        <v>50145833.329999998</v>
      </c>
      <c r="L154" s="1000" t="s">
        <v>1749</v>
      </c>
    </row>
    <row r="155" spans="2:12" ht="21.6">
      <c r="B155" s="1000" t="s">
        <v>1750</v>
      </c>
      <c r="C155" s="990">
        <v>0</v>
      </c>
      <c r="D155" s="990">
        <v>33730483.32</v>
      </c>
      <c r="E155" s="990">
        <v>45844853.840000004</v>
      </c>
      <c r="F155" s="990">
        <v>18027157.780000001</v>
      </c>
      <c r="G155" s="990">
        <v>31409923.18</v>
      </c>
      <c r="H155" s="990">
        <v>84134384.709999993</v>
      </c>
      <c r="L155" s="1000" t="s">
        <v>1750</v>
      </c>
    </row>
    <row r="156" spans="2:12">
      <c r="B156" s="1000" t="s">
        <v>1751</v>
      </c>
      <c r="C156" s="990">
        <v>0</v>
      </c>
      <c r="D156" s="990">
        <v>0</v>
      </c>
      <c r="E156" s="990">
        <v>0</v>
      </c>
      <c r="F156" s="990">
        <v>0</v>
      </c>
      <c r="G156" s="990">
        <v>0</v>
      </c>
      <c r="H156" s="990">
        <v>1150000000</v>
      </c>
      <c r="L156" s="1000" t="s">
        <v>1751</v>
      </c>
    </row>
    <row r="157" spans="2:12">
      <c r="B157" s="1000" t="s">
        <v>1752</v>
      </c>
      <c r="C157" s="990">
        <v>0</v>
      </c>
      <c r="D157" s="990">
        <v>0</v>
      </c>
      <c r="E157" s="990">
        <v>0</v>
      </c>
      <c r="F157" s="990">
        <v>0</v>
      </c>
      <c r="G157" s="990">
        <v>0</v>
      </c>
      <c r="H157" s="990">
        <v>0</v>
      </c>
      <c r="L157" s="1000" t="s">
        <v>1752</v>
      </c>
    </row>
    <row r="158" spans="2:12">
      <c r="B158" s="1000" t="s">
        <v>1753</v>
      </c>
      <c r="C158" s="990">
        <v>0</v>
      </c>
      <c r="D158" s="990">
        <v>0</v>
      </c>
      <c r="E158" s="990">
        <v>0</v>
      </c>
      <c r="F158" s="990">
        <v>0</v>
      </c>
      <c r="G158" s="990">
        <v>0</v>
      </c>
      <c r="H158" s="990">
        <v>0</v>
      </c>
      <c r="L158" s="1000" t="s">
        <v>1753</v>
      </c>
    </row>
    <row r="159" spans="2:12">
      <c r="B159" s="1000" t="s">
        <v>1754</v>
      </c>
      <c r="C159" s="990">
        <v>0</v>
      </c>
      <c r="D159" s="990">
        <v>33730483.32</v>
      </c>
      <c r="E159" s="990">
        <v>45844853.840000004</v>
      </c>
      <c r="F159" s="990">
        <v>18027157.780000001</v>
      </c>
      <c r="G159" s="990">
        <v>31409923.18</v>
      </c>
      <c r="H159" s="990">
        <v>1234134384.71</v>
      </c>
      <c r="L159" s="1000" t="s">
        <v>1754</v>
      </c>
    </row>
    <row r="160" spans="2:12">
      <c r="B160" s="999" t="s">
        <v>1755</v>
      </c>
      <c r="C160" s="990">
        <v>0</v>
      </c>
      <c r="D160" s="990">
        <v>-33730483.32</v>
      </c>
      <c r="E160" s="990">
        <v>-45844853.840000004</v>
      </c>
      <c r="F160" s="990">
        <v>-17843012.48</v>
      </c>
      <c r="G160" s="990">
        <v>-31009923.18</v>
      </c>
      <c r="H160" s="990">
        <v>-1183988551.3800001</v>
      </c>
      <c r="L160" s="999" t="s">
        <v>1755</v>
      </c>
    </row>
    <row r="161" spans="2:12">
      <c r="B161" s="999" t="s">
        <v>1756</v>
      </c>
      <c r="C161" s="990">
        <v>0</v>
      </c>
      <c r="D161" s="990">
        <v>0</v>
      </c>
      <c r="E161" s="990">
        <v>18000000</v>
      </c>
      <c r="F161" s="990">
        <v>3987000</v>
      </c>
      <c r="G161" s="990">
        <v>0</v>
      </c>
      <c r="H161" s="990">
        <v>1132727547.1500001</v>
      </c>
      <c r="L161" s="999" t="s">
        <v>1756</v>
      </c>
    </row>
    <row r="162" spans="2:12" ht="21.6">
      <c r="B162" s="999" t="s">
        <v>1757</v>
      </c>
      <c r="C162" s="990">
        <v>0</v>
      </c>
      <c r="D162" s="990">
        <v>0</v>
      </c>
      <c r="E162" s="990">
        <v>0</v>
      </c>
      <c r="F162" s="990">
        <v>0</v>
      </c>
      <c r="G162" s="990">
        <v>0</v>
      </c>
      <c r="H162" s="990">
        <v>0</v>
      </c>
      <c r="L162" s="999" t="s">
        <v>1757</v>
      </c>
    </row>
    <row r="163" spans="2:12">
      <c r="B163" s="1001" t="s">
        <v>1758</v>
      </c>
      <c r="C163" s="990">
        <v>0</v>
      </c>
      <c r="D163" s="990">
        <v>35000000</v>
      </c>
      <c r="E163" s="990">
        <v>50000000</v>
      </c>
      <c r="F163" s="990">
        <v>94000000</v>
      </c>
      <c r="G163" s="990">
        <v>57000000</v>
      </c>
      <c r="H163" s="990">
        <v>0</v>
      </c>
      <c r="L163" s="1001" t="s">
        <v>1758</v>
      </c>
    </row>
    <row r="164" spans="2:12">
      <c r="B164" s="999" t="s">
        <v>1759</v>
      </c>
      <c r="C164" s="990">
        <v>0</v>
      </c>
      <c r="D164" s="990">
        <v>2350000</v>
      </c>
      <c r="E164" s="990">
        <v>10596603.76</v>
      </c>
      <c r="F164" s="990">
        <v>400000</v>
      </c>
      <c r="G164" s="990">
        <v>57236325</v>
      </c>
      <c r="H164" s="990">
        <v>0</v>
      </c>
      <c r="L164" s="999" t="s">
        <v>1759</v>
      </c>
    </row>
    <row r="165" spans="2:12">
      <c r="B165" s="999" t="s">
        <v>1760</v>
      </c>
      <c r="C165" s="990">
        <v>0</v>
      </c>
      <c r="D165" s="990">
        <v>0</v>
      </c>
      <c r="E165" s="990">
        <v>0</v>
      </c>
      <c r="F165" s="990">
        <v>0</v>
      </c>
      <c r="G165" s="990">
        <v>0</v>
      </c>
      <c r="H165" s="990">
        <v>0</v>
      </c>
      <c r="L165" s="999" t="s">
        <v>1760</v>
      </c>
    </row>
    <row r="166" spans="2:12">
      <c r="B166" s="999" t="s">
        <v>1761</v>
      </c>
      <c r="C166" s="990">
        <v>0</v>
      </c>
      <c r="D166" s="990">
        <v>37350000</v>
      </c>
      <c r="E166" s="990">
        <v>78596603.760000005</v>
      </c>
      <c r="F166" s="990">
        <v>98387000</v>
      </c>
      <c r="G166" s="990">
        <v>114236325</v>
      </c>
      <c r="H166" s="990">
        <v>1132727547.1500001</v>
      </c>
      <c r="L166" s="999" t="s">
        <v>1761</v>
      </c>
    </row>
    <row r="167" spans="2:12">
      <c r="B167" s="999" t="s">
        <v>1762</v>
      </c>
      <c r="C167" s="990">
        <v>0</v>
      </c>
      <c r="D167" s="990">
        <v>5000000</v>
      </c>
      <c r="E167" s="990">
        <v>20000000</v>
      </c>
      <c r="F167" s="990">
        <v>107000000</v>
      </c>
      <c r="G167" s="990">
        <v>114000000</v>
      </c>
      <c r="H167" s="990">
        <v>0</v>
      </c>
      <c r="L167" s="999" t="s">
        <v>1762</v>
      </c>
    </row>
    <row r="168" spans="2:12">
      <c r="B168" s="999" t="s">
        <v>1763</v>
      </c>
      <c r="C168" s="990">
        <v>0</v>
      </c>
      <c r="D168" s="990">
        <v>5267333.33</v>
      </c>
      <c r="E168" s="990">
        <v>10110443.76</v>
      </c>
      <c r="F168" s="990">
        <v>8606437.4800000004</v>
      </c>
      <c r="G168" s="990">
        <v>16810625</v>
      </c>
      <c r="H168" s="990">
        <v>31680000</v>
      </c>
      <c r="L168" s="999" t="s">
        <v>1763</v>
      </c>
    </row>
    <row r="169" spans="2:12" ht="21.6">
      <c r="B169" s="1002" t="s">
        <v>1764</v>
      </c>
      <c r="C169" s="990">
        <v>0</v>
      </c>
      <c r="D169" s="990">
        <v>0</v>
      </c>
      <c r="E169" s="990">
        <v>0</v>
      </c>
      <c r="F169" s="990">
        <v>0</v>
      </c>
      <c r="G169" s="990">
        <v>0</v>
      </c>
      <c r="H169" s="990">
        <v>0</v>
      </c>
      <c r="L169" s="1002" t="s">
        <v>1764</v>
      </c>
    </row>
    <row r="170" spans="2:12">
      <c r="B170" s="999" t="s">
        <v>1765</v>
      </c>
      <c r="C170" s="990">
        <v>0</v>
      </c>
      <c r="D170" s="990">
        <v>0</v>
      </c>
      <c r="E170" s="990">
        <v>0</v>
      </c>
      <c r="F170" s="990">
        <v>57501300.409999996</v>
      </c>
      <c r="G170" s="990">
        <v>61086867.909999996</v>
      </c>
      <c r="H170" s="990">
        <v>16613384.449999999</v>
      </c>
      <c r="L170" s="999" t="s">
        <v>1765</v>
      </c>
    </row>
    <row r="171" spans="2:12">
      <c r="B171" s="1000" t="s">
        <v>1766</v>
      </c>
      <c r="C171" s="990">
        <v>0</v>
      </c>
      <c r="D171" s="990">
        <v>10267333.33</v>
      </c>
      <c r="E171" s="990">
        <v>30110443.760000002</v>
      </c>
      <c r="F171" s="990">
        <v>173107737.88999999</v>
      </c>
      <c r="G171" s="990">
        <v>191897492.91</v>
      </c>
      <c r="H171" s="990">
        <v>48293384.450000003</v>
      </c>
      <c r="L171" s="1000" t="s">
        <v>1766</v>
      </c>
    </row>
    <row r="172" spans="2:12">
      <c r="B172" s="1000" t="s">
        <v>1767</v>
      </c>
      <c r="C172" s="990">
        <v>0</v>
      </c>
      <c r="D172" s="990">
        <v>27082666.670000002</v>
      </c>
      <c r="E172" s="990">
        <v>48486160</v>
      </c>
      <c r="F172" s="990">
        <v>-74720737.890000001</v>
      </c>
      <c r="G172" s="990">
        <v>-77661167.909999996</v>
      </c>
      <c r="H172" s="990">
        <v>1084434162.7</v>
      </c>
      <c r="L172" s="1000" t="s">
        <v>1767</v>
      </c>
    </row>
    <row r="173" spans="2:12" ht="21.6">
      <c r="B173" s="1000" t="s">
        <v>1768</v>
      </c>
      <c r="C173" s="990">
        <v>0</v>
      </c>
      <c r="D173" s="990">
        <v>7501.63</v>
      </c>
      <c r="E173" s="990">
        <v>86354</v>
      </c>
      <c r="F173" s="990">
        <v>118001.16</v>
      </c>
      <c r="G173" s="990">
        <v>-535199.13</v>
      </c>
      <c r="H173" s="990">
        <v>146261.07</v>
      </c>
      <c r="L173" s="1000" t="s">
        <v>1768</v>
      </c>
    </row>
    <row r="174" spans="2:12">
      <c r="B174" s="1000" t="s">
        <v>1769</v>
      </c>
      <c r="C174" s="990">
        <v>0</v>
      </c>
      <c r="D174" s="990">
        <v>-2525300.39</v>
      </c>
      <c r="E174" s="990">
        <v>-1588280.39</v>
      </c>
      <c r="F174" s="990">
        <v>30432329.98</v>
      </c>
      <c r="G174" s="990">
        <v>94411772.390000001</v>
      </c>
      <c r="H174" s="990">
        <v>162098208.41</v>
      </c>
      <c r="L174" s="1000" t="s">
        <v>1769</v>
      </c>
    </row>
    <row r="175" spans="2:12">
      <c r="B175" s="999" t="s">
        <v>1770</v>
      </c>
      <c r="C175" s="990">
        <v>0</v>
      </c>
      <c r="D175" s="990">
        <v>39171879.07</v>
      </c>
      <c r="E175" s="990">
        <v>41577249.359999999</v>
      </c>
      <c r="F175" s="990">
        <v>39988968.969999999</v>
      </c>
      <c r="G175" s="990">
        <v>70421298.950000003</v>
      </c>
      <c r="H175" s="990">
        <v>164833071.34</v>
      </c>
      <c r="L175" s="999" t="s">
        <v>1770</v>
      </c>
    </row>
    <row r="176" spans="2:12">
      <c r="B176" s="999" t="s">
        <v>1771</v>
      </c>
      <c r="C176" s="990">
        <v>0</v>
      </c>
      <c r="D176" s="990">
        <v>36646578.68</v>
      </c>
      <c r="E176" s="990">
        <v>39988968.969999999</v>
      </c>
      <c r="F176" s="990">
        <v>70421298.950000003</v>
      </c>
      <c r="G176" s="990">
        <v>164833071.34</v>
      </c>
      <c r="H176" s="990">
        <v>326931279.75</v>
      </c>
      <c r="L176" s="999" t="s">
        <v>1771</v>
      </c>
    </row>
    <row r="177" spans="2:12">
      <c r="B177" s="999" t="s">
        <v>1772</v>
      </c>
      <c r="C177" s="990">
        <v>0</v>
      </c>
      <c r="D177" s="990">
        <v>0</v>
      </c>
      <c r="E177" s="990">
        <v>23741103.379999999</v>
      </c>
      <c r="F177" s="990">
        <v>88324879.560000002</v>
      </c>
      <c r="G177" s="990">
        <v>279592720.76999998</v>
      </c>
      <c r="H177" s="990">
        <v>439932141.31</v>
      </c>
      <c r="L177" s="999" t="s">
        <v>1772</v>
      </c>
    </row>
    <row r="178" spans="2:12">
      <c r="B178" s="999" t="s">
        <v>1773</v>
      </c>
      <c r="C178" s="990">
        <v>0</v>
      </c>
      <c r="D178" s="990">
        <v>0</v>
      </c>
      <c r="E178" s="990">
        <v>3027296.33</v>
      </c>
      <c r="F178" s="990">
        <v>2732490.4</v>
      </c>
      <c r="G178" s="990">
        <v>10392834.960000001</v>
      </c>
      <c r="H178" s="990">
        <v>8638559.5399999991</v>
      </c>
      <c r="L178" s="999" t="s">
        <v>1773</v>
      </c>
    </row>
    <row r="179" spans="2:12" ht="21.6">
      <c r="B179" s="999" t="s">
        <v>1774</v>
      </c>
      <c r="C179" s="990">
        <v>0</v>
      </c>
      <c r="D179" s="990">
        <v>0</v>
      </c>
      <c r="E179" s="990">
        <v>9792123.5</v>
      </c>
      <c r="F179" s="990">
        <v>14742819.57</v>
      </c>
      <c r="G179" s="990">
        <v>17667186.98</v>
      </c>
      <c r="H179" s="990">
        <v>20962279.219999999</v>
      </c>
      <c r="L179" s="999" t="s">
        <v>1774</v>
      </c>
    </row>
    <row r="180" spans="2:12">
      <c r="B180" s="999" t="s">
        <v>1775</v>
      </c>
      <c r="C180" s="990">
        <v>0</v>
      </c>
      <c r="D180" s="990">
        <v>0</v>
      </c>
      <c r="E180" s="990">
        <v>2254498.44</v>
      </c>
      <c r="F180" s="990">
        <v>3885455.26</v>
      </c>
      <c r="G180" s="990">
        <v>3494710.52</v>
      </c>
      <c r="H180" s="990">
        <v>3136251.83</v>
      </c>
      <c r="L180" s="999" t="s">
        <v>1775</v>
      </c>
    </row>
    <row r="181" spans="2:12">
      <c r="B181" s="999" t="s">
        <v>1776</v>
      </c>
      <c r="C181" s="990">
        <v>0</v>
      </c>
      <c r="D181" s="990">
        <v>0</v>
      </c>
      <c r="E181" s="990">
        <v>867724.2</v>
      </c>
      <c r="F181" s="990">
        <v>527497.72</v>
      </c>
      <c r="G181" s="990">
        <v>506460.36</v>
      </c>
      <c r="H181" s="990">
        <v>1210497.17</v>
      </c>
      <c r="L181" s="999" t="s">
        <v>1776</v>
      </c>
    </row>
    <row r="182" spans="2:12">
      <c r="B182" s="1000" t="s">
        <v>1777</v>
      </c>
      <c r="C182" s="990">
        <v>0</v>
      </c>
      <c r="D182" s="990">
        <v>0</v>
      </c>
      <c r="E182" s="990">
        <v>0</v>
      </c>
      <c r="F182" s="990">
        <v>0</v>
      </c>
      <c r="G182" s="990">
        <v>0</v>
      </c>
      <c r="H182" s="990">
        <v>0</v>
      </c>
      <c r="L182" s="1000" t="s">
        <v>1777</v>
      </c>
    </row>
    <row r="183" spans="2:12">
      <c r="B183" s="999" t="s">
        <v>1778</v>
      </c>
      <c r="C183" s="990">
        <v>0</v>
      </c>
      <c r="D183" s="990">
        <v>0</v>
      </c>
      <c r="E183" s="990">
        <v>0</v>
      </c>
      <c r="F183" s="990">
        <v>0</v>
      </c>
      <c r="G183" s="990">
        <v>0</v>
      </c>
      <c r="H183" s="990">
        <v>0</v>
      </c>
      <c r="L183" s="999" t="s">
        <v>1778</v>
      </c>
    </row>
    <row r="184" spans="2:12">
      <c r="B184" s="999" t="s">
        <v>1779</v>
      </c>
      <c r="C184" s="990">
        <v>0</v>
      </c>
      <c r="D184" s="990">
        <v>0</v>
      </c>
      <c r="E184" s="990">
        <v>385345.34</v>
      </c>
      <c r="F184" s="990">
        <v>84389.43</v>
      </c>
      <c r="G184" s="990">
        <v>-42407.41</v>
      </c>
      <c r="H184" s="990">
        <v>0</v>
      </c>
      <c r="L184" s="999" t="s">
        <v>1779</v>
      </c>
    </row>
    <row r="185" spans="2:12">
      <c r="B185" s="999" t="s">
        <v>1780</v>
      </c>
      <c r="C185" s="990">
        <v>0</v>
      </c>
      <c r="D185" s="990">
        <v>0</v>
      </c>
      <c r="E185" s="990">
        <v>0</v>
      </c>
      <c r="F185" s="990">
        <v>0</v>
      </c>
      <c r="G185" s="990">
        <v>151463.67999999999</v>
      </c>
      <c r="H185" s="990">
        <v>249544.64</v>
      </c>
      <c r="L185" s="999" t="s">
        <v>1780</v>
      </c>
    </row>
    <row r="186" spans="2:12">
      <c r="B186" s="999" t="s">
        <v>1781</v>
      </c>
      <c r="C186" s="990">
        <v>0</v>
      </c>
      <c r="D186" s="990">
        <v>0</v>
      </c>
      <c r="E186" s="990">
        <v>0</v>
      </c>
      <c r="F186" s="990">
        <v>0</v>
      </c>
      <c r="G186" s="990">
        <v>0</v>
      </c>
      <c r="H186" s="990">
        <v>0</v>
      </c>
      <c r="L186" s="999" t="s">
        <v>1781</v>
      </c>
    </row>
    <row r="187" spans="2:12">
      <c r="B187" s="999" t="s">
        <v>1782</v>
      </c>
      <c r="C187" s="990">
        <v>0</v>
      </c>
      <c r="D187" s="990">
        <v>0</v>
      </c>
      <c r="E187" s="990">
        <v>3200121.54</v>
      </c>
      <c r="F187" s="990">
        <v>3358597.2</v>
      </c>
      <c r="G187" s="990">
        <v>2376187.5</v>
      </c>
      <c r="H187" s="990">
        <v>0</v>
      </c>
      <c r="L187" s="999" t="s">
        <v>1782</v>
      </c>
    </row>
    <row r="188" spans="2:12">
      <c r="B188" s="999" t="s">
        <v>1783</v>
      </c>
      <c r="C188" s="990">
        <v>0</v>
      </c>
      <c r="D188" s="990">
        <v>0</v>
      </c>
      <c r="E188" s="990">
        <v>0</v>
      </c>
      <c r="F188" s="990">
        <v>0</v>
      </c>
      <c r="G188" s="990">
        <v>0</v>
      </c>
      <c r="H188" s="990">
        <v>-14277345.880000001</v>
      </c>
      <c r="L188" s="999" t="s">
        <v>1783</v>
      </c>
    </row>
    <row r="189" spans="2:12">
      <c r="B189" s="999" t="s">
        <v>1784</v>
      </c>
      <c r="C189" s="990">
        <v>0</v>
      </c>
      <c r="D189" s="990">
        <v>0</v>
      </c>
      <c r="E189" s="990">
        <v>-949544.45</v>
      </c>
      <c r="F189" s="990">
        <v>-1648247.08</v>
      </c>
      <c r="G189" s="990">
        <v>-5684947.5499999998</v>
      </c>
      <c r="H189" s="990">
        <v>258142.9</v>
      </c>
      <c r="L189" s="999" t="s">
        <v>1784</v>
      </c>
    </row>
    <row r="190" spans="2:12">
      <c r="B190" s="999" t="s">
        <v>1785</v>
      </c>
      <c r="C190" s="990">
        <v>0</v>
      </c>
      <c r="D190" s="990">
        <v>0</v>
      </c>
      <c r="E190" s="990">
        <v>545015.74</v>
      </c>
      <c r="F190" s="990">
        <v>831670.54</v>
      </c>
      <c r="G190" s="990">
        <v>948657.32</v>
      </c>
      <c r="H190" s="990">
        <v>7041213.7999999998</v>
      </c>
      <c r="L190" s="999" t="s">
        <v>1785</v>
      </c>
    </row>
    <row r="191" spans="2:12">
      <c r="B191" s="999" t="s">
        <v>1786</v>
      </c>
      <c r="C191" s="990">
        <v>0</v>
      </c>
      <c r="D191" s="990">
        <v>0</v>
      </c>
      <c r="E191" s="990">
        <v>-13282787.189999999</v>
      </c>
      <c r="F191" s="990">
        <v>-18929458.149999999</v>
      </c>
      <c r="G191" s="990">
        <v>-75844349.269999996</v>
      </c>
      <c r="H191" s="990">
        <v>-85687271.260000005</v>
      </c>
      <c r="L191" s="999" t="s">
        <v>1786</v>
      </c>
    </row>
    <row r="192" spans="2:12">
      <c r="B192" s="999" t="s">
        <v>1787</v>
      </c>
      <c r="C192" s="990">
        <v>0</v>
      </c>
      <c r="D192" s="990">
        <v>0</v>
      </c>
      <c r="E192" s="990">
        <v>-116561565.73</v>
      </c>
      <c r="F192" s="990">
        <v>-127789701.53</v>
      </c>
      <c r="G192" s="990">
        <v>-127832240.52</v>
      </c>
      <c r="H192" s="990">
        <v>-196950730</v>
      </c>
      <c r="L192" s="999" t="s">
        <v>1787</v>
      </c>
    </row>
    <row r="193" spans="2:12">
      <c r="B193" s="999" t="s">
        <v>1788</v>
      </c>
      <c r="C193" s="990">
        <v>0</v>
      </c>
      <c r="D193" s="990">
        <v>0</v>
      </c>
      <c r="E193" s="990">
        <v>82664728.349999994</v>
      </c>
      <c r="F193" s="990">
        <v>156093505.13</v>
      </c>
      <c r="G193" s="990">
        <v>97891785.269999996</v>
      </c>
      <c r="H193" s="990">
        <v>76993052.75</v>
      </c>
      <c r="L193" s="999" t="s">
        <v>1788</v>
      </c>
    </row>
    <row r="194" spans="2:12">
      <c r="B194" s="999" t="s">
        <v>1789</v>
      </c>
      <c r="C194" s="990">
        <v>0</v>
      </c>
      <c r="D194" s="990">
        <v>0</v>
      </c>
      <c r="E194" s="990">
        <v>0</v>
      </c>
      <c r="F194" s="990">
        <v>664181.14</v>
      </c>
      <c r="G194" s="990">
        <v>0</v>
      </c>
      <c r="H194" s="990">
        <v>0</v>
      </c>
      <c r="L194" s="999" t="s">
        <v>1789</v>
      </c>
    </row>
    <row r="195" spans="2:12">
      <c r="B195" s="999" t="s">
        <v>1790</v>
      </c>
      <c r="C195" s="990">
        <v>0</v>
      </c>
      <c r="D195" s="990">
        <v>4115014.63</v>
      </c>
      <c r="E195" s="990">
        <v>-4315940.55</v>
      </c>
      <c r="F195" s="990">
        <v>122878079.19</v>
      </c>
      <c r="G195" s="990">
        <v>203618062.61000001</v>
      </c>
      <c r="H195" s="990">
        <v>261506336.02000001</v>
      </c>
      <c r="L195" s="999" t="s">
        <v>1790</v>
      </c>
    </row>
    <row r="196" spans="2:12">
      <c r="B196" s="999" t="s">
        <v>1791</v>
      </c>
      <c r="C196" s="990">
        <v>0</v>
      </c>
      <c r="D196" s="990">
        <v>0</v>
      </c>
      <c r="E196" s="990">
        <v>0</v>
      </c>
      <c r="F196" s="990">
        <v>0</v>
      </c>
      <c r="G196" s="990">
        <v>0</v>
      </c>
      <c r="H196" s="990">
        <v>0</v>
      </c>
      <c r="L196" s="999" t="s">
        <v>1791</v>
      </c>
    </row>
    <row r="197" spans="2:12">
      <c r="B197" s="997" t="s">
        <v>1792</v>
      </c>
      <c r="C197" s="990">
        <v>0</v>
      </c>
      <c r="D197" s="990">
        <v>0</v>
      </c>
      <c r="E197" s="990">
        <v>0</v>
      </c>
      <c r="F197" s="990">
        <v>0</v>
      </c>
      <c r="G197" s="990">
        <v>0</v>
      </c>
      <c r="H197" s="990">
        <v>0</v>
      </c>
      <c r="L197" s="997" t="s">
        <v>1792</v>
      </c>
    </row>
    <row r="198" spans="2:12">
      <c r="B198" s="997" t="s">
        <v>1793</v>
      </c>
      <c r="C198" s="990">
        <v>0</v>
      </c>
      <c r="D198" s="990">
        <v>0</v>
      </c>
      <c r="E198" s="990">
        <v>0</v>
      </c>
      <c r="F198" s="990">
        <v>0</v>
      </c>
      <c r="G198" s="990">
        <v>0</v>
      </c>
      <c r="H198" s="990">
        <v>0</v>
      </c>
      <c r="L198" s="997" t="s">
        <v>1793</v>
      </c>
    </row>
    <row r="199" spans="2:12">
      <c r="B199" s="997" t="s">
        <v>1794</v>
      </c>
      <c r="C199" s="990">
        <v>0</v>
      </c>
      <c r="D199" s="990">
        <v>0</v>
      </c>
      <c r="E199" s="990">
        <v>39988968.969999999</v>
      </c>
      <c r="F199" s="990">
        <v>70421298.950000003</v>
      </c>
      <c r="G199" s="990">
        <v>164833071.34</v>
      </c>
      <c r="H199" s="990">
        <v>326931279.75</v>
      </c>
      <c r="L199" s="997" t="s">
        <v>1794</v>
      </c>
    </row>
    <row r="200" spans="2:12">
      <c r="B200" s="997" t="s">
        <v>1795</v>
      </c>
      <c r="C200" s="990">
        <v>0</v>
      </c>
      <c r="D200" s="990">
        <v>0</v>
      </c>
      <c r="E200" s="990">
        <v>41577249.359999999</v>
      </c>
      <c r="F200" s="990">
        <v>39988968.969999999</v>
      </c>
      <c r="G200" s="990">
        <v>70421298.950000003</v>
      </c>
      <c r="H200" s="990">
        <v>164833071.34</v>
      </c>
      <c r="L200" s="997" t="s">
        <v>1795</v>
      </c>
    </row>
    <row r="201" spans="2:12">
      <c r="B201" s="997" t="s">
        <v>1796</v>
      </c>
      <c r="C201" s="990">
        <v>0</v>
      </c>
      <c r="D201" s="990">
        <v>0</v>
      </c>
      <c r="E201" s="990">
        <v>0</v>
      </c>
      <c r="F201" s="990">
        <v>0</v>
      </c>
      <c r="G201" s="990">
        <v>0</v>
      </c>
      <c r="H201" s="990">
        <v>0</v>
      </c>
      <c r="L201" s="997" t="s">
        <v>1796</v>
      </c>
    </row>
    <row r="202" spans="2:12">
      <c r="B202" s="997" t="s">
        <v>1797</v>
      </c>
      <c r="C202" s="990">
        <v>0</v>
      </c>
      <c r="D202" s="990">
        <v>0</v>
      </c>
      <c r="E202" s="990">
        <v>0</v>
      </c>
      <c r="F202" s="990">
        <v>0</v>
      </c>
      <c r="G202" s="990">
        <v>0</v>
      </c>
      <c r="H202" s="990">
        <v>0</v>
      </c>
      <c r="L202" s="997" t="s">
        <v>1797</v>
      </c>
    </row>
    <row r="203" spans="2:12">
      <c r="B203" s="997" t="s">
        <v>1798</v>
      </c>
      <c r="C203" s="990">
        <v>0</v>
      </c>
      <c r="D203" s="990">
        <v>-2525300.39</v>
      </c>
      <c r="E203" s="990">
        <v>-1588280.39</v>
      </c>
      <c r="F203" s="990">
        <v>30432329.98</v>
      </c>
      <c r="G203" s="990">
        <v>94411772.390000001</v>
      </c>
      <c r="H203" s="990">
        <v>162098208.41</v>
      </c>
      <c r="L203" s="997" t="s">
        <v>1798</v>
      </c>
    </row>
    <row r="204" spans="2:12">
      <c r="B204" s="997" t="s">
        <v>1775</v>
      </c>
      <c r="C204" s="990">
        <v>0</v>
      </c>
      <c r="D204" s="990">
        <v>0</v>
      </c>
      <c r="E204" s="990">
        <v>2254498.44</v>
      </c>
      <c r="F204" s="990">
        <v>3885455.26</v>
      </c>
      <c r="G204" s="990">
        <v>3494710.52</v>
      </c>
      <c r="H204" s="990">
        <v>3136251.83</v>
      </c>
      <c r="L204" s="997" t="s">
        <v>1775</v>
      </c>
    </row>
    <row r="205" spans="2:12">
      <c r="B205" s="997" t="s">
        <v>1776</v>
      </c>
      <c r="C205" s="990">
        <v>0</v>
      </c>
      <c r="D205" s="990">
        <v>0</v>
      </c>
      <c r="E205" s="990">
        <v>867724.2</v>
      </c>
      <c r="F205" s="990">
        <v>527497.72</v>
      </c>
      <c r="G205" s="990">
        <v>506460.36</v>
      </c>
      <c r="H205" s="990">
        <v>1210497.17</v>
      </c>
      <c r="L205" s="997" t="s">
        <v>1776</v>
      </c>
    </row>
    <row r="206" spans="2:12" s="1003" customFormat="1">
      <c r="B206" s="1003" t="s">
        <v>1799</v>
      </c>
      <c r="C206" s="990">
        <v>0</v>
      </c>
      <c r="D206" s="990">
        <v>0</v>
      </c>
      <c r="E206" s="990">
        <v>0</v>
      </c>
      <c r="F206" s="990">
        <v>0</v>
      </c>
      <c r="G206" s="990">
        <v>0</v>
      </c>
      <c r="H206" s="990">
        <v>0</v>
      </c>
      <c r="L206" s="1003" t="s">
        <v>1799</v>
      </c>
    </row>
    <row r="207" spans="2:12">
      <c r="B207" s="997" t="s">
        <v>1800</v>
      </c>
      <c r="C207" s="990">
        <v>0</v>
      </c>
      <c r="D207" s="990">
        <v>0</v>
      </c>
      <c r="E207" s="990">
        <v>0</v>
      </c>
      <c r="F207" s="990">
        <v>0</v>
      </c>
      <c r="G207" s="990">
        <v>0</v>
      </c>
      <c r="H207" s="990">
        <v>0</v>
      </c>
      <c r="J207" s="997" t="s">
        <v>1800</v>
      </c>
      <c r="L207" s="997" t="s">
        <v>1800</v>
      </c>
    </row>
    <row r="208" spans="2:12">
      <c r="B208" s="997" t="s">
        <v>1801</v>
      </c>
      <c r="C208" s="990">
        <v>0</v>
      </c>
      <c r="D208" s="990">
        <v>0</v>
      </c>
      <c r="E208" s="990">
        <v>0</v>
      </c>
      <c r="F208" s="990">
        <v>0</v>
      </c>
      <c r="G208" s="990">
        <v>0</v>
      </c>
      <c r="H208" s="990">
        <v>0</v>
      </c>
      <c r="J208" s="997" t="s">
        <v>1801</v>
      </c>
      <c r="L208" s="997" t="s">
        <v>1801</v>
      </c>
    </row>
    <row r="209" spans="1:12">
      <c r="B209" s="997" t="s">
        <v>1802</v>
      </c>
      <c r="C209" s="990">
        <v>0</v>
      </c>
      <c r="D209" s="990">
        <v>0</v>
      </c>
      <c r="E209" s="990">
        <v>0</v>
      </c>
      <c r="F209" s="990">
        <v>0</v>
      </c>
      <c r="G209" s="990">
        <v>0</v>
      </c>
      <c r="H209" s="990">
        <v>0</v>
      </c>
      <c r="J209" s="997" t="s">
        <v>1802</v>
      </c>
      <c r="L209" s="997" t="s">
        <v>1802</v>
      </c>
    </row>
    <row r="210" spans="1:12">
      <c r="B210" s="997" t="s">
        <v>1803</v>
      </c>
      <c r="C210" s="990">
        <v>0</v>
      </c>
      <c r="D210" s="990">
        <v>0</v>
      </c>
      <c r="E210" s="990">
        <v>0</v>
      </c>
      <c r="F210" s="990">
        <v>0</v>
      </c>
      <c r="G210" s="990">
        <v>0</v>
      </c>
      <c r="H210" s="990">
        <v>0</v>
      </c>
      <c r="J210" s="997" t="s">
        <v>1803</v>
      </c>
      <c r="L210" s="997" t="s">
        <v>1803</v>
      </c>
    </row>
    <row r="211" spans="1:12">
      <c r="B211" s="997" t="s">
        <v>1804</v>
      </c>
      <c r="C211" s="990">
        <v>0</v>
      </c>
      <c r="D211" s="990">
        <v>0</v>
      </c>
      <c r="E211" s="990">
        <v>0</v>
      </c>
      <c r="F211" s="990">
        <v>0</v>
      </c>
      <c r="G211" s="990">
        <v>0</v>
      </c>
      <c r="H211" s="990">
        <v>0</v>
      </c>
      <c r="J211" s="997" t="s">
        <v>1804</v>
      </c>
      <c r="L211" s="997" t="s">
        <v>1804</v>
      </c>
    </row>
    <row r="212" spans="1:12">
      <c r="B212" s="1004" t="s">
        <v>2051</v>
      </c>
      <c r="C212" s="990">
        <v>0</v>
      </c>
      <c r="D212" s="990">
        <v>0</v>
      </c>
      <c r="E212" s="990">
        <v>0</v>
      </c>
      <c r="F212" s="990">
        <v>0</v>
      </c>
      <c r="G212" s="990">
        <v>0</v>
      </c>
      <c r="H212" s="990">
        <v>63.543799999999997</v>
      </c>
      <c r="L212" s="1004" t="s">
        <v>2050</v>
      </c>
    </row>
    <row r="213" spans="1:12">
      <c r="B213" s="1004" t="s">
        <v>2047</v>
      </c>
      <c r="C213" s="990">
        <v>0</v>
      </c>
      <c r="D213" s="990">
        <v>0</v>
      </c>
      <c r="E213" s="990">
        <v>0</v>
      </c>
      <c r="F213" s="990">
        <v>0</v>
      </c>
      <c r="G213" s="990">
        <v>0</v>
      </c>
      <c r="H213" s="990">
        <v>18.504200000000001</v>
      </c>
      <c r="L213" s="1004" t="s">
        <v>2047</v>
      </c>
    </row>
    <row r="214" spans="1:12">
      <c r="B214" s="1004" t="s">
        <v>2048</v>
      </c>
      <c r="C214" s="990">
        <v>0</v>
      </c>
      <c r="D214" s="990">
        <v>0</v>
      </c>
      <c r="E214" s="990">
        <v>0</v>
      </c>
      <c r="F214" s="990">
        <v>0</v>
      </c>
      <c r="G214" s="990">
        <v>0</v>
      </c>
      <c r="H214" s="990">
        <v>34.241199999999999</v>
      </c>
      <c r="L214" s="1004" t="s">
        <v>2048</v>
      </c>
    </row>
    <row r="215" spans="1:12">
      <c r="B215" s="989" t="s">
        <v>2053</v>
      </c>
      <c r="C215" s="990">
        <v>0</v>
      </c>
      <c r="D215" s="990">
        <v>0</v>
      </c>
      <c r="E215" s="990">
        <v>0</v>
      </c>
      <c r="F215" s="990">
        <v>0</v>
      </c>
      <c r="G215" s="990">
        <v>0</v>
      </c>
      <c r="H215" s="990">
        <v>86.499200000000002</v>
      </c>
      <c r="L215" s="989" t="s">
        <v>2053</v>
      </c>
    </row>
    <row r="216" spans="1:12">
      <c r="A216" s="989" t="s">
        <v>2487</v>
      </c>
      <c r="B216" s="989" t="s">
        <v>2474</v>
      </c>
      <c r="C216" s="990">
        <v>0</v>
      </c>
      <c r="D216" s="990">
        <v>0</v>
      </c>
      <c r="E216" s="990">
        <v>0</v>
      </c>
      <c r="F216" s="990">
        <v>0</v>
      </c>
      <c r="G216" s="990">
        <v>0</v>
      </c>
      <c r="H216" s="990">
        <v>0</v>
      </c>
      <c r="L216" s="997" t="s">
        <v>2475</v>
      </c>
    </row>
    <row r="217" spans="1:12">
      <c r="A217" s="989" t="s">
        <v>2534</v>
      </c>
      <c r="B217" s="989" t="s">
        <v>2481</v>
      </c>
      <c r="C217" s="990">
        <v>0</v>
      </c>
      <c r="D217" s="990">
        <v>0</v>
      </c>
      <c r="E217" s="990">
        <v>0</v>
      </c>
      <c r="F217" s="990">
        <v>0</v>
      </c>
      <c r="G217" s="990">
        <v>0</v>
      </c>
      <c r="H217" s="990">
        <v>0</v>
      </c>
      <c r="L217" s="989" t="s">
        <v>2481</v>
      </c>
    </row>
    <row r="218" spans="1:12">
      <c r="A218" s="989" t="s">
        <v>2534</v>
      </c>
      <c r="B218" s="989" t="s">
        <v>2482</v>
      </c>
      <c r="C218" s="990">
        <v>0</v>
      </c>
      <c r="D218" s="990">
        <v>0</v>
      </c>
      <c r="E218" s="990">
        <v>0</v>
      </c>
      <c r="F218" s="990">
        <v>0</v>
      </c>
      <c r="G218" s="990">
        <v>0</v>
      </c>
      <c r="H218" s="990">
        <v>0</v>
      </c>
      <c r="L218" s="989" t="s">
        <v>2482</v>
      </c>
    </row>
    <row r="219" spans="1:12">
      <c r="A219" s="989" t="s">
        <v>2534</v>
      </c>
      <c r="B219" s="989" t="s">
        <v>2484</v>
      </c>
      <c r="C219" s="990">
        <v>0</v>
      </c>
      <c r="D219" s="990">
        <v>0</v>
      </c>
      <c r="E219" s="990">
        <v>0</v>
      </c>
      <c r="F219" s="990">
        <v>0</v>
      </c>
      <c r="G219" s="990">
        <v>0</v>
      </c>
      <c r="H219" s="990">
        <v>0</v>
      </c>
      <c r="L219" s="989" t="s">
        <v>2484</v>
      </c>
    </row>
    <row r="220" spans="1:12">
      <c r="A220" s="989" t="s">
        <v>2488</v>
      </c>
      <c r="B220" s="989" t="s">
        <v>2474</v>
      </c>
      <c r="C220" s="990">
        <v>0</v>
      </c>
      <c r="D220" s="990">
        <v>42004</v>
      </c>
      <c r="E220" s="990">
        <v>42369</v>
      </c>
      <c r="F220" s="990">
        <v>42735</v>
      </c>
      <c r="G220" s="990">
        <v>43100</v>
      </c>
      <c r="H220" s="990">
        <v>43465</v>
      </c>
      <c r="L220" s="989" t="s">
        <v>2474</v>
      </c>
    </row>
    <row r="221" spans="1:12">
      <c r="A221" s="989" t="s">
        <v>2489</v>
      </c>
      <c r="B221" s="989" t="s">
        <v>2474</v>
      </c>
      <c r="C221" s="990">
        <v>0</v>
      </c>
      <c r="D221" s="990">
        <v>0</v>
      </c>
      <c r="E221" s="990">
        <v>0</v>
      </c>
      <c r="F221" s="990">
        <v>0</v>
      </c>
      <c r="G221" s="990">
        <v>0</v>
      </c>
      <c r="H221" s="990">
        <v>0</v>
      </c>
      <c r="L221" s="989" t="s">
        <v>2474</v>
      </c>
    </row>
    <row r="222" spans="1:12">
      <c r="A222" s="989" t="s">
        <v>2490</v>
      </c>
      <c r="B222" s="989" t="s">
        <v>2474</v>
      </c>
      <c r="C222" s="990">
        <v>0</v>
      </c>
      <c r="D222" s="990">
        <v>0</v>
      </c>
      <c r="E222" s="990">
        <v>0</v>
      </c>
      <c r="F222" s="990">
        <v>0</v>
      </c>
      <c r="G222" s="990">
        <v>0</v>
      </c>
      <c r="H222" s="990">
        <v>0</v>
      </c>
      <c r="L222" s="989" t="s">
        <v>2474</v>
      </c>
    </row>
    <row r="223" spans="1:12">
      <c r="A223" s="989" t="s">
        <v>2491</v>
      </c>
      <c r="B223" s="989" t="s">
        <v>2474</v>
      </c>
      <c r="C223" s="990">
        <v>0</v>
      </c>
      <c r="D223" s="990">
        <v>0</v>
      </c>
      <c r="E223" s="990">
        <v>0</v>
      </c>
      <c r="F223" s="990">
        <v>0</v>
      </c>
      <c r="G223" s="990">
        <v>0</v>
      </c>
      <c r="H223" s="990">
        <v>0</v>
      </c>
      <c r="L223" s="989" t="s">
        <v>2474</v>
      </c>
    </row>
    <row r="224" spans="1:12">
      <c r="A224" s="989" t="s">
        <v>2519</v>
      </c>
      <c r="B224" s="989" t="s">
        <v>2517</v>
      </c>
      <c r="C224" s="990">
        <v>0</v>
      </c>
      <c r="D224" s="990">
        <v>0</v>
      </c>
      <c r="E224" s="990">
        <v>0</v>
      </c>
      <c r="F224" s="990">
        <v>0</v>
      </c>
      <c r="G224" s="990">
        <v>5846332.21</v>
      </c>
      <c r="H224" s="990">
        <v>28790168.079999998</v>
      </c>
      <c r="L224" s="997" t="s">
        <v>2518</v>
      </c>
    </row>
    <row r="225" spans="1:12">
      <c r="A225" s="989" t="s">
        <v>2527</v>
      </c>
      <c r="B225" s="989" t="s">
        <v>2523</v>
      </c>
      <c r="C225" s="990">
        <v>0</v>
      </c>
      <c r="D225" s="990">
        <v>0</v>
      </c>
      <c r="E225" s="990">
        <v>0</v>
      </c>
      <c r="F225" s="990">
        <v>0</v>
      </c>
      <c r="G225" s="990">
        <v>0</v>
      </c>
      <c r="H225" s="990">
        <v>86541414.480000004</v>
      </c>
      <c r="L225" s="1005" t="s">
        <v>2523</v>
      </c>
    </row>
    <row r="226" spans="1:12">
      <c r="A226" s="989" t="s">
        <v>2526</v>
      </c>
      <c r="B226" s="989" t="s">
        <v>2528</v>
      </c>
      <c r="C226" s="990">
        <v>0</v>
      </c>
      <c r="D226" s="990">
        <v>0</v>
      </c>
      <c r="E226" s="990">
        <v>-17982.16</v>
      </c>
      <c r="F226" s="990">
        <v>46578.86</v>
      </c>
      <c r="G226" s="990">
        <v>42407.41</v>
      </c>
      <c r="H226" s="990">
        <v>0</v>
      </c>
      <c r="L226" s="997" t="s">
        <v>2528</v>
      </c>
    </row>
    <row r="227" spans="1:12" ht="54">
      <c r="A227" s="1112" t="s">
        <v>2539</v>
      </c>
      <c r="B227" s="989" t="s">
        <v>2535</v>
      </c>
      <c r="C227" s="990">
        <v>0</v>
      </c>
      <c r="D227" s="990">
        <v>62578890.359999999</v>
      </c>
      <c r="E227" s="990">
        <v>100582899.98</v>
      </c>
      <c r="F227" s="990">
        <v>74953845.489999995</v>
      </c>
      <c r="G227" s="990">
        <v>195384747.36000001</v>
      </c>
      <c r="H227" s="990">
        <v>373391306.43000001</v>
      </c>
      <c r="L227" s="997" t="s">
        <v>2535</v>
      </c>
    </row>
    <row r="228" spans="1:12" ht="118.8">
      <c r="A228" s="1112" t="s">
        <v>2540</v>
      </c>
      <c r="B228" s="989" t="s">
        <v>2543</v>
      </c>
      <c r="C228" s="990">
        <v>0</v>
      </c>
      <c r="D228" s="990">
        <v>1133107.58</v>
      </c>
      <c r="E228" s="990">
        <v>544321.14</v>
      </c>
      <c r="F228" s="990">
        <v>1435404.44</v>
      </c>
      <c r="G228" s="990">
        <v>958971.37</v>
      </c>
      <c r="H228" s="990">
        <v>2776912.06</v>
      </c>
      <c r="L228" s="997" t="s">
        <v>2536</v>
      </c>
    </row>
    <row r="229" spans="1:12" ht="54">
      <c r="A229" s="1112" t="s">
        <v>2541</v>
      </c>
      <c r="B229" s="989" t="s">
        <v>2537</v>
      </c>
      <c r="C229" s="990">
        <v>0</v>
      </c>
      <c r="D229" s="990">
        <v>83277701.709999993</v>
      </c>
      <c r="E229" s="990">
        <v>90833548.579999998</v>
      </c>
      <c r="F229" s="990">
        <v>79089406.650000006</v>
      </c>
      <c r="G229" s="990">
        <v>74275684.340000004</v>
      </c>
      <c r="H229" s="990">
        <v>193772541.83000001</v>
      </c>
      <c r="L229" s="997" t="s">
        <v>2537</v>
      </c>
    </row>
    <row r="230" spans="1:12" ht="108">
      <c r="A230" s="1112" t="s">
        <v>2542</v>
      </c>
      <c r="B230" s="989" t="s">
        <v>2538</v>
      </c>
      <c r="C230" s="990">
        <v>0</v>
      </c>
      <c r="D230" s="990">
        <v>406441.44</v>
      </c>
      <c r="E230" s="990">
        <v>19300039.640000001</v>
      </c>
      <c r="F230" s="990">
        <v>1499166.06</v>
      </c>
      <c r="G230" s="990">
        <v>1504803.69</v>
      </c>
      <c r="H230" s="990">
        <v>2752910.65</v>
      </c>
      <c r="L230" s="1005" t="s">
        <v>2544</v>
      </c>
    </row>
    <row r="231" spans="1:12">
      <c r="L231" s="997"/>
    </row>
    <row r="232" spans="1:12">
      <c r="L232" s="997"/>
    </row>
    <row r="233" spans="1:12">
      <c r="L233" s="997"/>
    </row>
    <row r="234" spans="1:12">
      <c r="L234" s="997"/>
    </row>
    <row r="235" spans="1:12">
      <c r="L235" s="997"/>
    </row>
    <row r="236" spans="1:12">
      <c r="L236" s="997"/>
    </row>
    <row r="237" spans="1:12">
      <c r="L237" s="997"/>
    </row>
    <row r="238" spans="1:12">
      <c r="L238" s="997"/>
    </row>
    <row r="239" spans="1:12">
      <c r="L239" s="997"/>
    </row>
    <row r="240" spans="1:12">
      <c r="L240" s="997"/>
    </row>
    <row r="241" spans="12:12">
      <c r="L241" s="997"/>
    </row>
    <row r="242" spans="12:12">
      <c r="L242" s="997"/>
    </row>
    <row r="243" spans="12:12">
      <c r="L243" s="997"/>
    </row>
    <row r="244" spans="12:12">
      <c r="L244" s="997"/>
    </row>
    <row r="245" spans="12:12">
      <c r="L245" s="997"/>
    </row>
    <row r="246" spans="12:12">
      <c r="L246" s="997"/>
    </row>
    <row r="247" spans="12:12">
      <c r="L247" s="997"/>
    </row>
    <row r="248" spans="12:12">
      <c r="L248" s="997"/>
    </row>
    <row r="249" spans="12:12">
      <c r="L249" s="997"/>
    </row>
    <row r="250" spans="12:12">
      <c r="L250" s="997"/>
    </row>
    <row r="251" spans="12:12">
      <c r="L251" s="997"/>
    </row>
    <row r="252" spans="12:12">
      <c r="L252" s="997"/>
    </row>
    <row r="253" spans="12:12">
      <c r="L253" s="997"/>
    </row>
    <row r="254" spans="12:12">
      <c r="L254" s="997"/>
    </row>
    <row r="255" spans="12:12">
      <c r="L255" s="997"/>
    </row>
    <row r="256" spans="12:12">
      <c r="L256" s="997"/>
    </row>
    <row r="257" spans="12:12">
      <c r="L257" s="997"/>
    </row>
    <row r="258" spans="12:12">
      <c r="L258" s="997"/>
    </row>
    <row r="259" spans="12:12">
      <c r="L259" s="997"/>
    </row>
    <row r="260" spans="12:12">
      <c r="L260" s="997"/>
    </row>
    <row r="261" spans="12:12">
      <c r="L261" s="997"/>
    </row>
    <row r="262" spans="12:12">
      <c r="L262" s="997"/>
    </row>
    <row r="263" spans="12:12">
      <c r="L263" s="997"/>
    </row>
    <row r="264" spans="12:12">
      <c r="L264" s="997"/>
    </row>
    <row r="265" spans="12:12">
      <c r="L265" s="997"/>
    </row>
    <row r="266" spans="12:12">
      <c r="L266" s="997"/>
    </row>
    <row r="267" spans="12:12">
      <c r="L267" s="997"/>
    </row>
    <row r="268" spans="12:12">
      <c r="L268" s="997"/>
    </row>
    <row r="269" spans="12:12">
      <c r="L269" s="997"/>
    </row>
    <row r="270" spans="12:12">
      <c r="L270" s="1005"/>
    </row>
    <row r="271" spans="12:12">
      <c r="L271" s="997"/>
    </row>
    <row r="272" spans="12:12">
      <c r="L272" s="997"/>
    </row>
    <row r="273" spans="12:12">
      <c r="L273" s="1005"/>
    </row>
    <row r="274" spans="12:12">
      <c r="L274" s="997"/>
    </row>
    <row r="275" spans="12:12">
      <c r="L275" s="997"/>
    </row>
    <row r="276" spans="12:12">
      <c r="L276" s="997"/>
    </row>
    <row r="277" spans="12:12">
      <c r="L277" s="997"/>
    </row>
    <row r="278" spans="12:12">
      <c r="L278" s="997"/>
    </row>
    <row r="279" spans="12:12">
      <c r="L279" s="997"/>
    </row>
    <row r="280" spans="12:12">
      <c r="L280" s="997"/>
    </row>
    <row r="281" spans="12:12">
      <c r="L281" s="997"/>
    </row>
    <row r="282" spans="12:12">
      <c r="L282" s="997"/>
    </row>
    <row r="283" spans="12:12">
      <c r="L283" s="997"/>
    </row>
    <row r="284" spans="12:12">
      <c r="L284" s="997"/>
    </row>
    <row r="285" spans="12:12">
      <c r="L285" s="997"/>
    </row>
    <row r="286" spans="12:12">
      <c r="L286" s="997"/>
    </row>
    <row r="287" spans="12:12">
      <c r="L287" s="997"/>
    </row>
    <row r="288" spans="12:12">
      <c r="L288" s="997"/>
    </row>
    <row r="289" spans="12:12">
      <c r="L289" s="997"/>
    </row>
    <row r="290" spans="12:12">
      <c r="L290" s="997"/>
    </row>
    <row r="291" spans="12:12">
      <c r="L291" s="997"/>
    </row>
    <row r="292" spans="12:12">
      <c r="L292" s="997"/>
    </row>
    <row r="293" spans="12:12">
      <c r="L293" s="997"/>
    </row>
    <row r="294" spans="12:12">
      <c r="L294" s="1006"/>
    </row>
  </sheetData>
  <sheetProtection selectLockedCells="1" selectUnlockedCells="1"/>
  <phoneticPr fontId="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Q2020"/>
  <sheetViews>
    <sheetView topLeftCell="I1" workbookViewId="0">
      <selection activeCell="H2" sqref="H2"/>
    </sheetView>
  </sheetViews>
  <sheetFormatPr defaultColWidth="9.375" defaultRowHeight="12"/>
  <cols>
    <col min="1" max="1" width="0" style="835" hidden="1" customWidth="1"/>
    <col min="2" max="2" width="11.375" style="981" hidden="1" customWidth="1"/>
    <col min="3" max="3" width="34.5" style="835" hidden="1" customWidth="1"/>
    <col min="4" max="4" width="25.375" style="982" hidden="1" customWidth="1"/>
    <col min="5" max="6" width="21.125" style="982" hidden="1" customWidth="1"/>
    <col min="7" max="7" width="24.5" style="982" hidden="1" customWidth="1"/>
    <col min="8" max="8" width="33.125" style="982" hidden="1" customWidth="1"/>
    <col min="9" max="9" width="9.375" style="835"/>
    <col min="10" max="10" width="26.625" style="835" customWidth="1"/>
    <col min="11" max="11" width="17.125" style="835" customWidth="1"/>
    <col min="12" max="12" width="20.875" style="835" customWidth="1"/>
    <col min="13" max="13" width="14.375" style="835" customWidth="1"/>
    <col min="14" max="14" width="15.125" style="835" customWidth="1"/>
    <col min="15" max="17" width="12" style="835" customWidth="1"/>
    <col min="18" max="16384" width="9.375" style="835"/>
  </cols>
  <sheetData>
    <row r="1" spans="1:17">
      <c r="A1" s="789">
        <v>1</v>
      </c>
      <c r="B1" s="981" t="s">
        <v>2103</v>
      </c>
      <c r="C1" s="789" t="s">
        <v>2104</v>
      </c>
      <c r="D1" s="982" t="s">
        <v>2093</v>
      </c>
      <c r="E1" s="982" t="s">
        <v>2094</v>
      </c>
      <c r="F1" s="982" t="s">
        <v>2095</v>
      </c>
      <c r="G1" s="982" t="s">
        <v>2096</v>
      </c>
      <c r="H1" s="982" t="s">
        <v>2097</v>
      </c>
      <c r="I1" s="789">
        <v>1</v>
      </c>
      <c r="J1" s="983"/>
      <c r="K1" s="983"/>
      <c r="L1" s="983"/>
      <c r="M1" s="983"/>
      <c r="N1" s="983"/>
    </row>
    <row r="2" spans="1:17">
      <c r="A2" s="789">
        <v>2</v>
      </c>
      <c r="B2" s="981">
        <v>601158</v>
      </c>
      <c r="C2" s="984" t="s">
        <v>2098</v>
      </c>
      <c r="D2" s="982">
        <v>834910081.22000003</v>
      </c>
      <c r="E2" s="982">
        <v>793197340.21000004</v>
      </c>
      <c r="F2" s="982">
        <v>710012480.01999998</v>
      </c>
      <c r="G2" s="982">
        <v>574952700</v>
      </c>
      <c r="H2" s="982">
        <v>540064400</v>
      </c>
      <c r="I2" s="789">
        <v>2</v>
      </c>
      <c r="J2" s="982"/>
      <c r="L2" s="982"/>
      <c r="M2" s="982"/>
      <c r="N2" s="982"/>
      <c r="O2" s="982"/>
      <c r="P2" s="982"/>
      <c r="Q2" s="982"/>
    </row>
    <row r="3" spans="1:17">
      <c r="A3" s="789">
        <v>3</v>
      </c>
      <c r="C3" s="984" t="s">
        <v>2099</v>
      </c>
      <c r="D3" s="982">
        <v>2205527808.7600002</v>
      </c>
      <c r="E3" s="982">
        <v>2028073802.73</v>
      </c>
      <c r="F3" s="982">
        <v>1910327736.6600001</v>
      </c>
      <c r="G3" s="982">
        <v>1730310700</v>
      </c>
      <c r="H3" s="982">
        <v>1519832000</v>
      </c>
      <c r="I3" s="789">
        <v>3</v>
      </c>
      <c r="J3" s="982"/>
      <c r="L3" s="982"/>
      <c r="M3" s="982"/>
      <c r="N3" s="982"/>
      <c r="O3" s="982"/>
      <c r="P3" s="982"/>
      <c r="Q3" s="982"/>
    </row>
    <row r="4" spans="1:17">
      <c r="A4" s="789">
        <v>4</v>
      </c>
      <c r="C4" s="984" t="s">
        <v>2100</v>
      </c>
      <c r="D4" s="982">
        <v>457231620.14999998</v>
      </c>
      <c r="E4" s="982">
        <v>559517525.97000003</v>
      </c>
      <c r="F4" s="982">
        <v>235102946.49000001</v>
      </c>
      <c r="G4" s="982">
        <v>190676400</v>
      </c>
      <c r="H4" s="982">
        <v>147457600</v>
      </c>
      <c r="I4" s="789">
        <v>4</v>
      </c>
      <c r="J4" s="982"/>
      <c r="L4" s="982"/>
      <c r="M4" s="982"/>
      <c r="N4" s="982"/>
      <c r="O4" s="982"/>
      <c r="P4" s="982"/>
      <c r="Q4" s="982"/>
    </row>
    <row r="5" spans="1:17">
      <c r="A5" s="789">
        <v>5</v>
      </c>
      <c r="C5" s="984" t="s">
        <v>2058</v>
      </c>
      <c r="D5" s="982">
        <v>471067075.57999945</v>
      </c>
      <c r="E5" s="982">
        <v>394579201.03999996</v>
      </c>
      <c r="F5" s="982">
        <v>424978204.15999985</v>
      </c>
      <c r="G5" s="982">
        <v>233440011.69000006</v>
      </c>
      <c r="H5" s="982">
        <v>162058281.05999994</v>
      </c>
      <c r="I5" s="789">
        <v>5</v>
      </c>
      <c r="J5" s="982"/>
      <c r="L5" s="982"/>
      <c r="M5" s="982"/>
      <c r="N5" s="982"/>
      <c r="O5" s="982"/>
      <c r="P5" s="982"/>
      <c r="Q5" s="982"/>
    </row>
    <row r="6" spans="1:17">
      <c r="A6" s="789">
        <v>6</v>
      </c>
      <c r="C6" s="789"/>
      <c r="I6" s="789">
        <v>6</v>
      </c>
      <c r="J6" s="789"/>
      <c r="L6" s="789"/>
      <c r="M6" s="789"/>
      <c r="N6" s="789"/>
      <c r="O6" s="789"/>
      <c r="P6" s="789"/>
      <c r="Q6" s="789"/>
    </row>
    <row r="7" spans="1:17">
      <c r="A7" s="789">
        <v>7</v>
      </c>
      <c r="C7" s="789"/>
      <c r="D7" s="982">
        <v>612251604.79999995</v>
      </c>
      <c r="E7" s="982">
        <v>512986722.27999997</v>
      </c>
      <c r="F7" s="982">
        <v>455349574.68000001</v>
      </c>
      <c r="G7" s="982">
        <v>421428900</v>
      </c>
      <c r="H7" s="982">
        <v>387218200</v>
      </c>
      <c r="I7" s="789">
        <v>7</v>
      </c>
      <c r="J7" s="982"/>
      <c r="L7" s="982"/>
      <c r="M7" s="982"/>
      <c r="N7" s="982"/>
      <c r="O7" s="982"/>
      <c r="P7" s="982"/>
      <c r="Q7" s="982"/>
    </row>
    <row r="8" spans="1:17">
      <c r="A8" s="789">
        <v>8</v>
      </c>
      <c r="C8" s="789"/>
      <c r="D8" s="982">
        <v>703877470.20000005</v>
      </c>
      <c r="E8" s="982">
        <v>692358865.52999997</v>
      </c>
      <c r="F8" s="982">
        <v>581608370.24000001</v>
      </c>
      <c r="G8" s="982">
        <v>538006900</v>
      </c>
      <c r="H8" s="982">
        <v>478759900</v>
      </c>
      <c r="I8" s="789">
        <v>8</v>
      </c>
      <c r="J8" s="982"/>
      <c r="L8" s="982"/>
      <c r="M8" s="982"/>
      <c r="N8" s="982"/>
      <c r="O8" s="982"/>
      <c r="P8" s="982"/>
      <c r="Q8" s="982"/>
    </row>
    <row r="9" spans="1:17">
      <c r="A9" s="789">
        <v>9</v>
      </c>
      <c r="C9" s="789"/>
      <c r="D9" s="982">
        <v>385165400.63999999</v>
      </c>
      <c r="E9" s="982">
        <v>473908590.39999998</v>
      </c>
      <c r="F9" s="982">
        <v>197610131.69</v>
      </c>
      <c r="G9" s="982">
        <v>161767700</v>
      </c>
      <c r="H9" s="982">
        <v>119349000</v>
      </c>
      <c r="I9" s="789">
        <v>9</v>
      </c>
      <c r="J9" s="982"/>
      <c r="L9" s="982"/>
      <c r="M9" s="982"/>
      <c r="N9" s="982"/>
      <c r="O9" s="982"/>
      <c r="P9" s="982"/>
      <c r="Q9" s="982"/>
    </row>
    <row r="10" spans="1:17">
      <c r="A10" s="789">
        <v>10</v>
      </c>
      <c r="C10" s="789"/>
      <c r="D10" s="982">
        <v>381131423.18000007</v>
      </c>
      <c r="E10" s="982">
        <v>330228074.00999999</v>
      </c>
      <c r="F10" s="982">
        <v>350728088.57999992</v>
      </c>
      <c r="G10" s="982">
        <v>204041693.72000003</v>
      </c>
      <c r="H10" s="982">
        <v>114366351.91000009</v>
      </c>
      <c r="I10" s="789">
        <v>10</v>
      </c>
      <c r="J10" s="982"/>
      <c r="L10" s="982"/>
      <c r="M10" s="982"/>
      <c r="N10" s="982"/>
      <c r="O10" s="982"/>
      <c r="P10" s="982"/>
      <c r="Q10" s="982"/>
    </row>
    <row r="11" spans="1:17">
      <c r="A11" s="789">
        <v>11</v>
      </c>
      <c r="I11" s="789">
        <v>11</v>
      </c>
    </row>
    <row r="12" spans="1:17">
      <c r="A12" s="789">
        <v>12</v>
      </c>
      <c r="B12" s="981" t="s">
        <v>2105</v>
      </c>
      <c r="C12" s="835" t="s">
        <v>2106</v>
      </c>
      <c r="D12" s="982">
        <v>10934595.300000001</v>
      </c>
      <c r="E12" s="982">
        <v>11996100</v>
      </c>
      <c r="F12" s="982">
        <v>16088400</v>
      </c>
      <c r="G12" s="982">
        <v>14991000</v>
      </c>
      <c r="H12" s="982">
        <v>18088400</v>
      </c>
      <c r="I12" s="789">
        <v>12</v>
      </c>
    </row>
    <row r="13" spans="1:17">
      <c r="A13" s="789">
        <v>13</v>
      </c>
      <c r="C13" s="835" t="s">
        <v>2107</v>
      </c>
      <c r="D13" s="982">
        <v>1770881</v>
      </c>
      <c r="E13" s="982">
        <v>301400</v>
      </c>
      <c r="F13" s="982">
        <v>76700</v>
      </c>
      <c r="G13" s="982">
        <v>290400</v>
      </c>
      <c r="H13" s="982">
        <v>51800</v>
      </c>
      <c r="I13" s="789">
        <v>13</v>
      </c>
    </row>
    <row r="14" spans="1:17">
      <c r="A14" s="789">
        <v>14</v>
      </c>
      <c r="C14" s="835" t="s">
        <v>2108</v>
      </c>
      <c r="D14" s="982">
        <v>11249883.439999999</v>
      </c>
      <c r="E14" s="982">
        <v>10622100</v>
      </c>
      <c r="F14" s="982">
        <v>11580700</v>
      </c>
      <c r="G14" s="982">
        <v>6183100</v>
      </c>
      <c r="H14" s="982">
        <v>9371100</v>
      </c>
      <c r="I14" s="789">
        <v>14</v>
      </c>
    </row>
    <row r="15" spans="1:17">
      <c r="A15" s="789">
        <v>15</v>
      </c>
      <c r="C15" s="835" t="s">
        <v>2109</v>
      </c>
      <c r="D15" s="982">
        <v>178707743.31999999</v>
      </c>
      <c r="E15" s="982">
        <v>184268000</v>
      </c>
      <c r="F15" s="982">
        <v>198187800</v>
      </c>
      <c r="G15" s="982">
        <v>161742700</v>
      </c>
      <c r="H15" s="982">
        <v>81758200</v>
      </c>
      <c r="I15" s="789">
        <v>15</v>
      </c>
    </row>
    <row r="16" spans="1:17">
      <c r="A16" s="789">
        <v>16</v>
      </c>
      <c r="C16" s="835" t="s">
        <v>2110</v>
      </c>
      <c r="D16" s="982">
        <v>252264382.88999999</v>
      </c>
      <c r="E16" s="982">
        <v>226499400</v>
      </c>
      <c r="F16" s="982">
        <v>176229200</v>
      </c>
      <c r="G16" s="982">
        <v>150935500</v>
      </c>
      <c r="H16" s="982">
        <v>170449800</v>
      </c>
      <c r="I16" s="789">
        <v>16</v>
      </c>
    </row>
    <row r="17" spans="1:9">
      <c r="A17" s="789">
        <v>17</v>
      </c>
      <c r="C17" s="835" t="s">
        <v>2111</v>
      </c>
      <c r="D17" s="982">
        <v>2361082.5400000215</v>
      </c>
      <c r="E17" s="982">
        <v>2361082.5400000215</v>
      </c>
      <c r="F17" s="982">
        <v>2361082.5400000215</v>
      </c>
      <c r="G17" s="982">
        <v>2361082.5400000215</v>
      </c>
      <c r="H17" s="982">
        <v>2361082.5400000215</v>
      </c>
      <c r="I17" s="789">
        <v>17</v>
      </c>
    </row>
    <row r="18" spans="1:9">
      <c r="A18" s="789">
        <v>18</v>
      </c>
      <c r="I18" s="789">
        <v>18</v>
      </c>
    </row>
    <row r="19" spans="1:9">
      <c r="A19" s="789">
        <v>19</v>
      </c>
      <c r="D19" s="982">
        <v>10792685.060000001</v>
      </c>
      <c r="E19" s="982">
        <v>10616100</v>
      </c>
      <c r="F19" s="982">
        <v>15726800</v>
      </c>
      <c r="G19" s="982">
        <v>16415300</v>
      </c>
      <c r="H19" s="982">
        <v>17969700</v>
      </c>
      <c r="I19" s="789">
        <v>19</v>
      </c>
    </row>
    <row r="20" spans="1:9">
      <c r="A20" s="789">
        <v>20</v>
      </c>
      <c r="D20" s="982">
        <v>466034.15</v>
      </c>
      <c r="G20" s="982">
        <v>167000</v>
      </c>
      <c r="I20" s="789">
        <v>20</v>
      </c>
    </row>
    <row r="21" spans="1:9">
      <c r="A21" s="789">
        <v>21</v>
      </c>
      <c r="D21" s="982">
        <v>7491304.2800000003</v>
      </c>
      <c r="E21" s="982">
        <v>6107700</v>
      </c>
      <c r="F21" s="982">
        <v>2438500</v>
      </c>
      <c r="G21" s="982">
        <v>1100</v>
      </c>
      <c r="H21" s="982">
        <v>2286200</v>
      </c>
      <c r="I21" s="789">
        <v>21</v>
      </c>
    </row>
    <row r="22" spans="1:9">
      <c r="A22" s="789">
        <v>22</v>
      </c>
      <c r="D22" s="982">
        <v>137184001.09</v>
      </c>
      <c r="E22" s="982">
        <v>141954400</v>
      </c>
      <c r="F22" s="982">
        <v>148680000</v>
      </c>
      <c r="G22" s="982">
        <v>119990000</v>
      </c>
      <c r="H22" s="982">
        <v>72553400</v>
      </c>
      <c r="I22" s="789">
        <v>22</v>
      </c>
    </row>
    <row r="23" spans="1:9">
      <c r="A23" s="789">
        <v>23</v>
      </c>
      <c r="D23" s="982">
        <v>239326457.09999999</v>
      </c>
      <c r="E23" s="982">
        <v>209805100</v>
      </c>
      <c r="F23" s="982">
        <v>164323900</v>
      </c>
      <c r="G23" s="982">
        <v>139734200</v>
      </c>
      <c r="H23" s="982">
        <v>161648400</v>
      </c>
      <c r="I23" s="789">
        <v>23</v>
      </c>
    </row>
    <row r="24" spans="1:9">
      <c r="A24" s="789">
        <v>24</v>
      </c>
      <c r="D24" s="982">
        <v>1525417.0299999714</v>
      </c>
      <c r="E24" s="982">
        <v>0</v>
      </c>
      <c r="F24" s="982">
        <v>42.470000028610229</v>
      </c>
      <c r="G24" s="982">
        <v>3521585.6800000072</v>
      </c>
      <c r="H24" s="982">
        <v>57.050000011920929</v>
      </c>
      <c r="I24" s="789">
        <v>24</v>
      </c>
    </row>
    <row r="25" spans="1:9">
      <c r="A25" s="789">
        <v>25</v>
      </c>
      <c r="I25" s="789">
        <v>25</v>
      </c>
    </row>
    <row r="26" spans="1:9">
      <c r="A26" s="789">
        <v>26</v>
      </c>
      <c r="B26" s="981" t="s">
        <v>2112</v>
      </c>
      <c r="C26" s="835" t="s">
        <v>2113</v>
      </c>
      <c r="D26" s="982">
        <v>72655089.030000001</v>
      </c>
      <c r="E26" s="982">
        <v>73234246.640000001</v>
      </c>
      <c r="F26" s="982">
        <v>82467259.950000003</v>
      </c>
      <c r="G26" s="982">
        <v>91124598.200000003</v>
      </c>
      <c r="H26" s="982">
        <v>90635631.150000006</v>
      </c>
      <c r="I26" s="789">
        <v>26</v>
      </c>
    </row>
    <row r="27" spans="1:9">
      <c r="A27" s="789">
        <v>27</v>
      </c>
      <c r="C27" s="835" t="s">
        <v>2114</v>
      </c>
      <c r="I27" s="789">
        <v>27</v>
      </c>
    </row>
    <row r="28" spans="1:9">
      <c r="A28" s="789">
        <v>28</v>
      </c>
      <c r="C28" s="835" t="s">
        <v>2115</v>
      </c>
      <c r="D28" s="982">
        <v>13177468.08</v>
      </c>
      <c r="E28" s="982">
        <v>80704956.420000002</v>
      </c>
      <c r="F28" s="982">
        <v>56401305.880000003</v>
      </c>
      <c r="G28" s="982">
        <v>53521790.119999997</v>
      </c>
      <c r="H28" s="982">
        <v>68369722.700000003</v>
      </c>
      <c r="I28" s="789">
        <v>28</v>
      </c>
    </row>
    <row r="29" spans="1:9">
      <c r="A29" s="789">
        <v>29</v>
      </c>
      <c r="C29" s="835" t="s">
        <v>2116</v>
      </c>
      <c r="D29" s="982">
        <v>-31325548.18</v>
      </c>
      <c r="E29" s="982">
        <v>-7473873.2699999996</v>
      </c>
      <c r="F29" s="982">
        <v>-11834456.720000001</v>
      </c>
      <c r="G29" s="982">
        <v>-15085530.77</v>
      </c>
      <c r="H29" s="982">
        <v>-27202781.699999999</v>
      </c>
      <c r="I29" s="789">
        <v>29</v>
      </c>
    </row>
    <row r="30" spans="1:9">
      <c r="A30" s="789">
        <v>30</v>
      </c>
      <c r="C30" s="835" t="s">
        <v>2117</v>
      </c>
      <c r="D30" s="982">
        <v>11140999.970000001</v>
      </c>
      <c r="E30" s="982">
        <v>11199142.77</v>
      </c>
      <c r="F30" s="982">
        <v>12042850.41</v>
      </c>
      <c r="G30" s="982">
        <v>15477752.33</v>
      </c>
      <c r="H30" s="982">
        <v>27180012.629999999</v>
      </c>
      <c r="I30" s="789">
        <v>30</v>
      </c>
    </row>
    <row r="31" spans="1:9">
      <c r="A31" s="789">
        <v>31</v>
      </c>
      <c r="C31" s="835" t="s">
        <v>2118</v>
      </c>
      <c r="D31" s="982">
        <v>979279</v>
      </c>
      <c r="E31" s="982">
        <v>16440756.5</v>
      </c>
      <c r="F31" s="982">
        <v>74977533.469999999</v>
      </c>
      <c r="G31" s="982">
        <v>462178651</v>
      </c>
      <c r="I31" s="789">
        <v>31</v>
      </c>
    </row>
    <row r="32" spans="1:9">
      <c r="A32" s="789">
        <v>32</v>
      </c>
      <c r="C32" s="835" t="s">
        <v>2119</v>
      </c>
      <c r="D32" s="982">
        <v>11060888.27</v>
      </c>
      <c r="E32" s="982">
        <v>10385219.58</v>
      </c>
      <c r="F32" s="982">
        <v>10334535.67</v>
      </c>
      <c r="G32" s="982">
        <v>6740200.0999999996</v>
      </c>
      <c r="I32" s="789">
        <v>32</v>
      </c>
    </row>
    <row r="33" spans="1:9">
      <c r="A33" s="789">
        <v>33</v>
      </c>
      <c r="C33" s="105" t="s">
        <v>2120</v>
      </c>
      <c r="D33" s="982">
        <v>20840484.469999999</v>
      </c>
      <c r="E33" s="982">
        <v>22260235.969999999</v>
      </c>
      <c r="F33" s="982">
        <v>14002024.84</v>
      </c>
      <c r="G33" s="982">
        <v>12344692.800000001</v>
      </c>
      <c r="H33" s="982">
        <v>13252648.390000001</v>
      </c>
      <c r="I33" s="789">
        <v>33</v>
      </c>
    </row>
    <row r="34" spans="1:9">
      <c r="A34" s="789">
        <v>34</v>
      </c>
      <c r="C34" s="105" t="s">
        <v>2121</v>
      </c>
      <c r="D34" s="982">
        <v>185984987.91</v>
      </c>
      <c r="E34" s="982">
        <v>170766398.31999999</v>
      </c>
      <c r="F34" s="982">
        <v>164364778.58000001</v>
      </c>
      <c r="G34" s="982">
        <v>160215023.31999999</v>
      </c>
      <c r="H34" s="982">
        <v>158394628.78999999</v>
      </c>
      <c r="I34" s="789">
        <v>34</v>
      </c>
    </row>
    <row r="35" spans="1:9">
      <c r="A35" s="789">
        <v>35</v>
      </c>
      <c r="C35" s="105" t="s">
        <v>2122</v>
      </c>
      <c r="D35" s="982">
        <v>1162281117.3499999</v>
      </c>
      <c r="E35" s="982">
        <v>946539228.75999999</v>
      </c>
      <c r="F35" s="982">
        <v>752726067.33000004</v>
      </c>
      <c r="G35" s="982">
        <v>644104681.76999998</v>
      </c>
      <c r="H35" s="982">
        <v>608242358.60000002</v>
      </c>
      <c r="I35" s="789">
        <v>35</v>
      </c>
    </row>
    <row r="36" spans="1:9">
      <c r="A36" s="789">
        <v>36</v>
      </c>
      <c r="C36" s="835" t="s">
        <v>2078</v>
      </c>
      <c r="D36" s="982">
        <v>6558251.0000002384</v>
      </c>
      <c r="E36" s="982">
        <v>5732447.5699999332</v>
      </c>
      <c r="F36" s="982">
        <v>6726156.8499999046</v>
      </c>
      <c r="G36" s="982">
        <v>5010204.6500000954</v>
      </c>
      <c r="H36" s="982">
        <v>0</v>
      </c>
      <c r="I36" s="789">
        <v>36</v>
      </c>
    </row>
    <row r="37" spans="1:9">
      <c r="A37" s="789">
        <v>37</v>
      </c>
      <c r="I37" s="789">
        <v>37</v>
      </c>
    </row>
    <row r="38" spans="1:9">
      <c r="A38" s="789">
        <v>38</v>
      </c>
      <c r="C38" s="835" t="s">
        <v>2113</v>
      </c>
      <c r="D38" s="982">
        <v>45138579.520000003</v>
      </c>
      <c r="E38" s="982">
        <v>46458729.710000001</v>
      </c>
      <c r="F38" s="982">
        <v>50914156.770000003</v>
      </c>
      <c r="G38" s="982">
        <v>49353276.799999997</v>
      </c>
      <c r="H38" s="982">
        <v>50833268.789999999</v>
      </c>
      <c r="I38" s="789">
        <v>38</v>
      </c>
    </row>
    <row r="39" spans="1:9">
      <c r="A39" s="789">
        <v>39</v>
      </c>
      <c r="C39" s="835" t="s">
        <v>2114</v>
      </c>
      <c r="I39" s="789">
        <v>39</v>
      </c>
    </row>
    <row r="40" spans="1:9">
      <c r="A40" s="789">
        <v>40</v>
      </c>
      <c r="C40" s="835" t="s">
        <v>2115</v>
      </c>
      <c r="D40" s="982">
        <v>12830522.119999999</v>
      </c>
      <c r="E40" s="982">
        <v>64157071.759999998</v>
      </c>
      <c r="F40" s="982">
        <v>61696213.460000001</v>
      </c>
      <c r="G40" s="982">
        <v>62404042.57</v>
      </c>
      <c r="H40" s="982">
        <v>70920713.810000002</v>
      </c>
      <c r="I40" s="789">
        <v>40</v>
      </c>
    </row>
    <row r="41" spans="1:9">
      <c r="A41" s="789">
        <v>41</v>
      </c>
      <c r="C41" s="835" t="s">
        <v>2116</v>
      </c>
      <c r="D41" s="982">
        <v>-31094092.690000001</v>
      </c>
      <c r="E41" s="982">
        <v>-7424883.2699999996</v>
      </c>
      <c r="F41" s="982">
        <v>-11834456.720000001</v>
      </c>
      <c r="G41" s="982">
        <v>-15085530.77</v>
      </c>
      <c r="H41" s="982">
        <v>-27202781.699999999</v>
      </c>
      <c r="I41" s="789">
        <v>41</v>
      </c>
    </row>
    <row r="42" spans="1:9">
      <c r="A42" s="789">
        <v>42</v>
      </c>
      <c r="C42" s="835" t="s">
        <v>2117</v>
      </c>
      <c r="D42" s="982">
        <v>9651608.9900000002</v>
      </c>
      <c r="E42" s="982">
        <v>9637277.6999999993</v>
      </c>
      <c r="F42" s="982">
        <v>9328832.5999999996</v>
      </c>
      <c r="G42" s="982">
        <v>13411911.07</v>
      </c>
      <c r="H42" s="982">
        <v>23504787.960000001</v>
      </c>
      <c r="I42" s="789">
        <v>42</v>
      </c>
    </row>
    <row r="43" spans="1:9">
      <c r="A43" s="789">
        <v>43</v>
      </c>
      <c r="C43" s="835" t="s">
        <v>2118</v>
      </c>
      <c r="D43" s="982">
        <v>517623.32</v>
      </c>
      <c r="E43" s="982">
        <v>8945912.7300000004</v>
      </c>
      <c r="F43" s="982">
        <v>44468233.039999999</v>
      </c>
      <c r="G43" s="982">
        <v>353437854.91000003</v>
      </c>
      <c r="I43" s="789">
        <v>43</v>
      </c>
    </row>
    <row r="44" spans="1:9">
      <c r="A44" s="789">
        <v>44</v>
      </c>
      <c r="C44" s="835" t="s">
        <v>2119</v>
      </c>
      <c r="D44" s="982">
        <v>9000060.6400000006</v>
      </c>
      <c r="E44" s="982">
        <v>9990505.3900000006</v>
      </c>
      <c r="F44" s="982">
        <v>10195128.5</v>
      </c>
      <c r="G44" s="982">
        <v>7565150.7400000002</v>
      </c>
      <c r="I44" s="789">
        <v>44</v>
      </c>
    </row>
    <row r="45" spans="1:9">
      <c r="A45" s="789">
        <v>45</v>
      </c>
      <c r="C45" s="105" t="s">
        <v>2120</v>
      </c>
      <c r="D45" s="982">
        <v>4901354.87</v>
      </c>
      <c r="E45" s="982">
        <v>3613734.91</v>
      </c>
      <c r="F45" s="982">
        <v>2989477.63</v>
      </c>
      <c r="G45" s="982">
        <v>2936716.2</v>
      </c>
      <c r="H45" s="982">
        <v>3048300.26</v>
      </c>
      <c r="I45" s="789">
        <v>45</v>
      </c>
    </row>
    <row r="46" spans="1:9">
      <c r="A46" s="789">
        <v>46</v>
      </c>
      <c r="C46" s="105" t="s">
        <v>2121</v>
      </c>
      <c r="D46" s="982">
        <v>170017058.77000001</v>
      </c>
      <c r="E46" s="982">
        <v>156372914.84</v>
      </c>
      <c r="F46" s="982">
        <v>146263620.13999999</v>
      </c>
      <c r="G46" s="982">
        <v>135744982.52000001</v>
      </c>
      <c r="H46" s="982">
        <v>132273075.34</v>
      </c>
      <c r="I46" s="789">
        <v>46</v>
      </c>
    </row>
    <row r="47" spans="1:9">
      <c r="A47" s="789">
        <v>47</v>
      </c>
      <c r="C47" s="105" t="s">
        <v>2122</v>
      </c>
      <c r="D47" s="982">
        <v>1078421186.03</v>
      </c>
      <c r="E47" s="982">
        <v>875578243.91999996</v>
      </c>
      <c r="F47" s="982">
        <v>698718473.87</v>
      </c>
      <c r="G47" s="982">
        <v>607200423.47000003</v>
      </c>
      <c r="H47" s="982">
        <v>568576917.14999998</v>
      </c>
      <c r="I47" s="789">
        <v>47</v>
      </c>
    </row>
    <row r="48" spans="1:9">
      <c r="A48" s="789">
        <v>48</v>
      </c>
      <c r="C48" s="835" t="s">
        <v>2078</v>
      </c>
      <c r="D48" s="982">
        <v>752826.19000005722</v>
      </c>
      <c r="E48" s="982">
        <v>545187.39999985695</v>
      </c>
      <c r="F48" s="982">
        <v>560253.40000009537</v>
      </c>
      <c r="G48" s="982">
        <v>816381.86999988556</v>
      </c>
      <c r="H48" s="982">
        <v>7064526.7300001383</v>
      </c>
      <c r="I48" s="789">
        <v>48</v>
      </c>
    </row>
    <row r="49" spans="1:9">
      <c r="A49" s="789">
        <v>49</v>
      </c>
      <c r="I49" s="789">
        <v>49</v>
      </c>
    </row>
    <row r="50" spans="1:9">
      <c r="A50" s="789">
        <v>50</v>
      </c>
      <c r="B50" s="981" t="s">
        <v>2123</v>
      </c>
      <c r="C50" s="835" t="s">
        <v>2124</v>
      </c>
      <c r="D50" s="982">
        <v>963146993.49000001</v>
      </c>
      <c r="E50" s="982">
        <v>911619245.44000006</v>
      </c>
      <c r="F50" s="982">
        <v>669248100</v>
      </c>
      <c r="G50" s="982">
        <v>677179514.88</v>
      </c>
      <c r="H50" s="982">
        <v>668550000</v>
      </c>
      <c r="I50" s="789">
        <v>50</v>
      </c>
    </row>
    <row r="51" spans="1:9">
      <c r="A51" s="789">
        <v>51</v>
      </c>
      <c r="C51" s="835" t="s">
        <v>2125</v>
      </c>
      <c r="D51" s="982">
        <v>701779900.86000001</v>
      </c>
      <c r="E51" s="982">
        <v>821608545.25</v>
      </c>
      <c r="F51" s="982">
        <v>649580000</v>
      </c>
      <c r="G51" s="982">
        <v>499362335.12</v>
      </c>
      <c r="H51" s="982">
        <v>540850000</v>
      </c>
      <c r="I51" s="789">
        <v>51</v>
      </c>
    </row>
    <row r="52" spans="1:9">
      <c r="A52" s="789">
        <v>52</v>
      </c>
      <c r="C52" s="835" t="s">
        <v>2126</v>
      </c>
      <c r="D52" s="982">
        <v>26432369.440000001</v>
      </c>
      <c r="E52" s="982">
        <v>68855318.120000005</v>
      </c>
      <c r="F52" s="982">
        <v>63809100</v>
      </c>
      <c r="G52" s="982">
        <v>62643121.630000003</v>
      </c>
      <c r="H52" s="982">
        <v>69890000</v>
      </c>
      <c r="I52" s="789">
        <v>52</v>
      </c>
    </row>
    <row r="53" spans="1:9">
      <c r="A53" s="789">
        <v>53</v>
      </c>
      <c r="C53" s="835" t="s">
        <v>2116</v>
      </c>
      <c r="D53" s="982">
        <v>-15655408.380000001</v>
      </c>
      <c r="E53" s="982">
        <v>-11038471.73</v>
      </c>
      <c r="F53" s="982">
        <v>-17454500</v>
      </c>
      <c r="G53" s="982">
        <v>-8465927.6999999993</v>
      </c>
      <c r="H53" s="982">
        <v>-7890000</v>
      </c>
      <c r="I53" s="789">
        <v>53</v>
      </c>
    </row>
    <row r="54" spans="1:9">
      <c r="A54" s="789">
        <v>54</v>
      </c>
      <c r="C54" s="835" t="s">
        <v>2078</v>
      </c>
      <c r="D54" s="982">
        <v>6273052.1000001431</v>
      </c>
      <c r="E54" s="982">
        <v>4636252.2000000477</v>
      </c>
      <c r="F54" s="982">
        <v>5637663.2400000095</v>
      </c>
      <c r="G54" s="982">
        <v>15235855.899999857</v>
      </c>
      <c r="H54" s="982">
        <v>8596696.4200000763</v>
      </c>
      <c r="I54" s="789">
        <v>54</v>
      </c>
    </row>
    <row r="55" spans="1:9">
      <c r="A55" s="789">
        <v>55</v>
      </c>
      <c r="I55" s="789">
        <v>55</v>
      </c>
    </row>
    <row r="56" spans="1:9">
      <c r="A56" s="789">
        <v>56</v>
      </c>
      <c r="D56" s="982">
        <v>417616251.72000003</v>
      </c>
      <c r="E56" s="982">
        <v>333390697.75</v>
      </c>
      <c r="F56" s="982">
        <v>271430100</v>
      </c>
      <c r="G56" s="982">
        <v>150295847.44</v>
      </c>
      <c r="H56" s="982">
        <v>178620000</v>
      </c>
      <c r="I56" s="789">
        <v>56</v>
      </c>
    </row>
    <row r="57" spans="1:9">
      <c r="A57" s="789">
        <v>57</v>
      </c>
      <c r="D57" s="982">
        <v>661582540</v>
      </c>
      <c r="E57" s="982">
        <v>786103732.51999998</v>
      </c>
      <c r="F57" s="982">
        <v>655223100</v>
      </c>
      <c r="G57" s="982">
        <v>445747043.10000002</v>
      </c>
      <c r="H57" s="982">
        <v>455700000</v>
      </c>
      <c r="I57" s="789">
        <v>57</v>
      </c>
    </row>
    <row r="58" spans="1:9">
      <c r="A58" s="789">
        <v>58</v>
      </c>
      <c r="D58" s="982">
        <v>14154013.800000001</v>
      </c>
      <c r="E58" s="982">
        <v>38051069.020000003</v>
      </c>
      <c r="F58" s="982">
        <v>33180600</v>
      </c>
      <c r="G58" s="982">
        <v>24873212.559999999</v>
      </c>
      <c r="H58" s="982">
        <v>33100000</v>
      </c>
      <c r="I58" s="789">
        <v>58</v>
      </c>
    </row>
    <row r="59" spans="1:9">
      <c r="A59" s="789">
        <v>59</v>
      </c>
      <c r="D59" s="982">
        <v>-8988560.2400000002</v>
      </c>
      <c r="E59" s="982">
        <v>-4800355.46</v>
      </c>
      <c r="F59" s="982">
        <v>-13990200</v>
      </c>
      <c r="G59" s="982">
        <v>-2087943.45</v>
      </c>
      <c r="H59" s="982">
        <v>-3120000</v>
      </c>
      <c r="I59" s="789">
        <v>59</v>
      </c>
    </row>
    <row r="60" spans="1:9">
      <c r="A60" s="789">
        <v>60</v>
      </c>
      <c r="D60" s="982">
        <v>2063008.7999999523</v>
      </c>
      <c r="E60" s="982">
        <v>2518355.120000124</v>
      </c>
      <c r="F60" s="982">
        <v>2386520.5900000334</v>
      </c>
      <c r="G60" s="982">
        <v>2160799.9900001287</v>
      </c>
      <c r="H60" s="982">
        <v>2017413.9700000286</v>
      </c>
      <c r="I60" s="789">
        <v>60</v>
      </c>
    </row>
    <row r="61" spans="1:9">
      <c r="A61" s="789">
        <v>61</v>
      </c>
      <c r="I61" s="789">
        <v>61</v>
      </c>
    </row>
    <row r="62" spans="1:9">
      <c r="A62" s="789">
        <v>62</v>
      </c>
      <c r="B62" s="981" t="s">
        <v>2127</v>
      </c>
      <c r="C62" s="985" t="s">
        <v>2128</v>
      </c>
      <c r="D62" s="982">
        <v>8150571</v>
      </c>
      <c r="E62" s="982">
        <v>5418499.46</v>
      </c>
      <c r="F62" s="982">
        <v>7538047.5300000003</v>
      </c>
      <c r="G62" s="982">
        <v>3973052.03</v>
      </c>
      <c r="H62" s="982">
        <v>3173900</v>
      </c>
      <c r="I62" s="789">
        <v>62</v>
      </c>
    </row>
    <row r="63" spans="1:9">
      <c r="A63" s="789">
        <v>63</v>
      </c>
      <c r="C63" s="985" t="s">
        <v>2129</v>
      </c>
      <c r="D63" s="982">
        <v>55837.04</v>
      </c>
      <c r="E63" s="982">
        <v>2995959</v>
      </c>
      <c r="H63" s="982">
        <v>480400</v>
      </c>
      <c r="I63" s="789">
        <v>63</v>
      </c>
    </row>
    <row r="64" spans="1:9">
      <c r="A64" s="789">
        <v>64</v>
      </c>
      <c r="C64" s="985" t="s">
        <v>2130</v>
      </c>
      <c r="F64" s="982">
        <v>4360000</v>
      </c>
      <c r="G64" s="982">
        <v>845365</v>
      </c>
      <c r="I64" s="789">
        <v>64</v>
      </c>
    </row>
    <row r="65" spans="1:9">
      <c r="A65" s="789">
        <v>65</v>
      </c>
      <c r="C65" s="985" t="s">
        <v>2131</v>
      </c>
      <c r="E65" s="982">
        <v>36000000</v>
      </c>
      <c r="I65" s="789">
        <v>65</v>
      </c>
    </row>
    <row r="66" spans="1:9">
      <c r="A66" s="789">
        <v>66</v>
      </c>
      <c r="C66" s="985" t="s">
        <v>2058</v>
      </c>
      <c r="D66" s="982">
        <v>57000000</v>
      </c>
      <c r="F66" s="982">
        <v>4000</v>
      </c>
      <c r="H66" s="982">
        <v>134600</v>
      </c>
      <c r="I66" s="789">
        <v>66</v>
      </c>
    </row>
    <row r="67" spans="1:9">
      <c r="A67" s="789">
        <v>67</v>
      </c>
      <c r="I67" s="789">
        <v>67</v>
      </c>
    </row>
    <row r="68" spans="1:9">
      <c r="A68" s="789">
        <v>68</v>
      </c>
      <c r="D68" s="982">
        <v>3168262.43</v>
      </c>
      <c r="E68" s="982">
        <v>3329996.7999999998</v>
      </c>
      <c r="F68" s="982">
        <v>3329996.7999999998</v>
      </c>
      <c r="G68" s="982">
        <v>3329996.7999999998</v>
      </c>
      <c r="H68" s="982">
        <v>1665000</v>
      </c>
      <c r="I68" s="789">
        <v>68</v>
      </c>
    </row>
    <row r="69" spans="1:9">
      <c r="A69" s="789">
        <v>69</v>
      </c>
      <c r="D69" s="982">
        <v>0</v>
      </c>
      <c r="E69" s="982">
        <v>739334.36</v>
      </c>
      <c r="I69" s="789">
        <v>69</v>
      </c>
    </row>
    <row r="70" spans="1:9">
      <c r="A70" s="789">
        <v>70</v>
      </c>
      <c r="F70" s="982">
        <v>0</v>
      </c>
      <c r="G70" s="982">
        <v>160392.14000000001</v>
      </c>
      <c r="I70" s="789">
        <v>70</v>
      </c>
    </row>
    <row r="71" spans="1:9">
      <c r="A71" s="789">
        <v>71</v>
      </c>
      <c r="E71" s="982">
        <v>23423139.84</v>
      </c>
      <c r="I71" s="789">
        <v>71</v>
      </c>
    </row>
    <row r="72" spans="1:9">
      <c r="A72" s="789">
        <v>72</v>
      </c>
      <c r="D72" s="982">
        <v>48736142.869999997</v>
      </c>
      <c r="F72" s="982">
        <v>222</v>
      </c>
      <c r="I72" s="789">
        <v>72</v>
      </c>
    </row>
    <row r="73" spans="1:9">
      <c r="A73" s="789">
        <v>73</v>
      </c>
      <c r="I73" s="789">
        <v>73</v>
      </c>
    </row>
    <row r="74" spans="1:9">
      <c r="A74" s="789">
        <v>74</v>
      </c>
      <c r="B74" s="981" t="s">
        <v>2132</v>
      </c>
      <c r="C74" s="985" t="s">
        <v>2133</v>
      </c>
      <c r="D74" s="982">
        <v>3764942.97</v>
      </c>
      <c r="E74" s="982">
        <v>0</v>
      </c>
      <c r="F74" s="982">
        <v>4103780.45</v>
      </c>
      <c r="G74" s="982">
        <v>31606723.760000002</v>
      </c>
      <c r="H74" s="982">
        <v>30971600</v>
      </c>
      <c r="I74" s="789">
        <v>74</v>
      </c>
    </row>
    <row r="75" spans="1:9">
      <c r="A75" s="789">
        <v>75</v>
      </c>
      <c r="C75" s="985" t="s">
        <v>2134</v>
      </c>
      <c r="F75" s="982">
        <v>0</v>
      </c>
      <c r="G75" s="982">
        <v>297620.53999999998</v>
      </c>
      <c r="I75" s="789">
        <v>75</v>
      </c>
    </row>
    <row r="76" spans="1:9">
      <c r="A76" s="789">
        <v>76</v>
      </c>
      <c r="I76" s="789">
        <v>76</v>
      </c>
    </row>
    <row r="77" spans="1:9">
      <c r="A77" s="789">
        <v>77</v>
      </c>
      <c r="D77" s="982">
        <v>2028338.53</v>
      </c>
      <c r="F77" s="982">
        <v>3060932.04</v>
      </c>
      <c r="G77" s="982">
        <v>20245392.309999999</v>
      </c>
      <c r="H77" s="982">
        <v>23613800</v>
      </c>
      <c r="I77" s="789">
        <v>77</v>
      </c>
    </row>
    <row r="78" spans="1:9">
      <c r="A78" s="789">
        <v>78</v>
      </c>
      <c r="G78" s="982">
        <v>296569.98</v>
      </c>
      <c r="H78" s="982">
        <v>-634700</v>
      </c>
      <c r="I78" s="789">
        <v>78</v>
      </c>
    </row>
    <row r="79" spans="1:9">
      <c r="A79" s="789">
        <v>79</v>
      </c>
      <c r="I79" s="789">
        <v>79</v>
      </c>
    </row>
    <row r="80" spans="1:9">
      <c r="A80" s="789">
        <v>80</v>
      </c>
      <c r="B80" s="981" t="s">
        <v>2135</v>
      </c>
      <c r="C80" s="985" t="s">
        <v>2136</v>
      </c>
      <c r="D80" s="982">
        <v>12791271952.01</v>
      </c>
      <c r="E80" s="982">
        <v>13113242434.389999</v>
      </c>
      <c r="F80" s="982">
        <v>10660955837.030001</v>
      </c>
      <c r="I80" s="789">
        <v>80</v>
      </c>
    </row>
    <row r="81" spans="1:9">
      <c r="A81" s="789">
        <v>81</v>
      </c>
      <c r="C81" s="985" t="s">
        <v>2137</v>
      </c>
      <c r="D81" s="982">
        <v>2967329665.3899999</v>
      </c>
      <c r="E81" s="982">
        <v>2791743094.5</v>
      </c>
      <c r="F81" s="982">
        <v>1638289936.9300001</v>
      </c>
      <c r="I81" s="789">
        <v>81</v>
      </c>
    </row>
    <row r="82" spans="1:9">
      <c r="A82" s="789">
        <v>82</v>
      </c>
      <c r="C82" s="985" t="s">
        <v>2138</v>
      </c>
      <c r="D82" s="982">
        <v>9977987818.1399994</v>
      </c>
      <c r="E82" s="982">
        <v>8909891643.3899994</v>
      </c>
      <c r="F82" s="982">
        <v>4383751869.46</v>
      </c>
      <c r="I82" s="789">
        <v>82</v>
      </c>
    </row>
    <row r="83" spans="1:9">
      <c r="A83" s="789">
        <v>83</v>
      </c>
      <c r="C83" s="985" t="s">
        <v>2139</v>
      </c>
      <c r="D83" s="982">
        <v>6440426005.5200005</v>
      </c>
      <c r="E83" s="982">
        <v>4594884947.1700001</v>
      </c>
      <c r="F83" s="982">
        <v>2316817206.4200001</v>
      </c>
      <c r="I83" s="789">
        <v>83</v>
      </c>
    </row>
    <row r="84" spans="1:9">
      <c r="A84" s="789">
        <v>84</v>
      </c>
      <c r="C84" s="985" t="s">
        <v>2140</v>
      </c>
      <c r="E84" s="982">
        <v>0</v>
      </c>
      <c r="F84" s="982">
        <v>64149.62</v>
      </c>
      <c r="I84" s="789">
        <v>84</v>
      </c>
    </row>
    <row r="85" spans="1:9">
      <c r="A85" s="789">
        <v>85</v>
      </c>
      <c r="C85" s="985" t="s">
        <v>2141</v>
      </c>
      <c r="D85" s="982">
        <v>4100345174.4099998</v>
      </c>
      <c r="E85" s="982">
        <v>1878501284.7</v>
      </c>
      <c r="F85" s="982">
        <v>2167897099.04</v>
      </c>
      <c r="I85" s="789">
        <v>85</v>
      </c>
    </row>
    <row r="86" spans="1:9">
      <c r="A86" s="789">
        <v>86</v>
      </c>
      <c r="C86" s="985" t="s">
        <v>2142</v>
      </c>
      <c r="D86" s="982">
        <v>21561911.039999999</v>
      </c>
      <c r="E86" s="982">
        <v>15504802.039999999</v>
      </c>
      <c r="F86" s="982">
        <v>15890503.74</v>
      </c>
      <c r="I86" s="789">
        <v>86</v>
      </c>
    </row>
    <row r="87" spans="1:9">
      <c r="A87" s="789">
        <v>87</v>
      </c>
      <c r="C87" s="985" t="s">
        <v>2078</v>
      </c>
      <c r="D87" s="982">
        <v>8777129.9699999988</v>
      </c>
      <c r="E87" s="982">
        <v>14309302.680000002</v>
      </c>
      <c r="F87" s="982">
        <v>3519622.9699999997</v>
      </c>
      <c r="I87" s="789">
        <v>87</v>
      </c>
    </row>
    <row r="88" spans="1:9">
      <c r="A88" s="789">
        <v>88</v>
      </c>
      <c r="I88" s="789">
        <v>88</v>
      </c>
    </row>
    <row r="89" spans="1:9">
      <c r="A89" s="789">
        <v>89</v>
      </c>
      <c r="D89" s="982">
        <v>12534945866.299999</v>
      </c>
      <c r="E89" s="982">
        <v>12963303765.299999</v>
      </c>
      <c r="F89" s="982">
        <v>10422854325.139999</v>
      </c>
      <c r="I89" s="789">
        <v>89</v>
      </c>
    </row>
    <row r="90" spans="1:9">
      <c r="A90" s="789">
        <v>90</v>
      </c>
      <c r="D90" s="982">
        <v>2873585461.6599998</v>
      </c>
      <c r="E90" s="982">
        <v>2662324957.0799999</v>
      </c>
      <c r="F90" s="982">
        <v>1536016498.6500001</v>
      </c>
      <c r="I90" s="789">
        <v>90</v>
      </c>
    </row>
    <row r="91" spans="1:9">
      <c r="A91" s="789">
        <v>91</v>
      </c>
      <c r="D91" s="982">
        <v>9845075764.1900005</v>
      </c>
      <c r="E91" s="982">
        <v>8744166901.4400005</v>
      </c>
      <c r="F91" s="982">
        <v>4258395643.25</v>
      </c>
      <c r="I91" s="789">
        <v>91</v>
      </c>
    </row>
    <row r="92" spans="1:9">
      <c r="A92" s="789">
        <v>92</v>
      </c>
      <c r="D92" s="982">
        <v>6334178896.6000004</v>
      </c>
      <c r="E92" s="982">
        <v>4415372180.3699999</v>
      </c>
      <c r="F92" s="982">
        <v>2223417402.4000001</v>
      </c>
      <c r="I92" s="789">
        <v>92</v>
      </c>
    </row>
    <row r="93" spans="1:9">
      <c r="A93" s="789">
        <v>93</v>
      </c>
      <c r="F93" s="982">
        <v>467075.31</v>
      </c>
      <c r="I93" s="789">
        <v>93</v>
      </c>
    </row>
    <row r="94" spans="1:9">
      <c r="A94" s="789">
        <v>94</v>
      </c>
      <c r="D94" s="982">
        <v>4035451328.0900002</v>
      </c>
      <c r="E94" s="982">
        <v>1800106995.8199999</v>
      </c>
      <c r="F94" s="982">
        <v>2069512839.6400001</v>
      </c>
      <c r="I94" s="789">
        <v>94</v>
      </c>
    </row>
    <row r="95" spans="1:9">
      <c r="A95" s="789">
        <v>95</v>
      </c>
      <c r="D95" s="982">
        <v>18468763.210000001</v>
      </c>
      <c r="E95" s="982">
        <v>12340713.859999999</v>
      </c>
      <c r="F95" s="982">
        <v>12194952.210000001</v>
      </c>
      <c r="I95" s="789">
        <v>95</v>
      </c>
    </row>
    <row r="96" spans="1:9">
      <c r="A96" s="789">
        <v>96</v>
      </c>
      <c r="D96" s="982">
        <v>3095349.4</v>
      </c>
      <c r="E96" s="982">
        <v>4251851.33</v>
      </c>
      <c r="F96" s="982">
        <v>3336305.67</v>
      </c>
      <c r="I96" s="789">
        <v>96</v>
      </c>
    </row>
    <row r="97" spans="1:9">
      <c r="A97" s="789">
        <v>97</v>
      </c>
      <c r="I97" s="789">
        <v>97</v>
      </c>
    </row>
    <row r="98" spans="1:9">
      <c r="A98" s="789">
        <v>98</v>
      </c>
      <c r="B98" s="981" t="s">
        <v>2143</v>
      </c>
      <c r="C98" s="985" t="s">
        <v>2144</v>
      </c>
      <c r="D98" s="982">
        <v>1598680689.0799999</v>
      </c>
      <c r="E98" s="982">
        <v>1101709304.9100001</v>
      </c>
      <c r="F98" s="982">
        <v>486647889.70999998</v>
      </c>
      <c r="I98" s="789">
        <v>98</v>
      </c>
    </row>
    <row r="99" spans="1:9">
      <c r="A99" s="789">
        <v>99</v>
      </c>
      <c r="C99" s="985" t="s">
        <v>2145</v>
      </c>
      <c r="G99" s="982">
        <v>45609332.630000003</v>
      </c>
      <c r="H99" s="982">
        <v>78654428.010000005</v>
      </c>
      <c r="I99" s="789">
        <v>99</v>
      </c>
    </row>
    <row r="100" spans="1:9">
      <c r="A100" s="789">
        <v>100</v>
      </c>
      <c r="C100" s="985" t="s">
        <v>2146</v>
      </c>
      <c r="D100" s="982">
        <v>558523689.87</v>
      </c>
      <c r="E100" s="982">
        <v>461923535.63</v>
      </c>
      <c r="F100" s="982">
        <v>501432826.74000001</v>
      </c>
      <c r="I100" s="789">
        <v>100</v>
      </c>
    </row>
    <row r="101" spans="1:9">
      <c r="A101" s="789">
        <v>101</v>
      </c>
      <c r="C101" s="985" t="s">
        <v>2147</v>
      </c>
      <c r="G101" s="982">
        <v>10242012.01</v>
      </c>
      <c r="H101" s="982">
        <v>13139091.84</v>
      </c>
      <c r="I101" s="789">
        <v>101</v>
      </c>
    </row>
    <row r="102" spans="1:9">
      <c r="A102" s="789">
        <v>102</v>
      </c>
      <c r="C102" s="985" t="s">
        <v>2148</v>
      </c>
      <c r="D102" s="982">
        <v>261491031.5</v>
      </c>
      <c r="E102" s="982">
        <v>235784355.25</v>
      </c>
      <c r="F102" s="982">
        <v>188940014.72999999</v>
      </c>
      <c r="I102" s="789">
        <v>102</v>
      </c>
    </row>
    <row r="103" spans="1:9">
      <c r="A103" s="789">
        <v>103</v>
      </c>
      <c r="C103" s="985" t="s">
        <v>2149</v>
      </c>
      <c r="G103" s="982">
        <v>12678097.02</v>
      </c>
      <c r="H103" s="982">
        <v>12833141.65</v>
      </c>
      <c r="I103" s="789">
        <v>103</v>
      </c>
    </row>
    <row r="104" spans="1:9">
      <c r="A104" s="789">
        <v>104</v>
      </c>
      <c r="C104" s="985" t="s">
        <v>2058</v>
      </c>
      <c r="D104" s="982">
        <v>61764247.100000001</v>
      </c>
      <c r="E104" s="982">
        <v>41131860.399999999</v>
      </c>
      <c r="F104" s="982">
        <v>25874887.719999999</v>
      </c>
      <c r="G104" s="982">
        <v>1832359.4</v>
      </c>
      <c r="H104" s="982">
        <v>1635310.91</v>
      </c>
      <c r="I104" s="789">
        <v>104</v>
      </c>
    </row>
    <row r="105" spans="1:9">
      <c r="A105" s="789">
        <v>105</v>
      </c>
      <c r="C105" s="985" t="s">
        <v>2150</v>
      </c>
      <c r="F105" s="982">
        <v>0</v>
      </c>
      <c r="I105" s="789">
        <v>105</v>
      </c>
    </row>
    <row r="106" spans="1:9">
      <c r="A106" s="789">
        <v>106</v>
      </c>
      <c r="C106" s="985" t="s">
        <v>2151</v>
      </c>
      <c r="I106" s="789">
        <v>106</v>
      </c>
    </row>
    <row r="107" spans="1:9">
      <c r="A107" s="789">
        <v>107</v>
      </c>
      <c r="C107" s="985" t="s">
        <v>2152</v>
      </c>
      <c r="I107" s="789">
        <v>107</v>
      </c>
    </row>
    <row r="108" spans="1:9">
      <c r="A108" s="789">
        <v>108</v>
      </c>
      <c r="I108" s="789">
        <v>108</v>
      </c>
    </row>
    <row r="109" spans="1:9">
      <c r="A109" s="789">
        <v>109</v>
      </c>
      <c r="D109" s="982">
        <v>1130342725.25</v>
      </c>
      <c r="E109" s="982">
        <v>820748379.25</v>
      </c>
      <c r="F109" s="982">
        <v>353642789.63</v>
      </c>
      <c r="I109" s="789">
        <v>109</v>
      </c>
    </row>
    <row r="110" spans="1:9">
      <c r="A110" s="789">
        <v>110</v>
      </c>
      <c r="G110" s="982">
        <v>34553463.600000001</v>
      </c>
      <c r="H110" s="982">
        <v>58498700.299999997</v>
      </c>
      <c r="I110" s="789">
        <v>110</v>
      </c>
    </row>
    <row r="111" spans="1:9">
      <c r="A111" s="789">
        <v>111</v>
      </c>
      <c r="D111" s="982">
        <v>515355117.54000002</v>
      </c>
      <c r="E111" s="982">
        <v>394590251.50999999</v>
      </c>
      <c r="F111" s="982">
        <v>442684145.72000003</v>
      </c>
      <c r="I111" s="789">
        <v>111</v>
      </c>
    </row>
    <row r="112" spans="1:9">
      <c r="A112" s="789">
        <v>112</v>
      </c>
      <c r="G112" s="982">
        <v>6058346.2400000002</v>
      </c>
      <c r="H112" s="982">
        <v>6242498.6600000001</v>
      </c>
      <c r="I112" s="789">
        <v>112</v>
      </c>
    </row>
    <row r="113" spans="1:9">
      <c r="A113" s="789">
        <v>113</v>
      </c>
      <c r="D113" s="982">
        <v>246050854.00999999</v>
      </c>
      <c r="E113" s="982">
        <v>208674133.09</v>
      </c>
      <c r="F113" s="982">
        <v>178366244.36000001</v>
      </c>
      <c r="I113" s="789">
        <v>113</v>
      </c>
    </row>
    <row r="114" spans="1:9">
      <c r="A114" s="789">
        <v>114</v>
      </c>
      <c r="G114" s="982">
        <v>10592807.279999999</v>
      </c>
      <c r="H114" s="982">
        <v>10963569.710000001</v>
      </c>
      <c r="I114" s="789">
        <v>114</v>
      </c>
    </row>
    <row r="115" spans="1:9">
      <c r="A115" s="789">
        <v>115</v>
      </c>
      <c r="D115" s="982">
        <v>26994081.120000001</v>
      </c>
      <c r="E115" s="982">
        <v>2294469.69</v>
      </c>
      <c r="F115" s="982">
        <v>4844558.34</v>
      </c>
      <c r="G115" s="982">
        <v>435829.97</v>
      </c>
      <c r="H115" s="982">
        <v>447561.55</v>
      </c>
      <c r="I115" s="789">
        <v>115</v>
      </c>
    </row>
    <row r="116" spans="1:9">
      <c r="A116" s="789">
        <v>116</v>
      </c>
      <c r="I116" s="789">
        <v>116</v>
      </c>
    </row>
    <row r="117" spans="1:9">
      <c r="A117" s="789">
        <v>117</v>
      </c>
      <c r="I117" s="789">
        <v>117</v>
      </c>
    </row>
    <row r="118" spans="1:9">
      <c r="A118" s="789">
        <v>118</v>
      </c>
      <c r="I118" s="789">
        <v>118</v>
      </c>
    </row>
    <row r="119" spans="1:9">
      <c r="A119" s="789">
        <v>119</v>
      </c>
      <c r="I119" s="789">
        <v>119</v>
      </c>
    </row>
    <row r="120" spans="1:9">
      <c r="A120" s="789">
        <v>120</v>
      </c>
      <c r="B120" s="981" t="s">
        <v>2153</v>
      </c>
      <c r="C120" s="985" t="s">
        <v>2154</v>
      </c>
      <c r="D120" s="982">
        <v>93258951.290000007</v>
      </c>
      <c r="E120" s="982">
        <v>89976210.620000005</v>
      </c>
      <c r="F120" s="982">
        <v>89091145.099999994</v>
      </c>
      <c r="G120" s="982">
        <v>96964771.670000002</v>
      </c>
      <c r="H120" s="982">
        <v>141798594.69</v>
      </c>
      <c r="I120" s="789">
        <v>120</v>
      </c>
    </row>
    <row r="121" spans="1:9">
      <c r="A121" s="789">
        <v>121</v>
      </c>
      <c r="C121" s="985" t="s">
        <v>2155</v>
      </c>
      <c r="D121" s="982">
        <v>327000172.75</v>
      </c>
      <c r="E121" s="982">
        <v>243768465.09</v>
      </c>
      <c r="F121" s="982">
        <v>164486876.18000001</v>
      </c>
      <c r="G121" s="982">
        <v>211936815.94999999</v>
      </c>
      <c r="H121" s="982">
        <v>250489657.80000001</v>
      </c>
      <c r="I121" s="789">
        <v>121</v>
      </c>
    </row>
    <row r="122" spans="1:9">
      <c r="A122" s="789">
        <v>122</v>
      </c>
      <c r="C122" s="985" t="s">
        <v>2156</v>
      </c>
      <c r="I122" s="789">
        <v>122</v>
      </c>
    </row>
    <row r="123" spans="1:9">
      <c r="A123" s="789">
        <v>123</v>
      </c>
      <c r="C123" s="985" t="s">
        <v>2157</v>
      </c>
      <c r="D123" s="982">
        <v>16936171.469999999</v>
      </c>
      <c r="E123" s="982">
        <v>17392029.579999998</v>
      </c>
      <c r="F123" s="982">
        <v>11398181.359999999</v>
      </c>
      <c r="G123" s="982">
        <v>14102929.710000001</v>
      </c>
      <c r="H123" s="982">
        <v>18631561.16</v>
      </c>
      <c r="I123" s="789">
        <v>123</v>
      </c>
    </row>
    <row r="124" spans="1:9">
      <c r="A124" s="789">
        <v>124</v>
      </c>
      <c r="C124" s="985" t="s">
        <v>2158</v>
      </c>
      <c r="D124" s="982">
        <v>5127381.9000000004</v>
      </c>
      <c r="E124" s="982">
        <v>9384977.8900000006</v>
      </c>
      <c r="F124" s="982">
        <v>12660857.02</v>
      </c>
      <c r="G124" s="982">
        <v>13420400.619999999</v>
      </c>
      <c r="H124" s="982">
        <v>5881787.2999999998</v>
      </c>
      <c r="I124" s="789">
        <v>124</v>
      </c>
    </row>
    <row r="125" spans="1:9">
      <c r="A125" s="789">
        <v>125</v>
      </c>
      <c r="C125" s="985" t="s">
        <v>2159</v>
      </c>
      <c r="E125" s="982">
        <v>2443539.91</v>
      </c>
      <c r="F125" s="982">
        <v>1523656.62</v>
      </c>
      <c r="G125" s="982">
        <v>2292968.34</v>
      </c>
      <c r="H125" s="982">
        <v>2722566.81</v>
      </c>
      <c r="I125" s="789">
        <v>125</v>
      </c>
    </row>
    <row r="126" spans="1:9">
      <c r="A126" s="789">
        <v>126</v>
      </c>
      <c r="C126" s="985" t="s">
        <v>2160</v>
      </c>
      <c r="E126" s="982">
        <v>5307460.6900000004</v>
      </c>
      <c r="F126" s="982">
        <v>3862394.21</v>
      </c>
      <c r="G126" s="982">
        <v>8077576.6100000003</v>
      </c>
      <c r="H126" s="982">
        <v>7927143.0599999996</v>
      </c>
      <c r="I126" s="789">
        <v>126</v>
      </c>
    </row>
    <row r="127" spans="1:9">
      <c r="A127" s="789">
        <v>127</v>
      </c>
      <c r="C127" s="985" t="s">
        <v>2161</v>
      </c>
      <c r="E127" s="982">
        <v>120346</v>
      </c>
      <c r="F127" s="982">
        <v>262920</v>
      </c>
      <c r="G127" s="982">
        <v>305600</v>
      </c>
      <c r="H127" s="982">
        <v>794570</v>
      </c>
      <c r="I127" s="789">
        <v>127</v>
      </c>
    </row>
    <row r="128" spans="1:9">
      <c r="A128" s="789">
        <v>128</v>
      </c>
      <c r="C128" s="985" t="s">
        <v>2162</v>
      </c>
      <c r="E128" s="982">
        <v>6506682.1600000001</v>
      </c>
      <c r="F128" s="982">
        <v>3025431.38</v>
      </c>
      <c r="I128" s="789">
        <v>128</v>
      </c>
    </row>
    <row r="129" spans="1:9">
      <c r="A129" s="789">
        <v>129</v>
      </c>
      <c r="C129" s="985" t="s">
        <v>2078</v>
      </c>
      <c r="D129" s="982">
        <v>14575647.27</v>
      </c>
      <c r="E129" s="982">
        <v>1844358.85</v>
      </c>
      <c r="F129" s="982">
        <v>4618328.5599999996</v>
      </c>
      <c r="G129" s="982">
        <v>7567525.8700000001</v>
      </c>
      <c r="H129" s="982">
        <v>3564931.13</v>
      </c>
      <c r="I129" s="789">
        <v>129</v>
      </c>
    </row>
    <row r="130" spans="1:9">
      <c r="A130" s="789">
        <v>130</v>
      </c>
      <c r="C130" s="985" t="s">
        <v>2163</v>
      </c>
      <c r="E130" s="982">
        <v>6000000</v>
      </c>
      <c r="F130" s="982">
        <v>6000000</v>
      </c>
      <c r="I130" s="789">
        <v>130</v>
      </c>
    </row>
    <row r="131" spans="1:9">
      <c r="A131" s="789">
        <v>131</v>
      </c>
      <c r="I131" s="789">
        <v>131</v>
      </c>
    </row>
    <row r="132" spans="1:9">
      <c r="A132" s="789">
        <v>132</v>
      </c>
      <c r="D132" s="982">
        <v>53336778.560000002</v>
      </c>
      <c r="E132" s="982">
        <v>53654731.780000001</v>
      </c>
      <c r="F132" s="982">
        <v>49628735.759999998</v>
      </c>
      <c r="G132" s="982">
        <v>51998580.759999998</v>
      </c>
      <c r="H132" s="982">
        <v>75706979.060000002</v>
      </c>
      <c r="I132" s="789">
        <v>132</v>
      </c>
    </row>
    <row r="133" spans="1:9">
      <c r="A133" s="789">
        <v>133</v>
      </c>
      <c r="D133" s="982">
        <v>298386579.11000001</v>
      </c>
      <c r="E133" s="982">
        <v>230531667.31</v>
      </c>
      <c r="F133" s="982">
        <v>159451556.22999999</v>
      </c>
      <c r="G133" s="982">
        <v>194934203.66</v>
      </c>
      <c r="H133" s="982">
        <v>224878380.33000001</v>
      </c>
      <c r="I133" s="789">
        <v>133</v>
      </c>
    </row>
    <row r="134" spans="1:9">
      <c r="A134" s="789">
        <v>134</v>
      </c>
      <c r="I134" s="789">
        <v>134</v>
      </c>
    </row>
    <row r="135" spans="1:9">
      <c r="A135" s="789">
        <v>135</v>
      </c>
      <c r="D135" s="982">
        <v>16607609.74</v>
      </c>
      <c r="E135" s="982">
        <v>16902160.010000002</v>
      </c>
      <c r="F135" s="982">
        <v>10955005.310000001</v>
      </c>
      <c r="G135" s="982">
        <v>12923538.050000001</v>
      </c>
      <c r="H135" s="982">
        <v>16551312.33</v>
      </c>
      <c r="I135" s="789">
        <v>135</v>
      </c>
    </row>
    <row r="136" spans="1:9">
      <c r="A136" s="789">
        <v>136</v>
      </c>
      <c r="D136" s="982">
        <v>4988064.3099999996</v>
      </c>
      <c r="E136" s="982">
        <v>8708217.3599999994</v>
      </c>
      <c r="F136" s="982">
        <v>11916668.689999999</v>
      </c>
      <c r="G136" s="982">
        <v>13275913.93</v>
      </c>
      <c r="H136" s="982">
        <v>6324732.54</v>
      </c>
      <c r="I136" s="789">
        <v>136</v>
      </c>
    </row>
    <row r="137" spans="1:9">
      <c r="A137" s="789">
        <v>137</v>
      </c>
      <c r="E137" s="982">
        <v>2681649.33</v>
      </c>
      <c r="F137" s="982">
        <v>1192654.71</v>
      </c>
      <c r="G137" s="982">
        <v>1615347.45</v>
      </c>
      <c r="H137" s="982">
        <v>2399532.08</v>
      </c>
      <c r="I137" s="789">
        <v>137</v>
      </c>
    </row>
    <row r="138" spans="1:9">
      <c r="A138" s="789">
        <v>138</v>
      </c>
      <c r="E138" s="982">
        <v>726720.83</v>
      </c>
      <c r="F138" s="982">
        <v>1482052.19</v>
      </c>
      <c r="G138" s="982">
        <v>8835110.1199999992</v>
      </c>
      <c r="H138" s="982">
        <v>7833625.6100000003</v>
      </c>
      <c r="I138" s="789">
        <v>138</v>
      </c>
    </row>
    <row r="139" spans="1:9">
      <c r="A139" s="789">
        <v>139</v>
      </c>
      <c r="E139" s="982">
        <v>36160</v>
      </c>
      <c r="F139" s="982">
        <v>161868</v>
      </c>
      <c r="G139" s="982">
        <v>188188</v>
      </c>
      <c r="H139" s="982">
        <v>472819</v>
      </c>
      <c r="I139" s="789">
        <v>139</v>
      </c>
    </row>
    <row r="140" spans="1:9">
      <c r="A140" s="789">
        <v>140</v>
      </c>
      <c r="E140" s="982">
        <v>4428685.88</v>
      </c>
      <c r="F140" s="982">
        <v>1844270.14</v>
      </c>
      <c r="I140" s="789">
        <v>140</v>
      </c>
    </row>
    <row r="141" spans="1:9">
      <c r="A141" s="789">
        <v>141</v>
      </c>
      <c r="D141" s="982">
        <v>7166175.6500000004</v>
      </c>
      <c r="E141" s="982">
        <v>1647735.46</v>
      </c>
      <c r="F141" s="982">
        <v>1766369.62</v>
      </c>
      <c r="G141" s="982">
        <v>2075429.95</v>
      </c>
      <c r="H141" s="982">
        <v>920604.89</v>
      </c>
      <c r="I141" s="789">
        <v>141</v>
      </c>
    </row>
    <row r="142" spans="1:9">
      <c r="A142" s="789">
        <v>142</v>
      </c>
      <c r="I142" s="789">
        <v>142</v>
      </c>
    </row>
    <row r="143" spans="1:9">
      <c r="A143" s="789">
        <v>143</v>
      </c>
      <c r="I143" s="789">
        <v>143</v>
      </c>
    </row>
    <row r="144" spans="1:9">
      <c r="A144" s="789">
        <v>144</v>
      </c>
      <c r="B144" s="981" t="s">
        <v>2164</v>
      </c>
      <c r="C144" s="985" t="s">
        <v>2165</v>
      </c>
      <c r="E144" s="982">
        <v>4573000</v>
      </c>
      <c r="F144" s="982">
        <v>4086879.37</v>
      </c>
      <c r="G144" s="982">
        <v>3659335.93</v>
      </c>
      <c r="H144" s="982">
        <v>3057700.41</v>
      </c>
      <c r="I144" s="789">
        <v>144</v>
      </c>
    </row>
    <row r="145" spans="1:9">
      <c r="A145" s="789">
        <v>145</v>
      </c>
      <c r="C145" s="985" t="s">
        <v>2166</v>
      </c>
      <c r="E145" s="982">
        <v>15705100</v>
      </c>
      <c r="F145" s="982">
        <v>13770492.810000001</v>
      </c>
      <c r="G145" s="982">
        <v>7684719.4500000002</v>
      </c>
      <c r="H145" s="982">
        <v>4483108.0199999996</v>
      </c>
      <c r="I145" s="789">
        <v>145</v>
      </c>
    </row>
    <row r="146" spans="1:9">
      <c r="A146" s="789">
        <v>146</v>
      </c>
      <c r="C146" s="985" t="s">
        <v>2058</v>
      </c>
      <c r="F146" s="982">
        <v>2689789.04</v>
      </c>
      <c r="G146" s="982">
        <v>2231612.5</v>
      </c>
      <c r="I146" s="789">
        <v>146</v>
      </c>
    </row>
    <row r="147" spans="1:9">
      <c r="A147" s="789">
        <v>147</v>
      </c>
      <c r="C147" s="985" t="s">
        <v>2167</v>
      </c>
      <c r="H147" s="982">
        <v>2096113.43</v>
      </c>
      <c r="I147" s="789">
        <v>147</v>
      </c>
    </row>
    <row r="148" spans="1:9">
      <c r="A148" s="789">
        <v>148</v>
      </c>
      <c r="I148" s="789">
        <v>148</v>
      </c>
    </row>
    <row r="149" spans="1:9">
      <c r="A149" s="789">
        <v>149</v>
      </c>
      <c r="E149" s="982">
        <v>4933900</v>
      </c>
      <c r="F149" s="982">
        <v>5424524.5999999996</v>
      </c>
      <c r="G149" s="982">
        <v>5041715.88</v>
      </c>
      <c r="H149" s="982">
        <v>4215478.7300000004</v>
      </c>
      <c r="I149" s="789">
        <v>149</v>
      </c>
    </row>
    <row r="150" spans="1:9">
      <c r="A150" s="789">
        <v>150</v>
      </c>
      <c r="E150" s="982">
        <v>12831400</v>
      </c>
      <c r="F150" s="982">
        <v>13046760.93</v>
      </c>
      <c r="G150" s="982">
        <v>7266080.29</v>
      </c>
      <c r="H150" s="982">
        <v>4131890.16</v>
      </c>
      <c r="I150" s="789">
        <v>150</v>
      </c>
    </row>
    <row r="151" spans="1:9">
      <c r="A151" s="789">
        <v>151</v>
      </c>
      <c r="F151" s="982">
        <v>617216.15</v>
      </c>
      <c r="G151" s="982">
        <v>608908.79</v>
      </c>
      <c r="I151" s="789">
        <v>151</v>
      </c>
    </row>
    <row r="152" spans="1:9">
      <c r="A152" s="789">
        <v>152</v>
      </c>
      <c r="H152" s="982">
        <v>608252.53</v>
      </c>
      <c r="I152" s="789">
        <v>152</v>
      </c>
    </row>
    <row r="153" spans="1:9">
      <c r="A153" s="789">
        <v>153</v>
      </c>
      <c r="B153" s="981" t="s">
        <v>2168</v>
      </c>
      <c r="C153" s="985" t="s">
        <v>2169</v>
      </c>
      <c r="D153" s="982">
        <v>1742165647.97</v>
      </c>
      <c r="E153" s="982">
        <v>1717329161.99</v>
      </c>
      <c r="F153" s="982">
        <v>1370317878.3299999</v>
      </c>
      <c r="G153" s="982">
        <v>1305446975.29</v>
      </c>
      <c r="H153" s="982">
        <v>1150680724.2</v>
      </c>
      <c r="I153" s="789">
        <v>153</v>
      </c>
    </row>
    <row r="154" spans="1:9">
      <c r="A154" s="789">
        <v>154</v>
      </c>
      <c r="C154" s="985" t="s">
        <v>2170</v>
      </c>
      <c r="D154" s="982">
        <v>163472881.40000001</v>
      </c>
      <c r="E154" s="982">
        <v>139833265.72</v>
      </c>
      <c r="F154" s="982">
        <v>288531583.30000001</v>
      </c>
      <c r="G154" s="982">
        <v>303850717.33999997</v>
      </c>
      <c r="H154" s="982">
        <v>369826564.73000002</v>
      </c>
      <c r="I154" s="789">
        <v>154</v>
      </c>
    </row>
    <row r="155" spans="1:9">
      <c r="A155" s="789">
        <v>155</v>
      </c>
      <c r="C155" s="985" t="s">
        <v>2171</v>
      </c>
      <c r="D155" s="982">
        <v>47845033.07</v>
      </c>
      <c r="E155" s="982">
        <v>43074972.490000002</v>
      </c>
      <c r="I155" s="789">
        <v>155</v>
      </c>
    </row>
    <row r="156" spans="1:9">
      <c r="A156" s="789">
        <v>156</v>
      </c>
      <c r="C156" s="985" t="s">
        <v>2172</v>
      </c>
      <c r="G156" s="982">
        <v>0</v>
      </c>
      <c r="H156" s="982">
        <v>4296415.54</v>
      </c>
      <c r="I156" s="789">
        <v>156</v>
      </c>
    </row>
    <row r="157" spans="1:9">
      <c r="A157" s="789">
        <v>157</v>
      </c>
      <c r="C157" s="985" t="s">
        <v>2078</v>
      </c>
      <c r="D157" s="982">
        <v>12549030.85</v>
      </c>
      <c r="E157" s="982">
        <v>11689458.959999999</v>
      </c>
      <c r="F157" s="982">
        <v>46774508.68</v>
      </c>
      <c r="G157" s="982">
        <v>49535315.980000004</v>
      </c>
      <c r="H157" s="982">
        <v>57351212.979999997</v>
      </c>
      <c r="I157" s="789">
        <v>157</v>
      </c>
    </row>
    <row r="158" spans="1:9">
      <c r="A158" s="789">
        <v>158</v>
      </c>
      <c r="C158" s="985" t="s">
        <v>2173</v>
      </c>
      <c r="H158" s="982">
        <v>2617596.12</v>
      </c>
      <c r="I158" s="789">
        <v>158</v>
      </c>
    </row>
    <row r="159" spans="1:9">
      <c r="A159" s="789">
        <v>159</v>
      </c>
      <c r="C159" s="985" t="s">
        <v>2174</v>
      </c>
      <c r="H159" s="982">
        <v>8328590.3300000001</v>
      </c>
      <c r="I159" s="789">
        <v>159</v>
      </c>
    </row>
    <row r="160" spans="1:9">
      <c r="A160" s="789">
        <v>160</v>
      </c>
      <c r="C160" s="985" t="s">
        <v>2120</v>
      </c>
      <c r="H160" s="982">
        <v>71900</v>
      </c>
      <c r="I160" s="789">
        <v>160</v>
      </c>
    </row>
    <row r="161" spans="1:9">
      <c r="A161" s="789">
        <v>161</v>
      </c>
      <c r="I161" s="789">
        <v>161</v>
      </c>
    </row>
    <row r="162" spans="1:9">
      <c r="A162" s="789">
        <v>162</v>
      </c>
      <c r="D162" s="982">
        <v>1603076370.6700001</v>
      </c>
      <c r="E162" s="982">
        <v>1567276715.4200001</v>
      </c>
      <c r="F162" s="982">
        <v>1233260817.76</v>
      </c>
      <c r="G162" s="982">
        <v>1170632583.9200001</v>
      </c>
      <c r="H162" s="982">
        <v>1029270657.85</v>
      </c>
      <c r="I162" s="789">
        <v>162</v>
      </c>
    </row>
    <row r="163" spans="1:9">
      <c r="A163" s="789">
        <v>163</v>
      </c>
      <c r="D163" s="982">
        <v>157717701.47</v>
      </c>
      <c r="E163" s="982">
        <v>145163765.38</v>
      </c>
      <c r="F163" s="982">
        <v>287923789.93000001</v>
      </c>
      <c r="G163" s="982">
        <v>295124110.66000003</v>
      </c>
      <c r="H163" s="982">
        <v>356887430.02999997</v>
      </c>
      <c r="I163" s="789">
        <v>163</v>
      </c>
    </row>
    <row r="164" spans="1:9">
      <c r="A164" s="789">
        <v>164</v>
      </c>
      <c r="D164" s="982">
        <v>43117772.280000001</v>
      </c>
      <c r="E164" s="982">
        <v>34647168.75</v>
      </c>
      <c r="I164" s="789">
        <v>164</v>
      </c>
    </row>
    <row r="165" spans="1:9">
      <c r="A165" s="789">
        <v>165</v>
      </c>
      <c r="H165" s="982">
        <v>4630873.32</v>
      </c>
      <c r="I165" s="789">
        <v>165</v>
      </c>
    </row>
    <row r="166" spans="1:9">
      <c r="A166" s="789">
        <v>166</v>
      </c>
      <c r="D166" s="982">
        <v>7677422.25</v>
      </c>
      <c r="E166" s="982">
        <v>5882459.459999999</v>
      </c>
      <c r="F166" s="982">
        <v>38496154.550000004</v>
      </c>
      <c r="G166" s="982">
        <v>35824948</v>
      </c>
      <c r="H166" s="982">
        <v>43094989.990000002</v>
      </c>
      <c r="I166" s="789">
        <v>166</v>
      </c>
    </row>
    <row r="167" spans="1:9">
      <c r="A167" s="789">
        <v>167</v>
      </c>
      <c r="H167" s="982">
        <v>1287362.21</v>
      </c>
      <c r="I167" s="789">
        <v>167</v>
      </c>
    </row>
    <row r="168" spans="1:9">
      <c r="A168" s="789">
        <v>168</v>
      </c>
      <c r="H168" s="982">
        <v>3294373.38</v>
      </c>
      <c r="I168" s="789">
        <v>168</v>
      </c>
    </row>
    <row r="169" spans="1:9">
      <c r="A169" s="789">
        <v>169</v>
      </c>
      <c r="H169" s="982">
        <v>7283</v>
      </c>
      <c r="I169" s="789">
        <v>169</v>
      </c>
    </row>
    <row r="170" spans="1:9">
      <c r="A170" s="789">
        <v>170</v>
      </c>
      <c r="I170" s="789">
        <v>170</v>
      </c>
    </row>
    <row r="171" spans="1:9">
      <c r="A171" s="789">
        <v>171</v>
      </c>
      <c r="B171" s="981" t="s">
        <v>2175</v>
      </c>
      <c r="C171" s="985" t="s">
        <v>2176</v>
      </c>
      <c r="D171" s="982">
        <v>690872051.99000001</v>
      </c>
      <c r="E171" s="982">
        <v>604860600</v>
      </c>
      <c r="F171" s="982">
        <v>543212527.62</v>
      </c>
      <c r="G171" s="982">
        <v>421321055.77999997</v>
      </c>
      <c r="H171" s="982">
        <v>375987187.25</v>
      </c>
      <c r="I171" s="789">
        <v>171</v>
      </c>
    </row>
    <row r="172" spans="1:9">
      <c r="A172" s="789">
        <v>172</v>
      </c>
      <c r="C172" s="985" t="s">
        <v>2177</v>
      </c>
      <c r="D172" s="982">
        <v>581914384.88999999</v>
      </c>
      <c r="E172" s="982">
        <v>537259600</v>
      </c>
      <c r="F172" s="982">
        <v>381144716.12</v>
      </c>
      <c r="G172" s="982">
        <v>298110439.13999999</v>
      </c>
      <c r="H172" s="982">
        <v>275868586.85000002</v>
      </c>
      <c r="I172" s="789">
        <v>172</v>
      </c>
    </row>
    <row r="173" spans="1:9">
      <c r="A173" s="789">
        <v>173</v>
      </c>
      <c r="C173" s="985" t="s">
        <v>2178</v>
      </c>
      <c r="D173" s="982">
        <v>539812796.78999996</v>
      </c>
      <c r="E173" s="982">
        <v>439044200</v>
      </c>
      <c r="F173" s="982">
        <v>328153844.19999999</v>
      </c>
      <c r="G173" s="982">
        <v>251183108.19</v>
      </c>
      <c r="H173" s="982">
        <v>242597212.71000001</v>
      </c>
      <c r="I173" s="789">
        <v>173</v>
      </c>
    </row>
    <row r="174" spans="1:9">
      <c r="A174" s="789">
        <v>174</v>
      </c>
      <c r="C174" s="985" t="s">
        <v>2179</v>
      </c>
      <c r="D174" s="982">
        <v>30603798.77</v>
      </c>
      <c r="E174" s="982">
        <v>38580700</v>
      </c>
      <c r="F174" s="982">
        <v>31165275.370000001</v>
      </c>
      <c r="G174" s="982">
        <v>30670816.359999999</v>
      </c>
      <c r="H174" s="982">
        <v>41418010.420000002</v>
      </c>
      <c r="I174" s="789">
        <v>174</v>
      </c>
    </row>
    <row r="175" spans="1:9">
      <c r="A175" s="789">
        <v>175</v>
      </c>
      <c r="C175" s="985" t="s">
        <v>2180</v>
      </c>
      <c r="F175" s="982">
        <v>220771799.13999999</v>
      </c>
      <c r="G175" s="982">
        <v>44908791.609999999</v>
      </c>
      <c r="H175" s="982">
        <v>4715336.6500000004</v>
      </c>
      <c r="I175" s="789">
        <v>175</v>
      </c>
    </row>
    <row r="176" spans="1:9">
      <c r="A176" s="789">
        <v>176</v>
      </c>
      <c r="C176" s="985" t="s">
        <v>2058</v>
      </c>
      <c r="F176" s="982">
        <v>0</v>
      </c>
      <c r="G176" s="982">
        <v>131000</v>
      </c>
      <c r="H176" s="982">
        <v>620000</v>
      </c>
      <c r="I176" s="789">
        <v>176</v>
      </c>
    </row>
    <row r="177" spans="1:9">
      <c r="A177" s="789">
        <v>177</v>
      </c>
      <c r="I177" s="789">
        <v>177</v>
      </c>
    </row>
    <row r="178" spans="1:9">
      <c r="A178" s="789">
        <v>178</v>
      </c>
      <c r="D178" s="982">
        <v>454303538.5</v>
      </c>
      <c r="E178" s="982">
        <v>380341400</v>
      </c>
      <c r="F178" s="982">
        <v>337787202.22000003</v>
      </c>
      <c r="G178" s="982">
        <v>260438771.72</v>
      </c>
      <c r="H178" s="982">
        <v>231074964.71000001</v>
      </c>
      <c r="I178" s="789">
        <v>178</v>
      </c>
    </row>
    <row r="179" spans="1:9">
      <c r="A179" s="789">
        <v>179</v>
      </c>
      <c r="D179" s="982">
        <v>531537500.05000001</v>
      </c>
      <c r="E179" s="982">
        <v>495975600</v>
      </c>
      <c r="F179" s="982">
        <v>337922578.75</v>
      </c>
      <c r="G179" s="982">
        <v>234599138.75</v>
      </c>
      <c r="H179" s="982">
        <v>221141830.12</v>
      </c>
      <c r="I179" s="789">
        <v>179</v>
      </c>
    </row>
    <row r="180" spans="1:9">
      <c r="A180" s="789">
        <v>180</v>
      </c>
      <c r="D180" s="982">
        <v>483223595.94999999</v>
      </c>
      <c r="E180" s="982">
        <v>397449100</v>
      </c>
      <c r="F180" s="982">
        <v>289647164.19</v>
      </c>
      <c r="G180" s="982">
        <v>235292773.02000001</v>
      </c>
      <c r="H180" s="982">
        <v>223941949.74000001</v>
      </c>
      <c r="I180" s="789">
        <v>180</v>
      </c>
    </row>
    <row r="181" spans="1:9">
      <c r="A181" s="789">
        <v>181</v>
      </c>
      <c r="D181" s="982">
        <v>11740702.550000001</v>
      </c>
      <c r="E181" s="982">
        <v>14198800</v>
      </c>
      <c r="F181" s="982">
        <v>12972146.74</v>
      </c>
      <c r="G181" s="982">
        <v>11654479.369999999</v>
      </c>
      <c r="H181" s="982">
        <v>10515206.18</v>
      </c>
      <c r="I181" s="789">
        <v>181</v>
      </c>
    </row>
    <row r="182" spans="1:9">
      <c r="A182" s="789">
        <v>182</v>
      </c>
      <c r="F182" s="982">
        <v>127608217.18000001</v>
      </c>
      <c r="G182" s="982">
        <v>32734903.48</v>
      </c>
      <c r="H182" s="982">
        <v>2273976.6</v>
      </c>
      <c r="I182" s="789">
        <v>182</v>
      </c>
    </row>
    <row r="183" spans="1:9">
      <c r="A183" s="789">
        <v>183</v>
      </c>
      <c r="I183" s="789">
        <v>183</v>
      </c>
    </row>
    <row r="184" spans="1:9">
      <c r="A184" s="789">
        <v>184</v>
      </c>
      <c r="I184" s="789">
        <v>184</v>
      </c>
    </row>
    <row r="185" spans="1:9">
      <c r="A185" s="789">
        <v>185</v>
      </c>
      <c r="B185" s="981" t="s">
        <v>2181</v>
      </c>
      <c r="C185" s="985" t="s">
        <v>2182</v>
      </c>
      <c r="D185" s="982">
        <v>257589588.09</v>
      </c>
      <c r="E185" s="982">
        <v>188079300</v>
      </c>
      <c r="F185" s="982">
        <v>97885500</v>
      </c>
      <c r="G185" s="982">
        <v>72794400</v>
      </c>
      <c r="H185" s="982">
        <v>61400300</v>
      </c>
      <c r="I185" s="789">
        <v>185</v>
      </c>
    </row>
    <row r="186" spans="1:9">
      <c r="A186" s="789">
        <v>186</v>
      </c>
      <c r="C186" s="985" t="s">
        <v>2183</v>
      </c>
      <c r="F186" s="982">
        <v>107410900</v>
      </c>
      <c r="G186" s="982">
        <v>91579900</v>
      </c>
      <c r="H186" s="982">
        <v>66317300</v>
      </c>
      <c r="I186" s="789">
        <v>186</v>
      </c>
    </row>
    <row r="187" spans="1:9">
      <c r="A187" s="789">
        <v>187</v>
      </c>
      <c r="C187" s="985" t="s">
        <v>2058</v>
      </c>
      <c r="E187" s="982">
        <v>25300</v>
      </c>
      <c r="F187" s="982">
        <v>14555200</v>
      </c>
      <c r="G187" s="982">
        <v>7564195.0099999998</v>
      </c>
      <c r="H187" s="982">
        <v>461108800</v>
      </c>
      <c r="I187" s="789">
        <v>187</v>
      </c>
    </row>
    <row r="188" spans="1:9">
      <c r="A188" s="789">
        <v>188</v>
      </c>
      <c r="C188" s="985" t="s">
        <v>2184</v>
      </c>
      <c r="F188" s="982">
        <v>361960200</v>
      </c>
      <c r="G188" s="982">
        <v>432674800</v>
      </c>
      <c r="I188" s="789">
        <v>188</v>
      </c>
    </row>
    <row r="189" spans="1:9">
      <c r="A189" s="789">
        <v>189</v>
      </c>
      <c r="C189" s="985" t="s">
        <v>2185</v>
      </c>
      <c r="F189" s="982">
        <v>5348200</v>
      </c>
      <c r="G189" s="982">
        <v>11934900</v>
      </c>
      <c r="I189" s="789">
        <v>189</v>
      </c>
    </row>
    <row r="190" spans="1:9">
      <c r="A190" s="789">
        <v>190</v>
      </c>
      <c r="C190" s="985" t="s">
        <v>2186</v>
      </c>
      <c r="G190" s="982">
        <v>17002000</v>
      </c>
      <c r="H190" s="982">
        <v>15909800</v>
      </c>
      <c r="I190" s="789">
        <v>190</v>
      </c>
    </row>
    <row r="191" spans="1:9">
      <c r="A191" s="789">
        <v>191</v>
      </c>
      <c r="I191" s="789">
        <v>191</v>
      </c>
    </row>
    <row r="192" spans="1:9">
      <c r="A192" s="789">
        <v>192</v>
      </c>
      <c r="D192" s="982">
        <v>94831691.980000004</v>
      </c>
      <c r="E192" s="982">
        <v>88011900</v>
      </c>
      <c r="F192" s="982">
        <v>32601800</v>
      </c>
      <c r="G192" s="982">
        <v>17828200</v>
      </c>
      <c r="H192" s="982">
        <v>48514000</v>
      </c>
      <c r="I192" s="789">
        <v>192</v>
      </c>
    </row>
    <row r="193" spans="1:9">
      <c r="A193" s="789">
        <v>193</v>
      </c>
      <c r="F193" s="982">
        <v>105422900</v>
      </c>
      <c r="G193" s="982">
        <v>105404900</v>
      </c>
      <c r="H193" s="982">
        <v>17590100</v>
      </c>
      <c r="I193" s="789">
        <v>193</v>
      </c>
    </row>
    <row r="194" spans="1:9">
      <c r="A194" s="789">
        <v>194</v>
      </c>
      <c r="E194" s="982">
        <v>1500</v>
      </c>
      <c r="F194" s="982">
        <v>1408700</v>
      </c>
      <c r="G194" s="982">
        <v>2453558.35</v>
      </c>
      <c r="H194" s="982">
        <v>415796100</v>
      </c>
      <c r="I194" s="789">
        <v>194</v>
      </c>
    </row>
    <row r="195" spans="1:9">
      <c r="A195" s="789">
        <v>195</v>
      </c>
      <c r="F195" s="982">
        <v>331371100</v>
      </c>
      <c r="G195" s="982">
        <v>399480400</v>
      </c>
      <c r="I195" s="789">
        <v>195</v>
      </c>
    </row>
    <row r="196" spans="1:9">
      <c r="A196" s="789">
        <v>196</v>
      </c>
      <c r="F196" s="982">
        <v>4263000</v>
      </c>
      <c r="G196" s="982">
        <v>8896000</v>
      </c>
      <c r="I196" s="789">
        <v>196</v>
      </c>
    </row>
    <row r="197" spans="1:9">
      <c r="A197" s="789">
        <v>197</v>
      </c>
      <c r="G197" s="982">
        <v>14040100</v>
      </c>
      <c r="H197" s="982">
        <v>11858300</v>
      </c>
      <c r="I197" s="789">
        <v>197</v>
      </c>
    </row>
    <row r="198" spans="1:9">
      <c r="A198" s="789">
        <v>198</v>
      </c>
      <c r="I198" s="789">
        <v>198</v>
      </c>
    </row>
    <row r="199" spans="1:9">
      <c r="A199" s="789">
        <v>199</v>
      </c>
      <c r="B199" s="981" t="s">
        <v>2187</v>
      </c>
      <c r="C199" s="985" t="s">
        <v>2188</v>
      </c>
      <c r="D199" s="982">
        <v>589850051.62</v>
      </c>
      <c r="E199" s="982">
        <v>608650000</v>
      </c>
      <c r="F199" s="982">
        <v>387191191.52999997</v>
      </c>
      <c r="G199" s="982">
        <v>439650200</v>
      </c>
      <c r="H199" s="982">
        <v>522128934.25</v>
      </c>
      <c r="I199" s="789">
        <v>199</v>
      </c>
    </row>
    <row r="200" spans="1:9">
      <c r="A200" s="789">
        <v>200</v>
      </c>
      <c r="C200" s="985" t="s">
        <v>2189</v>
      </c>
      <c r="D200" s="982">
        <v>107017086.7</v>
      </c>
      <c r="E200" s="982">
        <v>98810200</v>
      </c>
      <c r="F200" s="982">
        <v>95545899.400000006</v>
      </c>
      <c r="G200" s="982">
        <v>93086200</v>
      </c>
      <c r="H200" s="982">
        <v>73500072.579999998</v>
      </c>
      <c r="I200" s="789">
        <v>200</v>
      </c>
    </row>
    <row r="201" spans="1:9">
      <c r="A201" s="789">
        <v>201</v>
      </c>
      <c r="C201" s="985" t="s">
        <v>2190</v>
      </c>
      <c r="D201" s="982">
        <v>70764868.590000004</v>
      </c>
      <c r="E201" s="982">
        <v>219018700</v>
      </c>
      <c r="F201" s="982">
        <v>167253685.55000001</v>
      </c>
      <c r="G201" s="982">
        <v>110086200</v>
      </c>
      <c r="H201" s="982">
        <v>97321856.030000001</v>
      </c>
      <c r="I201" s="789">
        <v>201</v>
      </c>
    </row>
    <row r="202" spans="1:9">
      <c r="A202" s="789">
        <v>202</v>
      </c>
      <c r="C202" s="985" t="s">
        <v>2191</v>
      </c>
      <c r="D202" s="982">
        <v>14839703.67</v>
      </c>
      <c r="F202" s="982">
        <v>170112007.84999999</v>
      </c>
      <c r="G202" s="982">
        <v>118596600</v>
      </c>
      <c r="H202" s="982">
        <v>6900041.7300000004</v>
      </c>
      <c r="I202" s="789">
        <v>202</v>
      </c>
    </row>
    <row r="203" spans="1:9">
      <c r="A203" s="789">
        <v>203</v>
      </c>
      <c r="C203" s="985" t="s">
        <v>2192</v>
      </c>
      <c r="H203" s="982">
        <v>53901510.590000004</v>
      </c>
      <c r="I203" s="789">
        <v>203</v>
      </c>
    </row>
    <row r="204" spans="1:9">
      <c r="A204" s="789">
        <v>204</v>
      </c>
      <c r="C204" s="985" t="s">
        <v>2193</v>
      </c>
      <c r="D204" s="982">
        <v>25257769.239999998</v>
      </c>
      <c r="F204" s="982">
        <v>29442857.050000001</v>
      </c>
      <c r="H204" s="982">
        <v>19787828.940000001</v>
      </c>
      <c r="I204" s="789">
        <v>204</v>
      </c>
    </row>
    <row r="205" spans="1:9">
      <c r="A205" s="789">
        <v>205</v>
      </c>
      <c r="C205" s="985" t="s">
        <v>2078</v>
      </c>
      <c r="D205" s="982">
        <v>43566320.939999998</v>
      </c>
      <c r="E205" s="982">
        <v>177625789.80000001</v>
      </c>
      <c r="F205" s="982">
        <v>32859122.84</v>
      </c>
      <c r="G205" s="982">
        <v>57294966.189999998</v>
      </c>
      <c r="H205" s="982">
        <v>28555236.73</v>
      </c>
      <c r="I205" s="789">
        <v>205</v>
      </c>
    </row>
    <row r="206" spans="1:9">
      <c r="A206" s="789">
        <v>206</v>
      </c>
      <c r="I206" s="789">
        <v>206</v>
      </c>
    </row>
    <row r="207" spans="1:9">
      <c r="A207" s="789">
        <v>207</v>
      </c>
      <c r="D207" s="982">
        <v>514557351.25999999</v>
      </c>
      <c r="E207" s="982">
        <v>505385100</v>
      </c>
      <c r="F207" s="982">
        <v>389960383.44999999</v>
      </c>
      <c r="G207" s="982">
        <v>400898000</v>
      </c>
      <c r="H207" s="982">
        <v>424225636.98000002</v>
      </c>
      <c r="I207" s="789">
        <v>207</v>
      </c>
    </row>
    <row r="208" spans="1:9">
      <c r="A208" s="789">
        <v>208</v>
      </c>
      <c r="D208" s="982">
        <v>69643088.040000007</v>
      </c>
      <c r="E208" s="982">
        <v>81486500</v>
      </c>
      <c r="F208" s="982">
        <v>60288991.799999997</v>
      </c>
      <c r="G208" s="982">
        <v>53515500</v>
      </c>
      <c r="H208" s="982">
        <v>41098957.350000001</v>
      </c>
      <c r="I208" s="789">
        <v>208</v>
      </c>
    </row>
    <row r="209" spans="1:9">
      <c r="A209" s="789">
        <v>209</v>
      </c>
      <c r="D209" s="982">
        <v>63548480.530000001</v>
      </c>
      <c r="E209" s="982">
        <v>142957300</v>
      </c>
      <c r="F209" s="982">
        <v>156153662.47999999</v>
      </c>
      <c r="G209" s="982">
        <v>105298200</v>
      </c>
      <c r="H209" s="982">
        <v>92909880.569999993</v>
      </c>
      <c r="I209" s="789">
        <v>209</v>
      </c>
    </row>
    <row r="210" spans="1:9">
      <c r="A210" s="789">
        <v>210</v>
      </c>
      <c r="D210" s="982">
        <v>11179620.9</v>
      </c>
      <c r="F210" s="982">
        <v>151670284.99000001</v>
      </c>
      <c r="G210" s="982">
        <v>102852600</v>
      </c>
      <c r="H210" s="982">
        <v>5656636.0700000003</v>
      </c>
      <c r="I210" s="789">
        <v>210</v>
      </c>
    </row>
    <row r="211" spans="1:9">
      <c r="A211" s="789">
        <v>211</v>
      </c>
      <c r="H211" s="982">
        <v>50669358.990000002</v>
      </c>
      <c r="I211" s="789">
        <v>211</v>
      </c>
    </row>
    <row r="212" spans="1:9">
      <c r="A212" s="789">
        <v>212</v>
      </c>
      <c r="D212" s="982">
        <v>26195195.620000001</v>
      </c>
      <c r="F212" s="982">
        <v>30544621.550000001</v>
      </c>
      <c r="H212" s="982">
        <v>21556796.68</v>
      </c>
      <c r="I212" s="789">
        <v>212</v>
      </c>
    </row>
    <row r="213" spans="1:9">
      <c r="A213" s="789">
        <v>213</v>
      </c>
      <c r="D213" s="982">
        <v>17239678.16</v>
      </c>
      <c r="E213" s="982">
        <v>146414878.59999999</v>
      </c>
      <c r="F213" s="982">
        <v>14571270.219999999</v>
      </c>
      <c r="G213" s="982">
        <v>46904835.520000003</v>
      </c>
      <c r="H213" s="982">
        <v>16964804.66</v>
      </c>
      <c r="I213" s="789">
        <v>213</v>
      </c>
    </row>
    <row r="214" spans="1:9">
      <c r="A214" s="789">
        <v>214</v>
      </c>
      <c r="I214" s="789">
        <v>214</v>
      </c>
    </row>
    <row r="215" spans="1:9">
      <c r="A215" s="789">
        <v>215</v>
      </c>
      <c r="B215" s="981" t="s">
        <v>2194</v>
      </c>
      <c r="C215" s="985" t="s">
        <v>2195</v>
      </c>
      <c r="D215" s="982">
        <v>2870069660.8699999</v>
      </c>
      <c r="E215" s="982">
        <v>3231058420.8200002</v>
      </c>
      <c r="F215" s="982">
        <v>2671804291.98</v>
      </c>
      <c r="G215" s="982">
        <v>2200887000</v>
      </c>
      <c r="H215" s="982">
        <v>2184761755.75</v>
      </c>
      <c r="I215" s="789">
        <v>215</v>
      </c>
    </row>
    <row r="216" spans="1:9">
      <c r="A216" s="789">
        <v>216</v>
      </c>
      <c r="C216" s="985" t="s">
        <v>2058</v>
      </c>
      <c r="D216" s="982">
        <v>720242614.27999997</v>
      </c>
      <c r="E216" s="982">
        <v>712552771.72000003</v>
      </c>
      <c r="F216" s="982">
        <v>554439520.42999995</v>
      </c>
      <c r="I216" s="789">
        <v>216</v>
      </c>
    </row>
    <row r="217" spans="1:9">
      <c r="A217" s="789">
        <v>217</v>
      </c>
      <c r="C217" s="985" t="s">
        <v>2196</v>
      </c>
      <c r="G217" s="982">
        <v>253913300</v>
      </c>
      <c r="H217" s="982">
        <v>195137599.88999999</v>
      </c>
      <c r="I217" s="789">
        <v>217</v>
      </c>
    </row>
    <row r="218" spans="1:9">
      <c r="A218" s="789">
        <v>218</v>
      </c>
      <c r="C218" s="985" t="s">
        <v>2197</v>
      </c>
      <c r="G218" s="982">
        <v>107696800</v>
      </c>
      <c r="H218" s="982">
        <v>102943278.90000001</v>
      </c>
      <c r="I218" s="789">
        <v>218</v>
      </c>
    </row>
    <row r="219" spans="1:9">
      <c r="A219" s="789">
        <v>219</v>
      </c>
      <c r="C219" s="985" t="s">
        <v>2198</v>
      </c>
      <c r="G219" s="982">
        <v>125342000</v>
      </c>
      <c r="H219" s="982">
        <v>135722753.94999999</v>
      </c>
      <c r="I219" s="789">
        <v>219</v>
      </c>
    </row>
    <row r="220" spans="1:9">
      <c r="A220" s="789">
        <v>220</v>
      </c>
      <c r="I220" s="789">
        <v>220</v>
      </c>
    </row>
    <row r="221" spans="1:9">
      <c r="A221" s="789">
        <v>221</v>
      </c>
      <c r="D221" s="982">
        <v>1900277295.51</v>
      </c>
      <c r="E221" s="982">
        <v>1756315820.28</v>
      </c>
      <c r="F221" s="982">
        <v>1587615386.6099999</v>
      </c>
      <c r="G221" s="982">
        <v>1379280400</v>
      </c>
      <c r="H221" s="982">
        <v>1073275421.45</v>
      </c>
      <c r="I221" s="789">
        <v>221</v>
      </c>
    </row>
    <row r="222" spans="1:9">
      <c r="A222" s="789">
        <v>222</v>
      </c>
      <c r="D222" s="982">
        <v>566360866.52999997</v>
      </c>
      <c r="E222" s="982">
        <v>558641683.70000005</v>
      </c>
      <c r="F222" s="982">
        <v>425810976.18000001</v>
      </c>
      <c r="I222" s="789">
        <v>222</v>
      </c>
    </row>
    <row r="223" spans="1:9">
      <c r="A223" s="789">
        <v>223</v>
      </c>
      <c r="G223" s="982">
        <v>252697600</v>
      </c>
      <c r="H223" s="982">
        <v>191386135.53</v>
      </c>
      <c r="I223" s="789">
        <v>223</v>
      </c>
    </row>
    <row r="224" spans="1:9">
      <c r="A224" s="789">
        <v>224</v>
      </c>
      <c r="G224" s="982">
        <v>0</v>
      </c>
      <c r="I224" s="789">
        <v>224</v>
      </c>
    </row>
    <row r="225" spans="1:9">
      <c r="A225" s="789">
        <v>225</v>
      </c>
      <c r="G225" s="982">
        <v>133151500</v>
      </c>
      <c r="H225" s="982">
        <v>121351841.91</v>
      </c>
      <c r="I225" s="789">
        <v>225</v>
      </c>
    </row>
    <row r="226" spans="1:9">
      <c r="A226" s="789">
        <v>226</v>
      </c>
      <c r="I226" s="789">
        <v>226</v>
      </c>
    </row>
    <row r="227" spans="1:9">
      <c r="A227" s="789">
        <v>227</v>
      </c>
      <c r="B227" s="981" t="s">
        <v>2199</v>
      </c>
      <c r="C227" s="986" t="s">
        <v>2200</v>
      </c>
      <c r="D227" s="982">
        <v>49249299.030000001</v>
      </c>
      <c r="E227" s="982">
        <v>47054900</v>
      </c>
      <c r="F227" s="982">
        <v>49910600</v>
      </c>
      <c r="G227" s="982">
        <v>45997300</v>
      </c>
      <c r="H227" s="982">
        <v>60890700</v>
      </c>
      <c r="I227" s="789">
        <v>227</v>
      </c>
    </row>
    <row r="228" spans="1:9">
      <c r="A228" s="789">
        <v>228</v>
      </c>
      <c r="C228" s="986" t="s">
        <v>2201</v>
      </c>
      <c r="D228" s="982">
        <v>180830109</v>
      </c>
      <c r="I228" s="789">
        <v>228</v>
      </c>
    </row>
    <row r="229" spans="1:9">
      <c r="A229" s="789">
        <v>229</v>
      </c>
      <c r="C229" s="986" t="s">
        <v>2202</v>
      </c>
      <c r="G229" s="982">
        <v>7494600</v>
      </c>
      <c r="H229" s="982">
        <v>2531400</v>
      </c>
      <c r="I229" s="789">
        <v>229</v>
      </c>
    </row>
    <row r="230" spans="1:9">
      <c r="A230" s="789">
        <v>230</v>
      </c>
      <c r="C230" s="986" t="s">
        <v>2203</v>
      </c>
      <c r="D230" s="982">
        <v>4301918.8</v>
      </c>
      <c r="I230" s="789">
        <v>230</v>
      </c>
    </row>
    <row r="231" spans="1:9">
      <c r="A231" s="789">
        <v>231</v>
      </c>
      <c r="C231" s="986" t="s">
        <v>2204</v>
      </c>
      <c r="G231" s="982">
        <v>3762800</v>
      </c>
      <c r="H231" s="982">
        <v>6163500</v>
      </c>
      <c r="I231" s="789">
        <v>231</v>
      </c>
    </row>
    <row r="232" spans="1:9">
      <c r="A232" s="789">
        <v>232</v>
      </c>
      <c r="C232" s="986" t="s">
        <v>2205</v>
      </c>
      <c r="D232" s="982">
        <v>188960260.34999999</v>
      </c>
      <c r="E232" s="982">
        <v>183610500</v>
      </c>
      <c r="F232" s="982">
        <v>188562200</v>
      </c>
      <c r="G232" s="982">
        <v>135964500</v>
      </c>
      <c r="H232" s="982">
        <v>114185900</v>
      </c>
      <c r="I232" s="789">
        <v>232</v>
      </c>
    </row>
    <row r="233" spans="1:9">
      <c r="A233" s="789">
        <v>233</v>
      </c>
      <c r="C233" s="986" t="s">
        <v>2206</v>
      </c>
      <c r="D233" s="982">
        <v>0</v>
      </c>
      <c r="E233" s="982">
        <v>4754000</v>
      </c>
      <c r="F233" s="982">
        <v>2988400</v>
      </c>
      <c r="G233" s="982">
        <v>2392600</v>
      </c>
      <c r="H233" s="982">
        <v>1387000</v>
      </c>
      <c r="I233" s="789">
        <v>233</v>
      </c>
    </row>
    <row r="234" spans="1:9">
      <c r="A234" s="789">
        <v>234</v>
      </c>
      <c r="C234" s="986" t="s">
        <v>2207</v>
      </c>
      <c r="D234" s="982">
        <v>78291161.659999996</v>
      </c>
      <c r="E234" s="982">
        <v>103939000</v>
      </c>
      <c r="F234" s="982">
        <v>119111600</v>
      </c>
      <c r="G234" s="982">
        <v>120900700</v>
      </c>
      <c r="H234" s="982">
        <v>114105200</v>
      </c>
      <c r="I234" s="789">
        <v>234</v>
      </c>
    </row>
    <row r="235" spans="1:9">
      <c r="A235" s="789">
        <v>235</v>
      </c>
      <c r="C235" s="986" t="s">
        <v>2078</v>
      </c>
      <c r="D235" s="982">
        <v>2203731.4799999595</v>
      </c>
      <c r="E235" s="982">
        <v>12200259.629999995</v>
      </c>
      <c r="F235" s="982">
        <v>3907972.5500000119</v>
      </c>
      <c r="G235" s="982">
        <v>3391151.6999999881</v>
      </c>
      <c r="H235" s="982">
        <v>3224400</v>
      </c>
      <c r="I235" s="789">
        <v>235</v>
      </c>
    </row>
    <row r="236" spans="1:9">
      <c r="A236" s="789">
        <v>236</v>
      </c>
      <c r="I236" s="789">
        <v>236</v>
      </c>
    </row>
    <row r="237" spans="1:9">
      <c r="A237" s="789">
        <v>237</v>
      </c>
      <c r="D237" s="982">
        <v>41625662.960000001</v>
      </c>
      <c r="E237" s="982">
        <v>35933900</v>
      </c>
      <c r="F237" s="982">
        <v>40263200</v>
      </c>
      <c r="G237" s="982">
        <v>35982600</v>
      </c>
      <c r="H237" s="982">
        <v>53362200</v>
      </c>
      <c r="I237" s="789">
        <v>237</v>
      </c>
    </row>
    <row r="238" spans="1:9">
      <c r="A238" s="789">
        <v>238</v>
      </c>
      <c r="D238" s="982">
        <v>120368544.81</v>
      </c>
      <c r="I238" s="789">
        <v>238</v>
      </c>
    </row>
    <row r="239" spans="1:9">
      <c r="A239" s="789">
        <v>239</v>
      </c>
      <c r="G239" s="982">
        <v>6124200</v>
      </c>
      <c r="H239" s="982">
        <v>2991600</v>
      </c>
      <c r="I239" s="789">
        <v>239</v>
      </c>
    </row>
    <row r="240" spans="1:9">
      <c r="A240" s="789">
        <v>240</v>
      </c>
      <c r="D240" s="982">
        <v>4881212.3899999997</v>
      </c>
      <c r="I240" s="789">
        <v>240</v>
      </c>
    </row>
    <row r="241" spans="1:9">
      <c r="A241" s="789">
        <v>241</v>
      </c>
      <c r="G241" s="982">
        <v>3693700</v>
      </c>
      <c r="H241" s="982">
        <v>7114300</v>
      </c>
      <c r="I241" s="789">
        <v>241</v>
      </c>
    </row>
    <row r="242" spans="1:9">
      <c r="A242" s="789">
        <v>242</v>
      </c>
      <c r="D242" s="982">
        <v>168095411.63</v>
      </c>
      <c r="E242" s="982">
        <v>142828800</v>
      </c>
      <c r="F242" s="982">
        <v>121957500</v>
      </c>
      <c r="G242" s="982">
        <v>83182600</v>
      </c>
      <c r="H242" s="982">
        <v>84138700</v>
      </c>
      <c r="I242" s="789">
        <v>242</v>
      </c>
    </row>
    <row r="243" spans="1:9">
      <c r="A243" s="789">
        <v>243</v>
      </c>
      <c r="D243" s="982">
        <v>0</v>
      </c>
      <c r="E243" s="982">
        <v>1881900</v>
      </c>
      <c r="F243" s="982">
        <v>1626900</v>
      </c>
      <c r="G243" s="982">
        <v>868600</v>
      </c>
      <c r="H243" s="982">
        <v>735200</v>
      </c>
      <c r="I243" s="789">
        <v>243</v>
      </c>
    </row>
    <row r="244" spans="1:9">
      <c r="A244" s="789">
        <v>244</v>
      </c>
      <c r="D244" s="982">
        <v>93254728.969999999</v>
      </c>
      <c r="E244" s="982">
        <v>75898400</v>
      </c>
      <c r="F244" s="982">
        <v>85852600</v>
      </c>
      <c r="G244" s="982">
        <v>100181500</v>
      </c>
      <c r="H244" s="982">
        <v>88517800</v>
      </c>
      <c r="I244" s="789">
        <v>244</v>
      </c>
    </row>
    <row r="245" spans="1:9">
      <c r="A245" s="789">
        <v>245</v>
      </c>
      <c r="D245" s="982">
        <v>1524627.6100000143</v>
      </c>
      <c r="E245" s="982">
        <v>11955150.949999988</v>
      </c>
      <c r="F245" s="982">
        <v>5084326.349999994</v>
      </c>
      <c r="G245" s="982">
        <v>3443562.8700000048</v>
      </c>
      <c r="H245" s="982">
        <v>2367200</v>
      </c>
      <c r="I245" s="789">
        <v>245</v>
      </c>
    </row>
    <row r="246" spans="1:9">
      <c r="A246" s="789">
        <v>246</v>
      </c>
      <c r="I246" s="789">
        <v>246</v>
      </c>
    </row>
    <row r="247" spans="1:9">
      <c r="A247" s="789">
        <v>247</v>
      </c>
      <c r="B247" s="981" t="s">
        <v>2208</v>
      </c>
      <c r="C247" s="985" t="s">
        <v>2209</v>
      </c>
      <c r="D247" s="982">
        <v>31489078695.799999</v>
      </c>
      <c r="E247" s="982">
        <v>23256984353.560001</v>
      </c>
      <c r="F247" s="982">
        <v>20203270466.200001</v>
      </c>
      <c r="G247" s="982">
        <v>16814545290.209999</v>
      </c>
      <c r="H247" s="982">
        <v>15784906768.68</v>
      </c>
      <c r="I247" s="789">
        <v>247</v>
      </c>
    </row>
    <row r="248" spans="1:9">
      <c r="A248" s="789">
        <v>248</v>
      </c>
      <c r="C248" s="985" t="s">
        <v>2210</v>
      </c>
      <c r="D248" s="982">
        <v>237879565.53999999</v>
      </c>
      <c r="E248" s="982">
        <v>239337061.13</v>
      </c>
      <c r="F248" s="982">
        <v>135653556.62</v>
      </c>
      <c r="G248" s="982">
        <v>141614850.94</v>
      </c>
      <c r="H248" s="982">
        <v>118666706.68000001</v>
      </c>
      <c r="I248" s="789">
        <v>248</v>
      </c>
    </row>
    <row r="249" spans="1:9">
      <c r="A249" s="789">
        <v>249</v>
      </c>
      <c r="C249" s="985" t="s">
        <v>2211</v>
      </c>
      <c r="E249" s="982">
        <v>378551.11</v>
      </c>
      <c r="F249" s="982">
        <v>4973685.55</v>
      </c>
      <c r="G249" s="982">
        <v>6632856.2800000003</v>
      </c>
      <c r="H249" s="982">
        <v>19811223.719999999</v>
      </c>
      <c r="I249" s="789">
        <v>249</v>
      </c>
    </row>
    <row r="250" spans="1:9">
      <c r="A250" s="789">
        <v>250</v>
      </c>
      <c r="C250" s="985" t="s">
        <v>2212</v>
      </c>
      <c r="D250" s="982">
        <v>475386415</v>
      </c>
      <c r="E250" s="982">
        <v>342577940.31</v>
      </c>
      <c r="F250" s="982">
        <v>290776113.39999998</v>
      </c>
      <c r="G250" s="982">
        <v>273544628.45999998</v>
      </c>
      <c r="H250" s="982">
        <v>256663354.24000001</v>
      </c>
      <c r="I250" s="789">
        <v>250</v>
      </c>
    </row>
    <row r="251" spans="1:9">
      <c r="A251" s="789">
        <v>251</v>
      </c>
      <c r="C251" s="985" t="s">
        <v>2213</v>
      </c>
      <c r="G251" s="982">
        <v>0</v>
      </c>
      <c r="H251" s="982">
        <v>1504975.22</v>
      </c>
      <c r="I251" s="789">
        <v>251</v>
      </c>
    </row>
    <row r="252" spans="1:9">
      <c r="A252" s="789">
        <v>252</v>
      </c>
      <c r="C252" s="985" t="s">
        <v>2214</v>
      </c>
      <c r="G252" s="982">
        <v>36724407.859999999</v>
      </c>
      <c r="H252" s="982">
        <v>126627946.38</v>
      </c>
      <c r="I252" s="789">
        <v>252</v>
      </c>
    </row>
    <row r="253" spans="1:9">
      <c r="A253" s="789">
        <v>253</v>
      </c>
      <c r="C253" s="985" t="s">
        <v>2215</v>
      </c>
      <c r="G253" s="982">
        <v>108500012.87</v>
      </c>
      <c r="I253" s="789">
        <v>253</v>
      </c>
    </row>
    <row r="254" spans="1:9">
      <c r="A254" s="789">
        <v>254</v>
      </c>
      <c r="C254" s="985" t="s">
        <v>2078</v>
      </c>
      <c r="D254" s="982">
        <v>388035057.90999997</v>
      </c>
      <c r="E254" s="982">
        <v>322620516.46999997</v>
      </c>
      <c r="F254" s="982">
        <v>242344309.49000001</v>
      </c>
      <c r="G254" s="982">
        <v>39866447.25</v>
      </c>
      <c r="H254" s="982">
        <v>1503517.39</v>
      </c>
      <c r="I254" s="789">
        <v>254</v>
      </c>
    </row>
    <row r="255" spans="1:9">
      <c r="A255" s="789">
        <v>255</v>
      </c>
      <c r="I255" s="789">
        <v>255</v>
      </c>
    </row>
    <row r="256" spans="1:9">
      <c r="A256" s="789">
        <v>256</v>
      </c>
      <c r="D256" s="982">
        <v>29909728410.189999</v>
      </c>
      <c r="E256" s="982">
        <v>21402306830.880001</v>
      </c>
      <c r="F256" s="982">
        <v>18064065354.91</v>
      </c>
      <c r="G256" s="982">
        <v>15143325267.01</v>
      </c>
      <c r="H256" s="982">
        <v>14497907159.969999</v>
      </c>
      <c r="I256" s="789">
        <v>256</v>
      </c>
    </row>
    <row r="257" spans="1:9">
      <c r="A257" s="789">
        <v>257</v>
      </c>
      <c r="D257" s="982">
        <v>179641267.18000001</v>
      </c>
      <c r="E257" s="982">
        <v>174512115.36000001</v>
      </c>
      <c r="F257" s="982">
        <v>89521084.379999995</v>
      </c>
      <c r="G257" s="982">
        <v>97935123.189999998</v>
      </c>
      <c r="H257" s="982">
        <v>70853167.379999995</v>
      </c>
      <c r="I257" s="789">
        <v>257</v>
      </c>
    </row>
    <row r="258" spans="1:9">
      <c r="A258" s="789">
        <v>258</v>
      </c>
      <c r="E258" s="982">
        <v>635339.97</v>
      </c>
      <c r="F258" s="982">
        <v>4040413.08</v>
      </c>
      <c r="G258" s="982">
        <v>5019141.87</v>
      </c>
      <c r="H258" s="982">
        <v>13948156.470000001</v>
      </c>
      <c r="I258" s="789">
        <v>258</v>
      </c>
    </row>
    <row r="259" spans="1:9">
      <c r="A259" s="789">
        <v>259</v>
      </c>
      <c r="D259" s="982">
        <v>276947873.31999999</v>
      </c>
      <c r="E259" s="982">
        <v>185239770.24000001</v>
      </c>
      <c r="F259" s="982">
        <v>151200210.47</v>
      </c>
      <c r="G259" s="982">
        <v>135110399.62</v>
      </c>
      <c r="H259" s="982">
        <v>122145732.16</v>
      </c>
      <c r="I259" s="789">
        <v>259</v>
      </c>
    </row>
    <row r="260" spans="1:9">
      <c r="A260" s="789">
        <v>260</v>
      </c>
      <c r="H260" s="982">
        <v>1046416.83</v>
      </c>
      <c r="I260" s="789">
        <v>260</v>
      </c>
    </row>
    <row r="261" spans="1:9">
      <c r="A261" s="789">
        <v>261</v>
      </c>
      <c r="G261" s="982">
        <v>1494167.89</v>
      </c>
      <c r="H261" s="982">
        <v>4512190.32</v>
      </c>
      <c r="I261" s="789">
        <v>261</v>
      </c>
    </row>
    <row r="262" spans="1:9">
      <c r="A262" s="789">
        <v>262</v>
      </c>
      <c r="G262" s="982">
        <v>75901758.939999998</v>
      </c>
      <c r="I262" s="789">
        <v>262</v>
      </c>
    </row>
    <row r="263" spans="1:9">
      <c r="A263" s="789">
        <v>263</v>
      </c>
      <c r="D263" s="982">
        <v>178199755.10999998</v>
      </c>
      <c r="E263" s="982">
        <v>149250906.91</v>
      </c>
      <c r="F263" s="982">
        <v>76479817.349999994</v>
      </c>
      <c r="G263" s="982">
        <v>3407005.55</v>
      </c>
      <c r="H263" s="982">
        <v>899673.73</v>
      </c>
      <c r="I263" s="789">
        <v>263</v>
      </c>
    </row>
    <row r="264" spans="1:9">
      <c r="A264" s="789">
        <v>264</v>
      </c>
      <c r="I264" s="789">
        <v>264</v>
      </c>
    </row>
    <row r="265" spans="1:9">
      <c r="A265" s="789">
        <v>265</v>
      </c>
      <c r="B265" s="981" t="s">
        <v>2216</v>
      </c>
      <c r="C265" s="985" t="s">
        <v>2217</v>
      </c>
      <c r="D265" s="982">
        <v>3238238185.6500001</v>
      </c>
      <c r="E265" s="982">
        <v>2503563930.48</v>
      </c>
      <c r="F265" s="982">
        <v>1698964140.72</v>
      </c>
      <c r="G265" s="982">
        <v>1340378777.23</v>
      </c>
      <c r="H265" s="982">
        <v>1074492474.1800001</v>
      </c>
      <c r="I265" s="789">
        <v>265</v>
      </c>
    </row>
    <row r="266" spans="1:9">
      <c r="A266" s="789">
        <v>266</v>
      </c>
      <c r="C266" s="985" t="s">
        <v>2218</v>
      </c>
      <c r="D266" s="982">
        <v>6131580.0999999996</v>
      </c>
      <c r="E266" s="982">
        <v>7959238.6500000004</v>
      </c>
      <c r="F266" s="982">
        <v>4386642.17</v>
      </c>
      <c r="G266" s="982">
        <v>26943387.16</v>
      </c>
      <c r="H266" s="982">
        <v>12007064.800000001</v>
      </c>
      <c r="I266" s="789">
        <v>266</v>
      </c>
    </row>
    <row r="267" spans="1:9">
      <c r="A267" s="789">
        <v>267</v>
      </c>
      <c r="C267" s="985" t="s">
        <v>2219</v>
      </c>
      <c r="D267" s="982">
        <v>17896594.34</v>
      </c>
      <c r="E267" s="982">
        <v>21473281.710000001</v>
      </c>
      <c r="F267" s="982">
        <v>19045538.640000001</v>
      </c>
      <c r="G267" s="982">
        <v>19419631.98</v>
      </c>
      <c r="H267" s="982">
        <v>11162757.300000001</v>
      </c>
      <c r="I267" s="789">
        <v>267</v>
      </c>
    </row>
    <row r="268" spans="1:9">
      <c r="A268" s="789">
        <v>268</v>
      </c>
      <c r="C268" s="985" t="s">
        <v>2220</v>
      </c>
      <c r="D268" s="982">
        <v>3200016219.5999999</v>
      </c>
      <c r="E268" s="982">
        <v>3506444808.9000001</v>
      </c>
      <c r="F268" s="982">
        <v>2729865069.98</v>
      </c>
      <c r="G268" s="982">
        <v>2843006585.3000002</v>
      </c>
      <c r="H268" s="982">
        <v>3037457499.48</v>
      </c>
      <c r="I268" s="789">
        <v>268</v>
      </c>
    </row>
    <row r="269" spans="1:9">
      <c r="A269" s="789">
        <v>269</v>
      </c>
      <c r="C269" s="985" t="s">
        <v>2221</v>
      </c>
      <c r="D269" s="982">
        <v>300211564.33999997</v>
      </c>
      <c r="E269" s="982">
        <v>193292637.80000001</v>
      </c>
      <c r="F269" s="982">
        <v>108258540.84</v>
      </c>
      <c r="G269" s="982">
        <v>120206141.33</v>
      </c>
      <c r="H269" s="982">
        <v>89247636.180000007</v>
      </c>
      <c r="I269" s="789">
        <v>269</v>
      </c>
    </row>
    <row r="270" spans="1:9">
      <c r="A270" s="789">
        <v>270</v>
      </c>
      <c r="C270" s="985" t="s">
        <v>2222</v>
      </c>
      <c r="D270" s="982">
        <v>110421970.5</v>
      </c>
      <c r="E270" s="982">
        <v>75697069.719999999</v>
      </c>
      <c r="F270" s="982">
        <v>59766543.57</v>
      </c>
      <c r="G270" s="982">
        <v>47778670.579999998</v>
      </c>
      <c r="H270" s="982">
        <v>35508941.210000001</v>
      </c>
      <c r="I270" s="789">
        <v>270</v>
      </c>
    </row>
    <row r="271" spans="1:9">
      <c r="A271" s="789">
        <v>271</v>
      </c>
      <c r="C271" s="985" t="s">
        <v>2107</v>
      </c>
      <c r="D271" s="982">
        <v>414597002.89999998</v>
      </c>
      <c r="E271" s="982">
        <v>337857296.07999998</v>
      </c>
      <c r="F271" s="982">
        <v>673069204.63999999</v>
      </c>
      <c r="G271" s="982">
        <v>744209216.48000002</v>
      </c>
      <c r="H271" s="982">
        <v>263832089.81</v>
      </c>
      <c r="I271" s="789">
        <v>271</v>
      </c>
    </row>
    <row r="272" spans="1:9">
      <c r="A272" s="789">
        <v>272</v>
      </c>
      <c r="C272" s="985" t="s">
        <v>2223</v>
      </c>
      <c r="D272" s="982">
        <v>18991908</v>
      </c>
      <c r="F272" s="982">
        <v>25834257.5</v>
      </c>
      <c r="G272" s="982">
        <v>21512822</v>
      </c>
      <c r="H272" s="982">
        <v>8401518.6999999993</v>
      </c>
      <c r="I272" s="789">
        <v>272</v>
      </c>
    </row>
    <row r="273" spans="1:9">
      <c r="A273" s="789">
        <v>273</v>
      </c>
      <c r="C273" s="985" t="s">
        <v>2224</v>
      </c>
      <c r="E273" s="982">
        <v>0</v>
      </c>
      <c r="F273" s="982">
        <v>42214752.719999999</v>
      </c>
      <c r="G273" s="982">
        <v>107029397.64</v>
      </c>
      <c r="H273" s="982">
        <v>92209815.260000005</v>
      </c>
      <c r="I273" s="789">
        <v>273</v>
      </c>
    </row>
    <row r="274" spans="1:9">
      <c r="A274" s="789">
        <v>274</v>
      </c>
      <c r="C274" s="985" t="s">
        <v>2225</v>
      </c>
      <c r="D274" s="982">
        <v>799526165.80999994</v>
      </c>
      <c r="F274" s="982">
        <v>782605078.07000005</v>
      </c>
      <c r="G274" s="982">
        <v>675010749.05999994</v>
      </c>
      <c r="H274" s="982">
        <v>406241070.54000002</v>
      </c>
      <c r="I274" s="789">
        <v>274</v>
      </c>
    </row>
    <row r="275" spans="1:9">
      <c r="A275" s="789">
        <v>275</v>
      </c>
      <c r="C275" s="985" t="s">
        <v>2159</v>
      </c>
      <c r="D275" s="982">
        <v>15750960.18</v>
      </c>
      <c r="F275" s="982">
        <v>14247110.27</v>
      </c>
      <c r="G275" s="982">
        <v>18172004.140000001</v>
      </c>
      <c r="H275" s="982">
        <v>15291560.970000001</v>
      </c>
      <c r="I275" s="789">
        <v>275</v>
      </c>
    </row>
    <row r="276" spans="1:9">
      <c r="A276" s="789">
        <v>276</v>
      </c>
      <c r="C276" s="985" t="s">
        <v>2226</v>
      </c>
      <c r="D276" s="982">
        <v>22198369.989999998</v>
      </c>
      <c r="F276" s="982">
        <v>17913510.859999999</v>
      </c>
      <c r="G276" s="982">
        <v>14819389.24</v>
      </c>
      <c r="H276" s="982">
        <v>7702143.8799999999</v>
      </c>
      <c r="I276" s="789">
        <v>276</v>
      </c>
    </row>
    <row r="277" spans="1:9">
      <c r="A277" s="789">
        <v>277</v>
      </c>
      <c r="C277" s="985" t="s">
        <v>2227</v>
      </c>
      <c r="D277" s="982">
        <v>61632947.799999997</v>
      </c>
      <c r="F277" s="982">
        <v>75959285.280000001</v>
      </c>
      <c r="G277" s="982">
        <v>93596709.810000002</v>
      </c>
      <c r="H277" s="982">
        <v>107282503.45</v>
      </c>
      <c r="I277" s="789">
        <v>277</v>
      </c>
    </row>
    <row r="278" spans="1:9">
      <c r="A278" s="789">
        <v>278</v>
      </c>
      <c r="C278" s="985" t="s">
        <v>2228</v>
      </c>
      <c r="D278" s="982">
        <v>118562853.17</v>
      </c>
      <c r="I278" s="789">
        <v>278</v>
      </c>
    </row>
    <row r="279" spans="1:9">
      <c r="A279" s="789">
        <v>279</v>
      </c>
      <c r="C279" s="985" t="s">
        <v>2101</v>
      </c>
      <c r="D279" s="982">
        <v>17778419.010000002</v>
      </c>
      <c r="E279" s="982">
        <v>933918201.82000005</v>
      </c>
      <c r="F279" s="982">
        <v>16271384.289999999</v>
      </c>
      <c r="G279" s="982">
        <v>15027507.630000001</v>
      </c>
      <c r="H279" s="982">
        <v>14680118.539999999</v>
      </c>
      <c r="I279" s="789">
        <v>279</v>
      </c>
    </row>
    <row r="280" spans="1:9">
      <c r="A280" s="789">
        <v>280</v>
      </c>
      <c r="I280" s="789">
        <v>280</v>
      </c>
    </row>
    <row r="281" spans="1:9">
      <c r="A281" s="789">
        <v>281</v>
      </c>
      <c r="D281" s="982">
        <v>1570884252.1900001</v>
      </c>
      <c r="E281" s="982">
        <v>1081242977.5799999</v>
      </c>
      <c r="F281" s="982">
        <v>766641875.5</v>
      </c>
      <c r="G281" s="982">
        <v>643128885.11000001</v>
      </c>
      <c r="H281" s="982">
        <v>519075705.81</v>
      </c>
      <c r="I281" s="789">
        <v>281</v>
      </c>
    </row>
    <row r="282" spans="1:9">
      <c r="A282" s="789">
        <v>282</v>
      </c>
      <c r="D282" s="982">
        <v>8533064.1199999992</v>
      </c>
      <c r="E282" s="982">
        <v>6652244.2999999998</v>
      </c>
      <c r="F282" s="982">
        <v>4293837.33</v>
      </c>
      <c r="G282" s="982">
        <v>20480759.940000001</v>
      </c>
      <c r="H282" s="982">
        <v>6601835.5599999996</v>
      </c>
      <c r="I282" s="789">
        <v>282</v>
      </c>
    </row>
    <row r="283" spans="1:9">
      <c r="A283" s="789">
        <v>283</v>
      </c>
      <c r="D283" s="982">
        <v>9219873.7899999991</v>
      </c>
      <c r="E283" s="982">
        <v>15259780.41</v>
      </c>
      <c r="F283" s="982">
        <v>12090033.189999999</v>
      </c>
      <c r="G283" s="982">
        <v>12891793.09</v>
      </c>
      <c r="H283" s="982">
        <v>7190430.1100000003</v>
      </c>
      <c r="I283" s="789">
        <v>283</v>
      </c>
    </row>
    <row r="284" spans="1:9">
      <c r="A284" s="789">
        <v>284</v>
      </c>
      <c r="D284" s="982">
        <v>3046518844.73</v>
      </c>
      <c r="E284" s="982">
        <v>3396098505.23</v>
      </c>
      <c r="F284" s="982">
        <v>2597272539.75</v>
      </c>
      <c r="G284" s="982">
        <v>2770212524.0500002</v>
      </c>
      <c r="H284" s="982">
        <v>2941776642.9299998</v>
      </c>
      <c r="I284" s="789">
        <v>284</v>
      </c>
    </row>
    <row r="285" spans="1:9">
      <c r="A285" s="789">
        <v>285</v>
      </c>
      <c r="D285" s="982">
        <v>226541746.93000001</v>
      </c>
      <c r="E285" s="982">
        <v>125871315.51000001</v>
      </c>
      <c r="F285" s="982">
        <v>69159486.590000004</v>
      </c>
      <c r="G285" s="982">
        <v>66794169.039999999</v>
      </c>
      <c r="H285" s="982">
        <v>35292903.759999998</v>
      </c>
      <c r="I285" s="789">
        <v>285</v>
      </c>
    </row>
    <row r="286" spans="1:9">
      <c r="A286" s="789">
        <v>286</v>
      </c>
      <c r="D286" s="982">
        <v>33418682.559999999</v>
      </c>
      <c r="E286" s="982">
        <v>11208896.51</v>
      </c>
      <c r="F286" s="982">
        <v>7973951.2599999998</v>
      </c>
      <c r="G286" s="982">
        <v>8181652.9199999999</v>
      </c>
      <c r="H286" s="982">
        <v>5021357.4400000004</v>
      </c>
      <c r="I286" s="789">
        <v>286</v>
      </c>
    </row>
    <row r="287" spans="1:9">
      <c r="A287" s="789">
        <v>287</v>
      </c>
      <c r="D287" s="982">
        <v>350344785.41000003</v>
      </c>
      <c r="E287" s="982">
        <v>209587133.19999999</v>
      </c>
      <c r="F287" s="982">
        <v>439746066.12</v>
      </c>
      <c r="G287" s="982">
        <v>559531067.78999996</v>
      </c>
      <c r="H287" s="982">
        <v>101478850.98999999</v>
      </c>
      <c r="I287" s="789">
        <v>287</v>
      </c>
    </row>
    <row r="288" spans="1:9">
      <c r="A288" s="789">
        <v>288</v>
      </c>
      <c r="D288" s="982">
        <v>17006379.170000002</v>
      </c>
      <c r="F288" s="982">
        <v>20402433.899999999</v>
      </c>
      <c r="G288" s="982">
        <v>17537240.5</v>
      </c>
      <c r="H288" s="982">
        <v>4628821</v>
      </c>
      <c r="I288" s="789">
        <v>288</v>
      </c>
    </row>
    <row r="289" spans="1:9">
      <c r="A289" s="789">
        <v>289</v>
      </c>
      <c r="E289" s="982">
        <v>0</v>
      </c>
      <c r="F289" s="982">
        <v>28122464.18</v>
      </c>
      <c r="G289" s="982">
        <v>55589577.270000003</v>
      </c>
      <c r="H289" s="982">
        <v>55897353.140000001</v>
      </c>
      <c r="I289" s="789">
        <v>289</v>
      </c>
    </row>
    <row r="290" spans="1:9">
      <c r="A290" s="789">
        <v>290</v>
      </c>
      <c r="D290" s="982">
        <v>694850523.94000006</v>
      </c>
      <c r="F290" s="982">
        <v>683913746.16999996</v>
      </c>
      <c r="G290" s="982">
        <v>593016735.87</v>
      </c>
      <c r="H290" s="982">
        <v>287764779.32999998</v>
      </c>
      <c r="I290" s="789">
        <v>290</v>
      </c>
    </row>
    <row r="291" spans="1:9">
      <c r="A291" s="789">
        <v>291</v>
      </c>
      <c r="D291" s="982">
        <v>8891209.2200000007</v>
      </c>
      <c r="F291" s="982">
        <v>8472838.8000000007</v>
      </c>
      <c r="G291" s="982">
        <v>8769852.8499999996</v>
      </c>
      <c r="H291" s="982">
        <v>10324774.279999999</v>
      </c>
      <c r="I291" s="789">
        <v>291</v>
      </c>
    </row>
    <row r="292" spans="1:9">
      <c r="A292" s="789">
        <v>292</v>
      </c>
      <c r="D292" s="982">
        <v>10998476.49</v>
      </c>
      <c r="F292" s="982">
        <v>10789352.689999999</v>
      </c>
      <c r="G292" s="982">
        <v>4346965.2</v>
      </c>
      <c r="H292" s="982">
        <v>2756497.91</v>
      </c>
      <c r="I292" s="789">
        <v>292</v>
      </c>
    </row>
    <row r="293" spans="1:9">
      <c r="A293" s="789">
        <v>293</v>
      </c>
      <c r="D293" s="982">
        <v>30358464.059999999</v>
      </c>
      <c r="F293" s="982">
        <v>36441754.969999999</v>
      </c>
      <c r="G293" s="982">
        <v>61881566.899999999</v>
      </c>
      <c r="H293" s="982">
        <v>97619871.359999999</v>
      </c>
      <c r="I293" s="789">
        <v>293</v>
      </c>
    </row>
    <row r="294" spans="1:9">
      <c r="A294" s="789">
        <v>294</v>
      </c>
      <c r="D294" s="982">
        <v>87770555.030000001</v>
      </c>
      <c r="I294" s="789">
        <v>294</v>
      </c>
    </row>
    <row r="295" spans="1:9">
      <c r="A295" s="789">
        <v>295</v>
      </c>
      <c r="D295" s="982">
        <v>8918910.1799999997</v>
      </c>
      <c r="E295" s="982">
        <v>772543545.90999997</v>
      </c>
      <c r="F295" s="982">
        <v>7646821.7199999997</v>
      </c>
      <c r="G295" s="982">
        <v>10454847</v>
      </c>
      <c r="H295" s="982">
        <v>38419659.939999998</v>
      </c>
      <c r="I295" s="789">
        <v>295</v>
      </c>
    </row>
    <row r="296" spans="1:9">
      <c r="A296" s="789">
        <v>296</v>
      </c>
      <c r="I296" s="789">
        <v>296</v>
      </c>
    </row>
    <row r="297" spans="1:9">
      <c r="A297" s="789">
        <v>297</v>
      </c>
      <c r="B297" s="981" t="s">
        <v>2229</v>
      </c>
      <c r="C297" s="985" t="s">
        <v>2110</v>
      </c>
      <c r="D297" s="982">
        <v>48409407815.010002</v>
      </c>
      <c r="E297" s="982">
        <v>44577717843.190002</v>
      </c>
      <c r="F297" s="982">
        <v>3567734345.2199998</v>
      </c>
      <c r="G297" s="982">
        <v>3302500086.6199999</v>
      </c>
      <c r="H297" s="982">
        <v>3158285192.0100002</v>
      </c>
      <c r="I297" s="789">
        <v>297</v>
      </c>
    </row>
    <row r="298" spans="1:9">
      <c r="A298" s="789">
        <v>298</v>
      </c>
      <c r="C298" s="985" t="s">
        <v>2230</v>
      </c>
      <c r="D298" s="982">
        <v>21869722363.959999</v>
      </c>
      <c r="E298" s="982">
        <v>22091278296.549999</v>
      </c>
      <c r="F298" s="982">
        <v>2203528395.73</v>
      </c>
      <c r="G298" s="982">
        <v>1790457170.29</v>
      </c>
      <c r="H298" s="982">
        <v>2434792415.3600001</v>
      </c>
      <c r="I298" s="789">
        <v>298</v>
      </c>
    </row>
    <row r="299" spans="1:9">
      <c r="A299" s="789">
        <v>299</v>
      </c>
      <c r="C299" s="985" t="s">
        <v>2231</v>
      </c>
      <c r="E299" s="982">
        <v>1530932377.49</v>
      </c>
      <c r="F299" s="982">
        <v>1494100657.05</v>
      </c>
      <c r="G299" s="982">
        <v>1386044851.76</v>
      </c>
      <c r="H299" s="982">
        <v>1238671413.4400001</v>
      </c>
      <c r="I299" s="789">
        <v>299</v>
      </c>
    </row>
    <row r="300" spans="1:9">
      <c r="A300" s="789">
        <v>300</v>
      </c>
      <c r="C300" s="985" t="s">
        <v>2232</v>
      </c>
      <c r="D300" s="982">
        <v>5468979.1299999999</v>
      </c>
      <c r="E300" s="982">
        <v>8383924.1399999997</v>
      </c>
      <c r="F300" s="982">
        <v>14526720.220000001</v>
      </c>
      <c r="G300" s="982">
        <v>16376945.57</v>
      </c>
      <c r="H300" s="982">
        <v>24602554.359999999</v>
      </c>
      <c r="I300" s="789">
        <v>300</v>
      </c>
    </row>
    <row r="301" spans="1:9">
      <c r="A301" s="789">
        <v>301</v>
      </c>
      <c r="C301" s="985" t="s">
        <v>2233</v>
      </c>
      <c r="D301" s="982">
        <v>1543743778.6300001</v>
      </c>
      <c r="E301" s="982">
        <v>1866105593.3499999</v>
      </c>
      <c r="F301" s="982">
        <v>71735229.769999996</v>
      </c>
      <c r="G301" s="982">
        <v>22439274.890000001</v>
      </c>
      <c r="H301" s="982">
        <v>14327441.189999999</v>
      </c>
      <c r="I301" s="789">
        <v>301</v>
      </c>
    </row>
    <row r="302" spans="1:9">
      <c r="A302" s="789">
        <v>302</v>
      </c>
      <c r="C302" s="985" t="s">
        <v>2234</v>
      </c>
      <c r="D302" s="982">
        <v>84834593.790000007</v>
      </c>
      <c r="E302" s="982">
        <v>92248681.349999994</v>
      </c>
      <c r="F302" s="982">
        <v>92861539.450000003</v>
      </c>
      <c r="G302" s="982">
        <v>47257802.520000003</v>
      </c>
      <c r="H302" s="982">
        <v>61524545.979999997</v>
      </c>
      <c r="I302" s="789">
        <v>302</v>
      </c>
    </row>
    <row r="303" spans="1:9">
      <c r="A303" s="789">
        <v>303</v>
      </c>
      <c r="C303" s="985" t="s">
        <v>2235</v>
      </c>
      <c r="E303" s="982">
        <v>193422.12</v>
      </c>
      <c r="F303" s="982">
        <v>57777352</v>
      </c>
      <c r="G303" s="982">
        <v>90662264.200000003</v>
      </c>
      <c r="H303" s="982">
        <v>154007097.78</v>
      </c>
      <c r="I303" s="789">
        <v>303</v>
      </c>
    </row>
    <row r="304" spans="1:9">
      <c r="A304" s="789">
        <v>304</v>
      </c>
      <c r="C304" s="985" t="s">
        <v>2236</v>
      </c>
      <c r="D304" s="982">
        <v>955302243.11000001</v>
      </c>
      <c r="E304" s="982">
        <v>921269853.05999994</v>
      </c>
      <c r="F304" s="982">
        <v>160323196.81</v>
      </c>
      <c r="G304" s="982">
        <v>71917531.879999995</v>
      </c>
      <c r="H304" s="982">
        <v>132013143.56999999</v>
      </c>
      <c r="I304" s="789">
        <v>304</v>
      </c>
    </row>
    <row r="305" spans="1:9">
      <c r="A305" s="789">
        <v>305</v>
      </c>
      <c r="C305" s="985" t="s">
        <v>2078</v>
      </c>
      <c r="D305" s="982">
        <v>369846627.25</v>
      </c>
      <c r="E305" s="982">
        <v>551917197.97000003</v>
      </c>
      <c r="F305" s="982">
        <v>122577715.70999999</v>
      </c>
      <c r="G305" s="982">
        <v>69813238.280000001</v>
      </c>
      <c r="H305" s="982">
        <v>44837699.450000003</v>
      </c>
      <c r="I305" s="789">
        <v>305</v>
      </c>
    </row>
    <row r="306" spans="1:9">
      <c r="A306" s="789">
        <v>306</v>
      </c>
      <c r="I306" s="789">
        <v>306</v>
      </c>
    </row>
    <row r="307" spans="1:9">
      <c r="A307" s="789">
        <v>307</v>
      </c>
      <c r="D307" s="982">
        <v>45394274396.980003</v>
      </c>
      <c r="E307" s="982">
        <v>42035783359.019997</v>
      </c>
      <c r="F307" s="982">
        <v>3282932175.1999998</v>
      </c>
      <c r="G307" s="982">
        <v>3025640715.6700001</v>
      </c>
      <c r="H307" s="982">
        <v>2913012657.21</v>
      </c>
      <c r="I307" s="789">
        <v>307</v>
      </c>
    </row>
    <row r="308" spans="1:9">
      <c r="A308" s="789">
        <v>308</v>
      </c>
      <c r="D308" s="982">
        <v>21268837754.279999</v>
      </c>
      <c r="E308" s="982">
        <v>20919110206.889999</v>
      </c>
      <c r="F308" s="982">
        <v>2175337878.04</v>
      </c>
      <c r="G308" s="982">
        <v>1777163517.5699999</v>
      </c>
      <c r="H308" s="982">
        <v>2416925946.5100002</v>
      </c>
      <c r="I308" s="789">
        <v>308</v>
      </c>
    </row>
    <row r="309" spans="1:9">
      <c r="A309" s="789">
        <v>309</v>
      </c>
      <c r="E309" s="982">
        <v>1160467759.1700001</v>
      </c>
      <c r="F309" s="982">
        <v>1192897001.6600001</v>
      </c>
      <c r="G309" s="982">
        <v>1020016953.8200001</v>
      </c>
      <c r="H309" s="982">
        <v>982959478.25</v>
      </c>
      <c r="I309" s="789">
        <v>309</v>
      </c>
    </row>
    <row r="310" spans="1:9">
      <c r="A310" s="789">
        <v>310</v>
      </c>
      <c r="D310" s="982">
        <v>4772128.8600000003</v>
      </c>
      <c r="E310" s="982">
        <v>7769160.4800000004</v>
      </c>
      <c r="F310" s="982">
        <v>13523801.720000001</v>
      </c>
      <c r="G310" s="982">
        <v>15653642.01</v>
      </c>
      <c r="H310" s="982">
        <v>22432306.690000001</v>
      </c>
      <c r="I310" s="789">
        <v>310</v>
      </c>
    </row>
    <row r="311" spans="1:9">
      <c r="A311" s="789">
        <v>311</v>
      </c>
      <c r="D311" s="982">
        <v>1510156511.9100001</v>
      </c>
      <c r="E311" s="982">
        <v>1132028493.76</v>
      </c>
      <c r="F311" s="982">
        <v>76480035.280000001</v>
      </c>
      <c r="G311" s="982">
        <v>21640140.539999999</v>
      </c>
      <c r="H311" s="982">
        <v>10267873.390000001</v>
      </c>
      <c r="I311" s="789">
        <v>311</v>
      </c>
    </row>
    <row r="312" spans="1:9">
      <c r="A312" s="789">
        <v>312</v>
      </c>
      <c r="D312" s="982">
        <v>76495526.420000002</v>
      </c>
      <c r="E312" s="982">
        <v>82286563.599999994</v>
      </c>
      <c r="F312" s="982">
        <v>80618599.450000003</v>
      </c>
      <c r="G312" s="982">
        <v>40255148.960000001</v>
      </c>
      <c r="H312" s="982">
        <v>54709675.43</v>
      </c>
      <c r="I312" s="789">
        <v>312</v>
      </c>
    </row>
    <row r="313" spans="1:9">
      <c r="A313" s="789">
        <v>313</v>
      </c>
      <c r="E313" s="982">
        <v>64328.67</v>
      </c>
      <c r="F313" s="982">
        <v>47184807.780000001</v>
      </c>
      <c r="G313" s="982">
        <v>58711564.960000001</v>
      </c>
      <c r="H313" s="982">
        <v>80042623.659999996</v>
      </c>
      <c r="I313" s="789">
        <v>313</v>
      </c>
    </row>
    <row r="314" spans="1:9">
      <c r="A314" s="789">
        <v>314</v>
      </c>
      <c r="D314" s="982">
        <v>851985443.38999999</v>
      </c>
      <c r="E314" s="982">
        <v>807382308.25</v>
      </c>
      <c r="F314" s="982">
        <v>147599413.37</v>
      </c>
      <c r="G314" s="982">
        <v>68936276.370000005</v>
      </c>
      <c r="H314" s="982">
        <v>125819207.52</v>
      </c>
      <c r="I314" s="789">
        <v>314</v>
      </c>
    </row>
    <row r="315" spans="1:9">
      <c r="A315" s="789">
        <v>315</v>
      </c>
      <c r="D315" s="982">
        <v>209841676.91999999</v>
      </c>
      <c r="E315" s="982">
        <v>404717264.83999997</v>
      </c>
      <c r="F315" s="982">
        <v>105967242.31999999</v>
      </c>
      <c r="G315" s="982">
        <v>59517463.240000002</v>
      </c>
      <c r="H315" s="982">
        <v>33674720.539999999</v>
      </c>
      <c r="I315" s="789">
        <v>315</v>
      </c>
    </row>
    <row r="316" spans="1:9">
      <c r="A316" s="789">
        <v>316</v>
      </c>
      <c r="I316" s="789">
        <v>316</v>
      </c>
    </row>
    <row r="317" spans="1:9">
      <c r="A317" s="789">
        <v>317</v>
      </c>
      <c r="B317" s="981" t="s">
        <v>2237</v>
      </c>
      <c r="C317" s="985" t="s">
        <v>2238</v>
      </c>
      <c r="D317" s="982">
        <v>4376637750</v>
      </c>
      <c r="E317" s="982">
        <v>3695691815.5300002</v>
      </c>
      <c r="F317" s="982">
        <v>3492657851.3000002</v>
      </c>
      <c r="G317" s="982">
        <v>3647206207.6100001</v>
      </c>
      <c r="I317" s="789">
        <v>317</v>
      </c>
    </row>
    <row r="318" spans="1:9">
      <c r="A318" s="789">
        <v>318</v>
      </c>
      <c r="C318" s="985" t="s">
        <v>2239</v>
      </c>
      <c r="F318" s="982">
        <v>0</v>
      </c>
      <c r="G318" s="982">
        <v>987279297.82000005</v>
      </c>
      <c r="I318" s="789">
        <v>318</v>
      </c>
    </row>
    <row r="319" spans="1:9">
      <c r="A319" s="789">
        <v>319</v>
      </c>
      <c r="C319" s="985" t="s">
        <v>2240</v>
      </c>
      <c r="H319" s="982">
        <v>1350490536</v>
      </c>
      <c r="I319" s="789">
        <v>319</v>
      </c>
    </row>
    <row r="320" spans="1:9">
      <c r="A320" s="789">
        <v>320</v>
      </c>
      <c r="C320" s="985" t="s">
        <v>2241</v>
      </c>
      <c r="D320" s="982">
        <v>2623574575.0100002</v>
      </c>
      <c r="E320" s="982">
        <v>2401760196.5599999</v>
      </c>
      <c r="F320" s="982">
        <v>1957607944.98</v>
      </c>
      <c r="G320" s="982">
        <v>1676042838.47</v>
      </c>
      <c r="I320" s="789">
        <v>320</v>
      </c>
    </row>
    <row r="321" spans="1:9">
      <c r="A321" s="789">
        <v>321</v>
      </c>
      <c r="C321" s="985" t="s">
        <v>2242</v>
      </c>
      <c r="D321" s="982">
        <v>752007673.60000002</v>
      </c>
      <c r="E321" s="982">
        <v>392473389.95999998</v>
      </c>
      <c r="F321" s="982">
        <v>4102932.32</v>
      </c>
      <c r="I321" s="789">
        <v>321</v>
      </c>
    </row>
    <row r="322" spans="1:9">
      <c r="A322" s="789">
        <v>322</v>
      </c>
      <c r="C322" s="985" t="s">
        <v>2243</v>
      </c>
      <c r="F322" s="982">
        <v>41122542.710000001</v>
      </c>
      <c r="G322" s="982">
        <v>19560907.420000002</v>
      </c>
      <c r="I322" s="789">
        <v>322</v>
      </c>
    </row>
    <row r="323" spans="1:9">
      <c r="A323" s="789">
        <v>323</v>
      </c>
      <c r="C323" s="985" t="s">
        <v>2244</v>
      </c>
      <c r="F323" s="982">
        <v>16635803.199999999</v>
      </c>
      <c r="I323" s="789">
        <v>323</v>
      </c>
    </row>
    <row r="324" spans="1:9">
      <c r="A324" s="789">
        <v>324</v>
      </c>
      <c r="C324" s="985" t="s">
        <v>2245</v>
      </c>
      <c r="F324" s="982">
        <v>53935345.130000003</v>
      </c>
      <c r="I324" s="789">
        <v>324</v>
      </c>
    </row>
    <row r="325" spans="1:9">
      <c r="A325" s="789">
        <v>325</v>
      </c>
      <c r="C325" s="985" t="s">
        <v>2078</v>
      </c>
      <c r="D325" s="982">
        <v>564503337.55999994</v>
      </c>
      <c r="E325" s="982">
        <v>233492164.94999999</v>
      </c>
      <c r="F325" s="982">
        <v>0</v>
      </c>
      <c r="G325" s="982">
        <v>195799405.15000001</v>
      </c>
      <c r="H325" s="982">
        <v>272574852.47000003</v>
      </c>
      <c r="I325" s="789">
        <v>325</v>
      </c>
    </row>
    <row r="326" spans="1:9">
      <c r="A326" s="789">
        <v>326</v>
      </c>
      <c r="I326" s="789">
        <v>326</v>
      </c>
    </row>
    <row r="327" spans="1:9">
      <c r="A327" s="789">
        <v>327</v>
      </c>
      <c r="D327" s="982">
        <v>4295227353.8299999</v>
      </c>
      <c r="E327" s="982">
        <v>3733307243.8699999</v>
      </c>
      <c r="F327" s="982">
        <v>3218560624.0300002</v>
      </c>
      <c r="G327" s="982">
        <v>3410842583.4899998</v>
      </c>
      <c r="I327" s="789">
        <v>327</v>
      </c>
    </row>
    <row r="328" spans="1:9">
      <c r="A328" s="789">
        <v>328</v>
      </c>
      <c r="G328" s="982">
        <v>870729567.86000001</v>
      </c>
      <c r="I328" s="789">
        <v>328</v>
      </c>
    </row>
    <row r="329" spans="1:9">
      <c r="A329" s="789">
        <v>329</v>
      </c>
      <c r="H329" s="982">
        <v>1254062526.45</v>
      </c>
      <c r="I329" s="789">
        <v>329</v>
      </c>
    </row>
    <row r="330" spans="1:9">
      <c r="A330" s="789">
        <v>330</v>
      </c>
      <c r="D330" s="982">
        <v>2613250536.8200002</v>
      </c>
      <c r="E330" s="982">
        <v>2420230914.48</v>
      </c>
      <c r="F330" s="982">
        <v>1808685175.53</v>
      </c>
      <c r="G330" s="982">
        <v>1587812421.0799999</v>
      </c>
      <c r="I330" s="789">
        <v>330</v>
      </c>
    </row>
    <row r="331" spans="1:9">
      <c r="A331" s="789">
        <v>331</v>
      </c>
      <c r="D331" s="982">
        <v>744185358.48000002</v>
      </c>
      <c r="E331" s="982">
        <v>392073171.32999998</v>
      </c>
      <c r="F331" s="982">
        <v>6223144.5</v>
      </c>
      <c r="I331" s="789">
        <v>331</v>
      </c>
    </row>
    <row r="332" spans="1:9">
      <c r="A332" s="789">
        <v>332</v>
      </c>
      <c r="F332" s="982">
        <v>38507517.560000002</v>
      </c>
      <c r="G332" s="982">
        <v>24888922.100000001</v>
      </c>
      <c r="I332" s="789">
        <v>332</v>
      </c>
    </row>
    <row r="333" spans="1:9">
      <c r="A333" s="789">
        <v>333</v>
      </c>
      <c r="F333" s="982">
        <v>15805904.359999999</v>
      </c>
      <c r="I333" s="789">
        <v>333</v>
      </c>
    </row>
    <row r="334" spans="1:9">
      <c r="A334" s="789">
        <v>334</v>
      </c>
      <c r="F334" s="982">
        <v>51200983.100000001</v>
      </c>
      <c r="I334" s="789">
        <v>334</v>
      </c>
    </row>
    <row r="335" spans="1:9">
      <c r="A335" s="789">
        <v>335</v>
      </c>
      <c r="D335" s="982">
        <v>525555211.60000002</v>
      </c>
      <c r="E335" s="982">
        <v>235417108.97</v>
      </c>
      <c r="F335" s="982">
        <v>0</v>
      </c>
      <c r="G335" s="982">
        <v>193922070.81</v>
      </c>
      <c r="H335" s="982">
        <v>270699620.79000002</v>
      </c>
      <c r="I335" s="789">
        <v>335</v>
      </c>
    </row>
    <row r="336" spans="1:9">
      <c r="A336" s="789">
        <v>336</v>
      </c>
      <c r="I336" s="789">
        <v>336</v>
      </c>
    </row>
    <row r="337" spans="1:9">
      <c r="A337" s="789">
        <v>337</v>
      </c>
      <c r="B337" s="981" t="s">
        <v>2246</v>
      </c>
      <c r="C337" s="985" t="s">
        <v>2247</v>
      </c>
      <c r="D337" s="982">
        <v>5596367478.5299997</v>
      </c>
      <c r="E337" s="982">
        <v>3209679733.0900002</v>
      </c>
      <c r="F337" s="982">
        <v>6718713590.8100004</v>
      </c>
      <c r="G337" s="982">
        <v>6065940630.9399996</v>
      </c>
      <c r="I337" s="789">
        <v>337</v>
      </c>
    </row>
    <row r="338" spans="1:9">
      <c r="A338" s="789">
        <v>338</v>
      </c>
      <c r="C338" s="985" t="s">
        <v>2248</v>
      </c>
      <c r="H338" s="982">
        <v>950024000</v>
      </c>
      <c r="I338" s="789">
        <v>338</v>
      </c>
    </row>
    <row r="339" spans="1:9">
      <c r="A339" s="789">
        <v>339</v>
      </c>
      <c r="C339" s="985" t="s">
        <v>2249</v>
      </c>
      <c r="D339" s="982">
        <v>1854028309.6400001</v>
      </c>
      <c r="E339" s="982">
        <v>2815914363.3200002</v>
      </c>
      <c r="F339" s="982">
        <v>2134202252.3699999</v>
      </c>
      <c r="G339" s="982">
        <v>1095644108.0999999</v>
      </c>
      <c r="I339" s="789">
        <v>339</v>
      </c>
    </row>
    <row r="340" spans="1:9">
      <c r="A340" s="789">
        <v>340</v>
      </c>
      <c r="C340" s="985" t="s">
        <v>2250</v>
      </c>
      <c r="H340" s="982">
        <v>13387300</v>
      </c>
      <c r="I340" s="789">
        <v>340</v>
      </c>
    </row>
    <row r="341" spans="1:9">
      <c r="A341" s="789">
        <v>341</v>
      </c>
      <c r="C341" s="985" t="s">
        <v>2251</v>
      </c>
      <c r="D341" s="982">
        <v>98553120.599999994</v>
      </c>
      <c r="E341" s="982">
        <v>106298192.86</v>
      </c>
      <c r="F341" s="982">
        <v>101153852.16</v>
      </c>
      <c r="G341" s="982">
        <v>75653004.030000001</v>
      </c>
      <c r="I341" s="789">
        <v>341</v>
      </c>
    </row>
    <row r="342" spans="1:9">
      <c r="A342" s="789">
        <v>342</v>
      </c>
      <c r="C342" s="985" t="s">
        <v>2252</v>
      </c>
      <c r="D342" s="982">
        <v>165297572.24000001</v>
      </c>
      <c r="E342" s="982">
        <v>112067362.23</v>
      </c>
      <c r="F342" s="982">
        <v>113416054.05</v>
      </c>
      <c r="G342" s="982">
        <v>66141607.100000001</v>
      </c>
      <c r="I342" s="789">
        <v>342</v>
      </c>
    </row>
    <row r="343" spans="1:9">
      <c r="A343" s="789">
        <v>343</v>
      </c>
      <c r="C343" s="985" t="s">
        <v>2078</v>
      </c>
      <c r="D343" s="982">
        <v>40242539.93</v>
      </c>
      <c r="E343" s="982">
        <v>240571188.61000001</v>
      </c>
      <c r="F343" s="982">
        <v>110469566.72999999</v>
      </c>
      <c r="G343" s="982">
        <v>49934957.269999996</v>
      </c>
      <c r="H343" s="982">
        <v>27688700</v>
      </c>
      <c r="I343" s="789">
        <v>343</v>
      </c>
    </row>
    <row r="344" spans="1:9">
      <c r="A344" s="789">
        <v>344</v>
      </c>
      <c r="I344" s="789">
        <v>344</v>
      </c>
    </row>
    <row r="345" spans="1:9">
      <c r="A345" s="789">
        <v>345</v>
      </c>
      <c r="D345" s="982">
        <v>3610488784.2600002</v>
      </c>
      <c r="E345" s="982">
        <v>1850511266.24</v>
      </c>
      <c r="F345" s="982">
        <v>3602406618.2399998</v>
      </c>
      <c r="G345" s="982">
        <v>3222858420.3499999</v>
      </c>
      <c r="I345" s="789">
        <v>345</v>
      </c>
    </row>
    <row r="346" spans="1:9">
      <c r="A346" s="789">
        <v>346</v>
      </c>
      <c r="H346" s="982">
        <v>462723900</v>
      </c>
      <c r="I346" s="789">
        <v>346</v>
      </c>
    </row>
    <row r="347" spans="1:9">
      <c r="A347" s="789">
        <v>347</v>
      </c>
      <c r="D347" s="982">
        <v>1839094666.2</v>
      </c>
      <c r="E347" s="982">
        <v>2814709265.1599998</v>
      </c>
      <c r="F347" s="982">
        <v>2068280067.23</v>
      </c>
      <c r="G347" s="982">
        <v>1081987917.1099999</v>
      </c>
      <c r="I347" s="789">
        <v>347</v>
      </c>
    </row>
    <row r="348" spans="1:9">
      <c r="A348" s="789">
        <v>348</v>
      </c>
      <c r="H348" s="982">
        <v>13774700</v>
      </c>
      <c r="I348" s="789">
        <v>348</v>
      </c>
    </row>
    <row r="349" spans="1:9">
      <c r="A349" s="789">
        <v>349</v>
      </c>
      <c r="D349" s="982">
        <v>65369546.740000002</v>
      </c>
      <c r="E349" s="982">
        <v>62639543.979999997</v>
      </c>
      <c r="F349" s="982">
        <v>41846854.200000003</v>
      </c>
      <c r="G349" s="982">
        <v>33789112.560000002</v>
      </c>
      <c r="I349" s="789">
        <v>349</v>
      </c>
    </row>
    <row r="350" spans="1:9">
      <c r="A350" s="789">
        <v>350</v>
      </c>
      <c r="D350" s="982">
        <v>110659248.31</v>
      </c>
      <c r="E350" s="982">
        <v>50618901.299999997</v>
      </c>
      <c r="F350" s="982">
        <v>57755360.890000001</v>
      </c>
      <c r="G350" s="982">
        <v>38838676.609999999</v>
      </c>
      <c r="I350" s="789">
        <v>350</v>
      </c>
    </row>
    <row r="351" spans="1:9">
      <c r="A351" s="789">
        <v>351</v>
      </c>
      <c r="D351" s="982">
        <v>30141574.100000001</v>
      </c>
      <c r="E351" s="982">
        <v>140557050.88</v>
      </c>
      <c r="F351" s="982">
        <v>78522609.599999994</v>
      </c>
      <c r="G351" s="982">
        <v>29540608.59</v>
      </c>
      <c r="H351" s="982">
        <v>23385200</v>
      </c>
      <c r="I351" s="789">
        <v>351</v>
      </c>
    </row>
    <row r="352" spans="1:9">
      <c r="A352" s="789">
        <v>352</v>
      </c>
      <c r="I352" s="789">
        <v>352</v>
      </c>
    </row>
    <row r="353" spans="1:9">
      <c r="A353" s="789">
        <v>353</v>
      </c>
      <c r="B353" s="981" t="s">
        <v>2253</v>
      </c>
      <c r="C353" s="985" t="s">
        <v>2254</v>
      </c>
      <c r="D353" s="982">
        <v>4125847769.7600002</v>
      </c>
      <c r="E353" s="982">
        <v>3904300504.46</v>
      </c>
      <c r="F353" s="982">
        <v>3142303600.9000001</v>
      </c>
      <c r="G353" s="982">
        <v>2578188569.3899999</v>
      </c>
      <c r="H353" s="982">
        <v>2347666480.79</v>
      </c>
      <c r="I353" s="789">
        <v>353</v>
      </c>
    </row>
    <row r="354" spans="1:9">
      <c r="A354" s="789">
        <v>354</v>
      </c>
      <c r="C354" s="985" t="s">
        <v>2255</v>
      </c>
      <c r="D354" s="982">
        <v>1126444140.3199999</v>
      </c>
      <c r="E354" s="982">
        <v>1204118503.8599999</v>
      </c>
      <c r="F354" s="982">
        <v>1156524443.49</v>
      </c>
      <c r="G354" s="982">
        <v>1028937609.2</v>
      </c>
      <c r="H354" s="982">
        <v>1139955832.1400001</v>
      </c>
      <c r="I354" s="789">
        <v>354</v>
      </c>
    </row>
    <row r="355" spans="1:9">
      <c r="A355" s="789">
        <v>355</v>
      </c>
      <c r="C355" s="985" t="s">
        <v>2256</v>
      </c>
      <c r="D355" s="982">
        <v>1871385441.25</v>
      </c>
      <c r="E355" s="982">
        <v>1866946891.2</v>
      </c>
      <c r="F355" s="982">
        <v>1324600162.5699999</v>
      </c>
      <c r="G355" s="982">
        <v>1117440350.6400001</v>
      </c>
      <c r="H355" s="982">
        <v>525000321.70999998</v>
      </c>
      <c r="I355" s="789">
        <v>355</v>
      </c>
    </row>
    <row r="356" spans="1:9">
      <c r="A356" s="789">
        <v>356</v>
      </c>
      <c r="C356" s="985" t="s">
        <v>2257</v>
      </c>
      <c r="H356" s="982">
        <v>103393812.27</v>
      </c>
      <c r="I356" s="789">
        <v>356</v>
      </c>
    </row>
    <row r="357" spans="1:9">
      <c r="A357" s="789">
        <v>357</v>
      </c>
      <c r="C357" s="985" t="s">
        <v>2258</v>
      </c>
      <c r="D357" s="982">
        <v>268193651.36000001</v>
      </c>
      <c r="E357" s="982">
        <v>313280942.01999998</v>
      </c>
      <c r="F357" s="982">
        <v>305295104.81999999</v>
      </c>
      <c r="G357" s="982">
        <v>259275695.53</v>
      </c>
      <c r="H357" s="982">
        <v>191207018.02000001</v>
      </c>
      <c r="I357" s="789">
        <v>357</v>
      </c>
    </row>
    <row r="358" spans="1:9">
      <c r="A358" s="789">
        <v>358</v>
      </c>
      <c r="C358" s="985" t="s">
        <v>2259</v>
      </c>
      <c r="H358" s="982">
        <v>338122323.18000001</v>
      </c>
      <c r="I358" s="789">
        <v>358</v>
      </c>
    </row>
    <row r="359" spans="1:9">
      <c r="A359" s="789">
        <v>359</v>
      </c>
      <c r="C359" s="985" t="s">
        <v>2078</v>
      </c>
      <c r="D359" s="982">
        <v>338500833.88</v>
      </c>
      <c r="E359" s="982">
        <v>112645741.01000001</v>
      </c>
      <c r="F359" s="982">
        <v>38470409.159999996</v>
      </c>
      <c r="G359" s="982">
        <v>27168937.420000002</v>
      </c>
      <c r="H359" s="982">
        <v>156521915.86000001</v>
      </c>
      <c r="I359" s="789">
        <v>359</v>
      </c>
    </row>
    <row r="360" spans="1:9">
      <c r="A360" s="789">
        <v>360</v>
      </c>
      <c r="I360" s="789">
        <v>360</v>
      </c>
    </row>
    <row r="361" spans="1:9">
      <c r="A361" s="789">
        <v>361</v>
      </c>
      <c r="D361" s="982">
        <v>3877987944.9400001</v>
      </c>
      <c r="E361" s="982">
        <v>3846397868.6300001</v>
      </c>
      <c r="F361" s="982">
        <v>3419553465.2399998</v>
      </c>
      <c r="G361" s="982">
        <v>2805531427.0700002</v>
      </c>
      <c r="H361" s="982">
        <v>2724406649.3600001</v>
      </c>
      <c r="I361" s="789">
        <v>361</v>
      </c>
    </row>
    <row r="362" spans="1:9">
      <c r="A362" s="789">
        <v>362</v>
      </c>
      <c r="D362" s="982">
        <v>1008857143.97</v>
      </c>
      <c r="E362" s="982">
        <v>1044558217.1900001</v>
      </c>
      <c r="F362" s="982">
        <v>975929301.91999996</v>
      </c>
      <c r="G362" s="982">
        <v>858308649.86000001</v>
      </c>
      <c r="H362" s="982">
        <v>989358453.21000004</v>
      </c>
      <c r="I362" s="789">
        <v>362</v>
      </c>
    </row>
    <row r="363" spans="1:9">
      <c r="A363" s="789">
        <v>363</v>
      </c>
      <c r="D363" s="982">
        <v>1540080173.5699999</v>
      </c>
      <c r="E363" s="982">
        <v>1474929394.5699999</v>
      </c>
      <c r="F363" s="982">
        <v>1113335914.0999999</v>
      </c>
      <c r="G363" s="982">
        <v>925485818.28999996</v>
      </c>
      <c r="H363" s="982">
        <v>468013951.18000001</v>
      </c>
      <c r="I363" s="789">
        <v>363</v>
      </c>
    </row>
    <row r="364" spans="1:9">
      <c r="A364" s="789">
        <v>364</v>
      </c>
      <c r="H364" s="982">
        <v>98937804.140000001</v>
      </c>
      <c r="I364" s="789">
        <v>364</v>
      </c>
    </row>
    <row r="365" spans="1:9">
      <c r="A365" s="789">
        <v>365</v>
      </c>
      <c r="D365" s="982">
        <v>214718591.72</v>
      </c>
      <c r="E365" s="982">
        <v>237118206.69</v>
      </c>
      <c r="F365" s="982">
        <v>237710185.53</v>
      </c>
      <c r="G365" s="982">
        <v>152495301.49000001</v>
      </c>
      <c r="H365" s="982">
        <v>146380303.28</v>
      </c>
      <c r="I365" s="789">
        <v>365</v>
      </c>
    </row>
    <row r="366" spans="1:9">
      <c r="A366" s="789">
        <v>366</v>
      </c>
      <c r="H366" s="982">
        <v>280089041.68000001</v>
      </c>
      <c r="I366" s="789">
        <v>366</v>
      </c>
    </row>
    <row r="367" spans="1:9">
      <c r="A367" s="789">
        <v>367</v>
      </c>
      <c r="D367" s="982">
        <v>313872646.69999999</v>
      </c>
      <c r="E367" s="982">
        <v>92074396.480000004</v>
      </c>
      <c r="F367" s="982">
        <v>11988908.869999999</v>
      </c>
      <c r="G367" s="982">
        <v>10549810.59</v>
      </c>
      <c r="H367" s="982">
        <v>157736713.22</v>
      </c>
      <c r="I367" s="789">
        <v>367</v>
      </c>
    </row>
    <row r="368" spans="1:9">
      <c r="A368" s="789">
        <v>368</v>
      </c>
      <c r="I368" s="789">
        <v>368</v>
      </c>
    </row>
    <row r="369" spans="1:9">
      <c r="A369" s="789">
        <v>369</v>
      </c>
      <c r="B369" s="981" t="s">
        <v>2260</v>
      </c>
      <c r="C369" s="985" t="s">
        <v>2261</v>
      </c>
      <c r="D369" s="982">
        <v>383639421.27999997</v>
      </c>
      <c r="E369" s="982">
        <v>334024260.72000003</v>
      </c>
      <c r="F369" s="982">
        <v>367121352.97000003</v>
      </c>
      <c r="G369" s="982">
        <v>572447915.42999995</v>
      </c>
      <c r="H369" s="982">
        <v>799812012.04999995</v>
      </c>
      <c r="I369" s="789">
        <v>369</v>
      </c>
    </row>
    <row r="370" spans="1:9">
      <c r="A370" s="789">
        <v>370</v>
      </c>
      <c r="C370" s="985" t="s">
        <v>2262</v>
      </c>
      <c r="D370" s="982">
        <v>777306844.91999996</v>
      </c>
      <c r="E370" s="982">
        <v>864863028.38</v>
      </c>
      <c r="F370" s="982">
        <v>905323020.34000003</v>
      </c>
      <c r="G370" s="982">
        <v>721583039.17999995</v>
      </c>
      <c r="H370" s="982">
        <v>821995692.83000004</v>
      </c>
      <c r="I370" s="789">
        <v>370</v>
      </c>
    </row>
    <row r="371" spans="1:9">
      <c r="A371" s="789">
        <v>371</v>
      </c>
      <c r="C371" s="985" t="s">
        <v>2263</v>
      </c>
      <c r="D371" s="982">
        <v>3607872.93</v>
      </c>
      <c r="E371" s="982">
        <v>131926138.97</v>
      </c>
      <c r="F371" s="982">
        <v>145504958.69</v>
      </c>
      <c r="G371" s="982">
        <v>312340373.22000003</v>
      </c>
      <c r="H371" s="982">
        <v>390252238.47000003</v>
      </c>
      <c r="I371" s="789">
        <v>371</v>
      </c>
    </row>
    <row r="372" spans="1:9">
      <c r="A372" s="789">
        <v>372</v>
      </c>
      <c r="C372" s="985" t="s">
        <v>2078</v>
      </c>
      <c r="D372" s="982">
        <v>81407993.069999993</v>
      </c>
      <c r="E372" s="982">
        <v>93972107.659999996</v>
      </c>
      <c r="F372" s="982">
        <v>94014238.209999993</v>
      </c>
      <c r="G372" s="982">
        <v>53649663.519999996</v>
      </c>
      <c r="H372" s="982">
        <v>31066379.25</v>
      </c>
      <c r="I372" s="789">
        <v>372</v>
      </c>
    </row>
    <row r="373" spans="1:9">
      <c r="A373" s="789">
        <v>373</v>
      </c>
      <c r="I373" s="789">
        <v>373</v>
      </c>
    </row>
    <row r="374" spans="1:9">
      <c r="A374" s="789">
        <v>374</v>
      </c>
      <c r="D374" s="982">
        <v>257066600.81</v>
      </c>
      <c r="E374" s="982">
        <v>374929993.11000001</v>
      </c>
      <c r="F374" s="982">
        <v>404648555.24000001</v>
      </c>
      <c r="G374" s="982">
        <v>302650515</v>
      </c>
      <c r="H374" s="982">
        <v>430568250.05000001</v>
      </c>
      <c r="I374" s="789">
        <v>374</v>
      </c>
    </row>
    <row r="375" spans="1:9">
      <c r="A375" s="789">
        <v>375</v>
      </c>
      <c r="D375" s="982">
        <v>721231017.91999996</v>
      </c>
      <c r="E375" s="982">
        <v>867666223.84000003</v>
      </c>
      <c r="F375" s="982">
        <v>1051851048.5</v>
      </c>
      <c r="G375" s="982">
        <v>655872465.52999997</v>
      </c>
      <c r="H375" s="982">
        <v>667249114.71000004</v>
      </c>
      <c r="I375" s="789">
        <v>375</v>
      </c>
    </row>
    <row r="376" spans="1:9">
      <c r="A376" s="789">
        <v>376</v>
      </c>
      <c r="D376" s="982">
        <v>3069616.4</v>
      </c>
      <c r="E376" s="982">
        <v>135009886.15000001</v>
      </c>
      <c r="F376" s="982">
        <v>175202870.71000001</v>
      </c>
      <c r="G376" s="982">
        <v>322471433.37</v>
      </c>
      <c r="H376" s="982">
        <v>460671712.82999998</v>
      </c>
      <c r="I376" s="789">
        <v>376</v>
      </c>
    </row>
    <row r="377" spans="1:9">
      <c r="A377" s="789">
        <v>377</v>
      </c>
      <c r="D377" s="982">
        <v>38715182.030000001</v>
      </c>
      <c r="E377" s="982">
        <v>38117939.600000001</v>
      </c>
      <c r="F377" s="982">
        <v>61725720.609999999</v>
      </c>
      <c r="G377" s="982">
        <v>33347073.189999998</v>
      </c>
      <c r="H377" s="982">
        <v>20942309.210000001</v>
      </c>
      <c r="I377" s="789">
        <v>377</v>
      </c>
    </row>
    <row r="378" spans="1:9">
      <c r="A378" s="789">
        <v>378</v>
      </c>
      <c r="I378" s="789">
        <v>378</v>
      </c>
    </row>
    <row r="379" spans="1:9">
      <c r="A379" s="789">
        <v>379</v>
      </c>
      <c r="B379" s="981" t="s">
        <v>2264</v>
      </c>
      <c r="C379" s="985" t="s">
        <v>2265</v>
      </c>
      <c r="D379" s="982">
        <v>870895725.37</v>
      </c>
      <c r="E379" s="982">
        <v>732974623.72000003</v>
      </c>
      <c r="F379" s="982">
        <v>552253865.04999995</v>
      </c>
      <c r="G379" s="982">
        <v>513749064.52999997</v>
      </c>
      <c r="I379" s="789">
        <v>379</v>
      </c>
    </row>
    <row r="380" spans="1:9">
      <c r="A380" s="789">
        <v>380</v>
      </c>
      <c r="C380" s="985" t="s">
        <v>2266</v>
      </c>
      <c r="D380" s="982">
        <v>32128023.690000001</v>
      </c>
      <c r="E380" s="982">
        <v>31744363.890000001</v>
      </c>
      <c r="F380" s="982">
        <v>46818980.979999997</v>
      </c>
      <c r="G380" s="982">
        <v>39924331.490000002</v>
      </c>
      <c r="I380" s="789">
        <v>380</v>
      </c>
    </row>
    <row r="381" spans="1:9">
      <c r="A381" s="789">
        <v>381</v>
      </c>
      <c r="C381" s="985" t="s">
        <v>2267</v>
      </c>
      <c r="D381" s="982">
        <v>369254460.63</v>
      </c>
      <c r="E381" s="982">
        <v>267106139.59999999</v>
      </c>
      <c r="F381" s="982">
        <v>269058521.88999999</v>
      </c>
      <c r="G381" s="982">
        <v>71203079.450000003</v>
      </c>
      <c r="I381" s="789">
        <v>381</v>
      </c>
    </row>
    <row r="382" spans="1:9">
      <c r="A382" s="789">
        <v>382</v>
      </c>
      <c r="C382" s="985" t="s">
        <v>2268</v>
      </c>
      <c r="D382" s="982">
        <v>83881746.079999998</v>
      </c>
      <c r="E382" s="982">
        <v>31180398.07</v>
      </c>
      <c r="F382" s="982">
        <v>40584077.909999996</v>
      </c>
      <c r="G382" s="982">
        <v>56132450.200000003</v>
      </c>
      <c r="I382" s="789">
        <v>382</v>
      </c>
    </row>
    <row r="383" spans="1:9">
      <c r="A383" s="789">
        <v>383</v>
      </c>
      <c r="C383" s="985" t="s">
        <v>2269</v>
      </c>
      <c r="D383" s="982">
        <v>76816913.769999996</v>
      </c>
      <c r="E383" s="982">
        <v>63226487.530000001</v>
      </c>
      <c r="F383" s="982">
        <v>78269009.420000002</v>
      </c>
      <c r="G383" s="982">
        <v>87464507.299999997</v>
      </c>
      <c r="I383" s="789">
        <v>383</v>
      </c>
    </row>
    <row r="384" spans="1:9">
      <c r="A384" s="789">
        <v>384</v>
      </c>
      <c r="C384" s="985" t="s">
        <v>2270</v>
      </c>
      <c r="D384" s="982">
        <v>225128651.72999999</v>
      </c>
      <c r="E384" s="982">
        <v>322572105.06999999</v>
      </c>
      <c r="F384" s="982">
        <v>225016026.53999999</v>
      </c>
      <c r="G384" s="982">
        <v>172616920.61000001</v>
      </c>
      <c r="I384" s="789">
        <v>384</v>
      </c>
    </row>
    <row r="385" spans="1:9">
      <c r="A385" s="789">
        <v>385</v>
      </c>
      <c r="C385" s="985" t="s">
        <v>2271</v>
      </c>
      <c r="D385" s="982">
        <v>16419312.6</v>
      </c>
      <c r="E385" s="982">
        <v>48620545.770000003</v>
      </c>
      <c r="F385" s="982">
        <v>16439301.74</v>
      </c>
      <c r="G385" s="982">
        <v>61113251.460000001</v>
      </c>
      <c r="I385" s="789">
        <v>385</v>
      </c>
    </row>
    <row r="386" spans="1:9">
      <c r="A386" s="789">
        <v>386</v>
      </c>
      <c r="C386" s="985" t="s">
        <v>2272</v>
      </c>
      <c r="D386" s="982">
        <v>18951276.390000001</v>
      </c>
      <c r="E386" s="982">
        <v>49147439.729999997</v>
      </c>
      <c r="F386" s="982">
        <v>48108778.450000003</v>
      </c>
      <c r="G386" s="982">
        <v>49973367.630000003</v>
      </c>
      <c r="I386" s="789">
        <v>386</v>
      </c>
    </row>
    <row r="387" spans="1:9">
      <c r="A387" s="789">
        <v>387</v>
      </c>
      <c r="C387" s="985" t="s">
        <v>2058</v>
      </c>
      <c r="D387" s="982">
        <v>11833651.92</v>
      </c>
      <c r="E387" s="982">
        <v>5697136.2599999998</v>
      </c>
      <c r="F387" s="982">
        <v>3848017.21</v>
      </c>
      <c r="G387" s="982">
        <v>2572562.4900000002</v>
      </c>
      <c r="I387" s="789">
        <v>387</v>
      </c>
    </row>
    <row r="388" spans="1:9">
      <c r="A388" s="789">
        <v>388</v>
      </c>
      <c r="I388" s="789">
        <v>388</v>
      </c>
    </row>
    <row r="389" spans="1:9">
      <c r="A389" s="789">
        <v>389</v>
      </c>
      <c r="D389" s="982">
        <v>522917931.79000002</v>
      </c>
      <c r="E389" s="982">
        <v>417877383.92000002</v>
      </c>
      <c r="F389" s="982">
        <v>356834494.79000002</v>
      </c>
      <c r="G389" s="982">
        <v>334073683.04000002</v>
      </c>
      <c r="I389" s="789">
        <v>389</v>
      </c>
    </row>
    <row r="390" spans="1:9">
      <c r="A390" s="789">
        <v>390</v>
      </c>
      <c r="D390" s="982">
        <v>20402197.940000001</v>
      </c>
      <c r="E390" s="982">
        <v>18232371.420000002</v>
      </c>
      <c r="F390" s="982">
        <v>18837028.539999999</v>
      </c>
      <c r="G390" s="982">
        <v>23207505.100000001</v>
      </c>
      <c r="I390" s="789">
        <v>390</v>
      </c>
    </row>
    <row r="391" spans="1:9">
      <c r="A391" s="789">
        <v>391</v>
      </c>
      <c r="D391" s="982">
        <v>216656672.93000001</v>
      </c>
      <c r="E391" s="982">
        <v>131813398.03</v>
      </c>
      <c r="F391" s="982">
        <v>195628763.46000001</v>
      </c>
      <c r="G391" s="982">
        <v>54885510.700000003</v>
      </c>
      <c r="I391" s="789">
        <v>391</v>
      </c>
    </row>
    <row r="392" spans="1:9">
      <c r="A392" s="789">
        <v>392</v>
      </c>
      <c r="D392" s="982">
        <v>78726741.719999999</v>
      </c>
      <c r="E392" s="982">
        <v>29672652.219999999</v>
      </c>
      <c r="F392" s="982">
        <v>35970094.960000001</v>
      </c>
      <c r="G392" s="982">
        <v>53601981.700000003</v>
      </c>
      <c r="I392" s="789">
        <v>392</v>
      </c>
    </row>
    <row r="393" spans="1:9">
      <c r="A393" s="789">
        <v>393</v>
      </c>
      <c r="D393" s="982">
        <v>71435732.239999995</v>
      </c>
      <c r="E393" s="982">
        <v>56735170.68</v>
      </c>
      <c r="F393" s="982">
        <v>69347740.769999996</v>
      </c>
      <c r="G393" s="982">
        <v>79779347.25</v>
      </c>
      <c r="I393" s="789">
        <v>393</v>
      </c>
    </row>
    <row r="394" spans="1:9">
      <c r="A394" s="789">
        <v>394</v>
      </c>
      <c r="D394" s="982">
        <v>190421983.59</v>
      </c>
      <c r="E394" s="982">
        <v>262390590.21000001</v>
      </c>
      <c r="F394" s="982">
        <v>178535782.53</v>
      </c>
      <c r="G394" s="982">
        <v>133970595.09</v>
      </c>
      <c r="I394" s="789">
        <v>394</v>
      </c>
    </row>
    <row r="395" spans="1:9">
      <c r="A395" s="789">
        <v>395</v>
      </c>
      <c r="D395" s="982">
        <v>18738761.68</v>
      </c>
      <c r="E395" s="982">
        <v>48198949.060000002</v>
      </c>
      <c r="F395" s="982">
        <v>15519532.08</v>
      </c>
      <c r="G395" s="982">
        <v>60453164.299999997</v>
      </c>
      <c r="I395" s="789">
        <v>395</v>
      </c>
    </row>
    <row r="396" spans="1:9">
      <c r="A396" s="789">
        <v>396</v>
      </c>
      <c r="D396" s="982">
        <v>19730412.890000001</v>
      </c>
      <c r="E396" s="982">
        <v>32584270.530000001</v>
      </c>
      <c r="F396" s="982">
        <v>36207408.840000004</v>
      </c>
      <c r="G396" s="982">
        <v>38689026.590000004</v>
      </c>
      <c r="I396" s="789">
        <v>396</v>
      </c>
    </row>
    <row r="397" spans="1:9">
      <c r="A397" s="789">
        <v>397</v>
      </c>
      <c r="D397" s="982">
        <v>3670658.81</v>
      </c>
      <c r="E397" s="982">
        <v>5042566.8</v>
      </c>
      <c r="F397" s="982">
        <v>1010626.14</v>
      </c>
      <c r="G397" s="982">
        <v>1089004.7</v>
      </c>
      <c r="I397" s="789">
        <v>397</v>
      </c>
    </row>
    <row r="398" spans="1:9">
      <c r="A398" s="789">
        <v>398</v>
      </c>
      <c r="I398" s="789">
        <v>398</v>
      </c>
    </row>
    <row r="399" spans="1:9">
      <c r="A399" s="789">
        <v>399</v>
      </c>
      <c r="I399" s="789">
        <v>399</v>
      </c>
    </row>
    <row r="400" spans="1:9">
      <c r="A400" s="789">
        <v>400</v>
      </c>
      <c r="I400" s="789">
        <v>400</v>
      </c>
    </row>
    <row r="401" spans="1:9">
      <c r="A401" s="789">
        <v>401</v>
      </c>
      <c r="I401" s="789">
        <v>401</v>
      </c>
    </row>
    <row r="402" spans="1:9">
      <c r="A402" s="789">
        <v>402</v>
      </c>
      <c r="I402" s="789">
        <v>402</v>
      </c>
    </row>
    <row r="403" spans="1:9">
      <c r="A403" s="789">
        <v>403</v>
      </c>
      <c r="I403" s="789">
        <v>403</v>
      </c>
    </row>
    <row r="404" spans="1:9">
      <c r="A404" s="789">
        <v>404</v>
      </c>
      <c r="I404" s="789">
        <v>404</v>
      </c>
    </row>
    <row r="405" spans="1:9">
      <c r="A405" s="789">
        <v>405</v>
      </c>
      <c r="I405" s="789">
        <v>405</v>
      </c>
    </row>
    <row r="406" spans="1:9">
      <c r="A406" s="789">
        <v>406</v>
      </c>
      <c r="I406" s="789">
        <v>406</v>
      </c>
    </row>
    <row r="407" spans="1:9">
      <c r="A407" s="789">
        <v>407</v>
      </c>
      <c r="I407" s="789">
        <v>407</v>
      </c>
    </row>
    <row r="408" spans="1:9">
      <c r="A408" s="789">
        <v>408</v>
      </c>
      <c r="I408" s="789">
        <v>408</v>
      </c>
    </row>
    <row r="409" spans="1:9">
      <c r="A409" s="789">
        <v>409</v>
      </c>
      <c r="I409" s="789">
        <v>409</v>
      </c>
    </row>
    <row r="410" spans="1:9">
      <c r="A410" s="789">
        <v>410</v>
      </c>
      <c r="I410" s="789">
        <v>410</v>
      </c>
    </row>
    <row r="411" spans="1:9">
      <c r="A411" s="789">
        <v>411</v>
      </c>
      <c r="I411" s="789">
        <v>411</v>
      </c>
    </row>
    <row r="412" spans="1:9">
      <c r="A412" s="789">
        <v>412</v>
      </c>
      <c r="I412" s="789">
        <v>412</v>
      </c>
    </row>
    <row r="413" spans="1:9">
      <c r="A413" s="789">
        <v>413</v>
      </c>
      <c r="I413" s="789">
        <v>413</v>
      </c>
    </row>
    <row r="414" spans="1:9">
      <c r="A414" s="789">
        <v>414</v>
      </c>
      <c r="I414" s="789">
        <v>414</v>
      </c>
    </row>
    <row r="415" spans="1:9">
      <c r="A415" s="789">
        <v>415</v>
      </c>
      <c r="I415" s="789">
        <v>415</v>
      </c>
    </row>
    <row r="416" spans="1:9">
      <c r="A416" s="789">
        <v>416</v>
      </c>
      <c r="I416" s="789">
        <v>416</v>
      </c>
    </row>
    <row r="417" spans="1:9">
      <c r="A417" s="789">
        <v>417</v>
      </c>
      <c r="I417" s="789">
        <v>417</v>
      </c>
    </row>
    <row r="418" spans="1:9">
      <c r="A418" s="789">
        <v>418</v>
      </c>
      <c r="I418" s="789">
        <v>418</v>
      </c>
    </row>
    <row r="419" spans="1:9">
      <c r="A419" s="789">
        <v>419</v>
      </c>
      <c r="I419" s="789">
        <v>419</v>
      </c>
    </row>
    <row r="420" spans="1:9">
      <c r="A420" s="789">
        <v>420</v>
      </c>
      <c r="I420" s="789">
        <v>420</v>
      </c>
    </row>
    <row r="421" spans="1:9">
      <c r="A421" s="789">
        <v>421</v>
      </c>
      <c r="I421" s="789">
        <v>421</v>
      </c>
    </row>
    <row r="422" spans="1:9">
      <c r="A422" s="789">
        <v>422</v>
      </c>
      <c r="I422" s="789">
        <v>422</v>
      </c>
    </row>
    <row r="423" spans="1:9">
      <c r="A423" s="789">
        <v>423</v>
      </c>
      <c r="I423" s="789">
        <v>423</v>
      </c>
    </row>
    <row r="424" spans="1:9">
      <c r="A424" s="789">
        <v>424</v>
      </c>
      <c r="I424" s="789">
        <v>424</v>
      </c>
    </row>
    <row r="425" spans="1:9">
      <c r="A425" s="789">
        <v>425</v>
      </c>
      <c r="I425" s="789">
        <v>425</v>
      </c>
    </row>
    <row r="426" spans="1:9">
      <c r="A426" s="789">
        <v>426</v>
      </c>
      <c r="I426" s="789">
        <v>426</v>
      </c>
    </row>
    <row r="427" spans="1:9">
      <c r="A427" s="789">
        <v>427</v>
      </c>
      <c r="I427" s="789">
        <v>427</v>
      </c>
    </row>
    <row r="428" spans="1:9">
      <c r="A428" s="789">
        <v>428</v>
      </c>
      <c r="I428" s="789">
        <v>428</v>
      </c>
    </row>
    <row r="429" spans="1:9">
      <c r="A429" s="789">
        <v>429</v>
      </c>
      <c r="I429" s="789">
        <v>429</v>
      </c>
    </row>
    <row r="430" spans="1:9">
      <c r="A430" s="789">
        <v>430</v>
      </c>
      <c r="I430" s="789">
        <v>430</v>
      </c>
    </row>
    <row r="431" spans="1:9">
      <c r="A431" s="789">
        <v>431</v>
      </c>
      <c r="I431" s="789">
        <v>431</v>
      </c>
    </row>
    <row r="432" spans="1:9">
      <c r="A432" s="789">
        <v>432</v>
      </c>
      <c r="I432" s="789">
        <v>432</v>
      </c>
    </row>
    <row r="433" spans="1:9">
      <c r="A433" s="789">
        <v>433</v>
      </c>
      <c r="I433" s="789">
        <v>433</v>
      </c>
    </row>
    <row r="434" spans="1:9">
      <c r="A434" s="789">
        <v>434</v>
      </c>
      <c r="I434" s="789">
        <v>434</v>
      </c>
    </row>
    <row r="435" spans="1:9">
      <c r="A435" s="789">
        <v>435</v>
      </c>
      <c r="I435" s="789">
        <v>435</v>
      </c>
    </row>
    <row r="436" spans="1:9">
      <c r="A436" s="789">
        <v>436</v>
      </c>
      <c r="I436" s="789">
        <v>436</v>
      </c>
    </row>
    <row r="437" spans="1:9">
      <c r="A437" s="789">
        <v>437</v>
      </c>
      <c r="I437" s="789">
        <v>437</v>
      </c>
    </row>
    <row r="438" spans="1:9">
      <c r="A438" s="789">
        <v>438</v>
      </c>
      <c r="I438" s="789">
        <v>438</v>
      </c>
    </row>
    <row r="439" spans="1:9">
      <c r="A439" s="789">
        <v>439</v>
      </c>
      <c r="I439" s="789">
        <v>439</v>
      </c>
    </row>
    <row r="440" spans="1:9">
      <c r="A440" s="789">
        <v>440</v>
      </c>
      <c r="I440" s="789">
        <v>440</v>
      </c>
    </row>
    <row r="441" spans="1:9">
      <c r="A441" s="789">
        <v>441</v>
      </c>
      <c r="I441" s="789">
        <v>441</v>
      </c>
    </row>
    <row r="442" spans="1:9">
      <c r="A442" s="789">
        <v>442</v>
      </c>
      <c r="I442" s="789">
        <v>442</v>
      </c>
    </row>
    <row r="443" spans="1:9">
      <c r="A443" s="789">
        <v>443</v>
      </c>
      <c r="I443" s="789">
        <v>443</v>
      </c>
    </row>
    <row r="444" spans="1:9">
      <c r="A444" s="789">
        <v>444</v>
      </c>
      <c r="I444" s="789">
        <v>444</v>
      </c>
    </row>
    <row r="445" spans="1:9">
      <c r="A445" s="789">
        <v>445</v>
      </c>
      <c r="I445" s="789">
        <v>445</v>
      </c>
    </row>
    <row r="446" spans="1:9">
      <c r="A446" s="789">
        <v>446</v>
      </c>
      <c r="I446" s="789">
        <v>446</v>
      </c>
    </row>
    <row r="447" spans="1:9">
      <c r="A447" s="789">
        <v>447</v>
      </c>
      <c r="I447" s="789">
        <v>447</v>
      </c>
    </row>
    <row r="448" spans="1:9">
      <c r="A448" s="789">
        <v>448</v>
      </c>
      <c r="I448" s="789">
        <v>448</v>
      </c>
    </row>
    <row r="449" spans="1:9">
      <c r="A449" s="789">
        <v>449</v>
      </c>
      <c r="I449" s="789">
        <v>449</v>
      </c>
    </row>
    <row r="450" spans="1:9">
      <c r="A450" s="789">
        <v>450</v>
      </c>
      <c r="I450" s="789">
        <v>450</v>
      </c>
    </row>
    <row r="451" spans="1:9">
      <c r="A451" s="789">
        <v>451</v>
      </c>
      <c r="I451" s="789">
        <v>451</v>
      </c>
    </row>
    <row r="452" spans="1:9">
      <c r="A452" s="789">
        <v>452</v>
      </c>
      <c r="I452" s="789">
        <v>452</v>
      </c>
    </row>
    <row r="453" spans="1:9">
      <c r="A453" s="789">
        <v>453</v>
      </c>
      <c r="I453" s="789">
        <v>453</v>
      </c>
    </row>
    <row r="454" spans="1:9">
      <c r="A454" s="789">
        <v>454</v>
      </c>
      <c r="I454" s="789">
        <v>454</v>
      </c>
    </row>
    <row r="455" spans="1:9">
      <c r="A455" s="789">
        <v>455</v>
      </c>
      <c r="I455" s="789">
        <v>455</v>
      </c>
    </row>
    <row r="456" spans="1:9">
      <c r="A456" s="789">
        <v>456</v>
      </c>
      <c r="I456" s="789">
        <v>456</v>
      </c>
    </row>
    <row r="457" spans="1:9">
      <c r="A457" s="789">
        <v>457</v>
      </c>
      <c r="I457" s="789">
        <v>457</v>
      </c>
    </row>
    <row r="458" spans="1:9">
      <c r="A458" s="789">
        <v>458</v>
      </c>
      <c r="I458" s="789">
        <v>458</v>
      </c>
    </row>
    <row r="459" spans="1:9">
      <c r="A459" s="789">
        <v>459</v>
      </c>
      <c r="I459" s="789">
        <v>459</v>
      </c>
    </row>
    <row r="460" spans="1:9">
      <c r="A460" s="789">
        <v>460</v>
      </c>
      <c r="I460" s="789">
        <v>460</v>
      </c>
    </row>
    <row r="461" spans="1:9">
      <c r="A461" s="789">
        <v>461</v>
      </c>
      <c r="I461" s="789">
        <v>461</v>
      </c>
    </row>
    <row r="462" spans="1:9">
      <c r="A462" s="789">
        <v>462</v>
      </c>
      <c r="I462" s="789">
        <v>462</v>
      </c>
    </row>
    <row r="463" spans="1:9">
      <c r="A463" s="789">
        <v>463</v>
      </c>
      <c r="I463" s="789">
        <v>463</v>
      </c>
    </row>
    <row r="464" spans="1:9">
      <c r="A464" s="789">
        <v>464</v>
      </c>
      <c r="I464" s="789">
        <v>464</v>
      </c>
    </row>
    <row r="465" spans="1:9">
      <c r="A465" s="789">
        <v>465</v>
      </c>
      <c r="I465" s="789">
        <v>465</v>
      </c>
    </row>
    <row r="466" spans="1:9">
      <c r="A466" s="789">
        <v>466</v>
      </c>
      <c r="I466" s="789">
        <v>466</v>
      </c>
    </row>
    <row r="467" spans="1:9">
      <c r="A467" s="789">
        <v>467</v>
      </c>
      <c r="I467" s="789">
        <v>467</v>
      </c>
    </row>
    <row r="468" spans="1:9">
      <c r="A468" s="789">
        <v>468</v>
      </c>
      <c r="I468" s="789">
        <v>468</v>
      </c>
    </row>
    <row r="469" spans="1:9">
      <c r="A469" s="789">
        <v>469</v>
      </c>
      <c r="I469" s="789">
        <v>469</v>
      </c>
    </row>
    <row r="470" spans="1:9">
      <c r="A470" s="789">
        <v>470</v>
      </c>
      <c r="I470" s="789">
        <v>470</v>
      </c>
    </row>
    <row r="471" spans="1:9">
      <c r="A471" s="789">
        <v>471</v>
      </c>
      <c r="I471" s="789">
        <v>471</v>
      </c>
    </row>
    <row r="472" spans="1:9">
      <c r="A472" s="789">
        <v>472</v>
      </c>
      <c r="I472" s="789">
        <v>472</v>
      </c>
    </row>
    <row r="473" spans="1:9">
      <c r="A473" s="789">
        <v>473</v>
      </c>
      <c r="I473" s="789">
        <v>473</v>
      </c>
    </row>
    <row r="474" spans="1:9">
      <c r="A474" s="789">
        <v>474</v>
      </c>
      <c r="I474" s="789">
        <v>474</v>
      </c>
    </row>
    <row r="475" spans="1:9">
      <c r="A475" s="789">
        <v>475</v>
      </c>
      <c r="I475" s="789">
        <v>475</v>
      </c>
    </row>
    <row r="476" spans="1:9">
      <c r="A476" s="789">
        <v>476</v>
      </c>
      <c r="I476" s="789">
        <v>476</v>
      </c>
    </row>
    <row r="477" spans="1:9">
      <c r="A477" s="789">
        <v>477</v>
      </c>
      <c r="I477" s="789">
        <v>477</v>
      </c>
    </row>
    <row r="478" spans="1:9">
      <c r="A478" s="789">
        <v>478</v>
      </c>
      <c r="I478" s="789">
        <v>478</v>
      </c>
    </row>
    <row r="479" spans="1:9">
      <c r="A479" s="789">
        <v>479</v>
      </c>
      <c r="I479" s="789">
        <v>479</v>
      </c>
    </row>
    <row r="480" spans="1:9">
      <c r="A480" s="789">
        <v>480</v>
      </c>
      <c r="I480" s="789">
        <v>480</v>
      </c>
    </row>
    <row r="481" spans="1:9">
      <c r="A481" s="789">
        <v>481</v>
      </c>
      <c r="I481" s="789">
        <v>481</v>
      </c>
    </row>
    <row r="482" spans="1:9">
      <c r="A482" s="789">
        <v>482</v>
      </c>
      <c r="I482" s="789">
        <v>482</v>
      </c>
    </row>
    <row r="483" spans="1:9">
      <c r="A483" s="789">
        <v>483</v>
      </c>
      <c r="I483" s="789">
        <v>483</v>
      </c>
    </row>
    <row r="484" spans="1:9">
      <c r="A484" s="789">
        <v>484</v>
      </c>
      <c r="I484" s="789">
        <v>484</v>
      </c>
    </row>
    <row r="485" spans="1:9">
      <c r="A485" s="789">
        <v>485</v>
      </c>
      <c r="I485" s="789">
        <v>485</v>
      </c>
    </row>
    <row r="486" spans="1:9">
      <c r="A486" s="789">
        <v>486</v>
      </c>
      <c r="I486" s="789">
        <v>486</v>
      </c>
    </row>
    <row r="487" spans="1:9">
      <c r="A487" s="789">
        <v>487</v>
      </c>
      <c r="I487" s="789">
        <v>487</v>
      </c>
    </row>
    <row r="488" spans="1:9">
      <c r="A488" s="789">
        <v>488</v>
      </c>
      <c r="I488" s="789">
        <v>488</v>
      </c>
    </row>
    <row r="489" spans="1:9">
      <c r="A489" s="789">
        <v>489</v>
      </c>
      <c r="I489" s="789">
        <v>489</v>
      </c>
    </row>
    <row r="490" spans="1:9">
      <c r="A490" s="789">
        <v>490</v>
      </c>
      <c r="I490" s="789">
        <v>490</v>
      </c>
    </row>
    <row r="491" spans="1:9">
      <c r="A491" s="789">
        <v>491</v>
      </c>
      <c r="I491" s="789">
        <v>491</v>
      </c>
    </row>
    <row r="492" spans="1:9">
      <c r="A492" s="789">
        <v>492</v>
      </c>
      <c r="I492" s="789">
        <v>492</v>
      </c>
    </row>
    <row r="493" spans="1:9">
      <c r="A493" s="789">
        <v>493</v>
      </c>
      <c r="I493" s="789">
        <v>493</v>
      </c>
    </row>
    <row r="494" spans="1:9">
      <c r="A494" s="789">
        <v>494</v>
      </c>
      <c r="I494" s="789">
        <v>494</v>
      </c>
    </row>
    <row r="495" spans="1:9">
      <c r="A495" s="789">
        <v>495</v>
      </c>
      <c r="I495" s="789">
        <v>495</v>
      </c>
    </row>
    <row r="496" spans="1:9">
      <c r="A496" s="789">
        <v>496</v>
      </c>
      <c r="I496" s="789">
        <v>496</v>
      </c>
    </row>
    <row r="497" spans="1:9">
      <c r="A497" s="789">
        <v>497</v>
      </c>
      <c r="I497" s="789">
        <v>497</v>
      </c>
    </row>
    <row r="498" spans="1:9">
      <c r="A498" s="789">
        <v>498</v>
      </c>
      <c r="I498" s="789">
        <v>498</v>
      </c>
    </row>
    <row r="499" spans="1:9">
      <c r="A499" s="789">
        <v>499</v>
      </c>
      <c r="I499" s="789">
        <v>499</v>
      </c>
    </row>
    <row r="500" spans="1:9">
      <c r="A500" s="789">
        <v>500</v>
      </c>
      <c r="I500" s="789">
        <v>500</v>
      </c>
    </row>
    <row r="501" spans="1:9">
      <c r="A501" s="789">
        <v>501</v>
      </c>
      <c r="I501" s="789">
        <v>501</v>
      </c>
    </row>
    <row r="502" spans="1:9">
      <c r="A502" s="789">
        <v>502</v>
      </c>
      <c r="I502" s="789">
        <v>502</v>
      </c>
    </row>
    <row r="503" spans="1:9">
      <c r="A503" s="789">
        <v>503</v>
      </c>
      <c r="I503" s="789">
        <v>503</v>
      </c>
    </row>
    <row r="504" spans="1:9">
      <c r="A504" s="789">
        <v>504</v>
      </c>
      <c r="I504" s="789">
        <v>504</v>
      </c>
    </row>
    <row r="505" spans="1:9">
      <c r="A505" s="789">
        <v>505</v>
      </c>
      <c r="I505" s="789">
        <v>505</v>
      </c>
    </row>
    <row r="506" spans="1:9">
      <c r="A506" s="789">
        <v>506</v>
      </c>
      <c r="I506" s="789">
        <v>506</v>
      </c>
    </row>
    <row r="507" spans="1:9">
      <c r="A507" s="789">
        <v>507</v>
      </c>
      <c r="I507" s="789">
        <v>507</v>
      </c>
    </row>
    <row r="508" spans="1:9">
      <c r="A508" s="789">
        <v>508</v>
      </c>
      <c r="I508" s="789">
        <v>508</v>
      </c>
    </row>
    <row r="509" spans="1:9">
      <c r="A509" s="789">
        <v>509</v>
      </c>
      <c r="I509" s="789">
        <v>509</v>
      </c>
    </row>
    <row r="510" spans="1:9">
      <c r="A510" s="789">
        <v>510</v>
      </c>
      <c r="I510" s="789">
        <v>510</v>
      </c>
    </row>
    <row r="511" spans="1:9">
      <c r="A511" s="789">
        <v>511</v>
      </c>
      <c r="I511" s="789">
        <v>511</v>
      </c>
    </row>
    <row r="512" spans="1:9">
      <c r="A512" s="789">
        <v>512</v>
      </c>
      <c r="I512" s="789">
        <v>512</v>
      </c>
    </row>
    <row r="513" spans="1:9">
      <c r="A513" s="789">
        <v>513</v>
      </c>
      <c r="I513" s="789">
        <v>513</v>
      </c>
    </row>
    <row r="514" spans="1:9">
      <c r="A514" s="789">
        <v>514</v>
      </c>
      <c r="I514" s="789">
        <v>514</v>
      </c>
    </row>
    <row r="515" spans="1:9">
      <c r="A515" s="789">
        <v>515</v>
      </c>
      <c r="I515" s="789">
        <v>515</v>
      </c>
    </row>
    <row r="516" spans="1:9">
      <c r="A516" s="789">
        <v>516</v>
      </c>
      <c r="I516" s="789">
        <v>516</v>
      </c>
    </row>
    <row r="517" spans="1:9">
      <c r="A517" s="789">
        <v>517</v>
      </c>
      <c r="I517" s="789">
        <v>517</v>
      </c>
    </row>
    <row r="518" spans="1:9">
      <c r="A518" s="789">
        <v>518</v>
      </c>
      <c r="I518" s="789">
        <v>518</v>
      </c>
    </row>
    <row r="519" spans="1:9">
      <c r="A519" s="789">
        <v>519</v>
      </c>
      <c r="I519" s="789">
        <v>519</v>
      </c>
    </row>
    <row r="520" spans="1:9">
      <c r="A520" s="789">
        <v>520</v>
      </c>
      <c r="I520" s="789">
        <v>520</v>
      </c>
    </row>
    <row r="521" spans="1:9">
      <c r="A521" s="789">
        <v>521</v>
      </c>
      <c r="I521" s="789">
        <v>521</v>
      </c>
    </row>
    <row r="522" spans="1:9">
      <c r="A522" s="789">
        <v>522</v>
      </c>
      <c r="I522" s="789">
        <v>522</v>
      </c>
    </row>
    <row r="523" spans="1:9">
      <c r="A523" s="789">
        <v>523</v>
      </c>
      <c r="I523" s="789">
        <v>523</v>
      </c>
    </row>
    <row r="524" spans="1:9">
      <c r="A524" s="789">
        <v>524</v>
      </c>
      <c r="I524" s="789">
        <v>524</v>
      </c>
    </row>
    <row r="525" spans="1:9">
      <c r="A525" s="789">
        <v>525</v>
      </c>
      <c r="I525" s="789">
        <v>525</v>
      </c>
    </row>
    <row r="526" spans="1:9">
      <c r="A526" s="789">
        <v>526</v>
      </c>
      <c r="I526" s="789">
        <v>526</v>
      </c>
    </row>
    <row r="527" spans="1:9">
      <c r="A527" s="789">
        <v>527</v>
      </c>
      <c r="I527" s="789">
        <v>527</v>
      </c>
    </row>
    <row r="528" spans="1:9">
      <c r="A528" s="789">
        <v>528</v>
      </c>
      <c r="I528" s="789">
        <v>528</v>
      </c>
    </row>
    <row r="529" spans="1:9">
      <c r="A529" s="789">
        <v>529</v>
      </c>
      <c r="I529" s="789">
        <v>529</v>
      </c>
    </row>
    <row r="530" spans="1:9">
      <c r="A530" s="789">
        <v>530</v>
      </c>
      <c r="I530" s="789">
        <v>530</v>
      </c>
    </row>
    <row r="531" spans="1:9">
      <c r="A531" s="789">
        <v>531</v>
      </c>
      <c r="I531" s="789">
        <v>531</v>
      </c>
    </row>
    <row r="532" spans="1:9">
      <c r="A532" s="789">
        <v>532</v>
      </c>
      <c r="I532" s="789">
        <v>532</v>
      </c>
    </row>
    <row r="533" spans="1:9">
      <c r="A533" s="789">
        <v>533</v>
      </c>
      <c r="I533" s="789">
        <v>533</v>
      </c>
    </row>
    <row r="534" spans="1:9">
      <c r="A534" s="789">
        <v>534</v>
      </c>
      <c r="I534" s="789">
        <v>534</v>
      </c>
    </row>
    <row r="535" spans="1:9">
      <c r="A535" s="789">
        <v>535</v>
      </c>
      <c r="I535" s="789">
        <v>535</v>
      </c>
    </row>
    <row r="536" spans="1:9">
      <c r="A536" s="789">
        <v>536</v>
      </c>
      <c r="I536" s="789">
        <v>536</v>
      </c>
    </row>
    <row r="537" spans="1:9">
      <c r="A537" s="789">
        <v>537</v>
      </c>
      <c r="I537" s="789">
        <v>537</v>
      </c>
    </row>
    <row r="538" spans="1:9">
      <c r="A538" s="789">
        <v>538</v>
      </c>
      <c r="I538" s="789">
        <v>538</v>
      </c>
    </row>
    <row r="539" spans="1:9">
      <c r="A539" s="789">
        <v>539</v>
      </c>
      <c r="I539" s="789">
        <v>539</v>
      </c>
    </row>
    <row r="540" spans="1:9">
      <c r="A540" s="789">
        <v>540</v>
      </c>
      <c r="I540" s="789">
        <v>540</v>
      </c>
    </row>
    <row r="541" spans="1:9">
      <c r="A541" s="789">
        <v>541</v>
      </c>
      <c r="I541" s="789">
        <v>541</v>
      </c>
    </row>
    <row r="542" spans="1:9">
      <c r="A542" s="789">
        <v>542</v>
      </c>
      <c r="I542" s="789">
        <v>542</v>
      </c>
    </row>
    <row r="543" spans="1:9">
      <c r="A543" s="789">
        <v>543</v>
      </c>
      <c r="I543" s="789">
        <v>543</v>
      </c>
    </row>
    <row r="544" spans="1:9">
      <c r="A544" s="789">
        <v>544</v>
      </c>
      <c r="I544" s="789">
        <v>544</v>
      </c>
    </row>
    <row r="545" spans="1:9">
      <c r="A545" s="789">
        <v>545</v>
      </c>
      <c r="I545" s="789">
        <v>545</v>
      </c>
    </row>
    <row r="546" spans="1:9">
      <c r="A546" s="789">
        <v>546</v>
      </c>
      <c r="I546" s="789">
        <v>546</v>
      </c>
    </row>
    <row r="547" spans="1:9">
      <c r="A547" s="789">
        <v>547</v>
      </c>
      <c r="I547" s="789">
        <v>547</v>
      </c>
    </row>
    <row r="548" spans="1:9">
      <c r="A548" s="789">
        <v>548</v>
      </c>
      <c r="I548" s="789">
        <v>548</v>
      </c>
    </row>
    <row r="549" spans="1:9">
      <c r="A549" s="789">
        <v>549</v>
      </c>
      <c r="I549" s="789">
        <v>549</v>
      </c>
    </row>
    <row r="550" spans="1:9">
      <c r="A550" s="789">
        <v>550</v>
      </c>
      <c r="I550" s="789">
        <v>550</v>
      </c>
    </row>
    <row r="551" spans="1:9">
      <c r="A551" s="789">
        <v>551</v>
      </c>
      <c r="I551" s="789">
        <v>551</v>
      </c>
    </row>
    <row r="552" spans="1:9">
      <c r="A552" s="789">
        <v>552</v>
      </c>
      <c r="I552" s="789">
        <v>552</v>
      </c>
    </row>
    <row r="553" spans="1:9">
      <c r="A553" s="789">
        <v>553</v>
      </c>
      <c r="I553" s="789">
        <v>553</v>
      </c>
    </row>
    <row r="554" spans="1:9">
      <c r="A554" s="789">
        <v>554</v>
      </c>
      <c r="I554" s="789">
        <v>554</v>
      </c>
    </row>
    <row r="555" spans="1:9">
      <c r="A555" s="789">
        <v>555</v>
      </c>
      <c r="I555" s="789">
        <v>555</v>
      </c>
    </row>
    <row r="556" spans="1:9">
      <c r="A556" s="789">
        <v>556</v>
      </c>
      <c r="I556" s="789">
        <v>556</v>
      </c>
    </row>
    <row r="557" spans="1:9">
      <c r="A557" s="789">
        <v>557</v>
      </c>
      <c r="I557" s="789">
        <v>557</v>
      </c>
    </row>
    <row r="558" spans="1:9">
      <c r="A558" s="789">
        <v>558</v>
      </c>
      <c r="I558" s="789">
        <v>558</v>
      </c>
    </row>
    <row r="559" spans="1:9">
      <c r="A559" s="789">
        <v>559</v>
      </c>
      <c r="I559" s="789">
        <v>559</v>
      </c>
    </row>
    <row r="560" spans="1:9">
      <c r="A560" s="789">
        <v>560</v>
      </c>
      <c r="I560" s="789">
        <v>560</v>
      </c>
    </row>
    <row r="561" spans="1:9">
      <c r="A561" s="789">
        <v>561</v>
      </c>
      <c r="I561" s="789">
        <v>561</v>
      </c>
    </row>
    <row r="562" spans="1:9">
      <c r="A562" s="789">
        <v>562</v>
      </c>
      <c r="I562" s="789">
        <v>562</v>
      </c>
    </row>
    <row r="563" spans="1:9">
      <c r="A563" s="789">
        <v>563</v>
      </c>
      <c r="I563" s="789">
        <v>563</v>
      </c>
    </row>
    <row r="564" spans="1:9">
      <c r="A564" s="789">
        <v>564</v>
      </c>
      <c r="I564" s="789">
        <v>564</v>
      </c>
    </row>
    <row r="565" spans="1:9">
      <c r="A565" s="789">
        <v>565</v>
      </c>
      <c r="I565" s="789">
        <v>565</v>
      </c>
    </row>
    <row r="566" spans="1:9">
      <c r="A566" s="789">
        <v>566</v>
      </c>
      <c r="I566" s="789">
        <v>566</v>
      </c>
    </row>
    <row r="567" spans="1:9">
      <c r="A567" s="789">
        <v>567</v>
      </c>
      <c r="I567" s="789">
        <v>567</v>
      </c>
    </row>
    <row r="568" spans="1:9">
      <c r="A568" s="789">
        <v>568</v>
      </c>
      <c r="I568" s="789">
        <v>568</v>
      </c>
    </row>
    <row r="569" spans="1:9">
      <c r="A569" s="789">
        <v>569</v>
      </c>
      <c r="I569" s="789">
        <v>569</v>
      </c>
    </row>
    <row r="570" spans="1:9">
      <c r="A570" s="789">
        <v>570</v>
      </c>
      <c r="I570" s="789">
        <v>570</v>
      </c>
    </row>
    <row r="571" spans="1:9">
      <c r="A571" s="789">
        <v>571</v>
      </c>
      <c r="I571" s="789">
        <v>571</v>
      </c>
    </row>
    <row r="572" spans="1:9">
      <c r="A572" s="789">
        <v>572</v>
      </c>
      <c r="I572" s="789">
        <v>572</v>
      </c>
    </row>
    <row r="573" spans="1:9">
      <c r="A573" s="789">
        <v>573</v>
      </c>
      <c r="I573" s="789">
        <v>573</v>
      </c>
    </row>
    <row r="574" spans="1:9">
      <c r="A574" s="789">
        <v>574</v>
      </c>
      <c r="I574" s="789">
        <v>574</v>
      </c>
    </row>
    <row r="575" spans="1:9">
      <c r="A575" s="789">
        <v>575</v>
      </c>
      <c r="I575" s="789">
        <v>575</v>
      </c>
    </row>
    <row r="576" spans="1:9">
      <c r="A576" s="789">
        <v>576</v>
      </c>
      <c r="I576" s="789">
        <v>576</v>
      </c>
    </row>
    <row r="577" spans="1:9">
      <c r="A577" s="789">
        <v>577</v>
      </c>
      <c r="I577" s="789">
        <v>577</v>
      </c>
    </row>
    <row r="578" spans="1:9">
      <c r="A578" s="789">
        <v>578</v>
      </c>
      <c r="I578" s="789">
        <v>578</v>
      </c>
    </row>
    <row r="579" spans="1:9">
      <c r="A579" s="789">
        <v>579</v>
      </c>
      <c r="I579" s="789">
        <v>579</v>
      </c>
    </row>
    <row r="580" spans="1:9">
      <c r="A580" s="789">
        <v>580</v>
      </c>
      <c r="I580" s="789">
        <v>580</v>
      </c>
    </row>
    <row r="581" spans="1:9">
      <c r="A581" s="789">
        <v>581</v>
      </c>
      <c r="I581" s="789">
        <v>581</v>
      </c>
    </row>
    <row r="582" spans="1:9">
      <c r="A582" s="789">
        <v>582</v>
      </c>
      <c r="I582" s="789">
        <v>582</v>
      </c>
    </row>
    <row r="583" spans="1:9">
      <c r="A583" s="789">
        <v>583</v>
      </c>
      <c r="I583" s="789">
        <v>583</v>
      </c>
    </row>
    <row r="584" spans="1:9">
      <c r="A584" s="789">
        <v>584</v>
      </c>
      <c r="I584" s="789">
        <v>584</v>
      </c>
    </row>
    <row r="585" spans="1:9">
      <c r="A585" s="789">
        <v>585</v>
      </c>
      <c r="I585" s="789">
        <v>585</v>
      </c>
    </row>
    <row r="586" spans="1:9">
      <c r="A586" s="789">
        <v>586</v>
      </c>
      <c r="I586" s="789">
        <v>586</v>
      </c>
    </row>
    <row r="587" spans="1:9">
      <c r="A587" s="789">
        <v>587</v>
      </c>
      <c r="I587" s="789">
        <v>587</v>
      </c>
    </row>
    <row r="588" spans="1:9">
      <c r="A588" s="789">
        <v>588</v>
      </c>
      <c r="I588" s="789">
        <v>588</v>
      </c>
    </row>
    <row r="589" spans="1:9">
      <c r="A589" s="789">
        <v>589</v>
      </c>
      <c r="I589" s="789">
        <v>589</v>
      </c>
    </row>
    <row r="590" spans="1:9">
      <c r="A590" s="789">
        <v>590</v>
      </c>
      <c r="I590" s="789">
        <v>590</v>
      </c>
    </row>
    <row r="591" spans="1:9">
      <c r="A591" s="789">
        <v>591</v>
      </c>
      <c r="I591" s="789">
        <v>591</v>
      </c>
    </row>
    <row r="592" spans="1:9">
      <c r="A592" s="789">
        <v>592</v>
      </c>
      <c r="I592" s="789">
        <v>592</v>
      </c>
    </row>
    <row r="593" spans="1:9">
      <c r="A593" s="789">
        <v>593</v>
      </c>
      <c r="I593" s="789">
        <v>593</v>
      </c>
    </row>
    <row r="594" spans="1:9">
      <c r="A594" s="789">
        <v>594</v>
      </c>
      <c r="I594" s="789">
        <v>594</v>
      </c>
    </row>
    <row r="595" spans="1:9">
      <c r="A595" s="789">
        <v>595</v>
      </c>
      <c r="I595" s="789">
        <v>595</v>
      </c>
    </row>
    <row r="596" spans="1:9">
      <c r="A596" s="789">
        <v>596</v>
      </c>
      <c r="I596" s="789">
        <v>596</v>
      </c>
    </row>
    <row r="597" spans="1:9">
      <c r="A597" s="789">
        <v>597</v>
      </c>
      <c r="I597" s="789">
        <v>597</v>
      </c>
    </row>
    <row r="598" spans="1:9">
      <c r="A598" s="789">
        <v>598</v>
      </c>
      <c r="I598" s="789">
        <v>598</v>
      </c>
    </row>
    <row r="599" spans="1:9">
      <c r="A599" s="789">
        <v>599</v>
      </c>
      <c r="I599" s="789">
        <v>599</v>
      </c>
    </row>
    <row r="600" spans="1:9">
      <c r="A600" s="789">
        <v>600</v>
      </c>
      <c r="I600" s="789">
        <v>600</v>
      </c>
    </row>
    <row r="601" spans="1:9">
      <c r="A601" s="789">
        <v>601</v>
      </c>
      <c r="I601" s="789">
        <v>601</v>
      </c>
    </row>
    <row r="602" spans="1:9">
      <c r="A602" s="789">
        <v>602</v>
      </c>
      <c r="I602" s="789">
        <v>602</v>
      </c>
    </row>
    <row r="603" spans="1:9">
      <c r="A603" s="789">
        <v>603</v>
      </c>
      <c r="I603" s="789">
        <v>603</v>
      </c>
    </row>
    <row r="604" spans="1:9">
      <c r="A604" s="789">
        <v>604</v>
      </c>
      <c r="I604" s="789">
        <v>604</v>
      </c>
    </row>
    <row r="605" spans="1:9">
      <c r="A605" s="789">
        <v>605</v>
      </c>
      <c r="I605" s="789">
        <v>605</v>
      </c>
    </row>
    <row r="606" spans="1:9">
      <c r="A606" s="789">
        <v>606</v>
      </c>
      <c r="I606" s="789">
        <v>606</v>
      </c>
    </row>
    <row r="607" spans="1:9">
      <c r="A607" s="789">
        <v>607</v>
      </c>
      <c r="I607" s="789">
        <v>607</v>
      </c>
    </row>
    <row r="608" spans="1:9">
      <c r="A608" s="789">
        <v>608</v>
      </c>
      <c r="I608" s="789">
        <v>608</v>
      </c>
    </row>
    <row r="609" spans="1:9">
      <c r="A609" s="789">
        <v>609</v>
      </c>
      <c r="I609" s="789">
        <v>609</v>
      </c>
    </row>
    <row r="610" spans="1:9">
      <c r="A610" s="789">
        <v>610</v>
      </c>
      <c r="I610" s="789">
        <v>610</v>
      </c>
    </row>
    <row r="611" spans="1:9">
      <c r="A611" s="789">
        <v>611</v>
      </c>
      <c r="I611" s="789">
        <v>611</v>
      </c>
    </row>
    <row r="612" spans="1:9">
      <c r="A612" s="789">
        <v>612</v>
      </c>
      <c r="I612" s="789">
        <v>612</v>
      </c>
    </row>
    <row r="613" spans="1:9">
      <c r="A613" s="789">
        <v>613</v>
      </c>
      <c r="I613" s="789">
        <v>613</v>
      </c>
    </row>
    <row r="614" spans="1:9">
      <c r="A614" s="789">
        <v>614</v>
      </c>
      <c r="I614" s="789">
        <v>614</v>
      </c>
    </row>
    <row r="615" spans="1:9">
      <c r="A615" s="789">
        <v>615</v>
      </c>
      <c r="I615" s="789">
        <v>615</v>
      </c>
    </row>
    <row r="616" spans="1:9">
      <c r="A616" s="789">
        <v>616</v>
      </c>
      <c r="I616" s="789">
        <v>616</v>
      </c>
    </row>
    <row r="617" spans="1:9">
      <c r="A617" s="789">
        <v>617</v>
      </c>
      <c r="I617" s="789">
        <v>617</v>
      </c>
    </row>
    <row r="618" spans="1:9">
      <c r="A618" s="789">
        <v>618</v>
      </c>
      <c r="I618" s="789">
        <v>618</v>
      </c>
    </row>
    <row r="619" spans="1:9">
      <c r="A619" s="789">
        <v>619</v>
      </c>
      <c r="I619" s="789">
        <v>619</v>
      </c>
    </row>
    <row r="620" spans="1:9">
      <c r="A620" s="789">
        <v>620</v>
      </c>
      <c r="I620" s="789">
        <v>620</v>
      </c>
    </row>
    <row r="621" spans="1:9">
      <c r="A621" s="789">
        <v>621</v>
      </c>
      <c r="I621" s="789">
        <v>621</v>
      </c>
    </row>
    <row r="622" spans="1:9">
      <c r="A622" s="789">
        <v>622</v>
      </c>
      <c r="I622" s="789">
        <v>622</v>
      </c>
    </row>
    <row r="623" spans="1:9">
      <c r="A623" s="789">
        <v>623</v>
      </c>
      <c r="I623" s="789">
        <v>623</v>
      </c>
    </row>
    <row r="624" spans="1:9">
      <c r="A624" s="789">
        <v>624</v>
      </c>
      <c r="I624" s="789">
        <v>624</v>
      </c>
    </row>
    <row r="625" spans="1:9">
      <c r="A625" s="789">
        <v>625</v>
      </c>
      <c r="I625" s="789">
        <v>625</v>
      </c>
    </row>
    <row r="626" spans="1:9">
      <c r="A626" s="789">
        <v>626</v>
      </c>
      <c r="I626" s="789">
        <v>626</v>
      </c>
    </row>
    <row r="627" spans="1:9">
      <c r="A627" s="789">
        <v>627</v>
      </c>
      <c r="I627" s="789">
        <v>627</v>
      </c>
    </row>
    <row r="628" spans="1:9">
      <c r="A628" s="789">
        <v>628</v>
      </c>
      <c r="I628" s="789">
        <v>628</v>
      </c>
    </row>
    <row r="629" spans="1:9">
      <c r="A629" s="789">
        <v>629</v>
      </c>
      <c r="I629" s="789">
        <v>629</v>
      </c>
    </row>
    <row r="630" spans="1:9">
      <c r="A630" s="789">
        <v>630</v>
      </c>
      <c r="I630" s="789">
        <v>630</v>
      </c>
    </row>
    <row r="631" spans="1:9">
      <c r="A631" s="789">
        <v>631</v>
      </c>
      <c r="I631" s="789">
        <v>631</v>
      </c>
    </row>
    <row r="632" spans="1:9">
      <c r="A632" s="789">
        <v>632</v>
      </c>
      <c r="I632" s="789">
        <v>632</v>
      </c>
    </row>
    <row r="633" spans="1:9">
      <c r="A633" s="789">
        <v>633</v>
      </c>
      <c r="I633" s="789">
        <v>633</v>
      </c>
    </row>
    <row r="634" spans="1:9">
      <c r="A634" s="789">
        <v>634</v>
      </c>
      <c r="I634" s="789">
        <v>634</v>
      </c>
    </row>
    <row r="635" spans="1:9">
      <c r="A635" s="789">
        <v>635</v>
      </c>
      <c r="I635" s="789">
        <v>635</v>
      </c>
    </row>
    <row r="636" spans="1:9">
      <c r="A636" s="789">
        <v>636</v>
      </c>
      <c r="I636" s="789">
        <v>636</v>
      </c>
    </row>
    <row r="637" spans="1:9">
      <c r="A637" s="789">
        <v>637</v>
      </c>
      <c r="I637" s="789">
        <v>637</v>
      </c>
    </row>
    <row r="638" spans="1:9">
      <c r="A638" s="789">
        <v>638</v>
      </c>
      <c r="I638" s="789">
        <v>638</v>
      </c>
    </row>
    <row r="639" spans="1:9">
      <c r="A639" s="789">
        <v>639</v>
      </c>
      <c r="I639" s="789">
        <v>639</v>
      </c>
    </row>
    <row r="640" spans="1:9">
      <c r="A640" s="789">
        <v>640</v>
      </c>
      <c r="I640" s="789">
        <v>640</v>
      </c>
    </row>
    <row r="641" spans="1:9">
      <c r="A641" s="789">
        <v>641</v>
      </c>
      <c r="I641" s="789">
        <v>641</v>
      </c>
    </row>
    <row r="642" spans="1:9">
      <c r="A642" s="789">
        <v>642</v>
      </c>
      <c r="I642" s="789">
        <v>642</v>
      </c>
    </row>
    <row r="643" spans="1:9">
      <c r="A643" s="789">
        <v>643</v>
      </c>
      <c r="I643" s="789">
        <v>643</v>
      </c>
    </row>
    <row r="644" spans="1:9">
      <c r="A644" s="789">
        <v>644</v>
      </c>
      <c r="I644" s="789">
        <v>644</v>
      </c>
    </row>
    <row r="645" spans="1:9">
      <c r="A645" s="789">
        <v>645</v>
      </c>
      <c r="I645" s="789">
        <v>645</v>
      </c>
    </row>
    <row r="646" spans="1:9">
      <c r="A646" s="789">
        <v>646</v>
      </c>
      <c r="I646" s="789">
        <v>646</v>
      </c>
    </row>
    <row r="647" spans="1:9">
      <c r="A647" s="789">
        <v>647</v>
      </c>
      <c r="I647" s="789">
        <v>647</v>
      </c>
    </row>
    <row r="648" spans="1:9">
      <c r="A648" s="789">
        <v>648</v>
      </c>
      <c r="I648" s="789">
        <v>648</v>
      </c>
    </row>
    <row r="649" spans="1:9">
      <c r="A649" s="789">
        <v>649</v>
      </c>
      <c r="I649" s="789">
        <v>649</v>
      </c>
    </row>
    <row r="650" spans="1:9">
      <c r="A650" s="789">
        <v>650</v>
      </c>
      <c r="I650" s="789">
        <v>650</v>
      </c>
    </row>
    <row r="651" spans="1:9">
      <c r="A651" s="789">
        <v>651</v>
      </c>
      <c r="I651" s="789">
        <v>651</v>
      </c>
    </row>
    <row r="652" spans="1:9">
      <c r="A652" s="789">
        <v>652</v>
      </c>
      <c r="I652" s="789">
        <v>652</v>
      </c>
    </row>
    <row r="653" spans="1:9">
      <c r="A653" s="789">
        <v>653</v>
      </c>
      <c r="I653" s="789">
        <v>653</v>
      </c>
    </row>
    <row r="654" spans="1:9">
      <c r="A654" s="789">
        <v>654</v>
      </c>
      <c r="I654" s="789">
        <v>654</v>
      </c>
    </row>
    <row r="655" spans="1:9">
      <c r="A655" s="789">
        <v>655</v>
      </c>
      <c r="I655" s="789">
        <v>655</v>
      </c>
    </row>
    <row r="656" spans="1:9">
      <c r="A656" s="789">
        <v>656</v>
      </c>
      <c r="I656" s="789">
        <v>656</v>
      </c>
    </row>
    <row r="657" spans="1:9">
      <c r="A657" s="789">
        <v>657</v>
      </c>
      <c r="I657" s="789">
        <v>657</v>
      </c>
    </row>
    <row r="658" spans="1:9">
      <c r="A658" s="789">
        <v>658</v>
      </c>
      <c r="I658" s="789">
        <v>658</v>
      </c>
    </row>
    <row r="659" spans="1:9">
      <c r="A659" s="789">
        <v>659</v>
      </c>
      <c r="I659" s="789">
        <v>659</v>
      </c>
    </row>
    <row r="660" spans="1:9">
      <c r="A660" s="789">
        <v>660</v>
      </c>
      <c r="I660" s="789">
        <v>660</v>
      </c>
    </row>
    <row r="661" spans="1:9">
      <c r="A661" s="789">
        <v>661</v>
      </c>
      <c r="I661" s="789">
        <v>661</v>
      </c>
    </row>
    <row r="662" spans="1:9">
      <c r="A662" s="789">
        <v>662</v>
      </c>
      <c r="I662" s="789">
        <v>662</v>
      </c>
    </row>
    <row r="663" spans="1:9">
      <c r="A663" s="789">
        <v>663</v>
      </c>
      <c r="I663" s="789">
        <v>663</v>
      </c>
    </row>
    <row r="664" spans="1:9">
      <c r="A664" s="789">
        <v>664</v>
      </c>
      <c r="I664" s="789">
        <v>664</v>
      </c>
    </row>
    <row r="665" spans="1:9">
      <c r="A665" s="789">
        <v>665</v>
      </c>
      <c r="I665" s="789">
        <v>665</v>
      </c>
    </row>
    <row r="666" spans="1:9">
      <c r="A666" s="789">
        <v>666</v>
      </c>
      <c r="I666" s="789">
        <v>666</v>
      </c>
    </row>
    <row r="667" spans="1:9">
      <c r="A667" s="789">
        <v>667</v>
      </c>
      <c r="I667" s="789">
        <v>667</v>
      </c>
    </row>
    <row r="668" spans="1:9">
      <c r="A668" s="789">
        <v>668</v>
      </c>
      <c r="I668" s="789">
        <v>668</v>
      </c>
    </row>
    <row r="669" spans="1:9">
      <c r="A669" s="789">
        <v>669</v>
      </c>
      <c r="I669" s="789">
        <v>669</v>
      </c>
    </row>
    <row r="670" spans="1:9">
      <c r="A670" s="789">
        <v>670</v>
      </c>
      <c r="I670" s="789">
        <v>670</v>
      </c>
    </row>
    <row r="671" spans="1:9">
      <c r="A671" s="789">
        <v>671</v>
      </c>
      <c r="I671" s="789">
        <v>671</v>
      </c>
    </row>
    <row r="672" spans="1:9">
      <c r="A672" s="789">
        <v>672</v>
      </c>
      <c r="I672" s="789">
        <v>672</v>
      </c>
    </row>
    <row r="673" spans="1:9">
      <c r="A673" s="789">
        <v>673</v>
      </c>
      <c r="I673" s="789">
        <v>673</v>
      </c>
    </row>
    <row r="674" spans="1:9">
      <c r="A674" s="789">
        <v>674</v>
      </c>
      <c r="I674" s="789">
        <v>674</v>
      </c>
    </row>
    <row r="675" spans="1:9">
      <c r="A675" s="789">
        <v>675</v>
      </c>
      <c r="I675" s="789">
        <v>675</v>
      </c>
    </row>
    <row r="676" spans="1:9">
      <c r="A676" s="789">
        <v>676</v>
      </c>
      <c r="I676" s="789">
        <v>676</v>
      </c>
    </row>
    <row r="677" spans="1:9">
      <c r="A677" s="789">
        <v>677</v>
      </c>
      <c r="I677" s="789">
        <v>677</v>
      </c>
    </row>
    <row r="678" spans="1:9">
      <c r="A678" s="789">
        <v>678</v>
      </c>
      <c r="I678" s="789">
        <v>678</v>
      </c>
    </row>
    <row r="679" spans="1:9">
      <c r="A679" s="789">
        <v>679</v>
      </c>
      <c r="I679" s="789">
        <v>679</v>
      </c>
    </row>
    <row r="680" spans="1:9">
      <c r="A680" s="789">
        <v>680</v>
      </c>
      <c r="I680" s="789">
        <v>680</v>
      </c>
    </row>
    <row r="681" spans="1:9">
      <c r="A681" s="789">
        <v>681</v>
      </c>
      <c r="I681" s="789">
        <v>681</v>
      </c>
    </row>
    <row r="682" spans="1:9">
      <c r="A682" s="789">
        <v>682</v>
      </c>
      <c r="I682" s="789">
        <v>682</v>
      </c>
    </row>
    <row r="683" spans="1:9">
      <c r="A683" s="789">
        <v>683</v>
      </c>
      <c r="I683" s="789">
        <v>683</v>
      </c>
    </row>
    <row r="684" spans="1:9">
      <c r="A684" s="789">
        <v>684</v>
      </c>
      <c r="I684" s="789">
        <v>684</v>
      </c>
    </row>
    <row r="685" spans="1:9">
      <c r="A685" s="789">
        <v>685</v>
      </c>
      <c r="I685" s="789">
        <v>685</v>
      </c>
    </row>
    <row r="686" spans="1:9">
      <c r="A686" s="789">
        <v>686</v>
      </c>
      <c r="I686" s="789">
        <v>686</v>
      </c>
    </row>
    <row r="687" spans="1:9">
      <c r="A687" s="789">
        <v>687</v>
      </c>
      <c r="I687" s="789">
        <v>687</v>
      </c>
    </row>
    <row r="688" spans="1:9">
      <c r="A688" s="789">
        <v>688</v>
      </c>
      <c r="I688" s="789">
        <v>688</v>
      </c>
    </row>
    <row r="689" spans="1:9">
      <c r="A689" s="789">
        <v>689</v>
      </c>
      <c r="I689" s="789">
        <v>689</v>
      </c>
    </row>
    <row r="690" spans="1:9">
      <c r="A690" s="789">
        <v>690</v>
      </c>
      <c r="I690" s="789">
        <v>690</v>
      </c>
    </row>
    <row r="691" spans="1:9">
      <c r="A691" s="789">
        <v>691</v>
      </c>
      <c r="I691" s="789">
        <v>691</v>
      </c>
    </row>
    <row r="692" spans="1:9">
      <c r="A692" s="789">
        <v>692</v>
      </c>
      <c r="I692" s="789">
        <v>692</v>
      </c>
    </row>
    <row r="693" spans="1:9">
      <c r="A693" s="789">
        <v>693</v>
      </c>
      <c r="I693" s="789">
        <v>693</v>
      </c>
    </row>
    <row r="694" spans="1:9">
      <c r="A694" s="789">
        <v>694</v>
      </c>
      <c r="I694" s="789">
        <v>694</v>
      </c>
    </row>
    <row r="695" spans="1:9">
      <c r="A695" s="789">
        <v>695</v>
      </c>
      <c r="I695" s="789">
        <v>695</v>
      </c>
    </row>
    <row r="696" spans="1:9">
      <c r="A696" s="789">
        <v>696</v>
      </c>
      <c r="I696" s="789">
        <v>696</v>
      </c>
    </row>
    <row r="697" spans="1:9">
      <c r="A697" s="789">
        <v>697</v>
      </c>
      <c r="I697" s="789">
        <v>697</v>
      </c>
    </row>
    <row r="698" spans="1:9">
      <c r="A698" s="789">
        <v>698</v>
      </c>
      <c r="I698" s="789">
        <v>698</v>
      </c>
    </row>
    <row r="699" spans="1:9">
      <c r="A699" s="789">
        <v>699</v>
      </c>
      <c r="I699" s="789">
        <v>699</v>
      </c>
    </row>
    <row r="700" spans="1:9">
      <c r="A700" s="789">
        <v>700</v>
      </c>
      <c r="I700" s="789">
        <v>700</v>
      </c>
    </row>
    <row r="701" spans="1:9">
      <c r="A701" s="789">
        <v>701</v>
      </c>
      <c r="I701" s="789">
        <v>701</v>
      </c>
    </row>
    <row r="702" spans="1:9">
      <c r="A702" s="789">
        <v>702</v>
      </c>
      <c r="I702" s="789">
        <v>702</v>
      </c>
    </row>
    <row r="703" spans="1:9">
      <c r="A703" s="789">
        <v>703</v>
      </c>
      <c r="I703" s="789">
        <v>703</v>
      </c>
    </row>
    <row r="704" spans="1:9">
      <c r="A704" s="789">
        <v>704</v>
      </c>
      <c r="I704" s="789">
        <v>704</v>
      </c>
    </row>
    <row r="705" spans="1:9">
      <c r="A705" s="789">
        <v>705</v>
      </c>
      <c r="I705" s="789">
        <v>705</v>
      </c>
    </row>
    <row r="706" spans="1:9">
      <c r="A706" s="789">
        <v>706</v>
      </c>
      <c r="I706" s="789">
        <v>706</v>
      </c>
    </row>
    <row r="707" spans="1:9">
      <c r="A707" s="789">
        <v>707</v>
      </c>
      <c r="I707" s="789">
        <v>707</v>
      </c>
    </row>
    <row r="708" spans="1:9">
      <c r="A708" s="789">
        <v>708</v>
      </c>
      <c r="I708" s="789">
        <v>708</v>
      </c>
    </row>
    <row r="709" spans="1:9">
      <c r="A709" s="789">
        <v>709</v>
      </c>
      <c r="I709" s="789">
        <v>709</v>
      </c>
    </row>
    <row r="710" spans="1:9">
      <c r="A710" s="789">
        <v>710</v>
      </c>
      <c r="I710" s="789">
        <v>710</v>
      </c>
    </row>
    <row r="711" spans="1:9">
      <c r="A711" s="789">
        <v>711</v>
      </c>
      <c r="I711" s="789">
        <v>711</v>
      </c>
    </row>
    <row r="712" spans="1:9">
      <c r="A712" s="789">
        <v>712</v>
      </c>
      <c r="I712" s="789">
        <v>712</v>
      </c>
    </row>
    <row r="713" spans="1:9">
      <c r="A713" s="789">
        <v>713</v>
      </c>
      <c r="I713" s="789">
        <v>713</v>
      </c>
    </row>
    <row r="714" spans="1:9">
      <c r="A714" s="789">
        <v>714</v>
      </c>
      <c r="I714" s="789">
        <v>714</v>
      </c>
    </row>
    <row r="715" spans="1:9">
      <c r="A715" s="789">
        <v>715</v>
      </c>
      <c r="I715" s="789">
        <v>715</v>
      </c>
    </row>
    <row r="716" spans="1:9">
      <c r="A716" s="789">
        <v>716</v>
      </c>
      <c r="I716" s="789">
        <v>716</v>
      </c>
    </row>
    <row r="717" spans="1:9">
      <c r="A717" s="789">
        <v>717</v>
      </c>
      <c r="I717" s="789">
        <v>717</v>
      </c>
    </row>
    <row r="718" spans="1:9">
      <c r="A718" s="789">
        <v>718</v>
      </c>
      <c r="I718" s="789">
        <v>718</v>
      </c>
    </row>
    <row r="719" spans="1:9">
      <c r="A719" s="789">
        <v>719</v>
      </c>
      <c r="I719" s="789">
        <v>719</v>
      </c>
    </row>
    <row r="720" spans="1:9">
      <c r="A720" s="789">
        <v>720</v>
      </c>
      <c r="I720" s="789">
        <v>720</v>
      </c>
    </row>
    <row r="721" spans="1:9">
      <c r="A721" s="789">
        <v>721</v>
      </c>
      <c r="I721" s="789">
        <v>721</v>
      </c>
    </row>
    <row r="722" spans="1:9">
      <c r="A722" s="789">
        <v>722</v>
      </c>
      <c r="I722" s="789">
        <v>722</v>
      </c>
    </row>
    <row r="723" spans="1:9">
      <c r="A723" s="789">
        <v>723</v>
      </c>
      <c r="I723" s="789">
        <v>723</v>
      </c>
    </row>
    <row r="724" spans="1:9">
      <c r="A724" s="789">
        <v>724</v>
      </c>
      <c r="I724" s="789">
        <v>724</v>
      </c>
    </row>
    <row r="725" spans="1:9">
      <c r="A725" s="789">
        <v>725</v>
      </c>
      <c r="I725" s="789">
        <v>725</v>
      </c>
    </row>
    <row r="726" spans="1:9">
      <c r="A726" s="789">
        <v>726</v>
      </c>
      <c r="I726" s="789">
        <v>726</v>
      </c>
    </row>
    <row r="727" spans="1:9">
      <c r="A727" s="789">
        <v>727</v>
      </c>
      <c r="I727" s="789">
        <v>727</v>
      </c>
    </row>
    <row r="728" spans="1:9">
      <c r="A728" s="789">
        <v>728</v>
      </c>
      <c r="I728" s="789">
        <v>728</v>
      </c>
    </row>
    <row r="729" spans="1:9">
      <c r="A729" s="789">
        <v>729</v>
      </c>
      <c r="I729" s="789">
        <v>729</v>
      </c>
    </row>
    <row r="730" spans="1:9">
      <c r="A730" s="789">
        <v>730</v>
      </c>
      <c r="I730" s="789">
        <v>730</v>
      </c>
    </row>
    <row r="731" spans="1:9">
      <c r="A731" s="789">
        <v>731</v>
      </c>
      <c r="I731" s="789">
        <v>731</v>
      </c>
    </row>
    <row r="732" spans="1:9">
      <c r="A732" s="789">
        <v>732</v>
      </c>
      <c r="I732" s="789">
        <v>732</v>
      </c>
    </row>
    <row r="733" spans="1:9">
      <c r="A733" s="789">
        <v>733</v>
      </c>
      <c r="I733" s="789">
        <v>733</v>
      </c>
    </row>
    <row r="734" spans="1:9">
      <c r="A734" s="789">
        <v>734</v>
      </c>
      <c r="I734" s="789">
        <v>734</v>
      </c>
    </row>
    <row r="735" spans="1:9">
      <c r="A735" s="789">
        <v>735</v>
      </c>
      <c r="I735" s="789">
        <v>735</v>
      </c>
    </row>
    <row r="736" spans="1:9">
      <c r="A736" s="789">
        <v>736</v>
      </c>
      <c r="I736" s="789">
        <v>736</v>
      </c>
    </row>
    <row r="737" spans="1:9">
      <c r="A737" s="789">
        <v>737</v>
      </c>
      <c r="I737" s="789">
        <v>737</v>
      </c>
    </row>
    <row r="738" spans="1:9">
      <c r="A738" s="789">
        <v>738</v>
      </c>
      <c r="I738" s="789">
        <v>738</v>
      </c>
    </row>
    <row r="739" spans="1:9">
      <c r="A739" s="789">
        <v>739</v>
      </c>
      <c r="I739" s="789">
        <v>739</v>
      </c>
    </row>
    <row r="740" spans="1:9">
      <c r="A740" s="789">
        <v>740</v>
      </c>
      <c r="I740" s="789">
        <v>740</v>
      </c>
    </row>
    <row r="741" spans="1:9">
      <c r="A741" s="789">
        <v>741</v>
      </c>
      <c r="I741" s="789">
        <v>741</v>
      </c>
    </row>
    <row r="742" spans="1:9">
      <c r="A742" s="789">
        <v>742</v>
      </c>
      <c r="I742" s="789">
        <v>742</v>
      </c>
    </row>
    <row r="743" spans="1:9">
      <c r="A743" s="789">
        <v>743</v>
      </c>
      <c r="I743" s="789">
        <v>743</v>
      </c>
    </row>
    <row r="744" spans="1:9">
      <c r="A744" s="789">
        <v>744</v>
      </c>
      <c r="I744" s="789">
        <v>744</v>
      </c>
    </row>
    <row r="745" spans="1:9">
      <c r="A745" s="789">
        <v>745</v>
      </c>
      <c r="I745" s="789">
        <v>745</v>
      </c>
    </row>
    <row r="746" spans="1:9">
      <c r="A746" s="789">
        <v>746</v>
      </c>
      <c r="I746" s="789">
        <v>746</v>
      </c>
    </row>
    <row r="747" spans="1:9">
      <c r="A747" s="789">
        <v>747</v>
      </c>
      <c r="I747" s="789">
        <v>747</v>
      </c>
    </row>
    <row r="748" spans="1:9">
      <c r="A748" s="789">
        <v>748</v>
      </c>
      <c r="I748" s="789">
        <v>748</v>
      </c>
    </row>
    <row r="749" spans="1:9">
      <c r="A749" s="789">
        <v>749</v>
      </c>
      <c r="I749" s="789">
        <v>749</v>
      </c>
    </row>
    <row r="750" spans="1:9">
      <c r="A750" s="789">
        <v>750</v>
      </c>
      <c r="I750" s="789">
        <v>750</v>
      </c>
    </row>
    <row r="751" spans="1:9">
      <c r="A751" s="789">
        <v>751</v>
      </c>
      <c r="I751" s="789">
        <v>751</v>
      </c>
    </row>
    <row r="752" spans="1:9">
      <c r="A752" s="789">
        <v>752</v>
      </c>
      <c r="I752" s="789">
        <v>752</v>
      </c>
    </row>
    <row r="753" spans="1:9">
      <c r="A753" s="789">
        <v>753</v>
      </c>
      <c r="I753" s="789">
        <v>753</v>
      </c>
    </row>
    <row r="754" spans="1:9">
      <c r="A754" s="789">
        <v>754</v>
      </c>
      <c r="I754" s="789">
        <v>754</v>
      </c>
    </row>
    <row r="755" spans="1:9">
      <c r="A755" s="789">
        <v>755</v>
      </c>
      <c r="I755" s="789">
        <v>755</v>
      </c>
    </row>
    <row r="756" spans="1:9">
      <c r="A756" s="789">
        <v>756</v>
      </c>
      <c r="I756" s="789">
        <v>756</v>
      </c>
    </row>
    <row r="757" spans="1:9">
      <c r="A757" s="789">
        <v>757</v>
      </c>
      <c r="I757" s="789">
        <v>757</v>
      </c>
    </row>
    <row r="758" spans="1:9">
      <c r="A758" s="789">
        <v>758</v>
      </c>
      <c r="I758" s="789">
        <v>758</v>
      </c>
    </row>
    <row r="759" spans="1:9">
      <c r="A759" s="789">
        <v>759</v>
      </c>
      <c r="I759" s="789">
        <v>759</v>
      </c>
    </row>
    <row r="760" spans="1:9">
      <c r="A760" s="789">
        <v>760</v>
      </c>
      <c r="I760" s="789">
        <v>760</v>
      </c>
    </row>
    <row r="761" spans="1:9">
      <c r="A761" s="789">
        <v>761</v>
      </c>
      <c r="I761" s="789">
        <v>761</v>
      </c>
    </row>
    <row r="762" spans="1:9">
      <c r="A762" s="789">
        <v>762</v>
      </c>
      <c r="I762" s="789">
        <v>762</v>
      </c>
    </row>
    <row r="763" spans="1:9">
      <c r="A763" s="789">
        <v>763</v>
      </c>
      <c r="I763" s="789">
        <v>763</v>
      </c>
    </row>
    <row r="764" spans="1:9">
      <c r="A764" s="789">
        <v>764</v>
      </c>
      <c r="I764" s="789">
        <v>764</v>
      </c>
    </row>
    <row r="765" spans="1:9">
      <c r="A765" s="789">
        <v>765</v>
      </c>
      <c r="I765" s="789">
        <v>765</v>
      </c>
    </row>
    <row r="766" spans="1:9">
      <c r="A766" s="789">
        <v>766</v>
      </c>
      <c r="I766" s="789">
        <v>766</v>
      </c>
    </row>
    <row r="767" spans="1:9">
      <c r="A767" s="789">
        <v>767</v>
      </c>
      <c r="I767" s="789">
        <v>767</v>
      </c>
    </row>
    <row r="768" spans="1:9">
      <c r="A768" s="789">
        <v>768</v>
      </c>
      <c r="I768" s="789">
        <v>768</v>
      </c>
    </row>
    <row r="769" spans="1:9">
      <c r="A769" s="789">
        <v>769</v>
      </c>
      <c r="I769" s="789">
        <v>769</v>
      </c>
    </row>
    <row r="770" spans="1:9">
      <c r="A770" s="789">
        <v>770</v>
      </c>
      <c r="I770" s="789">
        <v>770</v>
      </c>
    </row>
    <row r="771" spans="1:9">
      <c r="A771" s="789">
        <v>771</v>
      </c>
      <c r="I771" s="789">
        <v>771</v>
      </c>
    </row>
    <row r="772" spans="1:9">
      <c r="A772" s="789">
        <v>772</v>
      </c>
      <c r="I772" s="789">
        <v>772</v>
      </c>
    </row>
    <row r="773" spans="1:9">
      <c r="A773" s="789">
        <v>773</v>
      </c>
      <c r="I773" s="789">
        <v>773</v>
      </c>
    </row>
    <row r="774" spans="1:9">
      <c r="A774" s="789">
        <v>774</v>
      </c>
      <c r="I774" s="789">
        <v>774</v>
      </c>
    </row>
    <row r="775" spans="1:9">
      <c r="A775" s="789">
        <v>775</v>
      </c>
      <c r="I775" s="789">
        <v>775</v>
      </c>
    </row>
    <row r="776" spans="1:9">
      <c r="A776" s="789">
        <v>776</v>
      </c>
      <c r="I776" s="789">
        <v>776</v>
      </c>
    </row>
    <row r="777" spans="1:9">
      <c r="A777" s="789">
        <v>777</v>
      </c>
      <c r="I777" s="789">
        <v>777</v>
      </c>
    </row>
    <row r="778" spans="1:9">
      <c r="A778" s="789">
        <v>778</v>
      </c>
      <c r="I778" s="789">
        <v>778</v>
      </c>
    </row>
    <row r="779" spans="1:9">
      <c r="A779" s="789">
        <v>779</v>
      </c>
      <c r="I779" s="789">
        <v>779</v>
      </c>
    </row>
    <row r="780" spans="1:9">
      <c r="A780" s="789">
        <v>780</v>
      </c>
      <c r="I780" s="789">
        <v>780</v>
      </c>
    </row>
    <row r="781" spans="1:9">
      <c r="A781" s="789">
        <v>781</v>
      </c>
      <c r="I781" s="789">
        <v>781</v>
      </c>
    </row>
    <row r="782" spans="1:9">
      <c r="A782" s="789">
        <v>782</v>
      </c>
      <c r="I782" s="789">
        <v>782</v>
      </c>
    </row>
    <row r="783" spans="1:9">
      <c r="A783" s="789">
        <v>783</v>
      </c>
      <c r="I783" s="789">
        <v>783</v>
      </c>
    </row>
    <row r="784" spans="1:9">
      <c r="A784" s="789">
        <v>784</v>
      </c>
      <c r="I784" s="789">
        <v>784</v>
      </c>
    </row>
    <row r="785" spans="1:9">
      <c r="A785" s="789">
        <v>785</v>
      </c>
      <c r="I785" s="789">
        <v>785</v>
      </c>
    </row>
    <row r="786" spans="1:9">
      <c r="A786" s="789">
        <v>786</v>
      </c>
      <c r="I786" s="789">
        <v>786</v>
      </c>
    </row>
    <row r="787" spans="1:9">
      <c r="A787" s="789">
        <v>787</v>
      </c>
      <c r="I787" s="789">
        <v>787</v>
      </c>
    </row>
    <row r="788" spans="1:9">
      <c r="A788" s="789">
        <v>788</v>
      </c>
      <c r="I788" s="789">
        <v>788</v>
      </c>
    </row>
    <row r="789" spans="1:9">
      <c r="A789" s="789">
        <v>789</v>
      </c>
      <c r="I789" s="789">
        <v>789</v>
      </c>
    </row>
    <row r="790" spans="1:9">
      <c r="A790" s="789">
        <v>790</v>
      </c>
      <c r="I790" s="789">
        <v>790</v>
      </c>
    </row>
    <row r="791" spans="1:9">
      <c r="A791" s="789">
        <v>791</v>
      </c>
      <c r="I791" s="789">
        <v>791</v>
      </c>
    </row>
    <row r="792" spans="1:9">
      <c r="A792" s="789">
        <v>792</v>
      </c>
      <c r="I792" s="789">
        <v>792</v>
      </c>
    </row>
    <row r="793" spans="1:9">
      <c r="A793" s="789">
        <v>793</v>
      </c>
      <c r="I793" s="789">
        <v>793</v>
      </c>
    </row>
    <row r="794" spans="1:9">
      <c r="A794" s="789">
        <v>794</v>
      </c>
      <c r="I794" s="789">
        <v>794</v>
      </c>
    </row>
    <row r="795" spans="1:9">
      <c r="A795" s="789">
        <v>795</v>
      </c>
      <c r="I795" s="789">
        <v>795</v>
      </c>
    </row>
    <row r="796" spans="1:9">
      <c r="A796" s="789">
        <v>796</v>
      </c>
      <c r="I796" s="789">
        <v>796</v>
      </c>
    </row>
    <row r="797" spans="1:9">
      <c r="A797" s="789">
        <v>797</v>
      </c>
      <c r="I797" s="789">
        <v>797</v>
      </c>
    </row>
    <row r="798" spans="1:9">
      <c r="A798" s="789">
        <v>798</v>
      </c>
      <c r="I798" s="789">
        <v>798</v>
      </c>
    </row>
    <row r="799" spans="1:9">
      <c r="A799" s="789">
        <v>799</v>
      </c>
      <c r="I799" s="789">
        <v>799</v>
      </c>
    </row>
    <row r="800" spans="1:9">
      <c r="A800" s="789">
        <v>800</v>
      </c>
      <c r="I800" s="789">
        <v>800</v>
      </c>
    </row>
    <row r="801" spans="1:9">
      <c r="A801" s="789">
        <v>801</v>
      </c>
      <c r="I801" s="789">
        <v>801</v>
      </c>
    </row>
    <row r="802" spans="1:9">
      <c r="A802" s="789">
        <v>802</v>
      </c>
      <c r="I802" s="789">
        <v>802</v>
      </c>
    </row>
    <row r="803" spans="1:9">
      <c r="A803" s="789">
        <v>803</v>
      </c>
      <c r="I803" s="789">
        <v>803</v>
      </c>
    </row>
    <row r="804" spans="1:9">
      <c r="A804" s="789">
        <v>804</v>
      </c>
      <c r="I804" s="789">
        <v>804</v>
      </c>
    </row>
    <row r="805" spans="1:9">
      <c r="A805" s="789">
        <v>805</v>
      </c>
      <c r="I805" s="789">
        <v>805</v>
      </c>
    </row>
    <row r="806" spans="1:9">
      <c r="A806" s="789">
        <v>806</v>
      </c>
      <c r="I806" s="789">
        <v>806</v>
      </c>
    </row>
    <row r="807" spans="1:9">
      <c r="A807" s="789">
        <v>807</v>
      </c>
      <c r="I807" s="789">
        <v>807</v>
      </c>
    </row>
    <row r="808" spans="1:9">
      <c r="A808" s="789">
        <v>808</v>
      </c>
      <c r="I808" s="789">
        <v>808</v>
      </c>
    </row>
    <row r="809" spans="1:9">
      <c r="A809" s="789">
        <v>809</v>
      </c>
      <c r="I809" s="789">
        <v>809</v>
      </c>
    </row>
    <row r="810" spans="1:9">
      <c r="A810" s="789">
        <v>810</v>
      </c>
      <c r="I810" s="789">
        <v>810</v>
      </c>
    </row>
    <row r="811" spans="1:9">
      <c r="A811" s="789">
        <v>811</v>
      </c>
      <c r="I811" s="789">
        <v>811</v>
      </c>
    </row>
    <row r="812" spans="1:9">
      <c r="A812" s="789">
        <v>812</v>
      </c>
      <c r="I812" s="789">
        <v>812</v>
      </c>
    </row>
    <row r="813" spans="1:9">
      <c r="A813" s="789">
        <v>813</v>
      </c>
      <c r="I813" s="789">
        <v>813</v>
      </c>
    </row>
    <row r="814" spans="1:9">
      <c r="A814" s="789">
        <v>814</v>
      </c>
      <c r="I814" s="789">
        <v>814</v>
      </c>
    </row>
    <row r="815" spans="1:9">
      <c r="A815" s="789">
        <v>815</v>
      </c>
      <c r="I815" s="789">
        <v>815</v>
      </c>
    </row>
    <row r="816" spans="1:9">
      <c r="A816" s="789">
        <v>816</v>
      </c>
      <c r="I816" s="789">
        <v>816</v>
      </c>
    </row>
    <row r="817" spans="1:9">
      <c r="A817" s="789">
        <v>817</v>
      </c>
      <c r="I817" s="789">
        <v>817</v>
      </c>
    </row>
    <row r="818" spans="1:9">
      <c r="A818" s="789">
        <v>818</v>
      </c>
      <c r="I818" s="789">
        <v>818</v>
      </c>
    </row>
    <row r="819" spans="1:9">
      <c r="A819" s="789">
        <v>819</v>
      </c>
      <c r="I819" s="789">
        <v>819</v>
      </c>
    </row>
    <row r="820" spans="1:9">
      <c r="A820" s="789">
        <v>820</v>
      </c>
      <c r="I820" s="789">
        <v>820</v>
      </c>
    </row>
    <row r="821" spans="1:9">
      <c r="A821" s="789">
        <v>821</v>
      </c>
      <c r="I821" s="789">
        <v>821</v>
      </c>
    </row>
    <row r="822" spans="1:9">
      <c r="A822" s="789">
        <v>822</v>
      </c>
      <c r="I822" s="789">
        <v>822</v>
      </c>
    </row>
    <row r="823" spans="1:9">
      <c r="A823" s="789">
        <v>823</v>
      </c>
      <c r="I823" s="789">
        <v>823</v>
      </c>
    </row>
    <row r="824" spans="1:9">
      <c r="A824" s="789">
        <v>824</v>
      </c>
      <c r="I824" s="789">
        <v>824</v>
      </c>
    </row>
    <row r="825" spans="1:9">
      <c r="A825" s="789">
        <v>825</v>
      </c>
      <c r="I825" s="789">
        <v>825</v>
      </c>
    </row>
    <row r="826" spans="1:9">
      <c r="A826" s="789">
        <v>826</v>
      </c>
      <c r="I826" s="789">
        <v>826</v>
      </c>
    </row>
    <row r="827" spans="1:9">
      <c r="A827" s="789">
        <v>827</v>
      </c>
      <c r="I827" s="789">
        <v>827</v>
      </c>
    </row>
    <row r="828" spans="1:9">
      <c r="A828" s="789">
        <v>828</v>
      </c>
      <c r="I828" s="789">
        <v>828</v>
      </c>
    </row>
    <row r="829" spans="1:9">
      <c r="A829" s="789">
        <v>829</v>
      </c>
      <c r="I829" s="789">
        <v>829</v>
      </c>
    </row>
    <row r="830" spans="1:9">
      <c r="A830" s="789">
        <v>830</v>
      </c>
      <c r="I830" s="789">
        <v>830</v>
      </c>
    </row>
    <row r="831" spans="1:9">
      <c r="A831" s="789">
        <v>831</v>
      </c>
      <c r="I831" s="789">
        <v>831</v>
      </c>
    </row>
    <row r="832" spans="1:9">
      <c r="A832" s="789">
        <v>832</v>
      </c>
      <c r="I832" s="789">
        <v>832</v>
      </c>
    </row>
    <row r="833" spans="1:9">
      <c r="A833" s="789">
        <v>833</v>
      </c>
      <c r="I833" s="789">
        <v>833</v>
      </c>
    </row>
    <row r="834" spans="1:9">
      <c r="A834" s="789">
        <v>834</v>
      </c>
      <c r="I834" s="789">
        <v>834</v>
      </c>
    </row>
    <row r="835" spans="1:9">
      <c r="A835" s="789">
        <v>835</v>
      </c>
      <c r="I835" s="789">
        <v>835</v>
      </c>
    </row>
    <row r="836" spans="1:9">
      <c r="A836" s="789">
        <v>836</v>
      </c>
      <c r="I836" s="789">
        <v>836</v>
      </c>
    </row>
    <row r="837" spans="1:9">
      <c r="A837" s="789">
        <v>837</v>
      </c>
      <c r="I837" s="789">
        <v>837</v>
      </c>
    </row>
    <row r="838" spans="1:9">
      <c r="A838" s="789">
        <v>838</v>
      </c>
      <c r="I838" s="789">
        <v>838</v>
      </c>
    </row>
    <row r="839" spans="1:9">
      <c r="A839" s="789">
        <v>839</v>
      </c>
      <c r="I839" s="789">
        <v>839</v>
      </c>
    </row>
    <row r="840" spans="1:9">
      <c r="A840" s="789">
        <v>840</v>
      </c>
      <c r="I840" s="789">
        <v>840</v>
      </c>
    </row>
    <row r="841" spans="1:9">
      <c r="A841" s="789">
        <v>841</v>
      </c>
      <c r="I841" s="789">
        <v>841</v>
      </c>
    </row>
    <row r="842" spans="1:9">
      <c r="A842" s="789">
        <v>842</v>
      </c>
      <c r="I842" s="789">
        <v>842</v>
      </c>
    </row>
    <row r="843" spans="1:9">
      <c r="A843" s="789">
        <v>843</v>
      </c>
      <c r="I843" s="789">
        <v>843</v>
      </c>
    </row>
    <row r="844" spans="1:9">
      <c r="A844" s="789">
        <v>844</v>
      </c>
      <c r="I844" s="789">
        <v>844</v>
      </c>
    </row>
    <row r="845" spans="1:9">
      <c r="A845" s="789">
        <v>845</v>
      </c>
      <c r="I845" s="789">
        <v>845</v>
      </c>
    </row>
    <row r="846" spans="1:9">
      <c r="A846" s="789">
        <v>846</v>
      </c>
      <c r="I846" s="789">
        <v>846</v>
      </c>
    </row>
    <row r="847" spans="1:9">
      <c r="A847" s="789">
        <v>847</v>
      </c>
      <c r="I847" s="789">
        <v>847</v>
      </c>
    </row>
    <row r="848" spans="1:9">
      <c r="A848" s="789">
        <v>848</v>
      </c>
      <c r="I848" s="789">
        <v>848</v>
      </c>
    </row>
    <row r="849" spans="1:9">
      <c r="A849" s="789">
        <v>849</v>
      </c>
      <c r="I849" s="789">
        <v>849</v>
      </c>
    </row>
    <row r="850" spans="1:9">
      <c r="A850" s="789">
        <v>850</v>
      </c>
      <c r="I850" s="789">
        <v>850</v>
      </c>
    </row>
    <row r="851" spans="1:9">
      <c r="A851" s="789">
        <v>851</v>
      </c>
      <c r="I851" s="789">
        <v>851</v>
      </c>
    </row>
    <row r="852" spans="1:9">
      <c r="A852" s="789">
        <v>852</v>
      </c>
      <c r="I852" s="789">
        <v>852</v>
      </c>
    </row>
    <row r="853" spans="1:9">
      <c r="A853" s="789">
        <v>853</v>
      </c>
      <c r="I853" s="789">
        <v>853</v>
      </c>
    </row>
    <row r="854" spans="1:9">
      <c r="A854" s="789">
        <v>854</v>
      </c>
      <c r="I854" s="789">
        <v>854</v>
      </c>
    </row>
    <row r="855" spans="1:9">
      <c r="A855" s="789">
        <v>855</v>
      </c>
      <c r="I855" s="789">
        <v>855</v>
      </c>
    </row>
    <row r="856" spans="1:9">
      <c r="A856" s="789">
        <v>856</v>
      </c>
      <c r="I856" s="789">
        <v>856</v>
      </c>
    </row>
    <row r="857" spans="1:9">
      <c r="A857" s="789">
        <v>857</v>
      </c>
      <c r="I857" s="789">
        <v>857</v>
      </c>
    </row>
    <row r="858" spans="1:9">
      <c r="A858" s="789">
        <v>858</v>
      </c>
      <c r="I858" s="789">
        <v>858</v>
      </c>
    </row>
    <row r="859" spans="1:9">
      <c r="A859" s="789">
        <v>859</v>
      </c>
      <c r="I859" s="789">
        <v>859</v>
      </c>
    </row>
    <row r="860" spans="1:9">
      <c r="A860" s="789">
        <v>860</v>
      </c>
      <c r="I860" s="789">
        <v>860</v>
      </c>
    </row>
    <row r="861" spans="1:9">
      <c r="A861" s="789">
        <v>861</v>
      </c>
      <c r="I861" s="789">
        <v>861</v>
      </c>
    </row>
    <row r="862" spans="1:9">
      <c r="A862" s="789">
        <v>862</v>
      </c>
      <c r="I862" s="789">
        <v>862</v>
      </c>
    </row>
    <row r="863" spans="1:9">
      <c r="A863" s="789">
        <v>863</v>
      </c>
      <c r="I863" s="789">
        <v>863</v>
      </c>
    </row>
    <row r="864" spans="1:9">
      <c r="A864" s="789">
        <v>864</v>
      </c>
      <c r="I864" s="789">
        <v>864</v>
      </c>
    </row>
    <row r="865" spans="1:9">
      <c r="A865" s="789">
        <v>865</v>
      </c>
      <c r="I865" s="789">
        <v>865</v>
      </c>
    </row>
    <row r="866" spans="1:9">
      <c r="A866" s="789">
        <v>866</v>
      </c>
      <c r="I866" s="789">
        <v>866</v>
      </c>
    </row>
    <row r="867" spans="1:9">
      <c r="A867" s="789">
        <v>867</v>
      </c>
      <c r="I867" s="789">
        <v>867</v>
      </c>
    </row>
    <row r="868" spans="1:9">
      <c r="A868" s="789">
        <v>868</v>
      </c>
      <c r="I868" s="789">
        <v>868</v>
      </c>
    </row>
    <row r="869" spans="1:9">
      <c r="A869" s="789">
        <v>869</v>
      </c>
      <c r="I869" s="789">
        <v>869</v>
      </c>
    </row>
    <row r="870" spans="1:9">
      <c r="A870" s="789">
        <v>870</v>
      </c>
      <c r="I870" s="789">
        <v>870</v>
      </c>
    </row>
    <row r="871" spans="1:9">
      <c r="A871" s="789">
        <v>871</v>
      </c>
      <c r="I871" s="789">
        <v>871</v>
      </c>
    </row>
    <row r="872" spans="1:9">
      <c r="A872" s="789">
        <v>872</v>
      </c>
      <c r="I872" s="789">
        <v>872</v>
      </c>
    </row>
    <row r="873" spans="1:9">
      <c r="A873" s="789">
        <v>873</v>
      </c>
      <c r="I873" s="789">
        <v>873</v>
      </c>
    </row>
    <row r="874" spans="1:9">
      <c r="A874" s="789">
        <v>874</v>
      </c>
      <c r="I874" s="789">
        <v>874</v>
      </c>
    </row>
    <row r="875" spans="1:9">
      <c r="A875" s="789">
        <v>875</v>
      </c>
      <c r="I875" s="789">
        <v>875</v>
      </c>
    </row>
    <row r="876" spans="1:9">
      <c r="A876" s="789">
        <v>876</v>
      </c>
      <c r="I876" s="789">
        <v>876</v>
      </c>
    </row>
    <row r="877" spans="1:9">
      <c r="A877" s="789">
        <v>877</v>
      </c>
      <c r="I877" s="789">
        <v>877</v>
      </c>
    </row>
    <row r="878" spans="1:9">
      <c r="A878" s="789">
        <v>878</v>
      </c>
      <c r="I878" s="789">
        <v>878</v>
      </c>
    </row>
    <row r="879" spans="1:9">
      <c r="A879" s="789">
        <v>879</v>
      </c>
      <c r="I879" s="789">
        <v>879</v>
      </c>
    </row>
    <row r="880" spans="1:9">
      <c r="A880" s="789">
        <v>880</v>
      </c>
      <c r="I880" s="789">
        <v>880</v>
      </c>
    </row>
    <row r="881" spans="1:9">
      <c r="A881" s="789">
        <v>881</v>
      </c>
      <c r="I881" s="789">
        <v>881</v>
      </c>
    </row>
    <row r="882" spans="1:9">
      <c r="A882" s="789">
        <v>882</v>
      </c>
      <c r="I882" s="789">
        <v>882</v>
      </c>
    </row>
    <row r="883" spans="1:9">
      <c r="A883" s="789">
        <v>883</v>
      </c>
      <c r="I883" s="789">
        <v>883</v>
      </c>
    </row>
    <row r="884" spans="1:9">
      <c r="A884" s="789">
        <v>884</v>
      </c>
      <c r="I884" s="789">
        <v>884</v>
      </c>
    </row>
    <row r="885" spans="1:9">
      <c r="A885" s="789">
        <v>885</v>
      </c>
      <c r="I885" s="789">
        <v>885</v>
      </c>
    </row>
    <row r="886" spans="1:9">
      <c r="A886" s="789">
        <v>886</v>
      </c>
      <c r="I886" s="789">
        <v>886</v>
      </c>
    </row>
    <row r="887" spans="1:9">
      <c r="A887" s="789">
        <v>887</v>
      </c>
      <c r="I887" s="789">
        <v>887</v>
      </c>
    </row>
    <row r="888" spans="1:9">
      <c r="A888" s="789">
        <v>888</v>
      </c>
      <c r="I888" s="789">
        <v>888</v>
      </c>
    </row>
    <row r="889" spans="1:9">
      <c r="A889" s="789">
        <v>889</v>
      </c>
      <c r="I889" s="789">
        <v>889</v>
      </c>
    </row>
    <row r="890" spans="1:9">
      <c r="A890" s="789">
        <v>890</v>
      </c>
      <c r="I890" s="789">
        <v>890</v>
      </c>
    </row>
    <row r="891" spans="1:9">
      <c r="A891" s="789">
        <v>891</v>
      </c>
      <c r="I891" s="789">
        <v>891</v>
      </c>
    </row>
    <row r="892" spans="1:9">
      <c r="A892" s="789">
        <v>892</v>
      </c>
      <c r="I892" s="789">
        <v>892</v>
      </c>
    </row>
    <row r="893" spans="1:9">
      <c r="A893" s="789">
        <v>893</v>
      </c>
      <c r="I893" s="789">
        <v>893</v>
      </c>
    </row>
    <row r="894" spans="1:9">
      <c r="A894" s="789">
        <v>894</v>
      </c>
      <c r="I894" s="789">
        <v>894</v>
      </c>
    </row>
    <row r="895" spans="1:9">
      <c r="A895" s="789">
        <v>895</v>
      </c>
      <c r="I895" s="789">
        <v>895</v>
      </c>
    </row>
    <row r="896" spans="1:9">
      <c r="A896" s="789">
        <v>896</v>
      </c>
      <c r="I896" s="789">
        <v>896</v>
      </c>
    </row>
    <row r="897" spans="1:9">
      <c r="A897" s="789">
        <v>897</v>
      </c>
      <c r="I897" s="789">
        <v>897</v>
      </c>
    </row>
    <row r="898" spans="1:9">
      <c r="A898" s="789">
        <v>898</v>
      </c>
      <c r="I898" s="789">
        <v>898</v>
      </c>
    </row>
    <row r="899" spans="1:9">
      <c r="A899" s="789">
        <v>899</v>
      </c>
      <c r="I899" s="789">
        <v>899</v>
      </c>
    </row>
    <row r="900" spans="1:9">
      <c r="A900" s="789">
        <v>900</v>
      </c>
      <c r="I900" s="789">
        <v>900</v>
      </c>
    </row>
    <row r="901" spans="1:9">
      <c r="A901" s="789">
        <v>901</v>
      </c>
      <c r="I901" s="789">
        <v>901</v>
      </c>
    </row>
    <row r="902" spans="1:9">
      <c r="A902" s="789">
        <v>902</v>
      </c>
      <c r="I902" s="789">
        <v>902</v>
      </c>
    </row>
    <row r="903" spans="1:9">
      <c r="A903" s="789">
        <v>903</v>
      </c>
      <c r="I903" s="789">
        <v>903</v>
      </c>
    </row>
    <row r="904" spans="1:9">
      <c r="A904" s="789">
        <v>904</v>
      </c>
      <c r="I904" s="789">
        <v>904</v>
      </c>
    </row>
    <row r="905" spans="1:9">
      <c r="A905" s="789">
        <v>905</v>
      </c>
      <c r="I905" s="789">
        <v>905</v>
      </c>
    </row>
    <row r="906" spans="1:9">
      <c r="A906" s="789">
        <v>906</v>
      </c>
      <c r="I906" s="789">
        <v>906</v>
      </c>
    </row>
    <row r="907" spans="1:9">
      <c r="A907" s="789">
        <v>907</v>
      </c>
      <c r="I907" s="789">
        <v>907</v>
      </c>
    </row>
    <row r="908" spans="1:9">
      <c r="A908" s="789">
        <v>908</v>
      </c>
      <c r="I908" s="789">
        <v>908</v>
      </c>
    </row>
    <row r="909" spans="1:9">
      <c r="A909" s="789">
        <v>909</v>
      </c>
      <c r="I909" s="789">
        <v>909</v>
      </c>
    </row>
    <row r="910" spans="1:9">
      <c r="A910" s="789">
        <v>910</v>
      </c>
      <c r="I910" s="789">
        <v>910</v>
      </c>
    </row>
    <row r="911" spans="1:9">
      <c r="A911" s="789">
        <v>911</v>
      </c>
      <c r="I911" s="789">
        <v>911</v>
      </c>
    </row>
    <row r="912" spans="1:9">
      <c r="A912" s="789">
        <v>912</v>
      </c>
      <c r="I912" s="789">
        <v>912</v>
      </c>
    </row>
    <row r="913" spans="1:9">
      <c r="A913" s="789">
        <v>913</v>
      </c>
      <c r="I913" s="789">
        <v>913</v>
      </c>
    </row>
    <row r="914" spans="1:9">
      <c r="A914" s="789">
        <v>914</v>
      </c>
      <c r="I914" s="789">
        <v>914</v>
      </c>
    </row>
    <row r="915" spans="1:9">
      <c r="A915" s="789">
        <v>915</v>
      </c>
      <c r="I915" s="789">
        <v>915</v>
      </c>
    </row>
    <row r="916" spans="1:9">
      <c r="A916" s="789">
        <v>916</v>
      </c>
      <c r="I916" s="789">
        <v>916</v>
      </c>
    </row>
    <row r="917" spans="1:9">
      <c r="A917" s="789">
        <v>917</v>
      </c>
      <c r="I917" s="789">
        <v>917</v>
      </c>
    </row>
    <row r="918" spans="1:9">
      <c r="A918" s="789">
        <v>918</v>
      </c>
      <c r="I918" s="789">
        <v>918</v>
      </c>
    </row>
    <row r="919" spans="1:9">
      <c r="A919" s="789">
        <v>919</v>
      </c>
      <c r="I919" s="789">
        <v>919</v>
      </c>
    </row>
    <row r="920" spans="1:9">
      <c r="A920" s="789">
        <v>920</v>
      </c>
      <c r="I920" s="789">
        <v>920</v>
      </c>
    </row>
    <row r="921" spans="1:9">
      <c r="A921" s="789">
        <v>921</v>
      </c>
      <c r="I921" s="789">
        <v>921</v>
      </c>
    </row>
    <row r="922" spans="1:9">
      <c r="A922" s="789">
        <v>922</v>
      </c>
      <c r="I922" s="789">
        <v>922</v>
      </c>
    </row>
    <row r="923" spans="1:9">
      <c r="A923" s="789">
        <v>923</v>
      </c>
      <c r="I923" s="789">
        <v>923</v>
      </c>
    </row>
    <row r="924" spans="1:9">
      <c r="A924" s="789">
        <v>924</v>
      </c>
      <c r="I924" s="789">
        <v>924</v>
      </c>
    </row>
    <row r="925" spans="1:9">
      <c r="A925" s="789">
        <v>925</v>
      </c>
      <c r="I925" s="789">
        <v>925</v>
      </c>
    </row>
    <row r="926" spans="1:9">
      <c r="A926" s="789">
        <v>926</v>
      </c>
      <c r="I926" s="789">
        <v>926</v>
      </c>
    </row>
    <row r="927" spans="1:9">
      <c r="A927" s="789">
        <v>927</v>
      </c>
      <c r="I927" s="789">
        <v>927</v>
      </c>
    </row>
    <row r="928" spans="1:9">
      <c r="A928" s="789">
        <v>928</v>
      </c>
      <c r="I928" s="789">
        <v>928</v>
      </c>
    </row>
    <row r="929" spans="1:9">
      <c r="A929" s="789">
        <v>929</v>
      </c>
      <c r="I929" s="789">
        <v>929</v>
      </c>
    </row>
    <row r="930" spans="1:9">
      <c r="A930" s="789">
        <v>930</v>
      </c>
      <c r="I930" s="789">
        <v>930</v>
      </c>
    </row>
    <row r="931" spans="1:9">
      <c r="A931" s="789">
        <v>931</v>
      </c>
      <c r="I931" s="789">
        <v>931</v>
      </c>
    </row>
    <row r="932" spans="1:9">
      <c r="A932" s="789">
        <v>932</v>
      </c>
      <c r="I932" s="789">
        <v>932</v>
      </c>
    </row>
    <row r="933" spans="1:9">
      <c r="A933" s="789">
        <v>933</v>
      </c>
      <c r="I933" s="789">
        <v>933</v>
      </c>
    </row>
    <row r="934" spans="1:9">
      <c r="A934" s="789">
        <v>934</v>
      </c>
      <c r="I934" s="789">
        <v>934</v>
      </c>
    </row>
    <row r="935" spans="1:9">
      <c r="A935" s="789">
        <v>935</v>
      </c>
      <c r="I935" s="789">
        <v>935</v>
      </c>
    </row>
    <row r="936" spans="1:9">
      <c r="A936" s="789">
        <v>936</v>
      </c>
      <c r="I936" s="789">
        <v>936</v>
      </c>
    </row>
    <row r="937" spans="1:9">
      <c r="A937" s="789">
        <v>937</v>
      </c>
      <c r="I937" s="789">
        <v>937</v>
      </c>
    </row>
    <row r="938" spans="1:9">
      <c r="A938" s="789">
        <v>938</v>
      </c>
      <c r="I938" s="789">
        <v>938</v>
      </c>
    </row>
    <row r="939" spans="1:9">
      <c r="A939" s="789">
        <v>939</v>
      </c>
      <c r="I939" s="789">
        <v>939</v>
      </c>
    </row>
    <row r="940" spans="1:9">
      <c r="A940" s="789">
        <v>940</v>
      </c>
      <c r="I940" s="789">
        <v>940</v>
      </c>
    </row>
    <row r="941" spans="1:9">
      <c r="A941" s="789">
        <v>941</v>
      </c>
      <c r="I941" s="789">
        <v>941</v>
      </c>
    </row>
    <row r="942" spans="1:9">
      <c r="A942" s="789">
        <v>942</v>
      </c>
      <c r="I942" s="789">
        <v>942</v>
      </c>
    </row>
    <row r="943" spans="1:9">
      <c r="A943" s="789">
        <v>943</v>
      </c>
      <c r="I943" s="789">
        <v>943</v>
      </c>
    </row>
    <row r="944" spans="1:9">
      <c r="A944" s="789">
        <v>944</v>
      </c>
      <c r="I944" s="789">
        <v>944</v>
      </c>
    </row>
    <row r="945" spans="1:9">
      <c r="A945" s="789">
        <v>945</v>
      </c>
      <c r="I945" s="789">
        <v>945</v>
      </c>
    </row>
    <row r="946" spans="1:9">
      <c r="A946" s="789">
        <v>946</v>
      </c>
      <c r="I946" s="789">
        <v>946</v>
      </c>
    </row>
    <row r="947" spans="1:9">
      <c r="A947" s="789">
        <v>947</v>
      </c>
      <c r="I947" s="789">
        <v>947</v>
      </c>
    </row>
    <row r="948" spans="1:9">
      <c r="A948" s="789">
        <v>948</v>
      </c>
      <c r="I948" s="789">
        <v>948</v>
      </c>
    </row>
    <row r="949" spans="1:9">
      <c r="A949" s="789">
        <v>949</v>
      </c>
      <c r="I949" s="789">
        <v>949</v>
      </c>
    </row>
    <row r="950" spans="1:9">
      <c r="A950" s="789">
        <v>950</v>
      </c>
      <c r="I950" s="789">
        <v>950</v>
      </c>
    </row>
    <row r="951" spans="1:9">
      <c r="A951" s="789">
        <v>951</v>
      </c>
      <c r="I951" s="789">
        <v>951</v>
      </c>
    </row>
    <row r="952" spans="1:9">
      <c r="A952" s="789">
        <v>952</v>
      </c>
      <c r="I952" s="789">
        <v>952</v>
      </c>
    </row>
    <row r="953" spans="1:9">
      <c r="A953" s="789">
        <v>953</v>
      </c>
      <c r="I953" s="789">
        <v>953</v>
      </c>
    </row>
    <row r="954" spans="1:9">
      <c r="A954" s="789">
        <v>954</v>
      </c>
      <c r="I954" s="789">
        <v>954</v>
      </c>
    </row>
    <row r="955" spans="1:9">
      <c r="A955" s="789">
        <v>955</v>
      </c>
      <c r="I955" s="789">
        <v>955</v>
      </c>
    </row>
    <row r="956" spans="1:9">
      <c r="A956" s="789">
        <v>956</v>
      </c>
      <c r="I956" s="789">
        <v>956</v>
      </c>
    </row>
    <row r="957" spans="1:9">
      <c r="A957" s="789">
        <v>957</v>
      </c>
      <c r="I957" s="789">
        <v>957</v>
      </c>
    </row>
    <row r="958" spans="1:9">
      <c r="A958" s="789">
        <v>958</v>
      </c>
      <c r="I958" s="789">
        <v>958</v>
      </c>
    </row>
    <row r="959" spans="1:9">
      <c r="A959" s="789">
        <v>959</v>
      </c>
      <c r="I959" s="789">
        <v>959</v>
      </c>
    </row>
    <row r="960" spans="1:9">
      <c r="A960" s="789">
        <v>960</v>
      </c>
      <c r="I960" s="789">
        <v>960</v>
      </c>
    </row>
    <row r="961" spans="1:9">
      <c r="A961" s="789">
        <v>961</v>
      </c>
      <c r="I961" s="789">
        <v>961</v>
      </c>
    </row>
    <row r="962" spans="1:9">
      <c r="A962" s="789">
        <v>962</v>
      </c>
      <c r="I962" s="789">
        <v>962</v>
      </c>
    </row>
    <row r="963" spans="1:9">
      <c r="A963" s="789">
        <v>963</v>
      </c>
      <c r="I963" s="789">
        <v>963</v>
      </c>
    </row>
    <row r="964" spans="1:9">
      <c r="A964" s="789">
        <v>964</v>
      </c>
      <c r="I964" s="789">
        <v>964</v>
      </c>
    </row>
    <row r="965" spans="1:9">
      <c r="A965" s="789">
        <v>965</v>
      </c>
      <c r="I965" s="789">
        <v>965</v>
      </c>
    </row>
    <row r="966" spans="1:9">
      <c r="A966" s="789">
        <v>966</v>
      </c>
      <c r="I966" s="789">
        <v>966</v>
      </c>
    </row>
    <row r="967" spans="1:9">
      <c r="A967" s="789">
        <v>967</v>
      </c>
      <c r="I967" s="789">
        <v>967</v>
      </c>
    </row>
    <row r="968" spans="1:9">
      <c r="A968" s="789">
        <v>968</v>
      </c>
      <c r="I968" s="789">
        <v>968</v>
      </c>
    </row>
    <row r="969" spans="1:9">
      <c r="A969" s="789">
        <v>969</v>
      </c>
      <c r="I969" s="789">
        <v>969</v>
      </c>
    </row>
    <row r="970" spans="1:9">
      <c r="A970" s="789">
        <v>970</v>
      </c>
      <c r="I970" s="789">
        <v>970</v>
      </c>
    </row>
    <row r="971" spans="1:9">
      <c r="A971" s="789">
        <v>971</v>
      </c>
      <c r="I971" s="789">
        <v>971</v>
      </c>
    </row>
    <row r="972" spans="1:9">
      <c r="A972" s="789">
        <v>972</v>
      </c>
      <c r="I972" s="789">
        <v>972</v>
      </c>
    </row>
    <row r="973" spans="1:9">
      <c r="A973" s="789">
        <v>973</v>
      </c>
      <c r="I973" s="789">
        <v>973</v>
      </c>
    </row>
    <row r="974" spans="1:9">
      <c r="A974" s="789">
        <v>974</v>
      </c>
      <c r="I974" s="789">
        <v>974</v>
      </c>
    </row>
    <row r="975" spans="1:9">
      <c r="A975" s="789">
        <v>975</v>
      </c>
      <c r="I975" s="789">
        <v>975</v>
      </c>
    </row>
    <row r="976" spans="1:9">
      <c r="A976" s="789">
        <v>976</v>
      </c>
      <c r="I976" s="789">
        <v>976</v>
      </c>
    </row>
    <row r="977" spans="1:9">
      <c r="A977" s="789">
        <v>977</v>
      </c>
      <c r="I977" s="789">
        <v>977</v>
      </c>
    </row>
    <row r="978" spans="1:9">
      <c r="A978" s="789">
        <v>978</v>
      </c>
      <c r="I978" s="789">
        <v>978</v>
      </c>
    </row>
    <row r="979" spans="1:9">
      <c r="A979" s="789">
        <v>979</v>
      </c>
      <c r="I979" s="789">
        <v>979</v>
      </c>
    </row>
    <row r="980" spans="1:9">
      <c r="A980" s="789">
        <v>980</v>
      </c>
      <c r="I980" s="789">
        <v>980</v>
      </c>
    </row>
    <row r="981" spans="1:9">
      <c r="A981" s="789">
        <v>981</v>
      </c>
      <c r="I981" s="789">
        <v>981</v>
      </c>
    </row>
    <row r="982" spans="1:9">
      <c r="A982" s="789">
        <v>982</v>
      </c>
      <c r="I982" s="789">
        <v>982</v>
      </c>
    </row>
    <row r="983" spans="1:9">
      <c r="A983" s="789">
        <v>983</v>
      </c>
      <c r="I983" s="789">
        <v>983</v>
      </c>
    </row>
    <row r="984" spans="1:9">
      <c r="A984" s="789">
        <v>984</v>
      </c>
      <c r="I984" s="789">
        <v>984</v>
      </c>
    </row>
    <row r="985" spans="1:9">
      <c r="A985" s="789">
        <v>985</v>
      </c>
      <c r="I985" s="789">
        <v>985</v>
      </c>
    </row>
    <row r="986" spans="1:9">
      <c r="A986" s="789">
        <v>986</v>
      </c>
      <c r="I986" s="789">
        <v>986</v>
      </c>
    </row>
    <row r="987" spans="1:9">
      <c r="A987" s="789">
        <v>987</v>
      </c>
      <c r="I987" s="789">
        <v>987</v>
      </c>
    </row>
    <row r="988" spans="1:9">
      <c r="A988" s="789">
        <v>988</v>
      </c>
      <c r="I988" s="789">
        <v>988</v>
      </c>
    </row>
    <row r="989" spans="1:9">
      <c r="A989" s="789">
        <v>989</v>
      </c>
      <c r="I989" s="789">
        <v>989</v>
      </c>
    </row>
    <row r="990" spans="1:9">
      <c r="A990" s="789">
        <v>990</v>
      </c>
      <c r="I990" s="789">
        <v>990</v>
      </c>
    </row>
    <row r="991" spans="1:9">
      <c r="A991" s="789">
        <v>991</v>
      </c>
      <c r="I991" s="789">
        <v>991</v>
      </c>
    </row>
    <row r="992" spans="1:9">
      <c r="A992" s="789">
        <v>992</v>
      </c>
      <c r="I992" s="789">
        <v>992</v>
      </c>
    </row>
    <row r="993" spans="1:9">
      <c r="A993" s="789">
        <v>993</v>
      </c>
      <c r="I993" s="789">
        <v>993</v>
      </c>
    </row>
    <row r="994" spans="1:9">
      <c r="A994" s="789">
        <v>994</v>
      </c>
      <c r="I994" s="789">
        <v>994</v>
      </c>
    </row>
    <row r="995" spans="1:9">
      <c r="A995" s="789">
        <v>995</v>
      </c>
      <c r="I995" s="789">
        <v>995</v>
      </c>
    </row>
    <row r="996" spans="1:9">
      <c r="A996" s="789">
        <v>996</v>
      </c>
      <c r="I996" s="789">
        <v>996</v>
      </c>
    </row>
    <row r="997" spans="1:9">
      <c r="A997" s="789">
        <v>997</v>
      </c>
      <c r="I997" s="789">
        <v>997</v>
      </c>
    </row>
    <row r="998" spans="1:9">
      <c r="A998" s="789">
        <v>998</v>
      </c>
      <c r="I998" s="789">
        <v>998</v>
      </c>
    </row>
    <row r="999" spans="1:9">
      <c r="A999" s="789">
        <v>999</v>
      </c>
      <c r="I999" s="789">
        <v>999</v>
      </c>
    </row>
    <row r="1000" spans="1:9">
      <c r="A1000" s="789">
        <v>1000</v>
      </c>
      <c r="I1000" s="789">
        <v>1000</v>
      </c>
    </row>
    <row r="1001" spans="1:9">
      <c r="A1001" s="789">
        <v>1001</v>
      </c>
      <c r="I1001" s="789">
        <v>1001</v>
      </c>
    </row>
    <row r="1002" spans="1:9">
      <c r="A1002" s="789">
        <v>1002</v>
      </c>
      <c r="I1002" s="789">
        <v>1002</v>
      </c>
    </row>
    <row r="1003" spans="1:9">
      <c r="A1003" s="789">
        <v>1003</v>
      </c>
      <c r="I1003" s="789">
        <v>1003</v>
      </c>
    </row>
    <row r="1004" spans="1:9">
      <c r="A1004" s="789">
        <v>1004</v>
      </c>
      <c r="I1004" s="789">
        <v>1004</v>
      </c>
    </row>
    <row r="1005" spans="1:9">
      <c r="A1005" s="789">
        <v>1005</v>
      </c>
      <c r="I1005" s="789">
        <v>1005</v>
      </c>
    </row>
    <row r="1006" spans="1:9">
      <c r="A1006" s="789">
        <v>1006</v>
      </c>
      <c r="I1006" s="789">
        <v>1006</v>
      </c>
    </row>
    <row r="1007" spans="1:9">
      <c r="A1007" s="789">
        <v>1007</v>
      </c>
      <c r="I1007" s="789">
        <v>1007</v>
      </c>
    </row>
    <row r="1008" spans="1:9">
      <c r="A1008" s="789">
        <v>1008</v>
      </c>
      <c r="I1008" s="789">
        <v>1008</v>
      </c>
    </row>
    <row r="1009" spans="1:9">
      <c r="A1009" s="789">
        <v>1009</v>
      </c>
      <c r="I1009" s="789">
        <v>1009</v>
      </c>
    </row>
    <row r="1010" spans="1:9">
      <c r="A1010" s="789">
        <v>1010</v>
      </c>
      <c r="I1010" s="789">
        <v>1010</v>
      </c>
    </row>
    <row r="1011" spans="1:9">
      <c r="A1011" s="789">
        <v>1011</v>
      </c>
      <c r="I1011" s="789">
        <v>1011</v>
      </c>
    </row>
    <row r="1012" spans="1:9">
      <c r="A1012" s="789">
        <v>1012</v>
      </c>
      <c r="I1012" s="789">
        <v>1012</v>
      </c>
    </row>
    <row r="1013" spans="1:9">
      <c r="A1013" s="789">
        <v>1013</v>
      </c>
      <c r="I1013" s="789">
        <v>1013</v>
      </c>
    </row>
    <row r="1014" spans="1:9">
      <c r="A1014" s="789">
        <v>1014</v>
      </c>
      <c r="I1014" s="789">
        <v>1014</v>
      </c>
    </row>
    <row r="1015" spans="1:9">
      <c r="A1015" s="789">
        <v>1015</v>
      </c>
      <c r="I1015" s="789">
        <v>1015</v>
      </c>
    </row>
    <row r="1016" spans="1:9">
      <c r="A1016" s="789">
        <v>1016</v>
      </c>
      <c r="I1016" s="789">
        <v>1016</v>
      </c>
    </row>
    <row r="1017" spans="1:9">
      <c r="A1017" s="789">
        <v>1017</v>
      </c>
      <c r="I1017" s="789">
        <v>1017</v>
      </c>
    </row>
    <row r="1018" spans="1:9">
      <c r="A1018" s="789">
        <v>1018</v>
      </c>
      <c r="I1018" s="789">
        <v>1018</v>
      </c>
    </row>
    <row r="1019" spans="1:9">
      <c r="A1019" s="789">
        <v>1019</v>
      </c>
      <c r="I1019" s="789">
        <v>1019</v>
      </c>
    </row>
    <row r="1020" spans="1:9">
      <c r="A1020" s="789">
        <v>1020</v>
      </c>
      <c r="I1020" s="789">
        <v>1020</v>
      </c>
    </row>
    <row r="1021" spans="1:9">
      <c r="A1021" s="789">
        <v>1021</v>
      </c>
      <c r="I1021" s="789">
        <v>1021</v>
      </c>
    </row>
    <row r="1022" spans="1:9">
      <c r="A1022" s="789">
        <v>1022</v>
      </c>
      <c r="I1022" s="789">
        <v>1022</v>
      </c>
    </row>
    <row r="1023" spans="1:9">
      <c r="A1023" s="789">
        <v>1023</v>
      </c>
      <c r="I1023" s="789">
        <v>1023</v>
      </c>
    </row>
    <row r="1024" spans="1:9">
      <c r="A1024" s="789">
        <v>1024</v>
      </c>
      <c r="I1024" s="789">
        <v>1024</v>
      </c>
    </row>
    <row r="1025" spans="1:9">
      <c r="A1025" s="789">
        <v>1025</v>
      </c>
      <c r="I1025" s="789">
        <v>1025</v>
      </c>
    </row>
    <row r="1026" spans="1:9">
      <c r="A1026" s="789">
        <v>1026</v>
      </c>
      <c r="I1026" s="789">
        <v>1026</v>
      </c>
    </row>
    <row r="1027" spans="1:9">
      <c r="A1027" s="789">
        <v>1027</v>
      </c>
      <c r="I1027" s="789">
        <v>1027</v>
      </c>
    </row>
    <row r="1028" spans="1:9">
      <c r="A1028" s="789">
        <v>1028</v>
      </c>
      <c r="I1028" s="789">
        <v>1028</v>
      </c>
    </row>
    <row r="1029" spans="1:9">
      <c r="A1029" s="789">
        <v>1029</v>
      </c>
      <c r="I1029" s="789">
        <v>1029</v>
      </c>
    </row>
    <row r="1030" spans="1:9">
      <c r="A1030" s="789">
        <v>1030</v>
      </c>
      <c r="I1030" s="789">
        <v>1030</v>
      </c>
    </row>
    <row r="1031" spans="1:9">
      <c r="A1031" s="789">
        <v>1031</v>
      </c>
      <c r="I1031" s="789">
        <v>1031</v>
      </c>
    </row>
    <row r="1032" spans="1:9">
      <c r="A1032" s="789">
        <v>1032</v>
      </c>
      <c r="I1032" s="789">
        <v>1032</v>
      </c>
    </row>
    <row r="1033" spans="1:9">
      <c r="A1033" s="789">
        <v>1033</v>
      </c>
      <c r="I1033" s="789">
        <v>1033</v>
      </c>
    </row>
    <row r="1034" spans="1:9">
      <c r="A1034" s="789">
        <v>1034</v>
      </c>
      <c r="I1034" s="789">
        <v>1034</v>
      </c>
    </row>
    <row r="1035" spans="1:9">
      <c r="A1035" s="789">
        <v>1035</v>
      </c>
      <c r="I1035" s="789">
        <v>1035</v>
      </c>
    </row>
    <row r="1036" spans="1:9">
      <c r="A1036" s="789">
        <v>1036</v>
      </c>
      <c r="I1036" s="789">
        <v>1036</v>
      </c>
    </row>
    <row r="1037" spans="1:9">
      <c r="A1037" s="789">
        <v>1037</v>
      </c>
      <c r="I1037" s="789">
        <v>1037</v>
      </c>
    </row>
    <row r="1038" spans="1:9">
      <c r="A1038" s="789">
        <v>1038</v>
      </c>
      <c r="I1038" s="789">
        <v>1038</v>
      </c>
    </row>
    <row r="1039" spans="1:9">
      <c r="A1039" s="789">
        <v>1039</v>
      </c>
      <c r="I1039" s="789">
        <v>1039</v>
      </c>
    </row>
    <row r="1040" spans="1:9">
      <c r="A1040" s="789">
        <v>1040</v>
      </c>
      <c r="I1040" s="789">
        <v>1040</v>
      </c>
    </row>
    <row r="1041" spans="1:9">
      <c r="A1041" s="789">
        <v>1041</v>
      </c>
      <c r="I1041" s="789">
        <v>1041</v>
      </c>
    </row>
    <row r="1042" spans="1:9">
      <c r="A1042" s="789">
        <v>1042</v>
      </c>
      <c r="I1042" s="789">
        <v>1042</v>
      </c>
    </row>
    <row r="1043" spans="1:9">
      <c r="A1043" s="789">
        <v>1043</v>
      </c>
      <c r="I1043" s="789">
        <v>1043</v>
      </c>
    </row>
    <row r="1044" spans="1:9">
      <c r="A1044" s="789">
        <v>1044</v>
      </c>
      <c r="I1044" s="789">
        <v>1044</v>
      </c>
    </row>
    <row r="1045" spans="1:9">
      <c r="A1045" s="789">
        <v>1045</v>
      </c>
      <c r="I1045" s="789">
        <v>1045</v>
      </c>
    </row>
    <row r="1046" spans="1:9">
      <c r="A1046" s="789">
        <v>1046</v>
      </c>
      <c r="I1046" s="789">
        <v>1046</v>
      </c>
    </row>
    <row r="1047" spans="1:9">
      <c r="A1047" s="789">
        <v>1047</v>
      </c>
      <c r="I1047" s="789">
        <v>1047</v>
      </c>
    </row>
    <row r="1048" spans="1:9">
      <c r="A1048" s="789">
        <v>1048</v>
      </c>
      <c r="I1048" s="789">
        <v>1048</v>
      </c>
    </row>
    <row r="1049" spans="1:9">
      <c r="A1049" s="789">
        <v>1049</v>
      </c>
      <c r="I1049" s="789">
        <v>1049</v>
      </c>
    </row>
    <row r="1050" spans="1:9">
      <c r="A1050" s="789">
        <v>1050</v>
      </c>
      <c r="I1050" s="789">
        <v>1050</v>
      </c>
    </row>
    <row r="1051" spans="1:9">
      <c r="A1051" s="789">
        <v>1051</v>
      </c>
      <c r="I1051" s="789">
        <v>1051</v>
      </c>
    </row>
    <row r="1052" spans="1:9">
      <c r="A1052" s="789">
        <v>1052</v>
      </c>
      <c r="I1052" s="789">
        <v>1052</v>
      </c>
    </row>
    <row r="1053" spans="1:9">
      <c r="A1053" s="789">
        <v>1053</v>
      </c>
      <c r="I1053" s="789">
        <v>1053</v>
      </c>
    </row>
    <row r="1054" spans="1:9">
      <c r="A1054" s="789">
        <v>1054</v>
      </c>
      <c r="I1054" s="789">
        <v>1054</v>
      </c>
    </row>
    <row r="1055" spans="1:9">
      <c r="A1055" s="789">
        <v>1055</v>
      </c>
      <c r="I1055" s="789">
        <v>1055</v>
      </c>
    </row>
    <row r="1056" spans="1:9">
      <c r="A1056" s="789">
        <v>1056</v>
      </c>
      <c r="I1056" s="789">
        <v>1056</v>
      </c>
    </row>
    <row r="1057" spans="1:9">
      <c r="A1057" s="789">
        <v>1057</v>
      </c>
      <c r="I1057" s="789">
        <v>1057</v>
      </c>
    </row>
    <row r="1058" spans="1:9">
      <c r="A1058" s="789">
        <v>1058</v>
      </c>
      <c r="I1058" s="789">
        <v>1058</v>
      </c>
    </row>
    <row r="1059" spans="1:9">
      <c r="A1059" s="789">
        <v>1059</v>
      </c>
      <c r="I1059" s="789">
        <v>1059</v>
      </c>
    </row>
    <row r="1060" spans="1:9">
      <c r="A1060" s="789">
        <v>1060</v>
      </c>
      <c r="I1060" s="789">
        <v>1060</v>
      </c>
    </row>
    <row r="1061" spans="1:9">
      <c r="A1061" s="789">
        <v>1061</v>
      </c>
      <c r="I1061" s="789">
        <v>1061</v>
      </c>
    </row>
    <row r="1062" spans="1:9">
      <c r="A1062" s="789">
        <v>1062</v>
      </c>
      <c r="I1062" s="789">
        <v>1062</v>
      </c>
    </row>
    <row r="1063" spans="1:9">
      <c r="A1063" s="789">
        <v>1063</v>
      </c>
      <c r="I1063" s="789">
        <v>1063</v>
      </c>
    </row>
    <row r="1064" spans="1:9">
      <c r="A1064" s="789">
        <v>1064</v>
      </c>
      <c r="I1064" s="789">
        <v>1064</v>
      </c>
    </row>
    <row r="1065" spans="1:9">
      <c r="A1065" s="789">
        <v>1065</v>
      </c>
      <c r="I1065" s="789">
        <v>1065</v>
      </c>
    </row>
    <row r="1066" spans="1:9">
      <c r="A1066" s="789">
        <v>1066</v>
      </c>
      <c r="I1066" s="789">
        <v>1066</v>
      </c>
    </row>
    <row r="1067" spans="1:9">
      <c r="A1067" s="789">
        <v>1067</v>
      </c>
      <c r="I1067" s="789">
        <v>1067</v>
      </c>
    </row>
    <row r="1068" spans="1:9">
      <c r="A1068" s="789">
        <v>1068</v>
      </c>
      <c r="I1068" s="789">
        <v>1068</v>
      </c>
    </row>
    <row r="1069" spans="1:9">
      <c r="A1069" s="789">
        <v>1069</v>
      </c>
      <c r="I1069" s="789">
        <v>1069</v>
      </c>
    </row>
    <row r="1070" spans="1:9">
      <c r="A1070" s="789">
        <v>1070</v>
      </c>
      <c r="I1070" s="789">
        <v>1070</v>
      </c>
    </row>
    <row r="1071" spans="1:9">
      <c r="A1071" s="789">
        <v>1071</v>
      </c>
      <c r="I1071" s="789">
        <v>1071</v>
      </c>
    </row>
    <row r="1072" spans="1:9">
      <c r="A1072" s="789">
        <v>1072</v>
      </c>
      <c r="I1072" s="789">
        <v>1072</v>
      </c>
    </row>
    <row r="1073" spans="1:9">
      <c r="A1073" s="789">
        <v>1073</v>
      </c>
      <c r="I1073" s="789">
        <v>1073</v>
      </c>
    </row>
    <row r="1074" spans="1:9">
      <c r="A1074" s="789">
        <v>1074</v>
      </c>
      <c r="I1074" s="789">
        <v>1074</v>
      </c>
    </row>
    <row r="1075" spans="1:9">
      <c r="A1075" s="789">
        <v>1075</v>
      </c>
      <c r="I1075" s="789">
        <v>1075</v>
      </c>
    </row>
    <row r="1076" spans="1:9">
      <c r="A1076" s="789">
        <v>1076</v>
      </c>
      <c r="I1076" s="789">
        <v>1076</v>
      </c>
    </row>
    <row r="1077" spans="1:9">
      <c r="A1077" s="789">
        <v>1077</v>
      </c>
      <c r="I1077" s="789">
        <v>1077</v>
      </c>
    </row>
    <row r="1078" spans="1:9">
      <c r="A1078" s="789">
        <v>1078</v>
      </c>
      <c r="I1078" s="789">
        <v>1078</v>
      </c>
    </row>
    <row r="1079" spans="1:9">
      <c r="A1079" s="789">
        <v>1079</v>
      </c>
      <c r="I1079" s="789">
        <v>1079</v>
      </c>
    </row>
    <row r="1080" spans="1:9">
      <c r="A1080" s="789">
        <v>1080</v>
      </c>
      <c r="I1080" s="789">
        <v>1080</v>
      </c>
    </row>
    <row r="1081" spans="1:9">
      <c r="A1081" s="789">
        <v>1081</v>
      </c>
      <c r="I1081" s="789">
        <v>1081</v>
      </c>
    </row>
    <row r="1082" spans="1:9">
      <c r="A1082" s="789">
        <v>1082</v>
      </c>
      <c r="I1082" s="789">
        <v>1082</v>
      </c>
    </row>
    <row r="1083" spans="1:9">
      <c r="A1083" s="789">
        <v>1083</v>
      </c>
      <c r="I1083" s="789">
        <v>1083</v>
      </c>
    </row>
    <row r="1084" spans="1:9">
      <c r="A1084" s="789">
        <v>1084</v>
      </c>
      <c r="I1084" s="789">
        <v>1084</v>
      </c>
    </row>
    <row r="1085" spans="1:9">
      <c r="A1085" s="789">
        <v>1085</v>
      </c>
      <c r="I1085" s="789">
        <v>1085</v>
      </c>
    </row>
    <row r="1086" spans="1:9">
      <c r="A1086" s="789">
        <v>1086</v>
      </c>
      <c r="I1086" s="789">
        <v>1086</v>
      </c>
    </row>
    <row r="1087" spans="1:9">
      <c r="A1087" s="789">
        <v>1087</v>
      </c>
      <c r="I1087" s="789">
        <v>1087</v>
      </c>
    </row>
    <row r="1088" spans="1:9">
      <c r="A1088" s="789">
        <v>1088</v>
      </c>
      <c r="I1088" s="789">
        <v>1088</v>
      </c>
    </row>
    <row r="1089" spans="1:9">
      <c r="A1089" s="789">
        <v>1089</v>
      </c>
      <c r="I1089" s="789">
        <v>1089</v>
      </c>
    </row>
    <row r="1090" spans="1:9">
      <c r="A1090" s="789">
        <v>1090</v>
      </c>
      <c r="I1090" s="789">
        <v>1090</v>
      </c>
    </row>
    <row r="1091" spans="1:9">
      <c r="A1091" s="789">
        <v>1091</v>
      </c>
      <c r="I1091" s="789">
        <v>1091</v>
      </c>
    </row>
    <row r="1092" spans="1:9">
      <c r="A1092" s="789">
        <v>1092</v>
      </c>
      <c r="I1092" s="789">
        <v>1092</v>
      </c>
    </row>
    <row r="1093" spans="1:9">
      <c r="A1093" s="789">
        <v>1093</v>
      </c>
      <c r="I1093" s="789">
        <v>1093</v>
      </c>
    </row>
    <row r="1094" spans="1:9">
      <c r="A1094" s="789">
        <v>1094</v>
      </c>
      <c r="I1094" s="789">
        <v>1094</v>
      </c>
    </row>
    <row r="1095" spans="1:9">
      <c r="A1095" s="789">
        <v>1095</v>
      </c>
      <c r="I1095" s="789">
        <v>1095</v>
      </c>
    </row>
    <row r="1096" spans="1:9">
      <c r="A1096" s="789">
        <v>1096</v>
      </c>
      <c r="I1096" s="789">
        <v>1096</v>
      </c>
    </row>
    <row r="1097" spans="1:9">
      <c r="A1097" s="789">
        <v>1097</v>
      </c>
      <c r="I1097" s="789">
        <v>1097</v>
      </c>
    </row>
    <row r="1098" spans="1:9">
      <c r="A1098" s="789">
        <v>1098</v>
      </c>
      <c r="I1098" s="789">
        <v>1098</v>
      </c>
    </row>
    <row r="1099" spans="1:9">
      <c r="A1099" s="789">
        <v>1099</v>
      </c>
      <c r="I1099" s="789">
        <v>1099</v>
      </c>
    </row>
    <row r="1100" spans="1:9">
      <c r="A1100" s="789">
        <v>1100</v>
      </c>
      <c r="I1100" s="789">
        <v>1100</v>
      </c>
    </row>
    <row r="1101" spans="1:9">
      <c r="A1101" s="789">
        <v>1101</v>
      </c>
      <c r="I1101" s="789">
        <v>1101</v>
      </c>
    </row>
    <row r="1102" spans="1:9">
      <c r="A1102" s="789">
        <v>1102</v>
      </c>
      <c r="I1102" s="789">
        <v>1102</v>
      </c>
    </row>
    <row r="1103" spans="1:9">
      <c r="A1103" s="789">
        <v>1103</v>
      </c>
      <c r="I1103" s="789">
        <v>1103</v>
      </c>
    </row>
    <row r="1104" spans="1:9">
      <c r="A1104" s="789">
        <v>1104</v>
      </c>
      <c r="I1104" s="789">
        <v>1104</v>
      </c>
    </row>
    <row r="1105" spans="1:9">
      <c r="A1105" s="789">
        <v>1105</v>
      </c>
      <c r="I1105" s="789">
        <v>1105</v>
      </c>
    </row>
    <row r="1106" spans="1:9">
      <c r="A1106" s="789">
        <v>1106</v>
      </c>
      <c r="I1106" s="789">
        <v>1106</v>
      </c>
    </row>
    <row r="1107" spans="1:9">
      <c r="A1107" s="789">
        <v>1107</v>
      </c>
      <c r="I1107" s="789">
        <v>1107</v>
      </c>
    </row>
    <row r="1108" spans="1:9">
      <c r="A1108" s="789">
        <v>1108</v>
      </c>
      <c r="I1108" s="789">
        <v>1108</v>
      </c>
    </row>
    <row r="1109" spans="1:9">
      <c r="A1109" s="789">
        <v>1109</v>
      </c>
      <c r="I1109" s="789">
        <v>1109</v>
      </c>
    </row>
    <row r="1110" spans="1:9">
      <c r="A1110" s="789">
        <v>1110</v>
      </c>
      <c r="I1110" s="789">
        <v>1110</v>
      </c>
    </row>
    <row r="1111" spans="1:9">
      <c r="A1111" s="789">
        <v>1111</v>
      </c>
      <c r="I1111" s="789">
        <v>1111</v>
      </c>
    </row>
    <row r="1112" spans="1:9">
      <c r="A1112" s="789">
        <v>1112</v>
      </c>
      <c r="I1112" s="789">
        <v>1112</v>
      </c>
    </row>
    <row r="1113" spans="1:9">
      <c r="A1113" s="789">
        <v>1113</v>
      </c>
      <c r="I1113" s="789">
        <v>1113</v>
      </c>
    </row>
    <row r="1114" spans="1:9">
      <c r="A1114" s="789">
        <v>1114</v>
      </c>
      <c r="I1114" s="789">
        <v>1114</v>
      </c>
    </row>
    <row r="1115" spans="1:9">
      <c r="A1115" s="789">
        <v>1115</v>
      </c>
      <c r="I1115" s="789">
        <v>1115</v>
      </c>
    </row>
    <row r="1116" spans="1:9">
      <c r="A1116" s="789">
        <v>1116</v>
      </c>
      <c r="I1116" s="789">
        <v>1116</v>
      </c>
    </row>
    <row r="1117" spans="1:9">
      <c r="A1117" s="789">
        <v>1117</v>
      </c>
      <c r="I1117" s="789">
        <v>1117</v>
      </c>
    </row>
    <row r="1118" spans="1:9">
      <c r="A1118" s="789">
        <v>1118</v>
      </c>
      <c r="I1118" s="789">
        <v>1118</v>
      </c>
    </row>
    <row r="1119" spans="1:9">
      <c r="A1119" s="789">
        <v>1119</v>
      </c>
      <c r="I1119" s="789">
        <v>1119</v>
      </c>
    </row>
    <row r="1120" spans="1:9">
      <c r="A1120" s="789">
        <v>1120</v>
      </c>
      <c r="I1120" s="789">
        <v>1120</v>
      </c>
    </row>
    <row r="1121" spans="1:9">
      <c r="A1121" s="789">
        <v>1121</v>
      </c>
      <c r="I1121" s="789">
        <v>1121</v>
      </c>
    </row>
    <row r="1122" spans="1:9">
      <c r="A1122" s="789">
        <v>1122</v>
      </c>
      <c r="I1122" s="789">
        <v>1122</v>
      </c>
    </row>
    <row r="1123" spans="1:9">
      <c r="A1123" s="789">
        <v>1123</v>
      </c>
      <c r="I1123" s="789">
        <v>1123</v>
      </c>
    </row>
    <row r="1124" spans="1:9">
      <c r="A1124" s="789">
        <v>1124</v>
      </c>
      <c r="I1124" s="789">
        <v>1124</v>
      </c>
    </row>
    <row r="1125" spans="1:9">
      <c r="A1125" s="789">
        <v>1125</v>
      </c>
      <c r="I1125" s="789">
        <v>1125</v>
      </c>
    </row>
    <row r="1126" spans="1:9">
      <c r="A1126" s="789">
        <v>1126</v>
      </c>
      <c r="I1126" s="789">
        <v>1126</v>
      </c>
    </row>
    <row r="1127" spans="1:9">
      <c r="A1127" s="789">
        <v>1127</v>
      </c>
      <c r="I1127" s="789">
        <v>1127</v>
      </c>
    </row>
    <row r="1128" spans="1:9">
      <c r="A1128" s="789">
        <v>1128</v>
      </c>
      <c r="I1128" s="789">
        <v>1128</v>
      </c>
    </row>
    <row r="1129" spans="1:9">
      <c r="A1129" s="789">
        <v>1129</v>
      </c>
      <c r="I1129" s="789">
        <v>1129</v>
      </c>
    </row>
    <row r="1130" spans="1:9">
      <c r="A1130" s="789">
        <v>1130</v>
      </c>
      <c r="I1130" s="789">
        <v>1130</v>
      </c>
    </row>
    <row r="1131" spans="1:9">
      <c r="A1131" s="789">
        <v>1131</v>
      </c>
      <c r="I1131" s="789">
        <v>1131</v>
      </c>
    </row>
    <row r="1132" spans="1:9">
      <c r="A1132" s="789">
        <v>1132</v>
      </c>
      <c r="I1132" s="789">
        <v>1132</v>
      </c>
    </row>
    <row r="1133" spans="1:9">
      <c r="A1133" s="789">
        <v>1133</v>
      </c>
      <c r="I1133" s="789">
        <v>1133</v>
      </c>
    </row>
    <row r="1134" spans="1:9">
      <c r="A1134" s="789">
        <v>1134</v>
      </c>
      <c r="I1134" s="789">
        <v>1134</v>
      </c>
    </row>
    <row r="1135" spans="1:9">
      <c r="A1135" s="789">
        <v>1135</v>
      </c>
      <c r="I1135" s="789">
        <v>1135</v>
      </c>
    </row>
    <row r="1136" spans="1:9">
      <c r="A1136" s="789">
        <v>1136</v>
      </c>
      <c r="I1136" s="789">
        <v>1136</v>
      </c>
    </row>
    <row r="1137" spans="1:9">
      <c r="A1137" s="789">
        <v>1137</v>
      </c>
      <c r="I1137" s="789">
        <v>1137</v>
      </c>
    </row>
    <row r="1138" spans="1:9">
      <c r="A1138" s="789">
        <v>1138</v>
      </c>
      <c r="I1138" s="789">
        <v>1138</v>
      </c>
    </row>
    <row r="1139" spans="1:9">
      <c r="A1139" s="789">
        <v>1139</v>
      </c>
      <c r="I1139" s="789">
        <v>1139</v>
      </c>
    </row>
    <row r="1140" spans="1:9">
      <c r="A1140" s="789">
        <v>1140</v>
      </c>
      <c r="I1140" s="789">
        <v>1140</v>
      </c>
    </row>
    <row r="1141" spans="1:9">
      <c r="A1141" s="789">
        <v>1141</v>
      </c>
      <c r="I1141" s="789">
        <v>1141</v>
      </c>
    </row>
    <row r="1142" spans="1:9">
      <c r="A1142" s="789">
        <v>1142</v>
      </c>
      <c r="I1142" s="789">
        <v>1142</v>
      </c>
    </row>
    <row r="1143" spans="1:9">
      <c r="A1143" s="789">
        <v>1143</v>
      </c>
      <c r="I1143" s="789">
        <v>1143</v>
      </c>
    </row>
    <row r="1144" spans="1:9">
      <c r="A1144" s="789">
        <v>1144</v>
      </c>
      <c r="I1144" s="789">
        <v>1144</v>
      </c>
    </row>
    <row r="1145" spans="1:9">
      <c r="A1145" s="789">
        <v>1145</v>
      </c>
      <c r="I1145" s="789">
        <v>1145</v>
      </c>
    </row>
    <row r="1146" spans="1:9">
      <c r="A1146" s="789">
        <v>1146</v>
      </c>
      <c r="I1146" s="789">
        <v>1146</v>
      </c>
    </row>
    <row r="1147" spans="1:9">
      <c r="A1147" s="789">
        <v>1147</v>
      </c>
      <c r="I1147" s="789">
        <v>1147</v>
      </c>
    </row>
    <row r="1148" spans="1:9">
      <c r="A1148" s="789">
        <v>1148</v>
      </c>
      <c r="I1148" s="789">
        <v>1148</v>
      </c>
    </row>
    <row r="1149" spans="1:9">
      <c r="A1149" s="789">
        <v>1149</v>
      </c>
      <c r="I1149" s="789">
        <v>1149</v>
      </c>
    </row>
    <row r="1150" spans="1:9">
      <c r="A1150" s="789">
        <v>1150</v>
      </c>
      <c r="I1150" s="789">
        <v>1150</v>
      </c>
    </row>
    <row r="1151" spans="1:9">
      <c r="A1151" s="789">
        <v>1151</v>
      </c>
      <c r="I1151" s="789">
        <v>1151</v>
      </c>
    </row>
    <row r="1152" spans="1:9">
      <c r="A1152" s="789">
        <v>1152</v>
      </c>
      <c r="I1152" s="789">
        <v>1152</v>
      </c>
    </row>
    <row r="1153" spans="1:9">
      <c r="A1153" s="789">
        <v>1153</v>
      </c>
      <c r="I1153" s="789">
        <v>1153</v>
      </c>
    </row>
    <row r="1154" spans="1:9">
      <c r="A1154" s="789">
        <v>1154</v>
      </c>
      <c r="I1154" s="789">
        <v>1154</v>
      </c>
    </row>
    <row r="1155" spans="1:9">
      <c r="A1155" s="789">
        <v>1155</v>
      </c>
      <c r="I1155" s="789">
        <v>1155</v>
      </c>
    </row>
    <row r="1156" spans="1:9">
      <c r="A1156" s="789">
        <v>1156</v>
      </c>
      <c r="I1156" s="789">
        <v>1156</v>
      </c>
    </row>
    <row r="1157" spans="1:9">
      <c r="A1157" s="789">
        <v>1157</v>
      </c>
      <c r="I1157" s="789">
        <v>1157</v>
      </c>
    </row>
    <row r="1158" spans="1:9">
      <c r="A1158" s="789">
        <v>1158</v>
      </c>
      <c r="I1158" s="789">
        <v>1158</v>
      </c>
    </row>
    <row r="1159" spans="1:9">
      <c r="A1159" s="789">
        <v>1159</v>
      </c>
      <c r="I1159" s="789">
        <v>1159</v>
      </c>
    </row>
    <row r="1160" spans="1:9">
      <c r="A1160" s="789">
        <v>1160</v>
      </c>
      <c r="I1160" s="789">
        <v>1160</v>
      </c>
    </row>
    <row r="1161" spans="1:9">
      <c r="A1161" s="789">
        <v>1161</v>
      </c>
      <c r="I1161" s="789">
        <v>1161</v>
      </c>
    </row>
    <row r="1162" spans="1:9">
      <c r="A1162" s="789">
        <v>1162</v>
      </c>
      <c r="I1162" s="789">
        <v>1162</v>
      </c>
    </row>
    <row r="1163" spans="1:9">
      <c r="A1163" s="789">
        <v>1163</v>
      </c>
      <c r="I1163" s="789">
        <v>1163</v>
      </c>
    </row>
    <row r="1164" spans="1:9">
      <c r="A1164" s="789">
        <v>1164</v>
      </c>
      <c r="I1164" s="789">
        <v>1164</v>
      </c>
    </row>
    <row r="1165" spans="1:9">
      <c r="A1165" s="789">
        <v>1165</v>
      </c>
      <c r="I1165" s="789">
        <v>1165</v>
      </c>
    </row>
    <row r="1166" spans="1:9">
      <c r="A1166" s="789">
        <v>1166</v>
      </c>
      <c r="I1166" s="789">
        <v>1166</v>
      </c>
    </row>
    <row r="1167" spans="1:9">
      <c r="A1167" s="789">
        <v>1167</v>
      </c>
      <c r="I1167" s="789">
        <v>1167</v>
      </c>
    </row>
    <row r="1168" spans="1:9">
      <c r="A1168" s="789">
        <v>1168</v>
      </c>
      <c r="I1168" s="789">
        <v>1168</v>
      </c>
    </row>
    <row r="1169" spans="1:9">
      <c r="A1169" s="789">
        <v>1169</v>
      </c>
      <c r="I1169" s="789">
        <v>1169</v>
      </c>
    </row>
    <row r="1170" spans="1:9">
      <c r="A1170" s="789">
        <v>1170</v>
      </c>
      <c r="I1170" s="789">
        <v>1170</v>
      </c>
    </row>
    <row r="1171" spans="1:9">
      <c r="A1171" s="789">
        <v>1171</v>
      </c>
      <c r="I1171" s="789">
        <v>1171</v>
      </c>
    </row>
    <row r="1172" spans="1:9">
      <c r="A1172" s="789">
        <v>1172</v>
      </c>
      <c r="I1172" s="789">
        <v>1172</v>
      </c>
    </row>
    <row r="1173" spans="1:9">
      <c r="A1173" s="789">
        <v>1173</v>
      </c>
      <c r="I1173" s="789">
        <v>1173</v>
      </c>
    </row>
    <row r="1174" spans="1:9">
      <c r="A1174" s="789">
        <v>1174</v>
      </c>
      <c r="I1174" s="789">
        <v>1174</v>
      </c>
    </row>
    <row r="1175" spans="1:9">
      <c r="A1175" s="789">
        <v>1175</v>
      </c>
      <c r="I1175" s="789">
        <v>1175</v>
      </c>
    </row>
    <row r="1176" spans="1:9">
      <c r="A1176" s="789">
        <v>1176</v>
      </c>
      <c r="I1176" s="789">
        <v>1176</v>
      </c>
    </row>
    <row r="1177" spans="1:9">
      <c r="A1177" s="789">
        <v>1177</v>
      </c>
      <c r="I1177" s="789">
        <v>1177</v>
      </c>
    </row>
    <row r="1178" spans="1:9">
      <c r="A1178" s="789">
        <v>1178</v>
      </c>
      <c r="I1178" s="789">
        <v>1178</v>
      </c>
    </row>
    <row r="1179" spans="1:9">
      <c r="A1179" s="789">
        <v>1179</v>
      </c>
      <c r="I1179" s="789">
        <v>1179</v>
      </c>
    </row>
    <row r="1180" spans="1:9">
      <c r="A1180" s="789">
        <v>1180</v>
      </c>
      <c r="I1180" s="789">
        <v>1180</v>
      </c>
    </row>
    <row r="1181" spans="1:9">
      <c r="A1181" s="789">
        <v>1181</v>
      </c>
      <c r="I1181" s="789">
        <v>1181</v>
      </c>
    </row>
    <row r="1182" spans="1:9">
      <c r="A1182" s="789">
        <v>1182</v>
      </c>
      <c r="I1182" s="789">
        <v>1182</v>
      </c>
    </row>
    <row r="1183" spans="1:9">
      <c r="A1183" s="789">
        <v>1183</v>
      </c>
      <c r="I1183" s="789">
        <v>1183</v>
      </c>
    </row>
    <row r="1184" spans="1:9">
      <c r="A1184" s="789">
        <v>1184</v>
      </c>
      <c r="I1184" s="789">
        <v>1184</v>
      </c>
    </row>
    <row r="1185" spans="1:9">
      <c r="A1185" s="789">
        <v>1185</v>
      </c>
      <c r="I1185" s="789">
        <v>1185</v>
      </c>
    </row>
    <row r="1186" spans="1:9">
      <c r="A1186" s="789">
        <v>1186</v>
      </c>
      <c r="I1186" s="789">
        <v>1186</v>
      </c>
    </row>
    <row r="1187" spans="1:9">
      <c r="A1187" s="789">
        <v>1187</v>
      </c>
      <c r="I1187" s="789">
        <v>1187</v>
      </c>
    </row>
    <row r="1188" spans="1:9">
      <c r="A1188" s="789">
        <v>1188</v>
      </c>
      <c r="I1188" s="789">
        <v>1188</v>
      </c>
    </row>
    <row r="1189" spans="1:9">
      <c r="A1189" s="789">
        <v>1189</v>
      </c>
      <c r="I1189" s="789">
        <v>1189</v>
      </c>
    </row>
    <row r="1190" spans="1:9">
      <c r="A1190" s="789">
        <v>1190</v>
      </c>
      <c r="I1190" s="789">
        <v>1190</v>
      </c>
    </row>
    <row r="1191" spans="1:9">
      <c r="A1191" s="789">
        <v>1191</v>
      </c>
      <c r="I1191" s="789">
        <v>1191</v>
      </c>
    </row>
    <row r="1192" spans="1:9">
      <c r="A1192" s="789">
        <v>1192</v>
      </c>
      <c r="I1192" s="789">
        <v>1192</v>
      </c>
    </row>
    <row r="1193" spans="1:9">
      <c r="A1193" s="789">
        <v>1193</v>
      </c>
      <c r="I1193" s="789">
        <v>1193</v>
      </c>
    </row>
    <row r="1194" spans="1:9">
      <c r="A1194" s="789">
        <v>1194</v>
      </c>
      <c r="I1194" s="789">
        <v>1194</v>
      </c>
    </row>
    <row r="1195" spans="1:9">
      <c r="A1195" s="789">
        <v>1195</v>
      </c>
      <c r="I1195" s="789">
        <v>1195</v>
      </c>
    </row>
    <row r="1196" spans="1:9">
      <c r="A1196" s="789">
        <v>1196</v>
      </c>
      <c r="I1196" s="789">
        <v>1196</v>
      </c>
    </row>
    <row r="1197" spans="1:9">
      <c r="A1197" s="789">
        <v>1197</v>
      </c>
      <c r="I1197" s="789">
        <v>1197</v>
      </c>
    </row>
    <row r="1198" spans="1:9">
      <c r="A1198" s="789">
        <v>1198</v>
      </c>
      <c r="I1198" s="789">
        <v>1198</v>
      </c>
    </row>
    <row r="1199" spans="1:9">
      <c r="A1199" s="789">
        <v>1199</v>
      </c>
      <c r="I1199" s="789">
        <v>1199</v>
      </c>
    </row>
    <row r="1200" spans="1:9">
      <c r="A1200" s="789">
        <v>1200</v>
      </c>
      <c r="I1200" s="789">
        <v>1200</v>
      </c>
    </row>
    <row r="1201" spans="1:9">
      <c r="A1201" s="789">
        <v>1201</v>
      </c>
      <c r="I1201" s="789">
        <v>1201</v>
      </c>
    </row>
    <row r="1202" spans="1:9">
      <c r="A1202" s="789">
        <v>1202</v>
      </c>
      <c r="I1202" s="789">
        <v>1202</v>
      </c>
    </row>
    <row r="1203" spans="1:9">
      <c r="A1203" s="789">
        <v>1203</v>
      </c>
      <c r="I1203" s="789">
        <v>1203</v>
      </c>
    </row>
    <row r="1204" spans="1:9">
      <c r="A1204" s="789">
        <v>1204</v>
      </c>
      <c r="I1204" s="789">
        <v>1204</v>
      </c>
    </row>
    <row r="1205" spans="1:9">
      <c r="A1205" s="789">
        <v>1205</v>
      </c>
      <c r="I1205" s="789">
        <v>1205</v>
      </c>
    </row>
    <row r="1206" spans="1:9">
      <c r="A1206" s="789">
        <v>1206</v>
      </c>
      <c r="I1206" s="789">
        <v>1206</v>
      </c>
    </row>
    <row r="1207" spans="1:9">
      <c r="A1207" s="789">
        <v>1207</v>
      </c>
      <c r="I1207" s="789">
        <v>1207</v>
      </c>
    </row>
    <row r="1208" spans="1:9">
      <c r="A1208" s="789">
        <v>1208</v>
      </c>
      <c r="I1208" s="789">
        <v>1208</v>
      </c>
    </row>
    <row r="1209" spans="1:9">
      <c r="A1209" s="789">
        <v>1209</v>
      </c>
      <c r="I1209" s="789">
        <v>1209</v>
      </c>
    </row>
    <row r="1210" spans="1:9">
      <c r="A1210" s="789">
        <v>1210</v>
      </c>
      <c r="I1210" s="789">
        <v>1210</v>
      </c>
    </row>
    <row r="1211" spans="1:9">
      <c r="A1211" s="789">
        <v>1211</v>
      </c>
      <c r="I1211" s="789">
        <v>1211</v>
      </c>
    </row>
    <row r="1212" spans="1:9">
      <c r="A1212" s="789">
        <v>1212</v>
      </c>
      <c r="I1212" s="789">
        <v>1212</v>
      </c>
    </row>
    <row r="1213" spans="1:9">
      <c r="A1213" s="789">
        <v>1213</v>
      </c>
      <c r="I1213" s="789">
        <v>1213</v>
      </c>
    </row>
    <row r="1214" spans="1:9">
      <c r="A1214" s="789">
        <v>1214</v>
      </c>
      <c r="I1214" s="789">
        <v>1214</v>
      </c>
    </row>
    <row r="1215" spans="1:9">
      <c r="A1215" s="789">
        <v>1215</v>
      </c>
      <c r="I1215" s="789">
        <v>1215</v>
      </c>
    </row>
    <row r="1216" spans="1:9">
      <c r="A1216" s="789">
        <v>1216</v>
      </c>
      <c r="I1216" s="789">
        <v>1216</v>
      </c>
    </row>
    <row r="1217" spans="1:9">
      <c r="A1217" s="789">
        <v>1217</v>
      </c>
      <c r="I1217" s="789">
        <v>1217</v>
      </c>
    </row>
    <row r="1218" spans="1:9">
      <c r="A1218" s="789">
        <v>1218</v>
      </c>
      <c r="I1218" s="789">
        <v>1218</v>
      </c>
    </row>
    <row r="1219" spans="1:9">
      <c r="A1219" s="789">
        <v>1219</v>
      </c>
      <c r="I1219" s="789">
        <v>1219</v>
      </c>
    </row>
    <row r="1220" spans="1:9">
      <c r="A1220" s="789">
        <v>1220</v>
      </c>
      <c r="I1220" s="789">
        <v>1220</v>
      </c>
    </row>
    <row r="1221" spans="1:9">
      <c r="A1221" s="789">
        <v>1221</v>
      </c>
      <c r="I1221" s="789">
        <v>1221</v>
      </c>
    </row>
    <row r="1222" spans="1:9">
      <c r="A1222" s="789">
        <v>1222</v>
      </c>
      <c r="I1222" s="789">
        <v>1222</v>
      </c>
    </row>
    <row r="1223" spans="1:9">
      <c r="A1223" s="789">
        <v>1223</v>
      </c>
      <c r="I1223" s="789">
        <v>1223</v>
      </c>
    </row>
    <row r="1224" spans="1:9">
      <c r="A1224" s="789">
        <v>1224</v>
      </c>
      <c r="I1224" s="789">
        <v>1224</v>
      </c>
    </row>
    <row r="1225" spans="1:9">
      <c r="A1225" s="789">
        <v>1225</v>
      </c>
      <c r="I1225" s="789">
        <v>1225</v>
      </c>
    </row>
    <row r="1226" spans="1:9">
      <c r="A1226" s="789">
        <v>1226</v>
      </c>
      <c r="I1226" s="789">
        <v>1226</v>
      </c>
    </row>
    <row r="1227" spans="1:9">
      <c r="A1227" s="789">
        <v>1227</v>
      </c>
      <c r="I1227" s="789">
        <v>1227</v>
      </c>
    </row>
    <row r="1228" spans="1:9">
      <c r="A1228" s="789">
        <v>1228</v>
      </c>
      <c r="I1228" s="789">
        <v>1228</v>
      </c>
    </row>
    <row r="1229" spans="1:9">
      <c r="A1229" s="789">
        <v>1229</v>
      </c>
      <c r="I1229" s="789">
        <v>1229</v>
      </c>
    </row>
    <row r="1230" spans="1:9">
      <c r="A1230" s="789">
        <v>1230</v>
      </c>
      <c r="I1230" s="789">
        <v>1230</v>
      </c>
    </row>
    <row r="1231" spans="1:9">
      <c r="A1231" s="789">
        <v>1231</v>
      </c>
      <c r="I1231" s="789">
        <v>1231</v>
      </c>
    </row>
    <row r="1232" spans="1:9">
      <c r="A1232" s="789">
        <v>1232</v>
      </c>
      <c r="I1232" s="789">
        <v>1232</v>
      </c>
    </row>
    <row r="1233" spans="1:9">
      <c r="A1233" s="789">
        <v>1233</v>
      </c>
      <c r="I1233" s="789">
        <v>1233</v>
      </c>
    </row>
    <row r="1234" spans="1:9">
      <c r="A1234" s="789">
        <v>1234</v>
      </c>
      <c r="I1234" s="789">
        <v>1234</v>
      </c>
    </row>
    <row r="1235" spans="1:9">
      <c r="A1235" s="789">
        <v>1235</v>
      </c>
      <c r="I1235" s="789">
        <v>1235</v>
      </c>
    </row>
    <row r="1236" spans="1:9">
      <c r="A1236" s="789">
        <v>1236</v>
      </c>
      <c r="I1236" s="789">
        <v>1236</v>
      </c>
    </row>
    <row r="1237" spans="1:9">
      <c r="A1237" s="789">
        <v>1237</v>
      </c>
      <c r="I1237" s="789">
        <v>1237</v>
      </c>
    </row>
    <row r="1238" spans="1:9">
      <c r="A1238" s="789">
        <v>1238</v>
      </c>
      <c r="I1238" s="789">
        <v>1238</v>
      </c>
    </row>
    <row r="1239" spans="1:9">
      <c r="A1239" s="789">
        <v>1239</v>
      </c>
      <c r="I1239" s="789">
        <v>1239</v>
      </c>
    </row>
    <row r="1240" spans="1:9">
      <c r="A1240" s="789">
        <v>1240</v>
      </c>
      <c r="I1240" s="789">
        <v>1240</v>
      </c>
    </row>
    <row r="1241" spans="1:9">
      <c r="A1241" s="789">
        <v>1241</v>
      </c>
      <c r="I1241" s="789">
        <v>1241</v>
      </c>
    </row>
    <row r="1242" spans="1:9">
      <c r="A1242" s="789">
        <v>1242</v>
      </c>
      <c r="I1242" s="789">
        <v>1242</v>
      </c>
    </row>
    <row r="1243" spans="1:9">
      <c r="A1243" s="789">
        <v>1243</v>
      </c>
      <c r="I1243" s="789">
        <v>1243</v>
      </c>
    </row>
    <row r="1244" spans="1:9">
      <c r="A1244" s="789">
        <v>1244</v>
      </c>
      <c r="I1244" s="789">
        <v>1244</v>
      </c>
    </row>
    <row r="1245" spans="1:9">
      <c r="A1245" s="789">
        <v>1245</v>
      </c>
      <c r="I1245" s="789">
        <v>1245</v>
      </c>
    </row>
    <row r="1246" spans="1:9">
      <c r="A1246" s="789">
        <v>1246</v>
      </c>
      <c r="I1246" s="789">
        <v>1246</v>
      </c>
    </row>
    <row r="1247" spans="1:9">
      <c r="A1247" s="789">
        <v>1247</v>
      </c>
      <c r="I1247" s="789">
        <v>1247</v>
      </c>
    </row>
    <row r="1248" spans="1:9">
      <c r="A1248" s="789">
        <v>1248</v>
      </c>
      <c r="I1248" s="789">
        <v>1248</v>
      </c>
    </row>
    <row r="1249" spans="1:9">
      <c r="A1249" s="789">
        <v>1249</v>
      </c>
      <c r="I1249" s="789">
        <v>1249</v>
      </c>
    </row>
    <row r="1250" spans="1:9">
      <c r="A1250" s="789">
        <v>1250</v>
      </c>
      <c r="I1250" s="789">
        <v>1250</v>
      </c>
    </row>
    <row r="1251" spans="1:9">
      <c r="A1251" s="789">
        <v>1251</v>
      </c>
      <c r="I1251" s="789">
        <v>1251</v>
      </c>
    </row>
    <row r="1252" spans="1:9">
      <c r="A1252" s="789">
        <v>1252</v>
      </c>
      <c r="I1252" s="789">
        <v>1252</v>
      </c>
    </row>
    <row r="1253" spans="1:9">
      <c r="A1253" s="789">
        <v>1253</v>
      </c>
      <c r="I1253" s="789">
        <v>1253</v>
      </c>
    </row>
    <row r="1254" spans="1:9">
      <c r="A1254" s="789">
        <v>1254</v>
      </c>
      <c r="I1254" s="789">
        <v>1254</v>
      </c>
    </row>
    <row r="1255" spans="1:9">
      <c r="A1255" s="789">
        <v>1255</v>
      </c>
      <c r="I1255" s="789">
        <v>1255</v>
      </c>
    </row>
    <row r="1256" spans="1:9">
      <c r="A1256" s="789">
        <v>1256</v>
      </c>
      <c r="I1256" s="789">
        <v>1256</v>
      </c>
    </row>
    <row r="1257" spans="1:9">
      <c r="A1257" s="789">
        <v>1257</v>
      </c>
      <c r="I1257" s="789">
        <v>1257</v>
      </c>
    </row>
    <row r="1258" spans="1:9">
      <c r="A1258" s="789">
        <v>1258</v>
      </c>
      <c r="I1258" s="789">
        <v>1258</v>
      </c>
    </row>
    <row r="1259" spans="1:9">
      <c r="A1259" s="789">
        <v>1259</v>
      </c>
      <c r="I1259" s="789">
        <v>1259</v>
      </c>
    </row>
    <row r="1260" spans="1:9">
      <c r="A1260" s="789">
        <v>1260</v>
      </c>
      <c r="I1260" s="789">
        <v>1260</v>
      </c>
    </row>
    <row r="1261" spans="1:9">
      <c r="A1261" s="789">
        <v>1261</v>
      </c>
      <c r="I1261" s="789">
        <v>1261</v>
      </c>
    </row>
    <row r="1262" spans="1:9">
      <c r="A1262" s="789">
        <v>1262</v>
      </c>
      <c r="I1262" s="789">
        <v>1262</v>
      </c>
    </row>
    <row r="1263" spans="1:9">
      <c r="A1263" s="789">
        <v>1263</v>
      </c>
      <c r="I1263" s="789">
        <v>1263</v>
      </c>
    </row>
    <row r="1264" spans="1:9">
      <c r="A1264" s="789">
        <v>1264</v>
      </c>
      <c r="I1264" s="789">
        <v>1264</v>
      </c>
    </row>
    <row r="1265" spans="1:9">
      <c r="A1265" s="789">
        <v>1265</v>
      </c>
      <c r="I1265" s="789">
        <v>1265</v>
      </c>
    </row>
    <row r="1266" spans="1:9">
      <c r="A1266" s="789">
        <v>1266</v>
      </c>
      <c r="I1266" s="789">
        <v>1266</v>
      </c>
    </row>
    <row r="1267" spans="1:9">
      <c r="A1267" s="789">
        <v>1267</v>
      </c>
      <c r="I1267" s="789">
        <v>1267</v>
      </c>
    </row>
    <row r="1268" spans="1:9">
      <c r="A1268" s="789">
        <v>1268</v>
      </c>
      <c r="I1268" s="789">
        <v>1268</v>
      </c>
    </row>
    <row r="1269" spans="1:9">
      <c r="A1269" s="789">
        <v>1269</v>
      </c>
      <c r="I1269" s="789">
        <v>1269</v>
      </c>
    </row>
    <row r="1270" spans="1:9">
      <c r="A1270" s="789">
        <v>1270</v>
      </c>
      <c r="I1270" s="789">
        <v>1270</v>
      </c>
    </row>
    <row r="1271" spans="1:9">
      <c r="A1271" s="789">
        <v>1271</v>
      </c>
      <c r="I1271" s="789">
        <v>1271</v>
      </c>
    </row>
    <row r="1272" spans="1:9">
      <c r="A1272" s="789">
        <v>1272</v>
      </c>
      <c r="I1272" s="789">
        <v>1272</v>
      </c>
    </row>
    <row r="1273" spans="1:9">
      <c r="A1273" s="789">
        <v>1273</v>
      </c>
      <c r="I1273" s="789">
        <v>1273</v>
      </c>
    </row>
    <row r="1274" spans="1:9">
      <c r="A1274" s="789">
        <v>1274</v>
      </c>
      <c r="I1274" s="789">
        <v>1274</v>
      </c>
    </row>
    <row r="1275" spans="1:9">
      <c r="A1275" s="789">
        <v>1275</v>
      </c>
      <c r="I1275" s="789">
        <v>1275</v>
      </c>
    </row>
    <row r="1276" spans="1:9">
      <c r="A1276" s="789">
        <v>1276</v>
      </c>
      <c r="I1276" s="789">
        <v>1276</v>
      </c>
    </row>
    <row r="1277" spans="1:9">
      <c r="A1277" s="789">
        <v>1277</v>
      </c>
      <c r="I1277" s="789">
        <v>1277</v>
      </c>
    </row>
    <row r="1278" spans="1:9">
      <c r="A1278" s="789">
        <v>1278</v>
      </c>
      <c r="I1278" s="789">
        <v>1278</v>
      </c>
    </row>
    <row r="1279" spans="1:9">
      <c r="A1279" s="789">
        <v>1279</v>
      </c>
      <c r="I1279" s="789">
        <v>1279</v>
      </c>
    </row>
    <row r="1280" spans="1:9">
      <c r="A1280" s="789">
        <v>1280</v>
      </c>
      <c r="I1280" s="789">
        <v>1280</v>
      </c>
    </row>
    <row r="1281" spans="1:9">
      <c r="A1281" s="789">
        <v>1281</v>
      </c>
      <c r="I1281" s="789">
        <v>1281</v>
      </c>
    </row>
    <row r="1282" spans="1:9">
      <c r="A1282" s="789">
        <v>1282</v>
      </c>
      <c r="I1282" s="789">
        <v>1282</v>
      </c>
    </row>
    <row r="1283" spans="1:9">
      <c r="A1283" s="789">
        <v>1283</v>
      </c>
      <c r="I1283" s="789">
        <v>1283</v>
      </c>
    </row>
    <row r="1284" spans="1:9">
      <c r="A1284" s="789">
        <v>1284</v>
      </c>
      <c r="I1284" s="789">
        <v>1284</v>
      </c>
    </row>
    <row r="1285" spans="1:9">
      <c r="A1285" s="789">
        <v>1285</v>
      </c>
      <c r="I1285" s="789">
        <v>1285</v>
      </c>
    </row>
    <row r="1286" spans="1:9">
      <c r="A1286" s="789">
        <v>1286</v>
      </c>
      <c r="I1286" s="789">
        <v>1286</v>
      </c>
    </row>
    <row r="1287" spans="1:9">
      <c r="A1287" s="789">
        <v>1287</v>
      </c>
      <c r="I1287" s="789">
        <v>1287</v>
      </c>
    </row>
    <row r="1288" spans="1:9">
      <c r="A1288" s="789">
        <v>1288</v>
      </c>
      <c r="I1288" s="789">
        <v>1288</v>
      </c>
    </row>
    <row r="1289" spans="1:9">
      <c r="A1289" s="789">
        <v>1289</v>
      </c>
      <c r="I1289" s="789">
        <v>1289</v>
      </c>
    </row>
    <row r="1290" spans="1:9">
      <c r="A1290" s="789">
        <v>1290</v>
      </c>
      <c r="I1290" s="789">
        <v>1290</v>
      </c>
    </row>
    <row r="1291" spans="1:9">
      <c r="A1291" s="789">
        <v>1291</v>
      </c>
      <c r="I1291" s="789">
        <v>1291</v>
      </c>
    </row>
    <row r="1292" spans="1:9">
      <c r="A1292" s="789">
        <v>1292</v>
      </c>
      <c r="I1292" s="789">
        <v>1292</v>
      </c>
    </row>
    <row r="1293" spans="1:9">
      <c r="A1293" s="789">
        <v>1293</v>
      </c>
      <c r="I1293" s="789">
        <v>1293</v>
      </c>
    </row>
    <row r="1294" spans="1:9">
      <c r="A1294" s="789">
        <v>1294</v>
      </c>
      <c r="I1294" s="789">
        <v>1294</v>
      </c>
    </row>
    <row r="1295" spans="1:9">
      <c r="A1295" s="789">
        <v>1295</v>
      </c>
      <c r="I1295" s="789">
        <v>1295</v>
      </c>
    </row>
    <row r="1296" spans="1:9">
      <c r="A1296" s="789">
        <v>1296</v>
      </c>
      <c r="I1296" s="789">
        <v>1296</v>
      </c>
    </row>
    <row r="1297" spans="1:9">
      <c r="A1297" s="789">
        <v>1297</v>
      </c>
      <c r="I1297" s="789">
        <v>1297</v>
      </c>
    </row>
    <row r="1298" spans="1:9">
      <c r="A1298" s="789">
        <v>1298</v>
      </c>
      <c r="I1298" s="789">
        <v>1298</v>
      </c>
    </row>
    <row r="1299" spans="1:9">
      <c r="A1299" s="789">
        <v>1299</v>
      </c>
      <c r="I1299" s="789">
        <v>1299</v>
      </c>
    </row>
    <row r="1300" spans="1:9">
      <c r="A1300" s="789">
        <v>1300</v>
      </c>
      <c r="I1300" s="789">
        <v>1300</v>
      </c>
    </row>
    <row r="1301" spans="1:9">
      <c r="A1301" s="789">
        <v>1301</v>
      </c>
      <c r="I1301" s="789">
        <v>1301</v>
      </c>
    </row>
    <row r="1302" spans="1:9">
      <c r="A1302" s="789">
        <v>1302</v>
      </c>
      <c r="I1302" s="789">
        <v>1302</v>
      </c>
    </row>
    <row r="1303" spans="1:9">
      <c r="A1303" s="789">
        <v>1303</v>
      </c>
      <c r="I1303" s="789">
        <v>1303</v>
      </c>
    </row>
    <row r="1304" spans="1:9">
      <c r="A1304" s="789">
        <v>1304</v>
      </c>
      <c r="I1304" s="789">
        <v>1304</v>
      </c>
    </row>
    <row r="1305" spans="1:9">
      <c r="A1305" s="789">
        <v>1305</v>
      </c>
      <c r="I1305" s="789">
        <v>1305</v>
      </c>
    </row>
    <row r="1306" spans="1:9">
      <c r="A1306" s="789">
        <v>1306</v>
      </c>
      <c r="I1306" s="789">
        <v>1306</v>
      </c>
    </row>
    <row r="1307" spans="1:9">
      <c r="A1307" s="789">
        <v>1307</v>
      </c>
      <c r="I1307" s="789">
        <v>1307</v>
      </c>
    </row>
    <row r="1308" spans="1:9">
      <c r="A1308" s="789">
        <v>1308</v>
      </c>
      <c r="I1308" s="789">
        <v>1308</v>
      </c>
    </row>
    <row r="1309" spans="1:9">
      <c r="A1309" s="789">
        <v>1309</v>
      </c>
      <c r="I1309" s="789">
        <v>1309</v>
      </c>
    </row>
    <row r="1310" spans="1:9">
      <c r="A1310" s="789">
        <v>1310</v>
      </c>
      <c r="I1310" s="789">
        <v>1310</v>
      </c>
    </row>
    <row r="1311" spans="1:9">
      <c r="A1311" s="789">
        <v>1311</v>
      </c>
      <c r="I1311" s="789">
        <v>1311</v>
      </c>
    </row>
    <row r="1312" spans="1:9">
      <c r="A1312" s="789">
        <v>1312</v>
      </c>
      <c r="I1312" s="789">
        <v>1312</v>
      </c>
    </row>
    <row r="1313" spans="1:9">
      <c r="A1313" s="789">
        <v>1313</v>
      </c>
      <c r="I1313" s="789">
        <v>1313</v>
      </c>
    </row>
    <row r="1314" spans="1:9">
      <c r="A1314" s="789">
        <v>1314</v>
      </c>
      <c r="I1314" s="789">
        <v>1314</v>
      </c>
    </row>
    <row r="1315" spans="1:9">
      <c r="A1315" s="789">
        <v>1315</v>
      </c>
      <c r="I1315" s="789">
        <v>1315</v>
      </c>
    </row>
    <row r="1316" spans="1:9">
      <c r="A1316" s="789">
        <v>1316</v>
      </c>
      <c r="I1316" s="789">
        <v>1316</v>
      </c>
    </row>
    <row r="1317" spans="1:9">
      <c r="A1317" s="789">
        <v>1317</v>
      </c>
      <c r="I1317" s="789">
        <v>1317</v>
      </c>
    </row>
    <row r="1318" spans="1:9">
      <c r="A1318" s="789">
        <v>1318</v>
      </c>
      <c r="I1318" s="789">
        <v>1318</v>
      </c>
    </row>
    <row r="1319" spans="1:9">
      <c r="A1319" s="789">
        <v>1319</v>
      </c>
      <c r="I1319" s="789">
        <v>1319</v>
      </c>
    </row>
    <row r="1320" spans="1:9">
      <c r="A1320" s="789">
        <v>1320</v>
      </c>
      <c r="I1320" s="789">
        <v>1320</v>
      </c>
    </row>
    <row r="1321" spans="1:9">
      <c r="A1321" s="789">
        <v>1321</v>
      </c>
      <c r="I1321" s="789">
        <v>1321</v>
      </c>
    </row>
    <row r="1322" spans="1:9">
      <c r="A1322" s="789">
        <v>1322</v>
      </c>
      <c r="I1322" s="789">
        <v>1322</v>
      </c>
    </row>
    <row r="1323" spans="1:9">
      <c r="A1323" s="789">
        <v>1323</v>
      </c>
      <c r="I1323" s="789">
        <v>1323</v>
      </c>
    </row>
    <row r="1324" spans="1:9">
      <c r="A1324" s="789">
        <v>1324</v>
      </c>
      <c r="I1324" s="789">
        <v>1324</v>
      </c>
    </row>
    <row r="1325" spans="1:9">
      <c r="A1325" s="789">
        <v>1325</v>
      </c>
      <c r="I1325" s="789">
        <v>1325</v>
      </c>
    </row>
    <row r="1326" spans="1:9">
      <c r="A1326" s="789">
        <v>1326</v>
      </c>
      <c r="I1326" s="789">
        <v>1326</v>
      </c>
    </row>
    <row r="1327" spans="1:9">
      <c r="A1327" s="789">
        <v>1327</v>
      </c>
      <c r="I1327" s="789">
        <v>1327</v>
      </c>
    </row>
    <row r="1328" spans="1:9">
      <c r="A1328" s="789">
        <v>1328</v>
      </c>
      <c r="I1328" s="789">
        <v>1328</v>
      </c>
    </row>
    <row r="1329" spans="1:9">
      <c r="A1329" s="789">
        <v>1329</v>
      </c>
      <c r="I1329" s="789">
        <v>1329</v>
      </c>
    </row>
    <row r="1330" spans="1:9">
      <c r="A1330" s="789">
        <v>1330</v>
      </c>
      <c r="I1330" s="789">
        <v>1330</v>
      </c>
    </row>
    <row r="1331" spans="1:9">
      <c r="A1331" s="789">
        <v>1331</v>
      </c>
      <c r="I1331" s="789">
        <v>1331</v>
      </c>
    </row>
    <row r="1332" spans="1:9">
      <c r="A1332" s="789">
        <v>1332</v>
      </c>
      <c r="I1332" s="789">
        <v>1332</v>
      </c>
    </row>
    <row r="1333" spans="1:9">
      <c r="A1333" s="789">
        <v>1333</v>
      </c>
      <c r="I1333" s="789">
        <v>1333</v>
      </c>
    </row>
    <row r="1334" spans="1:9">
      <c r="A1334" s="789">
        <v>1334</v>
      </c>
      <c r="I1334" s="789">
        <v>1334</v>
      </c>
    </row>
    <row r="1335" spans="1:9">
      <c r="A1335" s="789">
        <v>1335</v>
      </c>
      <c r="I1335" s="789">
        <v>1335</v>
      </c>
    </row>
    <row r="1336" spans="1:9">
      <c r="A1336" s="789">
        <v>1336</v>
      </c>
      <c r="I1336" s="789">
        <v>1336</v>
      </c>
    </row>
    <row r="1337" spans="1:9">
      <c r="A1337" s="789">
        <v>1337</v>
      </c>
      <c r="I1337" s="789">
        <v>1337</v>
      </c>
    </row>
    <row r="1338" spans="1:9">
      <c r="A1338" s="789">
        <v>1338</v>
      </c>
      <c r="I1338" s="789">
        <v>1338</v>
      </c>
    </row>
    <row r="1339" spans="1:9">
      <c r="A1339" s="789">
        <v>1339</v>
      </c>
      <c r="I1339" s="789">
        <v>1339</v>
      </c>
    </row>
    <row r="1340" spans="1:9">
      <c r="A1340" s="789">
        <v>1340</v>
      </c>
      <c r="I1340" s="789">
        <v>1340</v>
      </c>
    </row>
    <row r="1341" spans="1:9">
      <c r="A1341" s="789">
        <v>1341</v>
      </c>
      <c r="I1341" s="789">
        <v>1341</v>
      </c>
    </row>
    <row r="1342" spans="1:9">
      <c r="A1342" s="789">
        <v>1342</v>
      </c>
      <c r="I1342" s="789">
        <v>1342</v>
      </c>
    </row>
    <row r="1343" spans="1:9">
      <c r="A1343" s="789">
        <v>1343</v>
      </c>
      <c r="I1343" s="789">
        <v>1343</v>
      </c>
    </row>
    <row r="1344" spans="1:9">
      <c r="A1344" s="789">
        <v>1344</v>
      </c>
      <c r="I1344" s="789">
        <v>1344</v>
      </c>
    </row>
    <row r="1345" spans="1:9">
      <c r="A1345" s="789">
        <v>1345</v>
      </c>
      <c r="I1345" s="789">
        <v>1345</v>
      </c>
    </row>
    <row r="1346" spans="1:9">
      <c r="A1346" s="789">
        <v>1346</v>
      </c>
      <c r="I1346" s="789">
        <v>1346</v>
      </c>
    </row>
    <row r="1347" spans="1:9">
      <c r="A1347" s="789">
        <v>1347</v>
      </c>
      <c r="I1347" s="789">
        <v>1347</v>
      </c>
    </row>
    <row r="1348" spans="1:9">
      <c r="A1348" s="789">
        <v>1348</v>
      </c>
      <c r="I1348" s="789">
        <v>1348</v>
      </c>
    </row>
    <row r="1349" spans="1:9">
      <c r="A1349" s="789">
        <v>1349</v>
      </c>
      <c r="I1349" s="789">
        <v>1349</v>
      </c>
    </row>
    <row r="1350" spans="1:9">
      <c r="A1350" s="789">
        <v>1350</v>
      </c>
      <c r="I1350" s="789">
        <v>1350</v>
      </c>
    </row>
    <row r="1351" spans="1:9">
      <c r="A1351" s="789">
        <v>1351</v>
      </c>
      <c r="I1351" s="789">
        <v>1351</v>
      </c>
    </row>
    <row r="1352" spans="1:9">
      <c r="A1352" s="789">
        <v>1352</v>
      </c>
      <c r="I1352" s="789">
        <v>1352</v>
      </c>
    </row>
    <row r="1353" spans="1:9">
      <c r="A1353" s="789">
        <v>1353</v>
      </c>
      <c r="I1353" s="789">
        <v>1353</v>
      </c>
    </row>
    <row r="1354" spans="1:9">
      <c r="A1354" s="789">
        <v>1354</v>
      </c>
      <c r="I1354" s="789">
        <v>1354</v>
      </c>
    </row>
    <row r="1355" spans="1:9">
      <c r="A1355" s="789">
        <v>1355</v>
      </c>
      <c r="I1355" s="789">
        <v>1355</v>
      </c>
    </row>
    <row r="1356" spans="1:9">
      <c r="A1356" s="789">
        <v>1356</v>
      </c>
      <c r="I1356" s="789">
        <v>1356</v>
      </c>
    </row>
    <row r="1357" spans="1:9">
      <c r="A1357" s="789">
        <v>1357</v>
      </c>
      <c r="I1357" s="789">
        <v>1357</v>
      </c>
    </row>
    <row r="1358" spans="1:9">
      <c r="A1358" s="789">
        <v>1358</v>
      </c>
      <c r="I1358" s="789">
        <v>1358</v>
      </c>
    </row>
    <row r="1359" spans="1:9">
      <c r="A1359" s="789">
        <v>1359</v>
      </c>
      <c r="I1359" s="789">
        <v>1359</v>
      </c>
    </row>
    <row r="1360" spans="1:9">
      <c r="A1360" s="789">
        <v>1360</v>
      </c>
      <c r="I1360" s="789">
        <v>1360</v>
      </c>
    </row>
    <row r="1361" spans="1:9">
      <c r="A1361" s="789">
        <v>1361</v>
      </c>
      <c r="I1361" s="789">
        <v>1361</v>
      </c>
    </row>
    <row r="1362" spans="1:9">
      <c r="A1362" s="789">
        <v>1362</v>
      </c>
      <c r="I1362" s="789">
        <v>1362</v>
      </c>
    </row>
    <row r="1363" spans="1:9">
      <c r="A1363" s="789">
        <v>1363</v>
      </c>
      <c r="I1363" s="789">
        <v>1363</v>
      </c>
    </row>
    <row r="1364" spans="1:9">
      <c r="A1364" s="789">
        <v>1364</v>
      </c>
      <c r="I1364" s="789">
        <v>1364</v>
      </c>
    </row>
    <row r="1365" spans="1:9">
      <c r="A1365" s="789">
        <v>1365</v>
      </c>
      <c r="I1365" s="789">
        <v>1365</v>
      </c>
    </row>
    <row r="1366" spans="1:9">
      <c r="A1366" s="789">
        <v>1366</v>
      </c>
      <c r="I1366" s="789">
        <v>1366</v>
      </c>
    </row>
    <row r="1367" spans="1:9">
      <c r="A1367" s="789">
        <v>1367</v>
      </c>
      <c r="I1367" s="789">
        <v>1367</v>
      </c>
    </row>
    <row r="1368" spans="1:9">
      <c r="A1368" s="789">
        <v>1368</v>
      </c>
      <c r="I1368" s="789">
        <v>1368</v>
      </c>
    </row>
    <row r="1369" spans="1:9">
      <c r="A1369" s="789">
        <v>1369</v>
      </c>
      <c r="I1369" s="789">
        <v>1369</v>
      </c>
    </row>
    <row r="1370" spans="1:9">
      <c r="A1370" s="789">
        <v>1370</v>
      </c>
      <c r="I1370" s="789">
        <v>1370</v>
      </c>
    </row>
    <row r="1371" spans="1:9">
      <c r="A1371" s="789">
        <v>1371</v>
      </c>
      <c r="I1371" s="789">
        <v>1371</v>
      </c>
    </row>
    <row r="1372" spans="1:9">
      <c r="A1372" s="789">
        <v>1372</v>
      </c>
      <c r="I1372" s="789">
        <v>1372</v>
      </c>
    </row>
    <row r="1373" spans="1:9">
      <c r="A1373" s="789">
        <v>1373</v>
      </c>
      <c r="I1373" s="789">
        <v>1373</v>
      </c>
    </row>
    <row r="1374" spans="1:9">
      <c r="A1374" s="789">
        <v>1374</v>
      </c>
      <c r="I1374" s="789">
        <v>1374</v>
      </c>
    </row>
    <row r="1375" spans="1:9">
      <c r="A1375" s="789">
        <v>1375</v>
      </c>
      <c r="I1375" s="789">
        <v>1375</v>
      </c>
    </row>
    <row r="1376" spans="1:9">
      <c r="A1376" s="789">
        <v>1376</v>
      </c>
      <c r="I1376" s="789">
        <v>1376</v>
      </c>
    </row>
    <row r="1377" spans="1:9">
      <c r="A1377" s="789">
        <v>1377</v>
      </c>
      <c r="I1377" s="789">
        <v>1377</v>
      </c>
    </row>
    <row r="1378" spans="1:9">
      <c r="A1378" s="789">
        <v>1378</v>
      </c>
      <c r="I1378" s="789">
        <v>1378</v>
      </c>
    </row>
    <row r="1379" spans="1:9">
      <c r="A1379" s="789">
        <v>1379</v>
      </c>
      <c r="I1379" s="789">
        <v>1379</v>
      </c>
    </row>
    <row r="1380" spans="1:9">
      <c r="A1380" s="789">
        <v>1380</v>
      </c>
      <c r="I1380" s="789">
        <v>1380</v>
      </c>
    </row>
    <row r="1381" spans="1:9">
      <c r="A1381" s="789">
        <v>1381</v>
      </c>
      <c r="I1381" s="789">
        <v>1381</v>
      </c>
    </row>
    <row r="1382" spans="1:9">
      <c r="A1382" s="789">
        <v>1382</v>
      </c>
      <c r="I1382" s="789">
        <v>1382</v>
      </c>
    </row>
    <row r="1383" spans="1:9">
      <c r="A1383" s="789">
        <v>1383</v>
      </c>
      <c r="I1383" s="789">
        <v>1383</v>
      </c>
    </row>
    <row r="1384" spans="1:9">
      <c r="A1384" s="789">
        <v>1384</v>
      </c>
      <c r="I1384" s="789">
        <v>1384</v>
      </c>
    </row>
    <row r="1385" spans="1:9">
      <c r="A1385" s="789">
        <v>1385</v>
      </c>
      <c r="I1385" s="789">
        <v>1385</v>
      </c>
    </row>
    <row r="1386" spans="1:9">
      <c r="A1386" s="789">
        <v>1386</v>
      </c>
      <c r="I1386" s="789">
        <v>1386</v>
      </c>
    </row>
    <row r="1387" spans="1:9">
      <c r="A1387" s="789">
        <v>1387</v>
      </c>
      <c r="I1387" s="789">
        <v>1387</v>
      </c>
    </row>
    <row r="1388" spans="1:9">
      <c r="A1388" s="789">
        <v>1388</v>
      </c>
      <c r="I1388" s="789">
        <v>1388</v>
      </c>
    </row>
    <row r="1389" spans="1:9">
      <c r="A1389" s="789">
        <v>1389</v>
      </c>
      <c r="I1389" s="789">
        <v>1389</v>
      </c>
    </row>
    <row r="1390" spans="1:9">
      <c r="A1390" s="789">
        <v>1390</v>
      </c>
      <c r="I1390" s="789">
        <v>1390</v>
      </c>
    </row>
    <row r="1391" spans="1:9">
      <c r="A1391" s="789">
        <v>1391</v>
      </c>
      <c r="I1391" s="789">
        <v>1391</v>
      </c>
    </row>
    <row r="1392" spans="1:9">
      <c r="A1392" s="789">
        <v>1392</v>
      </c>
      <c r="I1392" s="789">
        <v>1392</v>
      </c>
    </row>
    <row r="1393" spans="1:9">
      <c r="A1393" s="789">
        <v>1393</v>
      </c>
      <c r="I1393" s="789">
        <v>1393</v>
      </c>
    </row>
    <row r="1394" spans="1:9">
      <c r="A1394" s="789">
        <v>1394</v>
      </c>
      <c r="I1394" s="789">
        <v>1394</v>
      </c>
    </row>
    <row r="1395" spans="1:9">
      <c r="A1395" s="789">
        <v>1395</v>
      </c>
      <c r="I1395" s="789">
        <v>1395</v>
      </c>
    </row>
    <row r="1396" spans="1:9">
      <c r="A1396" s="789">
        <v>1396</v>
      </c>
      <c r="I1396" s="789">
        <v>1396</v>
      </c>
    </row>
    <row r="1397" spans="1:9">
      <c r="A1397" s="789">
        <v>1397</v>
      </c>
      <c r="I1397" s="789">
        <v>1397</v>
      </c>
    </row>
    <row r="1398" spans="1:9">
      <c r="A1398" s="789">
        <v>1398</v>
      </c>
      <c r="I1398" s="789">
        <v>1398</v>
      </c>
    </row>
    <row r="1399" spans="1:9">
      <c r="A1399" s="789">
        <v>1399</v>
      </c>
      <c r="I1399" s="789">
        <v>1399</v>
      </c>
    </row>
    <row r="1400" spans="1:9">
      <c r="A1400" s="789">
        <v>1400</v>
      </c>
      <c r="I1400" s="789">
        <v>1400</v>
      </c>
    </row>
    <row r="1401" spans="1:9">
      <c r="A1401" s="789">
        <v>1401</v>
      </c>
      <c r="I1401" s="789">
        <v>1401</v>
      </c>
    </row>
    <row r="1402" spans="1:9">
      <c r="A1402" s="789">
        <v>1402</v>
      </c>
      <c r="I1402" s="789">
        <v>1402</v>
      </c>
    </row>
    <row r="1403" spans="1:9">
      <c r="A1403" s="789">
        <v>1403</v>
      </c>
      <c r="I1403" s="789">
        <v>1403</v>
      </c>
    </row>
    <row r="1404" spans="1:9">
      <c r="A1404" s="789">
        <v>1404</v>
      </c>
      <c r="I1404" s="789">
        <v>1404</v>
      </c>
    </row>
    <row r="1405" spans="1:9">
      <c r="A1405" s="789">
        <v>1405</v>
      </c>
      <c r="I1405" s="789">
        <v>1405</v>
      </c>
    </row>
    <row r="1406" spans="1:9">
      <c r="A1406" s="789">
        <v>1406</v>
      </c>
      <c r="I1406" s="789">
        <v>1406</v>
      </c>
    </row>
    <row r="1407" spans="1:9">
      <c r="A1407" s="789">
        <v>1407</v>
      </c>
      <c r="I1407" s="789">
        <v>1407</v>
      </c>
    </row>
    <row r="1408" spans="1:9">
      <c r="A1408" s="789">
        <v>1408</v>
      </c>
      <c r="I1408" s="789">
        <v>1408</v>
      </c>
    </row>
    <row r="1409" spans="1:9">
      <c r="A1409" s="789">
        <v>1409</v>
      </c>
      <c r="I1409" s="789">
        <v>1409</v>
      </c>
    </row>
    <row r="1410" spans="1:9">
      <c r="A1410" s="789">
        <v>1410</v>
      </c>
      <c r="I1410" s="789">
        <v>1410</v>
      </c>
    </row>
    <row r="1411" spans="1:9">
      <c r="A1411" s="789">
        <v>1411</v>
      </c>
      <c r="I1411" s="789">
        <v>1411</v>
      </c>
    </row>
    <row r="1412" spans="1:9">
      <c r="A1412" s="789">
        <v>1412</v>
      </c>
      <c r="I1412" s="789">
        <v>1412</v>
      </c>
    </row>
    <row r="1413" spans="1:9">
      <c r="A1413" s="789">
        <v>1413</v>
      </c>
      <c r="I1413" s="789">
        <v>1413</v>
      </c>
    </row>
    <row r="1414" spans="1:9">
      <c r="A1414" s="789">
        <v>1414</v>
      </c>
      <c r="I1414" s="789">
        <v>1414</v>
      </c>
    </row>
    <row r="1415" spans="1:9">
      <c r="A1415" s="789">
        <v>1415</v>
      </c>
      <c r="I1415" s="789">
        <v>1415</v>
      </c>
    </row>
    <row r="1416" spans="1:9">
      <c r="A1416" s="789">
        <v>1416</v>
      </c>
      <c r="I1416" s="789">
        <v>1416</v>
      </c>
    </row>
    <row r="1417" spans="1:9">
      <c r="A1417" s="789">
        <v>1417</v>
      </c>
      <c r="I1417" s="789">
        <v>1417</v>
      </c>
    </row>
    <row r="1418" spans="1:9">
      <c r="A1418" s="789">
        <v>1418</v>
      </c>
      <c r="I1418" s="789">
        <v>1418</v>
      </c>
    </row>
    <row r="1419" spans="1:9">
      <c r="A1419" s="789">
        <v>1419</v>
      </c>
      <c r="I1419" s="789">
        <v>1419</v>
      </c>
    </row>
    <row r="1420" spans="1:9">
      <c r="A1420" s="789">
        <v>1420</v>
      </c>
      <c r="I1420" s="789">
        <v>1420</v>
      </c>
    </row>
    <row r="1421" spans="1:9">
      <c r="A1421" s="789">
        <v>1421</v>
      </c>
      <c r="I1421" s="789">
        <v>1421</v>
      </c>
    </row>
    <row r="1422" spans="1:9">
      <c r="A1422" s="789">
        <v>1422</v>
      </c>
      <c r="I1422" s="789">
        <v>1422</v>
      </c>
    </row>
    <row r="1423" spans="1:9">
      <c r="A1423" s="789">
        <v>1423</v>
      </c>
      <c r="I1423" s="789">
        <v>1423</v>
      </c>
    </row>
    <row r="1424" spans="1:9">
      <c r="A1424" s="789">
        <v>1424</v>
      </c>
      <c r="I1424" s="789">
        <v>1424</v>
      </c>
    </row>
    <row r="1425" spans="1:9">
      <c r="A1425" s="789">
        <v>1425</v>
      </c>
      <c r="I1425" s="789">
        <v>1425</v>
      </c>
    </row>
    <row r="1426" spans="1:9">
      <c r="A1426" s="789">
        <v>1426</v>
      </c>
      <c r="I1426" s="789">
        <v>1426</v>
      </c>
    </row>
    <row r="1427" spans="1:9">
      <c r="A1427" s="789">
        <v>1427</v>
      </c>
      <c r="I1427" s="789">
        <v>1427</v>
      </c>
    </row>
    <row r="1428" spans="1:9">
      <c r="A1428" s="789">
        <v>1428</v>
      </c>
      <c r="I1428" s="789">
        <v>1428</v>
      </c>
    </row>
    <row r="1429" spans="1:9">
      <c r="A1429" s="789">
        <v>1429</v>
      </c>
      <c r="I1429" s="789">
        <v>1429</v>
      </c>
    </row>
    <row r="1430" spans="1:9">
      <c r="A1430" s="789">
        <v>1430</v>
      </c>
      <c r="I1430" s="789">
        <v>1430</v>
      </c>
    </row>
    <row r="1431" spans="1:9">
      <c r="A1431" s="789">
        <v>1431</v>
      </c>
      <c r="I1431" s="789">
        <v>1431</v>
      </c>
    </row>
    <row r="1432" spans="1:9">
      <c r="A1432" s="789">
        <v>1432</v>
      </c>
      <c r="I1432" s="789">
        <v>1432</v>
      </c>
    </row>
    <row r="1433" spans="1:9">
      <c r="A1433" s="789">
        <v>1433</v>
      </c>
      <c r="I1433" s="789">
        <v>1433</v>
      </c>
    </row>
    <row r="1434" spans="1:9">
      <c r="A1434" s="789">
        <v>1434</v>
      </c>
      <c r="I1434" s="789">
        <v>1434</v>
      </c>
    </row>
    <row r="1435" spans="1:9">
      <c r="A1435" s="789">
        <v>1435</v>
      </c>
      <c r="I1435" s="789">
        <v>1435</v>
      </c>
    </row>
    <row r="1436" spans="1:9">
      <c r="A1436" s="789">
        <v>1436</v>
      </c>
      <c r="I1436" s="789">
        <v>1436</v>
      </c>
    </row>
    <row r="1437" spans="1:9">
      <c r="A1437" s="789">
        <v>1437</v>
      </c>
      <c r="I1437" s="789">
        <v>1437</v>
      </c>
    </row>
    <row r="1438" spans="1:9">
      <c r="A1438" s="789">
        <v>1438</v>
      </c>
      <c r="I1438" s="789">
        <v>1438</v>
      </c>
    </row>
    <row r="1439" spans="1:9">
      <c r="A1439" s="789">
        <v>1439</v>
      </c>
      <c r="I1439" s="789">
        <v>1439</v>
      </c>
    </row>
    <row r="1440" spans="1:9">
      <c r="A1440" s="789">
        <v>1440</v>
      </c>
      <c r="I1440" s="789">
        <v>1440</v>
      </c>
    </row>
    <row r="1441" spans="1:9">
      <c r="A1441" s="789">
        <v>1441</v>
      </c>
      <c r="I1441" s="789">
        <v>1441</v>
      </c>
    </row>
    <row r="1442" spans="1:9">
      <c r="A1442" s="789">
        <v>1442</v>
      </c>
      <c r="I1442" s="789">
        <v>1442</v>
      </c>
    </row>
    <row r="1443" spans="1:9">
      <c r="A1443" s="789">
        <v>1443</v>
      </c>
      <c r="I1443" s="789">
        <v>1443</v>
      </c>
    </row>
    <row r="1444" spans="1:9">
      <c r="A1444" s="789">
        <v>1444</v>
      </c>
      <c r="I1444" s="789">
        <v>1444</v>
      </c>
    </row>
    <row r="1445" spans="1:9">
      <c r="A1445" s="789">
        <v>1445</v>
      </c>
      <c r="I1445" s="789">
        <v>1445</v>
      </c>
    </row>
    <row r="1446" spans="1:9">
      <c r="A1446" s="789">
        <v>1446</v>
      </c>
      <c r="I1446" s="789">
        <v>1446</v>
      </c>
    </row>
    <row r="1447" spans="1:9">
      <c r="A1447" s="789">
        <v>1447</v>
      </c>
      <c r="I1447" s="789">
        <v>1447</v>
      </c>
    </row>
    <row r="1448" spans="1:9">
      <c r="A1448" s="789">
        <v>1448</v>
      </c>
      <c r="I1448" s="789">
        <v>1448</v>
      </c>
    </row>
    <row r="1449" spans="1:9">
      <c r="A1449" s="789">
        <v>1449</v>
      </c>
      <c r="I1449" s="789">
        <v>1449</v>
      </c>
    </row>
    <row r="1450" spans="1:9">
      <c r="A1450" s="789">
        <v>1450</v>
      </c>
      <c r="I1450" s="789">
        <v>1450</v>
      </c>
    </row>
    <row r="1451" spans="1:9">
      <c r="A1451" s="789">
        <v>1451</v>
      </c>
      <c r="I1451" s="789">
        <v>1451</v>
      </c>
    </row>
    <row r="1452" spans="1:9">
      <c r="A1452" s="789">
        <v>1452</v>
      </c>
      <c r="I1452" s="789">
        <v>1452</v>
      </c>
    </row>
    <row r="1453" spans="1:9">
      <c r="A1453" s="789">
        <v>1453</v>
      </c>
      <c r="I1453" s="789">
        <v>1453</v>
      </c>
    </row>
    <row r="1454" spans="1:9">
      <c r="A1454" s="789">
        <v>1454</v>
      </c>
      <c r="I1454" s="789">
        <v>1454</v>
      </c>
    </row>
    <row r="1455" spans="1:9">
      <c r="A1455" s="789">
        <v>1455</v>
      </c>
      <c r="I1455" s="789">
        <v>1455</v>
      </c>
    </row>
    <row r="1456" spans="1:9">
      <c r="A1456" s="789">
        <v>1456</v>
      </c>
      <c r="I1456" s="789">
        <v>1456</v>
      </c>
    </row>
    <row r="1457" spans="1:9">
      <c r="A1457" s="789">
        <v>1457</v>
      </c>
      <c r="I1457" s="789">
        <v>1457</v>
      </c>
    </row>
    <row r="1458" spans="1:9">
      <c r="A1458" s="789">
        <v>1458</v>
      </c>
      <c r="I1458" s="789">
        <v>1458</v>
      </c>
    </row>
    <row r="1459" spans="1:9">
      <c r="A1459" s="789">
        <v>1459</v>
      </c>
      <c r="I1459" s="789">
        <v>1459</v>
      </c>
    </row>
    <row r="1460" spans="1:9">
      <c r="A1460" s="789">
        <v>1460</v>
      </c>
      <c r="I1460" s="789">
        <v>1460</v>
      </c>
    </row>
    <row r="1461" spans="1:9">
      <c r="A1461" s="789">
        <v>1461</v>
      </c>
      <c r="I1461" s="789">
        <v>1461</v>
      </c>
    </row>
    <row r="1462" spans="1:9">
      <c r="A1462" s="789">
        <v>1462</v>
      </c>
      <c r="I1462" s="789">
        <v>1462</v>
      </c>
    </row>
    <row r="1463" spans="1:9">
      <c r="A1463" s="789">
        <v>1463</v>
      </c>
      <c r="I1463" s="789">
        <v>1463</v>
      </c>
    </row>
    <row r="1464" spans="1:9">
      <c r="A1464" s="789">
        <v>1464</v>
      </c>
      <c r="I1464" s="789">
        <v>1464</v>
      </c>
    </row>
    <row r="1465" spans="1:9">
      <c r="A1465" s="789">
        <v>1465</v>
      </c>
      <c r="I1465" s="789">
        <v>1465</v>
      </c>
    </row>
    <row r="1466" spans="1:9">
      <c r="A1466" s="789">
        <v>1466</v>
      </c>
      <c r="I1466" s="789">
        <v>1466</v>
      </c>
    </row>
    <row r="1467" spans="1:9">
      <c r="A1467" s="789">
        <v>1467</v>
      </c>
      <c r="I1467" s="789">
        <v>1467</v>
      </c>
    </row>
    <row r="1468" spans="1:9">
      <c r="A1468" s="789">
        <v>1468</v>
      </c>
      <c r="I1468" s="789">
        <v>1468</v>
      </c>
    </row>
    <row r="1469" spans="1:9">
      <c r="A1469" s="789">
        <v>1469</v>
      </c>
      <c r="I1469" s="789">
        <v>1469</v>
      </c>
    </row>
    <row r="1470" spans="1:9">
      <c r="A1470" s="789">
        <v>1470</v>
      </c>
      <c r="I1470" s="789">
        <v>1470</v>
      </c>
    </row>
    <row r="1471" spans="1:9">
      <c r="A1471" s="789">
        <v>1471</v>
      </c>
      <c r="I1471" s="789">
        <v>1471</v>
      </c>
    </row>
    <row r="1472" spans="1:9">
      <c r="A1472" s="789">
        <v>1472</v>
      </c>
      <c r="I1472" s="789">
        <v>1472</v>
      </c>
    </row>
    <row r="1473" spans="1:9">
      <c r="A1473" s="789">
        <v>1473</v>
      </c>
      <c r="I1473" s="789">
        <v>1473</v>
      </c>
    </row>
    <row r="1474" spans="1:9">
      <c r="A1474" s="789">
        <v>1474</v>
      </c>
      <c r="I1474" s="789">
        <v>1474</v>
      </c>
    </row>
    <row r="1475" spans="1:9">
      <c r="A1475" s="789">
        <v>1475</v>
      </c>
      <c r="I1475" s="789">
        <v>1475</v>
      </c>
    </row>
    <row r="1476" spans="1:9">
      <c r="A1476" s="789">
        <v>1476</v>
      </c>
      <c r="I1476" s="789">
        <v>1476</v>
      </c>
    </row>
    <row r="1477" spans="1:9">
      <c r="A1477" s="789">
        <v>1477</v>
      </c>
      <c r="I1477" s="789">
        <v>1477</v>
      </c>
    </row>
    <row r="1478" spans="1:9">
      <c r="A1478" s="789">
        <v>1478</v>
      </c>
      <c r="I1478" s="789">
        <v>1478</v>
      </c>
    </row>
    <row r="1479" spans="1:9">
      <c r="A1479" s="789">
        <v>1479</v>
      </c>
      <c r="I1479" s="789">
        <v>1479</v>
      </c>
    </row>
    <row r="1480" spans="1:9">
      <c r="A1480" s="789">
        <v>1480</v>
      </c>
      <c r="I1480" s="789">
        <v>1480</v>
      </c>
    </row>
    <row r="1481" spans="1:9">
      <c r="A1481" s="789">
        <v>1481</v>
      </c>
      <c r="I1481" s="789">
        <v>1481</v>
      </c>
    </row>
    <row r="1482" spans="1:9">
      <c r="A1482" s="789">
        <v>1482</v>
      </c>
      <c r="I1482" s="789">
        <v>1482</v>
      </c>
    </row>
    <row r="1483" spans="1:9">
      <c r="A1483" s="789">
        <v>1483</v>
      </c>
      <c r="I1483" s="789">
        <v>1483</v>
      </c>
    </row>
    <row r="1484" spans="1:9">
      <c r="A1484" s="789">
        <v>1484</v>
      </c>
      <c r="I1484" s="789">
        <v>1484</v>
      </c>
    </row>
    <row r="1485" spans="1:9">
      <c r="A1485" s="789">
        <v>1485</v>
      </c>
      <c r="I1485" s="789">
        <v>1485</v>
      </c>
    </row>
    <row r="1486" spans="1:9">
      <c r="A1486" s="789">
        <v>1486</v>
      </c>
      <c r="I1486" s="789">
        <v>1486</v>
      </c>
    </row>
    <row r="1487" spans="1:9">
      <c r="A1487" s="789">
        <v>1487</v>
      </c>
      <c r="I1487" s="789">
        <v>1487</v>
      </c>
    </row>
    <row r="1488" spans="1:9">
      <c r="A1488" s="789">
        <v>1488</v>
      </c>
      <c r="I1488" s="789">
        <v>1488</v>
      </c>
    </row>
    <row r="1489" spans="1:9">
      <c r="A1489" s="789">
        <v>1489</v>
      </c>
      <c r="I1489" s="789">
        <v>1489</v>
      </c>
    </row>
    <row r="1490" spans="1:9">
      <c r="A1490" s="789">
        <v>1490</v>
      </c>
      <c r="I1490" s="789">
        <v>1490</v>
      </c>
    </row>
    <row r="1491" spans="1:9">
      <c r="A1491" s="789">
        <v>1491</v>
      </c>
      <c r="I1491" s="789">
        <v>1491</v>
      </c>
    </row>
    <row r="1492" spans="1:9">
      <c r="A1492" s="789">
        <v>1492</v>
      </c>
      <c r="I1492" s="789">
        <v>1492</v>
      </c>
    </row>
    <row r="1493" spans="1:9">
      <c r="A1493" s="789">
        <v>1493</v>
      </c>
      <c r="I1493" s="789">
        <v>1493</v>
      </c>
    </row>
    <row r="1494" spans="1:9">
      <c r="A1494" s="789">
        <v>1494</v>
      </c>
      <c r="I1494" s="789">
        <v>1494</v>
      </c>
    </row>
    <row r="1495" spans="1:9">
      <c r="A1495" s="789">
        <v>1495</v>
      </c>
      <c r="I1495" s="789">
        <v>1495</v>
      </c>
    </row>
    <row r="1496" spans="1:9">
      <c r="A1496" s="789">
        <v>1496</v>
      </c>
      <c r="I1496" s="789">
        <v>1496</v>
      </c>
    </row>
    <row r="1497" spans="1:9">
      <c r="A1497" s="789">
        <v>1497</v>
      </c>
      <c r="I1497" s="789">
        <v>1497</v>
      </c>
    </row>
    <row r="1498" spans="1:9">
      <c r="A1498" s="789">
        <v>1498</v>
      </c>
      <c r="I1498" s="789">
        <v>1498</v>
      </c>
    </row>
    <row r="1499" spans="1:9">
      <c r="A1499" s="789">
        <v>1499</v>
      </c>
      <c r="I1499" s="789">
        <v>1499</v>
      </c>
    </row>
    <row r="1500" spans="1:9">
      <c r="A1500" s="789">
        <v>1500</v>
      </c>
      <c r="I1500" s="789">
        <v>1500</v>
      </c>
    </row>
    <row r="1501" spans="1:9">
      <c r="A1501" s="789">
        <v>1501</v>
      </c>
      <c r="I1501" s="789">
        <v>1501</v>
      </c>
    </row>
    <row r="1502" spans="1:9">
      <c r="A1502" s="789">
        <v>1502</v>
      </c>
      <c r="I1502" s="789">
        <v>1502</v>
      </c>
    </row>
    <row r="1503" spans="1:9">
      <c r="A1503" s="789">
        <v>1503</v>
      </c>
      <c r="I1503" s="789">
        <v>1503</v>
      </c>
    </row>
    <row r="1504" spans="1:9">
      <c r="A1504" s="789">
        <v>1504</v>
      </c>
      <c r="I1504" s="789">
        <v>1504</v>
      </c>
    </row>
    <row r="1505" spans="1:9">
      <c r="A1505" s="789">
        <v>1505</v>
      </c>
      <c r="I1505" s="789">
        <v>1505</v>
      </c>
    </row>
    <row r="1506" spans="1:9">
      <c r="A1506" s="789">
        <v>1506</v>
      </c>
      <c r="I1506" s="789">
        <v>1506</v>
      </c>
    </row>
    <row r="1507" spans="1:9">
      <c r="A1507" s="789">
        <v>1507</v>
      </c>
      <c r="I1507" s="789">
        <v>1507</v>
      </c>
    </row>
    <row r="1508" spans="1:9">
      <c r="A1508" s="789">
        <v>1508</v>
      </c>
      <c r="I1508" s="789">
        <v>1508</v>
      </c>
    </row>
    <row r="1509" spans="1:9">
      <c r="A1509" s="789">
        <v>1509</v>
      </c>
      <c r="I1509" s="789">
        <v>1509</v>
      </c>
    </row>
    <row r="1510" spans="1:9">
      <c r="A1510" s="789">
        <v>1510</v>
      </c>
      <c r="I1510" s="789">
        <v>1510</v>
      </c>
    </row>
    <row r="1511" spans="1:9">
      <c r="A1511" s="789">
        <v>1511</v>
      </c>
      <c r="I1511" s="789">
        <v>1511</v>
      </c>
    </row>
    <row r="1512" spans="1:9">
      <c r="A1512" s="789">
        <v>1512</v>
      </c>
      <c r="I1512" s="789">
        <v>1512</v>
      </c>
    </row>
    <row r="1513" spans="1:9">
      <c r="A1513" s="789">
        <v>1513</v>
      </c>
      <c r="I1513" s="789">
        <v>1513</v>
      </c>
    </row>
    <row r="1514" spans="1:9">
      <c r="A1514" s="789">
        <v>1514</v>
      </c>
      <c r="I1514" s="789">
        <v>1514</v>
      </c>
    </row>
    <row r="1515" spans="1:9">
      <c r="A1515" s="789">
        <v>1515</v>
      </c>
      <c r="I1515" s="789">
        <v>1515</v>
      </c>
    </row>
    <row r="1516" spans="1:9">
      <c r="A1516" s="789">
        <v>1516</v>
      </c>
      <c r="I1516" s="789">
        <v>1516</v>
      </c>
    </row>
    <row r="1517" spans="1:9">
      <c r="A1517" s="789">
        <v>1517</v>
      </c>
      <c r="I1517" s="789">
        <v>1517</v>
      </c>
    </row>
    <row r="1518" spans="1:9">
      <c r="A1518" s="789">
        <v>1518</v>
      </c>
      <c r="I1518" s="789">
        <v>1518</v>
      </c>
    </row>
    <row r="1519" spans="1:9">
      <c r="A1519" s="789">
        <v>1519</v>
      </c>
      <c r="I1519" s="789">
        <v>1519</v>
      </c>
    </row>
    <row r="1520" spans="1:9">
      <c r="A1520" s="789">
        <v>1520</v>
      </c>
      <c r="I1520" s="789">
        <v>1520</v>
      </c>
    </row>
    <row r="1521" spans="1:9">
      <c r="A1521" s="789">
        <v>1521</v>
      </c>
      <c r="I1521" s="789">
        <v>1521</v>
      </c>
    </row>
    <row r="1522" spans="1:9">
      <c r="A1522" s="789">
        <v>1522</v>
      </c>
      <c r="I1522" s="789">
        <v>1522</v>
      </c>
    </row>
    <row r="1523" spans="1:9">
      <c r="A1523" s="789">
        <v>1523</v>
      </c>
      <c r="I1523" s="789">
        <v>1523</v>
      </c>
    </row>
    <row r="1524" spans="1:9">
      <c r="A1524" s="789">
        <v>1524</v>
      </c>
      <c r="I1524" s="789">
        <v>1524</v>
      </c>
    </row>
    <row r="1525" spans="1:9">
      <c r="A1525" s="789">
        <v>1525</v>
      </c>
      <c r="I1525" s="789">
        <v>1525</v>
      </c>
    </row>
    <row r="1526" spans="1:9">
      <c r="A1526" s="789">
        <v>1526</v>
      </c>
      <c r="I1526" s="789">
        <v>1526</v>
      </c>
    </row>
    <row r="1527" spans="1:9">
      <c r="A1527" s="789">
        <v>1527</v>
      </c>
      <c r="I1527" s="789">
        <v>1527</v>
      </c>
    </row>
    <row r="1528" spans="1:9">
      <c r="A1528" s="789">
        <v>1528</v>
      </c>
      <c r="I1528" s="789">
        <v>1528</v>
      </c>
    </row>
    <row r="1529" spans="1:9">
      <c r="A1529" s="789">
        <v>1529</v>
      </c>
      <c r="I1529" s="789">
        <v>1529</v>
      </c>
    </row>
    <row r="1530" spans="1:9">
      <c r="A1530" s="789">
        <v>1530</v>
      </c>
      <c r="I1530" s="789">
        <v>1530</v>
      </c>
    </row>
    <row r="1531" spans="1:9">
      <c r="A1531" s="789">
        <v>1531</v>
      </c>
      <c r="I1531" s="789">
        <v>1531</v>
      </c>
    </row>
    <row r="1532" spans="1:9">
      <c r="A1532" s="789">
        <v>1532</v>
      </c>
      <c r="I1532" s="789">
        <v>1532</v>
      </c>
    </row>
    <row r="1533" spans="1:9">
      <c r="A1533" s="789">
        <v>1533</v>
      </c>
      <c r="I1533" s="789">
        <v>1533</v>
      </c>
    </row>
    <row r="1534" spans="1:9">
      <c r="A1534" s="789">
        <v>1534</v>
      </c>
      <c r="I1534" s="789">
        <v>1534</v>
      </c>
    </row>
    <row r="1535" spans="1:9">
      <c r="A1535" s="789">
        <v>1535</v>
      </c>
      <c r="I1535" s="789">
        <v>1535</v>
      </c>
    </row>
    <row r="1536" spans="1:9">
      <c r="A1536" s="789">
        <v>1536</v>
      </c>
      <c r="I1536" s="789">
        <v>1536</v>
      </c>
    </row>
    <row r="1537" spans="1:9">
      <c r="A1537" s="789">
        <v>1537</v>
      </c>
      <c r="I1537" s="789">
        <v>1537</v>
      </c>
    </row>
    <row r="1538" spans="1:9">
      <c r="A1538" s="789">
        <v>1538</v>
      </c>
      <c r="I1538" s="789">
        <v>1538</v>
      </c>
    </row>
    <row r="1539" spans="1:9">
      <c r="A1539" s="789">
        <v>1539</v>
      </c>
      <c r="I1539" s="789">
        <v>1539</v>
      </c>
    </row>
    <row r="1540" spans="1:9">
      <c r="A1540" s="789">
        <v>1540</v>
      </c>
      <c r="I1540" s="789">
        <v>1540</v>
      </c>
    </row>
    <row r="1541" spans="1:9">
      <c r="A1541" s="789">
        <v>1541</v>
      </c>
      <c r="I1541" s="789">
        <v>1541</v>
      </c>
    </row>
    <row r="1542" spans="1:9">
      <c r="A1542" s="789">
        <v>1542</v>
      </c>
      <c r="I1542" s="789">
        <v>1542</v>
      </c>
    </row>
    <row r="1543" spans="1:9">
      <c r="A1543" s="789">
        <v>1543</v>
      </c>
      <c r="I1543" s="789">
        <v>1543</v>
      </c>
    </row>
    <row r="1544" spans="1:9">
      <c r="A1544" s="789">
        <v>1544</v>
      </c>
      <c r="I1544" s="789">
        <v>1544</v>
      </c>
    </row>
    <row r="1545" spans="1:9">
      <c r="A1545" s="789">
        <v>1545</v>
      </c>
      <c r="I1545" s="789">
        <v>1545</v>
      </c>
    </row>
    <row r="1546" spans="1:9">
      <c r="A1546" s="789">
        <v>1546</v>
      </c>
      <c r="I1546" s="789">
        <v>1546</v>
      </c>
    </row>
    <row r="1547" spans="1:9">
      <c r="A1547" s="789">
        <v>1547</v>
      </c>
      <c r="I1547" s="789">
        <v>1547</v>
      </c>
    </row>
    <row r="1548" spans="1:9">
      <c r="A1548" s="789">
        <v>1548</v>
      </c>
      <c r="I1548" s="789">
        <v>1548</v>
      </c>
    </row>
    <row r="1549" spans="1:9">
      <c r="A1549" s="789">
        <v>1549</v>
      </c>
      <c r="I1549" s="789">
        <v>1549</v>
      </c>
    </row>
    <row r="1550" spans="1:9">
      <c r="A1550" s="789">
        <v>1550</v>
      </c>
      <c r="I1550" s="789">
        <v>1550</v>
      </c>
    </row>
    <row r="1551" spans="1:9">
      <c r="A1551" s="789">
        <v>1551</v>
      </c>
      <c r="I1551" s="789">
        <v>1551</v>
      </c>
    </row>
    <row r="1552" spans="1:9">
      <c r="A1552" s="789">
        <v>1552</v>
      </c>
      <c r="I1552" s="789">
        <v>1552</v>
      </c>
    </row>
    <row r="1553" spans="1:9">
      <c r="A1553" s="789">
        <v>1553</v>
      </c>
      <c r="I1553" s="789">
        <v>1553</v>
      </c>
    </row>
    <row r="1554" spans="1:9">
      <c r="A1554" s="789">
        <v>1554</v>
      </c>
      <c r="I1554" s="789">
        <v>1554</v>
      </c>
    </row>
    <row r="1555" spans="1:9">
      <c r="A1555" s="789">
        <v>1555</v>
      </c>
      <c r="I1555" s="789">
        <v>1555</v>
      </c>
    </row>
    <row r="1556" spans="1:9">
      <c r="A1556" s="789">
        <v>1556</v>
      </c>
      <c r="I1556" s="789">
        <v>1556</v>
      </c>
    </row>
    <row r="1557" spans="1:9">
      <c r="A1557" s="789">
        <v>1557</v>
      </c>
      <c r="I1557" s="789">
        <v>1557</v>
      </c>
    </row>
    <row r="1558" spans="1:9">
      <c r="A1558" s="789">
        <v>1558</v>
      </c>
      <c r="I1558" s="789">
        <v>1558</v>
      </c>
    </row>
    <row r="1559" spans="1:9">
      <c r="A1559" s="789">
        <v>1559</v>
      </c>
      <c r="I1559" s="789">
        <v>1559</v>
      </c>
    </row>
    <row r="1560" spans="1:9">
      <c r="A1560" s="789">
        <v>1560</v>
      </c>
      <c r="I1560" s="789">
        <v>1560</v>
      </c>
    </row>
    <row r="1561" spans="1:9">
      <c r="A1561" s="789">
        <v>1561</v>
      </c>
      <c r="I1561" s="789">
        <v>1561</v>
      </c>
    </row>
    <row r="1562" spans="1:9">
      <c r="A1562" s="789">
        <v>1562</v>
      </c>
      <c r="I1562" s="789">
        <v>1562</v>
      </c>
    </row>
    <row r="1563" spans="1:9">
      <c r="A1563" s="789">
        <v>1563</v>
      </c>
      <c r="I1563" s="789">
        <v>1563</v>
      </c>
    </row>
    <row r="1564" spans="1:9">
      <c r="A1564" s="789">
        <v>1564</v>
      </c>
      <c r="I1564" s="789">
        <v>1564</v>
      </c>
    </row>
    <row r="1565" spans="1:9">
      <c r="A1565" s="789">
        <v>1565</v>
      </c>
      <c r="I1565" s="789">
        <v>1565</v>
      </c>
    </row>
    <row r="1566" spans="1:9">
      <c r="A1566" s="789">
        <v>1566</v>
      </c>
      <c r="I1566" s="789">
        <v>1566</v>
      </c>
    </row>
    <row r="1567" spans="1:9">
      <c r="A1567" s="789">
        <v>1567</v>
      </c>
      <c r="I1567" s="789">
        <v>1567</v>
      </c>
    </row>
    <row r="1568" spans="1:9">
      <c r="A1568" s="789">
        <v>1568</v>
      </c>
      <c r="I1568" s="789">
        <v>1568</v>
      </c>
    </row>
    <row r="1569" spans="1:9">
      <c r="A1569" s="789">
        <v>1569</v>
      </c>
      <c r="I1569" s="789">
        <v>1569</v>
      </c>
    </row>
    <row r="1570" spans="1:9">
      <c r="A1570" s="789">
        <v>1570</v>
      </c>
      <c r="I1570" s="789">
        <v>1570</v>
      </c>
    </row>
    <row r="1571" spans="1:9">
      <c r="A1571" s="789">
        <v>1571</v>
      </c>
      <c r="I1571" s="789">
        <v>1571</v>
      </c>
    </row>
    <row r="1572" spans="1:9">
      <c r="A1572" s="789">
        <v>1572</v>
      </c>
      <c r="I1572" s="789">
        <v>1572</v>
      </c>
    </row>
    <row r="1573" spans="1:9">
      <c r="A1573" s="789">
        <v>1573</v>
      </c>
      <c r="I1573" s="789">
        <v>1573</v>
      </c>
    </row>
    <row r="1574" spans="1:9">
      <c r="A1574" s="789">
        <v>1574</v>
      </c>
      <c r="I1574" s="789">
        <v>1574</v>
      </c>
    </row>
    <row r="1575" spans="1:9">
      <c r="A1575" s="789">
        <v>1575</v>
      </c>
      <c r="I1575" s="789">
        <v>1575</v>
      </c>
    </row>
    <row r="1576" spans="1:9">
      <c r="A1576" s="789">
        <v>1576</v>
      </c>
      <c r="I1576" s="789">
        <v>1576</v>
      </c>
    </row>
    <row r="1577" spans="1:9">
      <c r="A1577" s="789">
        <v>1577</v>
      </c>
      <c r="I1577" s="789">
        <v>1577</v>
      </c>
    </row>
    <row r="1578" spans="1:9">
      <c r="A1578" s="789">
        <v>1578</v>
      </c>
      <c r="I1578" s="789">
        <v>1578</v>
      </c>
    </row>
    <row r="1579" spans="1:9">
      <c r="A1579" s="789">
        <v>1579</v>
      </c>
      <c r="I1579" s="789">
        <v>1579</v>
      </c>
    </row>
    <row r="1580" spans="1:9">
      <c r="A1580" s="789">
        <v>1580</v>
      </c>
      <c r="I1580" s="789">
        <v>1580</v>
      </c>
    </row>
    <row r="1581" spans="1:9">
      <c r="A1581" s="789">
        <v>1581</v>
      </c>
      <c r="I1581" s="789">
        <v>1581</v>
      </c>
    </row>
    <row r="1582" spans="1:9">
      <c r="A1582" s="789">
        <v>1582</v>
      </c>
      <c r="I1582" s="789">
        <v>1582</v>
      </c>
    </row>
    <row r="1583" spans="1:9">
      <c r="A1583" s="789">
        <v>1583</v>
      </c>
      <c r="I1583" s="789">
        <v>1583</v>
      </c>
    </row>
    <row r="1584" spans="1:9">
      <c r="A1584" s="789">
        <v>1584</v>
      </c>
      <c r="I1584" s="789">
        <v>1584</v>
      </c>
    </row>
    <row r="1585" spans="1:9">
      <c r="A1585" s="789">
        <v>1585</v>
      </c>
      <c r="I1585" s="789">
        <v>1585</v>
      </c>
    </row>
    <row r="1586" spans="1:9">
      <c r="A1586" s="789">
        <v>1586</v>
      </c>
      <c r="I1586" s="789">
        <v>1586</v>
      </c>
    </row>
    <row r="1587" spans="1:9">
      <c r="A1587" s="789">
        <v>1587</v>
      </c>
      <c r="I1587" s="789">
        <v>1587</v>
      </c>
    </row>
    <row r="1588" spans="1:9">
      <c r="A1588" s="789">
        <v>1588</v>
      </c>
      <c r="I1588" s="789">
        <v>1588</v>
      </c>
    </row>
    <row r="1589" spans="1:9">
      <c r="A1589" s="789">
        <v>1589</v>
      </c>
      <c r="I1589" s="789">
        <v>1589</v>
      </c>
    </row>
    <row r="1590" spans="1:9">
      <c r="A1590" s="789">
        <v>1590</v>
      </c>
      <c r="I1590" s="789">
        <v>1590</v>
      </c>
    </row>
    <row r="1591" spans="1:9">
      <c r="A1591" s="789">
        <v>1591</v>
      </c>
      <c r="I1591" s="789">
        <v>1591</v>
      </c>
    </row>
    <row r="1592" spans="1:9">
      <c r="A1592" s="789">
        <v>1592</v>
      </c>
      <c r="I1592" s="789">
        <v>1592</v>
      </c>
    </row>
    <row r="1593" spans="1:9">
      <c r="A1593" s="789">
        <v>1593</v>
      </c>
      <c r="I1593" s="789">
        <v>1593</v>
      </c>
    </row>
    <row r="1594" spans="1:9">
      <c r="A1594" s="789">
        <v>1594</v>
      </c>
      <c r="I1594" s="789">
        <v>1594</v>
      </c>
    </row>
    <row r="1595" spans="1:9">
      <c r="A1595" s="789">
        <v>1595</v>
      </c>
      <c r="I1595" s="789">
        <v>1595</v>
      </c>
    </row>
    <row r="1596" spans="1:9">
      <c r="A1596" s="789">
        <v>1596</v>
      </c>
      <c r="I1596" s="789">
        <v>1596</v>
      </c>
    </row>
    <row r="1597" spans="1:9">
      <c r="A1597" s="789">
        <v>1597</v>
      </c>
      <c r="I1597" s="789">
        <v>1597</v>
      </c>
    </row>
    <row r="1598" spans="1:9">
      <c r="A1598" s="789">
        <v>1598</v>
      </c>
      <c r="I1598" s="789">
        <v>1598</v>
      </c>
    </row>
    <row r="1599" spans="1:9">
      <c r="A1599" s="789">
        <v>1599</v>
      </c>
      <c r="I1599" s="789">
        <v>1599</v>
      </c>
    </row>
    <row r="1600" spans="1:9">
      <c r="A1600" s="789">
        <v>1600</v>
      </c>
      <c r="I1600" s="789">
        <v>1600</v>
      </c>
    </row>
    <row r="1601" spans="1:9">
      <c r="A1601" s="789">
        <v>1601</v>
      </c>
      <c r="I1601" s="789">
        <v>1601</v>
      </c>
    </row>
    <row r="1602" spans="1:9">
      <c r="A1602" s="789">
        <v>1602</v>
      </c>
      <c r="I1602" s="789">
        <v>1602</v>
      </c>
    </row>
    <row r="1603" spans="1:9">
      <c r="A1603" s="789">
        <v>1603</v>
      </c>
      <c r="I1603" s="789">
        <v>1603</v>
      </c>
    </row>
    <row r="1604" spans="1:9">
      <c r="A1604" s="789">
        <v>1604</v>
      </c>
      <c r="I1604" s="789">
        <v>1604</v>
      </c>
    </row>
    <row r="1605" spans="1:9">
      <c r="A1605" s="789">
        <v>1605</v>
      </c>
      <c r="I1605" s="789">
        <v>1605</v>
      </c>
    </row>
    <row r="1606" spans="1:9">
      <c r="A1606" s="789">
        <v>1606</v>
      </c>
      <c r="I1606" s="789">
        <v>1606</v>
      </c>
    </row>
    <row r="1607" spans="1:9">
      <c r="A1607" s="789">
        <v>1607</v>
      </c>
      <c r="I1607" s="789">
        <v>1607</v>
      </c>
    </row>
    <row r="1608" spans="1:9">
      <c r="A1608" s="789">
        <v>1608</v>
      </c>
      <c r="I1608" s="789">
        <v>1608</v>
      </c>
    </row>
    <row r="1609" spans="1:9">
      <c r="A1609" s="789">
        <v>1609</v>
      </c>
      <c r="I1609" s="789">
        <v>1609</v>
      </c>
    </row>
    <row r="1610" spans="1:9">
      <c r="A1610" s="789">
        <v>1610</v>
      </c>
      <c r="I1610" s="789">
        <v>1610</v>
      </c>
    </row>
    <row r="1611" spans="1:9">
      <c r="A1611" s="789">
        <v>1611</v>
      </c>
      <c r="I1611" s="789">
        <v>1611</v>
      </c>
    </row>
    <row r="1612" spans="1:9">
      <c r="A1612" s="789">
        <v>1612</v>
      </c>
      <c r="I1612" s="789">
        <v>1612</v>
      </c>
    </row>
    <row r="1613" spans="1:9">
      <c r="A1613" s="789">
        <v>1613</v>
      </c>
      <c r="I1613" s="789">
        <v>1613</v>
      </c>
    </row>
    <row r="1614" spans="1:9">
      <c r="A1614" s="789">
        <v>1614</v>
      </c>
      <c r="I1614" s="789">
        <v>1614</v>
      </c>
    </row>
    <row r="1615" spans="1:9">
      <c r="A1615" s="789">
        <v>1615</v>
      </c>
      <c r="I1615" s="789">
        <v>1615</v>
      </c>
    </row>
    <row r="1616" spans="1:9">
      <c r="A1616" s="789">
        <v>1616</v>
      </c>
      <c r="I1616" s="789">
        <v>1616</v>
      </c>
    </row>
    <row r="1617" spans="1:9">
      <c r="A1617" s="789">
        <v>1617</v>
      </c>
      <c r="I1617" s="789">
        <v>1617</v>
      </c>
    </row>
    <row r="1618" spans="1:9">
      <c r="A1618" s="789">
        <v>1618</v>
      </c>
      <c r="I1618" s="789">
        <v>1618</v>
      </c>
    </row>
    <row r="1619" spans="1:9">
      <c r="A1619" s="789">
        <v>1619</v>
      </c>
      <c r="I1619" s="789">
        <v>1619</v>
      </c>
    </row>
    <row r="1620" spans="1:9">
      <c r="A1620" s="789">
        <v>1620</v>
      </c>
      <c r="I1620" s="789">
        <v>1620</v>
      </c>
    </row>
    <row r="1621" spans="1:9">
      <c r="A1621" s="789">
        <v>1621</v>
      </c>
      <c r="I1621" s="789">
        <v>1621</v>
      </c>
    </row>
    <row r="1622" spans="1:9">
      <c r="A1622" s="789">
        <v>1622</v>
      </c>
      <c r="I1622" s="789">
        <v>1622</v>
      </c>
    </row>
    <row r="1623" spans="1:9">
      <c r="A1623" s="789">
        <v>1623</v>
      </c>
      <c r="I1623" s="789">
        <v>1623</v>
      </c>
    </row>
    <row r="1624" spans="1:9">
      <c r="A1624" s="789">
        <v>1624</v>
      </c>
      <c r="I1624" s="789">
        <v>1624</v>
      </c>
    </row>
    <row r="1625" spans="1:9">
      <c r="A1625" s="789">
        <v>1625</v>
      </c>
      <c r="I1625" s="789">
        <v>1625</v>
      </c>
    </row>
    <row r="1626" spans="1:9">
      <c r="A1626" s="789">
        <v>1626</v>
      </c>
      <c r="I1626" s="789">
        <v>1626</v>
      </c>
    </row>
    <row r="1627" spans="1:9">
      <c r="A1627" s="789">
        <v>1627</v>
      </c>
      <c r="I1627" s="789">
        <v>1627</v>
      </c>
    </row>
    <row r="1628" spans="1:9">
      <c r="A1628" s="789">
        <v>1628</v>
      </c>
      <c r="I1628" s="789">
        <v>1628</v>
      </c>
    </row>
    <row r="1629" spans="1:9">
      <c r="A1629" s="789">
        <v>1629</v>
      </c>
      <c r="I1629" s="789">
        <v>1629</v>
      </c>
    </row>
    <row r="1630" spans="1:9">
      <c r="A1630" s="789">
        <v>1630</v>
      </c>
      <c r="I1630" s="789">
        <v>1630</v>
      </c>
    </row>
    <row r="1631" spans="1:9">
      <c r="A1631" s="789">
        <v>1631</v>
      </c>
      <c r="I1631" s="789">
        <v>1631</v>
      </c>
    </row>
    <row r="1632" spans="1:9">
      <c r="A1632" s="789">
        <v>1632</v>
      </c>
      <c r="I1632" s="789">
        <v>1632</v>
      </c>
    </row>
    <row r="1633" spans="1:9">
      <c r="A1633" s="789">
        <v>1633</v>
      </c>
      <c r="I1633" s="789">
        <v>1633</v>
      </c>
    </row>
    <row r="1634" spans="1:9">
      <c r="A1634" s="789">
        <v>1634</v>
      </c>
      <c r="I1634" s="789">
        <v>1634</v>
      </c>
    </row>
    <row r="1635" spans="1:9">
      <c r="A1635" s="789">
        <v>1635</v>
      </c>
      <c r="I1635" s="789">
        <v>1635</v>
      </c>
    </row>
    <row r="1636" spans="1:9">
      <c r="A1636" s="789">
        <v>1636</v>
      </c>
      <c r="I1636" s="789">
        <v>1636</v>
      </c>
    </row>
    <row r="1637" spans="1:9">
      <c r="A1637" s="789">
        <v>1637</v>
      </c>
      <c r="I1637" s="789">
        <v>1637</v>
      </c>
    </row>
    <row r="1638" spans="1:9">
      <c r="A1638" s="789">
        <v>1638</v>
      </c>
      <c r="I1638" s="789">
        <v>1638</v>
      </c>
    </row>
    <row r="1639" spans="1:9">
      <c r="A1639" s="789">
        <v>1639</v>
      </c>
      <c r="I1639" s="789">
        <v>1639</v>
      </c>
    </row>
    <row r="1640" spans="1:9">
      <c r="A1640" s="789">
        <v>1640</v>
      </c>
      <c r="I1640" s="789">
        <v>1640</v>
      </c>
    </row>
    <row r="1641" spans="1:9">
      <c r="A1641" s="789">
        <v>1641</v>
      </c>
      <c r="I1641" s="789">
        <v>1641</v>
      </c>
    </row>
    <row r="1642" spans="1:9">
      <c r="A1642" s="789">
        <v>1642</v>
      </c>
      <c r="I1642" s="789">
        <v>1642</v>
      </c>
    </row>
    <row r="1643" spans="1:9">
      <c r="A1643" s="789">
        <v>1643</v>
      </c>
      <c r="I1643" s="789">
        <v>1643</v>
      </c>
    </row>
    <row r="1644" spans="1:9">
      <c r="A1644" s="789">
        <v>1644</v>
      </c>
      <c r="I1644" s="789">
        <v>1644</v>
      </c>
    </row>
    <row r="1645" spans="1:9">
      <c r="A1645" s="789">
        <v>1645</v>
      </c>
      <c r="I1645" s="789">
        <v>1645</v>
      </c>
    </row>
    <row r="1646" spans="1:9">
      <c r="A1646" s="789">
        <v>1646</v>
      </c>
      <c r="I1646" s="789">
        <v>1646</v>
      </c>
    </row>
    <row r="1647" spans="1:9">
      <c r="A1647" s="789">
        <v>1647</v>
      </c>
      <c r="I1647" s="789">
        <v>1647</v>
      </c>
    </row>
    <row r="1648" spans="1:9">
      <c r="A1648" s="789">
        <v>1648</v>
      </c>
      <c r="I1648" s="789">
        <v>1648</v>
      </c>
    </row>
    <row r="1649" spans="1:9">
      <c r="A1649" s="789">
        <v>1649</v>
      </c>
      <c r="I1649" s="789">
        <v>1649</v>
      </c>
    </row>
    <row r="1650" spans="1:9">
      <c r="A1650" s="789">
        <v>1650</v>
      </c>
      <c r="I1650" s="789">
        <v>1650</v>
      </c>
    </row>
    <row r="1651" spans="1:9">
      <c r="A1651" s="789">
        <v>1651</v>
      </c>
      <c r="I1651" s="789">
        <v>1651</v>
      </c>
    </row>
    <row r="1652" spans="1:9">
      <c r="A1652" s="789">
        <v>1652</v>
      </c>
      <c r="I1652" s="789">
        <v>1652</v>
      </c>
    </row>
    <row r="1653" spans="1:9">
      <c r="A1653" s="789">
        <v>1653</v>
      </c>
      <c r="I1653" s="789">
        <v>1653</v>
      </c>
    </row>
    <row r="1654" spans="1:9">
      <c r="A1654" s="789">
        <v>1654</v>
      </c>
      <c r="I1654" s="789">
        <v>1654</v>
      </c>
    </row>
    <row r="1655" spans="1:9">
      <c r="A1655" s="789">
        <v>1655</v>
      </c>
      <c r="I1655" s="789">
        <v>1655</v>
      </c>
    </row>
    <row r="1656" spans="1:9">
      <c r="A1656" s="789">
        <v>1656</v>
      </c>
      <c r="I1656" s="789">
        <v>1656</v>
      </c>
    </row>
    <row r="1657" spans="1:9">
      <c r="A1657" s="789">
        <v>1657</v>
      </c>
      <c r="I1657" s="789">
        <v>1657</v>
      </c>
    </row>
    <row r="1658" spans="1:9">
      <c r="A1658" s="789">
        <v>1658</v>
      </c>
      <c r="I1658" s="789">
        <v>1658</v>
      </c>
    </row>
    <row r="1659" spans="1:9">
      <c r="A1659" s="789">
        <v>1659</v>
      </c>
      <c r="I1659" s="789">
        <v>1659</v>
      </c>
    </row>
    <row r="1660" spans="1:9">
      <c r="A1660" s="789">
        <v>1660</v>
      </c>
      <c r="I1660" s="789">
        <v>1660</v>
      </c>
    </row>
    <row r="1661" spans="1:9">
      <c r="A1661" s="789">
        <v>1661</v>
      </c>
      <c r="I1661" s="789">
        <v>1661</v>
      </c>
    </row>
    <row r="1662" spans="1:9">
      <c r="A1662" s="789">
        <v>1662</v>
      </c>
      <c r="I1662" s="789">
        <v>1662</v>
      </c>
    </row>
    <row r="1663" spans="1:9">
      <c r="A1663" s="789">
        <v>1663</v>
      </c>
      <c r="I1663" s="789">
        <v>1663</v>
      </c>
    </row>
    <row r="1664" spans="1:9">
      <c r="A1664" s="789">
        <v>1664</v>
      </c>
      <c r="I1664" s="789">
        <v>1664</v>
      </c>
    </row>
    <row r="1665" spans="1:9">
      <c r="A1665" s="789">
        <v>1665</v>
      </c>
      <c r="I1665" s="789">
        <v>1665</v>
      </c>
    </row>
    <row r="1666" spans="1:9">
      <c r="A1666" s="789">
        <v>1666</v>
      </c>
      <c r="I1666" s="789">
        <v>1666</v>
      </c>
    </row>
    <row r="1667" spans="1:9">
      <c r="A1667" s="789">
        <v>1667</v>
      </c>
      <c r="I1667" s="789">
        <v>1667</v>
      </c>
    </row>
    <row r="1668" spans="1:9">
      <c r="A1668" s="789">
        <v>1668</v>
      </c>
      <c r="I1668" s="789">
        <v>1668</v>
      </c>
    </row>
    <row r="1669" spans="1:9">
      <c r="A1669" s="789">
        <v>1669</v>
      </c>
      <c r="I1669" s="789">
        <v>1669</v>
      </c>
    </row>
    <row r="1670" spans="1:9">
      <c r="A1670" s="789">
        <v>1670</v>
      </c>
      <c r="I1670" s="789">
        <v>1670</v>
      </c>
    </row>
    <row r="1671" spans="1:9">
      <c r="A1671" s="789">
        <v>1671</v>
      </c>
      <c r="I1671" s="789">
        <v>1671</v>
      </c>
    </row>
    <row r="1672" spans="1:9">
      <c r="A1672" s="789">
        <v>1672</v>
      </c>
      <c r="I1672" s="789">
        <v>1672</v>
      </c>
    </row>
    <row r="1673" spans="1:9">
      <c r="A1673" s="789">
        <v>1673</v>
      </c>
      <c r="I1673" s="789">
        <v>1673</v>
      </c>
    </row>
    <row r="1674" spans="1:9">
      <c r="A1674" s="789">
        <v>1674</v>
      </c>
      <c r="I1674" s="789">
        <v>1674</v>
      </c>
    </row>
    <row r="1675" spans="1:9">
      <c r="A1675" s="789">
        <v>1675</v>
      </c>
      <c r="I1675" s="789">
        <v>1675</v>
      </c>
    </row>
    <row r="1676" spans="1:9">
      <c r="A1676" s="789">
        <v>1676</v>
      </c>
      <c r="I1676" s="789">
        <v>1676</v>
      </c>
    </row>
    <row r="1677" spans="1:9">
      <c r="A1677" s="789">
        <v>1677</v>
      </c>
      <c r="I1677" s="789">
        <v>1677</v>
      </c>
    </row>
    <row r="1678" spans="1:9">
      <c r="A1678" s="789">
        <v>1678</v>
      </c>
      <c r="I1678" s="789">
        <v>1678</v>
      </c>
    </row>
    <row r="1679" spans="1:9">
      <c r="A1679" s="789">
        <v>1679</v>
      </c>
      <c r="I1679" s="789">
        <v>1679</v>
      </c>
    </row>
    <row r="1680" spans="1:9">
      <c r="A1680" s="789">
        <v>1680</v>
      </c>
      <c r="I1680" s="789">
        <v>1680</v>
      </c>
    </row>
    <row r="1681" spans="1:9">
      <c r="A1681" s="789">
        <v>1681</v>
      </c>
      <c r="I1681" s="789">
        <v>1681</v>
      </c>
    </row>
    <row r="1682" spans="1:9">
      <c r="A1682" s="789">
        <v>1682</v>
      </c>
      <c r="I1682" s="789">
        <v>1682</v>
      </c>
    </row>
    <row r="1683" spans="1:9">
      <c r="A1683" s="789">
        <v>1683</v>
      </c>
      <c r="I1683" s="789">
        <v>1683</v>
      </c>
    </row>
    <row r="1684" spans="1:9">
      <c r="A1684" s="789">
        <v>1684</v>
      </c>
      <c r="I1684" s="789">
        <v>1684</v>
      </c>
    </row>
    <row r="1685" spans="1:9">
      <c r="A1685" s="789">
        <v>1685</v>
      </c>
      <c r="I1685" s="789">
        <v>1685</v>
      </c>
    </row>
    <row r="1686" spans="1:9">
      <c r="A1686" s="789">
        <v>1686</v>
      </c>
      <c r="I1686" s="789">
        <v>1686</v>
      </c>
    </row>
    <row r="1687" spans="1:9">
      <c r="A1687" s="789">
        <v>1687</v>
      </c>
      <c r="I1687" s="789">
        <v>1687</v>
      </c>
    </row>
    <row r="1688" spans="1:9">
      <c r="A1688" s="789">
        <v>1688</v>
      </c>
      <c r="I1688" s="789">
        <v>1688</v>
      </c>
    </row>
    <row r="1689" spans="1:9">
      <c r="A1689" s="789">
        <v>1689</v>
      </c>
      <c r="I1689" s="789">
        <v>1689</v>
      </c>
    </row>
    <row r="1690" spans="1:9">
      <c r="A1690" s="789">
        <v>1690</v>
      </c>
      <c r="I1690" s="789">
        <v>1690</v>
      </c>
    </row>
    <row r="1691" spans="1:9">
      <c r="A1691" s="789">
        <v>1691</v>
      </c>
      <c r="I1691" s="789">
        <v>1691</v>
      </c>
    </row>
    <row r="1692" spans="1:9">
      <c r="A1692" s="789">
        <v>1692</v>
      </c>
      <c r="I1692" s="789">
        <v>1692</v>
      </c>
    </row>
    <row r="1693" spans="1:9">
      <c r="A1693" s="789">
        <v>1693</v>
      </c>
      <c r="I1693" s="789">
        <v>1693</v>
      </c>
    </row>
    <row r="1694" spans="1:9">
      <c r="A1694" s="789">
        <v>1694</v>
      </c>
      <c r="I1694" s="789">
        <v>1694</v>
      </c>
    </row>
    <row r="1695" spans="1:9">
      <c r="A1695" s="789">
        <v>1695</v>
      </c>
      <c r="I1695" s="789">
        <v>1695</v>
      </c>
    </row>
    <row r="1696" spans="1:9">
      <c r="A1696" s="789">
        <v>1696</v>
      </c>
      <c r="I1696" s="789">
        <v>1696</v>
      </c>
    </row>
    <row r="1697" spans="1:9">
      <c r="A1697" s="789">
        <v>1697</v>
      </c>
      <c r="I1697" s="789">
        <v>1697</v>
      </c>
    </row>
    <row r="1698" spans="1:9">
      <c r="A1698" s="789">
        <v>1698</v>
      </c>
      <c r="I1698" s="789">
        <v>1698</v>
      </c>
    </row>
    <row r="1699" spans="1:9">
      <c r="A1699" s="789">
        <v>1699</v>
      </c>
      <c r="I1699" s="789">
        <v>1699</v>
      </c>
    </row>
    <row r="1700" spans="1:9">
      <c r="A1700" s="789">
        <v>1700</v>
      </c>
      <c r="I1700" s="789">
        <v>1700</v>
      </c>
    </row>
    <row r="1701" spans="1:9">
      <c r="A1701" s="789">
        <v>1701</v>
      </c>
      <c r="I1701" s="789">
        <v>1701</v>
      </c>
    </row>
    <row r="1702" spans="1:9">
      <c r="A1702" s="789">
        <v>1702</v>
      </c>
      <c r="I1702" s="789">
        <v>1702</v>
      </c>
    </row>
    <row r="1703" spans="1:9">
      <c r="A1703" s="789">
        <v>1703</v>
      </c>
      <c r="I1703" s="789">
        <v>1703</v>
      </c>
    </row>
    <row r="1704" spans="1:9">
      <c r="A1704" s="789">
        <v>1704</v>
      </c>
      <c r="I1704" s="789">
        <v>1704</v>
      </c>
    </row>
    <row r="1705" spans="1:9">
      <c r="A1705" s="789">
        <v>1705</v>
      </c>
      <c r="I1705" s="789">
        <v>1705</v>
      </c>
    </row>
    <row r="1706" spans="1:9">
      <c r="A1706" s="789">
        <v>1706</v>
      </c>
      <c r="I1706" s="789">
        <v>1706</v>
      </c>
    </row>
    <row r="1707" spans="1:9">
      <c r="A1707" s="789">
        <v>1707</v>
      </c>
      <c r="I1707" s="789">
        <v>1707</v>
      </c>
    </row>
    <row r="1708" spans="1:9">
      <c r="A1708" s="789">
        <v>1708</v>
      </c>
      <c r="I1708" s="789">
        <v>1708</v>
      </c>
    </row>
    <row r="1709" spans="1:9">
      <c r="A1709" s="789">
        <v>1709</v>
      </c>
      <c r="I1709" s="789">
        <v>1709</v>
      </c>
    </row>
    <row r="1710" spans="1:9">
      <c r="A1710" s="789">
        <v>1710</v>
      </c>
      <c r="I1710" s="789">
        <v>1710</v>
      </c>
    </row>
    <row r="1711" spans="1:9">
      <c r="A1711" s="789">
        <v>1711</v>
      </c>
      <c r="I1711" s="789">
        <v>1711</v>
      </c>
    </row>
    <row r="1712" spans="1:9">
      <c r="A1712" s="789">
        <v>1712</v>
      </c>
      <c r="I1712" s="789">
        <v>1712</v>
      </c>
    </row>
    <row r="1713" spans="1:9">
      <c r="A1713" s="789">
        <v>1713</v>
      </c>
      <c r="I1713" s="789">
        <v>1713</v>
      </c>
    </row>
    <row r="1714" spans="1:9">
      <c r="A1714" s="789">
        <v>1714</v>
      </c>
      <c r="I1714" s="789">
        <v>1714</v>
      </c>
    </row>
    <row r="1715" spans="1:9">
      <c r="A1715" s="789">
        <v>1715</v>
      </c>
      <c r="I1715" s="789">
        <v>1715</v>
      </c>
    </row>
    <row r="1716" spans="1:9">
      <c r="A1716" s="789">
        <v>1716</v>
      </c>
      <c r="I1716" s="789">
        <v>1716</v>
      </c>
    </row>
    <row r="1717" spans="1:9">
      <c r="A1717" s="789">
        <v>1717</v>
      </c>
      <c r="I1717" s="789">
        <v>1717</v>
      </c>
    </row>
    <row r="1718" spans="1:9">
      <c r="A1718" s="789">
        <v>1718</v>
      </c>
      <c r="I1718" s="789">
        <v>1718</v>
      </c>
    </row>
    <row r="1719" spans="1:9">
      <c r="A1719" s="789">
        <v>1719</v>
      </c>
      <c r="I1719" s="789">
        <v>1719</v>
      </c>
    </row>
    <row r="1720" spans="1:9">
      <c r="A1720" s="789">
        <v>1720</v>
      </c>
      <c r="I1720" s="789">
        <v>1720</v>
      </c>
    </row>
    <row r="1721" spans="1:9">
      <c r="A1721" s="789">
        <v>1721</v>
      </c>
      <c r="I1721" s="789">
        <v>1721</v>
      </c>
    </row>
    <row r="1722" spans="1:9">
      <c r="A1722" s="789">
        <v>1722</v>
      </c>
      <c r="I1722" s="789">
        <v>1722</v>
      </c>
    </row>
    <row r="1723" spans="1:9">
      <c r="A1723" s="789">
        <v>1723</v>
      </c>
      <c r="I1723" s="789">
        <v>1723</v>
      </c>
    </row>
    <row r="1724" spans="1:9">
      <c r="A1724" s="789">
        <v>1724</v>
      </c>
      <c r="I1724" s="789">
        <v>1724</v>
      </c>
    </row>
    <row r="1725" spans="1:9">
      <c r="A1725" s="789">
        <v>1725</v>
      </c>
      <c r="I1725" s="789">
        <v>1725</v>
      </c>
    </row>
    <row r="1726" spans="1:9">
      <c r="A1726" s="789">
        <v>1726</v>
      </c>
      <c r="I1726" s="789">
        <v>1726</v>
      </c>
    </row>
    <row r="1727" spans="1:9">
      <c r="A1727" s="789">
        <v>1727</v>
      </c>
      <c r="I1727" s="789">
        <v>1727</v>
      </c>
    </row>
    <row r="1728" spans="1:9">
      <c r="A1728" s="789">
        <v>1728</v>
      </c>
      <c r="I1728" s="789">
        <v>1728</v>
      </c>
    </row>
    <row r="1729" spans="1:9">
      <c r="A1729" s="789">
        <v>1729</v>
      </c>
      <c r="I1729" s="789">
        <v>1729</v>
      </c>
    </row>
    <row r="1730" spans="1:9">
      <c r="A1730" s="789">
        <v>1730</v>
      </c>
      <c r="I1730" s="789">
        <v>1730</v>
      </c>
    </row>
    <row r="1731" spans="1:9">
      <c r="A1731" s="789">
        <v>1731</v>
      </c>
      <c r="I1731" s="789">
        <v>1731</v>
      </c>
    </row>
    <row r="1732" spans="1:9">
      <c r="A1732" s="789">
        <v>1732</v>
      </c>
      <c r="I1732" s="789">
        <v>1732</v>
      </c>
    </row>
    <row r="1733" spans="1:9">
      <c r="A1733" s="789">
        <v>1733</v>
      </c>
      <c r="I1733" s="789">
        <v>1733</v>
      </c>
    </row>
    <row r="1734" spans="1:9">
      <c r="A1734" s="789">
        <v>1734</v>
      </c>
      <c r="I1734" s="789">
        <v>1734</v>
      </c>
    </row>
    <row r="1735" spans="1:9">
      <c r="A1735" s="789">
        <v>1735</v>
      </c>
      <c r="I1735" s="789">
        <v>1735</v>
      </c>
    </row>
    <row r="1736" spans="1:9">
      <c r="A1736" s="789">
        <v>1736</v>
      </c>
      <c r="I1736" s="789">
        <v>1736</v>
      </c>
    </row>
    <row r="1737" spans="1:9">
      <c r="A1737" s="789">
        <v>1737</v>
      </c>
      <c r="I1737" s="789">
        <v>1737</v>
      </c>
    </row>
    <row r="1738" spans="1:9">
      <c r="A1738" s="789">
        <v>1738</v>
      </c>
      <c r="I1738" s="789">
        <v>1738</v>
      </c>
    </row>
    <row r="1739" spans="1:9">
      <c r="A1739" s="789">
        <v>1739</v>
      </c>
      <c r="I1739" s="789">
        <v>1739</v>
      </c>
    </row>
    <row r="1740" spans="1:9">
      <c r="A1740" s="789">
        <v>1740</v>
      </c>
      <c r="I1740" s="789">
        <v>1740</v>
      </c>
    </row>
    <row r="1741" spans="1:9">
      <c r="A1741" s="789">
        <v>1741</v>
      </c>
      <c r="I1741" s="789">
        <v>1741</v>
      </c>
    </row>
    <row r="1742" spans="1:9">
      <c r="A1742" s="789">
        <v>1742</v>
      </c>
      <c r="I1742" s="789">
        <v>1742</v>
      </c>
    </row>
    <row r="1743" spans="1:9">
      <c r="A1743" s="789">
        <v>1743</v>
      </c>
      <c r="I1743" s="789">
        <v>1743</v>
      </c>
    </row>
    <row r="1744" spans="1:9">
      <c r="A1744" s="789">
        <v>1744</v>
      </c>
      <c r="I1744" s="789">
        <v>1744</v>
      </c>
    </row>
    <row r="1745" spans="1:9">
      <c r="A1745" s="789">
        <v>1745</v>
      </c>
      <c r="I1745" s="789">
        <v>1745</v>
      </c>
    </row>
    <row r="1746" spans="1:9">
      <c r="A1746" s="789">
        <v>1746</v>
      </c>
      <c r="I1746" s="789">
        <v>1746</v>
      </c>
    </row>
    <row r="1747" spans="1:9">
      <c r="A1747" s="789">
        <v>1747</v>
      </c>
      <c r="I1747" s="789">
        <v>1747</v>
      </c>
    </row>
    <row r="1748" spans="1:9">
      <c r="A1748" s="789">
        <v>1748</v>
      </c>
      <c r="I1748" s="789">
        <v>1748</v>
      </c>
    </row>
    <row r="1749" spans="1:9">
      <c r="A1749" s="789">
        <v>1749</v>
      </c>
      <c r="I1749" s="789">
        <v>1749</v>
      </c>
    </row>
    <row r="1750" spans="1:9">
      <c r="A1750" s="789">
        <v>1750</v>
      </c>
      <c r="I1750" s="789">
        <v>1750</v>
      </c>
    </row>
    <row r="1751" spans="1:9">
      <c r="A1751" s="789">
        <v>1751</v>
      </c>
      <c r="I1751" s="789">
        <v>1751</v>
      </c>
    </row>
    <row r="1752" spans="1:9">
      <c r="A1752" s="789">
        <v>1752</v>
      </c>
      <c r="I1752" s="789">
        <v>1752</v>
      </c>
    </row>
    <row r="1753" spans="1:9">
      <c r="A1753" s="789">
        <v>1753</v>
      </c>
      <c r="I1753" s="789">
        <v>1753</v>
      </c>
    </row>
    <row r="1754" spans="1:9">
      <c r="A1754" s="789">
        <v>1754</v>
      </c>
      <c r="I1754" s="789">
        <v>1754</v>
      </c>
    </row>
    <row r="1755" spans="1:9">
      <c r="A1755" s="789">
        <v>1755</v>
      </c>
      <c r="I1755" s="789">
        <v>1755</v>
      </c>
    </row>
    <row r="1756" spans="1:9">
      <c r="A1756" s="789">
        <v>1756</v>
      </c>
      <c r="I1756" s="789">
        <v>1756</v>
      </c>
    </row>
    <row r="1757" spans="1:9">
      <c r="A1757" s="789">
        <v>1757</v>
      </c>
      <c r="I1757" s="789">
        <v>1757</v>
      </c>
    </row>
    <row r="1758" spans="1:9">
      <c r="A1758" s="789">
        <v>1758</v>
      </c>
      <c r="I1758" s="789">
        <v>1758</v>
      </c>
    </row>
    <row r="1759" spans="1:9">
      <c r="A1759" s="789">
        <v>1759</v>
      </c>
      <c r="I1759" s="789">
        <v>1759</v>
      </c>
    </row>
    <row r="1760" spans="1:9">
      <c r="A1760" s="789">
        <v>1760</v>
      </c>
      <c r="I1760" s="789">
        <v>1760</v>
      </c>
    </row>
    <row r="1761" spans="1:9">
      <c r="A1761" s="789">
        <v>1761</v>
      </c>
      <c r="I1761" s="789">
        <v>1761</v>
      </c>
    </row>
    <row r="1762" spans="1:9">
      <c r="A1762" s="789">
        <v>1762</v>
      </c>
      <c r="I1762" s="789">
        <v>1762</v>
      </c>
    </row>
    <row r="1763" spans="1:9">
      <c r="A1763" s="789">
        <v>1763</v>
      </c>
      <c r="I1763" s="789">
        <v>1763</v>
      </c>
    </row>
    <row r="1764" spans="1:9">
      <c r="A1764" s="789">
        <v>1764</v>
      </c>
      <c r="I1764" s="789">
        <v>1764</v>
      </c>
    </row>
    <row r="1765" spans="1:9">
      <c r="A1765" s="789">
        <v>1765</v>
      </c>
      <c r="I1765" s="789">
        <v>1765</v>
      </c>
    </row>
    <row r="1766" spans="1:9">
      <c r="A1766" s="789">
        <v>1766</v>
      </c>
      <c r="I1766" s="789">
        <v>1766</v>
      </c>
    </row>
    <row r="1767" spans="1:9">
      <c r="A1767" s="789">
        <v>1767</v>
      </c>
      <c r="I1767" s="789">
        <v>1767</v>
      </c>
    </row>
    <row r="1768" spans="1:9">
      <c r="A1768" s="789">
        <v>1768</v>
      </c>
      <c r="I1768" s="789">
        <v>1768</v>
      </c>
    </row>
    <row r="1769" spans="1:9">
      <c r="A1769" s="789">
        <v>1769</v>
      </c>
      <c r="I1769" s="789">
        <v>1769</v>
      </c>
    </row>
    <row r="1770" spans="1:9">
      <c r="A1770" s="789">
        <v>1770</v>
      </c>
      <c r="I1770" s="789">
        <v>1770</v>
      </c>
    </row>
    <row r="1771" spans="1:9">
      <c r="A1771" s="789">
        <v>1771</v>
      </c>
      <c r="I1771" s="789">
        <v>1771</v>
      </c>
    </row>
    <row r="1772" spans="1:9">
      <c r="A1772" s="789">
        <v>1772</v>
      </c>
      <c r="I1772" s="789">
        <v>1772</v>
      </c>
    </row>
    <row r="1773" spans="1:9">
      <c r="A1773" s="789">
        <v>1773</v>
      </c>
      <c r="I1773" s="789">
        <v>1773</v>
      </c>
    </row>
    <row r="1774" spans="1:9">
      <c r="A1774" s="789">
        <v>1774</v>
      </c>
      <c r="I1774" s="789">
        <v>1774</v>
      </c>
    </row>
    <row r="1775" spans="1:9">
      <c r="A1775" s="789">
        <v>1775</v>
      </c>
      <c r="I1775" s="789">
        <v>1775</v>
      </c>
    </row>
    <row r="1776" spans="1:9">
      <c r="A1776" s="789">
        <v>1776</v>
      </c>
      <c r="I1776" s="789">
        <v>1776</v>
      </c>
    </row>
    <row r="1777" spans="1:9">
      <c r="A1777" s="789">
        <v>1777</v>
      </c>
      <c r="I1777" s="789">
        <v>1777</v>
      </c>
    </row>
    <row r="1778" spans="1:9">
      <c r="A1778" s="789">
        <v>1778</v>
      </c>
      <c r="I1778" s="789">
        <v>1778</v>
      </c>
    </row>
    <row r="1779" spans="1:9">
      <c r="A1779" s="789">
        <v>1779</v>
      </c>
      <c r="I1779" s="789">
        <v>1779</v>
      </c>
    </row>
    <row r="1780" spans="1:9">
      <c r="A1780" s="789">
        <v>1780</v>
      </c>
      <c r="I1780" s="789">
        <v>1780</v>
      </c>
    </row>
    <row r="1781" spans="1:9">
      <c r="A1781" s="789">
        <v>1781</v>
      </c>
      <c r="I1781" s="789">
        <v>1781</v>
      </c>
    </row>
    <row r="1782" spans="1:9">
      <c r="A1782" s="789">
        <v>1782</v>
      </c>
      <c r="I1782" s="789">
        <v>1782</v>
      </c>
    </row>
    <row r="1783" spans="1:9">
      <c r="A1783" s="789">
        <v>1783</v>
      </c>
      <c r="I1783" s="789">
        <v>1783</v>
      </c>
    </row>
    <row r="1784" spans="1:9">
      <c r="A1784" s="789">
        <v>1784</v>
      </c>
      <c r="I1784" s="789">
        <v>1784</v>
      </c>
    </row>
    <row r="1785" spans="1:9">
      <c r="A1785" s="789">
        <v>1785</v>
      </c>
      <c r="I1785" s="789">
        <v>1785</v>
      </c>
    </row>
    <row r="1786" spans="1:9">
      <c r="A1786" s="789">
        <v>1786</v>
      </c>
      <c r="I1786" s="789">
        <v>1786</v>
      </c>
    </row>
    <row r="1787" spans="1:9">
      <c r="A1787" s="789">
        <v>1787</v>
      </c>
      <c r="I1787" s="789">
        <v>1787</v>
      </c>
    </row>
    <row r="1788" spans="1:9">
      <c r="A1788" s="789">
        <v>1788</v>
      </c>
      <c r="I1788" s="789">
        <v>1788</v>
      </c>
    </row>
    <row r="1789" spans="1:9">
      <c r="A1789" s="789">
        <v>1789</v>
      </c>
      <c r="I1789" s="789">
        <v>1789</v>
      </c>
    </row>
    <row r="1790" spans="1:9">
      <c r="A1790" s="789">
        <v>1790</v>
      </c>
      <c r="I1790" s="789">
        <v>1790</v>
      </c>
    </row>
    <row r="1791" spans="1:9">
      <c r="A1791" s="789">
        <v>1791</v>
      </c>
      <c r="I1791" s="789">
        <v>1791</v>
      </c>
    </row>
    <row r="1792" spans="1:9">
      <c r="A1792" s="789">
        <v>1792</v>
      </c>
      <c r="I1792" s="789">
        <v>1792</v>
      </c>
    </row>
    <row r="1793" spans="1:9">
      <c r="A1793" s="789">
        <v>1793</v>
      </c>
      <c r="I1793" s="789">
        <v>1793</v>
      </c>
    </row>
    <row r="1794" spans="1:9">
      <c r="A1794" s="789">
        <v>1794</v>
      </c>
      <c r="I1794" s="789">
        <v>1794</v>
      </c>
    </row>
    <row r="1795" spans="1:9">
      <c r="A1795" s="789">
        <v>1795</v>
      </c>
      <c r="I1795" s="789">
        <v>1795</v>
      </c>
    </row>
    <row r="1796" spans="1:9">
      <c r="A1796" s="789">
        <v>1796</v>
      </c>
      <c r="I1796" s="789">
        <v>1796</v>
      </c>
    </row>
    <row r="1797" spans="1:9">
      <c r="A1797" s="789">
        <v>1797</v>
      </c>
      <c r="I1797" s="789">
        <v>1797</v>
      </c>
    </row>
    <row r="1798" spans="1:9">
      <c r="A1798" s="789">
        <v>1798</v>
      </c>
      <c r="I1798" s="789">
        <v>1798</v>
      </c>
    </row>
    <row r="1799" spans="1:9">
      <c r="A1799" s="789">
        <v>1799</v>
      </c>
      <c r="I1799" s="789">
        <v>1799</v>
      </c>
    </row>
    <row r="1800" spans="1:9">
      <c r="A1800" s="789">
        <v>1800</v>
      </c>
      <c r="I1800" s="789">
        <v>1800</v>
      </c>
    </row>
    <row r="1801" spans="1:9">
      <c r="A1801" s="789">
        <v>1801</v>
      </c>
      <c r="I1801" s="789">
        <v>1801</v>
      </c>
    </row>
    <row r="1802" spans="1:9">
      <c r="A1802" s="789">
        <v>1802</v>
      </c>
      <c r="I1802" s="789">
        <v>1802</v>
      </c>
    </row>
    <row r="1803" spans="1:9">
      <c r="A1803" s="789">
        <v>1803</v>
      </c>
      <c r="I1803" s="789">
        <v>1803</v>
      </c>
    </row>
    <row r="1804" spans="1:9">
      <c r="A1804" s="789">
        <v>1804</v>
      </c>
      <c r="I1804" s="789">
        <v>1804</v>
      </c>
    </row>
    <row r="1805" spans="1:9">
      <c r="A1805" s="789">
        <v>1805</v>
      </c>
      <c r="I1805" s="789">
        <v>1805</v>
      </c>
    </row>
    <row r="1806" spans="1:9">
      <c r="A1806" s="789">
        <v>1806</v>
      </c>
      <c r="I1806" s="789">
        <v>1806</v>
      </c>
    </row>
    <row r="1807" spans="1:9">
      <c r="A1807" s="789">
        <v>1807</v>
      </c>
      <c r="I1807" s="789">
        <v>1807</v>
      </c>
    </row>
    <row r="1808" spans="1:9">
      <c r="A1808" s="789">
        <v>1808</v>
      </c>
      <c r="I1808" s="789">
        <v>1808</v>
      </c>
    </row>
    <row r="1809" spans="1:9">
      <c r="A1809" s="789">
        <v>1809</v>
      </c>
      <c r="I1809" s="789">
        <v>1809</v>
      </c>
    </row>
    <row r="1810" spans="1:9">
      <c r="A1810" s="789">
        <v>1810</v>
      </c>
      <c r="I1810" s="789">
        <v>1810</v>
      </c>
    </row>
    <row r="1811" spans="1:9">
      <c r="A1811" s="789">
        <v>1811</v>
      </c>
      <c r="I1811" s="789">
        <v>1811</v>
      </c>
    </row>
    <row r="1812" spans="1:9">
      <c r="A1812" s="789">
        <v>1812</v>
      </c>
      <c r="I1812" s="789">
        <v>1812</v>
      </c>
    </row>
    <row r="1813" spans="1:9">
      <c r="A1813" s="789">
        <v>1813</v>
      </c>
      <c r="I1813" s="789">
        <v>1813</v>
      </c>
    </row>
    <row r="1814" spans="1:9">
      <c r="A1814" s="789">
        <v>1814</v>
      </c>
      <c r="I1814" s="789">
        <v>1814</v>
      </c>
    </row>
    <row r="1815" spans="1:9">
      <c r="A1815" s="789">
        <v>1815</v>
      </c>
      <c r="I1815" s="789">
        <v>1815</v>
      </c>
    </row>
    <row r="1816" spans="1:9">
      <c r="A1816" s="789">
        <v>1816</v>
      </c>
      <c r="I1816" s="789">
        <v>1816</v>
      </c>
    </row>
    <row r="1817" spans="1:9">
      <c r="A1817" s="789">
        <v>1817</v>
      </c>
      <c r="I1817" s="789">
        <v>1817</v>
      </c>
    </row>
    <row r="1818" spans="1:9">
      <c r="A1818" s="789">
        <v>1818</v>
      </c>
      <c r="I1818" s="789">
        <v>1818</v>
      </c>
    </row>
    <row r="1819" spans="1:9">
      <c r="A1819" s="789">
        <v>1819</v>
      </c>
      <c r="I1819" s="789">
        <v>1819</v>
      </c>
    </row>
    <row r="1820" spans="1:9">
      <c r="A1820" s="789">
        <v>1820</v>
      </c>
      <c r="I1820" s="789">
        <v>1820</v>
      </c>
    </row>
    <row r="1821" spans="1:9">
      <c r="A1821" s="789">
        <v>1821</v>
      </c>
      <c r="I1821" s="789">
        <v>1821</v>
      </c>
    </row>
    <row r="1822" spans="1:9">
      <c r="A1822" s="789">
        <v>1822</v>
      </c>
      <c r="I1822" s="789">
        <v>1822</v>
      </c>
    </row>
    <row r="1823" spans="1:9">
      <c r="A1823" s="789">
        <v>1823</v>
      </c>
      <c r="I1823" s="789">
        <v>1823</v>
      </c>
    </row>
    <row r="1824" spans="1:9">
      <c r="A1824" s="789">
        <v>1824</v>
      </c>
      <c r="I1824" s="789">
        <v>1824</v>
      </c>
    </row>
    <row r="1825" spans="1:9">
      <c r="A1825" s="789">
        <v>1825</v>
      </c>
      <c r="I1825" s="789">
        <v>1825</v>
      </c>
    </row>
    <row r="1826" spans="1:9">
      <c r="A1826" s="789">
        <v>1826</v>
      </c>
      <c r="I1826" s="789">
        <v>1826</v>
      </c>
    </row>
    <row r="1827" spans="1:9">
      <c r="A1827" s="789">
        <v>1827</v>
      </c>
      <c r="I1827" s="789">
        <v>1827</v>
      </c>
    </row>
    <row r="1828" spans="1:9">
      <c r="A1828" s="789">
        <v>1828</v>
      </c>
      <c r="I1828" s="789">
        <v>1828</v>
      </c>
    </row>
    <row r="1829" spans="1:9">
      <c r="A1829" s="789">
        <v>1829</v>
      </c>
      <c r="I1829" s="789">
        <v>1829</v>
      </c>
    </row>
    <row r="1830" spans="1:9">
      <c r="A1830" s="789">
        <v>1830</v>
      </c>
      <c r="I1830" s="789">
        <v>1830</v>
      </c>
    </row>
    <row r="1831" spans="1:9">
      <c r="A1831" s="789">
        <v>1831</v>
      </c>
      <c r="I1831" s="789">
        <v>1831</v>
      </c>
    </row>
    <row r="1832" spans="1:9">
      <c r="A1832" s="789">
        <v>1832</v>
      </c>
      <c r="I1832" s="789">
        <v>1832</v>
      </c>
    </row>
    <row r="1833" spans="1:9">
      <c r="A1833" s="789">
        <v>1833</v>
      </c>
      <c r="I1833" s="789">
        <v>1833</v>
      </c>
    </row>
    <row r="1834" spans="1:9">
      <c r="A1834" s="789">
        <v>1834</v>
      </c>
      <c r="I1834" s="789">
        <v>1834</v>
      </c>
    </row>
    <row r="1835" spans="1:9">
      <c r="A1835" s="789">
        <v>1835</v>
      </c>
      <c r="I1835" s="789">
        <v>1835</v>
      </c>
    </row>
    <row r="1836" spans="1:9">
      <c r="A1836" s="789">
        <v>1836</v>
      </c>
      <c r="I1836" s="789">
        <v>1836</v>
      </c>
    </row>
    <row r="1837" spans="1:9">
      <c r="A1837" s="789">
        <v>1837</v>
      </c>
      <c r="I1837" s="789">
        <v>1837</v>
      </c>
    </row>
    <row r="1838" spans="1:9">
      <c r="A1838" s="789">
        <v>1838</v>
      </c>
      <c r="I1838" s="789">
        <v>1838</v>
      </c>
    </row>
    <row r="1839" spans="1:9">
      <c r="A1839" s="789">
        <v>1839</v>
      </c>
      <c r="I1839" s="789">
        <v>1839</v>
      </c>
    </row>
    <row r="1840" spans="1:9">
      <c r="A1840" s="789">
        <v>1840</v>
      </c>
      <c r="I1840" s="789">
        <v>1840</v>
      </c>
    </row>
    <row r="1841" spans="1:9">
      <c r="A1841" s="789">
        <v>1841</v>
      </c>
      <c r="I1841" s="789">
        <v>1841</v>
      </c>
    </row>
    <row r="1842" spans="1:9">
      <c r="A1842" s="789">
        <v>1842</v>
      </c>
      <c r="I1842" s="789">
        <v>1842</v>
      </c>
    </row>
    <row r="1843" spans="1:9">
      <c r="A1843" s="789">
        <v>1843</v>
      </c>
      <c r="I1843" s="789">
        <v>1843</v>
      </c>
    </row>
    <row r="1844" spans="1:9">
      <c r="A1844" s="789">
        <v>1844</v>
      </c>
      <c r="I1844" s="789">
        <v>1844</v>
      </c>
    </row>
    <row r="1845" spans="1:9">
      <c r="A1845" s="789">
        <v>1845</v>
      </c>
      <c r="I1845" s="789">
        <v>1845</v>
      </c>
    </row>
    <row r="1846" spans="1:9">
      <c r="A1846" s="789">
        <v>1846</v>
      </c>
      <c r="I1846" s="789">
        <v>1846</v>
      </c>
    </row>
    <row r="1847" spans="1:9">
      <c r="A1847" s="789">
        <v>1847</v>
      </c>
      <c r="I1847" s="789">
        <v>1847</v>
      </c>
    </row>
    <row r="1848" spans="1:9">
      <c r="A1848" s="789">
        <v>1848</v>
      </c>
      <c r="I1848" s="789">
        <v>1848</v>
      </c>
    </row>
    <row r="1849" spans="1:9">
      <c r="A1849" s="789">
        <v>1849</v>
      </c>
      <c r="I1849" s="789">
        <v>1849</v>
      </c>
    </row>
    <row r="1850" spans="1:9">
      <c r="A1850" s="789">
        <v>1850</v>
      </c>
      <c r="I1850" s="789">
        <v>1850</v>
      </c>
    </row>
    <row r="1851" spans="1:9">
      <c r="A1851" s="789">
        <v>1851</v>
      </c>
      <c r="I1851" s="789">
        <v>1851</v>
      </c>
    </row>
    <row r="1852" spans="1:9">
      <c r="A1852" s="789">
        <v>1852</v>
      </c>
      <c r="I1852" s="789">
        <v>1852</v>
      </c>
    </row>
    <row r="1853" spans="1:9">
      <c r="A1853" s="789">
        <v>1853</v>
      </c>
      <c r="I1853" s="789">
        <v>1853</v>
      </c>
    </row>
    <row r="1854" spans="1:9">
      <c r="A1854" s="789">
        <v>1854</v>
      </c>
      <c r="I1854" s="789">
        <v>1854</v>
      </c>
    </row>
    <row r="1855" spans="1:9">
      <c r="A1855" s="789">
        <v>1855</v>
      </c>
      <c r="I1855" s="789">
        <v>1855</v>
      </c>
    </row>
    <row r="1856" spans="1:9">
      <c r="A1856" s="789">
        <v>1856</v>
      </c>
      <c r="I1856" s="789">
        <v>1856</v>
      </c>
    </row>
    <row r="1857" spans="1:9">
      <c r="A1857" s="789">
        <v>1857</v>
      </c>
      <c r="I1857" s="789">
        <v>1857</v>
      </c>
    </row>
    <row r="1858" spans="1:9">
      <c r="A1858" s="789">
        <v>1858</v>
      </c>
      <c r="I1858" s="789">
        <v>1858</v>
      </c>
    </row>
    <row r="1859" spans="1:9">
      <c r="A1859" s="789">
        <v>1859</v>
      </c>
      <c r="I1859" s="789">
        <v>1859</v>
      </c>
    </row>
    <row r="1860" spans="1:9">
      <c r="A1860" s="789">
        <v>1860</v>
      </c>
      <c r="I1860" s="789">
        <v>1860</v>
      </c>
    </row>
    <row r="1861" spans="1:9">
      <c r="A1861" s="789">
        <v>1861</v>
      </c>
      <c r="I1861" s="789">
        <v>1861</v>
      </c>
    </row>
    <row r="1862" spans="1:9">
      <c r="A1862" s="789">
        <v>1862</v>
      </c>
      <c r="I1862" s="789">
        <v>1862</v>
      </c>
    </row>
    <row r="1863" spans="1:9">
      <c r="A1863" s="789">
        <v>1863</v>
      </c>
      <c r="I1863" s="789">
        <v>1863</v>
      </c>
    </row>
    <row r="1864" spans="1:9">
      <c r="A1864" s="789">
        <v>1864</v>
      </c>
      <c r="I1864" s="789">
        <v>1864</v>
      </c>
    </row>
    <row r="1865" spans="1:9">
      <c r="A1865" s="789">
        <v>1865</v>
      </c>
      <c r="I1865" s="789">
        <v>1865</v>
      </c>
    </row>
    <row r="1866" spans="1:9">
      <c r="A1866" s="789">
        <v>1866</v>
      </c>
      <c r="I1866" s="789">
        <v>1866</v>
      </c>
    </row>
    <row r="1867" spans="1:9">
      <c r="A1867" s="789">
        <v>1867</v>
      </c>
      <c r="I1867" s="789">
        <v>1867</v>
      </c>
    </row>
    <row r="1868" spans="1:9">
      <c r="A1868" s="789">
        <v>1868</v>
      </c>
      <c r="I1868" s="789">
        <v>1868</v>
      </c>
    </row>
    <row r="1869" spans="1:9">
      <c r="A1869" s="789">
        <v>1869</v>
      </c>
      <c r="I1869" s="789">
        <v>1869</v>
      </c>
    </row>
    <row r="1870" spans="1:9">
      <c r="A1870" s="789">
        <v>1870</v>
      </c>
      <c r="I1870" s="789">
        <v>1870</v>
      </c>
    </row>
    <row r="1871" spans="1:9">
      <c r="A1871" s="789">
        <v>1871</v>
      </c>
      <c r="I1871" s="789">
        <v>1871</v>
      </c>
    </row>
    <row r="1872" spans="1:9">
      <c r="A1872" s="789">
        <v>1872</v>
      </c>
      <c r="I1872" s="789">
        <v>1872</v>
      </c>
    </row>
    <row r="1873" spans="1:9">
      <c r="A1873" s="789">
        <v>1873</v>
      </c>
      <c r="I1873" s="789">
        <v>1873</v>
      </c>
    </row>
    <row r="1874" spans="1:9">
      <c r="A1874" s="789">
        <v>1874</v>
      </c>
      <c r="I1874" s="789">
        <v>1874</v>
      </c>
    </row>
    <row r="1875" spans="1:9">
      <c r="A1875" s="789">
        <v>1875</v>
      </c>
      <c r="I1875" s="789">
        <v>1875</v>
      </c>
    </row>
    <row r="1876" spans="1:9">
      <c r="A1876" s="789">
        <v>1876</v>
      </c>
      <c r="I1876" s="789">
        <v>1876</v>
      </c>
    </row>
    <row r="1877" spans="1:9">
      <c r="A1877" s="789">
        <v>1877</v>
      </c>
      <c r="I1877" s="789">
        <v>1877</v>
      </c>
    </row>
    <row r="1878" spans="1:9">
      <c r="A1878" s="789">
        <v>1878</v>
      </c>
      <c r="I1878" s="789">
        <v>1878</v>
      </c>
    </row>
    <row r="1879" spans="1:9">
      <c r="A1879" s="789">
        <v>1879</v>
      </c>
      <c r="I1879" s="789">
        <v>1879</v>
      </c>
    </row>
    <row r="1880" spans="1:9">
      <c r="A1880" s="789">
        <v>1880</v>
      </c>
      <c r="I1880" s="789">
        <v>1880</v>
      </c>
    </row>
    <row r="1881" spans="1:9">
      <c r="A1881" s="789">
        <v>1881</v>
      </c>
      <c r="I1881" s="789">
        <v>1881</v>
      </c>
    </row>
    <row r="1882" spans="1:9">
      <c r="A1882" s="789">
        <v>1882</v>
      </c>
      <c r="I1882" s="789">
        <v>1882</v>
      </c>
    </row>
    <row r="1883" spans="1:9">
      <c r="A1883" s="789">
        <v>1883</v>
      </c>
      <c r="I1883" s="789">
        <v>1883</v>
      </c>
    </row>
    <row r="1884" spans="1:9">
      <c r="A1884" s="789">
        <v>1884</v>
      </c>
      <c r="I1884" s="789">
        <v>1884</v>
      </c>
    </row>
    <row r="1885" spans="1:9">
      <c r="A1885" s="789">
        <v>1885</v>
      </c>
      <c r="I1885" s="789">
        <v>1885</v>
      </c>
    </row>
    <row r="1886" spans="1:9">
      <c r="A1886" s="789">
        <v>1886</v>
      </c>
      <c r="I1886" s="789">
        <v>1886</v>
      </c>
    </row>
    <row r="1887" spans="1:9">
      <c r="A1887" s="789">
        <v>1887</v>
      </c>
      <c r="I1887" s="789">
        <v>1887</v>
      </c>
    </row>
    <row r="1888" spans="1:9">
      <c r="A1888" s="789">
        <v>1888</v>
      </c>
      <c r="I1888" s="789">
        <v>1888</v>
      </c>
    </row>
    <row r="1889" spans="1:9">
      <c r="A1889" s="789">
        <v>1889</v>
      </c>
      <c r="I1889" s="789">
        <v>1889</v>
      </c>
    </row>
    <row r="1890" spans="1:9">
      <c r="A1890" s="789">
        <v>1890</v>
      </c>
      <c r="I1890" s="789">
        <v>1890</v>
      </c>
    </row>
    <row r="1891" spans="1:9">
      <c r="A1891" s="789">
        <v>1891</v>
      </c>
      <c r="I1891" s="789">
        <v>1891</v>
      </c>
    </row>
    <row r="1892" spans="1:9">
      <c r="A1892" s="789">
        <v>1892</v>
      </c>
      <c r="I1892" s="789">
        <v>1892</v>
      </c>
    </row>
    <row r="1893" spans="1:9">
      <c r="A1893" s="789">
        <v>1893</v>
      </c>
      <c r="I1893" s="789">
        <v>1893</v>
      </c>
    </row>
    <row r="1894" spans="1:9">
      <c r="A1894" s="789">
        <v>1894</v>
      </c>
      <c r="I1894" s="789">
        <v>1894</v>
      </c>
    </row>
    <row r="1895" spans="1:9">
      <c r="A1895" s="789">
        <v>1895</v>
      </c>
      <c r="I1895" s="789">
        <v>1895</v>
      </c>
    </row>
    <row r="1896" spans="1:9">
      <c r="A1896" s="789">
        <v>1896</v>
      </c>
      <c r="I1896" s="789">
        <v>1896</v>
      </c>
    </row>
    <row r="1897" spans="1:9">
      <c r="A1897" s="789">
        <v>1897</v>
      </c>
      <c r="I1897" s="789">
        <v>1897</v>
      </c>
    </row>
    <row r="1898" spans="1:9">
      <c r="A1898" s="789">
        <v>1898</v>
      </c>
      <c r="I1898" s="789">
        <v>1898</v>
      </c>
    </row>
    <row r="1899" spans="1:9">
      <c r="A1899" s="789">
        <v>1899</v>
      </c>
      <c r="I1899" s="789">
        <v>1899</v>
      </c>
    </row>
    <row r="1900" spans="1:9">
      <c r="A1900" s="789">
        <v>1900</v>
      </c>
      <c r="I1900" s="789">
        <v>1900</v>
      </c>
    </row>
    <row r="1901" spans="1:9">
      <c r="A1901" s="789">
        <v>1901</v>
      </c>
      <c r="I1901" s="789">
        <v>1901</v>
      </c>
    </row>
    <row r="1902" spans="1:9">
      <c r="A1902" s="789">
        <v>1902</v>
      </c>
      <c r="I1902" s="789">
        <v>1902</v>
      </c>
    </row>
    <row r="1903" spans="1:9">
      <c r="A1903" s="789">
        <v>1903</v>
      </c>
      <c r="I1903" s="789">
        <v>1903</v>
      </c>
    </row>
    <row r="1904" spans="1:9">
      <c r="A1904" s="789">
        <v>1904</v>
      </c>
      <c r="I1904" s="789">
        <v>1904</v>
      </c>
    </row>
    <row r="1905" spans="1:9">
      <c r="A1905" s="789">
        <v>1905</v>
      </c>
      <c r="I1905" s="789">
        <v>1905</v>
      </c>
    </row>
    <row r="1906" spans="1:9">
      <c r="A1906" s="789">
        <v>1906</v>
      </c>
      <c r="I1906" s="789">
        <v>1906</v>
      </c>
    </row>
    <row r="1907" spans="1:9">
      <c r="A1907" s="789">
        <v>1907</v>
      </c>
      <c r="I1907" s="789">
        <v>1907</v>
      </c>
    </row>
    <row r="1908" spans="1:9">
      <c r="A1908" s="789">
        <v>1908</v>
      </c>
      <c r="I1908" s="789">
        <v>1908</v>
      </c>
    </row>
    <row r="1909" spans="1:9">
      <c r="A1909" s="789">
        <v>1909</v>
      </c>
      <c r="I1909" s="789">
        <v>1909</v>
      </c>
    </row>
    <row r="1910" spans="1:9">
      <c r="A1910" s="789">
        <v>1910</v>
      </c>
      <c r="I1910" s="789">
        <v>1910</v>
      </c>
    </row>
    <row r="1911" spans="1:9">
      <c r="A1911" s="789">
        <v>1911</v>
      </c>
      <c r="I1911" s="789">
        <v>1911</v>
      </c>
    </row>
    <row r="1912" spans="1:9">
      <c r="A1912" s="789">
        <v>1912</v>
      </c>
      <c r="I1912" s="789">
        <v>1912</v>
      </c>
    </row>
    <row r="1913" spans="1:9">
      <c r="A1913" s="789">
        <v>1913</v>
      </c>
      <c r="I1913" s="789">
        <v>1913</v>
      </c>
    </row>
    <row r="1914" spans="1:9">
      <c r="A1914" s="789">
        <v>1914</v>
      </c>
      <c r="I1914" s="789">
        <v>1914</v>
      </c>
    </row>
    <row r="1915" spans="1:9">
      <c r="A1915" s="789">
        <v>1915</v>
      </c>
      <c r="I1915" s="789">
        <v>1915</v>
      </c>
    </row>
    <row r="1916" spans="1:9">
      <c r="A1916" s="789">
        <v>1916</v>
      </c>
      <c r="I1916" s="789">
        <v>1916</v>
      </c>
    </row>
    <row r="1917" spans="1:9">
      <c r="A1917" s="789">
        <v>1917</v>
      </c>
      <c r="I1917" s="789">
        <v>1917</v>
      </c>
    </row>
    <row r="1918" spans="1:9">
      <c r="A1918" s="789">
        <v>1918</v>
      </c>
      <c r="I1918" s="789">
        <v>1918</v>
      </c>
    </row>
    <row r="1919" spans="1:9">
      <c r="A1919" s="789">
        <v>1919</v>
      </c>
      <c r="I1919" s="789">
        <v>1919</v>
      </c>
    </row>
    <row r="1920" spans="1:9">
      <c r="A1920" s="789">
        <v>1920</v>
      </c>
      <c r="I1920" s="789">
        <v>1920</v>
      </c>
    </row>
    <row r="1921" spans="1:9">
      <c r="A1921" s="789">
        <v>1921</v>
      </c>
      <c r="I1921" s="789">
        <v>1921</v>
      </c>
    </row>
    <row r="1922" spans="1:9">
      <c r="A1922" s="789">
        <v>1922</v>
      </c>
      <c r="I1922" s="789">
        <v>1922</v>
      </c>
    </row>
    <row r="1923" spans="1:9">
      <c r="A1923" s="789">
        <v>1923</v>
      </c>
      <c r="I1923" s="789">
        <v>1923</v>
      </c>
    </row>
    <row r="1924" spans="1:9">
      <c r="A1924" s="789">
        <v>1924</v>
      </c>
      <c r="I1924" s="789">
        <v>1924</v>
      </c>
    </row>
    <row r="1925" spans="1:9">
      <c r="A1925" s="789">
        <v>1925</v>
      </c>
      <c r="I1925" s="789">
        <v>1925</v>
      </c>
    </row>
    <row r="1926" spans="1:9">
      <c r="A1926" s="789">
        <v>1926</v>
      </c>
      <c r="I1926" s="789">
        <v>1926</v>
      </c>
    </row>
    <row r="1927" spans="1:9">
      <c r="A1927" s="789">
        <v>1927</v>
      </c>
      <c r="I1927" s="789">
        <v>1927</v>
      </c>
    </row>
    <row r="1928" spans="1:9">
      <c r="A1928" s="789">
        <v>1928</v>
      </c>
      <c r="I1928" s="789">
        <v>1928</v>
      </c>
    </row>
    <row r="1929" spans="1:9">
      <c r="A1929" s="789">
        <v>1929</v>
      </c>
      <c r="I1929" s="789">
        <v>1929</v>
      </c>
    </row>
    <row r="1930" spans="1:9">
      <c r="A1930" s="789">
        <v>1930</v>
      </c>
      <c r="I1930" s="789">
        <v>1930</v>
      </c>
    </row>
    <row r="1931" spans="1:9">
      <c r="A1931" s="789">
        <v>1931</v>
      </c>
      <c r="I1931" s="789">
        <v>1931</v>
      </c>
    </row>
    <row r="1932" spans="1:9">
      <c r="A1932" s="789">
        <v>1932</v>
      </c>
      <c r="I1932" s="789">
        <v>1932</v>
      </c>
    </row>
    <row r="1933" spans="1:9">
      <c r="A1933" s="789">
        <v>1933</v>
      </c>
      <c r="I1933" s="789">
        <v>1933</v>
      </c>
    </row>
    <row r="1934" spans="1:9">
      <c r="A1934" s="789">
        <v>1934</v>
      </c>
      <c r="I1934" s="789">
        <v>1934</v>
      </c>
    </row>
    <row r="1935" spans="1:9">
      <c r="A1935" s="789">
        <v>1935</v>
      </c>
      <c r="I1935" s="789">
        <v>1935</v>
      </c>
    </row>
    <row r="1936" spans="1:9">
      <c r="A1936" s="789">
        <v>1936</v>
      </c>
      <c r="I1936" s="789">
        <v>1936</v>
      </c>
    </row>
    <row r="1937" spans="1:9">
      <c r="A1937" s="789">
        <v>1937</v>
      </c>
      <c r="I1937" s="789">
        <v>1937</v>
      </c>
    </row>
    <row r="1938" spans="1:9">
      <c r="A1938" s="789">
        <v>1938</v>
      </c>
      <c r="I1938" s="789">
        <v>1938</v>
      </c>
    </row>
    <row r="1939" spans="1:9">
      <c r="A1939" s="789">
        <v>1939</v>
      </c>
      <c r="I1939" s="789">
        <v>1939</v>
      </c>
    </row>
    <row r="1940" spans="1:9">
      <c r="A1940" s="789">
        <v>1940</v>
      </c>
      <c r="I1940" s="789">
        <v>1940</v>
      </c>
    </row>
    <row r="1941" spans="1:9">
      <c r="A1941" s="789">
        <v>1941</v>
      </c>
      <c r="I1941" s="789">
        <v>1941</v>
      </c>
    </row>
    <row r="1942" spans="1:9">
      <c r="A1942" s="789">
        <v>1942</v>
      </c>
      <c r="I1942" s="789">
        <v>1942</v>
      </c>
    </row>
    <row r="1943" spans="1:9">
      <c r="A1943" s="789">
        <v>1943</v>
      </c>
      <c r="I1943" s="789">
        <v>1943</v>
      </c>
    </row>
    <row r="1944" spans="1:9">
      <c r="A1944" s="789">
        <v>1944</v>
      </c>
      <c r="I1944" s="789">
        <v>1944</v>
      </c>
    </row>
    <row r="1945" spans="1:9">
      <c r="A1945" s="789">
        <v>1945</v>
      </c>
      <c r="I1945" s="789">
        <v>1945</v>
      </c>
    </row>
    <row r="1946" spans="1:9">
      <c r="A1946" s="789">
        <v>1946</v>
      </c>
      <c r="I1946" s="789">
        <v>1946</v>
      </c>
    </row>
    <row r="1947" spans="1:9">
      <c r="A1947" s="789">
        <v>1947</v>
      </c>
      <c r="I1947" s="789">
        <v>1947</v>
      </c>
    </row>
    <row r="1948" spans="1:9">
      <c r="A1948" s="789">
        <v>1948</v>
      </c>
      <c r="I1948" s="789">
        <v>1948</v>
      </c>
    </row>
    <row r="1949" spans="1:9">
      <c r="A1949" s="789">
        <v>1949</v>
      </c>
      <c r="I1949" s="789">
        <v>1949</v>
      </c>
    </row>
    <row r="1950" spans="1:9">
      <c r="A1950" s="789">
        <v>1950</v>
      </c>
      <c r="I1950" s="789">
        <v>1950</v>
      </c>
    </row>
    <row r="1951" spans="1:9">
      <c r="A1951" s="789">
        <v>1951</v>
      </c>
      <c r="I1951" s="789">
        <v>1951</v>
      </c>
    </row>
    <row r="1952" spans="1:9">
      <c r="A1952" s="789">
        <v>1952</v>
      </c>
      <c r="I1952" s="789">
        <v>1952</v>
      </c>
    </row>
    <row r="1953" spans="1:9">
      <c r="A1953" s="789">
        <v>1953</v>
      </c>
      <c r="I1953" s="789">
        <v>1953</v>
      </c>
    </row>
    <row r="1954" spans="1:9">
      <c r="A1954" s="789">
        <v>1954</v>
      </c>
      <c r="I1954" s="789">
        <v>1954</v>
      </c>
    </row>
    <row r="1955" spans="1:9">
      <c r="A1955" s="789">
        <v>1955</v>
      </c>
      <c r="I1955" s="789">
        <v>1955</v>
      </c>
    </row>
    <row r="1956" spans="1:9">
      <c r="A1956" s="789">
        <v>1956</v>
      </c>
      <c r="I1956" s="789">
        <v>1956</v>
      </c>
    </row>
    <row r="1957" spans="1:9">
      <c r="A1957" s="789">
        <v>1957</v>
      </c>
      <c r="I1957" s="789">
        <v>1957</v>
      </c>
    </row>
    <row r="1958" spans="1:9">
      <c r="A1958" s="789">
        <v>1958</v>
      </c>
      <c r="I1958" s="789">
        <v>1958</v>
      </c>
    </row>
    <row r="1959" spans="1:9">
      <c r="A1959" s="789">
        <v>1959</v>
      </c>
      <c r="I1959" s="789">
        <v>1959</v>
      </c>
    </row>
    <row r="1960" spans="1:9">
      <c r="A1960" s="789">
        <v>1960</v>
      </c>
      <c r="I1960" s="789">
        <v>1960</v>
      </c>
    </row>
    <row r="1961" spans="1:9">
      <c r="A1961" s="789">
        <v>1961</v>
      </c>
      <c r="I1961" s="789">
        <v>1961</v>
      </c>
    </row>
    <row r="1962" spans="1:9">
      <c r="A1962" s="789">
        <v>1962</v>
      </c>
      <c r="I1962" s="789">
        <v>1962</v>
      </c>
    </row>
    <row r="1963" spans="1:9">
      <c r="A1963" s="789">
        <v>1963</v>
      </c>
      <c r="I1963" s="789">
        <v>1963</v>
      </c>
    </row>
    <row r="1964" spans="1:9">
      <c r="A1964" s="789">
        <v>1964</v>
      </c>
      <c r="I1964" s="789">
        <v>1964</v>
      </c>
    </row>
    <row r="1965" spans="1:9">
      <c r="A1965" s="789">
        <v>1965</v>
      </c>
      <c r="I1965" s="789">
        <v>1965</v>
      </c>
    </row>
    <row r="1966" spans="1:9">
      <c r="A1966" s="789">
        <v>1966</v>
      </c>
      <c r="I1966" s="789">
        <v>1966</v>
      </c>
    </row>
    <row r="1967" spans="1:9">
      <c r="A1967" s="789">
        <v>1967</v>
      </c>
      <c r="I1967" s="789">
        <v>1967</v>
      </c>
    </row>
    <row r="1968" spans="1:9">
      <c r="A1968" s="789">
        <v>1968</v>
      </c>
      <c r="I1968" s="789">
        <v>1968</v>
      </c>
    </row>
    <row r="1969" spans="1:9">
      <c r="A1969" s="789">
        <v>1969</v>
      </c>
      <c r="I1969" s="789">
        <v>1969</v>
      </c>
    </row>
    <row r="1970" spans="1:9">
      <c r="A1970" s="789">
        <v>1970</v>
      </c>
      <c r="I1970" s="789">
        <v>1970</v>
      </c>
    </row>
    <row r="1971" spans="1:9">
      <c r="A1971" s="789">
        <v>1971</v>
      </c>
      <c r="I1971" s="789">
        <v>1971</v>
      </c>
    </row>
    <row r="1972" spans="1:9">
      <c r="A1972" s="789">
        <v>1972</v>
      </c>
      <c r="I1972" s="789">
        <v>1972</v>
      </c>
    </row>
    <row r="1973" spans="1:9">
      <c r="A1973" s="789">
        <v>1973</v>
      </c>
      <c r="I1973" s="789">
        <v>1973</v>
      </c>
    </row>
    <row r="1974" spans="1:9">
      <c r="A1974" s="789">
        <v>1974</v>
      </c>
      <c r="I1974" s="789">
        <v>1974</v>
      </c>
    </row>
    <row r="1975" spans="1:9">
      <c r="A1975" s="789">
        <v>1975</v>
      </c>
      <c r="I1975" s="789">
        <v>1975</v>
      </c>
    </row>
    <row r="1976" spans="1:9">
      <c r="A1976" s="789">
        <v>1976</v>
      </c>
      <c r="I1976" s="789">
        <v>1976</v>
      </c>
    </row>
    <row r="1977" spans="1:9">
      <c r="A1977" s="789">
        <v>1977</v>
      </c>
      <c r="I1977" s="789">
        <v>1977</v>
      </c>
    </row>
    <row r="1978" spans="1:9">
      <c r="A1978" s="789">
        <v>1978</v>
      </c>
      <c r="I1978" s="789">
        <v>1978</v>
      </c>
    </row>
    <row r="1979" spans="1:9">
      <c r="A1979" s="789">
        <v>1979</v>
      </c>
      <c r="I1979" s="789">
        <v>1979</v>
      </c>
    </row>
    <row r="1980" spans="1:9">
      <c r="A1980" s="789">
        <v>1980</v>
      </c>
      <c r="I1980" s="789">
        <v>1980</v>
      </c>
    </row>
    <row r="1981" spans="1:9">
      <c r="A1981" s="789">
        <v>1981</v>
      </c>
      <c r="I1981" s="789">
        <v>1981</v>
      </c>
    </row>
    <row r="1982" spans="1:9">
      <c r="A1982" s="789">
        <v>1982</v>
      </c>
      <c r="I1982" s="789">
        <v>1982</v>
      </c>
    </row>
    <row r="1983" spans="1:9">
      <c r="A1983" s="789">
        <v>1983</v>
      </c>
      <c r="I1983" s="789">
        <v>1983</v>
      </c>
    </row>
    <row r="1984" spans="1:9">
      <c r="A1984" s="789">
        <v>1984</v>
      </c>
      <c r="I1984" s="789">
        <v>1984</v>
      </c>
    </row>
    <row r="1985" spans="1:9">
      <c r="A1985" s="789">
        <v>1985</v>
      </c>
      <c r="I1985" s="789">
        <v>1985</v>
      </c>
    </row>
    <row r="1986" spans="1:9">
      <c r="A1986" s="789">
        <v>1986</v>
      </c>
      <c r="I1986" s="789">
        <v>1986</v>
      </c>
    </row>
    <row r="1987" spans="1:9">
      <c r="A1987" s="789">
        <v>1987</v>
      </c>
      <c r="I1987" s="789">
        <v>1987</v>
      </c>
    </row>
    <row r="1988" spans="1:9">
      <c r="A1988" s="789">
        <v>1988</v>
      </c>
      <c r="I1988" s="789">
        <v>1988</v>
      </c>
    </row>
    <row r="1989" spans="1:9">
      <c r="A1989" s="789">
        <v>1989</v>
      </c>
      <c r="I1989" s="789">
        <v>1989</v>
      </c>
    </row>
    <row r="1990" spans="1:9">
      <c r="A1990" s="789">
        <v>1990</v>
      </c>
      <c r="I1990" s="789">
        <v>1990</v>
      </c>
    </row>
    <row r="1991" spans="1:9">
      <c r="A1991" s="789">
        <v>1991</v>
      </c>
      <c r="I1991" s="789">
        <v>1991</v>
      </c>
    </row>
    <row r="1992" spans="1:9">
      <c r="A1992" s="789">
        <v>1992</v>
      </c>
      <c r="I1992" s="789">
        <v>1992</v>
      </c>
    </row>
    <row r="1993" spans="1:9">
      <c r="A1993" s="789">
        <v>1993</v>
      </c>
      <c r="I1993" s="789">
        <v>1993</v>
      </c>
    </row>
    <row r="1994" spans="1:9">
      <c r="A1994" s="789">
        <v>1994</v>
      </c>
      <c r="I1994" s="789">
        <v>1994</v>
      </c>
    </row>
    <row r="1995" spans="1:9">
      <c r="A1995" s="789">
        <v>1995</v>
      </c>
      <c r="I1995" s="789">
        <v>1995</v>
      </c>
    </row>
    <row r="1996" spans="1:9">
      <c r="A1996" s="789">
        <v>1996</v>
      </c>
      <c r="I1996" s="789">
        <v>1996</v>
      </c>
    </row>
    <row r="1997" spans="1:9">
      <c r="A1997" s="789">
        <v>1997</v>
      </c>
      <c r="I1997" s="789">
        <v>1997</v>
      </c>
    </row>
    <row r="1998" spans="1:9">
      <c r="A1998" s="789">
        <v>1998</v>
      </c>
      <c r="I1998" s="789">
        <v>1998</v>
      </c>
    </row>
    <row r="1999" spans="1:9">
      <c r="A1999" s="789">
        <v>1999</v>
      </c>
      <c r="I1999" s="789">
        <v>1999</v>
      </c>
    </row>
    <row r="2000" spans="1:9">
      <c r="A2000" s="789">
        <v>2000</v>
      </c>
      <c r="I2000" s="789">
        <v>2000</v>
      </c>
    </row>
    <row r="2001" spans="1:9">
      <c r="A2001" s="789">
        <v>2001</v>
      </c>
      <c r="I2001" s="789">
        <v>2001</v>
      </c>
    </row>
    <row r="2002" spans="1:9">
      <c r="A2002" s="789">
        <v>2002</v>
      </c>
      <c r="I2002" s="789">
        <v>2002</v>
      </c>
    </row>
    <row r="2003" spans="1:9">
      <c r="A2003" s="789">
        <v>2003</v>
      </c>
      <c r="I2003" s="789">
        <v>2003</v>
      </c>
    </row>
    <row r="2004" spans="1:9">
      <c r="A2004" s="789">
        <v>2004</v>
      </c>
      <c r="I2004" s="789">
        <v>2004</v>
      </c>
    </row>
    <row r="2005" spans="1:9">
      <c r="A2005" s="789">
        <v>2005</v>
      </c>
      <c r="I2005" s="789">
        <v>2005</v>
      </c>
    </row>
    <row r="2006" spans="1:9">
      <c r="A2006" s="789">
        <v>2006</v>
      </c>
      <c r="I2006" s="789">
        <v>2006</v>
      </c>
    </row>
    <row r="2007" spans="1:9">
      <c r="A2007" s="789">
        <v>2007</v>
      </c>
      <c r="I2007" s="789">
        <v>2007</v>
      </c>
    </row>
    <row r="2008" spans="1:9">
      <c r="A2008" s="789">
        <v>2008</v>
      </c>
      <c r="I2008" s="789">
        <v>2008</v>
      </c>
    </row>
    <row r="2009" spans="1:9">
      <c r="A2009" s="789">
        <v>2009</v>
      </c>
      <c r="I2009" s="789">
        <v>2009</v>
      </c>
    </row>
    <row r="2010" spans="1:9">
      <c r="A2010" s="789">
        <v>2010</v>
      </c>
      <c r="I2010" s="789">
        <v>2010</v>
      </c>
    </row>
    <row r="2011" spans="1:9">
      <c r="A2011" s="789">
        <v>2011</v>
      </c>
      <c r="I2011" s="789">
        <v>2011</v>
      </c>
    </row>
    <row r="2012" spans="1:9">
      <c r="A2012" s="789">
        <v>2012</v>
      </c>
      <c r="I2012" s="789">
        <v>2012</v>
      </c>
    </row>
    <row r="2013" spans="1:9">
      <c r="A2013" s="789">
        <v>2013</v>
      </c>
      <c r="I2013" s="789">
        <v>2013</v>
      </c>
    </row>
    <row r="2014" spans="1:9">
      <c r="A2014" s="789">
        <v>2014</v>
      </c>
      <c r="I2014" s="789">
        <v>2014</v>
      </c>
    </row>
    <row r="2015" spans="1:9">
      <c r="A2015" s="789">
        <v>2015</v>
      </c>
      <c r="I2015" s="789">
        <v>2015</v>
      </c>
    </row>
    <row r="2016" spans="1:9">
      <c r="A2016" s="789">
        <v>2016</v>
      </c>
      <c r="I2016" s="789">
        <v>2016</v>
      </c>
    </row>
    <row r="2017" spans="1:9">
      <c r="A2017" s="789">
        <v>2017</v>
      </c>
      <c r="I2017" s="789">
        <v>2017</v>
      </c>
    </row>
    <row r="2018" spans="1:9">
      <c r="A2018" s="789">
        <v>2018</v>
      </c>
      <c r="I2018" s="789">
        <v>2018</v>
      </c>
    </row>
    <row r="2019" spans="1:9">
      <c r="A2019" s="789">
        <v>2019</v>
      </c>
      <c r="I2019" s="789">
        <v>2019</v>
      </c>
    </row>
    <row r="2020" spans="1:9">
      <c r="A2020" s="789">
        <v>2020</v>
      </c>
      <c r="I2020" s="789">
        <v>2020</v>
      </c>
    </row>
  </sheetData>
  <sheetProtection selectLockedCells="1" selectUnlockedCells="1"/>
  <phoneticPr fontId="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F4"/>
  <sheetViews>
    <sheetView topLeftCell="F1" zoomScaleNormal="100" workbookViewId="0">
      <selection sqref="A1:E1048576"/>
    </sheetView>
  </sheetViews>
  <sheetFormatPr defaultColWidth="11.375" defaultRowHeight="17.399999999999999"/>
  <cols>
    <col min="1" max="1" width="0" style="803" hidden="1" customWidth="1"/>
    <col min="2" max="5" width="0" hidden="1" customWidth="1"/>
  </cols>
  <sheetData>
    <row r="1" spans="1:6">
      <c r="A1" s="803" t="s">
        <v>2102</v>
      </c>
      <c r="B1" s="105" t="s">
        <v>2090</v>
      </c>
      <c r="C1" s="105" t="s">
        <v>2091</v>
      </c>
      <c r="D1" s="105" t="s">
        <v>2092</v>
      </c>
    </row>
    <row r="2" spans="1:6">
      <c r="B2" s="105"/>
      <c r="C2" s="105"/>
      <c r="D2" s="105"/>
    </row>
    <row r="4" spans="1:6">
      <c r="F4" s="979"/>
    </row>
  </sheetData>
  <sheetProtection selectLockedCells="1" selectUnlockedCells="1"/>
  <phoneticPr fontId="7"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AT132"/>
  <sheetViews>
    <sheetView zoomScale="110" zoomScaleNormal="110" workbookViewId="0">
      <selection activeCell="H3" sqref="H3"/>
    </sheetView>
  </sheetViews>
  <sheetFormatPr defaultColWidth="9.375" defaultRowHeight="10.8"/>
  <cols>
    <col min="1" max="1" width="2.5" style="908" customWidth="1"/>
    <col min="2" max="4" width="13" style="908" customWidth="1"/>
    <col min="5" max="5" width="19.5" style="908" customWidth="1"/>
    <col min="6" max="16" width="13" style="908" customWidth="1"/>
    <col min="17" max="26" width="9.375" style="908"/>
    <col min="27" max="29" width="12.125" style="908" customWidth="1"/>
    <col min="30" max="33" width="9.375" style="908" customWidth="1"/>
    <col min="34" max="36" width="16.875" style="908" customWidth="1"/>
    <col min="37" max="38" width="9.375" style="908" customWidth="1"/>
    <col min="39" max="40" width="12.625" style="908" customWidth="1"/>
    <col min="41" max="41" width="16.875" style="908" customWidth="1"/>
    <col min="42" max="51" width="9.375" style="908" customWidth="1"/>
    <col min="52" max="16384" width="9.375" style="908"/>
  </cols>
  <sheetData>
    <row r="1" spans="1:46" ht="7.5" customHeight="1">
      <c r="B1" s="909"/>
      <c r="C1" s="910"/>
      <c r="D1" s="910"/>
      <c r="G1" s="911"/>
      <c r="H1" s="911"/>
    </row>
    <row r="2" spans="1:46" s="912" customFormat="1" ht="45">
      <c r="A2" s="1054"/>
      <c r="B2" s="1054"/>
      <c r="C2" s="1054"/>
      <c r="D2" s="1054"/>
      <c r="E2" s="1054"/>
      <c r="F2" s="1054"/>
      <c r="G2" s="1054"/>
      <c r="H2" s="1053" t="s">
        <v>2855</v>
      </c>
      <c r="I2" s="1054"/>
      <c r="J2" s="1054"/>
      <c r="K2" s="1054"/>
      <c r="L2" s="1054"/>
      <c r="M2" s="1054"/>
      <c r="N2" s="1054"/>
      <c r="O2" s="1054"/>
      <c r="P2" s="1054"/>
      <c r="Q2" s="1054"/>
      <c r="R2" s="1054"/>
      <c r="S2" s="1054"/>
      <c r="T2" s="1054"/>
      <c r="U2" s="1054"/>
      <c r="V2" s="1055"/>
    </row>
    <row r="3" spans="1:46" s="912" customFormat="1" ht="12" customHeight="1">
      <c r="A3" s="1056"/>
      <c r="B3" s="1057"/>
      <c r="C3" s="1057"/>
      <c r="D3" s="1057"/>
      <c r="E3" s="1057"/>
      <c r="F3" s="1057"/>
      <c r="G3" s="1057"/>
      <c r="H3" s="1057"/>
      <c r="I3" s="1057"/>
      <c r="J3" s="1057"/>
      <c r="K3" s="1057"/>
      <c r="L3" s="1057"/>
      <c r="M3" s="1057"/>
      <c r="N3" s="1057"/>
      <c r="O3" s="1057"/>
      <c r="P3" s="1057"/>
      <c r="Q3" s="1057"/>
      <c r="R3" s="1057"/>
      <c r="S3" s="1057"/>
      <c r="T3" s="1057"/>
      <c r="U3" s="1057"/>
      <c r="V3" s="1058"/>
    </row>
    <row r="4" spans="1:46" ht="24" customHeight="1">
      <c r="C4" s="913"/>
      <c r="D4" s="913"/>
      <c r="E4" s="1270"/>
      <c r="F4" s="1271"/>
      <c r="G4" s="1271"/>
      <c r="H4" s="1271"/>
      <c r="I4" s="1271"/>
      <c r="J4" s="1271"/>
      <c r="K4" s="1271"/>
      <c r="L4" s="1271"/>
      <c r="M4" s="1271"/>
      <c r="N4" s="1271"/>
      <c r="O4" s="1271"/>
      <c r="P4" s="1271"/>
    </row>
    <row r="5" spans="1:46" ht="20.25" customHeight="1" thickBot="1">
      <c r="B5" s="1272"/>
      <c r="C5" s="1273"/>
      <c r="D5" s="1273"/>
      <c r="E5" s="1274"/>
      <c r="F5" s="914"/>
      <c r="N5" s="915"/>
    </row>
    <row r="6" spans="1:46" ht="17.25" customHeight="1" thickTop="1">
      <c r="A6" s="916"/>
      <c r="B6" s="917" t="s">
        <v>1987</v>
      </c>
      <c r="C6" s="918"/>
      <c r="D6" s="919"/>
      <c r="E6" s="920"/>
      <c r="F6" s="913"/>
      <c r="N6" s="915"/>
    </row>
    <row r="7" spans="1:46" ht="18.75" customHeight="1">
      <c r="A7" s="916"/>
      <c r="B7" s="1252" t="s">
        <v>1988</v>
      </c>
      <c r="C7" s="1256"/>
      <c r="D7" s="1275"/>
      <c r="E7" s="1275"/>
      <c r="F7" s="913"/>
      <c r="N7" s="915"/>
    </row>
    <row r="8" spans="1:46" ht="16.5" customHeight="1" thickBot="1">
      <c r="A8" s="916" t="s">
        <v>1989</v>
      </c>
      <c r="B8" s="1255"/>
      <c r="C8" s="1256"/>
      <c r="D8" s="1275"/>
      <c r="E8" s="1275"/>
      <c r="F8" s="913"/>
      <c r="N8" s="915"/>
    </row>
    <row r="9" spans="1:46" ht="14.25" customHeight="1" thickTop="1">
      <c r="A9" s="916"/>
      <c r="B9" s="917" t="s">
        <v>1990</v>
      </c>
      <c r="C9" s="921"/>
      <c r="D9" s="922"/>
      <c r="E9" s="922"/>
      <c r="F9" s="913"/>
    </row>
    <row r="10" spans="1:46" ht="14.25" customHeight="1">
      <c r="A10" s="916"/>
      <c r="B10" s="1252" t="s">
        <v>2854</v>
      </c>
      <c r="C10" s="1256"/>
      <c r="D10" s="1275"/>
      <c r="E10" s="1275"/>
      <c r="F10" s="913"/>
      <c r="AG10" s="923"/>
      <c r="AH10" s="923"/>
      <c r="AI10" s="923"/>
      <c r="AJ10" s="923"/>
      <c r="AK10" s="923"/>
      <c r="AL10" s="923"/>
      <c r="AM10" s="923"/>
      <c r="AN10" s="923"/>
      <c r="AO10" s="923"/>
      <c r="AP10" s="923"/>
      <c r="AQ10" s="923"/>
      <c r="AR10" s="923"/>
      <c r="AS10" s="923"/>
    </row>
    <row r="11" spans="1:46" ht="15" customHeight="1">
      <c r="A11" s="916"/>
      <c r="B11" s="1255"/>
      <c r="C11" s="1256"/>
      <c r="D11" s="1256"/>
      <c r="E11" s="1257"/>
      <c r="F11" s="913"/>
      <c r="AA11" s="924"/>
      <c r="AB11" s="924"/>
      <c r="AC11" s="924"/>
      <c r="AD11" s="924"/>
      <c r="AF11" s="916"/>
      <c r="AG11" s="858"/>
      <c r="AH11" s="858"/>
      <c r="AI11" s="858"/>
      <c r="AJ11" s="858"/>
      <c r="AK11" s="791"/>
      <c r="AL11" s="791"/>
      <c r="AM11" s="858"/>
      <c r="AN11" s="858"/>
      <c r="AO11" s="858"/>
      <c r="AP11" s="858"/>
      <c r="AQ11" s="858"/>
      <c r="AR11" s="791"/>
      <c r="AS11" s="791"/>
      <c r="AT11" s="913"/>
    </row>
    <row r="12" spans="1:46" ht="14.25" customHeight="1">
      <c r="A12" s="916"/>
      <c r="B12" s="1255"/>
      <c r="C12" s="1256"/>
      <c r="D12" s="1256"/>
      <c r="E12" s="1257"/>
      <c r="F12" s="913"/>
      <c r="AA12" s="857"/>
      <c r="AB12" s="857"/>
      <c r="AC12" s="857"/>
      <c r="AD12" s="857"/>
      <c r="AE12" s="857"/>
      <c r="AF12" s="916"/>
      <c r="AG12" s="857"/>
      <c r="AH12" s="857"/>
      <c r="AI12" s="857"/>
      <c r="AJ12" s="857"/>
      <c r="AK12" s="868"/>
      <c r="AL12" s="791"/>
      <c r="AM12" s="857"/>
      <c r="AN12" s="857"/>
      <c r="AO12" s="857"/>
      <c r="AP12" s="857"/>
      <c r="AQ12" s="868"/>
      <c r="AR12" s="791"/>
      <c r="AS12" s="791"/>
      <c r="AT12" s="913"/>
    </row>
    <row r="13" spans="1:46" ht="14.25" customHeight="1">
      <c r="A13" s="916"/>
      <c r="B13" s="1255"/>
      <c r="C13" s="1256"/>
      <c r="D13" s="1256"/>
      <c r="E13" s="1257"/>
      <c r="F13" s="913"/>
      <c r="AA13" s="857"/>
      <c r="AB13" s="857"/>
      <c r="AC13" s="857"/>
      <c r="AD13" s="857"/>
      <c r="AE13" s="857"/>
      <c r="AF13" s="916"/>
      <c r="AG13" s="857"/>
      <c r="AH13" s="857"/>
      <c r="AI13" s="857"/>
      <c r="AJ13" s="857"/>
      <c r="AK13" s="868"/>
      <c r="AL13" s="791"/>
      <c r="AM13" s="857"/>
      <c r="AN13" s="857"/>
      <c r="AO13" s="857"/>
      <c r="AP13" s="857"/>
      <c r="AQ13" s="868"/>
      <c r="AR13" s="791"/>
      <c r="AS13" s="791"/>
      <c r="AT13" s="913"/>
    </row>
    <row r="14" spans="1:46" ht="14.25" customHeight="1" thickBot="1">
      <c r="A14" s="916"/>
      <c r="B14" s="1258"/>
      <c r="C14" s="1259"/>
      <c r="D14" s="1259"/>
      <c r="E14" s="1260"/>
      <c r="F14" s="913"/>
      <c r="AA14" s="857"/>
      <c r="AB14" s="857"/>
      <c r="AC14" s="857"/>
      <c r="AD14" s="857"/>
      <c r="AE14" s="857"/>
      <c r="AF14" s="916"/>
      <c r="AG14" s="857"/>
      <c r="AH14" s="857"/>
      <c r="AI14" s="857"/>
      <c r="AJ14" s="857"/>
      <c r="AK14" s="868"/>
      <c r="AL14" s="791"/>
      <c r="AM14" s="857"/>
      <c r="AN14" s="857"/>
      <c r="AO14" s="857"/>
      <c r="AP14" s="857"/>
      <c r="AQ14" s="868"/>
      <c r="AR14" s="791"/>
      <c r="AS14" s="791"/>
      <c r="AT14" s="913"/>
    </row>
    <row r="15" spans="1:46" ht="14.25" customHeight="1" thickTop="1">
      <c r="A15" s="916"/>
      <c r="B15" s="1267" t="s">
        <v>1991</v>
      </c>
      <c r="C15" s="1268"/>
      <c r="D15" s="1268"/>
      <c r="E15" s="1269"/>
      <c r="F15" s="913"/>
      <c r="AA15" s="857"/>
      <c r="AB15" s="857"/>
      <c r="AC15" s="857"/>
      <c r="AD15" s="857"/>
      <c r="AE15" s="857"/>
      <c r="AF15" s="916"/>
      <c r="AG15" s="857"/>
      <c r="AH15" s="857"/>
      <c r="AI15" s="857"/>
      <c r="AJ15" s="857"/>
      <c r="AK15" s="868"/>
      <c r="AL15" s="791"/>
      <c r="AM15" s="857"/>
      <c r="AN15" s="857"/>
      <c r="AO15" s="857"/>
      <c r="AP15" s="857"/>
      <c r="AQ15" s="868"/>
      <c r="AR15" s="791"/>
      <c r="AS15" s="791"/>
      <c r="AT15" s="913"/>
    </row>
    <row r="16" spans="1:46" ht="14.25" customHeight="1">
      <c r="A16" s="916"/>
      <c r="B16" s="1240" t="s">
        <v>1992</v>
      </c>
      <c r="C16" s="1241"/>
      <c r="D16" s="1241"/>
      <c r="E16" s="1242"/>
      <c r="F16" s="913"/>
      <c r="AA16" s="857"/>
      <c r="AB16" s="857"/>
      <c r="AC16" s="857"/>
      <c r="AD16" s="857"/>
      <c r="AE16" s="857"/>
      <c r="AF16" s="916"/>
      <c r="AG16" s="857"/>
      <c r="AH16" s="857"/>
      <c r="AI16" s="857"/>
      <c r="AJ16" s="857"/>
      <c r="AK16" s="868"/>
      <c r="AL16" s="791"/>
      <c r="AM16" s="857"/>
      <c r="AN16" s="857"/>
      <c r="AO16" s="857"/>
      <c r="AP16" s="857"/>
      <c r="AQ16" s="868"/>
      <c r="AR16" s="791"/>
      <c r="AS16" s="791"/>
      <c r="AT16" s="913"/>
    </row>
    <row r="17" spans="1:46" ht="14.25" customHeight="1">
      <c r="A17" s="916"/>
      <c r="B17" s="1240"/>
      <c r="C17" s="1241"/>
      <c r="D17" s="1241"/>
      <c r="E17" s="1242"/>
      <c r="F17" s="913"/>
      <c r="AA17" s="857"/>
      <c r="AB17" s="857"/>
      <c r="AC17" s="857"/>
      <c r="AD17" s="857"/>
      <c r="AE17" s="857"/>
      <c r="AF17" s="916"/>
      <c r="AG17" s="857"/>
      <c r="AH17" s="857"/>
      <c r="AI17" s="857"/>
      <c r="AJ17" s="857"/>
      <c r="AK17" s="868"/>
      <c r="AL17" s="791"/>
      <c r="AM17" s="857"/>
      <c r="AN17" s="857"/>
      <c r="AO17" s="857"/>
      <c r="AP17" s="857"/>
      <c r="AQ17" s="868"/>
      <c r="AR17" s="791"/>
      <c r="AS17" s="791"/>
      <c r="AT17" s="913"/>
    </row>
    <row r="18" spans="1:46" ht="14.25" customHeight="1">
      <c r="A18" s="916"/>
      <c r="B18" s="1240"/>
      <c r="C18" s="1241"/>
      <c r="D18" s="1241"/>
      <c r="E18" s="1242"/>
      <c r="F18" s="913"/>
      <c r="AA18" s="857"/>
      <c r="AB18" s="857"/>
      <c r="AC18" s="857"/>
      <c r="AD18" s="857"/>
      <c r="AE18" s="857"/>
      <c r="AF18" s="916"/>
      <c r="AG18" s="857"/>
      <c r="AH18" s="857"/>
      <c r="AI18" s="857"/>
      <c r="AJ18" s="857"/>
      <c r="AK18" s="868"/>
      <c r="AL18" s="791"/>
      <c r="AM18" s="857"/>
      <c r="AN18" s="857"/>
      <c r="AO18" s="857"/>
      <c r="AP18" s="857"/>
      <c r="AQ18" s="868"/>
      <c r="AR18" s="791"/>
      <c r="AS18" s="791"/>
      <c r="AT18" s="913"/>
    </row>
    <row r="19" spans="1:46" ht="28.5" customHeight="1" thickBot="1">
      <c r="A19" s="916"/>
      <c r="B19" s="1243"/>
      <c r="C19" s="1244"/>
      <c r="D19" s="1244"/>
      <c r="E19" s="1245"/>
      <c r="F19" s="913"/>
      <c r="AA19" s="857"/>
      <c r="AC19" s="857"/>
      <c r="AD19" s="857"/>
      <c r="AE19" s="857"/>
      <c r="AF19" s="916"/>
      <c r="AG19" s="857"/>
      <c r="AH19" s="857"/>
      <c r="AI19" s="857"/>
      <c r="AJ19" s="857"/>
      <c r="AK19" s="868"/>
      <c r="AL19" s="791"/>
      <c r="AM19" s="857"/>
      <c r="AN19" s="857"/>
      <c r="AO19" s="857"/>
      <c r="AP19" s="857"/>
      <c r="AQ19" s="868"/>
      <c r="AR19" s="791"/>
      <c r="AS19" s="791"/>
      <c r="AT19" s="913"/>
    </row>
    <row r="20" spans="1:46" ht="14.25" customHeight="1" thickTop="1">
      <c r="A20" s="916"/>
      <c r="B20" s="1246" t="s">
        <v>1993</v>
      </c>
      <c r="C20" s="1247"/>
      <c r="D20" s="1247"/>
      <c r="E20" s="1248"/>
      <c r="F20" s="913"/>
      <c r="AA20" s="857"/>
      <c r="AB20" s="857"/>
      <c r="AC20" s="857"/>
      <c r="AD20" s="857"/>
      <c r="AE20" s="857"/>
      <c r="AF20" s="916"/>
      <c r="AG20" s="857"/>
      <c r="AH20" s="857"/>
      <c r="AI20" s="857"/>
      <c r="AJ20" s="857"/>
      <c r="AK20" s="868"/>
      <c r="AL20" s="791"/>
      <c r="AM20" s="857"/>
      <c r="AN20" s="857"/>
      <c r="AO20" s="857"/>
      <c r="AP20" s="857"/>
      <c r="AQ20" s="868"/>
      <c r="AR20" s="791"/>
      <c r="AS20" s="791"/>
      <c r="AT20" s="913"/>
    </row>
    <row r="21" spans="1:46" ht="14.25" customHeight="1">
      <c r="A21" s="916"/>
      <c r="B21" s="1249" t="s">
        <v>2433</v>
      </c>
      <c r="C21" s="1250"/>
      <c r="D21" s="1250"/>
      <c r="E21" s="1251"/>
      <c r="F21" s="913"/>
      <c r="AA21" s="857"/>
      <c r="AB21" s="857"/>
      <c r="AC21" s="857"/>
      <c r="AD21" s="857"/>
      <c r="AE21" s="857"/>
      <c r="AF21" s="916"/>
      <c r="AG21" s="857"/>
      <c r="AH21" s="857"/>
      <c r="AI21" s="857"/>
      <c r="AJ21" s="857"/>
      <c r="AK21" s="868"/>
      <c r="AL21" s="791"/>
      <c r="AM21" s="857"/>
      <c r="AN21" s="857"/>
      <c r="AO21" s="857"/>
      <c r="AP21" s="857"/>
      <c r="AQ21" s="868"/>
      <c r="AR21" s="791"/>
      <c r="AS21" s="791"/>
      <c r="AT21" s="913"/>
    </row>
    <row r="22" spans="1:46" ht="14.25" customHeight="1">
      <c r="A22" s="916"/>
      <c r="B22" s="1252"/>
      <c r="C22" s="1253"/>
      <c r="D22" s="1253"/>
      <c r="E22" s="1254"/>
      <c r="F22" s="913"/>
      <c r="AA22" s="857"/>
      <c r="AB22" s="857"/>
      <c r="AC22" s="857"/>
      <c r="AD22" s="857"/>
      <c r="AE22" s="857"/>
      <c r="AF22" s="916"/>
      <c r="AG22" s="857"/>
      <c r="AH22" s="857"/>
      <c r="AI22" s="857"/>
      <c r="AJ22" s="857"/>
      <c r="AK22" s="868"/>
      <c r="AL22" s="791"/>
      <c r="AM22" s="857"/>
      <c r="AN22" s="857"/>
      <c r="AO22" s="857"/>
      <c r="AP22" s="857"/>
      <c r="AQ22" s="868"/>
      <c r="AR22" s="791"/>
      <c r="AS22" s="791"/>
      <c r="AT22" s="913"/>
    </row>
    <row r="23" spans="1:46" ht="14.25" customHeight="1">
      <c r="A23" s="916"/>
      <c r="B23" s="1252"/>
      <c r="C23" s="1253"/>
      <c r="D23" s="1253"/>
      <c r="E23" s="1254"/>
      <c r="F23" s="913"/>
      <c r="AA23" s="857"/>
      <c r="AB23" s="857"/>
      <c r="AC23" s="857"/>
      <c r="AD23" s="857"/>
      <c r="AE23" s="857"/>
      <c r="AF23" s="916"/>
      <c r="AG23" s="857"/>
      <c r="AH23" s="857"/>
      <c r="AI23" s="857"/>
      <c r="AJ23" s="857"/>
      <c r="AK23" s="868"/>
      <c r="AL23" s="791"/>
      <c r="AM23" s="857"/>
      <c r="AN23" s="857"/>
      <c r="AO23" s="857"/>
      <c r="AP23" s="857"/>
      <c r="AQ23" s="868"/>
      <c r="AR23" s="791"/>
      <c r="AS23" s="791"/>
      <c r="AT23" s="913"/>
    </row>
    <row r="24" spans="1:46" ht="14.25" customHeight="1">
      <c r="A24" s="916"/>
      <c r="B24" s="1252"/>
      <c r="C24" s="1253"/>
      <c r="D24" s="1253"/>
      <c r="E24" s="1254"/>
      <c r="F24" s="913"/>
      <c r="AA24" s="857"/>
      <c r="AB24" s="857"/>
      <c r="AC24" s="857"/>
      <c r="AD24" s="857"/>
      <c r="AE24" s="857"/>
      <c r="AF24" s="916"/>
      <c r="AG24" s="857"/>
      <c r="AH24" s="857"/>
      <c r="AI24" s="857"/>
      <c r="AJ24" s="857"/>
      <c r="AK24" s="868"/>
      <c r="AL24" s="791"/>
      <c r="AM24" s="857"/>
      <c r="AN24" s="857"/>
      <c r="AO24" s="857"/>
      <c r="AP24" s="857"/>
      <c r="AQ24" s="868"/>
      <c r="AR24" s="791"/>
      <c r="AS24" s="791"/>
      <c r="AT24" s="913"/>
    </row>
    <row r="25" spans="1:46" ht="14.25" customHeight="1">
      <c r="A25" s="916"/>
      <c r="B25" s="1252"/>
      <c r="C25" s="1253"/>
      <c r="D25" s="1253"/>
      <c r="E25" s="1254"/>
      <c r="F25" s="913"/>
      <c r="AA25" s="857"/>
      <c r="AB25" s="857"/>
      <c r="AC25" s="857"/>
      <c r="AD25" s="857"/>
      <c r="AE25" s="857"/>
      <c r="AF25" s="916"/>
      <c r="AG25" s="857"/>
      <c r="AH25" s="857"/>
      <c r="AI25" s="857"/>
      <c r="AJ25" s="857"/>
      <c r="AK25" s="868"/>
      <c r="AL25" s="791"/>
      <c r="AM25" s="857"/>
      <c r="AN25" s="857"/>
      <c r="AO25" s="857"/>
      <c r="AP25" s="857"/>
      <c r="AQ25" s="868"/>
      <c r="AR25" s="791"/>
      <c r="AS25" s="791"/>
      <c r="AT25" s="913"/>
    </row>
    <row r="26" spans="1:46" ht="14.25" customHeight="1">
      <c r="A26" s="916"/>
      <c r="B26" s="1252"/>
      <c r="C26" s="1253"/>
      <c r="D26" s="1253"/>
      <c r="E26" s="1254"/>
      <c r="F26" s="913"/>
      <c r="AA26" s="857"/>
      <c r="AB26" s="857"/>
      <c r="AC26" s="857"/>
      <c r="AD26" s="857"/>
      <c r="AE26" s="857"/>
      <c r="AF26" s="916"/>
      <c r="AG26" s="857"/>
      <c r="AH26" s="857"/>
      <c r="AI26" s="857"/>
      <c r="AJ26" s="857"/>
      <c r="AK26" s="868"/>
      <c r="AL26" s="791"/>
      <c r="AM26" s="857"/>
      <c r="AN26" s="857"/>
      <c r="AO26" s="857"/>
      <c r="AP26" s="857"/>
      <c r="AQ26" s="868"/>
      <c r="AR26" s="791"/>
      <c r="AS26" s="791"/>
      <c r="AT26" s="913"/>
    </row>
    <row r="27" spans="1:46" ht="14.25" customHeight="1">
      <c r="A27" s="916"/>
      <c r="B27" s="1255"/>
      <c r="C27" s="1256"/>
      <c r="D27" s="1256"/>
      <c r="E27" s="1257"/>
      <c r="F27" s="913"/>
      <c r="AA27" s="857"/>
      <c r="AB27" s="857"/>
      <c r="AC27" s="857"/>
      <c r="AD27" s="857"/>
      <c r="AE27" s="857"/>
      <c r="AF27" s="916"/>
      <c r="AG27" s="857"/>
      <c r="AH27" s="857"/>
      <c r="AI27" s="857"/>
      <c r="AJ27" s="857"/>
      <c r="AK27" s="868"/>
      <c r="AL27" s="791"/>
      <c r="AM27" s="857"/>
      <c r="AN27" s="857"/>
      <c r="AO27" s="857"/>
      <c r="AP27" s="857"/>
      <c r="AQ27" s="868"/>
      <c r="AR27" s="791"/>
      <c r="AS27" s="791"/>
      <c r="AT27" s="913"/>
    </row>
    <row r="28" spans="1:46" ht="14.25" customHeight="1" thickBot="1">
      <c r="A28" s="916"/>
      <c r="B28" s="1258"/>
      <c r="C28" s="1259"/>
      <c r="D28" s="1259"/>
      <c r="E28" s="1260"/>
      <c r="F28" s="913"/>
      <c r="AF28" s="916"/>
      <c r="AG28" s="791"/>
      <c r="AH28" s="791"/>
      <c r="AI28" s="791"/>
      <c r="AJ28" s="791"/>
      <c r="AK28" s="791"/>
      <c r="AL28" s="791"/>
      <c r="AM28" s="868"/>
      <c r="AN28" s="868"/>
      <c r="AO28" s="868"/>
      <c r="AP28" s="868"/>
      <c r="AQ28" s="868"/>
      <c r="AR28" s="791"/>
      <c r="AS28" s="791"/>
      <c r="AT28" s="913"/>
    </row>
    <row r="29" spans="1:46" ht="14.25" customHeight="1" thickTop="1">
      <c r="A29" s="916"/>
      <c r="B29" s="1261" t="s">
        <v>1994</v>
      </c>
      <c r="C29" s="1262"/>
      <c r="D29" s="1262"/>
      <c r="E29" s="1263"/>
      <c r="F29" s="913"/>
      <c r="AF29" s="916"/>
      <c r="AG29" s="791"/>
      <c r="AH29" s="791"/>
      <c r="AI29" s="791"/>
      <c r="AJ29" s="791"/>
      <c r="AK29" s="791"/>
      <c r="AL29" s="791"/>
      <c r="AM29" s="868"/>
      <c r="AN29" s="868"/>
      <c r="AO29" s="868"/>
      <c r="AP29" s="868"/>
      <c r="AQ29" s="868"/>
      <c r="AR29" s="791"/>
      <c r="AS29" s="791"/>
      <c r="AT29" s="913"/>
    </row>
    <row r="30" spans="1:46" ht="14.25" customHeight="1">
      <c r="A30" s="916"/>
      <c r="B30" s="1264" t="s">
        <v>1995</v>
      </c>
      <c r="C30" s="1265"/>
      <c r="D30" s="1265"/>
      <c r="E30" s="1266"/>
      <c r="F30" s="913"/>
      <c r="G30" s="925"/>
      <c r="H30" s="925"/>
      <c r="I30" s="925"/>
      <c r="J30" s="925"/>
      <c r="K30" s="925"/>
      <c r="L30" s="925"/>
      <c r="AF30" s="916"/>
      <c r="AG30" s="791"/>
      <c r="AH30" s="791"/>
      <c r="AI30" s="791"/>
      <c r="AJ30" s="791"/>
      <c r="AK30" s="791"/>
      <c r="AL30" s="791"/>
      <c r="AM30" s="835"/>
      <c r="AN30" s="868"/>
      <c r="AO30" s="868"/>
      <c r="AP30" s="868"/>
      <c r="AQ30" s="868"/>
      <c r="AR30" s="791"/>
      <c r="AS30" s="791"/>
      <c r="AT30" s="913"/>
    </row>
    <row r="31" spans="1:46" ht="14.25" customHeight="1">
      <c r="A31" s="916"/>
      <c r="B31" s="1264"/>
      <c r="C31" s="1265"/>
      <c r="D31" s="1265"/>
      <c r="E31" s="1266"/>
      <c r="F31" s="913"/>
      <c r="G31" s="925"/>
      <c r="H31" s="925"/>
      <c r="I31" s="925"/>
      <c r="J31" s="925"/>
      <c r="K31" s="925"/>
      <c r="L31" s="925"/>
      <c r="AF31" s="916"/>
      <c r="AG31" s="791"/>
      <c r="AH31" s="791"/>
      <c r="AI31" s="791"/>
      <c r="AJ31" s="791"/>
      <c r="AK31" s="791"/>
      <c r="AL31" s="791"/>
      <c r="AM31" s="835"/>
      <c r="AN31" s="868"/>
      <c r="AO31" s="868"/>
      <c r="AP31" s="868"/>
      <c r="AQ31" s="868"/>
      <c r="AR31" s="791"/>
      <c r="AS31" s="791"/>
      <c r="AT31" s="913"/>
    </row>
    <row r="32" spans="1:46" ht="14.25" customHeight="1">
      <c r="A32" s="916"/>
      <c r="B32" s="1264"/>
      <c r="C32" s="1265"/>
      <c r="D32" s="1265"/>
      <c r="E32" s="1266"/>
      <c r="F32" s="913"/>
      <c r="G32" s="925"/>
      <c r="H32" s="925"/>
      <c r="I32" s="925"/>
      <c r="J32" s="925"/>
      <c r="K32" s="925"/>
      <c r="L32" s="925"/>
      <c r="AF32" s="916"/>
      <c r="AG32" s="791"/>
      <c r="AH32" s="791"/>
      <c r="AI32" s="791"/>
      <c r="AJ32" s="791"/>
      <c r="AK32" s="791"/>
      <c r="AL32" s="791"/>
      <c r="AM32" s="835"/>
      <c r="AN32" s="868"/>
      <c r="AO32" s="868"/>
      <c r="AP32" s="868"/>
      <c r="AQ32" s="868"/>
      <c r="AR32" s="791"/>
      <c r="AS32" s="791"/>
      <c r="AT32" s="913"/>
    </row>
    <row r="33" spans="1:46" ht="14.25" customHeight="1">
      <c r="A33" s="916"/>
      <c r="B33" s="1264"/>
      <c r="C33" s="1265"/>
      <c r="D33" s="1265"/>
      <c r="E33" s="1266"/>
      <c r="F33" s="913"/>
      <c r="G33" s="925"/>
      <c r="H33" s="925"/>
      <c r="I33" s="925"/>
      <c r="J33" s="925"/>
      <c r="K33" s="925"/>
      <c r="L33" s="925"/>
      <c r="AF33" s="916"/>
      <c r="AG33" s="791"/>
      <c r="AH33" s="791"/>
      <c r="AI33" s="791"/>
      <c r="AJ33" s="791"/>
      <c r="AK33" s="791"/>
      <c r="AL33" s="791"/>
      <c r="AM33" s="835"/>
      <c r="AN33" s="868"/>
      <c r="AO33" s="868"/>
      <c r="AP33" s="868"/>
      <c r="AQ33" s="868"/>
      <c r="AR33" s="791"/>
      <c r="AS33" s="791"/>
      <c r="AT33" s="913"/>
    </row>
    <row r="34" spans="1:46" ht="15.75" customHeight="1">
      <c r="A34" s="916"/>
      <c r="B34" s="1264"/>
      <c r="C34" s="1265"/>
      <c r="D34" s="1265"/>
      <c r="E34" s="1266"/>
      <c r="F34" s="926"/>
      <c r="G34" s="925"/>
      <c r="H34" s="925"/>
      <c r="I34" s="925"/>
      <c r="J34" s="925"/>
      <c r="K34" s="925"/>
      <c r="L34" s="925"/>
      <c r="AF34" s="916"/>
      <c r="AG34" s="791"/>
      <c r="AH34" s="791"/>
      <c r="AI34" s="791"/>
      <c r="AJ34" s="791"/>
      <c r="AK34" s="791"/>
      <c r="AL34" s="791"/>
      <c r="AM34" s="835"/>
      <c r="AN34" s="868"/>
      <c r="AO34" s="868"/>
      <c r="AP34" s="868"/>
      <c r="AQ34" s="868"/>
      <c r="AR34" s="791"/>
      <c r="AS34" s="791"/>
      <c r="AT34" s="913"/>
    </row>
    <row r="35" spans="1:46" ht="15.75" customHeight="1" thickBot="1">
      <c r="A35" s="916"/>
      <c r="B35" s="1249"/>
      <c r="C35" s="1250"/>
      <c r="D35" s="1250"/>
      <c r="E35" s="1251"/>
      <c r="F35" s="926"/>
      <c r="G35" s="927"/>
      <c r="H35" s="927"/>
      <c r="I35" s="927"/>
      <c r="J35" s="927"/>
      <c r="K35" s="927"/>
      <c r="L35" s="927"/>
      <c r="M35" s="928"/>
      <c r="AF35" s="916"/>
      <c r="AG35" s="791"/>
      <c r="AH35" s="791"/>
      <c r="AI35" s="791"/>
      <c r="AJ35" s="791"/>
      <c r="AK35" s="791"/>
      <c r="AL35" s="791"/>
      <c r="AM35" s="835"/>
      <c r="AN35" s="868"/>
      <c r="AO35" s="868"/>
      <c r="AP35" s="868"/>
      <c r="AQ35" s="868"/>
      <c r="AR35" s="791"/>
      <c r="AS35" s="791"/>
      <c r="AT35" s="913"/>
    </row>
    <row r="36" spans="1:46" ht="15.75" customHeight="1" thickTop="1">
      <c r="A36" s="916"/>
      <c r="B36" s="929" t="s">
        <v>1996</v>
      </c>
      <c r="C36" s="930"/>
      <c r="D36" s="930"/>
      <c r="E36" s="931"/>
      <c r="F36" s="926"/>
      <c r="G36" s="927"/>
      <c r="H36" s="927"/>
      <c r="I36" s="927"/>
      <c r="J36" s="927"/>
      <c r="K36" s="927"/>
      <c r="L36" s="927"/>
      <c r="M36" s="928"/>
      <c r="AF36" s="916"/>
      <c r="AG36" s="791"/>
      <c r="AH36" s="791"/>
      <c r="AI36" s="791"/>
      <c r="AJ36" s="791"/>
      <c r="AK36" s="791"/>
      <c r="AL36" s="791"/>
      <c r="AM36" s="835"/>
      <c r="AN36" s="871"/>
      <c r="AO36" s="868"/>
      <c r="AP36" s="868"/>
      <c r="AQ36" s="868"/>
      <c r="AR36" s="791"/>
      <c r="AS36" s="791"/>
      <c r="AT36" s="913"/>
    </row>
    <row r="37" spans="1:46" ht="15.75" customHeight="1">
      <c r="A37" s="916"/>
      <c r="B37" s="932" t="s">
        <v>1997</v>
      </c>
      <c r="C37" s="933"/>
      <c r="D37" s="933"/>
      <c r="E37" s="934"/>
      <c r="F37" s="926"/>
      <c r="G37" s="925"/>
      <c r="H37" s="925"/>
      <c r="I37" s="925"/>
      <c r="J37" s="925"/>
      <c r="K37" s="925"/>
      <c r="L37" s="925"/>
      <c r="AF37" s="916"/>
      <c r="AG37" s="791"/>
      <c r="AH37" s="791"/>
      <c r="AI37" s="791"/>
      <c r="AJ37" s="791"/>
      <c r="AK37" s="791"/>
      <c r="AL37" s="791"/>
      <c r="AM37" s="835"/>
      <c r="AN37" s="872"/>
      <c r="AO37" s="868"/>
      <c r="AP37" s="868"/>
      <c r="AQ37" s="868"/>
      <c r="AR37" s="791"/>
      <c r="AS37" s="791"/>
      <c r="AT37" s="913"/>
    </row>
    <row r="38" spans="1:46" ht="15.75" customHeight="1">
      <c r="A38" s="916"/>
      <c r="B38" s="932" t="s">
        <v>1998</v>
      </c>
      <c r="C38" s="933"/>
      <c r="D38" s="933"/>
      <c r="E38" s="934"/>
      <c r="F38" s="935"/>
      <c r="AF38" s="916"/>
      <c r="AG38" s="791"/>
      <c r="AH38" s="791"/>
      <c r="AI38" s="791"/>
      <c r="AJ38" s="791"/>
      <c r="AK38" s="791"/>
      <c r="AL38" s="791"/>
      <c r="AM38" s="835"/>
      <c r="AN38" s="868"/>
      <c r="AO38" s="868"/>
      <c r="AP38" s="868"/>
      <c r="AQ38" s="868"/>
      <c r="AR38" s="791"/>
      <c r="AS38" s="791"/>
      <c r="AT38" s="913"/>
    </row>
    <row r="39" spans="1:46" ht="14.25" customHeight="1">
      <c r="B39" s="932" t="s">
        <v>1999</v>
      </c>
      <c r="C39" s="933"/>
      <c r="D39" s="933"/>
      <c r="E39" s="934"/>
      <c r="F39" s="927"/>
      <c r="AF39" s="916"/>
      <c r="AG39" s="791"/>
      <c r="AH39" s="791"/>
      <c r="AI39" s="791"/>
      <c r="AJ39" s="791"/>
      <c r="AK39" s="791"/>
      <c r="AL39" s="791"/>
      <c r="AM39" s="835"/>
      <c r="AN39" s="868"/>
      <c r="AO39" s="868"/>
      <c r="AP39" s="868"/>
      <c r="AQ39" s="868"/>
      <c r="AR39" s="791"/>
      <c r="AS39" s="791"/>
      <c r="AT39" s="913"/>
    </row>
    <row r="40" spans="1:46" ht="11.4">
      <c r="B40" s="932" t="s">
        <v>2000</v>
      </c>
      <c r="C40" s="933"/>
      <c r="D40" s="933"/>
      <c r="E40" s="934"/>
      <c r="F40" s="925"/>
      <c r="AF40" s="916"/>
      <c r="AG40" s="791"/>
      <c r="AH40" s="791"/>
      <c r="AI40" s="791"/>
      <c r="AJ40" s="791"/>
      <c r="AK40" s="791"/>
      <c r="AL40" s="791"/>
      <c r="AM40" s="835"/>
      <c r="AN40" s="868"/>
      <c r="AO40" s="868"/>
      <c r="AP40" s="868"/>
      <c r="AQ40" s="868"/>
      <c r="AR40" s="791"/>
      <c r="AS40" s="791"/>
      <c r="AT40" s="913"/>
    </row>
    <row r="41" spans="1:46" ht="13.5" customHeight="1">
      <c r="B41" s="932" t="s">
        <v>2001</v>
      </c>
      <c r="C41" s="936"/>
      <c r="D41" s="936"/>
      <c r="E41" s="937"/>
      <c r="AF41" s="916"/>
      <c r="AG41" s="791"/>
      <c r="AH41" s="791"/>
      <c r="AI41" s="791"/>
      <c r="AJ41" s="791"/>
      <c r="AK41" s="791"/>
      <c r="AL41" s="791"/>
      <c r="AM41" s="835"/>
      <c r="AN41" s="835"/>
      <c r="AO41" s="868"/>
      <c r="AP41" s="868"/>
      <c r="AQ41" s="868"/>
      <c r="AR41" s="791"/>
      <c r="AS41" s="791"/>
      <c r="AT41" s="913"/>
    </row>
    <row r="42" spans="1:46">
      <c r="B42" s="932" t="s">
        <v>2002</v>
      </c>
      <c r="C42" s="936"/>
      <c r="D42" s="936"/>
      <c r="E42" s="937"/>
      <c r="AF42" s="916"/>
      <c r="AG42" s="791"/>
      <c r="AH42" s="791"/>
      <c r="AI42" s="791"/>
      <c r="AJ42" s="791"/>
      <c r="AK42" s="791"/>
      <c r="AL42" s="791"/>
      <c r="AM42" s="835"/>
      <c r="AN42" s="835"/>
      <c r="AO42" s="868"/>
      <c r="AP42" s="868"/>
      <c r="AQ42" s="868"/>
      <c r="AR42" s="791"/>
      <c r="AS42" s="791"/>
      <c r="AT42" s="913"/>
    </row>
    <row r="43" spans="1:46" ht="11.4" thickBot="1">
      <c r="B43" s="938" t="s">
        <v>2003</v>
      </c>
      <c r="C43" s="939"/>
      <c r="D43" s="939"/>
      <c r="E43" s="940"/>
      <c r="AF43" s="916"/>
      <c r="AG43" s="791"/>
      <c r="AH43" s="791"/>
      <c r="AI43" s="791"/>
      <c r="AJ43" s="791"/>
      <c r="AK43" s="791"/>
      <c r="AL43" s="791"/>
      <c r="AM43" s="835"/>
      <c r="AN43" s="835"/>
      <c r="AO43" s="868"/>
      <c r="AP43" s="868"/>
      <c r="AQ43" s="868"/>
      <c r="AR43" s="791"/>
      <c r="AS43" s="791"/>
      <c r="AT43" s="913"/>
    </row>
    <row r="44" spans="1:46" ht="11.4" thickTop="1">
      <c r="AF44" s="916"/>
      <c r="AG44" s="791"/>
      <c r="AH44" s="791"/>
      <c r="AI44" s="791"/>
      <c r="AJ44" s="791"/>
      <c r="AK44" s="791"/>
      <c r="AL44" s="791"/>
      <c r="AM44" s="835"/>
      <c r="AN44" s="835"/>
      <c r="AO44" s="868"/>
      <c r="AP44" s="868"/>
      <c r="AQ44" s="868"/>
      <c r="AR44" s="791"/>
      <c r="AS44" s="791"/>
      <c r="AT44" s="913"/>
    </row>
    <row r="45" spans="1:46" ht="13.2">
      <c r="B45" s="941"/>
      <c r="C45" s="941"/>
      <c r="D45" s="941"/>
      <c r="E45" s="941"/>
      <c r="AF45" s="916"/>
      <c r="AG45" s="791"/>
      <c r="AH45" s="791"/>
      <c r="AI45" s="791"/>
      <c r="AJ45" s="791"/>
      <c r="AK45" s="791"/>
      <c r="AL45" s="791"/>
      <c r="AM45" s="835"/>
      <c r="AN45" s="835"/>
      <c r="AO45" s="868"/>
      <c r="AP45" s="868"/>
      <c r="AQ45" s="868"/>
      <c r="AR45" s="791"/>
      <c r="AS45" s="791"/>
      <c r="AT45" s="913"/>
    </row>
    <row r="46" spans="1:46" ht="13.2">
      <c r="B46" s="942"/>
      <c r="C46" s="942"/>
      <c r="D46" s="942"/>
      <c r="E46" s="942"/>
      <c r="AF46" s="916"/>
      <c r="AG46" s="791"/>
      <c r="AH46" s="791"/>
      <c r="AI46" s="791"/>
      <c r="AJ46" s="791"/>
      <c r="AK46" s="791"/>
      <c r="AL46" s="791"/>
      <c r="AM46" s="835"/>
      <c r="AN46" s="835"/>
      <c r="AO46" s="868"/>
      <c r="AP46" s="868"/>
      <c r="AQ46" s="868"/>
      <c r="AR46" s="791"/>
      <c r="AS46" s="791"/>
      <c r="AT46" s="913"/>
    </row>
    <row r="47" spans="1:46">
      <c r="AF47" s="916"/>
      <c r="AG47" s="791"/>
      <c r="AH47" s="791"/>
      <c r="AI47" s="791"/>
      <c r="AJ47" s="791"/>
      <c r="AK47" s="791"/>
      <c r="AL47" s="791"/>
      <c r="AM47" s="835"/>
      <c r="AN47" s="835"/>
      <c r="AO47" s="868"/>
      <c r="AP47" s="868"/>
      <c r="AQ47" s="868"/>
      <c r="AR47" s="791"/>
      <c r="AS47" s="791"/>
      <c r="AT47" s="913"/>
    </row>
    <row r="48" spans="1:46">
      <c r="AF48" s="916"/>
      <c r="AG48" s="791"/>
      <c r="AH48" s="791"/>
      <c r="AI48" s="791"/>
      <c r="AJ48" s="791"/>
      <c r="AK48" s="791"/>
      <c r="AL48" s="791"/>
      <c r="AM48" s="835"/>
      <c r="AN48" s="835"/>
      <c r="AO48" s="868"/>
      <c r="AP48" s="868"/>
      <c r="AQ48" s="868"/>
      <c r="AR48" s="791"/>
      <c r="AS48" s="791"/>
      <c r="AT48" s="913"/>
    </row>
    <row r="49" spans="2:46" ht="13.2">
      <c r="G49" s="943"/>
      <c r="H49" s="943"/>
      <c r="I49" s="943"/>
      <c r="J49" s="943"/>
      <c r="AF49" s="916"/>
      <c r="AG49" s="791"/>
      <c r="AH49" s="791"/>
      <c r="AI49" s="791"/>
      <c r="AJ49" s="791"/>
      <c r="AK49" s="791"/>
      <c r="AL49" s="791"/>
      <c r="AM49" s="835"/>
      <c r="AN49" s="835"/>
      <c r="AO49" s="868"/>
      <c r="AP49" s="868"/>
      <c r="AQ49" s="868"/>
      <c r="AR49" s="791"/>
      <c r="AS49" s="791"/>
      <c r="AT49" s="913"/>
    </row>
    <row r="50" spans="2:46" ht="13.2">
      <c r="G50" s="943"/>
      <c r="H50" s="943"/>
      <c r="I50" s="943"/>
      <c r="J50" s="943"/>
      <c r="AF50" s="916"/>
      <c r="AG50" s="791"/>
      <c r="AH50" s="791"/>
      <c r="AI50" s="791"/>
      <c r="AJ50" s="791"/>
      <c r="AK50" s="791"/>
      <c r="AL50" s="791"/>
      <c r="AM50" s="835"/>
      <c r="AN50" s="835"/>
      <c r="AO50" s="868"/>
      <c r="AP50" s="868"/>
      <c r="AQ50" s="868"/>
      <c r="AR50" s="791"/>
      <c r="AS50" s="791"/>
      <c r="AT50" s="913"/>
    </row>
    <row r="51" spans="2:46">
      <c r="AF51" s="916"/>
      <c r="AG51" s="791"/>
      <c r="AH51" s="791"/>
      <c r="AI51" s="791"/>
      <c r="AJ51" s="791"/>
      <c r="AK51" s="791"/>
      <c r="AL51" s="791"/>
      <c r="AM51" s="835"/>
      <c r="AN51" s="856"/>
      <c r="AO51" s="856"/>
      <c r="AP51" s="856"/>
      <c r="AQ51" s="856"/>
      <c r="AR51" s="791"/>
      <c r="AS51" s="791"/>
      <c r="AT51" s="913"/>
    </row>
    <row r="52" spans="2:46" ht="13.2">
      <c r="F52" s="943"/>
      <c r="AF52" s="916"/>
      <c r="AG52" s="791"/>
      <c r="AH52" s="791"/>
      <c r="AI52" s="791"/>
      <c r="AJ52" s="791"/>
      <c r="AK52" s="791"/>
      <c r="AL52" s="791"/>
      <c r="AM52" s="835"/>
      <c r="AN52" s="835"/>
      <c r="AO52" s="868"/>
      <c r="AP52" s="868"/>
      <c r="AQ52" s="868"/>
      <c r="AR52" s="791"/>
      <c r="AS52" s="791"/>
      <c r="AT52" s="913"/>
    </row>
    <row r="53" spans="2:46" ht="13.2">
      <c r="F53" s="943"/>
      <c r="AF53" s="916"/>
      <c r="AG53" s="791"/>
      <c r="AH53" s="791"/>
      <c r="AI53" s="791"/>
      <c r="AJ53" s="791"/>
      <c r="AK53" s="791"/>
      <c r="AL53" s="791"/>
      <c r="AM53" s="835"/>
      <c r="AN53" s="835"/>
      <c r="AO53" s="868"/>
      <c r="AP53" s="868"/>
      <c r="AQ53" s="868"/>
      <c r="AR53" s="791"/>
      <c r="AS53" s="791"/>
      <c r="AT53" s="913"/>
    </row>
    <row r="54" spans="2:46">
      <c r="AF54" s="916"/>
      <c r="AG54" s="791"/>
      <c r="AH54" s="791"/>
      <c r="AI54" s="791"/>
      <c r="AJ54" s="791"/>
      <c r="AK54" s="791"/>
      <c r="AL54" s="791"/>
      <c r="AM54" s="835"/>
      <c r="AN54" s="835"/>
      <c r="AO54" s="868"/>
      <c r="AP54" s="868"/>
      <c r="AQ54" s="868"/>
      <c r="AR54" s="791"/>
      <c r="AS54" s="791"/>
      <c r="AT54" s="913"/>
    </row>
    <row r="55" spans="2:46">
      <c r="AF55" s="916"/>
      <c r="AG55" s="791"/>
      <c r="AH55" s="791"/>
      <c r="AI55" s="791"/>
      <c r="AJ55" s="791"/>
      <c r="AK55" s="791"/>
      <c r="AL55" s="791"/>
      <c r="AM55" s="835"/>
      <c r="AN55" s="835"/>
      <c r="AO55" s="868"/>
      <c r="AP55" s="868"/>
      <c r="AQ55" s="868"/>
      <c r="AR55" s="791"/>
      <c r="AS55" s="791"/>
      <c r="AT55" s="913"/>
    </row>
    <row r="56" spans="2:46">
      <c r="AF56" s="916"/>
      <c r="AG56" s="791"/>
      <c r="AH56" s="791"/>
      <c r="AI56" s="791"/>
      <c r="AJ56" s="791"/>
      <c r="AK56" s="791"/>
      <c r="AL56" s="791"/>
      <c r="AM56" s="835"/>
      <c r="AN56" s="835"/>
      <c r="AO56" s="868"/>
      <c r="AP56" s="868"/>
      <c r="AQ56" s="868"/>
      <c r="AR56" s="791"/>
      <c r="AS56" s="791"/>
      <c r="AT56" s="913"/>
    </row>
    <row r="57" spans="2:46">
      <c r="AF57" s="916"/>
      <c r="AG57" s="791"/>
      <c r="AH57" s="791"/>
      <c r="AI57" s="791"/>
      <c r="AJ57" s="791"/>
      <c r="AK57" s="791"/>
      <c r="AL57" s="791"/>
      <c r="AM57" s="835"/>
      <c r="AN57" s="835"/>
      <c r="AO57" s="868"/>
      <c r="AP57" s="868"/>
      <c r="AQ57" s="868"/>
      <c r="AR57" s="791"/>
      <c r="AS57" s="791"/>
      <c r="AT57" s="913"/>
    </row>
    <row r="58" spans="2:46">
      <c r="AF58" s="916"/>
      <c r="AG58" s="791"/>
      <c r="AH58" s="791"/>
      <c r="AI58" s="791"/>
      <c r="AJ58" s="791"/>
      <c r="AK58" s="791"/>
      <c r="AL58" s="791"/>
      <c r="AM58" s="835"/>
      <c r="AN58" s="791"/>
      <c r="AO58" s="791"/>
      <c r="AP58" s="791"/>
      <c r="AQ58" s="868"/>
      <c r="AR58" s="791"/>
      <c r="AS58" s="791"/>
      <c r="AT58" s="913"/>
    </row>
    <row r="59" spans="2:46">
      <c r="AF59" s="916"/>
      <c r="AG59" s="791"/>
      <c r="AH59" s="791"/>
      <c r="AI59" s="791"/>
      <c r="AJ59" s="791"/>
      <c r="AK59" s="791"/>
      <c r="AL59" s="791"/>
      <c r="AM59" s="835"/>
      <c r="AN59" s="791"/>
      <c r="AO59" s="791"/>
      <c r="AP59" s="791"/>
      <c r="AQ59" s="868"/>
      <c r="AR59" s="791"/>
      <c r="AS59" s="791"/>
      <c r="AT59" s="913"/>
    </row>
    <row r="60" spans="2:46">
      <c r="AF60" s="916"/>
      <c r="AG60" s="791"/>
      <c r="AH60" s="791"/>
      <c r="AI60" s="791"/>
      <c r="AJ60" s="791"/>
      <c r="AK60" s="791"/>
      <c r="AL60" s="791"/>
      <c r="AM60" s="835"/>
      <c r="AN60" s="791"/>
      <c r="AO60" s="791"/>
      <c r="AP60" s="791"/>
      <c r="AQ60" s="868"/>
      <c r="AR60" s="791"/>
      <c r="AS60" s="791"/>
      <c r="AT60" s="913"/>
    </row>
    <row r="61" spans="2:46">
      <c r="AF61" s="916"/>
      <c r="AG61" s="791"/>
      <c r="AH61" s="791"/>
      <c r="AI61" s="791"/>
      <c r="AJ61" s="791"/>
      <c r="AK61" s="791"/>
      <c r="AL61" s="791"/>
      <c r="AM61" s="835"/>
      <c r="AN61" s="791"/>
      <c r="AO61" s="791"/>
      <c r="AP61" s="791"/>
      <c r="AQ61" s="857"/>
      <c r="AR61" s="791"/>
      <c r="AS61" s="791"/>
      <c r="AT61" s="913"/>
    </row>
    <row r="62" spans="2:46">
      <c r="AF62" s="916"/>
      <c r="AG62" s="791"/>
      <c r="AH62" s="791"/>
      <c r="AI62" s="791"/>
      <c r="AJ62" s="791"/>
      <c r="AK62" s="791"/>
      <c r="AL62" s="791"/>
      <c r="AM62" s="835"/>
      <c r="AN62" s="791"/>
      <c r="AO62" s="791"/>
      <c r="AP62" s="791"/>
      <c r="AQ62" s="868"/>
      <c r="AR62" s="791"/>
      <c r="AS62" s="791"/>
      <c r="AT62" s="913"/>
    </row>
    <row r="63" spans="2:46" ht="13.2">
      <c r="B63" s="944"/>
      <c r="C63" s="945"/>
      <c r="D63" s="945"/>
      <c r="E63" s="943"/>
      <c r="AF63" s="916"/>
      <c r="AG63" s="835"/>
      <c r="AH63" s="835"/>
      <c r="AI63" s="868"/>
      <c r="AJ63" s="868"/>
      <c r="AK63" s="868"/>
      <c r="AL63" s="791"/>
      <c r="AM63" s="835"/>
      <c r="AN63" s="835"/>
      <c r="AO63" s="868"/>
      <c r="AP63" s="868"/>
      <c r="AQ63" s="868"/>
      <c r="AR63" s="791"/>
      <c r="AS63" s="791"/>
      <c r="AT63" s="913"/>
    </row>
    <row r="64" spans="2:46">
      <c r="AF64" s="916"/>
      <c r="AG64" s="868"/>
      <c r="AH64" s="868"/>
      <c r="AI64" s="868"/>
      <c r="AJ64" s="868"/>
      <c r="AK64" s="868"/>
      <c r="AL64" s="791"/>
      <c r="AM64" s="868"/>
      <c r="AN64" s="868"/>
      <c r="AO64" s="868"/>
      <c r="AP64" s="868"/>
      <c r="AQ64" s="868"/>
      <c r="AR64" s="791"/>
      <c r="AS64" s="791"/>
      <c r="AT64" s="913"/>
    </row>
    <row r="65" spans="6:46">
      <c r="AF65" s="916"/>
      <c r="AG65" s="868"/>
      <c r="AH65" s="868"/>
      <c r="AI65" s="868"/>
      <c r="AJ65" s="868"/>
      <c r="AK65" s="868"/>
      <c r="AL65" s="791"/>
      <c r="AM65" s="868"/>
      <c r="AN65" s="868"/>
      <c r="AO65" s="868"/>
      <c r="AP65" s="868"/>
      <c r="AQ65" s="868"/>
      <c r="AR65" s="791"/>
      <c r="AS65" s="791"/>
      <c r="AT65" s="913"/>
    </row>
    <row r="66" spans="6:46">
      <c r="AF66" s="916"/>
      <c r="AG66" s="868"/>
      <c r="AH66" s="868"/>
      <c r="AI66" s="868"/>
      <c r="AJ66" s="868"/>
      <c r="AK66" s="868"/>
      <c r="AL66" s="791"/>
      <c r="AM66" s="868"/>
      <c r="AN66" s="868"/>
      <c r="AO66" s="868"/>
      <c r="AP66" s="868"/>
      <c r="AQ66" s="868"/>
      <c r="AR66" s="791"/>
      <c r="AS66" s="791"/>
      <c r="AT66" s="913"/>
    </row>
    <row r="67" spans="6:46" ht="13.2">
      <c r="G67" s="943"/>
      <c r="H67" s="943"/>
      <c r="I67" s="943"/>
      <c r="J67" s="943"/>
      <c r="AF67" s="916"/>
      <c r="AG67" s="868"/>
      <c r="AH67" s="868"/>
      <c r="AI67" s="868"/>
      <c r="AJ67" s="868"/>
      <c r="AK67" s="868"/>
      <c r="AL67" s="791"/>
      <c r="AM67" s="868"/>
      <c r="AN67" s="868"/>
      <c r="AO67" s="868"/>
      <c r="AP67" s="868"/>
      <c r="AQ67" s="868"/>
      <c r="AR67" s="791"/>
      <c r="AS67" s="791"/>
      <c r="AT67" s="913"/>
    </row>
    <row r="68" spans="6:46">
      <c r="AF68" s="916"/>
      <c r="AG68" s="868"/>
      <c r="AH68" s="868"/>
      <c r="AI68" s="868"/>
      <c r="AJ68" s="868"/>
      <c r="AK68" s="868"/>
      <c r="AL68" s="791"/>
      <c r="AM68" s="868"/>
      <c r="AN68" s="868"/>
      <c r="AO68" s="868"/>
      <c r="AP68" s="868"/>
      <c r="AQ68" s="868"/>
      <c r="AR68" s="791"/>
      <c r="AS68" s="791"/>
      <c r="AT68" s="913"/>
    </row>
    <row r="69" spans="6:46">
      <c r="AF69" s="916"/>
      <c r="AG69" s="868"/>
      <c r="AH69" s="868"/>
      <c r="AI69" s="868"/>
      <c r="AJ69" s="868"/>
      <c r="AK69" s="868"/>
      <c r="AL69" s="791"/>
      <c r="AM69" s="868"/>
      <c r="AN69" s="868"/>
      <c r="AO69" s="868"/>
      <c r="AP69" s="868"/>
      <c r="AQ69" s="868"/>
      <c r="AR69" s="791"/>
      <c r="AS69" s="791"/>
      <c r="AT69" s="913"/>
    </row>
    <row r="70" spans="6:46" ht="13.2">
      <c r="F70" s="943"/>
      <c r="AF70" s="916"/>
      <c r="AG70" s="868"/>
      <c r="AH70" s="868"/>
      <c r="AI70" s="868"/>
      <c r="AJ70" s="868"/>
      <c r="AK70" s="868"/>
      <c r="AL70" s="791"/>
      <c r="AM70" s="868"/>
      <c r="AN70" s="868"/>
      <c r="AO70" s="868"/>
      <c r="AP70" s="868"/>
      <c r="AQ70" s="868"/>
      <c r="AR70" s="791"/>
      <c r="AS70" s="791"/>
      <c r="AT70" s="913"/>
    </row>
    <row r="71" spans="6:46">
      <c r="AF71" s="916"/>
      <c r="AG71" s="868"/>
      <c r="AH71" s="868"/>
      <c r="AI71" s="868"/>
      <c r="AJ71" s="868"/>
      <c r="AK71" s="868"/>
      <c r="AL71" s="791"/>
      <c r="AM71" s="868"/>
      <c r="AN71" s="868"/>
      <c r="AO71" s="868"/>
      <c r="AP71" s="868"/>
      <c r="AQ71" s="868"/>
      <c r="AR71" s="791"/>
      <c r="AS71" s="791"/>
      <c r="AT71" s="913"/>
    </row>
    <row r="72" spans="6:46">
      <c r="AF72" s="916"/>
      <c r="AG72" s="868"/>
      <c r="AH72" s="868"/>
      <c r="AI72" s="868"/>
      <c r="AJ72" s="868"/>
      <c r="AK72" s="868"/>
      <c r="AL72" s="791"/>
      <c r="AM72" s="868"/>
      <c r="AN72" s="868"/>
      <c r="AO72" s="868"/>
      <c r="AP72" s="868"/>
      <c r="AQ72" s="868"/>
      <c r="AR72" s="791"/>
      <c r="AS72" s="791"/>
      <c r="AT72" s="913"/>
    </row>
    <row r="73" spans="6:46">
      <c r="AF73" s="916"/>
      <c r="AG73" s="868"/>
      <c r="AH73" s="868"/>
      <c r="AI73" s="868"/>
      <c r="AJ73" s="868"/>
      <c r="AK73" s="871"/>
      <c r="AL73" s="791"/>
      <c r="AM73" s="868"/>
      <c r="AN73" s="868"/>
      <c r="AO73" s="868"/>
      <c r="AP73" s="868"/>
      <c r="AQ73" s="871"/>
      <c r="AR73" s="791"/>
      <c r="AS73" s="791"/>
      <c r="AT73" s="913"/>
    </row>
    <row r="74" spans="6:46">
      <c r="AF74" s="916"/>
      <c r="AG74" s="868"/>
      <c r="AH74" s="868"/>
      <c r="AI74" s="868"/>
      <c r="AJ74" s="868"/>
      <c r="AK74" s="868"/>
      <c r="AL74" s="791"/>
      <c r="AM74" s="868"/>
      <c r="AN74" s="868"/>
      <c r="AO74" s="868"/>
      <c r="AP74" s="868"/>
      <c r="AQ74" s="868"/>
      <c r="AR74" s="791"/>
      <c r="AS74" s="791"/>
      <c r="AT74" s="913"/>
    </row>
    <row r="75" spans="6:46">
      <c r="AF75" s="916"/>
      <c r="AG75" s="868"/>
      <c r="AH75" s="868"/>
      <c r="AI75" s="868"/>
      <c r="AJ75" s="868"/>
      <c r="AK75" s="868"/>
      <c r="AL75" s="791"/>
      <c r="AM75" s="868"/>
      <c r="AN75" s="868"/>
      <c r="AO75" s="868"/>
      <c r="AP75" s="868"/>
      <c r="AQ75" s="868"/>
      <c r="AR75" s="791"/>
      <c r="AS75" s="791"/>
      <c r="AT75" s="913"/>
    </row>
    <row r="76" spans="6:46">
      <c r="AF76" s="916"/>
      <c r="AG76" s="868"/>
      <c r="AH76" s="868"/>
      <c r="AI76" s="868"/>
      <c r="AJ76" s="868"/>
      <c r="AK76" s="868"/>
      <c r="AL76" s="791"/>
      <c r="AM76" s="868"/>
      <c r="AN76" s="868"/>
      <c r="AO76" s="868"/>
      <c r="AP76" s="868"/>
      <c r="AQ76" s="868"/>
      <c r="AR76" s="791"/>
      <c r="AS76" s="791"/>
      <c r="AT76" s="913"/>
    </row>
    <row r="77" spans="6:46">
      <c r="AF77" s="916"/>
      <c r="AG77" s="868"/>
      <c r="AH77" s="868"/>
      <c r="AI77" s="868"/>
      <c r="AJ77" s="868"/>
      <c r="AK77" s="868"/>
      <c r="AL77" s="791"/>
      <c r="AM77" s="868"/>
      <c r="AN77" s="868"/>
      <c r="AO77" s="868"/>
      <c r="AP77" s="868"/>
      <c r="AQ77" s="868"/>
      <c r="AR77" s="791"/>
      <c r="AS77" s="791"/>
      <c r="AT77" s="913"/>
    </row>
    <row r="78" spans="6:46">
      <c r="AF78" s="916"/>
      <c r="AG78" s="868"/>
      <c r="AH78" s="868"/>
      <c r="AI78" s="868"/>
      <c r="AJ78" s="868"/>
      <c r="AK78" s="868"/>
      <c r="AL78" s="791"/>
      <c r="AM78" s="868"/>
      <c r="AN78" s="868"/>
      <c r="AO78" s="868"/>
      <c r="AP78" s="868"/>
      <c r="AQ78" s="868"/>
      <c r="AR78" s="791"/>
      <c r="AS78" s="791"/>
      <c r="AT78" s="913"/>
    </row>
    <row r="79" spans="6:46">
      <c r="AF79" s="916"/>
      <c r="AG79" s="868"/>
      <c r="AH79" s="868"/>
      <c r="AI79" s="868"/>
      <c r="AJ79" s="868"/>
      <c r="AK79" s="868"/>
      <c r="AL79" s="791"/>
      <c r="AM79" s="868"/>
      <c r="AN79" s="868"/>
      <c r="AO79" s="868"/>
      <c r="AP79" s="868"/>
      <c r="AQ79" s="868"/>
      <c r="AR79" s="791"/>
      <c r="AS79" s="791"/>
      <c r="AT79" s="913"/>
    </row>
    <row r="80" spans="6:46">
      <c r="AF80" s="916"/>
      <c r="AG80" s="868"/>
      <c r="AH80" s="868"/>
      <c r="AI80" s="868"/>
      <c r="AJ80" s="868"/>
      <c r="AK80" s="868"/>
      <c r="AL80" s="791"/>
      <c r="AM80" s="868"/>
      <c r="AN80" s="868"/>
      <c r="AO80" s="868"/>
      <c r="AP80" s="868"/>
      <c r="AQ80" s="868"/>
      <c r="AR80" s="791"/>
      <c r="AS80" s="791"/>
      <c r="AT80" s="913"/>
    </row>
    <row r="81" spans="32:46">
      <c r="AF81" s="916"/>
      <c r="AG81" s="868"/>
      <c r="AH81" s="868"/>
      <c r="AI81" s="868"/>
      <c r="AJ81" s="868"/>
      <c r="AK81" s="868"/>
      <c r="AL81" s="791"/>
      <c r="AM81" s="868"/>
      <c r="AN81" s="868"/>
      <c r="AO81" s="868"/>
      <c r="AP81" s="868"/>
      <c r="AQ81" s="868"/>
      <c r="AR81" s="791"/>
      <c r="AS81" s="791"/>
      <c r="AT81" s="913"/>
    </row>
    <row r="82" spans="32:46">
      <c r="AF82" s="916"/>
      <c r="AG82" s="868"/>
      <c r="AH82" s="868"/>
      <c r="AI82" s="868"/>
      <c r="AJ82" s="868"/>
      <c r="AK82" s="868"/>
      <c r="AL82" s="791"/>
      <c r="AM82" s="868"/>
      <c r="AN82" s="868"/>
      <c r="AO82" s="868"/>
      <c r="AP82" s="868"/>
      <c r="AQ82" s="868"/>
      <c r="AR82" s="791"/>
      <c r="AS82" s="791"/>
      <c r="AT82" s="913"/>
    </row>
    <row r="83" spans="32:46">
      <c r="AF83" s="916"/>
      <c r="AG83" s="868"/>
      <c r="AH83" s="868"/>
      <c r="AI83" s="868"/>
      <c r="AJ83" s="868"/>
      <c r="AK83" s="868"/>
      <c r="AL83" s="791"/>
      <c r="AM83" s="868"/>
      <c r="AN83" s="868"/>
      <c r="AO83" s="868"/>
      <c r="AP83" s="868"/>
      <c r="AQ83" s="868"/>
      <c r="AR83" s="791"/>
      <c r="AS83" s="791"/>
      <c r="AT83" s="913"/>
    </row>
    <row r="84" spans="32:46">
      <c r="AF84" s="916"/>
      <c r="AG84" s="868"/>
      <c r="AH84" s="868"/>
      <c r="AI84" s="868"/>
      <c r="AJ84" s="868"/>
      <c r="AK84" s="868"/>
      <c r="AL84" s="791"/>
      <c r="AM84" s="868"/>
      <c r="AN84" s="868"/>
      <c r="AO84" s="868"/>
      <c r="AP84" s="868"/>
      <c r="AQ84" s="868"/>
      <c r="AR84" s="791"/>
      <c r="AS84" s="791"/>
      <c r="AT84" s="913"/>
    </row>
    <row r="85" spans="32:46">
      <c r="AF85" s="916"/>
      <c r="AG85" s="868"/>
      <c r="AH85" s="868"/>
      <c r="AI85" s="868"/>
      <c r="AJ85" s="868"/>
      <c r="AK85" s="868"/>
      <c r="AL85" s="791"/>
      <c r="AM85" s="868"/>
      <c r="AN85" s="868"/>
      <c r="AO85" s="868"/>
      <c r="AP85" s="868"/>
      <c r="AQ85" s="868"/>
      <c r="AR85" s="791"/>
      <c r="AS85" s="791"/>
      <c r="AT85" s="913"/>
    </row>
    <row r="86" spans="32:46">
      <c r="AF86" s="916"/>
      <c r="AG86" s="868"/>
      <c r="AH86" s="868"/>
      <c r="AI86" s="868"/>
      <c r="AJ86" s="868"/>
      <c r="AK86" s="868"/>
      <c r="AL86" s="791"/>
      <c r="AM86" s="868"/>
      <c r="AN86" s="868"/>
      <c r="AO86" s="868"/>
      <c r="AP86" s="868"/>
      <c r="AQ86" s="868"/>
      <c r="AR86" s="791"/>
      <c r="AS86" s="791"/>
      <c r="AT86" s="913"/>
    </row>
    <row r="87" spans="32:46">
      <c r="AF87" s="916"/>
      <c r="AG87" s="868"/>
      <c r="AH87" s="868"/>
      <c r="AI87" s="868"/>
      <c r="AJ87" s="868"/>
      <c r="AK87" s="871"/>
      <c r="AL87" s="791"/>
      <c r="AM87" s="868"/>
      <c r="AN87" s="868"/>
      <c r="AO87" s="868"/>
      <c r="AP87" s="868"/>
      <c r="AQ87" s="871"/>
      <c r="AR87" s="791"/>
      <c r="AS87" s="791"/>
      <c r="AT87" s="913"/>
    </row>
    <row r="88" spans="32:46">
      <c r="AF88" s="916"/>
      <c r="AG88" s="868"/>
      <c r="AH88" s="868"/>
      <c r="AI88" s="868"/>
      <c r="AJ88" s="868"/>
      <c r="AK88" s="868"/>
      <c r="AL88" s="791"/>
      <c r="AM88" s="868"/>
      <c r="AN88" s="868"/>
      <c r="AO88" s="868"/>
      <c r="AP88" s="868"/>
      <c r="AQ88" s="868"/>
      <c r="AR88" s="791"/>
      <c r="AS88" s="791"/>
      <c r="AT88" s="913"/>
    </row>
    <row r="89" spans="32:46">
      <c r="AF89" s="916"/>
      <c r="AG89" s="868"/>
      <c r="AH89" s="868"/>
      <c r="AI89" s="868"/>
      <c r="AJ89" s="868"/>
      <c r="AK89" s="868"/>
      <c r="AL89" s="791"/>
      <c r="AM89" s="868"/>
      <c r="AN89" s="868"/>
      <c r="AO89" s="868"/>
      <c r="AP89" s="868"/>
      <c r="AQ89" s="868"/>
      <c r="AR89" s="791"/>
      <c r="AS89" s="791"/>
      <c r="AT89" s="913"/>
    </row>
    <row r="90" spans="32:46">
      <c r="AF90" s="916"/>
      <c r="AG90" s="868"/>
      <c r="AH90" s="868"/>
      <c r="AI90" s="868"/>
      <c r="AJ90" s="868"/>
      <c r="AK90" s="868"/>
      <c r="AL90" s="791"/>
      <c r="AM90" s="868"/>
      <c r="AN90" s="868"/>
      <c r="AO90" s="868"/>
      <c r="AP90" s="868"/>
      <c r="AQ90" s="868"/>
      <c r="AR90" s="791"/>
      <c r="AS90" s="791"/>
      <c r="AT90" s="913"/>
    </row>
    <row r="91" spans="32:46">
      <c r="AF91" s="916"/>
      <c r="AG91" s="868"/>
      <c r="AH91" s="868"/>
      <c r="AI91" s="868"/>
      <c r="AJ91" s="868"/>
      <c r="AK91" s="868"/>
      <c r="AL91" s="791"/>
      <c r="AM91" s="868"/>
      <c r="AN91" s="868"/>
      <c r="AO91" s="868"/>
      <c r="AP91" s="868"/>
      <c r="AQ91" s="868"/>
      <c r="AR91" s="791"/>
      <c r="AS91" s="791"/>
      <c r="AT91" s="913"/>
    </row>
    <row r="92" spans="32:46">
      <c r="AF92" s="916"/>
      <c r="AG92" s="868"/>
      <c r="AH92" s="868"/>
      <c r="AI92" s="868"/>
      <c r="AJ92" s="868"/>
      <c r="AK92" s="868"/>
      <c r="AL92" s="791"/>
      <c r="AM92" s="868"/>
      <c r="AN92" s="868"/>
      <c r="AO92" s="868"/>
      <c r="AP92" s="868"/>
      <c r="AQ92" s="868"/>
      <c r="AR92" s="791"/>
      <c r="AS92" s="791"/>
      <c r="AT92" s="913"/>
    </row>
    <row r="93" spans="32:46">
      <c r="AF93" s="916"/>
      <c r="AG93" s="868"/>
      <c r="AH93" s="868"/>
      <c r="AI93" s="868"/>
      <c r="AJ93" s="868"/>
      <c r="AK93" s="868"/>
      <c r="AL93" s="791"/>
      <c r="AM93" s="868"/>
      <c r="AN93" s="868"/>
      <c r="AO93" s="868"/>
      <c r="AP93" s="868"/>
      <c r="AQ93" s="868"/>
      <c r="AR93" s="791"/>
      <c r="AS93" s="791"/>
      <c r="AT93" s="913"/>
    </row>
    <row r="94" spans="32:46">
      <c r="AF94" s="916"/>
      <c r="AG94" s="868"/>
      <c r="AH94" s="868"/>
      <c r="AI94" s="868"/>
      <c r="AJ94" s="868"/>
      <c r="AK94" s="868"/>
      <c r="AL94" s="791"/>
      <c r="AM94" s="868"/>
      <c r="AN94" s="868"/>
      <c r="AO94" s="868"/>
      <c r="AP94" s="868"/>
      <c r="AQ94" s="868"/>
      <c r="AR94" s="791"/>
      <c r="AS94" s="791"/>
      <c r="AT94" s="913"/>
    </row>
    <row r="95" spans="32:46">
      <c r="AF95" s="916"/>
      <c r="AG95" s="868"/>
      <c r="AH95" s="868"/>
      <c r="AI95" s="868"/>
      <c r="AJ95" s="868"/>
      <c r="AK95" s="868"/>
      <c r="AL95" s="791"/>
      <c r="AM95" s="868"/>
      <c r="AN95" s="868"/>
      <c r="AO95" s="868"/>
      <c r="AP95" s="868"/>
      <c r="AQ95" s="868"/>
      <c r="AR95" s="791"/>
      <c r="AS95" s="791"/>
      <c r="AT95" s="913"/>
    </row>
    <row r="96" spans="32:46">
      <c r="AF96" s="916"/>
      <c r="AG96" s="868"/>
      <c r="AH96" s="868"/>
      <c r="AI96" s="868"/>
      <c r="AJ96" s="868"/>
      <c r="AK96" s="868"/>
      <c r="AL96" s="791"/>
      <c r="AM96" s="868"/>
      <c r="AN96" s="868"/>
      <c r="AO96" s="868"/>
      <c r="AP96" s="868"/>
      <c r="AQ96" s="868"/>
      <c r="AR96" s="791"/>
      <c r="AS96" s="791"/>
      <c r="AT96" s="913"/>
    </row>
    <row r="97" spans="32:46">
      <c r="AF97" s="916"/>
      <c r="AG97" s="868"/>
      <c r="AH97" s="868"/>
      <c r="AI97" s="868"/>
      <c r="AJ97" s="868"/>
      <c r="AK97" s="868"/>
      <c r="AL97" s="791"/>
      <c r="AM97" s="868"/>
      <c r="AN97" s="868"/>
      <c r="AO97" s="868"/>
      <c r="AP97" s="868"/>
      <c r="AQ97" s="868"/>
      <c r="AR97" s="791"/>
      <c r="AS97" s="791"/>
      <c r="AT97" s="913"/>
    </row>
    <row r="98" spans="32:46">
      <c r="AF98" s="916"/>
      <c r="AG98" s="858"/>
      <c r="AH98" s="858"/>
      <c r="AI98" s="858"/>
      <c r="AJ98" s="858"/>
      <c r="AK98" s="868"/>
      <c r="AL98" s="791"/>
      <c r="AM98" s="858"/>
      <c r="AN98" s="858"/>
      <c r="AO98" s="858"/>
      <c r="AP98" s="858"/>
      <c r="AQ98" s="868"/>
      <c r="AR98" s="791"/>
      <c r="AS98" s="791"/>
      <c r="AT98" s="913"/>
    </row>
    <row r="99" spans="32:46">
      <c r="AF99" s="916"/>
      <c r="AG99" s="868"/>
      <c r="AH99" s="868"/>
      <c r="AI99" s="868"/>
      <c r="AJ99" s="868"/>
      <c r="AK99" s="868"/>
      <c r="AL99" s="791"/>
      <c r="AM99" s="868"/>
      <c r="AN99" s="868"/>
      <c r="AO99" s="868"/>
      <c r="AP99" s="868"/>
      <c r="AQ99" s="868"/>
      <c r="AR99" s="791"/>
      <c r="AS99" s="791"/>
      <c r="AT99" s="913"/>
    </row>
    <row r="100" spans="32:46">
      <c r="AF100" s="916"/>
      <c r="AG100" s="868"/>
      <c r="AH100" s="868"/>
      <c r="AI100" s="868"/>
      <c r="AJ100" s="868"/>
      <c r="AK100" s="868"/>
      <c r="AL100" s="791"/>
      <c r="AM100" s="868"/>
      <c r="AN100" s="868"/>
      <c r="AO100" s="868"/>
      <c r="AP100" s="868"/>
      <c r="AQ100" s="868"/>
      <c r="AR100" s="791"/>
      <c r="AS100" s="791"/>
      <c r="AT100" s="913"/>
    </row>
    <row r="101" spans="32:46">
      <c r="AF101" s="916"/>
      <c r="AG101" s="868"/>
      <c r="AH101" s="868"/>
      <c r="AI101" s="868"/>
      <c r="AJ101" s="868"/>
      <c r="AK101" s="868"/>
      <c r="AL101" s="791"/>
      <c r="AM101" s="868"/>
      <c r="AN101" s="868"/>
      <c r="AO101" s="868"/>
      <c r="AP101" s="868"/>
      <c r="AQ101" s="868"/>
      <c r="AR101" s="791"/>
      <c r="AS101" s="791"/>
      <c r="AT101" s="913"/>
    </row>
    <row r="102" spans="32:46">
      <c r="AF102" s="916"/>
      <c r="AG102" s="868"/>
      <c r="AH102" s="868"/>
      <c r="AI102" s="868"/>
      <c r="AJ102" s="868"/>
      <c r="AK102" s="868"/>
      <c r="AL102" s="791"/>
      <c r="AM102" s="868"/>
      <c r="AN102" s="868"/>
      <c r="AO102" s="868"/>
      <c r="AP102" s="868"/>
      <c r="AQ102" s="868"/>
      <c r="AR102" s="791"/>
      <c r="AS102" s="791"/>
      <c r="AT102" s="913"/>
    </row>
    <row r="103" spans="32:46">
      <c r="AF103" s="916"/>
      <c r="AG103" s="868"/>
      <c r="AH103" s="868"/>
      <c r="AI103" s="868"/>
      <c r="AJ103" s="868"/>
      <c r="AK103" s="868"/>
      <c r="AL103" s="791"/>
      <c r="AM103" s="868"/>
      <c r="AN103" s="868"/>
      <c r="AO103" s="868"/>
      <c r="AP103" s="868"/>
      <c r="AQ103" s="868"/>
      <c r="AR103" s="791"/>
      <c r="AS103" s="791"/>
      <c r="AT103" s="913"/>
    </row>
    <row r="104" spans="32:46">
      <c r="AF104" s="916"/>
      <c r="AG104" s="868"/>
      <c r="AH104" s="868"/>
      <c r="AI104" s="868"/>
      <c r="AJ104" s="868"/>
      <c r="AK104" s="868"/>
      <c r="AL104" s="791"/>
      <c r="AM104" s="868"/>
      <c r="AN104" s="868"/>
      <c r="AO104" s="868"/>
      <c r="AP104" s="868"/>
      <c r="AQ104" s="868"/>
      <c r="AR104" s="791"/>
      <c r="AS104" s="791"/>
      <c r="AT104" s="913"/>
    </row>
    <row r="105" spans="32:46">
      <c r="AF105" s="916"/>
      <c r="AG105" s="868"/>
      <c r="AH105" s="868"/>
      <c r="AI105" s="868"/>
      <c r="AJ105" s="868"/>
      <c r="AK105" s="868"/>
      <c r="AL105" s="791"/>
      <c r="AM105" s="868"/>
      <c r="AN105" s="868"/>
      <c r="AO105" s="868"/>
      <c r="AP105" s="868"/>
      <c r="AQ105" s="868"/>
      <c r="AR105" s="791"/>
      <c r="AS105" s="791"/>
      <c r="AT105" s="913"/>
    </row>
    <row r="106" spans="32:46">
      <c r="AF106" s="916"/>
      <c r="AG106" s="868"/>
      <c r="AH106" s="868"/>
      <c r="AI106" s="868"/>
      <c r="AJ106" s="868"/>
      <c r="AK106" s="868"/>
      <c r="AL106" s="791"/>
      <c r="AM106" s="868"/>
      <c r="AN106" s="868"/>
      <c r="AO106" s="868"/>
      <c r="AP106" s="868"/>
      <c r="AQ106" s="868"/>
      <c r="AR106" s="791"/>
      <c r="AS106" s="791"/>
      <c r="AT106" s="913"/>
    </row>
    <row r="107" spans="32:46">
      <c r="AF107" s="916"/>
      <c r="AG107" s="868"/>
      <c r="AH107" s="868"/>
      <c r="AI107" s="868"/>
      <c r="AJ107" s="868"/>
      <c r="AK107" s="868"/>
      <c r="AL107" s="791"/>
      <c r="AM107" s="868"/>
      <c r="AN107" s="868"/>
      <c r="AO107" s="868"/>
      <c r="AP107" s="868"/>
      <c r="AQ107" s="868"/>
      <c r="AR107" s="791"/>
      <c r="AS107" s="791"/>
      <c r="AT107" s="913"/>
    </row>
    <row r="108" spans="32:46">
      <c r="AF108" s="916"/>
      <c r="AG108" s="868"/>
      <c r="AH108" s="868"/>
      <c r="AI108" s="868"/>
      <c r="AJ108" s="868"/>
      <c r="AK108" s="868"/>
      <c r="AL108" s="791"/>
      <c r="AM108" s="868"/>
      <c r="AN108" s="868"/>
      <c r="AO108" s="868"/>
      <c r="AP108" s="868"/>
      <c r="AQ108" s="868"/>
      <c r="AR108" s="791"/>
      <c r="AS108" s="791"/>
      <c r="AT108" s="913"/>
    </row>
    <row r="109" spans="32:46">
      <c r="AF109" s="916"/>
      <c r="AG109" s="868"/>
      <c r="AH109" s="868"/>
      <c r="AI109" s="868"/>
      <c r="AJ109" s="868"/>
      <c r="AK109" s="868"/>
      <c r="AL109" s="791"/>
      <c r="AM109" s="868"/>
      <c r="AN109" s="868"/>
      <c r="AO109" s="868"/>
      <c r="AP109" s="868"/>
      <c r="AQ109" s="868"/>
      <c r="AR109" s="791"/>
      <c r="AS109" s="791"/>
      <c r="AT109" s="913"/>
    </row>
    <row r="110" spans="32:46">
      <c r="AF110" s="916"/>
      <c r="AG110" s="868"/>
      <c r="AH110" s="868"/>
      <c r="AI110" s="868"/>
      <c r="AJ110" s="868"/>
      <c r="AK110" s="946"/>
      <c r="AL110" s="791"/>
      <c r="AM110" s="868"/>
      <c r="AN110" s="868"/>
      <c r="AO110" s="868"/>
      <c r="AP110" s="868"/>
      <c r="AQ110" s="946"/>
      <c r="AR110" s="791"/>
      <c r="AS110" s="791"/>
      <c r="AT110" s="913"/>
    </row>
    <row r="111" spans="32:46">
      <c r="AF111" s="916"/>
      <c r="AG111" s="868"/>
      <c r="AH111" s="868"/>
      <c r="AI111" s="868"/>
      <c r="AJ111" s="868"/>
      <c r="AK111" s="946"/>
      <c r="AL111" s="791"/>
      <c r="AM111" s="868"/>
      <c r="AN111" s="868"/>
      <c r="AO111" s="868"/>
      <c r="AP111" s="868"/>
      <c r="AQ111" s="946"/>
      <c r="AR111" s="791"/>
      <c r="AS111" s="791"/>
      <c r="AT111" s="913"/>
    </row>
    <row r="112" spans="32:46">
      <c r="AF112" s="916"/>
      <c r="AG112" s="868"/>
      <c r="AH112" s="868"/>
      <c r="AI112" s="868"/>
      <c r="AJ112" s="868"/>
      <c r="AK112" s="946"/>
      <c r="AL112" s="791"/>
      <c r="AM112" s="868"/>
      <c r="AN112" s="868"/>
      <c r="AO112" s="868"/>
      <c r="AP112" s="868"/>
      <c r="AQ112" s="946"/>
      <c r="AR112" s="791"/>
      <c r="AS112" s="791"/>
      <c r="AT112" s="913"/>
    </row>
    <row r="113" spans="32:46">
      <c r="AF113" s="916"/>
      <c r="AG113" s="868"/>
      <c r="AH113" s="868"/>
      <c r="AI113" s="868"/>
      <c r="AJ113" s="868"/>
      <c r="AK113" s="946"/>
      <c r="AL113" s="791"/>
      <c r="AM113" s="868"/>
      <c r="AN113" s="868"/>
      <c r="AO113" s="868"/>
      <c r="AP113" s="868"/>
      <c r="AQ113" s="946"/>
      <c r="AR113" s="791"/>
      <c r="AS113" s="791"/>
      <c r="AT113" s="913"/>
    </row>
    <row r="114" spans="32:46">
      <c r="AF114" s="916"/>
      <c r="AG114" s="868"/>
      <c r="AH114" s="868"/>
      <c r="AI114" s="868"/>
      <c r="AJ114" s="868"/>
      <c r="AK114" s="946"/>
      <c r="AL114" s="791"/>
      <c r="AM114" s="868"/>
      <c r="AN114" s="868"/>
      <c r="AO114" s="868"/>
      <c r="AP114" s="868"/>
      <c r="AQ114" s="946"/>
      <c r="AR114" s="791"/>
      <c r="AS114" s="791"/>
      <c r="AT114" s="913"/>
    </row>
    <row r="115" spans="32:46">
      <c r="AF115" s="916"/>
      <c r="AG115" s="868"/>
      <c r="AH115" s="868"/>
      <c r="AI115" s="868"/>
      <c r="AJ115" s="868"/>
      <c r="AK115" s="946"/>
      <c r="AL115" s="791"/>
      <c r="AM115" s="868"/>
      <c r="AN115" s="868"/>
      <c r="AO115" s="868"/>
      <c r="AP115" s="868"/>
      <c r="AQ115" s="946"/>
      <c r="AR115" s="791"/>
      <c r="AS115" s="791"/>
      <c r="AT115" s="913"/>
    </row>
    <row r="116" spans="32:46">
      <c r="AF116" s="916"/>
      <c r="AG116" s="868"/>
      <c r="AH116" s="868"/>
      <c r="AI116" s="868"/>
      <c r="AJ116" s="868"/>
      <c r="AK116" s="946"/>
      <c r="AL116" s="791"/>
      <c r="AM116" s="868"/>
      <c r="AN116" s="868"/>
      <c r="AO116" s="868"/>
      <c r="AP116" s="868"/>
      <c r="AQ116" s="946"/>
      <c r="AR116" s="791"/>
      <c r="AS116" s="791"/>
      <c r="AT116" s="913"/>
    </row>
    <row r="117" spans="32:46">
      <c r="AF117" s="916"/>
      <c r="AG117" s="868"/>
      <c r="AH117" s="868"/>
      <c r="AI117" s="868"/>
      <c r="AJ117" s="868"/>
      <c r="AK117" s="946"/>
      <c r="AL117" s="791"/>
      <c r="AM117" s="868"/>
      <c r="AN117" s="868"/>
      <c r="AO117" s="868"/>
      <c r="AP117" s="868"/>
      <c r="AQ117" s="946"/>
      <c r="AR117" s="791"/>
      <c r="AS117" s="791"/>
      <c r="AT117" s="913"/>
    </row>
    <row r="118" spans="32:46">
      <c r="AF118" s="916"/>
      <c r="AG118" s="868"/>
      <c r="AH118" s="868"/>
      <c r="AI118" s="868"/>
      <c r="AJ118" s="868"/>
      <c r="AK118" s="946"/>
      <c r="AL118" s="791"/>
      <c r="AM118" s="868"/>
      <c r="AN118" s="868"/>
      <c r="AO118" s="868"/>
      <c r="AP118" s="868"/>
      <c r="AQ118" s="946"/>
      <c r="AR118" s="791"/>
      <c r="AS118" s="791"/>
      <c r="AT118" s="913"/>
    </row>
    <row r="119" spans="32:46">
      <c r="AF119" s="916"/>
      <c r="AG119" s="868"/>
      <c r="AH119" s="868"/>
      <c r="AI119" s="868"/>
      <c r="AJ119" s="868"/>
      <c r="AK119" s="946"/>
      <c r="AL119" s="791"/>
      <c r="AM119" s="868"/>
      <c r="AN119" s="868"/>
      <c r="AO119" s="868"/>
      <c r="AP119" s="868"/>
      <c r="AQ119" s="946"/>
      <c r="AR119" s="791"/>
      <c r="AS119" s="791"/>
      <c r="AT119" s="913"/>
    </row>
    <row r="120" spans="32:46">
      <c r="AF120" s="916"/>
      <c r="AG120" s="868"/>
      <c r="AH120" s="868"/>
      <c r="AI120" s="868"/>
      <c r="AJ120" s="868"/>
      <c r="AK120" s="946"/>
      <c r="AL120" s="791"/>
      <c r="AM120" s="868"/>
      <c r="AN120" s="868"/>
      <c r="AO120" s="868"/>
      <c r="AP120" s="868"/>
      <c r="AQ120" s="946"/>
      <c r="AR120" s="791"/>
      <c r="AS120" s="791"/>
      <c r="AT120" s="913"/>
    </row>
    <row r="121" spans="32:46">
      <c r="AF121" s="916"/>
      <c r="AG121" s="868"/>
      <c r="AH121" s="868"/>
      <c r="AI121" s="868"/>
      <c r="AJ121" s="868"/>
      <c r="AK121" s="946"/>
      <c r="AL121" s="791"/>
      <c r="AM121" s="868"/>
      <c r="AN121" s="868"/>
      <c r="AO121" s="868"/>
      <c r="AP121" s="868"/>
      <c r="AQ121" s="946"/>
      <c r="AR121" s="791"/>
      <c r="AS121" s="791"/>
      <c r="AT121" s="913"/>
    </row>
    <row r="122" spans="32:46">
      <c r="AF122" s="916"/>
      <c r="AG122" s="868"/>
      <c r="AH122" s="868"/>
      <c r="AI122" s="868"/>
      <c r="AJ122" s="868"/>
      <c r="AK122" s="946"/>
      <c r="AL122" s="791"/>
      <c r="AM122" s="868"/>
      <c r="AN122" s="868"/>
      <c r="AO122" s="868"/>
      <c r="AP122" s="868"/>
      <c r="AQ122" s="946"/>
      <c r="AR122" s="791"/>
      <c r="AS122" s="791"/>
      <c r="AT122" s="913"/>
    </row>
    <row r="123" spans="32:46">
      <c r="AF123" s="916"/>
      <c r="AG123" s="868"/>
      <c r="AH123" s="868"/>
      <c r="AI123" s="868"/>
      <c r="AJ123" s="868"/>
      <c r="AK123" s="946"/>
      <c r="AL123" s="791"/>
      <c r="AM123" s="868"/>
      <c r="AN123" s="868"/>
      <c r="AO123" s="868"/>
      <c r="AP123" s="868"/>
      <c r="AQ123" s="946"/>
      <c r="AR123" s="791"/>
      <c r="AS123" s="791"/>
      <c r="AT123" s="913"/>
    </row>
    <row r="124" spans="32:46">
      <c r="AF124" s="916"/>
      <c r="AG124" s="868"/>
      <c r="AH124" s="868"/>
      <c r="AI124" s="868"/>
      <c r="AJ124" s="868"/>
      <c r="AK124" s="946"/>
      <c r="AL124" s="791"/>
      <c r="AM124" s="868"/>
      <c r="AN124" s="868"/>
      <c r="AO124" s="868"/>
      <c r="AP124" s="868"/>
      <c r="AQ124" s="946"/>
      <c r="AR124" s="791"/>
      <c r="AS124" s="791"/>
      <c r="AT124" s="913"/>
    </row>
    <row r="125" spans="32:46">
      <c r="AF125" s="916"/>
      <c r="AG125" s="868"/>
      <c r="AH125" s="868"/>
      <c r="AI125" s="868"/>
      <c r="AJ125" s="868"/>
      <c r="AK125" s="946"/>
      <c r="AL125" s="791"/>
      <c r="AM125" s="868"/>
      <c r="AN125" s="868"/>
      <c r="AO125" s="868"/>
      <c r="AP125" s="868"/>
      <c r="AQ125" s="946"/>
      <c r="AR125" s="791"/>
      <c r="AS125" s="791"/>
      <c r="AT125" s="913"/>
    </row>
    <row r="126" spans="32:46">
      <c r="AF126" s="916"/>
      <c r="AG126" s="868"/>
      <c r="AH126" s="868"/>
      <c r="AI126" s="868"/>
      <c r="AJ126" s="868"/>
      <c r="AK126" s="946"/>
      <c r="AL126" s="791"/>
      <c r="AM126" s="868"/>
      <c r="AN126" s="868"/>
      <c r="AO126" s="868"/>
      <c r="AP126" s="868"/>
      <c r="AQ126" s="946"/>
      <c r="AR126" s="791"/>
      <c r="AS126" s="791"/>
      <c r="AT126" s="913"/>
    </row>
    <row r="127" spans="32:46">
      <c r="AF127" s="916"/>
      <c r="AG127" s="868"/>
      <c r="AH127" s="868"/>
      <c r="AI127" s="868"/>
      <c r="AJ127" s="868"/>
      <c r="AK127" s="946"/>
      <c r="AL127" s="791"/>
      <c r="AM127" s="868"/>
      <c r="AN127" s="868"/>
      <c r="AO127" s="868"/>
      <c r="AP127" s="868"/>
      <c r="AQ127" s="946"/>
      <c r="AR127" s="791"/>
      <c r="AS127" s="791"/>
      <c r="AT127" s="913"/>
    </row>
    <row r="128" spans="32:46">
      <c r="AF128" s="916"/>
      <c r="AG128" s="868"/>
      <c r="AH128" s="868"/>
      <c r="AI128" s="868"/>
      <c r="AJ128" s="868"/>
      <c r="AK128" s="946"/>
      <c r="AL128" s="791"/>
      <c r="AM128" s="868"/>
      <c r="AN128" s="868"/>
      <c r="AO128" s="868"/>
      <c r="AP128" s="868"/>
      <c r="AQ128" s="946"/>
      <c r="AR128" s="791"/>
      <c r="AS128" s="791"/>
      <c r="AT128" s="913"/>
    </row>
    <row r="129" spans="32:46">
      <c r="AF129" s="916"/>
      <c r="AG129" s="868"/>
      <c r="AH129" s="868"/>
      <c r="AI129" s="868"/>
      <c r="AJ129" s="868"/>
      <c r="AK129" s="946"/>
      <c r="AL129" s="791"/>
      <c r="AM129" s="868"/>
      <c r="AN129" s="868"/>
      <c r="AO129" s="868"/>
      <c r="AP129" s="868"/>
      <c r="AQ129" s="946"/>
      <c r="AR129" s="791"/>
      <c r="AS129" s="791"/>
      <c r="AT129" s="913"/>
    </row>
    <row r="130" spans="32:46">
      <c r="AF130" s="916"/>
      <c r="AG130" s="868"/>
      <c r="AH130" s="868"/>
      <c r="AI130" s="868"/>
      <c r="AJ130" s="868"/>
      <c r="AK130" s="946"/>
      <c r="AL130" s="791"/>
      <c r="AM130" s="868"/>
      <c r="AN130" s="868"/>
      <c r="AO130" s="868"/>
      <c r="AP130" s="868"/>
      <c r="AQ130" s="946"/>
      <c r="AR130" s="791"/>
      <c r="AS130" s="791"/>
      <c r="AT130" s="913"/>
    </row>
    <row r="131" spans="32:46">
      <c r="AF131" s="916"/>
      <c r="AG131" s="791"/>
      <c r="AH131" s="791"/>
      <c r="AI131" s="791"/>
      <c r="AJ131" s="791"/>
      <c r="AK131" s="791"/>
      <c r="AL131" s="791"/>
      <c r="AM131" s="868"/>
      <c r="AN131" s="868"/>
      <c r="AO131" s="868"/>
      <c r="AP131" s="868"/>
      <c r="AQ131" s="946"/>
      <c r="AR131" s="791"/>
      <c r="AS131" s="791"/>
      <c r="AT131" s="913"/>
    </row>
    <row r="132" spans="32:46">
      <c r="AG132" s="947"/>
      <c r="AH132" s="947"/>
      <c r="AI132" s="947"/>
      <c r="AJ132" s="947"/>
      <c r="AK132" s="947"/>
      <c r="AL132" s="947"/>
      <c r="AM132" s="868"/>
      <c r="AN132" s="868"/>
      <c r="AO132" s="868"/>
      <c r="AP132" s="868"/>
      <c r="AQ132" s="946"/>
      <c r="AR132" s="947"/>
      <c r="AS132" s="947"/>
    </row>
  </sheetData>
  <mergeCells count="10">
    <mergeCell ref="B15:E15"/>
    <mergeCell ref="E4:P4"/>
    <mergeCell ref="B5:E5"/>
    <mergeCell ref="B7:E8"/>
    <mergeCell ref="B10:E14"/>
    <mergeCell ref="B16:E19"/>
    <mergeCell ref="B20:E20"/>
    <mergeCell ref="B21:E28"/>
    <mergeCell ref="B29:E29"/>
    <mergeCell ref="B30:E35"/>
  </mergeCells>
  <phoneticPr fontId="7" type="noConversion"/>
  <pageMargins left="0.7" right="0.7" top="0.75" bottom="0.75" header="0.3" footer="0.3"/>
  <pageSetup paperSize="9" orientation="portrait" horizontalDpi="180" verticalDpi="18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B1:AE42"/>
  <sheetViews>
    <sheetView showGridLines="0" topLeftCell="A5" workbookViewId="0">
      <selection activeCell="C6" sqref="C6"/>
    </sheetView>
  </sheetViews>
  <sheetFormatPr defaultColWidth="9.375" defaultRowHeight="20.100000000000001" customHeight="1"/>
  <cols>
    <col min="1" max="1" width="2.125" style="792" customWidth="1"/>
    <col min="2" max="2" width="25.5" style="792" customWidth="1"/>
    <col min="3" max="3" width="30.125" style="792" customWidth="1"/>
    <col min="4" max="4" width="1.5" style="792" customWidth="1"/>
    <col min="5" max="5" width="25.375" style="792" customWidth="1"/>
    <col min="6" max="6" width="24" style="792" customWidth="1"/>
    <col min="7" max="7" width="20.125" style="792" customWidth="1"/>
    <col min="8" max="8" width="19" style="792" customWidth="1"/>
    <col min="9" max="9" width="23.375" style="792" customWidth="1"/>
    <col min="10" max="10" width="24.625" style="792" customWidth="1"/>
    <col min="11" max="11" width="21" style="792" customWidth="1"/>
    <col min="12" max="12" width="16.5" style="792" hidden="1" customWidth="1"/>
    <col min="13" max="13" width="11.875" style="792" customWidth="1"/>
    <col min="14" max="26" width="9.375" style="792"/>
    <col min="27" max="27" width="14" style="792" hidden="1" customWidth="1"/>
    <col min="28" max="28" width="26.625" style="792" customWidth="1"/>
    <col min="29" max="29" width="13" style="792" customWidth="1"/>
    <col min="30" max="30" width="32.5" style="792" customWidth="1"/>
    <col min="31" max="31" width="18.375" style="792" customWidth="1"/>
    <col min="32" max="33" width="9.375" style="792" customWidth="1"/>
    <col min="34" max="16384" width="9.375" style="792"/>
  </cols>
  <sheetData>
    <row r="1" spans="2:31" ht="5.25" hidden="1" customHeight="1">
      <c r="B1" s="790"/>
      <c r="C1" s="790" t="s">
        <v>2899</v>
      </c>
      <c r="D1" s="791">
        <v>44926</v>
      </c>
      <c r="E1" s="790"/>
      <c r="F1" s="790"/>
    </row>
    <row r="2" spans="2:31" ht="20.25" customHeight="1">
      <c r="B2" s="793"/>
      <c r="C2" s="1280"/>
      <c r="D2" s="1280"/>
      <c r="E2" s="1280"/>
      <c r="F2" s="1280"/>
    </row>
    <row r="3" spans="2:31" ht="3.75" customHeight="1">
      <c r="B3" s="790"/>
      <c r="C3" s="790"/>
      <c r="D3" s="791"/>
      <c r="E3" s="790"/>
    </row>
    <row r="4" spans="2:31" ht="15" customHeight="1">
      <c r="B4" s="794"/>
      <c r="C4" s="794" t="s">
        <v>2473</v>
      </c>
      <c r="D4" s="795"/>
      <c r="E4" s="794"/>
      <c r="AE4" s="796"/>
    </row>
    <row r="5" spans="2:31" ht="15" customHeight="1">
      <c r="B5" s="794"/>
      <c r="C5" s="794"/>
      <c r="D5" s="795"/>
      <c r="E5" s="794"/>
      <c r="F5" s="797"/>
      <c r="G5" s="798"/>
      <c r="H5" s="799"/>
      <c r="I5" s="799"/>
      <c r="AB5" s="800"/>
      <c r="AC5" s="801"/>
      <c r="AD5" s="800"/>
      <c r="AE5" s="797"/>
    </row>
    <row r="6" spans="2:31" ht="18" customHeight="1">
      <c r="B6" s="802" t="s">
        <v>2856</v>
      </c>
      <c r="C6" s="980" t="s">
        <v>2886</v>
      </c>
      <c r="D6" s="804"/>
      <c r="E6" s="805" t="s">
        <v>1805</v>
      </c>
      <c r="F6" s="806" t="s">
        <v>2898</v>
      </c>
      <c r="G6" s="807"/>
      <c r="H6" s="799"/>
      <c r="K6" s="789"/>
      <c r="L6" s="789"/>
      <c r="M6" s="789"/>
      <c r="AA6" s="792" t="str">
        <f>CONCATENATE("BDC_DES(","S_NameAbbr",",",L7,")","[!]","BDC_INDUSTRY(","S_SW",",",L7,",","2"")","[!]","BDC_EQIN(","S_TotalShr",",",L7,",",C7,")","[!]","BDC_EQIN(","S_RestrictedShr",",",L7,",",C7,")","[!]","BDC_EQIN(","S_HShr",",",L7,",",C7,")","[!]","BDC_EQIN(","S_BShr",",",L7,",",C7,")","[!]","BDC_QTE(","S_PriceClose",",",L7,",",F5,")","[!]","BDC_EQIN(","S_PriceCloseH",",",L7,",",F5,")","[!]","BDC_EQIN(","S_PriceCloseB",",",L7,",",F5,")","[!]","BDC_QTE(","Ex_Mid",",","351",",",F5,")","[!]","BDC_QTE(","Ex_Mid",",","352",",",F5,")","[!]",)</f>
        <v>BDC_DES(S_NameAbbr,300737.SZ)[!]BDC_INDUSTRY(S_SW,300737.SZ,2")[!]BDC_EQIN(S_TotalShr,300737.SZ,44926)[!]BDC_EQIN(S_RestrictedShr,300737.SZ,44926)[!]BDC_EQIN(S_HShr,300737.SZ,44926)[!]BDC_EQIN(S_BShr,300737.SZ,44926)[!]BDC_QTE(S_PriceClose,300737.SZ,)[!]BDC_EQIN(S_PriceCloseH,300737.SZ,)[!]BDC_EQIN(S_PriceCloseB,300737.SZ,)[!]BDC_QTE(Ex_Mid,351,)[!]BDC_QTE(Ex_Mid,352,)[!]</v>
      </c>
      <c r="AB6" s="800"/>
      <c r="AC6" s="808"/>
      <c r="AD6" s="800"/>
      <c r="AE6" s="801"/>
    </row>
    <row r="7" spans="2:31" ht="18" customHeight="1">
      <c r="B7" s="802" t="s">
        <v>1806</v>
      </c>
      <c r="C7" s="809">
        <v>44926</v>
      </c>
      <c r="D7" s="810"/>
      <c r="E7" s="811" t="s">
        <v>1807</v>
      </c>
      <c r="F7" s="812"/>
      <c r="H7" s="799"/>
      <c r="K7" s="789"/>
      <c r="L7" s="789" t="str">
        <f>IF(IFERROR(FIND(".",C6,1),0)&gt;0,UPPER(C6),IF(MID(C6,1,1)="6",C6&amp;".SH",C6&amp;".SZ"))</f>
        <v>300737.SZ</v>
      </c>
      <c r="AA7" s="813" t="s">
        <v>1808</v>
      </c>
      <c r="AB7" s="800"/>
      <c r="AC7" s="808"/>
      <c r="AD7" s="800"/>
      <c r="AE7" s="801"/>
    </row>
    <row r="8" spans="2:31" ht="18" customHeight="1">
      <c r="B8" s="814" t="s">
        <v>1809</v>
      </c>
      <c r="C8" s="809">
        <f ca="1">TODAY()-1</f>
        <v>45327</v>
      </c>
      <c r="D8" s="810"/>
      <c r="E8" s="811" t="s">
        <v>1810</v>
      </c>
      <c r="F8" s="1318">
        <v>1177.2865629999999</v>
      </c>
      <c r="G8" s="1070" t="s">
        <v>2871</v>
      </c>
      <c r="H8" s="815"/>
      <c r="AA8" s="792">
        <v>0</v>
      </c>
      <c r="AB8" s="800"/>
      <c r="AC8" s="816"/>
      <c r="AD8" s="800"/>
      <c r="AE8" s="801"/>
    </row>
    <row r="9" spans="2:31" ht="18" customHeight="1">
      <c r="B9" s="802" t="s">
        <v>1811</v>
      </c>
      <c r="C9" s="961" t="s">
        <v>2838</v>
      </c>
      <c r="E9" s="811" t="s">
        <v>1812</v>
      </c>
      <c r="F9" s="1318">
        <v>899.48524999999995</v>
      </c>
      <c r="G9" s="835"/>
      <c r="H9" s="799"/>
      <c r="AA9" s="792">
        <v>18653471415</v>
      </c>
      <c r="AB9" s="800"/>
      <c r="AC9" s="816"/>
      <c r="AD9" s="800"/>
      <c r="AE9" s="801"/>
    </row>
    <row r="10" spans="2:31" ht="18" customHeight="1">
      <c r="B10" s="802" t="s">
        <v>1813</v>
      </c>
      <c r="C10" s="817"/>
      <c r="E10" s="811" t="s">
        <v>1814</v>
      </c>
      <c r="F10" s="1318">
        <v>0</v>
      </c>
      <c r="G10" s="835"/>
      <c r="H10" s="799"/>
      <c r="AA10" s="792">
        <v>3730694283</v>
      </c>
      <c r="AB10" s="800"/>
      <c r="AC10" s="816"/>
      <c r="AD10" s="800"/>
      <c r="AE10" s="801"/>
    </row>
    <row r="11" spans="2:31" ht="18" customHeight="1">
      <c r="B11" s="802" t="s">
        <v>1815</v>
      </c>
      <c r="C11" s="817"/>
      <c r="E11" s="811" t="s">
        <v>1816</v>
      </c>
      <c r="F11" s="1318">
        <v>0</v>
      </c>
      <c r="G11" s="835"/>
      <c r="H11" s="799"/>
      <c r="AA11" s="792">
        <v>0</v>
      </c>
      <c r="AB11" s="800"/>
      <c r="AC11" s="816"/>
      <c r="AD11" s="800"/>
      <c r="AE11" s="801"/>
    </row>
    <row r="12" spans="2:31" ht="18" customHeight="1">
      <c r="B12" s="802" t="s">
        <v>2088</v>
      </c>
      <c r="C12" s="817"/>
      <c r="E12" s="811" t="s">
        <v>1817</v>
      </c>
      <c r="F12" s="1319">
        <v>4.4000000000000004</v>
      </c>
      <c r="G12" s="835"/>
      <c r="AA12" s="792">
        <v>0</v>
      </c>
      <c r="AB12" s="800"/>
      <c r="AC12" s="816"/>
    </row>
    <row r="13" spans="2:31" ht="18" customHeight="1">
      <c r="E13" s="811" t="s">
        <v>1818</v>
      </c>
      <c r="F13" s="1320"/>
      <c r="G13" s="835"/>
      <c r="AA13" s="792">
        <v>7.51</v>
      </c>
      <c r="AB13" s="800"/>
      <c r="AC13" s="818"/>
    </row>
    <row r="14" spans="2:31" ht="18" customHeight="1">
      <c r="E14" s="811" t="s">
        <v>1819</v>
      </c>
      <c r="F14" s="1321"/>
      <c r="G14" s="835"/>
      <c r="M14" s="789"/>
      <c r="AA14" s="792">
        <v>0</v>
      </c>
      <c r="AB14" s="800"/>
      <c r="AC14" s="819"/>
      <c r="AD14" s="800"/>
      <c r="AE14" s="816"/>
    </row>
    <row r="15" spans="2:31" ht="18" customHeight="1">
      <c r="E15" s="811" t="s">
        <v>1820</v>
      </c>
      <c r="F15" s="820">
        <v>0.90854999999999997</v>
      </c>
      <c r="G15" s="835"/>
      <c r="M15" s="789"/>
      <c r="AA15" s="792">
        <v>0</v>
      </c>
      <c r="AB15" s="800"/>
      <c r="AC15" s="821"/>
      <c r="AD15" s="800"/>
      <c r="AE15" s="816"/>
    </row>
    <row r="16" spans="2:31" ht="18" customHeight="1">
      <c r="E16" s="822" t="s">
        <v>1821</v>
      </c>
      <c r="F16" s="823">
        <v>7.1070000000000002</v>
      </c>
      <c r="G16" s="835"/>
      <c r="AA16" s="792">
        <v>0.81291000000000002</v>
      </c>
      <c r="AB16" s="800"/>
      <c r="AC16" s="821"/>
      <c r="AD16" s="800"/>
      <c r="AE16" s="824"/>
    </row>
    <row r="17" spans="2:27" ht="18" customHeight="1">
      <c r="E17" s="825"/>
      <c r="F17" s="824"/>
      <c r="G17" s="835"/>
      <c r="I17" s="826"/>
      <c r="AA17" s="792">
        <v>6.3002000000000002</v>
      </c>
    </row>
    <row r="18" spans="2:27" ht="18" customHeight="1">
      <c r="B18" s="827"/>
      <c r="G18" s="835"/>
      <c r="I18" s="826"/>
      <c r="J18" s="789"/>
      <c r="K18" s="789"/>
      <c r="L18" s="789"/>
    </row>
    <row r="19" spans="2:27" ht="21.75" customHeight="1">
      <c r="B19" s="828" t="s">
        <v>1822</v>
      </c>
      <c r="C19" s="1278" t="s">
        <v>1823</v>
      </c>
      <c r="D19" s="1279"/>
      <c r="E19" s="1279"/>
      <c r="F19" s="1279"/>
      <c r="G19" s="835"/>
    </row>
    <row r="20" spans="2:27" ht="21" customHeight="1">
      <c r="B20" s="828" t="s">
        <v>1824</v>
      </c>
      <c r="C20" s="1278" t="s">
        <v>1825</v>
      </c>
      <c r="D20" s="1279"/>
      <c r="E20" s="1279"/>
      <c r="F20" s="1279"/>
      <c r="G20" s="835"/>
    </row>
    <row r="21" spans="2:27" ht="20.100000000000001" customHeight="1">
      <c r="B21" s="829" t="s">
        <v>1826</v>
      </c>
      <c r="C21" s="1276" t="s">
        <v>1827</v>
      </c>
      <c r="D21" s="1277"/>
      <c r="E21" s="1277"/>
      <c r="F21" s="1277"/>
      <c r="G21" s="835"/>
    </row>
    <row r="22" spans="2:27" ht="20.100000000000001" customHeight="1">
      <c r="B22" s="829" t="s">
        <v>1828</v>
      </c>
      <c r="C22" s="1276" t="s">
        <v>1829</v>
      </c>
      <c r="D22" s="1277"/>
      <c r="E22" s="1277"/>
      <c r="F22" s="1277"/>
      <c r="G22" s="835"/>
      <c r="L22" s="789"/>
    </row>
    <row r="23" spans="2:27" ht="20.100000000000001" customHeight="1">
      <c r="B23" s="829" t="s">
        <v>1830</v>
      </c>
      <c r="C23" s="1276" t="s">
        <v>1830</v>
      </c>
      <c r="D23" s="1277"/>
      <c r="E23" s="1277"/>
      <c r="F23" s="1277"/>
      <c r="G23" s="835"/>
    </row>
    <row r="24" spans="2:27" ht="20.100000000000001" customHeight="1">
      <c r="B24" s="828" t="s">
        <v>1831</v>
      </c>
      <c r="C24" s="1278" t="s">
        <v>1832</v>
      </c>
      <c r="D24" s="1279"/>
      <c r="E24" s="1279"/>
      <c r="F24" s="1279"/>
      <c r="G24" s="835"/>
      <c r="I24" s="830"/>
    </row>
    <row r="25" spans="2:27" ht="20.100000000000001" hidden="1" customHeight="1">
      <c r="B25" s="828" t="s">
        <v>1833</v>
      </c>
      <c r="C25" s="1278" t="s">
        <v>1834</v>
      </c>
      <c r="D25" s="1279"/>
      <c r="E25" s="1279"/>
      <c r="F25" s="1279"/>
      <c r="G25" s="835"/>
      <c r="I25" s="830"/>
    </row>
    <row r="26" spans="2:27" ht="20.100000000000001" customHeight="1">
      <c r="B26" s="829" t="s">
        <v>1835</v>
      </c>
      <c r="C26" s="1276" t="s">
        <v>1836</v>
      </c>
      <c r="D26" s="1277"/>
      <c r="E26" s="1277"/>
      <c r="F26" s="1277"/>
      <c r="G26" s="835"/>
      <c r="I26" s="830"/>
    </row>
    <row r="27" spans="2:27" ht="20.100000000000001" customHeight="1">
      <c r="B27" s="829" t="s">
        <v>1837</v>
      </c>
      <c r="C27" s="1276" t="s">
        <v>1836</v>
      </c>
      <c r="D27" s="1277"/>
      <c r="E27" s="1277"/>
      <c r="F27" s="1277"/>
      <c r="G27" s="835"/>
    </row>
    <row r="28" spans="2:27" ht="20.100000000000001" customHeight="1">
      <c r="B28" s="829" t="s">
        <v>1838</v>
      </c>
      <c r="C28" s="1276" t="s">
        <v>1839</v>
      </c>
      <c r="D28" s="1277"/>
      <c r="E28" s="1277"/>
      <c r="F28" s="1277"/>
      <c r="G28" s="835"/>
      <c r="L28" s="789"/>
    </row>
    <row r="29" spans="2:27" ht="20.100000000000001" customHeight="1">
      <c r="B29" s="828" t="s">
        <v>1840</v>
      </c>
      <c r="C29" s="1278" t="s">
        <v>1841</v>
      </c>
      <c r="D29" s="1279"/>
      <c r="E29" s="1279"/>
      <c r="F29" s="1279"/>
      <c r="G29" s="835"/>
    </row>
    <row r="30" spans="2:27" ht="20.100000000000001" customHeight="1">
      <c r="B30" s="828" t="s">
        <v>1842</v>
      </c>
      <c r="C30" s="1278" t="s">
        <v>1841</v>
      </c>
      <c r="D30" s="1279"/>
      <c r="E30" s="1279"/>
      <c r="F30" s="1279"/>
    </row>
    <row r="31" spans="2:27" ht="20.100000000000001" customHeight="1">
      <c r="B31" s="829" t="s">
        <v>1843</v>
      </c>
      <c r="C31" s="1276" t="s">
        <v>1841</v>
      </c>
      <c r="D31" s="1277"/>
      <c r="E31" s="1277"/>
      <c r="F31" s="1277"/>
    </row>
    <row r="32" spans="2:27" ht="20.100000000000001" customHeight="1">
      <c r="B32" s="829" t="s">
        <v>1844</v>
      </c>
      <c r="C32" s="1276" t="s">
        <v>1845</v>
      </c>
      <c r="D32" s="1277"/>
      <c r="E32" s="1277"/>
      <c r="F32" s="1277"/>
    </row>
    <row r="33" spans="2:6" ht="20.100000000000001" hidden="1" customHeight="1">
      <c r="B33" s="829" t="s">
        <v>1846</v>
      </c>
      <c r="C33" s="1276" t="s">
        <v>1847</v>
      </c>
      <c r="D33" s="1277"/>
      <c r="E33" s="1277"/>
      <c r="F33" s="1277"/>
    </row>
    <row r="34" spans="2:6" ht="20.100000000000001" hidden="1" customHeight="1">
      <c r="B34" s="828" t="s">
        <v>1848</v>
      </c>
      <c r="C34" s="1278" t="s">
        <v>1849</v>
      </c>
      <c r="D34" s="1279"/>
      <c r="E34" s="1279"/>
      <c r="F34" s="1279"/>
    </row>
    <row r="35" spans="2:6" ht="20.100000000000001" customHeight="1">
      <c r="B35" s="828" t="s">
        <v>1850</v>
      </c>
      <c r="C35" s="1278" t="s">
        <v>1851</v>
      </c>
      <c r="D35" s="1279"/>
      <c r="E35" s="1279"/>
      <c r="F35" s="1279"/>
    </row>
    <row r="36" spans="2:6" ht="20.100000000000001" customHeight="1">
      <c r="B36" s="829" t="s">
        <v>1852</v>
      </c>
      <c r="C36" s="1276" t="s">
        <v>1853</v>
      </c>
      <c r="D36" s="1277"/>
      <c r="E36" s="1277"/>
      <c r="F36" s="1277"/>
    </row>
    <row r="37" spans="2:6" ht="20.100000000000001" customHeight="1">
      <c r="B37" s="829" t="s">
        <v>1854</v>
      </c>
      <c r="C37" s="1276" t="s">
        <v>1853</v>
      </c>
      <c r="D37" s="1277"/>
      <c r="E37" s="1277"/>
      <c r="F37" s="1277"/>
    </row>
    <row r="38" spans="2:6" ht="20.100000000000001" customHeight="1">
      <c r="B38" s="829" t="s">
        <v>1855</v>
      </c>
      <c r="C38" s="1276" t="s">
        <v>1853</v>
      </c>
      <c r="D38" s="1277"/>
      <c r="E38" s="1277"/>
      <c r="F38" s="1277"/>
    </row>
    <row r="39" spans="2:6" ht="20.100000000000001" customHeight="1">
      <c r="B39" s="828" t="s">
        <v>1856</v>
      </c>
      <c r="C39" s="1278" t="s">
        <v>1857</v>
      </c>
      <c r="D39" s="1279"/>
      <c r="E39" s="1279"/>
      <c r="F39" s="1279"/>
    </row>
    <row r="40" spans="2:6" ht="20.100000000000001" customHeight="1">
      <c r="B40" s="828" t="s">
        <v>1858</v>
      </c>
      <c r="C40" s="1278" t="s">
        <v>1859</v>
      </c>
      <c r="D40" s="1279"/>
      <c r="E40" s="1279"/>
      <c r="F40" s="1279"/>
    </row>
    <row r="41" spans="2:6" ht="20.100000000000001" customHeight="1">
      <c r="B41" s="829" t="s">
        <v>1860</v>
      </c>
      <c r="C41" s="1276" t="s">
        <v>1857</v>
      </c>
      <c r="D41" s="1277"/>
      <c r="E41" s="1277"/>
      <c r="F41" s="1277"/>
    </row>
    <row r="42" spans="2:6" ht="20.100000000000001" customHeight="1">
      <c r="B42" s="829" t="s">
        <v>1861</v>
      </c>
      <c r="C42" s="1276" t="s">
        <v>1862</v>
      </c>
      <c r="D42" s="1277"/>
      <c r="E42" s="1277"/>
      <c r="F42" s="1277"/>
    </row>
  </sheetData>
  <mergeCells count="25">
    <mergeCell ref="C23:F23"/>
    <mergeCell ref="C2:F2"/>
    <mergeCell ref="C19:F19"/>
    <mergeCell ref="C20:F20"/>
    <mergeCell ref="C21:F21"/>
    <mergeCell ref="C22:F22"/>
    <mergeCell ref="C35:F35"/>
    <mergeCell ref="C24:F24"/>
    <mergeCell ref="C25:F25"/>
    <mergeCell ref="C26:F26"/>
    <mergeCell ref="C27:F27"/>
    <mergeCell ref="C28:F28"/>
    <mergeCell ref="C29:F29"/>
    <mergeCell ref="C30:F30"/>
    <mergeCell ref="C31:F31"/>
    <mergeCell ref="C32:F32"/>
    <mergeCell ref="C33:F33"/>
    <mergeCell ref="C34:F34"/>
    <mergeCell ref="C42:F42"/>
    <mergeCell ref="C36:F36"/>
    <mergeCell ref="C37:F37"/>
    <mergeCell ref="C38:F38"/>
    <mergeCell ref="C39:F39"/>
    <mergeCell ref="C40:F40"/>
    <mergeCell ref="C41:F41"/>
  </mergeCells>
  <phoneticPr fontId="7" type="noConversion"/>
  <hyperlinks>
    <hyperlink ref="B20" location="目录!A1" display="目录" xr:uid="{00000000-0004-0000-0700-000000000000}"/>
    <hyperlink ref="B21" location="年度数据!A1" display="年度数据" xr:uid="{00000000-0004-0000-0700-000001000000}"/>
    <hyperlink ref="B36" location="财务分析!A1" display="财务分析" xr:uid="{00000000-0004-0000-0700-000002000000}"/>
    <hyperlink ref="B22" location="收入成本预测!A1" display="收入成本预测" xr:uid="{00000000-0004-0000-0700-000003000000}"/>
    <hyperlink ref="B23" location="单产品敏感性分析!A1" display="单产品敏感性分析" xr:uid="{00000000-0004-0000-0700-000004000000}"/>
    <hyperlink ref="B24" location="假设!A1" display="假设" xr:uid="{00000000-0004-0000-0700-000005000000}"/>
    <hyperlink ref="B26" location="利润表!A1" display="利润表" xr:uid="{00000000-0004-0000-0700-000006000000}"/>
    <hyperlink ref="B27" location="资产负债!A1" display="资产负债表" xr:uid="{00000000-0004-0000-0700-000007000000}"/>
    <hyperlink ref="B28" location="现金流量!A1" display="现金流量表" xr:uid="{00000000-0004-0000-0700-000008000000}"/>
    <hyperlink ref="B29" location="营运资本!A1" display="营运资本" xr:uid="{00000000-0004-0000-0700-000009000000}"/>
    <hyperlink ref="B30" location="资本投资!A1" display="资本投资" xr:uid="{00000000-0004-0000-0700-00000A000000}"/>
    <hyperlink ref="B31" location="债务!A1" display="债务" xr:uid="{00000000-0004-0000-0700-00000B000000}"/>
    <hyperlink ref="B35" location="DCF!A1" display="绝对估值" xr:uid="{00000000-0004-0000-0700-00000C000000}"/>
    <hyperlink ref="B37" location="绝对估值敏感性分析!A1" display="绝对估值敏感分析" xr:uid="{00000000-0004-0000-0700-00000D000000}"/>
    <hyperlink ref="B38" location="相对估值!A1" display="相对估值" xr:uid="{00000000-0004-0000-0700-00000E000000}"/>
    <hyperlink ref="B39" location="输出!A1" display="输出" xr:uid="{00000000-0004-0000-0700-00000F000000}"/>
    <hyperlink ref="B40" location="季度数据!A1" display="季度数据" xr:uid="{00000000-0004-0000-0700-000010000000}"/>
    <hyperlink ref="B41" location="图形!A1" display="图形" xr:uid="{00000000-0004-0000-0700-000011000000}"/>
    <hyperlink ref="B42" location="情景表!A1" display="情景表" xr:uid="{00000000-0004-0000-0700-000012000000}"/>
    <hyperlink ref="B32" location="资产规模指数化分析!A1" display="资产规模指数化分析" xr:uid="{00000000-0004-0000-0700-000013000000}"/>
    <hyperlink ref="B33" location="同比报表!A1" display="同比报表" xr:uid="{00000000-0004-0000-0700-000014000000}"/>
    <hyperlink ref="B34" location="杜邦分析!A1" display="杜邦分析" xr:uid="{00000000-0004-0000-0700-000015000000}"/>
  </hyperlinks>
  <pageMargins left="0.94488188976377963" right="0.55118110236220474" top="0.98425196850393704" bottom="0.98425196850393704" header="0.51181102362204722" footer="0.51181102362204722"/>
  <pageSetup paperSize="9" orientation="portrait" horizontalDpi="1200" verticalDpi="1200" r:id="rId1"/>
  <headerFooter alignWithMargins="0"/>
  <drawing r:id="rId2"/>
  <legacyDrawing r:id="rId3"/>
  <controls>
    <mc:AlternateContent xmlns:mc="http://schemas.openxmlformats.org/markup-compatibility/2006">
      <mc:Choice Requires="x14">
        <control shapeId="22873089" r:id="rId4" name="HisYear">
          <controlPr print="0" autoLine="0" r:id="rId5">
            <anchor moveWithCells="1">
              <from>
                <xdr:col>2</xdr:col>
                <xdr:colOff>30480</xdr:colOff>
                <xdr:row>9</xdr:row>
                <xdr:rowOff>22860</xdr:rowOff>
              </from>
              <to>
                <xdr:col>2</xdr:col>
                <xdr:colOff>1592580</xdr:colOff>
                <xdr:row>10</xdr:row>
                <xdr:rowOff>0</xdr:rowOff>
              </to>
            </anchor>
          </controlPr>
        </control>
      </mc:Choice>
      <mc:Fallback>
        <control shapeId="22873089" r:id="rId4" name="HisYear"/>
      </mc:Fallback>
    </mc:AlternateContent>
    <mc:AlternateContent xmlns:mc="http://schemas.openxmlformats.org/markup-compatibility/2006">
      <mc:Choice Requires="x14">
        <control shapeId="22873090" r:id="rId6" name="CBY">
          <controlPr autoLine="0" linkedCell="C9" r:id="rId7">
            <anchor moveWithCells="1" sizeWithCells="1">
              <from>
                <xdr:col>2</xdr:col>
                <xdr:colOff>30480</xdr:colOff>
                <xdr:row>8</xdr:row>
                <xdr:rowOff>22860</xdr:rowOff>
              </from>
              <to>
                <xdr:col>2</xdr:col>
                <xdr:colOff>1592580</xdr:colOff>
                <xdr:row>9</xdr:row>
                <xdr:rowOff>22860</xdr:rowOff>
              </to>
            </anchor>
          </controlPr>
        </control>
      </mc:Choice>
      <mc:Fallback>
        <control shapeId="22873090" r:id="rId6" name="CBY"/>
      </mc:Fallback>
    </mc:AlternateContent>
    <mc:AlternateContent xmlns:mc="http://schemas.openxmlformats.org/markup-compatibility/2006">
      <mc:Choice Requires="x14">
        <control shapeId="22873091" r:id="rId8" name="cboRptTyp">
          <controlPr print="0" autoLine="0" r:id="rId9">
            <anchor moveWithCells="1">
              <from>
                <xdr:col>2</xdr:col>
                <xdr:colOff>30480</xdr:colOff>
                <xdr:row>10</xdr:row>
                <xdr:rowOff>22860</xdr:rowOff>
              </from>
              <to>
                <xdr:col>2</xdr:col>
                <xdr:colOff>1592580</xdr:colOff>
                <xdr:row>11</xdr:row>
                <xdr:rowOff>30480</xdr:rowOff>
              </to>
            </anchor>
          </controlPr>
        </control>
      </mc:Choice>
      <mc:Fallback>
        <control shapeId="22873091" r:id="rId8" name="cboRptTyp"/>
      </mc:Fallback>
    </mc:AlternateContent>
    <mc:AlternateContent xmlns:mc="http://schemas.openxmlformats.org/markup-compatibility/2006">
      <mc:Choice Requires="x14">
        <control shapeId="22873092" r:id="rId10" name="cboDataScope">
          <controlPr autoLine="0" r:id="rId11">
            <anchor moveWithCells="1" sizeWithCells="1">
              <from>
                <xdr:col>2</xdr:col>
                <xdr:colOff>30480</xdr:colOff>
                <xdr:row>11</xdr:row>
                <xdr:rowOff>22860</xdr:rowOff>
              </from>
              <to>
                <xdr:col>2</xdr:col>
                <xdr:colOff>1592580</xdr:colOff>
                <xdr:row>11</xdr:row>
                <xdr:rowOff>220980</xdr:rowOff>
              </to>
            </anchor>
          </controlPr>
        </control>
      </mc:Choice>
      <mc:Fallback>
        <control shapeId="22873092" r:id="rId10" name="cboDataScope"/>
      </mc:Fallback>
    </mc:AlternateContent>
    <mc:AlternateContent xmlns:mc="http://schemas.openxmlformats.org/markup-compatibility/2006">
      <mc:Choice Requires="x14">
        <control shapeId="22873093" r:id="rId12" name="CheckBox1">
          <controlPr autoLine="0" r:id="rId13">
            <anchor moveWithCells="1">
              <from>
                <xdr:col>2</xdr:col>
                <xdr:colOff>0</xdr:colOff>
                <xdr:row>18</xdr:row>
                <xdr:rowOff>7620</xdr:rowOff>
              </from>
              <to>
                <xdr:col>2</xdr:col>
                <xdr:colOff>144780</xdr:colOff>
                <xdr:row>18</xdr:row>
                <xdr:rowOff>228600</xdr:rowOff>
              </to>
            </anchor>
          </controlPr>
        </control>
      </mc:Choice>
      <mc:Fallback>
        <control shapeId="22873093" r:id="rId12" name="CheckBox1"/>
      </mc:Fallback>
    </mc:AlternateContent>
    <mc:AlternateContent xmlns:mc="http://schemas.openxmlformats.org/markup-compatibility/2006">
      <mc:Choice Requires="x14">
        <control shapeId="22873094" r:id="rId14" name="CheckBox2">
          <controlPr autoLine="0" r:id="rId15">
            <anchor moveWithCells="1">
              <from>
                <xdr:col>2</xdr:col>
                <xdr:colOff>0</xdr:colOff>
                <xdr:row>20</xdr:row>
                <xdr:rowOff>22860</xdr:rowOff>
              </from>
              <to>
                <xdr:col>2</xdr:col>
                <xdr:colOff>144780</xdr:colOff>
                <xdr:row>20</xdr:row>
                <xdr:rowOff>243840</xdr:rowOff>
              </to>
            </anchor>
          </controlPr>
        </control>
      </mc:Choice>
      <mc:Fallback>
        <control shapeId="22873094" r:id="rId14" name="CheckBox2"/>
      </mc:Fallback>
    </mc:AlternateContent>
    <mc:AlternateContent xmlns:mc="http://schemas.openxmlformats.org/markup-compatibility/2006">
      <mc:Choice Requires="x14">
        <control shapeId="22873095" r:id="rId16" name="CheckBox3">
          <controlPr autoLine="0" r:id="rId15">
            <anchor moveWithCells="1">
              <from>
                <xdr:col>2</xdr:col>
                <xdr:colOff>0</xdr:colOff>
                <xdr:row>21</xdr:row>
                <xdr:rowOff>22860</xdr:rowOff>
              </from>
              <to>
                <xdr:col>2</xdr:col>
                <xdr:colOff>144780</xdr:colOff>
                <xdr:row>21</xdr:row>
                <xdr:rowOff>243840</xdr:rowOff>
              </to>
            </anchor>
          </controlPr>
        </control>
      </mc:Choice>
      <mc:Fallback>
        <control shapeId="22873095" r:id="rId16" name="CheckBox3"/>
      </mc:Fallback>
    </mc:AlternateContent>
    <mc:AlternateContent xmlns:mc="http://schemas.openxmlformats.org/markup-compatibility/2006">
      <mc:Choice Requires="x14">
        <control shapeId="22873096" r:id="rId17" name="CheckBox4">
          <controlPr autoLine="0" r:id="rId18">
            <anchor moveWithCells="1">
              <from>
                <xdr:col>2</xdr:col>
                <xdr:colOff>0</xdr:colOff>
                <xdr:row>22</xdr:row>
                <xdr:rowOff>30480</xdr:rowOff>
              </from>
              <to>
                <xdr:col>2</xdr:col>
                <xdr:colOff>144780</xdr:colOff>
                <xdr:row>23</xdr:row>
                <xdr:rowOff>0</xdr:rowOff>
              </to>
            </anchor>
          </controlPr>
        </control>
      </mc:Choice>
      <mc:Fallback>
        <control shapeId="22873096" r:id="rId17" name="CheckBox4"/>
      </mc:Fallback>
    </mc:AlternateContent>
    <mc:AlternateContent xmlns:mc="http://schemas.openxmlformats.org/markup-compatibility/2006">
      <mc:Choice Requires="x14">
        <control shapeId="22873097" r:id="rId19" name="CheckBox5">
          <controlPr autoLine="0" r:id="rId15">
            <anchor moveWithCells="1">
              <from>
                <xdr:col>2</xdr:col>
                <xdr:colOff>0</xdr:colOff>
                <xdr:row>23</xdr:row>
                <xdr:rowOff>7620</xdr:rowOff>
              </from>
              <to>
                <xdr:col>2</xdr:col>
                <xdr:colOff>144780</xdr:colOff>
                <xdr:row>23</xdr:row>
                <xdr:rowOff>228600</xdr:rowOff>
              </to>
            </anchor>
          </controlPr>
        </control>
      </mc:Choice>
      <mc:Fallback>
        <control shapeId="22873097" r:id="rId19" name="CheckBox5"/>
      </mc:Fallback>
    </mc:AlternateContent>
    <mc:AlternateContent xmlns:mc="http://schemas.openxmlformats.org/markup-compatibility/2006">
      <mc:Choice Requires="x14">
        <control shapeId="22873098" r:id="rId20" name="CheckBox6">
          <controlPr autoLine="0" r:id="rId18">
            <anchor moveWithCells="1">
              <from>
                <xdr:col>2</xdr:col>
                <xdr:colOff>0</xdr:colOff>
                <xdr:row>25</xdr:row>
                <xdr:rowOff>0</xdr:rowOff>
              </from>
              <to>
                <xdr:col>2</xdr:col>
                <xdr:colOff>144780</xdr:colOff>
                <xdr:row>25</xdr:row>
                <xdr:rowOff>220980</xdr:rowOff>
              </to>
            </anchor>
          </controlPr>
        </control>
      </mc:Choice>
      <mc:Fallback>
        <control shapeId="22873098" r:id="rId20" name="CheckBox6"/>
      </mc:Fallback>
    </mc:AlternateContent>
    <mc:AlternateContent xmlns:mc="http://schemas.openxmlformats.org/markup-compatibility/2006">
      <mc:Choice Requires="x14">
        <control shapeId="22873099" r:id="rId21" name="CheckBox7">
          <controlPr autoLine="0" r:id="rId15">
            <anchor moveWithCells="1">
              <from>
                <xdr:col>2</xdr:col>
                <xdr:colOff>0</xdr:colOff>
                <xdr:row>25</xdr:row>
                <xdr:rowOff>22860</xdr:rowOff>
              </from>
              <to>
                <xdr:col>2</xdr:col>
                <xdr:colOff>144780</xdr:colOff>
                <xdr:row>25</xdr:row>
                <xdr:rowOff>243840</xdr:rowOff>
              </to>
            </anchor>
          </controlPr>
        </control>
      </mc:Choice>
      <mc:Fallback>
        <control shapeId="22873099" r:id="rId21" name="CheckBox7"/>
      </mc:Fallback>
    </mc:AlternateContent>
    <mc:AlternateContent xmlns:mc="http://schemas.openxmlformats.org/markup-compatibility/2006">
      <mc:Choice Requires="x14">
        <control shapeId="22873100" r:id="rId22" name="CheckBox8">
          <controlPr autoLine="0" r:id="rId15">
            <anchor moveWithCells="1">
              <from>
                <xdr:col>2</xdr:col>
                <xdr:colOff>0</xdr:colOff>
                <xdr:row>26</xdr:row>
                <xdr:rowOff>30480</xdr:rowOff>
              </from>
              <to>
                <xdr:col>2</xdr:col>
                <xdr:colOff>144780</xdr:colOff>
                <xdr:row>27</xdr:row>
                <xdr:rowOff>0</xdr:rowOff>
              </to>
            </anchor>
          </controlPr>
        </control>
      </mc:Choice>
      <mc:Fallback>
        <control shapeId="22873100" r:id="rId22" name="CheckBox8"/>
      </mc:Fallback>
    </mc:AlternateContent>
    <mc:AlternateContent xmlns:mc="http://schemas.openxmlformats.org/markup-compatibility/2006">
      <mc:Choice Requires="x14">
        <control shapeId="22873101" r:id="rId23" name="CheckBox9">
          <controlPr autoLine="0" r:id="rId15">
            <anchor moveWithCells="1">
              <from>
                <xdr:col>2</xdr:col>
                <xdr:colOff>0</xdr:colOff>
                <xdr:row>27</xdr:row>
                <xdr:rowOff>7620</xdr:rowOff>
              </from>
              <to>
                <xdr:col>2</xdr:col>
                <xdr:colOff>144780</xdr:colOff>
                <xdr:row>27</xdr:row>
                <xdr:rowOff>228600</xdr:rowOff>
              </to>
            </anchor>
          </controlPr>
        </control>
      </mc:Choice>
      <mc:Fallback>
        <control shapeId="22873101" r:id="rId23" name="CheckBox9"/>
      </mc:Fallback>
    </mc:AlternateContent>
    <mc:AlternateContent xmlns:mc="http://schemas.openxmlformats.org/markup-compatibility/2006">
      <mc:Choice Requires="x14">
        <control shapeId="22873102" r:id="rId24" name="CheckBox10">
          <controlPr autoLine="0" r:id="rId15">
            <anchor moveWithCells="1">
              <from>
                <xdr:col>2</xdr:col>
                <xdr:colOff>0</xdr:colOff>
                <xdr:row>28</xdr:row>
                <xdr:rowOff>22860</xdr:rowOff>
              </from>
              <to>
                <xdr:col>2</xdr:col>
                <xdr:colOff>144780</xdr:colOff>
                <xdr:row>28</xdr:row>
                <xdr:rowOff>243840</xdr:rowOff>
              </to>
            </anchor>
          </controlPr>
        </control>
      </mc:Choice>
      <mc:Fallback>
        <control shapeId="22873102" r:id="rId24" name="CheckBox10"/>
      </mc:Fallback>
    </mc:AlternateContent>
    <mc:AlternateContent xmlns:mc="http://schemas.openxmlformats.org/markup-compatibility/2006">
      <mc:Choice Requires="x14">
        <control shapeId="22873103" r:id="rId25" name="CheckBox11">
          <controlPr autoLine="0" r:id="rId15">
            <anchor moveWithCells="1">
              <from>
                <xdr:col>2</xdr:col>
                <xdr:colOff>0</xdr:colOff>
                <xdr:row>29</xdr:row>
                <xdr:rowOff>22860</xdr:rowOff>
              </from>
              <to>
                <xdr:col>2</xdr:col>
                <xdr:colOff>144780</xdr:colOff>
                <xdr:row>29</xdr:row>
                <xdr:rowOff>243840</xdr:rowOff>
              </to>
            </anchor>
          </controlPr>
        </control>
      </mc:Choice>
      <mc:Fallback>
        <control shapeId="22873103" r:id="rId25" name="CheckBox11"/>
      </mc:Fallback>
    </mc:AlternateContent>
    <mc:AlternateContent xmlns:mc="http://schemas.openxmlformats.org/markup-compatibility/2006">
      <mc:Choice Requires="x14">
        <control shapeId="22873104" r:id="rId26" name="CheckBox12">
          <controlPr autoLine="0" r:id="rId15">
            <anchor moveWithCells="1">
              <from>
                <xdr:col>2</xdr:col>
                <xdr:colOff>0</xdr:colOff>
                <xdr:row>30</xdr:row>
                <xdr:rowOff>30480</xdr:rowOff>
              </from>
              <to>
                <xdr:col>2</xdr:col>
                <xdr:colOff>144780</xdr:colOff>
                <xdr:row>31</xdr:row>
                <xdr:rowOff>0</xdr:rowOff>
              </to>
            </anchor>
          </controlPr>
        </control>
      </mc:Choice>
      <mc:Fallback>
        <control shapeId="22873104" r:id="rId26" name="CheckBox12"/>
      </mc:Fallback>
    </mc:AlternateContent>
    <mc:AlternateContent xmlns:mc="http://schemas.openxmlformats.org/markup-compatibility/2006">
      <mc:Choice Requires="x14">
        <control shapeId="22873105" r:id="rId27" name="CheckBox13">
          <controlPr autoLine="0" r:id="rId18">
            <anchor moveWithCells="1">
              <from>
                <xdr:col>2</xdr:col>
                <xdr:colOff>0</xdr:colOff>
                <xdr:row>31</xdr:row>
                <xdr:rowOff>7620</xdr:rowOff>
              </from>
              <to>
                <xdr:col>2</xdr:col>
                <xdr:colOff>144780</xdr:colOff>
                <xdr:row>31</xdr:row>
                <xdr:rowOff>228600</xdr:rowOff>
              </to>
            </anchor>
          </controlPr>
        </control>
      </mc:Choice>
      <mc:Fallback>
        <control shapeId="22873105" r:id="rId27" name="CheckBox13"/>
      </mc:Fallback>
    </mc:AlternateContent>
    <mc:AlternateContent xmlns:mc="http://schemas.openxmlformats.org/markup-compatibility/2006">
      <mc:Choice Requires="x14">
        <control shapeId="22873106" r:id="rId28" name="CheckBox14">
          <controlPr autoLine="0" r:id="rId15">
            <anchor moveWithCells="1">
              <from>
                <xdr:col>2</xdr:col>
                <xdr:colOff>0</xdr:colOff>
                <xdr:row>34</xdr:row>
                <xdr:rowOff>0</xdr:rowOff>
              </from>
              <to>
                <xdr:col>2</xdr:col>
                <xdr:colOff>144780</xdr:colOff>
                <xdr:row>34</xdr:row>
                <xdr:rowOff>220980</xdr:rowOff>
              </to>
            </anchor>
          </controlPr>
        </control>
      </mc:Choice>
      <mc:Fallback>
        <control shapeId="22873106" r:id="rId28" name="CheckBox14"/>
      </mc:Fallback>
    </mc:AlternateContent>
    <mc:AlternateContent xmlns:mc="http://schemas.openxmlformats.org/markup-compatibility/2006">
      <mc:Choice Requires="x14">
        <control shapeId="22873107" r:id="rId29" name="CheckBox15">
          <controlPr autoLine="0" r:id="rId18">
            <anchor moveWithCells="1">
              <from>
                <xdr:col>2</xdr:col>
                <xdr:colOff>0</xdr:colOff>
                <xdr:row>34</xdr:row>
                <xdr:rowOff>0</xdr:rowOff>
              </from>
              <to>
                <xdr:col>2</xdr:col>
                <xdr:colOff>144780</xdr:colOff>
                <xdr:row>34</xdr:row>
                <xdr:rowOff>220980</xdr:rowOff>
              </to>
            </anchor>
          </controlPr>
        </control>
      </mc:Choice>
      <mc:Fallback>
        <control shapeId="22873107" r:id="rId29" name="CheckBox15"/>
      </mc:Fallback>
    </mc:AlternateContent>
    <mc:AlternateContent xmlns:mc="http://schemas.openxmlformats.org/markup-compatibility/2006">
      <mc:Choice Requires="x14">
        <control shapeId="22873108" r:id="rId30" name="CheckBox16">
          <controlPr autoLine="0" r:id="rId15">
            <anchor moveWithCells="1">
              <from>
                <xdr:col>2</xdr:col>
                <xdr:colOff>0</xdr:colOff>
                <xdr:row>34</xdr:row>
                <xdr:rowOff>30480</xdr:rowOff>
              </from>
              <to>
                <xdr:col>2</xdr:col>
                <xdr:colOff>144780</xdr:colOff>
                <xdr:row>35</xdr:row>
                <xdr:rowOff>0</xdr:rowOff>
              </to>
            </anchor>
          </controlPr>
        </control>
      </mc:Choice>
      <mc:Fallback>
        <control shapeId="22873108" r:id="rId30" name="CheckBox16"/>
      </mc:Fallback>
    </mc:AlternateContent>
    <mc:AlternateContent xmlns:mc="http://schemas.openxmlformats.org/markup-compatibility/2006">
      <mc:Choice Requires="x14">
        <control shapeId="22873109" r:id="rId31" name="CheckBox17">
          <controlPr autoLine="0" r:id="rId15">
            <anchor moveWithCells="1">
              <from>
                <xdr:col>2</xdr:col>
                <xdr:colOff>0</xdr:colOff>
                <xdr:row>35</xdr:row>
                <xdr:rowOff>30480</xdr:rowOff>
              </from>
              <to>
                <xdr:col>2</xdr:col>
                <xdr:colOff>144780</xdr:colOff>
                <xdr:row>36</xdr:row>
                <xdr:rowOff>0</xdr:rowOff>
              </to>
            </anchor>
          </controlPr>
        </control>
      </mc:Choice>
      <mc:Fallback>
        <control shapeId="22873109" r:id="rId31" name="CheckBox17"/>
      </mc:Fallback>
    </mc:AlternateContent>
    <mc:AlternateContent xmlns:mc="http://schemas.openxmlformats.org/markup-compatibility/2006">
      <mc:Choice Requires="x14">
        <control shapeId="22873110" r:id="rId32" name="CheckBox18">
          <controlPr autoLine="0" r:id="rId15">
            <anchor moveWithCells="1">
              <from>
                <xdr:col>2</xdr:col>
                <xdr:colOff>0</xdr:colOff>
                <xdr:row>36</xdr:row>
                <xdr:rowOff>22860</xdr:rowOff>
              </from>
              <to>
                <xdr:col>2</xdr:col>
                <xdr:colOff>144780</xdr:colOff>
                <xdr:row>36</xdr:row>
                <xdr:rowOff>243840</xdr:rowOff>
              </to>
            </anchor>
          </controlPr>
        </control>
      </mc:Choice>
      <mc:Fallback>
        <control shapeId="22873110" r:id="rId32" name="CheckBox18"/>
      </mc:Fallback>
    </mc:AlternateContent>
    <mc:AlternateContent xmlns:mc="http://schemas.openxmlformats.org/markup-compatibility/2006">
      <mc:Choice Requires="x14">
        <control shapeId="22873111" r:id="rId33" name="CheckBox19">
          <controlPr autoLine="0" r:id="rId15">
            <anchor moveWithCells="1">
              <from>
                <xdr:col>2</xdr:col>
                <xdr:colOff>0</xdr:colOff>
                <xdr:row>37</xdr:row>
                <xdr:rowOff>22860</xdr:rowOff>
              </from>
              <to>
                <xdr:col>2</xdr:col>
                <xdr:colOff>144780</xdr:colOff>
                <xdr:row>37</xdr:row>
                <xdr:rowOff>243840</xdr:rowOff>
              </to>
            </anchor>
          </controlPr>
        </control>
      </mc:Choice>
      <mc:Fallback>
        <control shapeId="22873111" r:id="rId33" name="CheckBox19"/>
      </mc:Fallback>
    </mc:AlternateContent>
    <mc:AlternateContent xmlns:mc="http://schemas.openxmlformats.org/markup-compatibility/2006">
      <mc:Choice Requires="x14">
        <control shapeId="22873112" r:id="rId34" name="CheckBox20">
          <controlPr autoLine="0" r:id="rId15">
            <anchor moveWithCells="1">
              <from>
                <xdr:col>2</xdr:col>
                <xdr:colOff>0</xdr:colOff>
                <xdr:row>38</xdr:row>
                <xdr:rowOff>30480</xdr:rowOff>
              </from>
              <to>
                <xdr:col>2</xdr:col>
                <xdr:colOff>144780</xdr:colOff>
                <xdr:row>39</xdr:row>
                <xdr:rowOff>0</xdr:rowOff>
              </to>
            </anchor>
          </controlPr>
        </control>
      </mc:Choice>
      <mc:Fallback>
        <control shapeId="22873112" r:id="rId34" name="CheckBox20"/>
      </mc:Fallback>
    </mc:AlternateContent>
    <mc:AlternateContent xmlns:mc="http://schemas.openxmlformats.org/markup-compatibility/2006">
      <mc:Choice Requires="x14">
        <control shapeId="22873113" r:id="rId35" name="CheckBox21">
          <controlPr autoLine="0" r:id="rId18">
            <anchor moveWithCells="1">
              <from>
                <xdr:col>2</xdr:col>
                <xdr:colOff>0</xdr:colOff>
                <xdr:row>39</xdr:row>
                <xdr:rowOff>30480</xdr:rowOff>
              </from>
              <to>
                <xdr:col>2</xdr:col>
                <xdr:colOff>144780</xdr:colOff>
                <xdr:row>40</xdr:row>
                <xdr:rowOff>0</xdr:rowOff>
              </to>
            </anchor>
          </controlPr>
        </control>
      </mc:Choice>
      <mc:Fallback>
        <control shapeId="22873113" r:id="rId35" name="CheckBox21"/>
      </mc:Fallback>
    </mc:AlternateContent>
    <mc:AlternateContent xmlns:mc="http://schemas.openxmlformats.org/markup-compatibility/2006">
      <mc:Choice Requires="x14">
        <control shapeId="22873114" r:id="rId36" name="CheckBox22">
          <controlPr autoLine="0" r:id="rId18">
            <anchor moveWithCells="1">
              <from>
                <xdr:col>2</xdr:col>
                <xdr:colOff>0</xdr:colOff>
                <xdr:row>40</xdr:row>
                <xdr:rowOff>22860</xdr:rowOff>
              </from>
              <to>
                <xdr:col>2</xdr:col>
                <xdr:colOff>144780</xdr:colOff>
                <xdr:row>40</xdr:row>
                <xdr:rowOff>243840</xdr:rowOff>
              </to>
            </anchor>
          </controlPr>
        </control>
      </mc:Choice>
      <mc:Fallback>
        <control shapeId="22873114" r:id="rId36" name="CheckBox22"/>
      </mc:Fallback>
    </mc:AlternateContent>
    <mc:AlternateContent xmlns:mc="http://schemas.openxmlformats.org/markup-compatibility/2006">
      <mc:Choice Requires="x14">
        <control shapeId="22873115" r:id="rId37" name="CheckBox23">
          <controlPr autoLine="0" r:id="rId18">
            <anchor moveWithCells="1">
              <from>
                <xdr:col>2</xdr:col>
                <xdr:colOff>0</xdr:colOff>
                <xdr:row>41</xdr:row>
                <xdr:rowOff>22860</xdr:rowOff>
              </from>
              <to>
                <xdr:col>2</xdr:col>
                <xdr:colOff>144780</xdr:colOff>
                <xdr:row>41</xdr:row>
                <xdr:rowOff>243840</xdr:rowOff>
              </to>
            </anchor>
          </controlPr>
        </control>
      </mc:Choice>
      <mc:Fallback>
        <control shapeId="22873115" r:id="rId37" name="CheckBox23"/>
      </mc:Fallback>
    </mc:AlternateContent>
    <mc:AlternateContent xmlns:mc="http://schemas.openxmlformats.org/markup-compatibility/2006">
      <mc:Choice Requires="x14">
        <control shapeId="22873118" r:id="rId38" name="cmdGetData">
          <controlPr autoLine="0" r:id="rId39">
            <anchor moveWithCells="1">
              <from>
                <xdr:col>1</xdr:col>
                <xdr:colOff>1188720</xdr:colOff>
                <xdr:row>12</xdr:row>
                <xdr:rowOff>198120</xdr:rowOff>
              </from>
              <to>
                <xdr:col>2</xdr:col>
                <xdr:colOff>548640</xdr:colOff>
                <xdr:row>15</xdr:row>
                <xdr:rowOff>205740</xdr:rowOff>
              </to>
            </anchor>
          </controlPr>
        </control>
      </mc:Choice>
      <mc:Fallback>
        <control shapeId="22873118" r:id="rId38" name="cmdGetData"/>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dimension ref="A1:BV196"/>
  <sheetViews>
    <sheetView topLeftCell="A31" workbookViewId="0">
      <selection activeCell="E55" sqref="E55"/>
    </sheetView>
  </sheetViews>
  <sheetFormatPr defaultColWidth="9.375" defaultRowHeight="17.25" customHeight="1"/>
  <cols>
    <col min="1" max="1" width="39.875" style="190" customWidth="1"/>
    <col min="2" max="2" width="16.5" style="190" hidden="1" customWidth="1"/>
    <col min="3" max="3" width="89.125" style="156" customWidth="1"/>
    <col min="4" max="4" width="15" style="156" customWidth="1"/>
    <col min="5" max="5" width="15.5" style="156" customWidth="1"/>
    <col min="6" max="6" width="15.875" style="156" customWidth="1"/>
    <col min="7" max="7" width="12.625" style="156" customWidth="1"/>
    <col min="8" max="8" width="12.375" style="156" customWidth="1"/>
    <col min="9" max="74" width="9.375" style="160"/>
    <col min="75" max="16384" width="9.375" style="119"/>
  </cols>
  <sheetData>
    <row r="1" spans="1:74" s="161" customFormat="1" ht="17.25" customHeight="1">
      <c r="A1" s="157" t="s">
        <v>1380</v>
      </c>
      <c r="B1" s="158"/>
      <c r="C1" s="148">
        <v>2004</v>
      </c>
      <c r="D1" s="148">
        <v>2005</v>
      </c>
      <c r="E1" s="148">
        <v>2006</v>
      </c>
      <c r="F1" s="148">
        <v>2007</v>
      </c>
      <c r="G1" s="148">
        <v>2008</v>
      </c>
      <c r="H1" s="148">
        <v>2009</v>
      </c>
      <c r="I1" s="159"/>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60"/>
      <c r="AL1" s="160"/>
      <c r="AM1" s="160"/>
      <c r="AN1" s="160"/>
      <c r="AO1" s="160"/>
      <c r="AP1" s="160"/>
      <c r="AQ1" s="160"/>
      <c r="AR1" s="160"/>
      <c r="AS1" s="160"/>
      <c r="AT1" s="160"/>
      <c r="AU1" s="160"/>
      <c r="AV1" s="160"/>
      <c r="AW1" s="160"/>
      <c r="AX1" s="160"/>
      <c r="AY1" s="160"/>
      <c r="AZ1" s="160"/>
      <c r="BA1" s="160"/>
      <c r="BB1" s="160"/>
      <c r="BC1" s="160"/>
      <c r="BD1" s="160"/>
      <c r="BE1" s="160"/>
      <c r="BF1" s="160"/>
      <c r="BG1" s="160"/>
      <c r="BH1" s="160"/>
      <c r="BI1" s="160"/>
      <c r="BJ1" s="160"/>
      <c r="BK1" s="160"/>
      <c r="BL1" s="160"/>
      <c r="BM1" s="160"/>
      <c r="BN1" s="160"/>
      <c r="BO1" s="160"/>
      <c r="BP1" s="160"/>
      <c r="BQ1" s="160"/>
      <c r="BR1" s="160"/>
      <c r="BS1" s="160"/>
      <c r="BT1" s="160"/>
      <c r="BU1" s="160"/>
      <c r="BV1" s="160"/>
    </row>
    <row r="2" spans="1:74" ht="17.25" customHeight="1">
      <c r="A2" s="162" t="s">
        <v>1230</v>
      </c>
      <c r="B2" s="163"/>
      <c r="C2" s="150"/>
      <c r="D2" s="150"/>
      <c r="E2" s="150"/>
      <c r="F2" s="150"/>
      <c r="G2" s="150"/>
      <c r="H2" s="150"/>
      <c r="I2" s="159"/>
    </row>
    <row r="3" spans="1:74" s="164" customFormat="1" ht="17.25" customHeight="1">
      <c r="A3" s="165" t="s">
        <v>1050</v>
      </c>
      <c r="B3" s="166"/>
      <c r="C3" s="150"/>
      <c r="D3" s="150"/>
      <c r="E3" s="150"/>
      <c r="F3" s="150"/>
      <c r="G3" s="150"/>
      <c r="H3" s="150"/>
      <c r="I3" s="159"/>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row>
    <row r="4" spans="1:74" ht="17.25" customHeight="1">
      <c r="A4" s="167" t="s">
        <v>996</v>
      </c>
      <c r="B4" s="168"/>
      <c r="C4" s="150"/>
      <c r="D4" s="150"/>
      <c r="E4" s="150"/>
      <c r="F4" s="150"/>
      <c r="G4" s="150"/>
      <c r="H4" s="150"/>
      <c r="I4" s="159"/>
    </row>
    <row r="5" spans="1:74" ht="17.25" customHeight="1">
      <c r="A5" s="167" t="s">
        <v>985</v>
      </c>
      <c r="B5" s="168"/>
      <c r="C5" s="150"/>
      <c r="D5" s="150"/>
      <c r="E5" s="150"/>
      <c r="F5" s="150"/>
      <c r="G5" s="150"/>
      <c r="H5" s="150"/>
      <c r="I5" s="159"/>
    </row>
    <row r="6" spans="1:74" ht="17.25" customHeight="1">
      <c r="A6" s="167" t="s">
        <v>986</v>
      </c>
      <c r="B6" s="168"/>
      <c r="C6" s="150"/>
      <c r="D6" s="150"/>
      <c r="E6" s="150"/>
      <c r="F6" s="150"/>
      <c r="G6" s="150"/>
      <c r="H6" s="150"/>
      <c r="I6" s="159"/>
    </row>
    <row r="7" spans="1:74" ht="17.25" customHeight="1">
      <c r="A7" s="167" t="s">
        <v>1165</v>
      </c>
      <c r="B7" s="168"/>
      <c r="C7" s="150"/>
      <c r="D7" s="150"/>
      <c r="E7" s="150"/>
      <c r="F7" s="150"/>
      <c r="G7" s="150"/>
      <c r="H7" s="150"/>
      <c r="I7" s="159"/>
    </row>
    <row r="8" spans="1:74" ht="17.25" customHeight="1">
      <c r="A8" s="167" t="s">
        <v>1058</v>
      </c>
      <c r="B8" s="168"/>
      <c r="C8" s="150"/>
      <c r="D8" s="150"/>
      <c r="E8" s="150"/>
      <c r="F8" s="150"/>
      <c r="G8" s="150"/>
      <c r="H8" s="150"/>
      <c r="I8" s="159"/>
    </row>
    <row r="9" spans="1:74" ht="17.25" customHeight="1">
      <c r="A9" s="167" t="s">
        <v>987</v>
      </c>
      <c r="B9" s="168"/>
      <c r="C9" s="150"/>
      <c r="D9" s="150"/>
      <c r="E9" s="150"/>
      <c r="F9" s="150"/>
      <c r="G9" s="150"/>
      <c r="H9" s="150"/>
      <c r="I9" s="159"/>
    </row>
    <row r="10" spans="1:74" ht="17.25" customHeight="1">
      <c r="A10" s="206" t="s">
        <v>1419</v>
      </c>
      <c r="B10" s="170"/>
      <c r="C10" s="150"/>
      <c r="D10" s="150"/>
      <c r="E10" s="150"/>
      <c r="F10" s="150"/>
      <c r="G10" s="150"/>
      <c r="H10" s="150"/>
      <c r="I10" s="159"/>
    </row>
    <row r="11" spans="1:74" ht="17.25" customHeight="1">
      <c r="A11" s="206" t="s">
        <v>1420</v>
      </c>
      <c r="B11" s="170"/>
      <c r="C11" s="150"/>
      <c r="D11" s="150"/>
      <c r="E11" s="150"/>
      <c r="F11" s="150"/>
      <c r="G11" s="150"/>
      <c r="H11" s="150"/>
      <c r="I11" s="159"/>
    </row>
    <row r="12" spans="1:74" ht="17.25" customHeight="1">
      <c r="A12" s="206" t="s">
        <v>1421</v>
      </c>
      <c r="B12" s="170"/>
      <c r="C12" s="150"/>
      <c r="D12" s="150"/>
      <c r="E12" s="150"/>
      <c r="F12" s="150"/>
      <c r="G12" s="150"/>
      <c r="H12" s="150"/>
      <c r="I12" s="159"/>
    </row>
    <row r="13" spans="1:74" ht="17.25" customHeight="1">
      <c r="A13" s="206" t="s">
        <v>1422</v>
      </c>
      <c r="B13" s="170"/>
      <c r="C13" s="150"/>
      <c r="D13" s="150"/>
      <c r="E13" s="150"/>
      <c r="F13" s="150"/>
      <c r="G13" s="150"/>
      <c r="H13" s="150"/>
      <c r="I13" s="159"/>
    </row>
    <row r="14" spans="1:74" ht="17.25" customHeight="1">
      <c r="A14" s="206" t="s">
        <v>1423</v>
      </c>
      <c r="B14" s="170"/>
      <c r="C14" s="150"/>
      <c r="D14" s="150"/>
      <c r="E14" s="150"/>
      <c r="F14" s="150"/>
      <c r="G14" s="150"/>
      <c r="H14" s="150"/>
      <c r="I14" s="159"/>
    </row>
    <row r="15" spans="1:74" ht="17.25" customHeight="1">
      <c r="A15" s="167" t="s">
        <v>972</v>
      </c>
      <c r="B15" s="168"/>
      <c r="C15" s="150"/>
      <c r="D15" s="150"/>
      <c r="E15" s="150"/>
      <c r="F15" s="150"/>
      <c r="G15" s="150"/>
      <c r="H15" s="150"/>
      <c r="I15" s="159"/>
    </row>
    <row r="16" spans="1:74" ht="17.25" customHeight="1">
      <c r="A16" s="167" t="s">
        <v>973</v>
      </c>
      <c r="B16" s="168"/>
      <c r="C16" s="150"/>
      <c r="D16" s="150"/>
      <c r="E16" s="150"/>
      <c r="F16" s="150"/>
      <c r="G16" s="150"/>
      <c r="H16" s="150"/>
      <c r="I16" s="159"/>
    </row>
    <row r="17" spans="1:74" ht="17.25" customHeight="1">
      <c r="A17" s="167" t="s">
        <v>974</v>
      </c>
      <c r="B17" s="168"/>
      <c r="C17" s="150"/>
      <c r="D17" s="150"/>
      <c r="E17" s="150"/>
      <c r="F17" s="150"/>
      <c r="G17" s="150"/>
      <c r="H17" s="150"/>
      <c r="I17" s="159"/>
    </row>
    <row r="18" spans="1:74" ht="17.25" customHeight="1">
      <c r="A18" s="207" t="s">
        <v>1424</v>
      </c>
      <c r="B18" s="168"/>
      <c r="C18" s="150"/>
      <c r="D18" s="150"/>
      <c r="E18" s="150"/>
      <c r="F18" s="150"/>
      <c r="G18" s="150"/>
      <c r="H18" s="150"/>
      <c r="I18" s="159"/>
    </row>
    <row r="19" spans="1:74" ht="17.25" customHeight="1">
      <c r="A19" s="165" t="s">
        <v>931</v>
      </c>
      <c r="B19" s="166"/>
      <c r="C19" s="150"/>
      <c r="D19" s="150"/>
      <c r="E19" s="150"/>
      <c r="F19" s="150"/>
      <c r="G19" s="150"/>
      <c r="H19" s="150"/>
      <c r="I19" s="159"/>
    </row>
    <row r="20" spans="1:74" s="171" customFormat="1" ht="17.25" customHeight="1">
      <c r="A20" s="165" t="s">
        <v>982</v>
      </c>
      <c r="B20" s="166"/>
      <c r="C20" s="151"/>
      <c r="D20" s="151"/>
      <c r="E20" s="151"/>
      <c r="F20" s="151"/>
      <c r="G20" s="151"/>
      <c r="H20" s="151"/>
      <c r="I20" s="159"/>
      <c r="J20" s="160"/>
      <c r="K20" s="160"/>
      <c r="L20" s="160"/>
      <c r="M20" s="160"/>
      <c r="N20" s="160"/>
      <c r="O20" s="160"/>
      <c r="P20" s="160"/>
      <c r="Q20" s="160"/>
      <c r="R20" s="160"/>
      <c r="S20" s="160"/>
      <c r="T20" s="160"/>
      <c r="U20" s="160"/>
      <c r="V20" s="160"/>
      <c r="W20" s="160"/>
      <c r="X20" s="160"/>
      <c r="Y20" s="160"/>
      <c r="Z20" s="160"/>
      <c r="AA20" s="160"/>
      <c r="AB20" s="160"/>
      <c r="AC20" s="160"/>
      <c r="AD20" s="160"/>
      <c r="AE20" s="160"/>
      <c r="AF20" s="160"/>
      <c r="AG20" s="160"/>
      <c r="AH20" s="160"/>
      <c r="AI20" s="160"/>
      <c r="AJ20" s="160"/>
      <c r="AK20" s="160"/>
      <c r="AL20" s="160"/>
      <c r="AM20" s="160"/>
      <c r="AN20" s="160"/>
      <c r="AO20" s="160"/>
      <c r="AP20" s="160"/>
      <c r="AQ20" s="160"/>
      <c r="AR20" s="160"/>
      <c r="AS20" s="160"/>
      <c r="AT20" s="160"/>
      <c r="AU20" s="160"/>
      <c r="AV20" s="160"/>
      <c r="AW20" s="160"/>
      <c r="AX20" s="160"/>
      <c r="AY20" s="160"/>
      <c r="AZ20" s="160"/>
      <c r="BA20" s="160"/>
      <c r="BB20" s="160"/>
      <c r="BC20" s="160"/>
      <c r="BD20" s="160"/>
      <c r="BE20" s="160"/>
      <c r="BF20" s="160"/>
      <c r="BG20" s="160"/>
      <c r="BH20" s="160"/>
      <c r="BI20" s="160"/>
      <c r="BJ20" s="160"/>
      <c r="BK20" s="160"/>
      <c r="BL20" s="160"/>
      <c r="BM20" s="160"/>
      <c r="BN20" s="160"/>
      <c r="BO20" s="160"/>
      <c r="BP20" s="160"/>
      <c r="BQ20" s="160"/>
      <c r="BR20" s="160"/>
      <c r="BS20" s="160"/>
      <c r="BT20" s="160"/>
      <c r="BU20" s="160"/>
      <c r="BV20" s="160"/>
    </row>
    <row r="21" spans="1:74" ht="17.25" customHeight="1">
      <c r="A21" s="167" t="s">
        <v>989</v>
      </c>
      <c r="B21" s="168"/>
      <c r="C21" s="150"/>
      <c r="D21" s="150"/>
      <c r="E21" s="150"/>
      <c r="F21" s="150"/>
      <c r="G21" s="150"/>
      <c r="H21" s="150"/>
      <c r="I21" s="159"/>
    </row>
    <row r="22" spans="1:74" ht="17.25" customHeight="1">
      <c r="A22" s="167" t="s">
        <v>990</v>
      </c>
      <c r="B22" s="168"/>
      <c r="C22" s="150"/>
      <c r="D22" s="150"/>
      <c r="E22" s="150"/>
      <c r="F22" s="150"/>
      <c r="G22" s="150"/>
      <c r="H22" s="150"/>
      <c r="I22" s="159"/>
    </row>
    <row r="23" spans="1:74" ht="17.25" customHeight="1">
      <c r="A23" s="165" t="s">
        <v>1051</v>
      </c>
      <c r="B23" s="166"/>
      <c r="C23" s="150"/>
      <c r="D23" s="150"/>
      <c r="E23" s="150"/>
      <c r="F23" s="150"/>
      <c r="G23" s="150"/>
      <c r="H23" s="150"/>
      <c r="I23" s="159"/>
    </row>
    <row r="24" spans="1:74" s="171" customFormat="1" ht="17.25" customHeight="1">
      <c r="A24" s="165" t="s">
        <v>983</v>
      </c>
      <c r="B24" s="166"/>
      <c r="C24" s="151"/>
      <c r="D24" s="151"/>
      <c r="E24" s="151"/>
      <c r="F24" s="151"/>
      <c r="G24" s="151"/>
      <c r="H24" s="151"/>
      <c r="I24" s="159"/>
      <c r="J24" s="160"/>
      <c r="K24" s="160"/>
      <c r="L24" s="160"/>
      <c r="M24" s="160"/>
      <c r="N24" s="160"/>
      <c r="O24" s="160"/>
      <c r="P24" s="160"/>
      <c r="Q24" s="160"/>
      <c r="R24" s="160"/>
      <c r="S24" s="160"/>
      <c r="T24" s="160"/>
      <c r="U24" s="160"/>
      <c r="V24" s="160"/>
      <c r="W24" s="160"/>
      <c r="X24" s="160"/>
      <c r="Y24" s="160"/>
      <c r="Z24" s="160"/>
      <c r="AA24" s="160"/>
      <c r="AB24" s="160"/>
      <c r="AC24" s="160"/>
      <c r="AD24" s="160"/>
      <c r="AE24" s="160"/>
      <c r="AF24" s="160"/>
      <c r="AG24" s="160"/>
      <c r="AH24" s="160"/>
      <c r="AI24" s="160"/>
      <c r="AJ24" s="160"/>
      <c r="AK24" s="160"/>
      <c r="AL24" s="160"/>
      <c r="AM24" s="160"/>
      <c r="AN24" s="160"/>
      <c r="AO24" s="160"/>
      <c r="AP24" s="160"/>
      <c r="AQ24" s="160"/>
      <c r="AR24" s="160"/>
      <c r="AS24" s="160"/>
      <c r="AT24" s="160"/>
      <c r="AU24" s="160"/>
      <c r="AV24" s="160"/>
      <c r="AW24" s="160"/>
      <c r="AX24" s="160"/>
      <c r="AY24" s="160"/>
      <c r="AZ24" s="160"/>
      <c r="BA24" s="160"/>
      <c r="BB24" s="160"/>
      <c r="BC24" s="160"/>
      <c r="BD24" s="160"/>
      <c r="BE24" s="160"/>
      <c r="BF24" s="160"/>
      <c r="BG24" s="160"/>
      <c r="BH24" s="160"/>
      <c r="BI24" s="160"/>
      <c r="BJ24" s="160"/>
      <c r="BK24" s="160"/>
      <c r="BL24" s="160"/>
      <c r="BM24" s="160"/>
      <c r="BN24" s="160"/>
      <c r="BO24" s="160"/>
      <c r="BP24" s="160"/>
      <c r="BQ24" s="160"/>
      <c r="BR24" s="160"/>
      <c r="BS24" s="160"/>
      <c r="BT24" s="160"/>
      <c r="BU24" s="160"/>
      <c r="BV24" s="160"/>
    </row>
    <row r="25" spans="1:74" ht="17.25" customHeight="1">
      <c r="A25" s="169" t="s">
        <v>1026</v>
      </c>
      <c r="B25" s="168"/>
      <c r="C25" s="150"/>
      <c r="D25" s="150"/>
      <c r="E25" s="150"/>
      <c r="F25" s="150"/>
      <c r="G25" s="150"/>
      <c r="H25" s="150"/>
      <c r="I25" s="159"/>
    </row>
    <row r="26" spans="1:74" ht="17.25" customHeight="1">
      <c r="A26" s="169" t="s">
        <v>975</v>
      </c>
      <c r="B26" s="168"/>
      <c r="C26" s="150"/>
      <c r="D26" s="150"/>
      <c r="E26" s="150"/>
      <c r="F26" s="150"/>
      <c r="G26" s="150"/>
      <c r="H26" s="150"/>
      <c r="I26" s="159"/>
    </row>
    <row r="27" spans="1:74" ht="17.25" customHeight="1">
      <c r="A27" s="165" t="s">
        <v>1052</v>
      </c>
      <c r="B27" s="166"/>
      <c r="C27" s="150"/>
      <c r="D27" s="150"/>
      <c r="E27" s="150"/>
      <c r="F27" s="150"/>
      <c r="G27" s="150"/>
      <c r="H27" s="150"/>
      <c r="I27" s="159"/>
    </row>
    <row r="28" spans="1:74" s="171" customFormat="1" ht="17.25" customHeight="1">
      <c r="A28" s="165" t="s">
        <v>992</v>
      </c>
      <c r="B28" s="166"/>
      <c r="C28" s="151"/>
      <c r="D28" s="151"/>
      <c r="E28" s="151"/>
      <c r="F28" s="151"/>
      <c r="G28" s="151"/>
      <c r="H28" s="151"/>
      <c r="I28" s="159"/>
      <c r="J28" s="160"/>
      <c r="K28" s="160"/>
      <c r="L28" s="160"/>
      <c r="M28" s="160"/>
      <c r="N28" s="160"/>
      <c r="O28" s="160"/>
      <c r="P28" s="160"/>
      <c r="Q28" s="160"/>
      <c r="R28" s="160"/>
      <c r="S28" s="160"/>
      <c r="T28" s="160"/>
      <c r="U28" s="160"/>
      <c r="V28" s="160"/>
      <c r="W28" s="160"/>
      <c r="X28" s="160"/>
      <c r="Y28" s="160"/>
      <c r="Z28" s="160"/>
      <c r="AA28" s="160"/>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c r="BH28" s="160"/>
      <c r="BI28" s="160"/>
      <c r="BJ28" s="160"/>
      <c r="BK28" s="160"/>
      <c r="BL28" s="160"/>
      <c r="BM28" s="160"/>
      <c r="BN28" s="160"/>
      <c r="BO28" s="160"/>
      <c r="BP28" s="160"/>
      <c r="BQ28" s="160"/>
      <c r="BR28" s="160"/>
      <c r="BS28" s="160"/>
      <c r="BT28" s="160"/>
      <c r="BU28" s="160"/>
      <c r="BV28" s="160"/>
    </row>
    <row r="29" spans="1:74" ht="17.25" customHeight="1">
      <c r="A29" s="167" t="s">
        <v>993</v>
      </c>
      <c r="B29" s="168"/>
      <c r="C29" s="150"/>
      <c r="D29" s="150"/>
      <c r="E29" s="150"/>
      <c r="F29" s="150"/>
      <c r="G29" s="150"/>
      <c r="H29" s="150"/>
      <c r="I29" s="159"/>
    </row>
    <row r="30" spans="1:74" s="171" customFormat="1" ht="17.25" customHeight="1">
      <c r="A30" s="165" t="s">
        <v>971</v>
      </c>
      <c r="B30" s="166"/>
      <c r="C30" s="151"/>
      <c r="D30" s="151"/>
      <c r="E30" s="151"/>
      <c r="F30" s="151"/>
      <c r="G30" s="151"/>
      <c r="H30" s="151"/>
      <c r="I30" s="159"/>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c r="BH30" s="160"/>
      <c r="BI30" s="160"/>
      <c r="BJ30" s="160"/>
      <c r="BK30" s="160"/>
      <c r="BL30" s="160"/>
      <c r="BM30" s="160"/>
      <c r="BN30" s="160"/>
      <c r="BO30" s="160"/>
      <c r="BP30" s="160"/>
      <c r="BQ30" s="160"/>
      <c r="BR30" s="160"/>
      <c r="BS30" s="160"/>
      <c r="BT30" s="160"/>
      <c r="BU30" s="160"/>
      <c r="BV30" s="160"/>
    </row>
    <row r="31" spans="1:74" ht="17.25" customHeight="1">
      <c r="A31" s="165" t="s">
        <v>932</v>
      </c>
      <c r="B31" s="166"/>
      <c r="C31" s="150"/>
      <c r="D31" s="150"/>
      <c r="E31" s="150"/>
      <c r="F31" s="150"/>
      <c r="G31" s="150"/>
      <c r="H31" s="150"/>
      <c r="I31" s="159"/>
    </row>
    <row r="32" spans="1:74" ht="17.25" customHeight="1">
      <c r="A32" s="144" t="s">
        <v>1055</v>
      </c>
      <c r="B32" s="146"/>
      <c r="C32" s="150"/>
      <c r="D32" s="150"/>
      <c r="E32" s="150"/>
      <c r="F32" s="150"/>
      <c r="G32" s="150"/>
      <c r="H32" s="150"/>
      <c r="I32" s="159"/>
    </row>
    <row r="33" spans="1:74" ht="17.25" customHeight="1">
      <c r="A33" s="145" t="s">
        <v>1056</v>
      </c>
      <c r="B33" s="147"/>
      <c r="C33" s="150"/>
      <c r="D33" s="150"/>
      <c r="E33" s="150"/>
      <c r="F33" s="150"/>
      <c r="G33" s="150"/>
      <c r="H33" s="150"/>
      <c r="I33" s="159"/>
    </row>
    <row r="34" spans="1:74" ht="17.25" customHeight="1">
      <c r="A34" s="145" t="s">
        <v>1057</v>
      </c>
      <c r="B34" s="147"/>
      <c r="C34" s="150"/>
      <c r="D34" s="150"/>
      <c r="E34" s="150"/>
      <c r="F34" s="150"/>
      <c r="G34" s="150"/>
      <c r="H34" s="150"/>
      <c r="I34" s="159"/>
    </row>
    <row r="35" spans="1:74" ht="17.25" customHeight="1">
      <c r="A35" s="172"/>
      <c r="B35" s="163"/>
      <c r="C35" s="150"/>
      <c r="D35" s="150"/>
      <c r="E35" s="150"/>
      <c r="F35" s="150"/>
      <c r="G35" s="150"/>
      <c r="H35" s="150"/>
      <c r="I35" s="159"/>
    </row>
    <row r="36" spans="1:74" ht="17.25" customHeight="1">
      <c r="A36" s="172"/>
      <c r="B36" s="163"/>
      <c r="C36" s="150"/>
      <c r="D36" s="150"/>
      <c r="E36" s="150"/>
      <c r="F36" s="150"/>
      <c r="G36" s="150"/>
      <c r="H36" s="150"/>
      <c r="I36" s="159"/>
    </row>
    <row r="37" spans="1:74" ht="17.25" customHeight="1">
      <c r="A37" s="162" t="s">
        <v>1069</v>
      </c>
      <c r="B37" s="163"/>
      <c r="C37" s="150"/>
      <c r="D37" s="150"/>
      <c r="E37" s="150"/>
      <c r="F37" s="150"/>
      <c r="G37" s="150"/>
      <c r="H37" s="150"/>
      <c r="I37" s="159"/>
    </row>
    <row r="38" spans="1:74" ht="17.25" customHeight="1">
      <c r="A38" s="165" t="s">
        <v>933</v>
      </c>
      <c r="B38" s="168"/>
      <c r="C38" s="150"/>
      <c r="D38" s="150"/>
      <c r="E38" s="150"/>
      <c r="F38" s="150"/>
      <c r="G38" s="150"/>
      <c r="H38" s="150"/>
      <c r="I38" s="159"/>
    </row>
    <row r="39" spans="1:74" ht="17.25" customHeight="1">
      <c r="A39" s="207" t="s">
        <v>1403</v>
      </c>
      <c r="B39" s="166"/>
      <c r="C39" s="208" t="s">
        <v>1425</v>
      </c>
      <c r="D39" s="150"/>
      <c r="E39" s="150"/>
      <c r="F39" s="150"/>
      <c r="G39" s="150"/>
      <c r="H39" s="150"/>
      <c r="I39" s="159"/>
    </row>
    <row r="40" spans="1:74" ht="17.25" customHeight="1">
      <c r="A40" s="173" t="s">
        <v>1243</v>
      </c>
      <c r="B40" s="174"/>
      <c r="C40" s="208" t="s">
        <v>1426</v>
      </c>
      <c r="D40" s="150"/>
      <c r="E40" s="150"/>
      <c r="F40" s="150"/>
      <c r="G40" s="150"/>
      <c r="H40" s="150"/>
      <c r="I40" s="159"/>
    </row>
    <row r="41" spans="1:74" s="179" customFormat="1" ht="17.25" customHeight="1">
      <c r="A41" s="175" t="s">
        <v>1402</v>
      </c>
      <c r="B41" s="176"/>
      <c r="C41" s="208"/>
      <c r="D41" s="150"/>
      <c r="E41" s="150"/>
      <c r="F41" s="150"/>
      <c r="G41" s="150"/>
      <c r="H41" s="150"/>
      <c r="I41" s="177"/>
      <c r="J41" s="178"/>
      <c r="K41" s="178"/>
      <c r="L41" s="178"/>
      <c r="M41" s="178"/>
      <c r="N41" s="178"/>
      <c r="O41" s="178"/>
      <c r="P41" s="178"/>
      <c r="Q41" s="178"/>
      <c r="R41" s="178"/>
      <c r="S41" s="178"/>
      <c r="T41" s="178"/>
      <c r="U41" s="178"/>
      <c r="V41" s="178"/>
      <c r="W41" s="178"/>
      <c r="X41" s="178"/>
      <c r="Y41" s="178"/>
      <c r="Z41" s="178"/>
      <c r="AA41" s="178"/>
      <c r="AB41" s="178"/>
      <c r="AC41" s="178"/>
      <c r="AD41" s="178"/>
      <c r="AE41" s="178"/>
      <c r="AF41" s="178"/>
      <c r="AG41" s="178"/>
      <c r="AH41" s="178"/>
      <c r="AI41" s="178"/>
      <c r="AJ41" s="178"/>
      <c r="AK41" s="178"/>
      <c r="AL41" s="178"/>
      <c r="AM41" s="178"/>
      <c r="AN41" s="178"/>
      <c r="AO41" s="178"/>
      <c r="AP41" s="178"/>
      <c r="AQ41" s="178"/>
      <c r="AR41" s="178"/>
      <c r="AS41" s="178"/>
      <c r="AT41" s="178"/>
      <c r="AU41" s="178"/>
      <c r="AV41" s="178"/>
      <c r="AW41" s="178"/>
      <c r="AX41" s="178"/>
      <c r="AY41" s="178"/>
      <c r="AZ41" s="178"/>
      <c r="BA41" s="178"/>
      <c r="BB41" s="178"/>
      <c r="BC41" s="178"/>
      <c r="BD41" s="178"/>
      <c r="BE41" s="178"/>
      <c r="BF41" s="178"/>
      <c r="BG41" s="178"/>
      <c r="BH41" s="178"/>
      <c r="BI41" s="178"/>
      <c r="BJ41" s="178"/>
      <c r="BK41" s="178"/>
      <c r="BL41" s="178"/>
      <c r="BM41" s="178"/>
      <c r="BN41" s="178"/>
      <c r="BO41" s="178"/>
      <c r="BP41" s="178"/>
      <c r="BQ41" s="178"/>
      <c r="BR41" s="178"/>
      <c r="BS41" s="178"/>
      <c r="BT41" s="178"/>
      <c r="BU41" s="178"/>
      <c r="BV41" s="178"/>
    </row>
    <row r="42" spans="1:74" s="181" customFormat="1" ht="17.25" customHeight="1">
      <c r="A42" s="180" t="s">
        <v>1247</v>
      </c>
      <c r="B42" s="182"/>
      <c r="C42" s="208"/>
      <c r="D42" s="150"/>
      <c r="E42" s="150"/>
      <c r="F42" s="150"/>
      <c r="G42" s="150"/>
      <c r="H42" s="150"/>
      <c r="I42" s="177"/>
      <c r="J42" s="178"/>
      <c r="K42" s="178"/>
      <c r="L42" s="178"/>
      <c r="M42" s="178"/>
      <c r="N42" s="178"/>
      <c r="O42" s="178"/>
      <c r="P42" s="178"/>
      <c r="Q42" s="178"/>
      <c r="R42" s="178"/>
      <c r="S42" s="178"/>
      <c r="T42" s="178"/>
      <c r="U42" s="178"/>
      <c r="V42" s="178"/>
      <c r="W42" s="178"/>
      <c r="X42" s="178"/>
      <c r="Y42" s="178"/>
      <c r="Z42" s="178"/>
      <c r="AA42" s="178"/>
      <c r="AB42" s="178"/>
      <c r="AC42" s="178"/>
      <c r="AD42" s="178"/>
      <c r="AE42" s="178"/>
      <c r="AF42" s="178"/>
      <c r="AG42" s="178"/>
      <c r="AH42" s="178"/>
      <c r="AI42" s="178"/>
      <c r="AJ42" s="178"/>
      <c r="AK42" s="178"/>
      <c r="AL42" s="178"/>
      <c r="AM42" s="178"/>
      <c r="AN42" s="178"/>
      <c r="AO42" s="178"/>
      <c r="AP42" s="178"/>
      <c r="AQ42" s="178"/>
      <c r="AR42" s="178"/>
      <c r="AS42" s="178"/>
      <c r="AT42" s="178"/>
      <c r="AU42" s="178"/>
      <c r="AV42" s="178"/>
      <c r="AW42" s="178"/>
      <c r="AX42" s="178"/>
      <c r="AY42" s="178"/>
      <c r="AZ42" s="178"/>
      <c r="BA42" s="178"/>
      <c r="BB42" s="178"/>
      <c r="BC42" s="178"/>
      <c r="BD42" s="178"/>
      <c r="BE42" s="178"/>
      <c r="BF42" s="178"/>
      <c r="BG42" s="178"/>
      <c r="BH42" s="178"/>
      <c r="BI42" s="178"/>
      <c r="BJ42" s="178"/>
      <c r="BK42" s="178"/>
      <c r="BL42" s="178"/>
      <c r="BM42" s="178"/>
      <c r="BN42" s="178"/>
      <c r="BO42" s="178"/>
      <c r="BP42" s="178"/>
      <c r="BQ42" s="178"/>
      <c r="BR42" s="178"/>
      <c r="BS42" s="178"/>
      <c r="BT42" s="178"/>
      <c r="BU42" s="178"/>
      <c r="BV42" s="178"/>
    </row>
    <row r="43" spans="1:74" s="181" customFormat="1" ht="17.25" customHeight="1">
      <c r="A43" s="180" t="s">
        <v>1206</v>
      </c>
      <c r="B43" s="182"/>
      <c r="C43" s="208"/>
      <c r="D43" s="150"/>
      <c r="E43" s="150"/>
      <c r="F43" s="150"/>
      <c r="G43" s="150"/>
      <c r="H43" s="150"/>
      <c r="I43" s="177"/>
      <c r="J43" s="178"/>
      <c r="K43" s="178"/>
      <c r="L43" s="178"/>
      <c r="M43" s="178"/>
      <c r="N43" s="178"/>
      <c r="O43" s="178"/>
      <c r="P43" s="178"/>
      <c r="Q43" s="178"/>
      <c r="R43" s="178"/>
      <c r="S43" s="178"/>
      <c r="T43" s="178"/>
      <c r="U43" s="178"/>
      <c r="V43" s="178"/>
      <c r="W43" s="178"/>
      <c r="X43" s="178"/>
      <c r="Y43" s="178"/>
      <c r="Z43" s="178"/>
      <c r="AA43" s="178"/>
      <c r="AB43" s="178"/>
      <c r="AC43" s="178"/>
      <c r="AD43" s="178"/>
      <c r="AE43" s="178"/>
      <c r="AF43" s="178"/>
      <c r="AG43" s="178"/>
      <c r="AH43" s="178"/>
      <c r="AI43" s="178"/>
      <c r="AJ43" s="178"/>
      <c r="AK43" s="178"/>
      <c r="AL43" s="178"/>
      <c r="AM43" s="178"/>
      <c r="AN43" s="178"/>
      <c r="AO43" s="178"/>
      <c r="AP43" s="178"/>
      <c r="AQ43" s="178"/>
      <c r="AR43" s="178"/>
      <c r="AS43" s="178"/>
      <c r="AT43" s="178"/>
      <c r="AU43" s="178"/>
      <c r="AV43" s="178"/>
      <c r="AW43" s="178"/>
      <c r="AX43" s="178"/>
      <c r="AY43" s="178"/>
      <c r="AZ43" s="178"/>
      <c r="BA43" s="178"/>
      <c r="BB43" s="178"/>
      <c r="BC43" s="178"/>
      <c r="BD43" s="178"/>
      <c r="BE43" s="178"/>
      <c r="BF43" s="178"/>
      <c r="BG43" s="178"/>
      <c r="BH43" s="178"/>
      <c r="BI43" s="178"/>
      <c r="BJ43" s="178"/>
      <c r="BK43" s="178"/>
      <c r="BL43" s="178"/>
      <c r="BM43" s="178"/>
      <c r="BN43" s="178"/>
      <c r="BO43" s="178"/>
      <c r="BP43" s="178"/>
      <c r="BQ43" s="178"/>
      <c r="BR43" s="178"/>
      <c r="BS43" s="178"/>
      <c r="BT43" s="178"/>
      <c r="BU43" s="178"/>
      <c r="BV43" s="178"/>
    </row>
    <row r="44" spans="1:74" s="181" customFormat="1" ht="17.25" customHeight="1">
      <c r="A44" s="180" t="s">
        <v>1235</v>
      </c>
      <c r="B44" s="182"/>
      <c r="C44" s="208" t="s">
        <v>1427</v>
      </c>
      <c r="D44" s="150"/>
      <c r="E44" s="150"/>
      <c r="F44" s="150"/>
      <c r="G44" s="150"/>
      <c r="H44" s="150"/>
      <c r="I44" s="177"/>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178"/>
      <c r="AK44" s="178"/>
      <c r="AL44" s="178"/>
      <c r="AM44" s="178"/>
      <c r="AN44" s="178"/>
      <c r="AO44" s="178"/>
      <c r="AP44" s="178"/>
      <c r="AQ44" s="178"/>
      <c r="AR44" s="178"/>
      <c r="AS44" s="178"/>
      <c r="AT44" s="178"/>
      <c r="AU44" s="178"/>
      <c r="AV44" s="178"/>
      <c r="AW44" s="178"/>
      <c r="AX44" s="178"/>
      <c r="AY44" s="178"/>
      <c r="AZ44" s="178"/>
      <c r="BA44" s="178"/>
      <c r="BB44" s="178"/>
      <c r="BC44" s="178"/>
      <c r="BD44" s="178"/>
      <c r="BE44" s="178"/>
      <c r="BF44" s="178"/>
      <c r="BG44" s="178"/>
      <c r="BH44" s="178"/>
      <c r="BI44" s="178"/>
      <c r="BJ44" s="178"/>
      <c r="BK44" s="178"/>
      <c r="BL44" s="178"/>
      <c r="BM44" s="178"/>
      <c r="BN44" s="178"/>
      <c r="BO44" s="178"/>
      <c r="BP44" s="178"/>
      <c r="BQ44" s="178"/>
      <c r="BR44" s="178"/>
      <c r="BS44" s="178"/>
      <c r="BT44" s="178"/>
      <c r="BU44" s="178"/>
      <c r="BV44" s="178"/>
    </row>
    <row r="45" spans="1:74" s="183" customFormat="1" ht="17.25" customHeight="1">
      <c r="A45" s="165" t="s">
        <v>944</v>
      </c>
      <c r="B45" s="166"/>
      <c r="C45" s="208"/>
      <c r="D45" s="151"/>
      <c r="E45" s="151"/>
      <c r="F45" s="151"/>
      <c r="G45" s="151"/>
      <c r="H45" s="151"/>
      <c r="I45" s="159"/>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c r="BH45" s="160"/>
      <c r="BI45" s="160"/>
      <c r="BJ45" s="160"/>
      <c r="BK45" s="160"/>
      <c r="BL45" s="160"/>
      <c r="BM45" s="160"/>
      <c r="BN45" s="160"/>
      <c r="BO45" s="160"/>
      <c r="BP45" s="160"/>
      <c r="BQ45" s="160"/>
      <c r="BR45" s="160"/>
      <c r="BS45" s="160"/>
      <c r="BT45" s="160"/>
      <c r="BU45" s="160"/>
      <c r="BV45" s="160"/>
    </row>
    <row r="46" spans="1:74" ht="17.25" customHeight="1">
      <c r="A46" s="165" t="s">
        <v>869</v>
      </c>
      <c r="B46" s="168"/>
      <c r="C46" s="208"/>
      <c r="D46" s="150"/>
      <c r="E46" s="150"/>
      <c r="F46" s="150"/>
      <c r="G46" s="150"/>
      <c r="H46" s="150"/>
      <c r="I46" s="159"/>
    </row>
    <row r="47" spans="1:74" ht="17.25" customHeight="1">
      <c r="A47" s="207" t="s">
        <v>1428</v>
      </c>
      <c r="B47" s="168"/>
      <c r="C47" s="208" t="s">
        <v>1429</v>
      </c>
      <c r="D47" s="150"/>
      <c r="E47" s="150"/>
      <c r="F47" s="150"/>
      <c r="G47" s="150"/>
      <c r="H47" s="150"/>
      <c r="I47" s="159"/>
    </row>
    <row r="48" spans="1:74" s="181" customFormat="1" ht="17.25" customHeight="1">
      <c r="A48" s="180" t="s">
        <v>930</v>
      </c>
      <c r="B48" s="182"/>
      <c r="C48" s="208"/>
      <c r="D48" s="150"/>
      <c r="E48" s="150"/>
      <c r="F48" s="150"/>
      <c r="G48" s="150"/>
      <c r="H48" s="150"/>
      <c r="I48" s="177"/>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178"/>
      <c r="AK48" s="178"/>
      <c r="AL48" s="178"/>
      <c r="AM48" s="178"/>
      <c r="AN48" s="178"/>
      <c r="AO48" s="178"/>
      <c r="AP48" s="178"/>
      <c r="AQ48" s="178"/>
      <c r="AR48" s="178"/>
      <c r="AS48" s="178"/>
      <c r="AT48" s="178"/>
      <c r="AU48" s="178"/>
      <c r="AV48" s="178"/>
      <c r="AW48" s="178"/>
      <c r="AX48" s="178"/>
      <c r="AY48" s="178"/>
      <c r="AZ48" s="178"/>
      <c r="BA48" s="178"/>
      <c r="BB48" s="178"/>
      <c r="BC48" s="178"/>
      <c r="BD48" s="178"/>
      <c r="BE48" s="178"/>
      <c r="BF48" s="178"/>
      <c r="BG48" s="178"/>
      <c r="BH48" s="178"/>
      <c r="BI48" s="178"/>
      <c r="BJ48" s="178"/>
      <c r="BK48" s="178"/>
      <c r="BL48" s="178"/>
      <c r="BM48" s="178"/>
      <c r="BN48" s="178"/>
      <c r="BO48" s="178"/>
      <c r="BP48" s="178"/>
      <c r="BQ48" s="178"/>
      <c r="BR48" s="178"/>
      <c r="BS48" s="178"/>
      <c r="BT48" s="178"/>
      <c r="BU48" s="178"/>
      <c r="BV48" s="178"/>
    </row>
    <row r="49" spans="1:74" s="179" customFormat="1" ht="17.25" customHeight="1">
      <c r="A49" s="175" t="s">
        <v>1401</v>
      </c>
      <c r="B49" s="182"/>
      <c r="C49" s="208" t="s">
        <v>1430</v>
      </c>
      <c r="D49" s="150"/>
      <c r="E49" s="150"/>
      <c r="F49" s="150"/>
      <c r="G49" s="150"/>
      <c r="H49" s="150"/>
      <c r="I49" s="177"/>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178"/>
      <c r="BN49" s="178"/>
      <c r="BO49" s="178"/>
      <c r="BP49" s="178"/>
      <c r="BQ49" s="178"/>
      <c r="BR49" s="178"/>
      <c r="BS49" s="178"/>
      <c r="BT49" s="178"/>
      <c r="BU49" s="178"/>
      <c r="BV49" s="178"/>
    </row>
    <row r="50" spans="1:74" s="181" customFormat="1" ht="17.25" customHeight="1">
      <c r="A50" s="180" t="s">
        <v>1259</v>
      </c>
      <c r="B50" s="182"/>
      <c r="C50" s="208" t="s">
        <v>1431</v>
      </c>
      <c r="D50" s="150"/>
      <c r="E50" s="150"/>
      <c r="F50" s="150"/>
      <c r="G50" s="150"/>
      <c r="H50" s="150"/>
      <c r="I50" s="177"/>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178"/>
      <c r="BN50" s="178"/>
      <c r="BO50" s="178"/>
      <c r="BP50" s="178"/>
      <c r="BQ50" s="178"/>
      <c r="BR50" s="178"/>
      <c r="BS50" s="178"/>
      <c r="BT50" s="178"/>
      <c r="BU50" s="178"/>
      <c r="BV50" s="178"/>
    </row>
    <row r="51" spans="1:74" s="181" customFormat="1" ht="17.25" customHeight="1">
      <c r="A51" s="180" t="s">
        <v>1263</v>
      </c>
      <c r="B51" s="182"/>
      <c r="C51" s="208" t="s">
        <v>1432</v>
      </c>
      <c r="D51" s="150"/>
      <c r="E51" s="150"/>
      <c r="F51" s="150"/>
      <c r="G51" s="150"/>
      <c r="H51" s="150"/>
      <c r="I51" s="177"/>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c r="BK51" s="178"/>
      <c r="BL51" s="178"/>
      <c r="BM51" s="178"/>
      <c r="BN51" s="178"/>
      <c r="BO51" s="178"/>
      <c r="BP51" s="178"/>
      <c r="BQ51" s="178"/>
      <c r="BR51" s="178"/>
      <c r="BS51" s="178"/>
      <c r="BT51" s="178"/>
      <c r="BU51" s="178"/>
      <c r="BV51" s="178"/>
    </row>
    <row r="52" spans="1:74" s="181" customFormat="1" ht="17.25" customHeight="1">
      <c r="A52" s="180" t="s">
        <v>1266</v>
      </c>
      <c r="B52" s="182"/>
      <c r="C52" s="208"/>
      <c r="D52" s="150"/>
      <c r="E52" s="150"/>
      <c r="F52" s="150"/>
      <c r="G52" s="150"/>
      <c r="H52" s="150"/>
      <c r="I52" s="177"/>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178"/>
      <c r="AK52" s="178"/>
      <c r="AL52" s="178"/>
      <c r="AM52" s="178"/>
      <c r="AN52" s="178"/>
      <c r="AO52" s="178"/>
      <c r="AP52" s="178"/>
      <c r="AQ52" s="178"/>
      <c r="AR52" s="178"/>
      <c r="AS52" s="178"/>
      <c r="AT52" s="178"/>
      <c r="AU52" s="178"/>
      <c r="AV52" s="178"/>
      <c r="AW52" s="178"/>
      <c r="AX52" s="178"/>
      <c r="AY52" s="178"/>
      <c r="AZ52" s="178"/>
      <c r="BA52" s="178"/>
      <c r="BB52" s="178"/>
      <c r="BC52" s="178"/>
      <c r="BD52" s="178"/>
      <c r="BE52" s="178"/>
      <c r="BF52" s="178"/>
      <c r="BG52" s="178"/>
      <c r="BH52" s="178"/>
      <c r="BI52" s="178"/>
      <c r="BJ52" s="178"/>
      <c r="BK52" s="178"/>
      <c r="BL52" s="178"/>
      <c r="BM52" s="178"/>
      <c r="BN52" s="178"/>
      <c r="BO52" s="178"/>
      <c r="BP52" s="178"/>
      <c r="BQ52" s="178"/>
      <c r="BR52" s="178"/>
      <c r="BS52" s="178"/>
      <c r="BT52" s="178"/>
      <c r="BU52" s="178"/>
      <c r="BV52" s="178"/>
    </row>
    <row r="53" spans="1:74" s="181" customFormat="1" ht="17.25" customHeight="1">
      <c r="A53" s="180" t="s">
        <v>909</v>
      </c>
      <c r="B53" s="182"/>
      <c r="C53" s="208"/>
      <c r="D53" s="150"/>
      <c r="E53" s="150"/>
      <c r="F53" s="150"/>
      <c r="G53" s="150"/>
      <c r="H53" s="150"/>
      <c r="I53" s="177"/>
      <c r="J53" s="178"/>
      <c r="K53" s="178"/>
      <c r="L53" s="178"/>
      <c r="M53" s="178"/>
      <c r="N53" s="178"/>
      <c r="O53" s="178"/>
      <c r="P53" s="178"/>
      <c r="Q53" s="178"/>
      <c r="R53" s="178"/>
      <c r="S53" s="178"/>
      <c r="T53" s="178"/>
      <c r="U53" s="178"/>
      <c r="V53" s="178"/>
      <c r="W53" s="178"/>
      <c r="X53" s="178"/>
      <c r="Y53" s="178"/>
      <c r="Z53" s="178"/>
      <c r="AA53" s="178"/>
      <c r="AB53" s="178"/>
      <c r="AC53" s="178"/>
      <c r="AD53" s="178"/>
      <c r="AE53" s="178"/>
      <c r="AF53" s="178"/>
      <c r="AG53" s="178"/>
      <c r="AH53" s="178"/>
      <c r="AI53" s="178"/>
      <c r="AJ53" s="178"/>
      <c r="AK53" s="178"/>
      <c r="AL53" s="178"/>
      <c r="AM53" s="178"/>
      <c r="AN53" s="178"/>
      <c r="AO53" s="178"/>
      <c r="AP53" s="178"/>
      <c r="AQ53" s="178"/>
      <c r="AR53" s="178"/>
      <c r="AS53" s="178"/>
      <c r="AT53" s="178"/>
      <c r="AU53" s="178"/>
      <c r="AV53" s="178"/>
      <c r="AW53" s="178"/>
      <c r="AX53" s="178"/>
      <c r="AY53" s="178"/>
      <c r="AZ53" s="178"/>
      <c r="BA53" s="178"/>
      <c r="BB53" s="178"/>
      <c r="BC53" s="178"/>
      <c r="BD53" s="178"/>
      <c r="BE53" s="178"/>
      <c r="BF53" s="178"/>
      <c r="BG53" s="178"/>
      <c r="BH53" s="178"/>
      <c r="BI53" s="178"/>
      <c r="BJ53" s="178"/>
      <c r="BK53" s="178"/>
      <c r="BL53" s="178"/>
      <c r="BM53" s="178"/>
      <c r="BN53" s="178"/>
      <c r="BO53" s="178"/>
      <c r="BP53" s="178"/>
      <c r="BQ53" s="178"/>
      <c r="BR53" s="178"/>
      <c r="BS53" s="178"/>
      <c r="BT53" s="178"/>
      <c r="BU53" s="178"/>
      <c r="BV53" s="178"/>
    </row>
    <row r="54" spans="1:74" s="181" customFormat="1" ht="17.25" customHeight="1">
      <c r="A54" s="180" t="s">
        <v>913</v>
      </c>
      <c r="B54" s="182"/>
      <c r="C54" s="208"/>
      <c r="D54" s="150"/>
      <c r="E54" s="150"/>
      <c r="F54" s="150"/>
      <c r="G54" s="150"/>
      <c r="H54" s="150"/>
      <c r="I54" s="177"/>
      <c r="J54" s="178"/>
      <c r="K54" s="178"/>
      <c r="L54" s="178"/>
      <c r="M54" s="178"/>
      <c r="N54" s="178"/>
      <c r="O54" s="178"/>
      <c r="P54" s="178"/>
      <c r="Q54" s="178"/>
      <c r="R54" s="178"/>
      <c r="S54" s="178"/>
      <c r="T54" s="178"/>
      <c r="U54" s="178"/>
      <c r="V54" s="178"/>
      <c r="W54" s="178"/>
      <c r="X54" s="178"/>
      <c r="Y54" s="178"/>
      <c r="Z54" s="178"/>
      <c r="AA54" s="178"/>
      <c r="AB54" s="178"/>
      <c r="AC54" s="178"/>
      <c r="AD54" s="178"/>
      <c r="AE54" s="178"/>
      <c r="AF54" s="178"/>
      <c r="AG54" s="178"/>
      <c r="AH54" s="178"/>
      <c r="AI54" s="178"/>
      <c r="AJ54" s="178"/>
      <c r="AK54" s="178"/>
      <c r="AL54" s="178"/>
      <c r="AM54" s="178"/>
      <c r="AN54" s="178"/>
      <c r="AO54" s="178"/>
      <c r="AP54" s="178"/>
      <c r="AQ54" s="178"/>
      <c r="AR54" s="178"/>
      <c r="AS54" s="178"/>
      <c r="AT54" s="178"/>
      <c r="AU54" s="178"/>
      <c r="AV54" s="178"/>
      <c r="AW54" s="178"/>
      <c r="AX54" s="178"/>
      <c r="AY54" s="178"/>
      <c r="AZ54" s="178"/>
      <c r="BA54" s="178"/>
      <c r="BB54" s="178"/>
      <c r="BC54" s="178"/>
      <c r="BD54" s="178"/>
      <c r="BE54" s="178"/>
      <c r="BF54" s="178"/>
      <c r="BG54" s="178"/>
      <c r="BH54" s="178"/>
      <c r="BI54" s="178"/>
      <c r="BJ54" s="178"/>
      <c r="BK54" s="178"/>
      <c r="BL54" s="178"/>
      <c r="BM54" s="178"/>
      <c r="BN54" s="178"/>
      <c r="BO54" s="178"/>
      <c r="BP54" s="178"/>
      <c r="BQ54" s="178"/>
      <c r="BR54" s="178"/>
      <c r="BS54" s="178"/>
      <c r="BT54" s="178"/>
      <c r="BU54" s="178"/>
      <c r="BV54" s="178"/>
    </row>
    <row r="55" spans="1:74" s="183" customFormat="1" ht="17.25" customHeight="1">
      <c r="A55" s="165" t="s">
        <v>934</v>
      </c>
      <c r="B55" s="166"/>
      <c r="C55" s="208"/>
      <c r="D55" s="153"/>
      <c r="E55" s="153"/>
      <c r="F55" s="153"/>
      <c r="G55" s="153"/>
      <c r="H55" s="153"/>
      <c r="I55" s="159"/>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c r="BH55" s="160"/>
      <c r="BI55" s="160"/>
      <c r="BJ55" s="160"/>
      <c r="BK55" s="160"/>
      <c r="BL55" s="160"/>
      <c r="BM55" s="160"/>
      <c r="BN55" s="160"/>
      <c r="BO55" s="160"/>
      <c r="BP55" s="160"/>
      <c r="BQ55" s="160"/>
      <c r="BR55" s="160"/>
      <c r="BS55" s="160"/>
      <c r="BT55" s="160"/>
      <c r="BU55" s="160"/>
      <c r="BV55" s="160"/>
    </row>
    <row r="56" spans="1:74" s="171" customFormat="1" ht="17.25" customHeight="1">
      <c r="A56" s="184" t="s">
        <v>870</v>
      </c>
      <c r="B56" s="166"/>
      <c r="C56" s="208"/>
      <c r="D56" s="151"/>
      <c r="E56" s="151"/>
      <c r="F56" s="151"/>
      <c r="G56" s="151"/>
      <c r="H56" s="151"/>
      <c r="I56" s="159"/>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c r="BH56" s="160"/>
      <c r="BI56" s="160"/>
      <c r="BJ56" s="160"/>
      <c r="BK56" s="160"/>
      <c r="BL56" s="160"/>
      <c r="BM56" s="160"/>
      <c r="BN56" s="160"/>
      <c r="BO56" s="160"/>
      <c r="BP56" s="160"/>
      <c r="BQ56" s="160"/>
      <c r="BR56" s="160"/>
      <c r="BS56" s="160"/>
      <c r="BT56" s="160"/>
      <c r="BU56" s="160"/>
      <c r="BV56" s="160"/>
    </row>
    <row r="57" spans="1:74" s="183" customFormat="1" ht="17.25" customHeight="1">
      <c r="A57" s="165" t="s">
        <v>935</v>
      </c>
      <c r="B57" s="166"/>
      <c r="C57" s="208"/>
      <c r="D57" s="151"/>
      <c r="E57" s="151"/>
      <c r="F57" s="151"/>
      <c r="G57" s="151"/>
      <c r="H57" s="151"/>
      <c r="I57" s="159"/>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c r="BH57" s="160"/>
      <c r="BI57" s="160"/>
      <c r="BJ57" s="160"/>
      <c r="BK57" s="160"/>
      <c r="BL57" s="160"/>
      <c r="BM57" s="160"/>
      <c r="BN57" s="160"/>
      <c r="BO57" s="160"/>
      <c r="BP57" s="160"/>
      <c r="BQ57" s="160"/>
      <c r="BR57" s="160"/>
      <c r="BS57" s="160"/>
      <c r="BT57" s="160"/>
      <c r="BU57" s="160"/>
      <c r="BV57" s="160"/>
    </row>
    <row r="58" spans="1:74" s="171" customFormat="1" ht="17.25" customHeight="1">
      <c r="A58" s="184" t="s">
        <v>871</v>
      </c>
      <c r="B58" s="166"/>
      <c r="C58" s="208"/>
      <c r="D58" s="151"/>
      <c r="E58" s="151"/>
      <c r="F58" s="151"/>
      <c r="G58" s="151"/>
      <c r="H58" s="151"/>
      <c r="I58" s="159"/>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c r="BH58" s="160"/>
      <c r="BI58" s="160"/>
      <c r="BJ58" s="160"/>
      <c r="BK58" s="160"/>
      <c r="BL58" s="160"/>
      <c r="BM58" s="160"/>
      <c r="BN58" s="160"/>
      <c r="BO58" s="160"/>
      <c r="BP58" s="160"/>
      <c r="BQ58" s="160"/>
      <c r="BR58" s="160"/>
      <c r="BS58" s="160"/>
      <c r="BT58" s="160"/>
      <c r="BU58" s="160"/>
      <c r="BV58" s="160"/>
    </row>
    <row r="59" spans="1:74" ht="17.25" customHeight="1">
      <c r="A59" s="167" t="s">
        <v>1239</v>
      </c>
      <c r="B59" s="168"/>
      <c r="C59" s="208" t="s">
        <v>1433</v>
      </c>
      <c r="D59" s="150"/>
      <c r="E59" s="150"/>
      <c r="F59" s="150"/>
      <c r="G59" s="150"/>
      <c r="H59" s="150"/>
      <c r="I59" s="159"/>
    </row>
    <row r="60" spans="1:74" ht="17.25" customHeight="1">
      <c r="A60" s="167" t="s">
        <v>1270</v>
      </c>
      <c r="B60" s="168"/>
      <c r="C60" s="208" t="s">
        <v>1434</v>
      </c>
      <c r="D60" s="150"/>
      <c r="E60" s="150"/>
      <c r="F60" s="150"/>
      <c r="G60" s="150"/>
      <c r="H60" s="150"/>
      <c r="I60" s="159"/>
    </row>
    <row r="61" spans="1:74" ht="15.75" customHeight="1">
      <c r="A61" s="167" t="s">
        <v>1272</v>
      </c>
      <c r="B61" s="168"/>
      <c r="C61" s="208"/>
      <c r="D61" s="150"/>
      <c r="E61" s="150"/>
      <c r="F61" s="150"/>
      <c r="G61" s="150"/>
      <c r="H61" s="150"/>
      <c r="I61" s="159"/>
    </row>
    <row r="62" spans="1:74" ht="17.25" customHeight="1">
      <c r="A62" s="207" t="s">
        <v>1435</v>
      </c>
      <c r="B62" s="168"/>
      <c r="C62" s="208"/>
      <c r="D62" s="150"/>
      <c r="E62" s="150"/>
      <c r="F62" s="150"/>
      <c r="G62" s="150"/>
      <c r="H62" s="150"/>
      <c r="I62" s="159"/>
    </row>
    <row r="63" spans="1:74" ht="17.25" customHeight="1">
      <c r="A63" s="167" t="s">
        <v>1277</v>
      </c>
      <c r="B63" s="168"/>
      <c r="C63" s="208"/>
      <c r="D63" s="150"/>
      <c r="E63" s="150"/>
      <c r="F63" s="150"/>
      <c r="G63" s="150"/>
      <c r="H63" s="150"/>
      <c r="I63" s="159"/>
    </row>
    <row r="64" spans="1:74" ht="17.25" customHeight="1">
      <c r="A64" s="167" t="s">
        <v>1378</v>
      </c>
      <c r="B64" s="168"/>
      <c r="C64" s="208"/>
      <c r="D64" s="150"/>
      <c r="E64" s="150"/>
      <c r="F64" s="150"/>
      <c r="G64" s="150"/>
      <c r="H64" s="150"/>
      <c r="I64" s="159"/>
    </row>
    <row r="65" spans="1:74" ht="17.25" customHeight="1">
      <c r="A65" s="167" t="s">
        <v>1287</v>
      </c>
      <c r="B65" s="168"/>
      <c r="C65" s="208" t="s">
        <v>1436</v>
      </c>
      <c r="D65" s="150"/>
      <c r="E65" s="150"/>
      <c r="F65" s="150"/>
      <c r="G65" s="150"/>
      <c r="H65" s="150"/>
      <c r="I65" s="159"/>
    </row>
    <row r="66" spans="1:74" s="183" customFormat="1" ht="17.25" customHeight="1">
      <c r="A66" s="165" t="s">
        <v>960</v>
      </c>
      <c r="B66" s="166"/>
      <c r="C66" s="208"/>
      <c r="D66" s="151"/>
      <c r="E66" s="151"/>
      <c r="F66" s="151"/>
      <c r="G66" s="151"/>
      <c r="H66" s="151"/>
      <c r="I66" s="159"/>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c r="BP66" s="160"/>
      <c r="BQ66" s="160"/>
      <c r="BR66" s="160"/>
      <c r="BS66" s="160"/>
      <c r="BT66" s="160"/>
      <c r="BU66" s="160"/>
      <c r="BV66" s="160"/>
    </row>
    <row r="67" spans="1:74" s="171" customFormat="1" ht="17.25" customHeight="1">
      <c r="A67" s="165" t="s">
        <v>872</v>
      </c>
      <c r="B67" s="166"/>
      <c r="C67" s="208"/>
      <c r="D67" s="151"/>
      <c r="E67" s="151"/>
      <c r="F67" s="151"/>
      <c r="G67" s="151"/>
      <c r="H67" s="151"/>
      <c r="I67" s="159"/>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c r="BH67" s="160"/>
      <c r="BI67" s="160"/>
      <c r="BJ67" s="160"/>
      <c r="BK67" s="160"/>
      <c r="BL67" s="160"/>
      <c r="BM67" s="160"/>
      <c r="BN67" s="160"/>
      <c r="BO67" s="160"/>
      <c r="BP67" s="160"/>
      <c r="BQ67" s="160"/>
      <c r="BR67" s="160"/>
      <c r="BS67" s="160"/>
      <c r="BT67" s="160"/>
      <c r="BU67" s="160"/>
      <c r="BV67" s="160"/>
    </row>
    <row r="68" spans="1:74" ht="17.25" customHeight="1">
      <c r="A68" s="167" t="s">
        <v>1288</v>
      </c>
      <c r="B68" s="168"/>
      <c r="C68" s="208" t="s">
        <v>1437</v>
      </c>
      <c r="D68" s="150"/>
      <c r="E68" s="150"/>
      <c r="F68" s="150"/>
      <c r="G68" s="150"/>
      <c r="H68" s="150"/>
      <c r="I68" s="159"/>
    </row>
    <row r="69" spans="1:74" ht="17.25" customHeight="1">
      <c r="A69" s="167" t="s">
        <v>1290</v>
      </c>
      <c r="B69" s="168"/>
      <c r="C69" s="208"/>
      <c r="D69" s="150"/>
      <c r="E69" s="150"/>
      <c r="F69" s="150"/>
      <c r="G69" s="150"/>
      <c r="H69" s="150"/>
      <c r="I69" s="159"/>
    </row>
    <row r="70" spans="1:74" ht="17.25" customHeight="1">
      <c r="A70" s="167" t="s">
        <v>910</v>
      </c>
      <c r="B70" s="168"/>
      <c r="C70" s="208"/>
      <c r="D70" s="150"/>
      <c r="E70" s="150"/>
      <c r="F70" s="150"/>
      <c r="G70" s="150"/>
      <c r="H70" s="150"/>
      <c r="I70" s="159"/>
    </row>
    <row r="71" spans="1:74" ht="17.25" customHeight="1">
      <c r="A71" s="167" t="s">
        <v>981</v>
      </c>
      <c r="B71" s="168"/>
      <c r="C71" s="208" t="s">
        <v>1438</v>
      </c>
      <c r="D71" s="150"/>
      <c r="E71" s="150"/>
      <c r="F71" s="150"/>
      <c r="G71" s="150"/>
      <c r="H71" s="150"/>
      <c r="I71" s="159"/>
    </row>
    <row r="72" spans="1:74" s="183" customFormat="1" ht="17.25" customHeight="1">
      <c r="A72" s="165" t="s">
        <v>962</v>
      </c>
      <c r="B72" s="166"/>
      <c r="C72" s="208"/>
      <c r="D72" s="151"/>
      <c r="E72" s="151"/>
      <c r="F72" s="151"/>
      <c r="G72" s="151"/>
      <c r="H72" s="151"/>
      <c r="I72" s="159"/>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c r="BH72" s="160"/>
      <c r="BI72" s="160"/>
      <c r="BJ72" s="160"/>
      <c r="BK72" s="160"/>
      <c r="BL72" s="160"/>
      <c r="BM72" s="160"/>
      <c r="BN72" s="160"/>
      <c r="BO72" s="160"/>
      <c r="BP72" s="160"/>
      <c r="BQ72" s="160"/>
      <c r="BR72" s="160"/>
      <c r="BS72" s="160"/>
      <c r="BT72" s="160"/>
      <c r="BU72" s="160"/>
      <c r="BV72" s="160"/>
    </row>
    <row r="73" spans="1:74" s="171" customFormat="1" ht="17.25" customHeight="1">
      <c r="A73" s="165" t="s">
        <v>873</v>
      </c>
      <c r="B73" s="166"/>
      <c r="C73" s="208"/>
      <c r="D73" s="151"/>
      <c r="E73" s="151"/>
      <c r="F73" s="151"/>
      <c r="G73" s="151"/>
      <c r="H73" s="151"/>
      <c r="I73" s="159"/>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c r="BH73" s="160"/>
      <c r="BI73" s="160"/>
      <c r="BJ73" s="160"/>
      <c r="BK73" s="160"/>
      <c r="BL73" s="160"/>
      <c r="BM73" s="160"/>
      <c r="BN73" s="160"/>
      <c r="BO73" s="160"/>
      <c r="BP73" s="160"/>
      <c r="BQ73" s="160"/>
      <c r="BR73" s="160"/>
      <c r="BS73" s="160"/>
      <c r="BT73" s="160"/>
      <c r="BU73" s="160"/>
      <c r="BV73" s="160"/>
    </row>
    <row r="74" spans="1:74" s="183" customFormat="1" ht="17.25" customHeight="1">
      <c r="A74" s="165" t="s">
        <v>1295</v>
      </c>
      <c r="B74" s="166"/>
      <c r="C74" s="208"/>
      <c r="D74" s="151"/>
      <c r="E74" s="151"/>
      <c r="F74" s="151"/>
      <c r="G74" s="151"/>
      <c r="H74" s="151"/>
      <c r="I74" s="159"/>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c r="BH74" s="160"/>
      <c r="BI74" s="160"/>
      <c r="BJ74" s="160"/>
      <c r="BK74" s="160"/>
      <c r="BL74" s="160"/>
      <c r="BM74" s="160"/>
      <c r="BN74" s="160"/>
      <c r="BO74" s="160"/>
      <c r="BP74" s="160"/>
      <c r="BQ74" s="160"/>
      <c r="BR74" s="160"/>
      <c r="BS74" s="160"/>
      <c r="BT74" s="160"/>
      <c r="BU74" s="160"/>
      <c r="BV74" s="160"/>
    </row>
    <row r="75" spans="1:74" s="171" customFormat="1" ht="17.25" customHeight="1">
      <c r="A75" s="165" t="s">
        <v>874</v>
      </c>
      <c r="B75" s="165"/>
      <c r="C75" s="208"/>
      <c r="D75" s="151"/>
      <c r="E75" s="151"/>
      <c r="F75" s="151"/>
      <c r="G75" s="151"/>
      <c r="H75" s="151"/>
      <c r="I75" s="159"/>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c r="BH75" s="160"/>
      <c r="BI75" s="160"/>
      <c r="BJ75" s="160"/>
      <c r="BK75" s="160"/>
      <c r="BL75" s="160"/>
      <c r="BM75" s="160"/>
      <c r="BN75" s="160"/>
      <c r="BO75" s="160"/>
      <c r="BP75" s="160"/>
      <c r="BQ75" s="160"/>
      <c r="BR75" s="160"/>
      <c r="BS75" s="160"/>
      <c r="BT75" s="160"/>
      <c r="BU75" s="160"/>
      <c r="BV75" s="160"/>
    </row>
    <row r="76" spans="1:74" ht="17.25" customHeight="1">
      <c r="A76" s="167" t="s">
        <v>969</v>
      </c>
      <c r="B76" s="168"/>
      <c r="C76" s="208"/>
      <c r="D76" s="150"/>
      <c r="E76" s="150"/>
      <c r="F76" s="150"/>
      <c r="G76" s="150"/>
      <c r="H76" s="150"/>
      <c r="I76" s="149"/>
      <c r="J76" s="149"/>
      <c r="K76" s="149"/>
      <c r="L76" s="149"/>
      <c r="M76" s="149"/>
      <c r="N76" s="149"/>
      <c r="O76" s="149"/>
    </row>
    <row r="77" spans="1:74" ht="17.25" customHeight="1">
      <c r="A77" s="167" t="s">
        <v>1019</v>
      </c>
      <c r="B77" s="168"/>
      <c r="C77" s="208"/>
      <c r="D77" s="150"/>
      <c r="E77" s="150"/>
      <c r="F77" s="150"/>
      <c r="G77" s="150"/>
      <c r="H77" s="150"/>
      <c r="I77" s="159"/>
    </row>
    <row r="78" spans="1:74" ht="17.25" customHeight="1">
      <c r="A78" s="167" t="s">
        <v>1020</v>
      </c>
      <c r="B78" s="168"/>
      <c r="C78" s="208"/>
      <c r="D78" s="150"/>
      <c r="E78" s="150"/>
      <c r="F78" s="150"/>
      <c r="G78" s="150"/>
      <c r="H78" s="150"/>
      <c r="I78" s="159"/>
    </row>
    <row r="79" spans="1:74" ht="17.25" customHeight="1">
      <c r="A79" s="167" t="s">
        <v>1021</v>
      </c>
      <c r="B79" s="168"/>
      <c r="C79" s="208"/>
      <c r="D79" s="150"/>
      <c r="E79" s="150"/>
      <c r="F79" s="150"/>
      <c r="G79" s="150"/>
      <c r="H79" s="150"/>
      <c r="I79" s="159"/>
    </row>
    <row r="80" spans="1:74" ht="17.25" customHeight="1">
      <c r="A80" s="167" t="s">
        <v>1022</v>
      </c>
      <c r="B80" s="168"/>
      <c r="C80" s="208"/>
      <c r="D80" s="150"/>
      <c r="E80" s="150"/>
      <c r="F80" s="150"/>
      <c r="G80" s="150"/>
      <c r="H80" s="150"/>
      <c r="I80" s="159"/>
    </row>
    <row r="81" spans="1:74" ht="17.25" customHeight="1">
      <c r="A81" s="167" t="s">
        <v>970</v>
      </c>
      <c r="B81" s="168"/>
      <c r="C81" s="208"/>
      <c r="D81" s="150"/>
      <c r="E81" s="150"/>
      <c r="F81" s="150"/>
      <c r="G81" s="150"/>
      <c r="H81" s="150"/>
      <c r="I81" s="159"/>
    </row>
    <row r="82" spans="1:74" ht="17.25" customHeight="1">
      <c r="A82" s="167" t="s">
        <v>1292</v>
      </c>
      <c r="B82" s="168"/>
      <c r="C82" s="208"/>
      <c r="D82" s="150"/>
      <c r="E82" s="150"/>
      <c r="F82" s="150"/>
      <c r="G82" s="150"/>
      <c r="H82" s="150"/>
      <c r="I82" s="159"/>
    </row>
    <row r="83" spans="1:74" s="171" customFormat="1" ht="17.25" customHeight="1">
      <c r="A83" s="165" t="s">
        <v>875</v>
      </c>
      <c r="B83" s="166"/>
      <c r="C83" s="208"/>
      <c r="D83" s="153"/>
      <c r="E83" s="153"/>
      <c r="F83" s="153"/>
      <c r="G83" s="153"/>
      <c r="H83" s="151"/>
      <c r="I83" s="159"/>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c r="BH83" s="160"/>
      <c r="BI83" s="160"/>
      <c r="BJ83" s="160"/>
      <c r="BK83" s="160"/>
      <c r="BL83" s="160"/>
      <c r="BM83" s="160"/>
      <c r="BN83" s="160"/>
      <c r="BO83" s="160"/>
      <c r="BP83" s="160"/>
      <c r="BQ83" s="160"/>
      <c r="BR83" s="160"/>
      <c r="BS83" s="160"/>
      <c r="BT83" s="160"/>
      <c r="BU83" s="160"/>
      <c r="BV83" s="160"/>
    </row>
    <row r="84" spans="1:74" ht="17.25" customHeight="1">
      <c r="A84" s="167" t="s">
        <v>1061</v>
      </c>
      <c r="B84" s="168"/>
      <c r="C84" s="208"/>
      <c r="D84" s="150"/>
      <c r="E84" s="150"/>
      <c r="F84" s="150"/>
      <c r="G84" s="150"/>
      <c r="H84" s="150"/>
      <c r="I84" s="159"/>
    </row>
    <row r="85" spans="1:74" s="183" customFormat="1" ht="17.25" customHeight="1">
      <c r="A85" s="165" t="s">
        <v>965</v>
      </c>
      <c r="B85" s="166"/>
      <c r="C85" s="208"/>
      <c r="D85" s="151"/>
      <c r="E85" s="151"/>
      <c r="F85" s="151"/>
      <c r="G85" s="151"/>
      <c r="H85" s="151"/>
      <c r="I85" s="159"/>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c r="BH85" s="160"/>
      <c r="BI85" s="160"/>
      <c r="BJ85" s="160"/>
      <c r="BK85" s="160"/>
      <c r="BL85" s="160"/>
      <c r="BM85" s="160"/>
      <c r="BN85" s="160"/>
      <c r="BO85" s="160"/>
      <c r="BP85" s="160"/>
      <c r="BQ85" s="160"/>
      <c r="BR85" s="160"/>
      <c r="BS85" s="160"/>
      <c r="BT85" s="160"/>
      <c r="BU85" s="160"/>
      <c r="BV85" s="160"/>
    </row>
    <row r="86" spans="1:74" s="171" customFormat="1" ht="17.25" customHeight="1">
      <c r="A86" s="165" t="s">
        <v>876</v>
      </c>
      <c r="B86" s="166"/>
      <c r="C86" s="208"/>
      <c r="D86" s="151"/>
      <c r="E86" s="151"/>
      <c r="F86" s="151"/>
      <c r="G86" s="151"/>
      <c r="H86" s="151"/>
      <c r="I86" s="159"/>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c r="BH86" s="160"/>
      <c r="BI86" s="160"/>
      <c r="BJ86" s="160"/>
      <c r="BK86" s="160"/>
      <c r="BL86" s="160"/>
      <c r="BM86" s="160"/>
      <c r="BN86" s="160"/>
      <c r="BO86" s="160"/>
      <c r="BP86" s="160"/>
      <c r="BQ86" s="160"/>
      <c r="BR86" s="160"/>
      <c r="BS86" s="160"/>
      <c r="BT86" s="160"/>
      <c r="BU86" s="160"/>
      <c r="BV86" s="160"/>
    </row>
    <row r="87" spans="1:74" s="183" customFormat="1" ht="17.25" customHeight="1">
      <c r="A87" s="165" t="s">
        <v>967</v>
      </c>
      <c r="B87" s="166"/>
      <c r="C87" s="208"/>
      <c r="D87" s="151"/>
      <c r="E87" s="151"/>
      <c r="F87" s="151"/>
      <c r="G87" s="151"/>
      <c r="H87" s="151"/>
      <c r="I87" s="159"/>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c r="BH87" s="160"/>
      <c r="BI87" s="160"/>
      <c r="BJ87" s="160"/>
      <c r="BK87" s="160"/>
      <c r="BL87" s="160"/>
      <c r="BM87" s="160"/>
      <c r="BN87" s="160"/>
      <c r="BO87" s="160"/>
      <c r="BP87" s="160"/>
      <c r="BQ87" s="160"/>
      <c r="BR87" s="160"/>
      <c r="BS87" s="160"/>
      <c r="BT87" s="160"/>
      <c r="BU87" s="160"/>
      <c r="BV87" s="160"/>
    </row>
    <row r="88" spans="1:74" ht="17.25" customHeight="1">
      <c r="A88" s="167"/>
      <c r="B88" s="168"/>
      <c r="C88" s="208"/>
      <c r="D88" s="150"/>
      <c r="E88" s="150"/>
      <c r="F88" s="150"/>
      <c r="G88" s="150"/>
      <c r="H88" s="150"/>
      <c r="I88" s="159"/>
    </row>
    <row r="89" spans="1:74" ht="17.25" customHeight="1">
      <c r="A89" s="167"/>
      <c r="B89" s="168"/>
      <c r="C89" s="208"/>
      <c r="D89" s="150"/>
      <c r="E89" s="150"/>
      <c r="F89" s="150"/>
      <c r="G89" s="150"/>
      <c r="H89" s="150"/>
      <c r="I89" s="159"/>
    </row>
    <row r="90" spans="1:74" ht="17.25" customHeight="1">
      <c r="A90" s="185" t="s">
        <v>1229</v>
      </c>
      <c r="B90" s="163"/>
      <c r="C90" s="208"/>
      <c r="D90" s="150"/>
      <c r="E90" s="150"/>
      <c r="F90" s="150"/>
      <c r="G90" s="150"/>
      <c r="H90" s="150"/>
      <c r="I90" s="159"/>
    </row>
    <row r="91" spans="1:74" s="161" customFormat="1" ht="17.25" customHeight="1">
      <c r="A91" s="165" t="s">
        <v>1079</v>
      </c>
      <c r="B91" s="174"/>
      <c r="C91" s="208"/>
      <c r="D91" s="150"/>
      <c r="E91" s="150"/>
      <c r="F91" s="150"/>
      <c r="G91" s="154"/>
      <c r="H91" s="154"/>
      <c r="I91" s="159"/>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c r="BH91" s="160"/>
      <c r="BI91" s="160"/>
      <c r="BJ91" s="160"/>
      <c r="BK91" s="160"/>
      <c r="BL91" s="160"/>
      <c r="BM91" s="160"/>
      <c r="BN91" s="160"/>
      <c r="BO91" s="160"/>
      <c r="BP91" s="160"/>
      <c r="BQ91" s="160"/>
      <c r="BR91" s="160"/>
      <c r="BS91" s="160"/>
      <c r="BT91" s="160"/>
      <c r="BU91" s="160"/>
      <c r="BV91" s="160"/>
    </row>
    <row r="92" spans="1:74" s="161" customFormat="1" ht="17.25" customHeight="1">
      <c r="A92" s="167" t="s">
        <v>1080</v>
      </c>
      <c r="B92" s="186"/>
      <c r="C92" s="208"/>
      <c r="D92" s="155"/>
      <c r="E92" s="155"/>
      <c r="F92" s="155"/>
      <c r="G92" s="155"/>
      <c r="H92" s="155"/>
      <c r="I92" s="159"/>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c r="BH92" s="160"/>
      <c r="BI92" s="160"/>
      <c r="BJ92" s="160"/>
      <c r="BK92" s="160"/>
      <c r="BL92" s="160"/>
      <c r="BM92" s="160"/>
      <c r="BN92" s="160"/>
      <c r="BO92" s="160"/>
      <c r="BP92" s="160"/>
      <c r="BQ92" s="160"/>
      <c r="BR92" s="160"/>
      <c r="BS92" s="160"/>
      <c r="BT92" s="160"/>
      <c r="BU92" s="160"/>
      <c r="BV92" s="160"/>
    </row>
    <row r="93" spans="1:74" s="161" customFormat="1" ht="17.25" customHeight="1">
      <c r="A93" s="167" t="s">
        <v>1081</v>
      </c>
      <c r="B93" s="186"/>
      <c r="C93" s="208"/>
      <c r="D93" s="155"/>
      <c r="E93" s="155"/>
      <c r="F93" s="155"/>
      <c r="G93" s="155"/>
      <c r="H93" s="155"/>
      <c r="I93" s="159"/>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c r="BH93" s="160"/>
      <c r="BI93" s="160"/>
      <c r="BJ93" s="160"/>
      <c r="BK93" s="160"/>
      <c r="BL93" s="160"/>
      <c r="BM93" s="160"/>
      <c r="BN93" s="160"/>
      <c r="BO93" s="160"/>
      <c r="BP93" s="160"/>
      <c r="BQ93" s="160"/>
      <c r="BR93" s="160"/>
      <c r="BS93" s="160"/>
      <c r="BT93" s="160"/>
      <c r="BU93" s="160"/>
      <c r="BV93" s="160"/>
    </row>
    <row r="94" spans="1:74" s="161" customFormat="1" ht="17.25" customHeight="1">
      <c r="A94" s="167" t="s">
        <v>1082</v>
      </c>
      <c r="B94" s="187"/>
      <c r="C94" s="208"/>
      <c r="D94" s="155"/>
      <c r="E94" s="155"/>
      <c r="F94" s="155"/>
      <c r="G94" s="155"/>
      <c r="H94" s="155"/>
      <c r="I94" s="159"/>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c r="BH94" s="160"/>
      <c r="BI94" s="160"/>
      <c r="BJ94" s="160"/>
      <c r="BK94" s="160"/>
      <c r="BL94" s="160"/>
      <c r="BM94" s="160"/>
      <c r="BN94" s="160"/>
      <c r="BO94" s="160"/>
      <c r="BP94" s="160"/>
      <c r="BQ94" s="160"/>
      <c r="BR94" s="160"/>
      <c r="BS94" s="160"/>
      <c r="BT94" s="160"/>
      <c r="BU94" s="160"/>
      <c r="BV94" s="160"/>
    </row>
    <row r="95" spans="1:74" s="188" customFormat="1" ht="17.25" customHeight="1">
      <c r="A95" s="165" t="s">
        <v>1085</v>
      </c>
      <c r="B95" s="187"/>
      <c r="C95" s="208"/>
      <c r="D95" s="154"/>
      <c r="E95" s="154"/>
      <c r="F95" s="154"/>
      <c r="G95" s="154"/>
      <c r="H95" s="154"/>
      <c r="I95" s="159"/>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c r="BH95" s="160"/>
      <c r="BI95" s="160"/>
      <c r="BJ95" s="160"/>
      <c r="BK95" s="160"/>
      <c r="BL95" s="160"/>
      <c r="BM95" s="160"/>
      <c r="BN95" s="160"/>
      <c r="BO95" s="160"/>
      <c r="BP95" s="160"/>
      <c r="BQ95" s="160"/>
      <c r="BR95" s="160"/>
      <c r="BS95" s="160"/>
      <c r="BT95" s="160"/>
      <c r="BU95" s="160"/>
      <c r="BV95" s="160"/>
    </row>
    <row r="96" spans="1:74" s="161" customFormat="1" ht="17.25" customHeight="1">
      <c r="A96" s="167" t="s">
        <v>1086</v>
      </c>
      <c r="B96" s="187"/>
      <c r="C96" s="208"/>
      <c r="D96" s="155"/>
      <c r="E96" s="155"/>
      <c r="F96" s="155"/>
      <c r="G96" s="155"/>
      <c r="H96" s="155"/>
      <c r="I96" s="159"/>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c r="BH96" s="160"/>
      <c r="BI96" s="160"/>
      <c r="BJ96" s="160"/>
      <c r="BK96" s="160"/>
      <c r="BL96" s="160"/>
      <c r="BM96" s="160"/>
      <c r="BN96" s="160"/>
      <c r="BO96" s="160"/>
      <c r="BP96" s="160"/>
      <c r="BQ96" s="160"/>
      <c r="BR96" s="160"/>
      <c r="BS96" s="160"/>
      <c r="BT96" s="160"/>
      <c r="BU96" s="160"/>
      <c r="BV96" s="160"/>
    </row>
    <row r="97" spans="1:74" s="161" customFormat="1" ht="17.25" customHeight="1">
      <c r="A97" s="167" t="s">
        <v>1087</v>
      </c>
      <c r="B97" s="187"/>
      <c r="C97" s="208"/>
      <c r="D97" s="155"/>
      <c r="E97" s="155"/>
      <c r="F97" s="155"/>
      <c r="G97" s="155"/>
      <c r="H97" s="155"/>
      <c r="I97" s="159"/>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c r="BH97" s="160"/>
      <c r="BI97" s="160"/>
      <c r="BJ97" s="160"/>
      <c r="BK97" s="160"/>
      <c r="BL97" s="160"/>
      <c r="BM97" s="160"/>
      <c r="BN97" s="160"/>
      <c r="BO97" s="160"/>
      <c r="BP97" s="160"/>
      <c r="BQ97" s="160"/>
      <c r="BR97" s="160"/>
      <c r="BS97" s="160"/>
      <c r="BT97" s="160"/>
      <c r="BU97" s="160"/>
      <c r="BV97" s="160"/>
    </row>
    <row r="98" spans="1:74" s="161" customFormat="1" ht="17.25" customHeight="1">
      <c r="A98" s="167" t="s">
        <v>1088</v>
      </c>
      <c r="B98" s="187"/>
      <c r="C98" s="208"/>
      <c r="D98" s="155"/>
      <c r="E98" s="155"/>
      <c r="F98" s="155"/>
      <c r="G98" s="155"/>
      <c r="H98" s="155"/>
      <c r="I98" s="159"/>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c r="BH98" s="160"/>
      <c r="BI98" s="160"/>
      <c r="BJ98" s="160"/>
      <c r="BK98" s="160"/>
      <c r="BL98" s="160"/>
      <c r="BM98" s="160"/>
      <c r="BN98" s="160"/>
      <c r="BO98" s="160"/>
      <c r="BP98" s="160"/>
      <c r="BQ98" s="160"/>
      <c r="BR98" s="160"/>
      <c r="BS98" s="160"/>
      <c r="BT98" s="160"/>
      <c r="BU98" s="160"/>
      <c r="BV98" s="160"/>
    </row>
    <row r="99" spans="1:74" s="161" customFormat="1" ht="17.25" customHeight="1">
      <c r="A99" s="167" t="s">
        <v>1089</v>
      </c>
      <c r="B99" s="187"/>
      <c r="C99" s="208"/>
      <c r="D99" s="155"/>
      <c r="E99" s="155"/>
      <c r="F99" s="155"/>
      <c r="G99" s="155"/>
      <c r="H99" s="155"/>
      <c r="I99" s="159"/>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c r="BH99" s="160"/>
      <c r="BI99" s="160"/>
      <c r="BJ99" s="160"/>
      <c r="BK99" s="160"/>
      <c r="BL99" s="160"/>
      <c r="BM99" s="160"/>
      <c r="BN99" s="160"/>
      <c r="BO99" s="160"/>
      <c r="BP99" s="160"/>
      <c r="BQ99" s="160"/>
      <c r="BR99" s="160"/>
      <c r="BS99" s="160"/>
      <c r="BT99" s="160"/>
      <c r="BU99" s="160"/>
      <c r="BV99" s="160"/>
    </row>
    <row r="100" spans="1:74" s="188" customFormat="1" ht="17.25" customHeight="1">
      <c r="A100" s="165" t="s">
        <v>1092</v>
      </c>
      <c r="B100" s="187"/>
      <c r="C100" s="208"/>
      <c r="D100" s="154"/>
      <c r="E100" s="154"/>
      <c r="F100" s="154"/>
      <c r="G100" s="154"/>
      <c r="H100" s="154"/>
      <c r="I100" s="159"/>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c r="BH100" s="160"/>
      <c r="BI100" s="160"/>
      <c r="BJ100" s="160"/>
      <c r="BK100" s="160"/>
      <c r="BL100" s="160"/>
      <c r="BM100" s="160"/>
      <c r="BN100" s="160"/>
      <c r="BO100" s="160"/>
      <c r="BP100" s="160"/>
      <c r="BQ100" s="160"/>
      <c r="BR100" s="160"/>
      <c r="BS100" s="160"/>
      <c r="BT100" s="160"/>
      <c r="BU100" s="160"/>
      <c r="BV100" s="160"/>
    </row>
    <row r="101" spans="1:74" s="188" customFormat="1" ht="17.25" customHeight="1">
      <c r="A101" s="165" t="s">
        <v>1094</v>
      </c>
      <c r="B101" s="187"/>
      <c r="C101" s="208"/>
      <c r="D101" s="154"/>
      <c r="E101" s="154"/>
      <c r="F101" s="154"/>
      <c r="G101" s="154"/>
      <c r="H101" s="154"/>
      <c r="I101" s="159"/>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c r="BH101" s="160"/>
      <c r="BI101" s="160"/>
      <c r="BJ101" s="160"/>
      <c r="BK101" s="160"/>
      <c r="BL101" s="160"/>
      <c r="BM101" s="160"/>
      <c r="BN101" s="160"/>
      <c r="BO101" s="160"/>
      <c r="BP101" s="160"/>
      <c r="BQ101" s="160"/>
      <c r="BR101" s="160"/>
      <c r="BS101" s="160"/>
      <c r="BT101" s="160"/>
      <c r="BU101" s="160"/>
      <c r="BV101" s="160"/>
    </row>
    <row r="102" spans="1:74" s="161" customFormat="1" ht="17.25" customHeight="1">
      <c r="A102" s="165" t="s">
        <v>1095</v>
      </c>
      <c r="B102" s="187"/>
      <c r="C102" s="208"/>
      <c r="D102" s="155"/>
      <c r="E102" s="155"/>
      <c r="F102" s="155"/>
      <c r="G102" s="155"/>
      <c r="H102" s="155"/>
      <c r="I102" s="159"/>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c r="BH102" s="160"/>
      <c r="BI102" s="160"/>
      <c r="BJ102" s="160"/>
      <c r="BK102" s="160"/>
      <c r="BL102" s="160"/>
      <c r="BM102" s="160"/>
      <c r="BN102" s="160"/>
      <c r="BO102" s="160"/>
      <c r="BP102" s="160"/>
      <c r="BQ102" s="160"/>
      <c r="BR102" s="160"/>
      <c r="BS102" s="160"/>
      <c r="BT102" s="160"/>
      <c r="BU102" s="160"/>
      <c r="BV102" s="160"/>
    </row>
    <row r="103" spans="1:74" s="161" customFormat="1" ht="17.25" customHeight="1">
      <c r="A103" s="167" t="s">
        <v>1096</v>
      </c>
      <c r="B103" s="187"/>
      <c r="C103" s="208"/>
      <c r="D103" s="155"/>
      <c r="E103" s="155"/>
      <c r="F103" s="155"/>
      <c r="G103" s="155"/>
      <c r="H103" s="155"/>
      <c r="I103" s="159"/>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row>
    <row r="104" spans="1:74" s="161" customFormat="1" ht="17.25" customHeight="1">
      <c r="A104" s="167" t="s">
        <v>1097</v>
      </c>
      <c r="B104" s="187"/>
      <c r="C104" s="208"/>
      <c r="D104" s="155"/>
      <c r="E104" s="155"/>
      <c r="F104" s="155"/>
      <c r="G104" s="155"/>
      <c r="H104" s="155"/>
      <c r="I104" s="159"/>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c r="BH104" s="160"/>
      <c r="BI104" s="160"/>
      <c r="BJ104" s="160"/>
      <c r="BK104" s="160"/>
      <c r="BL104" s="160"/>
      <c r="BM104" s="160"/>
      <c r="BN104" s="160"/>
      <c r="BO104" s="160"/>
      <c r="BP104" s="160"/>
      <c r="BQ104" s="160"/>
      <c r="BR104" s="160"/>
      <c r="BS104" s="160"/>
      <c r="BT104" s="160"/>
      <c r="BU104" s="160"/>
      <c r="BV104" s="160"/>
    </row>
    <row r="105" spans="1:74" s="161" customFormat="1" ht="27.75" customHeight="1">
      <c r="A105" s="167" t="s">
        <v>1098</v>
      </c>
      <c r="B105" s="187"/>
      <c r="C105" s="208"/>
      <c r="D105" s="155"/>
      <c r="E105" s="155"/>
      <c r="F105" s="155"/>
      <c r="G105" s="155"/>
      <c r="H105" s="155"/>
      <c r="I105" s="159"/>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c r="BH105" s="160"/>
      <c r="BI105" s="160"/>
      <c r="BJ105" s="160"/>
      <c r="BK105" s="160"/>
      <c r="BL105" s="160"/>
      <c r="BM105" s="160"/>
      <c r="BN105" s="160"/>
      <c r="BO105" s="160"/>
      <c r="BP105" s="160"/>
      <c r="BQ105" s="160"/>
      <c r="BR105" s="160"/>
      <c r="BS105" s="160"/>
      <c r="BT105" s="160"/>
      <c r="BU105" s="160"/>
      <c r="BV105" s="160"/>
    </row>
    <row r="106" spans="1:74" s="161" customFormat="1" ht="28.5" customHeight="1">
      <c r="A106" s="167" t="s">
        <v>1099</v>
      </c>
      <c r="B106" s="187"/>
      <c r="C106" s="208"/>
      <c r="D106" s="155"/>
      <c r="E106" s="155"/>
      <c r="F106" s="155"/>
      <c r="G106" s="155"/>
      <c r="H106" s="155"/>
      <c r="I106" s="159"/>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c r="BH106" s="160"/>
      <c r="BI106" s="160"/>
      <c r="BJ106" s="160"/>
      <c r="BK106" s="160"/>
      <c r="BL106" s="160"/>
      <c r="BM106" s="160"/>
      <c r="BN106" s="160"/>
      <c r="BO106" s="160"/>
      <c r="BP106" s="160"/>
      <c r="BQ106" s="160"/>
      <c r="BR106" s="160"/>
      <c r="BS106" s="160"/>
      <c r="BT106" s="160"/>
      <c r="BU106" s="160"/>
      <c r="BV106" s="160"/>
    </row>
    <row r="107" spans="1:74" s="161" customFormat="1" ht="17.25" customHeight="1">
      <c r="A107" s="167" t="s">
        <v>1100</v>
      </c>
      <c r="B107" s="186"/>
      <c r="C107" s="208"/>
      <c r="D107" s="155"/>
      <c r="E107" s="155"/>
      <c r="F107" s="155"/>
      <c r="G107" s="155"/>
      <c r="H107" s="155"/>
      <c r="I107" s="159"/>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c r="BH107" s="160"/>
      <c r="BI107" s="160"/>
      <c r="BJ107" s="160"/>
      <c r="BK107" s="160"/>
      <c r="BL107" s="160"/>
      <c r="BM107" s="160"/>
      <c r="BN107" s="160"/>
      <c r="BO107" s="160"/>
      <c r="BP107" s="160"/>
      <c r="BQ107" s="160"/>
      <c r="BR107" s="160"/>
      <c r="BS107" s="160"/>
      <c r="BT107" s="160"/>
      <c r="BU107" s="160"/>
      <c r="BV107" s="160"/>
    </row>
    <row r="108" spans="1:74" s="188" customFormat="1" ht="17.25" customHeight="1">
      <c r="A108" s="165" t="s">
        <v>1103</v>
      </c>
      <c r="B108" s="174"/>
      <c r="C108" s="208"/>
      <c r="D108" s="154"/>
      <c r="E108" s="154"/>
      <c r="F108" s="154"/>
      <c r="G108" s="154"/>
      <c r="H108" s="154"/>
      <c r="I108" s="159"/>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c r="BH108" s="160"/>
      <c r="BI108" s="160"/>
      <c r="BJ108" s="160"/>
      <c r="BK108" s="160"/>
      <c r="BL108" s="160"/>
      <c r="BM108" s="160"/>
      <c r="BN108" s="160"/>
      <c r="BO108" s="160"/>
      <c r="BP108" s="160"/>
      <c r="BQ108" s="160"/>
      <c r="BR108" s="160"/>
      <c r="BS108" s="160"/>
      <c r="BT108" s="160"/>
      <c r="BU108" s="160"/>
      <c r="BV108" s="160"/>
    </row>
    <row r="109" spans="1:74" s="161" customFormat="1" ht="26.25" customHeight="1">
      <c r="A109" s="167" t="s">
        <v>1104</v>
      </c>
      <c r="B109" s="186"/>
      <c r="C109" s="208"/>
      <c r="D109" s="155"/>
      <c r="E109" s="155"/>
      <c r="F109" s="155"/>
      <c r="G109" s="155"/>
      <c r="H109" s="155"/>
      <c r="I109" s="159"/>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c r="BH109" s="160"/>
      <c r="BI109" s="160"/>
      <c r="BJ109" s="160"/>
      <c r="BK109" s="160"/>
      <c r="BL109" s="160"/>
      <c r="BM109" s="160"/>
      <c r="BN109" s="160"/>
      <c r="BO109" s="160"/>
      <c r="BP109" s="160"/>
      <c r="BQ109" s="160"/>
      <c r="BR109" s="160"/>
      <c r="BS109" s="160"/>
      <c r="BT109" s="160"/>
      <c r="BU109" s="160"/>
      <c r="BV109" s="160"/>
    </row>
    <row r="110" spans="1:74" s="161" customFormat="1" ht="17.25" customHeight="1">
      <c r="A110" s="167" t="s">
        <v>1105</v>
      </c>
      <c r="B110" s="186"/>
      <c r="C110" s="208"/>
      <c r="D110" s="155"/>
      <c r="E110" s="155"/>
      <c r="F110" s="155"/>
      <c r="G110" s="155"/>
      <c r="H110" s="155"/>
      <c r="I110" s="159"/>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c r="BH110" s="160"/>
      <c r="BI110" s="160"/>
      <c r="BJ110" s="160"/>
      <c r="BK110" s="160"/>
      <c r="BL110" s="160"/>
      <c r="BM110" s="160"/>
      <c r="BN110" s="160"/>
      <c r="BO110" s="160"/>
      <c r="BP110" s="160"/>
      <c r="BQ110" s="160"/>
      <c r="BR110" s="160"/>
      <c r="BS110" s="160"/>
      <c r="BT110" s="160"/>
      <c r="BU110" s="160"/>
      <c r="BV110" s="160"/>
    </row>
    <row r="111" spans="1:74" s="189" customFormat="1" ht="28.5" customHeight="1">
      <c r="A111" s="167" t="s">
        <v>1106</v>
      </c>
      <c r="B111" s="186"/>
      <c r="C111" s="208"/>
      <c r="D111" s="155"/>
      <c r="E111" s="155"/>
      <c r="F111" s="155"/>
      <c r="G111" s="155"/>
      <c r="H111" s="155"/>
      <c r="I111" s="159"/>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c r="BH111" s="160"/>
      <c r="BI111" s="160"/>
      <c r="BJ111" s="160"/>
      <c r="BK111" s="160"/>
      <c r="BL111" s="160"/>
      <c r="BM111" s="160"/>
      <c r="BN111" s="160"/>
      <c r="BO111" s="160"/>
      <c r="BP111" s="160"/>
      <c r="BQ111" s="160"/>
      <c r="BR111" s="160"/>
      <c r="BS111" s="160"/>
      <c r="BT111" s="160"/>
      <c r="BU111" s="160"/>
      <c r="BV111" s="160"/>
    </row>
    <row r="112" spans="1:74" s="161" customFormat="1" ht="17.25" customHeight="1">
      <c r="A112" s="167" t="s">
        <v>1107</v>
      </c>
      <c r="B112" s="186"/>
      <c r="C112" s="208"/>
      <c r="D112" s="155"/>
      <c r="E112" s="155"/>
      <c r="F112" s="155"/>
      <c r="G112" s="155"/>
      <c r="H112" s="155"/>
      <c r="I112" s="159"/>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c r="BH112" s="160"/>
      <c r="BI112" s="160"/>
      <c r="BJ112" s="160"/>
      <c r="BK112" s="160"/>
      <c r="BL112" s="160"/>
      <c r="BM112" s="160"/>
      <c r="BN112" s="160"/>
      <c r="BO112" s="160"/>
      <c r="BP112" s="160"/>
      <c r="BQ112" s="160"/>
      <c r="BR112" s="160"/>
      <c r="BS112" s="160"/>
      <c r="BT112" s="160"/>
      <c r="BU112" s="160"/>
      <c r="BV112" s="160"/>
    </row>
    <row r="113" spans="1:74" s="161" customFormat="1" ht="17.25" customHeight="1">
      <c r="A113" s="167" t="s">
        <v>1108</v>
      </c>
      <c r="B113" s="186"/>
      <c r="C113" s="208"/>
      <c r="D113" s="155"/>
      <c r="E113" s="155"/>
      <c r="F113" s="155"/>
      <c r="G113" s="155"/>
      <c r="H113" s="155"/>
      <c r="I113" s="159"/>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c r="BH113" s="160"/>
      <c r="BI113" s="160"/>
      <c r="BJ113" s="160"/>
      <c r="BK113" s="160"/>
      <c r="BL113" s="160"/>
      <c r="BM113" s="160"/>
      <c r="BN113" s="160"/>
      <c r="BO113" s="160"/>
      <c r="BP113" s="160"/>
      <c r="BQ113" s="160"/>
      <c r="BR113" s="160"/>
      <c r="BS113" s="160"/>
      <c r="BT113" s="160"/>
      <c r="BU113" s="160"/>
      <c r="BV113" s="160"/>
    </row>
    <row r="114" spans="1:74" s="188" customFormat="1" ht="17.25" customHeight="1">
      <c r="A114" s="165" t="s">
        <v>1111</v>
      </c>
      <c r="B114" s="174"/>
      <c r="C114" s="208"/>
      <c r="D114" s="154"/>
      <c r="E114" s="154"/>
      <c r="F114" s="154"/>
      <c r="G114" s="154"/>
      <c r="H114" s="154"/>
      <c r="I114" s="159"/>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c r="BH114" s="160"/>
      <c r="BI114" s="160"/>
      <c r="BJ114" s="160"/>
      <c r="BK114" s="160"/>
      <c r="BL114" s="160"/>
      <c r="BM114" s="160"/>
      <c r="BN114" s="160"/>
      <c r="BO114" s="160"/>
      <c r="BP114" s="160"/>
      <c r="BQ114" s="160"/>
      <c r="BR114" s="160"/>
      <c r="BS114" s="160"/>
      <c r="BT114" s="160"/>
      <c r="BU114" s="160"/>
      <c r="BV114" s="160"/>
    </row>
    <row r="115" spans="1:74" s="188" customFormat="1" ht="17.25" customHeight="1">
      <c r="A115" s="165" t="s">
        <v>1147</v>
      </c>
      <c r="B115" s="174"/>
      <c r="C115" s="208"/>
      <c r="D115" s="154"/>
      <c r="E115" s="154"/>
      <c r="F115" s="154"/>
      <c r="G115" s="154"/>
      <c r="H115" s="154"/>
      <c r="I115" s="159"/>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c r="BH115" s="160"/>
      <c r="BI115" s="160"/>
      <c r="BJ115" s="160"/>
      <c r="BK115" s="160"/>
      <c r="BL115" s="160"/>
      <c r="BM115" s="160"/>
      <c r="BN115" s="160"/>
      <c r="BO115" s="160"/>
      <c r="BP115" s="160"/>
      <c r="BQ115" s="160"/>
      <c r="BR115" s="160"/>
      <c r="BS115" s="160"/>
      <c r="BT115" s="160"/>
      <c r="BU115" s="160"/>
      <c r="BV115" s="160"/>
    </row>
    <row r="116" spans="1:74" s="188" customFormat="1" ht="17.25" customHeight="1">
      <c r="A116" s="165" t="s">
        <v>1148</v>
      </c>
      <c r="B116" s="174"/>
      <c r="C116" s="208"/>
      <c r="D116" s="154"/>
      <c r="E116" s="154"/>
      <c r="F116" s="154"/>
      <c r="G116" s="154"/>
      <c r="H116" s="154"/>
      <c r="I116" s="159"/>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c r="BH116" s="160"/>
      <c r="BI116" s="160"/>
      <c r="BJ116" s="160"/>
      <c r="BK116" s="160"/>
      <c r="BL116" s="160"/>
      <c r="BM116" s="160"/>
      <c r="BN116" s="160"/>
      <c r="BO116" s="160"/>
      <c r="BP116" s="160"/>
      <c r="BQ116" s="160"/>
      <c r="BR116" s="160"/>
      <c r="BS116" s="160"/>
      <c r="BT116" s="160"/>
      <c r="BU116" s="160"/>
      <c r="BV116" s="160"/>
    </row>
    <row r="117" spans="1:74" s="161" customFormat="1" ht="17.25" customHeight="1">
      <c r="A117" s="167" t="s">
        <v>1149</v>
      </c>
      <c r="B117" s="186"/>
      <c r="C117" s="208"/>
      <c r="D117" s="155"/>
      <c r="E117" s="155"/>
      <c r="F117" s="155"/>
      <c r="G117" s="155"/>
      <c r="H117" s="155"/>
      <c r="I117" s="159"/>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c r="BH117" s="160"/>
      <c r="BI117" s="160"/>
      <c r="BJ117" s="160"/>
      <c r="BK117" s="160"/>
      <c r="BL117" s="160"/>
      <c r="BM117" s="160"/>
      <c r="BN117" s="160"/>
      <c r="BO117" s="160"/>
      <c r="BP117" s="160"/>
      <c r="BQ117" s="160"/>
      <c r="BR117" s="160"/>
      <c r="BS117" s="160"/>
      <c r="BT117" s="160"/>
      <c r="BU117" s="160"/>
      <c r="BV117" s="160"/>
    </row>
    <row r="118" spans="1:74" s="161" customFormat="1" ht="23.25" customHeight="1">
      <c r="A118" s="167" t="s">
        <v>1224</v>
      </c>
      <c r="B118" s="186"/>
      <c r="C118" s="208"/>
      <c r="D118" s="155"/>
      <c r="E118" s="155"/>
      <c r="F118" s="155"/>
      <c r="G118" s="155"/>
      <c r="H118" s="155"/>
      <c r="I118" s="159"/>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c r="BH118" s="160"/>
      <c r="BI118" s="160"/>
      <c r="BJ118" s="160"/>
      <c r="BK118" s="160"/>
      <c r="BL118" s="160"/>
      <c r="BM118" s="160"/>
      <c r="BN118" s="160"/>
      <c r="BO118" s="160"/>
      <c r="BP118" s="160"/>
      <c r="BQ118" s="160"/>
      <c r="BR118" s="160"/>
      <c r="BS118" s="160"/>
      <c r="BT118" s="160"/>
      <c r="BU118" s="160"/>
      <c r="BV118" s="160"/>
    </row>
    <row r="119" spans="1:74" s="161" customFormat="1" ht="17.25" customHeight="1">
      <c r="A119" s="167" t="s">
        <v>1151</v>
      </c>
      <c r="B119" s="186"/>
      <c r="C119" s="208"/>
      <c r="D119" s="155"/>
      <c r="E119" s="155"/>
      <c r="F119" s="155"/>
      <c r="G119" s="155"/>
      <c r="H119" s="155"/>
      <c r="I119" s="159"/>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c r="BH119" s="160"/>
      <c r="BI119" s="160"/>
      <c r="BJ119" s="160"/>
      <c r="BK119" s="160"/>
      <c r="BL119" s="160"/>
      <c r="BM119" s="160"/>
      <c r="BN119" s="160"/>
      <c r="BO119" s="160"/>
      <c r="BP119" s="160"/>
      <c r="BQ119" s="160"/>
      <c r="BR119" s="160"/>
      <c r="BS119" s="160"/>
      <c r="BT119" s="160"/>
      <c r="BU119" s="160"/>
      <c r="BV119" s="160"/>
    </row>
    <row r="120" spans="1:74" s="161" customFormat="1" ht="17.25" customHeight="1">
      <c r="A120" s="167" t="s">
        <v>1152</v>
      </c>
      <c r="B120" s="186"/>
      <c r="C120" s="208"/>
      <c r="D120" s="155"/>
      <c r="E120" s="155"/>
      <c r="F120" s="155"/>
      <c r="G120" s="155"/>
      <c r="H120" s="155"/>
      <c r="I120" s="159"/>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c r="BH120" s="160"/>
      <c r="BI120" s="160"/>
      <c r="BJ120" s="160"/>
      <c r="BK120" s="160"/>
      <c r="BL120" s="160"/>
      <c r="BM120" s="160"/>
      <c r="BN120" s="160"/>
      <c r="BO120" s="160"/>
      <c r="BP120" s="160"/>
      <c r="BQ120" s="160"/>
      <c r="BR120" s="160"/>
      <c r="BS120" s="160"/>
      <c r="BT120" s="160"/>
      <c r="BU120" s="160"/>
      <c r="BV120" s="160"/>
    </row>
    <row r="121" spans="1:74" s="161" customFormat="1" ht="17.25" customHeight="1">
      <c r="A121" s="167" t="s">
        <v>1153</v>
      </c>
      <c r="B121" s="186"/>
      <c r="C121" s="208"/>
      <c r="D121" s="155"/>
      <c r="E121" s="155"/>
      <c r="F121" s="155"/>
      <c r="G121" s="155"/>
      <c r="H121" s="155"/>
      <c r="I121" s="159"/>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c r="BH121" s="160"/>
      <c r="BI121" s="160"/>
      <c r="BJ121" s="160"/>
      <c r="BK121" s="160"/>
      <c r="BL121" s="160"/>
      <c r="BM121" s="160"/>
      <c r="BN121" s="160"/>
      <c r="BO121" s="160"/>
      <c r="BP121" s="160"/>
      <c r="BQ121" s="160"/>
      <c r="BR121" s="160"/>
      <c r="BS121" s="160"/>
      <c r="BT121" s="160"/>
      <c r="BU121" s="160"/>
      <c r="BV121" s="160"/>
    </row>
    <row r="122" spans="1:74" s="188" customFormat="1" ht="17.25" customHeight="1">
      <c r="A122" s="165" t="s">
        <v>1156</v>
      </c>
      <c r="B122" s="186"/>
      <c r="C122" s="208"/>
      <c r="D122" s="154"/>
      <c r="E122" s="154"/>
      <c r="F122" s="154"/>
      <c r="G122" s="154"/>
      <c r="H122" s="154"/>
      <c r="I122" s="159"/>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c r="BH122" s="160"/>
      <c r="BI122" s="160"/>
      <c r="BJ122" s="160"/>
      <c r="BK122" s="160"/>
      <c r="BL122" s="160"/>
      <c r="BM122" s="160"/>
      <c r="BN122" s="160"/>
      <c r="BO122" s="160"/>
      <c r="BP122" s="160"/>
      <c r="BQ122" s="160"/>
      <c r="BR122" s="160"/>
      <c r="BS122" s="160"/>
      <c r="BT122" s="160"/>
      <c r="BU122" s="160"/>
      <c r="BV122" s="160"/>
    </row>
    <row r="123" spans="1:74" s="161" customFormat="1" ht="17.25" customHeight="1">
      <c r="A123" s="167" t="s">
        <v>1157</v>
      </c>
      <c r="B123" s="186"/>
      <c r="C123" s="208"/>
      <c r="D123" s="155"/>
      <c r="E123" s="155"/>
      <c r="F123" s="155"/>
      <c r="G123" s="155"/>
      <c r="H123" s="155"/>
      <c r="I123" s="159"/>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c r="BH123" s="160"/>
      <c r="BI123" s="160"/>
      <c r="BJ123" s="160"/>
      <c r="BK123" s="160"/>
      <c r="BL123" s="160"/>
      <c r="BM123" s="160"/>
      <c r="BN123" s="160"/>
      <c r="BO123" s="160"/>
      <c r="BP123" s="160"/>
      <c r="BQ123" s="160"/>
      <c r="BR123" s="160"/>
      <c r="BS123" s="160"/>
      <c r="BT123" s="160"/>
      <c r="BU123" s="160"/>
      <c r="BV123" s="160"/>
    </row>
    <row r="124" spans="1:74" s="161" customFormat="1" ht="17.25" customHeight="1">
      <c r="A124" s="167" t="s">
        <v>1158</v>
      </c>
      <c r="B124" s="186"/>
      <c r="C124" s="208"/>
      <c r="D124" s="155"/>
      <c r="E124" s="155"/>
      <c r="F124" s="155"/>
      <c r="G124" s="155"/>
      <c r="H124" s="155"/>
      <c r="I124" s="159"/>
      <c r="J124" s="160"/>
      <c r="K124" s="160"/>
      <c r="L124" s="160"/>
      <c r="M124" s="16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c r="BH124" s="160"/>
      <c r="BI124" s="160"/>
      <c r="BJ124" s="160"/>
      <c r="BK124" s="160"/>
      <c r="BL124" s="160"/>
      <c r="BM124" s="160"/>
      <c r="BN124" s="160"/>
      <c r="BO124" s="160"/>
      <c r="BP124" s="160"/>
      <c r="BQ124" s="160"/>
      <c r="BR124" s="160"/>
      <c r="BS124" s="160"/>
      <c r="BT124" s="160"/>
      <c r="BU124" s="160"/>
      <c r="BV124" s="160"/>
    </row>
    <row r="125" spans="1:74" s="161" customFormat="1" ht="24" customHeight="1">
      <c r="A125" s="167" t="s">
        <v>1225</v>
      </c>
      <c r="B125" s="186"/>
      <c r="C125" s="208"/>
      <c r="D125" s="155"/>
      <c r="E125" s="155"/>
      <c r="F125" s="155"/>
      <c r="G125" s="155"/>
      <c r="H125" s="155"/>
      <c r="I125" s="159"/>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c r="BH125" s="160"/>
      <c r="BI125" s="160"/>
      <c r="BJ125" s="160"/>
      <c r="BK125" s="160"/>
      <c r="BL125" s="160"/>
      <c r="BM125" s="160"/>
      <c r="BN125" s="160"/>
      <c r="BO125" s="160"/>
      <c r="BP125" s="160"/>
      <c r="BQ125" s="160"/>
      <c r="BR125" s="160"/>
      <c r="BS125" s="160"/>
      <c r="BT125" s="160"/>
      <c r="BU125" s="160"/>
      <c r="BV125" s="160"/>
    </row>
    <row r="126" spans="1:74" s="161" customFormat="1" ht="17.25" customHeight="1">
      <c r="A126" s="167" t="s">
        <v>1160</v>
      </c>
      <c r="B126" s="186"/>
      <c r="C126" s="208"/>
      <c r="D126" s="155"/>
      <c r="E126" s="155"/>
      <c r="F126" s="155"/>
      <c r="G126" s="155"/>
      <c r="H126" s="155"/>
      <c r="I126" s="159"/>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c r="BH126" s="160"/>
      <c r="BI126" s="160"/>
      <c r="BJ126" s="160"/>
      <c r="BK126" s="160"/>
      <c r="BL126" s="160"/>
      <c r="BM126" s="160"/>
      <c r="BN126" s="160"/>
      <c r="BO126" s="160"/>
      <c r="BP126" s="160"/>
      <c r="BQ126" s="160"/>
      <c r="BR126" s="160"/>
      <c r="BS126" s="160"/>
      <c r="BT126" s="160"/>
      <c r="BU126" s="160"/>
      <c r="BV126" s="160"/>
    </row>
    <row r="127" spans="1:74" s="188" customFormat="1" ht="17.25" customHeight="1">
      <c r="A127" s="165" t="s">
        <v>1170</v>
      </c>
      <c r="B127" s="186"/>
      <c r="C127" s="208"/>
      <c r="D127" s="154"/>
      <c r="E127" s="154"/>
      <c r="F127" s="154"/>
      <c r="G127" s="154"/>
      <c r="H127" s="154"/>
      <c r="I127" s="159"/>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c r="BH127" s="160"/>
      <c r="BI127" s="160"/>
      <c r="BJ127" s="160"/>
      <c r="BK127" s="160"/>
      <c r="BL127" s="160"/>
      <c r="BM127" s="160"/>
      <c r="BN127" s="160"/>
      <c r="BO127" s="160"/>
      <c r="BP127" s="160"/>
      <c r="BQ127" s="160"/>
      <c r="BR127" s="160"/>
      <c r="BS127" s="160"/>
      <c r="BT127" s="160"/>
      <c r="BU127" s="160"/>
      <c r="BV127" s="160"/>
    </row>
    <row r="128" spans="1:74" s="188" customFormat="1" ht="17.25" customHeight="1">
      <c r="A128" s="191" t="s">
        <v>1172</v>
      </c>
      <c r="B128" s="192"/>
      <c r="C128" s="208"/>
      <c r="D128" s="154"/>
      <c r="E128" s="154"/>
      <c r="F128" s="154"/>
      <c r="G128" s="154"/>
      <c r="H128" s="154"/>
      <c r="I128" s="193"/>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194"/>
      <c r="AK128" s="194"/>
      <c r="AL128" s="194"/>
      <c r="AM128" s="194"/>
      <c r="AN128" s="194"/>
      <c r="AO128" s="194"/>
      <c r="AP128" s="194"/>
      <c r="AQ128" s="194"/>
      <c r="AR128" s="194"/>
      <c r="AS128" s="194"/>
      <c r="AT128" s="194"/>
      <c r="AU128" s="194"/>
      <c r="AV128" s="194"/>
      <c r="AW128" s="194"/>
      <c r="AX128" s="194"/>
      <c r="AY128" s="194"/>
      <c r="AZ128" s="194"/>
      <c r="BA128" s="194"/>
      <c r="BB128" s="194"/>
      <c r="BC128" s="194"/>
      <c r="BD128" s="194"/>
      <c r="BE128" s="194"/>
      <c r="BF128" s="194"/>
      <c r="BG128" s="194"/>
      <c r="BH128" s="194"/>
      <c r="BI128" s="194"/>
      <c r="BJ128" s="194"/>
      <c r="BK128" s="194"/>
      <c r="BL128" s="194"/>
      <c r="BM128" s="194"/>
      <c r="BN128" s="194"/>
      <c r="BO128" s="194"/>
      <c r="BP128" s="194"/>
      <c r="BQ128" s="194"/>
      <c r="BR128" s="194"/>
      <c r="BS128" s="194"/>
      <c r="BT128" s="194"/>
      <c r="BU128" s="194"/>
      <c r="BV128" s="194"/>
    </row>
    <row r="129" spans="1:74" s="161" customFormat="1" ht="17.25" customHeight="1">
      <c r="A129" s="167" t="s">
        <v>1173</v>
      </c>
      <c r="B129" s="186"/>
      <c r="C129" s="208"/>
      <c r="D129" s="155"/>
      <c r="E129" s="155"/>
      <c r="F129" s="155"/>
      <c r="G129" s="155"/>
      <c r="H129" s="155"/>
      <c r="I129" s="159"/>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c r="BH129" s="160"/>
      <c r="BI129" s="160"/>
      <c r="BJ129" s="160"/>
      <c r="BK129" s="160"/>
      <c r="BL129" s="160"/>
      <c r="BM129" s="160"/>
      <c r="BN129" s="160"/>
      <c r="BO129" s="160"/>
      <c r="BP129" s="160"/>
      <c r="BQ129" s="160"/>
      <c r="BR129" s="160"/>
      <c r="BS129" s="160"/>
      <c r="BT129" s="160"/>
      <c r="BU129" s="160"/>
      <c r="BV129" s="160"/>
    </row>
    <row r="130" spans="1:74" s="161" customFormat="1" ht="17.25" customHeight="1">
      <c r="A130" s="165" t="s">
        <v>877</v>
      </c>
      <c r="B130" s="186"/>
      <c r="C130" s="208"/>
      <c r="D130" s="155"/>
      <c r="E130" s="155"/>
      <c r="F130" s="155"/>
      <c r="G130" s="155"/>
      <c r="H130" s="155"/>
      <c r="I130" s="159"/>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c r="BH130" s="160"/>
      <c r="BI130" s="160"/>
      <c r="BJ130" s="160"/>
      <c r="BK130" s="160"/>
      <c r="BL130" s="160"/>
      <c r="BM130" s="160"/>
      <c r="BN130" s="160"/>
      <c r="BO130" s="160"/>
      <c r="BP130" s="160"/>
      <c r="BQ130" s="160"/>
      <c r="BR130" s="160"/>
      <c r="BS130" s="160"/>
      <c r="BT130" s="160"/>
      <c r="BU130" s="160"/>
      <c r="BV130" s="160"/>
    </row>
    <row r="131" spans="1:74" s="188" customFormat="1" ht="17.25" customHeight="1">
      <c r="A131" s="191" t="s">
        <v>1175</v>
      </c>
      <c r="B131" s="192"/>
      <c r="C131" s="208"/>
      <c r="D131" s="154"/>
      <c r="E131" s="154"/>
      <c r="F131" s="154"/>
      <c r="G131" s="154"/>
      <c r="H131" s="154"/>
      <c r="I131" s="193"/>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194"/>
      <c r="AK131" s="194"/>
      <c r="AL131" s="194"/>
      <c r="AM131" s="194"/>
      <c r="AN131" s="194"/>
      <c r="AO131" s="194"/>
      <c r="AP131" s="194"/>
      <c r="AQ131" s="194"/>
      <c r="AR131" s="194"/>
      <c r="AS131" s="194"/>
      <c r="AT131" s="194"/>
      <c r="AU131" s="194"/>
      <c r="AV131" s="194"/>
      <c r="AW131" s="194"/>
      <c r="AX131" s="194"/>
      <c r="AY131" s="194"/>
      <c r="AZ131" s="194"/>
      <c r="BA131" s="194"/>
      <c r="BB131" s="194"/>
      <c r="BC131" s="194"/>
      <c r="BD131" s="194"/>
      <c r="BE131" s="194"/>
      <c r="BF131" s="194"/>
      <c r="BG131" s="194"/>
      <c r="BH131" s="194"/>
      <c r="BI131" s="194"/>
      <c r="BJ131" s="194"/>
      <c r="BK131" s="194"/>
      <c r="BL131" s="194"/>
      <c r="BM131" s="194"/>
      <c r="BN131" s="194"/>
      <c r="BO131" s="194"/>
      <c r="BP131" s="194"/>
      <c r="BQ131" s="194"/>
      <c r="BR131" s="194"/>
      <c r="BS131" s="194"/>
      <c r="BT131" s="194"/>
      <c r="BU131" s="194"/>
      <c r="BV131" s="194"/>
    </row>
    <row r="132" spans="1:74" s="188" customFormat="1" ht="17.25" customHeight="1">
      <c r="A132" s="191" t="s">
        <v>1176</v>
      </c>
      <c r="B132" s="192"/>
      <c r="C132" s="208"/>
      <c r="D132" s="154"/>
      <c r="E132" s="154"/>
      <c r="F132" s="154"/>
      <c r="G132" s="154"/>
      <c r="H132" s="154"/>
      <c r="I132" s="193"/>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194"/>
      <c r="AK132" s="194"/>
      <c r="AL132" s="194"/>
      <c r="AM132" s="194"/>
      <c r="AN132" s="194"/>
      <c r="AO132" s="194"/>
      <c r="AP132" s="194"/>
      <c r="AQ132" s="194"/>
      <c r="AR132" s="194"/>
      <c r="AS132" s="194"/>
      <c r="AT132" s="194"/>
      <c r="AU132" s="194"/>
      <c r="AV132" s="194"/>
      <c r="AW132" s="194"/>
      <c r="AX132" s="194"/>
      <c r="AY132" s="194"/>
      <c r="AZ132" s="194"/>
      <c r="BA132" s="194"/>
      <c r="BB132" s="194"/>
      <c r="BC132" s="194"/>
      <c r="BD132" s="194"/>
      <c r="BE132" s="194"/>
      <c r="BF132" s="194"/>
      <c r="BG132" s="194"/>
      <c r="BH132" s="194"/>
      <c r="BI132" s="194"/>
      <c r="BJ132" s="194"/>
      <c r="BK132" s="194"/>
      <c r="BL132" s="194"/>
      <c r="BM132" s="194"/>
      <c r="BN132" s="194"/>
      <c r="BO132" s="194"/>
      <c r="BP132" s="194"/>
      <c r="BQ132" s="194"/>
      <c r="BR132" s="194"/>
      <c r="BS132" s="194"/>
      <c r="BT132" s="194"/>
      <c r="BU132" s="194"/>
      <c r="BV132" s="194"/>
    </row>
    <row r="133" spans="1:74" s="188" customFormat="1" ht="17.25" customHeight="1">
      <c r="A133" s="165" t="s">
        <v>1181</v>
      </c>
      <c r="B133" s="174"/>
      <c r="C133" s="208"/>
      <c r="D133" s="154"/>
      <c r="E133" s="154"/>
      <c r="F133" s="154"/>
      <c r="G133" s="154"/>
      <c r="H133" s="154"/>
      <c r="I133" s="159"/>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c r="BH133" s="160"/>
      <c r="BI133" s="160"/>
      <c r="BJ133" s="160"/>
      <c r="BK133" s="160"/>
      <c r="BL133" s="160"/>
      <c r="BM133" s="160"/>
      <c r="BN133" s="160"/>
      <c r="BO133" s="160"/>
      <c r="BP133" s="160"/>
      <c r="BQ133" s="160"/>
      <c r="BR133" s="160"/>
      <c r="BS133" s="160"/>
      <c r="BT133" s="160"/>
      <c r="BU133" s="160"/>
      <c r="BV133" s="160"/>
    </row>
    <row r="134" spans="1:74" s="188" customFormat="1" ht="17.25" customHeight="1">
      <c r="A134" s="195" t="s">
        <v>878</v>
      </c>
      <c r="B134" s="186"/>
      <c r="C134" s="208"/>
      <c r="D134" s="154"/>
      <c r="E134" s="154"/>
      <c r="F134" s="154"/>
      <c r="G134" s="154"/>
      <c r="H134" s="154"/>
      <c r="I134" s="159"/>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c r="BH134" s="160"/>
      <c r="BI134" s="160"/>
      <c r="BJ134" s="160"/>
      <c r="BK134" s="160"/>
      <c r="BL134" s="160"/>
      <c r="BM134" s="160"/>
      <c r="BN134" s="160"/>
      <c r="BO134" s="160"/>
      <c r="BP134" s="160"/>
      <c r="BQ134" s="160"/>
      <c r="BR134" s="160"/>
      <c r="BS134" s="160"/>
      <c r="BT134" s="160"/>
      <c r="BU134" s="160"/>
      <c r="BV134" s="160"/>
    </row>
    <row r="135" spans="1:74" s="161" customFormat="1" ht="17.25" customHeight="1">
      <c r="A135" s="167" t="s">
        <v>992</v>
      </c>
      <c r="B135" s="186"/>
      <c r="C135" s="208"/>
      <c r="D135" s="155"/>
      <c r="E135" s="155"/>
      <c r="F135" s="155"/>
      <c r="G135" s="155"/>
      <c r="H135" s="155"/>
      <c r="I135" s="159"/>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c r="BH135" s="160"/>
      <c r="BI135" s="160"/>
      <c r="BJ135" s="160"/>
      <c r="BK135" s="160"/>
      <c r="BL135" s="160"/>
      <c r="BM135" s="160"/>
      <c r="BN135" s="160"/>
      <c r="BO135" s="160"/>
      <c r="BP135" s="160"/>
      <c r="BQ135" s="160"/>
      <c r="BR135" s="160"/>
      <c r="BS135" s="160"/>
      <c r="BT135" s="160"/>
      <c r="BU135" s="160"/>
      <c r="BV135" s="160"/>
    </row>
    <row r="136" spans="1:74" s="161" customFormat="1" ht="17.25" customHeight="1">
      <c r="A136" s="167" t="s">
        <v>1226</v>
      </c>
      <c r="B136" s="186"/>
      <c r="C136" s="208"/>
      <c r="D136" s="155"/>
      <c r="E136" s="155"/>
      <c r="F136" s="155"/>
      <c r="G136" s="155"/>
      <c r="H136" s="155"/>
      <c r="I136" s="159"/>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c r="BH136" s="160"/>
      <c r="BI136" s="160"/>
      <c r="BJ136" s="160"/>
      <c r="BK136" s="160"/>
      <c r="BL136" s="160"/>
      <c r="BM136" s="160"/>
      <c r="BN136" s="160"/>
      <c r="BO136" s="160"/>
      <c r="BP136" s="160"/>
      <c r="BQ136" s="160"/>
      <c r="BR136" s="160"/>
      <c r="BS136" s="160"/>
      <c r="BT136" s="160"/>
      <c r="BU136" s="160"/>
      <c r="BV136" s="160"/>
    </row>
    <row r="137" spans="1:74" s="161" customFormat="1" ht="17.25" customHeight="1">
      <c r="A137" s="167" t="s">
        <v>1185</v>
      </c>
      <c r="B137" s="186"/>
      <c r="C137" s="208"/>
      <c r="D137" s="155"/>
      <c r="E137" s="155"/>
      <c r="F137" s="155"/>
      <c r="G137" s="155"/>
      <c r="H137" s="155"/>
      <c r="I137" s="159"/>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c r="BH137" s="160"/>
      <c r="BI137" s="160"/>
      <c r="BJ137" s="160"/>
      <c r="BK137" s="160"/>
      <c r="BL137" s="160"/>
      <c r="BM137" s="160"/>
      <c r="BN137" s="160"/>
      <c r="BO137" s="160"/>
      <c r="BP137" s="160"/>
      <c r="BQ137" s="160"/>
      <c r="BR137" s="160"/>
      <c r="BS137" s="160"/>
      <c r="BT137" s="160"/>
      <c r="BU137" s="160"/>
      <c r="BV137" s="160"/>
    </row>
    <row r="138" spans="1:74" s="161" customFormat="1" ht="17.25" customHeight="1">
      <c r="A138" s="167" t="s">
        <v>1186</v>
      </c>
      <c r="B138" s="174"/>
      <c r="C138" s="208"/>
      <c r="D138" s="155"/>
      <c r="E138" s="155"/>
      <c r="F138" s="155"/>
      <c r="G138" s="155"/>
      <c r="H138" s="155"/>
      <c r="I138" s="159"/>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c r="BH138" s="160"/>
      <c r="BI138" s="160"/>
      <c r="BJ138" s="160"/>
      <c r="BK138" s="160"/>
      <c r="BL138" s="160"/>
      <c r="BM138" s="160"/>
      <c r="BN138" s="160"/>
      <c r="BO138" s="160"/>
      <c r="BP138" s="160"/>
      <c r="BQ138" s="160"/>
      <c r="BR138" s="160"/>
      <c r="BS138" s="160"/>
      <c r="BT138" s="160"/>
      <c r="BU138" s="160"/>
      <c r="BV138" s="160"/>
    </row>
    <row r="139" spans="1:74" s="161" customFormat="1" ht="17.25" customHeight="1">
      <c r="A139" s="167" t="s">
        <v>1187</v>
      </c>
      <c r="B139" s="186"/>
      <c r="C139" s="208"/>
      <c r="D139" s="155"/>
      <c r="E139" s="155"/>
      <c r="F139" s="155"/>
      <c r="G139" s="155"/>
      <c r="H139" s="155"/>
      <c r="I139" s="159"/>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c r="BH139" s="160"/>
      <c r="BI139" s="160"/>
      <c r="BJ139" s="160"/>
      <c r="BK139" s="160"/>
      <c r="BL139" s="160"/>
      <c r="BM139" s="160"/>
      <c r="BN139" s="160"/>
      <c r="BO139" s="160"/>
      <c r="BP139" s="160"/>
      <c r="BQ139" s="160"/>
      <c r="BR139" s="160"/>
      <c r="BS139" s="160"/>
      <c r="BT139" s="160"/>
      <c r="BU139" s="160"/>
      <c r="BV139" s="160"/>
    </row>
    <row r="140" spans="1:74" s="161" customFormat="1" ht="17.25" customHeight="1">
      <c r="A140" s="167" t="s">
        <v>1227</v>
      </c>
      <c r="B140" s="186"/>
      <c r="C140" s="208"/>
      <c r="D140" s="155"/>
      <c r="E140" s="155"/>
      <c r="F140" s="155"/>
      <c r="G140" s="155"/>
      <c r="H140" s="155"/>
      <c r="I140" s="159"/>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c r="BH140" s="160"/>
      <c r="BI140" s="160"/>
      <c r="BJ140" s="160"/>
      <c r="BK140" s="160"/>
      <c r="BL140" s="160"/>
      <c r="BM140" s="160"/>
      <c r="BN140" s="160"/>
      <c r="BO140" s="160"/>
      <c r="BP140" s="160"/>
      <c r="BQ140" s="160"/>
      <c r="BR140" s="160"/>
      <c r="BS140" s="160"/>
      <c r="BT140" s="160"/>
      <c r="BU140" s="160"/>
      <c r="BV140" s="160"/>
    </row>
    <row r="141" spans="1:74" s="161" customFormat="1" ht="17.25" customHeight="1">
      <c r="A141" s="167" t="s">
        <v>1228</v>
      </c>
      <c r="B141" s="186"/>
      <c r="C141" s="208"/>
      <c r="D141" s="155"/>
      <c r="E141" s="155"/>
      <c r="F141" s="155"/>
      <c r="G141" s="155"/>
      <c r="H141" s="155"/>
      <c r="I141" s="159"/>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c r="BH141" s="160"/>
      <c r="BI141" s="160"/>
      <c r="BJ141" s="160"/>
      <c r="BK141" s="160"/>
      <c r="BL141" s="160"/>
      <c r="BM141" s="160"/>
      <c r="BN141" s="160"/>
      <c r="BO141" s="160"/>
      <c r="BP141" s="160"/>
      <c r="BQ141" s="160"/>
      <c r="BR141" s="160"/>
      <c r="BS141" s="160"/>
      <c r="BT141" s="160"/>
      <c r="BU141" s="160"/>
      <c r="BV141" s="160"/>
    </row>
    <row r="142" spans="1:74" s="161" customFormat="1" ht="24.75" customHeight="1">
      <c r="A142" s="167" t="s">
        <v>1190</v>
      </c>
      <c r="B142" s="186"/>
      <c r="C142" s="208"/>
      <c r="D142" s="155"/>
      <c r="E142" s="155"/>
      <c r="F142" s="155"/>
      <c r="G142" s="155"/>
      <c r="H142" s="155"/>
      <c r="I142" s="159"/>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c r="BH142" s="160"/>
      <c r="BI142" s="160"/>
      <c r="BJ142" s="160"/>
      <c r="BK142" s="160"/>
      <c r="BL142" s="160"/>
      <c r="BM142" s="160"/>
      <c r="BN142" s="160"/>
      <c r="BO142" s="160"/>
      <c r="BP142" s="160"/>
      <c r="BQ142" s="160"/>
      <c r="BR142" s="160"/>
      <c r="BS142" s="160"/>
      <c r="BT142" s="160"/>
      <c r="BU142" s="160"/>
      <c r="BV142" s="160"/>
    </row>
    <row r="143" spans="1:74" s="161" customFormat="1" ht="17.25" customHeight="1">
      <c r="A143" s="167" t="s">
        <v>1191</v>
      </c>
      <c r="B143" s="186"/>
      <c r="C143" s="208"/>
      <c r="D143" s="155"/>
      <c r="E143" s="155"/>
      <c r="F143" s="155"/>
      <c r="G143" s="155"/>
      <c r="H143" s="155"/>
      <c r="I143" s="159"/>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c r="BH143" s="160"/>
      <c r="BI143" s="160"/>
      <c r="BJ143" s="160"/>
      <c r="BK143" s="160"/>
      <c r="BL143" s="160"/>
      <c r="BM143" s="160"/>
      <c r="BN143" s="160"/>
      <c r="BO143" s="160"/>
      <c r="BP143" s="160"/>
      <c r="BQ143" s="160"/>
      <c r="BR143" s="160"/>
      <c r="BS143" s="160"/>
      <c r="BT143" s="160"/>
      <c r="BU143" s="160"/>
      <c r="BV143" s="160"/>
    </row>
    <row r="144" spans="1:74" s="161" customFormat="1" ht="17.25" customHeight="1">
      <c r="A144" s="167" t="s">
        <v>1192</v>
      </c>
      <c r="B144" s="174"/>
      <c r="C144" s="208"/>
      <c r="D144" s="155"/>
      <c r="E144" s="155"/>
      <c r="F144" s="155"/>
      <c r="G144" s="155"/>
      <c r="H144" s="155"/>
      <c r="I144" s="159"/>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c r="BH144" s="160"/>
      <c r="BI144" s="160"/>
      <c r="BJ144" s="160"/>
      <c r="BK144" s="160"/>
      <c r="BL144" s="160"/>
      <c r="BM144" s="160"/>
      <c r="BN144" s="160"/>
      <c r="BO144" s="160"/>
      <c r="BP144" s="160"/>
      <c r="BQ144" s="160"/>
      <c r="BR144" s="160"/>
      <c r="BS144" s="160"/>
      <c r="BT144" s="160"/>
      <c r="BU144" s="160"/>
      <c r="BV144" s="160"/>
    </row>
    <row r="145" spans="1:74" s="161" customFormat="1" ht="17.25" customHeight="1">
      <c r="A145" s="167" t="s">
        <v>1193</v>
      </c>
      <c r="B145" s="186"/>
      <c r="C145" s="208"/>
      <c r="D145" s="155"/>
      <c r="E145" s="155"/>
      <c r="F145" s="155"/>
      <c r="G145" s="155"/>
      <c r="H145" s="155"/>
      <c r="I145" s="159"/>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c r="BH145" s="160"/>
      <c r="BI145" s="160"/>
      <c r="BJ145" s="160"/>
      <c r="BK145" s="160"/>
      <c r="BL145" s="160"/>
      <c r="BM145" s="160"/>
      <c r="BN145" s="160"/>
      <c r="BO145" s="160"/>
      <c r="BP145" s="160"/>
      <c r="BQ145" s="160"/>
      <c r="BR145" s="160"/>
      <c r="BS145" s="160"/>
      <c r="BT145" s="160"/>
      <c r="BU145" s="160"/>
      <c r="BV145" s="160"/>
    </row>
    <row r="146" spans="1:74" s="161" customFormat="1" ht="17.25" customHeight="1">
      <c r="A146" s="167" t="s">
        <v>1194</v>
      </c>
      <c r="B146" s="186"/>
      <c r="C146" s="208"/>
      <c r="D146" s="155"/>
      <c r="E146" s="155"/>
      <c r="F146" s="155"/>
      <c r="G146" s="155"/>
      <c r="H146" s="155"/>
      <c r="I146" s="159"/>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c r="BH146" s="160"/>
      <c r="BI146" s="160"/>
      <c r="BJ146" s="160"/>
      <c r="BK146" s="160"/>
      <c r="BL146" s="160"/>
      <c r="BM146" s="160"/>
      <c r="BN146" s="160"/>
      <c r="BO146" s="160"/>
      <c r="BP146" s="160"/>
      <c r="BQ146" s="160"/>
      <c r="BR146" s="160"/>
      <c r="BS146" s="160"/>
      <c r="BT146" s="160"/>
      <c r="BU146" s="160"/>
      <c r="BV146" s="160"/>
    </row>
    <row r="147" spans="1:74" s="161" customFormat="1" ht="17.25" customHeight="1">
      <c r="A147" s="167" t="s">
        <v>1195</v>
      </c>
      <c r="B147" s="186"/>
      <c r="C147" s="208"/>
      <c r="D147" s="155"/>
      <c r="E147" s="155"/>
      <c r="F147" s="155"/>
      <c r="G147" s="155"/>
      <c r="H147" s="155"/>
      <c r="I147" s="159"/>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c r="BH147" s="160"/>
      <c r="BI147" s="160"/>
      <c r="BJ147" s="160"/>
      <c r="BK147" s="160"/>
      <c r="BL147" s="160"/>
      <c r="BM147" s="160"/>
      <c r="BN147" s="160"/>
      <c r="BO147" s="160"/>
      <c r="BP147" s="160"/>
      <c r="BQ147" s="160"/>
      <c r="BR147" s="160"/>
      <c r="BS147" s="160"/>
      <c r="BT147" s="160"/>
      <c r="BU147" s="160"/>
      <c r="BV147" s="160"/>
    </row>
    <row r="148" spans="1:74" s="161" customFormat="1" ht="17.25" customHeight="1">
      <c r="A148" s="167" t="s">
        <v>1196</v>
      </c>
      <c r="B148" s="186"/>
      <c r="C148" s="208"/>
      <c r="D148" s="155"/>
      <c r="E148" s="155"/>
      <c r="F148" s="155"/>
      <c r="G148" s="155"/>
      <c r="H148" s="155"/>
      <c r="I148" s="159"/>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c r="BH148" s="160"/>
      <c r="BI148" s="160"/>
      <c r="BJ148" s="160"/>
      <c r="BK148" s="160"/>
      <c r="BL148" s="160"/>
      <c r="BM148" s="160"/>
      <c r="BN148" s="160"/>
      <c r="BO148" s="160"/>
      <c r="BP148" s="160"/>
      <c r="BQ148" s="160"/>
      <c r="BR148" s="160"/>
      <c r="BS148" s="160"/>
      <c r="BT148" s="160"/>
      <c r="BU148" s="160"/>
      <c r="BV148" s="160"/>
    </row>
    <row r="149" spans="1:74" s="161" customFormat="1" ht="17.25" customHeight="1">
      <c r="A149" s="167" t="s">
        <v>1197</v>
      </c>
      <c r="B149" s="186"/>
      <c r="C149" s="208"/>
      <c r="D149" s="155"/>
      <c r="E149" s="155"/>
      <c r="F149" s="155"/>
      <c r="G149" s="155"/>
      <c r="H149" s="155"/>
      <c r="I149" s="159"/>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c r="BH149" s="160"/>
      <c r="BI149" s="160"/>
      <c r="BJ149" s="160"/>
      <c r="BK149" s="160"/>
      <c r="BL149" s="160"/>
      <c r="BM149" s="160"/>
      <c r="BN149" s="160"/>
      <c r="BO149" s="160"/>
      <c r="BP149" s="160"/>
      <c r="BQ149" s="160"/>
      <c r="BR149" s="160"/>
      <c r="BS149" s="160"/>
      <c r="BT149" s="160"/>
      <c r="BU149" s="160"/>
      <c r="BV149" s="160"/>
    </row>
    <row r="150" spans="1:74" s="161" customFormat="1" ht="17.25" customHeight="1">
      <c r="A150" s="167" t="s">
        <v>1198</v>
      </c>
      <c r="B150" s="186"/>
      <c r="C150" s="208"/>
      <c r="D150" s="155"/>
      <c r="E150" s="155"/>
      <c r="F150" s="155"/>
      <c r="G150" s="155"/>
      <c r="H150" s="155"/>
      <c r="I150" s="159"/>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c r="BH150" s="160"/>
      <c r="BI150" s="160"/>
      <c r="BJ150" s="160"/>
      <c r="BK150" s="160"/>
      <c r="BL150" s="160"/>
      <c r="BM150" s="160"/>
      <c r="BN150" s="160"/>
      <c r="BO150" s="160"/>
      <c r="BP150" s="160"/>
      <c r="BQ150" s="160"/>
      <c r="BR150" s="160"/>
      <c r="BS150" s="160"/>
      <c r="BT150" s="160"/>
      <c r="BU150" s="160"/>
      <c r="BV150" s="160"/>
    </row>
    <row r="151" spans="1:74" s="161" customFormat="1" ht="17.25" customHeight="1">
      <c r="A151" s="167" t="s">
        <v>861</v>
      </c>
      <c r="B151" s="186"/>
      <c r="C151" s="208"/>
      <c r="D151" s="155"/>
      <c r="E151" s="155"/>
      <c r="F151" s="155"/>
      <c r="G151" s="155"/>
      <c r="H151" s="155"/>
      <c r="I151" s="159"/>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c r="BH151" s="160"/>
      <c r="BI151" s="160"/>
      <c r="BJ151" s="160"/>
      <c r="BK151" s="160"/>
      <c r="BL151" s="160"/>
      <c r="BM151" s="160"/>
      <c r="BN151" s="160"/>
      <c r="BO151" s="160"/>
      <c r="BP151" s="160"/>
      <c r="BQ151" s="160"/>
      <c r="BR151" s="160"/>
      <c r="BS151" s="160"/>
      <c r="BT151" s="160"/>
      <c r="BU151" s="160"/>
      <c r="BV151" s="160"/>
    </row>
    <row r="152" spans="1:74" s="161" customFormat="1" ht="17.25" customHeight="1">
      <c r="A152" s="167" t="s">
        <v>862</v>
      </c>
      <c r="B152" s="186"/>
      <c r="C152" s="208"/>
      <c r="D152" s="155"/>
      <c r="E152" s="155"/>
      <c r="F152" s="155"/>
      <c r="G152" s="155"/>
      <c r="H152" s="155"/>
      <c r="I152" s="159"/>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c r="BH152" s="160"/>
      <c r="BI152" s="160"/>
      <c r="BJ152" s="160"/>
      <c r="BK152" s="160"/>
      <c r="BL152" s="160"/>
      <c r="BM152" s="160"/>
      <c r="BN152" s="160"/>
      <c r="BO152" s="160"/>
      <c r="BP152" s="160"/>
      <c r="BQ152" s="160"/>
      <c r="BR152" s="160"/>
      <c r="BS152" s="160"/>
      <c r="BT152" s="160"/>
      <c r="BU152" s="160"/>
      <c r="BV152" s="160"/>
    </row>
    <row r="153" spans="1:74" s="188" customFormat="1" ht="17.25" customHeight="1">
      <c r="A153" s="167" t="s">
        <v>1203</v>
      </c>
      <c r="B153" s="174"/>
      <c r="C153" s="208"/>
      <c r="D153" s="155"/>
      <c r="E153" s="155"/>
      <c r="F153" s="155"/>
      <c r="G153" s="155"/>
      <c r="H153" s="155"/>
      <c r="I153" s="159"/>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c r="BH153" s="160"/>
      <c r="BI153" s="160"/>
      <c r="BJ153" s="160"/>
      <c r="BK153" s="160"/>
      <c r="BL153" s="160"/>
      <c r="BM153" s="160"/>
      <c r="BN153" s="160"/>
      <c r="BO153" s="160"/>
      <c r="BP153" s="160"/>
      <c r="BQ153" s="160"/>
      <c r="BR153" s="160"/>
      <c r="BS153" s="160"/>
      <c r="BT153" s="160"/>
      <c r="BU153" s="160"/>
      <c r="BV153" s="160"/>
    </row>
    <row r="154" spans="1:74" s="188" customFormat="1" ht="17.25" customHeight="1">
      <c r="A154" s="167"/>
      <c r="B154" s="174"/>
      <c r="C154" s="208"/>
      <c r="D154" s="155"/>
      <c r="E154" s="155"/>
      <c r="F154" s="155"/>
      <c r="G154" s="155"/>
      <c r="H154" s="155"/>
      <c r="I154" s="159"/>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c r="BH154" s="160"/>
      <c r="BI154" s="160"/>
      <c r="BJ154" s="160"/>
      <c r="BK154" s="160"/>
      <c r="BL154" s="160"/>
      <c r="BM154" s="160"/>
      <c r="BN154" s="160"/>
      <c r="BO154" s="160"/>
      <c r="BP154" s="160"/>
      <c r="BQ154" s="160"/>
      <c r="BR154" s="160"/>
      <c r="BS154" s="160"/>
      <c r="BT154" s="160"/>
      <c r="BU154" s="160"/>
      <c r="BV154" s="160"/>
    </row>
    <row r="155" spans="1:74" ht="17.25" customHeight="1">
      <c r="A155" s="172"/>
      <c r="B155" s="163"/>
      <c r="C155" s="208"/>
      <c r="D155" s="150"/>
      <c r="E155" s="150"/>
      <c r="F155" s="150"/>
      <c r="G155" s="150"/>
      <c r="H155" s="150"/>
      <c r="I155" s="159"/>
    </row>
    <row r="156" spans="1:74" ht="17.25" customHeight="1">
      <c r="A156" s="158" t="s">
        <v>978</v>
      </c>
      <c r="B156" s="186"/>
      <c r="C156" s="208"/>
      <c r="D156" s="150" t="e">
        <f>资产负债!#REF!/D137</f>
        <v>#REF!</v>
      </c>
      <c r="E156" s="150" t="e">
        <f>资产负债!C30/E137</f>
        <v>#DIV/0!</v>
      </c>
      <c r="F156" s="150" t="e">
        <f>资产负债!D30/F137</f>
        <v>#DIV/0!</v>
      </c>
      <c r="G156" s="150" t="e">
        <f>资产负债!#REF!/G137</f>
        <v>#REF!</v>
      </c>
      <c r="H156" s="150" t="e">
        <f>资产负债!#REF!/H137</f>
        <v>#REF!</v>
      </c>
      <c r="I156" s="159"/>
    </row>
    <row r="157" spans="1:74" ht="17.25" customHeight="1">
      <c r="A157" s="158" t="s">
        <v>979</v>
      </c>
      <c r="B157" s="186"/>
      <c r="C157" s="208"/>
      <c r="D157" s="150" t="e">
        <f>资产负债!#REF!/D138</f>
        <v>#REF!</v>
      </c>
      <c r="E157" s="150" t="e">
        <f>资产负债!C33/E138</f>
        <v>#DIV/0!</v>
      </c>
      <c r="F157" s="150" t="e">
        <f>资产负债!D33/F138</f>
        <v>#DIV/0!</v>
      </c>
      <c r="G157" s="150" t="e">
        <f>资产负债!#REF!/G138</f>
        <v>#REF!</v>
      </c>
      <c r="H157" s="150" t="e">
        <f>资产负债!#REF!/H138</f>
        <v>#REF!</v>
      </c>
      <c r="I157" s="159"/>
    </row>
    <row r="158" spans="1:74" ht="17.25" customHeight="1">
      <c r="A158" s="172"/>
      <c r="B158" s="163"/>
      <c r="C158" s="208"/>
    </row>
    <row r="159" spans="1:74" ht="17.25" customHeight="1">
      <c r="C159" s="208"/>
    </row>
    <row r="160" spans="1:74" ht="17.25" customHeight="1">
      <c r="C160" s="208"/>
    </row>
    <row r="161" spans="3:3" ht="17.25" customHeight="1">
      <c r="C161" s="208"/>
    </row>
    <row r="162" spans="3:3" ht="17.25" customHeight="1">
      <c r="C162" s="208"/>
    </row>
    <row r="163" spans="3:3" ht="17.25" customHeight="1">
      <c r="C163" s="208"/>
    </row>
    <row r="164" spans="3:3" ht="17.25" customHeight="1">
      <c r="C164" s="208"/>
    </row>
    <row r="165" spans="3:3" ht="17.25" customHeight="1">
      <c r="C165" s="208"/>
    </row>
    <row r="166" spans="3:3" ht="17.25" customHeight="1">
      <c r="C166" s="208"/>
    </row>
    <row r="167" spans="3:3" ht="17.25" customHeight="1">
      <c r="C167" s="208"/>
    </row>
    <row r="168" spans="3:3" ht="17.25" customHeight="1">
      <c r="C168" s="208"/>
    </row>
    <row r="169" spans="3:3" ht="17.25" customHeight="1">
      <c r="C169" s="208"/>
    </row>
    <row r="170" spans="3:3" ht="17.25" customHeight="1">
      <c r="C170" s="208"/>
    </row>
    <row r="171" spans="3:3" ht="17.25" customHeight="1">
      <c r="C171" s="208"/>
    </row>
    <row r="172" spans="3:3" ht="17.25" customHeight="1">
      <c r="C172" s="208"/>
    </row>
    <row r="173" spans="3:3" ht="17.25" customHeight="1">
      <c r="C173" s="208"/>
    </row>
    <row r="174" spans="3:3" ht="17.25" customHeight="1">
      <c r="C174" s="208"/>
    </row>
    <row r="175" spans="3:3" ht="17.25" customHeight="1">
      <c r="C175" s="208"/>
    </row>
    <row r="176" spans="3:3" ht="17.25" customHeight="1">
      <c r="C176" s="208"/>
    </row>
    <row r="177" spans="3:3" ht="17.25" customHeight="1">
      <c r="C177" s="208"/>
    </row>
    <row r="178" spans="3:3" ht="17.25" customHeight="1">
      <c r="C178" s="208"/>
    </row>
    <row r="179" spans="3:3" ht="17.25" customHeight="1">
      <c r="C179" s="208"/>
    </row>
    <row r="180" spans="3:3" ht="17.25" customHeight="1">
      <c r="C180" s="208"/>
    </row>
    <row r="181" spans="3:3" ht="17.25" customHeight="1">
      <c r="C181" s="208"/>
    </row>
    <row r="182" spans="3:3" ht="17.25" customHeight="1">
      <c r="C182" s="208"/>
    </row>
    <row r="183" spans="3:3" ht="17.25" customHeight="1">
      <c r="C183" s="208"/>
    </row>
    <row r="184" spans="3:3" ht="17.25" customHeight="1">
      <c r="C184" s="208"/>
    </row>
    <row r="185" spans="3:3" ht="17.25" customHeight="1">
      <c r="C185" s="208"/>
    </row>
    <row r="186" spans="3:3" ht="17.25" customHeight="1">
      <c r="C186" s="208"/>
    </row>
    <row r="187" spans="3:3" ht="17.25" customHeight="1">
      <c r="C187" s="208"/>
    </row>
    <row r="188" spans="3:3" ht="17.25" customHeight="1">
      <c r="C188" s="208"/>
    </row>
    <row r="189" spans="3:3" ht="17.25" customHeight="1">
      <c r="C189" s="208"/>
    </row>
    <row r="190" spans="3:3" ht="17.25" customHeight="1">
      <c r="C190" s="208"/>
    </row>
    <row r="191" spans="3:3" ht="17.25" customHeight="1">
      <c r="C191" s="208"/>
    </row>
    <row r="192" spans="3:3" ht="17.25" customHeight="1">
      <c r="C192" s="208"/>
    </row>
    <row r="193" spans="3:3" ht="17.25" customHeight="1">
      <c r="C193" s="208"/>
    </row>
    <row r="194" spans="3:3" ht="17.25" customHeight="1">
      <c r="C194" s="208"/>
    </row>
    <row r="195" spans="3:3" ht="17.25" customHeight="1">
      <c r="C195" s="208"/>
    </row>
    <row r="196" spans="3:3" ht="17.25" customHeight="1">
      <c r="C196" s="208"/>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BV376"/>
  <sheetViews>
    <sheetView zoomScaleNormal="100" workbookViewId="0">
      <pane xSplit="1" ySplit="1" topLeftCell="B2" activePane="bottomRight" state="frozen"/>
      <selection activeCell="A37" sqref="A37"/>
      <selection pane="topRight" activeCell="A37" sqref="A37"/>
      <selection pane="bottomLeft" activeCell="A37" sqref="A37"/>
      <selection pane="bottomRight" activeCell="A94" sqref="A94"/>
    </sheetView>
  </sheetViews>
  <sheetFormatPr defaultColWidth="9.375" defaultRowHeight="18.75" customHeight="1" outlineLevelRow="1"/>
  <cols>
    <col min="1" max="1" width="39.875" style="190" customWidth="1"/>
    <col min="2" max="2" width="1.625" style="190" hidden="1" customWidth="1"/>
    <col min="3" max="8" width="18.625" style="1107" customWidth="1"/>
    <col min="9" max="9" width="13.875" style="160" hidden="1" customWidth="1"/>
    <col min="10" max="10" width="15.5" style="160" customWidth="1"/>
    <col min="11" max="11" width="15.875" style="160" customWidth="1"/>
    <col min="12" max="20" width="15.875" style="160" hidden="1" customWidth="1"/>
    <col min="21" max="24" width="9.375" style="160" customWidth="1"/>
    <col min="25" max="74" width="9.375" style="160"/>
    <col min="75" max="16384" width="9.375" style="327"/>
  </cols>
  <sheetData>
    <row r="1" spans="1:74" ht="18.75" customHeight="1">
      <c r="A1" s="595" t="s">
        <v>1380</v>
      </c>
      <c r="B1" s="595"/>
      <c r="C1" s="1109" t="str">
        <f>CONCATENATE(N7,"-12-","31")</f>
        <v>2017-12-31</v>
      </c>
      <c r="D1" s="1109" t="str">
        <f>CONCATENATE(N6,"-12-","31")</f>
        <v>2018-12-31</v>
      </c>
      <c r="E1" s="1109" t="str">
        <f>CONCATENATE(N5,"-12-","31")</f>
        <v>2019-12-31</v>
      </c>
      <c r="F1" s="1109" t="str">
        <f>CONCATENATE(N4,"-12-","31")</f>
        <v>2020-12-31</v>
      </c>
      <c r="G1" s="1109" t="str">
        <f>CONCATENATE(N3,"-12-","31")</f>
        <v>2021-12-31</v>
      </c>
      <c r="H1" s="1109" t="str">
        <f>CONCATENATE(N2,"-12-","31")</f>
        <v>2022-12-31</v>
      </c>
    </row>
    <row r="2" spans="1:74" ht="18.75" customHeight="1">
      <c r="A2" s="483" t="s">
        <v>855</v>
      </c>
      <c r="B2" s="483"/>
      <c r="I2" s="159"/>
      <c r="J2" s="159"/>
      <c r="L2" s="160">
        <v>101</v>
      </c>
      <c r="N2" s="831">
        <f>YEAR(目录!C7)</f>
        <v>2022</v>
      </c>
    </row>
    <row r="3" spans="1:74" s="597" customFormat="1" ht="18.75" customHeight="1" outlineLevel="1">
      <c r="A3" s="165" t="s">
        <v>1050</v>
      </c>
      <c r="B3" s="165"/>
      <c r="C3" s="1322">
        <v>2038.7881276099999</v>
      </c>
      <c r="D3" s="1322">
        <v>3096.7492906900002</v>
      </c>
      <c r="E3" s="1322">
        <v>4651.9570119999998</v>
      </c>
      <c r="F3" s="1322">
        <v>6237.8785046200001</v>
      </c>
      <c r="G3" s="1322">
        <v>7770.7241516800004</v>
      </c>
      <c r="H3" s="1322">
        <v>7660.6405554399998</v>
      </c>
      <c r="I3" s="159"/>
      <c r="J3" s="159"/>
      <c r="K3" s="160"/>
      <c r="L3" s="832"/>
      <c r="M3" s="160"/>
      <c r="N3" s="831">
        <f>N2-1</f>
        <v>2021</v>
      </c>
      <c r="O3" s="160">
        <v>2038.7881276099999</v>
      </c>
      <c r="P3" s="160">
        <v>3096.7492906900002</v>
      </c>
      <c r="Q3" s="160">
        <v>4651.9570119999998</v>
      </c>
      <c r="R3" s="160">
        <v>6237.8785046200001</v>
      </c>
      <c r="S3" s="160">
        <v>7770.7241516800004</v>
      </c>
      <c r="T3" s="160">
        <v>7660.6405554399998</v>
      </c>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row>
    <row r="4" spans="1:74" ht="18.75" customHeight="1" outlineLevel="1">
      <c r="A4" s="167" t="s">
        <v>846</v>
      </c>
      <c r="B4" s="167"/>
      <c r="C4" s="1322">
        <v>2038.7881276099999</v>
      </c>
      <c r="D4" s="1322">
        <v>3096.7492906900002</v>
      </c>
      <c r="E4" s="1322">
        <v>4651.9570119999998</v>
      </c>
      <c r="F4" s="1322">
        <v>6237.8785046200001</v>
      </c>
      <c r="G4" s="1322">
        <v>7770.7241516800004</v>
      </c>
      <c r="H4" s="1322">
        <v>7660.6405554399998</v>
      </c>
      <c r="I4" s="159"/>
      <c r="J4" s="159"/>
      <c r="L4" s="832"/>
      <c r="N4" s="831">
        <f>N3-1</f>
        <v>2020</v>
      </c>
      <c r="O4" s="160">
        <v>2038.7881276099999</v>
      </c>
      <c r="P4" s="160">
        <v>3096.7492906900002</v>
      </c>
      <c r="Q4" s="160">
        <v>4651.9570119999998</v>
      </c>
      <c r="R4" s="160">
        <v>6237.8785046200001</v>
      </c>
      <c r="S4" s="160">
        <v>7770.7241516800004</v>
      </c>
      <c r="T4" s="160">
        <v>7660.6405554399998</v>
      </c>
    </row>
    <row r="5" spans="1:74" ht="18.75" customHeight="1" outlineLevel="1">
      <c r="A5" s="167" t="s">
        <v>985</v>
      </c>
      <c r="B5" s="167"/>
      <c r="C5" s="1322">
        <v>1263.5234191700001</v>
      </c>
      <c r="D5" s="1322">
        <v>2124.4891360900001</v>
      </c>
      <c r="E5" s="1322">
        <v>3092.1497950500002</v>
      </c>
      <c r="F5" s="1322">
        <v>3933.6453061799998</v>
      </c>
      <c r="G5" s="1322">
        <v>5554.9510171599995</v>
      </c>
      <c r="H5" s="1322">
        <v>6035.7600298300003</v>
      </c>
      <c r="I5" s="159"/>
      <c r="J5" s="159"/>
      <c r="L5" s="832"/>
      <c r="N5" s="831">
        <f>N4-1</f>
        <v>2019</v>
      </c>
      <c r="O5" s="160">
        <v>1263.5234191700001</v>
      </c>
      <c r="P5" s="160">
        <v>2124.4891360900001</v>
      </c>
      <c r="Q5" s="160">
        <v>3092.1497950500002</v>
      </c>
      <c r="R5" s="160">
        <v>3933.6453061799998</v>
      </c>
      <c r="S5" s="160">
        <v>5554.9510171599995</v>
      </c>
      <c r="T5" s="160">
        <v>6035.7600298300003</v>
      </c>
    </row>
    <row r="6" spans="1:74" ht="18.75" customHeight="1" outlineLevel="1">
      <c r="A6" s="167" t="s">
        <v>986</v>
      </c>
      <c r="B6" s="167"/>
      <c r="C6" s="1322">
        <v>18.558996370000003</v>
      </c>
      <c r="D6" s="1322">
        <v>20.62809304</v>
      </c>
      <c r="E6" s="1322">
        <v>32.896232670000003</v>
      </c>
      <c r="F6" s="1322">
        <v>42.402173340000004</v>
      </c>
      <c r="G6" s="1322">
        <v>43.490777829999999</v>
      </c>
      <c r="H6" s="1322">
        <v>36.744935640000001</v>
      </c>
      <c r="I6" s="159"/>
      <c r="J6" s="159"/>
      <c r="L6" s="832"/>
      <c r="N6" s="831">
        <f>N5-1</f>
        <v>2018</v>
      </c>
      <c r="O6" s="160">
        <v>18.558996370000003</v>
      </c>
      <c r="P6" s="160">
        <v>20.62809304</v>
      </c>
      <c r="Q6" s="160">
        <v>32.896232670000003</v>
      </c>
      <c r="R6" s="160">
        <v>42.402173340000004</v>
      </c>
      <c r="S6" s="160">
        <v>43.490777829999999</v>
      </c>
      <c r="T6" s="160">
        <v>36.744935640000001</v>
      </c>
    </row>
    <row r="7" spans="1:74" ht="18.75" customHeight="1" outlineLevel="1">
      <c r="A7" s="167" t="s">
        <v>2059</v>
      </c>
      <c r="B7" s="167"/>
      <c r="C7" s="1322">
        <v>260.56178699999998</v>
      </c>
      <c r="D7" s="1322">
        <v>416.89349785000002</v>
      </c>
      <c r="E7" s="1322">
        <v>575.76474630999996</v>
      </c>
      <c r="F7" s="1322">
        <v>389.22984681000003</v>
      </c>
      <c r="G7" s="1322">
        <v>472.99545004999999</v>
      </c>
      <c r="H7" s="1322">
        <v>509.95078439999997</v>
      </c>
      <c r="I7" s="159"/>
      <c r="J7" s="159"/>
      <c r="L7" s="832"/>
      <c r="N7" s="831">
        <f>N6-1</f>
        <v>2017</v>
      </c>
      <c r="O7" s="160">
        <v>260.56178699999998</v>
      </c>
      <c r="P7" s="160">
        <v>416.89349785000002</v>
      </c>
      <c r="Q7" s="160">
        <v>575.76474630999996</v>
      </c>
      <c r="R7" s="160">
        <v>389.22984681000003</v>
      </c>
      <c r="S7" s="160">
        <v>472.99545004999999</v>
      </c>
      <c r="T7" s="160">
        <v>509.95078439999997</v>
      </c>
    </row>
    <row r="8" spans="1:74" ht="18.75" customHeight="1" outlineLevel="1">
      <c r="A8" s="167" t="s">
        <v>1058</v>
      </c>
      <c r="B8" s="167"/>
      <c r="C8" s="1322">
        <v>102.33023007999999</v>
      </c>
      <c r="D8" s="1322">
        <v>135.92366380999999</v>
      </c>
      <c r="E8" s="1322">
        <v>205.79558708000002</v>
      </c>
      <c r="F8" s="1322">
        <v>243.37358374999999</v>
      </c>
      <c r="G8" s="1322">
        <v>289.52784451999997</v>
      </c>
      <c r="H8" s="1322">
        <v>300.71854592</v>
      </c>
      <c r="I8" s="159"/>
      <c r="J8" s="159"/>
      <c r="L8" s="832"/>
      <c r="O8" s="160">
        <v>102.33023007999999</v>
      </c>
      <c r="P8" s="160">
        <v>135.92366380999999</v>
      </c>
      <c r="Q8" s="160">
        <v>205.79558708000002</v>
      </c>
      <c r="R8" s="160">
        <v>243.37358374999999</v>
      </c>
      <c r="S8" s="160">
        <v>289.52784451999997</v>
      </c>
      <c r="T8" s="160">
        <v>300.71854592</v>
      </c>
    </row>
    <row r="9" spans="1:74" ht="18.75" customHeight="1" outlineLevel="1">
      <c r="A9" s="167" t="s">
        <v>2522</v>
      </c>
      <c r="B9" s="167"/>
      <c r="C9" s="1322">
        <v>86.071131890000004</v>
      </c>
      <c r="D9" s="1322">
        <v>130.69170808000001</v>
      </c>
      <c r="E9" s="1322">
        <v>209.50728286</v>
      </c>
      <c r="F9" s="1322">
        <v>281.83294932999996</v>
      </c>
      <c r="G9" s="1322">
        <v>339.99656446</v>
      </c>
      <c r="H9" s="1322">
        <v>343.13398811000002</v>
      </c>
      <c r="I9" s="159"/>
      <c r="J9" s="159"/>
      <c r="L9" s="832"/>
      <c r="O9" s="160">
        <v>86.071131890000004</v>
      </c>
      <c r="P9" s="160">
        <v>130.69170808000001</v>
      </c>
      <c r="Q9" s="160">
        <v>209.50728286</v>
      </c>
      <c r="R9" s="160">
        <v>281.83294932999996</v>
      </c>
      <c r="S9" s="160">
        <v>339.99656446</v>
      </c>
      <c r="T9" s="160">
        <v>343.13398811000002</v>
      </c>
    </row>
    <row r="10" spans="1:74" ht="18.75" customHeight="1" outlineLevel="1">
      <c r="A10" s="167" t="s">
        <v>987</v>
      </c>
      <c r="B10" s="167"/>
      <c r="C10" s="1322">
        <v>18.76263307</v>
      </c>
      <c r="D10" s="1322">
        <v>27.753008870000002</v>
      </c>
      <c r="E10" s="1322">
        <v>20.159173320000001</v>
      </c>
      <c r="F10" s="1322">
        <v>27.226078329999996</v>
      </c>
      <c r="G10" s="1322">
        <v>42.603031940000001</v>
      </c>
      <c r="H10" s="1322">
        <v>75.63140765</v>
      </c>
      <c r="I10" s="159"/>
      <c r="J10" s="159"/>
      <c r="L10" s="832"/>
      <c r="O10" s="160">
        <v>18.76263307</v>
      </c>
      <c r="P10" s="160">
        <v>27.753008870000002</v>
      </c>
      <c r="Q10" s="160">
        <v>20.159173320000001</v>
      </c>
      <c r="R10" s="160">
        <v>27.226078329999996</v>
      </c>
      <c r="S10" s="160">
        <v>42.603031940000001</v>
      </c>
      <c r="T10" s="160">
        <v>75.63140765</v>
      </c>
    </row>
    <row r="11" spans="1:74" ht="18.75" customHeight="1" outlineLevel="1">
      <c r="A11" s="169" t="s">
        <v>148</v>
      </c>
      <c r="B11" s="169"/>
      <c r="C11" s="1322">
        <v>19.677316090000001</v>
      </c>
      <c r="D11" s="1322">
        <v>34.022184939999995</v>
      </c>
      <c r="E11" s="1322">
        <v>36.749823659999997</v>
      </c>
      <c r="F11" s="1322">
        <v>42.88891254</v>
      </c>
      <c r="G11" s="1322">
        <v>62.43521045</v>
      </c>
      <c r="H11" s="1322">
        <v>101.20494839</v>
      </c>
      <c r="I11" s="159"/>
      <c r="J11" s="159"/>
      <c r="L11" s="832"/>
      <c r="O11" s="160">
        <v>19.677316090000001</v>
      </c>
      <c r="P11" s="160">
        <v>34.022184939999995</v>
      </c>
      <c r="Q11" s="160">
        <v>36.749823659999997</v>
      </c>
      <c r="R11" s="160">
        <v>42.88891254</v>
      </c>
      <c r="S11" s="160">
        <v>62.43521045</v>
      </c>
      <c r="T11" s="160">
        <v>101.20494839</v>
      </c>
    </row>
    <row r="12" spans="1:74" ht="18.75" customHeight="1" outlineLevel="1">
      <c r="A12" s="169" t="s">
        <v>147</v>
      </c>
      <c r="B12" s="169"/>
      <c r="C12" s="1322">
        <v>-2.1153497799999998</v>
      </c>
      <c r="D12" s="1322">
        <v>-7.6159151399999994</v>
      </c>
      <c r="E12" s="1322">
        <v>-18.59141138</v>
      </c>
      <c r="F12" s="1322">
        <v>-19.713053219999999</v>
      </c>
      <c r="G12" s="1322">
        <v>-24.599974100000001</v>
      </c>
      <c r="H12" s="1322">
        <v>-28.396491620000003</v>
      </c>
      <c r="I12" s="159"/>
      <c r="J12" s="159"/>
      <c r="L12" s="832"/>
      <c r="O12" s="160">
        <v>-2.1153497799999998</v>
      </c>
      <c r="P12" s="160">
        <v>-7.6159151399999994</v>
      </c>
      <c r="Q12" s="160">
        <v>-18.59141138</v>
      </c>
      <c r="R12" s="160">
        <v>-19.713053219999999</v>
      </c>
      <c r="S12" s="160">
        <v>-24.599974100000001</v>
      </c>
      <c r="T12" s="160">
        <v>-28.396491620000003</v>
      </c>
    </row>
    <row r="13" spans="1:74" ht="18.75" customHeight="1" outlineLevel="1">
      <c r="A13" s="167" t="s">
        <v>972</v>
      </c>
      <c r="B13" s="169"/>
      <c r="C13" s="1322">
        <v>29.382289420000003</v>
      </c>
      <c r="D13" s="1322">
        <v>-55.363089659999993</v>
      </c>
      <c r="E13" s="1322">
        <v>-15.15286098</v>
      </c>
      <c r="F13" s="1322">
        <v>-34.924672479999998</v>
      </c>
      <c r="G13" s="1322">
        <v>-26.00877388</v>
      </c>
      <c r="H13" s="1322">
        <v>-38.068680430000001</v>
      </c>
      <c r="I13" s="159"/>
      <c r="J13" s="159"/>
      <c r="L13" s="832"/>
      <c r="O13" s="160">
        <v>29.382289420000003</v>
      </c>
      <c r="P13" s="160">
        <v>-55.363089659999993</v>
      </c>
      <c r="Q13" s="160">
        <v>-15.15286098</v>
      </c>
      <c r="R13" s="160">
        <v>-34.924672479999998</v>
      </c>
      <c r="S13" s="160">
        <v>-26.00877388</v>
      </c>
      <c r="T13" s="160">
        <v>-38.068680430000001</v>
      </c>
    </row>
    <row r="14" spans="1:74" ht="18.75" customHeight="1" outlineLevel="1">
      <c r="A14" s="167" t="s">
        <v>2773</v>
      </c>
      <c r="B14" s="169"/>
      <c r="C14" s="1322">
        <v>0</v>
      </c>
      <c r="D14" s="1322">
        <v>0</v>
      </c>
      <c r="E14" s="1322">
        <v>-103.78077293000001</v>
      </c>
      <c r="F14" s="1322">
        <v>-242.67915744999999</v>
      </c>
      <c r="G14" s="1322">
        <v>-249.34916158999999</v>
      </c>
      <c r="H14" s="1322">
        <v>-223.97339441</v>
      </c>
      <c r="I14" s="159"/>
      <c r="J14" s="159"/>
      <c r="L14" s="832"/>
      <c r="O14" s="160">
        <v>0</v>
      </c>
      <c r="P14" s="160">
        <v>0</v>
      </c>
      <c r="Q14" s="160">
        <v>-103.78077293000001</v>
      </c>
      <c r="R14" s="160">
        <v>-242.67915744999999</v>
      </c>
      <c r="S14" s="160">
        <v>-249.34916158999999</v>
      </c>
      <c r="T14" s="160">
        <v>-223.97339441</v>
      </c>
    </row>
    <row r="15" spans="1:74" ht="18.75" customHeight="1" outlineLevel="1">
      <c r="A15" s="167" t="s">
        <v>973</v>
      </c>
      <c r="B15" s="169"/>
      <c r="C15" s="1322">
        <v>0</v>
      </c>
      <c r="D15" s="1322">
        <v>9.9251041600000001</v>
      </c>
      <c r="E15" s="1322">
        <v>0</v>
      </c>
      <c r="F15" s="1322">
        <v>0.19637222000000001</v>
      </c>
      <c r="G15" s="1322">
        <v>8.8465899999999997E-3</v>
      </c>
      <c r="H15" s="1322">
        <v>40.805791849999999</v>
      </c>
      <c r="I15" s="159"/>
      <c r="J15" s="159"/>
      <c r="L15" s="832"/>
      <c r="O15" s="160">
        <v>0</v>
      </c>
      <c r="P15" s="160">
        <v>9.9251041600000001</v>
      </c>
      <c r="Q15" s="160">
        <v>0</v>
      </c>
      <c r="R15" s="160">
        <v>0.19637222000000001</v>
      </c>
      <c r="S15" s="160">
        <v>8.8465899999999997E-3</v>
      </c>
      <c r="T15" s="160">
        <v>40.805791849999999</v>
      </c>
    </row>
    <row r="16" spans="1:74" ht="18.75" customHeight="1" outlineLevel="1">
      <c r="A16" s="167" t="s">
        <v>2520</v>
      </c>
      <c r="B16" s="169"/>
      <c r="C16" s="1322">
        <v>3.6594302500000002</v>
      </c>
      <c r="D16" s="1322">
        <v>5.7467323099999996</v>
      </c>
      <c r="E16" s="1322">
        <v>11.18085157</v>
      </c>
      <c r="F16" s="1322">
        <v>26.001949019999998</v>
      </c>
      <c r="G16" s="1322">
        <v>68.307599120000006</v>
      </c>
      <c r="H16" s="1322">
        <v>53.544000429999997</v>
      </c>
      <c r="I16" s="159"/>
      <c r="J16" s="159"/>
      <c r="L16" s="832"/>
      <c r="O16" s="160">
        <v>3.6594302500000002</v>
      </c>
      <c r="P16" s="160">
        <v>5.7467323099999996</v>
      </c>
      <c r="Q16" s="160">
        <v>11.18085157</v>
      </c>
      <c r="R16" s="160">
        <v>26.001949019999998</v>
      </c>
      <c r="S16" s="160">
        <v>68.307599120000006</v>
      </c>
      <c r="T16" s="160">
        <v>53.544000429999997</v>
      </c>
    </row>
    <row r="17" spans="1:74" ht="18.75" customHeight="1" outlineLevel="1">
      <c r="A17" s="167" t="s">
        <v>974</v>
      </c>
      <c r="B17" s="167"/>
      <c r="C17" s="1322">
        <v>-2.3558941</v>
      </c>
      <c r="D17" s="1322">
        <v>19.26902291</v>
      </c>
      <c r="E17" s="1322">
        <v>20.729962159999999</v>
      </c>
      <c r="F17" s="1322">
        <v>-27.984675469999999</v>
      </c>
      <c r="G17" s="1322">
        <v>-2.9488163599999999</v>
      </c>
      <c r="H17" s="1322">
        <v>3.80244553</v>
      </c>
      <c r="I17" s="159"/>
      <c r="J17" s="159"/>
      <c r="L17" s="832"/>
      <c r="O17" s="160">
        <v>-2.3558941</v>
      </c>
      <c r="P17" s="160">
        <v>19.26902291</v>
      </c>
      <c r="Q17" s="160">
        <v>20.729962159999999</v>
      </c>
      <c r="R17" s="160">
        <v>-27.984675469999999</v>
      </c>
      <c r="S17" s="160">
        <v>-2.9488163599999999</v>
      </c>
      <c r="T17" s="160">
        <v>3.80244553</v>
      </c>
    </row>
    <row r="18" spans="1:74" ht="18.75" customHeight="1" outlineLevel="1">
      <c r="A18" s="167" t="s">
        <v>926</v>
      </c>
      <c r="B18" s="167"/>
      <c r="C18" s="1322">
        <v>0</v>
      </c>
      <c r="D18" s="1322">
        <v>0</v>
      </c>
      <c r="E18" s="1322">
        <v>0</v>
      </c>
      <c r="F18" s="1322">
        <v>0</v>
      </c>
      <c r="G18" s="1322">
        <v>-0.5837291899999999</v>
      </c>
      <c r="H18" s="1322">
        <v>-1.17312824</v>
      </c>
      <c r="I18" s="159"/>
      <c r="J18" s="159"/>
      <c r="L18" s="832"/>
      <c r="O18" s="160">
        <v>0</v>
      </c>
      <c r="P18" s="160">
        <v>0</v>
      </c>
      <c r="Q18" s="160">
        <v>0</v>
      </c>
      <c r="R18" s="160">
        <v>0</v>
      </c>
      <c r="S18" s="160">
        <v>-0.5837291899999999</v>
      </c>
      <c r="T18" s="160">
        <v>-1.17312824</v>
      </c>
    </row>
    <row r="19" spans="1:74" ht="18.75" customHeight="1" outlineLevel="1">
      <c r="A19" s="167" t="s">
        <v>2525</v>
      </c>
      <c r="B19" s="167"/>
      <c r="C19" s="1322">
        <v>-0.65853287000000005</v>
      </c>
      <c r="D19" s="1322">
        <v>1.5737352499999999</v>
      </c>
      <c r="E19" s="1322">
        <v>-1.3935956999999999</v>
      </c>
      <c r="F19" s="1322">
        <v>-7.6598693300000003</v>
      </c>
      <c r="G19" s="1322">
        <v>-6.4920323499999997</v>
      </c>
      <c r="H19" s="1322">
        <v>-3.3414100899999997</v>
      </c>
      <c r="I19" s="159"/>
      <c r="J19" s="159"/>
      <c r="L19" s="832"/>
      <c r="O19" s="160">
        <v>-0.65853287000000005</v>
      </c>
      <c r="P19" s="160">
        <v>1.5737352499999999</v>
      </c>
      <c r="Q19" s="160">
        <v>-1.3935956999999999</v>
      </c>
      <c r="R19" s="160">
        <v>-7.6598693300000003</v>
      </c>
      <c r="S19" s="160">
        <v>-6.4920323499999997</v>
      </c>
      <c r="T19" s="160">
        <v>-3.3414100899999997</v>
      </c>
    </row>
    <row r="20" spans="1:74" ht="18.75" customHeight="1" outlineLevel="1">
      <c r="A20" s="165" t="s">
        <v>931</v>
      </c>
      <c r="B20" s="167"/>
      <c r="C20" s="1322">
        <v>260.24264389000001</v>
      </c>
      <c r="D20" s="1322">
        <v>221.52168791999998</v>
      </c>
      <c r="E20" s="1322">
        <v>427.26777883</v>
      </c>
      <c r="F20" s="1322">
        <v>1033.1185133900001</v>
      </c>
      <c r="G20" s="1322">
        <v>810.67712725000001</v>
      </c>
      <c r="H20" s="1322">
        <v>191.46961677000002</v>
      </c>
      <c r="I20" s="159"/>
      <c r="J20" s="159"/>
      <c r="L20" s="832"/>
      <c r="O20" s="160">
        <v>260.24264389000001</v>
      </c>
      <c r="P20" s="160">
        <v>221.52168791999998</v>
      </c>
      <c r="Q20" s="160">
        <v>427.26777883</v>
      </c>
      <c r="R20" s="160">
        <v>1033.1185133900001</v>
      </c>
      <c r="S20" s="160">
        <v>810.67712725000001</v>
      </c>
      <c r="T20" s="160">
        <v>191.46961677000002</v>
      </c>
    </row>
    <row r="21" spans="1:74" ht="18.75" customHeight="1" outlineLevel="1">
      <c r="A21" s="165" t="s">
        <v>847</v>
      </c>
      <c r="B21" s="167"/>
      <c r="C21" s="1323">
        <v>260.24264389000001</v>
      </c>
      <c r="D21" s="1323">
        <v>221.52168791999998</v>
      </c>
      <c r="E21" s="1323">
        <v>427.26777883</v>
      </c>
      <c r="F21" s="1323">
        <v>1033.1185133900001</v>
      </c>
      <c r="G21" s="1323">
        <v>810.67712725000001</v>
      </c>
      <c r="H21" s="1323">
        <v>191.46961677000002</v>
      </c>
      <c r="I21" s="598"/>
      <c r="J21" s="598"/>
      <c r="L21" s="832"/>
      <c r="O21" s="160">
        <v>260.24264389000001</v>
      </c>
      <c r="P21" s="160">
        <v>221.52168791999998</v>
      </c>
      <c r="Q21" s="160">
        <v>427.26777883</v>
      </c>
      <c r="R21" s="160">
        <v>1033.1185133900001</v>
      </c>
      <c r="S21" s="160">
        <v>810.67712725000001</v>
      </c>
      <c r="T21" s="160">
        <v>191.46961677000002</v>
      </c>
    </row>
    <row r="22" spans="1:74" ht="18.75" customHeight="1" outlineLevel="1">
      <c r="A22" s="167" t="s">
        <v>989</v>
      </c>
      <c r="B22" s="165"/>
      <c r="C22" s="1322">
        <v>1.4058637</v>
      </c>
      <c r="D22" s="1322">
        <v>2.9020750099999999</v>
      </c>
      <c r="E22" s="1322">
        <v>5.3923089600000003</v>
      </c>
      <c r="F22" s="1322">
        <v>8.3436985200000002</v>
      </c>
      <c r="G22" s="1322">
        <v>12.447954749999999</v>
      </c>
      <c r="H22" s="1322">
        <v>11.99548611</v>
      </c>
      <c r="I22" s="159"/>
      <c r="J22" s="159"/>
      <c r="L22" s="832"/>
      <c r="O22" s="160">
        <v>1.4058637</v>
      </c>
      <c r="P22" s="160">
        <v>2.9020750099999999</v>
      </c>
      <c r="Q22" s="160">
        <v>5.3923089600000003</v>
      </c>
      <c r="R22" s="160">
        <v>8.3436985200000002</v>
      </c>
      <c r="S22" s="160">
        <v>12.447954749999999</v>
      </c>
      <c r="T22" s="160">
        <v>11.99548611</v>
      </c>
    </row>
    <row r="23" spans="1:74" s="599" customFormat="1" ht="18.75" customHeight="1" outlineLevel="1">
      <c r="A23" s="167" t="s">
        <v>990</v>
      </c>
      <c r="B23" s="165"/>
      <c r="C23" s="1322">
        <v>0.93300488999999998</v>
      </c>
      <c r="D23" s="1322">
        <v>1.2279948700000001</v>
      </c>
      <c r="E23" s="1322">
        <v>1.04424881</v>
      </c>
      <c r="F23" s="1322">
        <v>2.6082265599999999</v>
      </c>
      <c r="G23" s="1322">
        <v>2.6184784300000001</v>
      </c>
      <c r="H23" s="1322">
        <v>2.8726492100000001</v>
      </c>
      <c r="I23" s="159"/>
      <c r="J23" s="159"/>
      <c r="K23" s="160"/>
      <c r="L23" s="832"/>
      <c r="M23" s="160"/>
      <c r="N23" s="160"/>
      <c r="O23" s="160">
        <v>0.93300488999999998</v>
      </c>
      <c r="P23" s="160">
        <v>1.2279948700000001</v>
      </c>
      <c r="Q23" s="160">
        <v>1.04424881</v>
      </c>
      <c r="R23" s="160">
        <v>2.6082265599999999</v>
      </c>
      <c r="S23" s="160">
        <v>2.6184784300000001</v>
      </c>
      <c r="T23" s="160">
        <v>2.8726492100000001</v>
      </c>
      <c r="U23" s="160"/>
      <c r="V23" s="160"/>
      <c r="W23" s="160"/>
      <c r="X23" s="160"/>
      <c r="Y23" s="160"/>
      <c r="Z23" s="160"/>
      <c r="AA23" s="160"/>
      <c r="AB23" s="160"/>
      <c r="AC23" s="160"/>
      <c r="AD23" s="160"/>
      <c r="AE23" s="160"/>
      <c r="AF23" s="160"/>
      <c r="AG23" s="160"/>
      <c r="AH23" s="160"/>
      <c r="AI23" s="160"/>
      <c r="AJ23" s="160"/>
      <c r="AK23" s="160"/>
      <c r="AL23" s="160"/>
      <c r="AM23" s="160"/>
      <c r="AN23" s="160"/>
      <c r="AO23" s="160"/>
      <c r="AP23" s="160"/>
      <c r="AQ23" s="160"/>
      <c r="AR23" s="160"/>
      <c r="AS23" s="160"/>
      <c r="AT23" s="160"/>
      <c r="AU23" s="160"/>
      <c r="AV23" s="160"/>
      <c r="AW23" s="160"/>
      <c r="AX23" s="160"/>
      <c r="AY23" s="160"/>
      <c r="AZ23" s="160"/>
      <c r="BA23" s="160"/>
      <c r="BB23" s="160"/>
      <c r="BC23" s="160"/>
      <c r="BD23" s="160"/>
      <c r="BE23" s="160"/>
      <c r="BF23" s="160"/>
      <c r="BG23" s="160"/>
      <c r="BH23" s="160"/>
      <c r="BI23" s="160"/>
      <c r="BJ23" s="160"/>
      <c r="BK23" s="160"/>
      <c r="BL23" s="160"/>
      <c r="BM23" s="160"/>
      <c r="BN23" s="160"/>
      <c r="BO23" s="160"/>
      <c r="BP23" s="160"/>
      <c r="BQ23" s="160"/>
      <c r="BR23" s="160"/>
      <c r="BS23" s="160"/>
      <c r="BT23" s="160"/>
      <c r="BU23" s="160"/>
      <c r="BV23" s="160"/>
    </row>
    <row r="24" spans="1:74" ht="18.75" customHeight="1" outlineLevel="1">
      <c r="A24" s="165" t="s">
        <v>1051</v>
      </c>
      <c r="B24" s="167"/>
      <c r="C24" s="1322">
        <v>260.7155027</v>
      </c>
      <c r="D24" s="1322">
        <v>223.19576806000001</v>
      </c>
      <c r="E24" s="1322">
        <v>431.61583898000004</v>
      </c>
      <c r="F24" s="1322">
        <v>1038.8539853500001</v>
      </c>
      <c r="G24" s="1322">
        <v>820.50660357000004</v>
      </c>
      <c r="H24" s="1322">
        <v>200.59245367</v>
      </c>
      <c r="I24" s="159"/>
      <c r="J24" s="159"/>
      <c r="L24" s="832"/>
      <c r="O24" s="160">
        <v>260.7155027</v>
      </c>
      <c r="P24" s="160">
        <v>223.19576806000001</v>
      </c>
      <c r="Q24" s="160">
        <v>431.61583898000004</v>
      </c>
      <c r="R24" s="160">
        <v>1038.8539853500001</v>
      </c>
      <c r="S24" s="160">
        <v>820.50660357000004</v>
      </c>
      <c r="T24" s="160">
        <v>200.59245367</v>
      </c>
    </row>
    <row r="25" spans="1:74" ht="18.75" customHeight="1" outlineLevel="1">
      <c r="A25" s="165" t="s">
        <v>983</v>
      </c>
      <c r="B25" s="167"/>
      <c r="C25" s="1323">
        <v>260.7155027</v>
      </c>
      <c r="D25" s="1323">
        <v>223.19576806000001</v>
      </c>
      <c r="E25" s="1323">
        <v>431.61583898000004</v>
      </c>
      <c r="F25" s="1323">
        <v>1038.8539853500001</v>
      </c>
      <c r="G25" s="1323">
        <v>820.50660357000004</v>
      </c>
      <c r="H25" s="1323">
        <v>200.59245367</v>
      </c>
      <c r="I25" s="598"/>
      <c r="J25" s="598"/>
      <c r="L25" s="832"/>
      <c r="O25" s="160">
        <v>260.7155027</v>
      </c>
      <c r="P25" s="160">
        <v>223.19576806000001</v>
      </c>
      <c r="Q25" s="160">
        <v>431.61583898000004</v>
      </c>
      <c r="R25" s="160">
        <v>1038.8539853500001</v>
      </c>
      <c r="S25" s="160">
        <v>820.50660357000004</v>
      </c>
      <c r="T25" s="160">
        <v>200.59245367</v>
      </c>
    </row>
    <row r="26" spans="1:74" ht="18.75" customHeight="1" outlineLevel="1">
      <c r="A26" s="169" t="s">
        <v>1026</v>
      </c>
      <c r="B26" s="165"/>
      <c r="C26" s="1322">
        <v>43.278019</v>
      </c>
      <c r="D26" s="1322">
        <v>37.928520749999997</v>
      </c>
      <c r="E26" s="1322">
        <v>68.254323889999995</v>
      </c>
      <c r="F26" s="1322">
        <v>148.51984997999998</v>
      </c>
      <c r="G26" s="1322">
        <v>147.88746504</v>
      </c>
      <c r="H26" s="1322">
        <v>22.677695249999999</v>
      </c>
      <c r="I26" s="159"/>
      <c r="J26" s="159"/>
      <c r="L26" s="832"/>
      <c r="O26" s="160">
        <v>43.278019</v>
      </c>
      <c r="P26" s="160">
        <v>37.928520749999997</v>
      </c>
      <c r="Q26" s="160">
        <v>68.254323889999995</v>
      </c>
      <c r="R26" s="160">
        <v>148.51984997999998</v>
      </c>
      <c r="S26" s="160">
        <v>147.88746504</v>
      </c>
      <c r="T26" s="160">
        <v>22.677695249999999</v>
      </c>
    </row>
    <row r="27" spans="1:74" ht="18.75" customHeight="1" outlineLevel="1">
      <c r="A27" s="165" t="s">
        <v>1052</v>
      </c>
      <c r="B27" s="169"/>
      <c r="C27" s="1322"/>
      <c r="D27" s="1322"/>
      <c r="E27" s="1322"/>
      <c r="F27" s="1322"/>
      <c r="G27" s="1322"/>
      <c r="H27" s="1322"/>
      <c r="I27" s="159"/>
      <c r="J27" s="159"/>
      <c r="L27" s="832"/>
    </row>
    <row r="28" spans="1:74" ht="18.75" customHeight="1" outlineLevel="1">
      <c r="A28" s="165" t="s">
        <v>992</v>
      </c>
      <c r="B28" s="169"/>
      <c r="C28" s="1323">
        <v>217.4374837</v>
      </c>
      <c r="D28" s="1323">
        <v>185.26724731000002</v>
      </c>
      <c r="E28" s="1323">
        <v>363.36151508999995</v>
      </c>
      <c r="F28" s="1323">
        <v>890.33413537000001</v>
      </c>
      <c r="G28" s="1323">
        <v>672.61913852999999</v>
      </c>
      <c r="H28" s="1323">
        <v>177.91475842</v>
      </c>
      <c r="I28" s="598"/>
      <c r="J28" s="598"/>
      <c r="L28" s="832"/>
      <c r="O28" s="160">
        <v>217.4374837</v>
      </c>
      <c r="P28" s="160">
        <v>185.26724731000002</v>
      </c>
      <c r="Q28" s="160">
        <v>363.36151508999995</v>
      </c>
      <c r="R28" s="160">
        <v>890.33413537000001</v>
      </c>
      <c r="S28" s="160">
        <v>672.61913852999999</v>
      </c>
      <c r="T28" s="160">
        <v>177.91475842</v>
      </c>
    </row>
    <row r="29" spans="1:74" ht="18.75" customHeight="1" outlineLevel="1">
      <c r="A29" s="167" t="s">
        <v>720</v>
      </c>
      <c r="B29" s="165"/>
      <c r="C29" s="1322">
        <v>-0.24247639000000001</v>
      </c>
      <c r="D29" s="1322">
        <v>0</v>
      </c>
      <c r="E29" s="1322">
        <v>-1.3039999999999999E-5</v>
      </c>
      <c r="F29" s="1322">
        <v>0</v>
      </c>
      <c r="G29" s="1322">
        <v>0</v>
      </c>
      <c r="H29" s="1322">
        <v>-0.27017777000000004</v>
      </c>
      <c r="I29" s="159"/>
      <c r="J29" s="159"/>
      <c r="L29" s="832"/>
      <c r="O29" s="160">
        <v>-0.24247639000000001</v>
      </c>
      <c r="P29" s="160">
        <v>0</v>
      </c>
      <c r="Q29" s="160">
        <v>-1.3039999999999999E-5</v>
      </c>
      <c r="R29" s="160">
        <v>0</v>
      </c>
      <c r="S29" s="160">
        <v>0</v>
      </c>
      <c r="T29" s="160">
        <v>-0.27017777000000004</v>
      </c>
    </row>
    <row r="30" spans="1:74" s="599" customFormat="1" ht="18.75" customHeight="1" outlineLevel="1">
      <c r="A30" s="165" t="s">
        <v>971</v>
      </c>
      <c r="B30" s="165"/>
      <c r="C30" s="1323">
        <v>217.67996009000001</v>
      </c>
      <c r="D30" s="1323">
        <v>185.26724731000002</v>
      </c>
      <c r="E30" s="1323">
        <v>363.36152813000001</v>
      </c>
      <c r="F30" s="1323">
        <v>890.33413537000001</v>
      </c>
      <c r="G30" s="1323">
        <v>672.61913852999999</v>
      </c>
      <c r="H30" s="1323">
        <v>178.18493619</v>
      </c>
      <c r="I30" s="159"/>
      <c r="J30" s="159"/>
      <c r="K30" s="160"/>
      <c r="L30" s="832"/>
      <c r="M30" s="160"/>
      <c r="N30" s="160"/>
      <c r="O30" s="160">
        <v>217.67996009000001</v>
      </c>
      <c r="P30" s="160">
        <v>185.26724731000002</v>
      </c>
      <c r="Q30" s="160">
        <v>363.36152813000001</v>
      </c>
      <c r="R30" s="160">
        <v>890.33413537000001</v>
      </c>
      <c r="S30" s="160">
        <v>672.61913852999999</v>
      </c>
      <c r="T30" s="160">
        <v>178.18493619</v>
      </c>
      <c r="U30" s="160"/>
      <c r="V30" s="160"/>
      <c r="W30" s="160"/>
      <c r="X30" s="160"/>
      <c r="Y30" s="160"/>
      <c r="Z30" s="160"/>
      <c r="AA30" s="160"/>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c r="BH30" s="160"/>
      <c r="BI30" s="160"/>
      <c r="BJ30" s="160"/>
      <c r="BK30" s="160"/>
      <c r="BL30" s="160"/>
      <c r="BM30" s="160"/>
      <c r="BN30" s="160"/>
      <c r="BO30" s="160"/>
      <c r="BP30" s="160"/>
      <c r="BQ30" s="160"/>
      <c r="BR30" s="160"/>
      <c r="BS30" s="160"/>
      <c r="BT30" s="160"/>
      <c r="BU30" s="160"/>
      <c r="BV30" s="160"/>
    </row>
    <row r="31" spans="1:74" ht="18.75" customHeight="1" outlineLevel="1">
      <c r="A31" s="167" t="s">
        <v>706</v>
      </c>
      <c r="B31" s="167"/>
      <c r="C31" s="1322">
        <v>0.48</v>
      </c>
      <c r="D31" s="1322">
        <v>0.31</v>
      </c>
      <c r="E31" s="1322">
        <v>0.6</v>
      </c>
      <c r="F31" s="1322">
        <v>0.82</v>
      </c>
      <c r="G31" s="1322">
        <v>0.59599999999999997</v>
      </c>
      <c r="H31" s="1322">
        <v>0.15</v>
      </c>
      <c r="I31" s="159"/>
      <c r="J31" s="159"/>
      <c r="L31" s="832"/>
      <c r="O31" s="160">
        <v>0.48</v>
      </c>
      <c r="P31" s="160">
        <v>0.31</v>
      </c>
      <c r="Q31" s="160">
        <v>0.6</v>
      </c>
      <c r="R31" s="160">
        <v>0.82</v>
      </c>
      <c r="S31" s="160">
        <v>0.59599999999999997</v>
      </c>
      <c r="T31" s="160">
        <v>0.15</v>
      </c>
    </row>
    <row r="32" spans="1:74" s="599" customFormat="1" ht="18.75" customHeight="1" outlineLevel="1">
      <c r="A32" s="165" t="s">
        <v>932</v>
      </c>
      <c r="B32" s="167"/>
      <c r="C32" s="1323"/>
      <c r="D32" s="1323"/>
      <c r="E32" s="1323"/>
      <c r="F32" s="1323"/>
      <c r="G32" s="1323"/>
      <c r="H32" s="1323"/>
      <c r="I32" s="159"/>
      <c r="J32" s="159"/>
      <c r="K32" s="160"/>
      <c r="L32" s="160"/>
      <c r="M32" s="160"/>
      <c r="N32" s="160"/>
      <c r="O32" s="160"/>
      <c r="P32" s="160"/>
      <c r="Q32" s="160"/>
      <c r="R32" s="160"/>
      <c r="S32" s="160"/>
      <c r="T32" s="160"/>
      <c r="U32" s="160"/>
      <c r="V32" s="160"/>
      <c r="W32" s="160"/>
      <c r="X32" s="160"/>
      <c r="Y32" s="160"/>
      <c r="Z32" s="160"/>
      <c r="AA32" s="160"/>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c r="BH32" s="160"/>
      <c r="BI32" s="160"/>
      <c r="BJ32" s="160"/>
      <c r="BK32" s="160"/>
      <c r="BL32" s="160"/>
      <c r="BM32" s="160"/>
      <c r="BN32" s="160"/>
      <c r="BO32" s="160"/>
      <c r="BP32" s="160"/>
      <c r="BQ32" s="160"/>
      <c r="BR32" s="160"/>
      <c r="BS32" s="160"/>
      <c r="BT32" s="160"/>
      <c r="BU32" s="160"/>
      <c r="BV32" s="160"/>
    </row>
    <row r="33" spans="1:74" s="599" customFormat="1" ht="18.75" customHeight="1" outlineLevel="1">
      <c r="A33" s="144" t="s">
        <v>1055</v>
      </c>
      <c r="B33" s="165"/>
      <c r="C33" s="1322">
        <v>0.05</v>
      </c>
      <c r="D33" s="1322">
        <v>0.05</v>
      </c>
      <c r="E33" s="1322">
        <v>0</v>
      </c>
      <c r="F33" s="1322">
        <v>0.15</v>
      </c>
      <c r="G33" s="1322">
        <v>0</v>
      </c>
      <c r="H33" s="1322">
        <v>0.05</v>
      </c>
      <c r="I33" s="159"/>
      <c r="J33" s="159"/>
      <c r="K33" s="160"/>
      <c r="L33" s="832"/>
      <c r="M33" s="160"/>
      <c r="N33" s="160"/>
      <c r="O33" s="160">
        <v>0.05</v>
      </c>
      <c r="P33" s="160">
        <v>0.05</v>
      </c>
      <c r="Q33" s="160">
        <v>0</v>
      </c>
      <c r="R33" s="160">
        <v>0.15</v>
      </c>
      <c r="S33" s="160">
        <v>0</v>
      </c>
      <c r="T33" s="160">
        <v>0.05</v>
      </c>
      <c r="U33" s="160"/>
      <c r="V33" s="160"/>
      <c r="W33" s="160"/>
      <c r="X33" s="160"/>
      <c r="Y33" s="160"/>
      <c r="Z33" s="160"/>
      <c r="AA33" s="160"/>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c r="BH33" s="160"/>
      <c r="BI33" s="160"/>
      <c r="BJ33" s="160"/>
      <c r="BK33" s="160"/>
      <c r="BL33" s="160"/>
      <c r="BM33" s="160"/>
      <c r="BN33" s="160"/>
      <c r="BO33" s="160"/>
      <c r="BP33" s="160"/>
      <c r="BQ33" s="160"/>
      <c r="BR33" s="160"/>
      <c r="BS33" s="160"/>
      <c r="BT33" s="160"/>
      <c r="BU33" s="160"/>
      <c r="BV33" s="160"/>
    </row>
    <row r="34" spans="1:74" ht="18.75" customHeight="1" outlineLevel="1">
      <c r="A34" s="145" t="s">
        <v>1056</v>
      </c>
      <c r="B34" s="144"/>
      <c r="C34" s="1322">
        <v>0</v>
      </c>
      <c r="D34" s="1322">
        <v>0</v>
      </c>
      <c r="E34" s="1322">
        <v>0</v>
      </c>
      <c r="F34" s="1322">
        <v>0</v>
      </c>
      <c r="G34" s="1322">
        <v>0</v>
      </c>
      <c r="H34" s="1322">
        <v>0</v>
      </c>
      <c r="I34" s="159"/>
      <c r="J34" s="159"/>
      <c r="L34" s="832"/>
      <c r="O34" s="160">
        <v>0</v>
      </c>
      <c r="P34" s="160">
        <v>0</v>
      </c>
      <c r="Q34" s="160">
        <v>0</v>
      </c>
      <c r="R34" s="160">
        <v>0</v>
      </c>
      <c r="S34" s="160">
        <v>0</v>
      </c>
      <c r="T34" s="160">
        <v>0</v>
      </c>
    </row>
    <row r="35" spans="1:74" ht="18.75" customHeight="1" outlineLevel="1">
      <c r="A35" s="145" t="s">
        <v>1057</v>
      </c>
      <c r="B35" s="145"/>
      <c r="C35" s="1322">
        <v>0</v>
      </c>
      <c r="D35" s="1322">
        <v>0</v>
      </c>
      <c r="E35" s="1322">
        <v>0</v>
      </c>
      <c r="F35" s="1322">
        <v>0.8</v>
      </c>
      <c r="G35" s="1322">
        <v>0</v>
      </c>
      <c r="H35" s="1322">
        <v>0</v>
      </c>
      <c r="I35" s="159"/>
      <c r="J35" s="159"/>
      <c r="L35" s="832"/>
      <c r="O35" s="160">
        <v>0</v>
      </c>
      <c r="P35" s="160">
        <v>0</v>
      </c>
      <c r="Q35" s="160">
        <v>0</v>
      </c>
      <c r="R35" s="160">
        <v>0.8</v>
      </c>
      <c r="S35" s="160">
        <v>0</v>
      </c>
      <c r="T35" s="160">
        <v>0</v>
      </c>
    </row>
    <row r="36" spans="1:74" ht="18.75" customHeight="1" outlineLevel="1">
      <c r="A36" s="144" t="s">
        <v>149</v>
      </c>
      <c r="B36" s="145"/>
      <c r="C36" s="1322">
        <v>0</v>
      </c>
      <c r="D36" s="1322">
        <v>0</v>
      </c>
      <c r="E36" s="1322">
        <v>0</v>
      </c>
      <c r="F36" s="1322">
        <v>0</v>
      </c>
      <c r="G36" s="1322">
        <v>1.4476699999999999E-4</v>
      </c>
      <c r="H36" s="1322">
        <v>0</v>
      </c>
      <c r="I36" s="596">
        <f>报告期历史数据!S34</f>
        <v>0</v>
      </c>
      <c r="J36" s="159"/>
      <c r="O36" s="160">
        <v>0</v>
      </c>
      <c r="P36" s="160">
        <v>0</v>
      </c>
      <c r="Q36" s="160">
        <v>0</v>
      </c>
      <c r="R36" s="160">
        <v>0</v>
      </c>
      <c r="S36" s="160">
        <v>1.4476699999999999E-4</v>
      </c>
      <c r="T36" s="160">
        <v>0</v>
      </c>
    </row>
    <row r="37" spans="1:74" ht="18.75" customHeight="1" outlineLevel="1">
      <c r="A37" s="145" t="s">
        <v>150</v>
      </c>
      <c r="B37" s="144"/>
      <c r="C37" s="1322">
        <v>0</v>
      </c>
      <c r="D37" s="1322">
        <v>0</v>
      </c>
      <c r="E37" s="1322">
        <v>0</v>
      </c>
      <c r="F37" s="1322">
        <v>0</v>
      </c>
      <c r="G37" s="1322">
        <v>1.4476699999999999E-4</v>
      </c>
      <c r="H37" s="1322">
        <v>0</v>
      </c>
      <c r="I37" s="596">
        <f>报告期历史数据!S35</f>
        <v>0</v>
      </c>
      <c r="J37" s="159"/>
      <c r="O37" s="160">
        <v>0</v>
      </c>
      <c r="P37" s="160">
        <v>0</v>
      </c>
      <c r="Q37" s="160">
        <v>0</v>
      </c>
      <c r="R37" s="160">
        <v>0</v>
      </c>
      <c r="S37" s="160">
        <v>1.4476699999999999E-4</v>
      </c>
      <c r="T37" s="160">
        <v>0</v>
      </c>
    </row>
    <row r="38" spans="1:74" ht="18.75" customHeight="1" outlineLevel="1">
      <c r="A38" s="145" t="s">
        <v>151</v>
      </c>
      <c r="B38" s="145"/>
      <c r="C38" s="1322">
        <v>0</v>
      </c>
      <c r="D38" s="1322">
        <v>0</v>
      </c>
      <c r="E38" s="1322">
        <v>0</v>
      </c>
      <c r="F38" s="1322">
        <v>0</v>
      </c>
      <c r="G38" s="1322">
        <v>1.4476699999999999E-4</v>
      </c>
      <c r="H38" s="1322">
        <v>0</v>
      </c>
      <c r="I38" s="596">
        <f>报告期历史数据!S36</f>
        <v>0</v>
      </c>
      <c r="J38" s="600"/>
      <c r="O38" s="160">
        <v>0</v>
      </c>
      <c r="P38" s="160">
        <v>0</v>
      </c>
      <c r="Q38" s="160">
        <v>0</v>
      </c>
      <c r="R38" s="160">
        <v>0</v>
      </c>
      <c r="S38" s="160">
        <v>1.4476699999999999E-4</v>
      </c>
      <c r="T38" s="160">
        <v>0</v>
      </c>
    </row>
    <row r="39" spans="1:74" ht="18.75" customHeight="1">
      <c r="A39" s="145"/>
      <c r="B39" s="145"/>
      <c r="C39" s="1322"/>
      <c r="D39" s="1322"/>
      <c r="E39" s="1322"/>
      <c r="F39" s="1322"/>
      <c r="G39" s="1322"/>
      <c r="H39" s="1322"/>
      <c r="J39" s="600"/>
    </row>
    <row r="40" spans="1:74" ht="18.75" customHeight="1">
      <c r="A40" s="172"/>
      <c r="B40" s="172"/>
      <c r="C40" s="1322"/>
      <c r="D40" s="1322"/>
      <c r="E40" s="1322"/>
      <c r="F40" s="1322"/>
      <c r="G40" s="1322"/>
      <c r="H40" s="1322"/>
      <c r="J40" s="600"/>
    </row>
    <row r="41" spans="1:74" ht="18.75" customHeight="1">
      <c r="A41" s="604" t="s">
        <v>657</v>
      </c>
      <c r="B41" s="172"/>
      <c r="C41" s="1322"/>
      <c r="D41" s="1322"/>
      <c r="E41" s="1322"/>
      <c r="F41" s="1322"/>
      <c r="G41" s="1322"/>
      <c r="H41" s="1322"/>
      <c r="J41" s="159"/>
    </row>
    <row r="42" spans="1:74" ht="18.75" customHeight="1" outlineLevel="1">
      <c r="A42" s="165" t="s">
        <v>933</v>
      </c>
      <c r="B42" s="172"/>
      <c r="C42" s="1322"/>
      <c r="D42" s="1322"/>
      <c r="E42" s="1322"/>
      <c r="F42" s="1322"/>
      <c r="G42" s="1322"/>
      <c r="H42" s="1322"/>
      <c r="J42" s="159"/>
    </row>
    <row r="43" spans="1:74" ht="18.75" customHeight="1" outlineLevel="1">
      <c r="A43" s="167" t="s">
        <v>939</v>
      </c>
      <c r="B43" s="483"/>
      <c r="C43" s="1322">
        <v>345.99767836000001</v>
      </c>
      <c r="D43" s="1322">
        <v>905.64100541999994</v>
      </c>
      <c r="E43" s="1322">
        <v>1100.96552367</v>
      </c>
      <c r="F43" s="1322">
        <v>1420.1496190099999</v>
      </c>
      <c r="G43" s="1322">
        <v>2189.35391622</v>
      </c>
      <c r="H43" s="1322">
        <v>2333.58753101</v>
      </c>
      <c r="J43" s="159"/>
      <c r="L43" s="832"/>
      <c r="O43" s="160">
        <v>345.99767836000001</v>
      </c>
      <c r="P43" s="160">
        <v>905.64100541999994</v>
      </c>
      <c r="Q43" s="160">
        <v>1100.96552367</v>
      </c>
      <c r="R43" s="160">
        <v>1420.1496190099999</v>
      </c>
      <c r="S43" s="160">
        <v>2189.35391622</v>
      </c>
      <c r="T43" s="160">
        <v>2333.58753101</v>
      </c>
      <c r="V43" s="976"/>
    </row>
    <row r="44" spans="1:74" ht="18.75" customHeight="1" outlineLevel="1">
      <c r="A44" s="158" t="s">
        <v>928</v>
      </c>
      <c r="B44" s="165"/>
      <c r="C44" s="1322">
        <v>0</v>
      </c>
      <c r="D44" s="1322">
        <v>584.92510415999993</v>
      </c>
      <c r="E44" s="1322">
        <v>0</v>
      </c>
      <c r="F44" s="1322">
        <v>217.19637222</v>
      </c>
      <c r="G44" s="1322">
        <v>5.4218209999999996E-2</v>
      </c>
      <c r="H44" s="1322">
        <v>74.012589969999993</v>
      </c>
      <c r="I44" s="159"/>
      <c r="J44" s="159"/>
      <c r="L44" s="832"/>
      <c r="O44" s="160">
        <v>0</v>
      </c>
      <c r="P44" s="160">
        <v>584.92510415999993</v>
      </c>
      <c r="Q44" s="160">
        <v>0</v>
      </c>
      <c r="R44" s="160">
        <v>217.19637222</v>
      </c>
      <c r="S44" s="160">
        <v>5.4218209999999996E-2</v>
      </c>
      <c r="T44" s="160">
        <v>74.012589969999993</v>
      </c>
    </row>
    <row r="45" spans="1:74" ht="18.75" customHeight="1" outlineLevel="1">
      <c r="A45" s="158" t="s">
        <v>2785</v>
      </c>
      <c r="B45" s="165"/>
      <c r="C45" s="1322">
        <v>0</v>
      </c>
      <c r="D45" s="1322">
        <v>0</v>
      </c>
      <c r="E45" s="1322">
        <v>0</v>
      </c>
      <c r="F45" s="1322">
        <v>0</v>
      </c>
      <c r="G45" s="1322">
        <v>0</v>
      </c>
      <c r="H45" s="1322">
        <v>0</v>
      </c>
      <c r="I45" s="159"/>
      <c r="J45" s="159"/>
      <c r="L45" s="832"/>
      <c r="O45" s="160">
        <v>0</v>
      </c>
      <c r="P45" s="160">
        <v>0</v>
      </c>
      <c r="Q45" s="160">
        <v>0</v>
      </c>
      <c r="R45" s="160">
        <v>0</v>
      </c>
      <c r="S45" s="160">
        <v>0</v>
      </c>
      <c r="T45" s="160">
        <v>0</v>
      </c>
    </row>
    <row r="46" spans="1:74" ht="18.75" customHeight="1" outlineLevel="1">
      <c r="A46" s="167" t="s">
        <v>2530</v>
      </c>
      <c r="B46" s="165"/>
      <c r="C46" s="1322">
        <v>198.94267625000001</v>
      </c>
      <c r="D46" s="1322">
        <v>198.33964404</v>
      </c>
      <c r="E46" s="1322">
        <v>504.12437187</v>
      </c>
      <c r="F46" s="1322">
        <v>608.26395978999994</v>
      </c>
      <c r="G46" s="1322">
        <v>682.40249487000006</v>
      </c>
      <c r="H46" s="1322">
        <v>209.23874165000001</v>
      </c>
      <c r="I46" s="159"/>
      <c r="J46" s="159"/>
      <c r="L46" s="832"/>
      <c r="O46" s="160">
        <v>198.94267625000001</v>
      </c>
      <c r="P46" s="160">
        <v>198.33964404</v>
      </c>
      <c r="Q46" s="160">
        <v>504.12437187</v>
      </c>
      <c r="R46" s="160">
        <v>608.26395978999994</v>
      </c>
      <c r="S46" s="160">
        <v>682.40249487000006</v>
      </c>
      <c r="T46" s="160">
        <v>209.23874165000001</v>
      </c>
    </row>
    <row r="47" spans="1:74" s="601" customFormat="1" ht="18.75" customHeight="1" outlineLevel="1">
      <c r="A47" s="167" t="s">
        <v>2747</v>
      </c>
      <c r="B47" s="165"/>
      <c r="C47" s="1322">
        <v>919.69540303999997</v>
      </c>
      <c r="D47" s="1322">
        <v>1441.6004765099999</v>
      </c>
      <c r="E47" s="1322">
        <v>1853.6687721300002</v>
      </c>
      <c r="F47" s="1322">
        <v>2388.3713627900001</v>
      </c>
      <c r="G47" s="1322">
        <v>3420.6924396300001</v>
      </c>
      <c r="H47" s="1322">
        <v>4668.4441491199996</v>
      </c>
      <c r="I47" s="159"/>
      <c r="J47" s="159"/>
      <c r="K47" s="160"/>
      <c r="L47" s="832"/>
      <c r="M47" s="160"/>
      <c r="N47" s="160"/>
      <c r="O47" s="160">
        <v>919.69540303999997</v>
      </c>
      <c r="P47" s="160">
        <v>1441.6004765099999</v>
      </c>
      <c r="Q47" s="160">
        <v>1853.6687721300002</v>
      </c>
      <c r="R47" s="160">
        <v>2388.3713627900001</v>
      </c>
      <c r="S47" s="160">
        <v>3420.6924396300001</v>
      </c>
      <c r="T47" s="160">
        <v>4668.4441491199996</v>
      </c>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c r="BH47" s="160"/>
      <c r="BI47" s="160"/>
      <c r="BJ47" s="160"/>
      <c r="BK47" s="160"/>
      <c r="BL47" s="160"/>
      <c r="BM47" s="160"/>
      <c r="BN47" s="160"/>
      <c r="BO47" s="160"/>
      <c r="BP47" s="160"/>
      <c r="BQ47" s="160"/>
      <c r="BR47" s="160"/>
      <c r="BS47" s="160"/>
      <c r="BT47" s="160"/>
      <c r="BU47" s="160"/>
      <c r="BV47" s="160"/>
    </row>
    <row r="48" spans="1:74" ht="18.75" hidden="1" customHeight="1" outlineLevel="1">
      <c r="A48" s="167" t="s">
        <v>1363</v>
      </c>
      <c r="B48" s="165"/>
      <c r="C48" s="1322">
        <v>0</v>
      </c>
      <c r="D48" s="1322">
        <v>0</v>
      </c>
      <c r="E48" s="1322">
        <v>0</v>
      </c>
      <c r="F48" s="1322">
        <v>0</v>
      </c>
      <c r="G48" s="1322">
        <v>0</v>
      </c>
      <c r="H48" s="1322">
        <v>0</v>
      </c>
      <c r="I48" s="159"/>
      <c r="J48" s="159"/>
      <c r="L48" s="832"/>
      <c r="O48" s="160">
        <v>0</v>
      </c>
      <c r="P48" s="160">
        <v>0</v>
      </c>
      <c r="Q48" s="160">
        <v>0</v>
      </c>
      <c r="R48" s="160">
        <v>0</v>
      </c>
      <c r="S48" s="160">
        <v>0</v>
      </c>
      <c r="T48" s="160">
        <v>0</v>
      </c>
    </row>
    <row r="49" spans="1:74" ht="18.75" hidden="1" customHeight="1" outlineLevel="1">
      <c r="A49" s="167" t="s">
        <v>1242</v>
      </c>
      <c r="B49" s="165"/>
      <c r="C49" s="1322">
        <v>0</v>
      </c>
      <c r="D49" s="1322">
        <v>0</v>
      </c>
      <c r="E49" s="1322">
        <v>0</v>
      </c>
      <c r="F49" s="1322">
        <v>0</v>
      </c>
      <c r="G49" s="1322">
        <v>0</v>
      </c>
      <c r="H49" s="1322">
        <v>0</v>
      </c>
      <c r="I49" s="159"/>
      <c r="J49" s="159"/>
      <c r="L49" s="832"/>
      <c r="O49" s="160">
        <v>0</v>
      </c>
      <c r="P49" s="160">
        <v>0</v>
      </c>
      <c r="Q49" s="160">
        <v>0</v>
      </c>
      <c r="R49" s="160">
        <v>0</v>
      </c>
      <c r="S49" s="160">
        <v>0</v>
      </c>
      <c r="T49" s="160">
        <v>0</v>
      </c>
    </row>
    <row r="50" spans="1:74" ht="18.75" customHeight="1" outlineLevel="1">
      <c r="A50" s="158" t="s">
        <v>2529</v>
      </c>
      <c r="B50" s="165"/>
      <c r="C50" s="1322">
        <v>1118.63807929</v>
      </c>
      <c r="D50" s="1322">
        <v>1639.9401205499998</v>
      </c>
      <c r="E50" s="1322">
        <v>2357.7931440000002</v>
      </c>
      <c r="F50" s="1322">
        <v>2996.6353225799999</v>
      </c>
      <c r="G50" s="1322">
        <v>4103.0949344999999</v>
      </c>
      <c r="H50" s="1322">
        <v>4877.6828907700001</v>
      </c>
      <c r="I50" s="159"/>
      <c r="J50" s="159"/>
      <c r="L50" s="832"/>
      <c r="O50" s="160">
        <v>1118.63807929</v>
      </c>
      <c r="P50" s="160">
        <v>1639.9401205499998</v>
      </c>
      <c r="Q50" s="160">
        <v>2357.7931440000002</v>
      </c>
      <c r="R50" s="160">
        <v>2996.6353225799999</v>
      </c>
      <c r="S50" s="160">
        <v>4103.0949344999999</v>
      </c>
      <c r="T50" s="160">
        <v>4877.6828907700001</v>
      </c>
    </row>
    <row r="51" spans="1:74" s="601" customFormat="1" ht="18.75" customHeight="1" outlineLevel="1">
      <c r="A51" s="158" t="s">
        <v>2786</v>
      </c>
      <c r="B51" s="165"/>
      <c r="C51" s="1322">
        <v>0</v>
      </c>
      <c r="D51" s="1322">
        <v>100.10192768</v>
      </c>
      <c r="E51" s="1322">
        <v>61.93058345</v>
      </c>
      <c r="F51" s="1322">
        <v>226.60601586000001</v>
      </c>
      <c r="G51" s="1322">
        <v>229.29043228999998</v>
      </c>
      <c r="H51" s="1322">
        <v>319.27647168999999</v>
      </c>
      <c r="I51" s="159"/>
      <c r="K51" s="160"/>
      <c r="L51" s="832"/>
      <c r="M51" s="160"/>
      <c r="N51" s="160"/>
      <c r="O51" s="160">
        <v>0</v>
      </c>
      <c r="P51" s="160">
        <v>100.10192768</v>
      </c>
      <c r="Q51" s="160">
        <v>61.93058345</v>
      </c>
      <c r="R51" s="160">
        <v>226.60601586000001</v>
      </c>
      <c r="S51" s="160">
        <v>229.29043228999998</v>
      </c>
      <c r="T51" s="160">
        <v>319.27647168999999</v>
      </c>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c r="BH51" s="160"/>
      <c r="BI51" s="160"/>
      <c r="BJ51" s="160"/>
      <c r="BK51" s="160"/>
      <c r="BL51" s="160"/>
      <c r="BM51" s="160"/>
      <c r="BN51" s="160"/>
      <c r="BO51" s="160"/>
      <c r="BP51" s="160"/>
      <c r="BQ51" s="160"/>
      <c r="BR51" s="160"/>
      <c r="BS51" s="160"/>
      <c r="BT51" s="160"/>
      <c r="BU51" s="160"/>
      <c r="BV51" s="160"/>
    </row>
    <row r="52" spans="1:74" s="601" customFormat="1" ht="18.75" customHeight="1" outlineLevel="1">
      <c r="A52" s="158" t="s">
        <v>2531</v>
      </c>
      <c r="B52" s="165"/>
      <c r="C52" s="1322">
        <v>29.964596320000002</v>
      </c>
      <c r="D52" s="1322">
        <v>147.69473619999999</v>
      </c>
      <c r="E52" s="1322">
        <v>156.62066966999998</v>
      </c>
      <c r="F52" s="1322">
        <v>135.12294227000001</v>
      </c>
      <c r="G52" s="1322">
        <v>279.69450638999996</v>
      </c>
      <c r="H52" s="1322">
        <v>286.87363082999997</v>
      </c>
      <c r="I52" s="159"/>
      <c r="J52" s="159"/>
      <c r="K52" s="160"/>
      <c r="L52" s="832"/>
      <c r="M52" s="160"/>
      <c r="N52" s="160"/>
      <c r="O52" s="160">
        <v>29.964596320000002</v>
      </c>
      <c r="P52" s="160">
        <v>147.69473619999999</v>
      </c>
      <c r="Q52" s="160">
        <v>156.62066966999998</v>
      </c>
      <c r="R52" s="160">
        <v>135.12294227000001</v>
      </c>
      <c r="S52" s="160">
        <v>279.69450638999996</v>
      </c>
      <c r="T52" s="160">
        <v>286.87363082999997</v>
      </c>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c r="BH52" s="160"/>
      <c r="BI52" s="160"/>
      <c r="BJ52" s="160"/>
      <c r="BK52" s="160"/>
      <c r="BL52" s="160"/>
      <c r="BM52" s="160"/>
      <c r="BN52" s="160"/>
      <c r="BO52" s="160"/>
      <c r="BP52" s="160"/>
      <c r="BQ52" s="160"/>
      <c r="BR52" s="160"/>
      <c r="BS52" s="160"/>
      <c r="BT52" s="160"/>
      <c r="BU52" s="160"/>
      <c r="BV52" s="160"/>
    </row>
    <row r="53" spans="1:74" s="601" customFormat="1" ht="18.75" customHeight="1" outlineLevel="1">
      <c r="A53" s="167" t="s">
        <v>634</v>
      </c>
      <c r="B53" s="165"/>
      <c r="C53" s="1322">
        <v>29.288199039999999</v>
      </c>
      <c r="D53" s="1322">
        <v>63.251528</v>
      </c>
      <c r="E53" s="1322">
        <v>88.378514540000012</v>
      </c>
      <c r="F53" s="1322">
        <v>150.91073331999999</v>
      </c>
      <c r="G53" s="1322">
        <v>156.05778677000001</v>
      </c>
      <c r="H53" s="1322">
        <v>138.46268200999998</v>
      </c>
      <c r="I53" s="159"/>
      <c r="J53" s="159"/>
      <c r="K53" s="160"/>
      <c r="L53" s="832"/>
      <c r="M53" s="160"/>
      <c r="N53" s="160"/>
      <c r="O53" s="160">
        <v>29.288199039999999</v>
      </c>
      <c r="P53" s="160">
        <v>63.251528</v>
      </c>
      <c r="Q53" s="160">
        <v>88.378514540000012</v>
      </c>
      <c r="R53" s="160">
        <v>150.91073331999999</v>
      </c>
      <c r="S53" s="160">
        <v>156.05778677000001</v>
      </c>
      <c r="T53" s="160">
        <v>138.46268200999998</v>
      </c>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c r="BH53" s="160"/>
      <c r="BI53" s="160"/>
      <c r="BJ53" s="160"/>
      <c r="BK53" s="160"/>
      <c r="BL53" s="160"/>
      <c r="BM53" s="160"/>
      <c r="BN53" s="160"/>
      <c r="BO53" s="160"/>
      <c r="BP53" s="160"/>
      <c r="BQ53" s="160"/>
      <c r="BR53" s="160"/>
      <c r="BS53" s="160"/>
      <c r="BT53" s="160"/>
      <c r="BU53" s="160"/>
      <c r="BV53" s="160"/>
    </row>
    <row r="54" spans="1:74" ht="18.75" customHeight="1" outlineLevel="1">
      <c r="A54" s="158" t="s">
        <v>1206</v>
      </c>
      <c r="B54" s="165"/>
      <c r="C54" s="1322">
        <v>219.68890333000002</v>
      </c>
      <c r="D54" s="1322">
        <v>303.24559275000001</v>
      </c>
      <c r="E54" s="1322">
        <v>287.05192177999999</v>
      </c>
      <c r="F54" s="1322">
        <v>339.79064145999996</v>
      </c>
      <c r="G54" s="1322">
        <v>403.83215932000002</v>
      </c>
      <c r="H54" s="1322">
        <v>554.36499835000006</v>
      </c>
      <c r="I54" s="159"/>
      <c r="J54" s="159"/>
      <c r="L54" s="832"/>
      <c r="O54" s="160">
        <v>219.68890333000002</v>
      </c>
      <c r="P54" s="160">
        <v>303.24559275000001</v>
      </c>
      <c r="Q54" s="160">
        <v>287.05192177999999</v>
      </c>
      <c r="R54" s="160">
        <v>339.79064145999996</v>
      </c>
      <c r="S54" s="160">
        <v>403.83215932000002</v>
      </c>
      <c r="T54" s="160">
        <v>554.36499835000006</v>
      </c>
    </row>
    <row r="55" spans="1:74" s="601" customFormat="1" ht="18.75" customHeight="1" outlineLevel="1">
      <c r="A55" s="158" t="s">
        <v>2772</v>
      </c>
      <c r="B55" s="165"/>
      <c r="C55" s="1322">
        <v>0</v>
      </c>
      <c r="D55" s="1322">
        <v>0</v>
      </c>
      <c r="E55" s="1322">
        <v>277.34186788</v>
      </c>
      <c r="F55" s="1322">
        <v>364.58548263</v>
      </c>
      <c r="G55" s="1322">
        <v>393.26869975</v>
      </c>
      <c r="H55" s="1322">
        <v>409.59265257999999</v>
      </c>
      <c r="I55" s="159"/>
      <c r="J55" s="159"/>
      <c r="K55" s="160"/>
      <c r="L55" s="832"/>
      <c r="M55" s="160"/>
      <c r="N55" s="160"/>
      <c r="O55" s="160">
        <v>0</v>
      </c>
      <c r="P55" s="160">
        <v>0</v>
      </c>
      <c r="Q55" s="160">
        <v>277.34186788</v>
      </c>
      <c r="R55" s="160">
        <v>364.58548263</v>
      </c>
      <c r="S55" s="160">
        <v>393.26869975</v>
      </c>
      <c r="T55" s="160">
        <v>409.59265257999999</v>
      </c>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c r="BH55" s="160"/>
      <c r="BI55" s="160"/>
      <c r="BJ55" s="160"/>
      <c r="BK55" s="160"/>
      <c r="BL55" s="160"/>
      <c r="BM55" s="160"/>
      <c r="BN55" s="160"/>
      <c r="BO55" s="160"/>
      <c r="BP55" s="160"/>
      <c r="BQ55" s="160"/>
      <c r="BR55" s="160"/>
      <c r="BS55" s="160"/>
      <c r="BT55" s="160"/>
      <c r="BU55" s="160"/>
      <c r="BV55" s="160"/>
    </row>
    <row r="56" spans="1:74" ht="18.75" customHeight="1" outlineLevel="1">
      <c r="A56" s="158" t="s">
        <v>2787</v>
      </c>
      <c r="B56" s="165"/>
      <c r="C56" s="1322">
        <v>0</v>
      </c>
      <c r="D56" s="1322">
        <v>0</v>
      </c>
      <c r="E56" s="1322">
        <v>0</v>
      </c>
      <c r="F56" s="1322">
        <v>0</v>
      </c>
      <c r="G56" s="1322">
        <v>0</v>
      </c>
      <c r="H56" s="1322">
        <v>0</v>
      </c>
      <c r="I56" s="598"/>
      <c r="J56" s="598"/>
      <c r="L56" s="832"/>
      <c r="O56" s="160">
        <v>0</v>
      </c>
      <c r="P56" s="160">
        <v>0</v>
      </c>
      <c r="Q56" s="160">
        <v>0</v>
      </c>
      <c r="R56" s="160">
        <v>0</v>
      </c>
      <c r="S56" s="160">
        <v>0</v>
      </c>
      <c r="T56" s="160">
        <v>0</v>
      </c>
    </row>
    <row r="57" spans="1:74" ht="18.75" customHeight="1" outlineLevel="1">
      <c r="A57" s="167" t="s">
        <v>1377</v>
      </c>
      <c r="B57" s="165"/>
      <c r="C57" s="1322">
        <v>0</v>
      </c>
      <c r="D57" s="1322">
        <v>0</v>
      </c>
      <c r="E57" s="1322">
        <v>0</v>
      </c>
      <c r="F57" s="1322">
        <v>0</v>
      </c>
      <c r="G57" s="1322">
        <v>0</v>
      </c>
      <c r="H57" s="1322">
        <v>0</v>
      </c>
      <c r="I57" s="159"/>
      <c r="J57" s="159"/>
      <c r="O57" s="160">
        <v>0</v>
      </c>
      <c r="P57" s="160">
        <v>0</v>
      </c>
      <c r="Q57" s="160">
        <v>0</v>
      </c>
      <c r="R57" s="160">
        <v>0</v>
      </c>
      <c r="S57" s="160">
        <v>0</v>
      </c>
      <c r="T57" s="160">
        <v>0</v>
      </c>
    </row>
    <row r="58" spans="1:74" s="602" customFormat="1" ht="18.75" customHeight="1" outlineLevel="1">
      <c r="A58" s="167" t="s">
        <v>1235</v>
      </c>
      <c r="B58" s="165"/>
      <c r="C58" s="1322">
        <v>68.858698079999996</v>
      </c>
      <c r="D58" s="1322">
        <v>61.022313479999994</v>
      </c>
      <c r="E58" s="1322">
        <v>122.62370715</v>
      </c>
      <c r="F58" s="1322">
        <v>237.41562565000001</v>
      </c>
      <c r="G58" s="1322">
        <v>478.40061567999999</v>
      </c>
      <c r="H58" s="1322">
        <v>499.32768232999996</v>
      </c>
      <c r="I58" s="159"/>
      <c r="J58" s="159"/>
      <c r="K58" s="160"/>
      <c r="L58" s="832"/>
      <c r="M58" s="160"/>
      <c r="N58" s="160"/>
      <c r="O58" s="160">
        <v>68.858698079999996</v>
      </c>
      <c r="P58" s="160">
        <v>61.022313479999994</v>
      </c>
      <c r="Q58" s="160">
        <v>122.62370715</v>
      </c>
      <c r="R58" s="160">
        <v>237.41562565000001</v>
      </c>
      <c r="S58" s="160">
        <v>478.40061567999999</v>
      </c>
      <c r="T58" s="160">
        <v>499.32768232999996</v>
      </c>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c r="BH58" s="160"/>
      <c r="BI58" s="160"/>
      <c r="BJ58" s="160"/>
      <c r="BK58" s="160"/>
      <c r="BL58" s="160"/>
      <c r="BM58" s="160"/>
      <c r="BN58" s="160"/>
      <c r="BO58" s="160"/>
      <c r="BP58" s="160"/>
      <c r="BQ58" s="160"/>
      <c r="BR58" s="160"/>
      <c r="BS58" s="160"/>
      <c r="BT58" s="160"/>
      <c r="BU58" s="160"/>
      <c r="BV58" s="160"/>
    </row>
    <row r="59" spans="1:74" ht="18.75" customHeight="1" outlineLevel="1">
      <c r="A59" s="165" t="s">
        <v>944</v>
      </c>
      <c r="B59" s="165"/>
      <c r="C59" s="1323">
        <v>1812.4361544200001</v>
      </c>
      <c r="D59" s="1323">
        <v>3805.8223282399999</v>
      </c>
      <c r="E59" s="1323">
        <v>4452.7059321400002</v>
      </c>
      <c r="F59" s="1323">
        <v>6088.4127550000003</v>
      </c>
      <c r="G59" s="1323">
        <v>8233.0472691300001</v>
      </c>
      <c r="H59" s="1323">
        <v>9493.1811295400003</v>
      </c>
      <c r="I59" s="159"/>
      <c r="J59" s="159"/>
      <c r="L59" s="832"/>
      <c r="O59" s="160">
        <v>1812.4361544200001</v>
      </c>
      <c r="P59" s="160">
        <v>3805.8223282399999</v>
      </c>
      <c r="Q59" s="160">
        <v>4452.7059321400002</v>
      </c>
      <c r="R59" s="160">
        <v>6088.4127550000003</v>
      </c>
      <c r="S59" s="160">
        <v>8233.0472691300001</v>
      </c>
      <c r="T59" s="160">
        <v>9493.1811295400003</v>
      </c>
    </row>
    <row r="60" spans="1:74" s="601" customFormat="1" ht="18.75" customHeight="1" outlineLevel="1">
      <c r="A60" s="165" t="s">
        <v>869</v>
      </c>
      <c r="B60" s="165"/>
      <c r="C60" s="1322"/>
      <c r="D60" s="1322"/>
      <c r="E60" s="1322"/>
      <c r="F60" s="1322"/>
      <c r="G60" s="1322"/>
      <c r="H60" s="1322"/>
      <c r="I60" s="159"/>
      <c r="J60" s="159"/>
      <c r="K60" s="160"/>
      <c r="L60" s="832"/>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c r="BH60" s="160"/>
      <c r="BI60" s="160"/>
      <c r="BJ60" s="160"/>
      <c r="BK60" s="160"/>
      <c r="BL60" s="160"/>
      <c r="BM60" s="160"/>
      <c r="BN60" s="160"/>
      <c r="BO60" s="160"/>
      <c r="BP60" s="160"/>
      <c r="BQ60" s="160"/>
      <c r="BR60" s="160"/>
      <c r="BS60" s="160"/>
      <c r="BT60" s="160"/>
      <c r="BU60" s="160"/>
      <c r="BV60" s="160"/>
    </row>
    <row r="61" spans="1:74" s="601" customFormat="1" ht="18.75" customHeight="1" outlineLevel="1">
      <c r="A61" s="167" t="s">
        <v>2788</v>
      </c>
      <c r="B61" s="165"/>
      <c r="C61" s="1322">
        <v>0</v>
      </c>
      <c r="D61" s="1322">
        <v>0</v>
      </c>
      <c r="E61" s="1322">
        <v>0</v>
      </c>
      <c r="F61" s="1322">
        <v>0</v>
      </c>
      <c r="G61" s="1322">
        <v>147.13758333999999</v>
      </c>
      <c r="H61" s="1322">
        <v>139.52350000000001</v>
      </c>
      <c r="I61" s="159"/>
      <c r="J61" s="159"/>
      <c r="K61" s="160"/>
      <c r="L61" s="832"/>
      <c r="M61" s="160"/>
      <c r="N61" s="160"/>
      <c r="O61" s="160">
        <v>0</v>
      </c>
      <c r="P61" s="160">
        <v>0</v>
      </c>
      <c r="Q61" s="160">
        <v>0</v>
      </c>
      <c r="R61" s="160">
        <v>0</v>
      </c>
      <c r="S61" s="160">
        <v>147.13758333999999</v>
      </c>
      <c r="T61" s="160">
        <v>139.52350000000001</v>
      </c>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c r="BH61" s="160"/>
      <c r="BI61" s="160"/>
      <c r="BJ61" s="160"/>
      <c r="BK61" s="160"/>
      <c r="BL61" s="160"/>
      <c r="BM61" s="160"/>
      <c r="BN61" s="160"/>
      <c r="BO61" s="160"/>
      <c r="BP61" s="160"/>
      <c r="BQ61" s="160"/>
      <c r="BR61" s="160"/>
      <c r="BS61" s="160"/>
      <c r="BT61" s="160"/>
      <c r="BU61" s="160"/>
      <c r="BV61" s="160"/>
    </row>
    <row r="62" spans="1:74" s="601" customFormat="1" ht="18.75" customHeight="1" outlineLevel="1">
      <c r="A62" s="167" t="s">
        <v>2789</v>
      </c>
      <c r="B62" s="165"/>
      <c r="C62" s="1322">
        <v>0</v>
      </c>
      <c r="D62" s="1322">
        <v>0</v>
      </c>
      <c r="E62" s="1322">
        <v>0</v>
      </c>
      <c r="F62" s="1322">
        <v>0</v>
      </c>
      <c r="G62" s="1322">
        <v>0</v>
      </c>
      <c r="H62" s="1322">
        <v>0</v>
      </c>
      <c r="I62" s="159"/>
      <c r="J62" s="159"/>
      <c r="K62" s="160"/>
      <c r="L62" s="832"/>
      <c r="M62" s="160"/>
      <c r="N62" s="160"/>
      <c r="O62" s="160">
        <v>0</v>
      </c>
      <c r="P62" s="160">
        <v>0</v>
      </c>
      <c r="Q62" s="160">
        <v>0</v>
      </c>
      <c r="R62" s="160">
        <v>0</v>
      </c>
      <c r="S62" s="160">
        <v>0</v>
      </c>
      <c r="T62" s="160">
        <v>0</v>
      </c>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c r="BH62" s="160"/>
      <c r="BI62" s="160"/>
      <c r="BJ62" s="160"/>
      <c r="BK62" s="160"/>
      <c r="BL62" s="160"/>
      <c r="BM62" s="160"/>
      <c r="BN62" s="160"/>
      <c r="BO62" s="160"/>
      <c r="BP62" s="160"/>
      <c r="BQ62" s="160"/>
      <c r="BR62" s="160"/>
      <c r="BS62" s="160"/>
      <c r="BT62" s="160"/>
      <c r="BU62" s="160"/>
      <c r="BV62" s="160"/>
    </row>
    <row r="63" spans="1:74" s="601" customFormat="1" ht="18.75" customHeight="1" outlineLevel="1">
      <c r="A63" s="167" t="s">
        <v>1252</v>
      </c>
      <c r="B63" s="165"/>
      <c r="C63" s="1322">
        <v>30</v>
      </c>
      <c r="D63" s="1322">
        <v>0</v>
      </c>
      <c r="E63" s="1322">
        <v>0</v>
      </c>
      <c r="F63" s="1322">
        <v>0</v>
      </c>
      <c r="G63" s="1322">
        <v>0</v>
      </c>
      <c r="H63" s="1322">
        <v>0</v>
      </c>
      <c r="I63" s="159"/>
      <c r="J63" s="159"/>
      <c r="K63" s="160"/>
      <c r="L63" s="832"/>
      <c r="M63" s="160"/>
      <c r="N63" s="160"/>
      <c r="O63" s="160">
        <v>30</v>
      </c>
      <c r="P63" s="160">
        <v>0</v>
      </c>
      <c r="Q63" s="160">
        <v>0</v>
      </c>
      <c r="R63" s="160">
        <v>0</v>
      </c>
      <c r="S63" s="160">
        <v>0</v>
      </c>
      <c r="T63" s="160">
        <v>0</v>
      </c>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c r="BH63" s="160"/>
      <c r="BI63" s="160"/>
      <c r="BJ63" s="160"/>
      <c r="BK63" s="160"/>
      <c r="BL63" s="160"/>
      <c r="BM63" s="160"/>
      <c r="BN63" s="160"/>
      <c r="BO63" s="160"/>
      <c r="BP63" s="160"/>
      <c r="BQ63" s="160"/>
      <c r="BR63" s="160"/>
      <c r="BS63" s="160"/>
      <c r="BT63" s="160"/>
      <c r="BU63" s="160"/>
      <c r="BV63" s="160"/>
    </row>
    <row r="64" spans="1:74" s="601" customFormat="1" ht="18.75" customHeight="1" outlineLevel="1">
      <c r="A64" s="167" t="s">
        <v>2791</v>
      </c>
      <c r="B64" s="165"/>
      <c r="C64" s="1322">
        <v>0</v>
      </c>
      <c r="D64" s="1322">
        <v>89.58</v>
      </c>
      <c r="E64" s="1322">
        <v>18.115979129999999</v>
      </c>
      <c r="F64" s="1322">
        <v>32.205050219999997</v>
      </c>
      <c r="G64" s="1322">
        <v>19.609246120000002</v>
      </c>
      <c r="H64" s="1322">
        <v>0</v>
      </c>
      <c r="I64" s="159"/>
      <c r="J64" s="159"/>
      <c r="K64" s="160"/>
      <c r="L64" s="832"/>
      <c r="M64" s="160"/>
      <c r="N64" s="160"/>
      <c r="O64" s="160">
        <v>0</v>
      </c>
      <c r="P64" s="160">
        <v>89.58</v>
      </c>
      <c r="Q64" s="160">
        <v>18.115979129999999</v>
      </c>
      <c r="R64" s="160">
        <v>32.205050219999997</v>
      </c>
      <c r="S64" s="160">
        <v>19.609246120000002</v>
      </c>
      <c r="T64" s="160">
        <v>0</v>
      </c>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c r="BH64" s="160"/>
      <c r="BI64" s="160"/>
      <c r="BJ64" s="160"/>
      <c r="BK64" s="160"/>
      <c r="BL64" s="160"/>
      <c r="BM64" s="160"/>
      <c r="BN64" s="160"/>
      <c r="BO64" s="160"/>
      <c r="BP64" s="160"/>
      <c r="BQ64" s="160"/>
      <c r="BR64" s="160"/>
      <c r="BS64" s="160"/>
      <c r="BT64" s="160"/>
      <c r="BU64" s="160"/>
      <c r="BV64" s="160"/>
    </row>
    <row r="65" spans="1:74" ht="18.75" customHeight="1" outlineLevel="1">
      <c r="A65" s="167" t="s">
        <v>980</v>
      </c>
      <c r="B65" s="165"/>
      <c r="C65" s="1322">
        <v>0</v>
      </c>
      <c r="D65" s="1322">
        <v>0</v>
      </c>
      <c r="E65" s="1322">
        <v>0</v>
      </c>
      <c r="F65" s="1322">
        <v>0</v>
      </c>
      <c r="G65" s="1322">
        <v>0</v>
      </c>
      <c r="H65" s="1322">
        <v>0</v>
      </c>
      <c r="I65" s="159"/>
      <c r="J65" s="159"/>
      <c r="L65" s="832"/>
      <c r="O65" s="160">
        <v>0</v>
      </c>
      <c r="P65" s="160">
        <v>0</v>
      </c>
      <c r="Q65" s="160">
        <v>0</v>
      </c>
      <c r="R65" s="160">
        <v>0</v>
      </c>
      <c r="S65" s="160">
        <v>0</v>
      </c>
      <c r="T65" s="160">
        <v>0</v>
      </c>
      <c r="V65" s="976"/>
    </row>
    <row r="66" spans="1:74" s="601" customFormat="1" ht="18.75" customHeight="1" outlineLevel="1">
      <c r="A66" s="167" t="s">
        <v>2792</v>
      </c>
      <c r="B66" s="165"/>
      <c r="C66" s="1322">
        <v>0</v>
      </c>
      <c r="D66" s="1322">
        <v>0</v>
      </c>
      <c r="E66" s="1322">
        <v>0</v>
      </c>
      <c r="F66" s="1322">
        <v>0</v>
      </c>
      <c r="G66" s="1322">
        <v>0</v>
      </c>
      <c r="H66" s="1322">
        <v>0</v>
      </c>
      <c r="I66" s="159"/>
      <c r="J66" s="159"/>
      <c r="K66" s="160"/>
      <c r="L66" s="832"/>
      <c r="M66" s="160"/>
      <c r="N66" s="160"/>
      <c r="O66" s="160">
        <v>0</v>
      </c>
      <c r="P66" s="160">
        <v>0</v>
      </c>
      <c r="Q66" s="160">
        <v>0</v>
      </c>
      <c r="R66" s="160">
        <v>0</v>
      </c>
      <c r="S66" s="160">
        <v>0</v>
      </c>
      <c r="T66" s="160">
        <v>0</v>
      </c>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c r="BP66" s="160"/>
      <c r="BQ66" s="160"/>
      <c r="BR66" s="160"/>
      <c r="BS66" s="160"/>
      <c r="BT66" s="160"/>
      <c r="BU66" s="160"/>
      <c r="BV66" s="160"/>
    </row>
    <row r="67" spans="1:74" ht="18.75" customHeight="1" outlineLevel="1">
      <c r="A67" s="167" t="s">
        <v>929</v>
      </c>
      <c r="B67" s="165"/>
      <c r="C67" s="1322">
        <v>0</v>
      </c>
      <c r="D67" s="1322">
        <v>0</v>
      </c>
      <c r="E67" s="1322">
        <v>0</v>
      </c>
      <c r="F67" s="1322">
        <v>0</v>
      </c>
      <c r="G67" s="1322">
        <v>0</v>
      </c>
      <c r="H67" s="1322">
        <v>101.52110451</v>
      </c>
      <c r="I67" s="159"/>
      <c r="J67" s="159"/>
      <c r="L67" s="832"/>
      <c r="O67" s="160">
        <v>0</v>
      </c>
      <c r="P67" s="160">
        <v>0</v>
      </c>
      <c r="Q67" s="160">
        <v>0</v>
      </c>
      <c r="R67" s="160">
        <v>0</v>
      </c>
      <c r="S67" s="160">
        <v>0</v>
      </c>
      <c r="T67" s="160">
        <v>101.52110451</v>
      </c>
    </row>
    <row r="68" spans="1:74" s="601" customFormat="1" ht="18.75" customHeight="1" outlineLevel="1">
      <c r="A68" s="158" t="s">
        <v>930</v>
      </c>
      <c r="B68" s="165"/>
      <c r="C68" s="1322">
        <v>0</v>
      </c>
      <c r="D68" s="1322">
        <v>0</v>
      </c>
      <c r="E68" s="1322">
        <v>0</v>
      </c>
      <c r="F68" s="1322">
        <v>0</v>
      </c>
      <c r="G68" s="1322">
        <v>24.483474050000002</v>
      </c>
      <c r="H68" s="1322">
        <v>32.961611179999998</v>
      </c>
      <c r="I68" s="159"/>
      <c r="J68" s="159"/>
      <c r="K68" s="160"/>
      <c r="L68" s="832"/>
      <c r="M68" s="160"/>
      <c r="N68" s="160"/>
      <c r="O68" s="160">
        <v>0</v>
      </c>
      <c r="P68" s="160">
        <v>0</v>
      </c>
      <c r="Q68" s="160">
        <v>0</v>
      </c>
      <c r="R68" s="160">
        <v>0</v>
      </c>
      <c r="S68" s="160">
        <v>24.483474050000002</v>
      </c>
      <c r="T68" s="160">
        <v>32.961611179999998</v>
      </c>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c r="BH68" s="160"/>
      <c r="BI68" s="160"/>
      <c r="BJ68" s="160"/>
      <c r="BK68" s="160"/>
      <c r="BL68" s="160"/>
      <c r="BM68" s="160"/>
      <c r="BN68" s="160"/>
      <c r="BO68" s="160"/>
      <c r="BP68" s="160"/>
      <c r="BQ68" s="160"/>
      <c r="BR68" s="160"/>
      <c r="BS68" s="160"/>
      <c r="BT68" s="160"/>
      <c r="BU68" s="160"/>
      <c r="BV68" s="160"/>
    </row>
    <row r="69" spans="1:74" s="601" customFormat="1" ht="18.75" customHeight="1" outlineLevel="1">
      <c r="A69" s="158" t="s">
        <v>1401</v>
      </c>
      <c r="B69" s="165"/>
      <c r="C69" s="1322">
        <v>344.71215820999998</v>
      </c>
      <c r="D69" s="1322">
        <v>530.33319089999998</v>
      </c>
      <c r="E69" s="1322">
        <v>723.69126173999996</v>
      </c>
      <c r="F69" s="1322">
        <v>1310.2637749600001</v>
      </c>
      <c r="G69" s="1322">
        <v>1681.3613859899999</v>
      </c>
      <c r="H69" s="1322">
        <v>1953.4169309599999</v>
      </c>
      <c r="I69" s="159"/>
      <c r="J69" s="159"/>
      <c r="K69" s="160"/>
      <c r="L69" s="832"/>
      <c r="M69" s="160"/>
      <c r="N69" s="160"/>
      <c r="O69" s="160">
        <v>344.71215820999998</v>
      </c>
      <c r="P69" s="160">
        <v>530.33319089999998</v>
      </c>
      <c r="Q69" s="160">
        <v>723.69126173999996</v>
      </c>
      <c r="R69" s="160">
        <v>1310.2637749600001</v>
      </c>
      <c r="S69" s="160">
        <v>1681.3613859899999</v>
      </c>
      <c r="T69" s="160">
        <v>1953.4169309599999</v>
      </c>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c r="BH69" s="160"/>
      <c r="BI69" s="160"/>
      <c r="BJ69" s="160"/>
      <c r="BK69" s="160"/>
      <c r="BL69" s="160"/>
      <c r="BM69" s="160"/>
      <c r="BN69" s="160"/>
      <c r="BO69" s="160"/>
      <c r="BP69" s="160"/>
      <c r="BQ69" s="160"/>
      <c r="BR69" s="160"/>
      <c r="BS69" s="160"/>
      <c r="BT69" s="160"/>
      <c r="BU69" s="160"/>
      <c r="BV69" s="160"/>
    </row>
    <row r="70" spans="1:74" s="601" customFormat="1" ht="18.75" customHeight="1" outlineLevel="1">
      <c r="A70" s="167" t="s">
        <v>902</v>
      </c>
      <c r="B70" s="165"/>
      <c r="C70" s="1322">
        <v>0</v>
      </c>
      <c r="D70" s="1322">
        <v>0</v>
      </c>
      <c r="E70" s="1322">
        <v>0</v>
      </c>
      <c r="F70" s="1322">
        <v>0</v>
      </c>
      <c r="G70" s="1322">
        <v>0</v>
      </c>
      <c r="H70" s="1322">
        <v>0</v>
      </c>
      <c r="I70" s="159"/>
      <c r="J70" s="159"/>
      <c r="K70" s="160"/>
      <c r="L70" s="832"/>
      <c r="M70" s="160"/>
      <c r="N70" s="160"/>
      <c r="O70" s="160">
        <v>0</v>
      </c>
      <c r="P70" s="160">
        <v>0</v>
      </c>
      <c r="Q70" s="160">
        <v>0</v>
      </c>
      <c r="R70" s="160">
        <v>0</v>
      </c>
      <c r="S70" s="160">
        <v>0</v>
      </c>
      <c r="T70" s="160">
        <v>0</v>
      </c>
      <c r="U70" s="160"/>
      <c r="V70" s="976"/>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c r="BH70" s="160"/>
      <c r="BI70" s="160"/>
      <c r="BJ70" s="160"/>
      <c r="BK70" s="160"/>
      <c r="BL70" s="160"/>
      <c r="BM70" s="160"/>
      <c r="BN70" s="160"/>
      <c r="BO70" s="160"/>
      <c r="BP70" s="160"/>
      <c r="BQ70" s="160"/>
      <c r="BR70" s="160"/>
      <c r="BS70" s="160"/>
      <c r="BT70" s="160"/>
      <c r="BU70" s="160"/>
      <c r="BV70" s="160"/>
    </row>
    <row r="71" spans="1:74" ht="18.75" customHeight="1" outlineLevel="1">
      <c r="A71" s="158" t="s">
        <v>1259</v>
      </c>
      <c r="B71" s="165"/>
      <c r="C71" s="1322">
        <v>209.09179740000002</v>
      </c>
      <c r="D71" s="1322">
        <v>318.13739208999999</v>
      </c>
      <c r="E71" s="1322">
        <v>504.32519667000003</v>
      </c>
      <c r="F71" s="1322">
        <v>369.26259205000002</v>
      </c>
      <c r="G71" s="1322">
        <v>266.38864294999996</v>
      </c>
      <c r="H71" s="1322">
        <v>159.04500887999998</v>
      </c>
      <c r="I71" s="159"/>
      <c r="J71" s="159"/>
      <c r="L71" s="832"/>
      <c r="O71" s="160">
        <v>209.09179740000002</v>
      </c>
      <c r="P71" s="160">
        <v>318.13739208999999</v>
      </c>
      <c r="Q71" s="160">
        <v>504.32519667000003</v>
      </c>
      <c r="R71" s="160">
        <v>369.26259205000002</v>
      </c>
      <c r="S71" s="160">
        <v>266.38864294999996</v>
      </c>
      <c r="T71" s="160">
        <v>159.04500887999998</v>
      </c>
      <c r="V71" s="976"/>
    </row>
    <row r="72" spans="1:74" s="601" customFormat="1" ht="18.75" customHeight="1" outlineLevel="1">
      <c r="A72" s="158" t="s">
        <v>2793</v>
      </c>
      <c r="B72" s="165"/>
      <c r="C72" s="1322">
        <v>0</v>
      </c>
      <c r="D72" s="1322">
        <v>0</v>
      </c>
      <c r="E72" s="1322">
        <v>0</v>
      </c>
      <c r="F72" s="1322">
        <v>18.577870539999999</v>
      </c>
      <c r="G72" s="1322">
        <v>19.665207809999998</v>
      </c>
      <c r="H72" s="1322">
        <v>42.679903590000002</v>
      </c>
      <c r="I72" s="159"/>
      <c r="K72" s="160"/>
      <c r="L72" s="832"/>
      <c r="M72" s="160"/>
      <c r="N72" s="160"/>
      <c r="O72" s="160">
        <v>0</v>
      </c>
      <c r="P72" s="160">
        <v>0</v>
      </c>
      <c r="Q72" s="160">
        <v>0</v>
      </c>
      <c r="R72" s="160">
        <v>18.577870539999999</v>
      </c>
      <c r="S72" s="160">
        <v>19.665207809999998</v>
      </c>
      <c r="T72" s="160">
        <v>42.679903590000002</v>
      </c>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c r="BH72" s="160"/>
      <c r="BI72" s="160"/>
      <c r="BJ72" s="160"/>
      <c r="BK72" s="160"/>
      <c r="BL72" s="160"/>
      <c r="BM72" s="160"/>
      <c r="BN72" s="160"/>
      <c r="BO72" s="160"/>
      <c r="BP72" s="160"/>
      <c r="BQ72" s="160"/>
      <c r="BR72" s="160"/>
      <c r="BS72" s="160"/>
      <c r="BT72" s="160"/>
      <c r="BU72" s="160"/>
      <c r="BV72" s="160"/>
    </row>
    <row r="73" spans="1:74" ht="18.75" customHeight="1" outlineLevel="1">
      <c r="A73" s="167" t="s">
        <v>911</v>
      </c>
      <c r="B73" s="165"/>
      <c r="C73" s="1322">
        <v>0</v>
      </c>
      <c r="D73" s="1322">
        <v>0</v>
      </c>
      <c r="E73" s="1322">
        <v>0.13</v>
      </c>
      <c r="F73" s="1322">
        <v>0.13</v>
      </c>
      <c r="G73" s="1322">
        <v>0</v>
      </c>
      <c r="H73" s="1322">
        <v>0</v>
      </c>
      <c r="I73" s="159"/>
      <c r="J73" s="159"/>
      <c r="L73" s="832"/>
      <c r="O73" s="160">
        <v>0</v>
      </c>
      <c r="P73" s="160">
        <v>0</v>
      </c>
      <c r="Q73" s="160">
        <v>0.13</v>
      </c>
      <c r="R73" s="160">
        <v>0.13</v>
      </c>
      <c r="S73" s="160">
        <v>0</v>
      </c>
      <c r="T73" s="160">
        <v>0</v>
      </c>
    </row>
    <row r="74" spans="1:74" ht="18.75" customHeight="1" outlineLevel="1">
      <c r="A74" s="158" t="s">
        <v>903</v>
      </c>
      <c r="B74" s="165"/>
      <c r="C74" s="1322">
        <v>0</v>
      </c>
      <c r="D74" s="1322">
        <v>0</v>
      </c>
      <c r="E74" s="1322">
        <v>0</v>
      </c>
      <c r="F74" s="1322">
        <v>0</v>
      </c>
      <c r="G74" s="1322">
        <v>0</v>
      </c>
      <c r="H74" s="1322">
        <v>0</v>
      </c>
      <c r="I74" s="159"/>
      <c r="J74" s="159"/>
      <c r="L74" s="832"/>
      <c r="O74" s="160">
        <v>0</v>
      </c>
      <c r="P74" s="160">
        <v>0</v>
      </c>
      <c r="Q74" s="160">
        <v>0</v>
      </c>
      <c r="R74" s="160">
        <v>0</v>
      </c>
      <c r="S74" s="160">
        <v>0</v>
      </c>
      <c r="T74" s="160">
        <v>0</v>
      </c>
    </row>
    <row r="75" spans="1:74" ht="18.75" customHeight="1" outlineLevel="1">
      <c r="A75" s="158" t="s">
        <v>1261</v>
      </c>
      <c r="B75" s="165"/>
      <c r="C75" s="1322">
        <v>0</v>
      </c>
      <c r="D75" s="1322">
        <v>0</v>
      </c>
      <c r="E75" s="1322">
        <v>0</v>
      </c>
      <c r="F75" s="1322">
        <v>0</v>
      </c>
      <c r="G75" s="1322">
        <v>0</v>
      </c>
      <c r="H75" s="1322">
        <v>0</v>
      </c>
      <c r="I75" s="598"/>
      <c r="J75" s="598"/>
      <c r="L75" s="832"/>
      <c r="O75" s="160">
        <v>0</v>
      </c>
      <c r="P75" s="160">
        <v>0</v>
      </c>
      <c r="Q75" s="160">
        <v>0</v>
      </c>
      <c r="R75" s="160">
        <v>0</v>
      </c>
      <c r="S75" s="160">
        <v>0</v>
      </c>
      <c r="T75" s="160">
        <v>0</v>
      </c>
      <c r="V75" s="976"/>
    </row>
    <row r="76" spans="1:74" ht="18.75" customHeight="1" outlineLevel="1">
      <c r="A76" s="158" t="s">
        <v>1263</v>
      </c>
      <c r="B76" s="165"/>
      <c r="C76" s="1322">
        <v>114.29724726000001</v>
      </c>
      <c r="D76" s="1322">
        <v>120.77895501</v>
      </c>
      <c r="E76" s="1322">
        <v>139.13985438999998</v>
      </c>
      <c r="F76" s="1322">
        <v>147.32765318</v>
      </c>
      <c r="G76" s="1322">
        <v>144.34393381999999</v>
      </c>
      <c r="H76" s="1322">
        <v>288.30196711000002</v>
      </c>
      <c r="I76" s="159"/>
      <c r="J76" s="159"/>
      <c r="O76" s="160">
        <v>114.29724726000001</v>
      </c>
      <c r="P76" s="160">
        <v>120.77895501</v>
      </c>
      <c r="Q76" s="160">
        <v>139.13985438999998</v>
      </c>
      <c r="R76" s="160">
        <v>147.32765318</v>
      </c>
      <c r="S76" s="160">
        <v>144.34393381999999</v>
      </c>
      <c r="T76" s="160">
        <v>288.30196711000002</v>
      </c>
    </row>
    <row r="77" spans="1:74" s="602" customFormat="1" ht="18.75" customHeight="1" outlineLevel="1">
      <c r="A77" s="167" t="s">
        <v>1265</v>
      </c>
      <c r="B77" s="165"/>
      <c r="C77" s="1322">
        <v>0</v>
      </c>
      <c r="D77" s="1322">
        <v>0</v>
      </c>
      <c r="E77" s="1322">
        <v>0</v>
      </c>
      <c r="F77" s="1322">
        <v>0</v>
      </c>
      <c r="G77" s="1322">
        <v>0</v>
      </c>
      <c r="H77" s="1322">
        <v>0</v>
      </c>
      <c r="I77" s="159"/>
      <c r="J77" s="159"/>
      <c r="K77" s="160"/>
      <c r="L77" s="832"/>
      <c r="M77" s="160"/>
      <c r="N77" s="160"/>
      <c r="O77" s="160">
        <v>0</v>
      </c>
      <c r="P77" s="160">
        <v>0</v>
      </c>
      <c r="Q77" s="160">
        <v>0</v>
      </c>
      <c r="R77" s="160">
        <v>0</v>
      </c>
      <c r="S77" s="160">
        <v>0</v>
      </c>
      <c r="T77" s="160">
        <v>0</v>
      </c>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c r="BH77" s="160"/>
      <c r="BI77" s="160"/>
      <c r="BJ77" s="160"/>
      <c r="BK77" s="160"/>
      <c r="BL77" s="160"/>
      <c r="BM77" s="160"/>
      <c r="BN77" s="160"/>
      <c r="BO77" s="160"/>
      <c r="BP77" s="160"/>
      <c r="BQ77" s="160"/>
      <c r="BR77" s="160"/>
      <c r="BS77" s="160"/>
      <c r="BT77" s="160"/>
      <c r="BU77" s="160"/>
      <c r="BV77" s="160"/>
    </row>
    <row r="78" spans="1:74" s="599" customFormat="1" ht="18.75" customHeight="1" outlineLevel="1">
      <c r="A78" s="158" t="s">
        <v>1266</v>
      </c>
      <c r="B78" s="165"/>
      <c r="C78" s="1322">
        <v>0</v>
      </c>
      <c r="D78" s="1322">
        <v>0</v>
      </c>
      <c r="E78" s="1322">
        <v>0</v>
      </c>
      <c r="F78" s="1322">
        <v>0</v>
      </c>
      <c r="G78" s="1322">
        <v>0</v>
      </c>
      <c r="H78" s="1322">
        <v>101.09582881</v>
      </c>
      <c r="I78" s="159"/>
      <c r="J78" s="159"/>
      <c r="K78" s="160"/>
      <c r="L78" s="160"/>
      <c r="M78" s="160"/>
      <c r="N78" s="160"/>
      <c r="O78" s="160">
        <v>0</v>
      </c>
      <c r="P78" s="160">
        <v>0</v>
      </c>
      <c r="Q78" s="160">
        <v>0</v>
      </c>
      <c r="R78" s="160">
        <v>0</v>
      </c>
      <c r="S78" s="160">
        <v>0</v>
      </c>
      <c r="T78" s="160">
        <v>101.09582881</v>
      </c>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c r="BH78" s="160"/>
      <c r="BI78" s="160"/>
      <c r="BJ78" s="160"/>
      <c r="BK78" s="160"/>
      <c r="BL78" s="160"/>
      <c r="BM78" s="160"/>
      <c r="BN78" s="160"/>
      <c r="BO78" s="160"/>
      <c r="BP78" s="160"/>
      <c r="BQ78" s="160"/>
      <c r="BR78" s="160"/>
      <c r="BS78" s="160"/>
      <c r="BT78" s="160"/>
      <c r="BU78" s="160"/>
      <c r="BV78" s="160"/>
    </row>
    <row r="79" spans="1:74" s="602" customFormat="1" ht="18.75" customHeight="1" outlineLevel="1">
      <c r="A79" s="167" t="s">
        <v>1268</v>
      </c>
      <c r="B79" s="165"/>
      <c r="C79" s="1322">
        <v>2.0927113500000001</v>
      </c>
      <c r="D79" s="1322">
        <v>1.6114001100000002</v>
      </c>
      <c r="E79" s="1322">
        <v>2.2652026800000002</v>
      </c>
      <c r="F79" s="1322">
        <v>3.69568707</v>
      </c>
      <c r="G79" s="1322">
        <v>1.7412196100000001</v>
      </c>
      <c r="H79" s="1322">
        <v>2.45744118</v>
      </c>
      <c r="I79" s="159"/>
      <c r="J79" s="159"/>
      <c r="K79" s="160"/>
      <c r="L79" s="832"/>
      <c r="M79" s="160"/>
      <c r="N79" s="160"/>
      <c r="O79" s="160">
        <v>2.0927113500000001</v>
      </c>
      <c r="P79" s="160">
        <v>1.6114001100000002</v>
      </c>
      <c r="Q79" s="160">
        <v>2.2652026800000002</v>
      </c>
      <c r="R79" s="160">
        <v>3.69568707</v>
      </c>
      <c r="S79" s="160">
        <v>1.7412196100000001</v>
      </c>
      <c r="T79" s="160">
        <v>2.45744118</v>
      </c>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c r="BH79" s="160"/>
      <c r="BI79" s="160"/>
      <c r="BJ79" s="160"/>
      <c r="BK79" s="160"/>
      <c r="BL79" s="160"/>
      <c r="BM79" s="160"/>
      <c r="BN79" s="160"/>
      <c r="BO79" s="160"/>
      <c r="BP79" s="160"/>
      <c r="BQ79" s="160"/>
      <c r="BR79" s="160"/>
      <c r="BS79" s="160"/>
      <c r="BT79" s="160"/>
      <c r="BU79" s="160"/>
      <c r="BV79" s="160"/>
    </row>
    <row r="80" spans="1:74" s="599" customFormat="1" ht="18.75" customHeight="1" outlineLevel="1">
      <c r="A80" s="167" t="s">
        <v>908</v>
      </c>
      <c r="B80" s="165"/>
      <c r="C80" s="1322">
        <v>0</v>
      </c>
      <c r="D80" s="1322">
        <v>0</v>
      </c>
      <c r="E80" s="1322">
        <v>0</v>
      </c>
      <c r="F80" s="1322">
        <v>0</v>
      </c>
      <c r="G80" s="1322">
        <v>0</v>
      </c>
      <c r="H80" s="1322">
        <v>0</v>
      </c>
      <c r="I80" s="159"/>
      <c r="J80" s="159"/>
      <c r="K80" s="160"/>
      <c r="L80" s="832"/>
      <c r="M80" s="160"/>
      <c r="N80" s="160"/>
      <c r="O80" s="160">
        <v>0</v>
      </c>
      <c r="P80" s="160">
        <v>0</v>
      </c>
      <c r="Q80" s="160">
        <v>0</v>
      </c>
      <c r="R80" s="160">
        <v>0</v>
      </c>
      <c r="S80" s="160">
        <v>0</v>
      </c>
      <c r="T80" s="160">
        <v>0</v>
      </c>
      <c r="U80" s="160"/>
      <c r="V80" s="976"/>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c r="BH80" s="160"/>
      <c r="BI80" s="160"/>
      <c r="BJ80" s="160"/>
      <c r="BK80" s="160"/>
      <c r="BL80" s="160"/>
      <c r="BM80" s="160"/>
      <c r="BN80" s="160"/>
      <c r="BO80" s="160"/>
      <c r="BP80" s="160"/>
      <c r="BQ80" s="160"/>
      <c r="BR80" s="160"/>
      <c r="BS80" s="160"/>
      <c r="BT80" s="160"/>
      <c r="BU80" s="160"/>
      <c r="BV80" s="160"/>
    </row>
    <row r="81" spans="1:74" ht="18.75" customHeight="1" outlineLevel="1">
      <c r="A81" s="167" t="s">
        <v>909</v>
      </c>
      <c r="B81" s="165"/>
      <c r="C81" s="1322">
        <v>32.132332390000002</v>
      </c>
      <c r="D81" s="1322">
        <v>56.109602119999998</v>
      </c>
      <c r="E81" s="1322">
        <v>111.72724604999999</v>
      </c>
      <c r="F81" s="1322">
        <v>180.1339705</v>
      </c>
      <c r="G81" s="1322">
        <v>175.10562186999999</v>
      </c>
      <c r="H81" s="1322">
        <v>218.83819929000001</v>
      </c>
      <c r="I81" s="159"/>
      <c r="J81" s="159"/>
      <c r="L81" s="832"/>
      <c r="O81" s="160">
        <v>32.132332390000002</v>
      </c>
      <c r="P81" s="160">
        <v>56.109602119999998</v>
      </c>
      <c r="Q81" s="160">
        <v>111.72724604999999</v>
      </c>
      <c r="R81" s="160">
        <v>180.1339705</v>
      </c>
      <c r="S81" s="160">
        <v>175.10562186999999</v>
      </c>
      <c r="T81" s="160">
        <v>218.83819929000001</v>
      </c>
    </row>
    <row r="82" spans="1:74" ht="18.75" customHeight="1" outlineLevel="1">
      <c r="A82" s="167" t="s">
        <v>913</v>
      </c>
      <c r="B82" s="165"/>
      <c r="C82" s="1322">
        <v>0.72</v>
      </c>
      <c r="D82" s="1322">
        <v>1.2363</v>
      </c>
      <c r="E82" s="1322">
        <v>23.376109589999999</v>
      </c>
      <c r="F82" s="1322">
        <v>15.24312374</v>
      </c>
      <c r="G82" s="1322">
        <v>76.606523690000003</v>
      </c>
      <c r="H82" s="1322">
        <v>106.37376504000001</v>
      </c>
      <c r="I82" s="159"/>
      <c r="J82" s="159"/>
      <c r="L82" s="832"/>
      <c r="O82" s="160">
        <v>0.72</v>
      </c>
      <c r="P82" s="160">
        <v>1.2363</v>
      </c>
      <c r="Q82" s="160">
        <v>23.376109589999999</v>
      </c>
      <c r="R82" s="160">
        <v>15.24312374</v>
      </c>
      <c r="S82" s="160">
        <v>76.606523690000003</v>
      </c>
      <c r="T82" s="160">
        <v>106.37376504000001</v>
      </c>
    </row>
    <row r="83" spans="1:74" ht="18.75" customHeight="1" outlineLevel="1">
      <c r="A83" s="165" t="s">
        <v>934</v>
      </c>
      <c r="B83" s="165"/>
      <c r="C83" s="1323">
        <v>733.04624661000003</v>
      </c>
      <c r="D83" s="1323">
        <v>1117.7868402300001</v>
      </c>
      <c r="E83" s="1323">
        <v>1522.6408502500001</v>
      </c>
      <c r="F83" s="1323">
        <v>2076.70972226</v>
      </c>
      <c r="G83" s="1323">
        <v>2556.4428392499999</v>
      </c>
      <c r="H83" s="1323">
        <v>3146.21526055</v>
      </c>
      <c r="I83" s="159"/>
      <c r="J83" s="159"/>
      <c r="L83" s="832"/>
      <c r="O83" s="160">
        <v>733.04624661000003</v>
      </c>
      <c r="P83" s="160">
        <v>1117.7868402300001</v>
      </c>
      <c r="Q83" s="160">
        <v>1522.6408502500001</v>
      </c>
      <c r="R83" s="160">
        <v>2076.70972226</v>
      </c>
      <c r="S83" s="160">
        <v>2556.4428392499999</v>
      </c>
      <c r="T83" s="160">
        <v>3146.21526055</v>
      </c>
    </row>
    <row r="84" spans="1:74" ht="18.75" customHeight="1" outlineLevel="1">
      <c r="A84" s="184" t="s">
        <v>870</v>
      </c>
      <c r="B84" s="165"/>
      <c r="C84" s="1322"/>
      <c r="D84" s="1322"/>
      <c r="E84" s="1322"/>
      <c r="F84" s="1322"/>
      <c r="G84" s="1322"/>
      <c r="H84" s="1322"/>
      <c r="I84" s="159"/>
      <c r="J84" s="159"/>
      <c r="L84" s="832"/>
    </row>
    <row r="85" spans="1:74" ht="18.75" customHeight="1" outlineLevel="1">
      <c r="A85" s="165" t="s">
        <v>935</v>
      </c>
      <c r="B85" s="165"/>
      <c r="C85" s="1324">
        <v>2545.4824010300003</v>
      </c>
      <c r="D85" s="1324">
        <v>4923.6091684700004</v>
      </c>
      <c r="E85" s="1324">
        <v>5975.34678239</v>
      </c>
      <c r="F85" s="1324">
        <v>8165.1224772599999</v>
      </c>
      <c r="G85" s="1324">
        <v>10789.49010838</v>
      </c>
      <c r="H85" s="1324">
        <v>12639.39639009</v>
      </c>
      <c r="I85" s="159"/>
      <c r="J85" s="159"/>
      <c r="L85" s="832"/>
      <c r="O85" s="160">
        <v>2545.4824010300003</v>
      </c>
      <c r="P85" s="160">
        <v>4923.6091684700004</v>
      </c>
      <c r="Q85" s="160">
        <v>5975.34678239</v>
      </c>
      <c r="R85" s="160">
        <v>8165.1224772599999</v>
      </c>
      <c r="S85" s="160">
        <v>10789.49010838</v>
      </c>
      <c r="T85" s="160">
        <v>12639.39639009</v>
      </c>
    </row>
    <row r="86" spans="1:74" ht="18.75" customHeight="1" outlineLevel="1">
      <c r="A86" s="184" t="s">
        <v>871</v>
      </c>
      <c r="B86" s="165"/>
      <c r="C86" s="1323"/>
      <c r="D86" s="1323"/>
      <c r="E86" s="1323"/>
      <c r="F86" s="1323"/>
      <c r="G86" s="1322"/>
      <c r="H86" s="1323"/>
      <c r="I86" s="159"/>
      <c r="J86" s="159"/>
      <c r="L86" s="832"/>
      <c r="V86" s="976"/>
    </row>
    <row r="87" spans="1:74" ht="18.75" customHeight="1" outlineLevel="1">
      <c r="A87" s="167" t="s">
        <v>1239</v>
      </c>
      <c r="B87" s="165"/>
      <c r="C87" s="1322">
        <v>153</v>
      </c>
      <c r="D87" s="1322">
        <v>286.71851020999998</v>
      </c>
      <c r="E87" s="1322">
        <v>510.76333983999996</v>
      </c>
      <c r="F87" s="1322">
        <v>659.19128383999998</v>
      </c>
      <c r="G87" s="1322">
        <v>595.51845549999996</v>
      </c>
      <c r="H87" s="1322">
        <v>1161.9753268099998</v>
      </c>
      <c r="I87" s="159"/>
      <c r="J87" s="159"/>
      <c r="L87" s="832"/>
      <c r="O87" s="160">
        <v>153</v>
      </c>
      <c r="P87" s="160">
        <v>286.71851020999998</v>
      </c>
      <c r="Q87" s="160">
        <v>510.76333983999996</v>
      </c>
      <c r="R87" s="160">
        <v>659.19128383999998</v>
      </c>
      <c r="S87" s="160">
        <v>595.51845549999996</v>
      </c>
      <c r="T87" s="160">
        <v>1161.9753268099998</v>
      </c>
    </row>
    <row r="88" spans="1:74" ht="18.75" customHeight="1" outlineLevel="1">
      <c r="A88" s="167" t="s">
        <v>1269</v>
      </c>
      <c r="B88" s="165"/>
      <c r="C88" s="1322">
        <v>0</v>
      </c>
      <c r="D88" s="1322">
        <v>0</v>
      </c>
      <c r="E88" s="1322">
        <v>0</v>
      </c>
      <c r="F88" s="1322">
        <v>0</v>
      </c>
      <c r="G88" s="1322">
        <v>0</v>
      </c>
      <c r="H88" s="1322">
        <v>0</v>
      </c>
      <c r="I88" s="159"/>
      <c r="J88" s="159"/>
      <c r="L88" s="832"/>
      <c r="O88" s="160">
        <v>0</v>
      </c>
      <c r="P88" s="160">
        <v>0</v>
      </c>
      <c r="Q88" s="160">
        <v>0</v>
      </c>
      <c r="R88" s="160">
        <v>0</v>
      </c>
      <c r="S88" s="160">
        <v>0</v>
      </c>
      <c r="T88" s="160">
        <v>0</v>
      </c>
    </row>
    <row r="89" spans="1:74" ht="18.75" customHeight="1" outlineLevel="1">
      <c r="A89" s="167" t="s">
        <v>2794</v>
      </c>
      <c r="B89" s="165"/>
      <c r="C89" s="1322">
        <v>0</v>
      </c>
      <c r="D89" s="1322">
        <v>0</v>
      </c>
      <c r="E89" s="1322">
        <v>0</v>
      </c>
      <c r="F89" s="1322">
        <v>0</v>
      </c>
      <c r="G89" s="1322">
        <v>0</v>
      </c>
      <c r="H89" s="1322">
        <v>0</v>
      </c>
      <c r="I89" s="159"/>
      <c r="J89" s="159"/>
      <c r="L89" s="832"/>
      <c r="O89" s="160">
        <v>0</v>
      </c>
      <c r="P89" s="160">
        <v>0</v>
      </c>
      <c r="Q89" s="160">
        <v>0</v>
      </c>
      <c r="R89" s="160">
        <v>0</v>
      </c>
      <c r="S89" s="160">
        <v>0</v>
      </c>
      <c r="T89" s="160">
        <v>0</v>
      </c>
    </row>
    <row r="90" spans="1:74" ht="18.75" customHeight="1" outlineLevel="1">
      <c r="A90" s="167" t="s">
        <v>1236</v>
      </c>
      <c r="B90" s="165"/>
      <c r="C90" s="1322">
        <v>299.29391779000002</v>
      </c>
      <c r="D90" s="1322">
        <v>583.97580605999997</v>
      </c>
      <c r="E90" s="1322">
        <v>764.64001441999994</v>
      </c>
      <c r="F90" s="1322">
        <v>924.59193949999997</v>
      </c>
      <c r="G90" s="1322">
        <v>1982.96374745</v>
      </c>
      <c r="H90" s="1322">
        <v>1824.1881965</v>
      </c>
      <c r="I90" s="159"/>
      <c r="J90" s="159"/>
      <c r="L90" s="832"/>
      <c r="O90" s="160">
        <v>299.29391779000002</v>
      </c>
      <c r="P90" s="160">
        <v>583.97580605999997</v>
      </c>
      <c r="Q90" s="160">
        <v>764.64001441999994</v>
      </c>
      <c r="R90" s="160">
        <v>924.59193949999997</v>
      </c>
      <c r="S90" s="160">
        <v>1982.96374745</v>
      </c>
      <c r="T90" s="160">
        <v>1824.1881965</v>
      </c>
    </row>
    <row r="91" spans="1:74" ht="18.75" customHeight="1" outlineLevel="1">
      <c r="A91" s="167" t="s">
        <v>2748</v>
      </c>
      <c r="B91" s="165"/>
      <c r="C91" s="1322">
        <v>429.36135695999997</v>
      </c>
      <c r="D91" s="1322">
        <v>585.71479798999997</v>
      </c>
      <c r="E91" s="1322">
        <v>819.36405148000006</v>
      </c>
      <c r="F91" s="1322">
        <v>1086.5534146099999</v>
      </c>
      <c r="G91" s="1322">
        <v>1441.7348217000001</v>
      </c>
      <c r="H91" s="1322">
        <v>1790.4355490299999</v>
      </c>
      <c r="I91" s="159"/>
      <c r="J91" s="159"/>
      <c r="L91" s="832"/>
      <c r="O91" s="160">
        <v>429.36135695999997</v>
      </c>
      <c r="P91" s="160">
        <v>585.71479798999997</v>
      </c>
      <c r="Q91" s="160">
        <v>819.36405148000006</v>
      </c>
      <c r="R91" s="160">
        <v>1086.5534146099999</v>
      </c>
      <c r="S91" s="160">
        <v>1441.7348217000001</v>
      </c>
      <c r="T91" s="160">
        <v>1790.4355490299999</v>
      </c>
      <c r="V91" s="976"/>
    </row>
    <row r="92" spans="1:74" ht="18.75" customHeight="1" outlineLevel="1">
      <c r="A92" s="167" t="s">
        <v>2532</v>
      </c>
      <c r="B92" s="165"/>
      <c r="C92" s="1322">
        <v>728.65527474999999</v>
      </c>
      <c r="D92" s="1322">
        <v>1169.69060405</v>
      </c>
      <c r="E92" s="1322">
        <v>1584.0040659000001</v>
      </c>
      <c r="F92" s="1322">
        <v>2011.14535411</v>
      </c>
      <c r="G92" s="1322">
        <v>3424.6985691499999</v>
      </c>
      <c r="H92" s="1322">
        <v>3614.6237455300002</v>
      </c>
      <c r="I92" s="159"/>
      <c r="J92" s="159"/>
      <c r="L92" s="832"/>
      <c r="O92" s="160">
        <v>728.65527474999999</v>
      </c>
      <c r="P92" s="160">
        <v>1169.69060405</v>
      </c>
      <c r="Q92" s="160">
        <v>1584.0040659000001</v>
      </c>
      <c r="R92" s="160">
        <v>2011.14535411</v>
      </c>
      <c r="S92" s="160">
        <v>3424.6985691499999</v>
      </c>
      <c r="T92" s="160">
        <v>3614.6237455300002</v>
      </c>
    </row>
    <row r="93" spans="1:74" ht="18.75" customHeight="1" outlineLevel="1">
      <c r="A93" s="167" t="s">
        <v>635</v>
      </c>
      <c r="B93" s="165"/>
      <c r="C93" s="1322">
        <v>54.915374130000004</v>
      </c>
      <c r="D93" s="1322">
        <v>135.1631849</v>
      </c>
      <c r="E93" s="1322">
        <v>0</v>
      </c>
      <c r="F93" s="1322">
        <v>0</v>
      </c>
      <c r="G93" s="1322">
        <v>0</v>
      </c>
      <c r="H93" s="1322">
        <v>0</v>
      </c>
      <c r="I93" s="598"/>
      <c r="J93" s="598"/>
      <c r="L93" s="832"/>
      <c r="O93" s="160">
        <v>54.915374130000004</v>
      </c>
      <c r="P93" s="160">
        <v>135.1631849</v>
      </c>
      <c r="Q93" s="160">
        <v>0</v>
      </c>
      <c r="R93" s="160">
        <v>0</v>
      </c>
      <c r="S93" s="160">
        <v>0</v>
      </c>
      <c r="T93" s="160">
        <v>0</v>
      </c>
    </row>
    <row r="94" spans="1:74" ht="18.75" customHeight="1" outlineLevel="1">
      <c r="A94" s="167" t="s">
        <v>2795</v>
      </c>
      <c r="B94" s="165"/>
      <c r="C94" s="1322">
        <v>0</v>
      </c>
      <c r="D94" s="1322">
        <v>0</v>
      </c>
      <c r="E94" s="1322">
        <v>116.01423120999999</v>
      </c>
      <c r="F94" s="1322">
        <v>235.12773419999999</v>
      </c>
      <c r="G94" s="1322">
        <v>342.35697177999998</v>
      </c>
      <c r="H94" s="1322">
        <v>389.80979294000002</v>
      </c>
      <c r="I94" s="159"/>
      <c r="J94" s="159"/>
      <c r="O94" s="160">
        <v>0</v>
      </c>
      <c r="P94" s="160">
        <v>0</v>
      </c>
      <c r="Q94" s="160">
        <v>116.01423120999999</v>
      </c>
      <c r="R94" s="160">
        <v>235.12773419999999</v>
      </c>
      <c r="S94" s="160">
        <v>342.35697177999998</v>
      </c>
      <c r="T94" s="160">
        <v>389.80979294000002</v>
      </c>
    </row>
    <row r="95" spans="1:74" s="602" customFormat="1" ht="18.75" customHeight="1" outlineLevel="1">
      <c r="A95" s="167" t="s">
        <v>936</v>
      </c>
      <c r="B95" s="165"/>
      <c r="C95" s="1322">
        <v>43.121252560000002</v>
      </c>
      <c r="D95" s="1322">
        <v>66.565953190000002</v>
      </c>
      <c r="E95" s="1322">
        <v>97.031073669999998</v>
      </c>
      <c r="F95" s="1322">
        <v>133.32870431000001</v>
      </c>
      <c r="G95" s="1322">
        <v>131.00957848000002</v>
      </c>
      <c r="H95" s="1322">
        <v>103.80260558000001</v>
      </c>
      <c r="I95" s="159"/>
      <c r="J95" s="159"/>
      <c r="K95" s="160"/>
      <c r="L95" s="832"/>
      <c r="M95" s="160"/>
      <c r="N95" s="160"/>
      <c r="O95" s="160">
        <v>43.121252560000002</v>
      </c>
      <c r="P95" s="160">
        <v>66.565953190000002</v>
      </c>
      <c r="Q95" s="160">
        <v>97.031073669999998</v>
      </c>
      <c r="R95" s="160">
        <v>133.32870431000001</v>
      </c>
      <c r="S95" s="160">
        <v>131.00957848000002</v>
      </c>
      <c r="T95" s="160">
        <v>103.80260558000001</v>
      </c>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c r="BH95" s="160"/>
      <c r="BI95" s="160"/>
      <c r="BJ95" s="160"/>
      <c r="BK95" s="160"/>
      <c r="BL95" s="160"/>
      <c r="BM95" s="160"/>
      <c r="BN95" s="160"/>
      <c r="BO95" s="160"/>
      <c r="BP95" s="160"/>
      <c r="BQ95" s="160"/>
      <c r="BR95" s="160"/>
      <c r="BS95" s="160"/>
      <c r="BT95" s="160"/>
      <c r="BU95" s="160"/>
      <c r="BV95" s="160"/>
    </row>
    <row r="96" spans="1:74" s="599" customFormat="1" ht="18.75" hidden="1" customHeight="1" outlineLevel="1">
      <c r="A96" s="167" t="s">
        <v>937</v>
      </c>
      <c r="B96" s="165"/>
      <c r="C96" s="1322">
        <v>0</v>
      </c>
      <c r="D96" s="1322">
        <v>5.2249999999999996E-3</v>
      </c>
      <c r="E96" s="1322">
        <v>5.2249999999999996E-3</v>
      </c>
      <c r="F96" s="1322">
        <v>5.2249999999999996E-3</v>
      </c>
      <c r="G96" s="1322">
        <v>0</v>
      </c>
      <c r="H96" s="1322">
        <v>0</v>
      </c>
      <c r="I96" s="159"/>
      <c r="J96" s="159"/>
      <c r="K96" s="160"/>
      <c r="L96" s="832"/>
      <c r="M96" s="160"/>
      <c r="N96" s="160"/>
      <c r="O96" s="160">
        <v>0</v>
      </c>
      <c r="P96" s="160">
        <v>5.2249999999999996E-3</v>
      </c>
      <c r="Q96" s="160">
        <v>5.2249999999999996E-3</v>
      </c>
      <c r="R96" s="160">
        <v>5.2249999999999996E-3</v>
      </c>
      <c r="S96" s="160">
        <v>0</v>
      </c>
      <c r="T96" s="160">
        <v>0</v>
      </c>
      <c r="U96" s="160"/>
      <c r="V96" s="976"/>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c r="BH96" s="160"/>
      <c r="BI96" s="160"/>
      <c r="BJ96" s="160"/>
      <c r="BK96" s="160"/>
      <c r="BL96" s="160"/>
      <c r="BM96" s="160"/>
      <c r="BN96" s="160"/>
      <c r="BO96" s="160"/>
      <c r="BP96" s="160"/>
      <c r="BQ96" s="160"/>
      <c r="BR96" s="160"/>
      <c r="BS96" s="160"/>
      <c r="BT96" s="160"/>
      <c r="BU96" s="160"/>
      <c r="BV96" s="160"/>
    </row>
    <row r="97" spans="1:74" ht="18.75" customHeight="1" outlineLevel="1">
      <c r="A97" s="167" t="s">
        <v>632</v>
      </c>
      <c r="B97" s="165"/>
      <c r="C97" s="1322">
        <v>28.082651579999997</v>
      </c>
      <c r="D97" s="1322">
        <v>45.711320780000001</v>
      </c>
      <c r="E97" s="1322">
        <v>79.78226592</v>
      </c>
      <c r="F97" s="1322">
        <v>113.66805642</v>
      </c>
      <c r="G97" s="1322">
        <v>74.914306089999997</v>
      </c>
      <c r="H97" s="1322">
        <v>48.82855043</v>
      </c>
      <c r="I97" s="159"/>
      <c r="J97" s="159"/>
      <c r="L97" s="832"/>
      <c r="O97" s="160">
        <v>28.082651579999997</v>
      </c>
      <c r="P97" s="160">
        <v>45.711320780000001</v>
      </c>
      <c r="Q97" s="160">
        <v>79.78226592</v>
      </c>
      <c r="R97" s="160">
        <v>113.66805642</v>
      </c>
      <c r="S97" s="160">
        <v>74.914306089999997</v>
      </c>
      <c r="T97" s="160">
        <v>48.82855043</v>
      </c>
    </row>
    <row r="98" spans="1:74" ht="18.75" customHeight="1" outlineLevel="1">
      <c r="A98" s="167" t="s">
        <v>2796</v>
      </c>
      <c r="B98" s="165"/>
      <c r="C98" s="1322">
        <v>0.26807819999999999</v>
      </c>
      <c r="D98" s="1322">
        <v>0</v>
      </c>
      <c r="E98" s="1322">
        <v>0</v>
      </c>
      <c r="F98" s="1322">
        <v>0</v>
      </c>
      <c r="G98" s="1322">
        <v>0</v>
      </c>
      <c r="H98" s="1322">
        <v>0</v>
      </c>
      <c r="I98" s="159"/>
      <c r="J98" s="159"/>
      <c r="L98" s="832"/>
      <c r="O98" s="160">
        <v>0.26807819999999999</v>
      </c>
      <c r="P98" s="160">
        <v>0</v>
      </c>
      <c r="Q98" s="160">
        <v>0</v>
      </c>
      <c r="R98" s="160">
        <v>0</v>
      </c>
      <c r="S98" s="160">
        <v>0</v>
      </c>
      <c r="T98" s="160">
        <v>0</v>
      </c>
    </row>
    <row r="99" spans="1:74" ht="18.75" hidden="1" customHeight="1" outlineLevel="1">
      <c r="A99" s="167" t="s">
        <v>1274</v>
      </c>
      <c r="B99" s="165"/>
      <c r="C99" s="1322">
        <v>0</v>
      </c>
      <c r="D99" s="1322">
        <v>0</v>
      </c>
      <c r="E99" s="1322">
        <v>0</v>
      </c>
      <c r="F99" s="1322">
        <v>0</v>
      </c>
      <c r="G99" s="1322">
        <v>0</v>
      </c>
      <c r="H99" s="1322">
        <v>0</v>
      </c>
      <c r="I99" s="159"/>
      <c r="J99" s="159"/>
      <c r="L99" s="832"/>
      <c r="O99" s="160">
        <v>0</v>
      </c>
      <c r="P99" s="160">
        <v>0</v>
      </c>
      <c r="Q99" s="160">
        <v>0</v>
      </c>
      <c r="R99" s="160">
        <v>0</v>
      </c>
      <c r="S99" s="160">
        <v>0</v>
      </c>
      <c r="T99" s="160">
        <v>0</v>
      </c>
    </row>
    <row r="100" spans="1:74" ht="18.75" customHeight="1" outlineLevel="1">
      <c r="A100" s="167" t="s">
        <v>2533</v>
      </c>
      <c r="B100" s="165"/>
      <c r="C100" s="1322">
        <v>59.63513949</v>
      </c>
      <c r="D100" s="1322">
        <v>126.75621274</v>
      </c>
      <c r="E100" s="1322">
        <v>218.45996815999999</v>
      </c>
      <c r="F100" s="1322">
        <v>192.13872108999999</v>
      </c>
      <c r="G100" s="1322">
        <v>174.84511971000001</v>
      </c>
      <c r="H100" s="1322">
        <v>215.83231194000001</v>
      </c>
      <c r="I100" s="159"/>
      <c r="J100" s="159"/>
      <c r="L100" s="832"/>
      <c r="O100" s="160">
        <v>59.63513949</v>
      </c>
      <c r="P100" s="160">
        <v>126.75621274</v>
      </c>
      <c r="Q100" s="160">
        <v>218.45996815999999</v>
      </c>
      <c r="R100" s="160">
        <v>192.13872108999999</v>
      </c>
      <c r="S100" s="160">
        <v>174.84511971000001</v>
      </c>
      <c r="T100" s="160">
        <v>215.83231194000001</v>
      </c>
    </row>
    <row r="101" spans="1:74" ht="18.75" customHeight="1" outlineLevel="1">
      <c r="A101" s="167" t="s">
        <v>1277</v>
      </c>
      <c r="B101" s="165"/>
      <c r="C101" s="1322">
        <v>0</v>
      </c>
      <c r="D101" s="1322">
        <v>0</v>
      </c>
      <c r="E101" s="1322">
        <v>0</v>
      </c>
      <c r="F101" s="1322">
        <v>0</v>
      </c>
      <c r="G101" s="1322">
        <v>0</v>
      </c>
      <c r="H101" s="1322">
        <v>0</v>
      </c>
      <c r="I101" s="159"/>
      <c r="J101" s="159"/>
      <c r="L101" s="832"/>
      <c r="O101" s="160">
        <v>0</v>
      </c>
      <c r="P101" s="160">
        <v>0</v>
      </c>
      <c r="Q101" s="160">
        <v>0</v>
      </c>
      <c r="R101" s="160">
        <v>0</v>
      </c>
      <c r="S101" s="160">
        <v>0</v>
      </c>
      <c r="T101" s="160">
        <v>0</v>
      </c>
    </row>
    <row r="102" spans="1:74" ht="18.75" customHeight="1" outlineLevel="1">
      <c r="A102" s="167" t="s">
        <v>1378</v>
      </c>
      <c r="B102" s="165"/>
      <c r="C102" s="1322">
        <v>3.8812528799999999</v>
      </c>
      <c r="D102" s="1322">
        <v>35.944653439999996</v>
      </c>
      <c r="E102" s="1322">
        <v>21.633062640000002</v>
      </c>
      <c r="F102" s="1322">
        <v>32.750740190000002</v>
      </c>
      <c r="G102" s="1322">
        <v>90.693011680000012</v>
      </c>
      <c r="H102" s="1322">
        <v>540.9064181</v>
      </c>
      <c r="I102" s="598"/>
      <c r="J102" s="598"/>
      <c r="L102" s="832"/>
      <c r="O102" s="160">
        <v>3.8812528799999999</v>
      </c>
      <c r="P102" s="160">
        <v>35.944653439999996</v>
      </c>
      <c r="Q102" s="160">
        <v>21.633062640000002</v>
      </c>
      <c r="R102" s="160">
        <v>32.750740190000002</v>
      </c>
      <c r="S102" s="160">
        <v>90.693011680000012</v>
      </c>
      <c r="T102" s="160">
        <v>540.9064181</v>
      </c>
    </row>
    <row r="103" spans="1:74" ht="18.75" customHeight="1" outlineLevel="1">
      <c r="A103" s="167" t="s">
        <v>1287</v>
      </c>
      <c r="B103" s="165"/>
      <c r="C103" s="1322">
        <v>0</v>
      </c>
      <c r="D103" s="1322">
        <v>0</v>
      </c>
      <c r="E103" s="1322">
        <v>114.74209792000001</v>
      </c>
      <c r="F103" s="1322">
        <v>369.66927443999998</v>
      </c>
      <c r="G103" s="1322">
        <v>24.072084589999999</v>
      </c>
      <c r="H103" s="1322">
        <v>32.731616029999998</v>
      </c>
      <c r="I103" s="159"/>
      <c r="J103" s="159"/>
      <c r="L103" s="832"/>
      <c r="O103" s="160">
        <v>0</v>
      </c>
      <c r="P103" s="160">
        <v>0</v>
      </c>
      <c r="Q103" s="160">
        <v>114.74209792000001</v>
      </c>
      <c r="R103" s="160">
        <v>369.66927443999998</v>
      </c>
      <c r="S103" s="160">
        <v>24.072084589999999</v>
      </c>
      <c r="T103" s="160">
        <v>32.731616029999998</v>
      </c>
    </row>
    <row r="104" spans="1:74" s="602" customFormat="1" ht="18.75" customHeight="1" outlineLevel="1">
      <c r="A104" s="165" t="s">
        <v>960</v>
      </c>
      <c r="B104" s="165"/>
      <c r="C104" s="1323">
        <v>1071.2909453899999</v>
      </c>
      <c r="D104" s="1323">
        <v>1866.55043931</v>
      </c>
      <c r="E104" s="1323">
        <v>2742.4301052600003</v>
      </c>
      <c r="F104" s="1323">
        <v>3747.0198685999999</v>
      </c>
      <c r="G104" s="1323">
        <v>4858.1080969799996</v>
      </c>
      <c r="H104" s="1323">
        <v>6108.5103673599997</v>
      </c>
      <c r="I104" s="159"/>
      <c r="J104" s="159"/>
      <c r="K104" s="160"/>
      <c r="L104" s="832"/>
      <c r="M104" s="160"/>
      <c r="N104" s="160"/>
      <c r="O104" s="160">
        <v>1071.2909453899999</v>
      </c>
      <c r="P104" s="160">
        <v>1866.55043931</v>
      </c>
      <c r="Q104" s="160">
        <v>2742.4301052600003</v>
      </c>
      <c r="R104" s="160">
        <v>3747.0198685999999</v>
      </c>
      <c r="S104" s="160">
        <v>4858.1080969799996</v>
      </c>
      <c r="T104" s="160">
        <v>6108.5103673599997</v>
      </c>
      <c r="U104" s="160"/>
      <c r="V104" s="976"/>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c r="BH104" s="160"/>
      <c r="BI104" s="160"/>
      <c r="BJ104" s="160"/>
      <c r="BK104" s="160"/>
      <c r="BL104" s="160"/>
      <c r="BM104" s="160"/>
      <c r="BN104" s="160"/>
      <c r="BO104" s="160"/>
      <c r="BP104" s="160"/>
      <c r="BQ104" s="160"/>
      <c r="BR104" s="160"/>
      <c r="BS104" s="160"/>
      <c r="BT104" s="160"/>
      <c r="BU104" s="160"/>
      <c r="BV104" s="160"/>
    </row>
    <row r="105" spans="1:74" s="599" customFormat="1" ht="18.75" customHeight="1" outlineLevel="1">
      <c r="A105" s="165" t="s">
        <v>872</v>
      </c>
      <c r="B105" s="165"/>
      <c r="C105" s="1322"/>
      <c r="D105" s="1322"/>
      <c r="E105" s="1322"/>
      <c r="F105" s="1322"/>
      <c r="G105" s="1322"/>
      <c r="H105" s="1322"/>
      <c r="I105" s="159"/>
      <c r="J105" s="159"/>
      <c r="K105" s="160"/>
      <c r="L105" s="832"/>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c r="BH105" s="160"/>
      <c r="BI105" s="160"/>
      <c r="BJ105" s="160"/>
      <c r="BK105" s="160"/>
      <c r="BL105" s="160"/>
      <c r="BM105" s="160"/>
      <c r="BN105" s="160"/>
      <c r="BO105" s="160"/>
      <c r="BP105" s="160"/>
      <c r="BQ105" s="160"/>
      <c r="BR105" s="160"/>
      <c r="BS105" s="160"/>
      <c r="BT105" s="160"/>
      <c r="BU105" s="160"/>
      <c r="BV105" s="160"/>
    </row>
    <row r="106" spans="1:74" s="602" customFormat="1" ht="18.75" customHeight="1" outlineLevel="1">
      <c r="A106" s="167" t="s">
        <v>1288</v>
      </c>
      <c r="B106" s="165"/>
      <c r="C106" s="1322">
        <v>17.943042670000001</v>
      </c>
      <c r="D106" s="1322">
        <v>126.28847298999999</v>
      </c>
      <c r="E106" s="1322">
        <v>73.709260549999996</v>
      </c>
      <c r="F106" s="1322">
        <v>211.37730328999999</v>
      </c>
      <c r="G106" s="1322">
        <v>856.58881897000003</v>
      </c>
      <c r="H106" s="1322">
        <v>708.48547254999994</v>
      </c>
      <c r="I106" s="159"/>
      <c r="J106" s="159"/>
      <c r="K106" s="160"/>
      <c r="L106" s="832"/>
      <c r="M106" s="160"/>
      <c r="N106" s="160"/>
      <c r="O106" s="160">
        <v>17.943042670000001</v>
      </c>
      <c r="P106" s="160">
        <v>126.28847298999999</v>
      </c>
      <c r="Q106" s="160">
        <v>73.709260549999996</v>
      </c>
      <c r="R106" s="160">
        <v>211.37730328999999</v>
      </c>
      <c r="S106" s="160">
        <v>856.58881897000003</v>
      </c>
      <c r="T106" s="160">
        <v>708.48547254999994</v>
      </c>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c r="BH106" s="160"/>
      <c r="BI106" s="160"/>
      <c r="BJ106" s="160"/>
      <c r="BK106" s="160"/>
      <c r="BL106" s="160"/>
      <c r="BM106" s="160"/>
      <c r="BN106" s="160"/>
      <c r="BO106" s="160"/>
      <c r="BP106" s="160"/>
      <c r="BQ106" s="160"/>
      <c r="BR106" s="160"/>
      <c r="BS106" s="160"/>
      <c r="BT106" s="160"/>
      <c r="BU106" s="160"/>
      <c r="BV106" s="160"/>
    </row>
    <row r="107" spans="1:74" s="599" customFormat="1" ht="18.75" customHeight="1" outlineLevel="1">
      <c r="A107" s="167" t="s">
        <v>1289</v>
      </c>
      <c r="B107" s="165"/>
      <c r="C107" s="1322">
        <v>0</v>
      </c>
      <c r="D107" s="1322">
        <v>0</v>
      </c>
      <c r="E107" s="1322">
        <v>0</v>
      </c>
      <c r="F107" s="1322">
        <v>0</v>
      </c>
      <c r="G107" s="1322">
        <v>0</v>
      </c>
      <c r="H107" s="1322">
        <v>0</v>
      </c>
      <c r="I107" s="159"/>
      <c r="J107" s="159"/>
      <c r="K107" s="160"/>
      <c r="L107" s="832"/>
      <c r="M107" s="160"/>
      <c r="N107" s="160"/>
      <c r="O107" s="160">
        <v>0</v>
      </c>
      <c r="P107" s="160">
        <v>0</v>
      </c>
      <c r="Q107" s="160">
        <v>0</v>
      </c>
      <c r="R107" s="160">
        <v>0</v>
      </c>
      <c r="S107" s="160">
        <v>0</v>
      </c>
      <c r="T107" s="160">
        <v>0</v>
      </c>
      <c r="U107" s="160"/>
      <c r="V107" s="976"/>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c r="BH107" s="160"/>
      <c r="BI107" s="160"/>
      <c r="BJ107" s="160"/>
      <c r="BK107" s="160"/>
      <c r="BL107" s="160"/>
      <c r="BM107" s="160"/>
      <c r="BN107" s="160"/>
      <c r="BO107" s="160"/>
      <c r="BP107" s="160"/>
      <c r="BQ107" s="160"/>
      <c r="BR107" s="160"/>
      <c r="BS107" s="160"/>
      <c r="BT107" s="160"/>
      <c r="BU107" s="160"/>
      <c r="BV107" s="160"/>
    </row>
    <row r="108" spans="1:74" ht="18.75" customHeight="1" outlineLevel="1">
      <c r="A108" s="167" t="s">
        <v>2797</v>
      </c>
      <c r="B108" s="165"/>
      <c r="C108" s="1322">
        <v>0</v>
      </c>
      <c r="D108" s="1322">
        <v>0</v>
      </c>
      <c r="E108" s="1322">
        <v>0</v>
      </c>
      <c r="F108" s="1322">
        <v>10.820055029999999</v>
      </c>
      <c r="G108" s="1322">
        <v>10.031441019999999</v>
      </c>
      <c r="H108" s="1322">
        <v>7.97619262</v>
      </c>
      <c r="I108" s="149"/>
      <c r="J108" s="149"/>
      <c r="K108" s="149"/>
      <c r="L108" s="832"/>
      <c r="M108" s="149"/>
      <c r="N108" s="149"/>
      <c r="O108" s="160">
        <v>0</v>
      </c>
      <c r="P108" s="160">
        <v>0</v>
      </c>
      <c r="Q108" s="160">
        <v>0</v>
      </c>
      <c r="R108" s="160">
        <v>10.820055029999999</v>
      </c>
      <c r="S108" s="160">
        <v>10.031441019999999</v>
      </c>
      <c r="T108" s="160">
        <v>7.97619262</v>
      </c>
    </row>
    <row r="109" spans="1:74" ht="18.75" customHeight="1" outlineLevel="1">
      <c r="A109" s="167" t="s">
        <v>1290</v>
      </c>
      <c r="B109" s="165"/>
      <c r="C109" s="1322">
        <v>0</v>
      </c>
      <c r="D109" s="1322">
        <v>0</v>
      </c>
      <c r="E109" s="1322">
        <v>0</v>
      </c>
      <c r="F109" s="1322">
        <v>0</v>
      </c>
      <c r="G109" s="1322">
        <v>0</v>
      </c>
      <c r="H109" s="1322">
        <v>0</v>
      </c>
      <c r="I109" s="159"/>
      <c r="J109" s="159"/>
      <c r="L109" s="832"/>
      <c r="O109" s="160">
        <v>0</v>
      </c>
      <c r="P109" s="160">
        <v>0</v>
      </c>
      <c r="Q109" s="160">
        <v>0</v>
      </c>
      <c r="R109" s="160">
        <v>0</v>
      </c>
      <c r="S109" s="160">
        <v>0</v>
      </c>
      <c r="T109" s="160">
        <v>0</v>
      </c>
    </row>
    <row r="110" spans="1:74" ht="18.75" customHeight="1" outlineLevel="1">
      <c r="A110" s="167" t="s">
        <v>1036</v>
      </c>
      <c r="B110" s="165"/>
      <c r="C110" s="1322">
        <v>0</v>
      </c>
      <c r="D110" s="1322">
        <v>0</v>
      </c>
      <c r="E110" s="1322">
        <v>0</v>
      </c>
      <c r="F110" s="1322">
        <v>0</v>
      </c>
      <c r="G110" s="1322">
        <v>0</v>
      </c>
      <c r="H110" s="1322">
        <v>0</v>
      </c>
      <c r="I110" s="159"/>
      <c r="J110" s="159"/>
      <c r="L110" s="832"/>
      <c r="O110" s="160">
        <v>0</v>
      </c>
      <c r="P110" s="160">
        <v>0</v>
      </c>
      <c r="Q110" s="160">
        <v>0</v>
      </c>
      <c r="R110" s="160">
        <v>0</v>
      </c>
      <c r="S110" s="160">
        <v>0</v>
      </c>
      <c r="T110" s="160">
        <v>0</v>
      </c>
    </row>
    <row r="111" spans="1:74" ht="18.75" customHeight="1" outlineLevel="1">
      <c r="A111" s="167" t="s">
        <v>917</v>
      </c>
      <c r="B111" s="165"/>
      <c r="C111" s="1322">
        <v>11.80061177</v>
      </c>
      <c r="D111" s="1322">
        <v>18.411667619999999</v>
      </c>
      <c r="E111" s="1322">
        <v>26.436019010000003</v>
      </c>
      <c r="F111" s="1322">
        <v>40.489262490000002</v>
      </c>
      <c r="G111" s="1322">
        <v>65.091196390000007</v>
      </c>
      <c r="H111" s="1322">
        <v>97.583334340000008</v>
      </c>
      <c r="I111" s="159"/>
      <c r="J111" s="159"/>
      <c r="L111" s="832"/>
      <c r="O111" s="160">
        <v>11.80061177</v>
      </c>
      <c r="P111" s="160">
        <v>18.411667619999999</v>
      </c>
      <c r="Q111" s="160">
        <v>26.436019010000003</v>
      </c>
      <c r="R111" s="160">
        <v>40.489262490000002</v>
      </c>
      <c r="S111" s="160">
        <v>65.091196390000007</v>
      </c>
      <c r="T111" s="160">
        <v>97.583334340000008</v>
      </c>
    </row>
    <row r="112" spans="1:74" ht="18.75" customHeight="1" outlineLevel="1">
      <c r="A112" s="167" t="s">
        <v>910</v>
      </c>
      <c r="B112" s="165"/>
      <c r="C112" s="1322">
        <v>0</v>
      </c>
      <c r="D112" s="1322">
        <v>1.4887656200000001</v>
      </c>
      <c r="E112" s="1322">
        <v>0</v>
      </c>
      <c r="F112" s="1322">
        <v>2.9455830000000002E-2</v>
      </c>
      <c r="G112" s="1322">
        <v>1.3269900000000001E-3</v>
      </c>
      <c r="H112" s="1322">
        <v>14.9259705</v>
      </c>
      <c r="I112" s="598"/>
      <c r="J112" s="598"/>
      <c r="K112" s="603"/>
      <c r="L112" s="832"/>
      <c r="O112" s="160">
        <v>0</v>
      </c>
      <c r="P112" s="160">
        <v>1.4887656200000001</v>
      </c>
      <c r="Q112" s="160">
        <v>0</v>
      </c>
      <c r="R112" s="160">
        <v>2.9455830000000002E-2</v>
      </c>
      <c r="S112" s="160">
        <v>1.3269900000000001E-3</v>
      </c>
      <c r="T112" s="160">
        <v>14.9259705</v>
      </c>
    </row>
    <row r="113" spans="1:74" ht="18.75" customHeight="1" outlineLevel="1">
      <c r="A113" s="167" t="s">
        <v>981</v>
      </c>
      <c r="B113" s="165"/>
      <c r="C113" s="1322">
        <v>0</v>
      </c>
      <c r="D113" s="1322">
        <v>0</v>
      </c>
      <c r="E113" s="1322">
        <v>0</v>
      </c>
      <c r="F113" s="1322">
        <v>0</v>
      </c>
      <c r="G113" s="1322">
        <v>0</v>
      </c>
      <c r="H113" s="1322">
        <v>0</v>
      </c>
      <c r="I113" s="159"/>
      <c r="J113" s="159"/>
      <c r="L113" s="832"/>
      <c r="O113" s="160">
        <v>0</v>
      </c>
      <c r="P113" s="160">
        <v>0</v>
      </c>
      <c r="Q113" s="160">
        <v>0</v>
      </c>
      <c r="R113" s="160">
        <v>0</v>
      </c>
      <c r="S113" s="160">
        <v>0</v>
      </c>
      <c r="T113" s="160">
        <v>0</v>
      </c>
    </row>
    <row r="114" spans="1:74" s="599" customFormat="1" ht="18.75" customHeight="1" outlineLevel="1">
      <c r="A114" s="165" t="s">
        <v>962</v>
      </c>
      <c r="B114" s="165"/>
      <c r="C114" s="1323">
        <v>31.0895434</v>
      </c>
      <c r="D114" s="1323">
        <v>147.13379522999998</v>
      </c>
      <c r="E114" s="1323">
        <v>102.32685367000001</v>
      </c>
      <c r="F114" s="1323">
        <v>265.61381146000002</v>
      </c>
      <c r="G114" s="1323">
        <v>963.50657984999998</v>
      </c>
      <c r="H114" s="1323">
        <v>913.00746860000004</v>
      </c>
      <c r="I114" s="159"/>
      <c r="J114" s="159"/>
      <c r="K114" s="160"/>
      <c r="L114" s="832"/>
      <c r="M114" s="160"/>
      <c r="N114" s="160"/>
      <c r="O114" s="160">
        <v>31.0895434</v>
      </c>
      <c r="P114" s="160">
        <v>147.13379522999998</v>
      </c>
      <c r="Q114" s="160">
        <v>102.32685367000001</v>
      </c>
      <c r="R114" s="160">
        <v>265.61381146000002</v>
      </c>
      <c r="S114" s="160">
        <v>963.50657984999998</v>
      </c>
      <c r="T114" s="160">
        <v>913.00746860000004</v>
      </c>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c r="BH114" s="160"/>
      <c r="BI114" s="160"/>
      <c r="BJ114" s="160"/>
      <c r="BK114" s="160"/>
      <c r="BL114" s="160"/>
      <c r="BM114" s="160"/>
      <c r="BN114" s="160"/>
      <c r="BO114" s="160"/>
      <c r="BP114" s="160"/>
      <c r="BQ114" s="160"/>
      <c r="BR114" s="160"/>
      <c r="BS114" s="160"/>
      <c r="BT114" s="160"/>
      <c r="BU114" s="160"/>
      <c r="BV114" s="160"/>
    </row>
    <row r="115" spans="1:74" ht="18.75" customHeight="1" outlineLevel="1">
      <c r="A115" s="165" t="s">
        <v>873</v>
      </c>
      <c r="B115" s="165"/>
      <c r="C115" s="1322">
        <v>1102.3804887900001</v>
      </c>
      <c r="D115" s="1322">
        <v>2013.68423454</v>
      </c>
      <c r="E115" s="1322">
        <v>2844.7569589299997</v>
      </c>
      <c r="F115" s="1322">
        <v>4012.6336800599997</v>
      </c>
      <c r="G115" s="1322">
        <v>5821.6146768299996</v>
      </c>
      <c r="H115" s="1322">
        <v>7021.5178359600004</v>
      </c>
      <c r="I115" s="159"/>
      <c r="J115" s="159"/>
      <c r="L115" s="832"/>
      <c r="O115" s="160">
        <v>1102.3804887900001</v>
      </c>
      <c r="P115" s="160">
        <v>2013.68423454</v>
      </c>
      <c r="Q115" s="160">
        <v>2844.7569589299997</v>
      </c>
      <c r="R115" s="160">
        <v>4012.6336800599997</v>
      </c>
      <c r="S115" s="160">
        <v>5821.6146768299996</v>
      </c>
      <c r="T115" s="160">
        <v>7021.5178359600004</v>
      </c>
    </row>
    <row r="116" spans="1:74" s="602" customFormat="1" ht="18.75" customHeight="1" outlineLevel="1">
      <c r="A116" s="165" t="s">
        <v>1295</v>
      </c>
      <c r="B116" s="165"/>
      <c r="C116" s="1323">
        <v>1102.3804887900001</v>
      </c>
      <c r="D116" s="1323">
        <v>2013.68423454</v>
      </c>
      <c r="E116" s="1323">
        <v>2844.7569589299997</v>
      </c>
      <c r="F116" s="1323">
        <v>4012.6336800599997</v>
      </c>
      <c r="G116" s="1323">
        <v>5821.6146768299996</v>
      </c>
      <c r="H116" s="1323">
        <v>7021.5178359600004</v>
      </c>
      <c r="I116" s="159"/>
      <c r="J116" s="159"/>
      <c r="K116" s="160"/>
      <c r="L116" s="832"/>
      <c r="M116" s="160"/>
      <c r="N116" s="160"/>
      <c r="O116" s="160">
        <v>1102.3804887900001</v>
      </c>
      <c r="P116" s="160">
        <v>2013.68423454</v>
      </c>
      <c r="Q116" s="160">
        <v>2844.7569589299997</v>
      </c>
      <c r="R116" s="160">
        <v>4012.6336800599997</v>
      </c>
      <c r="S116" s="160">
        <v>5821.6146768299996</v>
      </c>
      <c r="T116" s="160">
        <v>7021.5178359600004</v>
      </c>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c r="BH116" s="160"/>
      <c r="BI116" s="160"/>
      <c r="BJ116" s="160"/>
      <c r="BK116" s="160"/>
      <c r="BL116" s="160"/>
      <c r="BM116" s="160"/>
      <c r="BN116" s="160"/>
      <c r="BO116" s="160"/>
      <c r="BP116" s="160"/>
      <c r="BQ116" s="160"/>
      <c r="BR116" s="160"/>
      <c r="BS116" s="160"/>
      <c r="BT116" s="160"/>
      <c r="BU116" s="160"/>
      <c r="BV116" s="160"/>
    </row>
    <row r="117" spans="1:74" s="599" customFormat="1" ht="18.75" customHeight="1">
      <c r="A117" s="545" t="s">
        <v>874</v>
      </c>
      <c r="B117" s="165"/>
      <c r="C117" s="1323">
        <v>1443.10191224</v>
      </c>
      <c r="D117" s="1323">
        <v>2909.92493393</v>
      </c>
      <c r="E117" s="1323">
        <v>3130.5898234599999</v>
      </c>
      <c r="F117" s="1323">
        <v>4152.4887971999997</v>
      </c>
      <c r="G117" s="1323">
        <v>4967.87543155</v>
      </c>
      <c r="H117" s="1323">
        <v>5617.8785541300003</v>
      </c>
      <c r="I117" s="159"/>
      <c r="J117" s="159"/>
      <c r="K117" s="160"/>
      <c r="L117" s="160"/>
      <c r="M117" s="160"/>
      <c r="N117" s="160"/>
      <c r="O117" s="160">
        <v>1443.10191224</v>
      </c>
      <c r="P117" s="160">
        <v>2909.92493393</v>
      </c>
      <c r="Q117" s="160">
        <v>3130.5898234599999</v>
      </c>
      <c r="R117" s="160">
        <v>4152.4887971999997</v>
      </c>
      <c r="S117" s="160">
        <v>4967.87543155</v>
      </c>
      <c r="T117" s="160">
        <v>5617.8785541300003</v>
      </c>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c r="BH117" s="160"/>
      <c r="BI117" s="160"/>
      <c r="BJ117" s="160"/>
      <c r="BK117" s="160"/>
      <c r="BL117" s="160"/>
      <c r="BM117" s="160"/>
      <c r="BN117" s="160"/>
      <c r="BO117" s="160"/>
      <c r="BP117" s="160"/>
      <c r="BQ117" s="160"/>
      <c r="BR117" s="160"/>
      <c r="BS117" s="160"/>
      <c r="BT117" s="160"/>
      <c r="BU117" s="160"/>
      <c r="BV117" s="160"/>
    </row>
    <row r="118" spans="1:74" s="602" customFormat="1" ht="18.75" customHeight="1">
      <c r="A118" s="167" t="s">
        <v>633</v>
      </c>
      <c r="B118" s="165"/>
      <c r="C118" s="1322">
        <v>458</v>
      </c>
      <c r="D118" s="1322">
        <v>610.66660000000002</v>
      </c>
      <c r="E118" s="1322">
        <v>607.72360000000003</v>
      </c>
      <c r="F118" s="1322">
        <v>611.77160000000003</v>
      </c>
      <c r="G118" s="1322">
        <v>1151.18658</v>
      </c>
      <c r="H118" s="1322">
        <v>1180.8786270000001</v>
      </c>
      <c r="I118" s="159"/>
      <c r="J118" s="159"/>
      <c r="K118" s="160"/>
      <c r="L118" s="160"/>
      <c r="M118" s="160"/>
      <c r="N118" s="160"/>
      <c r="O118" s="160">
        <v>458</v>
      </c>
      <c r="P118" s="160">
        <v>610.66660000000002</v>
      </c>
      <c r="Q118" s="160">
        <v>607.72360000000003</v>
      </c>
      <c r="R118" s="160">
        <v>611.77160000000003</v>
      </c>
      <c r="S118" s="160">
        <v>1151.18658</v>
      </c>
      <c r="T118" s="160">
        <v>1180.8786270000001</v>
      </c>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c r="BH118" s="160"/>
      <c r="BI118" s="160"/>
      <c r="BJ118" s="160"/>
      <c r="BK118" s="160"/>
      <c r="BL118" s="160"/>
      <c r="BM118" s="160"/>
      <c r="BN118" s="160"/>
      <c r="BO118" s="160"/>
      <c r="BP118" s="160"/>
      <c r="BQ118" s="160"/>
      <c r="BR118" s="160"/>
      <c r="BS118" s="160"/>
      <c r="BT118" s="160"/>
      <c r="BU118" s="160"/>
      <c r="BV118" s="160"/>
    </row>
    <row r="119" spans="1:74" s="605" customFormat="1" ht="18.75" customHeight="1">
      <c r="A119" s="167" t="s">
        <v>2798</v>
      </c>
      <c r="B119" s="165"/>
      <c r="C119" s="1322">
        <v>0</v>
      </c>
      <c r="D119" s="1322">
        <v>0</v>
      </c>
      <c r="E119" s="1322">
        <v>0</v>
      </c>
      <c r="F119" s="1322">
        <v>0</v>
      </c>
      <c r="G119" s="1322">
        <v>0</v>
      </c>
      <c r="H119" s="1322">
        <v>0</v>
      </c>
      <c r="I119" s="159"/>
      <c r="J119" s="159"/>
      <c r="K119" s="160"/>
      <c r="L119" s="160"/>
      <c r="M119" s="160"/>
      <c r="N119" s="160"/>
      <c r="O119" s="160">
        <v>0</v>
      </c>
      <c r="P119" s="160">
        <v>0</v>
      </c>
      <c r="Q119" s="160">
        <v>0</v>
      </c>
      <c r="R119" s="160">
        <v>0</v>
      </c>
      <c r="S119" s="160">
        <v>0</v>
      </c>
      <c r="T119" s="160">
        <v>0</v>
      </c>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c r="BH119" s="160"/>
      <c r="BI119" s="160"/>
      <c r="BJ119" s="160"/>
      <c r="BK119" s="160"/>
      <c r="BL119" s="160"/>
      <c r="BM119" s="160"/>
      <c r="BN119" s="160"/>
      <c r="BO119" s="160"/>
      <c r="BP119" s="160"/>
      <c r="BQ119" s="160"/>
      <c r="BR119" s="160"/>
      <c r="BS119" s="160"/>
      <c r="BT119" s="160"/>
      <c r="BU119" s="160"/>
      <c r="BV119" s="160"/>
    </row>
    <row r="120" spans="1:74" s="605" customFormat="1" ht="18.75" customHeight="1" outlineLevel="1">
      <c r="A120" s="167" t="s">
        <v>2799</v>
      </c>
      <c r="B120" s="165"/>
      <c r="C120" s="1322">
        <v>0</v>
      </c>
      <c r="D120" s="1322">
        <v>0</v>
      </c>
      <c r="E120" s="1322">
        <v>0</v>
      </c>
      <c r="F120" s="1322">
        <v>0</v>
      </c>
      <c r="G120" s="1322">
        <v>0</v>
      </c>
      <c r="H120" s="1322">
        <v>0</v>
      </c>
      <c r="I120" s="159">
        <v>50.170577790000003</v>
      </c>
      <c r="J120" s="159"/>
      <c r="K120" s="160"/>
      <c r="L120" s="833"/>
      <c r="M120" s="160"/>
      <c r="N120" s="160"/>
      <c r="O120" s="160">
        <v>0</v>
      </c>
      <c r="P120" s="160">
        <v>0</v>
      </c>
      <c r="Q120" s="160">
        <v>0</v>
      </c>
      <c r="R120" s="160">
        <v>0</v>
      </c>
      <c r="S120" s="160">
        <v>0</v>
      </c>
      <c r="T120" s="160">
        <v>0</v>
      </c>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c r="BH120" s="160"/>
      <c r="BI120" s="160"/>
      <c r="BJ120" s="160"/>
      <c r="BK120" s="160"/>
      <c r="BL120" s="160"/>
      <c r="BM120" s="160"/>
      <c r="BN120" s="160"/>
      <c r="BO120" s="160"/>
      <c r="BP120" s="160"/>
      <c r="BQ120" s="160"/>
      <c r="BR120" s="160"/>
      <c r="BS120" s="160"/>
      <c r="BT120" s="160"/>
      <c r="BU120" s="160"/>
      <c r="BV120" s="160"/>
    </row>
    <row r="121" spans="1:74" s="605" customFormat="1" ht="18.75" customHeight="1" outlineLevel="1">
      <c r="A121" s="167" t="s">
        <v>2800</v>
      </c>
      <c r="B121" s="165"/>
      <c r="C121" s="1322">
        <v>0</v>
      </c>
      <c r="D121" s="1322">
        <v>0</v>
      </c>
      <c r="E121" s="1322">
        <v>0</v>
      </c>
      <c r="F121" s="1322">
        <v>0</v>
      </c>
      <c r="G121" s="1322">
        <v>0</v>
      </c>
      <c r="H121" s="1322">
        <v>0</v>
      </c>
      <c r="I121" s="159">
        <v>7.5061289699999998</v>
      </c>
      <c r="J121" s="159"/>
      <c r="K121" s="160"/>
      <c r="L121" s="833"/>
      <c r="M121" s="160"/>
      <c r="N121" s="160"/>
      <c r="O121" s="160">
        <v>0</v>
      </c>
      <c r="P121" s="160">
        <v>0</v>
      </c>
      <c r="Q121" s="160">
        <v>0</v>
      </c>
      <c r="R121" s="160">
        <v>0</v>
      </c>
      <c r="S121" s="160">
        <v>0</v>
      </c>
      <c r="T121" s="160">
        <v>0</v>
      </c>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c r="BH121" s="160"/>
      <c r="BI121" s="160"/>
      <c r="BJ121" s="160"/>
      <c r="BK121" s="160"/>
      <c r="BL121" s="160"/>
      <c r="BM121" s="160"/>
      <c r="BN121" s="160"/>
      <c r="BO121" s="160"/>
      <c r="BP121" s="160"/>
      <c r="BQ121" s="160"/>
      <c r="BR121" s="160"/>
      <c r="BS121" s="160"/>
      <c r="BT121" s="160"/>
      <c r="BU121" s="160"/>
      <c r="BV121" s="160"/>
    </row>
    <row r="122" spans="1:74" ht="18.75" customHeight="1" outlineLevel="1">
      <c r="A122" s="167" t="s">
        <v>1019</v>
      </c>
      <c r="B122" s="165"/>
      <c r="C122" s="1322">
        <v>588.92393775999994</v>
      </c>
      <c r="D122" s="1322">
        <v>1843.06637875</v>
      </c>
      <c r="E122" s="1322">
        <v>1830.68615363</v>
      </c>
      <c r="F122" s="1322">
        <v>1909.0041427900001</v>
      </c>
      <c r="G122" s="1322">
        <v>1680.9903678599999</v>
      </c>
      <c r="H122" s="1322">
        <v>2072.21509741</v>
      </c>
      <c r="I122" s="159">
        <v>0.52573024999999995</v>
      </c>
      <c r="J122" s="159"/>
      <c r="L122" s="833"/>
      <c r="O122" s="160">
        <v>588.92393775999994</v>
      </c>
      <c r="P122" s="160">
        <v>1843.06637875</v>
      </c>
      <c r="Q122" s="160">
        <v>1830.68615363</v>
      </c>
      <c r="R122" s="160">
        <v>1909.0041427900001</v>
      </c>
      <c r="S122" s="160">
        <v>1680.9903678599999</v>
      </c>
      <c r="T122" s="160">
        <v>2072.21509741</v>
      </c>
    </row>
    <row r="123" spans="1:74" ht="18.75" customHeight="1">
      <c r="A123" s="167" t="s">
        <v>1020</v>
      </c>
      <c r="B123" s="165"/>
      <c r="C123" s="1322">
        <v>0</v>
      </c>
      <c r="D123" s="1322">
        <v>96.736005760000012</v>
      </c>
      <c r="E123" s="1322">
        <v>112.10130615999999</v>
      </c>
      <c r="F123" s="1322">
        <v>78.781229890000006</v>
      </c>
      <c r="G123" s="1322">
        <v>134.45753328000001</v>
      </c>
      <c r="H123" s="1322">
        <v>133.39915133</v>
      </c>
      <c r="I123" s="159"/>
      <c r="J123" s="159"/>
      <c r="O123" s="160">
        <v>0</v>
      </c>
      <c r="P123" s="160">
        <v>96.736005760000012</v>
      </c>
      <c r="Q123" s="160">
        <v>112.10130615999999</v>
      </c>
      <c r="R123" s="160">
        <v>78.781229890000006</v>
      </c>
      <c r="S123" s="160">
        <v>134.45753328000001</v>
      </c>
      <c r="T123" s="160">
        <v>133.39915133</v>
      </c>
    </row>
    <row r="124" spans="1:74" ht="18.75" customHeight="1">
      <c r="A124" s="167" t="s">
        <v>2801</v>
      </c>
      <c r="B124" s="165"/>
      <c r="C124" s="1322">
        <v>0</v>
      </c>
      <c r="D124" s="1322">
        <v>0</v>
      </c>
      <c r="E124" s="1322">
        <v>-71.202198680000009</v>
      </c>
      <c r="F124" s="1322">
        <v>-57.719113310000004</v>
      </c>
      <c r="G124" s="1322">
        <v>-76.931451840000008</v>
      </c>
      <c r="H124" s="1322">
        <v>-43.28223706</v>
      </c>
      <c r="I124" s="159"/>
      <c r="J124" s="159"/>
      <c r="O124" s="160">
        <v>0</v>
      </c>
      <c r="P124" s="160">
        <v>0</v>
      </c>
      <c r="Q124" s="160">
        <v>-71.202198680000009</v>
      </c>
      <c r="R124" s="160">
        <v>-57.719113310000004</v>
      </c>
      <c r="S124" s="160">
        <v>-76.931451840000008</v>
      </c>
      <c r="T124" s="160">
        <v>-43.28223706</v>
      </c>
    </row>
    <row r="125" spans="1:74" s="605" customFormat="1" ht="18.75" customHeight="1">
      <c r="A125" s="167" t="s">
        <v>2802</v>
      </c>
      <c r="B125" s="165"/>
      <c r="C125" s="1322">
        <v>11.107581119999999</v>
      </c>
      <c r="D125" s="1322">
        <v>13.123650269999999</v>
      </c>
      <c r="E125" s="1322">
        <v>20.78614129</v>
      </c>
      <c r="F125" s="1322">
        <v>23.18182886</v>
      </c>
      <c r="G125" s="1322">
        <v>24.925726530000002</v>
      </c>
      <c r="H125" s="1322">
        <v>30.54517002</v>
      </c>
      <c r="I125" s="159"/>
      <c r="J125" s="159"/>
      <c r="K125" s="160"/>
      <c r="L125" s="160"/>
      <c r="M125" s="160"/>
      <c r="N125" s="160"/>
      <c r="O125" s="160">
        <v>11.107581119999999</v>
      </c>
      <c r="P125" s="160">
        <v>13.123650269999999</v>
      </c>
      <c r="Q125" s="160">
        <v>20.78614129</v>
      </c>
      <c r="R125" s="160">
        <v>23.18182886</v>
      </c>
      <c r="S125" s="160">
        <v>24.925726530000002</v>
      </c>
      <c r="T125" s="160">
        <v>30.54517002</v>
      </c>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c r="BH125" s="160"/>
      <c r="BI125" s="160"/>
      <c r="BJ125" s="160"/>
      <c r="BK125" s="160"/>
      <c r="BL125" s="160"/>
      <c r="BM125" s="160"/>
      <c r="BN125" s="160"/>
      <c r="BO125" s="160"/>
      <c r="BP125" s="160"/>
      <c r="BQ125" s="160"/>
      <c r="BR125" s="160"/>
      <c r="BS125" s="160"/>
      <c r="BT125" s="160"/>
      <c r="BU125" s="160"/>
      <c r="BV125" s="160"/>
    </row>
    <row r="126" spans="1:74" s="605" customFormat="1" ht="18.75" customHeight="1" outlineLevel="1">
      <c r="A126" s="167" t="s">
        <v>1021</v>
      </c>
      <c r="B126" s="165"/>
      <c r="C126" s="1322">
        <v>62.704281270000003</v>
      </c>
      <c r="D126" s="1322">
        <v>77.559960160000003</v>
      </c>
      <c r="E126" s="1322">
        <v>111.05415608</v>
      </c>
      <c r="F126" s="1322">
        <v>155.84860455</v>
      </c>
      <c r="G126" s="1322">
        <v>188.14980750000001</v>
      </c>
      <c r="H126" s="1322">
        <v>191.48255053</v>
      </c>
      <c r="I126" s="159"/>
      <c r="J126" s="159"/>
      <c r="K126" s="160"/>
      <c r="L126" s="160"/>
      <c r="M126" s="160"/>
      <c r="N126" s="160"/>
      <c r="O126" s="160">
        <v>62.704281270000003</v>
      </c>
      <c r="P126" s="160">
        <v>77.559960160000003</v>
      </c>
      <c r="Q126" s="160">
        <v>111.05415608</v>
      </c>
      <c r="R126" s="160">
        <v>155.84860455</v>
      </c>
      <c r="S126" s="160">
        <v>188.14980750000001</v>
      </c>
      <c r="T126" s="160">
        <v>191.48255053</v>
      </c>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c r="BH126" s="160"/>
      <c r="BI126" s="160"/>
      <c r="BJ126" s="160"/>
      <c r="BK126" s="160"/>
      <c r="BL126" s="160"/>
      <c r="BM126" s="160"/>
      <c r="BN126" s="160"/>
      <c r="BO126" s="160"/>
      <c r="BP126" s="160"/>
      <c r="BQ126" s="160"/>
      <c r="BR126" s="160"/>
      <c r="BS126" s="160"/>
      <c r="BT126" s="160"/>
      <c r="BU126" s="160"/>
      <c r="BV126" s="160"/>
    </row>
    <row r="127" spans="1:74" ht="18.75" customHeight="1" outlineLevel="1">
      <c r="A127" s="167" t="s">
        <v>970</v>
      </c>
      <c r="B127" s="165"/>
      <c r="C127" s="1322">
        <v>322.36611209</v>
      </c>
      <c r="D127" s="1322">
        <v>462.24435051</v>
      </c>
      <c r="E127" s="1322">
        <v>743.64327729999991</v>
      </c>
      <c r="F127" s="1322">
        <v>1589.1829642</v>
      </c>
      <c r="G127" s="1322">
        <v>2133.5219347799998</v>
      </c>
      <c r="H127" s="1322">
        <v>2318.3434342399996</v>
      </c>
      <c r="I127" s="596">
        <f>IF(ISNUMBER(AVERAGE(D144:H144)),AVERAGE(D144:H144),AVERAGE(F144:H144))</f>
        <v>28.191600000000005</v>
      </c>
      <c r="J127" s="159"/>
      <c r="O127" s="160">
        <v>322.36611209</v>
      </c>
      <c r="P127" s="160">
        <v>462.24435051</v>
      </c>
      <c r="Q127" s="160">
        <v>743.64327729999991</v>
      </c>
      <c r="R127" s="160">
        <v>1589.1829642</v>
      </c>
      <c r="S127" s="160">
        <v>2133.5219347799998</v>
      </c>
      <c r="T127" s="160">
        <v>2318.3434342399996</v>
      </c>
    </row>
    <row r="128" spans="1:74" ht="18.75" customHeight="1" outlineLevel="1">
      <c r="A128" s="167" t="s">
        <v>1292</v>
      </c>
      <c r="B128" s="165"/>
      <c r="C128" s="1322">
        <v>0</v>
      </c>
      <c r="D128" s="1322">
        <v>0</v>
      </c>
      <c r="E128" s="1322">
        <v>0</v>
      </c>
      <c r="F128" s="1322">
        <v>0</v>
      </c>
      <c r="G128" s="1322">
        <v>0</v>
      </c>
      <c r="H128" s="1322">
        <v>0</v>
      </c>
      <c r="I128" s="596">
        <f>IF(ISNUMBER(AVERAGE(D145:H145)),AVERAGE(D145:H145),AVERAGE(F145:H145))</f>
        <v>2.5162799999999996</v>
      </c>
      <c r="J128" s="159"/>
      <c r="O128" s="160">
        <v>0</v>
      </c>
      <c r="P128" s="160">
        <v>0</v>
      </c>
      <c r="Q128" s="160">
        <v>0</v>
      </c>
      <c r="R128" s="160">
        <v>0</v>
      </c>
      <c r="S128" s="160">
        <v>0</v>
      </c>
      <c r="T128" s="160">
        <v>0</v>
      </c>
    </row>
    <row r="129" spans="1:20" ht="18.75" customHeight="1" outlineLevel="1">
      <c r="A129" s="165" t="s">
        <v>875</v>
      </c>
      <c r="B129" s="165"/>
      <c r="C129" s="1323">
        <v>1443.10191224</v>
      </c>
      <c r="D129" s="1323">
        <v>2909.92493393</v>
      </c>
      <c r="E129" s="1323">
        <v>3130.5898234599999</v>
      </c>
      <c r="F129" s="1323">
        <v>4152.4887971999997</v>
      </c>
      <c r="G129" s="1323">
        <v>4967.87543155</v>
      </c>
      <c r="H129" s="1323">
        <v>5616.8441891000002</v>
      </c>
      <c r="I129" s="596">
        <f>IF(ISNUMBER(AVERAGE(D146:H146)),AVERAGE(D146:H146),AVERAGE(F146:H146))</f>
        <v>2.7795999999999998</v>
      </c>
      <c r="J129" s="159"/>
      <c r="O129" s="160">
        <v>1443.10191224</v>
      </c>
      <c r="P129" s="160">
        <v>2909.92493393</v>
      </c>
      <c r="Q129" s="160">
        <v>3130.5898234599999</v>
      </c>
      <c r="R129" s="160">
        <v>4152.4887971999997</v>
      </c>
      <c r="S129" s="160">
        <v>4967.87543155</v>
      </c>
      <c r="T129" s="160">
        <v>5616.8441891000002</v>
      </c>
    </row>
    <row r="130" spans="1:20" ht="18.75" customHeight="1" outlineLevel="1">
      <c r="A130" s="167" t="s">
        <v>1061</v>
      </c>
      <c r="B130" s="165"/>
      <c r="C130" s="1322">
        <v>0</v>
      </c>
      <c r="D130" s="1322">
        <v>0</v>
      </c>
      <c r="E130" s="1322">
        <v>0</v>
      </c>
      <c r="F130" s="1322">
        <v>0</v>
      </c>
      <c r="G130" s="1322">
        <v>0</v>
      </c>
      <c r="H130" s="1322">
        <v>1.03436503</v>
      </c>
      <c r="I130" s="596">
        <f>IF(ISNUMBER(AVERAGE(D147:H147)),AVERAGE(D147:H147),AVERAGE(F147:H147))</f>
        <v>2.1397330421399414</v>
      </c>
      <c r="J130" s="159"/>
      <c r="O130" s="160">
        <v>0</v>
      </c>
      <c r="P130" s="160">
        <v>0</v>
      </c>
      <c r="Q130" s="160">
        <v>0</v>
      </c>
      <c r="R130" s="160">
        <v>0</v>
      </c>
      <c r="S130" s="160">
        <v>0</v>
      </c>
      <c r="T130" s="160">
        <v>1.03436503</v>
      </c>
    </row>
    <row r="131" spans="1:20" ht="18.75" customHeight="1">
      <c r="A131" s="165" t="s">
        <v>965</v>
      </c>
      <c r="B131" s="165"/>
      <c r="C131" s="1323">
        <v>1443.10191224</v>
      </c>
      <c r="D131" s="1324">
        <v>2909.92493393</v>
      </c>
      <c r="E131" s="1324">
        <v>3130.5898234599999</v>
      </c>
      <c r="F131" s="1324">
        <v>4152.4887971999997</v>
      </c>
      <c r="G131" s="1324">
        <v>4967.87543155</v>
      </c>
      <c r="H131" s="1323">
        <v>5617.8785541300003</v>
      </c>
      <c r="I131" s="596"/>
      <c r="J131" s="159"/>
      <c r="O131" s="160">
        <v>1443.10191224</v>
      </c>
      <c r="P131" s="160">
        <v>2909.92493393</v>
      </c>
      <c r="Q131" s="160">
        <v>3130.5898234599999</v>
      </c>
      <c r="R131" s="160">
        <v>4152.4887971999997</v>
      </c>
      <c r="S131" s="160">
        <v>4967.87543155</v>
      </c>
      <c r="T131" s="160">
        <v>5617.8785541300003</v>
      </c>
    </row>
    <row r="132" spans="1:20" ht="18.75" customHeight="1">
      <c r="A132" s="165" t="s">
        <v>876</v>
      </c>
      <c r="B132" s="165"/>
      <c r="C132" s="1322">
        <v>2545.4824010300003</v>
      </c>
      <c r="D132" s="1322">
        <v>4923.6091684700004</v>
      </c>
      <c r="E132" s="1322">
        <v>5975.34678239</v>
      </c>
      <c r="F132" s="1322">
        <v>8165.1224772599999</v>
      </c>
      <c r="G132" s="1322">
        <v>10789.49010838</v>
      </c>
      <c r="H132" s="1322">
        <v>12639.39639009</v>
      </c>
      <c r="I132" s="596"/>
      <c r="J132" s="159"/>
      <c r="O132" s="160">
        <v>2545.4824010300003</v>
      </c>
      <c r="P132" s="160">
        <v>4923.6091684700004</v>
      </c>
      <c r="Q132" s="160">
        <v>5975.34678239</v>
      </c>
      <c r="R132" s="160">
        <v>8165.1224772599999</v>
      </c>
      <c r="S132" s="160">
        <v>10789.49010838</v>
      </c>
      <c r="T132" s="160">
        <v>12639.39639009</v>
      </c>
    </row>
    <row r="133" spans="1:20" ht="18.75" customHeight="1">
      <c r="A133" s="165" t="s">
        <v>967</v>
      </c>
      <c r="B133" s="165"/>
      <c r="C133" s="1323">
        <v>2545.4824010300003</v>
      </c>
      <c r="D133" s="1323">
        <v>4923.6091684700004</v>
      </c>
      <c r="E133" s="1323">
        <v>5975.34678239</v>
      </c>
      <c r="F133" s="1323">
        <v>8165.1224772599999</v>
      </c>
      <c r="G133" s="1323">
        <v>10789.49010838</v>
      </c>
      <c r="H133" s="1323">
        <v>12639.39639009</v>
      </c>
      <c r="I133" s="159"/>
      <c r="J133" s="159"/>
      <c r="O133" s="160">
        <v>2545.4824010300003</v>
      </c>
      <c r="P133" s="160">
        <v>4923.6091684700004</v>
      </c>
      <c r="Q133" s="160">
        <v>5975.34678239</v>
      </c>
      <c r="R133" s="160">
        <v>8165.1224772599999</v>
      </c>
      <c r="S133" s="160">
        <v>10789.49010838</v>
      </c>
      <c r="T133" s="160">
        <v>12639.39639009</v>
      </c>
    </row>
    <row r="134" spans="1:20" ht="18.75" customHeight="1">
      <c r="A134" s="167"/>
      <c r="B134" s="165"/>
      <c r="C134" s="1323"/>
      <c r="D134" s="1323"/>
      <c r="E134" s="1323"/>
      <c r="F134" s="1323"/>
      <c r="G134" s="1323"/>
      <c r="H134" s="1323"/>
    </row>
    <row r="135" spans="1:20" ht="18.75" customHeight="1">
      <c r="A135" s="172"/>
      <c r="B135" s="165"/>
      <c r="C135" s="1323"/>
      <c r="D135" s="1323"/>
      <c r="E135" s="1323"/>
      <c r="F135" s="1323"/>
      <c r="G135" s="1323"/>
      <c r="H135" s="1323"/>
    </row>
    <row r="136" spans="1:20" ht="18.75" customHeight="1">
      <c r="A136" s="604" t="s">
        <v>827</v>
      </c>
      <c r="B136" s="165"/>
      <c r="C136" s="1325"/>
      <c r="D136" s="1325"/>
      <c r="E136" s="1325"/>
      <c r="F136" s="1325"/>
      <c r="G136" s="1325"/>
      <c r="H136" s="1325"/>
    </row>
    <row r="137" spans="1:20" ht="18.75" customHeight="1">
      <c r="A137" s="167" t="s">
        <v>1185</v>
      </c>
      <c r="B137" s="165"/>
      <c r="C137" s="1326">
        <v>20.968275670000001</v>
      </c>
      <c r="D137" s="1326">
        <v>38.124107509999995</v>
      </c>
      <c r="E137" s="1326">
        <v>61.57537533</v>
      </c>
      <c r="F137" s="1326">
        <v>94.479129459999996</v>
      </c>
      <c r="G137" s="1326">
        <v>148.8681899</v>
      </c>
      <c r="H137" s="1327">
        <v>192.13687737999999</v>
      </c>
      <c r="O137" s="160">
        <v>20.968275670000001</v>
      </c>
      <c r="P137" s="160">
        <v>38.124107509999995</v>
      </c>
      <c r="Q137" s="160">
        <v>61.57537533</v>
      </c>
      <c r="R137" s="160">
        <v>94.479129459999996</v>
      </c>
      <c r="S137" s="160">
        <v>148.8681899</v>
      </c>
      <c r="T137" s="160">
        <v>192.13687737999999</v>
      </c>
    </row>
    <row r="138" spans="1:20" ht="18.75" customHeight="1">
      <c r="A138" s="167" t="s">
        <v>1186</v>
      </c>
      <c r="B138" s="165"/>
      <c r="C138" s="1326">
        <v>2.6682749599999998</v>
      </c>
      <c r="D138" s="1326">
        <v>2.9517636</v>
      </c>
      <c r="E138" s="1326">
        <v>3.28964627</v>
      </c>
      <c r="F138" s="1326">
        <v>4.2621167599999996</v>
      </c>
      <c r="G138" s="1326">
        <v>4.4624662599999994</v>
      </c>
      <c r="H138" s="1327">
        <v>9.828755769999999</v>
      </c>
      <c r="O138" s="160">
        <v>2.6682749599999998</v>
      </c>
      <c r="P138" s="160">
        <v>2.9517636</v>
      </c>
      <c r="Q138" s="160">
        <v>3.28964627</v>
      </c>
      <c r="R138" s="160">
        <v>4.2621167599999996</v>
      </c>
      <c r="S138" s="160">
        <v>4.4624662599999994</v>
      </c>
      <c r="T138" s="160">
        <v>9.828755769999999</v>
      </c>
    </row>
    <row r="139" spans="1:20" ht="18.75" customHeight="1">
      <c r="A139" s="167" t="s">
        <v>1187</v>
      </c>
      <c r="B139" s="165"/>
      <c r="C139" s="1326">
        <v>0.59153321999999997</v>
      </c>
      <c r="D139" s="1326">
        <v>0.55325298000000001</v>
      </c>
      <c r="E139" s="1326">
        <v>0.81907752</v>
      </c>
      <c r="F139" s="1326">
        <v>2.62396327</v>
      </c>
      <c r="G139" s="1326">
        <v>2.27377713</v>
      </c>
      <c r="H139" s="1327">
        <v>1.5319223700000002</v>
      </c>
      <c r="O139" s="160">
        <v>0.59153321999999997</v>
      </c>
      <c r="P139" s="160">
        <v>0.55325298000000001</v>
      </c>
      <c r="Q139" s="160">
        <v>0.81907752</v>
      </c>
      <c r="R139" s="160">
        <v>2.62396327</v>
      </c>
      <c r="S139" s="160">
        <v>2.27377713</v>
      </c>
      <c r="T139" s="160">
        <v>1.5319223700000002</v>
      </c>
    </row>
    <row r="140" spans="1:20" ht="18.75" customHeight="1">
      <c r="A140" s="167"/>
      <c r="B140" s="165"/>
      <c r="C140" s="1326"/>
      <c r="D140" s="1326"/>
      <c r="E140" s="1326"/>
      <c r="F140" s="1326"/>
      <c r="G140" s="1326"/>
      <c r="H140" s="1326"/>
    </row>
    <row r="141" spans="1:20" ht="18.75" customHeight="1">
      <c r="A141" s="167"/>
      <c r="B141" s="165"/>
      <c r="C141" s="1326"/>
      <c r="D141" s="1326"/>
      <c r="E141" s="1326"/>
      <c r="F141" s="1326"/>
      <c r="G141" s="1326"/>
      <c r="H141" s="1326"/>
    </row>
    <row r="142" spans="1:20" ht="18.75" customHeight="1">
      <c r="A142" s="604" t="s">
        <v>304</v>
      </c>
      <c r="B142" s="165"/>
      <c r="C142" s="1326"/>
      <c r="D142" s="1326"/>
      <c r="E142" s="1326"/>
      <c r="F142" s="1326"/>
      <c r="G142" s="1326"/>
      <c r="H142" s="1326"/>
    </row>
    <row r="143" spans="1:20" ht="18.75" customHeight="1">
      <c r="A143" s="167" t="s">
        <v>2055</v>
      </c>
      <c r="B143" s="165"/>
      <c r="C143" s="1322"/>
      <c r="D143" s="1322"/>
      <c r="E143" s="1322"/>
      <c r="F143" s="1322"/>
      <c r="G143" s="1322"/>
      <c r="H143" s="1322"/>
    </row>
    <row r="144" spans="1:20" ht="18.75" customHeight="1">
      <c r="A144" s="167" t="s">
        <v>703</v>
      </c>
      <c r="B144" s="165"/>
      <c r="C144" s="1322">
        <v>0</v>
      </c>
      <c r="D144" s="1322">
        <v>24.6309</v>
      </c>
      <c r="E144" s="1322">
        <v>37.1325</v>
      </c>
      <c r="F144" s="1322">
        <v>36.098500000000001</v>
      </c>
      <c r="G144" s="1322">
        <v>21.010100000000001</v>
      </c>
      <c r="H144" s="1322">
        <v>22.085999999999999</v>
      </c>
      <c r="O144" s="160">
        <v>0</v>
      </c>
      <c r="P144" s="160">
        <v>24.6309</v>
      </c>
      <c r="Q144" s="160">
        <v>37.1325</v>
      </c>
      <c r="R144" s="160">
        <v>36.098500000000001</v>
      </c>
      <c r="S144" s="160">
        <v>21.010100000000001</v>
      </c>
      <c r="T144" s="160">
        <v>22.085999999999999</v>
      </c>
    </row>
    <row r="145" spans="1:20" ht="18.75" customHeight="1">
      <c r="A145" s="167" t="s">
        <v>704</v>
      </c>
      <c r="B145" s="165"/>
      <c r="C145" s="1322">
        <v>0</v>
      </c>
      <c r="D145" s="1322">
        <v>2.6297999999999999</v>
      </c>
      <c r="E145" s="1322">
        <v>2.2214999999999998</v>
      </c>
      <c r="F145" s="1322">
        <v>2.8195999999999999</v>
      </c>
      <c r="G145" s="1322">
        <v>2.9988000000000001</v>
      </c>
      <c r="H145" s="1322">
        <v>1.9117</v>
      </c>
      <c r="L145" s="606"/>
      <c r="O145" s="160">
        <v>0</v>
      </c>
      <c r="P145" s="160">
        <v>2.6297999999999999</v>
      </c>
      <c r="Q145" s="160">
        <v>2.2214999999999998</v>
      </c>
      <c r="R145" s="160">
        <v>2.8195999999999999</v>
      </c>
      <c r="S145" s="160">
        <v>2.9988000000000001</v>
      </c>
      <c r="T145" s="160">
        <v>1.9117</v>
      </c>
    </row>
    <row r="146" spans="1:20" ht="18.75" customHeight="1">
      <c r="A146" s="167" t="s">
        <v>837</v>
      </c>
      <c r="B146" s="165"/>
      <c r="C146" s="1322">
        <v>0</v>
      </c>
      <c r="D146" s="1322">
        <v>1.8601000000000001</v>
      </c>
      <c r="E146" s="1322">
        <v>2.2090000000000001</v>
      </c>
      <c r="F146" s="1322">
        <v>3.4443999999999999</v>
      </c>
      <c r="G146" s="1322">
        <v>3.7793000000000001</v>
      </c>
      <c r="H146" s="1322">
        <v>2.6052</v>
      </c>
      <c r="O146" s="160">
        <v>0</v>
      </c>
      <c r="P146" s="160">
        <v>1.8601000000000001</v>
      </c>
      <c r="Q146" s="160">
        <v>2.2090000000000001</v>
      </c>
      <c r="R146" s="160">
        <v>3.4443999999999999</v>
      </c>
      <c r="S146" s="160">
        <v>3.7793000000000001</v>
      </c>
      <c r="T146" s="160">
        <v>2.6052</v>
      </c>
    </row>
    <row r="147" spans="1:20" ht="18.75" customHeight="1">
      <c r="A147" s="167" t="s">
        <v>841</v>
      </c>
      <c r="B147" s="165"/>
      <c r="C147" s="1322"/>
      <c r="D147" s="1322">
        <f>财务分析!D65</f>
        <v>-3.9550097361816676</v>
      </c>
      <c r="E147" s="1322">
        <f>财务分析!E65</f>
        <v>-0.98954547819260275</v>
      </c>
      <c r="F147" s="1322">
        <f>财务分析!F65</f>
        <v>-0.63492916103081776</v>
      </c>
      <c r="G147" s="1322">
        <f>财务分析!G65</f>
        <v>4.5671053382109603</v>
      </c>
      <c r="H147" s="1322">
        <f>财务分析!H65</f>
        <v>11.711044247893835</v>
      </c>
      <c r="O147" s="160">
        <v>0</v>
      </c>
      <c r="P147" s="160" t="e">
        <v>#DIV/0!</v>
      </c>
      <c r="Q147" s="160" t="e">
        <v>#DIV/0!</v>
      </c>
      <c r="R147" s="160" t="e">
        <v>#DIV/0!</v>
      </c>
      <c r="S147" s="160" t="e">
        <v>#DIV/0!</v>
      </c>
      <c r="T147" s="160" t="e">
        <v>#DIV/0!</v>
      </c>
    </row>
    <row r="148" spans="1:20" ht="18.75" customHeight="1">
      <c r="A148" s="167" t="s">
        <v>2052</v>
      </c>
      <c r="B148" s="165"/>
      <c r="C148" s="1322">
        <v>0</v>
      </c>
      <c r="D148" s="1322">
        <v>53.659300000000002</v>
      </c>
      <c r="E148" s="1322">
        <v>-34.663699999999999</v>
      </c>
      <c r="F148" s="1322">
        <v>75.077200000000005</v>
      </c>
      <c r="G148" s="1322">
        <v>33.876600000000003</v>
      </c>
      <c r="H148" s="1322">
        <v>24.308</v>
      </c>
      <c r="O148" s="160">
        <v>0</v>
      </c>
      <c r="P148" s="160">
        <v>53.659300000000002</v>
      </c>
      <c r="Q148" s="160">
        <v>-34.663699999999999</v>
      </c>
      <c r="R148" s="160">
        <v>75.077200000000005</v>
      </c>
      <c r="S148" s="160">
        <v>33.876600000000003</v>
      </c>
      <c r="T148" s="160">
        <v>24.308</v>
      </c>
    </row>
    <row r="149" spans="1:20" ht="18.75" customHeight="1">
      <c r="B149" s="165"/>
      <c r="C149" s="1322"/>
      <c r="D149" s="1322"/>
      <c r="E149" s="1322"/>
      <c r="F149" s="1322"/>
      <c r="G149" s="1322"/>
      <c r="H149" s="1322"/>
    </row>
    <row r="150" spans="1:20" ht="18.75" customHeight="1">
      <c r="A150" s="604" t="s">
        <v>2060</v>
      </c>
      <c r="B150" s="165"/>
      <c r="C150" s="1322"/>
      <c r="D150" s="1322"/>
      <c r="E150" s="1322"/>
      <c r="F150" s="1322"/>
      <c r="G150" s="1322"/>
      <c r="H150" s="1322"/>
    </row>
    <row r="151" spans="1:20" ht="18.75" customHeight="1">
      <c r="A151" s="971" t="s">
        <v>2061</v>
      </c>
      <c r="B151" s="167"/>
      <c r="C151" s="1327"/>
      <c r="D151" s="1327"/>
      <c r="E151" s="1327"/>
      <c r="F151" s="1327"/>
      <c r="G151" s="1327"/>
      <c r="H151" s="1327"/>
    </row>
    <row r="152" spans="1:20" ht="18.75" customHeight="1">
      <c r="A152" s="167" t="s">
        <v>2276</v>
      </c>
      <c r="B152" s="167"/>
      <c r="C152" s="1327">
        <v>1989.3238892699999</v>
      </c>
      <c r="D152" s="1327">
        <v>2773.4552807099999</v>
      </c>
      <c r="E152" s="1327">
        <v>4438.9174569699999</v>
      </c>
      <c r="F152" s="1327">
        <v>5571.5078481400005</v>
      </c>
      <c r="G152" s="1327">
        <v>6866.58538916</v>
      </c>
      <c r="H152" s="1327">
        <v>7593.6369373300004</v>
      </c>
      <c r="O152" s="160">
        <v>1989.3238892699999</v>
      </c>
      <c r="P152" s="160">
        <v>2773.4552807099999</v>
      </c>
      <c r="Q152" s="160">
        <v>4438.9174569699999</v>
      </c>
      <c r="R152" s="160">
        <v>5571.5078481400005</v>
      </c>
      <c r="S152" s="160">
        <v>6866.58538916</v>
      </c>
      <c r="T152" s="160">
        <v>7593.6369373300004</v>
      </c>
    </row>
    <row r="153" spans="1:20" ht="18.75" customHeight="1">
      <c r="A153" s="167" t="s">
        <v>2277</v>
      </c>
      <c r="B153" s="167"/>
      <c r="C153" s="1327">
        <v>0</v>
      </c>
      <c r="D153" s="1327">
        <v>0</v>
      </c>
      <c r="E153" s="1327">
        <v>0</v>
      </c>
      <c r="F153" s="1327">
        <v>0</v>
      </c>
      <c r="G153" s="1327">
        <v>0</v>
      </c>
      <c r="H153" s="1327">
        <v>0</v>
      </c>
      <c r="O153" s="160">
        <v>0</v>
      </c>
      <c r="P153" s="160">
        <v>0</v>
      </c>
      <c r="Q153" s="160">
        <v>0</v>
      </c>
      <c r="R153" s="160">
        <v>0</v>
      </c>
      <c r="S153" s="160">
        <v>0</v>
      </c>
      <c r="T153" s="160">
        <v>0</v>
      </c>
    </row>
    <row r="154" spans="1:20" ht="18.75" customHeight="1">
      <c r="A154" s="167" t="s">
        <v>1082</v>
      </c>
      <c r="B154" s="167"/>
      <c r="C154" s="1327">
        <v>13.30300922</v>
      </c>
      <c r="D154" s="1327">
        <v>27.35272097</v>
      </c>
      <c r="E154" s="1327">
        <v>74.817096219999996</v>
      </c>
      <c r="F154" s="1327">
        <v>159.47744206000002</v>
      </c>
      <c r="G154" s="1327">
        <v>173.69621168</v>
      </c>
      <c r="H154" s="1327">
        <v>224.42473762999998</v>
      </c>
      <c r="O154" s="160">
        <v>13.30300922</v>
      </c>
      <c r="P154" s="160">
        <v>27.35272097</v>
      </c>
      <c r="Q154" s="160">
        <v>74.817096219999996</v>
      </c>
      <c r="R154" s="160">
        <v>159.47744206000002</v>
      </c>
      <c r="S154" s="160">
        <v>173.69621168</v>
      </c>
      <c r="T154" s="160">
        <v>224.42473762999998</v>
      </c>
    </row>
    <row r="155" spans="1:20" ht="18.75" customHeight="1">
      <c r="A155" s="167" t="s">
        <v>2278</v>
      </c>
      <c r="B155" s="167"/>
      <c r="C155" s="1327">
        <v>2002.62689849</v>
      </c>
      <c r="D155" s="1327">
        <v>2800.80800168</v>
      </c>
      <c r="E155" s="1327">
        <v>4513.7345531899991</v>
      </c>
      <c r="F155" s="1327">
        <v>5730.9852902000002</v>
      </c>
      <c r="G155" s="1327">
        <v>7040.2816008400005</v>
      </c>
      <c r="H155" s="1327">
        <v>7818.0616749600003</v>
      </c>
      <c r="O155" s="160">
        <v>2002.62689849</v>
      </c>
      <c r="P155" s="160">
        <v>2800.80800168</v>
      </c>
      <c r="Q155" s="160">
        <v>4513.7345531899991</v>
      </c>
      <c r="R155" s="160">
        <v>5730.9852902000002</v>
      </c>
      <c r="S155" s="160">
        <v>7040.2816008400005</v>
      </c>
      <c r="T155" s="160">
        <v>7818.0616749600003</v>
      </c>
    </row>
    <row r="156" spans="1:20" ht="18.75" customHeight="1">
      <c r="A156" s="167" t="s">
        <v>1086</v>
      </c>
      <c r="B156" s="167"/>
      <c r="C156" s="1327">
        <v>1270.26725448</v>
      </c>
      <c r="D156" s="1327">
        <v>1987.52992475</v>
      </c>
      <c r="E156" s="1327">
        <v>3199.3262101400001</v>
      </c>
      <c r="F156" s="1327">
        <v>3967.6123775700003</v>
      </c>
      <c r="G156" s="1327">
        <v>4747.6313791899993</v>
      </c>
      <c r="H156" s="1327">
        <v>6083.3225777700009</v>
      </c>
      <c r="O156" s="160">
        <v>1270.26725448</v>
      </c>
      <c r="P156" s="160">
        <v>1987.52992475</v>
      </c>
      <c r="Q156" s="160">
        <v>3199.3262101400001</v>
      </c>
      <c r="R156" s="160">
        <v>3967.6123775700003</v>
      </c>
      <c r="S156" s="160">
        <v>4747.6313791899993</v>
      </c>
      <c r="T156" s="160">
        <v>6083.3225777700009</v>
      </c>
    </row>
    <row r="157" spans="1:20" ht="18.75" customHeight="1">
      <c r="A157" s="167" t="s">
        <v>2279</v>
      </c>
      <c r="B157" s="167"/>
      <c r="C157" s="1327">
        <v>214.69273511</v>
      </c>
      <c r="D157" s="1327">
        <v>301.31606685000003</v>
      </c>
      <c r="E157" s="1327">
        <v>411.47993074999999</v>
      </c>
      <c r="F157" s="1327">
        <v>485.36275368000003</v>
      </c>
      <c r="G157" s="1327">
        <v>655.39920153000003</v>
      </c>
      <c r="H157" s="1327">
        <v>685.35247374999994</v>
      </c>
      <c r="O157" s="160">
        <v>214.69273511</v>
      </c>
      <c r="P157" s="160">
        <v>301.31606685000003</v>
      </c>
      <c r="Q157" s="160">
        <v>411.47993074999999</v>
      </c>
      <c r="R157" s="160">
        <v>485.36275368000003</v>
      </c>
      <c r="S157" s="160">
        <v>655.39920153000003</v>
      </c>
      <c r="T157" s="160">
        <v>685.35247374999994</v>
      </c>
    </row>
    <row r="158" spans="1:20" ht="18.75" customHeight="1">
      <c r="A158" s="167" t="s">
        <v>2280</v>
      </c>
      <c r="B158" s="167"/>
      <c r="C158" s="1327">
        <v>180.94601481999999</v>
      </c>
      <c r="D158" s="1327">
        <v>174.88807850999999</v>
      </c>
      <c r="E158" s="1327">
        <v>333.0632799</v>
      </c>
      <c r="F158" s="1327">
        <v>486.02213088999997</v>
      </c>
      <c r="G158" s="1327">
        <v>416.48480962999997</v>
      </c>
      <c r="H158" s="1327">
        <v>316.56339858999996</v>
      </c>
      <c r="L158" s="606"/>
      <c r="O158" s="160">
        <v>180.94601481999999</v>
      </c>
      <c r="P158" s="160">
        <v>174.88807850999999</v>
      </c>
      <c r="Q158" s="160">
        <v>333.0632799</v>
      </c>
      <c r="R158" s="160">
        <v>486.02213088999997</v>
      </c>
      <c r="S158" s="160">
        <v>416.48480962999997</v>
      </c>
      <c r="T158" s="160">
        <v>316.56339858999996</v>
      </c>
    </row>
    <row r="159" spans="1:20" ht="18.75" customHeight="1">
      <c r="A159" s="167" t="s">
        <v>1089</v>
      </c>
      <c r="B159" s="167"/>
      <c r="C159" s="1327">
        <v>236.29060322000001</v>
      </c>
      <c r="D159" s="1327">
        <v>535.53589061000002</v>
      </c>
      <c r="E159" s="1327">
        <v>395.15440705000003</v>
      </c>
      <c r="F159" s="1327">
        <v>239.80774775</v>
      </c>
      <c r="G159" s="1327">
        <v>609.63164314999995</v>
      </c>
      <c r="H159" s="1327">
        <v>497.52537662000003</v>
      </c>
      <c r="O159" s="160">
        <v>236.29060322000001</v>
      </c>
      <c r="P159" s="160">
        <v>535.53589061000002</v>
      </c>
      <c r="Q159" s="160">
        <v>395.15440705000003</v>
      </c>
      <c r="R159" s="160">
        <v>239.80774775</v>
      </c>
      <c r="S159" s="160">
        <v>609.63164314999995</v>
      </c>
      <c r="T159" s="160">
        <v>497.52537662000003</v>
      </c>
    </row>
    <row r="160" spans="1:20" ht="18.75" customHeight="1">
      <c r="A160" s="167" t="s">
        <v>1092</v>
      </c>
      <c r="B160" s="167"/>
      <c r="C160" s="1327">
        <v>1902.19660763</v>
      </c>
      <c r="D160" s="1327">
        <v>2999.2699607199997</v>
      </c>
      <c r="E160" s="1327">
        <v>4339.0238278400002</v>
      </c>
      <c r="F160" s="1327">
        <v>5178.8050098800004</v>
      </c>
      <c r="G160" s="1327">
        <v>6429.1470335000004</v>
      </c>
      <c r="H160" s="1327">
        <v>7582.7638267299999</v>
      </c>
      <c r="O160" s="160">
        <v>1902.19660763</v>
      </c>
      <c r="P160" s="160">
        <v>2999.2699607199997</v>
      </c>
      <c r="Q160" s="160">
        <v>4339.0238278400002</v>
      </c>
      <c r="R160" s="160">
        <v>5178.8050098800004</v>
      </c>
      <c r="S160" s="160">
        <v>6429.1470335000004</v>
      </c>
      <c r="T160" s="160">
        <v>7582.7638267299999</v>
      </c>
    </row>
    <row r="161" spans="1:20" ht="18.75" customHeight="1">
      <c r="A161" s="1110" t="s">
        <v>1203</v>
      </c>
      <c r="B161" s="167"/>
      <c r="C161" s="1327">
        <v>100.43029086</v>
      </c>
      <c r="D161" s="1327">
        <v>-198.46195903999998</v>
      </c>
      <c r="E161" s="1327">
        <v>174.71072534000001</v>
      </c>
      <c r="F161" s="1327">
        <v>552.18028032000007</v>
      </c>
      <c r="G161" s="1327">
        <v>611.13456733999999</v>
      </c>
      <c r="H161" s="1327">
        <v>235.29784823</v>
      </c>
      <c r="O161" s="160">
        <v>100.43029086</v>
      </c>
      <c r="P161" s="160">
        <v>-198.46195903999998</v>
      </c>
      <c r="Q161" s="160">
        <v>174.71072534000001</v>
      </c>
      <c r="R161" s="160">
        <v>552.18028032000007</v>
      </c>
      <c r="S161" s="160">
        <v>611.13456733999999</v>
      </c>
      <c r="T161" s="160">
        <v>235.29784823</v>
      </c>
    </row>
    <row r="162" spans="1:20" ht="18.75" customHeight="1">
      <c r="A162" s="972" t="s">
        <v>2062</v>
      </c>
      <c r="B162" s="167"/>
      <c r="C162" s="1327"/>
      <c r="D162" s="1322"/>
      <c r="E162" s="1327"/>
      <c r="F162" s="1327"/>
      <c r="G162" s="1327"/>
      <c r="H162" s="1327"/>
    </row>
    <row r="163" spans="1:20" ht="18.75" customHeight="1">
      <c r="A163" s="167" t="s">
        <v>2281</v>
      </c>
      <c r="B163" s="167"/>
      <c r="C163" s="1327">
        <v>60</v>
      </c>
      <c r="D163" s="1327">
        <v>1534</v>
      </c>
      <c r="E163" s="1327">
        <v>1024.0359174099999</v>
      </c>
      <c r="F163" s="1327">
        <v>504.76985879</v>
      </c>
      <c r="G163" s="1327">
        <v>438.3</v>
      </c>
      <c r="H163" s="1327">
        <v>164.58111002999999</v>
      </c>
      <c r="O163" s="160">
        <v>60</v>
      </c>
      <c r="P163" s="160">
        <v>1534</v>
      </c>
      <c r="Q163" s="160">
        <v>1024.0359174099999</v>
      </c>
      <c r="R163" s="160">
        <v>504.76985879</v>
      </c>
      <c r="S163" s="160">
        <v>438.3</v>
      </c>
      <c r="T163" s="160">
        <v>164.58111002999999</v>
      </c>
    </row>
    <row r="164" spans="1:20" ht="18.75" customHeight="1">
      <c r="A164" s="167" t="s">
        <v>2282</v>
      </c>
      <c r="B164" s="167"/>
      <c r="C164" s="1327">
        <v>0.55460136999999998</v>
      </c>
      <c r="D164" s="1327">
        <v>19.26902291</v>
      </c>
      <c r="E164" s="1327">
        <v>31.904739589999998</v>
      </c>
      <c r="F164" s="1327">
        <v>3.1019815299999998</v>
      </c>
      <c r="G164" s="1327">
        <v>2.76802481</v>
      </c>
      <c r="H164" s="1327">
        <v>23.613739859999999</v>
      </c>
      <c r="O164" s="160">
        <v>0.55460136999999998</v>
      </c>
      <c r="P164" s="160">
        <v>19.26902291</v>
      </c>
      <c r="Q164" s="160">
        <v>31.904739589999998</v>
      </c>
      <c r="R164" s="160">
        <v>3.1019815299999998</v>
      </c>
      <c r="S164" s="160">
        <v>2.76802481</v>
      </c>
      <c r="T164" s="160">
        <v>23.613739859999999</v>
      </c>
    </row>
    <row r="165" spans="1:20" ht="18.75" customHeight="1">
      <c r="A165" s="167" t="s">
        <v>2283</v>
      </c>
      <c r="B165" s="167"/>
      <c r="C165" s="1327">
        <v>0.30796867999999999</v>
      </c>
      <c r="D165" s="1327">
        <v>4.7756534299999993</v>
      </c>
      <c r="E165" s="1327">
        <v>0.31883334000000002</v>
      </c>
      <c r="F165" s="1327">
        <v>12.111459869999999</v>
      </c>
      <c r="G165" s="1327">
        <v>5.6199663900000001</v>
      </c>
      <c r="H165" s="1327">
        <v>14.85732913</v>
      </c>
      <c r="O165" s="160">
        <v>0.30796867999999999</v>
      </c>
      <c r="P165" s="160">
        <v>4.7756534299999993</v>
      </c>
      <c r="Q165" s="160">
        <v>0.31883334000000002</v>
      </c>
      <c r="R165" s="160">
        <v>12.111459869999999</v>
      </c>
      <c r="S165" s="160">
        <v>5.6199663900000001</v>
      </c>
      <c r="T165" s="160">
        <v>14.85732913</v>
      </c>
    </row>
    <row r="166" spans="1:20" ht="18.75" customHeight="1">
      <c r="A166" s="167" t="s">
        <v>2284</v>
      </c>
      <c r="B166" s="167"/>
      <c r="C166" s="1327">
        <v>0</v>
      </c>
      <c r="D166" s="1327">
        <v>0</v>
      </c>
      <c r="E166" s="1327">
        <v>0</v>
      </c>
      <c r="F166" s="1327">
        <v>0</v>
      </c>
      <c r="G166" s="1327">
        <v>0</v>
      </c>
      <c r="H166" s="1327">
        <v>0</v>
      </c>
      <c r="O166" s="160">
        <v>0</v>
      </c>
      <c r="P166" s="160">
        <v>0</v>
      </c>
      <c r="Q166" s="160">
        <v>0</v>
      </c>
      <c r="R166" s="160">
        <v>0</v>
      </c>
      <c r="S166" s="160">
        <v>0</v>
      </c>
      <c r="T166" s="160">
        <v>0</v>
      </c>
    </row>
    <row r="167" spans="1:20" ht="18.75" customHeight="1">
      <c r="A167" s="167" t="s">
        <v>2285</v>
      </c>
      <c r="B167" s="167"/>
      <c r="C167" s="1327">
        <v>0</v>
      </c>
      <c r="D167" s="1327">
        <v>0</v>
      </c>
      <c r="E167" s="1327">
        <v>0</v>
      </c>
      <c r="F167" s="1327">
        <v>32.452399999999997</v>
      </c>
      <c r="G167" s="1327">
        <v>0</v>
      </c>
      <c r="H167" s="1327">
        <v>1.67160003</v>
      </c>
      <c r="O167" s="160">
        <v>0</v>
      </c>
      <c r="P167" s="160">
        <v>0</v>
      </c>
      <c r="Q167" s="160">
        <v>0</v>
      </c>
      <c r="R167" s="160">
        <v>32.452399999999997</v>
      </c>
      <c r="S167" s="160">
        <v>0</v>
      </c>
      <c r="T167" s="160">
        <v>1.67160003</v>
      </c>
    </row>
    <row r="168" spans="1:20" ht="18.75" customHeight="1">
      <c r="A168" s="167" t="s">
        <v>2286</v>
      </c>
      <c r="B168" s="167"/>
      <c r="C168" s="1327">
        <v>60.862570049999995</v>
      </c>
      <c r="D168" s="1327">
        <v>1558.04467634</v>
      </c>
      <c r="E168" s="1327">
        <v>1056.25949034</v>
      </c>
      <c r="F168" s="1327">
        <v>552.43570019000003</v>
      </c>
      <c r="G168" s="1327">
        <v>446.6879912</v>
      </c>
      <c r="H168" s="1327">
        <v>204.72377905000002</v>
      </c>
      <c r="O168" s="160">
        <v>60.862570049999995</v>
      </c>
      <c r="P168" s="160">
        <v>1558.04467634</v>
      </c>
      <c r="Q168" s="160">
        <v>1056.25949034</v>
      </c>
      <c r="R168" s="160">
        <v>552.43570019000003</v>
      </c>
      <c r="S168" s="160">
        <v>446.6879912</v>
      </c>
      <c r="T168" s="160">
        <v>204.72377905000002</v>
      </c>
    </row>
    <row r="169" spans="1:20" ht="18.75" customHeight="1">
      <c r="A169" s="167" t="s">
        <v>2287</v>
      </c>
      <c r="B169" s="167"/>
      <c r="C169" s="1327">
        <v>186.13819752000001</v>
      </c>
      <c r="D169" s="1327">
        <v>344.59749337</v>
      </c>
      <c r="E169" s="1327">
        <v>502.55311370999999</v>
      </c>
      <c r="F169" s="1327">
        <v>607.05662364</v>
      </c>
      <c r="G169" s="1327">
        <v>421.96193806999997</v>
      </c>
      <c r="H169" s="1327">
        <v>333.63988098000004</v>
      </c>
      <c r="O169" s="160">
        <v>186.13819752000001</v>
      </c>
      <c r="P169" s="160">
        <v>344.59749337</v>
      </c>
      <c r="Q169" s="160">
        <v>502.55311370999999</v>
      </c>
      <c r="R169" s="160">
        <v>607.05662364</v>
      </c>
      <c r="S169" s="160">
        <v>421.96193806999997</v>
      </c>
      <c r="T169" s="160">
        <v>333.63988098000004</v>
      </c>
    </row>
    <row r="170" spans="1:20" ht="18.75" customHeight="1">
      <c r="A170" s="167" t="s">
        <v>2288</v>
      </c>
      <c r="B170" s="167"/>
      <c r="C170" s="1327">
        <v>30</v>
      </c>
      <c r="D170" s="1327">
        <v>2168.58</v>
      </c>
      <c r="E170" s="1327">
        <v>448</v>
      </c>
      <c r="F170" s="1327">
        <v>780.01</v>
      </c>
      <c r="G170" s="1327">
        <v>666.3</v>
      </c>
      <c r="H170" s="1327">
        <v>139.00001614999999</v>
      </c>
      <c r="O170" s="160">
        <v>30</v>
      </c>
      <c r="P170" s="160">
        <v>2168.58</v>
      </c>
      <c r="Q170" s="160">
        <v>448</v>
      </c>
      <c r="R170" s="160">
        <v>780.01</v>
      </c>
      <c r="S170" s="160">
        <v>666.3</v>
      </c>
      <c r="T170" s="160">
        <v>139.00001614999999</v>
      </c>
    </row>
    <row r="171" spans="1:20" ht="18.75" customHeight="1">
      <c r="A171" s="167" t="s">
        <v>2289</v>
      </c>
      <c r="B171" s="167"/>
      <c r="C171" s="1327">
        <v>0</v>
      </c>
      <c r="D171" s="1327">
        <v>0</v>
      </c>
      <c r="E171" s="1327">
        <v>0</v>
      </c>
      <c r="F171" s="1327">
        <v>0</v>
      </c>
      <c r="G171" s="1327">
        <v>0</v>
      </c>
      <c r="H171" s="1327">
        <v>66.37066548</v>
      </c>
      <c r="L171" s="606"/>
      <c r="O171" s="160">
        <v>0</v>
      </c>
      <c r="P171" s="160">
        <v>0</v>
      </c>
      <c r="Q171" s="160">
        <v>0</v>
      </c>
      <c r="R171" s="160">
        <v>0</v>
      </c>
      <c r="S171" s="160">
        <v>0</v>
      </c>
      <c r="T171" s="160">
        <v>66.37066548</v>
      </c>
    </row>
    <row r="172" spans="1:20" ht="18.75" customHeight="1">
      <c r="A172" s="167" t="s">
        <v>2290</v>
      </c>
      <c r="B172" s="167"/>
      <c r="C172" s="1327">
        <v>18.072907470000001</v>
      </c>
      <c r="D172" s="1327">
        <v>0</v>
      </c>
      <c r="E172" s="1327">
        <v>0</v>
      </c>
      <c r="F172" s="1327">
        <v>47.452399999999997</v>
      </c>
      <c r="G172" s="1327">
        <v>0</v>
      </c>
      <c r="H172" s="1327">
        <v>0</v>
      </c>
      <c r="O172" s="160">
        <v>18.072907470000001</v>
      </c>
      <c r="P172" s="160">
        <v>0</v>
      </c>
      <c r="Q172" s="160">
        <v>0</v>
      </c>
      <c r="R172" s="160">
        <v>47.452399999999997</v>
      </c>
      <c r="S172" s="160">
        <v>0</v>
      </c>
      <c r="T172" s="160">
        <v>0</v>
      </c>
    </row>
    <row r="173" spans="1:20" ht="18.75" customHeight="1">
      <c r="A173" s="167" t="s">
        <v>2291</v>
      </c>
      <c r="B173" s="167"/>
      <c r="C173" s="1327">
        <v>234.21110499</v>
      </c>
      <c r="D173" s="1327">
        <v>2513.1774933699999</v>
      </c>
      <c r="E173" s="1327">
        <v>950.55311371000005</v>
      </c>
      <c r="F173" s="1327">
        <v>1434.5190236400001</v>
      </c>
      <c r="G173" s="1327">
        <v>1088.26193807</v>
      </c>
      <c r="H173" s="1327">
        <v>539.01056260999997</v>
      </c>
      <c r="O173" s="160">
        <v>234.21110499</v>
      </c>
      <c r="P173" s="160">
        <v>2513.1774933699999</v>
      </c>
      <c r="Q173" s="160">
        <v>950.55311371000005</v>
      </c>
      <c r="R173" s="160">
        <v>1434.5190236400001</v>
      </c>
      <c r="S173" s="160">
        <v>1088.26193807</v>
      </c>
      <c r="T173" s="160">
        <v>539.01056260999997</v>
      </c>
    </row>
    <row r="174" spans="1:20" ht="18.75" customHeight="1">
      <c r="A174" s="1110" t="s">
        <v>2065</v>
      </c>
      <c r="B174" s="167"/>
      <c r="C174" s="1327">
        <v>-173.34853494000001</v>
      </c>
      <c r="D174" s="1327">
        <v>-955.13281702999996</v>
      </c>
      <c r="E174" s="1327">
        <v>105.70637662999999</v>
      </c>
      <c r="F174" s="1327">
        <v>-882.08332345000008</v>
      </c>
      <c r="G174" s="1327">
        <v>-641.57394686999999</v>
      </c>
      <c r="H174" s="1327">
        <v>-334.28678356</v>
      </c>
      <c r="O174" s="160">
        <v>-173.34853494000001</v>
      </c>
      <c r="P174" s="160">
        <v>-955.13281702999996</v>
      </c>
      <c r="Q174" s="160">
        <v>105.70637662999999</v>
      </c>
      <c r="R174" s="160">
        <v>-882.08332345000008</v>
      </c>
      <c r="S174" s="160">
        <v>-641.57394686999999</v>
      </c>
      <c r="T174" s="160">
        <v>-334.28678356</v>
      </c>
    </row>
    <row r="175" spans="1:20" ht="18.75" customHeight="1">
      <c r="A175" s="972" t="s">
        <v>2063</v>
      </c>
      <c r="B175" s="167"/>
      <c r="C175" s="1327"/>
      <c r="D175" s="1322"/>
      <c r="E175" s="1327"/>
      <c r="F175" s="1327"/>
      <c r="G175" s="1327"/>
      <c r="H175" s="1327"/>
    </row>
    <row r="176" spans="1:20" ht="18.75" customHeight="1">
      <c r="A176" s="167" t="s">
        <v>2292</v>
      </c>
      <c r="B176" s="167"/>
      <c r="C176" s="1327">
        <v>0</v>
      </c>
      <c r="D176" s="1327">
        <v>1432.25084782</v>
      </c>
      <c r="E176" s="1327">
        <v>0</v>
      </c>
      <c r="F176" s="1327">
        <v>59.067903000000001</v>
      </c>
      <c r="G176" s="1327">
        <v>283.58410900000001</v>
      </c>
      <c r="H176" s="1327">
        <v>0.61618300000000004</v>
      </c>
      <c r="L176" s="606"/>
      <c r="O176" s="160">
        <v>0</v>
      </c>
      <c r="P176" s="160">
        <v>1432.25084782</v>
      </c>
      <c r="Q176" s="160">
        <v>0</v>
      </c>
      <c r="R176" s="160">
        <v>59.067903000000001</v>
      </c>
      <c r="S176" s="160">
        <v>283.58410900000001</v>
      </c>
      <c r="T176" s="160">
        <v>0.61618300000000004</v>
      </c>
    </row>
    <row r="177" spans="1:20" ht="18.75" customHeight="1">
      <c r="A177" s="167" t="s">
        <v>2293</v>
      </c>
      <c r="B177" s="167"/>
      <c r="C177" s="1327">
        <v>0</v>
      </c>
      <c r="D177" s="1327">
        <v>0</v>
      </c>
      <c r="E177" s="1327">
        <v>0</v>
      </c>
      <c r="F177" s="1327">
        <v>0</v>
      </c>
      <c r="G177" s="1327">
        <v>0</v>
      </c>
      <c r="H177" s="1327">
        <v>0</v>
      </c>
      <c r="L177" s="606"/>
      <c r="O177" s="160">
        <v>0</v>
      </c>
      <c r="P177" s="160">
        <v>0</v>
      </c>
      <c r="Q177" s="160">
        <v>0</v>
      </c>
      <c r="R177" s="160">
        <v>0</v>
      </c>
      <c r="S177" s="160">
        <v>0</v>
      </c>
      <c r="T177" s="160">
        <v>0</v>
      </c>
    </row>
    <row r="178" spans="1:20" ht="18.75" customHeight="1">
      <c r="A178" s="167" t="s">
        <v>2294</v>
      </c>
      <c r="B178" s="167"/>
      <c r="C178" s="1327">
        <v>153</v>
      </c>
      <c r="D178" s="1327">
        <v>595.5</v>
      </c>
      <c r="E178" s="1327">
        <v>879.5</v>
      </c>
      <c r="F178" s="1327">
        <v>1267.3956293800002</v>
      </c>
      <c r="G178" s="1327">
        <v>1906.04299225</v>
      </c>
      <c r="H178" s="1327">
        <v>1713.3648517000001</v>
      </c>
      <c r="O178" s="160">
        <v>153</v>
      </c>
      <c r="P178" s="160">
        <v>595.5</v>
      </c>
      <c r="Q178" s="160">
        <v>879.5</v>
      </c>
      <c r="R178" s="160">
        <v>1267.3956293800002</v>
      </c>
      <c r="S178" s="160">
        <v>1906.04299225</v>
      </c>
      <c r="T178" s="160">
        <v>1713.3648517000001</v>
      </c>
    </row>
    <row r="179" spans="1:20" ht="18.75" customHeight="1">
      <c r="A179" s="167" t="s">
        <v>2295</v>
      </c>
      <c r="B179" s="167"/>
      <c r="C179" s="1327">
        <v>45.628678210000004</v>
      </c>
      <c r="D179" s="1327">
        <v>125.07866623000001</v>
      </c>
      <c r="E179" s="1327">
        <v>35.28513744</v>
      </c>
      <c r="F179" s="1327">
        <v>416.78938985000002</v>
      </c>
      <c r="G179" s="1327">
        <v>40.136216429999998</v>
      </c>
      <c r="H179" s="1327">
        <v>84.924493060000003</v>
      </c>
      <c r="O179" s="160">
        <v>45.628678210000004</v>
      </c>
      <c r="P179" s="160">
        <v>125.07866623000001</v>
      </c>
      <c r="Q179" s="160">
        <v>35.28513744</v>
      </c>
      <c r="R179" s="160">
        <v>416.78938985000002</v>
      </c>
      <c r="S179" s="160">
        <v>40.136216429999998</v>
      </c>
      <c r="T179" s="160">
        <v>84.924493060000003</v>
      </c>
    </row>
    <row r="180" spans="1:20" ht="18.75" customHeight="1">
      <c r="A180" s="167" t="s">
        <v>2296</v>
      </c>
      <c r="B180" s="167"/>
      <c r="C180" s="1327">
        <v>0</v>
      </c>
      <c r="D180" s="1327">
        <v>0</v>
      </c>
      <c r="E180" s="1327">
        <v>0</v>
      </c>
      <c r="F180" s="1327">
        <v>0</v>
      </c>
      <c r="G180" s="1327">
        <v>0</v>
      </c>
      <c r="H180" s="1327">
        <v>0</v>
      </c>
      <c r="O180" s="160">
        <v>0</v>
      </c>
      <c r="P180" s="160">
        <v>0</v>
      </c>
      <c r="Q180" s="160">
        <v>0</v>
      </c>
      <c r="R180" s="160">
        <v>0</v>
      </c>
      <c r="S180" s="160">
        <v>0</v>
      </c>
      <c r="T180" s="160">
        <v>0</v>
      </c>
    </row>
    <row r="181" spans="1:20" ht="18.75" customHeight="1">
      <c r="A181" s="167" t="s">
        <v>2297</v>
      </c>
      <c r="B181" s="167"/>
      <c r="C181" s="1327">
        <v>198.62867821</v>
      </c>
      <c r="D181" s="1327">
        <v>2152.8295140500004</v>
      </c>
      <c r="E181" s="1327">
        <v>914.78513744000009</v>
      </c>
      <c r="F181" s="1327">
        <v>1743.25292223</v>
      </c>
      <c r="G181" s="1327">
        <v>2229.76331768</v>
      </c>
      <c r="H181" s="1327">
        <v>1798.90552776</v>
      </c>
      <c r="O181" s="160">
        <v>198.62867821</v>
      </c>
      <c r="P181" s="160">
        <v>2152.8295140500004</v>
      </c>
      <c r="Q181" s="160">
        <v>914.78513744000009</v>
      </c>
      <c r="R181" s="160">
        <v>1743.25292223</v>
      </c>
      <c r="S181" s="160">
        <v>2229.76331768</v>
      </c>
      <c r="T181" s="160">
        <v>1798.90552776</v>
      </c>
    </row>
    <row r="182" spans="1:20" ht="18.75" customHeight="1">
      <c r="A182" s="167" t="s">
        <v>2298</v>
      </c>
      <c r="B182" s="167"/>
      <c r="C182" s="1327">
        <v>66.881252880000005</v>
      </c>
      <c r="D182" s="1327">
        <v>332.88125287999998</v>
      </c>
      <c r="E182" s="1327">
        <v>726.24304266999991</v>
      </c>
      <c r="F182" s="1327">
        <v>1029.2</v>
      </c>
      <c r="G182" s="1327">
        <v>1211.75762986</v>
      </c>
      <c r="H182" s="1327">
        <v>1494.4204084300002</v>
      </c>
      <c r="O182" s="160">
        <v>66.881252880000005</v>
      </c>
      <c r="P182" s="160">
        <v>332.88125287999998</v>
      </c>
      <c r="Q182" s="160">
        <v>726.24304266999991</v>
      </c>
      <c r="R182" s="160">
        <v>1029.2</v>
      </c>
      <c r="S182" s="160">
        <v>1211.75762986</v>
      </c>
      <c r="T182" s="160">
        <v>1494.4204084300002</v>
      </c>
    </row>
    <row r="183" spans="1:20" ht="18.75" customHeight="1">
      <c r="A183" s="167" t="s">
        <v>2309</v>
      </c>
      <c r="B183" s="167"/>
      <c r="C183" s="1327">
        <v>40.867154490000004</v>
      </c>
      <c r="D183" s="1327">
        <v>53.534912219999995</v>
      </c>
      <c r="E183" s="1327">
        <v>59.8443872</v>
      </c>
      <c r="F183" s="1327">
        <v>31.013875729999999</v>
      </c>
      <c r="G183" s="1327">
        <v>147.09857184000001</v>
      </c>
      <c r="H183" s="1327">
        <v>79.145565599999998</v>
      </c>
      <c r="O183" s="160">
        <v>40.867154490000004</v>
      </c>
      <c r="P183" s="160">
        <v>53.534912219999995</v>
      </c>
      <c r="Q183" s="160">
        <v>59.8443872</v>
      </c>
      <c r="R183" s="160">
        <v>31.013875729999999</v>
      </c>
      <c r="S183" s="160">
        <v>147.09857184000001</v>
      </c>
      <c r="T183" s="160">
        <v>79.145565599999998</v>
      </c>
    </row>
    <row r="184" spans="1:20" ht="18.75" customHeight="1">
      <c r="A184" s="167" t="s">
        <v>2310</v>
      </c>
      <c r="B184" s="167"/>
      <c r="C184" s="1327">
        <v>0</v>
      </c>
      <c r="D184" s="1327">
        <v>0</v>
      </c>
      <c r="E184" s="1327">
        <v>0</v>
      </c>
      <c r="F184" s="1327">
        <v>0</v>
      </c>
      <c r="G184" s="1327">
        <v>0</v>
      </c>
      <c r="H184" s="1327">
        <v>0</v>
      </c>
      <c r="O184" s="160">
        <v>0</v>
      </c>
      <c r="P184" s="160">
        <v>0</v>
      </c>
      <c r="Q184" s="160">
        <v>0</v>
      </c>
      <c r="R184" s="160">
        <v>0</v>
      </c>
      <c r="S184" s="160">
        <v>0</v>
      </c>
      <c r="T184" s="160">
        <v>0</v>
      </c>
    </row>
    <row r="185" spans="1:20" ht="18.75" customHeight="1">
      <c r="A185" s="167" t="s">
        <v>2311</v>
      </c>
      <c r="B185" s="167"/>
      <c r="C185" s="1327">
        <v>142.13304640999999</v>
      </c>
      <c r="D185" s="1327">
        <v>131.81254684000001</v>
      </c>
      <c r="E185" s="1327">
        <v>178.89020912999999</v>
      </c>
      <c r="F185" s="1327">
        <v>35.014488</v>
      </c>
      <c r="G185" s="1327">
        <v>220.97582424999999</v>
      </c>
      <c r="H185" s="1327">
        <v>100.16252206999999</v>
      </c>
      <c r="O185" s="160">
        <v>142.13304640999999</v>
      </c>
      <c r="P185" s="160">
        <v>131.81254684000001</v>
      </c>
      <c r="Q185" s="160">
        <v>178.89020912999999</v>
      </c>
      <c r="R185" s="160">
        <v>35.014488</v>
      </c>
      <c r="S185" s="160">
        <v>220.97582424999999</v>
      </c>
      <c r="T185" s="160">
        <v>100.16252206999999</v>
      </c>
    </row>
    <row r="186" spans="1:20" ht="18.75" customHeight="1">
      <c r="A186" s="167" t="s">
        <v>2299</v>
      </c>
      <c r="B186" s="167"/>
      <c r="C186" s="1327">
        <v>249.88145378000002</v>
      </c>
      <c r="D186" s="1327">
        <v>518.22871194000004</v>
      </c>
      <c r="E186" s="1327">
        <v>964.97763899999995</v>
      </c>
      <c r="F186" s="1327">
        <v>1095.22836373</v>
      </c>
      <c r="G186" s="1327">
        <v>1579.8320259500001</v>
      </c>
      <c r="H186" s="1327">
        <v>1673.7284960999998</v>
      </c>
      <c r="O186" s="160">
        <v>249.88145378000002</v>
      </c>
      <c r="P186" s="160">
        <v>518.22871194000004</v>
      </c>
      <c r="Q186" s="160">
        <v>964.97763899999995</v>
      </c>
      <c r="R186" s="160">
        <v>1095.22836373</v>
      </c>
      <c r="S186" s="160">
        <v>1579.8320259500001</v>
      </c>
      <c r="T186" s="160">
        <v>1673.7284960999998</v>
      </c>
    </row>
    <row r="187" spans="1:20" ht="18.75" customHeight="1">
      <c r="A187" s="1110" t="s">
        <v>2066</v>
      </c>
      <c r="B187" s="167"/>
      <c r="C187" s="1327">
        <v>-51.252775569999997</v>
      </c>
      <c r="D187" s="1327">
        <v>1634.6008021099999</v>
      </c>
      <c r="E187" s="1327">
        <v>-50.192501560000004</v>
      </c>
      <c r="F187" s="1327">
        <v>648.02455850000001</v>
      </c>
      <c r="G187" s="1327">
        <v>649.93129173</v>
      </c>
      <c r="H187" s="1327">
        <v>125.17703166</v>
      </c>
      <c r="O187" s="160">
        <v>-51.252775569999997</v>
      </c>
      <c r="P187" s="160">
        <v>1634.6008021099999</v>
      </c>
      <c r="Q187" s="160">
        <v>-50.192501560000004</v>
      </c>
      <c r="R187" s="160">
        <v>648.02455850000001</v>
      </c>
      <c r="S187" s="160">
        <v>649.93129173</v>
      </c>
      <c r="T187" s="160">
        <v>125.17703166</v>
      </c>
    </row>
    <row r="188" spans="1:20" ht="18.75" customHeight="1">
      <c r="A188" s="972" t="s">
        <v>2064</v>
      </c>
      <c r="B188" s="167"/>
      <c r="C188" s="1327"/>
      <c r="D188" s="1322"/>
      <c r="E188" s="1327"/>
      <c r="F188" s="1327"/>
      <c r="G188" s="1327"/>
      <c r="H188" s="1327"/>
    </row>
    <row r="189" spans="1:20" ht="18.75" customHeight="1">
      <c r="A189" s="167" t="s">
        <v>2312</v>
      </c>
      <c r="B189" s="167"/>
      <c r="C189" s="1327">
        <v>0</v>
      </c>
      <c r="D189" s="1327">
        <v>0</v>
      </c>
      <c r="E189" s="1327">
        <v>-0.70957142000000006</v>
      </c>
      <c r="F189" s="1327">
        <v>-0.33629543000000001</v>
      </c>
      <c r="G189" s="1327">
        <v>0.27737139</v>
      </c>
      <c r="H189" s="1327">
        <v>4.8946852400000003</v>
      </c>
      <c r="O189" s="160">
        <v>0</v>
      </c>
      <c r="P189" s="160">
        <v>0</v>
      </c>
      <c r="Q189" s="160">
        <v>-0.70957142000000006</v>
      </c>
      <c r="R189" s="160">
        <v>-0.33629543000000001</v>
      </c>
      <c r="S189" s="160">
        <v>0.27737139</v>
      </c>
      <c r="T189" s="160">
        <v>4.8946852400000003</v>
      </c>
    </row>
    <row r="190" spans="1:20" ht="18.75" customHeight="1">
      <c r="A190" s="972" t="s">
        <v>2300</v>
      </c>
      <c r="B190" s="167"/>
      <c r="C190" s="1327">
        <v>-124.17101965000001</v>
      </c>
      <c r="D190" s="1327">
        <v>481.00602603999999</v>
      </c>
      <c r="E190" s="1327">
        <v>229.51502899000002</v>
      </c>
      <c r="F190" s="1327">
        <v>317.78521993999999</v>
      </c>
      <c r="G190" s="1327">
        <v>619.76928358999999</v>
      </c>
      <c r="H190" s="1327">
        <v>31.082781570000002</v>
      </c>
      <c r="O190" s="160">
        <v>-124.17101965000001</v>
      </c>
      <c r="P190" s="160">
        <v>481.00602603999999</v>
      </c>
      <c r="Q190" s="160">
        <v>229.51502899000002</v>
      </c>
      <c r="R190" s="160">
        <v>317.78521993999999</v>
      </c>
      <c r="S190" s="160">
        <v>619.76928358999999</v>
      </c>
      <c r="T190" s="160">
        <v>31.082781570000002</v>
      </c>
    </row>
    <row r="191" spans="1:20" ht="18.75" customHeight="1">
      <c r="A191" s="167" t="s">
        <v>2301</v>
      </c>
      <c r="B191" s="167"/>
      <c r="C191" s="1327">
        <v>351.85367660000003</v>
      </c>
      <c r="D191" s="1327">
        <v>227.68265694999999</v>
      </c>
      <c r="E191" s="1327">
        <v>708.68868298999996</v>
      </c>
      <c r="F191" s="1327">
        <v>938.20371197999998</v>
      </c>
      <c r="G191" s="1327">
        <v>1255.9889319200001</v>
      </c>
      <c r="H191" s="1327">
        <v>1875.7582155099999</v>
      </c>
      <c r="O191" s="160">
        <v>351.85367660000003</v>
      </c>
      <c r="P191" s="160">
        <v>227.68265694999999</v>
      </c>
      <c r="Q191" s="160">
        <v>708.68868298999996</v>
      </c>
      <c r="R191" s="160">
        <v>938.20371197999998</v>
      </c>
      <c r="S191" s="160">
        <v>1255.9889319200001</v>
      </c>
      <c r="T191" s="160">
        <v>1875.7582155099999</v>
      </c>
    </row>
    <row r="192" spans="1:20" ht="18.75" customHeight="1">
      <c r="A192" s="167" t="s">
        <v>2302</v>
      </c>
      <c r="B192" s="167"/>
      <c r="C192" s="1327">
        <v>227.68265694999999</v>
      </c>
      <c r="D192" s="1327">
        <v>708.68868298999996</v>
      </c>
      <c r="E192" s="1327">
        <v>938.20371197999998</v>
      </c>
      <c r="F192" s="1327">
        <v>1255.9889319200001</v>
      </c>
      <c r="G192" s="1327">
        <v>1875.7582155099999</v>
      </c>
      <c r="H192" s="1327">
        <v>1906.8409970799999</v>
      </c>
      <c r="O192" s="160">
        <v>227.68265694999999</v>
      </c>
      <c r="P192" s="160">
        <v>708.68868298999996</v>
      </c>
      <c r="Q192" s="160">
        <v>938.20371197999998</v>
      </c>
      <c r="R192" s="160">
        <v>1255.9889319200001</v>
      </c>
      <c r="S192" s="160">
        <v>1875.7582155099999</v>
      </c>
      <c r="T192" s="160">
        <v>1906.8409970799999</v>
      </c>
    </row>
    <row r="193" spans="1:20" ht="18.75" customHeight="1">
      <c r="A193" s="167"/>
      <c r="B193" s="167"/>
      <c r="C193" s="1327"/>
      <c r="D193" s="1322"/>
      <c r="E193" s="1327"/>
      <c r="F193" s="1327"/>
      <c r="G193" s="1327"/>
      <c r="H193" s="1327"/>
    </row>
    <row r="194" spans="1:20" ht="18.75" customHeight="1">
      <c r="A194" s="1111" t="s">
        <v>2303</v>
      </c>
      <c r="B194" s="167"/>
      <c r="C194" s="1327"/>
      <c r="D194" s="1322"/>
      <c r="E194" s="1327"/>
      <c r="F194" s="1327"/>
      <c r="G194" s="1327"/>
      <c r="H194" s="1327"/>
    </row>
    <row r="195" spans="1:20" ht="18.75" customHeight="1">
      <c r="A195" s="167" t="s">
        <v>2304</v>
      </c>
      <c r="B195" s="167"/>
      <c r="C195" s="1327">
        <v>217.4374837</v>
      </c>
      <c r="D195" s="1327">
        <v>185.26724731000002</v>
      </c>
      <c r="E195" s="1327">
        <v>363.36151508999995</v>
      </c>
      <c r="F195" s="1327">
        <v>890.33413537000001</v>
      </c>
      <c r="G195" s="1327">
        <v>672.61913852999999</v>
      </c>
      <c r="H195" s="1327">
        <v>177.91475842</v>
      </c>
      <c r="O195" s="160">
        <v>217.4374837</v>
      </c>
      <c r="P195" s="160">
        <v>185.26724731000002</v>
      </c>
      <c r="Q195" s="160">
        <v>363.36151508999995</v>
      </c>
      <c r="R195" s="160">
        <v>890.33413537000001</v>
      </c>
      <c r="S195" s="160">
        <v>672.61913852999999</v>
      </c>
      <c r="T195" s="160">
        <v>177.91475842</v>
      </c>
    </row>
    <row r="196" spans="1:20" ht="18.75" customHeight="1">
      <c r="A196" s="167" t="s">
        <v>2305</v>
      </c>
      <c r="B196" s="167"/>
      <c r="C196" s="1327">
        <v>29.382289420000003</v>
      </c>
      <c r="D196" s="1327">
        <v>55.363089659999993</v>
      </c>
      <c r="E196" s="1327">
        <v>118.93363391</v>
      </c>
      <c r="F196" s="1327">
        <v>277.60382993000002</v>
      </c>
      <c r="G196" s="1327">
        <v>275.35793547000003</v>
      </c>
      <c r="H196" s="1327">
        <v>262.04207484</v>
      </c>
      <c r="O196" s="160">
        <v>29.382289420000003</v>
      </c>
      <c r="P196" s="160">
        <v>55.363089659999993</v>
      </c>
      <c r="Q196" s="160">
        <v>118.93363391</v>
      </c>
      <c r="R196" s="160">
        <v>277.60382993000002</v>
      </c>
      <c r="S196" s="160">
        <v>275.35793547000003</v>
      </c>
      <c r="T196" s="160">
        <v>262.04207484</v>
      </c>
    </row>
    <row r="197" spans="1:20" ht="18.75" customHeight="1">
      <c r="A197" s="167" t="s">
        <v>2306</v>
      </c>
      <c r="B197" s="167"/>
      <c r="C197" s="1327">
        <v>20.968275670000001</v>
      </c>
      <c r="D197" s="1327">
        <v>38.124107509999995</v>
      </c>
      <c r="E197" s="1327">
        <v>61.57537533</v>
      </c>
      <c r="F197" s="1327">
        <v>94.479129459999996</v>
      </c>
      <c r="G197" s="1327">
        <v>148.8681899</v>
      </c>
      <c r="H197" s="1327">
        <v>192.13687737999999</v>
      </c>
      <c r="O197" s="160">
        <v>20.968275670000001</v>
      </c>
      <c r="P197" s="160">
        <v>38.124107509999995</v>
      </c>
      <c r="Q197" s="160">
        <v>61.57537533</v>
      </c>
      <c r="R197" s="160">
        <v>94.479129459999996</v>
      </c>
      <c r="S197" s="160">
        <v>148.8681899</v>
      </c>
      <c r="T197" s="160">
        <v>192.13687737999999</v>
      </c>
    </row>
    <row r="198" spans="1:20" ht="18.75" customHeight="1">
      <c r="A198" s="167" t="s">
        <v>2307</v>
      </c>
      <c r="B198" s="167"/>
      <c r="C198" s="1327">
        <v>2.6682749599999998</v>
      </c>
      <c r="D198" s="1327">
        <v>2.9517636</v>
      </c>
      <c r="E198" s="1327">
        <v>3.28964627</v>
      </c>
      <c r="F198" s="1327">
        <v>4.2621167599999996</v>
      </c>
      <c r="G198" s="1327">
        <v>4.4624662599999994</v>
      </c>
      <c r="H198" s="1327">
        <v>9.828755769999999</v>
      </c>
      <c r="O198" s="160">
        <v>2.6682749599999998</v>
      </c>
      <c r="P198" s="160">
        <v>2.9517636</v>
      </c>
      <c r="Q198" s="160">
        <v>3.28964627</v>
      </c>
      <c r="R198" s="160">
        <v>4.2621167599999996</v>
      </c>
      <c r="S198" s="160">
        <v>4.4624662599999994</v>
      </c>
      <c r="T198" s="160">
        <v>9.828755769999999</v>
      </c>
    </row>
    <row r="199" spans="1:20" ht="18.75" customHeight="1">
      <c r="A199" s="167" t="s">
        <v>2308</v>
      </c>
      <c r="B199" s="167"/>
      <c r="C199" s="1327">
        <v>0.59153321999999997</v>
      </c>
      <c r="D199" s="1327">
        <v>0.55325298000000001</v>
      </c>
      <c r="E199" s="1327">
        <v>0.81907752</v>
      </c>
      <c r="F199" s="1327">
        <v>2.62396327</v>
      </c>
      <c r="G199" s="1327">
        <v>2.27377713</v>
      </c>
      <c r="H199" s="1327">
        <v>1.5319223700000002</v>
      </c>
      <c r="O199" s="160">
        <v>0.59153321999999997</v>
      </c>
      <c r="P199" s="160">
        <v>0.55325298000000001</v>
      </c>
      <c r="Q199" s="160">
        <v>0.81907752</v>
      </c>
      <c r="R199" s="160">
        <v>2.62396327</v>
      </c>
      <c r="S199" s="160">
        <v>2.27377713</v>
      </c>
      <c r="T199" s="160">
        <v>1.5319223700000002</v>
      </c>
    </row>
    <row r="200" spans="1:20" ht="18.75" customHeight="1">
      <c r="A200" s="167" t="s">
        <v>2067</v>
      </c>
      <c r="B200" s="167"/>
      <c r="C200" s="1327">
        <v>0</v>
      </c>
      <c r="D200" s="1327">
        <v>0</v>
      </c>
      <c r="E200" s="1327">
        <v>0</v>
      </c>
      <c r="F200" s="1327">
        <v>0</v>
      </c>
      <c r="G200" s="1327">
        <v>0</v>
      </c>
      <c r="H200" s="1327">
        <v>0</v>
      </c>
      <c r="O200" s="160">
        <v>0</v>
      </c>
      <c r="P200" s="160">
        <v>0</v>
      </c>
      <c r="Q200" s="160">
        <v>0</v>
      </c>
      <c r="R200" s="160">
        <v>0</v>
      </c>
      <c r="S200" s="160">
        <v>0</v>
      </c>
      <c r="T200" s="160">
        <v>0</v>
      </c>
    </row>
    <row r="201" spans="1:20" ht="18.75" customHeight="1">
      <c r="A201" s="167" t="s">
        <v>2068</v>
      </c>
      <c r="B201" s="167"/>
      <c r="C201" s="1327">
        <v>0</v>
      </c>
      <c r="D201" s="1327">
        <v>0</v>
      </c>
      <c r="E201" s="1327">
        <v>0</v>
      </c>
      <c r="F201" s="1327">
        <v>0</v>
      </c>
      <c r="G201" s="1327">
        <v>0</v>
      </c>
      <c r="H201" s="1327">
        <v>0</v>
      </c>
      <c r="O201" s="160">
        <v>0</v>
      </c>
      <c r="P201" s="160">
        <v>0</v>
      </c>
      <c r="Q201" s="160">
        <v>0</v>
      </c>
      <c r="R201" s="160">
        <v>0</v>
      </c>
      <c r="S201" s="160">
        <v>0</v>
      </c>
      <c r="T201" s="160">
        <v>0</v>
      </c>
    </row>
    <row r="202" spans="1:20" ht="18.75" customHeight="1">
      <c r="A202" s="167" t="s">
        <v>2069</v>
      </c>
      <c r="B202" s="167"/>
      <c r="C202" s="1327">
        <v>0.65853287000000005</v>
      </c>
      <c r="D202" s="1327">
        <v>-1.5737352499999999</v>
      </c>
      <c r="E202" s="1327">
        <v>1.3935956999999999</v>
      </c>
      <c r="F202" s="1327">
        <v>7.6598693300000003</v>
      </c>
      <c r="G202" s="1327">
        <v>6.4920323499999997</v>
      </c>
      <c r="H202" s="1327">
        <v>3.3414100899999997</v>
      </c>
      <c r="O202" s="160">
        <v>0.65853287000000005</v>
      </c>
      <c r="P202" s="160">
        <v>-1.5737352499999999</v>
      </c>
      <c r="Q202" s="160">
        <v>1.3935956999999999</v>
      </c>
      <c r="R202" s="160">
        <v>7.6598693300000003</v>
      </c>
      <c r="S202" s="160">
        <v>6.4920323499999997</v>
      </c>
      <c r="T202" s="160">
        <v>3.3414100899999997</v>
      </c>
    </row>
    <row r="203" spans="1:20" ht="18.75" customHeight="1">
      <c r="A203" s="167" t="s">
        <v>2070</v>
      </c>
      <c r="B203" s="167"/>
      <c r="C203" s="1327">
        <v>0</v>
      </c>
      <c r="D203" s="1327">
        <v>0</v>
      </c>
      <c r="E203" s="1327">
        <v>0</v>
      </c>
      <c r="F203" s="1327">
        <v>0</v>
      </c>
      <c r="G203" s="1327">
        <v>0</v>
      </c>
      <c r="H203" s="1327">
        <v>0.39005397999999997</v>
      </c>
      <c r="O203" s="160">
        <v>0</v>
      </c>
      <c r="P203" s="160">
        <v>0</v>
      </c>
      <c r="Q203" s="160">
        <v>0</v>
      </c>
      <c r="R203" s="160">
        <v>0</v>
      </c>
      <c r="S203" s="160">
        <v>0</v>
      </c>
      <c r="T203" s="160">
        <v>0.39005397999999997</v>
      </c>
    </row>
    <row r="204" spans="1:20" ht="18.75" customHeight="1">
      <c r="A204" s="167" t="s">
        <v>2071</v>
      </c>
      <c r="B204" s="167"/>
      <c r="C204" s="1327">
        <v>0</v>
      </c>
      <c r="D204" s="1327">
        <v>-9.9251041600000001</v>
      </c>
      <c r="E204" s="1327">
        <v>0</v>
      </c>
      <c r="F204" s="1327">
        <v>-0.19637222000000001</v>
      </c>
      <c r="G204" s="1327">
        <v>-8.8465899999999997E-3</v>
      </c>
      <c r="H204" s="1327">
        <v>-40.805791849999999</v>
      </c>
      <c r="O204" s="160">
        <v>0</v>
      </c>
      <c r="P204" s="160">
        <v>-9.9251041600000001</v>
      </c>
      <c r="Q204" s="160">
        <v>0</v>
      </c>
      <c r="R204" s="160">
        <v>-0.19637222000000001</v>
      </c>
      <c r="S204" s="160">
        <v>-8.8465899999999997E-3</v>
      </c>
      <c r="T204" s="160">
        <v>-40.805791849999999</v>
      </c>
    </row>
    <row r="205" spans="1:20" ht="18.75" customHeight="1">
      <c r="A205" s="167" t="s">
        <v>2045</v>
      </c>
      <c r="B205" s="167"/>
      <c r="C205" s="1327">
        <v>8.9310099399999991</v>
      </c>
      <c r="D205" s="1327">
        <v>23.18344012</v>
      </c>
      <c r="E205" s="1327">
        <v>32.479917469999997</v>
      </c>
      <c r="F205" s="1327">
        <v>40.948442929999999</v>
      </c>
      <c r="G205" s="1327">
        <v>54.257942010000001</v>
      </c>
      <c r="H205" s="1327">
        <v>81.759244269999996</v>
      </c>
      <c r="O205" s="160">
        <v>8.9310099399999991</v>
      </c>
      <c r="P205" s="160">
        <v>23.18344012</v>
      </c>
      <c r="Q205" s="160">
        <v>32.479917469999997</v>
      </c>
      <c r="R205" s="160">
        <v>40.948442929999999</v>
      </c>
      <c r="S205" s="160">
        <v>54.257942010000001</v>
      </c>
      <c r="T205" s="160">
        <v>81.759244269999996</v>
      </c>
    </row>
    <row r="206" spans="1:20" ht="18.75" customHeight="1">
      <c r="A206" s="167" t="s">
        <v>2072</v>
      </c>
      <c r="B206" s="167"/>
      <c r="C206" s="1327">
        <v>2.3558941</v>
      </c>
      <c r="D206" s="1327">
        <v>-19.26902291</v>
      </c>
      <c r="E206" s="1327">
        <v>-21.979622389999999</v>
      </c>
      <c r="F206" s="1327">
        <v>27.984675469999999</v>
      </c>
      <c r="G206" s="1327">
        <v>-6.7750804599999999</v>
      </c>
      <c r="H206" s="1327">
        <v>-22.73020296</v>
      </c>
      <c r="O206" s="160">
        <v>2.3558941</v>
      </c>
      <c r="P206" s="160">
        <v>-19.26902291</v>
      </c>
      <c r="Q206" s="160">
        <v>-21.979622389999999</v>
      </c>
      <c r="R206" s="160">
        <v>27.984675469999999</v>
      </c>
      <c r="S206" s="160">
        <v>-6.7750804599999999</v>
      </c>
      <c r="T206" s="160">
        <v>-22.73020296</v>
      </c>
    </row>
    <row r="207" spans="1:20" ht="18.75" customHeight="1">
      <c r="A207" s="167" t="s">
        <v>2073</v>
      </c>
      <c r="B207" s="167"/>
      <c r="C207" s="1327">
        <v>-9.8870375399999997</v>
      </c>
      <c r="D207" s="1327">
        <v>-23.97726973</v>
      </c>
      <c r="E207" s="1327">
        <v>-50.490564689999999</v>
      </c>
      <c r="F207" s="1327">
        <v>-61.966418740000002</v>
      </c>
      <c r="G207" s="1327">
        <v>5.02834863</v>
      </c>
      <c r="H207" s="1327">
        <v>-31.366024410000001</v>
      </c>
      <c r="O207" s="160">
        <v>-9.8870375399999997</v>
      </c>
      <c r="P207" s="160">
        <v>-23.97726973</v>
      </c>
      <c r="Q207" s="160">
        <v>-50.490564689999999</v>
      </c>
      <c r="R207" s="160">
        <v>-61.966418740000002</v>
      </c>
      <c r="S207" s="160">
        <v>5.02834863</v>
      </c>
      <c r="T207" s="160">
        <v>-31.366024410000001</v>
      </c>
    </row>
    <row r="208" spans="1:20" ht="18.75" customHeight="1">
      <c r="A208" s="167" t="s">
        <v>2074</v>
      </c>
      <c r="B208" s="167"/>
      <c r="C208" s="1327">
        <v>-7.6590000000000005E-2</v>
      </c>
      <c r="D208" s="1327">
        <v>1.4887656200000001</v>
      </c>
      <c r="E208" s="1327">
        <v>-1.4887656200000001</v>
      </c>
      <c r="F208" s="1327">
        <v>2.9455830000000002E-2</v>
      </c>
      <c r="G208" s="1327">
        <v>-2.8128839999999999E-2</v>
      </c>
      <c r="H208" s="1327">
        <v>14.924643509999999</v>
      </c>
      <c r="O208" s="160">
        <v>-7.6590000000000005E-2</v>
      </c>
      <c r="P208" s="160">
        <v>1.4887656200000001</v>
      </c>
      <c r="Q208" s="160">
        <v>-1.4887656200000001</v>
      </c>
      <c r="R208" s="160">
        <v>2.9455830000000002E-2</v>
      </c>
      <c r="S208" s="160">
        <v>-2.8128839999999999E-2</v>
      </c>
      <c r="T208" s="160">
        <v>14.924643509999999</v>
      </c>
    </row>
    <row r="209" spans="1:20" ht="18.75" customHeight="1">
      <c r="A209" s="167" t="s">
        <v>2075</v>
      </c>
      <c r="B209" s="167"/>
      <c r="C209" s="1327">
        <v>-73.469887079999992</v>
      </c>
      <c r="D209" s="1327">
        <v>-88.057470469999998</v>
      </c>
      <c r="E209" s="1327">
        <v>-297.19744324999999</v>
      </c>
      <c r="F209" s="1327">
        <v>-134.89713738</v>
      </c>
      <c r="G209" s="1327">
        <v>-79.760273999999995</v>
      </c>
      <c r="H209" s="1327">
        <v>-71.357487379999995</v>
      </c>
      <c r="O209" s="160">
        <v>-73.469887079999992</v>
      </c>
      <c r="P209" s="160">
        <v>-88.057470469999998</v>
      </c>
      <c r="Q209" s="160">
        <v>-297.19744324999999</v>
      </c>
      <c r="R209" s="160">
        <v>-134.89713738</v>
      </c>
      <c r="S209" s="160">
        <v>-79.760273999999995</v>
      </c>
      <c r="T209" s="160">
        <v>-71.357487379999995</v>
      </c>
    </row>
    <row r="210" spans="1:20" ht="18.75" customHeight="1">
      <c r="A210" s="167" t="s">
        <v>2076</v>
      </c>
      <c r="B210" s="167"/>
      <c r="C210" s="1327">
        <v>-515.29182823999997</v>
      </c>
      <c r="D210" s="1327">
        <v>-1041.40365051</v>
      </c>
      <c r="E210" s="1327">
        <v>-891.07756187999996</v>
      </c>
      <c r="F210" s="1327">
        <v>-1396.20494622</v>
      </c>
      <c r="G210" s="1327">
        <v>-1920.1450620399999</v>
      </c>
      <c r="H210" s="1327">
        <v>-1115.52558329</v>
      </c>
      <c r="O210" s="160">
        <v>-515.29182823999997</v>
      </c>
      <c r="P210" s="160">
        <v>-1041.40365051</v>
      </c>
      <c r="Q210" s="160">
        <v>-891.07756187999996</v>
      </c>
      <c r="R210" s="160">
        <v>-1396.20494622</v>
      </c>
      <c r="S210" s="160">
        <v>-1920.1450620399999</v>
      </c>
      <c r="T210" s="160">
        <v>-1115.52558329</v>
      </c>
    </row>
    <row r="211" spans="1:20" ht="18.75" customHeight="1">
      <c r="A211" s="167" t="s">
        <v>2077</v>
      </c>
      <c r="B211" s="167"/>
      <c r="C211" s="1327">
        <v>416.22608799</v>
      </c>
      <c r="D211" s="1327">
        <v>671.03866741000002</v>
      </c>
      <c r="E211" s="1327">
        <v>833.63296872000001</v>
      </c>
      <c r="F211" s="1327">
        <v>773.14787103999993</v>
      </c>
      <c r="G211" s="1327">
        <v>1397.16588974</v>
      </c>
      <c r="H211" s="1327">
        <v>728.09038892000001</v>
      </c>
      <c r="O211" s="160">
        <v>416.22608799</v>
      </c>
      <c r="P211" s="160">
        <v>671.03866741000002</v>
      </c>
      <c r="Q211" s="160">
        <v>833.63296872000001</v>
      </c>
      <c r="R211" s="160">
        <v>773.14787103999993</v>
      </c>
      <c r="S211" s="160">
        <v>1397.16588974</v>
      </c>
      <c r="T211" s="160">
        <v>728.09038892000001</v>
      </c>
    </row>
    <row r="212" spans="1:20" ht="18.75" customHeight="1">
      <c r="A212" s="167" t="s">
        <v>2078</v>
      </c>
      <c r="B212" s="167"/>
      <c r="C212" s="1327">
        <v>-6.3748150000000003E-2</v>
      </c>
      <c r="D212" s="1327">
        <v>7.7739597800000002</v>
      </c>
      <c r="E212" s="1327">
        <v>21.45895316</v>
      </c>
      <c r="F212" s="1327">
        <v>26.371665489999998</v>
      </c>
      <c r="G212" s="1327">
        <v>43.493202840000002</v>
      </c>
      <c r="H212" s="1327">
        <v>32.990289089999997</v>
      </c>
      <c r="O212" s="160">
        <v>-6.3748150000000003E-2</v>
      </c>
      <c r="P212" s="160">
        <v>7.7739597800000002</v>
      </c>
      <c r="Q212" s="160">
        <v>21.45895316</v>
      </c>
      <c r="R212" s="160">
        <v>26.371665489999998</v>
      </c>
      <c r="S212" s="160">
        <v>43.493202840000002</v>
      </c>
      <c r="T212" s="160">
        <v>32.990289089999997</v>
      </c>
    </row>
    <row r="213" spans="1:20" ht="18.75" customHeight="1">
      <c r="A213" s="167" t="s">
        <v>2087</v>
      </c>
      <c r="B213" s="167"/>
      <c r="C213" s="1327">
        <v>100.43029086</v>
      </c>
      <c r="D213" s="1327">
        <v>-198.46195903999998</v>
      </c>
      <c r="E213" s="1327">
        <v>174.71072534000001</v>
      </c>
      <c r="F213" s="1327">
        <v>552.18028032000007</v>
      </c>
      <c r="G213" s="1327">
        <v>611.13456733999999</v>
      </c>
      <c r="H213" s="1327">
        <v>235.29784823</v>
      </c>
      <c r="O213" s="160">
        <v>100.43029086</v>
      </c>
      <c r="P213" s="160">
        <v>-198.46195903999998</v>
      </c>
      <c r="Q213" s="160">
        <v>174.71072534000001</v>
      </c>
      <c r="R213" s="160">
        <v>552.18028032000007</v>
      </c>
      <c r="S213" s="160">
        <v>611.13456733999999</v>
      </c>
      <c r="T213" s="160">
        <v>235.29784823</v>
      </c>
    </row>
    <row r="214" spans="1:20" ht="18.75" customHeight="1">
      <c r="A214" s="167" t="s">
        <v>2079</v>
      </c>
      <c r="B214" s="167"/>
      <c r="C214" s="1327">
        <v>0</v>
      </c>
      <c r="D214" s="1327">
        <v>0</v>
      </c>
      <c r="E214" s="1327">
        <v>0</v>
      </c>
      <c r="F214" s="1327">
        <v>0</v>
      </c>
      <c r="G214" s="1327">
        <v>0</v>
      </c>
      <c r="H214" s="1327">
        <v>0</v>
      </c>
      <c r="O214" s="160">
        <v>0</v>
      </c>
      <c r="P214" s="160">
        <v>0</v>
      </c>
      <c r="Q214" s="160">
        <v>0</v>
      </c>
      <c r="R214" s="160">
        <v>0</v>
      </c>
      <c r="S214" s="160">
        <v>0</v>
      </c>
      <c r="T214" s="160">
        <v>0</v>
      </c>
    </row>
    <row r="215" spans="1:20" ht="18.75" customHeight="1">
      <c r="A215" s="167" t="s">
        <v>2080</v>
      </c>
      <c r="B215" s="167"/>
      <c r="C215" s="1327">
        <v>0</v>
      </c>
      <c r="D215" s="1327">
        <v>0</v>
      </c>
      <c r="E215" s="1327">
        <v>0</v>
      </c>
      <c r="F215" s="1327">
        <v>0</v>
      </c>
      <c r="G215" s="1327">
        <v>0</v>
      </c>
      <c r="H215" s="1327">
        <v>0</v>
      </c>
      <c r="O215" s="160">
        <v>0</v>
      </c>
      <c r="P215" s="160">
        <v>0</v>
      </c>
      <c r="Q215" s="160">
        <v>0</v>
      </c>
      <c r="R215" s="160">
        <v>0</v>
      </c>
      <c r="S215" s="160">
        <v>0</v>
      </c>
      <c r="T215" s="160">
        <v>0</v>
      </c>
    </row>
    <row r="216" spans="1:20" ht="18.75" customHeight="1">
      <c r="A216" s="167" t="s">
        <v>2081</v>
      </c>
      <c r="B216" s="167"/>
      <c r="C216" s="1327">
        <v>0</v>
      </c>
      <c r="D216" s="1327">
        <v>0</v>
      </c>
      <c r="E216" s="1327">
        <v>0</v>
      </c>
      <c r="F216" s="1327">
        <v>0</v>
      </c>
      <c r="G216" s="1327">
        <v>0</v>
      </c>
      <c r="H216" s="1327">
        <v>0</v>
      </c>
      <c r="O216" s="160">
        <v>0</v>
      </c>
      <c r="P216" s="160">
        <v>0</v>
      </c>
      <c r="Q216" s="160">
        <v>0</v>
      </c>
      <c r="R216" s="160">
        <v>0</v>
      </c>
      <c r="S216" s="160">
        <v>0</v>
      </c>
      <c r="T216" s="160">
        <v>0</v>
      </c>
    </row>
    <row r="217" spans="1:20" ht="18.75" customHeight="1">
      <c r="A217" s="167" t="s">
        <v>2082</v>
      </c>
      <c r="B217" s="167"/>
      <c r="C217" s="1327">
        <v>227.68265694999999</v>
      </c>
      <c r="D217" s="1327">
        <v>708.68868298999996</v>
      </c>
      <c r="E217" s="1327">
        <v>938.20371197999998</v>
      </c>
      <c r="F217" s="1327">
        <v>1255.9889319200001</v>
      </c>
      <c r="G217" s="1327">
        <v>1875.7582155099999</v>
      </c>
      <c r="H217" s="1327">
        <v>1906.8409970799999</v>
      </c>
      <c r="O217" s="160">
        <v>227.68265694999999</v>
      </c>
      <c r="P217" s="160">
        <v>708.68868298999996</v>
      </c>
      <c r="Q217" s="160">
        <v>938.20371197999998</v>
      </c>
      <c r="R217" s="160">
        <v>1255.9889319200001</v>
      </c>
      <c r="S217" s="160">
        <v>1875.7582155099999</v>
      </c>
      <c r="T217" s="160">
        <v>1906.8409970799999</v>
      </c>
    </row>
    <row r="218" spans="1:20" ht="18.75" customHeight="1">
      <c r="A218" s="167" t="s">
        <v>2083</v>
      </c>
      <c r="B218" s="167"/>
      <c r="C218" s="1327">
        <v>351.85367660000003</v>
      </c>
      <c r="D218" s="1327">
        <v>227.68265694999999</v>
      </c>
      <c r="E218" s="1327">
        <v>708.68868298999996</v>
      </c>
      <c r="F218" s="1327">
        <v>938.20371197999998</v>
      </c>
      <c r="G218" s="1327">
        <v>1255.9889319200001</v>
      </c>
      <c r="H218" s="1327">
        <v>1875.7582155099999</v>
      </c>
      <c r="O218" s="160">
        <v>351.85367660000003</v>
      </c>
      <c r="P218" s="160">
        <v>227.68265694999999</v>
      </c>
      <c r="Q218" s="160">
        <v>708.68868298999996</v>
      </c>
      <c r="R218" s="160">
        <v>938.20371197999998</v>
      </c>
      <c r="S218" s="160">
        <v>1255.9889319200001</v>
      </c>
      <c r="T218" s="160">
        <v>1875.7582155099999</v>
      </c>
    </row>
    <row r="219" spans="1:20" ht="18.75" customHeight="1">
      <c r="A219" s="167" t="s">
        <v>2084</v>
      </c>
      <c r="B219" s="167"/>
      <c r="C219" s="1327">
        <v>0</v>
      </c>
      <c r="D219" s="1327">
        <v>0</v>
      </c>
      <c r="E219" s="1327">
        <v>0</v>
      </c>
      <c r="F219" s="1327">
        <v>0</v>
      </c>
      <c r="G219" s="1327">
        <v>0</v>
      </c>
      <c r="H219" s="1327">
        <v>0</v>
      </c>
      <c r="O219" s="160">
        <v>0</v>
      </c>
      <c r="P219" s="160">
        <v>0</v>
      </c>
      <c r="Q219" s="160">
        <v>0</v>
      </c>
      <c r="R219" s="160">
        <v>0</v>
      </c>
      <c r="S219" s="160">
        <v>0</v>
      </c>
      <c r="T219" s="160">
        <v>0</v>
      </c>
    </row>
    <row r="220" spans="1:20" ht="18.75" customHeight="1">
      <c r="A220" s="167" t="s">
        <v>2085</v>
      </c>
      <c r="B220" s="167"/>
      <c r="C220" s="1327">
        <v>0</v>
      </c>
      <c r="D220" s="1327">
        <v>0</v>
      </c>
      <c r="E220" s="1327">
        <v>0</v>
      </c>
      <c r="F220" s="1327">
        <v>0</v>
      </c>
      <c r="G220" s="1327">
        <v>0</v>
      </c>
      <c r="H220" s="1327">
        <v>0</v>
      </c>
      <c r="O220" s="160">
        <v>0</v>
      </c>
      <c r="P220" s="160">
        <v>0</v>
      </c>
      <c r="Q220" s="160">
        <v>0</v>
      </c>
      <c r="R220" s="160">
        <v>0</v>
      </c>
      <c r="S220" s="160">
        <v>0</v>
      </c>
      <c r="T220" s="160">
        <v>0</v>
      </c>
    </row>
    <row r="221" spans="1:20" ht="18.75" customHeight="1">
      <c r="A221" s="167" t="s">
        <v>2086</v>
      </c>
      <c r="B221" s="167"/>
      <c r="C221" s="1327">
        <v>-124.17101965000001</v>
      </c>
      <c r="D221" s="1327">
        <v>481.00602603999999</v>
      </c>
      <c r="E221" s="1327">
        <v>229.51502899000002</v>
      </c>
      <c r="F221" s="1327">
        <v>317.78521993999999</v>
      </c>
      <c r="G221" s="1327">
        <v>619.76928358999999</v>
      </c>
      <c r="H221" s="1327">
        <v>31.082781570000002</v>
      </c>
      <c r="O221" s="160">
        <v>-124.17101965000001</v>
      </c>
      <c r="P221" s="160">
        <v>481.00602603999999</v>
      </c>
      <c r="Q221" s="160">
        <v>229.51502899000002</v>
      </c>
      <c r="R221" s="160">
        <v>317.78521993999999</v>
      </c>
      <c r="S221" s="160">
        <v>619.76928358999999</v>
      </c>
      <c r="T221" s="160">
        <v>31.082781570000002</v>
      </c>
    </row>
    <row r="222" spans="1:20" ht="18.75" customHeight="1">
      <c r="A222" s="167" t="s">
        <v>2478</v>
      </c>
      <c r="B222" s="167"/>
      <c r="C222" s="1327">
        <v>0</v>
      </c>
      <c r="D222" s="1327">
        <v>0</v>
      </c>
      <c r="E222" s="1327">
        <v>0</v>
      </c>
      <c r="F222" s="1327">
        <v>0</v>
      </c>
      <c r="G222" s="1327">
        <v>0</v>
      </c>
      <c r="H222" s="1327">
        <v>0</v>
      </c>
      <c r="O222" s="160">
        <v>0</v>
      </c>
      <c r="P222" s="160">
        <v>0</v>
      </c>
      <c r="Q222" s="160">
        <v>0</v>
      </c>
      <c r="R222" s="160">
        <v>0</v>
      </c>
      <c r="S222" s="160">
        <v>0</v>
      </c>
      <c r="T222" s="160">
        <v>0</v>
      </c>
    </row>
    <row r="223" spans="1:20" ht="18.75" customHeight="1">
      <c r="A223" s="167" t="s">
        <v>2479</v>
      </c>
      <c r="B223" s="167"/>
      <c r="C223" s="1327">
        <v>0</v>
      </c>
      <c r="D223" s="1327">
        <v>0</v>
      </c>
      <c r="E223" s="1327">
        <v>0</v>
      </c>
      <c r="F223" s="1327">
        <v>0</v>
      </c>
      <c r="G223" s="1327">
        <v>0</v>
      </c>
      <c r="H223" s="1327">
        <v>0</v>
      </c>
      <c r="O223" s="160">
        <v>0</v>
      </c>
      <c r="P223" s="160">
        <v>0</v>
      </c>
      <c r="Q223" s="160">
        <v>0</v>
      </c>
      <c r="R223" s="160">
        <v>0</v>
      </c>
      <c r="S223" s="160">
        <v>0</v>
      </c>
      <c r="T223" s="160">
        <v>0</v>
      </c>
    </row>
    <row r="224" spans="1:20" ht="18.75" customHeight="1">
      <c r="A224" s="167" t="s">
        <v>2480</v>
      </c>
      <c r="B224" s="167"/>
      <c r="C224" s="1327">
        <v>0</v>
      </c>
      <c r="D224" s="1327">
        <v>0</v>
      </c>
      <c r="E224" s="1327">
        <v>0</v>
      </c>
      <c r="F224" s="1327">
        <v>0</v>
      </c>
      <c r="G224" s="1327">
        <v>0</v>
      </c>
      <c r="H224" s="1327">
        <v>0</v>
      </c>
      <c r="O224" s="160">
        <v>0</v>
      </c>
      <c r="P224" s="160">
        <v>0</v>
      </c>
      <c r="Q224" s="160">
        <v>0</v>
      </c>
      <c r="R224" s="160">
        <v>0</v>
      </c>
      <c r="S224" s="160">
        <v>0</v>
      </c>
      <c r="T224" s="160">
        <v>0</v>
      </c>
    </row>
    <row r="225" spans="1:8" ht="18.75" customHeight="1">
      <c r="A225" s="167"/>
      <c r="B225" s="167"/>
      <c r="C225" s="1327"/>
      <c r="D225" s="1327"/>
      <c r="E225" s="1327"/>
      <c r="F225" s="1327"/>
      <c r="G225" s="1327"/>
      <c r="H225" s="1327"/>
    </row>
    <row r="226" spans="1:8" ht="18.75" customHeight="1">
      <c r="A226" s="167"/>
      <c r="B226" s="167"/>
      <c r="C226" s="1327"/>
      <c r="D226" s="1327"/>
      <c r="E226" s="1327"/>
      <c r="F226" s="1327"/>
      <c r="G226" s="1327"/>
      <c r="H226" s="1327"/>
    </row>
    <row r="227" spans="1:8" ht="18.75" customHeight="1">
      <c r="A227" s="167"/>
      <c r="B227" s="167"/>
      <c r="C227" s="1327"/>
      <c r="D227" s="1327"/>
      <c r="E227" s="1327"/>
      <c r="F227" s="1327"/>
      <c r="G227" s="1327"/>
      <c r="H227" s="1327"/>
    </row>
    <row r="228" spans="1:8" ht="18.75" customHeight="1">
      <c r="A228" s="167"/>
      <c r="B228" s="167"/>
      <c r="C228" s="1327"/>
      <c r="D228" s="1327"/>
      <c r="E228" s="1327"/>
      <c r="F228" s="1327"/>
      <c r="G228" s="1327"/>
      <c r="H228" s="1327"/>
    </row>
    <row r="229" spans="1:8" ht="18.75" customHeight="1">
      <c r="A229" s="167"/>
      <c r="B229" s="167"/>
      <c r="C229" s="1327"/>
      <c r="D229" s="1327"/>
      <c r="E229" s="1327"/>
      <c r="F229" s="1327"/>
      <c r="G229" s="1327"/>
      <c r="H229" s="1327"/>
    </row>
    <row r="230" spans="1:8" ht="18.75" customHeight="1">
      <c r="A230" s="167"/>
      <c r="B230" s="167"/>
      <c r="C230" s="1327"/>
      <c r="D230" s="1327"/>
      <c r="E230" s="1327"/>
      <c r="F230" s="1327"/>
      <c r="G230" s="1327"/>
      <c r="H230" s="1327"/>
    </row>
    <row r="231" spans="1:8" ht="18.75" customHeight="1">
      <c r="A231" s="167"/>
      <c r="B231" s="167"/>
      <c r="C231" s="1327"/>
      <c r="D231" s="1327"/>
      <c r="E231" s="1327"/>
      <c r="F231" s="1327"/>
      <c r="G231" s="1327"/>
      <c r="H231" s="1327"/>
    </row>
    <row r="232" spans="1:8" ht="18.75" customHeight="1">
      <c r="A232" s="167"/>
      <c r="B232" s="167"/>
      <c r="C232" s="1327"/>
      <c r="D232" s="1327"/>
      <c r="E232" s="1327"/>
      <c r="F232" s="1327"/>
      <c r="G232" s="1327"/>
      <c r="H232" s="1327"/>
    </row>
    <row r="233" spans="1:8" ht="18.75" customHeight="1">
      <c r="A233" s="167"/>
      <c r="B233" s="167"/>
      <c r="C233" s="1327"/>
      <c r="D233" s="1327"/>
      <c r="E233" s="1327"/>
      <c r="F233" s="1327"/>
      <c r="G233" s="1327"/>
      <c r="H233" s="1327"/>
    </row>
    <row r="234" spans="1:8" ht="18.75" customHeight="1">
      <c r="A234" s="167"/>
      <c r="B234" s="167"/>
      <c r="C234" s="1327"/>
      <c r="D234" s="1327"/>
      <c r="E234" s="1327"/>
      <c r="F234" s="1327"/>
      <c r="G234" s="1327"/>
      <c r="H234" s="1327"/>
    </row>
    <row r="235" spans="1:8" ht="18.75" customHeight="1">
      <c r="A235" s="167"/>
      <c r="B235" s="167"/>
      <c r="C235" s="1327"/>
      <c r="D235" s="1327"/>
      <c r="E235" s="1327"/>
      <c r="F235" s="1327"/>
      <c r="G235" s="1327"/>
      <c r="H235" s="1327"/>
    </row>
    <row r="236" spans="1:8" ht="18.75" customHeight="1">
      <c r="A236" s="167"/>
      <c r="B236" s="167"/>
      <c r="C236" s="1327"/>
      <c r="D236" s="1327"/>
      <c r="E236" s="1327"/>
      <c r="F236" s="1327"/>
      <c r="G236" s="1327"/>
      <c r="H236" s="1327"/>
    </row>
    <row r="237" spans="1:8" ht="18.75" customHeight="1">
      <c r="A237" s="167"/>
      <c r="B237" s="167"/>
      <c r="C237" s="1327"/>
      <c r="D237" s="1327"/>
      <c r="E237" s="1327"/>
      <c r="F237" s="1327"/>
      <c r="G237" s="1327"/>
      <c r="H237" s="1327"/>
    </row>
    <row r="238" spans="1:8" ht="18.75" customHeight="1">
      <c r="A238" s="167"/>
      <c r="B238" s="167"/>
      <c r="C238" s="1327"/>
      <c r="D238" s="1327"/>
      <c r="E238" s="1327"/>
      <c r="F238" s="1327"/>
      <c r="G238" s="1327"/>
      <c r="H238" s="1327"/>
    </row>
    <row r="239" spans="1:8" ht="18.75" customHeight="1">
      <c r="A239" s="167"/>
      <c r="B239" s="167"/>
      <c r="C239" s="1327"/>
      <c r="D239" s="1327"/>
      <c r="E239" s="1327"/>
      <c r="F239" s="1327"/>
      <c r="G239" s="1327"/>
      <c r="H239" s="1327"/>
    </row>
    <row r="240" spans="1:8" ht="18.75" customHeight="1">
      <c r="A240" s="167"/>
      <c r="B240" s="167"/>
      <c r="C240" s="1327"/>
      <c r="D240" s="1327"/>
      <c r="E240" s="1327"/>
      <c r="F240" s="1327"/>
      <c r="G240" s="1327"/>
      <c r="H240" s="1327"/>
    </row>
    <row r="241" spans="1:8" ht="18.75" customHeight="1">
      <c r="A241" s="167"/>
      <c r="B241" s="167"/>
      <c r="C241" s="1327"/>
      <c r="D241" s="1327"/>
      <c r="E241" s="1327"/>
      <c r="F241" s="1327"/>
      <c r="G241" s="1327"/>
      <c r="H241" s="1327"/>
    </row>
    <row r="242" spans="1:8" ht="18.75" customHeight="1">
      <c r="A242" s="167"/>
      <c r="B242" s="167"/>
      <c r="C242" s="1327"/>
      <c r="D242" s="1327"/>
      <c r="E242" s="1327"/>
      <c r="F242" s="1327"/>
      <c r="G242" s="1327"/>
      <c r="H242" s="1327"/>
    </row>
    <row r="243" spans="1:8" ht="18.75" customHeight="1">
      <c r="A243" s="167"/>
      <c r="B243" s="167"/>
      <c r="C243" s="1327"/>
      <c r="D243" s="1327"/>
      <c r="E243" s="1327"/>
      <c r="F243" s="1327"/>
      <c r="G243" s="1327"/>
      <c r="H243" s="1327"/>
    </row>
    <row r="244" spans="1:8" ht="18.75" customHeight="1">
      <c r="A244" s="167"/>
      <c r="B244" s="167"/>
      <c r="C244" s="1327"/>
      <c r="D244" s="1327"/>
      <c r="E244" s="1327"/>
      <c r="F244" s="1327"/>
      <c r="G244" s="1327"/>
      <c r="H244" s="1327"/>
    </row>
    <row r="245" spans="1:8" ht="18.75" customHeight="1">
      <c r="A245" s="167"/>
      <c r="B245" s="167"/>
      <c r="C245" s="1327"/>
      <c r="D245" s="1327"/>
      <c r="E245" s="1327"/>
      <c r="F245" s="1327"/>
      <c r="G245" s="1327"/>
      <c r="H245" s="1327"/>
    </row>
    <row r="246" spans="1:8" ht="18.75" customHeight="1">
      <c r="A246" s="167"/>
      <c r="B246" s="167"/>
      <c r="C246" s="1327"/>
      <c r="D246" s="1327"/>
      <c r="E246" s="1327"/>
      <c r="F246" s="1327"/>
      <c r="G246" s="1327"/>
      <c r="H246" s="1327"/>
    </row>
    <row r="247" spans="1:8" ht="18.75" customHeight="1">
      <c r="A247" s="167"/>
      <c r="B247" s="167"/>
      <c r="C247" s="1327"/>
      <c r="D247" s="1327"/>
      <c r="E247" s="1327"/>
      <c r="F247" s="1327"/>
      <c r="G247" s="1327"/>
      <c r="H247" s="1327"/>
    </row>
    <row r="248" spans="1:8" ht="18.75" customHeight="1">
      <c r="A248" s="167"/>
      <c r="B248" s="167"/>
      <c r="C248" s="1327"/>
      <c r="D248" s="1327"/>
      <c r="E248" s="1327"/>
      <c r="F248" s="1327"/>
      <c r="G248" s="1327"/>
      <c r="H248" s="1327"/>
    </row>
    <row r="249" spans="1:8" ht="18.75" customHeight="1">
      <c r="A249" s="167"/>
      <c r="B249" s="167"/>
      <c r="C249" s="1327"/>
      <c r="D249" s="1327"/>
      <c r="E249" s="1327"/>
      <c r="F249" s="1327"/>
      <c r="G249" s="1327"/>
      <c r="H249" s="1327"/>
    </row>
    <row r="250" spans="1:8" ht="18.75" customHeight="1">
      <c r="A250" s="167"/>
      <c r="B250" s="167"/>
      <c r="C250" s="1327"/>
      <c r="D250" s="1327"/>
      <c r="E250" s="1327"/>
      <c r="F250" s="1327"/>
      <c r="G250" s="1327"/>
      <c r="H250" s="1327"/>
    </row>
    <row r="251" spans="1:8" ht="18.75" customHeight="1">
      <c r="A251" s="167"/>
      <c r="B251" s="167"/>
      <c r="C251" s="1327"/>
      <c r="D251" s="1327"/>
      <c r="E251" s="1327"/>
      <c r="F251" s="1327"/>
      <c r="G251" s="1327"/>
      <c r="H251" s="1327"/>
    </row>
    <row r="252" spans="1:8" ht="18.75" customHeight="1">
      <c r="A252" s="167"/>
      <c r="B252" s="167"/>
      <c r="C252" s="1327"/>
      <c r="D252" s="1327"/>
      <c r="E252" s="1327"/>
      <c r="F252" s="1327"/>
      <c r="G252" s="1327"/>
      <c r="H252" s="1327"/>
    </row>
    <row r="253" spans="1:8" ht="18.75" customHeight="1">
      <c r="A253" s="167"/>
      <c r="B253" s="167"/>
      <c r="C253" s="1327"/>
      <c r="D253" s="1327"/>
      <c r="E253" s="1327"/>
      <c r="F253" s="1327"/>
      <c r="G253" s="1327"/>
      <c r="H253" s="1327"/>
    </row>
    <row r="254" spans="1:8" ht="18.75" customHeight="1">
      <c r="A254" s="167"/>
      <c r="B254" s="167"/>
      <c r="C254" s="1327"/>
      <c r="D254" s="1327"/>
      <c r="E254" s="1327"/>
      <c r="F254" s="1327"/>
      <c r="G254" s="1327"/>
      <c r="H254" s="1327"/>
    </row>
    <row r="255" spans="1:8" ht="18.75" customHeight="1">
      <c r="A255" s="167"/>
      <c r="B255" s="167"/>
      <c r="C255" s="1327"/>
      <c r="D255" s="1327"/>
      <c r="E255" s="1327"/>
      <c r="F255" s="1327"/>
      <c r="G255" s="1327"/>
      <c r="H255" s="1327"/>
    </row>
    <row r="256" spans="1:8" ht="18.75" customHeight="1">
      <c r="A256" s="167"/>
      <c r="B256" s="167"/>
      <c r="C256" s="1327"/>
      <c r="D256" s="1327"/>
      <c r="E256" s="1327"/>
      <c r="F256" s="1327"/>
      <c r="G256" s="1327"/>
      <c r="H256" s="1327"/>
    </row>
    <row r="257" spans="1:8" ht="18.75" customHeight="1">
      <c r="A257" s="167"/>
      <c r="B257" s="167"/>
      <c r="C257" s="1327"/>
      <c r="D257" s="1327"/>
      <c r="E257" s="1327"/>
      <c r="F257" s="1327"/>
      <c r="G257" s="1327"/>
      <c r="H257" s="1327"/>
    </row>
    <row r="258" spans="1:8" ht="18.75" customHeight="1">
      <c r="A258" s="167"/>
      <c r="B258" s="167"/>
      <c r="C258" s="1327"/>
      <c r="D258" s="1327"/>
      <c r="E258" s="1327"/>
      <c r="F258" s="1327"/>
      <c r="G258" s="1327"/>
      <c r="H258" s="1327"/>
    </row>
    <row r="259" spans="1:8" ht="18.75" customHeight="1">
      <c r="A259" s="167"/>
      <c r="B259" s="167"/>
      <c r="C259" s="1327"/>
      <c r="D259" s="1327"/>
      <c r="E259" s="1327"/>
      <c r="F259" s="1327"/>
      <c r="G259" s="1327"/>
      <c r="H259" s="1327"/>
    </row>
    <row r="260" spans="1:8" ht="18.75" customHeight="1">
      <c r="A260" s="167"/>
      <c r="B260" s="167"/>
      <c r="C260" s="1327"/>
      <c r="D260" s="1327"/>
      <c r="E260" s="1327"/>
      <c r="F260" s="1327"/>
      <c r="G260" s="1327"/>
      <c r="H260" s="1327"/>
    </row>
    <row r="261" spans="1:8" ht="18.75" customHeight="1">
      <c r="A261" s="167"/>
      <c r="B261" s="167"/>
      <c r="C261" s="1327"/>
      <c r="D261" s="1327"/>
      <c r="E261" s="1327"/>
      <c r="F261" s="1327"/>
      <c r="G261" s="1327"/>
      <c r="H261" s="1327"/>
    </row>
    <row r="262" spans="1:8" ht="18.75" customHeight="1">
      <c r="A262" s="167"/>
      <c r="B262" s="167"/>
      <c r="C262" s="1327"/>
      <c r="D262" s="1327"/>
      <c r="E262" s="1327"/>
      <c r="F262" s="1327"/>
      <c r="G262" s="1327"/>
      <c r="H262" s="1327"/>
    </row>
    <row r="263" spans="1:8" ht="18.75" customHeight="1">
      <c r="A263" s="167"/>
      <c r="B263" s="167"/>
      <c r="C263" s="1327"/>
      <c r="D263" s="1327"/>
      <c r="E263" s="1327"/>
      <c r="F263" s="1327"/>
      <c r="G263" s="1327"/>
      <c r="H263" s="1327"/>
    </row>
    <row r="264" spans="1:8" ht="18.75" customHeight="1">
      <c r="A264" s="167"/>
      <c r="B264" s="167"/>
      <c r="C264" s="1327"/>
      <c r="D264" s="1327"/>
      <c r="E264" s="1327"/>
      <c r="F264" s="1327"/>
      <c r="G264" s="1327"/>
      <c r="H264" s="1327"/>
    </row>
    <row r="265" spans="1:8" ht="18.75" customHeight="1">
      <c r="A265" s="167"/>
      <c r="B265" s="167"/>
      <c r="C265" s="1327"/>
      <c r="D265" s="1327"/>
      <c r="E265" s="1327"/>
      <c r="F265" s="1327"/>
      <c r="G265" s="1327"/>
      <c r="H265" s="1327"/>
    </row>
    <row r="266" spans="1:8" ht="18.75" customHeight="1">
      <c r="A266" s="167"/>
      <c r="B266" s="167"/>
      <c r="C266" s="1327"/>
      <c r="D266" s="1327"/>
      <c r="E266" s="1327"/>
      <c r="F266" s="1327"/>
      <c r="G266" s="1327"/>
      <c r="H266" s="1327"/>
    </row>
    <row r="267" spans="1:8" ht="18.75" customHeight="1">
      <c r="A267" s="167"/>
      <c r="B267" s="167"/>
      <c r="C267" s="1327"/>
      <c r="D267" s="1327"/>
      <c r="E267" s="1327"/>
      <c r="F267" s="1327"/>
      <c r="G267" s="1327"/>
      <c r="H267" s="1327"/>
    </row>
    <row r="268" spans="1:8" ht="18.75" customHeight="1">
      <c r="A268" s="167"/>
      <c r="B268" s="167"/>
      <c r="C268" s="1327"/>
      <c r="D268" s="1327"/>
      <c r="E268" s="1327"/>
      <c r="F268" s="1327"/>
      <c r="G268" s="1327"/>
      <c r="H268" s="1327"/>
    </row>
    <row r="269" spans="1:8" ht="18.75" customHeight="1">
      <c r="A269" s="167"/>
      <c r="B269" s="167"/>
      <c r="C269" s="1327"/>
      <c r="D269" s="1327"/>
      <c r="E269" s="1327"/>
      <c r="F269" s="1327"/>
      <c r="G269" s="1327"/>
      <c r="H269" s="1327"/>
    </row>
    <row r="270" spans="1:8" ht="18.75" customHeight="1">
      <c r="A270" s="167"/>
      <c r="B270" s="167"/>
      <c r="C270" s="1327"/>
      <c r="D270" s="1327"/>
      <c r="E270" s="1327"/>
      <c r="F270" s="1327"/>
      <c r="G270" s="1327"/>
      <c r="H270" s="1327"/>
    </row>
    <row r="271" spans="1:8" ht="18.75" customHeight="1">
      <c r="A271" s="167"/>
      <c r="B271" s="167"/>
      <c r="C271" s="1327"/>
      <c r="D271" s="1327"/>
      <c r="E271" s="1327"/>
      <c r="F271" s="1327"/>
      <c r="G271" s="1327"/>
      <c r="H271" s="1327"/>
    </row>
    <row r="272" spans="1:8" ht="18.75" customHeight="1">
      <c r="A272" s="167"/>
      <c r="B272" s="167"/>
      <c r="C272" s="1327"/>
      <c r="D272" s="1327"/>
      <c r="E272" s="1327"/>
      <c r="F272" s="1327"/>
      <c r="G272" s="1327"/>
      <c r="H272" s="1327"/>
    </row>
    <row r="273" spans="1:8" ht="18.75" customHeight="1">
      <c r="A273" s="167"/>
      <c r="B273" s="167"/>
      <c r="C273" s="1327"/>
      <c r="D273" s="1327"/>
      <c r="E273" s="1327"/>
      <c r="F273" s="1327"/>
      <c r="G273" s="1327"/>
      <c r="H273" s="1327"/>
    </row>
    <row r="274" spans="1:8" ht="18.75" customHeight="1">
      <c r="A274" s="167"/>
      <c r="B274" s="167"/>
      <c r="C274" s="1327"/>
      <c r="D274" s="1327"/>
      <c r="E274" s="1327"/>
      <c r="F274" s="1327"/>
      <c r="G274" s="1327"/>
      <c r="H274" s="1327"/>
    </row>
    <row r="275" spans="1:8" ht="18.75" customHeight="1">
      <c r="A275" s="167"/>
      <c r="B275" s="167"/>
      <c r="C275" s="1327"/>
      <c r="D275" s="1327"/>
      <c r="E275" s="1327"/>
      <c r="F275" s="1327"/>
      <c r="G275" s="1327"/>
      <c r="H275" s="1327"/>
    </row>
    <row r="276" spans="1:8" ht="18.75" customHeight="1">
      <c r="A276" s="167"/>
      <c r="B276" s="167"/>
      <c r="C276" s="1327"/>
      <c r="D276" s="1327"/>
      <c r="E276" s="1327"/>
      <c r="F276" s="1327"/>
      <c r="G276" s="1327"/>
      <c r="H276" s="1327"/>
    </row>
    <row r="277" spans="1:8" ht="18.75" customHeight="1">
      <c r="A277" s="167"/>
      <c r="B277" s="167"/>
      <c r="C277" s="1327"/>
      <c r="D277" s="1327"/>
      <c r="E277" s="1327"/>
      <c r="F277" s="1327"/>
      <c r="G277" s="1327"/>
      <c r="H277" s="1327"/>
    </row>
    <row r="278" spans="1:8" ht="18.75" customHeight="1">
      <c r="A278" s="167"/>
      <c r="B278" s="167"/>
      <c r="C278" s="1327"/>
      <c r="D278" s="1327"/>
      <c r="E278" s="1327"/>
      <c r="F278" s="1327"/>
      <c r="G278" s="1327"/>
      <c r="H278" s="1327"/>
    </row>
    <row r="279" spans="1:8" ht="18.75" customHeight="1">
      <c r="A279" s="167"/>
      <c r="B279" s="167"/>
      <c r="C279" s="1327"/>
      <c r="D279" s="1327"/>
      <c r="E279" s="1327"/>
      <c r="F279" s="1327"/>
      <c r="G279" s="1327"/>
      <c r="H279" s="1327"/>
    </row>
    <row r="280" spans="1:8" ht="18.75" customHeight="1">
      <c r="A280" s="167"/>
      <c r="B280" s="167"/>
      <c r="C280" s="1327"/>
      <c r="D280" s="1327"/>
      <c r="E280" s="1327"/>
      <c r="F280" s="1327"/>
      <c r="G280" s="1327"/>
      <c r="H280" s="1327"/>
    </row>
    <row r="281" spans="1:8" ht="18.75" customHeight="1">
      <c r="A281" s="167"/>
      <c r="B281" s="167"/>
      <c r="C281" s="1327"/>
      <c r="D281" s="1327"/>
      <c r="E281" s="1327"/>
      <c r="F281" s="1327"/>
      <c r="G281" s="1327"/>
      <c r="H281" s="1327"/>
    </row>
    <row r="282" spans="1:8" ht="18.75" customHeight="1">
      <c r="A282" s="167"/>
      <c r="B282" s="167"/>
      <c r="C282" s="1327"/>
      <c r="D282" s="1327"/>
      <c r="E282" s="1327"/>
      <c r="F282" s="1327"/>
      <c r="G282" s="1327"/>
      <c r="H282" s="1327"/>
    </row>
    <row r="283" spans="1:8" ht="18.75" customHeight="1">
      <c r="A283" s="167"/>
      <c r="B283" s="167"/>
      <c r="C283" s="1327"/>
      <c r="D283" s="1327"/>
      <c r="E283" s="1327"/>
      <c r="F283" s="1327"/>
      <c r="G283" s="1327"/>
      <c r="H283" s="1327"/>
    </row>
    <row r="284" spans="1:8" ht="18.75" customHeight="1">
      <c r="A284" s="167"/>
      <c r="B284" s="167"/>
      <c r="C284" s="1327"/>
      <c r="D284" s="1327"/>
      <c r="E284" s="1327"/>
      <c r="F284" s="1327"/>
      <c r="G284" s="1327"/>
      <c r="H284" s="1327"/>
    </row>
    <row r="285" spans="1:8" ht="18.75" customHeight="1">
      <c r="A285" s="167"/>
      <c r="B285" s="167"/>
      <c r="C285" s="1327"/>
      <c r="D285" s="1327"/>
      <c r="E285" s="1327"/>
      <c r="F285" s="1327"/>
      <c r="G285" s="1327"/>
      <c r="H285" s="1327"/>
    </row>
    <row r="286" spans="1:8" ht="18.75" customHeight="1">
      <c r="A286" s="167"/>
      <c r="B286" s="167"/>
      <c r="C286" s="1327"/>
      <c r="D286" s="1327"/>
      <c r="E286" s="1327"/>
      <c r="F286" s="1327"/>
      <c r="G286" s="1327"/>
      <c r="H286" s="1327"/>
    </row>
    <row r="287" spans="1:8" ht="18.75" customHeight="1">
      <c r="A287" s="167"/>
      <c r="B287" s="167"/>
      <c r="C287" s="1327"/>
      <c r="D287" s="1327"/>
      <c r="E287" s="1327"/>
      <c r="F287" s="1327"/>
      <c r="G287" s="1327"/>
      <c r="H287" s="1327"/>
    </row>
    <row r="288" spans="1:8" ht="18.75" customHeight="1">
      <c r="A288" s="167"/>
      <c r="B288" s="167"/>
      <c r="C288" s="1327"/>
      <c r="D288" s="1327"/>
      <c r="E288" s="1327"/>
      <c r="F288" s="1327"/>
      <c r="G288" s="1327"/>
      <c r="H288" s="1327"/>
    </row>
    <row r="289" spans="1:8" ht="18.75" customHeight="1">
      <c r="A289" s="167"/>
      <c r="B289" s="167"/>
      <c r="C289" s="1327"/>
      <c r="D289" s="1327"/>
      <c r="E289" s="1327"/>
      <c r="F289" s="1327"/>
      <c r="G289" s="1327"/>
      <c r="H289" s="1327"/>
    </row>
    <row r="290" spans="1:8" ht="18.75" customHeight="1">
      <c r="A290" s="167"/>
      <c r="B290" s="167"/>
      <c r="C290" s="1327"/>
      <c r="D290" s="1327"/>
      <c r="E290" s="1327"/>
      <c r="F290" s="1327"/>
      <c r="G290" s="1327"/>
      <c r="H290" s="1327"/>
    </row>
    <row r="291" spans="1:8" ht="18.75" customHeight="1">
      <c r="A291" s="167"/>
      <c r="B291" s="167"/>
      <c r="C291" s="1108"/>
      <c r="D291" s="1108"/>
      <c r="E291" s="1108"/>
      <c r="F291" s="1108"/>
      <c r="G291" s="1108"/>
      <c r="H291" s="1108"/>
    </row>
    <row r="292" spans="1:8" ht="18.75" customHeight="1">
      <c r="A292" s="167"/>
      <c r="B292" s="167"/>
      <c r="C292" s="1108"/>
      <c r="D292" s="1108"/>
      <c r="E292" s="1108"/>
      <c r="F292" s="1108"/>
      <c r="G292" s="1108"/>
      <c r="H292" s="1108"/>
    </row>
    <row r="293" spans="1:8" ht="18.75" customHeight="1">
      <c r="A293" s="167"/>
      <c r="B293" s="167"/>
      <c r="C293" s="1108"/>
      <c r="D293" s="1108"/>
      <c r="E293" s="1108"/>
      <c r="F293" s="1108"/>
      <c r="G293" s="1108"/>
      <c r="H293" s="1108"/>
    </row>
    <row r="294" spans="1:8" ht="18.75" customHeight="1">
      <c r="A294" s="167"/>
      <c r="B294" s="167"/>
      <c r="C294" s="1108"/>
      <c r="D294" s="1108"/>
      <c r="E294" s="1108"/>
      <c r="F294" s="1108"/>
      <c r="G294" s="1108"/>
      <c r="H294" s="1108"/>
    </row>
    <row r="295" spans="1:8" ht="18.75" customHeight="1">
      <c r="A295" s="167"/>
      <c r="B295" s="167"/>
      <c r="C295" s="1108"/>
      <c r="D295" s="1108"/>
      <c r="E295" s="1108"/>
      <c r="F295" s="1108"/>
      <c r="G295" s="1108"/>
      <c r="H295" s="1108"/>
    </row>
    <row r="296" spans="1:8" ht="18.75" customHeight="1">
      <c r="A296" s="167"/>
      <c r="B296" s="167"/>
      <c r="C296" s="1108"/>
      <c r="D296" s="1108"/>
      <c r="E296" s="1108"/>
      <c r="F296" s="1108"/>
      <c r="G296" s="1108"/>
      <c r="H296" s="1108"/>
    </row>
    <row r="297" spans="1:8" ht="18.75" customHeight="1">
      <c r="A297" s="167"/>
      <c r="B297" s="167"/>
      <c r="C297" s="1108"/>
      <c r="D297" s="1108"/>
      <c r="E297" s="1108"/>
      <c r="F297" s="1108"/>
      <c r="G297" s="1108"/>
      <c r="H297" s="1108"/>
    </row>
    <row r="298" spans="1:8" ht="18.75" customHeight="1">
      <c r="A298" s="167"/>
      <c r="B298" s="167"/>
      <c r="C298" s="1108"/>
      <c r="D298" s="1108"/>
      <c r="E298" s="1108"/>
      <c r="F298" s="1108"/>
      <c r="G298" s="1108"/>
      <c r="H298" s="1108"/>
    </row>
    <row r="299" spans="1:8" ht="18.75" customHeight="1">
      <c r="A299" s="167"/>
      <c r="B299" s="167"/>
      <c r="C299" s="1108"/>
      <c r="D299" s="1108"/>
      <c r="E299" s="1108"/>
      <c r="F299" s="1108"/>
      <c r="G299" s="1108"/>
      <c r="H299" s="1108"/>
    </row>
    <row r="300" spans="1:8" ht="18.75" customHeight="1">
      <c r="A300" s="167"/>
      <c r="B300" s="167"/>
      <c r="C300" s="1108"/>
      <c r="D300" s="1108"/>
      <c r="E300" s="1108"/>
      <c r="F300" s="1108"/>
      <c r="G300" s="1108"/>
      <c r="H300" s="1108"/>
    </row>
    <row r="301" spans="1:8" ht="18.75" customHeight="1">
      <c r="A301" s="167"/>
      <c r="B301" s="167"/>
      <c r="C301" s="1108"/>
      <c r="D301" s="1108"/>
      <c r="E301" s="1108"/>
      <c r="F301" s="1108"/>
      <c r="G301" s="1108"/>
      <c r="H301" s="1108"/>
    </row>
    <row r="302" spans="1:8" ht="18.75" customHeight="1">
      <c r="A302" s="167"/>
      <c r="B302" s="167"/>
      <c r="C302" s="1108"/>
      <c r="D302" s="1108"/>
      <c r="E302" s="1108"/>
      <c r="F302" s="1108"/>
      <c r="G302" s="1108"/>
      <c r="H302" s="1108"/>
    </row>
    <row r="303" spans="1:8" ht="18.75" customHeight="1">
      <c r="A303" s="167"/>
      <c r="B303" s="167"/>
      <c r="C303" s="1108"/>
      <c r="D303" s="1108"/>
      <c r="E303" s="1108"/>
      <c r="F303" s="1108"/>
      <c r="G303" s="1108"/>
      <c r="H303" s="1108"/>
    </row>
    <row r="304" spans="1:8" ht="18.75" customHeight="1">
      <c r="A304" s="167"/>
      <c r="B304" s="167"/>
      <c r="C304" s="1108"/>
      <c r="D304" s="1108"/>
      <c r="E304" s="1108"/>
      <c r="F304" s="1108"/>
      <c r="G304" s="1108"/>
      <c r="H304" s="1108"/>
    </row>
    <row r="305" spans="1:8" ht="18.75" customHeight="1">
      <c r="A305" s="167"/>
      <c r="B305" s="167"/>
      <c r="C305" s="1108"/>
      <c r="D305" s="1108"/>
      <c r="E305" s="1108"/>
      <c r="F305" s="1108"/>
      <c r="G305" s="1108"/>
      <c r="H305" s="1108"/>
    </row>
    <row r="306" spans="1:8" ht="18.75" customHeight="1">
      <c r="A306" s="167"/>
      <c r="B306" s="167"/>
      <c r="C306" s="1108"/>
      <c r="D306" s="1108"/>
      <c r="E306" s="1108"/>
      <c r="F306" s="1108"/>
      <c r="G306" s="1108"/>
      <c r="H306" s="1108"/>
    </row>
    <row r="307" spans="1:8" ht="18.75" customHeight="1">
      <c r="A307" s="167"/>
      <c r="B307" s="167"/>
      <c r="C307" s="1108"/>
      <c r="D307" s="1108"/>
      <c r="E307" s="1108"/>
      <c r="F307" s="1108"/>
      <c r="G307" s="1108"/>
      <c r="H307" s="1108"/>
    </row>
    <row r="308" spans="1:8" ht="18.75" customHeight="1">
      <c r="A308" s="167"/>
      <c r="B308" s="167"/>
      <c r="C308" s="1108"/>
      <c r="D308" s="1108"/>
      <c r="E308" s="1108"/>
      <c r="F308" s="1108"/>
      <c r="G308" s="1108"/>
      <c r="H308" s="1108"/>
    </row>
    <row r="309" spans="1:8" ht="18.75" customHeight="1">
      <c r="A309" s="167"/>
      <c r="B309" s="167"/>
      <c r="C309" s="1108"/>
      <c r="D309" s="1108"/>
      <c r="E309" s="1108"/>
      <c r="F309" s="1108"/>
      <c r="G309" s="1108"/>
      <c r="H309" s="1108"/>
    </row>
    <row r="310" spans="1:8" ht="18.75" customHeight="1">
      <c r="A310" s="167"/>
      <c r="B310" s="167"/>
      <c r="C310" s="1108"/>
      <c r="D310" s="1108"/>
      <c r="E310" s="1108"/>
      <c r="F310" s="1108"/>
      <c r="G310" s="1108"/>
      <c r="H310" s="1108"/>
    </row>
    <row r="311" spans="1:8" ht="18.75" customHeight="1">
      <c r="A311" s="167"/>
      <c r="B311" s="167"/>
      <c r="C311" s="1108"/>
      <c r="D311" s="1108"/>
      <c r="E311" s="1108"/>
      <c r="F311" s="1108"/>
      <c r="G311" s="1108"/>
      <c r="H311" s="1108"/>
    </row>
    <row r="312" spans="1:8" ht="18.75" customHeight="1">
      <c r="A312" s="167"/>
      <c r="B312" s="167"/>
      <c r="C312" s="1108"/>
      <c r="D312" s="1108"/>
      <c r="E312" s="1108"/>
      <c r="F312" s="1108"/>
      <c r="G312" s="1108"/>
      <c r="H312" s="1108"/>
    </row>
    <row r="313" spans="1:8" ht="18.75" customHeight="1">
      <c r="A313" s="167"/>
      <c r="B313" s="167"/>
      <c r="C313" s="1108"/>
      <c r="D313" s="1108"/>
      <c r="E313" s="1108"/>
      <c r="F313" s="1108"/>
      <c r="G313" s="1108"/>
      <c r="H313" s="1108"/>
    </row>
    <row r="314" spans="1:8" ht="18.75" customHeight="1">
      <c r="A314" s="167"/>
      <c r="B314" s="167"/>
      <c r="C314" s="1108"/>
      <c r="D314" s="1108"/>
      <c r="E314" s="1108"/>
      <c r="F314" s="1108"/>
      <c r="G314" s="1108"/>
      <c r="H314" s="1108"/>
    </row>
    <row r="315" spans="1:8" ht="18.75" customHeight="1">
      <c r="A315" s="167"/>
      <c r="B315" s="167"/>
      <c r="C315" s="1108"/>
      <c r="D315" s="1108"/>
      <c r="E315" s="1108"/>
      <c r="F315" s="1108"/>
      <c r="G315" s="1108"/>
      <c r="H315" s="1108"/>
    </row>
    <row r="316" spans="1:8" ht="18.75" customHeight="1">
      <c r="A316" s="167"/>
      <c r="B316" s="167"/>
      <c r="C316" s="1108"/>
      <c r="D316" s="1108"/>
      <c r="E316" s="1108"/>
      <c r="F316" s="1108"/>
      <c r="G316" s="1108"/>
      <c r="H316" s="1108"/>
    </row>
    <row r="317" spans="1:8" ht="18.75" customHeight="1">
      <c r="A317" s="167"/>
      <c r="B317" s="167"/>
      <c r="C317" s="1108"/>
      <c r="D317" s="1108"/>
      <c r="E317" s="1108"/>
      <c r="F317" s="1108"/>
      <c r="G317" s="1108"/>
      <c r="H317" s="1108"/>
    </row>
    <row r="318" spans="1:8" ht="18.75" customHeight="1">
      <c r="A318" s="167"/>
      <c r="B318" s="167"/>
      <c r="C318" s="1108"/>
      <c r="D318" s="1108"/>
      <c r="E318" s="1108"/>
      <c r="F318" s="1108"/>
      <c r="G318" s="1108"/>
      <c r="H318" s="1108"/>
    </row>
    <row r="319" spans="1:8" ht="18.75" customHeight="1">
      <c r="A319" s="167"/>
      <c r="B319" s="167"/>
      <c r="C319" s="1108"/>
      <c r="D319" s="1108"/>
      <c r="E319" s="1108"/>
      <c r="F319" s="1108"/>
      <c r="G319" s="1108"/>
      <c r="H319" s="1108"/>
    </row>
    <row r="320" spans="1:8" ht="18.75" customHeight="1">
      <c r="A320" s="167"/>
      <c r="B320" s="167"/>
      <c r="C320" s="1108"/>
      <c r="D320" s="1108"/>
      <c r="E320" s="1108"/>
      <c r="F320" s="1108"/>
      <c r="G320" s="1108"/>
      <c r="H320" s="1108"/>
    </row>
    <row r="321" spans="1:8" ht="18.75" customHeight="1">
      <c r="A321" s="167"/>
      <c r="B321" s="167"/>
      <c r="C321" s="1108"/>
      <c r="D321" s="1108"/>
      <c r="E321" s="1108"/>
      <c r="F321" s="1108"/>
      <c r="G321" s="1108"/>
      <c r="H321" s="1108"/>
    </row>
    <row r="322" spans="1:8" ht="18.75" customHeight="1">
      <c r="A322" s="167"/>
      <c r="B322" s="167"/>
      <c r="C322" s="1108"/>
      <c r="D322" s="1108"/>
      <c r="E322" s="1108"/>
      <c r="F322" s="1108"/>
      <c r="G322" s="1108"/>
      <c r="H322" s="1108"/>
    </row>
    <row r="323" spans="1:8" ht="18.75" customHeight="1">
      <c r="A323" s="167"/>
      <c r="B323" s="167"/>
      <c r="C323" s="1108"/>
      <c r="D323" s="1108"/>
      <c r="E323" s="1108"/>
      <c r="F323" s="1108"/>
      <c r="G323" s="1108"/>
      <c r="H323" s="1108"/>
    </row>
    <row r="324" spans="1:8" ht="18.75" customHeight="1">
      <c r="A324" s="167"/>
      <c r="B324" s="167"/>
      <c r="C324" s="1108"/>
      <c r="D324" s="1108"/>
      <c r="E324" s="1108"/>
      <c r="F324" s="1108"/>
      <c r="G324" s="1108"/>
      <c r="H324" s="1108"/>
    </row>
    <row r="325" spans="1:8" ht="18.75" customHeight="1">
      <c r="A325" s="167"/>
      <c r="B325" s="167"/>
      <c r="C325" s="1108"/>
      <c r="D325" s="1108"/>
      <c r="E325" s="1108"/>
      <c r="F325" s="1108"/>
      <c r="G325" s="1108"/>
      <c r="H325" s="1108"/>
    </row>
    <row r="326" spans="1:8" ht="18.75" customHeight="1">
      <c r="A326" s="167"/>
      <c r="B326" s="167"/>
      <c r="C326" s="1108"/>
      <c r="D326" s="1108"/>
      <c r="E326" s="1108"/>
      <c r="F326" s="1108"/>
      <c r="G326" s="1108"/>
      <c r="H326" s="1108"/>
    </row>
    <row r="327" spans="1:8" ht="18.75" customHeight="1">
      <c r="A327" s="167"/>
      <c r="B327" s="167"/>
      <c r="C327" s="1108"/>
      <c r="D327" s="1108"/>
      <c r="E327" s="1108"/>
      <c r="F327" s="1108"/>
      <c r="G327" s="1108"/>
      <c r="H327" s="1108"/>
    </row>
    <row r="328" spans="1:8" ht="18.75" customHeight="1">
      <c r="A328" s="167"/>
      <c r="B328" s="167"/>
      <c r="C328" s="1108"/>
      <c r="D328" s="1108"/>
      <c r="E328" s="1108"/>
      <c r="F328" s="1108"/>
      <c r="G328" s="1108"/>
      <c r="H328" s="1108"/>
    </row>
    <row r="329" spans="1:8" ht="18.75" customHeight="1">
      <c r="A329" s="167"/>
      <c r="B329" s="167"/>
      <c r="C329" s="1108"/>
      <c r="D329" s="1108"/>
      <c r="E329" s="1108"/>
      <c r="F329" s="1108"/>
      <c r="G329" s="1108"/>
      <c r="H329" s="1108"/>
    </row>
    <row r="330" spans="1:8" ht="18.75" customHeight="1">
      <c r="A330" s="167"/>
      <c r="B330" s="167"/>
      <c r="C330" s="1108"/>
      <c r="D330" s="1108"/>
      <c r="E330" s="1108"/>
      <c r="F330" s="1108"/>
      <c r="G330" s="1108"/>
      <c r="H330" s="1108"/>
    </row>
    <row r="331" spans="1:8" ht="18.75" customHeight="1">
      <c r="A331" s="167"/>
      <c r="B331" s="167"/>
      <c r="C331" s="1108"/>
      <c r="D331" s="1108"/>
      <c r="E331" s="1108"/>
      <c r="F331" s="1108"/>
      <c r="G331" s="1108"/>
      <c r="H331" s="1108"/>
    </row>
    <row r="332" spans="1:8" ht="18.75" customHeight="1">
      <c r="A332" s="167"/>
      <c r="B332" s="167"/>
      <c r="C332" s="1108"/>
      <c r="D332" s="1108"/>
      <c r="E332" s="1108"/>
      <c r="F332" s="1108"/>
      <c r="G332" s="1108"/>
      <c r="H332" s="1108"/>
    </row>
    <row r="333" spans="1:8" ht="18.75" customHeight="1">
      <c r="A333" s="167"/>
      <c r="B333" s="167"/>
      <c r="C333" s="1108"/>
      <c r="D333" s="1108"/>
      <c r="E333" s="1108"/>
      <c r="F333" s="1108"/>
      <c r="G333" s="1108"/>
      <c r="H333" s="1108"/>
    </row>
    <row r="334" spans="1:8" ht="18.75" customHeight="1">
      <c r="A334" s="167"/>
      <c r="B334" s="167"/>
      <c r="C334" s="1108"/>
      <c r="D334" s="1108"/>
      <c r="E334" s="1108"/>
      <c r="F334" s="1108"/>
      <c r="G334" s="1108"/>
      <c r="H334" s="1108"/>
    </row>
    <row r="335" spans="1:8" ht="18.75" customHeight="1">
      <c r="A335" s="167"/>
      <c r="B335" s="167"/>
      <c r="C335" s="1108"/>
      <c r="D335" s="1108"/>
      <c r="E335" s="1108"/>
      <c r="F335" s="1108"/>
      <c r="G335" s="1108"/>
      <c r="H335" s="1108"/>
    </row>
    <row r="336" spans="1:8" ht="18.75" customHeight="1">
      <c r="A336" s="167"/>
      <c r="B336" s="167"/>
      <c r="C336" s="1108"/>
      <c r="D336" s="1108"/>
      <c r="E336" s="1108"/>
      <c r="F336" s="1108"/>
      <c r="G336" s="1108"/>
      <c r="H336" s="1108"/>
    </row>
    <row r="337" spans="1:8" ht="18.75" customHeight="1">
      <c r="A337" s="167"/>
      <c r="B337" s="167"/>
      <c r="C337" s="1108"/>
      <c r="D337" s="1108"/>
      <c r="E337" s="1108"/>
      <c r="F337" s="1108"/>
      <c r="G337" s="1108"/>
      <c r="H337" s="1108"/>
    </row>
    <row r="338" spans="1:8" ht="18.75" customHeight="1">
      <c r="A338" s="167"/>
      <c r="B338" s="167"/>
      <c r="C338" s="1108"/>
      <c r="D338" s="1108"/>
      <c r="E338" s="1108"/>
      <c r="F338" s="1108"/>
      <c r="G338" s="1108"/>
      <c r="H338" s="1108"/>
    </row>
    <row r="339" spans="1:8" ht="18.75" customHeight="1">
      <c r="A339" s="167"/>
      <c r="B339" s="167"/>
      <c r="C339" s="1108"/>
      <c r="D339" s="1108"/>
      <c r="E339" s="1108"/>
      <c r="F339" s="1108"/>
      <c r="G339" s="1108"/>
      <c r="H339" s="1108"/>
    </row>
    <row r="340" spans="1:8" ht="18.75" customHeight="1">
      <c r="A340" s="167"/>
      <c r="B340" s="167"/>
      <c r="C340" s="1108"/>
      <c r="D340" s="1108"/>
      <c r="E340" s="1108"/>
      <c r="F340" s="1108"/>
      <c r="G340" s="1108"/>
      <c r="H340" s="1108"/>
    </row>
    <row r="341" spans="1:8" ht="18.75" customHeight="1">
      <c r="A341" s="167"/>
      <c r="B341" s="167"/>
      <c r="C341" s="1108"/>
      <c r="D341" s="1108"/>
      <c r="E341" s="1108"/>
      <c r="F341" s="1108"/>
      <c r="G341" s="1108"/>
      <c r="H341" s="1108"/>
    </row>
    <row r="342" spans="1:8" ht="18.75" customHeight="1">
      <c r="A342" s="167"/>
      <c r="B342" s="167"/>
      <c r="C342" s="1108"/>
      <c r="D342" s="1108"/>
      <c r="E342" s="1108"/>
      <c r="F342" s="1108"/>
      <c r="G342" s="1108"/>
      <c r="H342" s="1108"/>
    </row>
    <row r="343" spans="1:8" ht="18.75" customHeight="1">
      <c r="A343" s="167"/>
      <c r="B343" s="167"/>
      <c r="C343" s="1108"/>
      <c r="D343" s="1108"/>
      <c r="E343" s="1108"/>
      <c r="F343" s="1108"/>
      <c r="G343" s="1108"/>
      <c r="H343" s="1108"/>
    </row>
    <row r="344" spans="1:8" ht="18.75" customHeight="1">
      <c r="A344" s="167"/>
      <c r="B344" s="167"/>
      <c r="C344" s="1108"/>
      <c r="D344" s="1108"/>
      <c r="E344" s="1108"/>
      <c r="F344" s="1108"/>
      <c r="G344" s="1108"/>
      <c r="H344" s="1108"/>
    </row>
    <row r="345" spans="1:8" ht="18.75" customHeight="1">
      <c r="A345" s="167"/>
      <c r="B345" s="167"/>
      <c r="C345" s="1108"/>
      <c r="D345" s="1108"/>
      <c r="E345" s="1108"/>
      <c r="F345" s="1108"/>
      <c r="G345" s="1108"/>
      <c r="H345" s="1108"/>
    </row>
    <row r="346" spans="1:8" ht="18.75" customHeight="1">
      <c r="A346" s="167"/>
      <c r="B346" s="167"/>
      <c r="C346" s="1108"/>
      <c r="D346" s="1108"/>
      <c r="E346" s="1108"/>
      <c r="F346" s="1108"/>
      <c r="G346" s="1108"/>
      <c r="H346" s="1108"/>
    </row>
    <row r="347" spans="1:8" ht="18.75" customHeight="1">
      <c r="A347" s="167"/>
      <c r="B347" s="167"/>
      <c r="C347" s="1108"/>
      <c r="D347" s="1108"/>
      <c r="E347" s="1108"/>
      <c r="F347" s="1108"/>
      <c r="G347" s="1108"/>
      <c r="H347" s="1108"/>
    </row>
    <row r="348" spans="1:8" ht="18.75" customHeight="1">
      <c r="A348" s="167"/>
      <c r="B348" s="167"/>
      <c r="C348" s="1108"/>
      <c r="D348" s="1108"/>
      <c r="E348" s="1108"/>
      <c r="F348" s="1108"/>
      <c r="G348" s="1108"/>
      <c r="H348" s="1108"/>
    </row>
    <row r="349" spans="1:8" ht="18.75" customHeight="1">
      <c r="A349" s="167"/>
      <c r="B349" s="167"/>
      <c r="C349" s="1108"/>
      <c r="D349" s="1108"/>
      <c r="E349" s="1108"/>
      <c r="F349" s="1108"/>
      <c r="G349" s="1108"/>
      <c r="H349" s="1108"/>
    </row>
    <row r="350" spans="1:8" ht="18.75" customHeight="1">
      <c r="A350" s="167"/>
      <c r="B350" s="167"/>
      <c r="C350" s="1108"/>
      <c r="D350" s="1108"/>
      <c r="E350" s="1108"/>
      <c r="F350" s="1108"/>
      <c r="G350" s="1108"/>
      <c r="H350" s="1108"/>
    </row>
    <row r="351" spans="1:8" ht="18.75" customHeight="1">
      <c r="A351" s="167"/>
      <c r="B351" s="167"/>
      <c r="C351" s="1108"/>
      <c r="D351" s="1108"/>
      <c r="E351" s="1108"/>
      <c r="F351" s="1108"/>
      <c r="G351" s="1108"/>
      <c r="H351" s="1108"/>
    </row>
    <row r="352" spans="1:8" ht="18.75" customHeight="1">
      <c r="A352" s="167"/>
      <c r="B352" s="167"/>
      <c r="C352" s="1108"/>
      <c r="D352" s="1108"/>
      <c r="E352" s="1108"/>
      <c r="F352" s="1108"/>
      <c r="G352" s="1108"/>
      <c r="H352" s="1108"/>
    </row>
    <row r="353" spans="1:8" ht="18.75" customHeight="1">
      <c r="A353" s="167"/>
      <c r="B353" s="167"/>
      <c r="C353" s="1108"/>
      <c r="D353" s="1108"/>
      <c r="E353" s="1108"/>
      <c r="F353" s="1108"/>
      <c r="G353" s="1108"/>
      <c r="H353" s="1108"/>
    </row>
    <row r="354" spans="1:8" ht="18.75" customHeight="1">
      <c r="A354" s="167"/>
      <c r="B354" s="167"/>
      <c r="C354" s="1108"/>
      <c r="D354" s="1108"/>
      <c r="E354" s="1108"/>
      <c r="F354" s="1108"/>
      <c r="G354" s="1108"/>
      <c r="H354" s="1108"/>
    </row>
    <row r="355" spans="1:8" ht="18.75" customHeight="1">
      <c r="A355" s="167"/>
      <c r="B355" s="167"/>
      <c r="C355" s="1108"/>
      <c r="D355" s="1108"/>
      <c r="E355" s="1108"/>
      <c r="F355" s="1108"/>
      <c r="G355" s="1108"/>
      <c r="H355" s="1108"/>
    </row>
    <row r="356" spans="1:8" ht="18.75" customHeight="1">
      <c r="A356" s="167"/>
      <c r="B356" s="167"/>
      <c r="C356" s="1108"/>
      <c r="D356" s="1108"/>
      <c r="E356" s="1108"/>
      <c r="F356" s="1108"/>
      <c r="G356" s="1108"/>
      <c r="H356" s="1108"/>
    </row>
    <row r="357" spans="1:8" ht="18.75" customHeight="1">
      <c r="A357" s="167"/>
      <c r="B357" s="167"/>
      <c r="C357" s="1108"/>
      <c r="D357" s="1108"/>
      <c r="E357" s="1108"/>
      <c r="F357" s="1108"/>
      <c r="G357" s="1108"/>
      <c r="H357" s="1108"/>
    </row>
    <row r="358" spans="1:8" ht="18.75" customHeight="1">
      <c r="A358" s="167"/>
      <c r="B358" s="167"/>
      <c r="C358" s="1108"/>
      <c r="D358" s="1108"/>
      <c r="E358" s="1108"/>
      <c r="F358" s="1108"/>
      <c r="G358" s="1108"/>
      <c r="H358" s="1108"/>
    </row>
    <row r="359" spans="1:8" ht="18.75" customHeight="1">
      <c r="A359" s="167"/>
      <c r="B359" s="167"/>
      <c r="C359" s="1108"/>
      <c r="D359" s="1108"/>
      <c r="E359" s="1108"/>
      <c r="F359" s="1108"/>
      <c r="G359" s="1108"/>
      <c r="H359" s="1108"/>
    </row>
    <row r="360" spans="1:8" ht="18.75" customHeight="1">
      <c r="A360" s="167"/>
      <c r="B360" s="167"/>
      <c r="C360" s="1108"/>
      <c r="D360" s="1108"/>
      <c r="E360" s="1108"/>
      <c r="F360" s="1108"/>
      <c r="G360" s="1108"/>
      <c r="H360" s="1108"/>
    </row>
    <row r="361" spans="1:8" ht="18.75" customHeight="1">
      <c r="A361" s="167"/>
      <c r="B361" s="167"/>
      <c r="C361" s="1108"/>
      <c r="D361" s="1108"/>
      <c r="E361" s="1108"/>
      <c r="F361" s="1108"/>
      <c r="G361" s="1108"/>
      <c r="H361" s="1108"/>
    </row>
    <row r="362" spans="1:8" ht="18.75" customHeight="1">
      <c r="A362" s="167"/>
      <c r="B362" s="167"/>
      <c r="C362" s="1108"/>
      <c r="D362" s="1108"/>
      <c r="E362" s="1108"/>
      <c r="F362" s="1108"/>
      <c r="G362" s="1108"/>
      <c r="H362" s="1108"/>
    </row>
    <row r="363" spans="1:8" ht="18.75" customHeight="1">
      <c r="A363" s="167"/>
      <c r="B363" s="167"/>
      <c r="C363" s="1108"/>
      <c r="D363" s="1108"/>
      <c r="E363" s="1108"/>
      <c r="F363" s="1108"/>
      <c r="G363" s="1108"/>
      <c r="H363" s="1108"/>
    </row>
    <row r="364" spans="1:8" ht="18.75" customHeight="1">
      <c r="A364" s="167"/>
      <c r="B364" s="167"/>
      <c r="C364" s="1108"/>
      <c r="D364" s="1108"/>
      <c r="E364" s="1108"/>
      <c r="F364" s="1108"/>
      <c r="G364" s="1108"/>
      <c r="H364" s="1108"/>
    </row>
    <row r="365" spans="1:8" ht="18.75" customHeight="1">
      <c r="A365" s="167"/>
      <c r="B365" s="167"/>
      <c r="C365" s="1108"/>
      <c r="D365" s="1108"/>
      <c r="E365" s="1108"/>
      <c r="F365" s="1108"/>
      <c r="G365" s="1108"/>
      <c r="H365" s="1108"/>
    </row>
    <row r="366" spans="1:8" ht="18.75" customHeight="1">
      <c r="A366" s="167"/>
      <c r="B366" s="167"/>
      <c r="C366" s="1108"/>
      <c r="D366" s="1108"/>
      <c r="E366" s="1108"/>
      <c r="F366" s="1108"/>
      <c r="G366" s="1108"/>
      <c r="H366" s="1108"/>
    </row>
    <row r="367" spans="1:8" ht="18.75" customHeight="1">
      <c r="A367" s="167"/>
      <c r="B367" s="167"/>
      <c r="C367" s="1108"/>
      <c r="D367" s="1108"/>
      <c r="E367" s="1108"/>
      <c r="F367" s="1108"/>
      <c r="G367" s="1108"/>
      <c r="H367" s="1108"/>
    </row>
    <row r="368" spans="1:8" ht="18.75" customHeight="1">
      <c r="A368" s="167"/>
      <c r="B368" s="167"/>
      <c r="C368" s="1108"/>
      <c r="D368" s="1108"/>
      <c r="E368" s="1108"/>
      <c r="F368" s="1108"/>
      <c r="G368" s="1108"/>
      <c r="H368" s="1108"/>
    </row>
    <row r="369" spans="1:8" ht="18.75" customHeight="1">
      <c r="A369" s="167"/>
      <c r="B369" s="167"/>
      <c r="C369" s="1108"/>
      <c r="D369" s="1108"/>
      <c r="E369" s="1108"/>
      <c r="F369" s="1108"/>
      <c r="G369" s="1108"/>
      <c r="H369" s="1108"/>
    </row>
    <row r="370" spans="1:8" ht="18.75" customHeight="1">
      <c r="A370" s="167"/>
      <c r="B370" s="167"/>
      <c r="C370" s="1108"/>
      <c r="D370" s="1108"/>
      <c r="E370" s="1108"/>
      <c r="F370" s="1108"/>
      <c r="G370" s="1108"/>
      <c r="H370" s="1108"/>
    </row>
    <row r="371" spans="1:8" ht="18.75" customHeight="1">
      <c r="A371" s="167"/>
      <c r="B371" s="167"/>
      <c r="C371" s="1108"/>
      <c r="D371" s="1108"/>
      <c r="E371" s="1108"/>
      <c r="F371" s="1108"/>
      <c r="G371" s="1108"/>
      <c r="H371" s="1108"/>
    </row>
    <row r="372" spans="1:8" ht="18.75" customHeight="1">
      <c r="A372" s="167"/>
      <c r="B372" s="167"/>
      <c r="C372" s="1108"/>
      <c r="D372" s="1108"/>
      <c r="E372" s="1108"/>
      <c r="F372" s="1108"/>
      <c r="G372" s="1108"/>
      <c r="H372" s="1108"/>
    </row>
    <row r="373" spans="1:8" ht="18.75" customHeight="1">
      <c r="A373" s="167"/>
      <c r="B373" s="167"/>
      <c r="C373" s="1108"/>
      <c r="D373" s="1108"/>
      <c r="E373" s="1108"/>
      <c r="F373" s="1108"/>
      <c r="G373" s="1108"/>
      <c r="H373" s="1108"/>
    </row>
    <row r="374" spans="1:8" ht="18.75" customHeight="1">
      <c r="A374" s="167"/>
      <c r="B374" s="167"/>
      <c r="C374" s="1108"/>
      <c r="D374" s="1108"/>
      <c r="E374" s="1108"/>
      <c r="F374" s="1108"/>
      <c r="G374" s="1108"/>
      <c r="H374" s="1108"/>
    </row>
    <row r="375" spans="1:8" ht="18.75" customHeight="1">
      <c r="A375" s="167"/>
      <c r="B375" s="167"/>
      <c r="C375" s="1108"/>
      <c r="D375" s="1108"/>
      <c r="E375" s="1108"/>
      <c r="F375" s="1108"/>
      <c r="G375" s="1108"/>
      <c r="H375" s="1108"/>
    </row>
    <row r="376" spans="1:8" ht="18.75" customHeight="1">
      <c r="A376" s="167"/>
      <c r="B376" s="167"/>
      <c r="C376" s="1108"/>
      <c r="D376" s="1108"/>
      <c r="E376" s="1108"/>
      <c r="F376" s="1108"/>
      <c r="G376" s="1108"/>
      <c r="H376" s="1108"/>
    </row>
  </sheetData>
  <phoneticPr fontId="7" type="noConversion"/>
  <conditionalFormatting sqref="A194 A151 A174:A175 A187:A188 A190 A161:A162">
    <cfRule type="cellIs" dxfId="0" priority="6" stopIfTrue="1" operator="lessThan">
      <formula>0</formula>
    </cfRule>
  </conditionalFormatting>
  <pageMargins left="0.75" right="0.75" top="1" bottom="1" header="0.5" footer="0.5"/>
  <pageSetup paperSize="9" orientation="portrait"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dimension ref="A1:AX139"/>
  <sheetViews>
    <sheetView zoomScaleNormal="100" workbookViewId="0">
      <pane xSplit="4" ySplit="10" topLeftCell="E11" activePane="bottomRight" state="frozen"/>
      <selection activeCell="A37" sqref="A37"/>
      <selection pane="topRight" activeCell="A37" sqref="A37"/>
      <selection pane="bottomLeft" activeCell="A37" sqref="A37"/>
      <selection pane="bottomRight" activeCell="A2" sqref="A2"/>
    </sheetView>
  </sheetViews>
  <sheetFormatPr defaultColWidth="9.375" defaultRowHeight="15" customHeight="1"/>
  <cols>
    <col min="1" max="1" width="34.375" style="835" customWidth="1"/>
    <col min="2" max="2" width="15.875" style="835" customWidth="1"/>
    <col min="3" max="3" width="21.375" style="835" customWidth="1"/>
    <col min="4" max="4" width="17" style="835" customWidth="1"/>
    <col min="5" max="10" width="15.875" style="835" customWidth="1"/>
    <col min="11" max="37" width="15.875" style="835" hidden="1" customWidth="1"/>
    <col min="38" max="38" width="9.375" style="835"/>
    <col min="39" max="39" width="20" style="835" customWidth="1"/>
    <col min="40" max="40" width="33.875" style="835" customWidth="1"/>
    <col min="41" max="41" width="32.875" style="835" customWidth="1"/>
    <col min="42" max="42" width="23.5" style="835" customWidth="1"/>
    <col min="43" max="44" width="12.125" style="835" customWidth="1"/>
    <col min="45" max="16384" width="9.375" style="835"/>
  </cols>
  <sheetData>
    <row r="1" spans="1:44" s="789" customFormat="1" ht="6.75" customHeight="1">
      <c r="A1" s="1281"/>
      <c r="B1" s="1282"/>
      <c r="C1" s="1282"/>
      <c r="D1" s="1282"/>
      <c r="E1" s="1282"/>
      <c r="F1" s="1282"/>
      <c r="G1" s="1282"/>
      <c r="H1" s="1283"/>
      <c r="I1" s="1283"/>
      <c r="J1" s="1283"/>
      <c r="K1" s="1283"/>
      <c r="L1" s="1283"/>
      <c r="M1" s="1283"/>
      <c r="N1" s="1283"/>
      <c r="Y1" s="789">
        <v>0</v>
      </c>
      <c r="Z1" s="789">
        <v>0</v>
      </c>
    </row>
    <row r="2" spans="1:44" s="789" customFormat="1" ht="15" customHeight="1">
      <c r="A2" s="836" t="s">
        <v>1883</v>
      </c>
      <c r="B2" s="837">
        <f>年度数据!N7</f>
        <v>2017</v>
      </c>
      <c r="C2" s="837">
        <f>年度数据!N6</f>
        <v>2018</v>
      </c>
      <c r="D2" s="837">
        <f>年度数据!N5</f>
        <v>2019</v>
      </c>
      <c r="E2" s="837">
        <f>年度数据!N4</f>
        <v>2020</v>
      </c>
      <c r="F2" s="837">
        <f>年度数据!N3</f>
        <v>2021</v>
      </c>
      <c r="G2" s="837">
        <f>年度数据!N2</f>
        <v>2022</v>
      </c>
      <c r="H2" s="838" t="str">
        <f>CONCATENATE(LEFT(G2,4)+1,"E")</f>
        <v>2023E</v>
      </c>
      <c r="I2" s="838" t="str">
        <f>CONCATENATE(LEFT(H2,4)+1,"E")</f>
        <v>2024E</v>
      </c>
      <c r="J2" s="838" t="str">
        <f t="shared" ref="J2:AK2" si="0">CONCATENATE(LEFT(I2,4)+1,"E")</f>
        <v>2025E</v>
      </c>
      <c r="K2" s="838" t="str">
        <f t="shared" si="0"/>
        <v>2026E</v>
      </c>
      <c r="L2" s="838" t="str">
        <f t="shared" si="0"/>
        <v>2027E</v>
      </c>
      <c r="M2" s="838" t="str">
        <f t="shared" si="0"/>
        <v>2028E</v>
      </c>
      <c r="N2" s="838" t="str">
        <f t="shared" si="0"/>
        <v>2029E</v>
      </c>
      <c r="O2" s="838" t="str">
        <f t="shared" si="0"/>
        <v>2030E</v>
      </c>
      <c r="P2" s="838" t="str">
        <f t="shared" si="0"/>
        <v>2031E</v>
      </c>
      <c r="Q2" s="838" t="str">
        <f t="shared" si="0"/>
        <v>2032E</v>
      </c>
      <c r="R2" s="838" t="str">
        <f t="shared" si="0"/>
        <v>2033E</v>
      </c>
      <c r="S2" s="838" t="str">
        <f t="shared" si="0"/>
        <v>2034E</v>
      </c>
      <c r="T2" s="838" t="str">
        <f t="shared" si="0"/>
        <v>2035E</v>
      </c>
      <c r="U2" s="838" t="str">
        <f t="shared" si="0"/>
        <v>2036E</v>
      </c>
      <c r="V2" s="838" t="str">
        <f t="shared" si="0"/>
        <v>2037E</v>
      </c>
      <c r="W2" s="838" t="str">
        <f t="shared" si="0"/>
        <v>2038E</v>
      </c>
      <c r="X2" s="838" t="str">
        <f t="shared" si="0"/>
        <v>2039E</v>
      </c>
      <c r="Y2" s="838" t="str">
        <f t="shared" si="0"/>
        <v>2040E</v>
      </c>
      <c r="Z2" s="838" t="str">
        <f t="shared" si="0"/>
        <v>2041E</v>
      </c>
      <c r="AA2" s="838" t="str">
        <f t="shared" si="0"/>
        <v>2042E</v>
      </c>
      <c r="AB2" s="838" t="str">
        <f t="shared" si="0"/>
        <v>2043E</v>
      </c>
      <c r="AC2" s="838" t="str">
        <f t="shared" si="0"/>
        <v>2044E</v>
      </c>
      <c r="AD2" s="838" t="str">
        <f t="shared" si="0"/>
        <v>2045E</v>
      </c>
      <c r="AE2" s="838" t="str">
        <f t="shared" si="0"/>
        <v>2046E</v>
      </c>
      <c r="AF2" s="838" t="str">
        <f t="shared" si="0"/>
        <v>2047E</v>
      </c>
      <c r="AG2" s="838" t="str">
        <f t="shared" si="0"/>
        <v>2048E</v>
      </c>
      <c r="AH2" s="838" t="str">
        <f t="shared" si="0"/>
        <v>2049E</v>
      </c>
      <c r="AI2" s="838" t="str">
        <f t="shared" si="0"/>
        <v>2050E</v>
      </c>
      <c r="AJ2" s="838" t="str">
        <f t="shared" si="0"/>
        <v>2051E</v>
      </c>
      <c r="AK2" s="838" t="str">
        <f t="shared" si="0"/>
        <v>2052E</v>
      </c>
      <c r="AL2" s="838"/>
    </row>
    <row r="3" spans="1:44" s="789" customFormat="1" ht="15" customHeight="1">
      <c r="A3" s="839" t="s">
        <v>996</v>
      </c>
      <c r="B3" s="840">
        <f>年度数据!C4</f>
        <v>2038.7881276099999</v>
      </c>
      <c r="C3" s="840">
        <f>年度数据!D4</f>
        <v>3096.7492906900002</v>
      </c>
      <c r="D3" s="840">
        <f>年度数据!E4</f>
        <v>4651.9570119999998</v>
      </c>
      <c r="E3" s="840">
        <f>年度数据!F4</f>
        <v>6237.8785046200001</v>
      </c>
      <c r="F3" s="840">
        <f>年度数据!G4</f>
        <v>7770.7241516800004</v>
      </c>
      <c r="G3" s="840">
        <f>年度数据!H4</f>
        <v>7660.6405554399998</v>
      </c>
      <c r="H3" s="840">
        <f>H45</f>
        <v>0</v>
      </c>
      <c r="I3" s="840">
        <f>I45</f>
        <v>0</v>
      </c>
      <c r="J3" s="840">
        <f>J45</f>
        <v>0</v>
      </c>
      <c r="K3" s="840">
        <f>K45</f>
        <v>0</v>
      </c>
      <c r="L3" s="840">
        <f>L45</f>
        <v>0</v>
      </c>
      <c r="M3" s="840">
        <f>M45</f>
        <v>0</v>
      </c>
      <c r="N3" s="840">
        <f>N45</f>
        <v>0</v>
      </c>
      <c r="O3" s="840">
        <f>O45</f>
        <v>0</v>
      </c>
      <c r="P3" s="840">
        <f>P45</f>
        <v>0</v>
      </c>
      <c r="Q3" s="840">
        <f>Q45</f>
        <v>0</v>
      </c>
      <c r="R3" s="840">
        <f>R45</f>
        <v>0</v>
      </c>
      <c r="S3" s="840">
        <f>S45</f>
        <v>0</v>
      </c>
      <c r="T3" s="840">
        <f>T45</f>
        <v>0</v>
      </c>
      <c r="U3" s="840">
        <f>U45</f>
        <v>0</v>
      </c>
      <c r="V3" s="840">
        <f>V45</f>
        <v>0</v>
      </c>
      <c r="W3" s="840">
        <f>W45</f>
        <v>0</v>
      </c>
      <c r="X3" s="840">
        <f>X45</f>
        <v>0</v>
      </c>
      <c r="Y3" s="840">
        <f>Y45</f>
        <v>0</v>
      </c>
      <c r="Z3" s="840">
        <f>Z45</f>
        <v>0</v>
      </c>
      <c r="AA3" s="840">
        <f>AA45</f>
        <v>0</v>
      </c>
      <c r="AB3" s="840">
        <f>AB45</f>
        <v>0</v>
      </c>
      <c r="AC3" s="840">
        <f>AC45</f>
        <v>0</v>
      </c>
      <c r="AD3" s="840">
        <f>AD45</f>
        <v>0</v>
      </c>
      <c r="AE3" s="840">
        <f>AE45</f>
        <v>0</v>
      </c>
      <c r="AF3" s="840">
        <f>AF45</f>
        <v>0</v>
      </c>
      <c r="AG3" s="840">
        <f>AG45</f>
        <v>0</v>
      </c>
      <c r="AH3" s="840">
        <f>AH45</f>
        <v>0</v>
      </c>
      <c r="AI3" s="840">
        <f>AI45</f>
        <v>0</v>
      </c>
      <c r="AJ3" s="840">
        <f>AJ45</f>
        <v>0</v>
      </c>
      <c r="AK3" s="840">
        <f>AK45</f>
        <v>0</v>
      </c>
      <c r="AL3" s="840"/>
    </row>
    <row r="4" spans="1:44" s="789" customFormat="1" ht="15" customHeight="1">
      <c r="A4" s="839" t="s">
        <v>998</v>
      </c>
      <c r="B4" s="840">
        <f>年度数据!C5</f>
        <v>1263.5234191700001</v>
      </c>
      <c r="C4" s="840">
        <f>年度数据!D5</f>
        <v>2124.4891360900001</v>
      </c>
      <c r="D4" s="840">
        <f>年度数据!E5</f>
        <v>3092.1497950500002</v>
      </c>
      <c r="E4" s="840">
        <f>年度数据!F5</f>
        <v>3933.6453061799998</v>
      </c>
      <c r="F4" s="840">
        <f>年度数据!G5</f>
        <v>5554.9510171599995</v>
      </c>
      <c r="G4" s="840">
        <f>年度数据!H5</f>
        <v>6035.7600298300003</v>
      </c>
      <c r="H4" s="840">
        <f>H85</f>
        <v>0</v>
      </c>
      <c r="I4" s="840">
        <f>I85</f>
        <v>0</v>
      </c>
      <c r="J4" s="840">
        <f>J85</f>
        <v>0</v>
      </c>
      <c r="K4" s="840">
        <f>K85</f>
        <v>0</v>
      </c>
      <c r="L4" s="840">
        <f>L85</f>
        <v>0</v>
      </c>
      <c r="M4" s="840">
        <f>M85</f>
        <v>0</v>
      </c>
      <c r="N4" s="840">
        <f>N85</f>
        <v>0</v>
      </c>
      <c r="O4" s="840">
        <f>O85</f>
        <v>0</v>
      </c>
      <c r="P4" s="840">
        <f>P85</f>
        <v>0</v>
      </c>
      <c r="Q4" s="840">
        <f>Q85</f>
        <v>0</v>
      </c>
      <c r="R4" s="840">
        <f>R85</f>
        <v>0</v>
      </c>
      <c r="S4" s="840">
        <f>S85</f>
        <v>0</v>
      </c>
      <c r="T4" s="840">
        <f>T85</f>
        <v>0</v>
      </c>
      <c r="U4" s="840">
        <f>U85</f>
        <v>0</v>
      </c>
      <c r="V4" s="840">
        <f>V85</f>
        <v>0</v>
      </c>
      <c r="W4" s="840">
        <f>W85</f>
        <v>0</v>
      </c>
      <c r="X4" s="840">
        <f>X85</f>
        <v>0</v>
      </c>
      <c r="Y4" s="840">
        <f>Y85</f>
        <v>0</v>
      </c>
      <c r="Z4" s="840">
        <f>Z85</f>
        <v>0</v>
      </c>
      <c r="AA4" s="840">
        <f>AA85</f>
        <v>0</v>
      </c>
      <c r="AB4" s="840">
        <f>AB85</f>
        <v>0</v>
      </c>
      <c r="AC4" s="840">
        <f>AC85</f>
        <v>0</v>
      </c>
      <c r="AD4" s="840">
        <f>AD85</f>
        <v>0</v>
      </c>
      <c r="AE4" s="840">
        <f>AE85</f>
        <v>0</v>
      </c>
      <c r="AF4" s="840">
        <f>AF85</f>
        <v>0</v>
      </c>
      <c r="AG4" s="840">
        <f>AG85</f>
        <v>0</v>
      </c>
      <c r="AH4" s="840">
        <f>AH85</f>
        <v>0</v>
      </c>
      <c r="AI4" s="840">
        <f>AI85</f>
        <v>0</v>
      </c>
      <c r="AJ4" s="840">
        <f>AJ85</f>
        <v>0</v>
      </c>
      <c r="AK4" s="840">
        <f>AK85</f>
        <v>0</v>
      </c>
      <c r="AL4" s="840"/>
      <c r="AM4" s="840"/>
    </row>
    <row r="5" spans="1:44" s="789" customFormat="1" ht="15" customHeight="1">
      <c r="A5" s="841"/>
      <c r="B5" s="842"/>
      <c r="C5" s="842"/>
      <c r="D5" s="842"/>
      <c r="E5" s="840"/>
      <c r="F5" s="840"/>
      <c r="G5" s="840"/>
      <c r="H5" s="843"/>
      <c r="I5" s="843"/>
      <c r="J5" s="843"/>
      <c r="K5" s="843"/>
      <c r="L5" s="840"/>
      <c r="M5" s="840"/>
      <c r="N5" s="844"/>
      <c r="O5" s="844"/>
      <c r="P5" s="844"/>
      <c r="Q5" s="844"/>
      <c r="R5" s="844"/>
      <c r="S5" s="844"/>
      <c r="T5" s="844"/>
      <c r="U5" s="844"/>
      <c r="V5" s="844"/>
      <c r="W5" s="844"/>
      <c r="X5" s="844"/>
      <c r="Y5" s="844"/>
      <c r="Z5" s="844"/>
      <c r="AA5" s="844"/>
      <c r="AB5" s="844"/>
      <c r="AC5" s="844"/>
      <c r="AD5" s="844"/>
      <c r="AE5" s="844"/>
      <c r="AF5" s="844"/>
      <c r="AG5" s="844"/>
      <c r="AH5" s="844"/>
      <c r="AI5" s="844"/>
      <c r="AJ5" s="844"/>
      <c r="AK5" s="844"/>
      <c r="AL5" s="845"/>
    </row>
    <row r="6" spans="1:44" s="789" customFormat="1" ht="15" customHeight="1">
      <c r="A6" s="846" t="s">
        <v>1884</v>
      </c>
      <c r="B6" s="847"/>
      <c r="C6" s="847"/>
      <c r="D6" s="847"/>
      <c r="E6" s="848"/>
      <c r="F6" s="848"/>
      <c r="G6" s="840"/>
      <c r="H6" s="843"/>
      <c r="I6" s="843"/>
      <c r="J6" s="843"/>
      <c r="K6" s="843"/>
      <c r="L6" s="844"/>
      <c r="M6" s="844"/>
      <c r="N6" s="844"/>
      <c r="O6" s="844"/>
      <c r="P6" s="844"/>
      <c r="Q6" s="844"/>
      <c r="R6" s="844"/>
      <c r="S6" s="844"/>
      <c r="T6" s="844"/>
      <c r="U6" s="844"/>
      <c r="V6" s="844"/>
      <c r="W6" s="844"/>
      <c r="X6" s="844"/>
      <c r="Y6" s="844"/>
      <c r="Z6" s="844"/>
      <c r="AA6" s="844"/>
      <c r="AB6" s="844"/>
      <c r="AC6" s="844"/>
      <c r="AD6" s="844"/>
      <c r="AE6" s="844"/>
      <c r="AF6" s="844"/>
      <c r="AG6" s="844"/>
      <c r="AH6" s="844"/>
      <c r="AI6" s="844"/>
      <c r="AJ6" s="844"/>
      <c r="AK6" s="844"/>
      <c r="AL6" s="845"/>
    </row>
    <row r="7" spans="1:44" s="789" customFormat="1" ht="15" customHeight="1">
      <c r="A7" s="839" t="s">
        <v>997</v>
      </c>
      <c r="B7" s="849"/>
      <c r="C7" s="850">
        <f>(C3-B3)/B3</f>
        <v>0.51891667837020961</v>
      </c>
      <c r="D7" s="850">
        <f>(D3-C3)/C3</f>
        <v>0.50220653185762965</v>
      </c>
      <c r="E7" s="850">
        <f>(E3-D3)/D3</f>
        <v>0.34091490710877626</v>
      </c>
      <c r="F7" s="850">
        <f>(F3-E3)/E3</f>
        <v>0.24573188559615566</v>
      </c>
      <c r="G7" s="850">
        <f>(G3-F3)/F3</f>
        <v>-1.4166452712930357E-2</v>
      </c>
      <c r="H7" s="850">
        <f>IF(G3&lt;&gt;0,(H3-G3)/G3,0)</f>
        <v>-1</v>
      </c>
      <c r="I7" s="850">
        <f>IF(H3&lt;&gt;0,(I3-H3)/H3,0)</f>
        <v>0</v>
      </c>
      <c r="J7" s="850">
        <f>IF(I3&lt;&gt;0,(J3-I3)/I3,0)</f>
        <v>0</v>
      </c>
      <c r="K7" s="850">
        <f t="shared" ref="K7:AK7" si="1">IF(J3&lt;&gt;0,K3/J3-1,0)</f>
        <v>0</v>
      </c>
      <c r="L7" s="850">
        <f t="shared" si="1"/>
        <v>0</v>
      </c>
      <c r="M7" s="850">
        <f t="shared" si="1"/>
        <v>0</v>
      </c>
      <c r="N7" s="850">
        <f t="shared" si="1"/>
        <v>0</v>
      </c>
      <c r="O7" s="850">
        <f t="shared" si="1"/>
        <v>0</v>
      </c>
      <c r="P7" s="850">
        <f t="shared" si="1"/>
        <v>0</v>
      </c>
      <c r="Q7" s="850">
        <f t="shared" si="1"/>
        <v>0</v>
      </c>
      <c r="R7" s="850">
        <f t="shared" si="1"/>
        <v>0</v>
      </c>
      <c r="S7" s="850">
        <f t="shared" si="1"/>
        <v>0</v>
      </c>
      <c r="T7" s="850">
        <f t="shared" si="1"/>
        <v>0</v>
      </c>
      <c r="U7" s="850">
        <f t="shared" si="1"/>
        <v>0</v>
      </c>
      <c r="V7" s="850">
        <f t="shared" si="1"/>
        <v>0</v>
      </c>
      <c r="W7" s="850">
        <f t="shared" si="1"/>
        <v>0</v>
      </c>
      <c r="X7" s="850">
        <f t="shared" si="1"/>
        <v>0</v>
      </c>
      <c r="Y7" s="850">
        <f t="shared" si="1"/>
        <v>0</v>
      </c>
      <c r="Z7" s="850">
        <f t="shared" si="1"/>
        <v>0</v>
      </c>
      <c r="AA7" s="850">
        <f t="shared" si="1"/>
        <v>0</v>
      </c>
      <c r="AB7" s="850">
        <f t="shared" si="1"/>
        <v>0</v>
      </c>
      <c r="AC7" s="850">
        <f t="shared" si="1"/>
        <v>0</v>
      </c>
      <c r="AD7" s="850">
        <f t="shared" si="1"/>
        <v>0</v>
      </c>
      <c r="AE7" s="850">
        <f t="shared" si="1"/>
        <v>0</v>
      </c>
      <c r="AF7" s="850">
        <f t="shared" si="1"/>
        <v>0</v>
      </c>
      <c r="AG7" s="850">
        <f t="shared" si="1"/>
        <v>0</v>
      </c>
      <c r="AH7" s="850">
        <f t="shared" si="1"/>
        <v>0</v>
      </c>
      <c r="AI7" s="850">
        <f t="shared" si="1"/>
        <v>0</v>
      </c>
      <c r="AJ7" s="850">
        <f t="shared" si="1"/>
        <v>0</v>
      </c>
      <c r="AK7" s="850">
        <f t="shared" si="1"/>
        <v>0</v>
      </c>
      <c r="AL7" s="850"/>
    </row>
    <row r="8" spans="1:44" s="789" customFormat="1" ht="15" customHeight="1">
      <c r="A8" s="839" t="s">
        <v>1885</v>
      </c>
      <c r="B8" s="849"/>
      <c r="C8" s="850">
        <f t="shared" ref="C8:AK8" si="2">IF(C3&lt;&gt;0,C4/C3,0)</f>
        <v>0.68603846700700577</v>
      </c>
      <c r="D8" s="850">
        <f t="shared" si="2"/>
        <v>0.66469870359369532</v>
      </c>
      <c r="E8" s="850">
        <f t="shared" si="2"/>
        <v>0.63060627154995064</v>
      </c>
      <c r="F8" s="850">
        <f>IF(F3&lt;&gt;0,F4/F3,0)</f>
        <v>0.71485628735888673</v>
      </c>
      <c r="G8" s="850">
        <f t="shared" si="2"/>
        <v>0.7878923421806896</v>
      </c>
      <c r="H8" s="850">
        <f t="shared" si="2"/>
        <v>0</v>
      </c>
      <c r="I8" s="850">
        <f t="shared" si="2"/>
        <v>0</v>
      </c>
      <c r="J8" s="850">
        <f t="shared" si="2"/>
        <v>0</v>
      </c>
      <c r="K8" s="850">
        <f t="shared" si="2"/>
        <v>0</v>
      </c>
      <c r="L8" s="850">
        <f t="shared" si="2"/>
        <v>0</v>
      </c>
      <c r="M8" s="850">
        <f t="shared" si="2"/>
        <v>0</v>
      </c>
      <c r="N8" s="850">
        <f t="shared" si="2"/>
        <v>0</v>
      </c>
      <c r="O8" s="850">
        <f t="shared" si="2"/>
        <v>0</v>
      </c>
      <c r="P8" s="850">
        <f t="shared" si="2"/>
        <v>0</v>
      </c>
      <c r="Q8" s="850">
        <f t="shared" si="2"/>
        <v>0</v>
      </c>
      <c r="R8" s="850">
        <f t="shared" si="2"/>
        <v>0</v>
      </c>
      <c r="S8" s="850">
        <f t="shared" si="2"/>
        <v>0</v>
      </c>
      <c r="T8" s="850">
        <f t="shared" si="2"/>
        <v>0</v>
      </c>
      <c r="U8" s="850">
        <f t="shared" si="2"/>
        <v>0</v>
      </c>
      <c r="V8" s="850">
        <f t="shared" si="2"/>
        <v>0</v>
      </c>
      <c r="W8" s="850">
        <f t="shared" si="2"/>
        <v>0</v>
      </c>
      <c r="X8" s="850">
        <f t="shared" si="2"/>
        <v>0</v>
      </c>
      <c r="Y8" s="850">
        <f t="shared" si="2"/>
        <v>0</v>
      </c>
      <c r="Z8" s="850">
        <f t="shared" si="2"/>
        <v>0</v>
      </c>
      <c r="AA8" s="850">
        <f t="shared" si="2"/>
        <v>0</v>
      </c>
      <c r="AB8" s="850">
        <f t="shared" si="2"/>
        <v>0</v>
      </c>
      <c r="AC8" s="850">
        <f t="shared" si="2"/>
        <v>0</v>
      </c>
      <c r="AD8" s="850">
        <f t="shared" si="2"/>
        <v>0</v>
      </c>
      <c r="AE8" s="850">
        <f t="shared" si="2"/>
        <v>0</v>
      </c>
      <c r="AF8" s="850">
        <f t="shared" si="2"/>
        <v>0</v>
      </c>
      <c r="AG8" s="850">
        <f t="shared" si="2"/>
        <v>0</v>
      </c>
      <c r="AH8" s="850">
        <f t="shared" si="2"/>
        <v>0</v>
      </c>
      <c r="AI8" s="850">
        <f t="shared" si="2"/>
        <v>0</v>
      </c>
      <c r="AJ8" s="850">
        <f t="shared" si="2"/>
        <v>0</v>
      </c>
      <c r="AK8" s="850">
        <f t="shared" si="2"/>
        <v>0</v>
      </c>
      <c r="AL8" s="850"/>
    </row>
    <row r="9" spans="1:44" s="789" customFormat="1" ht="15" customHeight="1">
      <c r="A9" s="851"/>
      <c r="B9" s="849"/>
      <c r="C9" s="849"/>
      <c r="D9" s="849"/>
      <c r="E9" s="849"/>
      <c r="F9" s="849"/>
      <c r="G9" s="849"/>
      <c r="H9" s="849"/>
      <c r="I9" s="849"/>
      <c r="J9" s="849"/>
      <c r="K9" s="849"/>
      <c r="L9" s="849"/>
      <c r="M9" s="849"/>
      <c r="N9" s="849"/>
      <c r="O9" s="849"/>
      <c r="P9" s="849"/>
      <c r="Q9" s="849"/>
      <c r="R9" s="849"/>
      <c r="S9" s="849"/>
      <c r="T9" s="849"/>
      <c r="U9" s="849"/>
      <c r="V9" s="849"/>
      <c r="W9" s="849"/>
      <c r="X9" s="849"/>
      <c r="Y9" s="849"/>
      <c r="Z9" s="849"/>
      <c r="AA9" s="849"/>
      <c r="AB9" s="849"/>
      <c r="AC9" s="849"/>
      <c r="AD9" s="849"/>
      <c r="AE9" s="849"/>
      <c r="AF9" s="849"/>
      <c r="AG9" s="849"/>
      <c r="AH9" s="849"/>
      <c r="AI9" s="849"/>
      <c r="AJ9" s="849"/>
      <c r="AK9" s="849"/>
    </row>
    <row r="10" spans="1:44" s="789" customFormat="1" ht="23.25" customHeight="1">
      <c r="A10" s="852" t="s">
        <v>1886</v>
      </c>
      <c r="B10" s="853"/>
      <c r="C10" s="853"/>
      <c r="D10" s="853"/>
      <c r="E10" s="853"/>
      <c r="F10" s="853"/>
      <c r="G10" s="853"/>
      <c r="H10" s="853"/>
      <c r="I10" s="853"/>
      <c r="J10" s="853"/>
      <c r="K10" s="853"/>
      <c r="L10" s="853"/>
      <c r="M10" s="853"/>
      <c r="N10" s="842"/>
      <c r="O10" s="842"/>
      <c r="P10" s="842"/>
      <c r="Q10" s="842"/>
      <c r="R10" s="842"/>
      <c r="S10" s="842"/>
      <c r="T10" s="842"/>
      <c r="U10" s="842"/>
      <c r="V10" s="842"/>
      <c r="W10" s="842"/>
      <c r="X10" s="842"/>
      <c r="Y10" s="842"/>
      <c r="Z10" s="842"/>
      <c r="AA10" s="842"/>
      <c r="AB10" s="842"/>
      <c r="AC10" s="842"/>
      <c r="AD10" s="842"/>
      <c r="AE10" s="842"/>
      <c r="AF10" s="842"/>
      <c r="AG10" s="842"/>
      <c r="AH10" s="842"/>
      <c r="AI10" s="842"/>
      <c r="AJ10" s="842"/>
      <c r="AK10" s="842"/>
      <c r="AM10" s="1069"/>
    </row>
    <row r="11" spans="1:44" s="857" customFormat="1" ht="15" customHeight="1">
      <c r="A11" s="854" t="s">
        <v>1298</v>
      </c>
      <c r="B11" s="855" t="s">
        <v>1887</v>
      </c>
      <c r="C11" s="855"/>
      <c r="D11" s="967">
        <f>D2</f>
        <v>2019</v>
      </c>
      <c r="E11" s="967">
        <f>E2</f>
        <v>2020</v>
      </c>
      <c r="F11" s="967">
        <f>F2</f>
        <v>2021</v>
      </c>
      <c r="G11" s="967">
        <f t="shared" ref="G11:AK11" si="3">G2</f>
        <v>2022</v>
      </c>
      <c r="H11" s="967" t="str">
        <f t="shared" si="3"/>
        <v>2023E</v>
      </c>
      <c r="I11" s="967" t="str">
        <f t="shared" si="3"/>
        <v>2024E</v>
      </c>
      <c r="J11" s="967" t="str">
        <f t="shared" si="3"/>
        <v>2025E</v>
      </c>
      <c r="K11" s="967" t="str">
        <f t="shared" si="3"/>
        <v>2026E</v>
      </c>
      <c r="L11" s="967" t="str">
        <f t="shared" si="3"/>
        <v>2027E</v>
      </c>
      <c r="M11" s="967" t="str">
        <f t="shared" si="3"/>
        <v>2028E</v>
      </c>
      <c r="N11" s="967" t="str">
        <f t="shared" si="3"/>
        <v>2029E</v>
      </c>
      <c r="O11" s="967" t="str">
        <f t="shared" si="3"/>
        <v>2030E</v>
      </c>
      <c r="P11" s="967" t="str">
        <f t="shared" si="3"/>
        <v>2031E</v>
      </c>
      <c r="Q11" s="967" t="str">
        <f t="shared" si="3"/>
        <v>2032E</v>
      </c>
      <c r="R11" s="967" t="str">
        <f t="shared" si="3"/>
        <v>2033E</v>
      </c>
      <c r="S11" s="967" t="str">
        <f t="shared" si="3"/>
        <v>2034E</v>
      </c>
      <c r="T11" s="967" t="str">
        <f t="shared" si="3"/>
        <v>2035E</v>
      </c>
      <c r="U11" s="967" t="str">
        <f t="shared" si="3"/>
        <v>2036E</v>
      </c>
      <c r="V11" s="967" t="str">
        <f t="shared" si="3"/>
        <v>2037E</v>
      </c>
      <c r="W11" s="967" t="str">
        <f t="shared" si="3"/>
        <v>2038E</v>
      </c>
      <c r="X11" s="967" t="str">
        <f t="shared" si="3"/>
        <v>2039E</v>
      </c>
      <c r="Y11" s="967" t="str">
        <f t="shared" si="3"/>
        <v>2040E</v>
      </c>
      <c r="Z11" s="967" t="str">
        <f t="shared" si="3"/>
        <v>2041E</v>
      </c>
      <c r="AA11" s="967" t="str">
        <f t="shared" si="3"/>
        <v>2042E</v>
      </c>
      <c r="AB11" s="967" t="str">
        <f t="shared" si="3"/>
        <v>2043E</v>
      </c>
      <c r="AC11" s="967" t="str">
        <f t="shared" si="3"/>
        <v>2044E</v>
      </c>
      <c r="AD11" s="967" t="str">
        <f t="shared" si="3"/>
        <v>2045E</v>
      </c>
      <c r="AE11" s="967" t="str">
        <f t="shared" si="3"/>
        <v>2046E</v>
      </c>
      <c r="AF11" s="967" t="str">
        <f t="shared" si="3"/>
        <v>2047E</v>
      </c>
      <c r="AG11" s="967" t="str">
        <f t="shared" si="3"/>
        <v>2048E</v>
      </c>
      <c r="AH11" s="967" t="str">
        <f t="shared" si="3"/>
        <v>2049E</v>
      </c>
      <c r="AI11" s="967" t="str">
        <f t="shared" si="3"/>
        <v>2050E</v>
      </c>
      <c r="AJ11" s="967" t="str">
        <f t="shared" si="3"/>
        <v>2051E</v>
      </c>
      <c r="AK11" s="967" t="str">
        <f t="shared" si="3"/>
        <v>2052E</v>
      </c>
      <c r="AL11" s="967"/>
      <c r="AM11" s="1069" t="s">
        <v>2444</v>
      </c>
      <c r="AR11" s="858"/>
    </row>
    <row r="12" spans="1:44" s="862" customFormat="1" ht="15" customHeight="1">
      <c r="A12" s="859" t="s">
        <v>2895</v>
      </c>
      <c r="B12" s="860"/>
      <c r="C12" s="860"/>
      <c r="D12">
        <v>0</v>
      </c>
      <c r="E12">
        <v>0</v>
      </c>
      <c r="F12">
        <v>0</v>
      </c>
      <c r="G12">
        <v>4336.1766597100004</v>
      </c>
      <c r="H12" s="1068"/>
      <c r="I12" s="1068"/>
      <c r="J12" s="1068"/>
      <c r="K12" s="1068"/>
      <c r="L12" s="1068"/>
      <c r="M12" s="1068"/>
      <c r="N12" s="1068"/>
      <c r="O12" s="1068"/>
      <c r="P12" s="1068"/>
      <c r="Q12" s="1068"/>
      <c r="R12" s="1068"/>
      <c r="S12" s="1068"/>
      <c r="T12" s="1068"/>
      <c r="U12" s="1068"/>
      <c r="V12" s="1068"/>
      <c r="W12" s="1068"/>
      <c r="X12" s="1068"/>
      <c r="Y12" s="1068"/>
      <c r="Z12" s="1068"/>
      <c r="AA12" s="1068"/>
      <c r="AB12" s="1068"/>
      <c r="AC12" s="1068"/>
      <c r="AD12" s="1068"/>
      <c r="AE12" s="1068"/>
      <c r="AF12" s="1068"/>
      <c r="AG12" s="1068"/>
      <c r="AH12" s="1068"/>
      <c r="AI12" s="1068"/>
      <c r="AJ12" s="1068"/>
      <c r="AK12" s="1068"/>
      <c r="AL12" s="861"/>
    </row>
    <row r="13" spans="1:44" s="866" customFormat="1" ht="15" customHeight="1">
      <c r="A13" s="863" t="s">
        <v>2440</v>
      </c>
      <c r="B13" s="864"/>
      <c r="C13" s="864"/>
      <c r="D13" s="450"/>
      <c r="E13" s="977">
        <f t="shared" ref="E13:G13" si="4">IF(ISNUMBER(E12/D12-1),E12/D12-1,0)</f>
        <v>0</v>
      </c>
      <c r="F13" s="977">
        <f t="shared" si="4"/>
        <v>0</v>
      </c>
      <c r="G13" s="977">
        <f t="shared" si="4"/>
        <v>0</v>
      </c>
      <c r="H13" s="977"/>
      <c r="I13" s="977"/>
      <c r="J13" s="977"/>
      <c r="K13" s="977"/>
      <c r="L13" s="977"/>
      <c r="M13" s="977"/>
      <c r="N13" s="977"/>
      <c r="O13" s="977"/>
      <c r="P13" s="977"/>
      <c r="Q13" s="977"/>
      <c r="R13" s="977"/>
      <c r="S13" s="977"/>
      <c r="T13" s="977"/>
      <c r="U13" s="977"/>
      <c r="V13" s="977"/>
      <c r="W13" s="977"/>
      <c r="X13" s="977"/>
      <c r="Y13" s="977"/>
      <c r="Z13" s="977"/>
      <c r="AA13" s="977"/>
      <c r="AB13" s="977"/>
      <c r="AC13" s="977"/>
      <c r="AD13" s="977"/>
      <c r="AE13" s="977"/>
      <c r="AF13" s="977"/>
      <c r="AG13" s="977"/>
      <c r="AH13" s="977"/>
      <c r="AI13" s="977"/>
      <c r="AJ13" s="977"/>
      <c r="AK13" s="977"/>
      <c r="AL13" s="865"/>
    </row>
    <row r="14" spans="1:44" s="868" customFormat="1" ht="15" customHeight="1">
      <c r="A14" s="835" t="s">
        <v>2896</v>
      </c>
      <c r="B14" s="855"/>
      <c r="C14" s="855"/>
      <c r="D14">
        <v>0</v>
      </c>
      <c r="E14">
        <v>0</v>
      </c>
      <c r="F14">
        <v>0</v>
      </c>
      <c r="G14">
        <v>1680.9501939700001</v>
      </c>
      <c r="H14" s="1068"/>
      <c r="I14" s="1068"/>
      <c r="J14" s="1068"/>
      <c r="K14" s="1068"/>
      <c r="L14" s="1068"/>
      <c r="M14" s="1068"/>
      <c r="N14" s="1068"/>
      <c r="O14" s="1068"/>
      <c r="P14" s="1068"/>
      <c r="Q14" s="1068"/>
      <c r="R14" s="1068"/>
      <c r="S14" s="1068"/>
      <c r="T14" s="1068"/>
      <c r="U14" s="1068"/>
      <c r="V14" s="1068"/>
      <c r="W14" s="1068"/>
      <c r="X14" s="1068"/>
      <c r="Y14" s="1068"/>
      <c r="Z14" s="1068"/>
      <c r="AA14" s="1068"/>
      <c r="AB14" s="1068"/>
      <c r="AC14" s="1068"/>
      <c r="AD14" s="1068"/>
      <c r="AE14" s="1068"/>
      <c r="AF14" s="1068"/>
      <c r="AG14" s="1068"/>
      <c r="AH14" s="1068"/>
      <c r="AI14" s="1068"/>
      <c r="AJ14" s="1068"/>
      <c r="AK14" s="1068"/>
      <c r="AL14" s="867"/>
      <c r="AR14" s="857"/>
    </row>
    <row r="15" spans="1:44" s="868" customFormat="1" ht="15" customHeight="1">
      <c r="A15" s="869" t="s">
        <v>2440</v>
      </c>
      <c r="B15" s="855"/>
      <c r="C15" s="855"/>
      <c r="D15" s="450"/>
      <c r="E15" s="977">
        <f t="shared" ref="E15:G15" si="5">IF(ISNUMBER(E14/D14-1),E14/D14-1,0)</f>
        <v>0</v>
      </c>
      <c r="F15" s="977">
        <f t="shared" si="5"/>
        <v>0</v>
      </c>
      <c r="G15" s="977">
        <f t="shared" si="5"/>
        <v>0</v>
      </c>
      <c r="H15" s="977"/>
      <c r="I15" s="977"/>
      <c r="J15" s="977"/>
      <c r="K15" s="977"/>
      <c r="L15" s="977"/>
      <c r="M15" s="977"/>
      <c r="N15" s="977"/>
      <c r="O15" s="977"/>
      <c r="P15" s="977"/>
      <c r="Q15" s="977"/>
      <c r="R15" s="977"/>
      <c r="S15" s="977"/>
      <c r="T15" s="977"/>
      <c r="U15" s="977"/>
      <c r="V15" s="977"/>
      <c r="W15" s="977"/>
      <c r="X15" s="977"/>
      <c r="Y15" s="977"/>
      <c r="Z15" s="977"/>
      <c r="AA15" s="977"/>
      <c r="AB15" s="977"/>
      <c r="AC15" s="977"/>
      <c r="AD15" s="977"/>
      <c r="AE15" s="977"/>
      <c r="AF15" s="977"/>
      <c r="AG15" s="977"/>
      <c r="AH15" s="977"/>
      <c r="AI15" s="977"/>
      <c r="AJ15" s="977"/>
      <c r="AK15" s="977"/>
      <c r="AL15" s="865"/>
      <c r="AR15" s="857"/>
    </row>
    <row r="16" spans="1:44" s="868" customFormat="1" ht="15" customHeight="1">
      <c r="A16" s="835" t="s">
        <v>2890</v>
      </c>
      <c r="B16" s="855"/>
      <c r="C16" s="855"/>
      <c r="D16">
        <v>504.37244298000002</v>
      </c>
      <c r="E16">
        <v>989.77374515999998</v>
      </c>
      <c r="F16">
        <v>1528.2621714100001</v>
      </c>
      <c r="G16">
        <v>1323.5173132100001</v>
      </c>
      <c r="H16" s="1068"/>
      <c r="I16" s="1068"/>
      <c r="J16" s="1068"/>
      <c r="K16" s="1068"/>
      <c r="L16" s="1068"/>
      <c r="M16" s="1068"/>
      <c r="N16" s="1068"/>
      <c r="O16" s="1068"/>
      <c r="P16" s="1068"/>
      <c r="Q16" s="1068"/>
      <c r="R16" s="1068"/>
      <c r="S16" s="1068"/>
      <c r="T16" s="1068"/>
      <c r="U16" s="1068"/>
      <c r="V16" s="1068"/>
      <c r="W16" s="1068"/>
      <c r="X16" s="1068"/>
      <c r="Y16" s="1068"/>
      <c r="Z16" s="1068"/>
      <c r="AA16" s="1068"/>
      <c r="AB16" s="1068"/>
      <c r="AC16" s="1068"/>
      <c r="AD16" s="1068"/>
      <c r="AE16" s="1068"/>
      <c r="AF16" s="1068"/>
      <c r="AG16" s="1068"/>
      <c r="AH16" s="1068"/>
      <c r="AI16" s="1068"/>
      <c r="AJ16" s="1068"/>
      <c r="AK16" s="1068"/>
      <c r="AL16" s="867"/>
      <c r="AR16" s="857"/>
    </row>
    <row r="17" spans="1:44" s="868" customFormat="1" ht="15" customHeight="1">
      <c r="A17" s="869" t="s">
        <v>2440</v>
      </c>
      <c r="B17" s="855"/>
      <c r="C17" s="855"/>
      <c r="D17" s="450"/>
      <c r="E17" s="977">
        <f t="shared" ref="E17:G17" si="6">IF(ISNUMBER(E16/D16-1),E16/D16-1,0)</f>
        <v>0.9623866429182526</v>
      </c>
      <c r="F17" s="977">
        <f t="shared" si="6"/>
        <v>0.5440520410681855</v>
      </c>
      <c r="G17" s="977">
        <f t="shared" si="6"/>
        <v>-0.13397233932126906</v>
      </c>
      <c r="H17" s="977"/>
      <c r="I17" s="977"/>
      <c r="J17" s="977"/>
      <c r="K17" s="977"/>
      <c r="L17" s="977"/>
      <c r="M17" s="977"/>
      <c r="N17" s="977"/>
      <c r="O17" s="977"/>
      <c r="P17" s="977"/>
      <c r="Q17" s="977"/>
      <c r="R17" s="977"/>
      <c r="S17" s="977"/>
      <c r="T17" s="977"/>
      <c r="U17" s="977"/>
      <c r="V17" s="977"/>
      <c r="W17" s="977"/>
      <c r="X17" s="977"/>
      <c r="Y17" s="977"/>
      <c r="Z17" s="977"/>
      <c r="AA17" s="977"/>
      <c r="AB17" s="977"/>
      <c r="AC17" s="977"/>
      <c r="AD17" s="977"/>
      <c r="AE17" s="977"/>
      <c r="AF17" s="977"/>
      <c r="AG17" s="977"/>
      <c r="AH17" s="977"/>
      <c r="AI17" s="977"/>
      <c r="AJ17" s="977"/>
      <c r="AK17" s="977"/>
      <c r="AL17" s="865"/>
      <c r="AR17" s="857"/>
    </row>
    <row r="18" spans="1:44" s="868" customFormat="1" ht="15" customHeight="1">
      <c r="A18" s="835" t="s">
        <v>2900</v>
      </c>
      <c r="B18" s="855"/>
      <c r="C18" s="855"/>
      <c r="D18">
        <v>0</v>
      </c>
      <c r="E18">
        <v>0</v>
      </c>
      <c r="F18">
        <v>0</v>
      </c>
      <c r="G18">
        <v>261.20731368000003</v>
      </c>
      <c r="H18" s="1068"/>
      <c r="I18" s="1068"/>
      <c r="J18" s="1068"/>
      <c r="K18" s="1068"/>
      <c r="L18" s="1068"/>
      <c r="M18" s="1068"/>
      <c r="N18" s="1068"/>
      <c r="O18" s="1068"/>
      <c r="P18" s="1068"/>
      <c r="Q18" s="1068"/>
      <c r="R18" s="1068"/>
      <c r="S18" s="1068"/>
      <c r="T18" s="1068"/>
      <c r="U18" s="1068"/>
      <c r="V18" s="1068"/>
      <c r="W18" s="1068"/>
      <c r="X18" s="1068"/>
      <c r="Y18" s="1068"/>
      <c r="Z18" s="1068"/>
      <c r="AA18" s="1068"/>
      <c r="AB18" s="1068"/>
      <c r="AC18" s="1068"/>
      <c r="AD18" s="1068"/>
      <c r="AE18" s="1068"/>
      <c r="AF18" s="1068"/>
      <c r="AG18" s="1068"/>
      <c r="AH18" s="1068"/>
      <c r="AI18" s="1068"/>
      <c r="AJ18" s="1068"/>
      <c r="AK18" s="1068"/>
      <c r="AL18" s="867"/>
      <c r="AR18" s="857"/>
    </row>
    <row r="19" spans="1:44" s="868" customFormat="1" ht="15" customHeight="1">
      <c r="A19" s="869" t="s">
        <v>2440</v>
      </c>
      <c r="B19" s="855"/>
      <c r="C19" s="855"/>
      <c r="D19" s="450"/>
      <c r="E19" s="977">
        <f t="shared" ref="E19:G19" si="7">IF(ISNUMBER(E18/D18-1),E18/D18-1,0)</f>
        <v>0</v>
      </c>
      <c r="F19" s="977">
        <f t="shared" si="7"/>
        <v>0</v>
      </c>
      <c r="G19" s="977">
        <f t="shared" si="7"/>
        <v>0</v>
      </c>
      <c r="H19" s="977"/>
      <c r="I19" s="977"/>
      <c r="J19" s="977"/>
      <c r="K19" s="977"/>
      <c r="L19" s="977"/>
      <c r="M19" s="977"/>
      <c r="N19" s="977"/>
      <c r="O19" s="977"/>
      <c r="P19" s="977"/>
      <c r="Q19" s="977"/>
      <c r="R19" s="977"/>
      <c r="S19" s="977"/>
      <c r="T19" s="977"/>
      <c r="U19" s="977"/>
      <c r="V19" s="977"/>
      <c r="W19" s="977"/>
      <c r="X19" s="977"/>
      <c r="Y19" s="977"/>
      <c r="Z19" s="977"/>
      <c r="AA19" s="977"/>
      <c r="AB19" s="977"/>
      <c r="AC19" s="977"/>
      <c r="AD19" s="977"/>
      <c r="AE19" s="977"/>
      <c r="AF19" s="977"/>
      <c r="AG19" s="977"/>
      <c r="AH19" s="977"/>
      <c r="AI19" s="977"/>
      <c r="AJ19" s="977"/>
      <c r="AK19" s="977"/>
      <c r="AL19" s="865"/>
      <c r="AR19" s="857"/>
    </row>
    <row r="20" spans="1:44" s="868" customFormat="1" ht="15" customHeight="1">
      <c r="A20" s="835" t="s">
        <v>2078</v>
      </c>
      <c r="B20" s="855"/>
      <c r="C20" s="855"/>
      <c r="D20">
        <v>6.6110828000000001</v>
      </c>
      <c r="E20">
        <v>5.4102990499999999</v>
      </c>
      <c r="F20">
        <v>0.81360149999999998</v>
      </c>
      <c r="G20">
        <v>26.88004656</v>
      </c>
      <c r="H20" s="1068"/>
      <c r="I20" s="1068"/>
      <c r="J20" s="1068"/>
      <c r="K20" s="1068"/>
      <c r="L20" s="1068"/>
      <c r="M20" s="1068"/>
      <c r="N20" s="1068"/>
      <c r="O20" s="1068"/>
      <c r="P20" s="1068"/>
      <c r="Q20" s="1068"/>
      <c r="R20" s="1068"/>
      <c r="S20" s="1068"/>
      <c r="T20" s="1068"/>
      <c r="U20" s="1068"/>
      <c r="V20" s="1068"/>
      <c r="W20" s="1068"/>
      <c r="X20" s="1068"/>
      <c r="Y20" s="1068"/>
      <c r="Z20" s="1068"/>
      <c r="AA20" s="1068"/>
      <c r="AB20" s="1068"/>
      <c r="AC20" s="1068"/>
      <c r="AD20" s="1068"/>
      <c r="AE20" s="1068"/>
      <c r="AF20" s="1068"/>
      <c r="AG20" s="1068"/>
      <c r="AH20" s="1068"/>
      <c r="AI20" s="1068"/>
      <c r="AJ20" s="1068"/>
      <c r="AK20" s="1068"/>
      <c r="AL20" s="867"/>
      <c r="AR20" s="857"/>
    </row>
    <row r="21" spans="1:44" s="868" customFormat="1" ht="15" customHeight="1">
      <c r="A21" s="869" t="s">
        <v>2440</v>
      </c>
      <c r="B21" s="855"/>
      <c r="C21" s="855"/>
      <c r="D21" s="450"/>
      <c r="E21" s="977">
        <f t="shared" ref="E21:G21" si="8">IF(ISNUMBER(E20/D20-1),E20/D20-1,0)</f>
        <v>-0.18163193327422855</v>
      </c>
      <c r="F21" s="977">
        <f t="shared" si="8"/>
        <v>-0.84961986528267786</v>
      </c>
      <c r="G21" s="977">
        <f t="shared" si="8"/>
        <v>32.038344398332598</v>
      </c>
      <c r="H21" s="977"/>
      <c r="I21" s="977"/>
      <c r="J21" s="977"/>
      <c r="K21" s="977"/>
      <c r="L21" s="977"/>
      <c r="M21" s="977"/>
      <c r="N21" s="977"/>
      <c r="O21" s="977"/>
      <c r="P21" s="977"/>
      <c r="Q21" s="977"/>
      <c r="R21" s="977"/>
      <c r="S21" s="977"/>
      <c r="T21" s="977"/>
      <c r="U21" s="977"/>
      <c r="V21" s="977"/>
      <c r="W21" s="977"/>
      <c r="X21" s="977"/>
      <c r="Y21" s="977"/>
      <c r="Z21" s="977"/>
      <c r="AA21" s="977"/>
      <c r="AB21" s="977"/>
      <c r="AC21" s="977"/>
      <c r="AD21" s="977"/>
      <c r="AE21" s="977"/>
      <c r="AF21" s="977"/>
      <c r="AG21" s="977"/>
      <c r="AH21" s="977"/>
      <c r="AI21" s="977"/>
      <c r="AJ21" s="977"/>
      <c r="AK21" s="977"/>
      <c r="AL21" s="865"/>
      <c r="AR21" s="857"/>
    </row>
    <row r="22" spans="1:44" s="868" customFormat="1" ht="15" customHeight="1">
      <c r="A22" s="835" t="s">
        <v>2058</v>
      </c>
      <c r="B22" s="855"/>
      <c r="C22" s="855"/>
      <c r="D22">
        <v>48.715037180000003</v>
      </c>
      <c r="E22">
        <v>31.99557274</v>
      </c>
      <c r="F22">
        <v>2.80419113</v>
      </c>
      <c r="G22">
        <v>31.90902831</v>
      </c>
      <c r="H22" s="1068"/>
      <c r="I22" s="1068"/>
      <c r="J22" s="1068"/>
      <c r="K22" s="1068"/>
      <c r="L22" s="1068"/>
      <c r="M22" s="1068"/>
      <c r="N22" s="1068"/>
      <c r="O22" s="1068"/>
      <c r="P22" s="1068"/>
      <c r="Q22" s="1068"/>
      <c r="R22" s="1068"/>
      <c r="S22" s="1068"/>
      <c r="T22" s="1068"/>
      <c r="U22" s="1068"/>
      <c r="V22" s="1068"/>
      <c r="W22" s="1068"/>
      <c r="X22" s="1068"/>
      <c r="Y22" s="1068"/>
      <c r="Z22" s="1068"/>
      <c r="AA22" s="1068"/>
      <c r="AB22" s="1068"/>
      <c r="AC22" s="1068"/>
      <c r="AD22" s="1068"/>
      <c r="AE22" s="1068"/>
      <c r="AF22" s="1068"/>
      <c r="AG22" s="1068"/>
      <c r="AH22" s="1068"/>
      <c r="AI22" s="1068"/>
      <c r="AJ22" s="1068"/>
      <c r="AK22" s="1068"/>
      <c r="AL22" s="867"/>
    </row>
    <row r="23" spans="1:44" s="868" customFormat="1" ht="15" customHeight="1">
      <c r="A23" s="869" t="s">
        <v>2440</v>
      </c>
      <c r="B23" s="855"/>
      <c r="C23" s="855"/>
      <c r="D23" s="450"/>
      <c r="E23" s="977">
        <f t="shared" ref="E23:G23" si="9">IF(ISNUMBER(E22/D22-1),E22/D22-1,0)</f>
        <v>-0.3432095182073307</v>
      </c>
      <c r="F23" s="977">
        <f t="shared" si="9"/>
        <v>-0.91235690160050564</v>
      </c>
      <c r="G23" s="977">
        <f t="shared" si="9"/>
        <v>10.379049012967958</v>
      </c>
      <c r="H23" s="977"/>
      <c r="I23" s="977"/>
      <c r="J23" s="977"/>
      <c r="K23" s="977"/>
      <c r="L23" s="977"/>
      <c r="M23" s="977"/>
      <c r="N23" s="977"/>
      <c r="O23" s="977"/>
      <c r="P23" s="977"/>
      <c r="Q23" s="977"/>
      <c r="R23" s="977"/>
      <c r="S23" s="977"/>
      <c r="T23" s="977"/>
      <c r="U23" s="977"/>
      <c r="V23" s="977"/>
      <c r="W23" s="977"/>
      <c r="X23" s="977"/>
      <c r="Y23" s="977"/>
      <c r="Z23" s="977"/>
      <c r="AA23" s="977"/>
      <c r="AB23" s="977"/>
      <c r="AC23" s="977"/>
      <c r="AD23" s="977"/>
      <c r="AE23" s="977"/>
      <c r="AF23" s="977"/>
      <c r="AG23" s="977"/>
      <c r="AH23" s="977"/>
      <c r="AI23" s="977"/>
      <c r="AJ23" s="977"/>
      <c r="AK23" s="977"/>
      <c r="AL23" s="865"/>
    </row>
    <row r="24" spans="1:44" s="868" customFormat="1" ht="15" customHeight="1">
      <c r="A24" s="835" t="s">
        <v>2888</v>
      </c>
      <c r="B24" s="855"/>
      <c r="C24" s="855"/>
      <c r="D24">
        <v>3168.8584224299998</v>
      </c>
      <c r="E24">
        <v>4058.99724694</v>
      </c>
      <c r="F24">
        <v>4554.5424277399998</v>
      </c>
      <c r="G24">
        <v>0</v>
      </c>
      <c r="H24" s="1068"/>
      <c r="I24" s="1068"/>
      <c r="J24" s="1068"/>
      <c r="K24" s="1068"/>
      <c r="L24" s="1068"/>
      <c r="M24" s="1068"/>
      <c r="N24" s="1068"/>
      <c r="O24" s="1068"/>
      <c r="P24" s="1068"/>
      <c r="Q24" s="1068"/>
      <c r="R24" s="1068"/>
      <c r="S24" s="1068"/>
      <c r="T24" s="1068"/>
      <c r="U24" s="1068"/>
      <c r="V24" s="1068"/>
      <c r="W24" s="1068"/>
      <c r="X24" s="1068"/>
      <c r="Y24" s="1068"/>
      <c r="Z24" s="1068"/>
      <c r="AA24" s="1068"/>
      <c r="AB24" s="1068"/>
      <c r="AC24" s="1068"/>
      <c r="AD24" s="1068"/>
      <c r="AE24" s="1068"/>
      <c r="AF24" s="1068"/>
      <c r="AG24" s="1068"/>
      <c r="AH24" s="1068"/>
      <c r="AI24" s="1068"/>
      <c r="AJ24" s="1068"/>
      <c r="AK24" s="1068"/>
      <c r="AL24" s="867"/>
    </row>
    <row r="25" spans="1:44" s="868" customFormat="1" ht="15" customHeight="1">
      <c r="A25" s="869" t="s">
        <v>2440</v>
      </c>
      <c r="B25" s="855"/>
      <c r="C25" s="855"/>
      <c r="D25" s="450"/>
      <c r="E25" s="977">
        <f t="shared" ref="E25:G25" si="10">IF(ISNUMBER(E24/D24-1),E24/D24-1,0)</f>
        <v>0.28090204920780537</v>
      </c>
      <c r="F25" s="977">
        <f t="shared" si="10"/>
        <v>0.12208561638556947</v>
      </c>
      <c r="G25" s="977">
        <f t="shared" si="10"/>
        <v>-1</v>
      </c>
      <c r="H25" s="977"/>
      <c r="I25" s="977"/>
      <c r="J25" s="977"/>
      <c r="K25" s="977"/>
      <c r="L25" s="977"/>
      <c r="M25" s="977"/>
      <c r="N25" s="977"/>
      <c r="O25" s="977"/>
      <c r="P25" s="977"/>
      <c r="Q25" s="977"/>
      <c r="R25" s="977"/>
      <c r="S25" s="977"/>
      <c r="T25" s="977"/>
      <c r="U25" s="977"/>
      <c r="V25" s="977"/>
      <c r="W25" s="977"/>
      <c r="X25" s="977"/>
      <c r="Y25" s="977"/>
      <c r="Z25" s="977"/>
      <c r="AA25" s="977"/>
      <c r="AB25" s="977"/>
      <c r="AC25" s="977"/>
      <c r="AD25" s="977"/>
      <c r="AE25" s="977"/>
      <c r="AF25" s="977"/>
      <c r="AG25" s="977"/>
      <c r="AH25" s="977"/>
      <c r="AI25" s="977"/>
      <c r="AJ25" s="977"/>
      <c r="AK25" s="977"/>
      <c r="AL25" s="865"/>
    </row>
    <row r="26" spans="1:44" s="868" customFormat="1" ht="15" customHeight="1">
      <c r="A26" s="835" t="s">
        <v>2889</v>
      </c>
      <c r="B26" s="855"/>
      <c r="C26" s="855"/>
      <c r="D26">
        <v>923.40002661000005</v>
      </c>
      <c r="E26">
        <v>1151.70164073</v>
      </c>
      <c r="F26">
        <v>1684.3017599000002</v>
      </c>
      <c r="G26">
        <v>0</v>
      </c>
      <c r="H26" s="1068"/>
      <c r="I26" s="1068"/>
      <c r="J26" s="1068"/>
      <c r="K26" s="1068"/>
      <c r="L26" s="1068"/>
      <c r="M26" s="1068"/>
      <c r="N26" s="1068"/>
      <c r="O26" s="1068"/>
      <c r="P26" s="1068"/>
      <c r="Q26" s="1068"/>
      <c r="R26" s="1068"/>
      <c r="S26" s="1068"/>
      <c r="T26" s="1068"/>
      <c r="U26" s="1068"/>
      <c r="V26" s="1068"/>
      <c r="W26" s="1068"/>
      <c r="X26" s="1068"/>
      <c r="Y26" s="1068"/>
      <c r="Z26" s="1068"/>
      <c r="AA26" s="1068"/>
      <c r="AB26" s="1068"/>
      <c r="AC26" s="1068"/>
      <c r="AD26" s="1068"/>
      <c r="AE26" s="1068"/>
      <c r="AF26" s="1068"/>
      <c r="AG26" s="1068"/>
      <c r="AH26" s="1068"/>
      <c r="AI26" s="1068"/>
      <c r="AJ26" s="1068"/>
      <c r="AK26" s="1068"/>
      <c r="AL26" s="867"/>
    </row>
    <row r="27" spans="1:44" s="868" customFormat="1" ht="15" customHeight="1">
      <c r="A27" s="869" t="s">
        <v>2440</v>
      </c>
      <c r="B27" s="855"/>
      <c r="C27" s="855"/>
      <c r="D27" s="450"/>
      <c r="E27" s="977">
        <f t="shared" ref="E27:G27" si="11">IF(ISNUMBER(E26/D26-1),E26/D26-1,0)</f>
        <v>0.24724020743008235</v>
      </c>
      <c r="F27" s="977">
        <f t="shared" si="11"/>
        <v>0.46244626241255893</v>
      </c>
      <c r="G27" s="977">
        <f t="shared" si="11"/>
        <v>-1</v>
      </c>
      <c r="H27" s="977"/>
      <c r="I27" s="977"/>
      <c r="J27" s="977"/>
      <c r="K27" s="977"/>
      <c r="L27" s="977"/>
      <c r="M27" s="977"/>
      <c r="N27" s="977"/>
      <c r="O27" s="977"/>
      <c r="P27" s="977"/>
      <c r="Q27" s="977"/>
      <c r="R27" s="977"/>
      <c r="S27" s="977"/>
      <c r="T27" s="977"/>
      <c r="U27" s="977"/>
      <c r="V27" s="977"/>
      <c r="W27" s="977"/>
      <c r="X27" s="977"/>
      <c r="Y27" s="977"/>
      <c r="Z27" s="977"/>
      <c r="AA27" s="977"/>
      <c r="AB27" s="977"/>
      <c r="AC27" s="977"/>
      <c r="AD27" s="977"/>
      <c r="AE27" s="977"/>
      <c r="AF27" s="977"/>
      <c r="AG27" s="977"/>
      <c r="AH27" s="977"/>
      <c r="AI27" s="977"/>
      <c r="AJ27" s="977"/>
      <c r="AK27" s="977"/>
      <c r="AL27" s="865"/>
    </row>
    <row r="28" spans="1:44" s="868" customFormat="1" ht="15" hidden="1" customHeight="1">
      <c r="A28" s="835"/>
      <c r="B28" s="855"/>
      <c r="C28" s="855"/>
      <c r="D28">
        <v>0</v>
      </c>
      <c r="E28">
        <v>0</v>
      </c>
      <c r="F28">
        <v>0</v>
      </c>
      <c r="G28">
        <v>0</v>
      </c>
      <c r="H28" s="1068"/>
      <c r="I28" s="1068"/>
      <c r="J28" s="1068"/>
      <c r="K28" s="1068"/>
      <c r="L28" s="1068"/>
      <c r="M28" s="1068"/>
      <c r="N28" s="1068"/>
      <c r="O28" s="1068"/>
      <c r="P28" s="1068"/>
      <c r="Q28" s="1068"/>
      <c r="R28" s="1068"/>
      <c r="S28" s="1068"/>
      <c r="T28" s="1068"/>
      <c r="U28" s="1068"/>
      <c r="V28" s="1068"/>
      <c r="W28" s="1068"/>
      <c r="X28" s="1068"/>
      <c r="Y28" s="1068"/>
      <c r="Z28" s="1068"/>
      <c r="AA28" s="1068"/>
      <c r="AB28" s="1068"/>
      <c r="AC28" s="1068"/>
      <c r="AD28" s="1068"/>
      <c r="AE28" s="1068"/>
      <c r="AF28" s="1068"/>
      <c r="AG28" s="1068"/>
      <c r="AH28" s="1068"/>
      <c r="AI28" s="1068"/>
      <c r="AJ28" s="1068"/>
      <c r="AK28" s="1068"/>
      <c r="AL28" s="867"/>
    </row>
    <row r="29" spans="1:44" s="868" customFormat="1" ht="15" hidden="1" customHeight="1">
      <c r="A29" s="869" t="s">
        <v>2440</v>
      </c>
      <c r="B29" s="855"/>
      <c r="C29" s="855"/>
      <c r="D29" s="450"/>
      <c r="E29" s="977">
        <f t="shared" ref="E29:G29" si="12">IF(ISNUMBER(E28/D28-1),E28/D28-1,0)</f>
        <v>0</v>
      </c>
      <c r="F29" s="977">
        <f t="shared" si="12"/>
        <v>0</v>
      </c>
      <c r="G29" s="977">
        <f t="shared" si="12"/>
        <v>0</v>
      </c>
      <c r="H29" s="977"/>
      <c r="I29" s="977"/>
      <c r="J29" s="977"/>
      <c r="K29" s="977"/>
      <c r="L29" s="977"/>
      <c r="M29" s="977"/>
      <c r="N29" s="977"/>
      <c r="O29" s="977"/>
      <c r="P29" s="977"/>
      <c r="Q29" s="977"/>
      <c r="R29" s="977"/>
      <c r="S29" s="977"/>
      <c r="T29" s="977"/>
      <c r="U29" s="977"/>
      <c r="V29" s="977"/>
      <c r="W29" s="977"/>
      <c r="X29" s="977"/>
      <c r="Y29" s="977"/>
      <c r="Z29" s="977"/>
      <c r="AA29" s="977"/>
      <c r="AB29" s="977"/>
      <c r="AC29" s="977"/>
      <c r="AD29" s="977"/>
      <c r="AE29" s="977"/>
      <c r="AF29" s="977"/>
      <c r="AG29" s="977"/>
      <c r="AH29" s="977"/>
      <c r="AI29" s="977"/>
      <c r="AJ29" s="977"/>
      <c r="AK29" s="977"/>
      <c r="AL29" s="865"/>
    </row>
    <row r="30" spans="1:44" s="868" customFormat="1" ht="15" hidden="1" customHeight="1">
      <c r="A30" s="835"/>
      <c r="B30" s="855"/>
      <c r="C30" s="855"/>
      <c r="D30">
        <v>0</v>
      </c>
      <c r="E30">
        <v>0</v>
      </c>
      <c r="F30">
        <v>0</v>
      </c>
      <c r="G30">
        <v>0</v>
      </c>
      <c r="H30" s="1068"/>
      <c r="I30" s="1068"/>
      <c r="J30" s="1068"/>
      <c r="K30" s="1068"/>
      <c r="L30" s="1068"/>
      <c r="M30" s="1068"/>
      <c r="N30" s="1068"/>
      <c r="O30" s="1068"/>
      <c r="P30" s="1068"/>
      <c r="Q30" s="1068"/>
      <c r="R30" s="1068"/>
      <c r="S30" s="1068"/>
      <c r="T30" s="1068"/>
      <c r="U30" s="1068"/>
      <c r="V30" s="1068"/>
      <c r="W30" s="1068"/>
      <c r="X30" s="1068"/>
      <c r="Y30" s="1068"/>
      <c r="Z30" s="1068"/>
      <c r="AA30" s="1068"/>
      <c r="AB30" s="1068"/>
      <c r="AC30" s="1068"/>
      <c r="AD30" s="1068"/>
      <c r="AE30" s="1068"/>
      <c r="AF30" s="1068"/>
      <c r="AG30" s="1068"/>
      <c r="AH30" s="1068"/>
      <c r="AI30" s="1068"/>
      <c r="AJ30" s="1068"/>
      <c r="AK30" s="1068"/>
      <c r="AL30" s="867"/>
      <c r="AR30" s="870"/>
    </row>
    <row r="31" spans="1:44" s="868" customFormat="1" ht="15" hidden="1" customHeight="1">
      <c r="A31" s="869" t="s">
        <v>2440</v>
      </c>
      <c r="B31" s="855"/>
      <c r="C31" s="855"/>
      <c r="D31" s="450"/>
      <c r="E31" s="977">
        <f t="shared" ref="E31:G31" si="13">IF(ISNUMBER(E30/D30-1),E30/D30-1,0)</f>
        <v>0</v>
      </c>
      <c r="F31" s="977">
        <f t="shared" si="13"/>
        <v>0</v>
      </c>
      <c r="G31" s="977">
        <f t="shared" si="13"/>
        <v>0</v>
      </c>
      <c r="H31" s="977"/>
      <c r="I31" s="977"/>
      <c r="J31" s="977"/>
      <c r="K31" s="977"/>
      <c r="L31" s="977"/>
      <c r="M31" s="977"/>
      <c r="N31" s="977"/>
      <c r="O31" s="977"/>
      <c r="P31" s="977"/>
      <c r="Q31" s="977"/>
      <c r="R31" s="977"/>
      <c r="S31" s="977"/>
      <c r="T31" s="977"/>
      <c r="U31" s="977"/>
      <c r="V31" s="977"/>
      <c r="W31" s="977"/>
      <c r="X31" s="977"/>
      <c r="Y31" s="977"/>
      <c r="Z31" s="977"/>
      <c r="AA31" s="977"/>
      <c r="AB31" s="977"/>
      <c r="AC31" s="977"/>
      <c r="AD31" s="977"/>
      <c r="AE31" s="977"/>
      <c r="AF31" s="977"/>
      <c r="AG31" s="977"/>
      <c r="AH31" s="977"/>
      <c r="AI31" s="977"/>
      <c r="AJ31" s="977"/>
      <c r="AK31" s="977"/>
      <c r="AL31" s="865"/>
      <c r="AR31" s="870"/>
    </row>
    <row r="32" spans="1:44" s="871" customFormat="1" ht="15" hidden="1" customHeight="1">
      <c r="A32" s="835"/>
      <c r="B32" s="855"/>
      <c r="C32" s="855"/>
      <c r="D32">
        <v>0</v>
      </c>
      <c r="E32">
        <v>0</v>
      </c>
      <c r="F32">
        <v>0</v>
      </c>
      <c r="G32">
        <v>0</v>
      </c>
      <c r="H32" s="1068"/>
      <c r="I32" s="1068"/>
      <c r="J32" s="1068"/>
      <c r="K32" s="1068"/>
      <c r="L32" s="1068"/>
      <c r="M32" s="1068"/>
      <c r="N32" s="1068"/>
      <c r="O32" s="1068"/>
      <c r="P32" s="1068"/>
      <c r="Q32" s="1068"/>
      <c r="R32" s="1068"/>
      <c r="S32" s="1068"/>
      <c r="T32" s="1068"/>
      <c r="U32" s="1068"/>
      <c r="V32" s="1068"/>
      <c r="W32" s="1068"/>
      <c r="X32" s="1068"/>
      <c r="Y32" s="1068"/>
      <c r="Z32" s="1068"/>
      <c r="AA32" s="1068"/>
      <c r="AB32" s="1068"/>
      <c r="AC32" s="1068"/>
      <c r="AD32" s="1068"/>
      <c r="AE32" s="1068"/>
      <c r="AF32" s="1068"/>
      <c r="AG32" s="1068"/>
      <c r="AH32" s="1068"/>
      <c r="AI32" s="1068"/>
      <c r="AJ32" s="1068"/>
      <c r="AK32" s="1068"/>
      <c r="AL32" s="867"/>
      <c r="AR32" s="870"/>
    </row>
    <row r="33" spans="1:44" s="868" customFormat="1" ht="15" hidden="1" customHeight="1">
      <c r="A33" s="869" t="s">
        <v>2440</v>
      </c>
      <c r="B33" s="855"/>
      <c r="C33" s="855"/>
      <c r="D33" s="450"/>
      <c r="E33" s="977">
        <f t="shared" ref="E33:G33" si="14">IF(ISNUMBER(E32/D32-1),E32/D32-1,0)</f>
        <v>0</v>
      </c>
      <c r="F33" s="977">
        <f t="shared" si="14"/>
        <v>0</v>
      </c>
      <c r="G33" s="977">
        <f t="shared" si="14"/>
        <v>0</v>
      </c>
      <c r="H33" s="977"/>
      <c r="I33" s="977"/>
      <c r="J33" s="977"/>
      <c r="K33" s="977"/>
      <c r="L33" s="977"/>
      <c r="M33" s="977"/>
      <c r="N33" s="977"/>
      <c r="O33" s="977"/>
      <c r="P33" s="977"/>
      <c r="Q33" s="977"/>
      <c r="R33" s="977"/>
      <c r="S33" s="977"/>
      <c r="T33" s="977"/>
      <c r="U33" s="977"/>
      <c r="V33" s="977"/>
      <c r="W33" s="977"/>
      <c r="X33" s="977"/>
      <c r="Y33" s="977"/>
      <c r="Z33" s="977"/>
      <c r="AA33" s="977"/>
      <c r="AB33" s="977"/>
      <c r="AC33" s="977"/>
      <c r="AD33" s="977"/>
      <c r="AE33" s="977"/>
      <c r="AF33" s="977"/>
      <c r="AG33" s="977"/>
      <c r="AH33" s="977"/>
      <c r="AI33" s="977"/>
      <c r="AJ33" s="977"/>
      <c r="AK33" s="977"/>
      <c r="AL33" s="865"/>
      <c r="AR33" s="870"/>
    </row>
    <row r="34" spans="1:44" s="872" customFormat="1" ht="15" hidden="1" customHeight="1">
      <c r="A34" s="835"/>
      <c r="B34" s="855"/>
      <c r="C34" s="855"/>
      <c r="D34">
        <v>0</v>
      </c>
      <c r="E34">
        <v>0</v>
      </c>
      <c r="F34">
        <v>0</v>
      </c>
      <c r="G34">
        <v>0</v>
      </c>
      <c r="H34" s="1068"/>
      <c r="I34" s="1068"/>
      <c r="J34" s="1068"/>
      <c r="K34" s="1068"/>
      <c r="L34" s="1068"/>
      <c r="M34" s="1068"/>
      <c r="N34" s="1068"/>
      <c r="O34" s="1068"/>
      <c r="P34" s="1068"/>
      <c r="Q34" s="1068"/>
      <c r="R34" s="1068"/>
      <c r="S34" s="1068"/>
      <c r="T34" s="1068"/>
      <c r="U34" s="1068"/>
      <c r="V34" s="1068"/>
      <c r="W34" s="1068"/>
      <c r="X34" s="1068"/>
      <c r="Y34" s="1068"/>
      <c r="Z34" s="1068"/>
      <c r="AA34" s="1068"/>
      <c r="AB34" s="1068"/>
      <c r="AC34" s="1068"/>
      <c r="AD34" s="1068"/>
      <c r="AE34" s="1068"/>
      <c r="AF34" s="1068"/>
      <c r="AG34" s="1068"/>
      <c r="AH34" s="1068"/>
      <c r="AI34" s="1068"/>
      <c r="AJ34" s="1068"/>
      <c r="AK34" s="1068"/>
      <c r="AL34" s="867"/>
      <c r="AR34" s="870"/>
    </row>
    <row r="35" spans="1:44" s="868" customFormat="1" ht="15" hidden="1" customHeight="1">
      <c r="A35" s="869" t="s">
        <v>2440</v>
      </c>
      <c r="B35" s="855"/>
      <c r="C35" s="855"/>
      <c r="D35" s="450"/>
      <c r="E35" s="977">
        <f t="shared" ref="E35:G35" si="15">IF(ISNUMBER(E34/D34-1),E34/D34-1,0)</f>
        <v>0</v>
      </c>
      <c r="F35" s="977">
        <f t="shared" si="15"/>
        <v>0</v>
      </c>
      <c r="G35" s="977">
        <f t="shared" si="15"/>
        <v>0</v>
      </c>
      <c r="H35" s="977"/>
      <c r="I35" s="977"/>
      <c r="J35" s="977"/>
      <c r="K35" s="977"/>
      <c r="L35" s="977"/>
      <c r="M35" s="977"/>
      <c r="N35" s="977"/>
      <c r="O35" s="977"/>
      <c r="P35" s="977"/>
      <c r="Q35" s="977"/>
      <c r="R35" s="977"/>
      <c r="S35" s="977"/>
      <c r="T35" s="977"/>
      <c r="U35" s="977"/>
      <c r="V35" s="977"/>
      <c r="W35" s="977"/>
      <c r="X35" s="977"/>
      <c r="Y35" s="977"/>
      <c r="Z35" s="977"/>
      <c r="AA35" s="977"/>
      <c r="AB35" s="977"/>
      <c r="AC35" s="977"/>
      <c r="AD35" s="977"/>
      <c r="AE35" s="977"/>
      <c r="AF35" s="977"/>
      <c r="AG35" s="977"/>
      <c r="AH35" s="977"/>
      <c r="AI35" s="977"/>
      <c r="AJ35" s="977"/>
      <c r="AK35" s="977"/>
      <c r="AL35" s="865"/>
      <c r="AR35" s="870"/>
    </row>
    <row r="36" spans="1:44" s="868" customFormat="1" ht="15" hidden="1" customHeight="1">
      <c r="A36" s="835"/>
      <c r="B36" s="855"/>
      <c r="C36" s="855"/>
      <c r="D36">
        <v>0</v>
      </c>
      <c r="E36">
        <v>0</v>
      </c>
      <c r="F36">
        <v>0</v>
      </c>
      <c r="G36">
        <v>0</v>
      </c>
      <c r="H36" s="1068"/>
      <c r="I36" s="1068"/>
      <c r="J36" s="1068"/>
      <c r="K36" s="1068"/>
      <c r="L36" s="1068"/>
      <c r="M36" s="1068"/>
      <c r="N36" s="1068"/>
      <c r="O36" s="1068"/>
      <c r="P36" s="1068"/>
      <c r="Q36" s="1068"/>
      <c r="R36" s="1068"/>
      <c r="S36" s="1068"/>
      <c r="T36" s="1068"/>
      <c r="U36" s="1068"/>
      <c r="V36" s="1068"/>
      <c r="W36" s="1068"/>
      <c r="X36" s="1068"/>
      <c r="Y36" s="1068"/>
      <c r="Z36" s="1068"/>
      <c r="AA36" s="1068"/>
      <c r="AB36" s="1068"/>
      <c r="AC36" s="1068"/>
      <c r="AD36" s="1068"/>
      <c r="AE36" s="1068"/>
      <c r="AF36" s="1068"/>
      <c r="AG36" s="1068"/>
      <c r="AH36" s="1068"/>
      <c r="AI36" s="1068"/>
      <c r="AJ36" s="1068"/>
      <c r="AK36" s="1068"/>
      <c r="AL36" s="867"/>
      <c r="AR36" s="870"/>
    </row>
    <row r="37" spans="1:44" s="868" customFormat="1" ht="15" hidden="1" customHeight="1">
      <c r="A37" s="869" t="s">
        <v>2313</v>
      </c>
      <c r="B37" s="855"/>
      <c r="C37" s="855"/>
      <c r="D37" s="450"/>
      <c r="E37" s="977">
        <f t="shared" ref="E37:G37" si="16">IF(ISNUMBER(E36/D36-1),E36/D36-1,0)</f>
        <v>0</v>
      </c>
      <c r="F37" s="977">
        <f t="shared" si="16"/>
        <v>0</v>
      </c>
      <c r="G37" s="977">
        <f t="shared" si="16"/>
        <v>0</v>
      </c>
      <c r="H37" s="977"/>
      <c r="I37" s="977"/>
      <c r="J37" s="977"/>
      <c r="K37" s="977"/>
      <c r="L37" s="977"/>
      <c r="M37" s="977"/>
      <c r="N37" s="977"/>
      <c r="O37" s="977"/>
      <c r="P37" s="977"/>
      <c r="Q37" s="977"/>
      <c r="R37" s="977"/>
      <c r="S37" s="977"/>
      <c r="T37" s="977"/>
      <c r="U37" s="977"/>
      <c r="V37" s="977"/>
      <c r="W37" s="977"/>
      <c r="X37" s="977"/>
      <c r="Y37" s="977"/>
      <c r="Z37" s="977"/>
      <c r="AA37" s="977"/>
      <c r="AB37" s="977"/>
      <c r="AC37" s="977"/>
      <c r="AD37" s="977"/>
      <c r="AE37" s="977"/>
      <c r="AF37" s="977"/>
      <c r="AG37" s="977"/>
      <c r="AH37" s="977"/>
      <c r="AI37" s="977"/>
      <c r="AJ37" s="977"/>
      <c r="AK37" s="977"/>
      <c r="AL37" s="867"/>
      <c r="AR37" s="870"/>
    </row>
    <row r="38" spans="1:44" s="868" customFormat="1" ht="15" hidden="1" customHeight="1">
      <c r="A38" s="835"/>
      <c r="B38" s="855"/>
      <c r="C38" s="855"/>
      <c r="D38">
        <v>0</v>
      </c>
      <c r="E38">
        <v>0</v>
      </c>
      <c r="F38">
        <v>0</v>
      </c>
      <c r="G38">
        <v>0</v>
      </c>
      <c r="H38" s="1068"/>
      <c r="I38" s="1068"/>
      <c r="J38" s="1068"/>
      <c r="K38" s="1068"/>
      <c r="L38" s="1068"/>
      <c r="M38" s="1068"/>
      <c r="N38" s="1068"/>
      <c r="O38" s="1068"/>
      <c r="P38" s="1068"/>
      <c r="Q38" s="1068"/>
      <c r="R38" s="1068"/>
      <c r="S38" s="1068"/>
      <c r="T38" s="1068"/>
      <c r="U38" s="1068"/>
      <c r="V38" s="1068"/>
      <c r="W38" s="1068"/>
      <c r="X38" s="1068"/>
      <c r="Y38" s="1068"/>
      <c r="Z38" s="1068"/>
      <c r="AA38" s="1068"/>
      <c r="AB38" s="1068"/>
      <c r="AC38" s="1068"/>
      <c r="AD38" s="1068"/>
      <c r="AE38" s="1068"/>
      <c r="AF38" s="1068"/>
      <c r="AG38" s="1068"/>
      <c r="AH38" s="1068"/>
      <c r="AI38" s="1068"/>
      <c r="AJ38" s="1068"/>
      <c r="AK38" s="1068"/>
      <c r="AL38" s="867"/>
      <c r="AR38" s="870"/>
    </row>
    <row r="39" spans="1:44" s="868" customFormat="1" ht="15" hidden="1" customHeight="1">
      <c r="A39" s="869" t="s">
        <v>2440</v>
      </c>
      <c r="B39" s="855"/>
      <c r="C39" s="855"/>
      <c r="D39" s="450"/>
      <c r="E39" s="977">
        <f t="shared" ref="E39:G39" si="17">IF(ISNUMBER(E38/D38-1),E38/D38-1,0)</f>
        <v>0</v>
      </c>
      <c r="F39" s="977">
        <f t="shared" si="17"/>
        <v>0</v>
      </c>
      <c r="G39" s="977">
        <f t="shared" si="17"/>
        <v>0</v>
      </c>
      <c r="H39" s="977"/>
      <c r="I39" s="977"/>
      <c r="J39" s="977"/>
      <c r="K39" s="977"/>
      <c r="L39" s="977"/>
      <c r="M39" s="977"/>
      <c r="N39" s="977"/>
      <c r="O39" s="977"/>
      <c r="P39" s="977"/>
      <c r="Q39" s="977"/>
      <c r="R39" s="977"/>
      <c r="S39" s="977"/>
      <c r="T39" s="977"/>
      <c r="U39" s="977"/>
      <c r="V39" s="977"/>
      <c r="W39" s="977"/>
      <c r="X39" s="977"/>
      <c r="Y39" s="977"/>
      <c r="Z39" s="977"/>
      <c r="AA39" s="977"/>
      <c r="AB39" s="977"/>
      <c r="AC39" s="977"/>
      <c r="AD39" s="977"/>
      <c r="AE39" s="977"/>
      <c r="AF39" s="977"/>
      <c r="AG39" s="977"/>
      <c r="AH39" s="977"/>
      <c r="AI39" s="977"/>
      <c r="AJ39" s="977"/>
      <c r="AK39" s="977"/>
      <c r="AL39" s="867"/>
      <c r="AR39" s="870"/>
    </row>
    <row r="40" spans="1:44" s="868" customFormat="1" ht="15" hidden="1" customHeight="1">
      <c r="A40" s="835"/>
      <c r="B40" s="855"/>
      <c r="C40" s="855"/>
      <c r="D40">
        <v>0</v>
      </c>
      <c r="E40">
        <v>0</v>
      </c>
      <c r="F40">
        <v>0</v>
      </c>
      <c r="G40">
        <v>0</v>
      </c>
      <c r="H40" s="1068"/>
      <c r="I40" s="1068"/>
      <c r="J40" s="1068"/>
      <c r="K40" s="1068"/>
      <c r="L40" s="1068"/>
      <c r="M40" s="1068"/>
      <c r="N40" s="1068"/>
      <c r="O40" s="1068"/>
      <c r="P40" s="1068"/>
      <c r="Q40" s="1068"/>
      <c r="R40" s="1068"/>
      <c r="S40" s="1068"/>
      <c r="T40" s="1068"/>
      <c r="U40" s="1068"/>
      <c r="V40" s="1068"/>
      <c r="W40" s="1068"/>
      <c r="X40" s="1068"/>
      <c r="Y40" s="1068"/>
      <c r="Z40" s="1068"/>
      <c r="AA40" s="1068"/>
      <c r="AB40" s="1068"/>
      <c r="AC40" s="1068"/>
      <c r="AD40" s="1068"/>
      <c r="AE40" s="1068"/>
      <c r="AF40" s="1068"/>
      <c r="AG40" s="1068"/>
      <c r="AH40" s="1068"/>
      <c r="AI40" s="1068"/>
      <c r="AJ40" s="1068"/>
      <c r="AK40" s="1068"/>
      <c r="AL40" s="867"/>
      <c r="AR40" s="870"/>
    </row>
    <row r="41" spans="1:44" s="868" customFormat="1" ht="15" hidden="1" customHeight="1">
      <c r="A41" s="869" t="s">
        <v>2440</v>
      </c>
      <c r="B41" s="855"/>
      <c r="C41" s="855"/>
      <c r="D41" s="450"/>
      <c r="E41" s="977">
        <f t="shared" ref="E41:G41" si="18">IF(ISNUMBER(E40/D40-1),E40/D40-1,0)</f>
        <v>0</v>
      </c>
      <c r="F41" s="977">
        <f t="shared" si="18"/>
        <v>0</v>
      </c>
      <c r="G41" s="977">
        <f t="shared" si="18"/>
        <v>0</v>
      </c>
      <c r="H41" s="977"/>
      <c r="I41" s="977"/>
      <c r="J41" s="977"/>
      <c r="K41" s="977"/>
      <c r="L41" s="977"/>
      <c r="M41" s="977"/>
      <c r="N41" s="977"/>
      <c r="O41" s="977"/>
      <c r="P41" s="977"/>
      <c r="Q41" s="977"/>
      <c r="R41" s="977"/>
      <c r="S41" s="977"/>
      <c r="T41" s="977"/>
      <c r="U41" s="977"/>
      <c r="V41" s="977"/>
      <c r="W41" s="977"/>
      <c r="X41" s="977"/>
      <c r="Y41" s="977"/>
      <c r="Z41" s="977"/>
      <c r="AA41" s="977"/>
      <c r="AB41" s="977"/>
      <c r="AC41" s="977"/>
      <c r="AD41" s="977"/>
      <c r="AE41" s="977"/>
      <c r="AF41" s="977"/>
      <c r="AG41" s="977"/>
      <c r="AH41" s="977"/>
      <c r="AI41" s="977"/>
      <c r="AJ41" s="977"/>
      <c r="AK41" s="977"/>
      <c r="AL41" s="867"/>
      <c r="AR41" s="870"/>
    </row>
    <row r="42" spans="1:44" s="868" customFormat="1" ht="15" hidden="1" customHeight="1">
      <c r="A42" s="835"/>
      <c r="B42" s="855"/>
      <c r="C42" s="855"/>
      <c r="D42">
        <v>0</v>
      </c>
      <c r="E42">
        <v>0</v>
      </c>
      <c r="F42">
        <v>0</v>
      </c>
      <c r="G42">
        <v>0</v>
      </c>
      <c r="H42" s="1068"/>
      <c r="I42" s="1068"/>
      <c r="J42" s="1068"/>
      <c r="K42" s="1068"/>
      <c r="L42" s="1068"/>
      <c r="M42" s="1068"/>
      <c r="N42" s="1068"/>
      <c r="O42" s="1068"/>
      <c r="P42" s="1068"/>
      <c r="Q42" s="1068"/>
      <c r="R42" s="1068"/>
      <c r="S42" s="1068"/>
      <c r="T42" s="1068"/>
      <c r="U42" s="1068"/>
      <c r="V42" s="1068"/>
      <c r="W42" s="1068"/>
      <c r="X42" s="1068"/>
      <c r="Y42" s="1068"/>
      <c r="Z42" s="1068"/>
      <c r="AA42" s="1068"/>
      <c r="AB42" s="1068"/>
      <c r="AC42" s="1068"/>
      <c r="AD42" s="1068"/>
      <c r="AE42" s="1068"/>
      <c r="AF42" s="1068"/>
      <c r="AG42" s="1068"/>
      <c r="AH42" s="1068"/>
      <c r="AI42" s="1068"/>
      <c r="AJ42" s="1068"/>
      <c r="AK42" s="1068"/>
      <c r="AL42" s="867"/>
      <c r="AR42" s="870"/>
    </row>
    <row r="43" spans="1:44" s="868" customFormat="1" ht="15" hidden="1" customHeight="1">
      <c r="A43" s="869" t="s">
        <v>2440</v>
      </c>
      <c r="B43" s="855"/>
      <c r="C43" s="855"/>
      <c r="D43" s="450"/>
      <c r="E43" s="977">
        <f t="shared" ref="E43:G43" si="19">IF(ISNUMBER(E42/D42-1),E42/D42-1,0)</f>
        <v>0</v>
      </c>
      <c r="F43" s="977">
        <f t="shared" si="19"/>
        <v>0</v>
      </c>
      <c r="G43" s="977">
        <f t="shared" si="19"/>
        <v>0</v>
      </c>
      <c r="H43" s="977"/>
      <c r="I43" s="977"/>
      <c r="J43" s="977"/>
      <c r="K43" s="977"/>
      <c r="L43" s="977"/>
      <c r="M43" s="977"/>
      <c r="N43" s="977"/>
      <c r="O43" s="977"/>
      <c r="P43" s="977"/>
      <c r="Q43" s="977"/>
      <c r="R43" s="977"/>
      <c r="S43" s="977"/>
      <c r="T43" s="977"/>
      <c r="U43" s="977"/>
      <c r="V43" s="977"/>
      <c r="W43" s="977"/>
      <c r="X43" s="977"/>
      <c r="Y43" s="977"/>
      <c r="Z43" s="977"/>
      <c r="AA43" s="977"/>
      <c r="AB43" s="977"/>
      <c r="AC43" s="977"/>
      <c r="AD43" s="977"/>
      <c r="AE43" s="977"/>
      <c r="AF43" s="977"/>
      <c r="AG43" s="977"/>
      <c r="AH43" s="977"/>
      <c r="AI43" s="977"/>
      <c r="AJ43" s="977"/>
      <c r="AK43" s="977"/>
      <c r="AL43" s="867"/>
      <c r="AR43" s="873"/>
    </row>
    <row r="44" spans="1:44" s="868" customFormat="1" ht="15" hidden="1" customHeight="1">
      <c r="A44" s="869"/>
      <c r="B44" s="874"/>
      <c r="C44" s="874"/>
      <c r="D44" s="875"/>
      <c r="E44" s="875"/>
      <c r="F44" s="875"/>
      <c r="G44" s="875"/>
      <c r="H44" s="875"/>
      <c r="I44" s="875"/>
      <c r="J44" s="875"/>
      <c r="K44" s="875"/>
      <c r="L44" s="875"/>
      <c r="M44" s="875"/>
      <c r="N44" s="875"/>
      <c r="O44" s="875"/>
      <c r="P44" s="875"/>
      <c r="Q44" s="875"/>
      <c r="R44" s="875"/>
      <c r="S44" s="875"/>
      <c r="T44" s="875"/>
      <c r="U44" s="875"/>
      <c r="V44" s="875"/>
      <c r="W44" s="875"/>
      <c r="X44" s="875"/>
      <c r="Y44" s="875"/>
      <c r="Z44" s="875"/>
      <c r="AA44" s="875"/>
      <c r="AB44" s="875"/>
      <c r="AC44" s="875"/>
      <c r="AD44" s="875"/>
      <c r="AE44" s="875"/>
      <c r="AF44" s="875"/>
      <c r="AG44" s="875"/>
      <c r="AH44" s="875"/>
      <c r="AI44" s="875"/>
      <c r="AJ44" s="875"/>
      <c r="AK44" s="875"/>
      <c r="AL44" s="875"/>
    </row>
    <row r="45" spans="1:44" s="871" customFormat="1" ht="15" customHeight="1">
      <c r="A45" s="876" t="s">
        <v>1888</v>
      </c>
      <c r="B45" s="877"/>
      <c r="C45" s="877"/>
      <c r="D45" s="877">
        <f>D12+D14+D16+D18+D20+D22+D24+D26+D28+D30+D32+D34+D36+D38+D40+D42</f>
        <v>4651.9570119999998</v>
      </c>
      <c r="E45" s="877">
        <f t="shared" ref="E45:AK45" si="20">E12+E14+E16+E18+E20+E22+E24+E26+E28+E30+E32+E34+E36+E38+E40+E42</f>
        <v>6237.8785046200001</v>
      </c>
      <c r="F45" s="877">
        <f t="shared" si="20"/>
        <v>7770.7241516800004</v>
      </c>
      <c r="G45" s="877">
        <f>G12+G14+G16+G18+G20+G22+G24+G26+G28+G30+G32+G34+G36+G38+G40+G42</f>
        <v>7660.6405554400008</v>
      </c>
      <c r="H45" s="877">
        <f>H12+H14+H16+H18+H20+H22+H24+H26+H28+H30+H32+H34+H36+H38+H40+H42</f>
        <v>0</v>
      </c>
      <c r="I45" s="877">
        <f>I12+I14+I16+I18+I20+I22+I24+I26+I28+I30+I32+I34+I36+I38+I40+I42</f>
        <v>0</v>
      </c>
      <c r="J45" s="877">
        <f>J12+J14+J16+J18+J20+J22+J24+J26+J28+J30+J32+J34+J36+J38+J40+J42</f>
        <v>0</v>
      </c>
      <c r="K45" s="877">
        <f t="shared" si="20"/>
        <v>0</v>
      </c>
      <c r="L45" s="877">
        <f t="shared" si="20"/>
        <v>0</v>
      </c>
      <c r="M45" s="877">
        <f t="shared" si="20"/>
        <v>0</v>
      </c>
      <c r="N45" s="877">
        <f t="shared" si="20"/>
        <v>0</v>
      </c>
      <c r="O45" s="877">
        <f t="shared" si="20"/>
        <v>0</v>
      </c>
      <c r="P45" s="877">
        <f t="shared" si="20"/>
        <v>0</v>
      </c>
      <c r="Q45" s="877">
        <f t="shared" si="20"/>
        <v>0</v>
      </c>
      <c r="R45" s="877">
        <f t="shared" si="20"/>
        <v>0</v>
      </c>
      <c r="S45" s="877">
        <f t="shared" si="20"/>
        <v>0</v>
      </c>
      <c r="T45" s="877">
        <f t="shared" si="20"/>
        <v>0</v>
      </c>
      <c r="U45" s="877">
        <f t="shared" si="20"/>
        <v>0</v>
      </c>
      <c r="V45" s="877">
        <f t="shared" si="20"/>
        <v>0</v>
      </c>
      <c r="W45" s="877">
        <f t="shared" si="20"/>
        <v>0</v>
      </c>
      <c r="X45" s="877">
        <f t="shared" si="20"/>
        <v>0</v>
      </c>
      <c r="Y45" s="877">
        <f t="shared" si="20"/>
        <v>0</v>
      </c>
      <c r="Z45" s="877">
        <f t="shared" si="20"/>
        <v>0</v>
      </c>
      <c r="AA45" s="877">
        <f t="shared" si="20"/>
        <v>0</v>
      </c>
      <c r="AB45" s="877">
        <f t="shared" si="20"/>
        <v>0</v>
      </c>
      <c r="AC45" s="877">
        <f t="shared" si="20"/>
        <v>0</v>
      </c>
      <c r="AD45" s="877">
        <f t="shared" si="20"/>
        <v>0</v>
      </c>
      <c r="AE45" s="877">
        <f t="shared" si="20"/>
        <v>0</v>
      </c>
      <c r="AF45" s="877">
        <f t="shared" si="20"/>
        <v>0</v>
      </c>
      <c r="AG45" s="877">
        <f t="shared" si="20"/>
        <v>0</v>
      </c>
      <c r="AH45" s="877">
        <f t="shared" si="20"/>
        <v>0</v>
      </c>
      <c r="AI45" s="877">
        <f t="shared" si="20"/>
        <v>0</v>
      </c>
      <c r="AJ45" s="877">
        <f t="shared" si="20"/>
        <v>0</v>
      </c>
      <c r="AK45" s="877">
        <f t="shared" si="20"/>
        <v>0</v>
      </c>
      <c r="AL45" s="877"/>
      <c r="AR45" s="868"/>
    </row>
    <row r="46" spans="1:44" s="868" customFormat="1" ht="15" hidden="1" customHeight="1">
      <c r="A46" s="876" t="s">
        <v>1888</v>
      </c>
      <c r="B46" s="877"/>
      <c r="C46" s="877"/>
      <c r="D46" s="877">
        <f>D12*D13+D14*D15+D16*D17+D18*D19+D20*D21+D22*D23+D24*D25+D26*D27+D28*D29+D30*D31+D32*D33+D34*D35+D36*D37+D38*D39+D40*D41+D42*D43</f>
        <v>0</v>
      </c>
      <c r="E46" s="877">
        <f t="shared" ref="E46:AK46" si="21">E12*E13+E14*E15+E16*E17+E18*E19+E20*E21+E22*E23+E24*E25+E26*E27+E28*E29+E30*E31+E32*E33+E34*E35+E36*E37+E38*E39+E40*E41+E42*E43</f>
        <v>2365.5087606181901</v>
      </c>
      <c r="F46" s="877">
        <f t="shared" si="21"/>
        <v>2163.147651800738</v>
      </c>
      <c r="G46" s="877">
        <f t="shared" si="21"/>
        <v>1015.0628473352231</v>
      </c>
      <c r="H46" s="877">
        <f t="shared" si="21"/>
        <v>0</v>
      </c>
      <c r="I46" s="877">
        <f t="shared" si="21"/>
        <v>0</v>
      </c>
      <c r="J46" s="877">
        <f t="shared" si="21"/>
        <v>0</v>
      </c>
      <c r="K46" s="877">
        <f t="shared" si="21"/>
        <v>0</v>
      </c>
      <c r="L46" s="877">
        <f t="shared" si="21"/>
        <v>0</v>
      </c>
      <c r="M46" s="877">
        <f t="shared" si="21"/>
        <v>0</v>
      </c>
      <c r="N46" s="877">
        <f t="shared" si="21"/>
        <v>0</v>
      </c>
      <c r="O46" s="877">
        <f t="shared" si="21"/>
        <v>0</v>
      </c>
      <c r="P46" s="877">
        <f t="shared" si="21"/>
        <v>0</v>
      </c>
      <c r="Q46" s="877">
        <f t="shared" si="21"/>
        <v>0</v>
      </c>
      <c r="R46" s="877">
        <f t="shared" si="21"/>
        <v>0</v>
      </c>
      <c r="S46" s="877">
        <f t="shared" si="21"/>
        <v>0</v>
      </c>
      <c r="T46" s="877">
        <f t="shared" si="21"/>
        <v>0</v>
      </c>
      <c r="U46" s="877">
        <f t="shared" si="21"/>
        <v>0</v>
      </c>
      <c r="V46" s="877">
        <f t="shared" si="21"/>
        <v>0</v>
      </c>
      <c r="W46" s="877">
        <f t="shared" si="21"/>
        <v>0</v>
      </c>
      <c r="X46" s="877">
        <f t="shared" si="21"/>
        <v>0</v>
      </c>
      <c r="Y46" s="877">
        <f t="shared" si="21"/>
        <v>0</v>
      </c>
      <c r="Z46" s="877">
        <f t="shared" si="21"/>
        <v>0</v>
      </c>
      <c r="AA46" s="877">
        <f t="shared" si="21"/>
        <v>0</v>
      </c>
      <c r="AB46" s="877">
        <f t="shared" si="21"/>
        <v>0</v>
      </c>
      <c r="AC46" s="877">
        <f t="shared" si="21"/>
        <v>0</v>
      </c>
      <c r="AD46" s="877">
        <f t="shared" si="21"/>
        <v>0</v>
      </c>
      <c r="AE46" s="877">
        <f t="shared" si="21"/>
        <v>0</v>
      </c>
      <c r="AF46" s="877">
        <f t="shared" si="21"/>
        <v>0</v>
      </c>
      <c r="AG46" s="877">
        <f t="shared" si="21"/>
        <v>0</v>
      </c>
      <c r="AH46" s="877">
        <f t="shared" si="21"/>
        <v>0</v>
      </c>
      <c r="AI46" s="877">
        <f t="shared" si="21"/>
        <v>0</v>
      </c>
      <c r="AJ46" s="877">
        <f t="shared" si="21"/>
        <v>0</v>
      </c>
      <c r="AK46" s="877">
        <f t="shared" si="21"/>
        <v>0</v>
      </c>
      <c r="AL46" s="877"/>
    </row>
    <row r="47" spans="1:44" s="868" customFormat="1" ht="15" customHeight="1">
      <c r="A47" s="835"/>
      <c r="B47" s="875"/>
      <c r="C47" s="875"/>
      <c r="D47" s="875"/>
      <c r="E47" s="875"/>
      <c r="F47" s="875"/>
      <c r="G47" s="875"/>
      <c r="H47" s="878"/>
      <c r="I47" s="878"/>
      <c r="J47" s="878"/>
      <c r="K47" s="878"/>
      <c r="L47" s="878"/>
      <c r="M47" s="878"/>
      <c r="N47" s="878"/>
      <c r="O47" s="878"/>
      <c r="P47" s="878"/>
      <c r="Q47" s="878"/>
      <c r="R47" s="878"/>
      <c r="S47" s="878"/>
      <c r="T47" s="878"/>
      <c r="U47" s="878"/>
      <c r="V47" s="878"/>
      <c r="W47" s="878"/>
      <c r="X47" s="878"/>
      <c r="Y47" s="878"/>
      <c r="Z47" s="878"/>
      <c r="AA47" s="878"/>
      <c r="AB47" s="878"/>
      <c r="AC47" s="878"/>
      <c r="AK47" s="875"/>
      <c r="AL47" s="875"/>
    </row>
    <row r="48" spans="1:44" s="868" customFormat="1" ht="15" hidden="1" customHeight="1">
      <c r="A48" s="835"/>
      <c r="B48" s="875"/>
      <c r="C48" s="875"/>
      <c r="D48" s="875"/>
      <c r="E48" s="875"/>
      <c r="F48" s="875"/>
      <c r="G48" s="875"/>
      <c r="H48" s="878"/>
      <c r="I48" s="878"/>
      <c r="J48" s="878"/>
      <c r="K48" s="878"/>
      <c r="L48" s="878"/>
      <c r="M48" s="878"/>
      <c r="N48" s="878"/>
      <c r="O48" s="878"/>
      <c r="P48" s="878"/>
      <c r="Q48" s="878"/>
      <c r="R48" s="878"/>
      <c r="S48" s="878"/>
      <c r="T48" s="878"/>
      <c r="U48" s="878"/>
      <c r="V48" s="878"/>
      <c r="W48" s="878"/>
      <c r="X48" s="878"/>
      <c r="Y48" s="878"/>
      <c r="Z48" s="878"/>
      <c r="AA48" s="878"/>
      <c r="AB48" s="878"/>
      <c r="AC48" s="878"/>
      <c r="AK48" s="875"/>
      <c r="AL48" s="875"/>
    </row>
    <row r="49" spans="1:50" s="868" customFormat="1" ht="15" hidden="1" customHeight="1">
      <c r="A49" s="835"/>
      <c r="B49" s="875"/>
      <c r="C49" s="875"/>
      <c r="D49" s="875"/>
      <c r="E49" s="875"/>
      <c r="F49" s="875"/>
      <c r="G49" s="875"/>
      <c r="H49" s="878"/>
      <c r="I49" s="878"/>
      <c r="J49" s="878"/>
      <c r="K49" s="878"/>
      <c r="L49" s="878"/>
      <c r="M49" s="878"/>
      <c r="N49" s="878"/>
      <c r="O49" s="878"/>
      <c r="P49" s="878"/>
      <c r="Q49" s="878"/>
      <c r="R49" s="878"/>
      <c r="S49" s="878"/>
      <c r="T49" s="878"/>
      <c r="U49" s="878"/>
      <c r="V49" s="878"/>
      <c r="W49" s="878"/>
      <c r="X49" s="878"/>
      <c r="Y49" s="878"/>
      <c r="Z49" s="878"/>
      <c r="AA49" s="878"/>
      <c r="AB49" s="878"/>
      <c r="AC49" s="878"/>
      <c r="AK49" s="875"/>
      <c r="AL49" s="875"/>
    </row>
    <row r="50" spans="1:50" s="868" customFormat="1" ht="15" customHeight="1">
      <c r="A50" s="835"/>
      <c r="B50" s="875"/>
      <c r="C50" s="875"/>
      <c r="D50" s="875"/>
      <c r="E50" s="875"/>
      <c r="F50" s="875"/>
      <c r="G50" s="875"/>
      <c r="H50" s="878"/>
      <c r="I50" s="878"/>
      <c r="J50" s="878"/>
      <c r="K50" s="878"/>
      <c r="L50" s="878"/>
      <c r="M50" s="878"/>
      <c r="N50" s="878"/>
      <c r="O50" s="878"/>
      <c r="P50" s="878"/>
      <c r="Q50" s="878"/>
      <c r="R50" s="878"/>
      <c r="S50" s="878"/>
      <c r="T50" s="878"/>
      <c r="U50" s="878"/>
      <c r="V50" s="878"/>
      <c r="W50" s="878"/>
      <c r="X50" s="878"/>
      <c r="Y50" s="878"/>
      <c r="Z50" s="878"/>
      <c r="AA50" s="878"/>
      <c r="AB50" s="878"/>
      <c r="AC50" s="878"/>
      <c r="AK50" s="875"/>
      <c r="AL50" s="875"/>
      <c r="AX50" s="868">
        <v>14</v>
      </c>
    </row>
    <row r="51" spans="1:50" s="868" customFormat="1" ht="15" customHeight="1">
      <c r="A51" s="854" t="s">
        <v>1889</v>
      </c>
      <c r="B51" s="875"/>
      <c r="C51" s="875"/>
      <c r="D51" s="968">
        <f>D2</f>
        <v>2019</v>
      </c>
      <c r="E51" s="968">
        <f t="shared" ref="E51:AK51" si="22">E2</f>
        <v>2020</v>
      </c>
      <c r="F51" s="968">
        <f t="shared" si="22"/>
        <v>2021</v>
      </c>
      <c r="G51" s="968">
        <f t="shared" si="22"/>
        <v>2022</v>
      </c>
      <c r="H51" s="968" t="str">
        <f t="shared" si="22"/>
        <v>2023E</v>
      </c>
      <c r="I51" s="968" t="str">
        <f t="shared" si="22"/>
        <v>2024E</v>
      </c>
      <c r="J51" s="968" t="str">
        <f t="shared" si="22"/>
        <v>2025E</v>
      </c>
      <c r="K51" s="968" t="str">
        <f t="shared" si="22"/>
        <v>2026E</v>
      </c>
      <c r="L51" s="968" t="str">
        <f t="shared" si="22"/>
        <v>2027E</v>
      </c>
      <c r="M51" s="968" t="str">
        <f t="shared" si="22"/>
        <v>2028E</v>
      </c>
      <c r="N51" s="968" t="str">
        <f t="shared" si="22"/>
        <v>2029E</v>
      </c>
      <c r="O51" s="968" t="str">
        <f t="shared" si="22"/>
        <v>2030E</v>
      </c>
      <c r="P51" s="968" t="str">
        <f t="shared" si="22"/>
        <v>2031E</v>
      </c>
      <c r="Q51" s="968" t="str">
        <f t="shared" si="22"/>
        <v>2032E</v>
      </c>
      <c r="R51" s="968" t="str">
        <f t="shared" si="22"/>
        <v>2033E</v>
      </c>
      <c r="S51" s="968" t="str">
        <f t="shared" si="22"/>
        <v>2034E</v>
      </c>
      <c r="T51" s="968" t="str">
        <f t="shared" si="22"/>
        <v>2035E</v>
      </c>
      <c r="U51" s="968" t="str">
        <f t="shared" si="22"/>
        <v>2036E</v>
      </c>
      <c r="V51" s="968" t="str">
        <f t="shared" si="22"/>
        <v>2037E</v>
      </c>
      <c r="W51" s="968" t="str">
        <f t="shared" si="22"/>
        <v>2038E</v>
      </c>
      <c r="X51" s="968" t="str">
        <f t="shared" si="22"/>
        <v>2039E</v>
      </c>
      <c r="Y51" s="968" t="str">
        <f t="shared" si="22"/>
        <v>2040E</v>
      </c>
      <c r="Z51" s="968" t="str">
        <f t="shared" si="22"/>
        <v>2041E</v>
      </c>
      <c r="AA51" s="968" t="str">
        <f t="shared" si="22"/>
        <v>2042E</v>
      </c>
      <c r="AB51" s="968" t="str">
        <f t="shared" si="22"/>
        <v>2043E</v>
      </c>
      <c r="AC51" s="968" t="str">
        <f t="shared" si="22"/>
        <v>2044E</v>
      </c>
      <c r="AD51" s="968" t="str">
        <f t="shared" si="22"/>
        <v>2045E</v>
      </c>
      <c r="AE51" s="968" t="str">
        <f t="shared" si="22"/>
        <v>2046E</v>
      </c>
      <c r="AF51" s="968" t="str">
        <f t="shared" si="22"/>
        <v>2047E</v>
      </c>
      <c r="AG51" s="968" t="str">
        <f t="shared" si="22"/>
        <v>2048E</v>
      </c>
      <c r="AH51" s="968" t="str">
        <f t="shared" si="22"/>
        <v>2049E</v>
      </c>
      <c r="AI51" s="968" t="str">
        <f t="shared" si="22"/>
        <v>2050E</v>
      </c>
      <c r="AJ51" s="968" t="str">
        <f t="shared" si="22"/>
        <v>2051E</v>
      </c>
      <c r="AK51" s="968" t="str">
        <f t="shared" si="22"/>
        <v>2052E</v>
      </c>
      <c r="AL51" s="968"/>
      <c r="AR51" s="856"/>
    </row>
    <row r="52" spans="1:50" s="868" customFormat="1" ht="15" customHeight="1">
      <c r="A52" s="835" t="s">
        <v>2902</v>
      </c>
      <c r="B52" s="875"/>
      <c r="C52" s="875"/>
      <c r="D52">
        <v>0</v>
      </c>
      <c r="E52">
        <v>0</v>
      </c>
      <c r="F52">
        <v>0</v>
      </c>
      <c r="G52">
        <v>3521.2037853899997</v>
      </c>
      <c r="H52" s="1068"/>
      <c r="I52" s="1068"/>
      <c r="J52" s="1068"/>
      <c r="K52" s="1068"/>
      <c r="L52" s="1068"/>
      <c r="M52" s="1068"/>
      <c r="N52" s="1068"/>
      <c r="O52" s="1068"/>
      <c r="P52" s="1068"/>
      <c r="Q52" s="1068"/>
      <c r="R52" s="1068"/>
      <c r="S52" s="1068"/>
      <c r="T52" s="1068"/>
      <c r="U52" s="1068"/>
      <c r="V52" s="1068"/>
      <c r="W52" s="1068"/>
      <c r="X52" s="1068"/>
      <c r="Y52" s="1068"/>
      <c r="Z52" s="1068"/>
      <c r="AA52" s="1068"/>
      <c r="AB52" s="1068"/>
      <c r="AC52" s="1068"/>
      <c r="AD52" s="1068"/>
      <c r="AE52" s="1068"/>
      <c r="AF52" s="1068"/>
      <c r="AG52" s="1068"/>
      <c r="AH52" s="1068"/>
      <c r="AI52" s="1068"/>
      <c r="AJ52" s="1068"/>
      <c r="AK52" s="1068"/>
      <c r="AL52" s="875"/>
    </row>
    <row r="53" spans="1:50" s="868" customFormat="1" ht="15" customHeight="1">
      <c r="A53" s="869" t="s">
        <v>2441</v>
      </c>
      <c r="B53" s="875"/>
      <c r="C53" s="875"/>
      <c r="D53" s="450"/>
      <c r="E53" s="977">
        <f t="shared" ref="E53:G53" si="23">IF(ISNUMBER(E52/D52-1),E52/D52-1,0)</f>
        <v>0</v>
      </c>
      <c r="F53" s="977">
        <f t="shared" si="23"/>
        <v>0</v>
      </c>
      <c r="G53" s="977">
        <f t="shared" si="23"/>
        <v>0</v>
      </c>
      <c r="H53" s="977"/>
      <c r="I53" s="977"/>
      <c r="J53" s="977"/>
      <c r="K53" s="977"/>
      <c r="L53" s="977"/>
      <c r="M53" s="977"/>
      <c r="N53" s="977"/>
      <c r="O53" s="977"/>
      <c r="P53" s="977"/>
      <c r="Q53" s="977"/>
      <c r="R53" s="977"/>
      <c r="S53" s="977"/>
      <c r="T53" s="977"/>
      <c r="U53" s="977"/>
      <c r="V53" s="977"/>
      <c r="W53" s="977"/>
      <c r="X53" s="977"/>
      <c r="Y53" s="977"/>
      <c r="Z53" s="977"/>
      <c r="AA53" s="977"/>
      <c r="AB53" s="977"/>
      <c r="AC53" s="977"/>
      <c r="AD53" s="977"/>
      <c r="AE53" s="977"/>
      <c r="AF53" s="977"/>
      <c r="AG53" s="977"/>
      <c r="AH53" s="977"/>
      <c r="AI53" s="977"/>
      <c r="AJ53" s="977"/>
      <c r="AK53" s="977"/>
      <c r="AL53" s="875"/>
    </row>
    <row r="54" spans="1:50" s="868" customFormat="1" ht="15" customHeight="1">
      <c r="A54" s="835" t="s">
        <v>2903</v>
      </c>
      <c r="B54" s="875"/>
      <c r="C54" s="875"/>
      <c r="D54">
        <v>0</v>
      </c>
      <c r="E54">
        <v>0</v>
      </c>
      <c r="F54">
        <v>0</v>
      </c>
      <c r="G54">
        <v>1243.7656920899999</v>
      </c>
      <c r="H54" s="1068"/>
      <c r="I54" s="1068"/>
      <c r="J54" s="1068"/>
      <c r="K54" s="1068"/>
      <c r="L54" s="1068"/>
      <c r="M54" s="1068"/>
      <c r="N54" s="1068"/>
      <c r="O54" s="1068"/>
      <c r="P54" s="1068"/>
      <c r="Q54" s="1068"/>
      <c r="R54" s="1068"/>
      <c r="S54" s="1068"/>
      <c r="T54" s="1068"/>
      <c r="U54" s="1068"/>
      <c r="V54" s="1068"/>
      <c r="W54" s="1068"/>
      <c r="X54" s="1068"/>
      <c r="Y54" s="1068"/>
      <c r="Z54" s="1068"/>
      <c r="AA54" s="1068"/>
      <c r="AB54" s="1068"/>
      <c r="AC54" s="1068"/>
      <c r="AD54" s="1068"/>
      <c r="AE54" s="1068"/>
      <c r="AF54" s="1068"/>
      <c r="AG54" s="1068"/>
      <c r="AH54" s="1068"/>
      <c r="AI54" s="1068"/>
      <c r="AJ54" s="1068"/>
      <c r="AK54" s="1068"/>
      <c r="AL54" s="875"/>
    </row>
    <row r="55" spans="1:50" s="868" customFormat="1" ht="15" customHeight="1">
      <c r="A55" s="869" t="s">
        <v>2441</v>
      </c>
      <c r="B55" s="875"/>
      <c r="C55" s="875"/>
      <c r="D55" s="450"/>
      <c r="E55" s="977">
        <f t="shared" ref="E55:G55" si="24">IF(ISNUMBER(E54/D54-1),E54/D54-1,0)</f>
        <v>0</v>
      </c>
      <c r="F55" s="977">
        <f t="shared" si="24"/>
        <v>0</v>
      </c>
      <c r="G55" s="977">
        <f t="shared" si="24"/>
        <v>0</v>
      </c>
      <c r="H55" s="977"/>
      <c r="I55" s="977"/>
      <c r="J55" s="977"/>
      <c r="K55" s="977"/>
      <c r="L55" s="977"/>
      <c r="M55" s="977"/>
      <c r="N55" s="977"/>
      <c r="O55" s="977"/>
      <c r="P55" s="977"/>
      <c r="Q55" s="977"/>
      <c r="R55" s="977"/>
      <c r="S55" s="977"/>
      <c r="T55" s="977"/>
      <c r="U55" s="977"/>
      <c r="V55" s="977"/>
      <c r="W55" s="977"/>
      <c r="X55" s="977"/>
      <c r="Y55" s="977"/>
      <c r="Z55" s="977"/>
      <c r="AA55" s="977"/>
      <c r="AB55" s="977"/>
      <c r="AC55" s="977"/>
      <c r="AD55" s="977"/>
      <c r="AE55" s="977"/>
      <c r="AF55" s="977"/>
      <c r="AG55" s="977"/>
      <c r="AH55" s="977"/>
      <c r="AI55" s="977"/>
      <c r="AJ55" s="977"/>
      <c r="AK55" s="977"/>
      <c r="AL55" s="875"/>
    </row>
    <row r="56" spans="1:50" s="868" customFormat="1" ht="15" customHeight="1">
      <c r="A56" s="835" t="s">
        <v>2893</v>
      </c>
      <c r="B56" s="875"/>
      <c r="C56" s="875"/>
      <c r="D56">
        <v>386.81986742999999</v>
      </c>
      <c r="E56">
        <v>691.76223432000006</v>
      </c>
      <c r="F56">
        <v>1177.13435424</v>
      </c>
      <c r="G56">
        <v>1034.9043770000001</v>
      </c>
      <c r="H56" s="1068"/>
      <c r="I56" s="1068"/>
      <c r="J56" s="1068"/>
      <c r="K56" s="1068"/>
      <c r="L56" s="1068"/>
      <c r="M56" s="1068"/>
      <c r="N56" s="1068"/>
      <c r="O56" s="1068"/>
      <c r="P56" s="1068"/>
      <c r="Q56" s="1068"/>
      <c r="R56" s="1068"/>
      <c r="S56" s="1068"/>
      <c r="T56" s="1068"/>
      <c r="U56" s="1068"/>
      <c r="V56" s="1068"/>
      <c r="W56" s="1068"/>
      <c r="X56" s="1068"/>
      <c r="Y56" s="1068"/>
      <c r="Z56" s="1068"/>
      <c r="AA56" s="1068"/>
      <c r="AB56" s="1068"/>
      <c r="AC56" s="1068"/>
      <c r="AD56" s="1068"/>
      <c r="AE56" s="1068"/>
      <c r="AF56" s="1068"/>
      <c r="AG56" s="1068"/>
      <c r="AH56" s="1068"/>
      <c r="AI56" s="1068"/>
      <c r="AJ56" s="1068"/>
      <c r="AK56" s="1068"/>
      <c r="AL56" s="875"/>
    </row>
    <row r="57" spans="1:50" s="868" customFormat="1" ht="15" customHeight="1">
      <c r="A57" s="869" t="s">
        <v>2441</v>
      </c>
      <c r="B57" s="875"/>
      <c r="C57" s="875"/>
      <c r="D57" s="450"/>
      <c r="E57" s="977">
        <f t="shared" ref="E57:G57" si="25">IF(ISNUMBER(E56/D56-1),E56/D56-1,0)</f>
        <v>0.78833170828585564</v>
      </c>
      <c r="F57" s="977">
        <f t="shared" si="25"/>
        <v>0.70164587749881879</v>
      </c>
      <c r="G57" s="977">
        <f t="shared" si="25"/>
        <v>-0.12082730975244427</v>
      </c>
      <c r="H57" s="977"/>
      <c r="I57" s="977"/>
      <c r="J57" s="977"/>
      <c r="K57" s="977"/>
      <c r="L57" s="977"/>
      <c r="M57" s="977"/>
      <c r="N57" s="977"/>
      <c r="O57" s="977"/>
      <c r="P57" s="977"/>
      <c r="Q57" s="977"/>
      <c r="R57" s="977"/>
      <c r="S57" s="977"/>
      <c r="T57" s="977"/>
      <c r="U57" s="977"/>
      <c r="V57" s="977"/>
      <c r="W57" s="977"/>
      <c r="X57" s="977"/>
      <c r="Y57" s="977"/>
      <c r="Z57" s="977"/>
      <c r="AA57" s="977"/>
      <c r="AB57" s="977"/>
      <c r="AC57" s="977"/>
      <c r="AD57" s="977"/>
      <c r="AE57" s="977"/>
      <c r="AF57" s="977"/>
      <c r="AG57" s="977"/>
      <c r="AH57" s="977"/>
      <c r="AI57" s="977"/>
      <c r="AJ57" s="977"/>
      <c r="AK57" s="977"/>
      <c r="AL57" s="875"/>
    </row>
    <row r="58" spans="1:50" s="868" customFormat="1" ht="15" customHeight="1">
      <c r="A58" s="835" t="s">
        <v>2904</v>
      </c>
      <c r="B58" s="875"/>
      <c r="C58" s="875"/>
      <c r="D58">
        <v>0</v>
      </c>
      <c r="E58">
        <v>0</v>
      </c>
      <c r="F58">
        <v>0</v>
      </c>
      <c r="G58">
        <v>197.49331956</v>
      </c>
      <c r="H58" s="1068"/>
      <c r="I58" s="1068"/>
      <c r="J58" s="1068"/>
      <c r="K58" s="1068"/>
      <c r="L58" s="1068"/>
      <c r="M58" s="1068"/>
      <c r="N58" s="1068"/>
      <c r="O58" s="1068"/>
      <c r="P58" s="1068"/>
      <c r="Q58" s="1068"/>
      <c r="R58" s="1068"/>
      <c r="S58" s="1068"/>
      <c r="T58" s="1068"/>
      <c r="U58" s="1068"/>
      <c r="V58" s="1068"/>
      <c r="W58" s="1068"/>
      <c r="X58" s="1068"/>
      <c r="Y58" s="1068"/>
      <c r="Z58" s="1068"/>
      <c r="AA58" s="1068"/>
      <c r="AB58" s="1068"/>
      <c r="AC58" s="1068"/>
      <c r="AD58" s="1068"/>
      <c r="AE58" s="1068"/>
      <c r="AF58" s="1068"/>
      <c r="AG58" s="1068"/>
      <c r="AH58" s="1068"/>
      <c r="AI58" s="1068"/>
      <c r="AJ58" s="1068"/>
      <c r="AK58" s="1068"/>
      <c r="AL58" s="875"/>
    </row>
    <row r="59" spans="1:50" s="868" customFormat="1" ht="15" customHeight="1">
      <c r="A59" s="869" t="s">
        <v>2441</v>
      </c>
      <c r="B59" s="875"/>
      <c r="C59" s="875"/>
      <c r="D59" s="450"/>
      <c r="E59" s="977">
        <f t="shared" ref="E59:G59" si="26">IF(ISNUMBER(E58/D58-1),E58/D58-1,0)</f>
        <v>0</v>
      </c>
      <c r="F59" s="977">
        <f t="shared" si="26"/>
        <v>0</v>
      </c>
      <c r="G59" s="977">
        <f t="shared" si="26"/>
        <v>0</v>
      </c>
      <c r="H59" s="977"/>
      <c r="I59" s="977"/>
      <c r="J59" s="977"/>
      <c r="K59" s="977"/>
      <c r="L59" s="977"/>
      <c r="M59" s="977"/>
      <c r="N59" s="977"/>
      <c r="O59" s="977"/>
      <c r="P59" s="977"/>
      <c r="Q59" s="977"/>
      <c r="R59" s="977"/>
      <c r="S59" s="977"/>
      <c r="T59" s="977"/>
      <c r="U59" s="977"/>
      <c r="V59" s="977"/>
      <c r="W59" s="977"/>
      <c r="X59" s="977"/>
      <c r="Y59" s="977"/>
      <c r="Z59" s="977"/>
      <c r="AA59" s="977"/>
      <c r="AB59" s="977"/>
      <c r="AC59" s="977"/>
      <c r="AD59" s="977"/>
      <c r="AE59" s="977"/>
      <c r="AF59" s="977"/>
      <c r="AG59" s="977"/>
      <c r="AH59" s="977"/>
      <c r="AI59" s="977"/>
      <c r="AJ59" s="977"/>
      <c r="AK59" s="977"/>
      <c r="AL59" s="875"/>
    </row>
    <row r="60" spans="1:50" s="868" customFormat="1" ht="15" customHeight="1">
      <c r="A60" s="835" t="s">
        <v>862</v>
      </c>
      <c r="B60" s="875"/>
      <c r="C60" s="875"/>
      <c r="D60">
        <v>5.2675361699999996</v>
      </c>
      <c r="E60">
        <v>0</v>
      </c>
      <c r="F60">
        <v>0</v>
      </c>
      <c r="G60">
        <v>0</v>
      </c>
      <c r="H60" s="1068"/>
      <c r="I60" s="1068"/>
      <c r="J60" s="1068"/>
      <c r="K60" s="1068"/>
      <c r="L60" s="1068"/>
      <c r="M60" s="1068"/>
      <c r="N60" s="1068"/>
      <c r="O60" s="1068"/>
      <c r="P60" s="1068"/>
      <c r="Q60" s="1068"/>
      <c r="R60" s="1068"/>
      <c r="S60" s="1068"/>
      <c r="T60" s="1068"/>
      <c r="U60" s="1068"/>
      <c r="V60" s="1068"/>
      <c r="W60" s="1068"/>
      <c r="X60" s="1068"/>
      <c r="Y60" s="1068"/>
      <c r="Z60" s="1068"/>
      <c r="AA60" s="1068"/>
      <c r="AB60" s="1068"/>
      <c r="AC60" s="1068"/>
      <c r="AD60" s="1068"/>
      <c r="AE60" s="1068"/>
      <c r="AF60" s="1068"/>
      <c r="AG60" s="1068"/>
      <c r="AH60" s="1068"/>
      <c r="AI60" s="1068"/>
      <c r="AJ60" s="1068"/>
      <c r="AK60" s="1068"/>
      <c r="AL60" s="875"/>
    </row>
    <row r="61" spans="1:50" s="857" customFormat="1" ht="12.75" customHeight="1">
      <c r="A61" s="869" t="s">
        <v>2441</v>
      </c>
      <c r="D61" s="450"/>
      <c r="E61" s="977">
        <f t="shared" ref="E61:G61" si="27">IF(ISNUMBER(E60/D60-1),E60/D60-1,0)</f>
        <v>-1</v>
      </c>
      <c r="F61" s="977">
        <f t="shared" si="27"/>
        <v>0</v>
      </c>
      <c r="G61" s="977">
        <f t="shared" si="27"/>
        <v>0</v>
      </c>
      <c r="H61" s="977"/>
      <c r="I61" s="977"/>
      <c r="J61" s="977"/>
      <c r="K61" s="977"/>
      <c r="L61" s="977"/>
      <c r="M61" s="977"/>
      <c r="N61" s="977"/>
      <c r="O61" s="977"/>
      <c r="P61" s="977"/>
      <c r="Q61" s="977"/>
      <c r="R61" s="977"/>
      <c r="S61" s="977"/>
      <c r="T61" s="977"/>
      <c r="U61" s="977"/>
      <c r="V61" s="977"/>
      <c r="W61" s="977"/>
      <c r="X61" s="977"/>
      <c r="Y61" s="977"/>
      <c r="Z61" s="977"/>
      <c r="AA61" s="977"/>
      <c r="AB61" s="977"/>
      <c r="AC61" s="977"/>
      <c r="AD61" s="977"/>
      <c r="AE61" s="977"/>
      <c r="AF61" s="977"/>
      <c r="AG61" s="977"/>
      <c r="AH61" s="977"/>
      <c r="AI61" s="977"/>
      <c r="AJ61" s="977"/>
      <c r="AK61" s="977"/>
      <c r="AL61" s="879"/>
    </row>
    <row r="62" spans="1:50" s="868" customFormat="1" ht="15" customHeight="1">
      <c r="A62" s="835" t="s">
        <v>2894</v>
      </c>
      <c r="D62">
        <v>47.07549247</v>
      </c>
      <c r="E62">
        <v>29.320257329999997</v>
      </c>
      <c r="F62">
        <v>1.6249649099999999</v>
      </c>
      <c r="G62">
        <v>14.80079274</v>
      </c>
      <c r="H62" s="1068"/>
      <c r="I62" s="1068"/>
      <c r="J62" s="1068"/>
      <c r="K62" s="1068"/>
      <c r="L62" s="1068"/>
      <c r="M62" s="1068"/>
      <c r="N62" s="1068"/>
      <c r="O62" s="1068"/>
      <c r="P62" s="1068"/>
      <c r="Q62" s="1068"/>
      <c r="R62" s="1068"/>
      <c r="S62" s="1068"/>
      <c r="T62" s="1068"/>
      <c r="U62" s="1068"/>
      <c r="V62" s="1068"/>
      <c r="W62" s="1068"/>
      <c r="X62" s="1068"/>
      <c r="Y62" s="1068"/>
      <c r="Z62" s="1068"/>
      <c r="AA62" s="1068"/>
      <c r="AB62" s="1068"/>
      <c r="AC62" s="1068"/>
      <c r="AD62" s="1068"/>
      <c r="AE62" s="1068"/>
      <c r="AF62" s="1068"/>
      <c r="AG62" s="1068"/>
      <c r="AH62" s="1068"/>
      <c r="AI62" s="1068"/>
      <c r="AJ62" s="1068"/>
      <c r="AK62" s="1068"/>
      <c r="AL62" s="875"/>
    </row>
    <row r="63" spans="1:50" s="868" customFormat="1" ht="15" customHeight="1">
      <c r="A63" s="869" t="s">
        <v>2441</v>
      </c>
      <c r="D63" s="450"/>
      <c r="E63" s="977">
        <f t="shared" ref="E63:G63" si="28">IF(ISNUMBER(E62/D62-1),E62/D62-1,0)</f>
        <v>-0.37716514917639909</v>
      </c>
      <c r="F63" s="977">
        <f t="shared" si="28"/>
        <v>-0.94457876369531846</v>
      </c>
      <c r="G63" s="977">
        <f t="shared" si="28"/>
        <v>8.1083768325803423</v>
      </c>
      <c r="H63" s="977"/>
      <c r="I63" s="977"/>
      <c r="J63" s="977"/>
      <c r="K63" s="977"/>
      <c r="L63" s="977"/>
      <c r="M63" s="977"/>
      <c r="N63" s="977"/>
      <c r="O63" s="977"/>
      <c r="P63" s="977"/>
      <c r="Q63" s="977"/>
      <c r="R63" s="977"/>
      <c r="S63" s="977"/>
      <c r="T63" s="977"/>
      <c r="U63" s="977"/>
      <c r="V63" s="977"/>
      <c r="W63" s="977"/>
      <c r="X63" s="977"/>
      <c r="Y63" s="977"/>
      <c r="Z63" s="977"/>
      <c r="AA63" s="977"/>
      <c r="AB63" s="977"/>
      <c r="AC63" s="977"/>
      <c r="AD63" s="977"/>
      <c r="AE63" s="977"/>
      <c r="AF63" s="977"/>
      <c r="AG63" s="977"/>
      <c r="AH63" s="977"/>
      <c r="AI63" s="977"/>
      <c r="AJ63" s="977"/>
      <c r="AK63" s="977"/>
      <c r="AL63" s="875"/>
    </row>
    <row r="64" spans="1:50" s="868" customFormat="1" ht="15" customHeight="1">
      <c r="A64" s="835" t="s">
        <v>2891</v>
      </c>
      <c r="D64">
        <v>2046.5801053099999</v>
      </c>
      <c r="E64">
        <v>2463.4803755100002</v>
      </c>
      <c r="F64">
        <v>3064.0196149399999</v>
      </c>
      <c r="G64">
        <v>0</v>
      </c>
      <c r="H64" s="1068"/>
      <c r="I64" s="1068"/>
      <c r="J64" s="1068"/>
      <c r="K64" s="1068"/>
      <c r="L64" s="1068"/>
      <c r="M64" s="1068"/>
      <c r="N64" s="1068"/>
      <c r="O64" s="1068"/>
      <c r="P64" s="1068"/>
      <c r="Q64" s="1068"/>
      <c r="R64" s="1068"/>
      <c r="S64" s="1068"/>
      <c r="T64" s="1068"/>
      <c r="U64" s="1068"/>
      <c r="V64" s="1068"/>
      <c r="W64" s="1068"/>
      <c r="X64" s="1068"/>
      <c r="Y64" s="1068"/>
      <c r="Z64" s="1068"/>
      <c r="AA64" s="1068"/>
      <c r="AB64" s="1068"/>
      <c r="AC64" s="1068"/>
      <c r="AD64" s="1068"/>
      <c r="AE64" s="1068"/>
      <c r="AF64" s="1068"/>
      <c r="AG64" s="1068"/>
      <c r="AH64" s="1068"/>
      <c r="AI64" s="1068"/>
      <c r="AJ64" s="1068"/>
      <c r="AK64" s="1068"/>
      <c r="AL64" s="875"/>
    </row>
    <row r="65" spans="1:38" s="868" customFormat="1" ht="15" customHeight="1">
      <c r="A65" s="869" t="s">
        <v>2441</v>
      </c>
      <c r="D65" s="450"/>
      <c r="E65" s="977">
        <f t="shared" ref="E65:G65" si="29">IF(ISNUMBER(E64/D64-1),E64/D64-1,0)</f>
        <v>0.20370581592106873</v>
      </c>
      <c r="F65" s="977">
        <f t="shared" si="29"/>
        <v>0.24377674991856746</v>
      </c>
      <c r="G65" s="977">
        <f t="shared" si="29"/>
        <v>-1</v>
      </c>
      <c r="H65" s="977"/>
      <c r="I65" s="977"/>
      <c r="J65" s="977"/>
      <c r="K65" s="977"/>
      <c r="L65" s="977"/>
      <c r="M65" s="977"/>
      <c r="N65" s="977"/>
      <c r="O65" s="977"/>
      <c r="P65" s="977"/>
      <c r="Q65" s="977"/>
      <c r="R65" s="977"/>
      <c r="S65" s="977"/>
      <c r="T65" s="977"/>
      <c r="U65" s="977"/>
      <c r="V65" s="977"/>
      <c r="W65" s="977"/>
      <c r="X65" s="977"/>
      <c r="Y65" s="977"/>
      <c r="Z65" s="977"/>
      <c r="AA65" s="977"/>
      <c r="AB65" s="977"/>
      <c r="AC65" s="977"/>
      <c r="AD65" s="977"/>
      <c r="AE65" s="977"/>
      <c r="AF65" s="977"/>
      <c r="AG65" s="977"/>
      <c r="AH65" s="977"/>
      <c r="AI65" s="977"/>
      <c r="AJ65" s="977"/>
      <c r="AK65" s="977"/>
      <c r="AL65" s="875"/>
    </row>
    <row r="66" spans="1:38" s="868" customFormat="1" ht="15" customHeight="1">
      <c r="A66" s="835" t="s">
        <v>2892</v>
      </c>
      <c r="D66">
        <v>606.40679366999996</v>
      </c>
      <c r="E66">
        <v>745.72878539999999</v>
      </c>
      <c r="F66">
        <v>1311.40946893</v>
      </c>
      <c r="G66">
        <v>0</v>
      </c>
      <c r="H66" s="1068"/>
      <c r="I66" s="1068"/>
      <c r="J66" s="1068"/>
      <c r="K66" s="1068"/>
      <c r="L66" s="1068"/>
      <c r="M66" s="1068"/>
      <c r="N66" s="1068"/>
      <c r="O66" s="1068"/>
      <c r="P66" s="1068"/>
      <c r="Q66" s="1068"/>
      <c r="R66" s="1068"/>
      <c r="S66" s="1068"/>
      <c r="T66" s="1068"/>
      <c r="U66" s="1068"/>
      <c r="V66" s="1068"/>
      <c r="W66" s="1068"/>
      <c r="X66" s="1068"/>
      <c r="Y66" s="1068"/>
      <c r="Z66" s="1068"/>
      <c r="AA66" s="1068"/>
      <c r="AB66" s="1068"/>
      <c r="AC66" s="1068"/>
      <c r="AD66" s="1068"/>
      <c r="AE66" s="1068"/>
      <c r="AF66" s="1068"/>
      <c r="AG66" s="1068"/>
      <c r="AH66" s="1068"/>
      <c r="AI66" s="1068"/>
      <c r="AJ66" s="1068"/>
      <c r="AK66" s="1068"/>
      <c r="AL66" s="875"/>
    </row>
    <row r="67" spans="1:38" s="868" customFormat="1" ht="15" customHeight="1">
      <c r="A67" s="869" t="s">
        <v>2441</v>
      </c>
      <c r="D67" s="450"/>
      <c r="E67" s="977">
        <f t="shared" ref="E67:G67" si="30">IF(ISNUMBER(E66/D66-1),E66/D66-1,0)</f>
        <v>0.22975005093003231</v>
      </c>
      <c r="F67" s="977">
        <f t="shared" si="30"/>
        <v>0.75856087977960462</v>
      </c>
      <c r="G67" s="977">
        <f t="shared" si="30"/>
        <v>-1</v>
      </c>
      <c r="H67" s="977"/>
      <c r="I67" s="977"/>
      <c r="J67" s="977"/>
      <c r="K67" s="977"/>
      <c r="L67" s="977"/>
      <c r="M67" s="977"/>
      <c r="N67" s="977"/>
      <c r="O67" s="977"/>
      <c r="P67" s="977"/>
      <c r="Q67" s="977"/>
      <c r="R67" s="977"/>
      <c r="S67" s="977"/>
      <c r="T67" s="977"/>
      <c r="U67" s="977"/>
      <c r="V67" s="977"/>
      <c r="W67" s="977"/>
      <c r="X67" s="977"/>
      <c r="Y67" s="977"/>
      <c r="Z67" s="977"/>
      <c r="AA67" s="977"/>
      <c r="AB67" s="977"/>
      <c r="AC67" s="977"/>
      <c r="AD67" s="977"/>
      <c r="AE67" s="977"/>
      <c r="AF67" s="977"/>
      <c r="AG67" s="977"/>
      <c r="AH67" s="977"/>
      <c r="AI67" s="977"/>
      <c r="AJ67" s="977"/>
      <c r="AK67" s="977"/>
      <c r="AL67" s="875"/>
    </row>
    <row r="68" spans="1:38" s="868" customFormat="1" ht="15" hidden="1" customHeight="1">
      <c r="A68" s="835"/>
      <c r="D68">
        <v>0</v>
      </c>
      <c r="E68">
        <v>0</v>
      </c>
      <c r="F68">
        <v>0</v>
      </c>
      <c r="G68">
        <v>0</v>
      </c>
      <c r="H68" s="1068"/>
      <c r="I68" s="1068"/>
      <c r="J68" s="1068"/>
      <c r="K68" s="1068"/>
      <c r="L68" s="1068"/>
      <c r="M68" s="1068"/>
      <c r="N68" s="1068"/>
      <c r="O68" s="1068"/>
      <c r="P68" s="1068"/>
      <c r="Q68" s="1068"/>
      <c r="R68" s="1068"/>
      <c r="S68" s="1068"/>
      <c r="T68" s="1068"/>
      <c r="U68" s="1068"/>
      <c r="V68" s="1068"/>
      <c r="W68" s="1068"/>
      <c r="X68" s="1068"/>
      <c r="Y68" s="1068"/>
      <c r="Z68" s="1068"/>
      <c r="AA68" s="1068"/>
      <c r="AB68" s="1068"/>
      <c r="AC68" s="1068"/>
      <c r="AD68" s="1068"/>
      <c r="AE68" s="1068"/>
      <c r="AF68" s="1068"/>
      <c r="AG68" s="1068"/>
      <c r="AH68" s="1068"/>
      <c r="AI68" s="1068"/>
      <c r="AJ68" s="1068"/>
      <c r="AK68" s="1068"/>
      <c r="AL68" s="875"/>
    </row>
    <row r="69" spans="1:38" s="868" customFormat="1" ht="15" hidden="1" customHeight="1">
      <c r="A69" s="869" t="s">
        <v>2441</v>
      </c>
      <c r="D69" s="450"/>
      <c r="E69" s="977">
        <f t="shared" ref="E69:G69" si="31">IF(ISNUMBER(E68/D68-1),E68/D68-1,0)</f>
        <v>0</v>
      </c>
      <c r="F69" s="977">
        <f t="shared" si="31"/>
        <v>0</v>
      </c>
      <c r="G69" s="977">
        <f t="shared" si="31"/>
        <v>0</v>
      </c>
      <c r="H69" s="977"/>
      <c r="I69" s="977"/>
      <c r="J69" s="977"/>
      <c r="K69" s="977"/>
      <c r="L69" s="977"/>
      <c r="M69" s="977"/>
      <c r="N69" s="977"/>
      <c r="O69" s="977"/>
      <c r="P69" s="977"/>
      <c r="Q69" s="977"/>
      <c r="R69" s="977"/>
      <c r="S69" s="977"/>
      <c r="T69" s="977"/>
      <c r="U69" s="977"/>
      <c r="V69" s="977"/>
      <c r="W69" s="977"/>
      <c r="X69" s="977"/>
      <c r="Y69" s="977"/>
      <c r="Z69" s="977"/>
      <c r="AA69" s="977"/>
      <c r="AB69" s="977"/>
      <c r="AC69" s="977"/>
      <c r="AD69" s="977"/>
      <c r="AE69" s="977"/>
      <c r="AF69" s="977"/>
      <c r="AG69" s="977"/>
      <c r="AH69" s="977"/>
      <c r="AI69" s="977"/>
      <c r="AJ69" s="977"/>
      <c r="AK69" s="977"/>
      <c r="AL69" s="875"/>
    </row>
    <row r="70" spans="1:38" s="868" customFormat="1" ht="15" hidden="1" customHeight="1">
      <c r="A70" s="835"/>
      <c r="D70">
        <v>0</v>
      </c>
      <c r="E70">
        <v>0</v>
      </c>
      <c r="F70">
        <v>0</v>
      </c>
      <c r="G70">
        <v>0</v>
      </c>
      <c r="H70" s="1068"/>
      <c r="I70" s="1068"/>
      <c r="J70" s="1068"/>
      <c r="K70" s="1068"/>
      <c r="L70" s="1068"/>
      <c r="M70" s="1068"/>
      <c r="N70" s="1068"/>
      <c r="O70" s="1068"/>
      <c r="P70" s="1068"/>
      <c r="Q70" s="1068"/>
      <c r="R70" s="1068"/>
      <c r="S70" s="1068"/>
      <c r="T70" s="1068"/>
      <c r="U70" s="1068"/>
      <c r="V70" s="1068"/>
      <c r="W70" s="1068"/>
      <c r="X70" s="1068"/>
      <c r="Y70" s="1068"/>
      <c r="Z70" s="1068"/>
      <c r="AA70" s="1068"/>
      <c r="AB70" s="1068"/>
      <c r="AC70" s="1068"/>
      <c r="AD70" s="1068"/>
      <c r="AE70" s="1068"/>
      <c r="AF70" s="1068"/>
      <c r="AG70" s="1068"/>
      <c r="AH70" s="1068"/>
      <c r="AI70" s="1068"/>
      <c r="AJ70" s="1068"/>
      <c r="AK70" s="1068"/>
      <c r="AL70" s="875"/>
    </row>
    <row r="71" spans="1:38" s="868" customFormat="1" ht="15" hidden="1" customHeight="1">
      <c r="A71" s="869" t="s">
        <v>2441</v>
      </c>
      <c r="D71" s="450"/>
      <c r="E71" s="977">
        <f t="shared" ref="E71:G71" si="32">IF(ISNUMBER(E70/D70-1),E70/D70-1,0)</f>
        <v>0</v>
      </c>
      <c r="F71" s="977">
        <f t="shared" si="32"/>
        <v>0</v>
      </c>
      <c r="G71" s="977">
        <f t="shared" si="32"/>
        <v>0</v>
      </c>
      <c r="H71" s="977"/>
      <c r="I71" s="977"/>
      <c r="J71" s="977"/>
      <c r="K71" s="977"/>
      <c r="L71" s="977"/>
      <c r="M71" s="977"/>
      <c r="N71" s="977"/>
      <c r="O71" s="977"/>
      <c r="P71" s="977"/>
      <c r="Q71" s="977"/>
      <c r="R71" s="977"/>
      <c r="S71" s="977"/>
      <c r="T71" s="977"/>
      <c r="U71" s="977"/>
      <c r="V71" s="977"/>
      <c r="W71" s="977"/>
      <c r="X71" s="977"/>
      <c r="Y71" s="977"/>
      <c r="Z71" s="977"/>
      <c r="AA71" s="977"/>
      <c r="AB71" s="977"/>
      <c r="AC71" s="977"/>
      <c r="AD71" s="977"/>
      <c r="AE71" s="977"/>
      <c r="AF71" s="977"/>
      <c r="AG71" s="977"/>
      <c r="AH71" s="977"/>
      <c r="AI71" s="977"/>
      <c r="AJ71" s="977"/>
      <c r="AK71" s="977"/>
      <c r="AL71" s="875"/>
    </row>
    <row r="72" spans="1:38" s="868" customFormat="1" ht="15" hidden="1" customHeight="1">
      <c r="A72" s="835"/>
      <c r="D72">
        <v>0</v>
      </c>
      <c r="E72">
        <v>0</v>
      </c>
      <c r="F72">
        <v>0</v>
      </c>
      <c r="G72">
        <v>0</v>
      </c>
      <c r="H72" s="1068"/>
      <c r="I72" s="1068"/>
      <c r="J72" s="1068"/>
      <c r="K72" s="1068"/>
      <c r="L72" s="1068"/>
      <c r="M72" s="1068"/>
      <c r="N72" s="1068"/>
      <c r="O72" s="1068"/>
      <c r="P72" s="1068"/>
      <c r="Q72" s="1068"/>
      <c r="R72" s="1068"/>
      <c r="S72" s="1068"/>
      <c r="T72" s="1068"/>
      <c r="U72" s="1068"/>
      <c r="V72" s="1068"/>
      <c r="W72" s="1068"/>
      <c r="X72" s="1068"/>
      <c r="Y72" s="1068"/>
      <c r="Z72" s="1068"/>
      <c r="AA72" s="1068"/>
      <c r="AB72" s="1068"/>
      <c r="AC72" s="1068"/>
      <c r="AD72" s="1068"/>
      <c r="AE72" s="1068"/>
      <c r="AF72" s="1068"/>
      <c r="AG72" s="1068"/>
      <c r="AH72" s="1068"/>
      <c r="AI72" s="1068"/>
      <c r="AJ72" s="1068"/>
      <c r="AK72" s="1068"/>
      <c r="AL72" s="875"/>
    </row>
    <row r="73" spans="1:38" s="871" customFormat="1" ht="15" hidden="1" customHeight="1">
      <c r="A73" s="869" t="s">
        <v>2441</v>
      </c>
      <c r="D73" s="450"/>
      <c r="E73" s="977">
        <f t="shared" ref="E73:G73" si="33">IF(ISNUMBER(E72/D72-1),E72/D72-1,0)</f>
        <v>0</v>
      </c>
      <c r="F73" s="977">
        <f t="shared" si="33"/>
        <v>0</v>
      </c>
      <c r="G73" s="977">
        <f t="shared" si="33"/>
        <v>0</v>
      </c>
      <c r="H73" s="977"/>
      <c r="I73" s="977"/>
      <c r="J73" s="977"/>
      <c r="K73" s="977"/>
      <c r="L73" s="977"/>
      <c r="M73" s="977"/>
      <c r="N73" s="977"/>
      <c r="O73" s="977"/>
      <c r="P73" s="977"/>
      <c r="Q73" s="977"/>
      <c r="R73" s="977"/>
      <c r="S73" s="977"/>
      <c r="T73" s="977"/>
      <c r="U73" s="977"/>
      <c r="V73" s="977"/>
      <c r="W73" s="977"/>
      <c r="X73" s="977"/>
      <c r="Y73" s="977"/>
      <c r="Z73" s="977"/>
      <c r="AA73" s="977"/>
      <c r="AB73" s="977"/>
      <c r="AC73" s="977"/>
      <c r="AD73" s="977"/>
      <c r="AE73" s="977"/>
      <c r="AF73" s="977"/>
      <c r="AG73" s="977"/>
      <c r="AH73" s="977"/>
      <c r="AI73" s="977"/>
      <c r="AJ73" s="977"/>
      <c r="AK73" s="977"/>
    </row>
    <row r="74" spans="1:38" s="868" customFormat="1" ht="15" hidden="1" customHeight="1">
      <c r="A74" s="835"/>
      <c r="D74">
        <v>0</v>
      </c>
      <c r="E74">
        <v>0</v>
      </c>
      <c r="F74">
        <v>0</v>
      </c>
      <c r="G74">
        <v>0</v>
      </c>
      <c r="H74" s="1068"/>
      <c r="I74" s="1068"/>
      <c r="J74" s="1068"/>
      <c r="K74" s="1068"/>
      <c r="L74" s="1068"/>
      <c r="M74" s="1068"/>
      <c r="N74" s="1068"/>
      <c r="O74" s="1068"/>
      <c r="P74" s="1068"/>
      <c r="Q74" s="1068"/>
      <c r="R74" s="1068"/>
      <c r="S74" s="1068"/>
      <c r="T74" s="1068"/>
      <c r="U74" s="1068"/>
      <c r="V74" s="1068"/>
      <c r="W74" s="1068"/>
      <c r="X74" s="1068"/>
      <c r="Y74" s="1068"/>
      <c r="Z74" s="1068"/>
      <c r="AA74" s="1068"/>
      <c r="AB74" s="1068"/>
      <c r="AC74" s="1068"/>
      <c r="AD74" s="1068"/>
      <c r="AE74" s="1068"/>
      <c r="AF74" s="1068"/>
      <c r="AG74" s="1068"/>
      <c r="AH74" s="1068"/>
      <c r="AI74" s="1068"/>
      <c r="AJ74" s="1068"/>
      <c r="AK74" s="1068"/>
      <c r="AL74" s="875"/>
    </row>
    <row r="75" spans="1:38" s="868" customFormat="1" ht="15" hidden="1" customHeight="1">
      <c r="A75" s="869" t="s">
        <v>2441</v>
      </c>
      <c r="D75" s="450"/>
      <c r="E75" s="977">
        <f t="shared" ref="E75:G75" si="34">IF(ISNUMBER(E74/D74-1),E74/D74-1,0)</f>
        <v>0</v>
      </c>
      <c r="F75" s="977">
        <f t="shared" si="34"/>
        <v>0</v>
      </c>
      <c r="G75" s="977">
        <f t="shared" si="34"/>
        <v>0</v>
      </c>
      <c r="H75" s="977"/>
      <c r="I75" s="977"/>
      <c r="J75" s="977"/>
      <c r="K75" s="977"/>
      <c r="L75" s="977"/>
      <c r="M75" s="977"/>
      <c r="N75" s="977"/>
      <c r="O75" s="977"/>
      <c r="P75" s="977"/>
      <c r="Q75" s="977"/>
      <c r="R75" s="977"/>
      <c r="S75" s="977"/>
      <c r="T75" s="977"/>
      <c r="U75" s="977"/>
      <c r="V75" s="977"/>
      <c r="W75" s="977"/>
      <c r="X75" s="977"/>
      <c r="Y75" s="977"/>
      <c r="Z75" s="977"/>
      <c r="AA75" s="977"/>
      <c r="AB75" s="977"/>
      <c r="AC75" s="977"/>
      <c r="AD75" s="977"/>
      <c r="AE75" s="977"/>
      <c r="AF75" s="977"/>
      <c r="AG75" s="977"/>
      <c r="AH75" s="977"/>
      <c r="AI75" s="977"/>
      <c r="AJ75" s="977"/>
      <c r="AK75" s="977"/>
      <c r="AL75" s="875"/>
    </row>
    <row r="76" spans="1:38" s="868" customFormat="1" ht="15" hidden="1" customHeight="1">
      <c r="A76" s="835"/>
      <c r="D76">
        <v>0</v>
      </c>
      <c r="E76">
        <v>0</v>
      </c>
      <c r="F76">
        <v>0</v>
      </c>
      <c r="G76">
        <v>0</v>
      </c>
      <c r="H76" s="1068"/>
      <c r="I76" s="1068"/>
      <c r="J76" s="1068"/>
      <c r="K76" s="1068"/>
      <c r="L76" s="1068"/>
      <c r="M76" s="1068"/>
      <c r="N76" s="1068"/>
      <c r="O76" s="1068"/>
      <c r="P76" s="1068"/>
      <c r="Q76" s="1068"/>
      <c r="R76" s="1068"/>
      <c r="S76" s="1068"/>
      <c r="T76" s="1068"/>
      <c r="U76" s="1068"/>
      <c r="V76" s="1068"/>
      <c r="W76" s="1068"/>
      <c r="X76" s="1068"/>
      <c r="Y76" s="1068"/>
      <c r="Z76" s="1068"/>
      <c r="AA76" s="1068"/>
      <c r="AB76" s="1068"/>
      <c r="AC76" s="1068"/>
      <c r="AD76" s="1068"/>
      <c r="AE76" s="1068"/>
      <c r="AF76" s="1068"/>
      <c r="AG76" s="1068"/>
      <c r="AH76" s="1068"/>
      <c r="AI76" s="1068"/>
      <c r="AJ76" s="1068"/>
      <c r="AK76" s="1068"/>
    </row>
    <row r="77" spans="1:38" s="868" customFormat="1" ht="15" hidden="1" customHeight="1">
      <c r="A77" s="869" t="s">
        <v>2441</v>
      </c>
      <c r="D77" s="450"/>
      <c r="E77" s="977">
        <f t="shared" ref="E77:G77" si="35">IF(ISNUMBER(E76/D76-1),E76/D76-1,0)</f>
        <v>0</v>
      </c>
      <c r="F77" s="977">
        <f t="shared" si="35"/>
        <v>0</v>
      </c>
      <c r="G77" s="977">
        <f t="shared" si="35"/>
        <v>0</v>
      </c>
      <c r="H77" s="977"/>
      <c r="I77" s="977"/>
      <c r="J77" s="977"/>
      <c r="K77" s="977"/>
      <c r="L77" s="977"/>
      <c r="M77" s="977"/>
      <c r="N77" s="977"/>
      <c r="O77" s="977"/>
      <c r="P77" s="977"/>
      <c r="Q77" s="977"/>
      <c r="R77" s="977"/>
      <c r="S77" s="977"/>
      <c r="T77" s="977"/>
      <c r="U77" s="977"/>
      <c r="V77" s="977"/>
      <c r="W77" s="977"/>
      <c r="X77" s="977"/>
      <c r="Y77" s="977"/>
      <c r="Z77" s="977"/>
      <c r="AA77" s="977"/>
      <c r="AB77" s="977"/>
      <c r="AC77" s="977"/>
      <c r="AD77" s="977"/>
      <c r="AE77" s="977"/>
      <c r="AF77" s="977"/>
      <c r="AG77" s="977"/>
      <c r="AH77" s="977"/>
      <c r="AI77" s="977"/>
      <c r="AJ77" s="977"/>
      <c r="AK77" s="977"/>
    </row>
    <row r="78" spans="1:38" s="868" customFormat="1" ht="15" hidden="1" customHeight="1">
      <c r="A78" s="835"/>
      <c r="D78">
        <v>0</v>
      </c>
      <c r="E78">
        <v>0</v>
      </c>
      <c r="F78">
        <v>0</v>
      </c>
      <c r="G78">
        <v>0</v>
      </c>
      <c r="H78" s="1068"/>
      <c r="I78" s="1068"/>
      <c r="J78" s="1068"/>
      <c r="K78" s="1068"/>
      <c r="L78" s="1068"/>
      <c r="M78" s="1068"/>
      <c r="N78" s="1068"/>
      <c r="O78" s="1068"/>
      <c r="P78" s="1068"/>
      <c r="Q78" s="1068"/>
      <c r="R78" s="1068"/>
      <c r="S78" s="1068"/>
      <c r="T78" s="1068"/>
      <c r="U78" s="1068"/>
      <c r="V78" s="1068"/>
      <c r="W78" s="1068"/>
      <c r="X78" s="1068"/>
      <c r="Y78" s="1068"/>
      <c r="Z78" s="1068"/>
      <c r="AA78" s="1068"/>
      <c r="AB78" s="1068"/>
      <c r="AC78" s="1068"/>
      <c r="AD78" s="1068"/>
      <c r="AE78" s="1068"/>
      <c r="AF78" s="1068"/>
      <c r="AG78" s="1068"/>
      <c r="AH78" s="1068"/>
      <c r="AI78" s="1068"/>
      <c r="AJ78" s="1068"/>
      <c r="AK78" s="1068"/>
    </row>
    <row r="79" spans="1:38" s="868" customFormat="1" ht="15" hidden="1" customHeight="1">
      <c r="A79" s="869" t="s">
        <v>2442</v>
      </c>
      <c r="D79" s="450"/>
      <c r="E79" s="977">
        <f t="shared" ref="E79:G79" si="36">IF(ISNUMBER(E78/D78-1),E78/D78-1,0)</f>
        <v>0</v>
      </c>
      <c r="F79" s="977">
        <f t="shared" si="36"/>
        <v>0</v>
      </c>
      <c r="G79" s="977">
        <f t="shared" si="36"/>
        <v>0</v>
      </c>
      <c r="H79" s="977"/>
      <c r="I79" s="977"/>
      <c r="J79" s="977"/>
      <c r="K79" s="977"/>
      <c r="L79" s="977"/>
      <c r="M79" s="977"/>
      <c r="N79" s="977"/>
      <c r="O79" s="977"/>
      <c r="P79" s="977"/>
      <c r="Q79" s="977"/>
      <c r="R79" s="977"/>
      <c r="S79" s="977"/>
      <c r="T79" s="977"/>
      <c r="U79" s="977"/>
      <c r="V79" s="977"/>
      <c r="W79" s="977"/>
      <c r="X79" s="977"/>
      <c r="Y79" s="977"/>
      <c r="Z79" s="977"/>
      <c r="AA79" s="977"/>
      <c r="AB79" s="977"/>
      <c r="AC79" s="977"/>
      <c r="AD79" s="977"/>
      <c r="AE79" s="977"/>
      <c r="AF79" s="977"/>
      <c r="AG79" s="977"/>
      <c r="AH79" s="977"/>
      <c r="AI79" s="977"/>
      <c r="AJ79" s="977"/>
      <c r="AK79" s="977"/>
    </row>
    <row r="80" spans="1:38" s="868" customFormat="1" ht="15" hidden="1" customHeight="1">
      <c r="A80" s="835"/>
      <c r="D80">
        <v>0</v>
      </c>
      <c r="E80">
        <v>0</v>
      </c>
      <c r="F80">
        <v>0</v>
      </c>
      <c r="G80">
        <v>0</v>
      </c>
      <c r="H80" s="1068"/>
      <c r="I80" s="1068"/>
      <c r="J80" s="1068"/>
      <c r="K80" s="1068"/>
      <c r="L80" s="1068"/>
      <c r="M80" s="1068"/>
      <c r="N80" s="1068"/>
      <c r="O80" s="1068"/>
      <c r="P80" s="1068"/>
      <c r="Q80" s="1068"/>
      <c r="R80" s="1068"/>
      <c r="S80" s="1068"/>
      <c r="T80" s="1068"/>
      <c r="U80" s="1068"/>
      <c r="V80" s="1068"/>
      <c r="W80" s="1068"/>
      <c r="X80" s="1068"/>
      <c r="Y80" s="1068"/>
      <c r="Z80" s="1068"/>
      <c r="AA80" s="1068"/>
      <c r="AB80" s="1068"/>
      <c r="AC80" s="1068"/>
      <c r="AD80" s="1068"/>
      <c r="AE80" s="1068"/>
      <c r="AF80" s="1068"/>
      <c r="AG80" s="1068"/>
      <c r="AH80" s="1068"/>
      <c r="AI80" s="1068"/>
      <c r="AJ80" s="1068"/>
      <c r="AK80" s="1068"/>
    </row>
    <row r="81" spans="1:38" s="868" customFormat="1" ht="15" hidden="1" customHeight="1">
      <c r="A81" s="869" t="s">
        <v>2441</v>
      </c>
      <c r="D81" s="450"/>
      <c r="E81" s="977">
        <f t="shared" ref="E81:G81" si="37">IF(ISNUMBER(E80/D80-1),E80/D80-1,0)</f>
        <v>0</v>
      </c>
      <c r="F81" s="977">
        <f t="shared" si="37"/>
        <v>0</v>
      </c>
      <c r="G81" s="977">
        <f t="shared" si="37"/>
        <v>0</v>
      </c>
      <c r="H81" s="977"/>
      <c r="I81" s="977"/>
      <c r="J81" s="977"/>
      <c r="K81" s="977"/>
      <c r="L81" s="977"/>
      <c r="M81" s="977"/>
      <c r="N81" s="977"/>
      <c r="O81" s="977"/>
      <c r="P81" s="977"/>
      <c r="Q81" s="977"/>
      <c r="R81" s="977"/>
      <c r="S81" s="977"/>
      <c r="T81" s="977"/>
      <c r="U81" s="977"/>
      <c r="V81" s="977"/>
      <c r="W81" s="977"/>
      <c r="X81" s="977"/>
      <c r="Y81" s="977"/>
      <c r="Z81" s="977"/>
      <c r="AA81" s="977"/>
      <c r="AB81" s="977"/>
      <c r="AC81" s="977"/>
      <c r="AD81" s="977"/>
      <c r="AE81" s="977"/>
      <c r="AF81" s="977"/>
      <c r="AG81" s="977"/>
      <c r="AH81" s="977"/>
      <c r="AI81" s="977"/>
      <c r="AJ81" s="977"/>
      <c r="AK81" s="977"/>
    </row>
    <row r="82" spans="1:38" s="868" customFormat="1" ht="15" hidden="1" customHeight="1">
      <c r="A82" s="835"/>
      <c r="D82">
        <v>0</v>
      </c>
      <c r="E82">
        <v>0</v>
      </c>
      <c r="F82">
        <v>0</v>
      </c>
      <c r="G82">
        <v>0</v>
      </c>
      <c r="H82" s="1068"/>
      <c r="I82" s="1068"/>
      <c r="J82" s="1068"/>
      <c r="K82" s="1068"/>
      <c r="L82" s="1068"/>
      <c r="M82" s="1068"/>
      <c r="N82" s="1068"/>
      <c r="O82" s="1068"/>
      <c r="P82" s="1068"/>
      <c r="Q82" s="1068"/>
      <c r="R82" s="1068"/>
      <c r="S82" s="1068"/>
      <c r="T82" s="1068"/>
      <c r="U82" s="1068"/>
      <c r="V82" s="1068"/>
      <c r="W82" s="1068"/>
      <c r="X82" s="1068"/>
      <c r="Y82" s="1068"/>
      <c r="Z82" s="1068"/>
      <c r="AA82" s="1068"/>
      <c r="AB82" s="1068"/>
      <c r="AC82" s="1068"/>
      <c r="AD82" s="1068"/>
      <c r="AE82" s="1068"/>
      <c r="AF82" s="1068"/>
      <c r="AG82" s="1068"/>
      <c r="AH82" s="1068"/>
      <c r="AI82" s="1068"/>
      <c r="AJ82" s="1068"/>
      <c r="AK82" s="1068"/>
    </row>
    <row r="83" spans="1:38" s="868" customFormat="1" ht="15" hidden="1" customHeight="1">
      <c r="A83" s="869" t="s">
        <v>2441</v>
      </c>
      <c r="D83" s="450"/>
      <c r="E83" s="977">
        <f t="shared" ref="E83:G83" si="38">IF(ISNUMBER(E82/D82-1),E82/D82-1,0)</f>
        <v>0</v>
      </c>
      <c r="F83" s="977">
        <f t="shared" si="38"/>
        <v>0</v>
      </c>
      <c r="G83" s="977">
        <f t="shared" si="38"/>
        <v>0</v>
      </c>
      <c r="H83" s="977"/>
      <c r="I83" s="977"/>
      <c r="J83" s="977"/>
      <c r="K83" s="977"/>
      <c r="L83" s="977"/>
      <c r="M83" s="977"/>
      <c r="N83" s="977"/>
      <c r="O83" s="977"/>
      <c r="P83" s="977"/>
      <c r="Q83" s="977"/>
      <c r="R83" s="977"/>
      <c r="S83" s="977"/>
      <c r="T83" s="977"/>
      <c r="U83" s="977"/>
      <c r="V83" s="977"/>
      <c r="W83" s="977"/>
      <c r="X83" s="977"/>
      <c r="Y83" s="977"/>
      <c r="Z83" s="977"/>
      <c r="AA83" s="977"/>
      <c r="AB83" s="977"/>
      <c r="AC83" s="977"/>
      <c r="AD83" s="977"/>
      <c r="AE83" s="977"/>
      <c r="AF83" s="977"/>
      <c r="AG83" s="977"/>
      <c r="AH83" s="977"/>
      <c r="AI83" s="977"/>
      <c r="AJ83" s="977"/>
      <c r="AK83" s="977"/>
    </row>
    <row r="84" spans="1:38" s="868" customFormat="1" ht="15" hidden="1" customHeight="1">
      <c r="A84" s="835"/>
      <c r="L84" s="880"/>
      <c r="M84" s="880"/>
      <c r="N84" s="880"/>
      <c r="O84" s="880"/>
      <c r="P84" s="880"/>
      <c r="Q84" s="880"/>
      <c r="R84" s="880"/>
      <c r="S84" s="880"/>
      <c r="T84" s="880"/>
      <c r="U84" s="880"/>
      <c r="V84" s="880"/>
      <c r="W84" s="880"/>
      <c r="X84" s="880"/>
      <c r="Y84" s="880"/>
      <c r="Z84" s="880"/>
      <c r="AA84" s="880"/>
      <c r="AB84" s="880"/>
      <c r="AC84" s="880"/>
      <c r="AD84" s="880"/>
      <c r="AE84" s="880"/>
      <c r="AF84" s="880"/>
      <c r="AG84" s="880"/>
      <c r="AH84" s="880"/>
      <c r="AI84" s="880"/>
      <c r="AJ84" s="880"/>
      <c r="AK84" s="880"/>
    </row>
    <row r="85" spans="1:38" s="868" customFormat="1" ht="15" customHeight="1">
      <c r="A85" s="876" t="s">
        <v>1888</v>
      </c>
      <c r="D85" s="877">
        <f>D52+D54+D56+D58+D60+D62+D64+D66+D68+D70+D72+D74+D76+D78+D80+D82</f>
        <v>3092.1497950499997</v>
      </c>
      <c r="E85" s="877">
        <f>E52+E54+E56+E58+E60+E62+E64+E66+E68+E70+E72+E74+E76+E78+E80+E82</f>
        <v>3930.2916525600003</v>
      </c>
      <c r="F85" s="877">
        <f>F52+F54+F56+F58+F60+F62+F64+F66+F68+F70+F72+F74+F76+F78+F80+F82</f>
        <v>5554.1884030199999</v>
      </c>
      <c r="G85" s="877">
        <f>G52+G54+G56+G58+G60+G62+G64+G66+G68+G70+G72+G74+G76+G78+G80+G82</f>
        <v>6012.167966779999</v>
      </c>
      <c r="H85" s="877">
        <f t="shared" ref="H85:AK85" si="39">H52+H54+H56+H58+H60+H62+H64+H66+H68+H70+H72+H74+H76+H78+H80+H82</f>
        <v>0</v>
      </c>
      <c r="I85" s="877">
        <f>I52+I54+I56+I58+I60+I62+I64+I66+I68+I70+I72+I74+I76+I78+I80+I82</f>
        <v>0</v>
      </c>
      <c r="J85" s="877">
        <f>J52+J54+J56+J58+J60+J62+J64+J66+J68+J70+J72+J74+J76+J78+J80+J82</f>
        <v>0</v>
      </c>
      <c r="K85" s="877">
        <f>K52+K54+K56+K58+K60+K62+K64+K66+K68+K70+K72+K74+K76+K78+K80+K82</f>
        <v>0</v>
      </c>
      <c r="L85" s="877">
        <f t="shared" si="39"/>
        <v>0</v>
      </c>
      <c r="M85" s="877">
        <f t="shared" si="39"/>
        <v>0</v>
      </c>
      <c r="N85" s="877">
        <f t="shared" si="39"/>
        <v>0</v>
      </c>
      <c r="O85" s="877">
        <f t="shared" si="39"/>
        <v>0</v>
      </c>
      <c r="P85" s="877">
        <f t="shared" si="39"/>
        <v>0</v>
      </c>
      <c r="Q85" s="877">
        <f t="shared" si="39"/>
        <v>0</v>
      </c>
      <c r="R85" s="877">
        <f t="shared" si="39"/>
        <v>0</v>
      </c>
      <c r="S85" s="877">
        <f t="shared" si="39"/>
        <v>0</v>
      </c>
      <c r="T85" s="877">
        <f t="shared" si="39"/>
        <v>0</v>
      </c>
      <c r="U85" s="877">
        <f t="shared" si="39"/>
        <v>0</v>
      </c>
      <c r="V85" s="877">
        <f t="shared" si="39"/>
        <v>0</v>
      </c>
      <c r="W85" s="877">
        <f t="shared" si="39"/>
        <v>0</v>
      </c>
      <c r="X85" s="877">
        <f t="shared" si="39"/>
        <v>0</v>
      </c>
      <c r="Y85" s="877">
        <f t="shared" si="39"/>
        <v>0</v>
      </c>
      <c r="Z85" s="877">
        <f t="shared" si="39"/>
        <v>0</v>
      </c>
      <c r="AA85" s="877">
        <f t="shared" si="39"/>
        <v>0</v>
      </c>
      <c r="AB85" s="877">
        <f t="shared" si="39"/>
        <v>0</v>
      </c>
      <c r="AC85" s="877">
        <f t="shared" si="39"/>
        <v>0</v>
      </c>
      <c r="AD85" s="877">
        <f t="shared" si="39"/>
        <v>0</v>
      </c>
      <c r="AE85" s="877">
        <f t="shared" si="39"/>
        <v>0</v>
      </c>
      <c r="AF85" s="877">
        <f t="shared" si="39"/>
        <v>0</v>
      </c>
      <c r="AG85" s="877">
        <f t="shared" si="39"/>
        <v>0</v>
      </c>
      <c r="AH85" s="877">
        <f t="shared" si="39"/>
        <v>0</v>
      </c>
      <c r="AI85" s="877">
        <f t="shared" si="39"/>
        <v>0</v>
      </c>
      <c r="AJ85" s="877">
        <f t="shared" si="39"/>
        <v>0</v>
      </c>
      <c r="AK85" s="877">
        <f t="shared" si="39"/>
        <v>0</v>
      </c>
    </row>
    <row r="86" spans="1:38" s="868" customFormat="1" ht="15" hidden="1" customHeight="1">
      <c r="A86" s="876" t="s">
        <v>1888</v>
      </c>
      <c r="D86" s="877">
        <f>D52*D53+D54*D55+D56*D57+D58*D59+D60*D61+D62*D63+D64*D65+D66*D67+D68*D69+D70*D71+D72*D73+D74*D75+D76*D77+D78*D79+D80*D81+D82*D83</f>
        <v>0</v>
      </c>
      <c r="E86" s="877">
        <f t="shared" ref="E86:AK86" si="40">E52*E53+E54*E55+E56*E57+E58*E59+E60*E61+E62*E63+E64*E65+E66*E67+E68*E69+E70*E71+E72*E73+E74*E75+E76*E77+E78*E79+E80*E81+E82*E83</f>
        <v>1207.4360310038128</v>
      </c>
      <c r="F86" s="877">
        <f t="shared" si="40"/>
        <v>2566.1172234886526</v>
      </c>
      <c r="G86" s="877">
        <f t="shared" si="40"/>
        <v>-5.0343067671000483</v>
      </c>
      <c r="H86" s="877">
        <f t="shared" si="40"/>
        <v>0</v>
      </c>
      <c r="I86" s="877">
        <f t="shared" si="40"/>
        <v>0</v>
      </c>
      <c r="J86" s="877">
        <f t="shared" si="40"/>
        <v>0</v>
      </c>
      <c r="K86" s="877">
        <f t="shared" si="40"/>
        <v>0</v>
      </c>
      <c r="L86" s="877">
        <f t="shared" si="40"/>
        <v>0</v>
      </c>
      <c r="M86" s="877">
        <f t="shared" si="40"/>
        <v>0</v>
      </c>
      <c r="N86" s="877">
        <f t="shared" si="40"/>
        <v>0</v>
      </c>
      <c r="O86" s="877">
        <f t="shared" si="40"/>
        <v>0</v>
      </c>
      <c r="P86" s="877">
        <f t="shared" si="40"/>
        <v>0</v>
      </c>
      <c r="Q86" s="877">
        <f t="shared" si="40"/>
        <v>0</v>
      </c>
      <c r="R86" s="877">
        <f t="shared" si="40"/>
        <v>0</v>
      </c>
      <c r="S86" s="877">
        <f t="shared" si="40"/>
        <v>0</v>
      </c>
      <c r="T86" s="877">
        <f t="shared" si="40"/>
        <v>0</v>
      </c>
      <c r="U86" s="877">
        <f t="shared" si="40"/>
        <v>0</v>
      </c>
      <c r="V86" s="877">
        <f t="shared" si="40"/>
        <v>0</v>
      </c>
      <c r="W86" s="877">
        <f t="shared" si="40"/>
        <v>0</v>
      </c>
      <c r="X86" s="877">
        <f t="shared" si="40"/>
        <v>0</v>
      </c>
      <c r="Y86" s="877">
        <f t="shared" si="40"/>
        <v>0</v>
      </c>
      <c r="Z86" s="877">
        <f t="shared" si="40"/>
        <v>0</v>
      </c>
      <c r="AA86" s="877">
        <f t="shared" si="40"/>
        <v>0</v>
      </c>
      <c r="AB86" s="877">
        <f t="shared" si="40"/>
        <v>0</v>
      </c>
      <c r="AC86" s="877">
        <f t="shared" si="40"/>
        <v>0</v>
      </c>
      <c r="AD86" s="877">
        <f t="shared" si="40"/>
        <v>0</v>
      </c>
      <c r="AE86" s="877">
        <f t="shared" si="40"/>
        <v>0</v>
      </c>
      <c r="AF86" s="877">
        <f t="shared" si="40"/>
        <v>0</v>
      </c>
      <c r="AG86" s="877">
        <f t="shared" si="40"/>
        <v>0</v>
      </c>
      <c r="AH86" s="877">
        <f t="shared" si="40"/>
        <v>0</v>
      </c>
      <c r="AI86" s="877">
        <f t="shared" si="40"/>
        <v>0</v>
      </c>
      <c r="AJ86" s="877">
        <f t="shared" si="40"/>
        <v>0</v>
      </c>
      <c r="AK86" s="877">
        <f t="shared" si="40"/>
        <v>0</v>
      </c>
      <c r="AL86" s="877"/>
    </row>
    <row r="87" spans="1:38" s="871" customFormat="1" ht="12">
      <c r="L87" s="881"/>
      <c r="M87" s="881"/>
      <c r="N87" s="881"/>
      <c r="O87" s="881"/>
      <c r="P87" s="881"/>
      <c r="Q87" s="881"/>
      <c r="R87" s="881"/>
      <c r="S87" s="881"/>
      <c r="T87" s="881"/>
      <c r="U87" s="881"/>
      <c r="V87" s="881"/>
      <c r="W87" s="881"/>
      <c r="X87" s="881"/>
      <c r="Y87" s="881"/>
      <c r="Z87" s="881"/>
      <c r="AA87" s="881"/>
      <c r="AB87" s="881"/>
      <c r="AC87" s="881"/>
      <c r="AD87" s="881"/>
      <c r="AE87" s="881"/>
      <c r="AF87" s="881"/>
      <c r="AG87" s="881"/>
      <c r="AH87" s="881"/>
      <c r="AI87" s="881"/>
      <c r="AJ87" s="881"/>
      <c r="AK87" s="881"/>
    </row>
    <row r="88" spans="1:38" s="868" customFormat="1" ht="15" customHeight="1">
      <c r="A88" s="882"/>
      <c r="B88" s="875"/>
      <c r="C88" s="875"/>
      <c r="D88" s="875"/>
      <c r="E88" s="875"/>
      <c r="F88" s="875"/>
      <c r="G88" s="875"/>
      <c r="H88" s="878"/>
      <c r="I88" s="878"/>
      <c r="J88" s="878"/>
      <c r="K88" s="878"/>
      <c r="L88" s="878"/>
      <c r="M88" s="878"/>
      <c r="N88" s="878"/>
      <c r="O88" s="878"/>
      <c r="P88" s="878"/>
      <c r="Q88" s="878"/>
      <c r="R88" s="878"/>
      <c r="S88" s="878"/>
      <c r="T88" s="878"/>
      <c r="U88" s="878"/>
      <c r="V88" s="878"/>
      <c r="W88" s="878"/>
      <c r="X88" s="878"/>
      <c r="Y88" s="878"/>
      <c r="Z88" s="878"/>
      <c r="AA88" s="878"/>
      <c r="AB88" s="878"/>
      <c r="AC88" s="878"/>
    </row>
    <row r="89" spans="1:38" s="868" customFormat="1" ht="15" customHeight="1">
      <c r="A89" s="876" t="s">
        <v>2089</v>
      </c>
      <c r="B89" s="875"/>
      <c r="C89" s="875"/>
      <c r="D89" s="875"/>
      <c r="E89" s="968">
        <f>E51</f>
        <v>2020</v>
      </c>
      <c r="F89" s="968">
        <f t="shared" ref="F89:AK89" si="41">F51</f>
        <v>2021</v>
      </c>
      <c r="G89" s="968">
        <f t="shared" si="41"/>
        <v>2022</v>
      </c>
      <c r="H89" s="968" t="str">
        <f t="shared" si="41"/>
        <v>2023E</v>
      </c>
      <c r="I89" s="968" t="str">
        <f t="shared" si="41"/>
        <v>2024E</v>
      </c>
      <c r="J89" s="968" t="str">
        <f t="shared" si="41"/>
        <v>2025E</v>
      </c>
      <c r="K89" s="968" t="str">
        <f t="shared" si="41"/>
        <v>2026E</v>
      </c>
      <c r="L89" s="968" t="str">
        <f t="shared" si="41"/>
        <v>2027E</v>
      </c>
      <c r="M89" s="968" t="str">
        <f t="shared" si="41"/>
        <v>2028E</v>
      </c>
      <c r="N89" s="968" t="str">
        <f t="shared" si="41"/>
        <v>2029E</v>
      </c>
      <c r="O89" s="968" t="str">
        <f t="shared" si="41"/>
        <v>2030E</v>
      </c>
      <c r="P89" s="968" t="str">
        <f t="shared" si="41"/>
        <v>2031E</v>
      </c>
      <c r="Q89" s="968" t="str">
        <f t="shared" si="41"/>
        <v>2032E</v>
      </c>
      <c r="R89" s="968" t="str">
        <f t="shared" si="41"/>
        <v>2033E</v>
      </c>
      <c r="S89" s="968" t="str">
        <f t="shared" si="41"/>
        <v>2034E</v>
      </c>
      <c r="T89" s="968" t="str">
        <f t="shared" si="41"/>
        <v>2035E</v>
      </c>
      <c r="U89" s="968" t="str">
        <f t="shared" si="41"/>
        <v>2036E</v>
      </c>
      <c r="V89" s="968" t="str">
        <f t="shared" si="41"/>
        <v>2037E</v>
      </c>
      <c r="W89" s="968" t="str">
        <f t="shared" si="41"/>
        <v>2038E</v>
      </c>
      <c r="X89" s="968" t="str">
        <f t="shared" si="41"/>
        <v>2039E</v>
      </c>
      <c r="Y89" s="968" t="str">
        <f t="shared" si="41"/>
        <v>2040E</v>
      </c>
      <c r="Z89" s="968" t="str">
        <f t="shared" si="41"/>
        <v>2041E</v>
      </c>
      <c r="AA89" s="968" t="str">
        <f t="shared" si="41"/>
        <v>2042E</v>
      </c>
      <c r="AB89" s="968" t="str">
        <f t="shared" si="41"/>
        <v>2043E</v>
      </c>
      <c r="AC89" s="968" t="str">
        <f t="shared" si="41"/>
        <v>2044E</v>
      </c>
      <c r="AD89" s="968" t="str">
        <f t="shared" si="41"/>
        <v>2045E</v>
      </c>
      <c r="AE89" s="968" t="str">
        <f t="shared" si="41"/>
        <v>2046E</v>
      </c>
      <c r="AF89" s="968" t="str">
        <f t="shared" si="41"/>
        <v>2047E</v>
      </c>
      <c r="AG89" s="968" t="str">
        <f t="shared" si="41"/>
        <v>2048E</v>
      </c>
      <c r="AH89" s="968" t="str">
        <f t="shared" si="41"/>
        <v>2049E</v>
      </c>
      <c r="AI89" s="968" t="str">
        <f t="shared" si="41"/>
        <v>2050E</v>
      </c>
      <c r="AJ89" s="968" t="str">
        <f t="shared" si="41"/>
        <v>2051E</v>
      </c>
      <c r="AK89" s="968" t="str">
        <f t="shared" si="41"/>
        <v>2052E</v>
      </c>
      <c r="AL89" s="968"/>
    </row>
    <row r="90" spans="1:38" ht="15" customHeight="1">
      <c r="A90" s="835" t="str">
        <f>IF(A12="","",A12)</f>
        <v>防水卷材</v>
      </c>
      <c r="E90" s="978" t="str">
        <f t="shared" ref="E90:J90" si="42">IF($A90="","",IF(E12=0,"-",(E12-E52)/E12))</f>
        <v>-</v>
      </c>
      <c r="F90" s="978" t="str">
        <f t="shared" si="42"/>
        <v>-</v>
      </c>
      <c r="G90" s="978">
        <f t="shared" si="42"/>
        <v>0.18794734123551723</v>
      </c>
      <c r="H90" s="978" t="str">
        <f t="shared" si="42"/>
        <v>-</v>
      </c>
      <c r="I90" s="978" t="str">
        <f t="shared" si="42"/>
        <v>-</v>
      </c>
      <c r="J90" s="978" t="str">
        <f t="shared" si="42"/>
        <v>-</v>
      </c>
      <c r="K90" s="978" t="str">
        <f t="shared" ref="K90:AL90" si="43">IF(G90="","",IF(K12=0,"-",(K12-K52)/K12))</f>
        <v>-</v>
      </c>
      <c r="L90" s="978" t="str">
        <f t="shared" si="43"/>
        <v>-</v>
      </c>
      <c r="M90" s="978" t="str">
        <f t="shared" si="43"/>
        <v>-</v>
      </c>
      <c r="N90" s="978" t="str">
        <f t="shared" si="43"/>
        <v>-</v>
      </c>
      <c r="O90" s="978" t="str">
        <f t="shared" si="43"/>
        <v>-</v>
      </c>
      <c r="P90" s="978" t="str">
        <f t="shared" si="43"/>
        <v>-</v>
      </c>
      <c r="Q90" s="978" t="str">
        <f t="shared" si="43"/>
        <v>-</v>
      </c>
      <c r="R90" s="978" t="str">
        <f t="shared" si="43"/>
        <v>-</v>
      </c>
      <c r="S90" s="978" t="str">
        <f t="shared" si="43"/>
        <v>-</v>
      </c>
      <c r="T90" s="978" t="str">
        <f t="shared" si="43"/>
        <v>-</v>
      </c>
      <c r="U90" s="978" t="str">
        <f t="shared" si="43"/>
        <v>-</v>
      </c>
      <c r="V90" s="978" t="str">
        <f t="shared" si="43"/>
        <v>-</v>
      </c>
      <c r="W90" s="978" t="str">
        <f t="shared" si="43"/>
        <v>-</v>
      </c>
      <c r="X90" s="978" t="str">
        <f t="shared" si="43"/>
        <v>-</v>
      </c>
      <c r="Y90" s="978" t="str">
        <f t="shared" si="43"/>
        <v>-</v>
      </c>
      <c r="Z90" s="978" t="str">
        <f t="shared" si="43"/>
        <v>-</v>
      </c>
      <c r="AA90" s="978" t="str">
        <f t="shared" si="43"/>
        <v>-</v>
      </c>
      <c r="AB90" s="978" t="str">
        <f t="shared" si="43"/>
        <v>-</v>
      </c>
      <c r="AC90" s="978" t="str">
        <f t="shared" si="43"/>
        <v>-</v>
      </c>
      <c r="AD90" s="978" t="str">
        <f t="shared" si="43"/>
        <v>-</v>
      </c>
      <c r="AE90" s="978" t="str">
        <f t="shared" si="43"/>
        <v>-</v>
      </c>
      <c r="AF90" s="978" t="str">
        <f t="shared" si="43"/>
        <v>-</v>
      </c>
      <c r="AG90" s="978" t="str">
        <f t="shared" si="43"/>
        <v>-</v>
      </c>
      <c r="AH90" s="978" t="str">
        <f t="shared" si="43"/>
        <v>-</v>
      </c>
      <c r="AI90" s="978" t="str">
        <f t="shared" si="43"/>
        <v>-</v>
      </c>
      <c r="AJ90" s="978" t="str">
        <f t="shared" si="43"/>
        <v>-</v>
      </c>
      <c r="AK90" s="978" t="str">
        <f t="shared" si="43"/>
        <v>-</v>
      </c>
      <c r="AL90" s="978" t="str">
        <f t="shared" si="43"/>
        <v>-</v>
      </c>
    </row>
    <row r="91" spans="1:38" ht="15" customHeight="1">
      <c r="A91" s="835" t="str">
        <f>IF(A14="","",A14)</f>
        <v>防水涂料</v>
      </c>
      <c r="E91" s="978" t="str">
        <f t="shared" ref="E91:J91" si="44">IF($A91="","",IF(E14=0,"-",(E14-E54)/E14))</f>
        <v>-</v>
      </c>
      <c r="F91" s="978" t="str">
        <f t="shared" si="44"/>
        <v>-</v>
      </c>
      <c r="G91" s="978">
        <f t="shared" si="44"/>
        <v>0.26008177008949657</v>
      </c>
      <c r="H91" s="978" t="str">
        <f t="shared" si="44"/>
        <v>-</v>
      </c>
      <c r="I91" s="978" t="str">
        <f t="shared" si="44"/>
        <v>-</v>
      </c>
      <c r="J91" s="978" t="str">
        <f t="shared" si="44"/>
        <v>-</v>
      </c>
      <c r="K91" s="978" t="str">
        <f t="shared" ref="K91:AL91" si="45">IF(G91="","",IF(K14=0,"-",(K14-K54)/K14))</f>
        <v>-</v>
      </c>
      <c r="L91" s="978" t="str">
        <f t="shared" si="45"/>
        <v>-</v>
      </c>
      <c r="M91" s="978" t="str">
        <f t="shared" si="45"/>
        <v>-</v>
      </c>
      <c r="N91" s="978" t="str">
        <f t="shared" si="45"/>
        <v>-</v>
      </c>
      <c r="O91" s="978" t="str">
        <f t="shared" si="45"/>
        <v>-</v>
      </c>
      <c r="P91" s="978" t="str">
        <f t="shared" si="45"/>
        <v>-</v>
      </c>
      <c r="Q91" s="978" t="str">
        <f t="shared" si="45"/>
        <v>-</v>
      </c>
      <c r="R91" s="978" t="str">
        <f t="shared" si="45"/>
        <v>-</v>
      </c>
      <c r="S91" s="978" t="str">
        <f t="shared" si="45"/>
        <v>-</v>
      </c>
      <c r="T91" s="978" t="str">
        <f t="shared" si="45"/>
        <v>-</v>
      </c>
      <c r="U91" s="978" t="str">
        <f t="shared" si="45"/>
        <v>-</v>
      </c>
      <c r="V91" s="978" t="str">
        <f t="shared" si="45"/>
        <v>-</v>
      </c>
      <c r="W91" s="978" t="str">
        <f t="shared" si="45"/>
        <v>-</v>
      </c>
      <c r="X91" s="978" t="str">
        <f t="shared" si="45"/>
        <v>-</v>
      </c>
      <c r="Y91" s="978" t="str">
        <f t="shared" si="45"/>
        <v>-</v>
      </c>
      <c r="Z91" s="978" t="str">
        <f t="shared" si="45"/>
        <v>-</v>
      </c>
      <c r="AA91" s="978" t="str">
        <f t="shared" si="45"/>
        <v>-</v>
      </c>
      <c r="AB91" s="978" t="str">
        <f t="shared" si="45"/>
        <v>-</v>
      </c>
      <c r="AC91" s="978" t="str">
        <f t="shared" si="45"/>
        <v>-</v>
      </c>
      <c r="AD91" s="978" t="str">
        <f t="shared" si="45"/>
        <v>-</v>
      </c>
      <c r="AE91" s="978" t="str">
        <f t="shared" si="45"/>
        <v>-</v>
      </c>
      <c r="AF91" s="978" t="str">
        <f t="shared" si="45"/>
        <v>-</v>
      </c>
      <c r="AG91" s="978" t="str">
        <f t="shared" si="45"/>
        <v>-</v>
      </c>
      <c r="AH91" s="978" t="str">
        <f t="shared" si="45"/>
        <v>-</v>
      </c>
      <c r="AI91" s="978" t="str">
        <f t="shared" si="45"/>
        <v>-</v>
      </c>
      <c r="AJ91" s="978" t="str">
        <f t="shared" si="45"/>
        <v>-</v>
      </c>
      <c r="AK91" s="978" t="str">
        <f t="shared" si="45"/>
        <v>-</v>
      </c>
      <c r="AL91" s="978" t="str">
        <f t="shared" si="45"/>
        <v>-</v>
      </c>
    </row>
    <row r="92" spans="1:38" ht="15" customHeight="1">
      <c r="A92" s="835" t="str">
        <f>IF(A16="","",A16)</f>
        <v>防水工程施工</v>
      </c>
      <c r="E92" s="978">
        <f t="shared" ref="E92:J92" si="46">IF($A92="","",IF(E16=0,"-",(E16-E56)/E16))</f>
        <v>0.3010905394260841</v>
      </c>
      <c r="F92" s="978">
        <f t="shared" si="46"/>
        <v>0.22975627070978516</v>
      </c>
      <c r="G92" s="978">
        <f t="shared" si="46"/>
        <v>0.21806510072014929</v>
      </c>
      <c r="H92" s="978" t="str">
        <f t="shared" si="46"/>
        <v>-</v>
      </c>
      <c r="I92" s="978" t="str">
        <f t="shared" si="46"/>
        <v>-</v>
      </c>
      <c r="J92" s="978" t="str">
        <f t="shared" si="46"/>
        <v>-</v>
      </c>
      <c r="K92" s="978" t="str">
        <f t="shared" ref="K92:AL92" si="47">IF(G92="","",IF(K16=0,"-",(K16-K56)/K16))</f>
        <v>-</v>
      </c>
      <c r="L92" s="978" t="str">
        <f t="shared" si="47"/>
        <v>-</v>
      </c>
      <c r="M92" s="978" t="str">
        <f t="shared" si="47"/>
        <v>-</v>
      </c>
      <c r="N92" s="978" t="str">
        <f t="shared" si="47"/>
        <v>-</v>
      </c>
      <c r="O92" s="978" t="str">
        <f t="shared" si="47"/>
        <v>-</v>
      </c>
      <c r="P92" s="978" t="str">
        <f t="shared" si="47"/>
        <v>-</v>
      </c>
      <c r="Q92" s="978" t="str">
        <f t="shared" si="47"/>
        <v>-</v>
      </c>
      <c r="R92" s="978" t="str">
        <f t="shared" si="47"/>
        <v>-</v>
      </c>
      <c r="S92" s="978" t="str">
        <f t="shared" si="47"/>
        <v>-</v>
      </c>
      <c r="T92" s="978" t="str">
        <f t="shared" si="47"/>
        <v>-</v>
      </c>
      <c r="U92" s="978" t="str">
        <f t="shared" si="47"/>
        <v>-</v>
      </c>
      <c r="V92" s="978" t="str">
        <f t="shared" si="47"/>
        <v>-</v>
      </c>
      <c r="W92" s="978" t="str">
        <f t="shared" si="47"/>
        <v>-</v>
      </c>
      <c r="X92" s="978" t="str">
        <f t="shared" si="47"/>
        <v>-</v>
      </c>
      <c r="Y92" s="978" t="str">
        <f t="shared" si="47"/>
        <v>-</v>
      </c>
      <c r="Z92" s="978" t="str">
        <f t="shared" si="47"/>
        <v>-</v>
      </c>
      <c r="AA92" s="978" t="str">
        <f t="shared" si="47"/>
        <v>-</v>
      </c>
      <c r="AB92" s="978" t="str">
        <f t="shared" si="47"/>
        <v>-</v>
      </c>
      <c r="AC92" s="978" t="str">
        <f t="shared" si="47"/>
        <v>-</v>
      </c>
      <c r="AD92" s="978" t="str">
        <f t="shared" si="47"/>
        <v>-</v>
      </c>
      <c r="AE92" s="978" t="str">
        <f t="shared" si="47"/>
        <v>-</v>
      </c>
      <c r="AF92" s="978" t="str">
        <f t="shared" si="47"/>
        <v>-</v>
      </c>
      <c r="AG92" s="978" t="str">
        <f t="shared" si="47"/>
        <v>-</v>
      </c>
      <c r="AH92" s="978" t="str">
        <f t="shared" si="47"/>
        <v>-</v>
      </c>
      <c r="AI92" s="978" t="str">
        <f t="shared" si="47"/>
        <v>-</v>
      </c>
      <c r="AJ92" s="978" t="str">
        <f t="shared" si="47"/>
        <v>-</v>
      </c>
      <c r="AK92" s="978" t="str">
        <f t="shared" si="47"/>
        <v>-</v>
      </c>
      <c r="AL92" s="978" t="str">
        <f t="shared" si="47"/>
        <v>-</v>
      </c>
    </row>
    <row r="93" spans="1:38" ht="15" customHeight="1">
      <c r="A93" s="835" t="str">
        <f>IF(A18="","",A18)</f>
        <v>减隔震产品</v>
      </c>
      <c r="E93" s="978" t="str">
        <f t="shared" ref="E93:J93" si="48">IF($A93="","",IF(E18=0,"-",(E18-E58)/E18))</f>
        <v>-</v>
      </c>
      <c r="F93" s="978" t="str">
        <f t="shared" si="48"/>
        <v>-</v>
      </c>
      <c r="G93" s="978">
        <f t="shared" si="48"/>
        <v>0.2439211721232844</v>
      </c>
      <c r="H93" s="978" t="str">
        <f t="shared" si="48"/>
        <v>-</v>
      </c>
      <c r="I93" s="978" t="str">
        <f t="shared" si="48"/>
        <v>-</v>
      </c>
      <c r="J93" s="978" t="str">
        <f t="shared" si="48"/>
        <v>-</v>
      </c>
      <c r="K93" s="978" t="str">
        <f t="shared" ref="K93:AL93" si="49">IF(G93="","",IF(K18=0,"-",(K18-K58)/K18))</f>
        <v>-</v>
      </c>
      <c r="L93" s="978" t="str">
        <f t="shared" si="49"/>
        <v>-</v>
      </c>
      <c r="M93" s="978" t="str">
        <f t="shared" si="49"/>
        <v>-</v>
      </c>
      <c r="N93" s="978" t="str">
        <f t="shared" si="49"/>
        <v>-</v>
      </c>
      <c r="O93" s="978" t="str">
        <f t="shared" si="49"/>
        <v>-</v>
      </c>
      <c r="P93" s="978" t="str">
        <f t="shared" si="49"/>
        <v>-</v>
      </c>
      <c r="Q93" s="978" t="str">
        <f t="shared" si="49"/>
        <v>-</v>
      </c>
      <c r="R93" s="978" t="str">
        <f t="shared" si="49"/>
        <v>-</v>
      </c>
      <c r="S93" s="978" t="str">
        <f t="shared" si="49"/>
        <v>-</v>
      </c>
      <c r="T93" s="978" t="str">
        <f t="shared" si="49"/>
        <v>-</v>
      </c>
      <c r="U93" s="978" t="str">
        <f t="shared" si="49"/>
        <v>-</v>
      </c>
      <c r="V93" s="978" t="str">
        <f t="shared" si="49"/>
        <v>-</v>
      </c>
      <c r="W93" s="978" t="str">
        <f t="shared" si="49"/>
        <v>-</v>
      </c>
      <c r="X93" s="978" t="str">
        <f t="shared" si="49"/>
        <v>-</v>
      </c>
      <c r="Y93" s="978" t="str">
        <f t="shared" si="49"/>
        <v>-</v>
      </c>
      <c r="Z93" s="978" t="str">
        <f t="shared" si="49"/>
        <v>-</v>
      </c>
      <c r="AA93" s="978" t="str">
        <f t="shared" si="49"/>
        <v>-</v>
      </c>
      <c r="AB93" s="978" t="str">
        <f t="shared" si="49"/>
        <v>-</v>
      </c>
      <c r="AC93" s="978" t="str">
        <f t="shared" si="49"/>
        <v>-</v>
      </c>
      <c r="AD93" s="978" t="str">
        <f t="shared" si="49"/>
        <v>-</v>
      </c>
      <c r="AE93" s="978" t="str">
        <f t="shared" si="49"/>
        <v>-</v>
      </c>
      <c r="AF93" s="978" t="str">
        <f t="shared" si="49"/>
        <v>-</v>
      </c>
      <c r="AG93" s="978" t="str">
        <f t="shared" si="49"/>
        <v>-</v>
      </c>
      <c r="AH93" s="978" t="str">
        <f t="shared" si="49"/>
        <v>-</v>
      </c>
      <c r="AI93" s="978" t="str">
        <f t="shared" si="49"/>
        <v>-</v>
      </c>
      <c r="AJ93" s="978" t="str">
        <f t="shared" si="49"/>
        <v>-</v>
      </c>
      <c r="AK93" s="978" t="str">
        <f t="shared" si="49"/>
        <v>-</v>
      </c>
      <c r="AL93" s="978" t="str">
        <f t="shared" si="49"/>
        <v>-</v>
      </c>
    </row>
    <row r="94" spans="1:38" ht="15" customHeight="1">
      <c r="A94" s="835" t="str">
        <f>IF(A20="","",A20)</f>
        <v>其他</v>
      </c>
      <c r="E94" s="978">
        <f t="shared" ref="E94:J94" si="50">IF($A94="","",IF(E20=0,"-",(E20-E60)/E20))</f>
        <v>1</v>
      </c>
      <c r="F94" s="978">
        <f t="shared" si="50"/>
        <v>1</v>
      </c>
      <c r="G94" s="978">
        <f t="shared" si="50"/>
        <v>1</v>
      </c>
      <c r="H94" s="978" t="str">
        <f t="shared" si="50"/>
        <v>-</v>
      </c>
      <c r="I94" s="978" t="str">
        <f t="shared" si="50"/>
        <v>-</v>
      </c>
      <c r="J94" s="978" t="str">
        <f t="shared" si="50"/>
        <v>-</v>
      </c>
      <c r="K94" s="978" t="str">
        <f t="shared" ref="K94:AL94" si="51">IF(G94="","",IF(K20=0,"-",(K20-K60)/K20))</f>
        <v>-</v>
      </c>
      <c r="L94" s="978" t="str">
        <f t="shared" si="51"/>
        <v>-</v>
      </c>
      <c r="M94" s="978" t="str">
        <f t="shared" si="51"/>
        <v>-</v>
      </c>
      <c r="N94" s="978" t="str">
        <f t="shared" si="51"/>
        <v>-</v>
      </c>
      <c r="O94" s="978" t="str">
        <f t="shared" si="51"/>
        <v>-</v>
      </c>
      <c r="P94" s="978" t="str">
        <f t="shared" si="51"/>
        <v>-</v>
      </c>
      <c r="Q94" s="978" t="str">
        <f t="shared" si="51"/>
        <v>-</v>
      </c>
      <c r="R94" s="978" t="str">
        <f t="shared" si="51"/>
        <v>-</v>
      </c>
      <c r="S94" s="978" t="str">
        <f t="shared" si="51"/>
        <v>-</v>
      </c>
      <c r="T94" s="978" t="str">
        <f t="shared" si="51"/>
        <v>-</v>
      </c>
      <c r="U94" s="978" t="str">
        <f t="shared" si="51"/>
        <v>-</v>
      </c>
      <c r="V94" s="978" t="str">
        <f t="shared" si="51"/>
        <v>-</v>
      </c>
      <c r="W94" s="978" t="str">
        <f t="shared" si="51"/>
        <v>-</v>
      </c>
      <c r="X94" s="978" t="str">
        <f t="shared" si="51"/>
        <v>-</v>
      </c>
      <c r="Y94" s="978" t="str">
        <f t="shared" si="51"/>
        <v>-</v>
      </c>
      <c r="Z94" s="978" t="str">
        <f t="shared" si="51"/>
        <v>-</v>
      </c>
      <c r="AA94" s="978" t="str">
        <f t="shared" si="51"/>
        <v>-</v>
      </c>
      <c r="AB94" s="978" t="str">
        <f t="shared" si="51"/>
        <v>-</v>
      </c>
      <c r="AC94" s="978" t="str">
        <f t="shared" si="51"/>
        <v>-</v>
      </c>
      <c r="AD94" s="978" t="str">
        <f t="shared" si="51"/>
        <v>-</v>
      </c>
      <c r="AE94" s="978" t="str">
        <f t="shared" si="51"/>
        <v>-</v>
      </c>
      <c r="AF94" s="978" t="str">
        <f t="shared" si="51"/>
        <v>-</v>
      </c>
      <c r="AG94" s="978" t="str">
        <f t="shared" si="51"/>
        <v>-</v>
      </c>
      <c r="AH94" s="978" t="str">
        <f t="shared" si="51"/>
        <v>-</v>
      </c>
      <c r="AI94" s="978" t="str">
        <f t="shared" si="51"/>
        <v>-</v>
      </c>
      <c r="AJ94" s="978" t="str">
        <f t="shared" si="51"/>
        <v>-</v>
      </c>
      <c r="AK94" s="978" t="str">
        <f t="shared" si="51"/>
        <v>-</v>
      </c>
      <c r="AL94" s="978" t="str">
        <f t="shared" si="51"/>
        <v>-</v>
      </c>
    </row>
    <row r="95" spans="1:38" ht="15" customHeight="1">
      <c r="A95" s="835" t="str">
        <f>IF(A22="","",A22)</f>
        <v>其他业务</v>
      </c>
      <c r="E95" s="978">
        <f t="shared" ref="E95:J95" si="52">IF($A95="","",IF(E22=0,"-",(E22-E62)/E22))</f>
        <v>8.3615174878723025E-2</v>
      </c>
      <c r="F95" s="978">
        <f t="shared" si="52"/>
        <v>0.42052276943048461</v>
      </c>
      <c r="G95" s="978">
        <f t="shared" si="52"/>
        <v>0.53615658251299469</v>
      </c>
      <c r="H95" s="978" t="str">
        <f t="shared" si="52"/>
        <v>-</v>
      </c>
      <c r="I95" s="978" t="str">
        <f t="shared" si="52"/>
        <v>-</v>
      </c>
      <c r="J95" s="978" t="str">
        <f t="shared" si="52"/>
        <v>-</v>
      </c>
      <c r="K95" s="978" t="str">
        <f t="shared" ref="K95:AL95" si="53">IF(G95="","",IF(K22=0,"-",(K22-K62)/K22))</f>
        <v>-</v>
      </c>
      <c r="L95" s="978" t="str">
        <f t="shared" si="53"/>
        <v>-</v>
      </c>
      <c r="M95" s="978" t="str">
        <f t="shared" si="53"/>
        <v>-</v>
      </c>
      <c r="N95" s="978" t="str">
        <f t="shared" si="53"/>
        <v>-</v>
      </c>
      <c r="O95" s="978" t="str">
        <f t="shared" si="53"/>
        <v>-</v>
      </c>
      <c r="P95" s="978" t="str">
        <f t="shared" si="53"/>
        <v>-</v>
      </c>
      <c r="Q95" s="978" t="str">
        <f t="shared" si="53"/>
        <v>-</v>
      </c>
      <c r="R95" s="978" t="str">
        <f t="shared" si="53"/>
        <v>-</v>
      </c>
      <c r="S95" s="978" t="str">
        <f t="shared" si="53"/>
        <v>-</v>
      </c>
      <c r="T95" s="978" t="str">
        <f t="shared" si="53"/>
        <v>-</v>
      </c>
      <c r="U95" s="978" t="str">
        <f t="shared" si="53"/>
        <v>-</v>
      </c>
      <c r="V95" s="978" t="str">
        <f t="shared" si="53"/>
        <v>-</v>
      </c>
      <c r="W95" s="978" t="str">
        <f t="shared" si="53"/>
        <v>-</v>
      </c>
      <c r="X95" s="978" t="str">
        <f t="shared" si="53"/>
        <v>-</v>
      </c>
      <c r="Y95" s="978" t="str">
        <f t="shared" si="53"/>
        <v>-</v>
      </c>
      <c r="Z95" s="978" t="str">
        <f t="shared" si="53"/>
        <v>-</v>
      </c>
      <c r="AA95" s="978" t="str">
        <f t="shared" si="53"/>
        <v>-</v>
      </c>
      <c r="AB95" s="978" t="str">
        <f t="shared" si="53"/>
        <v>-</v>
      </c>
      <c r="AC95" s="978" t="str">
        <f t="shared" si="53"/>
        <v>-</v>
      </c>
      <c r="AD95" s="978" t="str">
        <f t="shared" si="53"/>
        <v>-</v>
      </c>
      <c r="AE95" s="978" t="str">
        <f t="shared" si="53"/>
        <v>-</v>
      </c>
      <c r="AF95" s="978" t="str">
        <f t="shared" si="53"/>
        <v>-</v>
      </c>
      <c r="AG95" s="978" t="str">
        <f t="shared" si="53"/>
        <v>-</v>
      </c>
      <c r="AH95" s="978" t="str">
        <f t="shared" si="53"/>
        <v>-</v>
      </c>
      <c r="AI95" s="978" t="str">
        <f t="shared" si="53"/>
        <v>-</v>
      </c>
      <c r="AJ95" s="978" t="str">
        <f t="shared" si="53"/>
        <v>-</v>
      </c>
      <c r="AK95" s="978" t="str">
        <f t="shared" si="53"/>
        <v>-</v>
      </c>
      <c r="AL95" s="978" t="str">
        <f t="shared" si="53"/>
        <v>-</v>
      </c>
    </row>
    <row r="96" spans="1:38" ht="15" customHeight="1">
      <c r="A96" s="835" t="str">
        <f>IF(A24="","",A24)</f>
        <v>防水卷材销售</v>
      </c>
      <c r="E96" s="978">
        <f t="shared" ref="E96:J96" si="54">IF($A96="","",IF(E24=0,"-",(E24-E64)/E24))</f>
        <v>0.39308153574945864</v>
      </c>
      <c r="F96" s="978">
        <f t="shared" si="54"/>
        <v>0.32726071530737921</v>
      </c>
      <c r="G96" s="978" t="str">
        <f t="shared" si="54"/>
        <v>-</v>
      </c>
      <c r="H96" s="978" t="str">
        <f t="shared" si="54"/>
        <v>-</v>
      </c>
      <c r="I96" s="978" t="str">
        <f t="shared" si="54"/>
        <v>-</v>
      </c>
      <c r="J96" s="978" t="str">
        <f t="shared" si="54"/>
        <v>-</v>
      </c>
      <c r="K96" s="978" t="str">
        <f t="shared" ref="K96:AL96" si="55">IF(G96="","",IF(K24=0,"-",(K24-K64)/K24))</f>
        <v>-</v>
      </c>
      <c r="L96" s="978" t="str">
        <f t="shared" si="55"/>
        <v>-</v>
      </c>
      <c r="M96" s="978" t="str">
        <f t="shared" si="55"/>
        <v>-</v>
      </c>
      <c r="N96" s="978" t="str">
        <f t="shared" si="55"/>
        <v>-</v>
      </c>
      <c r="O96" s="978" t="str">
        <f t="shared" si="55"/>
        <v>-</v>
      </c>
      <c r="P96" s="978" t="str">
        <f t="shared" si="55"/>
        <v>-</v>
      </c>
      <c r="Q96" s="978" t="str">
        <f t="shared" si="55"/>
        <v>-</v>
      </c>
      <c r="R96" s="978" t="str">
        <f t="shared" si="55"/>
        <v>-</v>
      </c>
      <c r="S96" s="978" t="str">
        <f t="shared" si="55"/>
        <v>-</v>
      </c>
      <c r="T96" s="978" t="str">
        <f t="shared" si="55"/>
        <v>-</v>
      </c>
      <c r="U96" s="978" t="str">
        <f t="shared" si="55"/>
        <v>-</v>
      </c>
      <c r="V96" s="978" t="str">
        <f t="shared" si="55"/>
        <v>-</v>
      </c>
      <c r="W96" s="978" t="str">
        <f t="shared" si="55"/>
        <v>-</v>
      </c>
      <c r="X96" s="978" t="str">
        <f t="shared" si="55"/>
        <v>-</v>
      </c>
      <c r="Y96" s="978" t="str">
        <f t="shared" si="55"/>
        <v>-</v>
      </c>
      <c r="Z96" s="978" t="str">
        <f t="shared" si="55"/>
        <v>-</v>
      </c>
      <c r="AA96" s="978" t="str">
        <f t="shared" si="55"/>
        <v>-</v>
      </c>
      <c r="AB96" s="978" t="str">
        <f t="shared" si="55"/>
        <v>-</v>
      </c>
      <c r="AC96" s="978" t="str">
        <f t="shared" si="55"/>
        <v>-</v>
      </c>
      <c r="AD96" s="978" t="str">
        <f t="shared" si="55"/>
        <v>-</v>
      </c>
      <c r="AE96" s="978" t="str">
        <f t="shared" si="55"/>
        <v>-</v>
      </c>
      <c r="AF96" s="978" t="str">
        <f t="shared" si="55"/>
        <v>-</v>
      </c>
      <c r="AG96" s="978" t="str">
        <f t="shared" si="55"/>
        <v>-</v>
      </c>
      <c r="AH96" s="978" t="str">
        <f t="shared" si="55"/>
        <v>-</v>
      </c>
      <c r="AI96" s="978" t="str">
        <f t="shared" si="55"/>
        <v>-</v>
      </c>
      <c r="AJ96" s="978" t="str">
        <f t="shared" si="55"/>
        <v>-</v>
      </c>
      <c r="AK96" s="978" t="str">
        <f t="shared" si="55"/>
        <v>-</v>
      </c>
      <c r="AL96" s="978" t="str">
        <f t="shared" si="55"/>
        <v>-</v>
      </c>
    </row>
    <row r="97" spans="1:38" ht="15" customHeight="1">
      <c r="A97" s="835" t="str">
        <f>IF(A26="","",A26)</f>
        <v>防水涂料销售</v>
      </c>
      <c r="E97" s="978">
        <f t="shared" ref="E97:J97" si="56">IF($A97="","",IF(E26=0,"-",(E26-E66)/E26))</f>
        <v>0.35249828685897872</v>
      </c>
      <c r="F97" s="978">
        <f t="shared" si="56"/>
        <v>0.22139280492833982</v>
      </c>
      <c r="G97" s="978" t="str">
        <f t="shared" si="56"/>
        <v>-</v>
      </c>
      <c r="H97" s="978" t="str">
        <f t="shared" si="56"/>
        <v>-</v>
      </c>
      <c r="I97" s="978" t="str">
        <f t="shared" si="56"/>
        <v>-</v>
      </c>
      <c r="J97" s="978" t="str">
        <f t="shared" si="56"/>
        <v>-</v>
      </c>
      <c r="K97" s="978" t="str">
        <f t="shared" ref="K97:AL97" si="57">IF(G97="","",IF(K26=0,"-",(K26-K66)/K26))</f>
        <v>-</v>
      </c>
      <c r="L97" s="978" t="str">
        <f t="shared" si="57"/>
        <v>-</v>
      </c>
      <c r="M97" s="978" t="str">
        <f t="shared" si="57"/>
        <v>-</v>
      </c>
      <c r="N97" s="978" t="str">
        <f t="shared" si="57"/>
        <v>-</v>
      </c>
      <c r="O97" s="978" t="str">
        <f t="shared" si="57"/>
        <v>-</v>
      </c>
      <c r="P97" s="978" t="str">
        <f t="shared" si="57"/>
        <v>-</v>
      </c>
      <c r="Q97" s="978" t="str">
        <f t="shared" si="57"/>
        <v>-</v>
      </c>
      <c r="R97" s="978" t="str">
        <f t="shared" si="57"/>
        <v>-</v>
      </c>
      <c r="S97" s="978" t="str">
        <f t="shared" si="57"/>
        <v>-</v>
      </c>
      <c r="T97" s="978" t="str">
        <f t="shared" si="57"/>
        <v>-</v>
      </c>
      <c r="U97" s="978" t="str">
        <f t="shared" si="57"/>
        <v>-</v>
      </c>
      <c r="V97" s="978" t="str">
        <f t="shared" si="57"/>
        <v>-</v>
      </c>
      <c r="W97" s="978" t="str">
        <f t="shared" si="57"/>
        <v>-</v>
      </c>
      <c r="X97" s="978" t="str">
        <f t="shared" si="57"/>
        <v>-</v>
      </c>
      <c r="Y97" s="978" t="str">
        <f t="shared" si="57"/>
        <v>-</v>
      </c>
      <c r="Z97" s="978" t="str">
        <f t="shared" si="57"/>
        <v>-</v>
      </c>
      <c r="AA97" s="978" t="str">
        <f t="shared" si="57"/>
        <v>-</v>
      </c>
      <c r="AB97" s="978" t="str">
        <f t="shared" si="57"/>
        <v>-</v>
      </c>
      <c r="AC97" s="978" t="str">
        <f t="shared" si="57"/>
        <v>-</v>
      </c>
      <c r="AD97" s="978" t="str">
        <f t="shared" si="57"/>
        <v>-</v>
      </c>
      <c r="AE97" s="978" t="str">
        <f t="shared" si="57"/>
        <v>-</v>
      </c>
      <c r="AF97" s="978" t="str">
        <f t="shared" si="57"/>
        <v>-</v>
      </c>
      <c r="AG97" s="978" t="str">
        <f t="shared" si="57"/>
        <v>-</v>
      </c>
      <c r="AH97" s="978" t="str">
        <f t="shared" si="57"/>
        <v>-</v>
      </c>
      <c r="AI97" s="978" t="str">
        <f t="shared" si="57"/>
        <v>-</v>
      </c>
      <c r="AJ97" s="978" t="str">
        <f t="shared" si="57"/>
        <v>-</v>
      </c>
      <c r="AK97" s="978" t="str">
        <f t="shared" si="57"/>
        <v>-</v>
      </c>
      <c r="AL97" s="978" t="str">
        <f t="shared" si="57"/>
        <v>-</v>
      </c>
    </row>
    <row r="98" spans="1:38" ht="15" customHeight="1">
      <c r="A98" s="835" t="str">
        <f>IF(A28="","",A28)</f>
        <v/>
      </c>
      <c r="E98" s="978" t="str">
        <f t="shared" ref="E98:J98" si="58">IF($A98="","",IF(E28=0,"-",(E28-E68)/E28))</f>
        <v/>
      </c>
      <c r="F98" s="978" t="str">
        <f t="shared" si="58"/>
        <v/>
      </c>
      <c r="G98" s="978" t="str">
        <f t="shared" si="58"/>
        <v/>
      </c>
      <c r="H98" s="978" t="str">
        <f t="shared" si="58"/>
        <v/>
      </c>
      <c r="I98" s="978" t="str">
        <f t="shared" si="58"/>
        <v/>
      </c>
      <c r="J98" s="978" t="str">
        <f t="shared" si="58"/>
        <v/>
      </c>
      <c r="K98" s="978" t="str">
        <f t="shared" ref="K98:AL98" si="59">IF(G98="","",IF(K28=0,"-",(K28-K68)/K28))</f>
        <v/>
      </c>
      <c r="L98" s="978" t="str">
        <f t="shared" si="59"/>
        <v/>
      </c>
      <c r="M98" s="978" t="str">
        <f t="shared" si="59"/>
        <v/>
      </c>
      <c r="N98" s="978" t="str">
        <f t="shared" si="59"/>
        <v/>
      </c>
      <c r="O98" s="978" t="str">
        <f t="shared" si="59"/>
        <v/>
      </c>
      <c r="P98" s="978" t="str">
        <f t="shared" si="59"/>
        <v/>
      </c>
      <c r="Q98" s="978" t="str">
        <f t="shared" si="59"/>
        <v/>
      </c>
      <c r="R98" s="978" t="str">
        <f t="shared" si="59"/>
        <v/>
      </c>
      <c r="S98" s="978" t="str">
        <f t="shared" si="59"/>
        <v/>
      </c>
      <c r="T98" s="978" t="str">
        <f t="shared" si="59"/>
        <v/>
      </c>
      <c r="U98" s="978" t="str">
        <f t="shared" si="59"/>
        <v/>
      </c>
      <c r="V98" s="978" t="str">
        <f t="shared" si="59"/>
        <v/>
      </c>
      <c r="W98" s="978" t="str">
        <f t="shared" si="59"/>
        <v/>
      </c>
      <c r="X98" s="978" t="str">
        <f t="shared" si="59"/>
        <v/>
      </c>
      <c r="Y98" s="978" t="str">
        <f t="shared" si="59"/>
        <v/>
      </c>
      <c r="Z98" s="978" t="str">
        <f t="shared" si="59"/>
        <v/>
      </c>
      <c r="AA98" s="978" t="str">
        <f t="shared" si="59"/>
        <v/>
      </c>
      <c r="AB98" s="978" t="str">
        <f t="shared" si="59"/>
        <v/>
      </c>
      <c r="AC98" s="978" t="str">
        <f t="shared" si="59"/>
        <v/>
      </c>
      <c r="AD98" s="978" t="str">
        <f t="shared" si="59"/>
        <v/>
      </c>
      <c r="AE98" s="978" t="str">
        <f t="shared" si="59"/>
        <v/>
      </c>
      <c r="AF98" s="978" t="str">
        <f t="shared" si="59"/>
        <v/>
      </c>
      <c r="AG98" s="978" t="str">
        <f t="shared" si="59"/>
        <v/>
      </c>
      <c r="AH98" s="978" t="str">
        <f t="shared" si="59"/>
        <v/>
      </c>
      <c r="AI98" s="978" t="str">
        <f t="shared" si="59"/>
        <v/>
      </c>
      <c r="AJ98" s="978" t="str">
        <f t="shared" si="59"/>
        <v/>
      </c>
      <c r="AK98" s="978" t="str">
        <f t="shared" si="59"/>
        <v/>
      </c>
      <c r="AL98" s="978" t="str">
        <f t="shared" si="59"/>
        <v/>
      </c>
    </row>
    <row r="99" spans="1:38" ht="15" customHeight="1">
      <c r="A99" s="835" t="str">
        <f>IF(A30="","",A30)</f>
        <v/>
      </c>
      <c r="E99" s="978" t="str">
        <f t="shared" ref="E99:J99" si="60">IF($A99="","",IF(E30=0,"-",(E30-E70)/E30))</f>
        <v/>
      </c>
      <c r="F99" s="978" t="str">
        <f t="shared" si="60"/>
        <v/>
      </c>
      <c r="G99" s="978" t="str">
        <f t="shared" si="60"/>
        <v/>
      </c>
      <c r="H99" s="978" t="str">
        <f t="shared" si="60"/>
        <v/>
      </c>
      <c r="I99" s="978" t="str">
        <f t="shared" si="60"/>
        <v/>
      </c>
      <c r="J99" s="978" t="str">
        <f t="shared" si="60"/>
        <v/>
      </c>
      <c r="K99" s="978" t="str">
        <f t="shared" ref="K99:AL99" si="61">IF(G99="","",IF(K30=0,"-",(K30-K70)/K30))</f>
        <v/>
      </c>
      <c r="L99" s="978" t="str">
        <f t="shared" si="61"/>
        <v/>
      </c>
      <c r="M99" s="978" t="str">
        <f t="shared" si="61"/>
        <v/>
      </c>
      <c r="N99" s="978" t="str">
        <f t="shared" si="61"/>
        <v/>
      </c>
      <c r="O99" s="978" t="str">
        <f t="shared" si="61"/>
        <v/>
      </c>
      <c r="P99" s="978" t="str">
        <f t="shared" si="61"/>
        <v/>
      </c>
      <c r="Q99" s="978" t="str">
        <f t="shared" si="61"/>
        <v/>
      </c>
      <c r="R99" s="978" t="str">
        <f t="shared" si="61"/>
        <v/>
      </c>
      <c r="S99" s="978" t="str">
        <f t="shared" si="61"/>
        <v/>
      </c>
      <c r="T99" s="978" t="str">
        <f t="shared" si="61"/>
        <v/>
      </c>
      <c r="U99" s="978" t="str">
        <f t="shared" si="61"/>
        <v/>
      </c>
      <c r="V99" s="978" t="str">
        <f t="shared" si="61"/>
        <v/>
      </c>
      <c r="W99" s="978" t="str">
        <f t="shared" si="61"/>
        <v/>
      </c>
      <c r="X99" s="978" t="str">
        <f t="shared" si="61"/>
        <v/>
      </c>
      <c r="Y99" s="978" t="str">
        <f t="shared" si="61"/>
        <v/>
      </c>
      <c r="Z99" s="978" t="str">
        <f t="shared" si="61"/>
        <v/>
      </c>
      <c r="AA99" s="978" t="str">
        <f t="shared" si="61"/>
        <v/>
      </c>
      <c r="AB99" s="978" t="str">
        <f t="shared" si="61"/>
        <v/>
      </c>
      <c r="AC99" s="978" t="str">
        <f t="shared" si="61"/>
        <v/>
      </c>
      <c r="AD99" s="978" t="str">
        <f t="shared" si="61"/>
        <v/>
      </c>
      <c r="AE99" s="978" t="str">
        <f t="shared" si="61"/>
        <v/>
      </c>
      <c r="AF99" s="978" t="str">
        <f t="shared" si="61"/>
        <v/>
      </c>
      <c r="AG99" s="978" t="str">
        <f t="shared" si="61"/>
        <v/>
      </c>
      <c r="AH99" s="978" t="str">
        <f t="shared" si="61"/>
        <v/>
      </c>
      <c r="AI99" s="978" t="str">
        <f t="shared" si="61"/>
        <v/>
      </c>
      <c r="AJ99" s="978" t="str">
        <f t="shared" si="61"/>
        <v/>
      </c>
      <c r="AK99" s="978" t="str">
        <f t="shared" si="61"/>
        <v/>
      </c>
      <c r="AL99" s="978" t="str">
        <f t="shared" si="61"/>
        <v/>
      </c>
    </row>
    <row r="100" spans="1:38" ht="15" customHeight="1">
      <c r="A100" s="835" t="str">
        <f>IF(A32="","",A32)</f>
        <v/>
      </c>
      <c r="E100" s="978" t="str">
        <f t="shared" ref="E100:J100" si="62">IF($A100="","",IF(E32=0,"-",(E32-E72)/E32))</f>
        <v/>
      </c>
      <c r="F100" s="978" t="str">
        <f t="shared" si="62"/>
        <v/>
      </c>
      <c r="G100" s="978" t="str">
        <f t="shared" si="62"/>
        <v/>
      </c>
      <c r="H100" s="978" t="str">
        <f t="shared" si="62"/>
        <v/>
      </c>
      <c r="I100" s="978" t="str">
        <f t="shared" si="62"/>
        <v/>
      </c>
      <c r="J100" s="978" t="str">
        <f t="shared" si="62"/>
        <v/>
      </c>
      <c r="K100" s="978" t="str">
        <f t="shared" ref="K100:AL100" si="63">IF(G100="","",IF(K32=0,"-",(K32-K72)/K32))</f>
        <v/>
      </c>
      <c r="L100" s="978" t="str">
        <f t="shared" si="63"/>
        <v/>
      </c>
      <c r="M100" s="978" t="str">
        <f t="shared" si="63"/>
        <v/>
      </c>
      <c r="N100" s="978" t="str">
        <f t="shared" si="63"/>
        <v/>
      </c>
      <c r="O100" s="978" t="str">
        <f t="shared" si="63"/>
        <v/>
      </c>
      <c r="P100" s="978" t="str">
        <f t="shared" si="63"/>
        <v/>
      </c>
      <c r="Q100" s="978" t="str">
        <f t="shared" si="63"/>
        <v/>
      </c>
      <c r="R100" s="978" t="str">
        <f t="shared" si="63"/>
        <v/>
      </c>
      <c r="S100" s="978" t="str">
        <f t="shared" si="63"/>
        <v/>
      </c>
      <c r="T100" s="978" t="str">
        <f t="shared" si="63"/>
        <v/>
      </c>
      <c r="U100" s="978" t="str">
        <f t="shared" si="63"/>
        <v/>
      </c>
      <c r="V100" s="978" t="str">
        <f t="shared" si="63"/>
        <v/>
      </c>
      <c r="W100" s="978" t="str">
        <f t="shared" si="63"/>
        <v/>
      </c>
      <c r="X100" s="978" t="str">
        <f t="shared" si="63"/>
        <v/>
      </c>
      <c r="Y100" s="978" t="str">
        <f t="shared" si="63"/>
        <v/>
      </c>
      <c r="Z100" s="978" t="str">
        <f t="shared" si="63"/>
        <v/>
      </c>
      <c r="AA100" s="978" t="str">
        <f t="shared" si="63"/>
        <v/>
      </c>
      <c r="AB100" s="978" t="str">
        <f t="shared" si="63"/>
        <v/>
      </c>
      <c r="AC100" s="978" t="str">
        <f t="shared" si="63"/>
        <v/>
      </c>
      <c r="AD100" s="978" t="str">
        <f t="shared" si="63"/>
        <v/>
      </c>
      <c r="AE100" s="978" t="str">
        <f t="shared" si="63"/>
        <v/>
      </c>
      <c r="AF100" s="978" t="str">
        <f t="shared" si="63"/>
        <v/>
      </c>
      <c r="AG100" s="978" t="str">
        <f t="shared" si="63"/>
        <v/>
      </c>
      <c r="AH100" s="978" t="str">
        <f t="shared" si="63"/>
        <v/>
      </c>
      <c r="AI100" s="978" t="str">
        <f t="shared" si="63"/>
        <v/>
      </c>
      <c r="AJ100" s="978" t="str">
        <f t="shared" si="63"/>
        <v/>
      </c>
      <c r="AK100" s="978" t="str">
        <f t="shared" si="63"/>
        <v/>
      </c>
      <c r="AL100" s="978" t="str">
        <f t="shared" si="63"/>
        <v/>
      </c>
    </row>
    <row r="101" spans="1:38" ht="15" customHeight="1">
      <c r="A101" s="835" t="str">
        <f>IF(A34="","",A34)</f>
        <v/>
      </c>
      <c r="E101" s="978" t="str">
        <f t="shared" ref="E101:J101" si="64">IF($A101="","",IF(E34=0,"-",(E34-E74)/E34))</f>
        <v/>
      </c>
      <c r="F101" s="978" t="str">
        <f t="shared" si="64"/>
        <v/>
      </c>
      <c r="G101" s="978" t="str">
        <f t="shared" si="64"/>
        <v/>
      </c>
      <c r="H101" s="978" t="str">
        <f t="shared" si="64"/>
        <v/>
      </c>
      <c r="I101" s="978" t="str">
        <f t="shared" si="64"/>
        <v/>
      </c>
      <c r="J101" s="978" t="str">
        <f t="shared" si="64"/>
        <v/>
      </c>
      <c r="K101" s="978" t="str">
        <f t="shared" ref="K101:AL101" si="65">IF(G101="","",IF(K34=0,"-",(K34-K74)/K34))</f>
        <v/>
      </c>
      <c r="L101" s="978" t="str">
        <f t="shared" si="65"/>
        <v/>
      </c>
      <c r="M101" s="978" t="str">
        <f t="shared" si="65"/>
        <v/>
      </c>
      <c r="N101" s="978" t="str">
        <f t="shared" si="65"/>
        <v/>
      </c>
      <c r="O101" s="978" t="str">
        <f t="shared" si="65"/>
        <v/>
      </c>
      <c r="P101" s="978" t="str">
        <f t="shared" si="65"/>
        <v/>
      </c>
      <c r="Q101" s="978" t="str">
        <f t="shared" si="65"/>
        <v/>
      </c>
      <c r="R101" s="978" t="str">
        <f t="shared" si="65"/>
        <v/>
      </c>
      <c r="S101" s="978" t="str">
        <f t="shared" si="65"/>
        <v/>
      </c>
      <c r="T101" s="978" t="str">
        <f t="shared" si="65"/>
        <v/>
      </c>
      <c r="U101" s="978" t="str">
        <f t="shared" si="65"/>
        <v/>
      </c>
      <c r="V101" s="978" t="str">
        <f t="shared" si="65"/>
        <v/>
      </c>
      <c r="W101" s="978" t="str">
        <f t="shared" si="65"/>
        <v/>
      </c>
      <c r="X101" s="978" t="str">
        <f t="shared" si="65"/>
        <v/>
      </c>
      <c r="Y101" s="978" t="str">
        <f t="shared" si="65"/>
        <v/>
      </c>
      <c r="Z101" s="978" t="str">
        <f t="shared" si="65"/>
        <v/>
      </c>
      <c r="AA101" s="978" t="str">
        <f t="shared" si="65"/>
        <v/>
      </c>
      <c r="AB101" s="978" t="str">
        <f t="shared" si="65"/>
        <v/>
      </c>
      <c r="AC101" s="978" t="str">
        <f t="shared" si="65"/>
        <v/>
      </c>
      <c r="AD101" s="978" t="str">
        <f t="shared" si="65"/>
        <v/>
      </c>
      <c r="AE101" s="978" t="str">
        <f t="shared" si="65"/>
        <v/>
      </c>
      <c r="AF101" s="978" t="str">
        <f t="shared" si="65"/>
        <v/>
      </c>
      <c r="AG101" s="978" t="str">
        <f t="shared" si="65"/>
        <v/>
      </c>
      <c r="AH101" s="978" t="str">
        <f t="shared" si="65"/>
        <v/>
      </c>
      <c r="AI101" s="978" t="str">
        <f t="shared" si="65"/>
        <v/>
      </c>
      <c r="AJ101" s="978" t="str">
        <f t="shared" si="65"/>
        <v/>
      </c>
      <c r="AK101" s="978" t="str">
        <f t="shared" si="65"/>
        <v/>
      </c>
      <c r="AL101" s="978" t="str">
        <f t="shared" si="65"/>
        <v/>
      </c>
    </row>
    <row r="102" spans="1:38" ht="15" customHeight="1">
      <c r="A102" s="835" t="str">
        <f>IF(A36="","",A36)</f>
        <v/>
      </c>
      <c r="E102" s="978" t="str">
        <f t="shared" ref="E102:J102" si="66">IF($A102="","",IF(E36=0,"-",(E36-E76)/E36))</f>
        <v/>
      </c>
      <c r="F102" s="978" t="str">
        <f t="shared" si="66"/>
        <v/>
      </c>
      <c r="G102" s="978" t="str">
        <f t="shared" si="66"/>
        <v/>
      </c>
      <c r="H102" s="978" t="str">
        <f t="shared" si="66"/>
        <v/>
      </c>
      <c r="I102" s="978" t="str">
        <f t="shared" si="66"/>
        <v/>
      </c>
      <c r="J102" s="978" t="str">
        <f t="shared" si="66"/>
        <v/>
      </c>
      <c r="K102" s="978" t="str">
        <f t="shared" ref="K102:AL102" si="67">IF(G102="","",IF(K36=0,"-",(K36-K76)/K36))</f>
        <v/>
      </c>
      <c r="L102" s="978" t="str">
        <f t="shared" si="67"/>
        <v/>
      </c>
      <c r="M102" s="978" t="str">
        <f t="shared" si="67"/>
        <v/>
      </c>
      <c r="N102" s="978" t="str">
        <f t="shared" si="67"/>
        <v/>
      </c>
      <c r="O102" s="978" t="str">
        <f t="shared" si="67"/>
        <v/>
      </c>
      <c r="P102" s="978" t="str">
        <f t="shared" si="67"/>
        <v/>
      </c>
      <c r="Q102" s="978" t="str">
        <f t="shared" si="67"/>
        <v/>
      </c>
      <c r="R102" s="978" t="str">
        <f t="shared" si="67"/>
        <v/>
      </c>
      <c r="S102" s="978" t="str">
        <f t="shared" si="67"/>
        <v/>
      </c>
      <c r="T102" s="978" t="str">
        <f t="shared" si="67"/>
        <v/>
      </c>
      <c r="U102" s="978" t="str">
        <f t="shared" si="67"/>
        <v/>
      </c>
      <c r="V102" s="978" t="str">
        <f t="shared" si="67"/>
        <v/>
      </c>
      <c r="W102" s="978" t="str">
        <f t="shared" si="67"/>
        <v/>
      </c>
      <c r="X102" s="978" t="str">
        <f t="shared" si="67"/>
        <v/>
      </c>
      <c r="Y102" s="978" t="str">
        <f t="shared" si="67"/>
        <v/>
      </c>
      <c r="Z102" s="978" t="str">
        <f t="shared" si="67"/>
        <v/>
      </c>
      <c r="AA102" s="978" t="str">
        <f t="shared" si="67"/>
        <v/>
      </c>
      <c r="AB102" s="978" t="str">
        <f t="shared" si="67"/>
        <v/>
      </c>
      <c r="AC102" s="978" t="str">
        <f t="shared" si="67"/>
        <v/>
      </c>
      <c r="AD102" s="978" t="str">
        <f t="shared" si="67"/>
        <v/>
      </c>
      <c r="AE102" s="978" t="str">
        <f t="shared" si="67"/>
        <v/>
      </c>
      <c r="AF102" s="978" t="str">
        <f t="shared" si="67"/>
        <v/>
      </c>
      <c r="AG102" s="978" t="str">
        <f t="shared" si="67"/>
        <v/>
      </c>
      <c r="AH102" s="978" t="str">
        <f t="shared" si="67"/>
        <v/>
      </c>
      <c r="AI102" s="978" t="str">
        <f t="shared" si="67"/>
        <v/>
      </c>
      <c r="AJ102" s="978" t="str">
        <f t="shared" si="67"/>
        <v/>
      </c>
      <c r="AK102" s="978" t="str">
        <f t="shared" si="67"/>
        <v/>
      </c>
      <c r="AL102" s="978" t="str">
        <f t="shared" si="67"/>
        <v/>
      </c>
    </row>
    <row r="103" spans="1:38" ht="15" customHeight="1">
      <c r="A103" s="835" t="str">
        <f>IF(A38="","",A38)</f>
        <v/>
      </c>
      <c r="E103" s="978" t="str">
        <f t="shared" ref="E103:J103" si="68">IF($A103="","",IF(E38=0,"-",(E38-E78)/E38))</f>
        <v/>
      </c>
      <c r="F103" s="978" t="str">
        <f t="shared" si="68"/>
        <v/>
      </c>
      <c r="G103" s="978" t="str">
        <f t="shared" si="68"/>
        <v/>
      </c>
      <c r="H103" s="978" t="str">
        <f t="shared" si="68"/>
        <v/>
      </c>
      <c r="I103" s="978" t="str">
        <f t="shared" si="68"/>
        <v/>
      </c>
      <c r="J103" s="978" t="str">
        <f t="shared" si="68"/>
        <v/>
      </c>
      <c r="K103" s="978" t="str">
        <f t="shared" ref="K103:AL103" si="69">IF(G103="","",IF(K38=0,"-",(K38-K78)/K38))</f>
        <v/>
      </c>
      <c r="L103" s="978" t="str">
        <f t="shared" si="69"/>
        <v/>
      </c>
      <c r="M103" s="978" t="str">
        <f t="shared" si="69"/>
        <v/>
      </c>
      <c r="N103" s="978" t="str">
        <f t="shared" si="69"/>
        <v/>
      </c>
      <c r="O103" s="978" t="str">
        <f t="shared" si="69"/>
        <v/>
      </c>
      <c r="P103" s="978" t="str">
        <f t="shared" si="69"/>
        <v/>
      </c>
      <c r="Q103" s="978" t="str">
        <f t="shared" si="69"/>
        <v/>
      </c>
      <c r="R103" s="978" t="str">
        <f t="shared" si="69"/>
        <v/>
      </c>
      <c r="S103" s="978" t="str">
        <f t="shared" si="69"/>
        <v/>
      </c>
      <c r="T103" s="978" t="str">
        <f t="shared" si="69"/>
        <v/>
      </c>
      <c r="U103" s="978" t="str">
        <f t="shared" si="69"/>
        <v/>
      </c>
      <c r="V103" s="978" t="str">
        <f t="shared" si="69"/>
        <v/>
      </c>
      <c r="W103" s="978" t="str">
        <f t="shared" si="69"/>
        <v/>
      </c>
      <c r="X103" s="978" t="str">
        <f t="shared" si="69"/>
        <v/>
      </c>
      <c r="Y103" s="978" t="str">
        <f t="shared" si="69"/>
        <v/>
      </c>
      <c r="Z103" s="978" t="str">
        <f t="shared" si="69"/>
        <v/>
      </c>
      <c r="AA103" s="978" t="str">
        <f t="shared" si="69"/>
        <v/>
      </c>
      <c r="AB103" s="978" t="str">
        <f t="shared" si="69"/>
        <v/>
      </c>
      <c r="AC103" s="978" t="str">
        <f t="shared" si="69"/>
        <v/>
      </c>
      <c r="AD103" s="978" t="str">
        <f t="shared" si="69"/>
        <v/>
      </c>
      <c r="AE103" s="978" t="str">
        <f t="shared" si="69"/>
        <v/>
      </c>
      <c r="AF103" s="978" t="str">
        <f t="shared" si="69"/>
        <v/>
      </c>
      <c r="AG103" s="978" t="str">
        <f t="shared" si="69"/>
        <v/>
      </c>
      <c r="AH103" s="978" t="str">
        <f t="shared" si="69"/>
        <v/>
      </c>
      <c r="AI103" s="978" t="str">
        <f t="shared" si="69"/>
        <v/>
      </c>
      <c r="AJ103" s="978" t="str">
        <f t="shared" si="69"/>
        <v/>
      </c>
      <c r="AK103" s="978" t="str">
        <f t="shared" si="69"/>
        <v/>
      </c>
      <c r="AL103" s="978" t="str">
        <f t="shared" si="69"/>
        <v/>
      </c>
    </row>
    <row r="104" spans="1:38" ht="15" customHeight="1">
      <c r="A104" s="835" t="str">
        <f>IF(A40="","",A40)</f>
        <v/>
      </c>
      <c r="E104" s="978" t="str">
        <f t="shared" ref="E104:J104" si="70">IF($A104="","",IF(E40=0,"-",(E40-E80)/E40))</f>
        <v/>
      </c>
      <c r="F104" s="978" t="str">
        <f t="shared" si="70"/>
        <v/>
      </c>
      <c r="G104" s="978" t="str">
        <f t="shared" si="70"/>
        <v/>
      </c>
      <c r="H104" s="978" t="str">
        <f t="shared" si="70"/>
        <v/>
      </c>
      <c r="I104" s="978" t="str">
        <f t="shared" si="70"/>
        <v/>
      </c>
      <c r="J104" s="978" t="str">
        <f t="shared" si="70"/>
        <v/>
      </c>
      <c r="K104" s="978" t="str">
        <f t="shared" ref="K104:AL104" si="71">IF(G104="","",IF(K40=0,"-",(K40-K80)/K40))</f>
        <v/>
      </c>
      <c r="L104" s="978" t="str">
        <f t="shared" si="71"/>
        <v/>
      </c>
      <c r="M104" s="978" t="str">
        <f t="shared" si="71"/>
        <v/>
      </c>
      <c r="N104" s="978" t="str">
        <f t="shared" si="71"/>
        <v/>
      </c>
      <c r="O104" s="978" t="str">
        <f t="shared" si="71"/>
        <v/>
      </c>
      <c r="P104" s="978" t="str">
        <f t="shared" si="71"/>
        <v/>
      </c>
      <c r="Q104" s="978" t="str">
        <f t="shared" si="71"/>
        <v/>
      </c>
      <c r="R104" s="978" t="str">
        <f t="shared" si="71"/>
        <v/>
      </c>
      <c r="S104" s="978" t="str">
        <f t="shared" si="71"/>
        <v/>
      </c>
      <c r="T104" s="978" t="str">
        <f t="shared" si="71"/>
        <v/>
      </c>
      <c r="U104" s="978" t="str">
        <f t="shared" si="71"/>
        <v/>
      </c>
      <c r="V104" s="978" t="str">
        <f t="shared" si="71"/>
        <v/>
      </c>
      <c r="W104" s="978" t="str">
        <f t="shared" si="71"/>
        <v/>
      </c>
      <c r="X104" s="978" t="str">
        <f t="shared" si="71"/>
        <v/>
      </c>
      <c r="Y104" s="978" t="str">
        <f t="shared" si="71"/>
        <v/>
      </c>
      <c r="Z104" s="978" t="str">
        <f t="shared" si="71"/>
        <v/>
      </c>
      <c r="AA104" s="978" t="str">
        <f t="shared" si="71"/>
        <v/>
      </c>
      <c r="AB104" s="978" t="str">
        <f t="shared" si="71"/>
        <v/>
      </c>
      <c r="AC104" s="978" t="str">
        <f t="shared" si="71"/>
        <v/>
      </c>
      <c r="AD104" s="978" t="str">
        <f t="shared" si="71"/>
        <v/>
      </c>
      <c r="AE104" s="978" t="str">
        <f t="shared" si="71"/>
        <v/>
      </c>
      <c r="AF104" s="978" t="str">
        <f t="shared" si="71"/>
        <v/>
      </c>
      <c r="AG104" s="978" t="str">
        <f t="shared" si="71"/>
        <v/>
      </c>
      <c r="AH104" s="978" t="str">
        <f t="shared" si="71"/>
        <v/>
      </c>
      <c r="AI104" s="978" t="str">
        <f t="shared" si="71"/>
        <v/>
      </c>
      <c r="AJ104" s="978" t="str">
        <f t="shared" si="71"/>
        <v/>
      </c>
      <c r="AK104" s="978" t="str">
        <f t="shared" si="71"/>
        <v/>
      </c>
      <c r="AL104" s="978" t="str">
        <f t="shared" si="71"/>
        <v/>
      </c>
    </row>
    <row r="105" spans="1:38" ht="15" customHeight="1">
      <c r="A105" s="835" t="str">
        <f>IF(A42="","",A42)</f>
        <v/>
      </c>
      <c r="E105" s="978" t="str">
        <f t="shared" ref="E105:J105" si="72">IF($A105="","",IF(E42=0,"-",(E42-E82)/E42))</f>
        <v/>
      </c>
      <c r="F105" s="978" t="str">
        <f t="shared" si="72"/>
        <v/>
      </c>
      <c r="G105" s="978" t="str">
        <f t="shared" si="72"/>
        <v/>
      </c>
      <c r="H105" s="978" t="str">
        <f t="shared" si="72"/>
        <v/>
      </c>
      <c r="I105" s="978" t="str">
        <f t="shared" si="72"/>
        <v/>
      </c>
      <c r="J105" s="978" t="str">
        <f t="shared" si="72"/>
        <v/>
      </c>
      <c r="K105" s="978" t="str">
        <f t="shared" ref="K105:AL105" si="73">IF(G105="","",IF(K42=0,"-",(K42-K82)/K42))</f>
        <v/>
      </c>
      <c r="L105" s="978" t="str">
        <f t="shared" si="73"/>
        <v/>
      </c>
      <c r="M105" s="978" t="str">
        <f t="shared" si="73"/>
        <v/>
      </c>
      <c r="N105" s="978" t="str">
        <f t="shared" si="73"/>
        <v/>
      </c>
      <c r="O105" s="978" t="str">
        <f t="shared" si="73"/>
        <v/>
      </c>
      <c r="P105" s="978" t="str">
        <f t="shared" si="73"/>
        <v/>
      </c>
      <c r="Q105" s="978" t="str">
        <f t="shared" si="73"/>
        <v/>
      </c>
      <c r="R105" s="978" t="str">
        <f t="shared" si="73"/>
        <v/>
      </c>
      <c r="S105" s="978" t="str">
        <f t="shared" si="73"/>
        <v/>
      </c>
      <c r="T105" s="978" t="str">
        <f t="shared" si="73"/>
        <v/>
      </c>
      <c r="U105" s="978" t="str">
        <f t="shared" si="73"/>
        <v/>
      </c>
      <c r="V105" s="978" t="str">
        <f t="shared" si="73"/>
        <v/>
      </c>
      <c r="W105" s="978" t="str">
        <f t="shared" si="73"/>
        <v/>
      </c>
      <c r="X105" s="978" t="str">
        <f t="shared" si="73"/>
        <v/>
      </c>
      <c r="Y105" s="978" t="str">
        <f t="shared" si="73"/>
        <v/>
      </c>
      <c r="Z105" s="978" t="str">
        <f t="shared" si="73"/>
        <v/>
      </c>
      <c r="AA105" s="978" t="str">
        <f t="shared" si="73"/>
        <v/>
      </c>
      <c r="AB105" s="978" t="str">
        <f t="shared" si="73"/>
        <v/>
      </c>
      <c r="AC105" s="978" t="str">
        <f t="shared" si="73"/>
        <v/>
      </c>
      <c r="AD105" s="978" t="str">
        <f t="shared" si="73"/>
        <v/>
      </c>
      <c r="AE105" s="978" t="str">
        <f t="shared" si="73"/>
        <v/>
      </c>
      <c r="AF105" s="978" t="str">
        <f t="shared" si="73"/>
        <v/>
      </c>
      <c r="AG105" s="978" t="str">
        <f t="shared" si="73"/>
        <v/>
      </c>
      <c r="AH105" s="978" t="str">
        <f t="shared" si="73"/>
        <v/>
      </c>
      <c r="AI105" s="978" t="str">
        <f t="shared" si="73"/>
        <v/>
      </c>
      <c r="AJ105" s="978" t="str">
        <f t="shared" si="73"/>
        <v/>
      </c>
      <c r="AK105" s="978" t="str">
        <f t="shared" si="73"/>
        <v/>
      </c>
      <c r="AL105" s="978" t="str">
        <f t="shared" si="73"/>
        <v/>
      </c>
    </row>
    <row r="121" ht="15" hidden="1" customHeight="1"/>
    <row r="123" ht="15" hidden="1" customHeight="1"/>
    <row r="125" ht="15" hidden="1" customHeight="1"/>
    <row r="127" ht="15" hidden="1" customHeight="1"/>
    <row r="129" spans="39:42" ht="15" hidden="1" customHeight="1"/>
    <row r="131" spans="39:42" ht="15" hidden="1" customHeight="1">
      <c r="AM131" s="835" t="e">
        <v>#VALUE!</v>
      </c>
      <c r="AN131" s="835" t="e">
        <v>#VALUE!</v>
      </c>
      <c r="AO131" s="835" t="e">
        <v>#VALUE!</v>
      </c>
      <c r="AP131" s="835" t="e">
        <v>#VALUE!</v>
      </c>
    </row>
    <row r="133" spans="39:42" ht="15" hidden="1" customHeight="1"/>
    <row r="135" spans="39:42" ht="15" hidden="1" customHeight="1"/>
    <row r="137" spans="39:42" ht="15" hidden="1" customHeight="1"/>
    <row r="139" spans="39:42" ht="15" hidden="1" customHeight="1"/>
  </sheetData>
  <mergeCells count="2">
    <mergeCell ref="A1:G1"/>
    <mergeCell ref="H1:N1"/>
  </mergeCells>
  <phoneticPr fontId="7" type="noConversion"/>
  <pageMargins left="0.75" right="0.75" top="1" bottom="1" header="0.5" footer="0.5"/>
  <pageSetup paperSize="9" orientation="portrait" horizontalDpi="96" verticalDpi="96" r:id="rId1"/>
  <headerFooter alignWithMargins="0"/>
  <drawing r:id="rId2"/>
  <legacyDrawing r:id="rId3"/>
  <controls>
    <mc:AlternateContent xmlns:mc="http://schemas.openxmlformats.org/markup-compatibility/2006">
      <mc:Choice Requires="x14">
        <control shapeId="22889473" r:id="rId4" name="cboProdType">
          <controlPr defaultSize="0" autoLine="0" r:id="rId5">
            <anchor moveWithCells="1">
              <from>
                <xdr:col>5</xdr:col>
                <xdr:colOff>0</xdr:colOff>
                <xdr:row>9</xdr:row>
                <xdr:rowOff>7620</xdr:rowOff>
              </from>
              <to>
                <xdr:col>6</xdr:col>
                <xdr:colOff>7620</xdr:colOff>
                <xdr:row>10</xdr:row>
                <xdr:rowOff>22860</xdr:rowOff>
              </to>
            </anchor>
          </controlPr>
        </control>
      </mc:Choice>
      <mc:Fallback>
        <control shapeId="22889473" r:id="rId4" name="cboProdType"/>
      </mc:Fallback>
    </mc:AlternateContent>
    <mc:AlternateContent xmlns:mc="http://schemas.openxmlformats.org/markup-compatibility/2006">
      <mc:Choice Requires="x14">
        <control shapeId="22889474" r:id="rId6" name="cmdProdIn">
          <controlPr defaultSize="0" autoLine="0" r:id="rId7">
            <anchor moveWithCells="1">
              <from>
                <xdr:col>7</xdr:col>
                <xdr:colOff>30480</xdr:colOff>
                <xdr:row>9</xdr:row>
                <xdr:rowOff>0</xdr:rowOff>
              </from>
              <to>
                <xdr:col>9</xdr:col>
                <xdr:colOff>777240</xdr:colOff>
                <xdr:row>10</xdr:row>
                <xdr:rowOff>15240</xdr:rowOff>
              </to>
            </anchor>
          </controlPr>
        </control>
      </mc:Choice>
      <mc:Fallback>
        <control shapeId="22889474" r:id="rId6" name="cmdProdIn"/>
      </mc:Fallback>
    </mc:AlternateContent>
    <mc:AlternateContent xmlns:mc="http://schemas.openxmlformats.org/markup-compatibility/2006">
      <mc:Choice Requires="x14">
        <control shapeId="22889475" r:id="rId8" name="ComboBox1">
          <controlPr autoLine="0" r:id="rId9">
            <anchor>
              <from>
                <xdr:col>1</xdr:col>
                <xdr:colOff>441960</xdr:colOff>
                <xdr:row>11</xdr:row>
                <xdr:rowOff>7620</xdr:rowOff>
              </from>
              <to>
                <xdr:col>3</xdr:col>
                <xdr:colOff>190500</xdr:colOff>
                <xdr:row>12</xdr:row>
                <xdr:rowOff>38100</xdr:rowOff>
              </to>
            </anchor>
          </controlPr>
        </control>
      </mc:Choice>
      <mc:Fallback>
        <control shapeId="22889475" r:id="rId8" name="ComboBox1"/>
      </mc:Fallback>
    </mc:AlternateContent>
    <mc:AlternateContent xmlns:mc="http://schemas.openxmlformats.org/markup-compatibility/2006">
      <mc:Choice Requires="x14">
        <control shapeId="22889476" r:id="rId10" name="ComboBox2">
          <controlPr autoLine="0" r:id="rId11">
            <anchor>
              <from>
                <xdr:col>1</xdr:col>
                <xdr:colOff>441960</xdr:colOff>
                <xdr:row>13</xdr:row>
                <xdr:rowOff>22860</xdr:rowOff>
              </from>
              <to>
                <xdr:col>3</xdr:col>
                <xdr:colOff>190500</xdr:colOff>
                <xdr:row>14</xdr:row>
                <xdr:rowOff>22860</xdr:rowOff>
              </to>
            </anchor>
          </controlPr>
        </control>
      </mc:Choice>
      <mc:Fallback>
        <control shapeId="22889476" r:id="rId10" name="ComboBox2"/>
      </mc:Fallback>
    </mc:AlternateContent>
    <mc:AlternateContent xmlns:mc="http://schemas.openxmlformats.org/markup-compatibility/2006">
      <mc:Choice Requires="x14">
        <control shapeId="22889477" r:id="rId12" name="ComboBox3">
          <controlPr autoLine="0" r:id="rId13">
            <anchor>
              <from>
                <xdr:col>1</xdr:col>
                <xdr:colOff>441960</xdr:colOff>
                <xdr:row>15</xdr:row>
                <xdr:rowOff>7620</xdr:rowOff>
              </from>
              <to>
                <xdr:col>3</xdr:col>
                <xdr:colOff>190500</xdr:colOff>
                <xdr:row>16</xdr:row>
                <xdr:rowOff>7620</xdr:rowOff>
              </to>
            </anchor>
          </controlPr>
        </control>
      </mc:Choice>
      <mc:Fallback>
        <control shapeId="22889477" r:id="rId12" name="ComboBox3"/>
      </mc:Fallback>
    </mc:AlternateContent>
    <mc:AlternateContent xmlns:mc="http://schemas.openxmlformats.org/markup-compatibility/2006">
      <mc:Choice Requires="x14">
        <control shapeId="22889478" r:id="rId14" name="ComboBox4">
          <controlPr autoLine="0" r:id="rId15">
            <anchor>
              <from>
                <xdr:col>1</xdr:col>
                <xdr:colOff>441960</xdr:colOff>
                <xdr:row>17</xdr:row>
                <xdr:rowOff>22860</xdr:rowOff>
              </from>
              <to>
                <xdr:col>3</xdr:col>
                <xdr:colOff>190500</xdr:colOff>
                <xdr:row>18</xdr:row>
                <xdr:rowOff>22860</xdr:rowOff>
              </to>
            </anchor>
          </controlPr>
        </control>
      </mc:Choice>
      <mc:Fallback>
        <control shapeId="22889478" r:id="rId14" name="ComboBox4"/>
      </mc:Fallback>
    </mc:AlternateContent>
    <mc:AlternateContent xmlns:mc="http://schemas.openxmlformats.org/markup-compatibility/2006">
      <mc:Choice Requires="x14">
        <control shapeId="22889479" r:id="rId16" name="ComboBox5">
          <controlPr autoLine="0" r:id="rId17">
            <anchor>
              <from>
                <xdr:col>1</xdr:col>
                <xdr:colOff>441960</xdr:colOff>
                <xdr:row>19</xdr:row>
                <xdr:rowOff>22860</xdr:rowOff>
              </from>
              <to>
                <xdr:col>3</xdr:col>
                <xdr:colOff>190500</xdr:colOff>
                <xdr:row>20</xdr:row>
                <xdr:rowOff>22860</xdr:rowOff>
              </to>
            </anchor>
          </controlPr>
        </control>
      </mc:Choice>
      <mc:Fallback>
        <control shapeId="22889479" r:id="rId16" name="ComboBox5"/>
      </mc:Fallback>
    </mc:AlternateContent>
    <mc:AlternateContent xmlns:mc="http://schemas.openxmlformats.org/markup-compatibility/2006">
      <mc:Choice Requires="x14">
        <control shapeId="22889480" r:id="rId18" name="ComboBox6">
          <controlPr autoLine="0" r:id="rId19">
            <anchor>
              <from>
                <xdr:col>1</xdr:col>
                <xdr:colOff>441960</xdr:colOff>
                <xdr:row>21</xdr:row>
                <xdr:rowOff>7620</xdr:rowOff>
              </from>
              <to>
                <xdr:col>3</xdr:col>
                <xdr:colOff>190500</xdr:colOff>
                <xdr:row>22</xdr:row>
                <xdr:rowOff>7620</xdr:rowOff>
              </to>
            </anchor>
          </controlPr>
        </control>
      </mc:Choice>
      <mc:Fallback>
        <control shapeId="22889480" r:id="rId18" name="ComboBox6"/>
      </mc:Fallback>
    </mc:AlternateContent>
    <mc:AlternateContent xmlns:mc="http://schemas.openxmlformats.org/markup-compatibility/2006">
      <mc:Choice Requires="x14">
        <control shapeId="22889481" r:id="rId20" name="ComboBox7">
          <controlPr autoLine="0" r:id="rId21">
            <anchor>
              <from>
                <xdr:col>1</xdr:col>
                <xdr:colOff>441960</xdr:colOff>
                <xdr:row>23</xdr:row>
                <xdr:rowOff>7620</xdr:rowOff>
              </from>
              <to>
                <xdr:col>3</xdr:col>
                <xdr:colOff>190500</xdr:colOff>
                <xdr:row>24</xdr:row>
                <xdr:rowOff>7620</xdr:rowOff>
              </to>
            </anchor>
          </controlPr>
        </control>
      </mc:Choice>
      <mc:Fallback>
        <control shapeId="22889481" r:id="rId20" name="ComboBox7"/>
      </mc:Fallback>
    </mc:AlternateContent>
    <mc:AlternateContent xmlns:mc="http://schemas.openxmlformats.org/markup-compatibility/2006">
      <mc:Choice Requires="x14">
        <control shapeId="22889482" r:id="rId22" name="ComboBox8">
          <controlPr autoLine="0" r:id="rId23">
            <anchor>
              <from>
                <xdr:col>1</xdr:col>
                <xdr:colOff>441960</xdr:colOff>
                <xdr:row>24</xdr:row>
                <xdr:rowOff>182880</xdr:rowOff>
              </from>
              <to>
                <xdr:col>3</xdr:col>
                <xdr:colOff>190500</xdr:colOff>
                <xdr:row>25</xdr:row>
                <xdr:rowOff>182880</xdr:rowOff>
              </to>
            </anchor>
          </controlPr>
        </control>
      </mc:Choice>
      <mc:Fallback>
        <control shapeId="22889482" r:id="rId22" name="ComboBox8"/>
      </mc:Fallback>
    </mc:AlternateContent>
    <mc:AlternateContent xmlns:mc="http://schemas.openxmlformats.org/markup-compatibility/2006">
      <mc:Choice Requires="x14">
        <control shapeId="22889483" r:id="rId24" name="ComboBox9">
          <controlPr autoLine="0" r:id="rId25">
            <anchor>
              <from>
                <xdr:col>1</xdr:col>
                <xdr:colOff>441960</xdr:colOff>
                <xdr:row>44</xdr:row>
                <xdr:rowOff>22860</xdr:rowOff>
              </from>
              <to>
                <xdr:col>3</xdr:col>
                <xdr:colOff>190500</xdr:colOff>
                <xdr:row>46</xdr:row>
                <xdr:rowOff>22860</xdr:rowOff>
              </to>
            </anchor>
          </controlPr>
        </control>
      </mc:Choice>
      <mc:Fallback>
        <control shapeId="22889483" r:id="rId24" name="ComboBox9"/>
      </mc:Fallback>
    </mc:AlternateContent>
    <mc:AlternateContent xmlns:mc="http://schemas.openxmlformats.org/markup-compatibility/2006">
      <mc:Choice Requires="x14">
        <control shapeId="22889484" r:id="rId26" name="ComboBox10">
          <controlPr autoLine="0" r:id="rId27">
            <anchor>
              <from>
                <xdr:col>1</xdr:col>
                <xdr:colOff>441960</xdr:colOff>
                <xdr:row>49</xdr:row>
                <xdr:rowOff>0</xdr:rowOff>
              </from>
              <to>
                <xdr:col>3</xdr:col>
                <xdr:colOff>190500</xdr:colOff>
                <xdr:row>50</xdr:row>
                <xdr:rowOff>0</xdr:rowOff>
              </to>
            </anchor>
          </controlPr>
        </control>
      </mc:Choice>
      <mc:Fallback>
        <control shapeId="22889484" r:id="rId26" name="ComboBox10"/>
      </mc:Fallback>
    </mc:AlternateContent>
    <mc:AlternateContent xmlns:mc="http://schemas.openxmlformats.org/markup-compatibility/2006">
      <mc:Choice Requires="x14">
        <control shapeId="22889485" r:id="rId28" name="ComboBox11">
          <controlPr autoLine="0" r:id="rId29">
            <anchor>
              <from>
                <xdr:col>1</xdr:col>
                <xdr:colOff>441960</xdr:colOff>
                <xdr:row>50</xdr:row>
                <xdr:rowOff>175260</xdr:rowOff>
              </from>
              <to>
                <xdr:col>3</xdr:col>
                <xdr:colOff>190500</xdr:colOff>
                <xdr:row>51</xdr:row>
                <xdr:rowOff>175260</xdr:rowOff>
              </to>
            </anchor>
          </controlPr>
        </control>
      </mc:Choice>
      <mc:Fallback>
        <control shapeId="22889485" r:id="rId28" name="ComboBox11"/>
      </mc:Fallback>
    </mc:AlternateContent>
    <mc:AlternateContent xmlns:mc="http://schemas.openxmlformats.org/markup-compatibility/2006">
      <mc:Choice Requires="x14">
        <control shapeId="22889486" r:id="rId30" name="ComboBox12">
          <controlPr autoLine="0" r:id="rId31">
            <anchor>
              <from>
                <xdr:col>1</xdr:col>
                <xdr:colOff>441960</xdr:colOff>
                <xdr:row>52</xdr:row>
                <xdr:rowOff>175260</xdr:rowOff>
              </from>
              <to>
                <xdr:col>3</xdr:col>
                <xdr:colOff>190500</xdr:colOff>
                <xdr:row>53</xdr:row>
                <xdr:rowOff>175260</xdr:rowOff>
              </to>
            </anchor>
          </controlPr>
        </control>
      </mc:Choice>
      <mc:Fallback>
        <control shapeId="22889486" r:id="rId30" name="ComboBox12"/>
      </mc:Fallback>
    </mc:AlternateContent>
    <mc:AlternateContent xmlns:mc="http://schemas.openxmlformats.org/markup-compatibility/2006">
      <mc:Choice Requires="x14">
        <control shapeId="22889487" r:id="rId32" name="ComboBox13">
          <controlPr autoLine="0" r:id="rId33">
            <anchor>
              <from>
                <xdr:col>1</xdr:col>
                <xdr:colOff>441960</xdr:colOff>
                <xdr:row>55</xdr:row>
                <xdr:rowOff>0</xdr:rowOff>
              </from>
              <to>
                <xdr:col>3</xdr:col>
                <xdr:colOff>190500</xdr:colOff>
                <xdr:row>56</xdr:row>
                <xdr:rowOff>0</xdr:rowOff>
              </to>
            </anchor>
          </controlPr>
        </control>
      </mc:Choice>
      <mc:Fallback>
        <control shapeId="22889487" r:id="rId32" name="ComboBox13"/>
      </mc:Fallback>
    </mc:AlternateContent>
    <mc:AlternateContent xmlns:mc="http://schemas.openxmlformats.org/markup-compatibility/2006">
      <mc:Choice Requires="x14">
        <control shapeId="22889488" r:id="rId34" name="ComboBox14">
          <controlPr autoLine="0" r:id="rId35">
            <anchor>
              <from>
                <xdr:col>1</xdr:col>
                <xdr:colOff>441960</xdr:colOff>
                <xdr:row>57</xdr:row>
                <xdr:rowOff>7620</xdr:rowOff>
              </from>
              <to>
                <xdr:col>3</xdr:col>
                <xdr:colOff>190500</xdr:colOff>
                <xdr:row>58</xdr:row>
                <xdr:rowOff>7620</xdr:rowOff>
              </to>
            </anchor>
          </controlPr>
        </control>
      </mc:Choice>
      <mc:Fallback>
        <control shapeId="22889488" r:id="rId34" name="ComboBox14"/>
      </mc:Fallback>
    </mc:AlternateContent>
    <mc:AlternateContent xmlns:mc="http://schemas.openxmlformats.org/markup-compatibility/2006">
      <mc:Choice Requires="x14">
        <control shapeId="22889489" r:id="rId36" name="ComboBox15">
          <controlPr autoLine="0" r:id="rId37">
            <anchor>
              <from>
                <xdr:col>1</xdr:col>
                <xdr:colOff>441960</xdr:colOff>
                <xdr:row>59</xdr:row>
                <xdr:rowOff>0</xdr:rowOff>
              </from>
              <to>
                <xdr:col>3</xdr:col>
                <xdr:colOff>190500</xdr:colOff>
                <xdr:row>60</xdr:row>
                <xdr:rowOff>0</xdr:rowOff>
              </to>
            </anchor>
          </controlPr>
        </control>
      </mc:Choice>
      <mc:Fallback>
        <control shapeId="22889489" r:id="rId36" name="ComboBox15"/>
      </mc:Fallback>
    </mc:AlternateContent>
    <mc:AlternateContent xmlns:mc="http://schemas.openxmlformats.org/markup-compatibility/2006">
      <mc:Choice Requires="x14">
        <control shapeId="22889490" r:id="rId38" name="ComboBox16">
          <controlPr autoLine="0" r:id="rId39">
            <anchor>
              <from>
                <xdr:col>1</xdr:col>
                <xdr:colOff>441960</xdr:colOff>
                <xdr:row>61</xdr:row>
                <xdr:rowOff>22860</xdr:rowOff>
              </from>
              <to>
                <xdr:col>3</xdr:col>
                <xdr:colOff>190500</xdr:colOff>
                <xdr:row>62</xdr:row>
                <xdr:rowOff>22860</xdr:rowOff>
              </to>
            </anchor>
          </controlPr>
        </control>
      </mc:Choice>
      <mc:Fallback>
        <control shapeId="22889490" r:id="rId38" name="ComboBox16"/>
      </mc:Fallback>
    </mc:AlternateContent>
    <mc:AlternateContent xmlns:mc="http://schemas.openxmlformats.org/markup-compatibility/2006">
      <mc:Choice Requires="x14">
        <control shapeId="22889491" r:id="rId40" name="ComboBox21">
          <controlPr autoLine="0" r:id="rId41">
            <anchor>
              <from>
                <xdr:col>1</xdr:col>
                <xdr:colOff>441960</xdr:colOff>
                <xdr:row>52</xdr:row>
                <xdr:rowOff>7620</xdr:rowOff>
              </from>
              <to>
                <xdr:col>3</xdr:col>
                <xdr:colOff>190500</xdr:colOff>
                <xdr:row>53</xdr:row>
                <xdr:rowOff>7620</xdr:rowOff>
              </to>
            </anchor>
          </controlPr>
        </control>
      </mc:Choice>
      <mc:Fallback>
        <control shapeId="22889491" r:id="rId40" name="ComboBox21"/>
      </mc:Fallback>
    </mc:AlternateContent>
    <mc:AlternateContent xmlns:mc="http://schemas.openxmlformats.org/markup-compatibility/2006">
      <mc:Choice Requires="x14">
        <control shapeId="22889492" r:id="rId42" name="ComboBox22">
          <controlPr autoLine="0" r:id="rId43">
            <anchor>
              <from>
                <xdr:col>1</xdr:col>
                <xdr:colOff>441960</xdr:colOff>
                <xdr:row>54</xdr:row>
                <xdr:rowOff>7620</xdr:rowOff>
              </from>
              <to>
                <xdr:col>3</xdr:col>
                <xdr:colOff>190500</xdr:colOff>
                <xdr:row>55</xdr:row>
                <xdr:rowOff>7620</xdr:rowOff>
              </to>
            </anchor>
          </controlPr>
        </control>
      </mc:Choice>
      <mc:Fallback>
        <control shapeId="22889492" r:id="rId42" name="ComboBox22"/>
      </mc:Fallback>
    </mc:AlternateContent>
    <mc:AlternateContent xmlns:mc="http://schemas.openxmlformats.org/markup-compatibility/2006">
      <mc:Choice Requires="x14">
        <control shapeId="22889493" r:id="rId44" name="ComboBox23">
          <controlPr autoLine="0" r:id="rId45">
            <anchor>
              <from>
                <xdr:col>1</xdr:col>
                <xdr:colOff>441960</xdr:colOff>
                <xdr:row>56</xdr:row>
                <xdr:rowOff>7620</xdr:rowOff>
              </from>
              <to>
                <xdr:col>3</xdr:col>
                <xdr:colOff>190500</xdr:colOff>
                <xdr:row>57</xdr:row>
                <xdr:rowOff>7620</xdr:rowOff>
              </to>
            </anchor>
          </controlPr>
        </control>
      </mc:Choice>
      <mc:Fallback>
        <control shapeId="22889493" r:id="rId44" name="ComboBox23"/>
      </mc:Fallback>
    </mc:AlternateContent>
    <mc:AlternateContent xmlns:mc="http://schemas.openxmlformats.org/markup-compatibility/2006">
      <mc:Choice Requires="x14">
        <control shapeId="22889494" r:id="rId46" name="ComboBox24">
          <controlPr autoLine="0" r:id="rId47">
            <anchor>
              <from>
                <xdr:col>1</xdr:col>
                <xdr:colOff>441960</xdr:colOff>
                <xdr:row>58</xdr:row>
                <xdr:rowOff>7620</xdr:rowOff>
              </from>
              <to>
                <xdr:col>3</xdr:col>
                <xdr:colOff>190500</xdr:colOff>
                <xdr:row>59</xdr:row>
                <xdr:rowOff>7620</xdr:rowOff>
              </to>
            </anchor>
          </controlPr>
        </control>
      </mc:Choice>
      <mc:Fallback>
        <control shapeId="22889494" r:id="rId46" name="ComboBox24"/>
      </mc:Fallback>
    </mc:AlternateContent>
    <mc:AlternateContent xmlns:mc="http://schemas.openxmlformats.org/markup-compatibility/2006">
      <mc:Choice Requires="x14">
        <control shapeId="22889495" r:id="rId48" name="ComboBox25">
          <controlPr autoLine="0" r:id="rId49">
            <anchor>
              <from>
                <xdr:col>1</xdr:col>
                <xdr:colOff>441960</xdr:colOff>
                <xdr:row>60</xdr:row>
                <xdr:rowOff>7620</xdr:rowOff>
              </from>
              <to>
                <xdr:col>3</xdr:col>
                <xdr:colOff>190500</xdr:colOff>
                <xdr:row>61</xdr:row>
                <xdr:rowOff>38100</xdr:rowOff>
              </to>
            </anchor>
          </controlPr>
        </control>
      </mc:Choice>
      <mc:Fallback>
        <control shapeId="22889495" r:id="rId48" name="ComboBox25"/>
      </mc:Fallback>
    </mc:AlternateContent>
    <mc:AlternateContent xmlns:mc="http://schemas.openxmlformats.org/markup-compatibility/2006">
      <mc:Choice Requires="x14">
        <control shapeId="22889496" r:id="rId50" name="ComboBox26">
          <controlPr autoLine="0" r:id="rId51">
            <anchor>
              <from>
                <xdr:col>1</xdr:col>
                <xdr:colOff>441960</xdr:colOff>
                <xdr:row>62</xdr:row>
                <xdr:rowOff>38100</xdr:rowOff>
              </from>
              <to>
                <xdr:col>3</xdr:col>
                <xdr:colOff>190500</xdr:colOff>
                <xdr:row>63</xdr:row>
                <xdr:rowOff>38100</xdr:rowOff>
              </to>
            </anchor>
          </controlPr>
        </control>
      </mc:Choice>
      <mc:Fallback>
        <control shapeId="22889496" r:id="rId50" name="ComboBox26"/>
      </mc:Fallback>
    </mc:AlternateContent>
    <mc:AlternateContent xmlns:mc="http://schemas.openxmlformats.org/markup-compatibility/2006">
      <mc:Choice Requires="x14">
        <control shapeId="22889497" r:id="rId52" name="ComboBox27">
          <controlPr autoLine="0" r:id="rId53">
            <anchor>
              <from>
                <xdr:col>1</xdr:col>
                <xdr:colOff>441960</xdr:colOff>
                <xdr:row>64</xdr:row>
                <xdr:rowOff>38100</xdr:rowOff>
              </from>
              <to>
                <xdr:col>3</xdr:col>
                <xdr:colOff>190500</xdr:colOff>
                <xdr:row>65</xdr:row>
                <xdr:rowOff>38100</xdr:rowOff>
              </to>
            </anchor>
          </controlPr>
        </control>
      </mc:Choice>
      <mc:Fallback>
        <control shapeId="22889497" r:id="rId52" name="ComboBox27"/>
      </mc:Fallback>
    </mc:AlternateContent>
    <mc:AlternateContent xmlns:mc="http://schemas.openxmlformats.org/markup-compatibility/2006">
      <mc:Choice Requires="x14">
        <control shapeId="22889498" r:id="rId54" name="ComboBox28">
          <controlPr autoLine="0" r:id="rId55">
            <anchor>
              <from>
                <xdr:col>1</xdr:col>
                <xdr:colOff>441960</xdr:colOff>
                <xdr:row>66</xdr:row>
                <xdr:rowOff>38100</xdr:rowOff>
              </from>
              <to>
                <xdr:col>3</xdr:col>
                <xdr:colOff>190500</xdr:colOff>
                <xdr:row>84</xdr:row>
                <xdr:rowOff>38100</xdr:rowOff>
              </to>
            </anchor>
          </controlPr>
        </control>
      </mc:Choice>
      <mc:Fallback>
        <control shapeId="22889498" r:id="rId54" name="ComboBox28"/>
      </mc:Fallback>
    </mc:AlternateContent>
    <mc:AlternateContent xmlns:mc="http://schemas.openxmlformats.org/markup-compatibility/2006">
      <mc:Choice Requires="x14">
        <control shapeId="22889499" r:id="rId56" name="ComboBox29">
          <controlPr autoLine="0" r:id="rId57">
            <anchor>
              <from>
                <xdr:col>1</xdr:col>
                <xdr:colOff>441960</xdr:colOff>
                <xdr:row>86</xdr:row>
                <xdr:rowOff>38100</xdr:rowOff>
              </from>
              <to>
                <xdr:col>3</xdr:col>
                <xdr:colOff>190500</xdr:colOff>
                <xdr:row>87</xdr:row>
                <xdr:rowOff>76200</xdr:rowOff>
              </to>
            </anchor>
          </controlPr>
        </control>
      </mc:Choice>
      <mc:Fallback>
        <control shapeId="22889499" r:id="rId56" name="ComboBox29"/>
      </mc:Fallback>
    </mc:AlternateContent>
    <mc:AlternateContent xmlns:mc="http://schemas.openxmlformats.org/markup-compatibility/2006">
      <mc:Choice Requires="x14">
        <control shapeId="22889500" r:id="rId58" name="ComboBox210">
          <controlPr autoLine="0" r:id="rId59">
            <anchor>
              <from>
                <xdr:col>1</xdr:col>
                <xdr:colOff>441960</xdr:colOff>
                <xdr:row>88</xdr:row>
                <xdr:rowOff>76200</xdr:rowOff>
              </from>
              <to>
                <xdr:col>3</xdr:col>
                <xdr:colOff>190500</xdr:colOff>
                <xdr:row>89</xdr:row>
                <xdr:rowOff>76200</xdr:rowOff>
              </to>
            </anchor>
          </controlPr>
        </control>
      </mc:Choice>
      <mc:Fallback>
        <control shapeId="22889500" r:id="rId58" name="ComboBox210"/>
      </mc:Fallback>
    </mc:AlternateContent>
    <mc:AlternateContent xmlns:mc="http://schemas.openxmlformats.org/markup-compatibility/2006">
      <mc:Choice Requires="x14">
        <control shapeId="22889501" r:id="rId60" name="ComboBox211">
          <controlPr autoLine="0" r:id="rId61">
            <anchor>
              <from>
                <xdr:col>1</xdr:col>
                <xdr:colOff>441960</xdr:colOff>
                <xdr:row>90</xdr:row>
                <xdr:rowOff>76200</xdr:rowOff>
              </from>
              <to>
                <xdr:col>3</xdr:col>
                <xdr:colOff>190500</xdr:colOff>
                <xdr:row>91</xdr:row>
                <xdr:rowOff>76200</xdr:rowOff>
              </to>
            </anchor>
          </controlPr>
        </control>
      </mc:Choice>
      <mc:Fallback>
        <control shapeId="22889501" r:id="rId60" name="ComboBox211"/>
      </mc:Fallback>
    </mc:AlternateContent>
    <mc:AlternateContent xmlns:mc="http://schemas.openxmlformats.org/markup-compatibility/2006">
      <mc:Choice Requires="x14">
        <control shapeId="22889502" r:id="rId62" name="ComboBox212">
          <controlPr autoLine="0" r:id="rId63">
            <anchor>
              <from>
                <xdr:col>1</xdr:col>
                <xdr:colOff>441960</xdr:colOff>
                <xdr:row>92</xdr:row>
                <xdr:rowOff>76200</xdr:rowOff>
              </from>
              <to>
                <xdr:col>3</xdr:col>
                <xdr:colOff>190500</xdr:colOff>
                <xdr:row>93</xdr:row>
                <xdr:rowOff>76200</xdr:rowOff>
              </to>
            </anchor>
          </controlPr>
        </control>
      </mc:Choice>
      <mc:Fallback>
        <control shapeId="22889502" r:id="rId62" name="ComboBox212"/>
      </mc:Fallback>
    </mc:AlternateContent>
    <mc:AlternateContent xmlns:mc="http://schemas.openxmlformats.org/markup-compatibility/2006">
      <mc:Choice Requires="x14">
        <control shapeId="22889503" r:id="rId64" name="ComboBox213">
          <controlPr autoLine="0" r:id="rId65">
            <anchor>
              <from>
                <xdr:col>1</xdr:col>
                <xdr:colOff>441960</xdr:colOff>
                <xdr:row>94</xdr:row>
                <xdr:rowOff>76200</xdr:rowOff>
              </from>
              <to>
                <xdr:col>3</xdr:col>
                <xdr:colOff>190500</xdr:colOff>
                <xdr:row>95</xdr:row>
                <xdr:rowOff>76200</xdr:rowOff>
              </to>
            </anchor>
          </controlPr>
        </control>
      </mc:Choice>
      <mc:Fallback>
        <control shapeId="22889503" r:id="rId64" name="ComboBox213"/>
      </mc:Fallback>
    </mc:AlternateContent>
    <mc:AlternateContent xmlns:mc="http://schemas.openxmlformats.org/markup-compatibility/2006">
      <mc:Choice Requires="x14">
        <control shapeId="22889504" r:id="rId66" name="ComboBox214">
          <controlPr autoLine="0" r:id="rId67">
            <anchor>
              <from>
                <xdr:col>1</xdr:col>
                <xdr:colOff>441960</xdr:colOff>
                <xdr:row>96</xdr:row>
                <xdr:rowOff>76200</xdr:rowOff>
              </from>
              <to>
                <xdr:col>3</xdr:col>
                <xdr:colOff>190500</xdr:colOff>
                <xdr:row>97</xdr:row>
                <xdr:rowOff>76200</xdr:rowOff>
              </to>
            </anchor>
          </controlPr>
        </control>
      </mc:Choice>
      <mc:Fallback>
        <control shapeId="22889504" r:id="rId66" name="ComboBox214"/>
      </mc:Fallback>
    </mc:AlternateContent>
    <mc:AlternateContent xmlns:mc="http://schemas.openxmlformats.org/markup-compatibility/2006">
      <mc:Choice Requires="x14">
        <control shapeId="22889505" r:id="rId68" name="ComboBox215">
          <controlPr autoLine="0" r:id="rId69">
            <anchor>
              <from>
                <xdr:col>1</xdr:col>
                <xdr:colOff>441960</xdr:colOff>
                <xdr:row>98</xdr:row>
                <xdr:rowOff>76200</xdr:rowOff>
              </from>
              <to>
                <xdr:col>3</xdr:col>
                <xdr:colOff>190500</xdr:colOff>
                <xdr:row>99</xdr:row>
                <xdr:rowOff>76200</xdr:rowOff>
              </to>
            </anchor>
          </controlPr>
        </control>
      </mc:Choice>
      <mc:Fallback>
        <control shapeId="22889505" r:id="rId68" name="ComboBox215"/>
      </mc:Fallback>
    </mc:AlternateContent>
    <mc:AlternateContent xmlns:mc="http://schemas.openxmlformats.org/markup-compatibility/2006">
      <mc:Choice Requires="x14">
        <control shapeId="22889506" r:id="rId70" name="ComboBox216">
          <controlPr autoLine="0" r:id="rId71">
            <anchor>
              <from>
                <xdr:col>1</xdr:col>
                <xdr:colOff>441960</xdr:colOff>
                <xdr:row>100</xdr:row>
                <xdr:rowOff>76200</xdr:rowOff>
              </from>
              <to>
                <xdr:col>3</xdr:col>
                <xdr:colOff>190500</xdr:colOff>
                <xdr:row>101</xdr:row>
                <xdr:rowOff>76200</xdr:rowOff>
              </to>
            </anchor>
          </controlPr>
        </control>
      </mc:Choice>
      <mc:Fallback>
        <control shapeId="22889506" r:id="rId70" name="ComboBox216"/>
      </mc:Fallback>
    </mc:AlternateContent>
    <mc:AlternateContent xmlns:mc="http://schemas.openxmlformats.org/markup-compatibility/2006">
      <mc:Choice Requires="x14">
        <control shapeId="22889507" r:id="rId72" name="ComboBox17">
          <controlPr autoLine="0" r:id="rId73">
            <anchor>
              <from>
                <xdr:col>1</xdr:col>
                <xdr:colOff>419100</xdr:colOff>
                <xdr:row>9</xdr:row>
                <xdr:rowOff>45720</xdr:rowOff>
              </from>
              <to>
                <xdr:col>3</xdr:col>
                <xdr:colOff>175260</xdr:colOff>
                <xdr:row>9</xdr:row>
                <xdr:rowOff>266700</xdr:rowOff>
              </to>
            </anchor>
          </controlPr>
        </control>
      </mc:Choice>
      <mc:Fallback>
        <control shapeId="22889507" r:id="rId72" name="ComboBox17"/>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
  <dimension ref="A1:N212"/>
  <sheetViews>
    <sheetView workbookViewId="0">
      <selection activeCell="M27" sqref="M27"/>
    </sheetView>
  </sheetViews>
  <sheetFormatPr defaultColWidth="13.875" defaultRowHeight="15" customHeight="1"/>
  <cols>
    <col min="1" max="1" width="24" style="485" customWidth="1"/>
    <col min="2" max="2" width="21" style="485" customWidth="1"/>
    <col min="3" max="3" width="15.875" style="104" customWidth="1"/>
    <col min="4" max="9" width="15.875" style="485" customWidth="1"/>
    <col min="10" max="10" width="13.375" style="485" customWidth="1"/>
    <col min="11" max="11" width="14.125" style="485" customWidth="1"/>
    <col min="12" max="37" width="15.875" style="485" customWidth="1"/>
    <col min="38" max="49" width="10.875" style="485" customWidth="1"/>
    <col min="50" max="16384" width="13.875" style="485"/>
  </cols>
  <sheetData>
    <row r="1" spans="1:14" ht="24.75" customHeight="1" thickTop="1">
      <c r="A1" s="1288" t="s">
        <v>1442</v>
      </c>
      <c r="B1" s="1289"/>
      <c r="C1" s="136"/>
      <c r="D1" s="136"/>
      <c r="E1" s="136"/>
      <c r="F1" s="136"/>
      <c r="G1" s="136"/>
      <c r="H1" s="136"/>
      <c r="I1" s="136"/>
      <c r="J1" s="136"/>
      <c r="K1" s="137"/>
    </row>
    <row r="2" spans="1:14" ht="15" customHeight="1">
      <c r="A2" s="486"/>
      <c r="B2" s="487"/>
      <c r="C2" s="134"/>
      <c r="D2" s="487"/>
      <c r="E2" s="487"/>
      <c r="F2" s="487"/>
      <c r="G2" s="1287" t="s">
        <v>1286</v>
      </c>
      <c r="H2" s="1287"/>
      <c r="I2" s="1287"/>
      <c r="J2" s="487"/>
      <c r="K2" s="489"/>
    </row>
    <row r="3" spans="1:14" ht="15" customHeight="1">
      <c r="A3" s="490" t="s">
        <v>1376</v>
      </c>
      <c r="B3" s="130"/>
      <c r="C3" s="491" t="s">
        <v>856</v>
      </c>
      <c r="D3" s="482"/>
      <c r="E3" s="488" t="s">
        <v>1281</v>
      </c>
      <c r="F3" s="482" t="s">
        <v>1282</v>
      </c>
      <c r="G3" s="482" t="s">
        <v>1283</v>
      </c>
      <c r="H3" s="482" t="s">
        <v>1284</v>
      </c>
      <c r="I3" s="482" t="s">
        <v>1285</v>
      </c>
      <c r="J3" s="130"/>
      <c r="K3" s="138"/>
    </row>
    <row r="4" spans="1:14" ht="15" customHeight="1">
      <c r="A4" s="492"/>
      <c r="B4" s="467" t="s">
        <v>834</v>
      </c>
      <c r="C4" s="493">
        <v>100</v>
      </c>
      <c r="D4" s="494">
        <f>E4/100-100%</f>
        <v>1.0000000000000009E-2</v>
      </c>
      <c r="E4" s="495">
        <v>101</v>
      </c>
      <c r="F4" s="496">
        <f>C4*(1+D4)</f>
        <v>101</v>
      </c>
      <c r="G4" s="497">
        <v>-0.3</v>
      </c>
      <c r="H4" s="497">
        <v>0.3</v>
      </c>
      <c r="I4" s="497">
        <v>0.1</v>
      </c>
      <c r="J4" s="132"/>
      <c r="K4" s="139"/>
    </row>
    <row r="5" spans="1:14" ht="15" customHeight="1">
      <c r="A5" s="492"/>
      <c r="B5" s="131" t="s">
        <v>1279</v>
      </c>
      <c r="C5" s="493">
        <v>4</v>
      </c>
      <c r="D5" s="494">
        <f>E5/100-100%</f>
        <v>0</v>
      </c>
      <c r="E5" s="495">
        <v>100</v>
      </c>
      <c r="F5" s="496">
        <f>C5*(1+D5)</f>
        <v>4</v>
      </c>
      <c r="G5" s="497">
        <v>-0.3</v>
      </c>
      <c r="H5" s="497">
        <v>0.3</v>
      </c>
      <c r="I5" s="497">
        <v>0.1</v>
      </c>
      <c r="J5" s="133"/>
      <c r="K5" s="140"/>
    </row>
    <row r="6" spans="1:14" ht="15" customHeight="1">
      <c r="A6" s="492"/>
      <c r="B6" s="131" t="s">
        <v>1280</v>
      </c>
      <c r="C6" s="493">
        <v>3</v>
      </c>
      <c r="D6" s="494">
        <f>E6/100-100%</f>
        <v>0</v>
      </c>
      <c r="E6" s="495">
        <v>100</v>
      </c>
      <c r="F6" s="496">
        <f>C6*(1+D6)</f>
        <v>3</v>
      </c>
      <c r="G6" s="487"/>
      <c r="H6" s="487"/>
      <c r="I6" s="487"/>
      <c r="J6" s="487"/>
      <c r="K6" s="489"/>
    </row>
    <row r="7" spans="1:14" ht="15" customHeight="1">
      <c r="A7" s="492"/>
      <c r="B7" s="498"/>
      <c r="C7" s="487"/>
      <c r="D7" s="494"/>
      <c r="E7" s="495"/>
      <c r="F7" s="487"/>
      <c r="G7" s="487"/>
      <c r="H7" s="487"/>
      <c r="I7" s="487"/>
      <c r="J7" s="487"/>
      <c r="K7" s="489"/>
    </row>
    <row r="8" spans="1:14" ht="15" customHeight="1">
      <c r="A8" s="492"/>
      <c r="B8" s="487"/>
      <c r="C8" s="134"/>
      <c r="D8" s="487"/>
      <c r="E8" s="487"/>
      <c r="F8" s="487"/>
      <c r="G8" s="487"/>
      <c r="H8" s="487"/>
      <c r="I8" s="487"/>
      <c r="J8" s="487"/>
      <c r="K8" s="489"/>
    </row>
    <row r="9" spans="1:14" ht="15" customHeight="1">
      <c r="A9" s="492"/>
      <c r="B9" s="499"/>
      <c r="C9" s="1284" t="s">
        <v>1301</v>
      </c>
      <c r="D9" s="1285"/>
      <c r="E9" s="1285"/>
      <c r="F9" s="1285"/>
      <c r="G9" s="1285"/>
      <c r="H9" s="1285"/>
      <c r="I9" s="1285"/>
      <c r="J9" s="1285"/>
      <c r="K9" s="1286"/>
    </row>
    <row r="10" spans="1:14" ht="15" customHeight="1">
      <c r="A10" s="500"/>
      <c r="B10" s="484" t="s">
        <v>2905</v>
      </c>
      <c r="C10" s="134"/>
      <c r="D10" s="671">
        <f>IF(D11=0," ",$F4*(1+D11))</f>
        <v>70.699999999999989</v>
      </c>
      <c r="E10" s="671">
        <f t="shared" ref="E10:K10" si="0">IF(E11=0," ",$F4*(1+E11))</f>
        <v>80.800000000000011</v>
      </c>
      <c r="F10" s="671">
        <f t="shared" si="0"/>
        <v>90.9</v>
      </c>
      <c r="G10" s="671">
        <f t="shared" si="0"/>
        <v>101</v>
      </c>
      <c r="H10" s="671">
        <f t="shared" si="0"/>
        <v>111.10000000000001</v>
      </c>
      <c r="I10" s="671">
        <f t="shared" si="0"/>
        <v>121.19999999999999</v>
      </c>
      <c r="J10" s="671">
        <f t="shared" si="0"/>
        <v>131.30000000000001</v>
      </c>
      <c r="K10" s="671" t="str">
        <f t="shared" si="0"/>
        <v xml:space="preserve"> </v>
      </c>
    </row>
    <row r="11" spans="1:14" s="104" customFormat="1" ht="15" customHeight="1">
      <c r="A11" s="501"/>
      <c r="B11" s="502"/>
      <c r="C11" s="134"/>
      <c r="D11" s="669">
        <v>-0.3</v>
      </c>
      <c r="E11" s="669">
        <v>-0.19999999999999998</v>
      </c>
      <c r="F11" s="669">
        <v>-9.9999999999999978E-2</v>
      </c>
      <c r="G11" s="669">
        <v>2.7755575615628914E-17</v>
      </c>
      <c r="H11" s="669">
        <v>0.10000000000000003</v>
      </c>
      <c r="I11" s="669">
        <v>0.20000000000000004</v>
      </c>
      <c r="J11" s="669">
        <v>0.30000000000000004</v>
      </c>
      <c r="K11" s="670"/>
    </row>
    <row r="12" spans="1:14" s="103" customFormat="1" ht="15" customHeight="1">
      <c r="A12" s="141"/>
      <c r="B12" s="671">
        <f>IF(C12=0," ",F$5*(1+C12))</f>
        <v>2.8</v>
      </c>
      <c r="C12" s="669">
        <v>-0.3</v>
      </c>
      <c r="D12" s="987">
        <f>(F4*(1+$D$11)*(F5*(1+C12)-F6)-C4*(C5-C6))/目录!F8</f>
        <v>-9.6951756341416784E-2</v>
      </c>
      <c r="E12" s="987">
        <f>(F4*(1+$E$11)*(F5*(1+C12)-F6)-C4*(C5-C6))/目录!F8</f>
        <v>-9.8667566292438891E-2</v>
      </c>
      <c r="F12" s="987">
        <f>(F4*(1+$F$11)*(F5*(1+C12)-F6)-C4*(C5-C6))/目录!F8</f>
        <v>-0.10038337624346098</v>
      </c>
      <c r="G12" s="987">
        <f>(F4*(1+$G$11)*(F5*(1+C12)-F6)-C4*(C5-C6))/目录!F8</f>
        <v>-0.10209918619448308</v>
      </c>
      <c r="H12" s="987">
        <f>(F4*(1+$H$11)*(F5*(1+C12)-F6)-C4*(C5-C6))/目录!F8</f>
        <v>-0.10381499614550518</v>
      </c>
      <c r="I12" s="987">
        <f>(F4*(1+$I$11)*(F5*(1+C12)-F6)-C4*(C5-C6))/目录!F8</f>
        <v>-0.10553080609652726</v>
      </c>
      <c r="J12" s="987">
        <f>(F4*(1+$J$11)*(F5*(1+C12)-F6)-C4*(C5-C6))/目录!F8</f>
        <v>-0.10724661604754936</v>
      </c>
      <c r="K12" s="672"/>
      <c r="L12" s="468"/>
      <c r="M12" s="468"/>
      <c r="N12" s="468"/>
    </row>
    <row r="13" spans="1:14" s="103" customFormat="1" ht="15" customHeight="1">
      <c r="A13" s="141"/>
      <c r="B13" s="671">
        <f t="shared" ref="B13:B22" si="1">IF(C13=0," ",F$5*(1+C13))</f>
        <v>3.2</v>
      </c>
      <c r="C13" s="669">
        <v>-0.19999999999999998</v>
      </c>
      <c r="D13" s="987">
        <f>(F4*(1+$D$11)*(F5*(1+C13)-F6)-C4*(C5-C6))/目录!F8</f>
        <v>-7.2930417027107439E-2</v>
      </c>
      <c r="E13" s="987">
        <f>(F4*(1+$E$11)*(F5*(1+C13)-F6)-C4*(C5-C6))/目录!F8</f>
        <v>-7.1214607076085332E-2</v>
      </c>
      <c r="F13" s="987">
        <f>(F4*(1+$F$11)*(F5*(1+C13)-F6)-C4*(C5-C6))/目录!F8</f>
        <v>-6.9498797125063239E-2</v>
      </c>
      <c r="G13" s="987">
        <f>(F4*(1+$G$11)*(F5*(1+C13)-F6)-C4*(C5-C6))/目录!F8</f>
        <v>-6.7782987174041145E-2</v>
      </c>
      <c r="H13" s="987">
        <f>(F4*(1+$H$11)*(F5*(1+C13)-F6)-C4*(C5-C6))/目录!F8</f>
        <v>-6.6067177223019052E-2</v>
      </c>
      <c r="I13" s="987">
        <f>(F4*(1+$I$11)*(F5*(1+C13)-F6)-C4*(C5-C6))/目录!F8</f>
        <v>-6.4351367271996959E-2</v>
      </c>
      <c r="J13" s="987">
        <f>(F4*(1+$J$11)*(F5*(1+C13)-F6)-C4*(C5-C6))/目录!F8</f>
        <v>-6.2635557320974866E-2</v>
      </c>
      <c r="K13" s="672"/>
      <c r="L13" s="468"/>
      <c r="M13" s="468"/>
      <c r="N13" s="468"/>
    </row>
    <row r="14" spans="1:14" s="103" customFormat="1" ht="15" customHeight="1">
      <c r="A14" s="675"/>
      <c r="B14" s="671">
        <f t="shared" si="1"/>
        <v>3.6</v>
      </c>
      <c r="C14" s="669">
        <v>-9.9999999999999978E-2</v>
      </c>
      <c r="D14" s="987">
        <f>(F4*(1+$D$11)*(F5*(1+C14)-F6)-C4*(C5-C6))/目录!F8</f>
        <v>-4.8909077712798121E-2</v>
      </c>
      <c r="E14" s="987">
        <f>(F4*(1+$E$11)*(F5*(1+C14)-F6)-C4*(C5-C6))/目录!F8</f>
        <v>-4.3761647859731828E-2</v>
      </c>
      <c r="F14" s="987">
        <f>(F4*(1+$F$11)*(F5*(1+C14)-F6)-C4*(C5-C6))/目录!F8</f>
        <v>-3.8614218006665549E-2</v>
      </c>
      <c r="G14" s="987">
        <f>(F4*(1+$G$11)*(F5*(1+C14)-F6)-C4*(C5-C6))/目录!F8</f>
        <v>-3.3466788153599263E-2</v>
      </c>
      <c r="H14" s="987">
        <f>(F4*(1+$H$11)*(F5*(1+C14)-F6)-C4*(C5-C6))/目录!F8</f>
        <v>-2.831935830053298E-2</v>
      </c>
      <c r="I14" s="987">
        <f>(F4*(1+$I$11)*(F5*(1+C14)-F6)-C4*(C5-C6))/目录!F8</f>
        <v>-2.3171928447466704E-2</v>
      </c>
      <c r="J14" s="987">
        <f>(F4*(1+$J$11)*(F5*(1+C14)-F6)-C4*(C5-C6))/目录!F8</f>
        <v>-1.8024498594400407E-2</v>
      </c>
      <c r="K14" s="672"/>
      <c r="L14" s="468"/>
      <c r="M14" s="468"/>
      <c r="N14" s="468"/>
    </row>
    <row r="15" spans="1:14" s="103" customFormat="1" ht="15" customHeight="1">
      <c r="A15" s="676" t="s">
        <v>1302</v>
      </c>
      <c r="B15" s="671">
        <f t="shared" si="1"/>
        <v>4</v>
      </c>
      <c r="C15" s="669">
        <v>2.7755575615628914E-17</v>
      </c>
      <c r="D15" s="987">
        <f>(F4*(1+$D$11)*(F5*(1+C15)-F6)-C4*(C5-C6))/目录!F8</f>
        <v>-2.4887738398488807E-2</v>
      </c>
      <c r="E15" s="987">
        <f>(F4*(1+$E$11)*(F5*(1+C15)-F6)-C4*(C5-C6))/目录!F8</f>
        <v>-1.6308688643378318E-2</v>
      </c>
      <c r="F15" s="987">
        <f>(F4*(1+$F$11)*(F5*(1+C15)-F6)-C4*(C5-C6))/目录!F8</f>
        <v>-7.7296388882678478E-3</v>
      </c>
      <c r="G15" s="987">
        <f>(F4*(1+$G$11)*(F5*(1+C15)-F6)-C4*(C5-C6))/目录!F8</f>
        <v>8.4941086684262111E-4</v>
      </c>
      <c r="H15" s="987">
        <f>(F4*(1+$H$11)*(F5*(1+C15)-F6)-C4*(C5-C6))/目录!F8</f>
        <v>9.4284606219531015E-3</v>
      </c>
      <c r="I15" s="987">
        <f>(F4*(1+$I$11)*(F5*(1+C15)-F6)-C4*(C5-C6))/目录!F8</f>
        <v>1.8007510377063558E-2</v>
      </c>
      <c r="J15" s="987">
        <f>(F4*(1+$J$11)*(F5*(1+C15)-F6)-C4*(C5-C6))/目录!F8</f>
        <v>2.6586560132174052E-2</v>
      </c>
      <c r="K15" s="672"/>
      <c r="L15" s="468"/>
      <c r="M15" s="468"/>
      <c r="N15" s="468"/>
    </row>
    <row r="16" spans="1:14" s="103" customFormat="1" ht="15" customHeight="1">
      <c r="A16" s="141"/>
      <c r="B16" s="671">
        <f t="shared" si="1"/>
        <v>4.4000000000000004</v>
      </c>
      <c r="C16" s="669">
        <v>0.10000000000000003</v>
      </c>
      <c r="D16" s="987">
        <f>(F4*(1+$D$11)*(F5*(1+C16)-F6)-C4*(C5-C6))/目录!F8</f>
        <v>-8.6639908417947015E-4</v>
      </c>
      <c r="E16" s="987">
        <f>(F4*(1+$E$11)*(F5*(1+C16)-F6)-C4*(C5-C6))/目录!F8</f>
        <v>1.1144270572975229E-2</v>
      </c>
      <c r="F16" s="987">
        <f>(F4*(1+$F$11)*(F5*(1+C16)-F6)-C4*(C5-C6))/目录!F8</f>
        <v>2.3154940230129879E-2</v>
      </c>
      <c r="G16" s="987">
        <f>(F4*(1+$G$11)*(F5*(1+C16)-F6)-C4*(C5-C6))/目录!F8</f>
        <v>3.5165609887284545E-2</v>
      </c>
      <c r="H16" s="987">
        <f>(F4*(1+$H$11)*(F5*(1+C16)-F6)-C4*(C5-C6))/目录!F8</f>
        <v>4.7176279544439217E-2</v>
      </c>
      <c r="I16" s="987">
        <f>(F4*(1+$I$11)*(F5*(1+C16)-F6)-C4*(C5-C6))/目录!F8</f>
        <v>5.9186949201593869E-2</v>
      </c>
      <c r="J16" s="987">
        <f>(F4*(1+$J$11)*(F5*(1+C16)-F6)-C4*(C5-C6))/目录!F8</f>
        <v>7.1197618858748549E-2</v>
      </c>
      <c r="K16" s="672"/>
      <c r="L16" s="468"/>
      <c r="M16" s="468"/>
      <c r="N16" s="468"/>
    </row>
    <row r="17" spans="1:14" s="103" customFormat="1" ht="15" customHeight="1">
      <c r="A17" s="141"/>
      <c r="B17" s="671">
        <f t="shared" si="1"/>
        <v>4.8</v>
      </c>
      <c r="C17" s="669">
        <v>0.20000000000000004</v>
      </c>
      <c r="D17" s="987">
        <f>(F4*(1+$D$11)*(F5*(1+C17)-F6)-C4*(C5-C6))/目录!F8</f>
        <v>2.315494023012982E-2</v>
      </c>
      <c r="E17" s="987">
        <f>(F4*(1+$E$11)*(F5*(1+C17)-F6)-C4*(C5-C6))/目录!F8</f>
        <v>3.8597229789328703E-2</v>
      </c>
      <c r="F17" s="987">
        <f>(F4*(1+$F$11)*(F5*(1+C17)-F6)-C4*(C5-C6))/目录!F8</f>
        <v>5.4039519348527562E-2</v>
      </c>
      <c r="G17" s="987">
        <f>(F4*(1+$G$11)*(F5*(1+C17)-F6)-C4*(C5-C6))/目录!F8</f>
        <v>6.94818089077264E-2</v>
      </c>
      <c r="H17" s="987">
        <f>(F4*(1+$H$11)*(F5*(1+C17)-F6)-C4*(C5-C6))/目录!F8</f>
        <v>8.4924098466925252E-2</v>
      </c>
      <c r="I17" s="987">
        <f>(F4*(1+$I$11)*(F5*(1+C17)-F6)-C4*(C5-C6))/目录!F8</f>
        <v>0.10036638802612409</v>
      </c>
      <c r="J17" s="987">
        <f>(F4*(1+$J$11)*(F5*(1+C17)-F6)-C4*(C5-C6))/目录!F8</f>
        <v>0.11580867758532297</v>
      </c>
      <c r="K17" s="672"/>
      <c r="L17" s="468"/>
      <c r="M17" s="468"/>
      <c r="N17" s="468"/>
    </row>
    <row r="18" spans="1:14" s="103" customFormat="1" ht="15" customHeight="1">
      <c r="A18" s="141"/>
      <c r="B18" s="671">
        <f t="shared" si="1"/>
        <v>5.2</v>
      </c>
      <c r="C18" s="669">
        <v>0.30000000000000004</v>
      </c>
      <c r="D18" s="987">
        <f>(F4*(1+$D$11)*(F5*(1+C18)-F6)-C4*(C5-C6))/目录!F8</f>
        <v>4.7176279544439169E-2</v>
      </c>
      <c r="E18" s="987">
        <f>(F4*(1+$E$11)*(F5*(1+C18)-F6)-C4*(C5-C6))/目录!F8</f>
        <v>6.6050189005682255E-2</v>
      </c>
      <c r="F18" s="987">
        <f>(F4*(1+$F$11)*(F5*(1+C18)-F6)-C4*(C5-C6))/目录!F8</f>
        <v>8.492409846692528E-2</v>
      </c>
      <c r="G18" s="987">
        <f>(F4*(1+$G$11)*(F5*(1+C18)-F6)-C4*(C5-C6))/目录!F8</f>
        <v>0.10379800792816832</v>
      </c>
      <c r="H18" s="987">
        <f>(F4*(1+$H$11)*(F5*(1+C18)-F6)-C4*(C5-C6))/目录!F8</f>
        <v>0.12267191738941138</v>
      </c>
      <c r="I18" s="987">
        <f>(F4*(1+$I$11)*(F5*(1+C18)-F6)-C4*(C5-C6))/目录!F8</f>
        <v>0.14154582685065437</v>
      </c>
      <c r="J18" s="987">
        <f>(F4*(1+$J$11)*(F5*(1+C18)-F6)-C4*(C5-C6))/目录!F8</f>
        <v>0.16041973631189749</v>
      </c>
      <c r="K18" s="672"/>
      <c r="L18" s="468"/>
      <c r="M18" s="468"/>
      <c r="N18" s="468"/>
    </row>
    <row r="19" spans="1:14" s="103" customFormat="1" ht="15" customHeight="1">
      <c r="A19" s="141"/>
      <c r="B19" s="671" t="str">
        <f t="shared" si="1"/>
        <v xml:space="preserve"> </v>
      </c>
      <c r="C19" s="669"/>
      <c r="D19" s="668"/>
      <c r="E19" s="668"/>
      <c r="F19" s="668"/>
      <c r="G19" s="668"/>
      <c r="H19" s="668"/>
      <c r="I19" s="668"/>
      <c r="J19" s="668"/>
      <c r="K19" s="672"/>
      <c r="L19" s="468"/>
      <c r="M19" s="468"/>
      <c r="N19" s="468"/>
    </row>
    <row r="20" spans="1:14" s="103" customFormat="1" ht="15" customHeight="1">
      <c r="A20" s="141"/>
      <c r="B20" s="671" t="str">
        <f t="shared" si="1"/>
        <v xml:space="preserve"> </v>
      </c>
      <c r="C20" s="669"/>
      <c r="D20" s="668"/>
      <c r="E20" s="668"/>
      <c r="F20" s="668"/>
      <c r="G20" s="668"/>
      <c r="H20" s="668"/>
      <c r="I20" s="673"/>
      <c r="J20" s="668"/>
      <c r="K20" s="672"/>
      <c r="L20" s="468"/>
      <c r="M20" s="468"/>
      <c r="N20" s="468"/>
    </row>
    <row r="21" spans="1:14" s="103" customFormat="1" ht="15" customHeight="1">
      <c r="A21" s="142"/>
      <c r="B21" s="671" t="str">
        <f t="shared" si="1"/>
        <v xml:space="preserve"> </v>
      </c>
      <c r="C21" s="669"/>
      <c r="D21" s="668"/>
      <c r="E21" s="668"/>
      <c r="F21" s="668"/>
      <c r="G21" s="668"/>
      <c r="H21" s="668"/>
      <c r="I21" s="673"/>
      <c r="J21" s="668"/>
      <c r="K21" s="672"/>
      <c r="L21" s="468"/>
      <c r="M21" s="468"/>
      <c r="N21" s="468"/>
    </row>
    <row r="22" spans="1:14" s="103" customFormat="1" ht="15" customHeight="1">
      <c r="A22" s="142"/>
      <c r="B22" s="671" t="str">
        <f t="shared" si="1"/>
        <v xml:space="preserve"> </v>
      </c>
      <c r="C22" s="669"/>
      <c r="D22" s="668"/>
      <c r="E22" s="668"/>
      <c r="F22" s="668"/>
      <c r="G22" s="668"/>
      <c r="H22" s="668"/>
      <c r="I22" s="674"/>
      <c r="J22" s="668"/>
      <c r="K22" s="672"/>
      <c r="L22" s="468"/>
      <c r="M22" s="468"/>
      <c r="N22" s="468"/>
    </row>
    <row r="23" spans="1:14" s="103" customFormat="1" ht="15" customHeight="1">
      <c r="A23" s="142"/>
      <c r="B23" s="135"/>
      <c r="C23" s="134"/>
      <c r="D23" s="469"/>
      <c r="E23" s="469"/>
      <c r="G23" s="469"/>
      <c r="H23" s="469"/>
      <c r="I23" s="469"/>
      <c r="J23" s="469"/>
      <c r="K23" s="470"/>
      <c r="L23" s="468"/>
      <c r="M23" s="468"/>
      <c r="N23" s="468"/>
    </row>
    <row r="24" spans="1:14" s="103" customFormat="1" ht="15" customHeight="1">
      <c r="A24" s="142"/>
      <c r="B24" s="508" t="s">
        <v>858</v>
      </c>
      <c r="C24" s="134"/>
      <c r="D24" s="469"/>
      <c r="E24" s="469"/>
      <c r="F24" s="469"/>
      <c r="G24" s="469"/>
      <c r="H24" s="469"/>
      <c r="I24" s="469"/>
      <c r="J24" s="469"/>
      <c r="K24" s="470"/>
      <c r="L24" s="468"/>
      <c r="M24" s="468"/>
      <c r="N24" s="468"/>
    </row>
    <row r="25" spans="1:14" s="103" customFormat="1" ht="15" customHeight="1">
      <c r="A25" s="142"/>
      <c r="B25" s="507" t="s">
        <v>857</v>
      </c>
      <c r="C25" s="134"/>
      <c r="D25" s="469"/>
      <c r="E25" s="469"/>
      <c r="F25" s="469"/>
      <c r="G25" s="469"/>
      <c r="H25" s="469"/>
      <c r="I25" s="469"/>
      <c r="J25" s="469"/>
      <c r="K25" s="470"/>
      <c r="L25" s="468"/>
      <c r="M25" s="468"/>
      <c r="N25" s="468"/>
    </row>
    <row r="26" spans="1:14" s="103" customFormat="1" ht="15" customHeight="1" thickBot="1">
      <c r="A26" s="143"/>
      <c r="B26" s="503"/>
      <c r="C26" s="504"/>
      <c r="D26" s="471"/>
      <c r="E26" s="471"/>
      <c r="F26" s="471"/>
      <c r="G26" s="471"/>
      <c r="H26" s="471"/>
      <c r="I26" s="471"/>
      <c r="J26" s="471"/>
      <c r="K26" s="472"/>
      <c r="L26" s="468"/>
      <c r="M26" s="468"/>
      <c r="N26" s="468"/>
    </row>
    <row r="27" spans="1:14" s="103" customFormat="1" ht="15" customHeight="1" thickTop="1">
      <c r="C27" s="505"/>
      <c r="D27" s="506"/>
      <c r="E27" s="506"/>
      <c r="F27" s="468"/>
      <c r="G27" s="468"/>
      <c r="H27" s="468"/>
      <c r="I27" s="468"/>
      <c r="J27" s="468"/>
      <c r="K27" s="468"/>
      <c r="L27" s="468"/>
      <c r="M27" s="468"/>
      <c r="N27" s="468"/>
    </row>
    <row r="28" spans="1:14" s="103" customFormat="1" ht="15" customHeight="1">
      <c r="C28" s="505"/>
      <c r="D28" s="506"/>
      <c r="E28" s="506"/>
      <c r="F28" s="468"/>
      <c r="G28" s="468"/>
      <c r="H28" s="468"/>
      <c r="I28" s="468"/>
      <c r="J28" s="468"/>
      <c r="K28" s="468"/>
      <c r="L28" s="468"/>
      <c r="M28" s="468"/>
      <c r="N28" s="468"/>
    </row>
    <row r="29" spans="1:14" s="103" customFormat="1" ht="15" customHeight="1">
      <c r="C29" s="505"/>
      <c r="D29" s="506"/>
      <c r="E29" s="506"/>
      <c r="F29" s="468"/>
      <c r="G29" s="468"/>
      <c r="H29" s="468"/>
      <c r="I29" s="468"/>
      <c r="J29" s="468"/>
      <c r="K29" s="468"/>
      <c r="L29" s="468"/>
      <c r="M29" s="468"/>
      <c r="N29" s="468"/>
    </row>
    <row r="30" spans="1:14" s="103" customFormat="1" ht="15" customHeight="1">
      <c r="C30" s="104"/>
      <c r="L30" s="468"/>
      <c r="M30" s="468"/>
      <c r="N30" s="468"/>
    </row>
    <row r="31" spans="1:14" s="103" customFormat="1" ht="15" customHeight="1">
      <c r="C31" s="104"/>
      <c r="L31" s="468"/>
      <c r="M31" s="468"/>
      <c r="N31" s="468"/>
    </row>
    <row r="32" spans="1:14" s="103" customFormat="1" ht="15" customHeight="1">
      <c r="C32" s="104"/>
      <c r="L32" s="468"/>
      <c r="M32" s="468"/>
      <c r="N32" s="468"/>
    </row>
    <row r="33" spans="3:3" s="103" customFormat="1" ht="15" customHeight="1">
      <c r="C33" s="104"/>
    </row>
    <row r="34" spans="3:3" s="103" customFormat="1" ht="15" customHeight="1">
      <c r="C34" s="104"/>
    </row>
    <row r="35" spans="3:3" s="103" customFormat="1" ht="15" customHeight="1">
      <c r="C35" s="104"/>
    </row>
    <row r="36" spans="3:3" s="103" customFormat="1" ht="15" customHeight="1">
      <c r="C36" s="104"/>
    </row>
    <row r="37" spans="3:3" s="103" customFormat="1" ht="15" customHeight="1">
      <c r="C37" s="104"/>
    </row>
    <row r="38" spans="3:3" s="103" customFormat="1" ht="15" customHeight="1">
      <c r="C38" s="104"/>
    </row>
    <row r="39" spans="3:3" s="103" customFormat="1" ht="15" customHeight="1">
      <c r="C39" s="104"/>
    </row>
    <row r="40" spans="3:3" s="103" customFormat="1" ht="15" customHeight="1">
      <c r="C40" s="104"/>
    </row>
    <row r="41" spans="3:3" s="103" customFormat="1" ht="15" customHeight="1">
      <c r="C41" s="104"/>
    </row>
    <row r="42" spans="3:3" s="103" customFormat="1" ht="15" customHeight="1">
      <c r="C42" s="104"/>
    </row>
    <row r="43" spans="3:3" s="103" customFormat="1" ht="15" customHeight="1">
      <c r="C43" s="104"/>
    </row>
    <row r="44" spans="3:3" s="103" customFormat="1" ht="15" customHeight="1">
      <c r="C44" s="104"/>
    </row>
    <row r="45" spans="3:3" s="103" customFormat="1" ht="15" customHeight="1">
      <c r="C45" s="104"/>
    </row>
    <row r="46" spans="3:3" s="103" customFormat="1" ht="15" customHeight="1">
      <c r="C46" s="104"/>
    </row>
    <row r="47" spans="3:3" s="103" customFormat="1" ht="15" customHeight="1">
      <c r="C47" s="104"/>
    </row>
    <row r="48" spans="3:3" s="103" customFormat="1" ht="15" customHeight="1">
      <c r="C48" s="104"/>
    </row>
    <row r="49" spans="3:3" s="103" customFormat="1" ht="15" customHeight="1">
      <c r="C49" s="104"/>
    </row>
    <row r="50" spans="3:3" s="103" customFormat="1" ht="15" customHeight="1">
      <c r="C50" s="104"/>
    </row>
    <row r="51" spans="3:3" s="103" customFormat="1" ht="15" customHeight="1">
      <c r="C51" s="104"/>
    </row>
    <row r="52" spans="3:3" s="103" customFormat="1" ht="15" customHeight="1">
      <c r="C52" s="104"/>
    </row>
    <row r="53" spans="3:3" s="103" customFormat="1" ht="15" customHeight="1">
      <c r="C53" s="104"/>
    </row>
    <row r="54" spans="3:3" s="103" customFormat="1" ht="15" customHeight="1">
      <c r="C54" s="104"/>
    </row>
    <row r="55" spans="3:3" s="103" customFormat="1" ht="15" customHeight="1">
      <c r="C55" s="104"/>
    </row>
    <row r="56" spans="3:3" s="103" customFormat="1" ht="15" customHeight="1">
      <c r="C56" s="104"/>
    </row>
    <row r="57" spans="3:3" s="103" customFormat="1" ht="15" customHeight="1">
      <c r="C57" s="104"/>
    </row>
    <row r="58" spans="3:3" s="103" customFormat="1" ht="15" customHeight="1">
      <c r="C58" s="104"/>
    </row>
    <row r="59" spans="3:3" s="103" customFormat="1" ht="15" customHeight="1">
      <c r="C59" s="104"/>
    </row>
    <row r="60" spans="3:3" s="103" customFormat="1" ht="15" customHeight="1">
      <c r="C60" s="104"/>
    </row>
    <row r="61" spans="3:3" s="103" customFormat="1" ht="15" customHeight="1">
      <c r="C61" s="104"/>
    </row>
    <row r="62" spans="3:3" s="103" customFormat="1" ht="15" customHeight="1">
      <c r="C62" s="104"/>
    </row>
    <row r="63" spans="3:3" s="103" customFormat="1" ht="15" customHeight="1">
      <c r="C63" s="104"/>
    </row>
    <row r="64" spans="3:3" s="103" customFormat="1" ht="15" customHeight="1">
      <c r="C64" s="104"/>
    </row>
    <row r="65" spans="3:3" s="103" customFormat="1" ht="15" customHeight="1">
      <c r="C65" s="104"/>
    </row>
    <row r="66" spans="3:3" s="103" customFormat="1" ht="15" customHeight="1">
      <c r="C66" s="104"/>
    </row>
    <row r="67" spans="3:3" s="103" customFormat="1" ht="15" customHeight="1">
      <c r="C67" s="104"/>
    </row>
    <row r="68" spans="3:3" s="103" customFormat="1" ht="15" customHeight="1">
      <c r="C68" s="104"/>
    </row>
    <row r="69" spans="3:3" s="103" customFormat="1" ht="15" customHeight="1">
      <c r="C69" s="104"/>
    </row>
    <row r="70" spans="3:3" s="103" customFormat="1" ht="15" customHeight="1">
      <c r="C70" s="104"/>
    </row>
    <row r="71" spans="3:3" s="103" customFormat="1" ht="15" customHeight="1">
      <c r="C71" s="104"/>
    </row>
    <row r="72" spans="3:3" s="103" customFormat="1" ht="15" customHeight="1">
      <c r="C72" s="104"/>
    </row>
    <row r="73" spans="3:3" s="103" customFormat="1" ht="15" customHeight="1">
      <c r="C73" s="104"/>
    </row>
    <row r="74" spans="3:3" s="103" customFormat="1" ht="15" customHeight="1">
      <c r="C74" s="104"/>
    </row>
    <row r="75" spans="3:3" s="103" customFormat="1" ht="15" customHeight="1">
      <c r="C75" s="104"/>
    </row>
    <row r="76" spans="3:3" s="103" customFormat="1" ht="15" customHeight="1">
      <c r="C76" s="104"/>
    </row>
    <row r="77" spans="3:3" s="103" customFormat="1" ht="15" customHeight="1">
      <c r="C77" s="104"/>
    </row>
    <row r="78" spans="3:3" s="103" customFormat="1" ht="15" customHeight="1">
      <c r="C78" s="104"/>
    </row>
    <row r="79" spans="3:3" s="103" customFormat="1" ht="15" customHeight="1">
      <c r="C79" s="104"/>
    </row>
    <row r="80" spans="3:3" s="103" customFormat="1" ht="15" customHeight="1">
      <c r="C80" s="104"/>
    </row>
    <row r="81" spans="3:3" s="103" customFormat="1" ht="15" customHeight="1">
      <c r="C81" s="104"/>
    </row>
    <row r="82" spans="3:3" s="103" customFormat="1" ht="15" customHeight="1">
      <c r="C82" s="104"/>
    </row>
    <row r="83" spans="3:3" s="103" customFormat="1" ht="15" customHeight="1">
      <c r="C83" s="104"/>
    </row>
    <row r="84" spans="3:3" s="103" customFormat="1" ht="15" customHeight="1">
      <c r="C84" s="104"/>
    </row>
    <row r="85" spans="3:3" s="103" customFormat="1" ht="15" customHeight="1">
      <c r="C85" s="104"/>
    </row>
    <row r="86" spans="3:3" s="103" customFormat="1" ht="15" customHeight="1">
      <c r="C86" s="104"/>
    </row>
    <row r="87" spans="3:3" s="103" customFormat="1" ht="15" customHeight="1">
      <c r="C87" s="104"/>
    </row>
    <row r="88" spans="3:3" s="103" customFormat="1" ht="15" customHeight="1">
      <c r="C88" s="104"/>
    </row>
    <row r="89" spans="3:3" s="103" customFormat="1" ht="15" customHeight="1">
      <c r="C89" s="104"/>
    </row>
    <row r="90" spans="3:3" s="103" customFormat="1" ht="15" customHeight="1">
      <c r="C90" s="104"/>
    </row>
    <row r="91" spans="3:3" s="103" customFormat="1" ht="15" customHeight="1">
      <c r="C91" s="104"/>
    </row>
    <row r="92" spans="3:3" s="103" customFormat="1" ht="15" customHeight="1">
      <c r="C92" s="104"/>
    </row>
    <row r="93" spans="3:3" s="103" customFormat="1" ht="15" customHeight="1">
      <c r="C93" s="104"/>
    </row>
    <row r="94" spans="3:3" s="103" customFormat="1" ht="15" customHeight="1">
      <c r="C94" s="104"/>
    </row>
    <row r="95" spans="3:3" s="103" customFormat="1" ht="15" customHeight="1">
      <c r="C95" s="104"/>
    </row>
    <row r="96" spans="3:3" s="103" customFormat="1" ht="15" customHeight="1">
      <c r="C96" s="104"/>
    </row>
    <row r="97" spans="3:3" s="103" customFormat="1" ht="15" customHeight="1">
      <c r="C97" s="104"/>
    </row>
    <row r="98" spans="3:3" s="103" customFormat="1" ht="15" customHeight="1">
      <c r="C98" s="104"/>
    </row>
    <row r="99" spans="3:3" s="103" customFormat="1" ht="15" customHeight="1">
      <c r="C99" s="104"/>
    </row>
    <row r="100" spans="3:3" s="103" customFormat="1" ht="15" customHeight="1">
      <c r="C100" s="104"/>
    </row>
    <row r="101" spans="3:3" s="103" customFormat="1" ht="15" customHeight="1">
      <c r="C101" s="104"/>
    </row>
    <row r="102" spans="3:3" s="103" customFormat="1" ht="15" customHeight="1">
      <c r="C102" s="104"/>
    </row>
    <row r="103" spans="3:3" s="103" customFormat="1" ht="15" customHeight="1">
      <c r="C103" s="104"/>
    </row>
    <row r="104" spans="3:3" s="103" customFormat="1" ht="15" customHeight="1">
      <c r="C104" s="104"/>
    </row>
    <row r="105" spans="3:3" s="103" customFormat="1" ht="15" customHeight="1">
      <c r="C105" s="104"/>
    </row>
    <row r="106" spans="3:3" s="103" customFormat="1" ht="15" customHeight="1">
      <c r="C106" s="104"/>
    </row>
    <row r="107" spans="3:3" s="103" customFormat="1" ht="15" customHeight="1">
      <c r="C107" s="104"/>
    </row>
    <row r="108" spans="3:3" s="103" customFormat="1" ht="15" customHeight="1">
      <c r="C108" s="104"/>
    </row>
    <row r="109" spans="3:3" s="103" customFormat="1" ht="15" customHeight="1">
      <c r="C109" s="104"/>
    </row>
    <row r="110" spans="3:3" s="103" customFormat="1" ht="15" customHeight="1">
      <c r="C110" s="104"/>
    </row>
    <row r="111" spans="3:3" s="103" customFormat="1" ht="15" customHeight="1">
      <c r="C111" s="104"/>
    </row>
    <row r="112" spans="3:3" s="103" customFormat="1" ht="15" customHeight="1">
      <c r="C112" s="104"/>
    </row>
    <row r="113" spans="3:3" s="103" customFormat="1" ht="15" customHeight="1">
      <c r="C113" s="104"/>
    </row>
    <row r="114" spans="3:3" s="103" customFormat="1" ht="15" customHeight="1">
      <c r="C114" s="104"/>
    </row>
    <row r="115" spans="3:3" s="103" customFormat="1" ht="15" customHeight="1">
      <c r="C115" s="104"/>
    </row>
    <row r="116" spans="3:3" s="103" customFormat="1" ht="15" customHeight="1">
      <c r="C116" s="104"/>
    </row>
    <row r="117" spans="3:3" s="103" customFormat="1" ht="15" customHeight="1">
      <c r="C117" s="104"/>
    </row>
    <row r="118" spans="3:3" s="103" customFormat="1" ht="15" customHeight="1">
      <c r="C118" s="104"/>
    </row>
    <row r="119" spans="3:3" s="103" customFormat="1" ht="15" customHeight="1">
      <c r="C119" s="104"/>
    </row>
    <row r="120" spans="3:3" s="103" customFormat="1" ht="15" customHeight="1">
      <c r="C120" s="104"/>
    </row>
    <row r="121" spans="3:3" s="103" customFormat="1" ht="15" customHeight="1">
      <c r="C121" s="104"/>
    </row>
    <row r="122" spans="3:3" s="103" customFormat="1" ht="15" customHeight="1">
      <c r="C122" s="104"/>
    </row>
    <row r="123" spans="3:3" s="103" customFormat="1" ht="15" customHeight="1">
      <c r="C123" s="104"/>
    </row>
    <row r="124" spans="3:3" s="103" customFormat="1" ht="15" customHeight="1">
      <c r="C124" s="104"/>
    </row>
    <row r="125" spans="3:3" s="103" customFormat="1" ht="15" customHeight="1">
      <c r="C125" s="104"/>
    </row>
    <row r="126" spans="3:3" s="103" customFormat="1" ht="15" customHeight="1">
      <c r="C126" s="104"/>
    </row>
    <row r="127" spans="3:3" s="103" customFormat="1" ht="15" customHeight="1">
      <c r="C127" s="104"/>
    </row>
    <row r="128" spans="3:3" s="103" customFormat="1" ht="15" customHeight="1">
      <c r="C128" s="104"/>
    </row>
    <row r="129" spans="3:3" s="103" customFormat="1" ht="15" customHeight="1">
      <c r="C129" s="104"/>
    </row>
    <row r="130" spans="3:3" s="103" customFormat="1" ht="15" customHeight="1">
      <c r="C130" s="104"/>
    </row>
    <row r="131" spans="3:3" s="103" customFormat="1" ht="15" customHeight="1">
      <c r="C131" s="104"/>
    </row>
    <row r="132" spans="3:3" s="103" customFormat="1" ht="15" customHeight="1">
      <c r="C132" s="104"/>
    </row>
    <row r="133" spans="3:3" s="103" customFormat="1" ht="15" customHeight="1">
      <c r="C133" s="104"/>
    </row>
    <row r="134" spans="3:3" s="103" customFormat="1" ht="15" customHeight="1">
      <c r="C134" s="104"/>
    </row>
    <row r="135" spans="3:3" s="103" customFormat="1" ht="15" customHeight="1">
      <c r="C135" s="104"/>
    </row>
    <row r="136" spans="3:3" s="103" customFormat="1" ht="15" customHeight="1">
      <c r="C136" s="104"/>
    </row>
    <row r="137" spans="3:3" s="103" customFormat="1" ht="15" customHeight="1">
      <c r="C137" s="104"/>
    </row>
    <row r="138" spans="3:3" s="103" customFormat="1" ht="15" customHeight="1">
      <c r="C138" s="104"/>
    </row>
    <row r="139" spans="3:3" s="103" customFormat="1" ht="15" customHeight="1">
      <c r="C139" s="104"/>
    </row>
    <row r="140" spans="3:3" s="103" customFormat="1" ht="15" customHeight="1">
      <c r="C140" s="104"/>
    </row>
    <row r="141" spans="3:3" s="103" customFormat="1" ht="15" customHeight="1">
      <c r="C141" s="104"/>
    </row>
    <row r="142" spans="3:3" s="103" customFormat="1" ht="15" customHeight="1">
      <c r="C142" s="104"/>
    </row>
    <row r="143" spans="3:3" s="103" customFormat="1" ht="15" customHeight="1">
      <c r="C143" s="104"/>
    </row>
    <row r="144" spans="3:3" s="103" customFormat="1" ht="15" customHeight="1">
      <c r="C144" s="104"/>
    </row>
    <row r="145" spans="3:3" s="103" customFormat="1" ht="15" customHeight="1">
      <c r="C145" s="104"/>
    </row>
    <row r="146" spans="3:3" s="103" customFormat="1" ht="15" customHeight="1">
      <c r="C146" s="104"/>
    </row>
    <row r="147" spans="3:3" s="103" customFormat="1" ht="15" customHeight="1">
      <c r="C147" s="104"/>
    </row>
    <row r="148" spans="3:3" s="103" customFormat="1" ht="15" customHeight="1">
      <c r="C148" s="104"/>
    </row>
    <row r="149" spans="3:3" s="103" customFormat="1" ht="15" customHeight="1">
      <c r="C149" s="104"/>
    </row>
    <row r="150" spans="3:3" s="103" customFormat="1" ht="15" customHeight="1">
      <c r="C150" s="104"/>
    </row>
    <row r="151" spans="3:3" s="103" customFormat="1" ht="15" customHeight="1">
      <c r="C151" s="104"/>
    </row>
    <row r="152" spans="3:3" s="103" customFormat="1" ht="15" customHeight="1">
      <c r="C152" s="104"/>
    </row>
    <row r="153" spans="3:3" s="103" customFormat="1" ht="15" customHeight="1">
      <c r="C153" s="104"/>
    </row>
    <row r="154" spans="3:3" s="103" customFormat="1" ht="15" customHeight="1">
      <c r="C154" s="104"/>
    </row>
    <row r="155" spans="3:3" s="103" customFormat="1" ht="15" customHeight="1">
      <c r="C155" s="104"/>
    </row>
    <row r="156" spans="3:3" s="103" customFormat="1" ht="15" customHeight="1">
      <c r="C156" s="104"/>
    </row>
    <row r="157" spans="3:3" s="103" customFormat="1" ht="15" customHeight="1">
      <c r="C157" s="104"/>
    </row>
    <row r="158" spans="3:3" s="103" customFormat="1" ht="15" customHeight="1">
      <c r="C158" s="104"/>
    </row>
    <row r="159" spans="3:3" s="103" customFormat="1" ht="15" customHeight="1">
      <c r="C159" s="104"/>
    </row>
    <row r="160" spans="3:3" s="103" customFormat="1" ht="15" customHeight="1">
      <c r="C160" s="104"/>
    </row>
    <row r="161" spans="3:3" s="103" customFormat="1" ht="15" customHeight="1">
      <c r="C161" s="104"/>
    </row>
    <row r="162" spans="3:3" s="103" customFormat="1" ht="15" customHeight="1">
      <c r="C162" s="104"/>
    </row>
    <row r="163" spans="3:3" s="103" customFormat="1" ht="15" customHeight="1">
      <c r="C163" s="104"/>
    </row>
    <row r="164" spans="3:3" s="103" customFormat="1" ht="15" customHeight="1">
      <c r="C164" s="104"/>
    </row>
    <row r="165" spans="3:3" s="103" customFormat="1" ht="15" customHeight="1">
      <c r="C165" s="104"/>
    </row>
    <row r="166" spans="3:3" s="103" customFormat="1" ht="15" customHeight="1">
      <c r="C166" s="104"/>
    </row>
    <row r="167" spans="3:3" s="103" customFormat="1" ht="15" customHeight="1">
      <c r="C167" s="104"/>
    </row>
    <row r="168" spans="3:3" s="103" customFormat="1" ht="15" customHeight="1">
      <c r="C168" s="104"/>
    </row>
    <row r="169" spans="3:3" s="103" customFormat="1" ht="15" customHeight="1">
      <c r="C169" s="104"/>
    </row>
    <row r="170" spans="3:3" s="103" customFormat="1" ht="15" customHeight="1">
      <c r="C170" s="104"/>
    </row>
    <row r="171" spans="3:3" s="103" customFormat="1" ht="15" customHeight="1">
      <c r="C171" s="104"/>
    </row>
    <row r="172" spans="3:3" s="103" customFormat="1" ht="15" customHeight="1">
      <c r="C172" s="104"/>
    </row>
    <row r="173" spans="3:3" s="103" customFormat="1" ht="15" customHeight="1">
      <c r="C173" s="104"/>
    </row>
    <row r="174" spans="3:3" s="103" customFormat="1" ht="15" customHeight="1">
      <c r="C174" s="104"/>
    </row>
    <row r="175" spans="3:3" s="103" customFormat="1" ht="15" customHeight="1">
      <c r="C175" s="104"/>
    </row>
    <row r="176" spans="3:3" s="103" customFormat="1" ht="15" customHeight="1">
      <c r="C176" s="104"/>
    </row>
    <row r="177" spans="3:3" s="103" customFormat="1" ht="15" customHeight="1">
      <c r="C177" s="104"/>
    </row>
    <row r="178" spans="3:3" s="103" customFormat="1" ht="15" customHeight="1">
      <c r="C178" s="104"/>
    </row>
    <row r="179" spans="3:3" s="103" customFormat="1" ht="15" customHeight="1">
      <c r="C179" s="104"/>
    </row>
    <row r="180" spans="3:3" s="103" customFormat="1" ht="15" customHeight="1">
      <c r="C180" s="104"/>
    </row>
    <row r="181" spans="3:3" s="103" customFormat="1" ht="15" customHeight="1">
      <c r="C181" s="104"/>
    </row>
    <row r="182" spans="3:3" s="103" customFormat="1" ht="15" customHeight="1">
      <c r="C182" s="104"/>
    </row>
    <row r="183" spans="3:3" s="103" customFormat="1" ht="15" customHeight="1">
      <c r="C183" s="104"/>
    </row>
    <row r="184" spans="3:3" s="103" customFormat="1" ht="15" customHeight="1">
      <c r="C184" s="104"/>
    </row>
    <row r="185" spans="3:3" s="103" customFormat="1" ht="15" customHeight="1">
      <c r="C185" s="104"/>
    </row>
    <row r="186" spans="3:3" s="103" customFormat="1" ht="15" customHeight="1">
      <c r="C186" s="104"/>
    </row>
    <row r="187" spans="3:3" s="103" customFormat="1" ht="15" customHeight="1">
      <c r="C187" s="104"/>
    </row>
    <row r="188" spans="3:3" s="103" customFormat="1" ht="15" customHeight="1">
      <c r="C188" s="104"/>
    </row>
    <row r="189" spans="3:3" s="103" customFormat="1" ht="15" customHeight="1">
      <c r="C189" s="104"/>
    </row>
    <row r="190" spans="3:3" s="103" customFormat="1" ht="15" customHeight="1">
      <c r="C190" s="104"/>
    </row>
    <row r="191" spans="3:3" s="103" customFormat="1" ht="15" customHeight="1">
      <c r="C191" s="104"/>
    </row>
    <row r="192" spans="3:3" s="103" customFormat="1" ht="15" customHeight="1">
      <c r="C192" s="104"/>
    </row>
    <row r="193" spans="3:3" s="103" customFormat="1" ht="15" customHeight="1">
      <c r="C193" s="104"/>
    </row>
    <row r="194" spans="3:3" s="103" customFormat="1" ht="15" customHeight="1">
      <c r="C194" s="104"/>
    </row>
    <row r="195" spans="3:3" s="103" customFormat="1" ht="15" customHeight="1">
      <c r="C195" s="104"/>
    </row>
    <row r="196" spans="3:3" s="103" customFormat="1" ht="15" customHeight="1">
      <c r="C196" s="104"/>
    </row>
    <row r="197" spans="3:3" s="103" customFormat="1" ht="15" customHeight="1">
      <c r="C197" s="104"/>
    </row>
    <row r="198" spans="3:3" s="103" customFormat="1" ht="15" customHeight="1">
      <c r="C198" s="104"/>
    </row>
    <row r="199" spans="3:3" s="103" customFormat="1" ht="15" customHeight="1">
      <c r="C199" s="104"/>
    </row>
    <row r="200" spans="3:3" s="103" customFormat="1" ht="15" customHeight="1">
      <c r="C200" s="104"/>
    </row>
    <row r="201" spans="3:3" s="103" customFormat="1" ht="15" customHeight="1">
      <c r="C201" s="104"/>
    </row>
    <row r="202" spans="3:3" s="103" customFormat="1" ht="15" customHeight="1">
      <c r="C202" s="104"/>
    </row>
    <row r="203" spans="3:3" s="103" customFormat="1" ht="15" customHeight="1">
      <c r="C203" s="104"/>
    </row>
    <row r="204" spans="3:3" s="103" customFormat="1" ht="15" customHeight="1">
      <c r="C204" s="104"/>
    </row>
    <row r="205" spans="3:3" s="103" customFormat="1" ht="15" customHeight="1">
      <c r="C205" s="104"/>
    </row>
    <row r="206" spans="3:3" s="103" customFormat="1" ht="15" customHeight="1">
      <c r="C206" s="104"/>
    </row>
    <row r="207" spans="3:3" s="103" customFormat="1" ht="15" customHeight="1">
      <c r="C207" s="104"/>
    </row>
    <row r="208" spans="3:3" s="103" customFormat="1" ht="15" customHeight="1">
      <c r="C208" s="104"/>
    </row>
    <row r="209" spans="1:11" s="103" customFormat="1" ht="15" customHeight="1">
      <c r="C209" s="104"/>
    </row>
    <row r="210" spans="1:11" s="103" customFormat="1" ht="15" customHeight="1">
      <c r="A210" s="485"/>
      <c r="B210" s="485"/>
      <c r="C210" s="104"/>
      <c r="D210" s="485"/>
      <c r="E210" s="485"/>
      <c r="F210" s="485"/>
      <c r="G210" s="485"/>
      <c r="H210" s="485"/>
      <c r="I210" s="485"/>
      <c r="J210" s="485"/>
      <c r="K210" s="485"/>
    </row>
    <row r="211" spans="1:11" s="103" customFormat="1" ht="15" customHeight="1">
      <c r="A211" s="485"/>
      <c r="B211" s="485"/>
      <c r="C211" s="104"/>
      <c r="D211" s="485"/>
      <c r="E211" s="485"/>
      <c r="F211" s="485"/>
      <c r="G211" s="485"/>
      <c r="H211" s="485"/>
      <c r="I211" s="485"/>
      <c r="J211" s="485"/>
      <c r="K211" s="485"/>
    </row>
    <row r="212" spans="1:11" s="103" customFormat="1" ht="15" customHeight="1">
      <c r="A212" s="485"/>
      <c r="B212" s="485"/>
      <c r="C212" s="104"/>
      <c r="D212" s="485"/>
      <c r="E212" s="485"/>
      <c r="F212" s="485"/>
      <c r="G212" s="485"/>
      <c r="H212" s="485"/>
      <c r="I212" s="485"/>
      <c r="J212" s="485"/>
      <c r="K212" s="485"/>
    </row>
  </sheetData>
  <mergeCells count="3">
    <mergeCell ref="C9:K9"/>
    <mergeCell ref="G2:I2"/>
    <mergeCell ref="A1:B1"/>
  </mergeCells>
  <phoneticPr fontId="44" type="noConversion"/>
  <pageMargins left="0.75" right="0.75" top="1" bottom="1" header="0.5" footer="0.5"/>
  <pageSetup paperSize="9" orientation="portrait" verticalDpi="180" r:id="rId1"/>
  <headerFooter alignWithMargins="0"/>
  <drawing r:id="rId2"/>
  <legacyDrawing r:id="rId3"/>
  <controls>
    <mc:AlternateContent xmlns:mc="http://schemas.openxmlformats.org/markup-compatibility/2006">
      <mc:Choice Requires="x14">
        <control shapeId="394247" r:id="rId4" name="ScrollBar1">
          <controlPr defaultSize="0" autoLine="0" linkedCell="E4" r:id="rId5">
            <anchor moveWithCells="1">
              <from>
                <xdr:col>4</xdr:col>
                <xdr:colOff>7620</xdr:colOff>
                <xdr:row>3</xdr:row>
                <xdr:rowOff>22860</xdr:rowOff>
              </from>
              <to>
                <xdr:col>4</xdr:col>
                <xdr:colOff>883920</xdr:colOff>
                <xdr:row>3</xdr:row>
                <xdr:rowOff>175260</xdr:rowOff>
              </to>
            </anchor>
          </controlPr>
        </control>
      </mc:Choice>
      <mc:Fallback>
        <control shapeId="394247" r:id="rId4" name="ScrollBar1"/>
      </mc:Fallback>
    </mc:AlternateContent>
    <mc:AlternateContent xmlns:mc="http://schemas.openxmlformats.org/markup-compatibility/2006">
      <mc:Choice Requires="x14">
        <control shapeId="394245" r:id="rId6" name="ScrollBar3">
          <controlPr defaultSize="0" autoLine="0" autoPict="0" linkedCell="E6" r:id="rId7">
            <anchor moveWithCells="1">
              <from>
                <xdr:col>4</xdr:col>
                <xdr:colOff>7620</xdr:colOff>
                <xdr:row>5</xdr:row>
                <xdr:rowOff>22860</xdr:rowOff>
              </from>
              <to>
                <xdr:col>4</xdr:col>
                <xdr:colOff>899160</xdr:colOff>
                <xdr:row>5</xdr:row>
                <xdr:rowOff>175260</xdr:rowOff>
              </to>
            </anchor>
          </controlPr>
        </control>
      </mc:Choice>
      <mc:Fallback>
        <control shapeId="394245" r:id="rId6" name="ScrollBar3"/>
      </mc:Fallback>
    </mc:AlternateContent>
    <mc:AlternateContent xmlns:mc="http://schemas.openxmlformats.org/markup-compatibility/2006">
      <mc:Choice Requires="x14">
        <control shapeId="394244" r:id="rId8" name="ScrollBar2">
          <controlPr defaultSize="0" autoLine="0" autoPict="0" linkedCell="E5" r:id="rId5">
            <anchor moveWithCells="1">
              <from>
                <xdr:col>4</xdr:col>
                <xdr:colOff>7620</xdr:colOff>
                <xdr:row>4</xdr:row>
                <xdr:rowOff>22860</xdr:rowOff>
              </from>
              <to>
                <xdr:col>4</xdr:col>
                <xdr:colOff>883920</xdr:colOff>
                <xdr:row>4</xdr:row>
                <xdr:rowOff>175260</xdr:rowOff>
              </to>
            </anchor>
          </controlPr>
        </control>
      </mc:Choice>
      <mc:Fallback>
        <control shapeId="394244" r:id="rId8" name="ScrollBar2"/>
      </mc:Fallback>
    </mc:AlternateContent>
    <mc:AlternateContent xmlns:mc="http://schemas.openxmlformats.org/markup-compatibility/2006">
      <mc:Choice Requires="x14">
        <control shapeId="394243" r:id="rId9" name="cmdMakeTable">
          <controlPr defaultSize="0" autoLine="0" autoPict="0" r:id="rId10">
            <anchor moveWithCells="1">
              <from>
                <xdr:col>0</xdr:col>
                <xdr:colOff>38100</xdr:colOff>
                <xdr:row>6</xdr:row>
                <xdr:rowOff>38100</xdr:rowOff>
              </from>
              <to>
                <xdr:col>0</xdr:col>
                <xdr:colOff>1363980</xdr:colOff>
                <xdr:row>7</xdr:row>
                <xdr:rowOff>182880</xdr:rowOff>
              </to>
            </anchor>
          </controlPr>
        </control>
      </mc:Choice>
      <mc:Fallback>
        <control shapeId="394243" r:id="rId9" name="cmdMakeTable"/>
      </mc:Fallback>
    </mc:AlternateContent>
    <mc:AlternateContent xmlns:mc="http://schemas.openxmlformats.org/markup-compatibility/2006">
      <mc:Choice Requires="x14">
        <control shapeId="394242" r:id="rId11" name="cboProduct">
          <controlPr defaultSize="0" autoLine="0" autoPict="0" r:id="rId12">
            <anchor moveWithCells="1">
              <from>
                <xdr:col>0</xdr:col>
                <xdr:colOff>7620</xdr:colOff>
                <xdr:row>3</xdr:row>
                <xdr:rowOff>7620</xdr:rowOff>
              </from>
              <to>
                <xdr:col>1</xdr:col>
                <xdr:colOff>30480</xdr:colOff>
                <xdr:row>4</xdr:row>
                <xdr:rowOff>22860</xdr:rowOff>
              </to>
            </anchor>
          </controlPr>
        </control>
      </mc:Choice>
      <mc:Fallback>
        <control shapeId="394242" r:id="rId11" name="cboProduct"/>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A1:BV321"/>
  <sheetViews>
    <sheetView showGridLines="0" tabSelected="1" workbookViewId="0">
      <pane xSplit="3" ySplit="2" topLeftCell="D13" activePane="bottomRight" state="frozen"/>
      <selection activeCell="A37" sqref="A37"/>
      <selection pane="topRight" activeCell="A37" sqref="A37"/>
      <selection pane="bottomLeft" activeCell="A37" sqref="A37"/>
      <selection pane="bottomRight" activeCell="F28" sqref="F28"/>
    </sheetView>
  </sheetViews>
  <sheetFormatPr defaultColWidth="9.375" defaultRowHeight="11.4" outlineLevelRow="1"/>
  <cols>
    <col min="1" max="1" width="34.875" style="324" customWidth="1"/>
    <col min="2" max="2" width="33.375" style="776" customWidth="1"/>
    <col min="3" max="3" width="25.5" style="776" customWidth="1"/>
    <col min="4" max="4" width="15.875" style="707" hidden="1" customWidth="1"/>
    <col min="5" max="5" width="15.875" style="708" hidden="1" customWidth="1"/>
    <col min="6" max="11" width="15.875" style="127" customWidth="1"/>
    <col min="12" max="38" width="15.875" style="127" hidden="1" customWidth="1"/>
    <col min="39" max="39" width="12" style="324" customWidth="1"/>
    <col min="40" max="16384" width="9.375" style="324"/>
  </cols>
  <sheetData>
    <row r="1" spans="1:41" ht="27.75" customHeight="1">
      <c r="B1" s="965" t="s">
        <v>2056</v>
      </c>
      <c r="C1" s="324"/>
      <c r="G1" s="1290"/>
      <c r="H1" s="1290"/>
    </row>
    <row r="2" spans="1:41" ht="19.5" customHeight="1">
      <c r="A2" s="709" t="s">
        <v>730</v>
      </c>
      <c r="B2" s="710" t="s">
        <v>731</v>
      </c>
      <c r="C2" s="710" t="s">
        <v>732</v>
      </c>
      <c r="D2" s="969">
        <f>收入成本预测!C2</f>
        <v>2018</v>
      </c>
      <c r="E2" s="969">
        <f>收入成本预测!D2</f>
        <v>2019</v>
      </c>
      <c r="F2" s="969">
        <f>收入成本预测!E2</f>
        <v>2020</v>
      </c>
      <c r="G2" s="969">
        <f>收入成本预测!F2</f>
        <v>2021</v>
      </c>
      <c r="H2" s="969">
        <f>收入成本预测!G2</f>
        <v>2022</v>
      </c>
      <c r="I2" s="122" t="str">
        <f t="shared" ref="I2:N2" si="0">CONCATENATE(LEFT(H2,4)+1,"E")</f>
        <v>2023E</v>
      </c>
      <c r="J2" s="122" t="str">
        <f t="shared" si="0"/>
        <v>2024E</v>
      </c>
      <c r="K2" s="122" t="str">
        <f t="shared" si="0"/>
        <v>2025E</v>
      </c>
      <c r="L2" s="122" t="str">
        <f t="shared" si="0"/>
        <v>2026E</v>
      </c>
      <c r="M2" s="122" t="str">
        <f t="shared" si="0"/>
        <v>2027E</v>
      </c>
      <c r="N2" s="122" t="str">
        <f t="shared" si="0"/>
        <v>2028E</v>
      </c>
      <c r="O2" s="122" t="str">
        <f t="shared" ref="O2:AL2" si="1">CONCATENATE(LEFT(N2,4)+1,"E")</f>
        <v>2029E</v>
      </c>
      <c r="P2" s="122" t="str">
        <f t="shared" si="1"/>
        <v>2030E</v>
      </c>
      <c r="Q2" s="122" t="str">
        <f t="shared" si="1"/>
        <v>2031E</v>
      </c>
      <c r="R2" s="122" t="str">
        <f t="shared" si="1"/>
        <v>2032E</v>
      </c>
      <c r="S2" s="122" t="str">
        <f t="shared" si="1"/>
        <v>2033E</v>
      </c>
      <c r="T2" s="122" t="str">
        <f t="shared" si="1"/>
        <v>2034E</v>
      </c>
      <c r="U2" s="122" t="str">
        <f t="shared" si="1"/>
        <v>2035E</v>
      </c>
      <c r="V2" s="122" t="str">
        <f t="shared" si="1"/>
        <v>2036E</v>
      </c>
      <c r="W2" s="122" t="str">
        <f t="shared" si="1"/>
        <v>2037E</v>
      </c>
      <c r="X2" s="122" t="str">
        <f t="shared" si="1"/>
        <v>2038E</v>
      </c>
      <c r="Y2" s="122" t="str">
        <f t="shared" si="1"/>
        <v>2039E</v>
      </c>
      <c r="Z2" s="122" t="str">
        <f t="shared" si="1"/>
        <v>2040E</v>
      </c>
      <c r="AA2" s="122" t="str">
        <f t="shared" si="1"/>
        <v>2041E</v>
      </c>
      <c r="AB2" s="122" t="str">
        <f t="shared" si="1"/>
        <v>2042E</v>
      </c>
      <c r="AC2" s="122" t="str">
        <f t="shared" si="1"/>
        <v>2043E</v>
      </c>
      <c r="AD2" s="122" t="str">
        <f t="shared" si="1"/>
        <v>2044E</v>
      </c>
      <c r="AE2" s="122" t="str">
        <f t="shared" si="1"/>
        <v>2045E</v>
      </c>
      <c r="AF2" s="122" t="str">
        <f t="shared" si="1"/>
        <v>2046E</v>
      </c>
      <c r="AG2" s="122" t="str">
        <f t="shared" si="1"/>
        <v>2047E</v>
      </c>
      <c r="AH2" s="122" t="str">
        <f t="shared" si="1"/>
        <v>2048E</v>
      </c>
      <c r="AI2" s="122" t="str">
        <f t="shared" si="1"/>
        <v>2049E</v>
      </c>
      <c r="AJ2" s="122" t="str">
        <f t="shared" si="1"/>
        <v>2050E</v>
      </c>
      <c r="AK2" s="122" t="str">
        <f t="shared" si="1"/>
        <v>2051E</v>
      </c>
      <c r="AL2" s="122" t="str">
        <f t="shared" si="1"/>
        <v>2052E</v>
      </c>
    </row>
    <row r="3" spans="1:41" s="714" customFormat="1" ht="15" customHeight="1">
      <c r="A3" s="711" t="s">
        <v>733</v>
      </c>
      <c r="B3" s="711" t="s">
        <v>734</v>
      </c>
      <c r="C3" s="712"/>
      <c r="D3" s="713">
        <f>利润表!D2/利润表!C2-1</f>
        <v>0.51891667837020972</v>
      </c>
      <c r="E3" s="713">
        <f>利润表!E2/利润表!D2-1</f>
        <v>0.50220653185762965</v>
      </c>
      <c r="F3" s="713">
        <f>利润表!F2/利润表!E2-1</f>
        <v>0.34091490710877626</v>
      </c>
      <c r="G3" s="713">
        <f>利润表!G2/利润表!F2-1</f>
        <v>0.24573188559615566</v>
      </c>
      <c r="H3" s="713">
        <f>利润表!H2/利润表!G2-1</f>
        <v>-1.4166452712930377E-2</v>
      </c>
      <c r="I3" s="1328">
        <v>9.2100000000000001E-2</v>
      </c>
      <c r="J3" s="1328">
        <v>0.15790000000000001</v>
      </c>
      <c r="K3" s="1328">
        <f>IF(ISNUMBER(AVERAGE(J3,I3,H3,G3,F3)),AVERAGE(J3,I3,H3,G3,F3),0)</f>
        <v>0.1644960679984003</v>
      </c>
      <c r="L3" s="543">
        <f>IF(ISNUMBER(AVERAGE(K3,J3,I3,H3,G3)),AVERAGE(K3,J3,I3,H3,G3),0)</f>
        <v>0.12921230017632512</v>
      </c>
      <c r="M3" s="543">
        <f>IF(ISNUMBER(AVERAGE(L3,K3,J3,I3,H3)),AVERAGE(L3,K3,J3,I3,H3),0)</f>
        <v>0.10590838309235902</v>
      </c>
      <c r="N3" s="543">
        <f>IF(ISNUMBER(AVERAGE(M3,L3,K3,J3,I3)),AVERAGE(M3,L3,K3,J3,I3),0)</f>
        <v>0.12992335025341689</v>
      </c>
      <c r="O3" s="543">
        <f>IF(ISNUMBER(AVERAGE(N3,M3,L3,K3,J3)),AVERAGE(N3,M3,L3,K3,J3),0)</f>
        <v>0.13748802030410029</v>
      </c>
      <c r="P3" s="543">
        <f>IF(ISNUMBER(AVERAGE(O3,N3,M3,L3,K3)),AVERAGE(O3,N3,M3,L3,K3),0)</f>
        <v>0.13340562436492032</v>
      </c>
      <c r="Q3" s="543">
        <f>IF(ISNUMBER(AVERAGE(P3,O3,N3,M3,L3)),AVERAGE(P3,O3,N3,M3,L3),0)</f>
        <v>0.12718753563822432</v>
      </c>
      <c r="R3" s="543">
        <f>IF(ISNUMBER(AVERAGE(Q3,P3,O3,N3,M3)),AVERAGE(Q3,P3,O3,N3,M3),0)</f>
        <v>0.12678258273060417</v>
      </c>
      <c r="S3" s="543">
        <f>IF(ISNUMBER(AVERAGE(R3,Q3,P3,O3,N3)),AVERAGE(R3,Q3,P3,O3,N3),0)</f>
        <v>0.13095742265825319</v>
      </c>
      <c r="T3" s="543">
        <f>IF(ISNUMBER(AVERAGE(S3,R3,Q3,P3,O3)),AVERAGE(S3,R3,Q3,P3,O3),0)</f>
        <v>0.13116423713922046</v>
      </c>
      <c r="U3" s="543">
        <f>IF(ISNUMBER(AVERAGE(T3,S3,R3,Q3,P3)),AVERAGE(T3,S3,R3,Q3,P3),0)</f>
        <v>0.1298994805062445</v>
      </c>
      <c r="V3" s="543">
        <f>IF(ISNUMBER(AVERAGE(U3,T3,S3,R3,Q3)),AVERAGE(U3,T3,S3,R3,Q3),0)</f>
        <v>0.12919825173450933</v>
      </c>
      <c r="W3" s="543">
        <f>IF(ISNUMBER(AVERAGE(V3,U3,T3,S3,R3)),AVERAGE(V3,U3,T3,S3,R3),0)</f>
        <v>0.12960039495376632</v>
      </c>
      <c r="X3" s="543">
        <f>IF(ISNUMBER(AVERAGE(W3,V3,U3,T3,S3)),AVERAGE(W3,V3,U3,T3,S3),0)</f>
        <v>0.13016395739839876</v>
      </c>
      <c r="Y3" s="543">
        <f>IF(ISNUMBER(AVERAGE(X3,W3,V3,U3,T3)),AVERAGE(X3,W3,V3,U3,T3),0)</f>
        <v>0.13000526434642787</v>
      </c>
      <c r="Z3" s="543">
        <f>IF(ISNUMBER(AVERAGE(Y3,X3,W3,V3,U3)),AVERAGE(Y3,X3,W3,V3,U3),0)</f>
        <v>0.12977346978786936</v>
      </c>
      <c r="AA3" s="543">
        <f>IF(ISNUMBER(AVERAGE(Z3,Y3,X3,W3,V3)),AVERAGE(Z3,Y3,X3,W3,V3),0)</f>
        <v>0.12974826764419434</v>
      </c>
      <c r="AB3" s="543">
        <f>IF(ISNUMBER(AVERAGE(AA3,Z3,Y3,X3,W3)),AVERAGE(AA3,Z3,Y3,X3,W3),0)</f>
        <v>0.12985827082613133</v>
      </c>
      <c r="AC3" s="543">
        <f>IF(ISNUMBER(AVERAGE(AB3,AA3,Z3,Y3,X3)),AVERAGE(AB3,AA3,Z3,Y3,X3),0)</f>
        <v>0.12990984600060435</v>
      </c>
      <c r="AD3" s="543">
        <f>IF(ISNUMBER(AVERAGE(AC3,AB3,AA3,Z3,Y3)),AVERAGE(AC3,AB3,AA3,Z3,Y3),0)</f>
        <v>0.12985902372104546</v>
      </c>
      <c r="AE3" s="543">
        <f>IF(ISNUMBER(AVERAGE(AD3,AC3,AB3,AA3,Z3)),AVERAGE(AD3,AC3,AB3,AA3,Z3),0)</f>
        <v>0.12982977559596898</v>
      </c>
      <c r="AF3" s="543">
        <f>IF(ISNUMBER(AVERAGE(AE3,AD3,AC3,AB3,AA3)),AVERAGE(AE3,AD3,AC3,AB3,AA3),0)</f>
        <v>0.1298410367575889</v>
      </c>
      <c r="AG3" s="543">
        <f>IF(ISNUMBER(AVERAGE(AF3,AE3,AD3,AC3,AB3)),AVERAGE(AF3,AE3,AD3,AC3,AB3),0)</f>
        <v>0.1298595905802678</v>
      </c>
      <c r="AH3" s="543">
        <f>IF(ISNUMBER(AVERAGE(AG3,AF3,AE3,AD3,AC3)),AVERAGE(AG3,AF3,AE3,AD3,AC3),0)</f>
        <v>0.12985985453109508</v>
      </c>
      <c r="AI3" s="543">
        <f>IF(ISNUMBER(AVERAGE(AH3,AG3,AF3,AE3,AD3)),AVERAGE(AH3,AG3,AF3,AE3,AD3),0)</f>
        <v>0.12984985623719325</v>
      </c>
      <c r="AJ3" s="543">
        <f>IF(ISNUMBER(AVERAGE(AI3,AH3,AG3,AF3,AE3)),AVERAGE(AI3,AH3,AG3,AF3,AE3),0)</f>
        <v>0.12984802274042279</v>
      </c>
      <c r="AK3" s="543">
        <f>IF(ISNUMBER(AVERAGE(AJ3,AI3,AH3,AG3,AF3)),AVERAGE(AJ3,AI3,AH3,AG3,AF3),0)</f>
        <v>0.12985167216931356</v>
      </c>
      <c r="AL3" s="543">
        <f>IF(ISNUMBER(AVERAGE(AK3,AJ3,AI3,AH3,AG3)),AVERAGE(AK3,AJ3,AI3,AH3,AG3),0)</f>
        <v>0.12985379925165849</v>
      </c>
      <c r="AN3" s="1328">
        <v>9.2100000000000001E-2</v>
      </c>
      <c r="AO3" s="1328">
        <v>0.1734</v>
      </c>
    </row>
    <row r="4" spans="1:41" ht="15" customHeight="1">
      <c r="A4" s="715" t="s">
        <v>735</v>
      </c>
      <c r="B4" s="715" t="s">
        <v>736</v>
      </c>
      <c r="C4" s="716"/>
      <c r="D4" s="706">
        <f>利润表!D3/利润表!D2</f>
        <v>0.68603846700700577</v>
      </c>
      <c r="E4" s="706">
        <f>利润表!E3/利润表!E2</f>
        <v>0.66469870359369532</v>
      </c>
      <c r="F4" s="706">
        <f>利润表!F3/利润表!F2</f>
        <v>0.63060627154995064</v>
      </c>
      <c r="G4" s="706">
        <f>利润表!G3/利润表!G2</f>
        <v>0.71485628735888673</v>
      </c>
      <c r="H4" s="706">
        <f>利润表!H3/利润表!H2</f>
        <v>0.7878923421806896</v>
      </c>
      <c r="I4" s="543">
        <v>0.82310000000000005</v>
      </c>
      <c r="J4" s="1328">
        <f>IF(ISNUMBER((I4*5+H4*4+G4*3+F4*2+E4)/15),(I4*5+H4*4+G4*3+F4*2+E4)/15,0)</f>
        <v>0.75583663183286764</v>
      </c>
      <c r="K4" s="1328">
        <f>IF(ISNUMBER((J4*5+I4*4+H4*3+G4*2+F4)/15),(J4*5+I4*4+H4*3+G4*2+F4)/15,0)</f>
        <v>0.7663719354649422</v>
      </c>
      <c r="L4" s="543">
        <f>IF(ISNUMBER((K4*5+J4*4+I4*3+H4*2+G4)/15),(K4*5+J4*4+I4*3+H4*2+G4)/15,0)</f>
        <v>0.77434314509176305</v>
      </c>
      <c r="M4" s="543">
        <f>IF(ISNUMBER((L4*5+K4*4+J4*3+I4*2+H4)/15),(L4*5+K4*4+J4*3+I4*2+H4)/15,0)</f>
        <v>0.77592038033319188</v>
      </c>
      <c r="N4" s="543">
        <f>IF(ISNUMBER((M4*5+L4*4+K4*3+J4*2+I4)/15),(M4*5+L4*4+K4*3+J4*2+I4)/15,0)</f>
        <v>0.77405757013957155</v>
      </c>
      <c r="O4" s="543">
        <f>IF(ISNUMBER((N4*5+M4*4+L4*3+K4*2+J4)/15),(N4*5+M4*4+L4*3+K4*2+J4)/15,0)</f>
        <v>0.77237195400457781</v>
      </c>
      <c r="P4" s="543">
        <f>IF(ISNUMBER((O4*5+N4*4+M4*3+L4*2+K4)/15),(O4*5+N4*4+M4*3+L4*2+K4)/15,0)</f>
        <v>0.77339396114861458</v>
      </c>
      <c r="Q4" s="543">
        <f>IF(ISNUMBER((P4*5+O4*4+N4*3+M4*2+L4)/15),(P4*5+O4*4+N4*3+M4*2+L4)/15,0)</f>
        <v>0.77365428252921631</v>
      </c>
      <c r="R4" s="543">
        <f>IF(ISNUMBER((Q4*5+P4*4+O4*3+N4*2+M4)/15),(Q4*5+P4*4+O4*3+N4*2+M4)/15,0)</f>
        <v>0.77353324265777401</v>
      </c>
      <c r="S4" s="543">
        <f>IF(ISNUMBER((R4*5+Q4*4+P4*3+O4*2+N4)/15),(R4*5+Q4*4+P4*3+O4*2+N4)/15,0)</f>
        <v>0.77341778033335384</v>
      </c>
      <c r="T4" s="543">
        <f>IF(ISNUMBER((S4*5+R4*4+Q4*3+P4*2+O4)/15),(S4*5+R4*4+Q4*3+P4*2+O4)/15,0)</f>
        <v>0.77342297307915475</v>
      </c>
      <c r="U4" s="543">
        <f>IF(ISNUMBER((T4*5+S4*4+R4*3+Q4*2+P4)/15),(T4*5+S4*4+R4*3+Q4*2+P4)/15,0)</f>
        <v>0.77347254939397059</v>
      </c>
      <c r="V4" s="543">
        <f>IF(ISNUMBER((U4*5+T4*4+S4*3+R4*2+Q4)/15),(U4*5+T4*4+S4*3+R4*2+Q4)/15,0)</f>
        <v>0.77346858320875322</v>
      </c>
      <c r="W4" s="543">
        <f>IF(ISNUMBER((V4*5+U4*4+T4*3+S4*2+R4)/15),(V4*5+U4*4+T4*3+S4*2+R4)/15,0)</f>
        <v>0.77345805574543958</v>
      </c>
      <c r="X4" s="543">
        <f>IF(ISNUMBER((W4*5+V4*4+U4*3+T4*2+S4)/15),(W4*5+V4*4+U4*3+T4*2+S4)/15,0)</f>
        <v>0.77345639908238584</v>
      </c>
      <c r="Y4" s="543">
        <f>IF(ISNUMBER((X4*5+W4*4+V4*3+U4*2+T4)/15),(X4*5+W4*4+V4*3+U4*2+T4)/15,0)</f>
        <v>0.77345920265913615</v>
      </c>
      <c r="Z4" s="543">
        <f>IF(ISNUMBER((Y4*5+X4*4+W4*3+V4*2+U4)/15),(Y4*5+X4*4+W4*3+V4*2+U4)/15,0)</f>
        <v>0.77346036617820124</v>
      </c>
      <c r="AA4" s="543">
        <f>IF(ISNUMBER((Z4*5+Y4*4+X4*3+W4*2+V4)/15),(Z4*5+Y4*4+X4*3+W4*2+V4)/15,0)</f>
        <v>0.77345950223162274</v>
      </c>
      <c r="AB4" s="543">
        <f>IF(ISNUMBER((AA4*5+Z4*4+Y4*3+X4*2+W4)/15),(AA4*5+Z4*4+Y4*3+X4*2+W4)/15,0)</f>
        <v>0.7734591625172359</v>
      </c>
      <c r="AC4" s="543">
        <f>IF(ISNUMBER((AB4*5+AA4*4+Z4*3+Y4*2+X4)/15),(AB4*5+AA4*4+Z4*3+Y4*2+X4)/15,0)</f>
        <v>0.77345931496319564</v>
      </c>
      <c r="AD4" s="543">
        <f>IF(ISNUMBER((AC4*5+AB4*4+AA4*3+Z4*2+Y4)/15),(AC4*5+AB4*4+AA4*3+Z4*2+Y4)/15,0)</f>
        <v>0.77345944443968873</v>
      </c>
      <c r="AE4" s="543">
        <f>IF(ISNUMBER((AD4*5+AC4*4+AB4*3+AA4*2+Z4)/15),(AD4*5+AC4*4+AB4*3+AA4*2+Z4)/15,0)</f>
        <v>0.77345942268295853</v>
      </c>
      <c r="AF4" s="543">
        <f>IF(ISNUMBER((AE4*5+AD4*4+AC4*3+AB4*2+AA4)/15),(AE4*5+AD4*4+AC4*3+AB4*2+AA4)/15,0)</f>
        <v>0.77345937755528194</v>
      </c>
      <c r="AG4" s="543">
        <f>IF(ISNUMBER((AF4*5+AE4*4+AD4*3+AC4*2+AB4)/15),(AF4*5+AE4*4+AD4*3+AC4*2+AB4)/15,0)</f>
        <v>0.77345938028472916</v>
      </c>
      <c r="AH4" s="543">
        <f>IF(ISNUMBER((AG4*5+AF4*4+AE4*3+AD4*2+AC4)/15),(AG4*5+AF4*4+AE4*3+AD4*2+AC4)/15,0)</f>
        <v>0.77345939223574811</v>
      </c>
      <c r="AI4" s="543">
        <f>IF(ISNUMBER((AH4*5+AG4*4+AF4*3+AE4*2+AD4)/15),(AH4*5+AG4*4+AF4*3+AE4*2+AD4)/15,0)</f>
        <v>0.77345939365260741</v>
      </c>
      <c r="AJ4" s="543">
        <f>IF(ISNUMBER((AI4*5+AH4*4+AG4*3+AF4*2+AE4)/15),(AI4*5+AH4*4+AG4*3+AF4*2+AE4)/15,0)</f>
        <v>0.77345939039024925</v>
      </c>
      <c r="AK4" s="543">
        <f>IF(ISNUMBER((AJ4*5+AI4*4+AH4*3+AG4*2+AF4)/15),(AJ4*5+AI4*4+AH4*3+AG4*2+AF4)/15,0)</f>
        <v>0.77345938942624393</v>
      </c>
      <c r="AL4" s="543">
        <f>IF(ISNUMBER((AK4*5+AJ4*4+AI4*3+AH4*2+AG4)/15),(AK4*5+AJ4*4+AI4*3+AH4*2+AG4)/15,0)</f>
        <v>0.77345939029375088</v>
      </c>
      <c r="AM4" s="714"/>
    </row>
    <row r="5" spans="1:41" ht="15" customHeight="1">
      <c r="A5" s="715" t="s">
        <v>737</v>
      </c>
      <c r="B5" s="715" t="s">
        <v>738</v>
      </c>
      <c r="C5" s="716"/>
      <c r="D5" s="706">
        <f>利润表!D4/利润表!D2</f>
        <v>6.6612086105955854E-3</v>
      </c>
      <c r="E5" s="706">
        <f>利润表!E4/利润表!E2</f>
        <v>7.0714825148087603E-3</v>
      </c>
      <c r="F5" s="706">
        <f>利润表!F4/利润表!F2</f>
        <v>6.7975311331561544E-3</v>
      </c>
      <c r="G5" s="706">
        <f>利润表!G4/利润表!G2</f>
        <v>5.5967470960344747E-3</v>
      </c>
      <c r="H5" s="706">
        <f>利润表!H4/利润表!H2</f>
        <v>4.7965878798355271E-3</v>
      </c>
      <c r="I5" s="543">
        <f>IF(ISNUMBER(AVERAGE(H5,G5,F5,E5,D5)),AVERAGE(H5,G5,F5,E5,D5),0)</f>
        <v>6.1847114468861009E-3</v>
      </c>
      <c r="J5" s="543">
        <f>IF(ISNUMBER(AVERAGE(I5,H5,G5,F5,E5)),AVERAGE(I5,H5,G5,F5,E5),0)</f>
        <v>6.0894120141442038E-3</v>
      </c>
      <c r="K5" s="543">
        <f>IF(ISNUMBER(AVERAGE(J5,I5,H5,G5,F5)),AVERAGE(J5,I5,H5,G5,F5),0)</f>
        <v>5.8929979140112925E-3</v>
      </c>
      <c r="L5" s="543">
        <f>IF(ISNUMBER(AVERAGE(K5,J5,I5,H5,G5)),AVERAGE(K5,J5,I5,H5,G5),0)</f>
        <v>5.71209127018232E-3</v>
      </c>
      <c r="M5" s="543">
        <f>IF(ISNUMBER(AVERAGE(L5,K5,J5,I5,H5)),AVERAGE(L5,K5,J5,I5,H5),0)</f>
        <v>5.7351601050118885E-3</v>
      </c>
      <c r="N5" s="543">
        <f>IF(ISNUMBER(AVERAGE(M5,L5,K5,J5,I5)),AVERAGE(M5,L5,K5,J5,I5),0)</f>
        <v>5.9228745500471604E-3</v>
      </c>
      <c r="O5" s="543">
        <f>IF(ISNUMBER(AVERAGE(N5,M5,L5,K5,J5)),AVERAGE(N5,M5,L5,K5,J5),0)</f>
        <v>5.870507170679373E-3</v>
      </c>
      <c r="P5" s="543">
        <f>IF(ISNUMBER(AVERAGE(O5,N5,M5,L5,K5)),AVERAGE(O5,N5,M5,L5,K5),0)</f>
        <v>5.8267262019864067E-3</v>
      </c>
      <c r="Q5" s="543">
        <f>IF(ISNUMBER(AVERAGE(P5,O5,N5,M5,L5)),AVERAGE(P5,O5,N5,M5,L5),0)</f>
        <v>5.8134718595814292E-3</v>
      </c>
      <c r="R5" s="543">
        <f>IF(ISNUMBER(AVERAGE(Q5,P5,O5,N5,M5)),AVERAGE(Q5,P5,O5,N5,M5),0)</f>
        <v>5.8337479774612519E-3</v>
      </c>
      <c r="S5" s="543">
        <f>IF(ISNUMBER(AVERAGE(R5,Q5,P5,O5,N5)),AVERAGE(R5,Q5,P5,O5,N5),0)</f>
        <v>5.8534655519511241E-3</v>
      </c>
      <c r="T5" s="543">
        <f>IF(ISNUMBER(AVERAGE(S5,R5,Q5,P5,O5)),AVERAGE(S5,R5,Q5,P5,O5),0)</f>
        <v>5.839583752331917E-3</v>
      </c>
      <c r="U5" s="543">
        <f>IF(ISNUMBER(AVERAGE(T5,S5,R5,Q5,P5)),AVERAGE(T5,S5,R5,Q5,P5),0)</f>
        <v>5.8333990686624251E-3</v>
      </c>
      <c r="V5" s="543">
        <f>IF(ISNUMBER(AVERAGE(U5,T5,S5,R5,Q5)),AVERAGE(U5,T5,S5,R5,Q5),0)</f>
        <v>5.8347336419976286E-3</v>
      </c>
      <c r="W5" s="543">
        <f>IF(ISNUMBER(AVERAGE(V5,U5,T5,S5,R5)),AVERAGE(V5,U5,T5,S5,R5),0)</f>
        <v>5.8389859984808697E-3</v>
      </c>
      <c r="X5" s="543">
        <f>IF(ISNUMBER(AVERAGE(W5,V5,U5,T5,S5)),AVERAGE(W5,V5,U5,T5,S5),0)</f>
        <v>5.8400336026847941E-3</v>
      </c>
      <c r="Y5" s="543">
        <f>IF(ISNUMBER(AVERAGE(X5,W5,V5,U5,T5)),AVERAGE(X5,W5,V5,U5,T5),0)</f>
        <v>5.8373472128315281E-3</v>
      </c>
      <c r="Z5" s="543">
        <f>IF(ISNUMBER(AVERAGE(Y5,X5,W5,V5,U5)),AVERAGE(Y5,X5,W5,V5,U5),0)</f>
        <v>5.8368999049314488E-3</v>
      </c>
      <c r="AA5" s="543">
        <f>IF(ISNUMBER(AVERAGE(Z5,Y5,X5,W5,V5)),AVERAGE(Z5,Y5,X5,W5,V5),0)</f>
        <v>5.8376000721852535E-3</v>
      </c>
      <c r="AB5" s="543">
        <f>IF(ISNUMBER(AVERAGE(AA5,Z5,Y5,X5,W5)),AVERAGE(AA5,Z5,Y5,X5,W5),0)</f>
        <v>5.8381733582227782E-3</v>
      </c>
      <c r="AC5" s="543">
        <f>IF(ISNUMBER(AVERAGE(AB5,AA5,Z5,Y5,X5)),AVERAGE(AB5,AA5,Z5,Y5,X5),0)</f>
        <v>5.8380108301711604E-3</v>
      </c>
      <c r="AD5" s="543">
        <f>IF(ISNUMBER(AVERAGE(AC5,AB5,AA5,Z5,Y5)),AVERAGE(AC5,AB5,AA5,Z5,Y5),0)</f>
        <v>5.8376062756684329E-3</v>
      </c>
      <c r="AE5" s="543">
        <f>IF(ISNUMBER(AVERAGE(AD5,AC5,AB5,AA5,Z5)),AVERAGE(AD5,AC5,AB5,AA5,Z5),0)</f>
        <v>5.8376580882358153E-3</v>
      </c>
      <c r="AF5" s="543">
        <f>IF(ISNUMBER(AVERAGE(AE5,AD5,AC5,AB5,AA5)),AVERAGE(AE5,AD5,AC5,AB5,AA5),0)</f>
        <v>5.8378097248966889E-3</v>
      </c>
      <c r="AG5" s="543">
        <f>IF(ISNUMBER(AVERAGE(AF5,AE5,AD5,AC5,AB5)),AVERAGE(AF5,AE5,AD5,AC5,AB5),0)</f>
        <v>5.8378516554389746E-3</v>
      </c>
      <c r="AH5" s="543">
        <f>IF(ISNUMBER(AVERAGE(AG5,AF5,AE5,AD5,AC5)),AVERAGE(AG5,AF5,AE5,AD5,AC5),0)</f>
        <v>5.8377873148822146E-3</v>
      </c>
      <c r="AI5" s="543">
        <f>IF(ISNUMBER(AVERAGE(AH5,AG5,AF5,AE5,AD5)),AVERAGE(AH5,AG5,AF5,AE5,AD5),0)</f>
        <v>5.8377426118244261E-3</v>
      </c>
      <c r="AJ5" s="543">
        <f>IF(ISNUMBER(AVERAGE(AI5,AH5,AG5,AF5,AE5)),AVERAGE(AI5,AH5,AG5,AF5,AE5),0)</f>
        <v>5.8377698790556239E-3</v>
      </c>
      <c r="AK5" s="543">
        <f>IF(ISNUMBER(AVERAGE(AJ5,AI5,AH5,AG5,AF5)),AVERAGE(AJ5,AI5,AH5,AG5,AF5),0)</f>
        <v>5.8377922372195856E-3</v>
      </c>
      <c r="AL5" s="543">
        <f>IF(ISNUMBER(AVERAGE(AK5,AJ5,AI5,AH5,AG5)),AVERAGE(AK5,AJ5,AI5,AH5,AG5),0)</f>
        <v>5.8377887396841655E-3</v>
      </c>
      <c r="AM5" s="714"/>
    </row>
    <row r="6" spans="1:41" ht="15" customHeight="1">
      <c r="A6" s="715" t="s">
        <v>739</v>
      </c>
      <c r="B6" s="715" t="s">
        <v>740</v>
      </c>
      <c r="C6" s="716"/>
      <c r="D6" s="706">
        <f>利润表!D5/利润表!D2</f>
        <v>0.13462294125757598</v>
      </c>
      <c r="E6" s="706">
        <f>利润表!E5/利润表!E2</f>
        <v>0.1237682860836376</v>
      </c>
      <c r="F6" s="706">
        <f>利润表!F5/利润表!F2</f>
        <v>6.2397792217614087E-2</v>
      </c>
      <c r="G6" s="706">
        <f>利润表!G5/利润表!G2</f>
        <v>6.0868902410818458E-2</v>
      </c>
      <c r="H6" s="706">
        <f>利润表!H5/利润表!H2</f>
        <v>6.6567642837369781E-2</v>
      </c>
      <c r="I6" s="543">
        <f>IF(ISNUMBER(AVERAGE(H6,G6,F6,E6,D6)),AVERAGE(H6,G6,F6,E6,D6),0)</f>
        <v>8.9645112961403178E-2</v>
      </c>
      <c r="J6" s="543">
        <f>IF(ISNUMBER(AVERAGE(I6,H6,G6,F6,E6)),AVERAGE(I6,H6,G6,F6,E6),0)</f>
        <v>8.0649547302168625E-2</v>
      </c>
      <c r="K6" s="543">
        <f>IF(ISNUMBER(AVERAGE(J6,I6,H6,G6,F6)),AVERAGE(J6,I6,H6,G6,F6),0)</f>
        <v>7.2025799545874819E-2</v>
      </c>
      <c r="L6" s="543">
        <f>IF(ISNUMBER(AVERAGE(K6,J6,I6,H6,G6)),AVERAGE(K6,J6,I6,H6,G6),0)</f>
        <v>7.3951401011526974E-2</v>
      </c>
      <c r="M6" s="543">
        <f>IF(ISNUMBER(AVERAGE(L6,K6,J6,I6,H6)),AVERAGE(L6,K6,J6,I6,H6),0)</f>
        <v>7.6567900731668664E-2</v>
      </c>
      <c r="N6" s="543">
        <f>IF(ISNUMBER(AVERAGE(M6,L6,K6,J6,I6)),AVERAGE(M6,L6,K6,J6,I6),0)</f>
        <v>7.8567952310528447E-2</v>
      </c>
      <c r="O6" s="543">
        <f>IF(ISNUMBER(AVERAGE(N6,M6,L6,K6,J6)),AVERAGE(N6,M6,L6,K6,J6),0)</f>
        <v>7.6352520180353517E-2</v>
      </c>
      <c r="P6" s="543">
        <f>IF(ISNUMBER(AVERAGE(O6,N6,M6,L6,K6)),AVERAGE(O6,N6,M6,L6,K6),0)</f>
        <v>7.5493114755990492E-2</v>
      </c>
      <c r="Q6" s="543">
        <f>IF(ISNUMBER(AVERAGE(P6,O6,N6,M6,L6)),AVERAGE(P6,O6,N6,M6,L6),0)</f>
        <v>7.6186577798013605E-2</v>
      </c>
      <c r="R6" s="543">
        <f>IF(ISNUMBER(AVERAGE(Q6,P6,O6,N6,M6)),AVERAGE(Q6,P6,O6,N6,M6),0)</f>
        <v>7.6633613155310948E-2</v>
      </c>
      <c r="S6" s="543">
        <f>IF(ISNUMBER(AVERAGE(R6,Q6,P6,O6,N6)),AVERAGE(R6,Q6,P6,O6,N6),0)</f>
        <v>7.6646755640039393E-2</v>
      </c>
      <c r="T6" s="543">
        <f>IF(ISNUMBER(AVERAGE(S6,R6,Q6,P6,O6)),AVERAGE(S6,R6,Q6,P6,O6),0)</f>
        <v>7.626251630594158E-2</v>
      </c>
      <c r="U6" s="543">
        <f>IF(ISNUMBER(AVERAGE(T6,S6,R6,Q6,P6)),AVERAGE(T6,S6,R6,Q6,P6),0)</f>
        <v>7.6244515531059195E-2</v>
      </c>
      <c r="V6" s="543">
        <f>IF(ISNUMBER(AVERAGE(U6,T6,S6,R6,Q6)),AVERAGE(U6,T6,S6,R6,Q6),0)</f>
        <v>7.639479568607295E-2</v>
      </c>
      <c r="W6" s="543">
        <f>IF(ISNUMBER(AVERAGE(V6,U6,T6,S6,R6)),AVERAGE(V6,U6,T6,S6,R6),0)</f>
        <v>7.6436439263684819E-2</v>
      </c>
      <c r="X6" s="543">
        <f>IF(ISNUMBER(AVERAGE(W6,V6,U6,T6,S6)),AVERAGE(W6,V6,U6,T6,S6),0)</f>
        <v>7.6397004485359604E-2</v>
      </c>
      <c r="Y6" s="543">
        <f>IF(ISNUMBER(AVERAGE(X6,W6,V6,U6,T6)),AVERAGE(X6,W6,V6,U6,T6),0)</f>
        <v>7.6347054254423632E-2</v>
      </c>
      <c r="Z6" s="543">
        <f>IF(ISNUMBER(AVERAGE(Y6,X6,W6,V6,U6)),AVERAGE(Y6,X6,W6,V6,U6),0)</f>
        <v>7.6363961844120046E-2</v>
      </c>
      <c r="AA6" s="543">
        <f>IF(ISNUMBER(AVERAGE(Z6,Y6,X6,W6,V6)),AVERAGE(Z6,Y6,X6,W6,V6),0)</f>
        <v>7.6387851106732213E-2</v>
      </c>
      <c r="AB6" s="543">
        <f>IF(ISNUMBER(AVERAGE(AA6,Z6,Y6,X6,W6)),AVERAGE(AA6,Z6,Y6,X6,W6),0)</f>
        <v>7.6386462190864063E-2</v>
      </c>
      <c r="AC6" s="543">
        <f>IF(ISNUMBER(AVERAGE(AB6,AA6,Z6,Y6,X6)),AVERAGE(AB6,AA6,Z6,Y6,X6),0)</f>
        <v>7.6376466776299903E-2</v>
      </c>
      <c r="AD6" s="543">
        <f>IF(ISNUMBER(AVERAGE(AC6,AB6,AA6,Z6,Y6)),AVERAGE(AC6,AB6,AA6,Z6,Y6),0)</f>
        <v>7.6372359234487971E-2</v>
      </c>
      <c r="AE6" s="543">
        <f>IF(ISNUMBER(AVERAGE(AD6,AC6,AB6,AA6,Z6)),AVERAGE(AD6,AC6,AB6,AA6,Z6),0)</f>
        <v>7.6377420230500842E-2</v>
      </c>
      <c r="AF6" s="543">
        <f>IF(ISNUMBER(AVERAGE(AE6,AD6,AC6,AB6,AA6)),AVERAGE(AE6,AD6,AC6,AB6,AA6),0)</f>
        <v>7.6380111907776979E-2</v>
      </c>
      <c r="AG6" s="543">
        <f>IF(ISNUMBER(AVERAGE(AF6,AE6,AD6,AC6,AB6)),AVERAGE(AF6,AE6,AD6,AC6,AB6),0)</f>
        <v>7.637856406798596E-2</v>
      </c>
      <c r="AH6" s="543">
        <f>IF(ISNUMBER(AVERAGE(AG6,AF6,AE6,AD6,AC6)),AVERAGE(AG6,AF6,AE6,AD6,AC6),0)</f>
        <v>7.6376984443410317E-2</v>
      </c>
      <c r="AI6" s="543">
        <f>IF(ISNUMBER(AVERAGE(AH6,AG6,AF6,AE6,AD6)),AVERAGE(AH6,AG6,AF6,AE6,AD6),0)</f>
        <v>7.6377087976832417E-2</v>
      </c>
      <c r="AJ6" s="543">
        <f>IF(ISNUMBER(AVERAGE(AI6,AH6,AG6,AF6,AE6)),AVERAGE(AI6,AH6,AG6,AF6,AE6),0)</f>
        <v>7.6378033725301303E-2</v>
      </c>
      <c r="AK6" s="543">
        <f>IF(ISNUMBER(AVERAGE(AJ6,AI6,AH6,AG6,AF6)),AVERAGE(AJ6,AI6,AH6,AG6,AF6),0)</f>
        <v>7.6378156424261406E-2</v>
      </c>
      <c r="AL6" s="543">
        <f>IF(ISNUMBER(AVERAGE(AK6,AJ6,AI6,AH6,AG6)),AVERAGE(AK6,AJ6,AI6,AH6,AG6),0)</f>
        <v>7.6377765327558272E-2</v>
      </c>
      <c r="AM6" s="714"/>
    </row>
    <row r="7" spans="1:41" ht="15" customHeight="1">
      <c r="A7" s="715" t="s">
        <v>741</v>
      </c>
      <c r="B7" s="715" t="s">
        <v>742</v>
      </c>
      <c r="C7" s="716"/>
      <c r="D7" s="706">
        <f>利润表!D6/利润表!D2</f>
        <v>4.3892369401242116E-2</v>
      </c>
      <c r="E7" s="706">
        <f>利润表!E6/利润表!E2</f>
        <v>4.4238497163481535E-2</v>
      </c>
      <c r="F7" s="706">
        <f>利润表!F6/利润表!F2</f>
        <v>3.9015441478981783E-2</v>
      </c>
      <c r="G7" s="706">
        <f>利润表!G6/利润表!G2</f>
        <v>3.7258798391061811E-2</v>
      </c>
      <c r="H7" s="706">
        <f>利润表!H6/利润表!H2</f>
        <v>3.9255013173337405E-2</v>
      </c>
      <c r="I7" s="543">
        <v>3.6900000000000002E-2</v>
      </c>
      <c r="J7" s="543">
        <f>IF(ISNUMBER(AVERAGE(I7,H7,G7,F7,E7)),AVERAGE(I7,H7,G7,F7,E7),0)</f>
        <v>3.9333550041372511E-2</v>
      </c>
      <c r="K7" s="543">
        <f>IF(ISNUMBER(AVERAGE(J7,I7,H7,G7,F7)),AVERAGE(J7,I7,H7,G7,F7),0)</f>
        <v>3.8352560616950707E-2</v>
      </c>
      <c r="L7" s="543">
        <f>IF(ISNUMBER(AVERAGE(K7,J7,I7,H7,G7)),AVERAGE(K7,J7,I7,H7,G7),0)</f>
        <v>3.8219984444544483E-2</v>
      </c>
      <c r="M7" s="543">
        <f>IF(ISNUMBER(AVERAGE(L7,K7,J7,I7,H7)),AVERAGE(L7,K7,J7,I7,H7),0)</f>
        <v>3.8412221655241018E-2</v>
      </c>
      <c r="N7" s="543">
        <f>IF(ISNUMBER(AVERAGE(M7,L7,K7,J7,I7)),AVERAGE(M7,L7,K7,J7,I7),0)</f>
        <v>3.8243663351621736E-2</v>
      </c>
      <c r="O7" s="543">
        <f>IF(ISNUMBER(AVERAGE(N7,M7,L7,K7,J7)),AVERAGE(N7,M7,L7,K7,J7),0)</f>
        <v>3.8512396021946095E-2</v>
      </c>
      <c r="P7" s="543">
        <f>IF(ISNUMBER(AVERAGE(O7,N7,M7,L7,K7)),AVERAGE(O7,N7,M7,L7,K7),0)</f>
        <v>3.8348165218060802E-2</v>
      </c>
      <c r="Q7" s="543">
        <f>IF(ISNUMBER(AVERAGE(P7,O7,N7,M7,L7)),AVERAGE(P7,O7,N7,M7,L7),0)</f>
        <v>3.8347286138282831E-2</v>
      </c>
      <c r="R7" s="543">
        <f>IF(ISNUMBER(AVERAGE(Q7,P7,O7,N7,M7)),AVERAGE(Q7,P7,O7,N7,M7),0)</f>
        <v>3.8372746477030498E-2</v>
      </c>
      <c r="S7" s="543">
        <f>IF(ISNUMBER(AVERAGE(R7,Q7,P7,O7,N7)),AVERAGE(R7,Q7,P7,O7,N7),0)</f>
        <v>3.836485144138839E-2</v>
      </c>
      <c r="T7" s="543">
        <f>IF(ISNUMBER(AVERAGE(S7,R7,Q7,P7,O7)),AVERAGE(S7,R7,Q7,P7,O7),0)</f>
        <v>3.8389089059341727E-2</v>
      </c>
      <c r="U7" s="543">
        <f>IF(ISNUMBER(AVERAGE(T7,S7,R7,Q7,P7)),AVERAGE(T7,S7,R7,Q7,P7),0)</f>
        <v>3.8364427666820848E-2</v>
      </c>
      <c r="V7" s="543">
        <f>IF(ISNUMBER(AVERAGE(U7,T7,S7,R7,Q7)),AVERAGE(U7,T7,S7,R7,Q7),0)</f>
        <v>3.836768015657286E-2</v>
      </c>
      <c r="W7" s="543">
        <f>IF(ISNUMBER(AVERAGE(V7,U7,T7,S7,R7)),AVERAGE(V7,U7,T7,S7,R7),0)</f>
        <v>3.8371758960230859E-2</v>
      </c>
      <c r="X7" s="543">
        <f>IF(ISNUMBER(AVERAGE(W7,V7,U7,T7,S7)),AVERAGE(W7,V7,U7,T7,S7),0)</f>
        <v>3.8371561456870942E-2</v>
      </c>
      <c r="Y7" s="543">
        <f>IF(ISNUMBER(AVERAGE(X7,W7,V7,U7,T7)),AVERAGE(X7,W7,V7,U7,T7),0)</f>
        <v>3.8372903459967446E-2</v>
      </c>
      <c r="Z7" s="543">
        <f>IF(ISNUMBER(AVERAGE(Y7,X7,W7,V7,U7)),AVERAGE(Y7,X7,W7,V7,U7),0)</f>
        <v>3.8369666340092597E-2</v>
      </c>
      <c r="AA7" s="543">
        <f>IF(ISNUMBER(AVERAGE(Z7,Y7,X7,W7,V7)),AVERAGE(Z7,Y7,X7,W7,V7),0)</f>
        <v>3.8370714074746945E-2</v>
      </c>
      <c r="AB7" s="543">
        <f>IF(ISNUMBER(AVERAGE(AA7,Z7,Y7,X7,W7)),AVERAGE(AA7,Z7,Y7,X7,W7),0)</f>
        <v>3.8371320858381762E-2</v>
      </c>
      <c r="AC7" s="543">
        <f>IF(ISNUMBER(AVERAGE(AB7,AA7,Z7,Y7,X7)),AVERAGE(AB7,AA7,Z7,Y7,X7),0)</f>
        <v>3.8371233238011934E-2</v>
      </c>
      <c r="AD7" s="543">
        <f>IF(ISNUMBER(AVERAGE(AC7,AB7,AA7,Z7,Y7)),AVERAGE(AC7,AB7,AA7,Z7,Y7),0)</f>
        <v>3.8371167594240134E-2</v>
      </c>
      <c r="AE7" s="543">
        <f>IF(ISNUMBER(AVERAGE(AD7,AC7,AB7,AA7,Z7)),AVERAGE(AD7,AC7,AB7,AA7,Z7),0)</f>
        <v>3.8370820421094673E-2</v>
      </c>
      <c r="AF7" s="543">
        <f>IF(ISNUMBER(AVERAGE(AE7,AD7,AC7,AB7,AA7)),AVERAGE(AE7,AD7,AC7,AB7,AA7),0)</f>
        <v>3.8371051237295083E-2</v>
      </c>
      <c r="AG7" s="543">
        <f>IF(ISNUMBER(AVERAGE(AF7,AE7,AD7,AC7,AB7)),AVERAGE(AF7,AE7,AD7,AC7,AB7),0)</f>
        <v>3.8371118669804721E-2</v>
      </c>
      <c r="AH7" s="543">
        <f>IF(ISNUMBER(AVERAGE(AG7,AF7,AE7,AD7,AC7)),AVERAGE(AG7,AF7,AE7,AD7,AC7),0)</f>
        <v>3.8371078232089309E-2</v>
      </c>
      <c r="AI7" s="543">
        <f>IF(ISNUMBER(AVERAGE(AH7,AG7,AF7,AE7,AD7)),AVERAGE(AH7,AG7,AF7,AE7,AD7),0)</f>
        <v>3.8371047230904787E-2</v>
      </c>
      <c r="AJ7" s="543">
        <f>IF(ISNUMBER(AVERAGE(AI7,AH7,AG7,AF7,AE7)),AVERAGE(AI7,AH7,AG7,AF7,AE7),0)</f>
        <v>3.8371023158237719E-2</v>
      </c>
      <c r="AK7" s="543">
        <f>IF(ISNUMBER(AVERAGE(AJ7,AI7,AH7,AG7,AF7)),AVERAGE(AJ7,AI7,AH7,AG7,AF7),0)</f>
        <v>3.8371063705666328E-2</v>
      </c>
      <c r="AL7" s="543">
        <f>IF(ISNUMBER(AVERAGE(AK7,AJ7,AI7,AH7,AG7)),AVERAGE(AK7,AJ7,AI7,AH7,AG7),0)</f>
        <v>3.8371066199340567E-2</v>
      </c>
      <c r="AM7" s="714"/>
    </row>
    <row r="8" spans="1:41" ht="15" customHeight="1">
      <c r="A8" s="715" t="s">
        <v>2684</v>
      </c>
      <c r="B8" s="715" t="s">
        <v>2685</v>
      </c>
      <c r="C8" s="716"/>
      <c r="D8" s="706">
        <f>利润表!D7/利润表!D2</f>
        <v>4.2202870110573276E-2</v>
      </c>
      <c r="E8" s="706">
        <f>利润表!E7/利润表!E2</f>
        <v>4.5036375512405531E-2</v>
      </c>
      <c r="F8" s="706">
        <f>利润表!F7/利润表!F2</f>
        <v>4.5180897499248217E-2</v>
      </c>
      <c r="G8" s="706">
        <f>利润表!G7/利润表!G2</f>
        <v>4.3753523844556247E-2</v>
      </c>
      <c r="H8" s="706">
        <f>利润表!H7/利润表!H2</f>
        <v>4.4791814160544653E-2</v>
      </c>
      <c r="I8" s="543">
        <v>4.0899999999999999E-2</v>
      </c>
      <c r="J8" s="543">
        <f>IF(ISNUMBER(AVERAGE(I8,H8,G8,F8,E8)),AVERAGE(I8,H8,G8,F8,E8),0)</f>
        <v>4.3932522203350928E-2</v>
      </c>
      <c r="K8" s="543">
        <f>IF(ISNUMBER(AVERAGE(J8,I8,H8,G8,F8)),AVERAGE(J8,I8,H8,G8,F8),0)</f>
        <v>4.3711751541540014E-2</v>
      </c>
      <c r="L8" s="543">
        <f>IF(ISNUMBER(AVERAGE(K8,J8,I8,H8,G8)),AVERAGE(K8,J8,I8,H8,G8),0)</f>
        <v>4.3417922349998368E-2</v>
      </c>
      <c r="M8" s="543">
        <f>IF(ISNUMBER(AVERAGE(L8,K8,J8,I8,H8)),AVERAGE(L8,K8,J8,I8,H8),0)</f>
        <v>4.3350802051086788E-2</v>
      </c>
      <c r="N8" s="543">
        <f>IF(ISNUMBER(AVERAGE(M8,L8,K8,J8,I8)),AVERAGE(M8,L8,K8,J8,I8),0)</f>
        <v>4.3062599629195217E-2</v>
      </c>
      <c r="O8" s="543">
        <f>IF(ISNUMBER(AVERAGE(N8,M8,L8,K8,J8)),AVERAGE(N8,M8,L8,K8,J8),0)</f>
        <v>4.3495119555034253E-2</v>
      </c>
      <c r="P8" s="543">
        <f>IF(ISNUMBER(AVERAGE(O8,N8,M8,L8,K8)),AVERAGE(O8,N8,M8,L8,K8),0)</f>
        <v>4.3407639025370925E-2</v>
      </c>
      <c r="Q8" s="543">
        <f>IF(ISNUMBER(AVERAGE(P8,O8,N8,M8,L8)),AVERAGE(P8,O8,N8,M8,L8),0)</f>
        <v>4.3346816522137108E-2</v>
      </c>
      <c r="R8" s="543">
        <f>IF(ISNUMBER(AVERAGE(Q8,P8,O8,N8,M8)),AVERAGE(Q8,P8,O8,N8,M8),0)</f>
        <v>4.3332595356564856E-2</v>
      </c>
      <c r="S8" s="543">
        <f>IF(ISNUMBER(AVERAGE(R8,Q8,P8,O8,N8)),AVERAGE(R8,Q8,P8,O8,N8),0)</f>
        <v>4.3328954017660473E-2</v>
      </c>
      <c r="T8" s="543">
        <f>IF(ISNUMBER(AVERAGE(S8,R8,Q8,P8,O8)),AVERAGE(S8,R8,Q8,P8,O8),0)</f>
        <v>4.3382224895353524E-2</v>
      </c>
      <c r="U8" s="543">
        <f>IF(ISNUMBER(AVERAGE(T8,S8,R8,Q8,P8)),AVERAGE(T8,S8,R8,Q8,P8),0)</f>
        <v>4.3359645963417383E-2</v>
      </c>
      <c r="V8" s="543">
        <f>IF(ISNUMBER(AVERAGE(U8,T8,S8,R8,Q8)),AVERAGE(U8,T8,S8,R8,Q8),0)</f>
        <v>4.3350047351026676E-2</v>
      </c>
      <c r="W8" s="543">
        <f>IF(ISNUMBER(AVERAGE(V8,U8,T8,S8,R8)),AVERAGE(V8,U8,T8,S8,R8),0)</f>
        <v>4.3350693516804581E-2</v>
      </c>
      <c r="X8" s="543">
        <f>IF(ISNUMBER(AVERAGE(W8,V8,U8,T8,S8)),AVERAGE(W8,V8,U8,T8,S8),0)</f>
        <v>4.3354313148852519E-2</v>
      </c>
      <c r="Y8" s="543">
        <f>IF(ISNUMBER(AVERAGE(X8,W8,V8,U8,T8)),AVERAGE(X8,W8,V8,U8,T8),0)</f>
        <v>4.3359384975090932E-2</v>
      </c>
      <c r="Z8" s="543">
        <f>IF(ISNUMBER(AVERAGE(Y8,X8,W8,V8,U8)),AVERAGE(Y8,X8,W8,V8,U8),0)</f>
        <v>4.3354816991038415E-2</v>
      </c>
      <c r="AA8" s="543">
        <f>IF(ISNUMBER(AVERAGE(Z8,Y8,X8,W8,V8)),AVERAGE(Z8,Y8,X8,W8,V8),0)</f>
        <v>4.3353851196562626E-2</v>
      </c>
      <c r="AB8" s="543">
        <f>IF(ISNUMBER(AVERAGE(AA8,Z8,Y8,X8,W8)),AVERAGE(AA8,Z8,Y8,X8,W8),0)</f>
        <v>4.3354611965669809E-2</v>
      </c>
      <c r="AC8" s="543">
        <f>IF(ISNUMBER(AVERAGE(AB8,AA8,Z8,Y8,X8)),AVERAGE(AB8,AA8,Z8,Y8,X8),0)</f>
        <v>4.3355395655442858E-2</v>
      </c>
      <c r="AD8" s="543">
        <f>IF(ISNUMBER(AVERAGE(AC8,AB8,AA8,Z8,Y8)),AVERAGE(AC8,AB8,AA8,Z8,Y8),0)</f>
        <v>4.3355612156760925E-2</v>
      </c>
      <c r="AE8" s="543">
        <f>IF(ISNUMBER(AVERAGE(AD8,AC8,AB8,AA8,Z8)),AVERAGE(AD8,AC8,AB8,AA8,Z8),0)</f>
        <v>4.3354857593094924E-2</v>
      </c>
      <c r="AF8" s="543">
        <f>IF(ISNUMBER(AVERAGE(AE8,AD8,AC8,AB8,AA8)),AVERAGE(AE8,AD8,AC8,AB8,AA8),0)</f>
        <v>4.3354865713506233E-2</v>
      </c>
      <c r="AG8" s="543">
        <f>IF(ISNUMBER(AVERAGE(AF8,AE8,AD8,AC8,AB8)),AVERAGE(AF8,AE8,AD8,AC8,AB8),0)</f>
        <v>4.3355068616894948E-2</v>
      </c>
      <c r="AH8" s="543">
        <f>IF(ISNUMBER(AVERAGE(AG8,AF8,AE8,AD8,AC8)),AVERAGE(AG8,AF8,AE8,AD8,AC8),0)</f>
        <v>4.3355159947139975E-2</v>
      </c>
      <c r="AI8" s="543">
        <f>IF(ISNUMBER(AVERAGE(AH8,AG8,AF8,AE8,AD8)),AVERAGE(AH8,AG8,AF8,AE8,AD8),0)</f>
        <v>4.33551128054794E-2</v>
      </c>
      <c r="AJ8" s="543">
        <f>IF(ISNUMBER(AVERAGE(AI8,AH8,AG8,AF8,AE8)),AVERAGE(AI8,AH8,AG8,AF8,AE8),0)</f>
        <v>4.3355012935223092E-2</v>
      </c>
      <c r="AK8" s="543">
        <f>IF(ISNUMBER(AVERAGE(AJ8,AI8,AH8,AG8,AF8)),AVERAGE(AJ8,AI8,AH8,AG8,AF8),0)</f>
        <v>4.3355044003648736E-2</v>
      </c>
      <c r="AL8" s="543">
        <f>IF(ISNUMBER(AVERAGE(AK8,AJ8,AI8,AH8,AG8)),AVERAGE(AK8,AJ8,AI8,AH8,AG8),0)</f>
        <v>4.3355079661677232E-2</v>
      </c>
      <c r="AM8" s="714"/>
    </row>
    <row r="9" spans="1:41" ht="15" customHeight="1">
      <c r="A9" s="715" t="s">
        <v>743</v>
      </c>
      <c r="B9" s="715" t="s">
        <v>744</v>
      </c>
      <c r="C9" s="716"/>
      <c r="D9" s="1317">
        <f>利润表!D11/利润表!D2</f>
        <v>9.4331362840241861E-3</v>
      </c>
      <c r="E9" s="1317">
        <f>利润表!E11/利润表!E2</f>
        <v>3.7341422963897354E-3</v>
      </c>
      <c r="F9" s="1317">
        <f>利润表!F11/利润表!F2</f>
        <v>2.5541813728266242E-3</v>
      </c>
      <c r="G9" s="1317">
        <f>利润表!G11/利润表!G2</f>
        <v>2.015303678987793E-3</v>
      </c>
      <c r="H9" s="1317">
        <f>利润表!H11/利润表!H2</f>
        <v>3.7155231839068039E-3</v>
      </c>
      <c r="I9" s="543">
        <f t="shared" ref="I9:R9" si="2">IF(ISNUMBER(AVERAGE(H9,G9,F9,E9,D9)),AVERAGE(H9,G9,F9,E9,D9),0)</f>
        <v>4.2904573632270284E-3</v>
      </c>
      <c r="J9" s="543">
        <f t="shared" si="2"/>
        <v>3.2619215790675969E-3</v>
      </c>
      <c r="K9" s="543">
        <f t="shared" si="2"/>
        <v>3.1674774356031691E-3</v>
      </c>
      <c r="L9" s="543">
        <f t="shared" si="2"/>
        <v>3.2901366481584782E-3</v>
      </c>
      <c r="M9" s="543">
        <f t="shared" si="2"/>
        <v>3.5451032419926156E-3</v>
      </c>
      <c r="N9" s="543">
        <f t="shared" si="2"/>
        <v>3.5110192536097775E-3</v>
      </c>
      <c r="O9" s="543">
        <f t="shared" si="2"/>
        <v>3.3551316316863277E-3</v>
      </c>
      <c r="P9" s="543">
        <f t="shared" si="2"/>
        <v>3.3737736422100742E-3</v>
      </c>
      <c r="Q9" s="543">
        <f t="shared" si="2"/>
        <v>3.4150328835314547E-3</v>
      </c>
      <c r="R9" s="543">
        <f t="shared" si="2"/>
        <v>3.4400121306060504E-3</v>
      </c>
      <c r="S9" s="543">
        <f t="shared" ref="S9:AB9" si="3">IF(ISNUMBER(AVERAGE(R9,Q9,P9,O9,N9)),AVERAGE(R9,Q9,P9,O9,N9),0)</f>
        <v>3.4189939083287364E-3</v>
      </c>
      <c r="T9" s="543">
        <f t="shared" si="3"/>
        <v>3.4005888392725286E-3</v>
      </c>
      <c r="U9" s="543">
        <f t="shared" si="3"/>
        <v>3.409680280789769E-3</v>
      </c>
      <c r="V9" s="543">
        <f t="shared" si="3"/>
        <v>3.4168616085057078E-3</v>
      </c>
      <c r="W9" s="543">
        <f t="shared" si="3"/>
        <v>3.4172273535005584E-3</v>
      </c>
      <c r="X9" s="543">
        <f t="shared" si="3"/>
        <v>3.4126703980794605E-3</v>
      </c>
      <c r="Y9" s="543">
        <f t="shared" si="3"/>
        <v>3.4114056960296048E-3</v>
      </c>
      <c r="Z9" s="543">
        <f t="shared" si="3"/>
        <v>3.41356906738102E-3</v>
      </c>
      <c r="AA9" s="543">
        <f t="shared" si="3"/>
        <v>3.4143468246992702E-3</v>
      </c>
      <c r="AB9" s="543">
        <f t="shared" si="3"/>
        <v>3.4138438679379825E-3</v>
      </c>
      <c r="AC9" s="543">
        <f t="shared" ref="AC9:AL9" si="4">IF(ISNUMBER(AVERAGE(AB9,AA9,Z9,Y9,X9)),AVERAGE(AB9,AA9,Z9,Y9,X9),0)</f>
        <v>3.4131671708254679E-3</v>
      </c>
      <c r="AD9" s="543">
        <f t="shared" si="4"/>
        <v>3.413266525374669E-3</v>
      </c>
      <c r="AE9" s="543">
        <f t="shared" si="4"/>
        <v>3.4136386912436817E-3</v>
      </c>
      <c r="AF9" s="543">
        <f t="shared" si="4"/>
        <v>3.4136526160162143E-3</v>
      </c>
      <c r="AG9" s="543">
        <f t="shared" si="4"/>
        <v>3.4135137742796031E-3</v>
      </c>
      <c r="AH9" s="543">
        <f t="shared" si="4"/>
        <v>3.4134477555479272E-3</v>
      </c>
      <c r="AI9" s="543">
        <f t="shared" si="4"/>
        <v>3.4135038724924195E-3</v>
      </c>
      <c r="AJ9" s="543">
        <f t="shared" si="4"/>
        <v>3.4135513419159685E-3</v>
      </c>
      <c r="AK9" s="543">
        <f t="shared" si="4"/>
        <v>3.4135338720504261E-3</v>
      </c>
      <c r="AL9" s="543">
        <f t="shared" si="4"/>
        <v>3.4135101232572683E-3</v>
      </c>
      <c r="AM9" s="714"/>
    </row>
    <row r="10" spans="1:41" s="243" customFormat="1" ht="15" customHeight="1">
      <c r="A10" s="717" t="s">
        <v>2880</v>
      </c>
      <c r="B10" s="715" t="s">
        <v>745</v>
      </c>
      <c r="C10" s="718"/>
      <c r="D10" s="1317">
        <f>IF(D2&lt;2019,-1,1)*利润表!D12/利润表!D2</f>
        <v>1.787780813462762E-2</v>
      </c>
      <c r="E10" s="1317">
        <f>IF(E2&lt;2019,-1,1)*利润表!E12/利润表!E2</f>
        <v>-3.2573089005148359E-3</v>
      </c>
      <c r="F10" s="1317">
        <f>IF(F2&lt;2019,-1,1)*利润表!F12/利润表!F2</f>
        <v>-5.5988061412439363E-3</v>
      </c>
      <c r="G10" s="1317">
        <f>IF(G2&lt;2019,-1,1)*利润表!G12/利润表!G2</f>
        <v>-3.3470206086748046E-3</v>
      </c>
      <c r="H10" s="1317">
        <f>IF(H2&lt;2019,-1,1)*利润表!H12/利润表!H2</f>
        <v>-4.9693860656295306E-3</v>
      </c>
      <c r="I10" s="543">
        <v>0</v>
      </c>
      <c r="J10" s="543">
        <v>0</v>
      </c>
      <c r="K10" s="543">
        <v>0</v>
      </c>
      <c r="L10" s="543">
        <v>0</v>
      </c>
      <c r="M10" s="543">
        <v>0</v>
      </c>
      <c r="N10" s="543">
        <v>0</v>
      </c>
      <c r="O10" s="543">
        <v>0</v>
      </c>
      <c r="P10" s="543">
        <v>0</v>
      </c>
      <c r="Q10" s="543">
        <v>0</v>
      </c>
      <c r="R10" s="543">
        <v>0</v>
      </c>
      <c r="S10" s="543">
        <v>0</v>
      </c>
      <c r="T10" s="543">
        <v>0</v>
      </c>
      <c r="U10" s="543">
        <v>0</v>
      </c>
      <c r="V10" s="543">
        <v>0</v>
      </c>
      <c r="W10" s="543">
        <v>0</v>
      </c>
      <c r="X10" s="543">
        <v>0</v>
      </c>
      <c r="Y10" s="543">
        <v>0</v>
      </c>
      <c r="Z10" s="543">
        <v>0</v>
      </c>
      <c r="AA10" s="543">
        <v>0</v>
      </c>
      <c r="AB10" s="543">
        <v>0</v>
      </c>
      <c r="AC10" s="543">
        <v>0</v>
      </c>
      <c r="AD10" s="543">
        <v>0</v>
      </c>
      <c r="AE10" s="543">
        <v>0</v>
      </c>
      <c r="AF10" s="543">
        <v>0</v>
      </c>
      <c r="AG10" s="543">
        <v>0</v>
      </c>
      <c r="AH10" s="543">
        <v>0</v>
      </c>
      <c r="AI10" s="543">
        <v>0</v>
      </c>
      <c r="AJ10" s="543">
        <v>0</v>
      </c>
      <c r="AK10" s="543">
        <v>0</v>
      </c>
      <c r="AL10" s="543">
        <v>0</v>
      </c>
      <c r="AM10" s="714"/>
    </row>
    <row r="11" spans="1:41" s="243" customFormat="1" ht="15" customHeight="1">
      <c r="A11" s="717" t="s">
        <v>2881</v>
      </c>
      <c r="B11" s="715"/>
      <c r="C11" s="718"/>
      <c r="D11" s="1317">
        <f>IF(D2&lt;2019,-1,1)*利润表!D13/利润表!D2</f>
        <v>0</v>
      </c>
      <c r="E11" s="1317">
        <f>IF(E2&lt;2019,-1,1)*利润表!E13/利润表!E2</f>
        <v>-2.2309056739409101E-2</v>
      </c>
      <c r="F11" s="1317">
        <f>IF(F2&lt;2019,-1,1)*利润表!F13/利润表!F2</f>
        <v>-3.8904117364623722E-2</v>
      </c>
      <c r="G11" s="1317">
        <f>IF(G2&lt;2019,-1,1)*利润表!G13/利润表!G2</f>
        <v>-3.2088278611214334E-2</v>
      </c>
      <c r="H11" s="1317">
        <f>IF(H2&lt;2019,-1,1)*利润表!H13/利润表!H2</f>
        <v>-2.9236901638852023E-2</v>
      </c>
      <c r="I11" s="543">
        <f t="shared" ref="I11:AL11" si="5">IF(ISNUMBER(AVERAGE(H11,G11,F11,E11,D11)),AVERAGE(H11,G11,F11,E11,D11),0)</f>
        <v>-2.4507670870819835E-2</v>
      </c>
      <c r="J11" s="543">
        <f t="shared" si="5"/>
        <v>-2.9409205044983806E-2</v>
      </c>
      <c r="K11" s="543">
        <f t="shared" si="5"/>
        <v>-3.0829234706098739E-2</v>
      </c>
      <c r="L11" s="543">
        <f t="shared" si="5"/>
        <v>-2.9214258174393749E-2</v>
      </c>
      <c r="M11" s="543">
        <f t="shared" si="5"/>
        <v>-2.8639454087029625E-2</v>
      </c>
      <c r="N11" s="543">
        <f t="shared" si="5"/>
        <v>-2.8519964576665148E-2</v>
      </c>
      <c r="O11" s="543">
        <f t="shared" si="5"/>
        <v>-2.9322423317834218E-2</v>
      </c>
      <c r="P11" s="543">
        <f t="shared" si="5"/>
        <v>-2.9305066972404297E-2</v>
      </c>
      <c r="Q11" s="543">
        <f t="shared" si="5"/>
        <v>-2.9000233425665413E-2</v>
      </c>
      <c r="R11" s="543">
        <f t="shared" si="5"/>
        <v>-2.8957428475919738E-2</v>
      </c>
      <c r="S11" s="543">
        <f t="shared" si="5"/>
        <v>-2.9021023353697762E-2</v>
      </c>
      <c r="T11" s="543">
        <f t="shared" si="5"/>
        <v>-2.9121235109104283E-2</v>
      </c>
      <c r="U11" s="543">
        <f t="shared" si="5"/>
        <v>-2.9080997467358299E-2</v>
      </c>
      <c r="V11" s="543">
        <f t="shared" si="5"/>
        <v>-2.90361835663491E-2</v>
      </c>
      <c r="W11" s="543">
        <f t="shared" si="5"/>
        <v>-2.904337359448584E-2</v>
      </c>
      <c r="X11" s="543">
        <f t="shared" si="5"/>
        <v>-2.906056261819906E-2</v>
      </c>
      <c r="Y11" s="543">
        <f t="shared" si="5"/>
        <v>-2.9068470471099318E-2</v>
      </c>
      <c r="Z11" s="543">
        <f t="shared" si="5"/>
        <v>-2.9057917543498325E-2</v>
      </c>
      <c r="AA11" s="543">
        <f t="shared" si="5"/>
        <v>-2.9053301558726329E-2</v>
      </c>
      <c r="AB11" s="543">
        <f t="shared" si="5"/>
        <v>-2.9056725157201774E-2</v>
      </c>
      <c r="AC11" s="543">
        <f t="shared" si="5"/>
        <v>-2.905939546974496E-2</v>
      </c>
      <c r="AD11" s="543">
        <f t="shared" si="5"/>
        <v>-2.9059162040054144E-2</v>
      </c>
      <c r="AE11" s="543">
        <f t="shared" si="5"/>
        <v>-2.9057300353845107E-2</v>
      </c>
      <c r="AF11" s="543">
        <f t="shared" si="5"/>
        <v>-2.9057176915914463E-2</v>
      </c>
      <c r="AG11" s="543">
        <f t="shared" si="5"/>
        <v>-2.9057951987352094E-2</v>
      </c>
      <c r="AH11" s="543">
        <f t="shared" si="5"/>
        <v>-2.9058197353382154E-2</v>
      </c>
      <c r="AI11" s="543">
        <f t="shared" si="5"/>
        <v>-2.9057957730109597E-2</v>
      </c>
      <c r="AJ11" s="543">
        <f t="shared" si="5"/>
        <v>-2.905771686812068E-2</v>
      </c>
      <c r="AK11" s="543">
        <f t="shared" si="5"/>
        <v>-2.9057800170975801E-2</v>
      </c>
      <c r="AL11" s="543">
        <f t="shared" si="5"/>
        <v>-2.9057924821988063E-2</v>
      </c>
      <c r="AM11" s="714"/>
    </row>
    <row r="12" spans="1:41" s="243" customFormat="1" ht="15" customHeight="1">
      <c r="A12" s="717" t="s">
        <v>746</v>
      </c>
      <c r="B12" s="719"/>
      <c r="C12" s="718"/>
      <c r="D12" s="720">
        <f>利润表!D14</f>
        <v>9.9251041600000001</v>
      </c>
      <c r="E12" s="720">
        <f>利润表!E14</f>
        <v>0</v>
      </c>
      <c r="F12" s="720">
        <f>利润表!F14</f>
        <v>0.19637222000000001</v>
      </c>
      <c r="G12" s="720">
        <f>利润表!G14</f>
        <v>8.8465899999999997E-3</v>
      </c>
      <c r="H12" s="720">
        <f>利润表!H14</f>
        <v>40.805791849999999</v>
      </c>
      <c r="I12" s="544">
        <f>IF(ISNUMBER(AVERAGE(H12,G12)),AVERAGE(H12,G12),0)</f>
        <v>20.407319219999998</v>
      </c>
      <c r="J12" s="544">
        <f>IF(ISNUMBER(AVERAGE(I12,H12)),AVERAGE(I12,H12),0)</f>
        <v>30.606555534999998</v>
      </c>
      <c r="K12" s="544">
        <f>IF(ISNUMBER(AVERAGE(J12,I12)),AVERAGE(J12,I12),0)</f>
        <v>25.506937377499998</v>
      </c>
      <c r="L12" s="544">
        <f>IF(ISNUMBER(AVERAGE(K12,J12)),AVERAGE(K12,J12),0)</f>
        <v>28.056746456249996</v>
      </c>
      <c r="M12" s="544">
        <f>IF(ISNUMBER(AVERAGE(L12,K12)),AVERAGE(L12,K12),0)</f>
        <v>26.781841916874995</v>
      </c>
      <c r="N12" s="544">
        <f>IF(ISNUMBER(AVERAGE(M12,L12)),AVERAGE(M12,L12),0)</f>
        <v>27.419294186562496</v>
      </c>
      <c r="O12" s="544">
        <f>IF(ISNUMBER(AVERAGE(N12,M12)),AVERAGE(N12,M12),0)</f>
        <v>27.100568051718746</v>
      </c>
      <c r="P12" s="544">
        <f>IF(ISNUMBER(AVERAGE(O12,N12)),AVERAGE(O12,N12),0)</f>
        <v>27.259931119140621</v>
      </c>
      <c r="Q12" s="544">
        <f>IF(ISNUMBER(AVERAGE(P12,O12)),AVERAGE(P12,O12),0)</f>
        <v>27.180249585429685</v>
      </c>
      <c r="R12" s="544">
        <f>IF(ISNUMBER(AVERAGE(Q12,P12)),AVERAGE(Q12,P12),0)</f>
        <v>27.220090352285155</v>
      </c>
      <c r="S12" s="544">
        <f>IF(ISNUMBER(AVERAGE(R12,Q12)),AVERAGE(R12,Q12),0)</f>
        <v>27.20016996885742</v>
      </c>
      <c r="T12" s="544">
        <f>IF(ISNUMBER(AVERAGE(S12,R12)),AVERAGE(S12,R12),0)</f>
        <v>27.210130160571289</v>
      </c>
      <c r="U12" s="544">
        <f>IF(ISNUMBER(AVERAGE(T12,S12)),AVERAGE(T12,S12),0)</f>
        <v>27.205150064714353</v>
      </c>
      <c r="V12" s="544">
        <f>IF(ISNUMBER(AVERAGE(U12,T12)),AVERAGE(U12,T12),0)</f>
        <v>27.207640112642821</v>
      </c>
      <c r="W12" s="544">
        <f>IF(ISNUMBER(AVERAGE(V12,U12)),AVERAGE(V12,U12),0)</f>
        <v>27.206395088678587</v>
      </c>
      <c r="X12" s="544">
        <f>IF(ISNUMBER(AVERAGE(W12,V12)),AVERAGE(W12,V12),0)</f>
        <v>27.207017600660706</v>
      </c>
      <c r="Y12" s="544">
        <f>IF(ISNUMBER(AVERAGE(X12,W12)),AVERAGE(X12,W12),0)</f>
        <v>27.206706344669648</v>
      </c>
      <c r="Z12" s="544">
        <f>IF(ISNUMBER(AVERAGE(Y12,X12)),AVERAGE(Y12,X12),0)</f>
        <v>27.206861972665177</v>
      </c>
      <c r="AA12" s="544">
        <f>IF(ISNUMBER(AVERAGE(Z12,Y12)),AVERAGE(Z12,Y12),0)</f>
        <v>27.206784158667411</v>
      </c>
      <c r="AB12" s="544">
        <f>IF(ISNUMBER(AVERAGE(AA12,Z12)),AVERAGE(AA12,Z12),0)</f>
        <v>27.206823065666292</v>
      </c>
      <c r="AC12" s="544">
        <f>IF(ISNUMBER(AVERAGE(AB12,AA12)),AVERAGE(AB12,AA12),0)</f>
        <v>27.206803612166851</v>
      </c>
      <c r="AD12" s="544">
        <f>IF(ISNUMBER(AVERAGE(AC12,AB12)),AVERAGE(AC12,AB12),0)</f>
        <v>27.206813338916572</v>
      </c>
      <c r="AE12" s="544">
        <f>IF(ISNUMBER(AVERAGE(AD12,AC12)),AVERAGE(AD12,AC12),0)</f>
        <v>27.206808475541713</v>
      </c>
      <c r="AF12" s="544">
        <f>IF(ISNUMBER(AVERAGE(AE12,AD12)),AVERAGE(AE12,AD12),0)</f>
        <v>27.206810907229141</v>
      </c>
      <c r="AG12" s="544">
        <f>IF(ISNUMBER(AVERAGE(AF12,AE12)),AVERAGE(AF12,AE12),0)</f>
        <v>27.206809691385427</v>
      </c>
      <c r="AH12" s="544">
        <f>IF(ISNUMBER(AVERAGE(AG12,AF12)),AVERAGE(AG12,AF12),0)</f>
        <v>27.206810299307286</v>
      </c>
      <c r="AI12" s="544">
        <f>IF(ISNUMBER(AVERAGE(AH12,AG12)),AVERAGE(AH12,AG12),0)</f>
        <v>27.206809995346354</v>
      </c>
      <c r="AJ12" s="544">
        <f>IF(ISNUMBER(AVERAGE(AI12,AH12)),AVERAGE(AI12,AH12),0)</f>
        <v>27.20681014732682</v>
      </c>
      <c r="AK12" s="544">
        <f>IF(ISNUMBER(AVERAGE(AJ12,AI12)),AVERAGE(AJ12,AI12),0)</f>
        <v>27.206810071336587</v>
      </c>
      <c r="AL12" s="544">
        <f>IF(ISNUMBER(AVERAGE(AK12,AJ12)),AVERAGE(AK12,AJ12),0)</f>
        <v>27.206810109331705</v>
      </c>
      <c r="AM12" s="440"/>
      <c r="AN12" s="440"/>
    </row>
    <row r="13" spans="1:41" s="243" customFormat="1" ht="15.75" customHeight="1">
      <c r="A13" s="717" t="s">
        <v>747</v>
      </c>
      <c r="B13" s="719"/>
      <c r="C13" s="718"/>
      <c r="D13" s="720">
        <f>利润表!D17</f>
        <v>0</v>
      </c>
      <c r="E13" s="720">
        <f>利润表!E17</f>
        <v>0</v>
      </c>
      <c r="F13" s="720">
        <f>利润表!F17</f>
        <v>0</v>
      </c>
      <c r="G13" s="720">
        <f>利润表!G17</f>
        <v>-0.5837291899999999</v>
      </c>
      <c r="H13" s="720">
        <f>利润表!H17</f>
        <v>-1.17312824</v>
      </c>
      <c r="I13" s="544">
        <f>IF(ISNUMBER(AVERAGE(H13,G13,F13,E13,D13)),AVERAGE(H13,G13,F13,E13,D13),0)</f>
        <v>-0.35137148600000001</v>
      </c>
      <c r="J13" s="544">
        <f>IF(ISNUMBER(AVERAGE(I13,H13,G13,F13,E13)),AVERAGE(I13,H13,G13,F13,E13),0)</f>
        <v>-0.42164578319999996</v>
      </c>
      <c r="K13" s="544">
        <f>IF(ISNUMBER(AVERAGE(J13,I13,H13,G13,F13)),AVERAGE(J13,I13,H13,G13,F13),0)</f>
        <v>-0.50597493983999997</v>
      </c>
      <c r="L13" s="544">
        <f>IF(ISNUMBER(AVERAGE(K13,J13,I13,H13,G13)),AVERAGE(K13,J13,I13,H13,G13),0)</f>
        <v>-0.60716992780800005</v>
      </c>
      <c r="M13" s="544">
        <f>IF(ISNUMBER(AVERAGE(L13,K13,J13,I13,H13)),AVERAGE(L13,K13,J13,I13,H13),0)</f>
        <v>-0.61185807536960002</v>
      </c>
      <c r="N13" s="544">
        <f>IF(ISNUMBER(AVERAGE(M13,L13,K13,J13,I13)),AVERAGE(M13,L13,K13,J13,I13),0)</f>
        <v>-0.49960404244352008</v>
      </c>
      <c r="O13" s="544">
        <f>IF(ISNUMBER(AVERAGE(N13,M13,L13,K13,J13)),AVERAGE(N13,M13,L13,K13,J13),0)</f>
        <v>-0.52925055373222407</v>
      </c>
      <c r="P13" s="544">
        <f>IF(ISNUMBER(AVERAGE(O13,N13,M13,L13,K13)),AVERAGE(O13,N13,M13,L13,K13),0)</f>
        <v>-0.55077150783866879</v>
      </c>
      <c r="Q13" s="544">
        <f>IF(ISNUMBER(AVERAGE(P13,O13,N13,M13,L13)),AVERAGE(P13,O13,N13,M13,L13),0)</f>
        <v>-0.55973082143840258</v>
      </c>
      <c r="R13" s="544">
        <f>IF(ISNUMBER(AVERAGE(Q13,P13,O13,N13,M13)),AVERAGE(Q13,P13,O13,N13,M13),0)</f>
        <v>-0.55024300016448313</v>
      </c>
      <c r="S13" s="544">
        <f>IF(ISNUMBER(AVERAGE(R13,Q13,P13,O13,N13)),AVERAGE(R13,Q13,P13,O13,N13),0)</f>
        <v>-0.53791998512345973</v>
      </c>
      <c r="T13" s="544">
        <f>IF(ISNUMBER(AVERAGE(S13,R13,Q13,P13,O13)),AVERAGE(S13,R13,Q13,P13,O13),0)</f>
        <v>-0.54558317365944764</v>
      </c>
      <c r="U13" s="544">
        <f>IF(ISNUMBER(AVERAGE(T13,S13,R13,Q13,P13)),AVERAGE(T13,S13,R13,Q13,P13),0)</f>
        <v>-0.54884969764489233</v>
      </c>
      <c r="V13" s="544">
        <f>IF(ISNUMBER(AVERAGE(U13,T13,S13,R13,Q13)),AVERAGE(U13,T13,S13,R13,Q13),0)</f>
        <v>-0.54846533560613708</v>
      </c>
      <c r="W13" s="544">
        <f>IF(ISNUMBER(AVERAGE(V13,U13,T13,S13,R13)),AVERAGE(V13,U13,T13,S13,R13),0)</f>
        <v>-0.54621223843968392</v>
      </c>
      <c r="X13" s="544">
        <f>IF(ISNUMBER(AVERAGE(W13,V13,U13,T13,S13)),AVERAGE(W13,V13,U13,T13,S13),0)</f>
        <v>-0.54540608609472407</v>
      </c>
      <c r="Y13" s="544">
        <f>IF(ISNUMBER(AVERAGE(X13,W13,V13,U13,T13)),AVERAGE(X13,W13,V13,U13,T13),0)</f>
        <v>-0.54690330628897699</v>
      </c>
      <c r="Z13" s="544">
        <f>IF(ISNUMBER(AVERAGE(Y13,X13,W13,V13,U13)),AVERAGE(Y13,X13,W13,V13,U13),0)</f>
        <v>-0.54716733281488295</v>
      </c>
      <c r="AA13" s="544">
        <f>IF(ISNUMBER(AVERAGE(Z13,Y13,X13,W13,V13)),AVERAGE(Z13,Y13,X13,W13,V13),0)</f>
        <v>-0.54683085984888091</v>
      </c>
      <c r="AB13" s="544">
        <f>IF(ISNUMBER(AVERAGE(AA13,Z13,Y13,X13,W13)),AVERAGE(AA13,Z13,Y13,X13,W13),0)</f>
        <v>-0.54650396469742968</v>
      </c>
      <c r="AC13" s="544">
        <f>IF(ISNUMBER(AVERAGE(AB13,AA13,Z13,Y13,X13)),AVERAGE(AB13,AA13,Z13,Y13,X13),0)</f>
        <v>-0.54656230994897892</v>
      </c>
      <c r="AD13" s="544">
        <f>IF(ISNUMBER(AVERAGE(AC13,AB13,AA13,Z13,Y13)),AVERAGE(AC13,AB13,AA13,Z13,Y13),0)</f>
        <v>-0.54679355471982982</v>
      </c>
      <c r="AE13" s="544">
        <f>IF(ISNUMBER(AVERAGE(AD13,AC13,AB13,AA13,Z13)),AVERAGE(AD13,AC13,AB13,AA13,Z13),0)</f>
        <v>-0.54677160440600048</v>
      </c>
      <c r="AF13" s="544">
        <f>IF(ISNUMBER(AVERAGE(AE13,AD13,AC13,AB13,AA13)),AVERAGE(AE13,AD13,AC13,AB13,AA13),0)</f>
        <v>-0.5466924587242239</v>
      </c>
      <c r="AG13" s="544">
        <f>IF(ISNUMBER(AVERAGE(AF13,AE13,AD13,AC13,AB13)),AVERAGE(AF13,AE13,AD13,AC13,AB13),0)</f>
        <v>-0.54666477849929263</v>
      </c>
      <c r="AH13" s="544">
        <f>IF(ISNUMBER(AVERAGE(AG13,AF13,AE13,AD13,AC13)),AVERAGE(AG13,AF13,AE13,AD13,AC13),0)</f>
        <v>-0.54669694125966506</v>
      </c>
      <c r="AI13" s="544">
        <f>IF(ISNUMBER(AVERAGE(AH13,AG13,AF13,AE13,AD13)),AVERAGE(AH13,AG13,AF13,AE13,AD13),0)</f>
        <v>-0.54672386752180224</v>
      </c>
      <c r="AJ13" s="544">
        <f>IF(ISNUMBER(AVERAGE(AI13,AH13,AG13,AF13,AE13)),AVERAGE(AI13,AH13,AG13,AF13,AE13),0)</f>
        <v>-0.54670993008219682</v>
      </c>
      <c r="AK13" s="544">
        <f>IF(ISNUMBER(AVERAGE(AJ13,AI13,AH13,AG13,AF13)),AVERAGE(AJ13,AI13,AH13,AG13,AF13),0)</f>
        <v>-0.54669759521743622</v>
      </c>
      <c r="AL13" s="544">
        <f>IF(ISNUMBER(AVERAGE(AK13,AJ13,AI13,AH13,AG13)),AVERAGE(AK13,AJ13,AI13,AH13,AG13),0)</f>
        <v>-0.54669862251607859</v>
      </c>
      <c r="AM13" s="440"/>
      <c r="AN13" s="440"/>
    </row>
    <row r="14" spans="1:41" s="243" customFormat="1" ht="15.75" customHeight="1">
      <c r="A14" s="715" t="s">
        <v>748</v>
      </c>
      <c r="B14" s="715"/>
      <c r="C14" s="721"/>
      <c r="D14" s="720">
        <f>利润表!D16-利润表!D17</f>
        <v>19.26902291</v>
      </c>
      <c r="E14" s="720">
        <f>利润表!E16-利润表!E17</f>
        <v>20.729962159999999</v>
      </c>
      <c r="F14" s="720">
        <f>利润表!F16-利润表!F17</f>
        <v>-27.984675469999999</v>
      </c>
      <c r="G14" s="720">
        <f>利润表!G16-利润表!G17</f>
        <v>-2.3650871699999998</v>
      </c>
      <c r="H14" s="720">
        <f>利润表!H16-利润表!H17</f>
        <v>4.9755737700000005</v>
      </c>
      <c r="I14" s="544">
        <f>IF(ISNUMBER(AVERAGE(H14,G14,F14,E14,D14)),AVERAGE(H14,G14,F14,E14,D14),0)</f>
        <v>2.9249592400000006</v>
      </c>
      <c r="J14" s="544">
        <f>IF(ISNUMBER(AVERAGE(I14,H14,G14,F14,E14)),AVERAGE(I14,H14,G14,F14,E14),0)</f>
        <v>-0.34385349399999965</v>
      </c>
      <c r="K14" s="544">
        <f>IF(ISNUMBER(AVERAGE(J14,I14,H14,G14,F14)),AVERAGE(J14,I14,H14,G14,F14),0)</f>
        <v>-4.5586166248</v>
      </c>
      <c r="L14" s="544">
        <f>IF(ISNUMBER(AVERAGE(K14,J14,I14,H14,G14)),AVERAGE(K14,J14,I14,H14,G14),0)</f>
        <v>0.1265951442400004</v>
      </c>
      <c r="M14" s="544">
        <f>IF(ISNUMBER(AVERAGE(L14,K14,J14,I14,H14)),AVERAGE(L14,K14,J14,I14,H14),0)</f>
        <v>0.62493160708800044</v>
      </c>
      <c r="N14" s="544">
        <f>IF(ISNUMBER(AVERAGE(M14,L14,K14,J14,I14)),AVERAGE(M14,L14,K14,J14,I14),0)</f>
        <v>-0.24519682549439956</v>
      </c>
      <c r="O14" s="544">
        <f>IF(ISNUMBER(AVERAGE(N14,M14,L14,K14,J14)),AVERAGE(N14,M14,L14,K14,J14),0)</f>
        <v>-0.87922803859327969</v>
      </c>
      <c r="P14" s="544">
        <f>IF(ISNUMBER(AVERAGE(O14,N14,M14,L14,K14)),AVERAGE(O14,N14,M14,L14,K14),0)</f>
        <v>-0.98630294751193559</v>
      </c>
      <c r="Q14" s="544">
        <f>IF(ISNUMBER(AVERAGE(P14,O14,N14,M14,L14)),AVERAGE(P14,O14,N14,M14,L14),0)</f>
        <v>-0.27184021205432279</v>
      </c>
      <c r="R14" s="544">
        <f>IF(ISNUMBER(AVERAGE(Q14,P14,O14,N14,M14)),AVERAGE(Q14,P14,O14,N14,M14),0)</f>
        <v>-0.35152728331318739</v>
      </c>
      <c r="S14" s="544">
        <f>IF(ISNUMBER(AVERAGE(R14,Q14,P14,O14,N14)),AVERAGE(R14,Q14,P14,O14,N14),0)</f>
        <v>-0.54681906139342495</v>
      </c>
      <c r="T14" s="544">
        <f>IF(ISNUMBER(AVERAGE(S14,R14,Q14,P14,O14)),AVERAGE(S14,R14,Q14,P14,O14),0)</f>
        <v>-0.60714350857323007</v>
      </c>
      <c r="U14" s="544">
        <f>IF(ISNUMBER(AVERAGE(T14,S14,R14,Q14,P14)),AVERAGE(T14,S14,R14,Q14,P14),0)</f>
        <v>-0.55272660256922024</v>
      </c>
      <c r="V14" s="544">
        <f>IF(ISNUMBER(AVERAGE(U14,T14,S14,R14,Q14)),AVERAGE(U14,T14,S14,R14,Q14),0)</f>
        <v>-0.46601133358067709</v>
      </c>
      <c r="W14" s="544">
        <f>IF(ISNUMBER(AVERAGE(V14,U14,T14,S14,R14)),AVERAGE(V14,U14,T14,S14,R14),0)</f>
        <v>-0.50484555788594787</v>
      </c>
      <c r="X14" s="544">
        <f>IF(ISNUMBER(AVERAGE(W14,V14,U14,T14,S14)),AVERAGE(W14,V14,U14,T14,S14),0)</f>
        <v>-0.5355092128004999</v>
      </c>
      <c r="Y14" s="544">
        <f>IF(ISNUMBER(AVERAGE(X14,W14,V14,U14,T14)),AVERAGE(X14,W14,V14,U14,T14),0)</f>
        <v>-0.53324724308191507</v>
      </c>
      <c r="Z14" s="544">
        <f>IF(ISNUMBER(AVERAGE(Y14,X14,W14,V14,U14)),AVERAGE(Y14,X14,W14,V14,U14),0)</f>
        <v>-0.51846798998365196</v>
      </c>
      <c r="AA14" s="544">
        <f>IF(ISNUMBER(AVERAGE(Z14,Y14,X14,W14,V14)),AVERAGE(Z14,Y14,X14,W14,V14),0)</f>
        <v>-0.51161626746653843</v>
      </c>
      <c r="AB14" s="544">
        <f>IF(ISNUMBER(AVERAGE(AA14,Z14,Y14,X14,W14)),AVERAGE(AA14,Z14,Y14,X14,W14),0)</f>
        <v>-0.52073725424371065</v>
      </c>
      <c r="AC14" s="544">
        <f>IF(ISNUMBER(AVERAGE(AB14,AA14,Z14,Y14,X14)),AVERAGE(AB14,AA14,Z14,Y14,X14),0)</f>
        <v>-0.52391559351526329</v>
      </c>
      <c r="AD14" s="544">
        <f>IF(ISNUMBER(AVERAGE(AC14,AB14,AA14,Z14,Y14)),AVERAGE(AC14,AB14,AA14,Z14,Y14),0)</f>
        <v>-0.52159686965821572</v>
      </c>
      <c r="AE14" s="544">
        <f>IF(ISNUMBER(AVERAGE(AD14,AC14,AB14,AA14,Z14)),AVERAGE(AD14,AC14,AB14,AA14,Z14),0)</f>
        <v>-0.51926679497347605</v>
      </c>
      <c r="AF14" s="544">
        <f>IF(ISNUMBER(AVERAGE(AE14,AD14,AC14,AB14,AA14)),AVERAGE(AE14,AD14,AC14,AB14,AA14),0)</f>
        <v>-0.51942655597144083</v>
      </c>
      <c r="AG14" s="544">
        <f>IF(ISNUMBER(AVERAGE(AF14,AE14,AD14,AC14,AB14)),AVERAGE(AF14,AE14,AD14,AC14,AB14),0)</f>
        <v>-0.52098861367242133</v>
      </c>
      <c r="AH14" s="544">
        <f>IF(ISNUMBER(AVERAGE(AG14,AF14,AE14,AD14,AC14)),AVERAGE(AG14,AF14,AE14,AD14,AC14),0)</f>
        <v>-0.52103888555816347</v>
      </c>
      <c r="AI14" s="544">
        <f>IF(ISNUMBER(AVERAGE(AH14,AG14,AF14,AE14,AD14)),AVERAGE(AH14,AG14,AF14,AE14,AD14),0)</f>
        <v>-0.52046354396674355</v>
      </c>
      <c r="AJ14" s="544">
        <f>IF(ISNUMBER(AVERAGE(AI14,AH14,AG14,AF14,AE14)),AVERAGE(AI14,AH14,AG14,AF14,AE14),0)</f>
        <v>-0.52023687882844905</v>
      </c>
      <c r="AK14" s="544">
        <f>IF(ISNUMBER(AVERAGE(AJ14,AI14,AH14,AG14,AF14)),AVERAGE(AJ14,AI14,AH14,AG14,AF14),0)</f>
        <v>-0.52043089559944367</v>
      </c>
      <c r="AL14" s="544">
        <f>IF(ISNUMBER(AVERAGE(AK14,AJ14,AI14,AH14,AG14)),AVERAGE(AK14,AJ14,AI14,AH14,AG14),0)</f>
        <v>-0.52063176352504414</v>
      </c>
      <c r="AM14" s="440"/>
      <c r="AN14" s="440"/>
    </row>
    <row r="15" spans="1:41" s="243" customFormat="1" ht="15.75" customHeight="1">
      <c r="A15" s="974" t="s">
        <v>2682</v>
      </c>
      <c r="B15" s="715"/>
      <c r="C15" s="721"/>
      <c r="D15" s="720">
        <f>利润表!D15</f>
        <v>5.7467323099999996</v>
      </c>
      <c r="E15" s="720">
        <f>利润表!E15</f>
        <v>11.18085157</v>
      </c>
      <c r="F15" s="720">
        <f>利润表!F15</f>
        <v>26.001949019999998</v>
      </c>
      <c r="G15" s="720">
        <f>利润表!G15</f>
        <v>68.307599120000006</v>
      </c>
      <c r="H15" s="720">
        <f>利润表!H15</f>
        <v>53.544000429999997</v>
      </c>
      <c r="I15" s="544">
        <f>IF(ISNUMBER((H15*5+G15*4+F15*3+E15*2+D15)/15),(H15*5+G15*4+F15*3+E15*2+D15)/15,0)</f>
        <v>43.137645409333331</v>
      </c>
      <c r="J15" s="544">
        <f>IF(ISNUMBER((I15*5+H15*4+G15*3+F15*2+E15)/15),(I15*5+H15*4+G15*3+F15*2+E15)/15,0)</f>
        <v>46.53145171577777</v>
      </c>
      <c r="K15" s="544">
        <f>IF(ISNUMBER((J15*5+I15*4+H15*3+G15*2+F15)/15),(J15*5+I15*4+H15*3+G15*2+F15)/15,0)</f>
        <v>48.563799251081484</v>
      </c>
      <c r="L15" s="544">
        <f>IF(ISNUMBER((K15*5+J15*4+I15*3+H15*2+G15)/15),(K15*5+J15*4+I15*3+H15*2+G15)/15,0)</f>
        <v>48.916889288434554</v>
      </c>
      <c r="M15" s="544">
        <f>IF(ISNUMBER((L15*5+K15*4+J15*3+I15*2+H15)/15),(L15*5+K15*4+J15*3+I15*2+H15)/15,0)</f>
        <v>47.883552656166579</v>
      </c>
      <c r="N15" s="544">
        <f>IF(ISNUMBER((M15*5+L15*4+K15*3+J15*2+I15)/15),(M15*5+L15*4+K15*3+J15*2+I15)/15,0)</f>
        <v>47.798484468580305</v>
      </c>
      <c r="O15" s="544">
        <f>IF(ISNUMBER((N15*5+M15*4+L15*3+K15*2+J15)/15),(N15*5+M15*4+L15*3+K15*2+J15)/15,0)</f>
        <v>48.062423403387477</v>
      </c>
      <c r="P15" s="544">
        <f>IF(ISNUMBER((O15*5+N15*4+M15*3+L15*2+K15)/15),(O15*5+N15*4+M15*3+L15*2+K15)/15,0)</f>
        <v>48.103619379180593</v>
      </c>
      <c r="Q15" s="544">
        <f>IF(ISNUMBER((P15*5+O15*4+N15*3+M15*2+L15)/15),(P15*5+O15*4+N15*3+M15*2+L15)/15,0)</f>
        <v>48.056482567730761</v>
      </c>
      <c r="R15" s="544">
        <f>IF(ISNUMBER((Q15*5+P15*4+O15*3+N15*2+M15)/15),(Q15*5+P15*4+O15*3+N15*2+M15)/15,0)</f>
        <v>48.024312143924384</v>
      </c>
      <c r="S15" s="544">
        <f>IF(ISNUMBER((R15*5+Q15*4+P15*3+O15*2+N15)/15),(R15*5+Q15*4+P15*3+O15*2+N15)/15,0)</f>
        <v>48.038778693562804</v>
      </c>
      <c r="T15" s="544">
        <f>IF(ISNUMBER((S15*5+R15*4+Q15*3+P15*2+O15)/15),(S15*5+R15*4+Q15*3+P15*2+O15)/15,0)</f>
        <v>48.048683460563502</v>
      </c>
      <c r="U15" s="544">
        <f>IF(ISNUMBER((T15*5+S15*4+R15*3+Q15*2+P15)/15),(T15*5+S15*4+R15*3+Q15*2+P15)/15,0)</f>
        <v>48.045870201565592</v>
      </c>
      <c r="V15" s="544">
        <f>IF(ISNUMBER((U15*5+T15*4+S15*3+R15*2+Q15)/15),(U15*5+T15*4+S15*3+R15*2+Q15)/15,0)</f>
        <v>48.043035185756658</v>
      </c>
      <c r="W15" s="544">
        <f>IF(ISNUMBER((V15*5+U15*4+T15*3+S15*2+R15)/15),(V15*5+U15*4+T15*3+S15*2+R15)/15,0)</f>
        <v>48.043105109852405</v>
      </c>
      <c r="X15" s="544">
        <f>IF(ISNUMBER((W15*5+V15*4+U15*3+T15*2+S15)/15),(W15*5+V15*4+U15*3+T15*2+S15)/15,0)</f>
        <v>48.044094834111675</v>
      </c>
      <c r="Y15" s="544">
        <f>IF(ISNUMBER((X15*5+W15*4+V15*3+U15*2+T15)/15),(X15*5+W15*4+V15*3+U15*2+T15)/15,0)</f>
        <v>48.044161602062182</v>
      </c>
      <c r="Z15" s="544">
        <f>IF(ISNUMBER((Y15*5+X15*4+W15*3+V15*2+U15)/15),(Y15*5+X15*4+W15*3+V15*2+U15)/15,0)</f>
        <v>48.043896216626244</v>
      </c>
      <c r="AA15" s="544">
        <f>IF(ISNUMBER((Z15*5+Y15*4+X15*3+W15*2+V15)/15),(Z15*5+Y15*4+X15*3+W15*2+V15)/15,0)</f>
        <v>48.04384382661177</v>
      </c>
      <c r="AB15" s="544">
        <f>IF(ISNUMBER((AA15*5+Z15*4+Y15*3+X15*2+W15)/15),(AA15*5+Z15*4+Y15*3+X15*2+W15)/15,0)</f>
        <v>48.043905572255071</v>
      </c>
      <c r="AC15" s="544">
        <f>IF(ISNUMBER((AB15*5+AA15*4+Z15*3+Y15*2+X15)/15),(AB15*5+AA15*4+Z15*3+Y15*2+X15)/15,0)</f>
        <v>48.043933990389142</v>
      </c>
      <c r="AD15" s="544">
        <f>IF(ISNUMBER((AC15*5+AB15*4+AA15*3+Z15*2+Y15)/15),(AC15*5+AB15*4+AA15*3+Z15*2+Y15)/15,0)</f>
        <v>48.043918517074403</v>
      </c>
      <c r="AE15" s="544">
        <f>IF(ISNUMBER((AD15*5+AC15*4+AB15*3+AA15*2+Z15)/15),(AD15*5+AC15*4+AB15*3+AA15*2+Z15)/15,0)</f>
        <v>48.043908608902896</v>
      </c>
      <c r="AF15" s="544">
        <f>IF(ISNUMBER((AE15*5+AD15*4+AC15*3+AB15*2+AA15)/15),(AE15*5+AD15*4+AC15*3+AB15*2+AA15)/15,0)</f>
        <v>48.043911603673429</v>
      </c>
      <c r="AG15" s="544">
        <f>IF(ISNUMBER((AF15*5+AE15*4+AD15*3+AC15*2+AB15)/15),(AF15*5+AE15*4+AD15*3+AC15*2+AB15)/15,0)</f>
        <v>48.043914770549016</v>
      </c>
      <c r="AH15" s="544">
        <f>IF(ISNUMBER((AG15*5+AF15*4+AE15*3+AD15*2+AC15)/15),(AG15*5+AF15*4+AE15*3+AD15*2+AC15)/15,0)</f>
        <v>48.043914474579033</v>
      </c>
      <c r="AI15" s="544">
        <f>IF(ISNUMBER((AH15*5+AG15*4+AF15*3+AE15*2+AD15)/15),(AH15*5+AG15*4+AF15*3+AE15*2+AD15)/15,0)</f>
        <v>48.043913466732775</v>
      </c>
      <c r="AJ15" s="544">
        <f>IF(ISNUMBER((AI15*5+AH15*4+AG15*3+AF15*2+AE15)/15),(AI15*5+AH15*4+AG15*3+AF15*2+AE15)/15,0)</f>
        <v>48.043913423991789</v>
      </c>
      <c r="AK15" s="544">
        <f>IF(ISNUMBER((AJ15*5+AI15*4+AH15*3+AG15*2+AF15)/15),(AJ15*5+AI15*4+AH15*3+AG15*2+AF15)/15,0)</f>
        <v>48.043913703693242</v>
      </c>
      <c r="AL15" s="544">
        <f>IF(ISNUMBER((AK15*5+AJ15*4+AI15*3+AH15*2+AG15)/15),(AK15*5+AJ15*4+AI15*3+AH15*2+AG15)/15,0)</f>
        <v>48.043913755622583</v>
      </c>
      <c r="AM15" s="440"/>
      <c r="AN15" s="440"/>
    </row>
    <row r="16" spans="1:41" s="243" customFormat="1" ht="15.75" customHeight="1">
      <c r="A16" s="974" t="s">
        <v>2686</v>
      </c>
      <c r="B16" s="715"/>
      <c r="C16" s="721"/>
      <c r="D16" s="720">
        <f>利润表!D18</f>
        <v>1.5737352499999999</v>
      </c>
      <c r="E16" s="720">
        <f>利润表!E18</f>
        <v>-1.3935956999999999</v>
      </c>
      <c r="F16" s="720">
        <f>利润表!F18</f>
        <v>-7.6598693300000003</v>
      </c>
      <c r="G16" s="720">
        <f>利润表!G18</f>
        <v>-6.4920323499999997</v>
      </c>
      <c r="H16" s="720">
        <f>利润表!H18</f>
        <v>-3.3414100899999997</v>
      </c>
      <c r="I16" s="544">
        <f>IF(ISNUMBER(AVERAGE(H16,G16,F16,E16,D16)),AVERAGE(H16,G16,F16,E16,D16),0)</f>
        <v>-3.4626344439999999</v>
      </c>
      <c r="J16" s="544">
        <f>IF(ISNUMBER(AVERAGE(I16,H16,G16,F16,E16)),AVERAGE(I16,H16,G16,F16,E16),0)</f>
        <v>-4.469908382799999</v>
      </c>
      <c r="K16" s="544">
        <f>IF(ISNUMBER(AVERAGE(J16,I16,H16,G16,F16)),AVERAGE(J16,I16,H16,G16,F16),0)</f>
        <v>-5.0851709193599994</v>
      </c>
      <c r="L16" s="544">
        <f>IF(ISNUMBER(AVERAGE(K16,J16,I16,H16,G16)),AVERAGE(K16,J16,I16,H16,G16),0)</f>
        <v>-4.5702312372319991</v>
      </c>
      <c r="M16" s="544">
        <f>IF(ISNUMBER(AVERAGE(L16,K16,J16,I16,H16)),AVERAGE(L16,K16,J16,I16,H16),0)</f>
        <v>-4.1858710146783995</v>
      </c>
      <c r="N16" s="544">
        <f>IF(ISNUMBER(AVERAGE(M16,L16,K16,J16,I16)),AVERAGE(M16,L16,K16,J16,I16),0)</f>
        <v>-4.3547631996140792</v>
      </c>
      <c r="O16" s="544">
        <f>IF(ISNUMBER(AVERAGE(N16,M16,L16,K16,J16)),AVERAGE(N16,M16,L16,K16,J16),0)</f>
        <v>-4.5331889507368954</v>
      </c>
      <c r="P16" s="544">
        <f>IF(ISNUMBER(AVERAGE(O16,N16,M16,L16,K16)),AVERAGE(O16,N16,M16,L16,K16),0)</f>
        <v>-4.5458450643242747</v>
      </c>
      <c r="Q16" s="544">
        <f>IF(ISNUMBER(AVERAGE(P16,O16,N16,M16,L16)),AVERAGE(P16,O16,N16,M16,L16),0)</f>
        <v>-4.4379798933171299</v>
      </c>
      <c r="R16" s="544">
        <f>IF(ISNUMBER(AVERAGE(Q16,P16,O16,N16,M16)),AVERAGE(Q16,P16,O16,N16,M16),0)</f>
        <v>-4.4115296245341558</v>
      </c>
      <c r="S16" s="544">
        <f>IF(ISNUMBER(AVERAGE(R16,Q16,P16,O16,N16)),AVERAGE(R16,Q16,P16,O16,N16),0)</f>
        <v>-4.4566613465053075</v>
      </c>
      <c r="T16" s="544">
        <f>IF(ISNUMBER(AVERAGE(S16,R16,Q16,P16,O16)),AVERAGE(S16,R16,Q16,P16,O16),0)</f>
        <v>-4.4770409758835532</v>
      </c>
      <c r="U16" s="544">
        <f>IF(ISNUMBER(AVERAGE(T16,S16,R16,Q16,P16)),AVERAGE(T16,S16,R16,Q16,P16),0)</f>
        <v>-4.4658113809128839</v>
      </c>
      <c r="V16" s="544">
        <f>IF(ISNUMBER(AVERAGE(U16,T16,S16,R16,Q16)),AVERAGE(U16,T16,S16,R16,Q16),0)</f>
        <v>-4.4498046442306052</v>
      </c>
      <c r="W16" s="544">
        <f>IF(ISNUMBER(AVERAGE(V16,U16,T16,S16,R16)),AVERAGE(V16,U16,T16,S16,R16),0)</f>
        <v>-4.4521695944133013</v>
      </c>
      <c r="X16" s="544">
        <f>IF(ISNUMBER(AVERAGE(W16,V16,U16,T16,S16)),AVERAGE(W16,V16,U16,T16,S16),0)</f>
        <v>-4.46029758838913</v>
      </c>
      <c r="Y16" s="544">
        <f>IF(ISNUMBER(AVERAGE(X16,W16,V16,U16,T16)),AVERAGE(X16,W16,V16,U16,T16),0)</f>
        <v>-4.4610248367658949</v>
      </c>
      <c r="Z16" s="544">
        <f>IF(ISNUMBER(AVERAGE(Y16,X16,W16,V16,U16)),AVERAGE(Y16,X16,W16,V16,U16),0)</f>
        <v>-4.4578216089423632</v>
      </c>
      <c r="AA16" s="544">
        <f>IF(ISNUMBER(AVERAGE(Z16,Y16,X16,W16,V16)),AVERAGE(Z16,Y16,X16,W16,V16),0)</f>
        <v>-4.4562236545482588</v>
      </c>
      <c r="AB16" s="544">
        <f>IF(ISNUMBER(AVERAGE(AA16,Z16,Y16,X16,W16)),AVERAGE(AA16,Z16,Y16,X16,W16),0)</f>
        <v>-4.4575074566117898</v>
      </c>
      <c r="AC16" s="544">
        <f>IF(ISNUMBER(AVERAGE(AB16,AA16,Z16,Y16,X16)),AVERAGE(AB16,AA16,Z16,Y16,X16),0)</f>
        <v>-4.4585750290514863</v>
      </c>
      <c r="AD16" s="544">
        <f>IF(ISNUMBER(AVERAGE(AC16,AB16,AA16,Z16,Y16)),AVERAGE(AC16,AB16,AA16,Z16,Y16),0)</f>
        <v>-4.4582305171839582</v>
      </c>
      <c r="AE16" s="544">
        <f>IF(ISNUMBER(AVERAGE(AD16,AC16,AB16,AA16,Z16)),AVERAGE(AD16,AC16,AB16,AA16,Z16),0)</f>
        <v>-4.4576716532675711</v>
      </c>
      <c r="AF16" s="544">
        <f>IF(ISNUMBER(AVERAGE(AE16,AD16,AC16,AB16,AA16)),AVERAGE(AE16,AD16,AC16,AB16,AA16),0)</f>
        <v>-4.4576416621326134</v>
      </c>
      <c r="AG16" s="544">
        <f>IF(ISNUMBER(AVERAGE(AF16,AE16,AD16,AC16,AB16)),AVERAGE(AF16,AE16,AD16,AC16,AB16),0)</f>
        <v>-4.4579252636494839</v>
      </c>
      <c r="AH16" s="544">
        <f>IF(ISNUMBER(AVERAGE(AG16,AF16,AE16,AD16,AC16)),AVERAGE(AG16,AF16,AE16,AD16,AC16),0)</f>
        <v>-4.4580088250570231</v>
      </c>
      <c r="AI16" s="544">
        <f>IF(ISNUMBER(AVERAGE(AH16,AG16,AF16,AE16,AD16)),AVERAGE(AH16,AG16,AF16,AE16,AD16),0)</f>
        <v>-4.4578955842581296</v>
      </c>
      <c r="AJ16" s="544">
        <f>IF(ISNUMBER(AVERAGE(AI16,AH16,AG16,AF16,AE16)),AVERAGE(AI16,AH16,AG16,AF16,AE16),0)</f>
        <v>-4.4578285976729646</v>
      </c>
      <c r="AK16" s="544">
        <f>IF(ISNUMBER(AVERAGE(AJ16,AI16,AH16,AG16,AF16)),AVERAGE(AJ16,AI16,AH16,AG16,AF16),0)</f>
        <v>-4.4578599865540429</v>
      </c>
      <c r="AL16" s="544">
        <f>IF(ISNUMBER(AVERAGE(AK16,AJ16,AI16,AH16,AG16)),AVERAGE(AK16,AJ16,AI16,AH16,AG16),0)</f>
        <v>-4.457903651438329</v>
      </c>
      <c r="AM16" s="440"/>
      <c r="AN16" s="440"/>
    </row>
    <row r="17" spans="1:40" s="243" customFormat="1" ht="15" customHeight="1">
      <c r="A17" s="717" t="s">
        <v>749</v>
      </c>
      <c r="B17" s="719"/>
      <c r="C17" s="718"/>
      <c r="D17" s="720">
        <f>利润表!D20</f>
        <v>2.9020750099999999</v>
      </c>
      <c r="E17" s="720">
        <f>利润表!E20</f>
        <v>5.3923089600000003</v>
      </c>
      <c r="F17" s="720">
        <f>利润表!F20</f>
        <v>8.3436985200000002</v>
      </c>
      <c r="G17" s="720">
        <f>利润表!G20</f>
        <v>12.447954749999999</v>
      </c>
      <c r="H17" s="720">
        <f>利润表!H20</f>
        <v>11.99548611</v>
      </c>
      <c r="I17" s="544">
        <f>IF(ISNUMBER(AVERAGE(H17,G17,F17,E17,D17)),AVERAGE(H17,G17,F17,E17,D17),0)</f>
        <v>8.2163046699999995</v>
      </c>
      <c r="J17" s="544">
        <f>IF(ISNUMBER(AVERAGE(I17,H17,G17,F17,E17)),AVERAGE(I17,H17,G17,F17,E17),0)</f>
        <v>9.2791506019999996</v>
      </c>
      <c r="K17" s="544">
        <f>IF(ISNUMBER(AVERAGE(J17,I17,H17,G17,F17)),AVERAGE(J17,I17,H17,G17,F17),0)</f>
        <v>10.056518930399999</v>
      </c>
      <c r="L17" s="544">
        <f>IF(ISNUMBER(AVERAGE(K17,J17,I17,H17,G17)),AVERAGE(K17,J17,I17,H17,G17),0)</f>
        <v>10.39908301248</v>
      </c>
      <c r="M17" s="544">
        <f>IF(ISNUMBER(AVERAGE(L17,K17,J17,I17,H17)),AVERAGE(L17,K17,J17,I17,H17),0)</f>
        <v>9.9893086649760008</v>
      </c>
      <c r="N17" s="544">
        <f>IF(ISNUMBER(AVERAGE(M17,L17,K17,J17,I17)),AVERAGE(M17,L17,K17,J17,I17),0)</f>
        <v>9.5880731759711999</v>
      </c>
      <c r="O17" s="544">
        <f>IF(ISNUMBER(AVERAGE(N17,M17,L17,K17,J17)),AVERAGE(N17,M17,L17,K17,J17),0)</f>
        <v>9.8624268771654418</v>
      </c>
      <c r="P17" s="544">
        <f>IF(ISNUMBER(AVERAGE(O17,N17,M17,L17,K17)),AVERAGE(O17,N17,M17,L17,K17),0)</f>
        <v>9.9790821321985277</v>
      </c>
      <c r="Q17" s="544">
        <f>IF(ISNUMBER(AVERAGE(P17,O17,N17,M17,L17)),AVERAGE(P17,O17,N17,M17,L17),0)</f>
        <v>9.9635947725582348</v>
      </c>
      <c r="R17" s="544">
        <f>IF(ISNUMBER(AVERAGE(Q17,P17,O17,N17,M17)),AVERAGE(Q17,P17,O17,N17,M17),0)</f>
        <v>9.8764971245738806</v>
      </c>
      <c r="S17" s="544">
        <f>IF(ISNUMBER(AVERAGE(R17,Q17,P17,O17,N17)),AVERAGE(R17,Q17,P17,O17,N17),0)</f>
        <v>9.8539348164934584</v>
      </c>
      <c r="T17" s="544">
        <f>IF(ISNUMBER(AVERAGE(S17,R17,Q17,P17,O17)),AVERAGE(S17,R17,Q17,P17,O17),0)</f>
        <v>9.9071071445979086</v>
      </c>
      <c r="U17" s="544">
        <f>IF(ISNUMBER(AVERAGE(T17,S17,R17,Q17,P17)),AVERAGE(T17,S17,R17,Q17,P17),0)</f>
        <v>9.9160431980844006</v>
      </c>
      <c r="V17" s="544">
        <f>IF(ISNUMBER(AVERAGE(U17,T17,S17,R17,Q17)),AVERAGE(U17,T17,S17,R17,Q17),0)</f>
        <v>9.9034354112615777</v>
      </c>
      <c r="W17" s="544">
        <f>IF(ISNUMBER(AVERAGE(V17,U17,T17,S17,R17)),AVERAGE(V17,U17,T17,S17,R17),0)</f>
        <v>9.8914035390022441</v>
      </c>
      <c r="X17" s="544">
        <f>IF(ISNUMBER(AVERAGE(W17,V17,U17,T17,S17)),AVERAGE(W17,V17,U17,T17,S17),0)</f>
        <v>9.8943848218879182</v>
      </c>
      <c r="Y17" s="544">
        <f>IF(ISNUMBER(AVERAGE(X17,W17,V17,U17,T17)),AVERAGE(X17,W17,V17,U17,T17),0)</f>
        <v>9.9024748229668109</v>
      </c>
      <c r="Z17" s="544">
        <f>IF(ISNUMBER(AVERAGE(Y17,X17,W17,V17,U17)),AVERAGE(Y17,X17,W17,V17,U17),0)</f>
        <v>9.901548358640591</v>
      </c>
      <c r="AA17" s="544">
        <f>IF(ISNUMBER(AVERAGE(Z17,Y17,X17,W17,V17)),AVERAGE(Z17,Y17,X17,W17,V17),0)</f>
        <v>9.898649390751828</v>
      </c>
      <c r="AB17" s="544">
        <f>IF(ISNUMBER(AVERAGE(AA17,Z17,Y17,X17,W17)),AVERAGE(AA17,Z17,Y17,X17,W17),0)</f>
        <v>9.897692186649877</v>
      </c>
      <c r="AC17" s="544">
        <f>IF(ISNUMBER(AVERAGE(AB17,AA17,Z17,Y17,X17)),AVERAGE(AB17,AA17,Z17,Y17,X17),0)</f>
        <v>9.8989499161794043</v>
      </c>
      <c r="AD17" s="544">
        <f>IF(ISNUMBER(AVERAGE(AC17,AB17,AA17,Z17,Y17)),AVERAGE(AC17,AB17,AA17,Z17,Y17),0)</f>
        <v>9.8998629350377012</v>
      </c>
      <c r="AE17" s="544">
        <f>IF(ISNUMBER(AVERAGE(AD17,AC17,AB17,AA17,Z17)),AVERAGE(AD17,AC17,AB17,AA17,Z17),0)</f>
        <v>9.8993405574518807</v>
      </c>
      <c r="AF17" s="544">
        <f>IF(ISNUMBER(AVERAGE(AE17,AD17,AC17,AB17,AA17)),AVERAGE(AE17,AD17,AC17,AB17,AA17),0)</f>
        <v>9.8988989972141379</v>
      </c>
      <c r="AG17" s="544">
        <f>IF(ISNUMBER(AVERAGE(AF17,AE17,AD17,AC17,AB17)),AVERAGE(AF17,AE17,AD17,AC17,AB17),0)</f>
        <v>9.8989489185066013</v>
      </c>
      <c r="AH17" s="544">
        <f>IF(ISNUMBER(AVERAGE(AG17,AF17,AE17,AD17,AC17)),AVERAGE(AG17,AF17,AE17,AD17,AC17),0)</f>
        <v>9.899200264877944</v>
      </c>
      <c r="AI17" s="544">
        <f>IF(ISNUMBER(AVERAGE(AH17,AG17,AF17,AE17,AD17)),AVERAGE(AH17,AG17,AF17,AE17,AD17),0)</f>
        <v>9.899250334617653</v>
      </c>
      <c r="AJ17" s="544">
        <f>IF(ISNUMBER(AVERAGE(AI17,AH17,AG17,AF17,AE17)),AVERAGE(AI17,AH17,AG17,AF17,AE17),0)</f>
        <v>9.8991278145336423</v>
      </c>
      <c r="AK17" s="544">
        <f>IF(ISNUMBER(AVERAGE(AJ17,AI17,AH17,AG17,AF17)),AVERAGE(AJ17,AI17,AH17,AG17,AF17),0)</f>
        <v>9.8990852659499957</v>
      </c>
      <c r="AL17" s="544">
        <f>IF(ISNUMBER(AVERAGE(AK17,AJ17,AI17,AH17,AG17)),AVERAGE(AK17,AJ17,AI17,AH17,AG17),0)</f>
        <v>9.8991225196971673</v>
      </c>
      <c r="AM17" s="440"/>
      <c r="AN17" s="440"/>
    </row>
    <row r="18" spans="1:40" s="243" customFormat="1" ht="15" customHeight="1">
      <c r="A18" s="717" t="s">
        <v>750</v>
      </c>
      <c r="B18" s="719"/>
      <c r="C18" s="718"/>
      <c r="D18" s="720">
        <f>利润表!D21</f>
        <v>1.2279948700000001</v>
      </c>
      <c r="E18" s="720">
        <f>利润表!E21</f>
        <v>1.04424881</v>
      </c>
      <c r="F18" s="720">
        <f>利润表!F21</f>
        <v>2.6082265599999999</v>
      </c>
      <c r="G18" s="720">
        <f>利润表!G21</f>
        <v>2.6184784300000001</v>
      </c>
      <c r="H18" s="720">
        <f>利润表!H21</f>
        <v>2.8726492100000001</v>
      </c>
      <c r="I18" s="544">
        <f>IF(ISNUMBER(AVERAGE(H18,G18,F18)),AVERAGE(H18,G18,F18),0)</f>
        <v>2.6997847333333334</v>
      </c>
      <c r="J18" s="544">
        <f>IF(ISNUMBER(AVERAGE(I18,H18,G18)),AVERAGE(I18,H18,G18),0)</f>
        <v>2.7303041244444444</v>
      </c>
      <c r="K18" s="544">
        <f>IF(ISNUMBER(AVERAGE(J18,I18,H18)),AVERAGE(J18,I18,H18),0)</f>
        <v>2.7675793559259261</v>
      </c>
      <c r="L18" s="544">
        <f>IF(ISNUMBER(AVERAGE(K18,J18,I18)),AVERAGE(K18,J18,I18),0)</f>
        <v>2.7325560712345678</v>
      </c>
      <c r="M18" s="544">
        <f>IF(ISNUMBER(AVERAGE(L18,K18,J18)),AVERAGE(L18,K18,J18),0)</f>
        <v>2.7434798505349796</v>
      </c>
      <c r="N18" s="544">
        <f>IF(ISNUMBER(AVERAGE(M18,L18,K18)),AVERAGE(M18,L18,K18),0)</f>
        <v>2.7478717592318245</v>
      </c>
      <c r="O18" s="544">
        <f>IF(ISNUMBER(AVERAGE(N18,M18,L18)),AVERAGE(N18,M18,L18),0)</f>
        <v>2.7413025603337906</v>
      </c>
      <c r="P18" s="544">
        <f>IF(ISNUMBER(AVERAGE(O18,N18,M18)),AVERAGE(O18,N18,M18),0)</f>
        <v>2.7442180567001984</v>
      </c>
      <c r="Q18" s="544">
        <f>IF(ISNUMBER(AVERAGE(P18,O18,N18)),AVERAGE(P18,O18,N18),0)</f>
        <v>2.744464125421938</v>
      </c>
      <c r="R18" s="544">
        <f>IF(ISNUMBER(AVERAGE(Q18,P18,O18)),AVERAGE(Q18,P18,O18),0)</f>
        <v>2.7433282474853091</v>
      </c>
      <c r="S18" s="544">
        <f>IF(ISNUMBER(AVERAGE(R18,Q18,P18)),AVERAGE(R18,Q18,P18),0)</f>
        <v>2.744003476535815</v>
      </c>
      <c r="T18" s="544">
        <f>IF(ISNUMBER(AVERAGE(S18,R18,Q18)),AVERAGE(S18,R18,Q18),0)</f>
        <v>2.7439319498143537</v>
      </c>
      <c r="U18" s="544">
        <f>IF(ISNUMBER(AVERAGE(T18,S18,R18)),AVERAGE(T18,S18,R18),0)</f>
        <v>2.7437545579451594</v>
      </c>
      <c r="V18" s="544">
        <f>IF(ISNUMBER(AVERAGE(U18,T18,S18)),AVERAGE(U18,T18,S18),0)</f>
        <v>2.7438966614317759</v>
      </c>
      <c r="W18" s="544">
        <f>IF(ISNUMBER(AVERAGE(V18,U18,T18)),AVERAGE(V18,U18,T18),0)</f>
        <v>2.7438610563970962</v>
      </c>
      <c r="X18" s="544">
        <f>IF(ISNUMBER(AVERAGE(W18,V18,U18)),AVERAGE(W18,V18,U18),0)</f>
        <v>2.7438374252580107</v>
      </c>
      <c r="Y18" s="544">
        <f>IF(ISNUMBER(AVERAGE(X18,W18,V18)),AVERAGE(X18,W18,V18),0)</f>
        <v>2.7438650476956279</v>
      </c>
      <c r="Z18" s="544">
        <f>IF(ISNUMBER(AVERAGE(Y18,X18,W18)),AVERAGE(Y18,X18,W18),0)</f>
        <v>2.7438545097835783</v>
      </c>
      <c r="AA18" s="544">
        <f>IF(ISNUMBER(AVERAGE(Z18,Y18,X18)),AVERAGE(Z18,Y18,X18),0)</f>
        <v>2.7438523275790723</v>
      </c>
      <c r="AB18" s="544">
        <f>IF(ISNUMBER(AVERAGE(AA18,Z18,Y18)),AVERAGE(AA18,Z18,Y18),0)</f>
        <v>2.743857295019426</v>
      </c>
      <c r="AC18" s="544">
        <f>IF(ISNUMBER(AVERAGE(AB18,AA18,Z18)),AVERAGE(AB18,AA18,Z18),0)</f>
        <v>2.7438547107940252</v>
      </c>
      <c r="AD18" s="544">
        <f>IF(ISNUMBER(AVERAGE(AC18,AB18,AA18)),AVERAGE(AC18,AB18,AA18),0)</f>
        <v>2.7438547777975075</v>
      </c>
      <c r="AE18" s="544">
        <f>IF(ISNUMBER(AVERAGE(AD18,AC18,AB18)),AVERAGE(AD18,AC18,AB18),0)</f>
        <v>2.7438555945369862</v>
      </c>
      <c r="AF18" s="544">
        <f>IF(ISNUMBER(AVERAGE(AE18,AD18,AC18)),AVERAGE(AE18,AD18,AC18),0)</f>
        <v>2.7438550277095062</v>
      </c>
      <c r="AG18" s="544">
        <f>IF(ISNUMBER(AVERAGE(AF18,AE18,AD18)),AVERAGE(AF18,AE18,AD18),0)</f>
        <v>2.7438551333479997</v>
      </c>
      <c r="AH18" s="544">
        <f>IF(ISNUMBER(AVERAGE(AG18,AF18,AE18)),AVERAGE(AG18,AF18,AE18),0)</f>
        <v>2.7438552518648307</v>
      </c>
      <c r="AI18" s="544">
        <f>IF(ISNUMBER(AVERAGE(AH18,AG18,AF18)),AVERAGE(AH18,AG18,AF18),0)</f>
        <v>2.7438551376407787</v>
      </c>
      <c r="AJ18" s="544">
        <f>IF(ISNUMBER(AVERAGE(AI18,AH18,AG18)),AVERAGE(AI18,AH18,AG18),0)</f>
        <v>2.7438551742845365</v>
      </c>
      <c r="AK18" s="544">
        <f>IF(ISNUMBER(AVERAGE(AJ18,AI18,AH18)),AVERAGE(AJ18,AI18,AH18),0)</f>
        <v>2.7438551879300488</v>
      </c>
      <c r="AL18" s="544">
        <f>IF(ISNUMBER(AVERAGE(AK18,AJ18,AI18)),AVERAGE(AK18,AJ18,AI18),0)</f>
        <v>2.7438551666184545</v>
      </c>
      <c r="AM18" s="440"/>
      <c r="AN18" s="440"/>
    </row>
    <row r="19" spans="1:40" ht="14.25" customHeight="1">
      <c r="A19" s="715" t="s">
        <v>751</v>
      </c>
      <c r="B19" s="715" t="s">
        <v>752</v>
      </c>
      <c r="C19" s="716"/>
      <c r="D19" s="706">
        <f>利润表!D23/利润表!D22</f>
        <v>0.16993387051946238</v>
      </c>
      <c r="E19" s="706">
        <f>利润表!E23/利润表!E22</f>
        <v>0.15813674505388745</v>
      </c>
      <c r="F19" s="706">
        <f>利润表!F23/利润表!F22</f>
        <v>0.14296508659969395</v>
      </c>
      <c r="G19" s="706">
        <f>利润表!G23/利润表!G22</f>
        <v>0.18023921367182907</v>
      </c>
      <c r="H19" s="706">
        <f>利润表!H23/利润表!H22</f>
        <v>0.11305358120454362</v>
      </c>
      <c r="I19" s="543">
        <f>IF(ISNUMBER(AVERAGE(H19,G19,F19,E19,D19)),AVERAGE(H19,G19,F19,E19,D19),0)</f>
        <v>0.15286569940988332</v>
      </c>
      <c r="J19" s="543">
        <f>IF(ISNUMBER(AVERAGE(I19,H19,G19,F19,E19)),AVERAGE(I19,H19,G19,F19,E19),0)</f>
        <v>0.14945206518796747</v>
      </c>
      <c r="K19" s="543">
        <f>IF(ISNUMBER(AVERAGE(J19,I19,H19,G19,F19)),AVERAGE(J19,I19,H19,G19,F19),0)</f>
        <v>0.1477151292147835</v>
      </c>
      <c r="L19" s="543">
        <f>IF(ISNUMBER(AVERAGE(K19,J19,I19,H19,G19)),AVERAGE(K19,J19,I19,H19,G19),0)</f>
        <v>0.14866513773780138</v>
      </c>
      <c r="M19" s="543">
        <f>IF(ISNUMBER(AVERAGE(L19,K19,J19,I19,H19)),AVERAGE(L19,K19,J19,I19,H19),0)</f>
        <v>0.14235032255099589</v>
      </c>
      <c r="N19" s="543">
        <f>IF(ISNUMBER(AVERAGE(M19,L19,K19,J19,I19)),AVERAGE(M19,L19,K19,J19,I19),0)</f>
        <v>0.14820967082028633</v>
      </c>
      <c r="O19" s="543">
        <f>IF(ISNUMBER(AVERAGE(N19,M19,L19,K19,J19)),AVERAGE(N19,M19,L19,K19,J19),0)</f>
        <v>0.14727846510236692</v>
      </c>
      <c r="P19" s="543">
        <f>IF(ISNUMBER(AVERAGE(O19,N19,M19,L19,K19)),AVERAGE(O19,N19,M19,L19,K19),0)</f>
        <v>0.14684374508524678</v>
      </c>
      <c r="Q19" s="543">
        <f>IF(ISNUMBER(AVERAGE(P19,O19,N19,M19,L19)),AVERAGE(P19,O19,N19,M19,L19),0)</f>
        <v>0.14666946825933946</v>
      </c>
      <c r="R19" s="543">
        <f>IF(ISNUMBER(AVERAGE(Q19,P19,O19,N19,M19)),AVERAGE(Q19,P19,O19,N19,M19),0)</f>
        <v>0.14627033436364706</v>
      </c>
      <c r="S19" s="543">
        <f>IF(ISNUMBER(AVERAGE(R19,Q19,P19,O19,N19)),AVERAGE(R19,Q19,P19,O19,N19),0)</f>
        <v>0.14705433672617732</v>
      </c>
      <c r="T19" s="543">
        <f>IF(ISNUMBER(AVERAGE(S19,R19,Q19,P19,O19)),AVERAGE(S19,R19,Q19,P19,O19),0)</f>
        <v>0.1468232699073555</v>
      </c>
      <c r="U19" s="543">
        <f>IF(ISNUMBER(AVERAGE(T19,S19,R19,Q19,P19)),AVERAGE(T19,S19,R19,Q19,P19),0)</f>
        <v>0.14673223086835321</v>
      </c>
      <c r="V19" s="543">
        <f>IF(ISNUMBER(AVERAGE(U19,T19,S19,R19,Q19)),AVERAGE(U19,T19,S19,R19,Q19),0)</f>
        <v>0.14670992802497448</v>
      </c>
      <c r="W19" s="543">
        <f>IF(ISNUMBER(AVERAGE(V19,U19,T19,S19,R19)),AVERAGE(V19,U19,T19,S19,R19),0)</f>
        <v>0.14671801997810152</v>
      </c>
      <c r="X19" s="543">
        <f>IF(ISNUMBER(AVERAGE(W19,V19,U19,T19,S19)),AVERAGE(W19,V19,U19,T19,S19),0)</f>
        <v>0.14680755710099241</v>
      </c>
      <c r="Y19" s="543">
        <f>IF(ISNUMBER(AVERAGE(X19,W19,V19,U19,T19)),AVERAGE(X19,W19,V19,U19,T19),0)</f>
        <v>0.14675820117595542</v>
      </c>
      <c r="Z19" s="543">
        <f>IF(ISNUMBER(AVERAGE(Y19,X19,W19,V19,U19)),AVERAGE(Y19,X19,W19,V19,U19),0)</f>
        <v>0.14674518742967541</v>
      </c>
      <c r="AA19" s="543">
        <f>IF(ISNUMBER(AVERAGE(Z19,Y19,X19,W19,V19)),AVERAGE(Z19,Y19,X19,W19,V19),0)</f>
        <v>0.14674777874193984</v>
      </c>
      <c r="AB19" s="543">
        <f>IF(ISNUMBER(AVERAGE(AA19,Z19,Y19,X19,W19)),AVERAGE(AA19,Z19,Y19,X19,W19),0)</f>
        <v>0.1467553488853329</v>
      </c>
      <c r="AC19" s="543">
        <f>IF(ISNUMBER(AVERAGE(AB19,AA19,Z19,Y19,X19)),AVERAGE(AB19,AA19,Z19,Y19,X19),0)</f>
        <v>0.14676281466677921</v>
      </c>
      <c r="AD19" s="543">
        <f>IF(ISNUMBER(AVERAGE(AC19,AB19,AA19,Z19,Y19)),AVERAGE(AC19,AB19,AA19,Z19,Y19),0)</f>
        <v>0.14675386617993655</v>
      </c>
      <c r="AE19" s="543">
        <f>IF(ISNUMBER(AVERAGE(AD19,AC19,AB19,AA19,Z19)),AVERAGE(AD19,AC19,AB19,AA19,Z19),0)</f>
        <v>0.14675299918073281</v>
      </c>
      <c r="AF19" s="543">
        <f>IF(ISNUMBER(AVERAGE(AE19,AD19,AC19,AB19,AA19)),AVERAGE(AE19,AD19,AC19,AB19,AA19),0)</f>
        <v>0.14675456153094429</v>
      </c>
      <c r="AG19" s="543">
        <f>IF(ISNUMBER(AVERAGE(AF19,AE19,AD19,AC19,AB19)),AVERAGE(AF19,AE19,AD19,AC19,AB19),0)</f>
        <v>0.14675591808874516</v>
      </c>
      <c r="AH19" s="543">
        <f>IF(ISNUMBER(AVERAGE(AG19,AF19,AE19,AD19,AC19)),AVERAGE(AG19,AF19,AE19,AD19,AC19),0)</f>
        <v>0.1467560319294276</v>
      </c>
      <c r="AI19" s="543">
        <f>IF(ISNUMBER(AVERAGE(AH19,AG19,AF19,AE19,AD19)),AVERAGE(AH19,AG19,AF19,AE19,AD19),0)</f>
        <v>0.1467546753819573</v>
      </c>
      <c r="AJ19" s="543">
        <f>IF(ISNUMBER(AVERAGE(AI19,AH19,AG19,AF19,AE19)),AVERAGE(AI19,AH19,AG19,AF19,AE19),0)</f>
        <v>0.14675483722236143</v>
      </c>
      <c r="AK19" s="543">
        <f>IF(ISNUMBER(AVERAGE(AJ19,AI19,AH19,AG19,AF19)),AVERAGE(AJ19,AI19,AH19,AG19,AF19),0)</f>
        <v>0.14675520483068713</v>
      </c>
      <c r="AL19" s="543">
        <f>IF(ISNUMBER(AVERAGE(AK19,AJ19,AI19,AH19,AG19)),AVERAGE(AK19,AJ19,AI19,AH19,AG19),0)</f>
        <v>0.14675533349063574</v>
      </c>
      <c r="AM19" s="714"/>
    </row>
    <row r="20" spans="1:40" s="727" customFormat="1" ht="10.5" hidden="1" customHeight="1">
      <c r="A20" s="722"/>
      <c r="B20" s="723"/>
      <c r="C20" s="724"/>
      <c r="D20" s="725"/>
      <c r="E20" s="725"/>
      <c r="F20" s="725"/>
      <c r="G20" s="725"/>
      <c r="H20" s="725"/>
      <c r="I20" s="511"/>
      <c r="J20" s="511"/>
      <c r="K20" s="511"/>
      <c r="L20" s="511"/>
      <c r="M20" s="511"/>
      <c r="N20" s="511"/>
      <c r="O20" s="511"/>
      <c r="P20" s="511"/>
      <c r="Q20" s="511"/>
      <c r="R20" s="511"/>
      <c r="S20" s="511"/>
      <c r="T20" s="511"/>
      <c r="U20" s="511"/>
      <c r="V20" s="511"/>
      <c r="W20" s="511"/>
      <c r="X20" s="511"/>
      <c r="Y20" s="511"/>
      <c r="Z20" s="511"/>
      <c r="AA20" s="511"/>
      <c r="AB20" s="511"/>
      <c r="AC20" s="511"/>
      <c r="AD20" s="511"/>
      <c r="AE20" s="511"/>
      <c r="AF20" s="511"/>
      <c r="AG20" s="511"/>
      <c r="AH20" s="511"/>
      <c r="AI20" s="511"/>
      <c r="AJ20" s="511"/>
      <c r="AK20" s="511"/>
      <c r="AL20" s="511"/>
      <c r="AM20" s="726"/>
    </row>
    <row r="21" spans="1:40" ht="15" customHeight="1">
      <c r="A21" s="715" t="s">
        <v>753</v>
      </c>
      <c r="B21" s="715" t="s">
        <v>754</v>
      </c>
      <c r="C21" s="716"/>
      <c r="D21" s="706">
        <f>利润表!D29/利润表!D25</f>
        <v>0</v>
      </c>
      <c r="E21" s="706">
        <f>利润表!E29/利润表!E25</f>
        <v>-3.5887124691149969E-8</v>
      </c>
      <c r="F21" s="706">
        <f>利润表!F29/利润表!F25</f>
        <v>0</v>
      </c>
      <c r="G21" s="706">
        <f>利润表!G29/利润表!G25</f>
        <v>0</v>
      </c>
      <c r="H21" s="706">
        <f>利润表!H29/利润表!H25</f>
        <v>-1.518579865995133E-3</v>
      </c>
      <c r="I21" s="543">
        <f>IF(ISNUMBER(AVERAGE(H21,G21,F21,E21,D21)),AVERAGE(H21,G21,F21,E21,D21),0)</f>
        <v>-3.0372315062396484E-4</v>
      </c>
      <c r="J21" s="543">
        <f>IF(ISNUMBER(AVERAGE(I21,H21,G21,F21,E21)),AVERAGE(I21,H21,G21,F21,E21),0)</f>
        <v>-3.6446778074875779E-4</v>
      </c>
      <c r="K21" s="543">
        <f>IF(ISNUMBER(AVERAGE(J21,I21,H21,G21,F21)),AVERAGE(J21,I21,H21,G21,F21),0)</f>
        <v>-4.3735415947357111E-4</v>
      </c>
      <c r="L21" s="543">
        <f>IF(ISNUMBER(AVERAGE(K21,J21,I21,H21,G21)),AVERAGE(K21,J21,I21,H21,G21),0)</f>
        <v>-5.2482499136828533E-4</v>
      </c>
      <c r="M21" s="543">
        <f>IF(ISNUMBER(AVERAGE(L21,K21,J21,I21,H21)),AVERAGE(L21,K21,J21,I21,H21),0)</f>
        <v>-6.2978998964194235E-4</v>
      </c>
      <c r="N21" s="543">
        <f>IF(ISNUMBER(AVERAGE(M21,L21,K21,J21,I21)),AVERAGE(M21,L21,K21,J21,I21),0)</f>
        <v>-4.5203201437130427E-4</v>
      </c>
      <c r="O21" s="543">
        <f>IF(ISNUMBER(AVERAGE(N21,M21,L21,K21,J21)),AVERAGE(N21,M21,L21,K21,J21),0)</f>
        <v>-4.816937871207721E-4</v>
      </c>
      <c r="P21" s="543">
        <f>IF(ISNUMBER(AVERAGE(O21,N21,M21,L21,K21)),AVERAGE(O21,N21,M21,L21,K21),0)</f>
        <v>-5.0513898839517498E-4</v>
      </c>
      <c r="Q21" s="543">
        <f>IF(ISNUMBER(AVERAGE(P21,O21,N21,M21,L21)),AVERAGE(P21,O21,N21,M21,L21),0)</f>
        <v>-5.1869595417949573E-4</v>
      </c>
      <c r="R21" s="543">
        <f>IF(ISNUMBER(AVERAGE(Q21,P21,O21,N21,M21)),AVERAGE(Q21,P21,O21,N21,M21),0)</f>
        <v>-5.1747014674173792E-4</v>
      </c>
      <c r="S21" s="543">
        <f>IF(ISNUMBER(AVERAGE(R21,Q21,P21,O21,N21)),AVERAGE(R21,Q21,P21,O21,N21),0)</f>
        <v>-4.9500617816169708E-4</v>
      </c>
      <c r="T21" s="543">
        <f>IF(ISNUMBER(AVERAGE(S21,R21,Q21,P21,O21)),AVERAGE(S21,R21,Q21,P21,O21),0)</f>
        <v>-5.0360101091977551E-4</v>
      </c>
      <c r="U21" s="543">
        <f>IF(ISNUMBER(AVERAGE(T21,S21,R21,Q21,P21)),AVERAGE(T21,S21,R21,Q21,P21),0)</f>
        <v>-5.0798245567957624E-4</v>
      </c>
      <c r="V21" s="543">
        <f>IF(ISNUMBER(AVERAGE(U21,T21,S21,R21,Q21)),AVERAGE(U21,T21,S21,R21,Q21),0)</f>
        <v>-5.0855114913645654E-4</v>
      </c>
      <c r="W21" s="543">
        <f>IF(ISNUMBER(AVERAGE(V21,U21,T21,S21,R21)),AVERAGE(V21,U21,T21,S21,R21),0)</f>
        <v>-5.0652218812784872E-4</v>
      </c>
      <c r="X21" s="543">
        <f>IF(ISNUMBER(AVERAGE(W21,V21,U21,T21,S21)),AVERAGE(W21,V21,U21,T21,S21),0)</f>
        <v>-5.0433259640507086E-4</v>
      </c>
      <c r="Y21" s="543">
        <f>IF(ISNUMBER(AVERAGE(X21,W21,V21,U21,T21)),AVERAGE(X21,W21,V21,U21,T21),0)</f>
        <v>-5.061978800537456E-4</v>
      </c>
      <c r="Z21" s="543">
        <f>IF(ISNUMBER(AVERAGE(Y21,X21,W21,V21,U21)),AVERAGE(Y21,X21,W21,V21,U21),0)</f>
        <v>-5.0671725388053959E-4</v>
      </c>
      <c r="AA21" s="543">
        <f>IF(ISNUMBER(AVERAGE(Z21,Y21,X21,W21,V21)),AVERAGE(Z21,Y21,X21,W21,V21),0)</f>
        <v>-5.0646421352073233E-4</v>
      </c>
      <c r="AB21" s="543">
        <f>IF(ISNUMBER(AVERAGE(AA21,Z21,Y21,X21,W21)),AVERAGE(AA21,Z21,Y21,X21,W21),0)</f>
        <v>-5.0604682639758742E-4</v>
      </c>
      <c r="AC21" s="543">
        <f>IF(ISNUMBER(AVERAGE(AB21,AA21,Z21,Y21,X21)),AVERAGE(AB21,AA21,Z21,Y21,X21),0)</f>
        <v>-5.0595175405153511E-4</v>
      </c>
      <c r="AD21" s="543">
        <f>IF(ISNUMBER(AVERAGE(AC21,AB21,AA21,Z21,Y21)),AVERAGE(AC21,AB21,AA21,Z21,Y21),0)</f>
        <v>-5.0627558558082801E-4</v>
      </c>
      <c r="AE21" s="543">
        <f>IF(ISNUMBER(AVERAGE(AD21,AC21,AB21,AA21,Z21)),AVERAGE(AD21,AC21,AB21,AA21,Z21),0)</f>
        <v>-5.0629112668624447E-4</v>
      </c>
      <c r="AF21" s="543">
        <f>IF(ISNUMBER(AVERAGE(AE21,AD21,AC21,AB21,AA21)),AVERAGE(AE21,AD21,AC21,AB21,AA21),0)</f>
        <v>-5.0620590124738545E-4</v>
      </c>
      <c r="AG21" s="543">
        <f>IF(ISNUMBER(AVERAGE(AF21,AE21,AD21,AC21,AB21)),AVERAGE(AF21,AE21,AD21,AC21,AB21),0)</f>
        <v>-5.0615423879271616E-4</v>
      </c>
      <c r="AH21" s="543">
        <f>IF(ISNUMBER(AVERAGE(AG21,AF21,AE21,AD21,AC21)),AVERAGE(AG21,AF21,AE21,AD21,AC21),0)</f>
        <v>-5.0617572127174186E-4</v>
      </c>
      <c r="AI21" s="543">
        <f>IF(ISNUMBER(AVERAGE(AH21,AG21,AF21,AE21,AD21)),AVERAGE(AH21,AG21,AF21,AE21,AD21),0)</f>
        <v>-5.0622051471578328E-4</v>
      </c>
      <c r="AJ21" s="543">
        <f>IF(ISNUMBER(AVERAGE(AI21,AH21,AG21,AF21,AE21)),AVERAGE(AI21,AH21,AG21,AF21,AE21),0)</f>
        <v>-5.062095005427742E-4</v>
      </c>
      <c r="AK21" s="543">
        <f>IF(ISNUMBER(AVERAGE(AJ21,AI21,AH21,AG21,AF21)),AVERAGE(AJ21,AI21,AH21,AG21,AF21),0)</f>
        <v>-5.0619317531408014E-4</v>
      </c>
      <c r="AL21" s="543">
        <f>IF(ISNUMBER(AVERAGE(AK21,AJ21,AI21,AH21,AG21)),AVERAGE(AK21,AJ21,AI21,AH21,AG21),0)</f>
        <v>-5.0619063012741911E-4</v>
      </c>
      <c r="AM21" s="714"/>
    </row>
    <row r="22" spans="1:40" s="729" customFormat="1" ht="15" customHeight="1">
      <c r="A22" s="715" t="s">
        <v>755</v>
      </c>
      <c r="B22" s="715"/>
      <c r="C22" s="728"/>
      <c r="D22" s="720">
        <f>年度数据!D33</f>
        <v>0.05</v>
      </c>
      <c r="E22" s="720">
        <f>年度数据!E33</f>
        <v>0</v>
      </c>
      <c r="F22" s="720">
        <f>年度数据!F33</f>
        <v>0.15</v>
      </c>
      <c r="G22" s="720">
        <f>年度数据!G33</f>
        <v>0</v>
      </c>
      <c r="H22" s="720">
        <f>年度数据!H33</f>
        <v>0.05</v>
      </c>
      <c r="I22" s="544">
        <f>IF(ISNUMBER(AVERAGE(H22,G22,F22,E22)),AVERAGE(H22,G22,F22,E22),0)</f>
        <v>0.05</v>
      </c>
      <c r="J22" s="544">
        <f>IF(ISNUMBER(AVERAGE(I22,H22,G22,F22)),AVERAGE(I22,H22,G22,F22),0)</f>
        <v>6.25E-2</v>
      </c>
      <c r="K22" s="544">
        <f>IF(ISNUMBER(AVERAGE(J22,I22,H22,G22)),AVERAGE(J22,I22,H22,G22),0)</f>
        <v>4.0625000000000001E-2</v>
      </c>
      <c r="L22" s="544">
        <f>IF(ISNUMBER(AVERAGE(K22,J22,I22,H22)),AVERAGE(K22,J22,I22,H22),0)</f>
        <v>5.078125E-2</v>
      </c>
      <c r="M22" s="544">
        <f>IF(ISNUMBER(AVERAGE(L22,K22,J22,I22)),AVERAGE(L22,K22,J22,I22),0)</f>
        <v>5.0976562500000003E-2</v>
      </c>
      <c r="N22" s="544">
        <f>IF(ISNUMBER(AVERAGE(M22,L22,K22,J22)),AVERAGE(M22,L22,K22,J22),0)</f>
        <v>5.1220703125000003E-2</v>
      </c>
      <c r="O22" s="544">
        <f>IF(ISNUMBER(AVERAGE(N22,M22,L22,K22)),AVERAGE(N22,M22,L22,K22),0)</f>
        <v>4.840087890625E-2</v>
      </c>
      <c r="P22" s="544">
        <f>IF(ISNUMBER(AVERAGE(O22,N22,M22,L22)),AVERAGE(O22,N22,M22,L22),0)</f>
        <v>5.0344848632812501E-2</v>
      </c>
      <c r="Q22" s="544">
        <f>IF(ISNUMBER(AVERAGE(P22,O22,N22,M22)),AVERAGE(P22,O22,N22,M22),0)</f>
        <v>5.0235748291015625E-2</v>
      </c>
      <c r="R22" s="544">
        <f>IF(ISNUMBER(AVERAGE(Q22,P22,O22,N22)),AVERAGE(Q22,P22,O22,N22),0)</f>
        <v>5.0050544738769534E-2</v>
      </c>
      <c r="S22" s="544">
        <f>IF(ISNUMBER(AVERAGE(R22,Q22,P22,O22)),AVERAGE(R22,Q22,P22,O22),0)</f>
        <v>4.9758005142211917E-2</v>
      </c>
      <c r="T22" s="544">
        <f>IF(ISNUMBER(AVERAGE(S22,R22,Q22,P22)),AVERAGE(S22,R22,Q22,P22),0)</f>
        <v>5.0097286701202393E-2</v>
      </c>
      <c r="U22" s="544">
        <f>IF(ISNUMBER(AVERAGE(T22,S22,R22,Q22)),AVERAGE(T22,S22,R22,Q22),0)</f>
        <v>5.0035396218299867E-2</v>
      </c>
      <c r="V22" s="544">
        <f>IF(ISNUMBER(AVERAGE(U22,T22,S22,R22)),AVERAGE(U22,T22,S22,R22),0)</f>
        <v>4.9985308200120926E-2</v>
      </c>
      <c r="W22" s="544">
        <f>IF(ISNUMBER(AVERAGE(V22,U22,T22,S22)),AVERAGE(V22,U22,T22,S22),0)</f>
        <v>4.9968999065458777E-2</v>
      </c>
      <c r="X22" s="544">
        <f>IF(ISNUMBER(AVERAGE(W22,V22,U22,T22)),AVERAGE(W22,V22,U22,T22),0)</f>
        <v>5.0021747546270492E-2</v>
      </c>
      <c r="Y22" s="544">
        <f>IF(ISNUMBER(AVERAGE(X22,W22,V22,U22)),AVERAGE(X22,W22,V22,U22),0)</f>
        <v>5.0002862757537514E-2</v>
      </c>
      <c r="Z22" s="544">
        <f>IF(ISNUMBER(AVERAGE(Y22,X22,W22,V22)),AVERAGE(Y22,X22,W22,V22),0)</f>
        <v>4.9994729392346927E-2</v>
      </c>
      <c r="AA22" s="544">
        <f>IF(ISNUMBER(AVERAGE(Z22,Y22,X22,W22)),AVERAGE(Z22,Y22,X22,W22),0)</f>
        <v>4.9997084690403426E-2</v>
      </c>
      <c r="AB22" s="544">
        <f>IF(ISNUMBER(AVERAGE(AA22,Z22,Y22,X22)),AVERAGE(AA22,Z22,Y22,X22),0)</f>
        <v>5.0004106096639592E-2</v>
      </c>
      <c r="AC22" s="544">
        <f>IF(ISNUMBER(AVERAGE(AB22,AA22,Z22,Y22)),AVERAGE(AB22,AA22,Z22,Y22),0)</f>
        <v>4.9999695734231867E-2</v>
      </c>
      <c r="AD22" s="544">
        <f>IF(ISNUMBER(AVERAGE(AC22,AB22,AA22,Z22)),AVERAGE(AC22,AB22,AA22,Z22),0)</f>
        <v>4.9998903978405451E-2</v>
      </c>
      <c r="AE22" s="544">
        <f>IF(ISNUMBER(AVERAGE(AD22,AC22,AB22,AA22)),AVERAGE(AD22,AC22,AB22,AA22),0)</f>
        <v>4.9999947624920084E-2</v>
      </c>
      <c r="AF22" s="544">
        <f>IF(ISNUMBER(AVERAGE(AE22,AD22,AC22,AB22)),AVERAGE(AE22,AD22,AC22,AB22),0)</f>
        <v>5.0000663358549247E-2</v>
      </c>
      <c r="AG22" s="544">
        <f>IF(ISNUMBER(AVERAGE(AF22,AE22,AD22,AC22)),AVERAGE(AF22,AE22,AD22,AC22),0)</f>
        <v>4.9999802674026664E-2</v>
      </c>
      <c r="AH22" s="544">
        <f>IF(ISNUMBER(AVERAGE(AG22,AF22,AE22,AD22)),AVERAGE(AG22,AF22,AE22,AD22),0)</f>
        <v>4.9999829408975363E-2</v>
      </c>
      <c r="AI22" s="544">
        <f>IF(ISNUMBER(AVERAGE(AH22,AG22,AF22,AE22)),AVERAGE(AH22,AG22,AF22,AE22),0)</f>
        <v>5.0000060766617838E-2</v>
      </c>
      <c r="AJ22" s="544">
        <f>IF(ISNUMBER(AVERAGE(AI22,AH22,AG22,AF22)),AVERAGE(AI22,AH22,AG22,AF22),0)</f>
        <v>5.0000089052042278E-2</v>
      </c>
      <c r="AK22" s="544">
        <f>IF(ISNUMBER(AVERAGE(AJ22,AI22,AH22,AG22)),AVERAGE(AJ22,AI22,AH22,AG22),0)</f>
        <v>4.999994547541553E-2</v>
      </c>
      <c r="AL22" s="544">
        <f>IF(ISNUMBER(AVERAGE(AK22,AJ22,AI22,AH22)),AVERAGE(AK22,AJ22,AI22,AH22),0)</f>
        <v>4.999998117576275E-2</v>
      </c>
      <c r="AM22" s="440"/>
    </row>
    <row r="23" spans="1:40" s="714" customFormat="1" ht="15.75" customHeight="1">
      <c r="A23" s="715" t="s">
        <v>756</v>
      </c>
      <c r="B23" s="715" t="s">
        <v>757</v>
      </c>
      <c r="C23" s="730"/>
      <c r="D23" s="713">
        <f>D22/利润表!D31</f>
        <v>0.16480695019400729</v>
      </c>
      <c r="E23" s="713">
        <f>E22/利润表!E31</f>
        <v>0</v>
      </c>
      <c r="F23" s="713">
        <f>F22/利润表!F31</f>
        <v>0.10306887757579296</v>
      </c>
      <c r="G23" s="713">
        <f>G22/利润表!G31</f>
        <v>0</v>
      </c>
      <c r="H23" s="713">
        <f>H22/利润表!H31</f>
        <v>0.33136320394133095</v>
      </c>
      <c r="I23" s="543">
        <f>IF(ISNUMBER(AVERAGE(H23,G23,F23,E23)),AVERAGE(H23,G23,F23,E23),0)</f>
        <v>0.10860802037928098</v>
      </c>
      <c r="J23" s="543">
        <f>IF(ISNUMBER(AVERAGE(I23,H23,G23,F23)),AVERAGE(I23,H23,G23,F23),0)</f>
        <v>0.13576002547410121</v>
      </c>
      <c r="K23" s="543">
        <f>IF(ISNUMBER(AVERAGE(J23,I23,H23,G23)),AVERAGE(J23,I23,H23,G23),0)</f>
        <v>0.14393281244867828</v>
      </c>
      <c r="L23" s="543">
        <f>IF(ISNUMBER(AVERAGE(K23,J23,I23,H23)),AVERAGE(K23,J23,I23,H23),0)</f>
        <v>0.17991601556084785</v>
      </c>
      <c r="M23" s="543">
        <f>IF(ISNUMBER(AVERAGE(L23,K23,J23,I23)),AVERAGE(L23,K23,J23,I23),0)</f>
        <v>0.14205421846572708</v>
      </c>
      <c r="N23" s="543">
        <f>IF(ISNUMBER(AVERAGE(M23,L23,K23,J23)),AVERAGE(M23,L23,K23,J23),0)</f>
        <v>0.15041576798733861</v>
      </c>
      <c r="O23" s="543">
        <f>IF(ISNUMBER(AVERAGE(N23,M23,L23,K23)),AVERAGE(N23,M23,L23,K23),0)</f>
        <v>0.15407970361564793</v>
      </c>
      <c r="P23" s="543">
        <f>IF(ISNUMBER(AVERAGE(O23,N23,M23,L23)),AVERAGE(O23,N23,M23,L23),0)</f>
        <v>0.15661642640739037</v>
      </c>
      <c r="Q23" s="543">
        <f>IF(ISNUMBER(AVERAGE(P23,O23,N23,M23)),AVERAGE(P23,O23,N23,M23),0)</f>
        <v>0.15079152911902599</v>
      </c>
      <c r="R23" s="543">
        <f>IF(ISNUMBER(AVERAGE(Q23,P23,O23,N23)),AVERAGE(Q23,P23,O23,N23),0)</f>
        <v>0.15297585678235073</v>
      </c>
      <c r="S23" s="543">
        <f>IF(ISNUMBER(AVERAGE(R23,Q23,P23,O23)),AVERAGE(R23,Q23,P23,O23),0)</f>
        <v>0.15361587898110377</v>
      </c>
      <c r="T23" s="543">
        <f>IF(ISNUMBER(AVERAGE(S23,R23,Q23,P23)),AVERAGE(S23,R23,Q23,P23),0)</f>
        <v>0.15349992282246772</v>
      </c>
      <c r="U23" s="543">
        <f>IF(ISNUMBER(AVERAGE(T23,S23,R23,Q23)),AVERAGE(T23,S23,R23,Q23),0)</f>
        <v>0.15272079692623702</v>
      </c>
      <c r="V23" s="543">
        <f>IF(ISNUMBER(AVERAGE(U23,T23,S23,R23)),AVERAGE(U23,T23,S23,R23),0)</f>
        <v>0.15320311387803981</v>
      </c>
      <c r="W23" s="543">
        <f>IF(ISNUMBER(AVERAGE(V23,U23,T23,S23)),AVERAGE(V23,U23,T23,S23),0)</f>
        <v>0.15325992815196207</v>
      </c>
      <c r="X23" s="543">
        <f>IF(ISNUMBER(AVERAGE(W23,V23,U23,T23)),AVERAGE(W23,V23,U23,T23),0)</f>
        <v>0.15317094044467666</v>
      </c>
      <c r="Y23" s="543">
        <f>IF(ISNUMBER(AVERAGE(X23,W23,V23,U23)),AVERAGE(X23,W23,V23,U23),0)</f>
        <v>0.15308869485022888</v>
      </c>
      <c r="Z23" s="543">
        <f>IF(ISNUMBER(AVERAGE(Y23,X23,W23,V23)),AVERAGE(Y23,X23,W23,V23),0)</f>
        <v>0.15318066933122687</v>
      </c>
      <c r="AA23" s="543">
        <f>IF(ISNUMBER(AVERAGE(Z23,Y23,X23,W23)),AVERAGE(Z23,Y23,X23,W23),0)</f>
        <v>0.15317505819452362</v>
      </c>
      <c r="AB23" s="543">
        <f>IF(ISNUMBER(AVERAGE(AA23,Z23,Y23,X23)),AVERAGE(AA23,Z23,Y23,X23),0)</f>
        <v>0.15315384070516402</v>
      </c>
      <c r="AC23" s="543">
        <f>IF(ISNUMBER(AVERAGE(AB23,AA23,Z23,Y23)),AVERAGE(AB23,AA23,Z23,Y23),0)</f>
        <v>0.15314956577028585</v>
      </c>
      <c r="AD23" s="543">
        <f>IF(ISNUMBER(AVERAGE(AC23,AB23,AA23,Z23)),AVERAGE(AC23,AB23,AA23,Z23),0)</f>
        <v>0.15316478350030008</v>
      </c>
      <c r="AE23" s="543">
        <f>IF(ISNUMBER(AVERAGE(AD23,AC23,AB23,AA23)),AVERAGE(AD23,AC23,AB23,AA23),0)</f>
        <v>0.1531608120425684</v>
      </c>
      <c r="AF23" s="543">
        <f>IF(ISNUMBER(AVERAGE(AE23,AD23,AC23,AB23)),AVERAGE(AE23,AD23,AC23,AB23),0)</f>
        <v>0.1531572505045796</v>
      </c>
      <c r="AG23" s="543">
        <f>IF(ISNUMBER(AVERAGE(AF23,AE23,AD23,AC23)),AVERAGE(AF23,AE23,AD23,AC23),0)</f>
        <v>0.15315810295443347</v>
      </c>
      <c r="AH23" s="543">
        <f>IF(ISNUMBER(AVERAGE(AG23,AF23,AE23,AD23)),AVERAGE(AG23,AF23,AE23,AD23),0)</f>
        <v>0.15316023725047037</v>
      </c>
      <c r="AI23" s="543">
        <f>IF(ISNUMBER(AVERAGE(AH23,AG23,AF23,AE23)),AVERAGE(AH23,AG23,AF23,AE23),0)</f>
        <v>0.15315910068801294</v>
      </c>
      <c r="AJ23" s="543">
        <f>IF(ISNUMBER(AVERAGE(AI23,AH23,AG23,AF23)),AVERAGE(AI23,AH23,AG23,AF23),0)</f>
        <v>0.15315867284937409</v>
      </c>
      <c r="AK23" s="543">
        <f>IF(ISNUMBER(AVERAGE(AJ23,AI23,AH23,AG23)),AVERAGE(AJ23,AI23,AH23,AG23),0)</f>
        <v>0.15315902843557272</v>
      </c>
      <c r="AL23" s="543">
        <f>IF(ISNUMBER(AVERAGE(AK23,AJ23,AI23,AH23)),AVERAGE(AK23,AJ23,AI23,AH23),0)</f>
        <v>0.15315925980585754</v>
      </c>
    </row>
    <row r="24" spans="1:40" s="1030" customFormat="1" ht="15" customHeight="1">
      <c r="A24" s="1031" t="s">
        <v>2328</v>
      </c>
      <c r="B24" s="1026" t="s">
        <v>2329</v>
      </c>
      <c r="C24" s="1032" t="s">
        <v>2432</v>
      </c>
      <c r="D24" s="1028">
        <f>资产负债!D81/利润表!D25</f>
        <v>0.41863827139517074</v>
      </c>
      <c r="E24" s="1028">
        <f>资产负债!E81/利润表!E25</f>
        <v>0.3056299345639103</v>
      </c>
      <c r="F24" s="1028">
        <f>资产负债!F81/利润表!F25</f>
        <v>0.175045073931972</v>
      </c>
      <c r="G24" s="1028">
        <f>资产负债!G81/利润表!G25</f>
        <v>0.27972710962581121</v>
      </c>
      <c r="H24" s="1028">
        <f>资产负债!H81/利润表!H25</f>
        <v>1.0762600710053001</v>
      </c>
      <c r="I24" s="543">
        <f>IF(ISNUMBER(AVERAGE(H24,G24,F24,E24,D24)),AVERAGE(H24,G24,F24,E24,D24),0)</f>
        <v>0.45106009210443287</v>
      </c>
      <c r="J24" s="543">
        <f>IF(ISNUMBER(AVERAGE(I24,H24,G24,F24,E24)),AVERAGE(I24,H24,G24,F24,E24),0)</f>
        <v>0.45754445624628526</v>
      </c>
      <c r="K24" s="543">
        <f>IF(ISNUMBER(AVERAGE(J24,I24,H24,G24,F24)),AVERAGE(J24,I24,H24,G24,F24),0)</f>
        <v>0.48792736058276026</v>
      </c>
      <c r="L24" s="1052">
        <f>IF(ISNUMBER(AVERAGE(K24,J24,I24,H24,G24)),AVERAGE(K24,J24,I24,H24,G24),0)</f>
        <v>0.55050381791291791</v>
      </c>
      <c r="M24" s="1052">
        <f>IF(ISNUMBER(AVERAGE(L24,K24,J24,I24,H24)),AVERAGE(L24,K24,J24,I24,H24),0)</f>
        <v>0.60465915957033933</v>
      </c>
      <c r="N24" s="1052">
        <f>IF(ISNUMBER(AVERAGE(M24,L24,K24,J24,I24)),AVERAGE(M24,L24,K24,J24,I24),0)</f>
        <v>0.51033897728334721</v>
      </c>
      <c r="O24" s="1052">
        <f>IF(ISNUMBER(AVERAGE(N24,M24,L24,K24,J24)),AVERAGE(N24,M24,L24,K24,J24),0)</f>
        <v>0.52219475431912987</v>
      </c>
      <c r="P24" s="1052">
        <f>IF(ISNUMBER(AVERAGE(O24,N24,M24,L24,K24)),AVERAGE(O24,N24,M24,L24,K24),0)</f>
        <v>0.53512481393369893</v>
      </c>
      <c r="Q24" s="1052">
        <f>IF(ISNUMBER(AVERAGE(P24,O24,N24,M24,L24)),AVERAGE(P24,O24,N24,M24,L24),0)</f>
        <v>0.54456430460388661</v>
      </c>
      <c r="R24" s="1052">
        <f>IF(ISNUMBER(AVERAGE(Q24,P24,O24,N24,M24)),AVERAGE(Q24,P24,O24,N24,M24),0)</f>
        <v>0.54337640194208048</v>
      </c>
      <c r="S24" s="1052">
        <f>IF(ISNUMBER(AVERAGE(R24,Q24,P24,O24,N24)),AVERAGE(R24,Q24,P24,O24,N24),0)</f>
        <v>0.53111985041642851</v>
      </c>
      <c r="T24" s="1052">
        <f>IF(ISNUMBER(AVERAGE(S24,R24,Q24,P24,O24)),AVERAGE(S24,R24,Q24,P24,O24),0)</f>
        <v>0.53527602504304495</v>
      </c>
      <c r="U24" s="1052">
        <f>IF(ISNUMBER(AVERAGE(T24,S24,R24,Q24,P24)),AVERAGE(T24,S24,R24,Q24,P24),0)</f>
        <v>0.53789227918782778</v>
      </c>
      <c r="V24" s="1052">
        <f>IF(ISNUMBER(AVERAGE(U24,T24,S24,R24,Q24)),AVERAGE(U24,T24,S24,R24,Q24),0)</f>
        <v>0.53844577223865375</v>
      </c>
      <c r="W24" s="1052">
        <f>IF(ISNUMBER(AVERAGE(V24,U24,T24,S24,R24)),AVERAGE(V24,U24,T24,S24,R24),0)</f>
        <v>0.53722206576560716</v>
      </c>
      <c r="X24" s="1052">
        <f>IF(ISNUMBER(AVERAGE(W24,V24,U24,T24,S24)),AVERAGE(W24,V24,U24,T24,S24),0)</f>
        <v>0.53599119853031252</v>
      </c>
      <c r="Y24" s="1052">
        <f>IF(ISNUMBER(AVERAGE(X24,W24,V24,U24,T24)),AVERAGE(X24,W24,V24,U24,T24),0)</f>
        <v>0.53696546815308932</v>
      </c>
      <c r="Z24" s="1052">
        <f>IF(ISNUMBER(AVERAGE(Y24,X24,W24,V24,U24)),AVERAGE(Y24,X24,W24,V24,U24),0)</f>
        <v>0.53730335677509811</v>
      </c>
      <c r="AA24" s="1052">
        <f>IF(ISNUMBER(AVERAGE(Z24,Y24,X24,W24,V24)),AVERAGE(Z24,Y24,X24,W24,V24),0)</f>
        <v>0.53718557229255226</v>
      </c>
      <c r="AB24" s="1052">
        <f>IF(ISNUMBER(AVERAGE(AA24,Z24,Y24,X24,W24)),AVERAGE(AA24,Z24,Y24,X24,W24),0)</f>
        <v>0.53693353230333185</v>
      </c>
      <c r="AC24" s="1052">
        <f>IF(ISNUMBER(AVERAGE(AB24,AA24,Z24,Y24,X24)),AVERAGE(AB24,AA24,Z24,Y24,X24),0)</f>
        <v>0.53687582561087677</v>
      </c>
      <c r="AD24" s="1052">
        <f>IF(ISNUMBER(AVERAGE(AC24,AB24,AA24,Z24,Y24)),AVERAGE(AC24,AB24,AA24,Z24,Y24),0)</f>
        <v>0.53705275102698968</v>
      </c>
      <c r="AE24" s="1052">
        <f>IF(ISNUMBER(AVERAGE(AD24,AC24,AB24,AA24,Z24)),AVERAGE(AD24,AC24,AB24,AA24,Z24),0)</f>
        <v>0.53707020760176971</v>
      </c>
      <c r="AF24" s="1052">
        <f>IF(ISNUMBER(AVERAGE(AE24,AD24,AC24,AB24,AA24)),AVERAGE(AE24,AD24,AC24,AB24,AA24),0)</f>
        <v>0.53702357776710419</v>
      </c>
      <c r="AG24" s="1052">
        <f>IF(ISNUMBER(AVERAGE(AF24,AE24,AD24,AC24,AB24)),AVERAGE(AF24,AE24,AD24,AC24,AB24),0)</f>
        <v>0.53699117886201442</v>
      </c>
      <c r="AH24" s="1052">
        <f>IF(ISNUMBER(AVERAGE(AG24,AF24,AE24,AD24,AC24)),AVERAGE(AG24,AF24,AE24,AD24,AC24),0)</f>
        <v>0.53700270817375095</v>
      </c>
      <c r="AI24" s="1052">
        <f>IF(ISNUMBER(AVERAGE(AH24,AG24,AF24,AE24,AD24)),AVERAGE(AH24,AG24,AF24,AE24,AD24),0)</f>
        <v>0.53702808468632579</v>
      </c>
      <c r="AJ24" s="1052">
        <f>IF(ISNUMBER(AVERAGE(AI24,AH24,AG24,AF24,AE24)),AVERAGE(AI24,AH24,AG24,AF24,AE24),0)</f>
        <v>0.5370231514181929</v>
      </c>
      <c r="AK24" s="1052">
        <f>IF(ISNUMBER(AVERAGE(AJ24,AI24,AH24,AG24,AF24)),AVERAGE(AJ24,AI24,AH24,AG24,AF24),0)</f>
        <v>0.53701374018147763</v>
      </c>
      <c r="AL24" s="1052">
        <f>IF(ISNUMBER(AVERAGE(AK24,AJ24,AI24,AH24,AG24)),AVERAGE(AK24,AJ24,AI24,AH24,AG24),0)</f>
        <v>0.5370117726643524</v>
      </c>
      <c r="AM24" s="1029"/>
    </row>
    <row r="25" spans="1:40" s="729" customFormat="1" ht="15" customHeight="1">
      <c r="A25" s="715"/>
      <c r="B25" s="1124"/>
      <c r="C25" s="1125"/>
      <c r="D25" s="1126"/>
      <c r="E25" s="1127"/>
      <c r="F25" s="1127"/>
      <c r="G25" s="1127"/>
      <c r="H25" s="1127"/>
      <c r="I25" s="223"/>
      <c r="J25" s="223"/>
      <c r="K25" s="223"/>
      <c r="L25" s="731"/>
      <c r="M25" s="731"/>
      <c r="N25" s="731"/>
      <c r="O25" s="731"/>
      <c r="P25" s="731"/>
      <c r="Q25" s="731"/>
      <c r="R25" s="731"/>
      <c r="S25" s="731"/>
      <c r="T25" s="731"/>
      <c r="U25" s="731"/>
      <c r="V25" s="731"/>
      <c r="W25" s="731"/>
      <c r="X25" s="731"/>
      <c r="Y25" s="731"/>
      <c r="Z25" s="731"/>
      <c r="AA25" s="731"/>
      <c r="AB25" s="731"/>
      <c r="AC25" s="731"/>
      <c r="AD25" s="731"/>
      <c r="AE25" s="731"/>
      <c r="AF25" s="731"/>
      <c r="AG25" s="731"/>
      <c r="AH25" s="731"/>
      <c r="AI25" s="731"/>
      <c r="AJ25" s="731"/>
      <c r="AK25" s="731"/>
      <c r="AL25" s="731"/>
      <c r="AM25" s="714"/>
    </row>
    <row r="26" spans="1:40" s="729" customFormat="1" ht="15" customHeight="1">
      <c r="A26" s="715"/>
      <c r="B26" s="1124"/>
      <c r="C26" s="1125"/>
      <c r="D26" s="1126"/>
      <c r="E26" s="1127"/>
      <c r="F26" s="1127"/>
      <c r="G26" s="1127"/>
      <c r="H26" s="1127"/>
      <c r="I26" s="223"/>
      <c r="J26" s="223"/>
      <c r="K26" s="223"/>
      <c r="L26" s="731"/>
      <c r="M26" s="731"/>
      <c r="N26" s="731"/>
      <c r="O26" s="731"/>
      <c r="P26" s="731"/>
      <c r="Q26" s="731"/>
      <c r="R26" s="731"/>
      <c r="S26" s="731"/>
      <c r="T26" s="731"/>
      <c r="U26" s="731"/>
      <c r="V26" s="731"/>
      <c r="W26" s="731"/>
      <c r="X26" s="731"/>
      <c r="Y26" s="731"/>
      <c r="Z26" s="731"/>
      <c r="AA26" s="731"/>
      <c r="AB26" s="731"/>
      <c r="AC26" s="731"/>
      <c r="AD26" s="731"/>
      <c r="AE26" s="731"/>
      <c r="AF26" s="731"/>
      <c r="AG26" s="731"/>
      <c r="AH26" s="731"/>
      <c r="AI26" s="731"/>
      <c r="AJ26" s="731"/>
      <c r="AK26" s="731"/>
      <c r="AL26" s="731"/>
      <c r="AM26" s="714"/>
    </row>
    <row r="27" spans="1:40" ht="15.75" customHeight="1">
      <c r="A27" s="715"/>
      <c r="B27" s="966" t="s">
        <v>2057</v>
      </c>
      <c r="C27" s="324"/>
      <c r="D27" s="732"/>
      <c r="E27" s="303"/>
      <c r="F27" s="731"/>
      <c r="G27" s="731"/>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c r="AI27" s="223"/>
      <c r="AJ27" s="223"/>
      <c r="AK27" s="223"/>
      <c r="AL27" s="223"/>
      <c r="AM27" s="714"/>
    </row>
    <row r="28" spans="1:40" ht="30" customHeight="1">
      <c r="A28" s="733" t="s">
        <v>758</v>
      </c>
      <c r="B28" s="734"/>
      <c r="C28" s="735"/>
      <c r="D28" s="736"/>
      <c r="F28" s="731"/>
      <c r="H28" s="731"/>
      <c r="I28" s="731"/>
      <c r="J28" s="731"/>
      <c r="K28" s="731"/>
      <c r="L28" s="731"/>
      <c r="M28" s="731"/>
      <c r="N28" s="731"/>
      <c r="O28" s="731"/>
      <c r="P28" s="731"/>
      <c r="Q28" s="731"/>
      <c r="R28" s="731"/>
      <c r="S28" s="731"/>
      <c r="T28" s="731"/>
      <c r="U28" s="731"/>
      <c r="V28" s="731"/>
      <c r="W28" s="731"/>
      <c r="X28" s="731"/>
      <c r="Y28" s="731"/>
      <c r="Z28" s="731"/>
      <c r="AA28" s="731"/>
      <c r="AB28" s="731"/>
      <c r="AC28" s="731"/>
      <c r="AD28" s="731"/>
      <c r="AE28" s="731"/>
      <c r="AF28" s="731"/>
      <c r="AG28" s="731"/>
      <c r="AH28" s="731"/>
      <c r="AI28" s="731"/>
      <c r="AJ28" s="731"/>
      <c r="AK28" s="731"/>
      <c r="AL28" s="731"/>
      <c r="AM28" s="714"/>
    </row>
    <row r="29" spans="1:40" ht="15" customHeight="1">
      <c r="A29" s="734" t="s">
        <v>759</v>
      </c>
      <c r="B29" s="734"/>
      <c r="C29" s="735"/>
      <c r="D29" s="732"/>
      <c r="E29" s="732"/>
      <c r="F29" s="732"/>
      <c r="G29" s="732"/>
      <c r="H29" s="732"/>
      <c r="I29" s="731"/>
      <c r="J29" s="731"/>
      <c r="K29" s="731"/>
      <c r="L29" s="731"/>
      <c r="M29" s="731"/>
      <c r="N29" s="731"/>
      <c r="O29" s="731"/>
      <c r="P29" s="731"/>
      <c r="Q29" s="731"/>
      <c r="R29" s="731"/>
      <c r="S29" s="731"/>
      <c r="T29" s="731"/>
      <c r="U29" s="731"/>
      <c r="V29" s="731"/>
      <c r="W29" s="731"/>
      <c r="X29" s="731"/>
      <c r="Y29" s="731"/>
      <c r="Z29" s="731"/>
      <c r="AA29" s="731"/>
      <c r="AB29" s="731"/>
      <c r="AC29" s="731"/>
      <c r="AD29" s="731"/>
      <c r="AE29" s="731"/>
      <c r="AF29" s="731"/>
      <c r="AG29" s="731"/>
      <c r="AH29" s="731"/>
      <c r="AI29" s="731"/>
      <c r="AJ29" s="731"/>
      <c r="AK29" s="731"/>
      <c r="AL29" s="731"/>
      <c r="AM29" s="714"/>
    </row>
    <row r="30" spans="1:40" ht="15" customHeight="1">
      <c r="A30" s="737" t="s">
        <v>760</v>
      </c>
      <c r="B30" s="777" t="s">
        <v>2784</v>
      </c>
      <c r="C30" s="735"/>
      <c r="D30" s="732">
        <f>资产负债!D3/利润表!D2</f>
        <v>0.29244892640896031</v>
      </c>
      <c r="E30" s="732">
        <f>资产负债!E3/利润表!E2</f>
        <v>0.23666717487500291</v>
      </c>
      <c r="F30" s="732">
        <f>资产负债!F3/利润表!F2</f>
        <v>0.22766548241652756</v>
      </c>
      <c r="G30" s="732">
        <f>资产负债!G3/利润表!G2</f>
        <v>0.28174387270543766</v>
      </c>
      <c r="H30" s="732">
        <f>资产负债!H3/利润表!H2</f>
        <v>0.3046204183738741</v>
      </c>
      <c r="I30" s="738">
        <f>IF(ISNUMBER((H30*G30*F30*E30*D30)^(1/5)),(H30*G30*F30*E30*D30)^(1/5),0)</f>
        <v>0.26682084032731895</v>
      </c>
      <c r="J30" s="543">
        <f>IF(ISNUMBER((I30*H30*G30*F30*E30)^(1/5)),(I30*H30*G30*F30*E30)^(1/5),0)</f>
        <v>0.26197128528949065</v>
      </c>
      <c r="K30" s="543">
        <f>IF(ISNUMBER((J30*I30*H30*G30*F30)^(1/5)),(J30*I30*H30*G30*F30)^(1/5),0)</f>
        <v>0.26734792868933427</v>
      </c>
      <c r="L30" s="543">
        <f>IF(ISNUMBER((K30*J30*I30*H30*G30)^(1/5)),(K30*J30*I30*H30*G30)^(1/5),0)</f>
        <v>0.27607860412447527</v>
      </c>
      <c r="M30" s="543">
        <f>IF(ISNUMBER((L30*K30*J30*I30*H30)^(1/5)),(L30*K30*J30*I30*H30)^(1/5),0)</f>
        <v>0.27495929435554584</v>
      </c>
      <c r="N30" s="543">
        <f>IF(ISNUMBER((M30*L30*K30*J30*I30)^(1/5)),(M30*L30*K30*J30*I30)^(1/5),0)</f>
        <v>0.26938306096306741</v>
      </c>
      <c r="O30" s="543">
        <f>IF(ISNUMBER((N30*M30*L30*K30*J30)^(1/5)),(N30*M30*L30*K30*J30)^(1/5),0)</f>
        <v>0.26989845009360197</v>
      </c>
      <c r="P30" s="543">
        <f>IF(ISNUMBER((O30*N30*M30*L30*K30)^(1/5)),(O30*N30*M30*L30*K30)^(1/5),0)</f>
        <v>0.27151243870047442</v>
      </c>
      <c r="Q30" s="543">
        <f>IF(ISNUMBER((P30*O30*N30*M30*L30)^(1/5)),(P30*O30*N30*M30*L30)^(1/5),0)</f>
        <v>0.27235309311852907</v>
      </c>
      <c r="R30" s="543">
        <f>IF(ISNUMBER((Q30*P30*O30*N30*M30)^(1/5)),(Q30*P30*O30*N30*M30)^(1/5),0)</f>
        <v>0.27161404557691465</v>
      </c>
      <c r="S30" s="543">
        <f>IF(ISNUMBER((R30*Q30*P30*O30*N30)^(1/5)),(R30*Q30*P30*O30*N30)^(1/5),0)</f>
        <v>0.27094989568659844</v>
      </c>
      <c r="T30" s="543">
        <f>IF(ISNUMBER((S30*R30*Q30*P30*O30)^(1/5)),(S30*R30*Q30*P30*O30)^(1/5),0)</f>
        <v>0.27126435453659209</v>
      </c>
      <c r="U30" s="543">
        <f>IF(ISNUMBER((T30*S30*R30*Q30*P30)^(1/5)),(T30*S30*R30*Q30*P30)^(1/5),0)</f>
        <v>0.27153836381801028</v>
      </c>
      <c r="V30" s="543">
        <f>IF(ISNUMBER((U30*T30*S30*R30*Q30)^(1/5)),(U30*T30*S30*R30*Q30)^(1/5),0)</f>
        <v>0.27154354913856221</v>
      </c>
      <c r="W30" s="543">
        <f>IF(ISNUMBER((V30*U30*T30*S30*R30)^(1/5)),(V30*U30*T30*S30*R30)^(1/5),0)</f>
        <v>0.27138192932696509</v>
      </c>
      <c r="X30" s="543">
        <f>IF(ISNUMBER((W30*V30*U30*T30*S30)^(1/5)),(W30*V30*U30*T30*S30)^(1/5),0)</f>
        <v>0.27133552988586307</v>
      </c>
      <c r="Y30" s="543">
        <f>IF(ISNUMBER((X30*W30*V30*U30*T30)^(1/5)),(X30*W30*V30*U30*T30)^(1/5),0)</f>
        <v>0.27141272256401233</v>
      </c>
      <c r="Z30" s="543">
        <f>IF(ISNUMBER((Y30*X30*W30*V30*U30)^(1/5)),(Y30*X30*W30*V30*U30)^(1/5),0)</f>
        <v>0.27144240590606278</v>
      </c>
      <c r="AA30" s="543">
        <f>IF(ISNUMBER((Z30*Y30*X30*W30*V30)^(1/5)),(Z30*Y30*X30*W30*V30)^(1/5),0)</f>
        <v>0.2714232183932811</v>
      </c>
      <c r="AB30" s="543">
        <f>IF(ISNUMBER((AA30*Z30*Y30*X30*W30)^(1/5)),(AA30*Z30*Y30*X30*W30)^(1/5),0)</f>
        <v>0.27139915864372854</v>
      </c>
      <c r="AC30" s="543">
        <f>IF(ISNUMBER((AB30*AA30*Z30*Y30*X30)^(1/5)),(AB30*AA30*Z30*Y30*X30)^(1/5),0)</f>
        <v>0.27140260463834026</v>
      </c>
      <c r="AD30" s="543">
        <f>IF(ISNUMBER((AC30*AB30*AA30*Z30*Y30)^(1/5)),(AC30*AB30*AA30*Z30*Y30)^(1/5),0)</f>
        <v>0.27141602157842809</v>
      </c>
      <c r="AE30" s="543">
        <f>IF(ISNUMBER((AD30*AC30*AB30*AA30*Z30)^(1/5)),(AD30*AC30*AB30*AA30*Z30)^(1/5),0)</f>
        <v>0.27141668138612318</v>
      </c>
      <c r="AF30" s="543">
        <f>IF(ISNUMBER((AE30*AD30*AC30*AB30*AA30)^(1/5)),(AE30*AD30*AC30*AB30*AA30)^(1/5),0)</f>
        <v>0.27141153677469126</v>
      </c>
      <c r="AG30" s="543">
        <f>IF(ISNUMBER((AF30*AE30*AD30*AC30*AB30)^(1/5)),(AF30*AE30*AD30*AC30*AB30)^(1/5),0)</f>
        <v>0.27140920051130496</v>
      </c>
      <c r="AH30" s="543">
        <f>IF(ISNUMBER((AG30*AF30*AE30*AD30*AC30)^(1/5)),(AG30*AF30*AE30*AD30*AC30)^(1/5),0)</f>
        <v>0.27141120892940612</v>
      </c>
      <c r="AI30" s="543">
        <f>IF(ISNUMBER((AH30*AG30*AF30*AE30*AD30)^(1/5)),(AH30*AG30*AF30*AE30*AD30)^(1/5),0)</f>
        <v>0.27141292982035292</v>
      </c>
      <c r="AJ30" s="543">
        <f>IF(ISNUMBER((AI30*AH30*AG30*AF30*AE30)^(1/5)),(AI30*AH30*AG30*AF30*AE30)^(1/5),0)</f>
        <v>0.27141231147296419</v>
      </c>
      <c r="AK30" s="543">
        <f>IF(ISNUMBER((AJ30*AI30*AH30*AG30*AF30)^(1/5)),(AJ30*AI30*AH30*AG30*AF30)^(1/5),0)</f>
        <v>0.27141143749877533</v>
      </c>
      <c r="AL30" s="543">
        <f>IF(ISNUMBER((AK30*AJ30*AI30*AH30*AG30)^(1/5)),(AK30*AJ30*AI30*AH30*AG30)^(1/5),0)</f>
        <v>0.27141141764359644</v>
      </c>
      <c r="AM30" s="714"/>
    </row>
    <row r="31" spans="1:40" ht="15" customHeight="1">
      <c r="A31" s="715" t="s">
        <v>761</v>
      </c>
      <c r="B31" s="715"/>
      <c r="C31" s="739"/>
      <c r="D31" s="740">
        <f>资产负债!D4</f>
        <v>584.92510415999993</v>
      </c>
      <c r="E31" s="740">
        <f>资产负债!E4</f>
        <v>0</v>
      </c>
      <c r="F31" s="740">
        <f>资产负债!F4</f>
        <v>217.19637222</v>
      </c>
      <c r="G31" s="740">
        <f>资产负债!G4</f>
        <v>5.4218209999999996E-2</v>
      </c>
      <c r="H31" s="740">
        <f>资产负债!H4</f>
        <v>74.012589969999993</v>
      </c>
      <c r="I31" s="741">
        <f>IF(ISNUMBER(AVERAGE(H31,G31,F31,E31)),AVERAGE(H31,G31,F31,E31),0)</f>
        <v>72.815795100000003</v>
      </c>
      <c r="J31" s="741">
        <f>IF(ISNUMBER(AVERAGE(I31,H31,G31,F31)),AVERAGE(I31,H31,G31,F31),0)</f>
        <v>91.019743874999989</v>
      </c>
      <c r="K31" s="741">
        <f>IF(ISNUMBER(AVERAGE(J31,I31,H31,G31)),AVERAGE(J31,I31,H31,G31),0)</f>
        <v>59.475586788749993</v>
      </c>
      <c r="L31" s="741">
        <f>IF(ISNUMBER(AVERAGE(K31,J31,I31,H31)),AVERAGE(K31,J31,I31,H31),0)</f>
        <v>74.330928933437491</v>
      </c>
      <c r="M31" s="544">
        <f>IF(ISNUMBER(AVERAGE(L31,K31,J31,I31)),AVERAGE(L31,K31,J31,I31),0)</f>
        <v>74.41051367429688</v>
      </c>
      <c r="N31" s="544">
        <f>IF(ISNUMBER(AVERAGE(M31,L31,K31,J31)),AVERAGE(M31,L31,K31,J31),0)</f>
        <v>74.809193317871092</v>
      </c>
      <c r="O31" s="544">
        <f>IF(ISNUMBER(AVERAGE(N31,M31,L31,K31)),AVERAGE(N31,M31,L31,K31),0)</f>
        <v>70.756555678588867</v>
      </c>
      <c r="P31" s="544">
        <f>IF(ISNUMBER(AVERAGE(O31,N31,M31,L31)),AVERAGE(O31,N31,M31,L31),0)</f>
        <v>73.576797901048579</v>
      </c>
      <c r="Q31" s="544">
        <f>IF(ISNUMBER(AVERAGE(P31,O31,N31,M31)),AVERAGE(P31,O31,N31,M31),0)</f>
        <v>73.388265142951354</v>
      </c>
      <c r="R31" s="544">
        <f>IF(ISNUMBER(AVERAGE(Q31,P31,O31,N31)),AVERAGE(Q31,P31,O31,N31),0)</f>
        <v>73.132703010114966</v>
      </c>
      <c r="S31" s="544">
        <f>IF(ISNUMBER(AVERAGE(R31,Q31,P31,O31)),AVERAGE(R31,Q31,P31,O31),0)</f>
        <v>72.713580433175949</v>
      </c>
      <c r="T31" s="544">
        <f>IF(ISNUMBER(AVERAGE(S31,R31,Q31,P31)),AVERAGE(S31,R31,Q31,P31),0)</f>
        <v>73.202836621822712</v>
      </c>
      <c r="U31" s="544">
        <f>IF(ISNUMBER(AVERAGE(T31,S31,R31,Q31)),AVERAGE(T31,S31,R31,Q31),0)</f>
        <v>73.109346302016235</v>
      </c>
      <c r="V31" s="544">
        <f>IF(ISNUMBER(AVERAGE(U31,T31,S31,R31)),AVERAGE(U31,T31,S31,R31),0)</f>
        <v>73.039616591782476</v>
      </c>
      <c r="W31" s="544">
        <f>IF(ISNUMBER(AVERAGE(V31,U31,T31,S31)),AVERAGE(V31,U31,T31,S31),0)</f>
        <v>73.016344987199346</v>
      </c>
      <c r="X31" s="544">
        <f>IF(ISNUMBER(AVERAGE(W31,V31,U31,T31)),AVERAGE(W31,V31,U31,T31),0)</f>
        <v>73.092036125705192</v>
      </c>
      <c r="Y31" s="544">
        <f>IF(ISNUMBER(AVERAGE(X31,W31,V31,U31)),AVERAGE(X31,W31,V31,U31),0)</f>
        <v>73.064336001675812</v>
      </c>
      <c r="Z31" s="544">
        <f>IF(ISNUMBER(AVERAGE(Y31,X31,W31,V31)),AVERAGE(Y31,X31,W31,V31),0)</f>
        <v>73.053083426590717</v>
      </c>
      <c r="AA31" s="544">
        <f>IF(ISNUMBER(AVERAGE(Z31,Y31,X31,W31)),AVERAGE(Z31,Y31,X31,W31),0)</f>
        <v>73.056450135292778</v>
      </c>
      <c r="AB31" s="544">
        <f>IF(ISNUMBER(AVERAGE(AA31,Z31,Y31,X31)),AVERAGE(AA31,Z31,Y31,X31),0)</f>
        <v>73.066476422316128</v>
      </c>
      <c r="AC31" s="544">
        <f>IF(ISNUMBER(AVERAGE(AB31,AA31,Z31,Y31)),AVERAGE(AB31,AA31,Z31,Y31),0)</f>
        <v>73.060086496468855</v>
      </c>
      <c r="AD31" s="544">
        <f>IF(ISNUMBER(AVERAGE(AC31,AB31,AA31,Z31)),AVERAGE(AC31,AB31,AA31,Z31),0)</f>
        <v>73.059024120167123</v>
      </c>
      <c r="AE31" s="544">
        <f>IF(ISNUMBER(AVERAGE(AD31,AC31,AB31,AA31)),AVERAGE(AD31,AC31,AB31,AA31),0)</f>
        <v>73.060509293561211</v>
      </c>
      <c r="AF31" s="544">
        <f>IF(ISNUMBER(AVERAGE(AE31,AD31,AC31,AB31)),AVERAGE(AE31,AD31,AC31,AB31),0)</f>
        <v>73.061524083128319</v>
      </c>
      <c r="AG31" s="544">
        <f>IF(ISNUMBER(AVERAGE(AF31,AE31,AD31,AC31)),AVERAGE(AF31,AE31,AD31,AC31),0)</f>
        <v>73.060285998331381</v>
      </c>
      <c r="AH31" s="544">
        <f>IF(ISNUMBER(AVERAGE(AG31,AF31,AE31,AD31)),AVERAGE(AG31,AF31,AE31,AD31),0)</f>
        <v>73.060335873797015</v>
      </c>
      <c r="AI31" s="544">
        <f>IF(ISNUMBER(AVERAGE(AH31,AG31,AF31,AE31)),AVERAGE(AH31,AG31,AF31,AE31),0)</f>
        <v>73.060663812204481</v>
      </c>
      <c r="AJ31" s="544">
        <f>IF(ISNUMBER(AVERAGE(AI31,AH31,AG31,AF31)),AVERAGE(AI31,AH31,AG31,AF31),0)</f>
        <v>73.060702441865288</v>
      </c>
      <c r="AK31" s="544">
        <f>IF(ISNUMBER(AVERAGE(AJ31,AI31,AH31,AG31)),AVERAGE(AJ31,AI31,AH31,AG31),0)</f>
        <v>73.060497031549545</v>
      </c>
      <c r="AL31" s="544">
        <f>IF(ISNUMBER(AVERAGE(AK31,AJ31,AI31,AH31)),AVERAGE(AK31,AJ31,AI31,AH31),0)</f>
        <v>73.060549789854093</v>
      </c>
      <c r="AM31" s="440"/>
    </row>
    <row r="32" spans="1:40" ht="15" customHeight="1">
      <c r="A32" s="1171" t="s">
        <v>2810</v>
      </c>
      <c r="B32" s="715"/>
      <c r="C32" s="739"/>
      <c r="D32" s="740">
        <f>资产负债!D5</f>
        <v>0</v>
      </c>
      <c r="E32" s="740">
        <f>资产负债!E5</f>
        <v>0</v>
      </c>
      <c r="F32" s="740">
        <f>资产负债!F5</f>
        <v>0</v>
      </c>
      <c r="G32" s="740">
        <f>资产负债!G5</f>
        <v>0</v>
      </c>
      <c r="H32" s="740">
        <f>资产负债!H5</f>
        <v>0</v>
      </c>
      <c r="I32" s="741">
        <f t="shared" ref="I32:AL32" si="6">IF(ISNUMBER(H32),H32,0)</f>
        <v>0</v>
      </c>
      <c r="J32" s="741">
        <f t="shared" si="6"/>
        <v>0</v>
      </c>
      <c r="K32" s="741">
        <f t="shared" si="6"/>
        <v>0</v>
      </c>
      <c r="L32" s="741">
        <f t="shared" si="6"/>
        <v>0</v>
      </c>
      <c r="M32" s="544">
        <f t="shared" si="6"/>
        <v>0</v>
      </c>
      <c r="N32" s="544">
        <f t="shared" si="6"/>
        <v>0</v>
      </c>
      <c r="O32" s="544">
        <f t="shared" si="6"/>
        <v>0</v>
      </c>
      <c r="P32" s="544">
        <f t="shared" si="6"/>
        <v>0</v>
      </c>
      <c r="Q32" s="544">
        <f t="shared" si="6"/>
        <v>0</v>
      </c>
      <c r="R32" s="544">
        <f t="shared" si="6"/>
        <v>0</v>
      </c>
      <c r="S32" s="544">
        <f t="shared" si="6"/>
        <v>0</v>
      </c>
      <c r="T32" s="544">
        <f t="shared" si="6"/>
        <v>0</v>
      </c>
      <c r="U32" s="544">
        <f t="shared" si="6"/>
        <v>0</v>
      </c>
      <c r="V32" s="544">
        <f t="shared" si="6"/>
        <v>0</v>
      </c>
      <c r="W32" s="544">
        <f t="shared" si="6"/>
        <v>0</v>
      </c>
      <c r="X32" s="544">
        <f t="shared" si="6"/>
        <v>0</v>
      </c>
      <c r="Y32" s="544">
        <f t="shared" si="6"/>
        <v>0</v>
      </c>
      <c r="Z32" s="544">
        <f t="shared" si="6"/>
        <v>0</v>
      </c>
      <c r="AA32" s="544">
        <f t="shared" si="6"/>
        <v>0</v>
      </c>
      <c r="AB32" s="544">
        <f t="shared" si="6"/>
        <v>0</v>
      </c>
      <c r="AC32" s="544">
        <f t="shared" si="6"/>
        <v>0</v>
      </c>
      <c r="AD32" s="544">
        <f t="shared" si="6"/>
        <v>0</v>
      </c>
      <c r="AE32" s="544">
        <f t="shared" si="6"/>
        <v>0</v>
      </c>
      <c r="AF32" s="544">
        <f t="shared" si="6"/>
        <v>0</v>
      </c>
      <c r="AG32" s="544">
        <f t="shared" si="6"/>
        <v>0</v>
      </c>
      <c r="AH32" s="544">
        <f t="shared" si="6"/>
        <v>0</v>
      </c>
      <c r="AI32" s="544">
        <f t="shared" si="6"/>
        <v>0</v>
      </c>
      <c r="AJ32" s="544">
        <f t="shared" si="6"/>
        <v>0</v>
      </c>
      <c r="AK32" s="544">
        <f t="shared" si="6"/>
        <v>0</v>
      </c>
      <c r="AL32" s="544">
        <f t="shared" si="6"/>
        <v>0</v>
      </c>
      <c r="AM32" s="440"/>
    </row>
    <row r="33" spans="1:39" ht="15" customHeight="1">
      <c r="A33" s="244" t="s">
        <v>2687</v>
      </c>
      <c r="B33" s="715" t="s">
        <v>2688</v>
      </c>
      <c r="C33" s="716"/>
      <c r="D33" s="720">
        <f>IF(资产负债!C6+资产负债!D6&lt;&gt;0,2*利润表!D2/(资产负债!C6+资产负债!D6),0)</f>
        <v>2.2451778172318004</v>
      </c>
      <c r="E33" s="720">
        <f>IF(资产负债!D6+资产负债!E6&lt;&gt;0,2*利润表!E2/(资产负债!D6+资产负债!E6),0)</f>
        <v>2.3272973478502657</v>
      </c>
      <c r="F33" s="720">
        <f>IF(资产负债!E6+资产负债!F6&lt;&gt;0,2*利润表!F2/(资产负债!E6+资产负债!F6),0)</f>
        <v>2.3299885481911313</v>
      </c>
      <c r="G33" s="720">
        <f>IF(资产负债!F6+资产负债!G6&lt;&gt;0,2*利润表!G2/(资产负债!F6+资产负债!G6),0)</f>
        <v>2.1890195458991899</v>
      </c>
      <c r="H33" s="720">
        <f>IF(资产负债!G6+资产负债!H6&lt;&gt;0,2*利润表!H2/(资产负债!G6+资产负债!H6),0)</f>
        <v>1.7060082555175977</v>
      </c>
      <c r="I33" s="741">
        <v>0</v>
      </c>
      <c r="J33" s="741">
        <v>0</v>
      </c>
      <c r="K33" s="741">
        <v>0</v>
      </c>
      <c r="L33" s="741">
        <v>0</v>
      </c>
      <c r="M33" s="741">
        <v>0</v>
      </c>
      <c r="N33" s="741">
        <v>0</v>
      </c>
      <c r="O33" s="741">
        <v>0</v>
      </c>
      <c r="P33" s="741">
        <v>0</v>
      </c>
      <c r="Q33" s="741">
        <v>0</v>
      </c>
      <c r="R33" s="741">
        <v>0</v>
      </c>
      <c r="S33" s="741">
        <v>0</v>
      </c>
      <c r="T33" s="741">
        <v>0</v>
      </c>
      <c r="U33" s="741">
        <v>0</v>
      </c>
      <c r="V33" s="741">
        <v>0</v>
      </c>
      <c r="W33" s="741">
        <v>0</v>
      </c>
      <c r="X33" s="741">
        <v>0</v>
      </c>
      <c r="Y33" s="741">
        <v>0</v>
      </c>
      <c r="Z33" s="741">
        <v>0</v>
      </c>
      <c r="AA33" s="741">
        <v>0</v>
      </c>
      <c r="AB33" s="741">
        <v>0</v>
      </c>
      <c r="AC33" s="741">
        <v>0</v>
      </c>
      <c r="AD33" s="741">
        <v>0</v>
      </c>
      <c r="AE33" s="741">
        <v>0</v>
      </c>
      <c r="AF33" s="741">
        <v>0</v>
      </c>
      <c r="AG33" s="741">
        <v>0</v>
      </c>
      <c r="AH33" s="741">
        <v>0</v>
      </c>
      <c r="AI33" s="741">
        <v>0</v>
      </c>
      <c r="AJ33" s="741">
        <v>0</v>
      </c>
      <c r="AK33" s="741">
        <v>0</v>
      </c>
      <c r="AL33" s="741">
        <v>0</v>
      </c>
      <c r="AM33" s="440"/>
    </row>
    <row r="34" spans="1:39" ht="15" customHeight="1">
      <c r="A34" s="974" t="s">
        <v>2765</v>
      </c>
      <c r="B34" s="715" t="s">
        <v>2757</v>
      </c>
      <c r="C34" s="716"/>
      <c r="D34" s="720">
        <f>IF(资产负债!C7+资产负债!D7&lt;&gt;0,2*利润表!D2/(资产负债!C7+资产负债!D7),0)</f>
        <v>15.589665749180575</v>
      </c>
      <c r="E34" s="720">
        <f>IF(资产负债!D7+资产负债!E7&lt;&gt;0,2*利润表!E2/(资产负债!D7+资产负债!E7),0)</f>
        <v>13.24468415929795</v>
      </c>
      <c r="F34" s="720">
        <f>IF(资产负债!E7+资产负债!F7&lt;&gt;0,2*利润表!F2/(资产负债!E7+资产负债!F7),0)</f>
        <v>11.215289350098288</v>
      </c>
      <c r="G34" s="720">
        <f>IF(资产负债!F7+资产负债!G7&lt;&gt;0,2*利润表!G2/(资产负债!F7+资产负债!G7),0)</f>
        <v>12.041413370005097</v>
      </c>
      <c r="H34" s="720">
        <f>IF(资产负债!G7+资产负债!H7&lt;&gt;0,2*利润表!H2/(资产负债!G7+资产负债!H7),0)</f>
        <v>17.18323523335199</v>
      </c>
      <c r="I34" s="741">
        <f>IF(ISNUMBER((H34*3+G34*2+F34)/6),(H34*3+G34*2+F34)/6,0)</f>
        <v>14.474636965027408</v>
      </c>
      <c r="J34" s="741">
        <f>IF(ISNUMBER((I34*3+H34*2+G34)/6),(I34*3+H34*2+G34)/6,0)</f>
        <v>14.971965788631884</v>
      </c>
      <c r="K34" s="741">
        <f>IF(ISNUMBER((J34*3+I34*2+H34)/6),(J34*3+I34*2+H34)/6,0)</f>
        <v>15.17473442155041</v>
      </c>
      <c r="L34" s="741">
        <f>IF(ISNUMBER((K34*3+J34*2+I34)/6),(K34*3+J34*2+I34)/6,0)</f>
        <v>14.990461967823734</v>
      </c>
      <c r="M34" s="741">
        <f>IF(ISNUMBER((L34*3+K34*2+J34)/6),(L34*3+K34*2+J34)/6,0)</f>
        <v>15.048803422533984</v>
      </c>
      <c r="N34" s="741">
        <f>IF(ISNUMBER((M34*3+L34*2+K34)/6),(M34*3+L34*2+K34)/6,0)</f>
        <v>15.050344770799972</v>
      </c>
      <c r="O34" s="741">
        <f>IF(ISNUMBER((N34*3+M34*2+L34)/6),(N34*3+M34*2+L34)/6,0)</f>
        <v>15.039850520881936</v>
      </c>
      <c r="P34" s="741">
        <f>IF(ISNUMBER((O34*3+N34*2+M34)/6),(O34*3+N34*2+M34)/6,0)</f>
        <v>15.044840754463289</v>
      </c>
      <c r="Q34" s="741">
        <f>IF(ISNUMBER((P34*3+O34*2+N34)/6),(P34*3+O34*2+N34)/6,0)</f>
        <v>15.044094679325617</v>
      </c>
      <c r="R34" s="741">
        <f>IF(ISNUMBER((Q34*3+P34*2+O34)/6),(Q34*3+P34*2+O34)/6,0)</f>
        <v>15.043636011297563</v>
      </c>
      <c r="S34" s="741">
        <f>IF(ISNUMBER((R34*3+Q34*2+P34)/6),(R34*3+Q34*2+P34)/6,0)</f>
        <v>15.043989691167868</v>
      </c>
      <c r="T34" s="741">
        <f>IF(ISNUMBER((S34*3+R34*2+Q34)/6),(S34*3+R34*2+Q34)/6,0)</f>
        <v>15.043889295904057</v>
      </c>
      <c r="U34" s="741">
        <f>IF(ISNUMBER((T34*3+S34*2+R34)/6),(T34*3+S34*2+R34)/6,0)</f>
        <v>15.043880546890911</v>
      </c>
      <c r="V34" s="741">
        <f>IF(ISNUMBER((U34*3+T34*2+S34)/6),(U34*3+T34*2+S34)/6,0)</f>
        <v>15.043901653941452</v>
      </c>
      <c r="W34" s="741">
        <f>IF(ISNUMBER((V34*3+U34*2+T34)/6),(V34*3+U34*2+T34)/6,0)</f>
        <v>15.043892558585037</v>
      </c>
      <c r="X34" s="741">
        <f>IF(ISNUMBER((W34*3+V34*2+U34)/6),(W34*3+V34*2+U34)/6,0)</f>
        <v>15.043893588421488</v>
      </c>
      <c r="Y34" s="741">
        <f>IF(ISNUMBER((X34*3+W34*2+V34)/6),(X34*3+W34*2+V34)/6,0)</f>
        <v>15.043894589395997</v>
      </c>
      <c r="Z34" s="741">
        <f>IF(ISNUMBER((Y34*3+X34*2+W34)/6),(Y34*3+X34*2+W34)/6,0)</f>
        <v>15.043893917269335</v>
      </c>
      <c r="AA34" s="741">
        <f>IF(ISNUMBER((Z34*3+Y34*2+X34)/6),(Z34*3+Y34*2+X34)/6,0)</f>
        <v>15.043894086503579</v>
      </c>
      <c r="AB34" s="741">
        <f>IF(ISNUMBER((AA34*3+Z34*2+Y34)/6),(AA34*3+Z34*2+Y34)/6,0)</f>
        <v>15.043894113907569</v>
      </c>
      <c r="AC34" s="741">
        <f>IF(ISNUMBER((AB34*3+AA34*2+Z34)/6),(AB34*3+AA34*2+Z34)/6,0)</f>
        <v>15.043894071999866</v>
      </c>
      <c r="AD34" s="741">
        <f>IF(ISNUMBER((AC34*3+AB34*2+AA34)/6),(AC34*3+AB34*2+AA34)/6,0)</f>
        <v>15.043894088386388</v>
      </c>
      <c r="AE34" s="741">
        <f>IF(ISNUMBER((AD34*3+AC34*2+AB34)/6),(AD34*3+AC34*2+AB34)/6,0)</f>
        <v>15.043894087177746</v>
      </c>
      <c r="AF34" s="741">
        <f>IF(ISNUMBER((AE34*3+AD34*2+AC34)/6),(AE34*3+AD34*2+AC34)/6,0)</f>
        <v>15.043894085050979</v>
      </c>
      <c r="AG34" s="741">
        <f>IF(ISNUMBER((AF34*3+AE34*2+AD34)/6),(AF34*3+AE34*2+AD34)/6,0)</f>
        <v>15.043894086315802</v>
      </c>
      <c r="AH34" s="741">
        <f>IF(ISNUMBER((AG34*3+AF34*2+AE34)/6),(AG34*3+AF34*2+AE34)/6,0)</f>
        <v>15.043894086037852</v>
      </c>
      <c r="AI34" s="741">
        <f>IF(ISNUMBER((AH34*3+AG34*2+AF34)/6),(AH34*3+AG34*2+AF34)/6,0)</f>
        <v>15.043894085966024</v>
      </c>
      <c r="AJ34" s="741">
        <f>IF(ISNUMBER((AI34*3+AH34*2+AG34)/6),(AI34*3+AH34*2+AG34)/6,0)</f>
        <v>15.043894086048262</v>
      </c>
      <c r="AK34" s="741">
        <f>IF(ISNUMBER((AJ34*3+AI34*2+AH34)/6),(AJ34*3+AI34*2+AH34)/6,0)</f>
        <v>15.043894086019113</v>
      </c>
      <c r="AL34" s="741">
        <f>IF(ISNUMBER((AK34*3+AJ34*2+AI34)/6),(AK34*3+AJ34*2+AI34)/6,0)</f>
        <v>15.04389408601998</v>
      </c>
      <c r="AM34" s="440"/>
    </row>
    <row r="35" spans="1:39" ht="15" customHeight="1">
      <c r="A35" s="167" t="s">
        <v>2766</v>
      </c>
      <c r="B35" s="715" t="s">
        <v>2758</v>
      </c>
      <c r="C35" s="716"/>
      <c r="D35" s="742">
        <f>IF(资产负债!C8+资产负债!D8&lt;&gt;0,2*利润表!D2/(资产负债!C8+资产负债!D8),0)</f>
        <v>2.6229235544002711</v>
      </c>
      <c r="E35" s="742">
        <f>IF(资产负债!D8+资产负债!E8&lt;&gt;0,2*利润表!E2/(资产负债!D8+资产负债!E8),0)</f>
        <v>2.8234154243510887</v>
      </c>
      <c r="F35" s="742">
        <f>IF(资产负债!E8+资产负债!F8&lt;&gt;0,2*利润表!F2/(资产负债!E8+资产负债!F8),0)</f>
        <v>2.9409804274459743</v>
      </c>
      <c r="G35" s="742">
        <f>IF(资产负债!F8+资产负债!G8&lt;&gt;0,2*利润表!G2/(资产负债!F8+资产负债!G8),0)</f>
        <v>2.6753791715776272</v>
      </c>
      <c r="H35" s="742">
        <f>IF(资产负债!G8+资产负债!H8&lt;&gt;0,2*利润表!H2/(资产负债!G8+资产负债!H8),0)</f>
        <v>1.8940564228063765</v>
      </c>
      <c r="I35" s="741">
        <f>IF(ISNUMBER(AVERAGE(H35,G35,F35)),AVERAGE(H35,G35,F35),0)</f>
        <v>2.5034720072766592</v>
      </c>
      <c r="J35" s="741">
        <f>IF(ISNUMBER(AVERAGE(I35,H35,G35)),AVERAGE(I35,H35,G35),0)</f>
        <v>2.3576358672202207</v>
      </c>
      <c r="K35" s="741">
        <f>IF(ISNUMBER(AVERAGE(J35,I35,H35)),AVERAGE(J35,I35,H35),0)</f>
        <v>2.2517214324344188</v>
      </c>
      <c r="L35" s="741">
        <f>IF(ISNUMBER(AVERAGE(K35,J35,I35)),AVERAGE(K35,J35,I35),0)</f>
        <v>2.370943102310433</v>
      </c>
      <c r="M35" s="741">
        <f>IF(ISNUMBER(AVERAGE(L35,K35,J35)),AVERAGE(L35,K35,J35),0)</f>
        <v>2.3267668006550242</v>
      </c>
      <c r="N35" s="741">
        <f>IF(ISNUMBER(AVERAGE(M35,L35,K35)),AVERAGE(M35,L35,K35),0)</f>
        <v>2.3164771117999585</v>
      </c>
      <c r="O35" s="741">
        <f>IF(ISNUMBER(AVERAGE(N35,M35,L35)),AVERAGE(N35,M35,L35),0)</f>
        <v>2.3380623382551384</v>
      </c>
      <c r="P35" s="741">
        <f>IF(ISNUMBER(AVERAGE(O35,N35,M35)),AVERAGE(O35,N35,M35),0)</f>
        <v>2.3271020835700402</v>
      </c>
      <c r="Q35" s="741">
        <f>IF(ISNUMBER(AVERAGE(P35,O35,N35)),AVERAGE(P35,O35,N35),0)</f>
        <v>2.3272138445417121</v>
      </c>
      <c r="R35" s="741">
        <f>IF(ISNUMBER(AVERAGE(Q35,P35,O35)),AVERAGE(Q35,P35,O35),0)</f>
        <v>2.3307927554556302</v>
      </c>
      <c r="S35" s="741">
        <f>IF(ISNUMBER(AVERAGE(R35,Q35,P35)),AVERAGE(R35,Q35,P35),0)</f>
        <v>2.3283695611891275</v>
      </c>
      <c r="T35" s="741">
        <f>IF(ISNUMBER(AVERAGE(S35,R35,Q35)),AVERAGE(S35,R35,Q35),0)</f>
        <v>2.3287920537288236</v>
      </c>
      <c r="U35" s="741">
        <f>IF(ISNUMBER(AVERAGE(T35,S35,R35)),AVERAGE(T35,S35,R35),0)</f>
        <v>2.3293181234578606</v>
      </c>
      <c r="V35" s="741">
        <f>IF(ISNUMBER(AVERAGE(U35,T35,S35)),AVERAGE(U35,T35,S35),0)</f>
        <v>2.3288265794586036</v>
      </c>
      <c r="W35" s="741">
        <f>IF(ISNUMBER(AVERAGE(V35,U35,T35)),AVERAGE(V35,U35,T35),0)</f>
        <v>2.3289789188817629</v>
      </c>
      <c r="X35" s="741">
        <f>IF(ISNUMBER(AVERAGE(W35,V35,U35)),AVERAGE(W35,V35,U35),0)</f>
        <v>2.3290412072660756</v>
      </c>
      <c r="Y35" s="741">
        <f>IF(ISNUMBER(AVERAGE(X35,W35,V35)),AVERAGE(X35,W35,V35),0)</f>
        <v>2.3289489018688143</v>
      </c>
      <c r="Z35" s="741">
        <f>IF(ISNUMBER(AVERAGE(Y35,X35,W35)),AVERAGE(Y35,X35,W35),0)</f>
        <v>2.3289896760055506</v>
      </c>
      <c r="AA35" s="741">
        <f>IF(ISNUMBER(AVERAGE(Z35,Y35,X35)),AVERAGE(Z35,Y35,X35),0)</f>
        <v>2.3289932617134803</v>
      </c>
      <c r="AB35" s="741">
        <f>IF(ISNUMBER(AVERAGE(AA35,Z35,Y35)),AVERAGE(AA35,Z35,Y35),0)</f>
        <v>2.3289772798626149</v>
      </c>
      <c r="AC35" s="741">
        <f>IF(ISNUMBER(AVERAGE(AB35,AA35,Z35)),AVERAGE(AB35,AA35,Z35),0)</f>
        <v>2.3289867391938817</v>
      </c>
      <c r="AD35" s="741">
        <f>IF(ISNUMBER(AVERAGE(AC35,AB35,AA35)),AVERAGE(AC35,AB35,AA35),0)</f>
        <v>2.3289857602566588</v>
      </c>
      <c r="AE35" s="741">
        <f>IF(ISNUMBER(AVERAGE(AD35,AC35,AB35)),AVERAGE(AD35,AC35,AB35),0)</f>
        <v>2.3289832597710518</v>
      </c>
      <c r="AF35" s="741">
        <f>IF(ISNUMBER(AVERAGE(AE35,AD35,AC35)),AVERAGE(AE35,AD35,AC35),0)</f>
        <v>2.3289852530738639</v>
      </c>
      <c r="AG35" s="741">
        <f>IF(ISNUMBER(AVERAGE(AF35,AE35,AD35)),AVERAGE(AF35,AE35,AD35),0)</f>
        <v>2.3289847577005247</v>
      </c>
      <c r="AH35" s="741">
        <f>IF(ISNUMBER(AVERAGE(AG35,AF35,AE35)),AVERAGE(AG35,AF35,AE35),0)</f>
        <v>2.3289844235151467</v>
      </c>
      <c r="AI35" s="741">
        <f>IF(ISNUMBER(AVERAGE(AH35,AG35,AF35)),AVERAGE(AH35,AG35,AF35),0)</f>
        <v>2.3289848114298448</v>
      </c>
      <c r="AJ35" s="741">
        <f>IF(ISNUMBER(AVERAGE(AI35,AH35,AG35)),AVERAGE(AI35,AH35,AG35),0)</f>
        <v>2.3289846642151719</v>
      </c>
      <c r="AK35" s="741">
        <f>IF(ISNUMBER(AVERAGE(AJ35,AI35,AH35)),AVERAGE(AJ35,AI35,AH35),0)</f>
        <v>2.3289846330533877</v>
      </c>
      <c r="AL35" s="741">
        <f>IF(ISNUMBER(AVERAGE(AK35,AJ35,AI35)),AVERAGE(AK35,AJ35,AI35),0)</f>
        <v>2.3289847028994681</v>
      </c>
      <c r="AM35" s="440"/>
    </row>
    <row r="36" spans="1:39" ht="12" hidden="1" customHeight="1">
      <c r="A36" s="167"/>
      <c r="B36" s="715"/>
      <c r="C36" s="716"/>
      <c r="D36" s="742"/>
      <c r="E36" s="742"/>
      <c r="F36" s="742"/>
      <c r="G36" s="742"/>
      <c r="H36" s="742"/>
      <c r="I36" s="741"/>
      <c r="J36" s="741"/>
      <c r="K36" s="741"/>
      <c r="L36" s="741"/>
      <c r="M36" s="741"/>
      <c r="N36" s="741"/>
      <c r="O36" s="741"/>
      <c r="P36" s="741"/>
      <c r="Q36" s="741"/>
      <c r="R36" s="741"/>
      <c r="S36" s="741"/>
      <c r="T36" s="741"/>
      <c r="U36" s="741"/>
      <c r="V36" s="741"/>
      <c r="W36" s="741"/>
      <c r="X36" s="741"/>
      <c r="Y36" s="741"/>
      <c r="Z36" s="741"/>
      <c r="AA36" s="741"/>
      <c r="AB36" s="741"/>
      <c r="AC36" s="741"/>
      <c r="AD36" s="741"/>
      <c r="AE36" s="741"/>
      <c r="AF36" s="741"/>
      <c r="AG36" s="741"/>
      <c r="AH36" s="741"/>
      <c r="AI36" s="741"/>
      <c r="AJ36" s="741"/>
      <c r="AK36" s="741"/>
      <c r="AL36" s="741"/>
      <c r="AM36" s="440"/>
    </row>
    <row r="37" spans="1:39" ht="12" customHeight="1">
      <c r="A37" s="167" t="s">
        <v>2811</v>
      </c>
      <c r="B37" s="715"/>
      <c r="C37" s="716"/>
      <c r="D37" s="742">
        <f>资产负债!D10</f>
        <v>100.10192768</v>
      </c>
      <c r="E37" s="742">
        <f>资产负债!E10</f>
        <v>61.93058345</v>
      </c>
      <c r="F37" s="742">
        <f>资产负债!F10</f>
        <v>226.60601586000001</v>
      </c>
      <c r="G37" s="742">
        <f>资产负债!G10</f>
        <v>229.29043228999998</v>
      </c>
      <c r="H37" s="742">
        <f>资产负债!H10</f>
        <v>319.27647168999999</v>
      </c>
      <c r="I37" s="741">
        <f t="shared" ref="I37:AL37" si="7">IF(ISNUMBER(H37),H37,0)</f>
        <v>319.27647168999999</v>
      </c>
      <c r="J37" s="741">
        <f t="shared" si="7"/>
        <v>319.27647168999999</v>
      </c>
      <c r="K37" s="741">
        <f t="shared" si="7"/>
        <v>319.27647168999999</v>
      </c>
      <c r="L37" s="741">
        <f t="shared" si="7"/>
        <v>319.27647168999999</v>
      </c>
      <c r="M37" s="741">
        <f t="shared" si="7"/>
        <v>319.27647168999999</v>
      </c>
      <c r="N37" s="741">
        <f t="shared" si="7"/>
        <v>319.27647168999999</v>
      </c>
      <c r="O37" s="741">
        <f t="shared" si="7"/>
        <v>319.27647168999999</v>
      </c>
      <c r="P37" s="741">
        <f t="shared" si="7"/>
        <v>319.27647168999999</v>
      </c>
      <c r="Q37" s="741">
        <f t="shared" si="7"/>
        <v>319.27647168999999</v>
      </c>
      <c r="R37" s="741">
        <f t="shared" si="7"/>
        <v>319.27647168999999</v>
      </c>
      <c r="S37" s="741">
        <f t="shared" si="7"/>
        <v>319.27647168999999</v>
      </c>
      <c r="T37" s="741">
        <f t="shared" si="7"/>
        <v>319.27647168999999</v>
      </c>
      <c r="U37" s="741">
        <f t="shared" si="7"/>
        <v>319.27647168999999</v>
      </c>
      <c r="V37" s="741">
        <f t="shared" si="7"/>
        <v>319.27647168999999</v>
      </c>
      <c r="W37" s="741">
        <f t="shared" si="7"/>
        <v>319.27647168999999</v>
      </c>
      <c r="X37" s="741">
        <f t="shared" si="7"/>
        <v>319.27647168999999</v>
      </c>
      <c r="Y37" s="741">
        <f t="shared" si="7"/>
        <v>319.27647168999999</v>
      </c>
      <c r="Z37" s="741">
        <f t="shared" si="7"/>
        <v>319.27647168999999</v>
      </c>
      <c r="AA37" s="741">
        <f t="shared" si="7"/>
        <v>319.27647168999999</v>
      </c>
      <c r="AB37" s="741">
        <f t="shared" si="7"/>
        <v>319.27647168999999</v>
      </c>
      <c r="AC37" s="741">
        <f t="shared" si="7"/>
        <v>319.27647168999999</v>
      </c>
      <c r="AD37" s="741">
        <f t="shared" si="7"/>
        <v>319.27647168999999</v>
      </c>
      <c r="AE37" s="741">
        <f t="shared" si="7"/>
        <v>319.27647168999999</v>
      </c>
      <c r="AF37" s="741">
        <f t="shared" si="7"/>
        <v>319.27647168999999</v>
      </c>
      <c r="AG37" s="741">
        <f t="shared" si="7"/>
        <v>319.27647168999999</v>
      </c>
      <c r="AH37" s="741">
        <f t="shared" si="7"/>
        <v>319.27647168999999</v>
      </c>
      <c r="AI37" s="741">
        <f t="shared" si="7"/>
        <v>319.27647168999999</v>
      </c>
      <c r="AJ37" s="741">
        <f t="shared" si="7"/>
        <v>319.27647168999999</v>
      </c>
      <c r="AK37" s="741">
        <f t="shared" si="7"/>
        <v>319.27647168999999</v>
      </c>
      <c r="AL37" s="741">
        <f t="shared" si="7"/>
        <v>319.27647168999999</v>
      </c>
      <c r="AM37" s="440"/>
    </row>
    <row r="38" spans="1:39" ht="15" customHeight="1">
      <c r="A38" s="974" t="s">
        <v>2689</v>
      </c>
      <c r="B38" s="715" t="s">
        <v>762</v>
      </c>
      <c r="C38" s="743"/>
      <c r="D38" s="720">
        <f>IF(资产负债!C12+资产负债!D12&lt;&gt;0,2*利润表!D2/(资产负债!C12+资产负债!D12),0)</f>
        <v>34.861656258236629</v>
      </c>
      <c r="E38" s="720">
        <f>IF(资产负债!D12+资产负债!E12&lt;&gt;0,2*利润表!E2/(资产负债!D12+资产负债!E12),0)</f>
        <v>30.573259994515443</v>
      </c>
      <c r="F38" s="720">
        <f>IF(资产负债!E12+资产负债!F12&lt;&gt;0,2*利润表!F2/(资产负债!E12+资产负债!F12),0)</f>
        <v>42.762742691366164</v>
      </c>
      <c r="G38" s="720">
        <f>IF(资产负债!F12+资产负债!G12&lt;&gt;0,2*利润表!G2/(资产负债!F12+资产负债!G12),0)</f>
        <v>37.465753558737973</v>
      </c>
      <c r="H38" s="720">
        <f>IF(资产负债!G12+资产负债!H12&lt;&gt;0,2*利润表!H2/(资产负债!G12+资产负债!H12),0)</f>
        <v>27.042256887331284</v>
      </c>
      <c r="I38" s="741">
        <f t="shared" ref="I38:AL38" si="8">IF(ISNUMBER(H38),H38,0)</f>
        <v>27.042256887331284</v>
      </c>
      <c r="J38" s="741">
        <f t="shared" si="8"/>
        <v>27.042256887331284</v>
      </c>
      <c r="K38" s="741">
        <f t="shared" si="8"/>
        <v>27.042256887331284</v>
      </c>
      <c r="L38" s="741">
        <f t="shared" si="8"/>
        <v>27.042256887331284</v>
      </c>
      <c r="M38" s="741">
        <f t="shared" si="8"/>
        <v>27.042256887331284</v>
      </c>
      <c r="N38" s="741">
        <f t="shared" si="8"/>
        <v>27.042256887331284</v>
      </c>
      <c r="O38" s="741">
        <f t="shared" si="8"/>
        <v>27.042256887331284</v>
      </c>
      <c r="P38" s="741">
        <f t="shared" si="8"/>
        <v>27.042256887331284</v>
      </c>
      <c r="Q38" s="741">
        <f t="shared" si="8"/>
        <v>27.042256887331284</v>
      </c>
      <c r="R38" s="741">
        <f t="shared" si="8"/>
        <v>27.042256887331284</v>
      </c>
      <c r="S38" s="741">
        <f t="shared" si="8"/>
        <v>27.042256887331284</v>
      </c>
      <c r="T38" s="741">
        <f t="shared" si="8"/>
        <v>27.042256887331284</v>
      </c>
      <c r="U38" s="741">
        <f t="shared" si="8"/>
        <v>27.042256887331284</v>
      </c>
      <c r="V38" s="741">
        <f t="shared" si="8"/>
        <v>27.042256887331284</v>
      </c>
      <c r="W38" s="741">
        <f t="shared" si="8"/>
        <v>27.042256887331284</v>
      </c>
      <c r="X38" s="741">
        <f t="shared" si="8"/>
        <v>27.042256887331284</v>
      </c>
      <c r="Y38" s="741">
        <f t="shared" si="8"/>
        <v>27.042256887331284</v>
      </c>
      <c r="Z38" s="741">
        <f t="shared" si="8"/>
        <v>27.042256887331284</v>
      </c>
      <c r="AA38" s="741">
        <f t="shared" si="8"/>
        <v>27.042256887331284</v>
      </c>
      <c r="AB38" s="741">
        <f t="shared" si="8"/>
        <v>27.042256887331284</v>
      </c>
      <c r="AC38" s="741">
        <f t="shared" si="8"/>
        <v>27.042256887331284</v>
      </c>
      <c r="AD38" s="741">
        <f t="shared" si="8"/>
        <v>27.042256887331284</v>
      </c>
      <c r="AE38" s="741">
        <f t="shared" si="8"/>
        <v>27.042256887331284</v>
      </c>
      <c r="AF38" s="741">
        <f t="shared" si="8"/>
        <v>27.042256887331284</v>
      </c>
      <c r="AG38" s="741">
        <f t="shared" si="8"/>
        <v>27.042256887331284</v>
      </c>
      <c r="AH38" s="741">
        <f t="shared" si="8"/>
        <v>27.042256887331284</v>
      </c>
      <c r="AI38" s="741">
        <f t="shared" si="8"/>
        <v>27.042256887331284</v>
      </c>
      <c r="AJ38" s="741">
        <f t="shared" si="8"/>
        <v>27.042256887331284</v>
      </c>
      <c r="AK38" s="741">
        <f t="shared" si="8"/>
        <v>27.042256887331284</v>
      </c>
      <c r="AL38" s="741">
        <f t="shared" si="8"/>
        <v>27.042256887331284</v>
      </c>
      <c r="AM38" s="440"/>
    </row>
    <row r="39" spans="1:39" ht="15" customHeight="1">
      <c r="A39" s="715" t="s">
        <v>763</v>
      </c>
      <c r="B39" s="715" t="s">
        <v>764</v>
      </c>
      <c r="C39" s="716"/>
      <c r="D39" s="720">
        <f>IF(资产负债!C11+资产负债!D11&lt;&gt;0,2*利润表!D2/(资产负债!C11+资产负债!D11),0)</f>
        <v>66.927997082840761</v>
      </c>
      <c r="E39" s="720">
        <f>IF(资产负债!D11+资产负债!E11&lt;&gt;0,2*利润表!E2/(资产负债!D11+资产负债!E11),0)</f>
        <v>61.359304977742966</v>
      </c>
      <c r="F39" s="720">
        <f>IF(资产负债!E11+资产负债!F11&lt;&gt;0,2*利润表!F2/(资产负债!E11+资产负债!F11),0)</f>
        <v>52.136722066756384</v>
      </c>
      <c r="G39" s="720">
        <f>IF(资产负债!F11+资产负债!G11&lt;&gt;0,2*利润表!G2/(资产负债!F11+资产负债!G11),0)</f>
        <v>50.628801607420236</v>
      </c>
      <c r="H39" s="720">
        <f>IF(资产负债!G11+资产负债!H11&lt;&gt;0,2*利润表!H2/(资产负债!G11+资产负债!H11),0)</f>
        <v>52.021107987318345</v>
      </c>
      <c r="I39" s="741">
        <f t="shared" ref="I39:AL39" si="9">IF(ISNUMBER(H39),H39,0)</f>
        <v>52.021107987318345</v>
      </c>
      <c r="J39" s="741">
        <f t="shared" si="9"/>
        <v>52.021107987318345</v>
      </c>
      <c r="K39" s="741">
        <f t="shared" si="9"/>
        <v>52.021107987318345</v>
      </c>
      <c r="L39" s="741">
        <f t="shared" si="9"/>
        <v>52.021107987318345</v>
      </c>
      <c r="M39" s="741">
        <f t="shared" si="9"/>
        <v>52.021107987318345</v>
      </c>
      <c r="N39" s="741">
        <f t="shared" si="9"/>
        <v>52.021107987318345</v>
      </c>
      <c r="O39" s="741">
        <f t="shared" si="9"/>
        <v>52.021107987318345</v>
      </c>
      <c r="P39" s="741">
        <f t="shared" si="9"/>
        <v>52.021107987318345</v>
      </c>
      <c r="Q39" s="741">
        <f t="shared" si="9"/>
        <v>52.021107987318345</v>
      </c>
      <c r="R39" s="741">
        <f t="shared" si="9"/>
        <v>52.021107987318345</v>
      </c>
      <c r="S39" s="741">
        <f t="shared" si="9"/>
        <v>52.021107987318345</v>
      </c>
      <c r="T39" s="741">
        <f t="shared" si="9"/>
        <v>52.021107987318345</v>
      </c>
      <c r="U39" s="741">
        <f t="shared" si="9"/>
        <v>52.021107987318345</v>
      </c>
      <c r="V39" s="741">
        <f t="shared" si="9"/>
        <v>52.021107987318345</v>
      </c>
      <c r="W39" s="741">
        <f t="shared" si="9"/>
        <v>52.021107987318345</v>
      </c>
      <c r="X39" s="741">
        <f t="shared" si="9"/>
        <v>52.021107987318345</v>
      </c>
      <c r="Y39" s="741">
        <f t="shared" si="9"/>
        <v>52.021107987318345</v>
      </c>
      <c r="Z39" s="741">
        <f t="shared" si="9"/>
        <v>52.021107987318345</v>
      </c>
      <c r="AA39" s="741">
        <f t="shared" si="9"/>
        <v>52.021107987318345</v>
      </c>
      <c r="AB39" s="741">
        <f t="shared" si="9"/>
        <v>52.021107987318345</v>
      </c>
      <c r="AC39" s="741">
        <f t="shared" si="9"/>
        <v>52.021107987318345</v>
      </c>
      <c r="AD39" s="741">
        <f t="shared" si="9"/>
        <v>52.021107987318345</v>
      </c>
      <c r="AE39" s="741">
        <f t="shared" si="9"/>
        <v>52.021107987318345</v>
      </c>
      <c r="AF39" s="741">
        <f t="shared" si="9"/>
        <v>52.021107987318345</v>
      </c>
      <c r="AG39" s="741">
        <f t="shared" si="9"/>
        <v>52.021107987318345</v>
      </c>
      <c r="AH39" s="741">
        <f t="shared" si="9"/>
        <v>52.021107987318345</v>
      </c>
      <c r="AI39" s="741">
        <f t="shared" si="9"/>
        <v>52.021107987318345</v>
      </c>
      <c r="AJ39" s="741">
        <f t="shared" si="9"/>
        <v>52.021107987318345</v>
      </c>
      <c r="AK39" s="741">
        <f t="shared" si="9"/>
        <v>52.021107987318345</v>
      </c>
      <c r="AL39" s="741">
        <f t="shared" si="9"/>
        <v>52.021107987318345</v>
      </c>
      <c r="AM39" s="440"/>
    </row>
    <row r="40" spans="1:39" ht="15" customHeight="1">
      <c r="A40" s="715" t="s">
        <v>765</v>
      </c>
      <c r="B40" s="715" t="s">
        <v>766</v>
      </c>
      <c r="C40" s="716"/>
      <c r="D40" s="720">
        <f>IF(资产负债!C13+资产负债!D13&lt;&gt;0,2*利润表!D3/(资产负债!C13+资产负债!D13),0)</f>
        <v>8.1252590984741211</v>
      </c>
      <c r="E40" s="720">
        <f>IF(资产负债!D13+资产负债!E13&lt;&gt;0,2*利润表!E3/(资产负债!D13+资产负债!E13),0)</f>
        <v>10.476580771348823</v>
      </c>
      <c r="F40" s="720">
        <f>IF(资产负债!E13+资产负债!F13&lt;&gt;0,2*利润表!F3/(资产负债!E13+资产负债!F13),0)</f>
        <v>12.550664351341824</v>
      </c>
      <c r="G40" s="720">
        <f>IF(资产负债!F13+资产负债!G13&lt;&gt;0,2*利润表!G3/(资产负债!F13+资产负债!G13),0)</f>
        <v>14.940238549257248</v>
      </c>
      <c r="H40" s="720">
        <f>IF(资产负债!G13+资产负债!H13&lt;&gt;0,2*利润表!H3/(资产负债!G13+资产负债!H13),0)</f>
        <v>12.598158910232744</v>
      </c>
      <c r="I40" s="741">
        <f>IF(ISNUMBER((H40*G40*F40*E40*D40)^(1/5)),(H40*G40*F40*E40*D40)^(1/5),0)</f>
        <v>11.499464654341198</v>
      </c>
      <c r="J40" s="741">
        <f>IF(ISNUMBER((I40*H40*G40*F40*E40)^(1/5)),(I40*H40*G40*F40*E40)^(1/5),0)</f>
        <v>12.326668125480026</v>
      </c>
      <c r="K40" s="741">
        <f>IF(ISNUMBER((J40*I40*H40*G40*F40)^(1/5)),(J40*I40*H40*G40*F40)^(1/5),0)</f>
        <v>12.734178436338347</v>
      </c>
      <c r="L40" s="741">
        <f>IF(ISNUMBER((K40*J40*I40*H40*G40)^(1/5)),(K40*J40*I40*H40*G40)^(1/5),0)</f>
        <v>12.771202004128622</v>
      </c>
      <c r="M40" s="741">
        <f>IF(ISNUMBER((L40*K40*J40*I40*H40)^(1/5)),(L40*K40*J40*I40*H40)^(1/5),0)</f>
        <v>12.376750116507546</v>
      </c>
      <c r="N40" s="741">
        <f>IF(ISNUMBER((M40*L40*K40*J40*I40)^(1/5)),(M40*L40*K40*J40*I40)^(1/5),0)</f>
        <v>12.332937506638308</v>
      </c>
      <c r="O40" s="741">
        <f>IF(ISNUMBER((N40*M40*L40*K40*J40)^(1/5)),(N40*M40*L40*K40*J40)^(1/5),0)</f>
        <v>12.506745500411313</v>
      </c>
      <c r="P40" s="741">
        <f>IF(ISNUMBER((O40*N40*M40*L40*K40)^(1/5)),(O40*N40*M40*L40*K40)^(1/5),0)</f>
        <v>12.543075438538382</v>
      </c>
      <c r="Q40" s="741">
        <f>IF(ISNUMBER((P40*O40*N40*M40*L40)^(1/5)),(P40*O40*N40*M40*L40)^(1/5),0)</f>
        <v>12.505200373652402</v>
      </c>
      <c r="R40" s="741">
        <f>IF(ISNUMBER((Q40*P40*O40*N40*M40)^(1/5)),(Q40*P40*O40*N40*M40)^(1/5),0)</f>
        <v>12.452668616657622</v>
      </c>
      <c r="S40" s="741">
        <f>IF(ISNUMBER((R40*Q40*P40*O40*N40)^(1/5)),(R40*Q40*P40*O40*N40)^(1/5),0)</f>
        <v>12.467908107264604</v>
      </c>
      <c r="T40" s="741">
        <f>IF(ISNUMBER((S40*R40*Q40*P40*O40)^(1/5)),(S40*R40*Q40*P40*O40)^(1/5),0)</f>
        <v>12.495078965419985</v>
      </c>
      <c r="U40" s="741">
        <f>IF(ISNUMBER((T40*S40*R40*Q40*P40)^(1/5)),(T40*S40*R40*Q40*P40)^(1/5),0)</f>
        <v>12.492746964679149</v>
      </c>
      <c r="V40" s="741">
        <f>IF(ISNUMBER((U40*T40*S40*R40*Q40)^(1/5)),(U40*T40*S40*R40*Q40)^(1/5),0)</f>
        <v>12.48270552874647</v>
      </c>
      <c r="W40" s="741">
        <f>IF(ISNUMBER((V40*U40*T40*S40*R40)^(1/5)),(V40*U40*T40*S40*R40)^(1/5),0)</f>
        <v>12.478211417849545</v>
      </c>
      <c r="X40" s="741">
        <f>IF(ISNUMBER((W40*V40*U40*T40*S40)^(1/5)),(W40*V40*U40*T40*S40)^(1/5),0)</f>
        <v>12.483326261831634</v>
      </c>
      <c r="Y40" s="741">
        <f>IF(ISNUMBER((X40*W40*V40*U40*T40)^(1/5)),(X40*W40*V40*U40*T40)^(1/5),0)</f>
        <v>12.486412179972119</v>
      </c>
      <c r="Z40" s="741">
        <f>IF(ISNUMBER((Y40*X40*W40*V40*U40)^(1/5)),(Y40*X40*W40*V40*U40)^(1/5),0)</f>
        <v>12.484679544386438</v>
      </c>
      <c r="AA40" s="741">
        <f>IF(ISNUMBER((Z40*Y40*X40*W40*V40)^(1/5)),(Z40*Y40*X40*W40*V40)^(1/5),0)</f>
        <v>12.483066685597722</v>
      </c>
      <c r="AB40" s="741">
        <f>IF(ISNUMBER((AA40*Z40*Y40*X40*W40)^(1/5)),(AA40*Z40*Y40*X40*W40)^(1/5),0)</f>
        <v>12.483138918221867</v>
      </c>
      <c r="AC40" s="741">
        <f>IF(ISNUMBER((AB40*AA40*Z40*Y40*X40)^(1/5)),(AB40*AA40*Z40*Y40*X40)^(1/5),0)</f>
        <v>12.48412465176925</v>
      </c>
      <c r="AD40" s="741">
        <f>IF(ISNUMBER((AC40*AB40*AA40*Z40*Y40)^(1/5)),(AC40*AB40*AA40*Z40*Y40)^(1/5),0)</f>
        <v>12.484284335884135</v>
      </c>
      <c r="AE40" s="741">
        <f>IF(ISNUMBER((AD40*AC40*AB40*AA40*Z40)^(1/5)),(AD40*AC40*AB40*AA40*Z40)^(1/5),0)</f>
        <v>12.483858810581935</v>
      </c>
      <c r="AF40" s="741">
        <f>IF(ISNUMBER((AE40*AD40*AC40*AB40*AA40)^(1/5)),(AE40*AD40*AC40*AB40*AA40)^(1/5),0)</f>
        <v>12.48369467029568</v>
      </c>
      <c r="AG40" s="741">
        <f>IF(ISNUMBER((AF40*AE40*AD40*AC40*AB40)^(1/5)),(AF40*AE40*AD40*AC40*AB40)^(1/5),0)</f>
        <v>12.483820271026261</v>
      </c>
      <c r="AH40" s="741">
        <f>IF(ISNUMBER((AG40*AF40*AE40*AD40*AC40)^(1/5)),(AG40*AF40*AE40*AD40*AC40)^(1/5),0)</f>
        <v>12.483956546049814</v>
      </c>
      <c r="AI40" s="741">
        <f>IF(ISNUMBER((AH40*AG40*AF40*AE40*AD40)^(1/5)),(AH40*AG40*AF40*AE40*AD40)^(1/5),0)</f>
        <v>12.483922925177561</v>
      </c>
      <c r="AJ40" s="741">
        <f>IF(ISNUMBER((AI40*AH40*AG40*AF40*AE40)^(1/5)),(AI40*AH40*AG40*AF40*AE40)^(1/5),0)</f>
        <v>12.483850644291762</v>
      </c>
      <c r="AK40" s="741">
        <f>IF(ISNUMBER((AJ40*AI40*AH40*AG40*AF40)^(1/5)),(AJ40*AI40*AH40*AG40*AF40)^(1/5),0)</f>
        <v>12.483849011034371</v>
      </c>
      <c r="AL40" s="741">
        <f>IF(ISNUMBER((AK40*AJ40*AI40*AH40*AG40)^(1/5)),(AK40*AJ40*AI40*AH40*AG40)^(1/5),0)</f>
        <v>12.483879879411088</v>
      </c>
      <c r="AM40" s="440"/>
    </row>
    <row r="41" spans="1:39" ht="15" customHeight="1">
      <c r="A41" s="974" t="s">
        <v>2781</v>
      </c>
      <c r="B41" s="974" t="s">
        <v>2782</v>
      </c>
      <c r="C41" s="716"/>
      <c r="D41" s="720">
        <f>IF(资产负债!C14+资产负债!D14&lt;&gt;0,2*利润表!D2/(资产负债!C14+资产负债!D14),0)</f>
        <v>0</v>
      </c>
      <c r="E41" s="720">
        <f>IF(资产负债!D14+资产负债!E14&lt;&gt;0,2*利润表!E2/(资产负债!D14+资产负债!E14),0)</f>
        <v>33.546734559477358</v>
      </c>
      <c r="F41" s="720">
        <f>IF(资产负债!E14+资产负债!F14&lt;&gt;0,2*利润表!F2/(资产负债!E14+资产负债!F14),0)</f>
        <v>19.434842586670019</v>
      </c>
      <c r="G41" s="720">
        <f>IF(资产负债!F14+资产负债!G14&lt;&gt;0,2*利润表!G2/(资产负债!F14+资产负债!G14),0)</f>
        <v>20.507174948290086</v>
      </c>
      <c r="H41" s="720">
        <f>IF(资产负债!G14+资产负债!H14&lt;&gt;0,2*利润表!H2/(资产负债!G14+资产负债!H14),0)</f>
        <v>19.083346167324908</v>
      </c>
      <c r="I41" s="741">
        <f>IF(ISNUMBER(AVERAGE(H41,G41,F41,E41)),AVERAGE(H41,G41,F41,E41),0)</f>
        <v>23.143024565440591</v>
      </c>
      <c r="J41" s="741">
        <f>IF(ISNUMBER(AVERAGE(I41,H41,G41,F41)),AVERAGE(I41,H41,G41,F41),0)</f>
        <v>20.542097066931401</v>
      </c>
      <c r="K41" s="741">
        <f>IF(ISNUMBER(AVERAGE(J41,I41,H41,G41)),AVERAGE(J41,I41,H41,G41),0)</f>
        <v>20.818910686996745</v>
      </c>
      <c r="L41" s="741">
        <f>IF(ISNUMBER(AVERAGE(K41,J41,I41,H41)),AVERAGE(K41,J41,I41,H41),0)</f>
        <v>20.896844621673413</v>
      </c>
      <c r="M41" s="741">
        <f>IF(ISNUMBER(AVERAGE(L41,K41,J41,I41)),AVERAGE(L41,K41,J41,I41),0)</f>
        <v>21.350219235260539</v>
      </c>
      <c r="N41" s="741">
        <f>IF(ISNUMBER(AVERAGE(M41,L41,K41,J41)),AVERAGE(M41,L41,K41,J41),0)</f>
        <v>20.902017902715524</v>
      </c>
      <c r="O41" s="741">
        <f>IF(ISNUMBER(AVERAGE(N41,M41,L41,K41)),AVERAGE(N41,M41,L41,K41),0)</f>
        <v>20.991998111661555</v>
      </c>
      <c r="P41" s="741">
        <f>IF(ISNUMBER(AVERAGE(O41,N41,M41,L41)),AVERAGE(O41,N41,M41,L41),0)</f>
        <v>21.035269967827759</v>
      </c>
      <c r="Q41" s="741">
        <f>IF(ISNUMBER(AVERAGE(P41,O41,N41,M41)),AVERAGE(P41,O41,N41,M41),0)</f>
        <v>21.069876304366346</v>
      </c>
      <c r="R41" s="741">
        <f>IF(ISNUMBER(AVERAGE(Q41,P41,O41,N41)),AVERAGE(Q41,P41,O41,N41),0)</f>
        <v>20.999790571642798</v>
      </c>
      <c r="S41" s="741">
        <f>IF(ISNUMBER(AVERAGE(R41,Q41,P41,O41)),AVERAGE(R41,Q41,P41,O41),0)</f>
        <v>21.024233738874614</v>
      </c>
      <c r="T41" s="741">
        <f>IF(ISNUMBER(AVERAGE(S41,R41,Q41,P41)),AVERAGE(S41,R41,Q41,P41),0)</f>
        <v>21.032292645677877</v>
      </c>
      <c r="U41" s="741">
        <f>IF(ISNUMBER(AVERAGE(T41,S41,R41,Q41)),AVERAGE(T41,S41,R41,Q41),0)</f>
        <v>21.031548315140409</v>
      </c>
      <c r="V41" s="741">
        <f>IF(ISNUMBER(AVERAGE(U41,T41,S41,R41)),AVERAGE(U41,T41,S41,R41),0)</f>
        <v>21.021966317833922</v>
      </c>
      <c r="W41" s="741">
        <f>IF(ISNUMBER(AVERAGE(V41,U41,T41,S41)),AVERAGE(V41,U41,T41,S41),0)</f>
        <v>21.027510254381703</v>
      </c>
      <c r="X41" s="741">
        <f>IF(ISNUMBER(AVERAGE(W41,V41,U41,T41)),AVERAGE(W41,V41,U41,T41),0)</f>
        <v>21.02832938325848</v>
      </c>
      <c r="Y41" s="741">
        <f>IF(ISNUMBER(AVERAGE(X41,W41,V41,U41)),AVERAGE(X41,W41,V41,U41),0)</f>
        <v>21.027338567653629</v>
      </c>
      <c r="Z41" s="741">
        <f>IF(ISNUMBER(AVERAGE(Y41,X41,W41,V41)),AVERAGE(Y41,X41,W41,V41),0)</f>
        <v>21.026286130781934</v>
      </c>
      <c r="AA41" s="741">
        <f>IF(ISNUMBER(AVERAGE(Z41,Y41,X41,W41)),AVERAGE(Z41,Y41,X41,W41),0)</f>
        <v>21.027366084018936</v>
      </c>
      <c r="AB41" s="741">
        <f>IF(ISNUMBER(AVERAGE(AA41,Z41,Y41,X41)),AVERAGE(AA41,Z41,Y41,X41),0)</f>
        <v>21.027330041428243</v>
      </c>
      <c r="AC41" s="741">
        <f>IF(ISNUMBER(AVERAGE(AB41,AA41,Z41,Y41)),AVERAGE(AB41,AA41,Z41,Y41),0)</f>
        <v>21.027080205970684</v>
      </c>
      <c r="AD41" s="741">
        <f>IF(ISNUMBER(AVERAGE(AC41,AB41,AA41,Z41)),AVERAGE(AC41,AB41,AA41,Z41),0)</f>
        <v>21.027015615549949</v>
      </c>
      <c r="AE41" s="741">
        <f>IF(ISNUMBER(AVERAGE(AD41,AC41,AB41,AA41)),AVERAGE(AD41,AC41,AB41,AA41),0)</f>
        <v>21.027197986741953</v>
      </c>
      <c r="AF41" s="741">
        <f>IF(ISNUMBER(AVERAGE(AE41,AD41,AC41,AB41)),AVERAGE(AE41,AD41,AC41,AB41),0)</f>
        <v>21.027155962422707</v>
      </c>
      <c r="AG41" s="741">
        <f>IF(ISNUMBER(AVERAGE(AF41,AE41,AD41,AC41)),AVERAGE(AF41,AE41,AD41,AC41),0)</f>
        <v>21.027112442671324</v>
      </c>
      <c r="AH41" s="741">
        <f>IF(ISNUMBER(AVERAGE(AG41,AF41,AE41,AD41)),AVERAGE(AG41,AF41,AE41,AD41),0)</f>
        <v>21.027120501846483</v>
      </c>
      <c r="AI41" s="741">
        <f>IF(ISNUMBER(AVERAGE(AH41,AG41,AF41,AE41)),AVERAGE(AH41,AG41,AF41,AE41),0)</f>
        <v>21.027146723420618</v>
      </c>
      <c r="AJ41" s="741">
        <f>IF(ISNUMBER(AVERAGE(AI41,AH41,AG41,AF41)),AVERAGE(AI41,AH41,AG41,AF41),0)</f>
        <v>21.027133907590283</v>
      </c>
      <c r="AK41" s="741">
        <f>IF(ISNUMBER(AVERAGE(AJ41,AI41,AH41,AG41)),AVERAGE(AJ41,AI41,AH41,AG41),0)</f>
        <v>21.027128393882176</v>
      </c>
      <c r="AL41" s="741">
        <f>IF(ISNUMBER(AVERAGE(AK41,AJ41,AI41,AH41)),AVERAGE(AK41,AJ41,AI41,AH41),0)</f>
        <v>21.02713238168489</v>
      </c>
      <c r="AM41" s="440"/>
    </row>
    <row r="42" spans="1:39" ht="15" customHeight="1">
      <c r="A42" s="974" t="s">
        <v>2812</v>
      </c>
      <c r="B42" s="974"/>
      <c r="C42" s="716"/>
      <c r="D42" s="720">
        <f>资产负债!D15</f>
        <v>0</v>
      </c>
      <c r="E42" s="720">
        <f>资产负债!E15</f>
        <v>0</v>
      </c>
      <c r="F42" s="720">
        <f>资产负债!F15</f>
        <v>0</v>
      </c>
      <c r="G42" s="720">
        <f>资产负债!G15</f>
        <v>0</v>
      </c>
      <c r="H42" s="720">
        <f>资产负债!H15</f>
        <v>0</v>
      </c>
      <c r="I42" s="741">
        <f t="shared" ref="I42:AL42" si="10">IF(ISNUMBER(H42),H42,0)</f>
        <v>0</v>
      </c>
      <c r="J42" s="741">
        <f t="shared" si="10"/>
        <v>0</v>
      </c>
      <c r="K42" s="741">
        <f t="shared" si="10"/>
        <v>0</v>
      </c>
      <c r="L42" s="741">
        <f t="shared" si="10"/>
        <v>0</v>
      </c>
      <c r="M42" s="741">
        <f t="shared" si="10"/>
        <v>0</v>
      </c>
      <c r="N42" s="741">
        <f t="shared" si="10"/>
        <v>0</v>
      </c>
      <c r="O42" s="741">
        <f t="shared" si="10"/>
        <v>0</v>
      </c>
      <c r="P42" s="741">
        <f t="shared" si="10"/>
        <v>0</v>
      </c>
      <c r="Q42" s="741">
        <f t="shared" si="10"/>
        <v>0</v>
      </c>
      <c r="R42" s="741">
        <f t="shared" si="10"/>
        <v>0</v>
      </c>
      <c r="S42" s="741">
        <f t="shared" si="10"/>
        <v>0</v>
      </c>
      <c r="T42" s="741">
        <f t="shared" si="10"/>
        <v>0</v>
      </c>
      <c r="U42" s="741">
        <f t="shared" si="10"/>
        <v>0</v>
      </c>
      <c r="V42" s="741">
        <f t="shared" si="10"/>
        <v>0</v>
      </c>
      <c r="W42" s="741">
        <f t="shared" si="10"/>
        <v>0</v>
      </c>
      <c r="X42" s="741">
        <f t="shared" si="10"/>
        <v>0</v>
      </c>
      <c r="Y42" s="741">
        <f t="shared" si="10"/>
        <v>0</v>
      </c>
      <c r="Z42" s="741">
        <f t="shared" si="10"/>
        <v>0</v>
      </c>
      <c r="AA42" s="741">
        <f t="shared" si="10"/>
        <v>0</v>
      </c>
      <c r="AB42" s="741">
        <f t="shared" si="10"/>
        <v>0</v>
      </c>
      <c r="AC42" s="741">
        <f t="shared" si="10"/>
        <v>0</v>
      </c>
      <c r="AD42" s="741">
        <f t="shared" si="10"/>
        <v>0</v>
      </c>
      <c r="AE42" s="741">
        <f t="shared" si="10"/>
        <v>0</v>
      </c>
      <c r="AF42" s="741">
        <f t="shared" si="10"/>
        <v>0</v>
      </c>
      <c r="AG42" s="741">
        <f t="shared" si="10"/>
        <v>0</v>
      </c>
      <c r="AH42" s="741">
        <f t="shared" si="10"/>
        <v>0</v>
      </c>
      <c r="AI42" s="741">
        <f t="shared" si="10"/>
        <v>0</v>
      </c>
      <c r="AJ42" s="741">
        <f t="shared" si="10"/>
        <v>0</v>
      </c>
      <c r="AK42" s="741">
        <f t="shared" si="10"/>
        <v>0</v>
      </c>
      <c r="AL42" s="741">
        <f t="shared" si="10"/>
        <v>0</v>
      </c>
      <c r="AM42" s="440"/>
    </row>
    <row r="43" spans="1:39" ht="15" customHeight="1">
      <c r="A43" s="167" t="s">
        <v>1377</v>
      </c>
      <c r="B43" s="715"/>
      <c r="C43" s="716"/>
      <c r="D43" s="742">
        <f>资产负债!D16</f>
        <v>0</v>
      </c>
      <c r="E43" s="742">
        <f>资产负债!E16</f>
        <v>0</v>
      </c>
      <c r="F43" s="742">
        <f>资产负债!F16</f>
        <v>0</v>
      </c>
      <c r="G43" s="742">
        <f>资产负债!G16</f>
        <v>0</v>
      </c>
      <c r="H43" s="742">
        <f>资产负债!H16</f>
        <v>0</v>
      </c>
      <c r="I43" s="741">
        <f t="shared" ref="I43:AL43" si="11">IF(ISNUMBER(H43),H43,0)</f>
        <v>0</v>
      </c>
      <c r="J43" s="741">
        <f t="shared" si="11"/>
        <v>0</v>
      </c>
      <c r="K43" s="741">
        <f t="shared" si="11"/>
        <v>0</v>
      </c>
      <c r="L43" s="741">
        <f t="shared" si="11"/>
        <v>0</v>
      </c>
      <c r="M43" s="741">
        <f t="shared" si="11"/>
        <v>0</v>
      </c>
      <c r="N43" s="741">
        <f t="shared" si="11"/>
        <v>0</v>
      </c>
      <c r="O43" s="741">
        <f t="shared" si="11"/>
        <v>0</v>
      </c>
      <c r="P43" s="741">
        <f t="shared" si="11"/>
        <v>0</v>
      </c>
      <c r="Q43" s="741">
        <f t="shared" si="11"/>
        <v>0</v>
      </c>
      <c r="R43" s="741">
        <f t="shared" si="11"/>
        <v>0</v>
      </c>
      <c r="S43" s="741">
        <f t="shared" si="11"/>
        <v>0</v>
      </c>
      <c r="T43" s="741">
        <f t="shared" si="11"/>
        <v>0</v>
      </c>
      <c r="U43" s="741">
        <f t="shared" si="11"/>
        <v>0</v>
      </c>
      <c r="V43" s="741">
        <f t="shared" si="11"/>
        <v>0</v>
      </c>
      <c r="W43" s="741">
        <f t="shared" si="11"/>
        <v>0</v>
      </c>
      <c r="X43" s="741">
        <f t="shared" si="11"/>
        <v>0</v>
      </c>
      <c r="Y43" s="741">
        <f t="shared" si="11"/>
        <v>0</v>
      </c>
      <c r="Z43" s="741">
        <f t="shared" si="11"/>
        <v>0</v>
      </c>
      <c r="AA43" s="741">
        <f t="shared" si="11"/>
        <v>0</v>
      </c>
      <c r="AB43" s="741">
        <f t="shared" si="11"/>
        <v>0</v>
      </c>
      <c r="AC43" s="741">
        <f t="shared" si="11"/>
        <v>0</v>
      </c>
      <c r="AD43" s="741">
        <f t="shared" si="11"/>
        <v>0</v>
      </c>
      <c r="AE43" s="741">
        <f t="shared" si="11"/>
        <v>0</v>
      </c>
      <c r="AF43" s="741">
        <f t="shared" si="11"/>
        <v>0</v>
      </c>
      <c r="AG43" s="741">
        <f t="shared" si="11"/>
        <v>0</v>
      </c>
      <c r="AH43" s="741">
        <f t="shared" si="11"/>
        <v>0</v>
      </c>
      <c r="AI43" s="741">
        <f t="shared" si="11"/>
        <v>0</v>
      </c>
      <c r="AJ43" s="741">
        <f t="shared" si="11"/>
        <v>0</v>
      </c>
      <c r="AK43" s="741">
        <f t="shared" si="11"/>
        <v>0</v>
      </c>
      <c r="AL43" s="741">
        <f t="shared" si="11"/>
        <v>0</v>
      </c>
      <c r="AM43" s="440"/>
    </row>
    <row r="44" spans="1:39" s="243" customFormat="1" ht="14.25" customHeight="1">
      <c r="A44" s="717" t="s">
        <v>767</v>
      </c>
      <c r="B44" s="717"/>
      <c r="C44" s="718"/>
      <c r="D44" s="742">
        <f>资产负债!D17</f>
        <v>61.022313480000321</v>
      </c>
      <c r="E44" s="742">
        <f>资产负债!E17</f>
        <v>122.62370714999997</v>
      </c>
      <c r="F44" s="742">
        <f>资产负债!F17</f>
        <v>237.41562565000004</v>
      </c>
      <c r="G44" s="742">
        <f>资产负债!G17</f>
        <v>478.40061567999965</v>
      </c>
      <c r="H44" s="742">
        <f>资产负债!H17</f>
        <v>499.32768233000024</v>
      </c>
      <c r="I44" s="741">
        <f>IF(ISNUMBER((H44*5+G44*4+F44*3+E44*2+D44)/15),(H44*5+G44*4+F44*3+E44*2+D44)/15,0)</f>
        <v>361.91716527333335</v>
      </c>
      <c r="J44" s="741">
        <f>IF(ISNUMBER((I44*5+H44*4+G44*3+F44*2+E44)/15),(I44*5+H44*4+G44*3+F44*2+E44)/15,0)</f>
        <v>389.30355741177777</v>
      </c>
      <c r="K44" s="741">
        <f>IF(ISNUMBER((J44*5+I44*4+H44*3+G44*2+F44)/15),(J44*5+I44*4+H44*3+G44*2+F44)/15,0)</f>
        <v>405.7590901434815</v>
      </c>
      <c r="L44" s="741">
        <f>IF(ISNUMBER((K44*5+J44*4+I44*3+H44*2+G44)/15),(K44*5+J44*4+I44*3+H44*2+G44)/15,0)</f>
        <v>409.92114376830125</v>
      </c>
      <c r="M44" s="741">
        <f>IF(ISNUMBER((L44*5+K44*4+J44*3+I44*2+H44)/15),(L44*5+K44*4+J44*3+I44*2+H44)/15,0)</f>
        <v>404.24765096849552</v>
      </c>
      <c r="N44" s="741">
        <f>IF(ISNUMBER((M44*5+L44*4+K44*3+J44*2+I44)/15),(M44*5+L44*4+K44*3+J44*2+I44)/15,0)</f>
        <v>401.24829202953441</v>
      </c>
      <c r="O44" s="741">
        <f>IF(ISNUMBER((N44*5+M44*4+L44*3+K44*2+J44)/15),(N44*5+M44*4+L44*3+K44*2+J44)/15,0)</f>
        <v>403.5878155350199</v>
      </c>
      <c r="P44" s="741">
        <f>IF(ISNUMBER((O44*5+N44*4+M44*3+L44*2+K44)/15),(O44*5+N44*4+M44*3+L44*2+K44)/15,0)</f>
        <v>404.08510509192052</v>
      </c>
      <c r="Q44" s="741">
        <f>IF(ISNUMBER((P44*5+O44*4+N44*3+M44*2+L44)/15),(P44*5+O44*4+N44*3+M44*2+L44)/15,0)</f>
        <v>403.79587395957185</v>
      </c>
      <c r="R44" s="741">
        <f>IF(ISNUMBER((Q44*5+P44*4+O44*3+N44*2+M44)/15),(Q44*5+P44*4+O44*3+N44*2+M44)/15,0)</f>
        <v>403.52183145321101</v>
      </c>
      <c r="S44" s="741">
        <f>IF(ISNUMBER((R44*5+Q44*4+P44*3+O44*2+N44)/15),(R44*5+Q44*4+P44*3+O44*2+N44)/15,0)</f>
        <v>403.56479276531189</v>
      </c>
      <c r="T44" s="741">
        <f>IF(ISNUMBER((S44*5+R44*4+Q44*3+P44*2+O44)/15),(S44*5+R44*4+Q44*3+P44*2+O44)/15,0)</f>
        <v>403.67046248246533</v>
      </c>
      <c r="U44" s="741">
        <f>IF(ISNUMBER((T44*5+S44*4+R44*3+Q44*2+P44)/15),(T44*5+S44*4+R44*3+Q44*2+P44)/15,0)</f>
        <v>403.65692205628483</v>
      </c>
      <c r="V44" s="741">
        <f>IF(ISNUMBER((U44*5+T44*4+S44*3+R44*2+Q44)/15),(U44*5+T44*4+S44*3+R44*2+Q44)/15,0)</f>
        <v>403.63335835821437</v>
      </c>
      <c r="W44" s="741">
        <f>IF(ISNUMBER((V44*5+U44*4+T44*3+S44*2+R44)/15),(V44*5+U44*4+T44*3+S44*2+R44)/15,0)</f>
        <v>403.63048562982942</v>
      </c>
      <c r="X44" s="741">
        <f>IF(ISNUMBER((W44*5+V44*4+U44*3+T44*2+S44)/15),(W44*5+V44*4+U44*3+T44*2+S44)/15,0)</f>
        <v>403.63748969874007</v>
      </c>
      <c r="Y44" s="741">
        <f>IF(ISNUMBER((X44*5+W44*4+V44*3+U44*2+T44)/15),(X44*5+W44*4+V44*3+U44*2+T44)/15,0)</f>
        <v>403.63958484551301</v>
      </c>
      <c r="Z44" s="741">
        <f>IF(ISNUMBER((Y44*5+X44*4+W44*3+V44*2+U44)/15),(Y44*5+X44*4+W44*3+V44*2+U44)/15,0)</f>
        <v>403.63753191231518</v>
      </c>
      <c r="AA44" s="741">
        <f>IF(ISNUMBER((Z44*5+Y44*4+X44*3+W44*2+V44)/15),(Z44*5+Y44*4+X44*3+W44*2+V44)/15,0)</f>
        <v>403.63685317718142</v>
      </c>
      <c r="AB44" s="741">
        <f>IF(ISNUMBER((AA44*5+Z44*4+Y44*3+X44*2+W44)/15),(AA44*5+Z44*4+Y44*3+X44*2+W44)/15,0)</f>
        <v>403.63724087326773</v>
      </c>
      <c r="AC44" s="741">
        <f>IF(ISNUMBER((AB44*5+AA44*4+Z44*3+Y44*2+X44)/15),(AB44*5+AA44*4+Z44*3+Y44*2+X44)/15,0)</f>
        <v>403.63752481345171</v>
      </c>
      <c r="AD44" s="741">
        <f>IF(ISNUMBER((AC44*5+AB44*4+AA44*3+Z44*2+Y44)/15),(AC44*5+AB44*4+AA44*3+Z44*2+Y44)/15,0)</f>
        <v>403.63745305080118</v>
      </c>
      <c r="AE44" s="741">
        <f>IF(ISNUMBER((AD44*5+AC44*4+AB44*3+AA44*2+Z44)/15),(AD44*5+AC44*4+AB44*3+AA44*2+Z44)/15,0)</f>
        <v>403.63735502628629</v>
      </c>
      <c r="AF44" s="741">
        <f>IF(ISNUMBER((AE44*5+AD44*4+AC44*3+AB44*2+AA44)/15),(AE44*5+AD44*4+AC44*3+AB44*2+AA44)/15,0)</f>
        <v>403.63736644658053</v>
      </c>
      <c r="AG44" s="741">
        <f>IF(ISNUMBER((AF44*5+AE44*4+AD44*3+AC44*2+AB44)/15),(AF44*5+AE44*4+AD44*3+AC44*2+AB44)/15,0)</f>
        <v>403.63739346604149</v>
      </c>
      <c r="AH44" s="741">
        <f>IF(ISNUMBER((AG44*5+AF44*4+AE44*3+AD44*2+AC44)/15),(AG44*5+AF44*4+AE44*3+AD44*2+AC44)/15,0)</f>
        <v>403.63739527402947</v>
      </c>
      <c r="AI44" s="741">
        <f>IF(ISNUMBER((AH44*5+AG44*4+AF44*3+AE44*2+AD44)/15),(AH44*5+AG44*4+AF44*3+AE44*2+AD44)/15,0)</f>
        <v>403.63738751182859</v>
      </c>
      <c r="AJ44" s="741">
        <f>IF(ISNUMBER((AI44*5+AH44*4+AG44*3+AF44*2+AE44)/15),(AI44*5+AH44*4+AG44*3+AF44*2+AE44)/15,0)</f>
        <v>403.6373857981888</v>
      </c>
      <c r="AK44" s="741">
        <f>IF(ISNUMBER((AJ44*5+AI44*4+AH44*3+AG44*2+AF44)/15),(AJ44*5+AI44*4+AH44*3+AG44*2+AF44)/15,0)</f>
        <v>403.63738788260071</v>
      </c>
      <c r="AL44" s="741">
        <f>IF(ISNUMBER((AK44*5+AJ44*4+AI44*3+AH44*2+AG44)/15),(AK44*5+AJ44*4+AI44*3+AH44*2+AG44)/15,0)</f>
        <v>403.63738861035637</v>
      </c>
      <c r="AM44" s="440"/>
    </row>
    <row r="45" spans="1:39" s="243" customFormat="1" ht="15" customHeight="1">
      <c r="A45" s="744" t="s">
        <v>768</v>
      </c>
      <c r="B45" s="717"/>
      <c r="C45" s="718"/>
      <c r="D45" s="720"/>
      <c r="E45" s="742"/>
      <c r="F45" s="742"/>
      <c r="G45" s="742"/>
      <c r="H45" s="742"/>
      <c r="I45" s="742"/>
      <c r="J45" s="742"/>
      <c r="K45" s="742"/>
      <c r="L45" s="742"/>
      <c r="M45" s="742"/>
      <c r="N45" s="742"/>
      <c r="O45" s="742"/>
      <c r="P45" s="742"/>
      <c r="Q45" s="742"/>
      <c r="R45" s="742"/>
      <c r="S45" s="742"/>
      <c r="T45" s="742"/>
      <c r="U45" s="742"/>
      <c r="V45" s="742"/>
      <c r="W45" s="742"/>
      <c r="X45" s="742"/>
      <c r="Y45" s="742"/>
      <c r="Z45" s="742"/>
      <c r="AA45" s="742"/>
      <c r="AB45" s="742"/>
      <c r="AC45" s="742"/>
      <c r="AD45" s="742"/>
      <c r="AE45" s="742"/>
      <c r="AF45" s="742"/>
      <c r="AG45" s="742"/>
      <c r="AH45" s="742"/>
      <c r="AI45" s="742"/>
      <c r="AJ45" s="742"/>
      <c r="AK45" s="742"/>
      <c r="AL45" s="742"/>
      <c r="AM45" s="440"/>
    </row>
    <row r="46" spans="1:39" s="243" customFormat="1" ht="15" customHeight="1">
      <c r="A46" s="1106" t="s">
        <v>2813</v>
      </c>
      <c r="B46" s="717"/>
      <c r="C46" s="718"/>
      <c r="D46" s="720">
        <f>资产负债!D21</f>
        <v>0</v>
      </c>
      <c r="E46" s="720">
        <f>资产负债!E21</f>
        <v>0</v>
      </c>
      <c r="F46" s="720">
        <f>资产负债!F21</f>
        <v>0</v>
      </c>
      <c r="G46" s="720">
        <f>资产负债!G21</f>
        <v>147.13758333999999</v>
      </c>
      <c r="H46" s="720">
        <f>资产负债!H21</f>
        <v>139.52350000000001</v>
      </c>
      <c r="I46" s="741">
        <f>IF(ISNUMBER(AVERAGE(H46,G46,F46,E46)),AVERAGE(H46,G46,F46,E46),0)</f>
        <v>71.665270835000001</v>
      </c>
      <c r="J46" s="741">
        <f>IF(ISNUMBER(AVERAGE(I46,H46,G46,F46)),AVERAGE(I46,H46,G46,F46),0)</f>
        <v>89.581588543750001</v>
      </c>
      <c r="K46" s="741">
        <f>IF(ISNUMBER(AVERAGE(J46,I46,H46,G46)),AVERAGE(J46,I46,H46,G46),0)</f>
        <v>111.9769856796875</v>
      </c>
      <c r="L46" s="741">
        <f>IF(ISNUMBER(AVERAGE(K46,J46,I46,H46)),AVERAGE(K46,J46,I46,H46),0)</f>
        <v>103.18683626460938</v>
      </c>
      <c r="M46" s="741">
        <f>IF(ISNUMBER(AVERAGE(L46,K46,J46,I46)),AVERAGE(L46,K46,J46,I46),0)</f>
        <v>94.102670330761725</v>
      </c>
      <c r="N46" s="741">
        <f>IF(ISNUMBER(AVERAGE(M46,L46,K46,J46)),AVERAGE(M46,L46,K46,J46),0)</f>
        <v>99.712020204702156</v>
      </c>
      <c r="O46" s="741">
        <f>IF(ISNUMBER(AVERAGE(N46,M46,L46,K46)),AVERAGE(N46,M46,L46,K46),0)</f>
        <v>102.2446281199402</v>
      </c>
      <c r="P46" s="741">
        <f>IF(ISNUMBER(AVERAGE(O46,N46,M46,L46)),AVERAGE(O46,N46,M46,L46),0)</f>
        <v>99.811538730003363</v>
      </c>
      <c r="Q46" s="741">
        <f>IF(ISNUMBER(AVERAGE(P46,O46,N46,M46)),AVERAGE(P46,O46,N46,M46),0)</f>
        <v>98.967714346351869</v>
      </c>
      <c r="R46" s="741">
        <f>IF(ISNUMBER(AVERAGE(Q46,P46,O46,N46)),AVERAGE(Q46,P46,O46,N46),0)</f>
        <v>100.1839753502494</v>
      </c>
      <c r="S46" s="741">
        <f>IF(ISNUMBER(AVERAGE(R46,Q46,P46,O46)),AVERAGE(R46,Q46,P46,O46),0)</f>
        <v>100.30196413663622</v>
      </c>
      <c r="T46" s="741">
        <f>IF(ISNUMBER(AVERAGE(S46,R46,Q46,P46)),AVERAGE(S46,R46,Q46,P46),0)</f>
        <v>99.816298140810204</v>
      </c>
      <c r="U46" s="741">
        <f>IF(ISNUMBER(AVERAGE(T46,S46,R46,Q46)),AVERAGE(T46,S46,R46,Q46),0)</f>
        <v>99.817487993511918</v>
      </c>
      <c r="V46" s="741">
        <f>IF(ISNUMBER(AVERAGE(U46,T46,S46,R46)),AVERAGE(U46,T46,S46,R46),0)</f>
        <v>100.02993140530194</v>
      </c>
      <c r="W46" s="741">
        <f>IF(ISNUMBER(AVERAGE(V46,U46,T46,S46)),AVERAGE(V46,U46,T46,S46),0)</f>
        <v>99.991420419065065</v>
      </c>
      <c r="X46" s="741">
        <f>IF(ISNUMBER(AVERAGE(W46,V46,U46,T46)),AVERAGE(W46,V46,U46,T46),0)</f>
        <v>99.913784489672281</v>
      </c>
      <c r="Y46" s="741">
        <f>IF(ISNUMBER(AVERAGE(X46,W46,V46,U46)),AVERAGE(X46,W46,V46,U46),0)</f>
        <v>99.938156076887793</v>
      </c>
      <c r="Z46" s="741">
        <f>IF(ISNUMBER(AVERAGE(Y46,X46,W46,V46)),AVERAGE(Y46,X46,W46,V46),0)</f>
        <v>99.968323097731769</v>
      </c>
      <c r="AA46" s="741">
        <f>IF(ISNUMBER(AVERAGE(Z46,Y46,X46,W46)),AVERAGE(Z46,Y46,X46,W46),0)</f>
        <v>99.952921020839227</v>
      </c>
      <c r="AB46" s="741">
        <f>IF(ISNUMBER(AVERAGE(AA46,Z46,Y46,X46)),AVERAGE(AA46,Z46,Y46,X46),0)</f>
        <v>99.943296171282753</v>
      </c>
      <c r="AC46" s="741">
        <f>IF(ISNUMBER(AVERAGE(AB46,AA46,Z46,Y46)),AVERAGE(AB46,AA46,Z46,Y46),0)</f>
        <v>99.950674091685386</v>
      </c>
      <c r="AD46" s="741">
        <f>IF(ISNUMBER(AVERAGE(AC46,AB46,AA46,Z46)),AVERAGE(AC46,AB46,AA46,Z46),0)</f>
        <v>99.953803595384784</v>
      </c>
      <c r="AE46" s="741">
        <f>IF(ISNUMBER(AVERAGE(AD46,AC46,AB46,AA46)),AVERAGE(AD46,AC46,AB46,AA46),0)</f>
        <v>99.950173719798045</v>
      </c>
      <c r="AF46" s="741">
        <f>IF(ISNUMBER(AVERAGE(AE46,AD46,AC46,AB46)),AVERAGE(AE46,AD46,AC46,AB46),0)</f>
        <v>99.949486894537756</v>
      </c>
      <c r="AG46" s="741">
        <f>IF(ISNUMBER(AVERAGE(AF46,AE46,AD46,AC46)),AVERAGE(AF46,AE46,AD46,AC46),0)</f>
        <v>99.951034575351486</v>
      </c>
      <c r="AH46" s="741">
        <f>IF(ISNUMBER(AVERAGE(AG46,AF46,AE46,AD46)),AVERAGE(AG46,AF46,AE46,AD46),0)</f>
        <v>99.95112469626801</v>
      </c>
      <c r="AI46" s="741">
        <f>IF(ISNUMBER(AVERAGE(AH46,AG46,AF46,AE46)),AVERAGE(AH46,AG46,AF46,AE46),0)</f>
        <v>99.950454971488824</v>
      </c>
      <c r="AJ46" s="741">
        <f>IF(ISNUMBER(AVERAGE(AI46,AH46,AG46,AF46)),AVERAGE(AI46,AH46,AG46,AF46),0)</f>
        <v>99.950525284411512</v>
      </c>
      <c r="AK46" s="741">
        <f>IF(ISNUMBER(AVERAGE(AJ46,AI46,AH46,AG46)),AVERAGE(AJ46,AI46,AH46,AG46),0)</f>
        <v>99.950784881879969</v>
      </c>
      <c r="AL46" s="741">
        <f>IF(ISNUMBER(AVERAGE(AK46,AJ46,AI46,AH46)),AVERAGE(AK46,AJ46,AI46,AH46),0)</f>
        <v>99.950722458512075</v>
      </c>
      <c r="AM46" s="440"/>
    </row>
    <row r="47" spans="1:39" s="243" customFormat="1" ht="15" customHeight="1">
      <c r="A47" s="1106" t="s">
        <v>2814</v>
      </c>
      <c r="B47" s="717"/>
      <c r="C47" s="718"/>
      <c r="D47" s="720">
        <f>资产负债!D22</f>
        <v>0</v>
      </c>
      <c r="E47" s="720">
        <f>资产负债!E22</f>
        <v>0</v>
      </c>
      <c r="F47" s="720">
        <f>资产负债!F22</f>
        <v>0</v>
      </c>
      <c r="G47" s="720">
        <f>资产负债!G22</f>
        <v>0</v>
      </c>
      <c r="H47" s="720">
        <f>资产负债!H22</f>
        <v>0</v>
      </c>
      <c r="I47" s="741">
        <f t="shared" ref="I47:AL47" si="12">IF(ISNUMBER(H47),H47,0)</f>
        <v>0</v>
      </c>
      <c r="J47" s="741">
        <f t="shared" si="12"/>
        <v>0</v>
      </c>
      <c r="K47" s="741">
        <f t="shared" si="12"/>
        <v>0</v>
      </c>
      <c r="L47" s="741">
        <f t="shared" si="12"/>
        <v>0</v>
      </c>
      <c r="M47" s="741">
        <f t="shared" si="12"/>
        <v>0</v>
      </c>
      <c r="N47" s="741">
        <f t="shared" si="12"/>
        <v>0</v>
      </c>
      <c r="O47" s="741">
        <f t="shared" si="12"/>
        <v>0</v>
      </c>
      <c r="P47" s="741">
        <f t="shared" si="12"/>
        <v>0</v>
      </c>
      <c r="Q47" s="741">
        <f t="shared" si="12"/>
        <v>0</v>
      </c>
      <c r="R47" s="741">
        <f t="shared" si="12"/>
        <v>0</v>
      </c>
      <c r="S47" s="741">
        <f t="shared" si="12"/>
        <v>0</v>
      </c>
      <c r="T47" s="741">
        <f t="shared" si="12"/>
        <v>0</v>
      </c>
      <c r="U47" s="741">
        <f t="shared" si="12"/>
        <v>0</v>
      </c>
      <c r="V47" s="741">
        <f t="shared" si="12"/>
        <v>0</v>
      </c>
      <c r="W47" s="741">
        <f t="shared" si="12"/>
        <v>0</v>
      </c>
      <c r="X47" s="741">
        <f t="shared" si="12"/>
        <v>0</v>
      </c>
      <c r="Y47" s="741">
        <f t="shared" si="12"/>
        <v>0</v>
      </c>
      <c r="Z47" s="741">
        <f t="shared" si="12"/>
        <v>0</v>
      </c>
      <c r="AA47" s="741">
        <f t="shared" si="12"/>
        <v>0</v>
      </c>
      <c r="AB47" s="741">
        <f t="shared" si="12"/>
        <v>0</v>
      </c>
      <c r="AC47" s="741">
        <f t="shared" si="12"/>
        <v>0</v>
      </c>
      <c r="AD47" s="741">
        <f t="shared" si="12"/>
        <v>0</v>
      </c>
      <c r="AE47" s="741">
        <f t="shared" si="12"/>
        <v>0</v>
      </c>
      <c r="AF47" s="741">
        <f t="shared" si="12"/>
        <v>0</v>
      </c>
      <c r="AG47" s="741">
        <f t="shared" si="12"/>
        <v>0</v>
      </c>
      <c r="AH47" s="741">
        <f t="shared" si="12"/>
        <v>0</v>
      </c>
      <c r="AI47" s="741">
        <f t="shared" si="12"/>
        <v>0</v>
      </c>
      <c r="AJ47" s="741">
        <f t="shared" si="12"/>
        <v>0</v>
      </c>
      <c r="AK47" s="741">
        <f t="shared" si="12"/>
        <v>0</v>
      </c>
      <c r="AL47" s="741">
        <f t="shared" si="12"/>
        <v>0</v>
      </c>
      <c r="AM47" s="440"/>
    </row>
    <row r="48" spans="1:39" s="243" customFormat="1" ht="15" customHeight="1">
      <c r="A48" s="1173" t="s">
        <v>2837</v>
      </c>
      <c r="B48" s="1174" t="s">
        <v>2836</v>
      </c>
      <c r="C48" s="718"/>
      <c r="D48" s="720">
        <f>资产负债!D23</f>
        <v>0</v>
      </c>
      <c r="E48" s="720">
        <f>资产负债!E23</f>
        <v>0</v>
      </c>
      <c r="F48" s="720">
        <f>资产负债!F23</f>
        <v>0</v>
      </c>
      <c r="G48" s="720">
        <f>资产负债!G23</f>
        <v>0</v>
      </c>
      <c r="H48" s="720">
        <f>资产负债!H23</f>
        <v>0</v>
      </c>
      <c r="I48" s="741">
        <f t="shared" ref="I48:AL48" si="13">IF(ISNUMBER(H48),H48,0)</f>
        <v>0</v>
      </c>
      <c r="J48" s="741">
        <f t="shared" si="13"/>
        <v>0</v>
      </c>
      <c r="K48" s="741">
        <f t="shared" si="13"/>
        <v>0</v>
      </c>
      <c r="L48" s="741">
        <f t="shared" si="13"/>
        <v>0</v>
      </c>
      <c r="M48" s="741">
        <f t="shared" si="13"/>
        <v>0</v>
      </c>
      <c r="N48" s="741">
        <f t="shared" si="13"/>
        <v>0</v>
      </c>
      <c r="O48" s="741">
        <f t="shared" si="13"/>
        <v>0</v>
      </c>
      <c r="P48" s="741">
        <f t="shared" si="13"/>
        <v>0</v>
      </c>
      <c r="Q48" s="741">
        <f t="shared" si="13"/>
        <v>0</v>
      </c>
      <c r="R48" s="741">
        <f t="shared" si="13"/>
        <v>0</v>
      </c>
      <c r="S48" s="741">
        <f t="shared" si="13"/>
        <v>0</v>
      </c>
      <c r="T48" s="741">
        <f t="shared" si="13"/>
        <v>0</v>
      </c>
      <c r="U48" s="741">
        <f t="shared" si="13"/>
        <v>0</v>
      </c>
      <c r="V48" s="741">
        <f t="shared" si="13"/>
        <v>0</v>
      </c>
      <c r="W48" s="741">
        <f t="shared" si="13"/>
        <v>0</v>
      </c>
      <c r="X48" s="741">
        <f t="shared" si="13"/>
        <v>0</v>
      </c>
      <c r="Y48" s="741">
        <f t="shared" si="13"/>
        <v>0</v>
      </c>
      <c r="Z48" s="741">
        <f t="shared" si="13"/>
        <v>0</v>
      </c>
      <c r="AA48" s="741">
        <f t="shared" si="13"/>
        <v>0</v>
      </c>
      <c r="AB48" s="741">
        <f t="shared" si="13"/>
        <v>0</v>
      </c>
      <c r="AC48" s="741">
        <f t="shared" si="13"/>
        <v>0</v>
      </c>
      <c r="AD48" s="741">
        <f t="shared" si="13"/>
        <v>0</v>
      </c>
      <c r="AE48" s="741">
        <f t="shared" si="13"/>
        <v>0</v>
      </c>
      <c r="AF48" s="741">
        <f t="shared" si="13"/>
        <v>0</v>
      </c>
      <c r="AG48" s="741">
        <f t="shared" si="13"/>
        <v>0</v>
      </c>
      <c r="AH48" s="741">
        <f t="shared" si="13"/>
        <v>0</v>
      </c>
      <c r="AI48" s="741">
        <f t="shared" si="13"/>
        <v>0</v>
      </c>
      <c r="AJ48" s="741">
        <f t="shared" si="13"/>
        <v>0</v>
      </c>
      <c r="AK48" s="741">
        <f t="shared" si="13"/>
        <v>0</v>
      </c>
      <c r="AL48" s="741">
        <f t="shared" si="13"/>
        <v>0</v>
      </c>
      <c r="AM48" s="440"/>
    </row>
    <row r="49" spans="1:39" s="243" customFormat="1" ht="15" customHeight="1">
      <c r="A49" s="1106" t="s">
        <v>2790</v>
      </c>
      <c r="B49" s="717"/>
      <c r="C49" s="718"/>
      <c r="D49" s="720">
        <f>资产负债!D24</f>
        <v>89.58</v>
      </c>
      <c r="E49" s="720">
        <f>资产负债!E24</f>
        <v>18.115979129999999</v>
      </c>
      <c r="F49" s="720">
        <f>资产负债!F24</f>
        <v>32.205050219999997</v>
      </c>
      <c r="G49" s="720">
        <f>资产负债!G24</f>
        <v>19.609246120000002</v>
      </c>
      <c r="H49" s="720">
        <f>资产负债!H24</f>
        <v>0</v>
      </c>
      <c r="I49" s="741">
        <f t="shared" ref="I49:AL49" si="14">IF(ISNUMBER(H49),H49,0)</f>
        <v>0</v>
      </c>
      <c r="J49" s="741">
        <f t="shared" si="14"/>
        <v>0</v>
      </c>
      <c r="K49" s="741">
        <f t="shared" si="14"/>
        <v>0</v>
      </c>
      <c r="L49" s="741">
        <f t="shared" si="14"/>
        <v>0</v>
      </c>
      <c r="M49" s="741">
        <f t="shared" si="14"/>
        <v>0</v>
      </c>
      <c r="N49" s="741">
        <f t="shared" si="14"/>
        <v>0</v>
      </c>
      <c r="O49" s="741">
        <f t="shared" si="14"/>
        <v>0</v>
      </c>
      <c r="P49" s="741">
        <f t="shared" si="14"/>
        <v>0</v>
      </c>
      <c r="Q49" s="741">
        <f t="shared" si="14"/>
        <v>0</v>
      </c>
      <c r="R49" s="741">
        <f t="shared" si="14"/>
        <v>0</v>
      </c>
      <c r="S49" s="741">
        <f t="shared" si="14"/>
        <v>0</v>
      </c>
      <c r="T49" s="741">
        <f t="shared" si="14"/>
        <v>0</v>
      </c>
      <c r="U49" s="741">
        <f t="shared" si="14"/>
        <v>0</v>
      </c>
      <c r="V49" s="741">
        <f t="shared" si="14"/>
        <v>0</v>
      </c>
      <c r="W49" s="741">
        <f t="shared" si="14"/>
        <v>0</v>
      </c>
      <c r="X49" s="741">
        <f t="shared" si="14"/>
        <v>0</v>
      </c>
      <c r="Y49" s="741">
        <f t="shared" si="14"/>
        <v>0</v>
      </c>
      <c r="Z49" s="741">
        <f t="shared" si="14"/>
        <v>0</v>
      </c>
      <c r="AA49" s="741">
        <f t="shared" si="14"/>
        <v>0</v>
      </c>
      <c r="AB49" s="741">
        <f t="shared" si="14"/>
        <v>0</v>
      </c>
      <c r="AC49" s="741">
        <f t="shared" si="14"/>
        <v>0</v>
      </c>
      <c r="AD49" s="741">
        <f t="shared" si="14"/>
        <v>0</v>
      </c>
      <c r="AE49" s="741">
        <f t="shared" si="14"/>
        <v>0</v>
      </c>
      <c r="AF49" s="741">
        <f t="shared" si="14"/>
        <v>0</v>
      </c>
      <c r="AG49" s="741">
        <f t="shared" si="14"/>
        <v>0</v>
      </c>
      <c r="AH49" s="741">
        <f t="shared" si="14"/>
        <v>0</v>
      </c>
      <c r="AI49" s="741">
        <f t="shared" si="14"/>
        <v>0</v>
      </c>
      <c r="AJ49" s="741">
        <f t="shared" si="14"/>
        <v>0</v>
      </c>
      <c r="AK49" s="741">
        <f t="shared" si="14"/>
        <v>0</v>
      </c>
      <c r="AL49" s="741">
        <f t="shared" si="14"/>
        <v>0</v>
      </c>
      <c r="AM49" s="440"/>
    </row>
    <row r="50" spans="1:39" s="243" customFormat="1" ht="15" customHeight="1">
      <c r="A50" s="717" t="s">
        <v>769</v>
      </c>
      <c r="B50" s="717"/>
      <c r="C50" s="718"/>
      <c r="D50" s="720">
        <f>资产负债!D25</f>
        <v>0</v>
      </c>
      <c r="E50" s="720">
        <f>资产负债!E25</f>
        <v>0</v>
      </c>
      <c r="F50" s="720">
        <f>资产负债!F25</f>
        <v>0</v>
      </c>
      <c r="G50" s="720">
        <f>资产负债!G25</f>
        <v>0</v>
      </c>
      <c r="H50" s="720">
        <f>资产负债!H25</f>
        <v>0</v>
      </c>
      <c r="I50" s="741">
        <f t="shared" ref="I50:AL50" si="15">IF(ISNUMBER(H50),H50,0)</f>
        <v>0</v>
      </c>
      <c r="J50" s="741">
        <f t="shared" si="15"/>
        <v>0</v>
      </c>
      <c r="K50" s="741">
        <f t="shared" si="15"/>
        <v>0</v>
      </c>
      <c r="L50" s="741">
        <f t="shared" si="15"/>
        <v>0</v>
      </c>
      <c r="M50" s="741">
        <f t="shared" si="15"/>
        <v>0</v>
      </c>
      <c r="N50" s="741">
        <f t="shared" si="15"/>
        <v>0</v>
      </c>
      <c r="O50" s="741">
        <f t="shared" si="15"/>
        <v>0</v>
      </c>
      <c r="P50" s="741">
        <f t="shared" si="15"/>
        <v>0</v>
      </c>
      <c r="Q50" s="741">
        <f t="shared" si="15"/>
        <v>0</v>
      </c>
      <c r="R50" s="741">
        <f t="shared" si="15"/>
        <v>0</v>
      </c>
      <c r="S50" s="741">
        <f t="shared" si="15"/>
        <v>0</v>
      </c>
      <c r="T50" s="741">
        <f t="shared" si="15"/>
        <v>0</v>
      </c>
      <c r="U50" s="741">
        <f t="shared" si="15"/>
        <v>0</v>
      </c>
      <c r="V50" s="741">
        <f t="shared" si="15"/>
        <v>0</v>
      </c>
      <c r="W50" s="741">
        <f t="shared" si="15"/>
        <v>0</v>
      </c>
      <c r="X50" s="741">
        <f t="shared" si="15"/>
        <v>0</v>
      </c>
      <c r="Y50" s="741">
        <f t="shared" si="15"/>
        <v>0</v>
      </c>
      <c r="Z50" s="741">
        <f t="shared" si="15"/>
        <v>0</v>
      </c>
      <c r="AA50" s="741">
        <f t="shared" si="15"/>
        <v>0</v>
      </c>
      <c r="AB50" s="741">
        <f t="shared" si="15"/>
        <v>0</v>
      </c>
      <c r="AC50" s="741">
        <f t="shared" si="15"/>
        <v>0</v>
      </c>
      <c r="AD50" s="741">
        <f t="shared" si="15"/>
        <v>0</v>
      </c>
      <c r="AE50" s="741">
        <f t="shared" si="15"/>
        <v>0</v>
      </c>
      <c r="AF50" s="741">
        <f t="shared" si="15"/>
        <v>0</v>
      </c>
      <c r="AG50" s="741">
        <f t="shared" si="15"/>
        <v>0</v>
      </c>
      <c r="AH50" s="741">
        <f t="shared" si="15"/>
        <v>0</v>
      </c>
      <c r="AI50" s="741">
        <f t="shared" si="15"/>
        <v>0</v>
      </c>
      <c r="AJ50" s="741">
        <f t="shared" si="15"/>
        <v>0</v>
      </c>
      <c r="AK50" s="741">
        <f t="shared" si="15"/>
        <v>0</v>
      </c>
      <c r="AL50" s="741">
        <f t="shared" si="15"/>
        <v>0</v>
      </c>
      <c r="AM50" s="440"/>
    </row>
    <row r="51" spans="1:39" s="243" customFormat="1" ht="15" customHeight="1">
      <c r="A51" s="1172" t="s">
        <v>2815</v>
      </c>
      <c r="B51" s="717"/>
      <c r="C51" s="718"/>
      <c r="D51" s="720">
        <f>资产负债!D26</f>
        <v>0</v>
      </c>
      <c r="E51" s="720">
        <f>资产负债!E26</f>
        <v>0</v>
      </c>
      <c r="F51" s="720">
        <f>资产负债!F26</f>
        <v>0</v>
      </c>
      <c r="G51" s="720">
        <f>资产负债!G26</f>
        <v>0</v>
      </c>
      <c r="H51" s="720">
        <f>资产负债!H26</f>
        <v>0</v>
      </c>
      <c r="I51" s="741">
        <f t="shared" ref="I51:AL51" si="16">IF(ISNUMBER(H51),H51,0)</f>
        <v>0</v>
      </c>
      <c r="J51" s="741">
        <f t="shared" si="16"/>
        <v>0</v>
      </c>
      <c r="K51" s="741">
        <f t="shared" si="16"/>
        <v>0</v>
      </c>
      <c r="L51" s="741">
        <f t="shared" si="16"/>
        <v>0</v>
      </c>
      <c r="M51" s="741">
        <f t="shared" si="16"/>
        <v>0</v>
      </c>
      <c r="N51" s="741">
        <f t="shared" si="16"/>
        <v>0</v>
      </c>
      <c r="O51" s="741">
        <f t="shared" si="16"/>
        <v>0</v>
      </c>
      <c r="P51" s="741">
        <f t="shared" si="16"/>
        <v>0</v>
      </c>
      <c r="Q51" s="741">
        <f t="shared" si="16"/>
        <v>0</v>
      </c>
      <c r="R51" s="741">
        <f t="shared" si="16"/>
        <v>0</v>
      </c>
      <c r="S51" s="741">
        <f t="shared" si="16"/>
        <v>0</v>
      </c>
      <c r="T51" s="741">
        <f t="shared" si="16"/>
        <v>0</v>
      </c>
      <c r="U51" s="741">
        <f t="shared" si="16"/>
        <v>0</v>
      </c>
      <c r="V51" s="741">
        <f t="shared" si="16"/>
        <v>0</v>
      </c>
      <c r="W51" s="741">
        <f t="shared" si="16"/>
        <v>0</v>
      </c>
      <c r="X51" s="741">
        <f t="shared" si="16"/>
        <v>0</v>
      </c>
      <c r="Y51" s="741">
        <f t="shared" si="16"/>
        <v>0</v>
      </c>
      <c r="Z51" s="741">
        <f t="shared" si="16"/>
        <v>0</v>
      </c>
      <c r="AA51" s="741">
        <f t="shared" si="16"/>
        <v>0</v>
      </c>
      <c r="AB51" s="741">
        <f t="shared" si="16"/>
        <v>0</v>
      </c>
      <c r="AC51" s="741">
        <f t="shared" si="16"/>
        <v>0</v>
      </c>
      <c r="AD51" s="741">
        <f t="shared" si="16"/>
        <v>0</v>
      </c>
      <c r="AE51" s="741">
        <f t="shared" si="16"/>
        <v>0</v>
      </c>
      <c r="AF51" s="741">
        <f t="shared" si="16"/>
        <v>0</v>
      </c>
      <c r="AG51" s="741">
        <f t="shared" si="16"/>
        <v>0</v>
      </c>
      <c r="AH51" s="741">
        <f t="shared" si="16"/>
        <v>0</v>
      </c>
      <c r="AI51" s="741">
        <f t="shared" si="16"/>
        <v>0</v>
      </c>
      <c r="AJ51" s="741">
        <f t="shared" si="16"/>
        <v>0</v>
      </c>
      <c r="AK51" s="741">
        <f t="shared" si="16"/>
        <v>0</v>
      </c>
      <c r="AL51" s="741">
        <f t="shared" si="16"/>
        <v>0</v>
      </c>
      <c r="AM51" s="440"/>
    </row>
    <row r="52" spans="1:39" s="243" customFormat="1" ht="15" customHeight="1">
      <c r="A52" s="1106" t="s">
        <v>2516</v>
      </c>
      <c r="B52" s="717"/>
      <c r="C52" s="718"/>
      <c r="D52" s="720">
        <f>资产负债!D27</f>
        <v>0</v>
      </c>
      <c r="E52" s="720">
        <f>资产负债!E27</f>
        <v>0</v>
      </c>
      <c r="F52" s="720">
        <f>资产负债!F27</f>
        <v>0</v>
      </c>
      <c r="G52" s="720">
        <f>资产负债!G27</f>
        <v>0</v>
      </c>
      <c r="H52" s="720">
        <f>资产负债!H27</f>
        <v>101.52110451</v>
      </c>
      <c r="I52" s="741">
        <f>IF(ISNUMBER(AVERAGE(H52,G52,F52,E52)),AVERAGE(H52,G52,F52,E52),0)</f>
        <v>25.3802761275</v>
      </c>
      <c r="J52" s="741">
        <f>IF(ISNUMBER(AVERAGE(I52,H52,G52,F52)),AVERAGE(I52,H52,G52,F52),0)</f>
        <v>31.725345159374999</v>
      </c>
      <c r="K52" s="741">
        <f>IF(ISNUMBER(AVERAGE(J52,I52,H52,G52)),AVERAGE(J52,I52,H52,G52),0)</f>
        <v>39.656681449218752</v>
      </c>
      <c r="L52" s="741">
        <f>IF(ISNUMBER(AVERAGE(K52,J52,I52,H52)),AVERAGE(K52,J52,I52,H52),0)</f>
        <v>49.57085181152344</v>
      </c>
      <c r="M52" s="741">
        <f>IF(ISNUMBER(AVERAGE(L52,K52,J52,I52)),AVERAGE(L52,K52,J52,I52),0)</f>
        <v>36.5832886369043</v>
      </c>
      <c r="N52" s="741">
        <f>IF(ISNUMBER(AVERAGE(M52,L52,K52,J52)),AVERAGE(M52,L52,K52,J52),0)</f>
        <v>39.384041764255372</v>
      </c>
      <c r="O52" s="741">
        <f>IF(ISNUMBER(AVERAGE(N52,M52,L52,K52)),AVERAGE(N52,M52,L52,K52),0)</f>
        <v>41.298715915475469</v>
      </c>
      <c r="P52" s="741">
        <f>IF(ISNUMBER(AVERAGE(O52,N52,M52,L52)),AVERAGE(O52,N52,M52,L52),0)</f>
        <v>41.709224532039642</v>
      </c>
      <c r="Q52" s="741">
        <f>IF(ISNUMBER(AVERAGE(P52,O52,N52,M52)),AVERAGE(P52,O52,N52,M52),0)</f>
        <v>39.743817712168692</v>
      </c>
      <c r="R52" s="741">
        <f>IF(ISNUMBER(AVERAGE(Q52,P52,O52,N52)),AVERAGE(Q52,P52,O52,N52),0)</f>
        <v>40.533949980984794</v>
      </c>
      <c r="S52" s="741">
        <f>IF(ISNUMBER(AVERAGE(R52,Q52,P52,O52)),AVERAGE(R52,Q52,P52,O52),0)</f>
        <v>40.821427035167147</v>
      </c>
      <c r="T52" s="741">
        <f>IF(ISNUMBER(AVERAGE(S52,R52,Q52,P52)),AVERAGE(S52,R52,Q52,P52),0)</f>
        <v>40.702104815090067</v>
      </c>
      <c r="U52" s="741">
        <f>IF(ISNUMBER(AVERAGE(T52,S52,R52,Q52)),AVERAGE(T52,S52,R52,Q52),0)</f>
        <v>40.450324885852673</v>
      </c>
      <c r="V52" s="741">
        <f>IF(ISNUMBER(AVERAGE(U52,T52,S52,R52)),AVERAGE(U52,T52,S52,R52),0)</f>
        <v>40.626951679273674</v>
      </c>
      <c r="W52" s="741">
        <f>IF(ISNUMBER(AVERAGE(V52,U52,T52,S52)),AVERAGE(V52,U52,T52,S52),0)</f>
        <v>40.650202103845885</v>
      </c>
      <c r="X52" s="741">
        <f>IF(ISNUMBER(AVERAGE(W52,V52,U52,T52)),AVERAGE(W52,V52,U52,T52),0)</f>
        <v>40.607395871015569</v>
      </c>
      <c r="Y52" s="741">
        <f>IF(ISNUMBER(AVERAGE(X52,W52,V52,U52)),AVERAGE(X52,W52,V52,U52),0)</f>
        <v>40.583718634996949</v>
      </c>
      <c r="Z52" s="741">
        <f>IF(ISNUMBER(AVERAGE(Y52,X52,W52,V52)),AVERAGE(Y52,X52,W52,V52),0)</f>
        <v>40.617067072283021</v>
      </c>
      <c r="AA52" s="741">
        <f>IF(ISNUMBER(AVERAGE(Z52,Y52,X52,W52)),AVERAGE(Z52,Y52,X52,W52),0)</f>
        <v>40.614595920535358</v>
      </c>
      <c r="AB52" s="741">
        <f>IF(ISNUMBER(AVERAGE(AA52,Z52,Y52,X52)),AVERAGE(AA52,Z52,Y52,X52),0)</f>
        <v>40.605694374707724</v>
      </c>
      <c r="AC52" s="741">
        <f>IF(ISNUMBER(AVERAGE(AB52,AA52,Z52,Y52)),AVERAGE(AB52,AA52,Z52,Y52),0)</f>
        <v>40.605269000630763</v>
      </c>
      <c r="AD52" s="741">
        <f>IF(ISNUMBER(AVERAGE(AC52,AB52,AA52,Z52)),AVERAGE(AC52,AB52,AA52,Z52),0)</f>
        <v>40.610656592039213</v>
      </c>
      <c r="AE52" s="741">
        <f>IF(ISNUMBER(AVERAGE(AD52,AC52,AB52,AA52)),AVERAGE(AD52,AC52,AB52,AA52),0)</f>
        <v>40.609053971978263</v>
      </c>
      <c r="AF52" s="741">
        <f>IF(ISNUMBER(AVERAGE(AE52,AD52,AC52,AB52)),AVERAGE(AE52,AD52,AC52,AB52),0)</f>
        <v>40.607668484838989</v>
      </c>
      <c r="AG52" s="741">
        <f>IF(ISNUMBER(AVERAGE(AF52,AE52,AD52,AC52)),AVERAGE(AF52,AE52,AD52,AC52),0)</f>
        <v>40.608162012371807</v>
      </c>
      <c r="AH52" s="741">
        <f>IF(ISNUMBER(AVERAGE(AG52,AF52,AE52,AD52)),AVERAGE(AG52,AF52,AE52,AD52),0)</f>
        <v>40.608885265307066</v>
      </c>
      <c r="AI52" s="741">
        <f>IF(ISNUMBER(AVERAGE(AH52,AG52,AF52,AE52)),AVERAGE(AH52,AG52,AF52,AE52),0)</f>
        <v>40.608442433624028</v>
      </c>
      <c r="AJ52" s="741">
        <f>IF(ISNUMBER(AVERAGE(AI52,AH52,AG52,AF52)),AVERAGE(AI52,AH52,AG52,AF52),0)</f>
        <v>40.608289549035469</v>
      </c>
      <c r="AK52" s="741">
        <f>IF(ISNUMBER(AVERAGE(AJ52,AI52,AH52,AG52)),AVERAGE(AJ52,AI52,AH52,AG52),0)</f>
        <v>40.608444815084596</v>
      </c>
      <c r="AL52" s="741">
        <f>IF(ISNUMBER(AVERAGE(AK52,AJ52,AI52,AH52)),AVERAGE(AK52,AJ52,AI52,AH52),0)</f>
        <v>40.60851551576279</v>
      </c>
      <c r="AM52" s="440"/>
    </row>
    <row r="53" spans="1:39" s="243" customFormat="1" ht="15" customHeight="1">
      <c r="A53" s="788" t="s">
        <v>1595</v>
      </c>
      <c r="B53" s="717"/>
      <c r="C53" s="718"/>
      <c r="D53" s="720">
        <f>年度数据!D68-年度数据!C68</f>
        <v>0</v>
      </c>
      <c r="E53" s="720">
        <f>年度数据!E68-年度数据!D68</f>
        <v>0</v>
      </c>
      <c r="F53" s="720">
        <f>年度数据!F68-年度数据!E68</f>
        <v>0</v>
      </c>
      <c r="G53" s="720">
        <f>年度数据!G68-年度数据!F68</f>
        <v>24.483474050000002</v>
      </c>
      <c r="H53" s="720">
        <f>年度数据!H68-年度数据!G68</f>
        <v>8.4781371299999968</v>
      </c>
      <c r="I53" s="741">
        <f t="shared" ref="I53:AL53" si="17">IF(ISNUMBER(H53),H53,0)</f>
        <v>8.4781371299999968</v>
      </c>
      <c r="J53" s="741">
        <f t="shared" si="17"/>
        <v>8.4781371299999968</v>
      </c>
      <c r="K53" s="741">
        <f t="shared" si="17"/>
        <v>8.4781371299999968</v>
      </c>
      <c r="L53" s="741">
        <f t="shared" si="17"/>
        <v>8.4781371299999968</v>
      </c>
      <c r="M53" s="741">
        <f t="shared" si="17"/>
        <v>8.4781371299999968</v>
      </c>
      <c r="N53" s="741">
        <f t="shared" si="17"/>
        <v>8.4781371299999968</v>
      </c>
      <c r="O53" s="741">
        <f t="shared" si="17"/>
        <v>8.4781371299999968</v>
      </c>
      <c r="P53" s="741">
        <f t="shared" si="17"/>
        <v>8.4781371299999968</v>
      </c>
      <c r="Q53" s="741">
        <f t="shared" si="17"/>
        <v>8.4781371299999968</v>
      </c>
      <c r="R53" s="741">
        <f t="shared" si="17"/>
        <v>8.4781371299999968</v>
      </c>
      <c r="S53" s="741">
        <f t="shared" si="17"/>
        <v>8.4781371299999968</v>
      </c>
      <c r="T53" s="741">
        <f t="shared" si="17"/>
        <v>8.4781371299999968</v>
      </c>
      <c r="U53" s="741">
        <f t="shared" si="17"/>
        <v>8.4781371299999968</v>
      </c>
      <c r="V53" s="741">
        <f t="shared" si="17"/>
        <v>8.4781371299999968</v>
      </c>
      <c r="W53" s="741">
        <f t="shared" si="17"/>
        <v>8.4781371299999968</v>
      </c>
      <c r="X53" s="741">
        <f t="shared" si="17"/>
        <v>8.4781371299999968</v>
      </c>
      <c r="Y53" s="741">
        <f t="shared" si="17"/>
        <v>8.4781371299999968</v>
      </c>
      <c r="Z53" s="741">
        <f t="shared" si="17"/>
        <v>8.4781371299999968</v>
      </c>
      <c r="AA53" s="741">
        <f t="shared" si="17"/>
        <v>8.4781371299999968</v>
      </c>
      <c r="AB53" s="741">
        <f t="shared" si="17"/>
        <v>8.4781371299999968</v>
      </c>
      <c r="AC53" s="741">
        <f t="shared" si="17"/>
        <v>8.4781371299999968</v>
      </c>
      <c r="AD53" s="741">
        <f t="shared" si="17"/>
        <v>8.4781371299999968</v>
      </c>
      <c r="AE53" s="741">
        <f t="shared" si="17"/>
        <v>8.4781371299999968</v>
      </c>
      <c r="AF53" s="741">
        <f t="shared" si="17"/>
        <v>8.4781371299999968</v>
      </c>
      <c r="AG53" s="741">
        <f t="shared" si="17"/>
        <v>8.4781371299999968</v>
      </c>
      <c r="AH53" s="741">
        <f t="shared" si="17"/>
        <v>8.4781371299999968</v>
      </c>
      <c r="AI53" s="741">
        <f t="shared" si="17"/>
        <v>8.4781371299999968</v>
      </c>
      <c r="AJ53" s="741">
        <f t="shared" si="17"/>
        <v>8.4781371299999968</v>
      </c>
      <c r="AK53" s="741">
        <f t="shared" si="17"/>
        <v>8.4781371299999968</v>
      </c>
      <c r="AL53" s="741">
        <f t="shared" si="17"/>
        <v>8.4781371299999968</v>
      </c>
      <c r="AM53" s="440"/>
    </row>
    <row r="54" spans="1:39" s="243" customFormat="1" ht="15" customHeight="1">
      <c r="A54" s="717" t="s">
        <v>770</v>
      </c>
      <c r="B54" s="717"/>
      <c r="C54" s="718"/>
      <c r="D54" s="720">
        <f>资产负债!D28</f>
        <v>0</v>
      </c>
      <c r="E54" s="720">
        <f>资产负债!E28</f>
        <v>0</v>
      </c>
      <c r="F54" s="720">
        <f>资产负债!F28</f>
        <v>0</v>
      </c>
      <c r="G54" s="720">
        <f>资产负债!G28</f>
        <v>0</v>
      </c>
      <c r="H54" s="720">
        <f>资产负债!H28</f>
        <v>0</v>
      </c>
      <c r="I54" s="741">
        <f t="shared" ref="I54:AL54" si="18">IF(ISNUMBER(H54),H54,0)</f>
        <v>0</v>
      </c>
      <c r="J54" s="741">
        <f t="shared" si="18"/>
        <v>0</v>
      </c>
      <c r="K54" s="741">
        <f t="shared" si="18"/>
        <v>0</v>
      </c>
      <c r="L54" s="741">
        <f t="shared" si="18"/>
        <v>0</v>
      </c>
      <c r="M54" s="741">
        <f t="shared" si="18"/>
        <v>0</v>
      </c>
      <c r="N54" s="741">
        <f t="shared" si="18"/>
        <v>0</v>
      </c>
      <c r="O54" s="741">
        <f t="shared" si="18"/>
        <v>0</v>
      </c>
      <c r="P54" s="741">
        <f t="shared" si="18"/>
        <v>0</v>
      </c>
      <c r="Q54" s="741">
        <f t="shared" si="18"/>
        <v>0</v>
      </c>
      <c r="R54" s="741">
        <f t="shared" si="18"/>
        <v>0</v>
      </c>
      <c r="S54" s="741">
        <f t="shared" si="18"/>
        <v>0</v>
      </c>
      <c r="T54" s="741">
        <f t="shared" si="18"/>
        <v>0</v>
      </c>
      <c r="U54" s="741">
        <f t="shared" si="18"/>
        <v>0</v>
      </c>
      <c r="V54" s="741">
        <f t="shared" si="18"/>
        <v>0</v>
      </c>
      <c r="W54" s="741">
        <f t="shared" si="18"/>
        <v>0</v>
      </c>
      <c r="X54" s="741">
        <f t="shared" si="18"/>
        <v>0</v>
      </c>
      <c r="Y54" s="741">
        <f t="shared" si="18"/>
        <v>0</v>
      </c>
      <c r="Z54" s="741">
        <f t="shared" si="18"/>
        <v>0</v>
      </c>
      <c r="AA54" s="741">
        <f t="shared" si="18"/>
        <v>0</v>
      </c>
      <c r="AB54" s="741">
        <f t="shared" si="18"/>
        <v>0</v>
      </c>
      <c r="AC54" s="741">
        <f t="shared" si="18"/>
        <v>0</v>
      </c>
      <c r="AD54" s="741">
        <f t="shared" si="18"/>
        <v>0</v>
      </c>
      <c r="AE54" s="741">
        <f t="shared" si="18"/>
        <v>0</v>
      </c>
      <c r="AF54" s="741">
        <f t="shared" si="18"/>
        <v>0</v>
      </c>
      <c r="AG54" s="741">
        <f t="shared" si="18"/>
        <v>0</v>
      </c>
      <c r="AH54" s="741">
        <f t="shared" si="18"/>
        <v>0</v>
      </c>
      <c r="AI54" s="741">
        <f t="shared" si="18"/>
        <v>0</v>
      </c>
      <c r="AJ54" s="741">
        <f t="shared" si="18"/>
        <v>0</v>
      </c>
      <c r="AK54" s="741">
        <f t="shared" si="18"/>
        <v>0</v>
      </c>
      <c r="AL54" s="741">
        <f t="shared" si="18"/>
        <v>0</v>
      </c>
      <c r="AM54" s="440"/>
    </row>
    <row r="55" spans="1:39" s="243" customFormat="1" ht="15" customHeight="1">
      <c r="A55" s="717" t="s">
        <v>771</v>
      </c>
      <c r="B55" s="717"/>
      <c r="C55" s="718"/>
      <c r="D55" s="720">
        <f>资产负债!D35</f>
        <v>0</v>
      </c>
      <c r="E55" s="720">
        <f>资产负债!E35</f>
        <v>0</v>
      </c>
      <c r="F55" s="720">
        <f>资产负债!F35</f>
        <v>0</v>
      </c>
      <c r="G55" s="720">
        <f>资产负债!G35</f>
        <v>0</v>
      </c>
      <c r="H55" s="720">
        <f>资产负债!H35</f>
        <v>101.09582881</v>
      </c>
      <c r="I55" s="741">
        <v>72.88</v>
      </c>
      <c r="J55" s="741">
        <f>IF(ISNUMBER(AVERAGE(I55,H55)),AVERAGE(I55,H55),0)</f>
        <v>86.987914404999998</v>
      </c>
      <c r="K55" s="741">
        <f>IF(ISNUMBER(AVERAGE(J55,I55)),AVERAGE(J55,I55),0)</f>
        <v>79.933957202499997</v>
      </c>
      <c r="L55" s="741">
        <f>IF(ISNUMBER(AVERAGE(K55,J55)),AVERAGE(K55,J55),0)</f>
        <v>83.460935803750004</v>
      </c>
      <c r="M55" s="741">
        <f>IF(ISNUMBER(AVERAGE(L55,K55)),AVERAGE(L55,K55),0)</f>
        <v>81.697446503125008</v>
      </c>
      <c r="N55" s="741">
        <f>IF(ISNUMBER(AVERAGE(M55,L55)),AVERAGE(M55,L55),0)</f>
        <v>82.579191153437506</v>
      </c>
      <c r="O55" s="741">
        <f>IF(ISNUMBER(AVERAGE(N55,M55)),AVERAGE(N55,M55),0)</f>
        <v>82.138318828281257</v>
      </c>
      <c r="P55" s="741">
        <f>IF(ISNUMBER(AVERAGE(O55,N55)),AVERAGE(O55,N55),0)</f>
        <v>82.358754990859381</v>
      </c>
      <c r="Q55" s="741">
        <f>IF(ISNUMBER(AVERAGE(P55,O55)),AVERAGE(P55,O55),0)</f>
        <v>82.248536909570319</v>
      </c>
      <c r="R55" s="741">
        <f>IF(ISNUMBER(AVERAGE(Q55,P55)),AVERAGE(Q55,P55),0)</f>
        <v>82.303645950214843</v>
      </c>
      <c r="S55" s="741">
        <f>IF(ISNUMBER(AVERAGE(R55,Q55)),AVERAGE(R55,Q55),0)</f>
        <v>82.276091429892574</v>
      </c>
      <c r="T55" s="741">
        <f>IF(ISNUMBER(AVERAGE(S55,R55)),AVERAGE(S55,R55),0)</f>
        <v>82.289868690053709</v>
      </c>
      <c r="U55" s="741">
        <f>IF(ISNUMBER(AVERAGE(T55,S55)),AVERAGE(T55,S55),0)</f>
        <v>82.282980059973141</v>
      </c>
      <c r="V55" s="741">
        <f>IF(ISNUMBER(AVERAGE(U55,T55)),AVERAGE(U55,T55),0)</f>
        <v>82.286424375013425</v>
      </c>
      <c r="W55" s="741">
        <f>IF(ISNUMBER(AVERAGE(V55,U55)),AVERAGE(V55,U55),0)</f>
        <v>82.284702217493276</v>
      </c>
      <c r="X55" s="741">
        <f>IF(ISNUMBER(AVERAGE(W55,V55)),AVERAGE(W55,V55),0)</f>
        <v>82.285563296253343</v>
      </c>
      <c r="Y55" s="741">
        <f>IF(ISNUMBER(AVERAGE(X55,W55)),AVERAGE(X55,W55),0)</f>
        <v>82.28513275687331</v>
      </c>
      <c r="Z55" s="741">
        <f>IF(ISNUMBER(AVERAGE(Y55,X55)),AVERAGE(Y55,X55),0)</f>
        <v>82.285348026563327</v>
      </c>
      <c r="AA55" s="741">
        <f>IF(ISNUMBER(AVERAGE(Z55,Y55)),AVERAGE(Z55,Y55),0)</f>
        <v>82.285240391718318</v>
      </c>
      <c r="AB55" s="741">
        <f>IF(ISNUMBER(AVERAGE(AA55,Z55)),AVERAGE(AA55,Z55),0)</f>
        <v>82.285294209140829</v>
      </c>
      <c r="AC55" s="741">
        <f>IF(ISNUMBER(AVERAGE(AB55,AA55)),AVERAGE(AB55,AA55),0)</f>
        <v>82.285267300429581</v>
      </c>
      <c r="AD55" s="741">
        <f>IF(ISNUMBER(AVERAGE(AC55,AB55)),AVERAGE(AC55,AB55),0)</f>
        <v>82.285280754785205</v>
      </c>
      <c r="AE55" s="741">
        <f>IF(ISNUMBER(AVERAGE(AD55,AC55)),AVERAGE(AD55,AC55),0)</f>
        <v>82.285274027607386</v>
      </c>
      <c r="AF55" s="741">
        <f>IF(ISNUMBER(AVERAGE(AE55,AD55)),AVERAGE(AE55,AD55),0)</f>
        <v>82.285277391196303</v>
      </c>
      <c r="AG55" s="741">
        <f>IF(ISNUMBER(AVERAGE(AF55,AE55)),AVERAGE(AF55,AE55),0)</f>
        <v>82.285275709401844</v>
      </c>
      <c r="AH55" s="741">
        <f>IF(ISNUMBER(AVERAGE(AG55,AF55)),AVERAGE(AG55,AF55),0)</f>
        <v>82.285276550299074</v>
      </c>
      <c r="AI55" s="741">
        <f>IF(ISNUMBER(AVERAGE(AH55,AG55)),AVERAGE(AH55,AG55),0)</f>
        <v>82.285276129850459</v>
      </c>
      <c r="AJ55" s="741">
        <f>IF(ISNUMBER(AVERAGE(AI55,AH55)),AVERAGE(AI55,AH55),0)</f>
        <v>82.285276340074773</v>
      </c>
      <c r="AK55" s="741">
        <f>IF(ISNUMBER(AVERAGE(AJ55,AI55)),AVERAGE(AJ55,AI55),0)</f>
        <v>82.285276234962623</v>
      </c>
      <c r="AL55" s="741">
        <f>IF(ISNUMBER(AVERAGE(AK55,AJ55)),AVERAGE(AK55,AJ55),0)</f>
        <v>82.285276287518698</v>
      </c>
      <c r="AM55" s="440"/>
    </row>
    <row r="56" spans="1:39" s="243" customFormat="1" ht="15" customHeight="1">
      <c r="A56" s="717" t="s">
        <v>772</v>
      </c>
      <c r="B56" s="717"/>
      <c r="C56" s="718"/>
      <c r="D56" s="720">
        <f>资产负债!D36</f>
        <v>56.109602119999998</v>
      </c>
      <c r="E56" s="720">
        <f>资产负债!E36</f>
        <v>111.72724604999999</v>
      </c>
      <c r="F56" s="720">
        <f>资产负债!F36</f>
        <v>180.1339705</v>
      </c>
      <c r="G56" s="720">
        <f>资产负债!G36</f>
        <v>175.10562186999999</v>
      </c>
      <c r="H56" s="720">
        <f>资产负债!H36</f>
        <v>218.83819929000001</v>
      </c>
      <c r="I56" s="741">
        <f t="shared" ref="I56:AL56" si="19">IF(ISNUMBER(H56),H56,0)</f>
        <v>218.83819929000001</v>
      </c>
      <c r="J56" s="741">
        <f t="shared" si="19"/>
        <v>218.83819929000001</v>
      </c>
      <c r="K56" s="741">
        <f t="shared" si="19"/>
        <v>218.83819929000001</v>
      </c>
      <c r="L56" s="741">
        <f t="shared" si="19"/>
        <v>218.83819929000001</v>
      </c>
      <c r="M56" s="741">
        <f t="shared" si="19"/>
        <v>218.83819929000001</v>
      </c>
      <c r="N56" s="741">
        <f t="shared" si="19"/>
        <v>218.83819929000001</v>
      </c>
      <c r="O56" s="741">
        <f t="shared" si="19"/>
        <v>218.83819929000001</v>
      </c>
      <c r="P56" s="741">
        <f t="shared" si="19"/>
        <v>218.83819929000001</v>
      </c>
      <c r="Q56" s="741">
        <f t="shared" si="19"/>
        <v>218.83819929000001</v>
      </c>
      <c r="R56" s="741">
        <f t="shared" si="19"/>
        <v>218.83819929000001</v>
      </c>
      <c r="S56" s="741">
        <f t="shared" si="19"/>
        <v>218.83819929000001</v>
      </c>
      <c r="T56" s="741">
        <f t="shared" si="19"/>
        <v>218.83819929000001</v>
      </c>
      <c r="U56" s="741">
        <f t="shared" si="19"/>
        <v>218.83819929000001</v>
      </c>
      <c r="V56" s="741">
        <f t="shared" si="19"/>
        <v>218.83819929000001</v>
      </c>
      <c r="W56" s="741">
        <f t="shared" si="19"/>
        <v>218.83819929000001</v>
      </c>
      <c r="X56" s="741">
        <f t="shared" si="19"/>
        <v>218.83819929000001</v>
      </c>
      <c r="Y56" s="741">
        <f t="shared" si="19"/>
        <v>218.83819929000001</v>
      </c>
      <c r="Z56" s="741">
        <f t="shared" si="19"/>
        <v>218.83819929000001</v>
      </c>
      <c r="AA56" s="741">
        <f t="shared" si="19"/>
        <v>218.83819929000001</v>
      </c>
      <c r="AB56" s="741">
        <f t="shared" si="19"/>
        <v>218.83819929000001</v>
      </c>
      <c r="AC56" s="741">
        <f t="shared" si="19"/>
        <v>218.83819929000001</v>
      </c>
      <c r="AD56" s="741">
        <f t="shared" si="19"/>
        <v>218.83819929000001</v>
      </c>
      <c r="AE56" s="741">
        <f t="shared" si="19"/>
        <v>218.83819929000001</v>
      </c>
      <c r="AF56" s="741">
        <f t="shared" si="19"/>
        <v>218.83819929000001</v>
      </c>
      <c r="AG56" s="741">
        <f t="shared" si="19"/>
        <v>218.83819929000001</v>
      </c>
      <c r="AH56" s="741">
        <f t="shared" si="19"/>
        <v>218.83819929000001</v>
      </c>
      <c r="AI56" s="741">
        <f t="shared" si="19"/>
        <v>218.83819929000001</v>
      </c>
      <c r="AJ56" s="741">
        <f t="shared" si="19"/>
        <v>218.83819929000001</v>
      </c>
      <c r="AK56" s="741">
        <f t="shared" si="19"/>
        <v>218.83819929000001</v>
      </c>
      <c r="AL56" s="741">
        <f t="shared" si="19"/>
        <v>218.83819929000001</v>
      </c>
      <c r="AM56" s="440"/>
    </row>
    <row r="57" spans="1:39" s="243" customFormat="1" ht="15" customHeight="1">
      <c r="A57" s="1172" t="s">
        <v>2816</v>
      </c>
      <c r="B57" s="717"/>
      <c r="C57" s="718"/>
      <c r="D57" s="720">
        <f>资产负债!D32</f>
        <v>0</v>
      </c>
      <c r="E57" s="720">
        <f>资产负债!E32</f>
        <v>0</v>
      </c>
      <c r="F57" s="720">
        <f>资产负债!F32</f>
        <v>18.577870539999999</v>
      </c>
      <c r="G57" s="720">
        <f>资产负债!G32</f>
        <v>19.665207809999998</v>
      </c>
      <c r="H57" s="720">
        <f>资产负债!H32</f>
        <v>42.679903590000002</v>
      </c>
      <c r="I57" s="741">
        <f t="shared" ref="I57:AL57" si="20">IF(ISNUMBER(H57),H57,0)</f>
        <v>42.679903590000002</v>
      </c>
      <c r="J57" s="741">
        <f t="shared" si="20"/>
        <v>42.679903590000002</v>
      </c>
      <c r="K57" s="741">
        <f t="shared" si="20"/>
        <v>42.679903590000002</v>
      </c>
      <c r="L57" s="741">
        <f t="shared" si="20"/>
        <v>42.679903590000002</v>
      </c>
      <c r="M57" s="741">
        <f t="shared" si="20"/>
        <v>42.679903590000002</v>
      </c>
      <c r="N57" s="741">
        <f t="shared" si="20"/>
        <v>42.679903590000002</v>
      </c>
      <c r="O57" s="741">
        <f t="shared" si="20"/>
        <v>42.679903590000002</v>
      </c>
      <c r="P57" s="741">
        <f t="shared" si="20"/>
        <v>42.679903590000002</v>
      </c>
      <c r="Q57" s="741">
        <f t="shared" si="20"/>
        <v>42.679903590000002</v>
      </c>
      <c r="R57" s="741">
        <f t="shared" si="20"/>
        <v>42.679903590000002</v>
      </c>
      <c r="S57" s="741">
        <f t="shared" si="20"/>
        <v>42.679903590000002</v>
      </c>
      <c r="T57" s="741">
        <f t="shared" si="20"/>
        <v>42.679903590000002</v>
      </c>
      <c r="U57" s="741">
        <f t="shared" si="20"/>
        <v>42.679903590000002</v>
      </c>
      <c r="V57" s="741">
        <f t="shared" si="20"/>
        <v>42.679903590000002</v>
      </c>
      <c r="W57" s="741">
        <f t="shared" si="20"/>
        <v>42.679903590000002</v>
      </c>
      <c r="X57" s="741">
        <f t="shared" si="20"/>
        <v>42.679903590000002</v>
      </c>
      <c r="Y57" s="741">
        <f t="shared" si="20"/>
        <v>42.679903590000002</v>
      </c>
      <c r="Z57" s="741">
        <f t="shared" si="20"/>
        <v>42.679903590000002</v>
      </c>
      <c r="AA57" s="741">
        <f t="shared" si="20"/>
        <v>42.679903590000002</v>
      </c>
      <c r="AB57" s="741">
        <f t="shared" si="20"/>
        <v>42.679903590000002</v>
      </c>
      <c r="AC57" s="741">
        <f t="shared" si="20"/>
        <v>42.679903590000002</v>
      </c>
      <c r="AD57" s="741">
        <f t="shared" si="20"/>
        <v>42.679903590000002</v>
      </c>
      <c r="AE57" s="741">
        <f t="shared" si="20"/>
        <v>42.679903590000002</v>
      </c>
      <c r="AF57" s="741">
        <f t="shared" si="20"/>
        <v>42.679903590000002</v>
      </c>
      <c r="AG57" s="741">
        <f t="shared" si="20"/>
        <v>42.679903590000002</v>
      </c>
      <c r="AH57" s="741">
        <f t="shared" si="20"/>
        <v>42.679903590000002</v>
      </c>
      <c r="AI57" s="741">
        <f t="shared" si="20"/>
        <v>42.679903590000002</v>
      </c>
      <c r="AJ57" s="741">
        <f t="shared" si="20"/>
        <v>42.679903590000002</v>
      </c>
      <c r="AK57" s="741">
        <f t="shared" si="20"/>
        <v>42.679903590000002</v>
      </c>
      <c r="AL57" s="741">
        <f t="shared" si="20"/>
        <v>42.679903590000002</v>
      </c>
      <c r="AM57" s="440"/>
    </row>
    <row r="58" spans="1:39" s="243" customFormat="1" ht="15" customHeight="1">
      <c r="A58" s="717" t="s">
        <v>773</v>
      </c>
      <c r="B58" s="717"/>
      <c r="C58" s="718"/>
      <c r="D58" s="720">
        <f>资产负债!D37</f>
        <v>1.2363000000000284</v>
      </c>
      <c r="E58" s="720">
        <f>资产负债!E37</f>
        <v>23.24610959000006</v>
      </c>
      <c r="F58" s="720">
        <f>资产负债!F37</f>
        <v>15.113123739999992</v>
      </c>
      <c r="G58" s="720">
        <f>资产负债!G37</f>
        <v>76.606523689999904</v>
      </c>
      <c r="H58" s="720">
        <f>资产负债!H37</f>
        <v>106.37376504000031</v>
      </c>
      <c r="I58" s="741">
        <f>IF(ISNUMBER(AVERAGE(H58,G58,F58,E58)),AVERAGE(H58,G58,F58,E58),0)</f>
        <v>55.334880515000066</v>
      </c>
      <c r="J58" s="741">
        <f>IF(ISNUMBER(AVERAGE(I58,H58,G58,F58)),AVERAGE(I58,H58,G58,F58),0)</f>
        <v>63.357073246250067</v>
      </c>
      <c r="K58" s="741">
        <f>IF(ISNUMBER(AVERAGE(J58,I58,H58,G58)),AVERAGE(J58,I58,H58,G58),0)</f>
        <v>75.41806062281259</v>
      </c>
      <c r="L58" s="741">
        <f>IF(ISNUMBER(AVERAGE(K58,J58,I58,H58)),AVERAGE(K58,J58,I58,H58),0)</f>
        <v>75.120944856015754</v>
      </c>
      <c r="M58" s="741">
        <f>IF(ISNUMBER(AVERAGE(L58,K58,J58,I58)),AVERAGE(L58,K58,J58,I58),0)</f>
        <v>67.307739810019626</v>
      </c>
      <c r="N58" s="741">
        <f>IF(ISNUMBER(AVERAGE(M58,L58,K58,J58)),AVERAGE(M58,L58,K58,J58),0)</f>
        <v>70.300954633774509</v>
      </c>
      <c r="O58" s="741">
        <f>IF(ISNUMBER(AVERAGE(N58,M58,L58,K58)),AVERAGE(N58,M58,L58,K58),0)</f>
        <v>72.036924980655613</v>
      </c>
      <c r="P58" s="741">
        <f>IF(ISNUMBER(AVERAGE(O58,N58,M58,L58)),AVERAGE(O58,N58,M58,L58),0)</f>
        <v>71.191641070116376</v>
      </c>
      <c r="Q58" s="741">
        <f>IF(ISNUMBER(AVERAGE(P58,O58,N58,M58)),AVERAGE(P58,O58,N58,M58),0)</f>
        <v>70.209315123641517</v>
      </c>
      <c r="R58" s="741">
        <f>IF(ISNUMBER(AVERAGE(Q58,P58,O58,N58)),AVERAGE(Q58,P58,O58,N58),0)</f>
        <v>70.934708952047004</v>
      </c>
      <c r="S58" s="741">
        <f>IF(ISNUMBER(AVERAGE(R58,Q58,P58,O58)),AVERAGE(R58,Q58,P58,O58),0)</f>
        <v>71.093147531615131</v>
      </c>
      <c r="T58" s="741">
        <f>IF(ISNUMBER(AVERAGE(S58,R58,Q58,P58)),AVERAGE(S58,R58,Q58,P58),0)</f>
        <v>70.857203169355003</v>
      </c>
      <c r="U58" s="741">
        <f>IF(ISNUMBER(AVERAGE(T58,S58,R58,Q58)),AVERAGE(T58,S58,R58,Q58),0)</f>
        <v>70.773593694164674</v>
      </c>
      <c r="V58" s="741">
        <f>IF(ISNUMBER(AVERAGE(U58,T58,S58,R58)),AVERAGE(U58,T58,S58,R58),0)</f>
        <v>70.914663336795456</v>
      </c>
      <c r="W58" s="741">
        <f>IF(ISNUMBER(AVERAGE(V58,U58,T58,S58)),AVERAGE(V58,U58,T58,S58),0)</f>
        <v>70.90965193298257</v>
      </c>
      <c r="X58" s="741">
        <f>IF(ISNUMBER(AVERAGE(W58,V58,U58,T58)),AVERAGE(W58,V58,U58,T58),0)</f>
        <v>70.863778033324422</v>
      </c>
      <c r="Y58" s="741">
        <f>IF(ISNUMBER(AVERAGE(X58,W58,V58,U58)),AVERAGE(X58,W58,V58,U58),0)</f>
        <v>70.865421749316781</v>
      </c>
      <c r="Z58" s="741">
        <f>IF(ISNUMBER(AVERAGE(Y58,X58,W58,V58)),AVERAGE(Y58,X58,W58,V58),0)</f>
        <v>70.888378763104811</v>
      </c>
      <c r="AA58" s="741">
        <f>IF(ISNUMBER(AVERAGE(Z58,Y58,X58,W58)),AVERAGE(Z58,Y58,X58,W58),0)</f>
        <v>70.881807619682149</v>
      </c>
      <c r="AB58" s="741">
        <f>IF(ISNUMBER(AVERAGE(AA58,Z58,Y58,X58)),AVERAGE(AA58,Z58,Y58,X58),0)</f>
        <v>70.874846541357044</v>
      </c>
      <c r="AC58" s="741">
        <f>IF(ISNUMBER(AVERAGE(AB58,AA58,Z58,Y58)),AVERAGE(AB58,AA58,Z58,Y58),0)</f>
        <v>70.8776136683652</v>
      </c>
      <c r="AD58" s="741">
        <f>IF(ISNUMBER(AVERAGE(AC58,AB58,AA58,Z58)),AVERAGE(AC58,AB58,AA58,Z58),0)</f>
        <v>70.880661648127301</v>
      </c>
      <c r="AE58" s="741">
        <f>IF(ISNUMBER(AVERAGE(AD58,AC58,AB58,AA58)),AVERAGE(AD58,AC58,AB58,AA58),0)</f>
        <v>70.878732369382931</v>
      </c>
      <c r="AF58" s="741">
        <f>IF(ISNUMBER(AVERAGE(AE58,AD58,AC58,AB58)),AVERAGE(AE58,AD58,AC58,AB58),0)</f>
        <v>70.877963556808112</v>
      </c>
      <c r="AG58" s="741">
        <f>IF(ISNUMBER(AVERAGE(AF58,AE58,AD58,AC58)),AVERAGE(AF58,AE58,AD58,AC58),0)</f>
        <v>70.878742810670886</v>
      </c>
      <c r="AH58" s="741">
        <f>IF(ISNUMBER(AVERAGE(AG58,AF58,AE58,AD58)),AVERAGE(AG58,AF58,AE58,AD58),0)</f>
        <v>70.879025096247318</v>
      </c>
      <c r="AI58" s="741">
        <f>IF(ISNUMBER(AVERAGE(AH58,AG58,AF58,AE58)),AVERAGE(AH58,AG58,AF58,AE58),0)</f>
        <v>70.878615958277322</v>
      </c>
      <c r="AJ58" s="741">
        <f>IF(ISNUMBER(AVERAGE(AI58,AH58,AG58,AF58)),AVERAGE(AI58,AH58,AG58,AF58),0)</f>
        <v>70.878586855500913</v>
      </c>
      <c r="AK58" s="741">
        <f>IF(ISNUMBER(AVERAGE(AJ58,AI58,AH58,AG58)),AVERAGE(AJ58,AI58,AH58,AG58),0)</f>
        <v>70.878742680174113</v>
      </c>
      <c r="AL58" s="741">
        <f>IF(ISNUMBER(AVERAGE(AK58,AJ58,AI58,AH58)),AVERAGE(AK58,AJ58,AI58,AH58),0)</f>
        <v>70.878742647549913</v>
      </c>
      <c r="AM58" s="440"/>
    </row>
    <row r="59" spans="1:39" ht="15" customHeight="1">
      <c r="A59" s="734" t="s">
        <v>774</v>
      </c>
      <c r="B59" s="715"/>
      <c r="C59" s="717"/>
      <c r="D59" s="720"/>
      <c r="E59" s="742"/>
      <c r="F59" s="742"/>
      <c r="G59" s="742"/>
      <c r="H59" s="742"/>
      <c r="I59" s="742"/>
      <c r="J59" s="742"/>
      <c r="K59" s="742"/>
      <c r="L59" s="742"/>
      <c r="M59" s="742"/>
      <c r="N59" s="742"/>
      <c r="O59" s="742"/>
      <c r="P59" s="742"/>
      <c r="Q59" s="742"/>
      <c r="R59" s="742"/>
      <c r="S59" s="742"/>
      <c r="T59" s="742"/>
      <c r="U59" s="742"/>
      <c r="V59" s="742"/>
      <c r="W59" s="742"/>
      <c r="X59" s="742"/>
      <c r="Y59" s="742"/>
      <c r="Z59" s="742"/>
      <c r="AA59" s="742"/>
      <c r="AB59" s="742"/>
      <c r="AC59" s="742"/>
      <c r="AD59" s="742"/>
      <c r="AE59" s="742"/>
      <c r="AF59" s="742"/>
      <c r="AG59" s="742"/>
      <c r="AH59" s="742"/>
      <c r="AI59" s="742"/>
      <c r="AJ59" s="742"/>
      <c r="AK59" s="742"/>
      <c r="AL59" s="742"/>
      <c r="AM59" s="440"/>
    </row>
    <row r="60" spans="1:39" ht="15" customHeight="1">
      <c r="A60" s="778" t="s">
        <v>1349</v>
      </c>
      <c r="B60" s="715" t="s">
        <v>775</v>
      </c>
      <c r="C60" s="717"/>
      <c r="D60" s="720">
        <f>资产负债!D42</f>
        <v>286.71851020999998</v>
      </c>
      <c r="E60" s="720">
        <f>资产负债!E42</f>
        <v>510.76333983999996</v>
      </c>
      <c r="F60" s="720">
        <f>资产负债!F42</f>
        <v>659.19128383999998</v>
      </c>
      <c r="G60" s="720">
        <f>资产负债!G42</f>
        <v>595.51845549999996</v>
      </c>
      <c r="H60" s="720">
        <f>资产负债!H42</f>
        <v>1161.9753268099998</v>
      </c>
      <c r="I60" s="741">
        <f>IF(ISNUMBER((H60*5+G60*4+F60*3+E60*2+D60)/15),(H60*5+G60*4+F60*3+E60*2+D60)/15,0)</f>
        <v>765.18463316399982</v>
      </c>
      <c r="J60" s="741">
        <f>IF(ISNUMBER((I60*5+H60*4+G60*3+F60*2+E60)/15),(I60*5+H60*4+G60*3+F60*2+E60)/15,0)</f>
        <v>805.96838313866658</v>
      </c>
      <c r="K60" s="741">
        <f>IF(ISNUMBER((J60*5+I60*4+H60*3+G60*2+F60)/15),(J60*5+I60*4+H60*3+G60*2+F60)/15,0)</f>
        <v>828.4489749079554</v>
      </c>
      <c r="L60" s="741">
        <f>IF(ISNUMBER((K60*5+J60*4+I60*3+H60*2+G60)/15),(K60*5+J60*4+I60*3+H60*2+G60)/15,0)</f>
        <v>838.74276104709611</v>
      </c>
      <c r="M60" s="741">
        <f>IF(ISNUMBER((L60*5+K60*4+J60*3+I60*2+H60)/15),(L60*5+K60*4+J60*3+I60*2+H60)/15,0)</f>
        <v>841.18396316142002</v>
      </c>
      <c r="N60" s="741">
        <f>IF(ISNUMBER((M60*5+L60*4+K60*3+J60*2+I60)/15),(M60*5+L60*4+K60*3+J60*2+I60)/15,0)</f>
        <v>828.22394561071224</v>
      </c>
      <c r="O60" s="741">
        <f>IF(ISNUMBER((N60*5+M60*4+L60*3+K60*2+J60)/15),(N60*5+M60*4+L60*3+K60*2+J60)/15,0)</f>
        <v>832.33001311967382</v>
      </c>
      <c r="P60" s="741">
        <f>IF(ISNUMBER((O60*5+N60*4+M60*3+L60*2+K60)/15),(O60*5+N60*4+M60*3+L60*2+K60)/15,0)</f>
        <v>833.60214896850823</v>
      </c>
      <c r="Q60" s="741">
        <f>IF(ISNUMBER((P60*5+O60*4+N60*3+M60*2+L60)/15),(P60*5+O60*4+N60*3+M60*2+L60)/15,0)</f>
        <v>833.54088810155406</v>
      </c>
      <c r="R60" s="741">
        <f>IF(ISNUMBER((Q60*5+P60*4+O60*3+N60*2+M60)/15),(Q60*5+P60*4+O60*3+N60*2+M60)/15,0)</f>
        <v>833.1156620082445</v>
      </c>
      <c r="S60" s="741">
        <f>IF(ISNUMBER((R60*5+Q60*4+P60*3+O60*2+N60)/15),(R60*5+Q60*4+P60*3+O60*2+N60)/15,0)</f>
        <v>832.89548541353497</v>
      </c>
      <c r="T60" s="741">
        <f>IF(ISNUMBER((S60*5+R60*4+Q60*3+P60*2+O60)/15),(S60*5+R60*4+Q60*3+P60*2+O60)/15,0)</f>
        <v>833.13980336413374</v>
      </c>
      <c r="U60" s="741">
        <f>IF(ISNUMBER((T60*5+S60*4+R60*3+Q60*2+P60)/15),(T60*5+S60*4+R60*3+Q60*2+P60)/15,0)</f>
        <v>833.15412464474377</v>
      </c>
      <c r="V60" s="741">
        <f>IF(ISNUMBER((U60*5+T60*4+S60*3+R60*2+Q60)/15),(U60*5+T60*4+S60*3+R60*2+Q60)/15,0)</f>
        <v>833.1192336692601</v>
      </c>
      <c r="W60" s="741">
        <f>IF(ISNUMBER((V60*5+U60*4+T60*3+S60*2+R60)/15),(V60*5+U60*4+T60*3+S60*2+R60)/15,0)</f>
        <v>833.10258065686605</v>
      </c>
      <c r="X60" s="741">
        <f>IF(ISNUMBER((W60*5+V60*4+U60*3+T60*2+S60)/15),(W60*5+V60*4+U60*3+T60*2+S60)/15,0)</f>
        <v>833.10848693582705</v>
      </c>
      <c r="Y60" s="741">
        <f>IF(ISNUMBER((X60*5+W60*4+V60*3+U60*2+T60)/15),(X60*5+W60*4+V60*3+U60*2+T60)/15,0)</f>
        <v>833.11723406453348</v>
      </c>
      <c r="Z60" s="741">
        <f>IF(ISNUMBER((Y60*5+X60*4+W60*3+V60*2+U60)/15),(Y60*5+X60*4+W60*3+V60*2+U60)/15,0)</f>
        <v>833.11469680132245</v>
      </c>
      <c r="AA60" s="741">
        <f>IF(ISNUMBER((Z60*5+Y60*4+X60*3+W60*2+V60)/15),(Z60*5+Y60*4+X60*3+W60*2+V60)/15,0)</f>
        <v>833.11281840368122</v>
      </c>
      <c r="AB60" s="741">
        <f>IF(ISNUMBER((AA60*5+Z60*4+Y60*3+X60*2+W60)/15),(AA60*5+Z60*4+Y60*3+X60*2+W60)/15,0)</f>
        <v>833.11294239638789</v>
      </c>
      <c r="AC60" s="741">
        <f>IF(ISNUMBER((AB60*5+AA60*4+Z60*3+Y60*2+X60)/15),(AB60*5+AA60*4+Z60*3+Y60*2+X60)/15,0)</f>
        <v>833.11353540436846</v>
      </c>
      <c r="AD60" s="741">
        <f>IF(ISNUMBER((AC60*5+AB60*4+AA60*3+Z60*2+Y60)/15),(AC60*5+AB60*4+AA60*3+Z60*2+Y60)/15,0)</f>
        <v>833.11363529904111</v>
      </c>
      <c r="AE60" s="741">
        <f>IF(ISNUMBER((AD60*5+AC60*4+AB60*3+AA60*2+Z60)/15),(AD60*5+AC60*4+AB60*3+AA60*2+Z60)/15,0)</f>
        <v>833.11343192736854</v>
      </c>
      <c r="AF60" s="741">
        <f>IF(ISNUMBER((AE60*5+AD60*4+AC60*3+AB60*2+AA60)/15),(AE60*5+AD60*4+AC60*3+AB60*2+AA60)/15,0)</f>
        <v>833.11340068283789</v>
      </c>
      <c r="AG60" s="741">
        <f>IF(ISNUMBER((AF60*5+AE60*4+AD60*3+AC60*2+AB60)/15),(AF60*5+AE60*4+AD60*3+AC60*2+AB60)/15,0)</f>
        <v>833.11344334839418</v>
      </c>
      <c r="AH60" s="741">
        <f>IF(ISNUMBER((AG60*5+AF60*4+AE60*3+AD60*2+AC60)/15),(AG60*5+AF60*4+AE60*3+AD60*2+AC60)/15,0)</f>
        <v>833.11346141719184</v>
      </c>
      <c r="AI60" s="741">
        <f>IF(ISNUMBER((AH60*5+AG60*4+AF60*3+AE60*2+AD60)/15),(AH60*5+AG60*4+AF60*3+AE60*2+AD60)/15,0)</f>
        <v>833.11345211212199</v>
      </c>
      <c r="AJ60" s="741">
        <f>IF(ISNUMBER((AI60*5+AH60*4+AG60*3+AF60*2+AE60)/15),(AI60*5+AH60*4+AG60*3+AF60*2+AE60)/15,0)</f>
        <v>833.11344463784019</v>
      </c>
      <c r="AK60" s="741">
        <f>IF(ISNUMBER((AJ60*5+AI60*4+AH60*3+AG60*2+AF60)/15),(AJ60*5+AI60*4+AH60*3+AG60*2+AF60)/15,0)</f>
        <v>833.11344688459258</v>
      </c>
      <c r="AL60" s="741">
        <f>IF(ISNUMBER((AK60*5+AJ60*4+AI60*3+AH60*2+AG60)/15),(AK60*5+AJ60*4+AI60*3+AH60*2+AG60)/15,0)</f>
        <v>833.11344903289785</v>
      </c>
      <c r="AM60" s="440"/>
    </row>
    <row r="61" spans="1:39" ht="15" customHeight="1">
      <c r="A61" s="715" t="s">
        <v>776</v>
      </c>
      <c r="B61" s="715"/>
      <c r="C61" s="716"/>
      <c r="D61" s="720">
        <f>资产负债!D43</f>
        <v>0</v>
      </c>
      <c r="E61" s="720">
        <f>资产负债!E43</f>
        <v>0</v>
      </c>
      <c r="F61" s="720">
        <f>资产负债!F43</f>
        <v>0</v>
      </c>
      <c r="G61" s="720">
        <f>资产负债!G43</f>
        <v>0</v>
      </c>
      <c r="H61" s="720">
        <f>资产负债!H43</f>
        <v>0</v>
      </c>
      <c r="I61" s="741">
        <f t="shared" ref="I61:AL61" si="21">IF(ISNUMBER(H61),H61,0)</f>
        <v>0</v>
      </c>
      <c r="J61" s="741">
        <f t="shared" si="21"/>
        <v>0</v>
      </c>
      <c r="K61" s="741">
        <f t="shared" si="21"/>
        <v>0</v>
      </c>
      <c r="L61" s="741">
        <f t="shared" si="21"/>
        <v>0</v>
      </c>
      <c r="M61" s="741">
        <f t="shared" si="21"/>
        <v>0</v>
      </c>
      <c r="N61" s="741">
        <f t="shared" si="21"/>
        <v>0</v>
      </c>
      <c r="O61" s="741">
        <f t="shared" si="21"/>
        <v>0</v>
      </c>
      <c r="P61" s="741">
        <f t="shared" si="21"/>
        <v>0</v>
      </c>
      <c r="Q61" s="741">
        <f t="shared" si="21"/>
        <v>0</v>
      </c>
      <c r="R61" s="741">
        <f t="shared" si="21"/>
        <v>0</v>
      </c>
      <c r="S61" s="741">
        <f t="shared" si="21"/>
        <v>0</v>
      </c>
      <c r="T61" s="741">
        <f t="shared" si="21"/>
        <v>0</v>
      </c>
      <c r="U61" s="741">
        <f t="shared" si="21"/>
        <v>0</v>
      </c>
      <c r="V61" s="741">
        <f t="shared" si="21"/>
        <v>0</v>
      </c>
      <c r="W61" s="741">
        <f t="shared" si="21"/>
        <v>0</v>
      </c>
      <c r="X61" s="741">
        <f t="shared" si="21"/>
        <v>0</v>
      </c>
      <c r="Y61" s="741">
        <f t="shared" si="21"/>
        <v>0</v>
      </c>
      <c r="Z61" s="741">
        <f t="shared" si="21"/>
        <v>0</v>
      </c>
      <c r="AA61" s="741">
        <f t="shared" si="21"/>
        <v>0</v>
      </c>
      <c r="AB61" s="741">
        <f t="shared" si="21"/>
        <v>0</v>
      </c>
      <c r="AC61" s="741">
        <f t="shared" si="21"/>
        <v>0</v>
      </c>
      <c r="AD61" s="741">
        <f t="shared" si="21"/>
        <v>0</v>
      </c>
      <c r="AE61" s="741">
        <f t="shared" si="21"/>
        <v>0</v>
      </c>
      <c r="AF61" s="741">
        <f t="shared" si="21"/>
        <v>0</v>
      </c>
      <c r="AG61" s="741">
        <f t="shared" si="21"/>
        <v>0</v>
      </c>
      <c r="AH61" s="741">
        <f t="shared" si="21"/>
        <v>0</v>
      </c>
      <c r="AI61" s="741">
        <f t="shared" si="21"/>
        <v>0</v>
      </c>
      <c r="AJ61" s="741">
        <f t="shared" si="21"/>
        <v>0</v>
      </c>
      <c r="AK61" s="741">
        <f t="shared" si="21"/>
        <v>0</v>
      </c>
      <c r="AL61" s="741">
        <f t="shared" si="21"/>
        <v>0</v>
      </c>
      <c r="AM61" s="440"/>
    </row>
    <row r="62" spans="1:39" ht="15" customHeight="1">
      <c r="A62" s="1171" t="s">
        <v>2817</v>
      </c>
      <c r="B62" s="715"/>
      <c r="C62" s="716"/>
      <c r="D62" s="720">
        <f>资产负债!D44</f>
        <v>0</v>
      </c>
      <c r="E62" s="720">
        <f>资产负债!E44</f>
        <v>0</v>
      </c>
      <c r="F62" s="720">
        <f>资产负债!F44</f>
        <v>0</v>
      </c>
      <c r="G62" s="720">
        <f>资产负债!G44</f>
        <v>0</v>
      </c>
      <c r="H62" s="720">
        <f>资产负债!H44</f>
        <v>0</v>
      </c>
      <c r="I62" s="741">
        <f t="shared" ref="I62:AL62" si="22">IF(ISNUMBER(H62),H62,0)</f>
        <v>0</v>
      </c>
      <c r="J62" s="741">
        <f t="shared" si="22"/>
        <v>0</v>
      </c>
      <c r="K62" s="741">
        <f t="shared" si="22"/>
        <v>0</v>
      </c>
      <c r="L62" s="741">
        <f t="shared" si="22"/>
        <v>0</v>
      </c>
      <c r="M62" s="741">
        <f t="shared" si="22"/>
        <v>0</v>
      </c>
      <c r="N62" s="741">
        <f t="shared" si="22"/>
        <v>0</v>
      </c>
      <c r="O62" s="741">
        <f t="shared" si="22"/>
        <v>0</v>
      </c>
      <c r="P62" s="741">
        <f t="shared" si="22"/>
        <v>0</v>
      </c>
      <c r="Q62" s="741">
        <f t="shared" si="22"/>
        <v>0</v>
      </c>
      <c r="R62" s="741">
        <f t="shared" si="22"/>
        <v>0</v>
      </c>
      <c r="S62" s="741">
        <f t="shared" si="22"/>
        <v>0</v>
      </c>
      <c r="T62" s="741">
        <f t="shared" si="22"/>
        <v>0</v>
      </c>
      <c r="U62" s="741">
        <f t="shared" si="22"/>
        <v>0</v>
      </c>
      <c r="V62" s="741">
        <f t="shared" si="22"/>
        <v>0</v>
      </c>
      <c r="W62" s="741">
        <f t="shared" si="22"/>
        <v>0</v>
      </c>
      <c r="X62" s="741">
        <f t="shared" si="22"/>
        <v>0</v>
      </c>
      <c r="Y62" s="741">
        <f t="shared" si="22"/>
        <v>0</v>
      </c>
      <c r="Z62" s="741">
        <f t="shared" si="22"/>
        <v>0</v>
      </c>
      <c r="AA62" s="741">
        <f t="shared" si="22"/>
        <v>0</v>
      </c>
      <c r="AB62" s="741">
        <f t="shared" si="22"/>
        <v>0</v>
      </c>
      <c r="AC62" s="741">
        <f t="shared" si="22"/>
        <v>0</v>
      </c>
      <c r="AD62" s="741">
        <f t="shared" si="22"/>
        <v>0</v>
      </c>
      <c r="AE62" s="741">
        <f t="shared" si="22"/>
        <v>0</v>
      </c>
      <c r="AF62" s="741">
        <f t="shared" si="22"/>
        <v>0</v>
      </c>
      <c r="AG62" s="741">
        <f t="shared" si="22"/>
        <v>0</v>
      </c>
      <c r="AH62" s="741">
        <f t="shared" si="22"/>
        <v>0</v>
      </c>
      <c r="AI62" s="741">
        <f t="shared" si="22"/>
        <v>0</v>
      </c>
      <c r="AJ62" s="741">
        <f t="shared" si="22"/>
        <v>0</v>
      </c>
      <c r="AK62" s="741">
        <f t="shared" si="22"/>
        <v>0</v>
      </c>
      <c r="AL62" s="741">
        <f t="shared" si="22"/>
        <v>0</v>
      </c>
      <c r="AM62" s="440"/>
    </row>
    <row r="63" spans="1:39" ht="15" customHeight="1">
      <c r="A63" s="244" t="s">
        <v>2690</v>
      </c>
      <c r="B63" s="715" t="s">
        <v>2691</v>
      </c>
      <c r="C63" s="716"/>
      <c r="D63" s="720">
        <f>IF(资产负债!C45+资产负债!D45&lt;&gt;0,利润表!D3*2/(资产负债!C45+资产负债!D45),0)</f>
        <v>2.2382529546543455</v>
      </c>
      <c r="E63" s="720">
        <f>IF(资产负债!D45+资产负债!E45&lt;&gt;0,利润表!E3*2/(资产负债!D45+资产负债!E45),0)</f>
        <v>2.2458189201536607</v>
      </c>
      <c r="F63" s="720">
        <f>IF(资产负债!E45+资产负债!F45&lt;&gt;0,利润表!F3*2/(资产负债!E45+资产负债!F45),0)</f>
        <v>2.1883069917962175</v>
      </c>
      <c r="G63" s="720">
        <f>IF(资产负债!F45+资产负债!G45&lt;&gt;0,利润表!G3*2/(资产负债!F45+资产负债!G45),0)</f>
        <v>2.043822852746136</v>
      </c>
      <c r="H63" s="720">
        <f>IF(资产负债!G45+资产负债!H45&lt;&gt;0,利润表!H3*2/(资产负债!G45+资产负债!H45),0)</f>
        <v>1.7148696309140035</v>
      </c>
      <c r="I63" s="741">
        <v>0</v>
      </c>
      <c r="J63" s="741">
        <v>0</v>
      </c>
      <c r="K63" s="741">
        <v>0</v>
      </c>
      <c r="L63" s="741">
        <v>0</v>
      </c>
      <c r="M63" s="741">
        <v>0</v>
      </c>
      <c r="N63" s="741">
        <v>0</v>
      </c>
      <c r="O63" s="741">
        <v>0</v>
      </c>
      <c r="P63" s="741">
        <v>0</v>
      </c>
      <c r="Q63" s="741">
        <v>0</v>
      </c>
      <c r="R63" s="741">
        <v>0</v>
      </c>
      <c r="S63" s="741">
        <v>0</v>
      </c>
      <c r="T63" s="741">
        <v>0</v>
      </c>
      <c r="U63" s="741">
        <v>0</v>
      </c>
      <c r="V63" s="741">
        <v>0</v>
      </c>
      <c r="W63" s="741">
        <v>0</v>
      </c>
      <c r="X63" s="741">
        <v>0</v>
      </c>
      <c r="Y63" s="741">
        <v>0</v>
      </c>
      <c r="Z63" s="741">
        <v>0</v>
      </c>
      <c r="AA63" s="741">
        <v>0</v>
      </c>
      <c r="AB63" s="741">
        <v>0</v>
      </c>
      <c r="AC63" s="741">
        <v>0</v>
      </c>
      <c r="AD63" s="741">
        <v>0</v>
      </c>
      <c r="AE63" s="741">
        <v>0</v>
      </c>
      <c r="AF63" s="741">
        <v>0</v>
      </c>
      <c r="AG63" s="741">
        <v>0</v>
      </c>
      <c r="AH63" s="741">
        <v>0</v>
      </c>
      <c r="AI63" s="741">
        <v>0</v>
      </c>
      <c r="AJ63" s="741">
        <v>0</v>
      </c>
      <c r="AK63" s="741">
        <v>0</v>
      </c>
      <c r="AL63" s="741">
        <v>0</v>
      </c>
      <c r="AM63" s="440"/>
    </row>
    <row r="64" spans="1:39" ht="15" customHeight="1">
      <c r="A64" s="974" t="s">
        <v>2767</v>
      </c>
      <c r="B64" s="715" t="s">
        <v>2763</v>
      </c>
      <c r="C64" s="716"/>
      <c r="D64" s="720">
        <f>IF(资产负债!C46+资产负债!D46&lt;&gt;0,利润表!D3*2/(资产负债!C46+资产负债!D46),0)</f>
        <v>4.8105104901134101</v>
      </c>
      <c r="E64" s="720">
        <f>IF(资产负债!D46+资产负债!E46&lt;&gt;0,利润表!E3*2/(资产负债!D46+资产负债!E46),0)</f>
        <v>4.5856644243568798</v>
      </c>
      <c r="F64" s="720">
        <f>IF(资产负债!E46+资产负债!F46&lt;&gt;0,利润表!F3*2/(资产负债!E46+资产负债!F46),0)</f>
        <v>4.6573181344949779</v>
      </c>
      <c r="G64" s="720">
        <f>IF(资产负债!F46+资产负债!G46&lt;&gt;0,利润表!G3*2/(资产负债!F46+资产负债!G46),0)</f>
        <v>3.8210453145178405</v>
      </c>
      <c r="H64" s="720">
        <f>IF(资产负债!G46+资产负债!H46&lt;&gt;0,利润表!H3*2/(资产负债!G46+资产负债!H46),0)</f>
        <v>3.1707481701230833</v>
      </c>
      <c r="I64" s="741">
        <v>0</v>
      </c>
      <c r="J64" s="741">
        <v>0</v>
      </c>
      <c r="K64" s="741">
        <v>0</v>
      </c>
      <c r="L64" s="741">
        <v>0</v>
      </c>
      <c r="M64" s="741">
        <v>0</v>
      </c>
      <c r="N64" s="741">
        <v>0</v>
      </c>
      <c r="O64" s="741">
        <v>0</v>
      </c>
      <c r="P64" s="741">
        <v>0</v>
      </c>
      <c r="Q64" s="741">
        <v>0</v>
      </c>
      <c r="R64" s="741">
        <v>0</v>
      </c>
      <c r="S64" s="741">
        <v>0</v>
      </c>
      <c r="T64" s="741">
        <v>0</v>
      </c>
      <c r="U64" s="741">
        <v>0</v>
      </c>
      <c r="V64" s="741">
        <v>0</v>
      </c>
      <c r="W64" s="741">
        <v>0</v>
      </c>
      <c r="X64" s="741">
        <v>0</v>
      </c>
      <c r="Y64" s="741">
        <v>0</v>
      </c>
      <c r="Z64" s="741">
        <v>0</v>
      </c>
      <c r="AA64" s="741">
        <v>0</v>
      </c>
      <c r="AB64" s="741">
        <v>0</v>
      </c>
      <c r="AC64" s="741">
        <v>0</v>
      </c>
      <c r="AD64" s="741">
        <v>0</v>
      </c>
      <c r="AE64" s="741">
        <v>0</v>
      </c>
      <c r="AF64" s="741">
        <v>0</v>
      </c>
      <c r="AG64" s="741">
        <v>0</v>
      </c>
      <c r="AH64" s="741">
        <v>0</v>
      </c>
      <c r="AI64" s="741">
        <v>0</v>
      </c>
      <c r="AJ64" s="741">
        <v>0</v>
      </c>
      <c r="AK64" s="741">
        <v>0</v>
      </c>
      <c r="AL64" s="741">
        <v>0</v>
      </c>
      <c r="AM64" s="440"/>
    </row>
    <row r="65" spans="1:39" ht="15" customHeight="1">
      <c r="A65" s="974" t="s">
        <v>2768</v>
      </c>
      <c r="B65" s="715" t="s">
        <v>2764</v>
      </c>
      <c r="C65" s="716"/>
      <c r="D65" s="720">
        <f>IF(资产负债!C47+资产负债!D47&lt;&gt;0,利润表!D3*2/(资产负债!C47+资产负债!D47),0)</f>
        <v>4.1858714259614285</v>
      </c>
      <c r="E65" s="720">
        <f>IF(资产负债!D47+资产负债!E47&lt;&gt;0,利润表!E3*2/(资产负债!D47+资产负债!E47),0)</f>
        <v>4.4013897102164314</v>
      </c>
      <c r="F65" s="720">
        <f>IF(资产负债!E47+资产负债!F47&lt;&gt;0,利润表!F3*2/(资产负债!E47+资产负债!F47),0)</f>
        <v>4.1278233461492899</v>
      </c>
      <c r="G65" s="720">
        <f>IF(资产负债!F47+资产负债!G47&lt;&gt;0,利润表!G3*2/(资产负债!F47+资产负债!G47),0)</f>
        <v>4.394238708532197</v>
      </c>
      <c r="H65" s="720">
        <f>IF(资产负债!G47+资产负债!H47&lt;&gt;0,利润表!H3*2/(资产负债!G47+资产负债!H47),0)</f>
        <v>3.7348031431070861</v>
      </c>
      <c r="I65" s="741">
        <v>0</v>
      </c>
      <c r="J65" s="741">
        <v>0</v>
      </c>
      <c r="K65" s="741">
        <v>0</v>
      </c>
      <c r="L65" s="741">
        <v>0</v>
      </c>
      <c r="M65" s="741">
        <v>0</v>
      </c>
      <c r="N65" s="741">
        <v>0</v>
      </c>
      <c r="O65" s="741">
        <v>0</v>
      </c>
      <c r="P65" s="741">
        <v>0</v>
      </c>
      <c r="Q65" s="741">
        <v>0</v>
      </c>
      <c r="R65" s="741">
        <v>0</v>
      </c>
      <c r="S65" s="741">
        <v>0</v>
      </c>
      <c r="T65" s="741">
        <v>0</v>
      </c>
      <c r="U65" s="741">
        <v>0</v>
      </c>
      <c r="V65" s="741">
        <v>0</v>
      </c>
      <c r="W65" s="741">
        <v>0</v>
      </c>
      <c r="X65" s="741">
        <v>0</v>
      </c>
      <c r="Y65" s="741">
        <v>0</v>
      </c>
      <c r="Z65" s="741">
        <v>0</v>
      </c>
      <c r="AA65" s="741">
        <v>0</v>
      </c>
      <c r="AB65" s="741">
        <v>0</v>
      </c>
      <c r="AC65" s="741">
        <v>0</v>
      </c>
      <c r="AD65" s="741">
        <v>0</v>
      </c>
      <c r="AE65" s="741">
        <v>0</v>
      </c>
      <c r="AF65" s="741">
        <v>0</v>
      </c>
      <c r="AG65" s="741">
        <v>0</v>
      </c>
      <c r="AH65" s="741">
        <v>0</v>
      </c>
      <c r="AI65" s="741">
        <v>0</v>
      </c>
      <c r="AJ65" s="741">
        <v>0</v>
      </c>
      <c r="AK65" s="741">
        <v>0</v>
      </c>
      <c r="AL65" s="741">
        <v>0</v>
      </c>
      <c r="AM65" s="440"/>
    </row>
    <row r="66" spans="1:39" s="243" customFormat="1" ht="15" customHeight="1">
      <c r="A66" s="1106" t="s">
        <v>2692</v>
      </c>
      <c r="B66" s="715" t="s">
        <v>777</v>
      </c>
      <c r="C66" s="718"/>
      <c r="D66" s="720">
        <f>IF(资产负债!C48+资产负债!D48&lt;&gt;0,利润表!D3*2/(资产负债!C48+资产负债!D48),0)</f>
        <v>22.796005401242645</v>
      </c>
      <c r="E66" s="720">
        <f>IF(资产负债!D48+资产负债!E48&lt;&gt;0,利润表!E3*2/(资产负债!D48+资产负债!E48),0)</f>
        <v>17.914280767422742</v>
      </c>
      <c r="F66" s="720">
        <f>IF(资产负债!E48+资产负债!F48&lt;&gt;0,利润表!F3*2/(资产负债!E48+资产负债!F48),0)</f>
        <v>19.160535136462322</v>
      </c>
      <c r="G66" s="720">
        <f>IF(资产负债!F48+资产负债!G48&lt;&gt;0,利润表!G3*2/(资产负债!F48+资产负债!G48),0)</f>
        <v>30.273545587460099</v>
      </c>
      <c r="H66" s="720">
        <f>IF(资产负债!G48+资产负债!H48&lt;&gt;0,利润表!H3*2/(资产负债!G48+资产负债!H48),0)</f>
        <v>30.898943941237512</v>
      </c>
      <c r="I66" s="741">
        <f t="shared" ref="I66:AL66" si="23">IF(ISNUMBER(H66),H66,0)</f>
        <v>30.898943941237512</v>
      </c>
      <c r="J66" s="741">
        <f t="shared" si="23"/>
        <v>30.898943941237512</v>
      </c>
      <c r="K66" s="741">
        <f t="shared" si="23"/>
        <v>30.898943941237512</v>
      </c>
      <c r="L66" s="741">
        <f t="shared" si="23"/>
        <v>30.898943941237512</v>
      </c>
      <c r="M66" s="741">
        <f t="shared" si="23"/>
        <v>30.898943941237512</v>
      </c>
      <c r="N66" s="741">
        <f t="shared" si="23"/>
        <v>30.898943941237512</v>
      </c>
      <c r="O66" s="741">
        <f t="shared" si="23"/>
        <v>30.898943941237512</v>
      </c>
      <c r="P66" s="741">
        <f t="shared" si="23"/>
        <v>30.898943941237512</v>
      </c>
      <c r="Q66" s="741">
        <f t="shared" si="23"/>
        <v>30.898943941237512</v>
      </c>
      <c r="R66" s="741">
        <f t="shared" si="23"/>
        <v>30.898943941237512</v>
      </c>
      <c r="S66" s="741">
        <f t="shared" si="23"/>
        <v>30.898943941237512</v>
      </c>
      <c r="T66" s="741">
        <f t="shared" si="23"/>
        <v>30.898943941237512</v>
      </c>
      <c r="U66" s="741">
        <f t="shared" si="23"/>
        <v>30.898943941237512</v>
      </c>
      <c r="V66" s="741">
        <f t="shared" si="23"/>
        <v>30.898943941237512</v>
      </c>
      <c r="W66" s="741">
        <f t="shared" si="23"/>
        <v>30.898943941237512</v>
      </c>
      <c r="X66" s="741">
        <f t="shared" si="23"/>
        <v>30.898943941237512</v>
      </c>
      <c r="Y66" s="741">
        <f t="shared" si="23"/>
        <v>30.898943941237512</v>
      </c>
      <c r="Z66" s="741">
        <f t="shared" si="23"/>
        <v>30.898943941237512</v>
      </c>
      <c r="AA66" s="741">
        <f t="shared" si="23"/>
        <v>30.898943941237512</v>
      </c>
      <c r="AB66" s="741">
        <f t="shared" si="23"/>
        <v>30.898943941237512</v>
      </c>
      <c r="AC66" s="741">
        <f t="shared" si="23"/>
        <v>30.898943941237512</v>
      </c>
      <c r="AD66" s="741">
        <f t="shared" si="23"/>
        <v>30.898943941237512</v>
      </c>
      <c r="AE66" s="741">
        <f t="shared" si="23"/>
        <v>30.898943941237512</v>
      </c>
      <c r="AF66" s="741">
        <f t="shared" si="23"/>
        <v>30.898943941237512</v>
      </c>
      <c r="AG66" s="741">
        <f t="shared" si="23"/>
        <v>30.898943941237512</v>
      </c>
      <c r="AH66" s="741">
        <f t="shared" si="23"/>
        <v>30.898943941237512</v>
      </c>
      <c r="AI66" s="741">
        <f t="shared" si="23"/>
        <v>30.898943941237512</v>
      </c>
      <c r="AJ66" s="741">
        <f t="shared" si="23"/>
        <v>30.898943941237512</v>
      </c>
      <c r="AK66" s="741">
        <f t="shared" si="23"/>
        <v>30.898943941237512</v>
      </c>
      <c r="AL66" s="741">
        <f t="shared" si="23"/>
        <v>30.898943941237512</v>
      </c>
      <c r="AM66" s="440"/>
    </row>
    <row r="67" spans="1:39" ht="15" customHeight="1">
      <c r="A67" s="715" t="s">
        <v>778</v>
      </c>
      <c r="B67" s="715" t="s">
        <v>779</v>
      </c>
      <c r="C67" s="716"/>
      <c r="D67" s="720">
        <f>IF(资产负债!C49+资产负债!D49&lt;&gt;0,利润表!D3*2/(资产负债!C49+资产负债!D49),0)</f>
        <v>22.3538009434793</v>
      </c>
      <c r="E67" s="720">
        <f>IF(资产负债!D49+资产负债!E49&lt;&gt;0,利润表!E3*2/(资产负债!D49+资产负债!E49),0)</f>
        <v>45.754319822187028</v>
      </c>
      <c r="F67" s="720">
        <f>IF(资产负债!E49+资产负债!F49&lt;&gt;0,利润表!F3*2/(资产负债!E49+资产负债!F49),0)</f>
        <v>0</v>
      </c>
      <c r="G67" s="720">
        <f>IF(资产负债!F49+资产负债!G49&lt;&gt;0,利润表!G3*2/(资产负债!F49+资产负债!G49),0)</f>
        <v>0</v>
      </c>
      <c r="H67" s="720">
        <f>IF(资产负债!G49+资产负债!H49&lt;&gt;0,利润表!H3*2/(资产负债!G49+资产负债!H49),0)</f>
        <v>0</v>
      </c>
      <c r="I67" s="741">
        <f>IF(ISNUMBER(AVERAGE(H67,G67)),AVERAGE(H67,G67),0)</f>
        <v>0</v>
      </c>
      <c r="J67" s="741">
        <f>IF(ISNUMBER(AVERAGE(I67,H67)),AVERAGE(I67,H67),0)</f>
        <v>0</v>
      </c>
      <c r="K67" s="741">
        <f>IF(ISNUMBER(AVERAGE(J67,I67)),AVERAGE(J67,I67),0)</f>
        <v>0</v>
      </c>
      <c r="L67" s="741">
        <f>IF(ISNUMBER(AVERAGE(K67,J67)),AVERAGE(K67,J67),0)</f>
        <v>0</v>
      </c>
      <c r="M67" s="741">
        <f>IF(ISNUMBER(AVERAGE(L67,K67)),AVERAGE(L67,K67),0)</f>
        <v>0</v>
      </c>
      <c r="N67" s="741">
        <f>IF(ISNUMBER(AVERAGE(M67,L67)),AVERAGE(M67,L67),0)</f>
        <v>0</v>
      </c>
      <c r="O67" s="741">
        <f>IF(ISNUMBER(AVERAGE(N67,M67)),AVERAGE(N67,M67),0)</f>
        <v>0</v>
      </c>
      <c r="P67" s="741">
        <f>IF(ISNUMBER(AVERAGE(O67,N67)),AVERAGE(O67,N67),0)</f>
        <v>0</v>
      </c>
      <c r="Q67" s="741">
        <f>IF(ISNUMBER(AVERAGE(P67,O67)),AVERAGE(P67,O67),0)</f>
        <v>0</v>
      </c>
      <c r="R67" s="741">
        <f>IF(ISNUMBER(AVERAGE(Q67,P67)),AVERAGE(Q67,P67),0)</f>
        <v>0</v>
      </c>
      <c r="S67" s="741">
        <f>IF(ISNUMBER(AVERAGE(R67,Q67)),AVERAGE(R67,Q67),0)</f>
        <v>0</v>
      </c>
      <c r="T67" s="741">
        <f>IF(ISNUMBER(AVERAGE(S67,R67)),AVERAGE(S67,R67),0)</f>
        <v>0</v>
      </c>
      <c r="U67" s="741">
        <f>IF(ISNUMBER(AVERAGE(T67,S67)),AVERAGE(T67,S67),0)</f>
        <v>0</v>
      </c>
      <c r="V67" s="741">
        <f>IF(ISNUMBER(AVERAGE(U67,T67)),AVERAGE(U67,T67),0)</f>
        <v>0</v>
      </c>
      <c r="W67" s="741">
        <f>IF(ISNUMBER(AVERAGE(V67,U67)),AVERAGE(V67,U67),0)</f>
        <v>0</v>
      </c>
      <c r="X67" s="741">
        <f>IF(ISNUMBER(AVERAGE(W67,V67)),AVERAGE(W67,V67),0)</f>
        <v>0</v>
      </c>
      <c r="Y67" s="741">
        <f>IF(ISNUMBER(AVERAGE(X67,W67)),AVERAGE(X67,W67),0)</f>
        <v>0</v>
      </c>
      <c r="Z67" s="741">
        <f>IF(ISNUMBER(AVERAGE(Y67,X67)),AVERAGE(Y67,X67),0)</f>
        <v>0</v>
      </c>
      <c r="AA67" s="741">
        <f>IF(ISNUMBER(AVERAGE(Z67,Y67)),AVERAGE(Z67,Y67),0)</f>
        <v>0</v>
      </c>
      <c r="AB67" s="741">
        <f>IF(ISNUMBER(AVERAGE(AA67,Z67)),AVERAGE(AA67,Z67),0)</f>
        <v>0</v>
      </c>
      <c r="AC67" s="741">
        <f>IF(ISNUMBER(AVERAGE(AB67,AA67)),AVERAGE(AB67,AA67),0)</f>
        <v>0</v>
      </c>
      <c r="AD67" s="741">
        <f>IF(ISNUMBER(AVERAGE(AC67,AB67)),AVERAGE(AC67,AB67),0)</f>
        <v>0</v>
      </c>
      <c r="AE67" s="741">
        <f>IF(ISNUMBER(AVERAGE(AD67,AC67)),AVERAGE(AD67,AC67),0)</f>
        <v>0</v>
      </c>
      <c r="AF67" s="741">
        <f>IF(ISNUMBER(AVERAGE(AE67,AD67)),AVERAGE(AE67,AD67),0)</f>
        <v>0</v>
      </c>
      <c r="AG67" s="741">
        <f>IF(ISNUMBER(AVERAGE(AF67,AE67)),AVERAGE(AF67,AE67),0)</f>
        <v>0</v>
      </c>
      <c r="AH67" s="741">
        <f>IF(ISNUMBER(AVERAGE(AG67,AF67)),AVERAGE(AG67,AF67),0)</f>
        <v>0</v>
      </c>
      <c r="AI67" s="741">
        <f>IF(ISNUMBER(AVERAGE(AH67,AG67)),AVERAGE(AH67,AG67),0)</f>
        <v>0</v>
      </c>
      <c r="AJ67" s="741">
        <f>IF(ISNUMBER(AVERAGE(AI67,AH67)),AVERAGE(AI67,AH67),0)</f>
        <v>0</v>
      </c>
      <c r="AK67" s="741">
        <f>IF(ISNUMBER(AVERAGE(AJ67,AI67)),AVERAGE(AJ67,AI67),0)</f>
        <v>0</v>
      </c>
      <c r="AL67" s="741">
        <f>IF(ISNUMBER(AVERAGE(AK67,AJ67)),AVERAGE(AK67,AJ67),0)</f>
        <v>0</v>
      </c>
      <c r="AM67" s="440"/>
    </row>
    <row r="68" spans="1:39" ht="15" customHeight="1">
      <c r="A68" s="1171" t="s">
        <v>2818</v>
      </c>
      <c r="B68" s="715"/>
      <c r="C68" s="716"/>
      <c r="D68" s="720">
        <f>资产负债!D50</f>
        <v>0</v>
      </c>
      <c r="E68" s="720">
        <f>资产负债!E50</f>
        <v>116.01423120999999</v>
      </c>
      <c r="F68" s="720">
        <f>资产负债!F50</f>
        <v>235.12773419999999</v>
      </c>
      <c r="G68" s="720">
        <f>资产负债!G50</f>
        <v>342.35697177999998</v>
      </c>
      <c r="H68" s="720">
        <f>资产负债!H50</f>
        <v>389.80979294000002</v>
      </c>
      <c r="I68" s="741">
        <v>426.13</v>
      </c>
      <c r="J68" s="741">
        <f>IF(ISNUMBER(AVERAGE(I68,H68)),AVERAGE(I68,H68),0)</f>
        <v>407.96989646999998</v>
      </c>
      <c r="K68" s="741">
        <f>IF(ISNUMBER(AVERAGE(J68,I68)),AVERAGE(J68,I68),0)</f>
        <v>417.04994823499999</v>
      </c>
      <c r="L68" s="741">
        <f>IF(ISNUMBER(AVERAGE(K68,J68)),AVERAGE(K68,J68),0)</f>
        <v>412.50992235249998</v>
      </c>
      <c r="M68" s="741">
        <f>IF(ISNUMBER(AVERAGE(L68,K68)),AVERAGE(L68,K68),0)</f>
        <v>414.77993529374999</v>
      </c>
      <c r="N68" s="741">
        <f>IF(ISNUMBER(AVERAGE(M68,L68)),AVERAGE(M68,L68),0)</f>
        <v>413.64492882312499</v>
      </c>
      <c r="O68" s="741">
        <f>IF(ISNUMBER(AVERAGE(N68,M68)),AVERAGE(N68,M68),0)</f>
        <v>414.21243205843746</v>
      </c>
      <c r="P68" s="741">
        <f>IF(ISNUMBER(AVERAGE(O68,N68)),AVERAGE(O68,N68),0)</f>
        <v>413.92868044078125</v>
      </c>
      <c r="Q68" s="741">
        <f>IF(ISNUMBER(AVERAGE(P68,O68)),AVERAGE(P68,O68),0)</f>
        <v>414.07055624960935</v>
      </c>
      <c r="R68" s="741">
        <f>IF(ISNUMBER(AVERAGE(Q68,P68)),AVERAGE(Q68,P68),0)</f>
        <v>413.9996183451953</v>
      </c>
      <c r="S68" s="741">
        <f>IF(ISNUMBER(AVERAGE(R68,Q68)),AVERAGE(R68,Q68),0)</f>
        <v>414.03508729740236</v>
      </c>
      <c r="T68" s="741">
        <f>IF(ISNUMBER(AVERAGE(S68,R68)),AVERAGE(S68,R68),0)</f>
        <v>414.0173528212988</v>
      </c>
      <c r="U68" s="741">
        <f>IF(ISNUMBER(AVERAGE(T68,S68)),AVERAGE(T68,S68),0)</f>
        <v>414.02622005935058</v>
      </c>
      <c r="V68" s="741">
        <f>IF(ISNUMBER(AVERAGE(U68,T68)),AVERAGE(U68,T68),0)</f>
        <v>414.02178644032472</v>
      </c>
      <c r="W68" s="741">
        <f>IF(ISNUMBER(AVERAGE(V68,U68)),AVERAGE(V68,U68),0)</f>
        <v>414.02400324983762</v>
      </c>
      <c r="X68" s="741">
        <f>IF(ISNUMBER(AVERAGE(W68,V68)),AVERAGE(W68,V68),0)</f>
        <v>414.02289484508117</v>
      </c>
      <c r="Y68" s="741">
        <f>IF(ISNUMBER(AVERAGE(X68,W68)),AVERAGE(X68,W68),0)</f>
        <v>414.02344904745939</v>
      </c>
      <c r="Z68" s="741">
        <f>IF(ISNUMBER(AVERAGE(Y68,X68)),AVERAGE(Y68,X68),0)</f>
        <v>414.02317194627028</v>
      </c>
      <c r="AA68" s="741">
        <f>IF(ISNUMBER(AVERAGE(Z68,Y68)),AVERAGE(Z68,Y68),0)</f>
        <v>414.02331049686484</v>
      </c>
      <c r="AB68" s="741">
        <f>IF(ISNUMBER(AVERAGE(AA68,Z68)),AVERAGE(AA68,Z68),0)</f>
        <v>414.02324122156756</v>
      </c>
      <c r="AC68" s="741">
        <f>IF(ISNUMBER(AVERAGE(AB68,AA68)),AVERAGE(AB68,AA68),0)</f>
        <v>414.0232758592162</v>
      </c>
      <c r="AD68" s="741">
        <f>IF(ISNUMBER(AVERAGE(AC68,AB68)),AVERAGE(AC68,AB68),0)</f>
        <v>414.02325854039191</v>
      </c>
      <c r="AE68" s="741">
        <f>IF(ISNUMBER(AVERAGE(AD68,AC68)),AVERAGE(AD68,AC68),0)</f>
        <v>414.02326719980408</v>
      </c>
      <c r="AF68" s="741">
        <f>IF(ISNUMBER(AVERAGE(AE68,AD68)),AVERAGE(AE68,AD68),0)</f>
        <v>414.02326287009799</v>
      </c>
      <c r="AG68" s="741">
        <f>IF(ISNUMBER(AVERAGE(AF68,AE68)),AVERAGE(AF68,AE68),0)</f>
        <v>414.02326503495101</v>
      </c>
      <c r="AH68" s="741">
        <f>IF(ISNUMBER(AVERAGE(AG68,AF68)),AVERAGE(AG68,AF68),0)</f>
        <v>414.02326395252453</v>
      </c>
      <c r="AI68" s="741">
        <f>IF(ISNUMBER(AVERAGE(AH68,AG68)),AVERAGE(AH68,AG68),0)</f>
        <v>414.02326449373777</v>
      </c>
      <c r="AJ68" s="741">
        <f>IF(ISNUMBER(AVERAGE(AI68,AH68)),AVERAGE(AI68,AH68),0)</f>
        <v>414.02326422313115</v>
      </c>
      <c r="AK68" s="741">
        <f>IF(ISNUMBER(AVERAGE(AJ68,AI68)),AVERAGE(AJ68,AI68),0)</f>
        <v>414.02326435843446</v>
      </c>
      <c r="AL68" s="741">
        <f>IF(ISNUMBER(AVERAGE(AK68,AJ68)),AVERAGE(AK68,AJ68),0)</f>
        <v>414.02326429078278</v>
      </c>
      <c r="AM68" s="440"/>
    </row>
    <row r="69" spans="1:39" s="243" customFormat="1" ht="15" customHeight="1">
      <c r="A69" s="717" t="s">
        <v>780</v>
      </c>
      <c r="B69" s="717"/>
      <c r="C69" s="718"/>
      <c r="D69" s="720">
        <f>资产负债!D51</f>
        <v>0</v>
      </c>
      <c r="E69" s="720">
        <f>资产负债!E51</f>
        <v>0</v>
      </c>
      <c r="F69" s="720">
        <f>资产负债!F51</f>
        <v>0</v>
      </c>
      <c r="G69" s="720">
        <f>资产负债!G51</f>
        <v>0</v>
      </c>
      <c r="H69" s="720">
        <f>资产负债!H51</f>
        <v>0</v>
      </c>
      <c r="I69" s="741">
        <f>IF(ISNUMBER(AVERAGE(H69,G69)),AVERAGE(H69,G69),0)</f>
        <v>0</v>
      </c>
      <c r="J69" s="741">
        <f>IF(ISNUMBER(AVERAGE(I69,H69)),AVERAGE(I69,H69),0)</f>
        <v>0</v>
      </c>
      <c r="K69" s="741">
        <f>IF(ISNUMBER(AVERAGE(J69,I69)),AVERAGE(J69,I69),0)</f>
        <v>0</v>
      </c>
      <c r="L69" s="741">
        <f>IF(ISNUMBER(AVERAGE(K69,J69)),AVERAGE(K69,J69),0)</f>
        <v>0</v>
      </c>
      <c r="M69" s="741">
        <f>IF(ISNUMBER(AVERAGE(L69,K69)),AVERAGE(L69,K69),0)</f>
        <v>0</v>
      </c>
      <c r="N69" s="741">
        <f>IF(ISNUMBER(AVERAGE(M69,L69)),AVERAGE(M69,L69),0)</f>
        <v>0</v>
      </c>
      <c r="O69" s="741">
        <f>IF(ISNUMBER(AVERAGE(N69,M69)),AVERAGE(N69,M69),0)</f>
        <v>0</v>
      </c>
      <c r="P69" s="741">
        <f>IF(ISNUMBER(AVERAGE(O69,N69)),AVERAGE(O69,N69),0)</f>
        <v>0</v>
      </c>
      <c r="Q69" s="741">
        <f>IF(ISNUMBER(AVERAGE(P69,O69)),AVERAGE(P69,O69),0)</f>
        <v>0</v>
      </c>
      <c r="R69" s="741">
        <f>IF(ISNUMBER(AVERAGE(Q69,P69)),AVERAGE(Q69,P69),0)</f>
        <v>0</v>
      </c>
      <c r="S69" s="741">
        <f>IF(ISNUMBER(AVERAGE(R69,Q69)),AVERAGE(R69,Q69),0)</f>
        <v>0</v>
      </c>
      <c r="T69" s="741">
        <f>IF(ISNUMBER(AVERAGE(S69,R69)),AVERAGE(S69,R69),0)</f>
        <v>0</v>
      </c>
      <c r="U69" s="741">
        <f>IF(ISNUMBER(AVERAGE(T69,S69)),AVERAGE(T69,S69),0)</f>
        <v>0</v>
      </c>
      <c r="V69" s="741">
        <f>IF(ISNUMBER(AVERAGE(U69,T69)),AVERAGE(U69,T69),0)</f>
        <v>0</v>
      </c>
      <c r="W69" s="741">
        <f>IF(ISNUMBER(AVERAGE(V69,U69)),AVERAGE(V69,U69),0)</f>
        <v>0</v>
      </c>
      <c r="X69" s="741">
        <f>IF(ISNUMBER(AVERAGE(W69,V69)),AVERAGE(W69,V69),0)</f>
        <v>0</v>
      </c>
      <c r="Y69" s="741">
        <f>IF(ISNUMBER(AVERAGE(X69,W69)),AVERAGE(X69,W69),0)</f>
        <v>0</v>
      </c>
      <c r="Z69" s="741">
        <f>IF(ISNUMBER(AVERAGE(Y69,X69)),AVERAGE(Y69,X69),0)</f>
        <v>0</v>
      </c>
      <c r="AA69" s="741">
        <f>IF(ISNUMBER(AVERAGE(Z69,Y69)),AVERAGE(Z69,Y69),0)</f>
        <v>0</v>
      </c>
      <c r="AB69" s="741">
        <f>IF(ISNUMBER(AVERAGE(AA69,Z69)),AVERAGE(AA69,Z69),0)</f>
        <v>0</v>
      </c>
      <c r="AC69" s="741">
        <f>IF(ISNUMBER(AVERAGE(AB69,AA69)),AVERAGE(AB69,AA69),0)</f>
        <v>0</v>
      </c>
      <c r="AD69" s="741">
        <f>IF(ISNUMBER(AVERAGE(AC69,AB69)),AVERAGE(AC69,AB69),0)</f>
        <v>0</v>
      </c>
      <c r="AE69" s="741">
        <f>IF(ISNUMBER(AVERAGE(AD69,AC69)),AVERAGE(AD69,AC69),0)</f>
        <v>0</v>
      </c>
      <c r="AF69" s="741">
        <f>IF(ISNUMBER(AVERAGE(AE69,AD69)),AVERAGE(AE69,AD69),0)</f>
        <v>0</v>
      </c>
      <c r="AG69" s="741">
        <f>IF(ISNUMBER(AVERAGE(AF69,AE69)),AVERAGE(AF69,AE69),0)</f>
        <v>0</v>
      </c>
      <c r="AH69" s="741">
        <f>IF(ISNUMBER(AVERAGE(AG69,AF69)),AVERAGE(AG69,AF69),0)</f>
        <v>0</v>
      </c>
      <c r="AI69" s="741">
        <f>IF(ISNUMBER(AVERAGE(AH69,AG69)),AVERAGE(AH69,AG69),0)</f>
        <v>0</v>
      </c>
      <c r="AJ69" s="741">
        <f>IF(ISNUMBER(AVERAGE(AI69,AH69)),AVERAGE(AI69,AH69),0)</f>
        <v>0</v>
      </c>
      <c r="AK69" s="741">
        <f>IF(ISNUMBER(AVERAGE(AJ69,AI69)),AVERAGE(AJ69,AI69),0)</f>
        <v>0</v>
      </c>
      <c r="AL69" s="741">
        <f>IF(ISNUMBER(AVERAGE(AK69,AJ69)),AVERAGE(AK69,AJ69),0)</f>
        <v>0</v>
      </c>
      <c r="AM69" s="440"/>
    </row>
    <row r="70" spans="1:39" s="243" customFormat="1" ht="15" customHeight="1">
      <c r="A70" s="167" t="s">
        <v>691</v>
      </c>
      <c r="B70" s="715"/>
      <c r="C70" s="718"/>
      <c r="D70" s="720">
        <f>资产负债!D53</f>
        <v>66.565953190000002</v>
      </c>
      <c r="E70" s="720">
        <f>资产负债!E53</f>
        <v>97.031073669999998</v>
      </c>
      <c r="F70" s="720">
        <f>资产负债!F53</f>
        <v>133.32870431000001</v>
      </c>
      <c r="G70" s="720">
        <f>资产负债!G53</f>
        <v>131.00957848000002</v>
      </c>
      <c r="H70" s="720">
        <f>资产负债!H53</f>
        <v>103.80260558000001</v>
      </c>
      <c r="I70" s="741">
        <f t="shared" ref="I70:AL70" si="24">IF(ISNUMBER(H70),H70,0)</f>
        <v>103.80260558000001</v>
      </c>
      <c r="J70" s="741">
        <f t="shared" si="24"/>
        <v>103.80260558000001</v>
      </c>
      <c r="K70" s="741">
        <f t="shared" si="24"/>
        <v>103.80260558000001</v>
      </c>
      <c r="L70" s="741">
        <f t="shared" si="24"/>
        <v>103.80260558000001</v>
      </c>
      <c r="M70" s="741">
        <f t="shared" si="24"/>
        <v>103.80260558000001</v>
      </c>
      <c r="N70" s="741">
        <f t="shared" si="24"/>
        <v>103.80260558000001</v>
      </c>
      <c r="O70" s="741">
        <f t="shared" si="24"/>
        <v>103.80260558000001</v>
      </c>
      <c r="P70" s="741">
        <f t="shared" si="24"/>
        <v>103.80260558000001</v>
      </c>
      <c r="Q70" s="741">
        <f t="shared" si="24"/>
        <v>103.80260558000001</v>
      </c>
      <c r="R70" s="741">
        <f t="shared" si="24"/>
        <v>103.80260558000001</v>
      </c>
      <c r="S70" s="741">
        <f t="shared" si="24"/>
        <v>103.80260558000001</v>
      </c>
      <c r="T70" s="741">
        <f t="shared" si="24"/>
        <v>103.80260558000001</v>
      </c>
      <c r="U70" s="741">
        <f t="shared" si="24"/>
        <v>103.80260558000001</v>
      </c>
      <c r="V70" s="741">
        <f t="shared" si="24"/>
        <v>103.80260558000001</v>
      </c>
      <c r="W70" s="741">
        <f t="shared" si="24"/>
        <v>103.80260558000001</v>
      </c>
      <c r="X70" s="741">
        <f t="shared" si="24"/>
        <v>103.80260558000001</v>
      </c>
      <c r="Y70" s="741">
        <f t="shared" si="24"/>
        <v>103.80260558000001</v>
      </c>
      <c r="Z70" s="741">
        <f t="shared" si="24"/>
        <v>103.80260558000001</v>
      </c>
      <c r="AA70" s="741">
        <f t="shared" si="24"/>
        <v>103.80260558000001</v>
      </c>
      <c r="AB70" s="741">
        <f t="shared" si="24"/>
        <v>103.80260558000001</v>
      </c>
      <c r="AC70" s="741">
        <f t="shared" si="24"/>
        <v>103.80260558000001</v>
      </c>
      <c r="AD70" s="741">
        <f t="shared" si="24"/>
        <v>103.80260558000001</v>
      </c>
      <c r="AE70" s="741">
        <f t="shared" si="24"/>
        <v>103.80260558000001</v>
      </c>
      <c r="AF70" s="741">
        <f t="shared" si="24"/>
        <v>103.80260558000001</v>
      </c>
      <c r="AG70" s="741">
        <f t="shared" si="24"/>
        <v>103.80260558000001</v>
      </c>
      <c r="AH70" s="741">
        <f t="shared" si="24"/>
        <v>103.80260558000001</v>
      </c>
      <c r="AI70" s="741">
        <f t="shared" si="24"/>
        <v>103.80260558000001</v>
      </c>
      <c r="AJ70" s="741">
        <f t="shared" si="24"/>
        <v>103.80260558000001</v>
      </c>
      <c r="AK70" s="741">
        <f t="shared" si="24"/>
        <v>103.80260558000001</v>
      </c>
      <c r="AL70" s="741">
        <f t="shared" si="24"/>
        <v>103.80260558000001</v>
      </c>
      <c r="AM70" s="440"/>
    </row>
    <row r="71" spans="1:39" s="243" customFormat="1" ht="15" hidden="1" customHeight="1">
      <c r="A71" s="167"/>
      <c r="B71" s="715"/>
      <c r="C71" s="718"/>
      <c r="D71" s="720"/>
      <c r="E71" s="720"/>
      <c r="F71" s="720"/>
      <c r="G71" s="720"/>
      <c r="H71" s="720"/>
      <c r="I71" s="741"/>
      <c r="J71" s="741"/>
      <c r="K71" s="741"/>
      <c r="L71" s="741"/>
      <c r="M71" s="741"/>
      <c r="N71" s="741"/>
      <c r="O71" s="741"/>
      <c r="P71" s="741"/>
      <c r="Q71" s="741"/>
      <c r="R71" s="741"/>
      <c r="S71" s="741"/>
      <c r="T71" s="741"/>
      <c r="U71" s="741"/>
      <c r="V71" s="741"/>
      <c r="W71" s="741"/>
      <c r="X71" s="741"/>
      <c r="Y71" s="741"/>
      <c r="Z71" s="741"/>
      <c r="AA71" s="741"/>
      <c r="AB71" s="741"/>
      <c r="AC71" s="741"/>
      <c r="AD71" s="741"/>
      <c r="AE71" s="741"/>
      <c r="AF71" s="741"/>
      <c r="AG71" s="741"/>
      <c r="AH71" s="741"/>
      <c r="AI71" s="741"/>
      <c r="AJ71" s="741"/>
      <c r="AK71" s="741"/>
      <c r="AL71" s="741"/>
      <c r="AM71" s="440"/>
    </row>
    <row r="72" spans="1:39" s="243" customFormat="1" ht="15" customHeight="1">
      <c r="A72" s="167" t="s">
        <v>632</v>
      </c>
      <c r="B72" s="715"/>
      <c r="C72" s="718"/>
      <c r="D72" s="720">
        <f>资产负债!D55</f>
        <v>45.711320780000001</v>
      </c>
      <c r="E72" s="720">
        <f>资产负债!E55</f>
        <v>79.78226592</v>
      </c>
      <c r="F72" s="720">
        <f>资产负债!F55</f>
        <v>113.66805642</v>
      </c>
      <c r="G72" s="720">
        <f>资产负债!G55</f>
        <v>74.914306089999997</v>
      </c>
      <c r="H72" s="720">
        <f>资产负债!H55</f>
        <v>48.82855043</v>
      </c>
      <c r="I72" s="741">
        <f t="shared" ref="I72:AL72" si="25">IF(ISNUMBER(H72),H72,0)</f>
        <v>48.82855043</v>
      </c>
      <c r="J72" s="741">
        <f t="shared" si="25"/>
        <v>48.82855043</v>
      </c>
      <c r="K72" s="741">
        <f t="shared" si="25"/>
        <v>48.82855043</v>
      </c>
      <c r="L72" s="741">
        <f t="shared" si="25"/>
        <v>48.82855043</v>
      </c>
      <c r="M72" s="741">
        <f t="shared" si="25"/>
        <v>48.82855043</v>
      </c>
      <c r="N72" s="741">
        <f t="shared" si="25"/>
        <v>48.82855043</v>
      </c>
      <c r="O72" s="741">
        <f t="shared" si="25"/>
        <v>48.82855043</v>
      </c>
      <c r="P72" s="741">
        <f t="shared" si="25"/>
        <v>48.82855043</v>
      </c>
      <c r="Q72" s="741">
        <f t="shared" si="25"/>
        <v>48.82855043</v>
      </c>
      <c r="R72" s="741">
        <f t="shared" si="25"/>
        <v>48.82855043</v>
      </c>
      <c r="S72" s="741">
        <f t="shared" si="25"/>
        <v>48.82855043</v>
      </c>
      <c r="T72" s="741">
        <f t="shared" si="25"/>
        <v>48.82855043</v>
      </c>
      <c r="U72" s="741">
        <f t="shared" si="25"/>
        <v>48.82855043</v>
      </c>
      <c r="V72" s="741">
        <f t="shared" si="25"/>
        <v>48.82855043</v>
      </c>
      <c r="W72" s="741">
        <f t="shared" si="25"/>
        <v>48.82855043</v>
      </c>
      <c r="X72" s="741">
        <f t="shared" si="25"/>
        <v>48.82855043</v>
      </c>
      <c r="Y72" s="741">
        <f t="shared" si="25"/>
        <v>48.82855043</v>
      </c>
      <c r="Z72" s="741">
        <f t="shared" si="25"/>
        <v>48.82855043</v>
      </c>
      <c r="AA72" s="741">
        <f t="shared" si="25"/>
        <v>48.82855043</v>
      </c>
      <c r="AB72" s="741">
        <f t="shared" si="25"/>
        <v>48.82855043</v>
      </c>
      <c r="AC72" s="741">
        <f t="shared" si="25"/>
        <v>48.82855043</v>
      </c>
      <c r="AD72" s="741">
        <f t="shared" si="25"/>
        <v>48.82855043</v>
      </c>
      <c r="AE72" s="741">
        <f t="shared" si="25"/>
        <v>48.82855043</v>
      </c>
      <c r="AF72" s="741">
        <f t="shared" si="25"/>
        <v>48.82855043</v>
      </c>
      <c r="AG72" s="741">
        <f t="shared" si="25"/>
        <v>48.82855043</v>
      </c>
      <c r="AH72" s="741">
        <f t="shared" si="25"/>
        <v>48.82855043</v>
      </c>
      <c r="AI72" s="741">
        <f t="shared" si="25"/>
        <v>48.82855043</v>
      </c>
      <c r="AJ72" s="741">
        <f t="shared" si="25"/>
        <v>48.82855043</v>
      </c>
      <c r="AK72" s="741">
        <f t="shared" si="25"/>
        <v>48.82855043</v>
      </c>
      <c r="AL72" s="741">
        <f t="shared" si="25"/>
        <v>48.82855043</v>
      </c>
      <c r="AM72" s="440"/>
    </row>
    <row r="73" spans="1:39" s="243" customFormat="1" ht="15" hidden="1" customHeight="1">
      <c r="A73" s="167"/>
      <c r="B73" s="715"/>
      <c r="C73" s="718"/>
      <c r="D73" s="720"/>
      <c r="E73" s="720"/>
      <c r="F73" s="720"/>
      <c r="G73" s="720"/>
      <c r="H73" s="720"/>
      <c r="I73" s="741"/>
      <c r="J73" s="741"/>
      <c r="K73" s="741"/>
      <c r="L73" s="741"/>
      <c r="M73" s="741"/>
      <c r="N73" s="741"/>
      <c r="O73" s="741"/>
      <c r="P73" s="741"/>
      <c r="Q73" s="741"/>
      <c r="R73" s="741"/>
      <c r="S73" s="741"/>
      <c r="T73" s="741"/>
      <c r="U73" s="741"/>
      <c r="V73" s="741"/>
      <c r="W73" s="741"/>
      <c r="X73" s="741"/>
      <c r="Y73" s="741"/>
      <c r="Z73" s="741"/>
      <c r="AA73" s="741"/>
      <c r="AB73" s="741"/>
      <c r="AC73" s="741"/>
      <c r="AD73" s="741"/>
      <c r="AE73" s="741"/>
      <c r="AF73" s="741"/>
      <c r="AG73" s="741"/>
      <c r="AH73" s="741"/>
      <c r="AI73" s="741"/>
      <c r="AJ73" s="741"/>
      <c r="AK73" s="741"/>
      <c r="AL73" s="741"/>
      <c r="AM73" s="440"/>
    </row>
    <row r="74" spans="1:39" s="243" customFormat="1" ht="15" customHeight="1">
      <c r="A74" s="167" t="s">
        <v>2819</v>
      </c>
      <c r="B74" s="715"/>
      <c r="C74" s="718"/>
      <c r="D74" s="720">
        <f>资产负债!D57</f>
        <v>0</v>
      </c>
      <c r="E74" s="720">
        <f>资产负债!E57</f>
        <v>0</v>
      </c>
      <c r="F74" s="720">
        <f>资产负债!F57</f>
        <v>0</v>
      </c>
      <c r="G74" s="720">
        <f>资产负债!G57</f>
        <v>0</v>
      </c>
      <c r="H74" s="720">
        <f>资产负债!H57</f>
        <v>0</v>
      </c>
      <c r="I74" s="741">
        <f t="shared" ref="I74:AL74" si="26">IF(ISNUMBER(H74),H74,0)</f>
        <v>0</v>
      </c>
      <c r="J74" s="741">
        <f t="shared" si="26"/>
        <v>0</v>
      </c>
      <c r="K74" s="741">
        <f t="shared" si="26"/>
        <v>0</v>
      </c>
      <c r="L74" s="741">
        <f t="shared" si="26"/>
        <v>0</v>
      </c>
      <c r="M74" s="741">
        <f t="shared" si="26"/>
        <v>0</v>
      </c>
      <c r="N74" s="741">
        <f t="shared" si="26"/>
        <v>0</v>
      </c>
      <c r="O74" s="741">
        <f t="shared" si="26"/>
        <v>0</v>
      </c>
      <c r="P74" s="741">
        <f t="shared" si="26"/>
        <v>0</v>
      </c>
      <c r="Q74" s="741">
        <f t="shared" si="26"/>
        <v>0</v>
      </c>
      <c r="R74" s="741">
        <f t="shared" si="26"/>
        <v>0</v>
      </c>
      <c r="S74" s="741">
        <f t="shared" si="26"/>
        <v>0</v>
      </c>
      <c r="T74" s="741">
        <f t="shared" si="26"/>
        <v>0</v>
      </c>
      <c r="U74" s="741">
        <f t="shared" si="26"/>
        <v>0</v>
      </c>
      <c r="V74" s="741">
        <f t="shared" si="26"/>
        <v>0</v>
      </c>
      <c r="W74" s="741">
        <f t="shared" si="26"/>
        <v>0</v>
      </c>
      <c r="X74" s="741">
        <f t="shared" si="26"/>
        <v>0</v>
      </c>
      <c r="Y74" s="741">
        <f t="shared" si="26"/>
        <v>0</v>
      </c>
      <c r="Z74" s="741">
        <f t="shared" si="26"/>
        <v>0</v>
      </c>
      <c r="AA74" s="741">
        <f t="shared" si="26"/>
        <v>0</v>
      </c>
      <c r="AB74" s="741">
        <f t="shared" si="26"/>
        <v>0</v>
      </c>
      <c r="AC74" s="741">
        <f t="shared" si="26"/>
        <v>0</v>
      </c>
      <c r="AD74" s="741">
        <f t="shared" si="26"/>
        <v>0</v>
      </c>
      <c r="AE74" s="741">
        <f t="shared" si="26"/>
        <v>0</v>
      </c>
      <c r="AF74" s="741">
        <f t="shared" si="26"/>
        <v>0</v>
      </c>
      <c r="AG74" s="741">
        <f t="shared" si="26"/>
        <v>0</v>
      </c>
      <c r="AH74" s="741">
        <f t="shared" si="26"/>
        <v>0</v>
      </c>
      <c r="AI74" s="741">
        <f t="shared" si="26"/>
        <v>0</v>
      </c>
      <c r="AJ74" s="741">
        <f t="shared" si="26"/>
        <v>0</v>
      </c>
      <c r="AK74" s="741">
        <f t="shared" si="26"/>
        <v>0</v>
      </c>
      <c r="AL74" s="741">
        <f t="shared" si="26"/>
        <v>0</v>
      </c>
      <c r="AM74" s="440"/>
    </row>
    <row r="75" spans="1:39" s="243" customFormat="1" ht="15.75" customHeight="1">
      <c r="A75" s="717" t="s">
        <v>781</v>
      </c>
      <c r="B75" s="717"/>
      <c r="C75" s="718"/>
      <c r="D75" s="720">
        <f>资产负债!D58</f>
        <v>0</v>
      </c>
      <c r="E75" s="720">
        <f>资产负债!E58</f>
        <v>114.74209792000056</v>
      </c>
      <c r="F75" s="720">
        <f>资产负债!F58</f>
        <v>369.66927443999975</v>
      </c>
      <c r="G75" s="720">
        <f>资产负债!G58</f>
        <v>24.072084589999577</v>
      </c>
      <c r="H75" s="720">
        <f>资产负债!H58</f>
        <v>32.731616029998804</v>
      </c>
      <c r="I75" s="741">
        <f>IF(ISNUMBER((H75*4+G75*3+F75*2+E75)/10),(H75*4+G75*3+F75*2+E75)/10,0)</f>
        <v>105.7223364689994</v>
      </c>
      <c r="J75" s="741">
        <f>IF(ISNUMBER((I75*4+H75*3+G75*2+F75)/10),(I75*4+H75*3+G75*2+F75)/10,0)</f>
        <v>93.889763758599287</v>
      </c>
      <c r="K75" s="741">
        <f>IF(ISNUMBER((J75*4+I75*3+H75*2+G75)/10),(J75*4+I75*3+H75*2+G75)/10,0)</f>
        <v>78.226138109139256</v>
      </c>
      <c r="L75" s="741">
        <f>IF(ISNUMBER((K75*4+J75*3+I75*2+H75)/10),(K75*4+J75*3+I75*2+H75)/10,0)</f>
        <v>83.875013268035246</v>
      </c>
      <c r="M75" s="741">
        <f>IF(ISNUMBER((L75*4+K75*3+J75*2+I75)/10),(L75*4+K75*3+J75*2+I75)/10,0)</f>
        <v>86.368033138575669</v>
      </c>
      <c r="N75" s="741">
        <f>IF(ISNUMBER((M75*4+L75*3+K75*2+J75)/10),(M75*4+L75*3+K75*2+J75)/10,0)</f>
        <v>84.743921233528624</v>
      </c>
      <c r="O75" s="741">
        <f>IF(ISNUMBER((N75*4+M75*3+L75*2+K75)/10),(N75*4+M75*3+L75*2+K75)/10,0)</f>
        <v>84.405594899505118</v>
      </c>
      <c r="P75" s="741">
        <f>IF(ISNUMBER((O75*4+N75*3+M75*2+L75)/10),(O75*4+N75*3+M75*2+L75)/10,0)</f>
        <v>84.84652228437929</v>
      </c>
      <c r="Q75" s="741">
        <f>IF(ISNUMBER((P75*4+O75*3+N75*2+M75)/10),(P75*4+O75*3+N75*2+M75)/10,0)</f>
        <v>84.845874944166553</v>
      </c>
      <c r="R75" s="741">
        <f>IF(ISNUMBER((Q75*4+P75*3+O75*2+N75)/10),(Q75*4+P75*3+O75*2+N75)/10,0)</f>
        <v>84.747817766234292</v>
      </c>
      <c r="S75" s="741">
        <f>IF(ISNUMBER((R75*4+Q75*3+P75*2+O75)/10),(R75*4+Q75*3+P75*2+O75)/10,0)</f>
        <v>84.762753536570045</v>
      </c>
      <c r="T75" s="741">
        <f>IF(ISNUMBER((S75*4+R75*3+Q75*2+P75)/10),(S75*4+R75*3+Q75*2+P75)/10,0)</f>
        <v>84.783273961769538</v>
      </c>
      <c r="U75" s="741">
        <f>IF(ISNUMBER((T75*4+S75*3+R75*2+Q75)/10),(T75*4+S75*3+R75*2+Q75)/10,0)</f>
        <v>84.776286693342342</v>
      </c>
      <c r="V75" s="741">
        <f>IF(ISNUMBER((U75*4+T75*3+S75*2+R75)/10),(U75*4+T75*3+S75*2+R75)/10,0)</f>
        <v>84.772829349805249</v>
      </c>
      <c r="W75" s="741">
        <f>IF(ISNUMBER((V75*4+U75*3+T75*2+S75)/10),(V75*4+U75*3+T75*2+S75)/10,0)</f>
        <v>84.774947893935703</v>
      </c>
      <c r="X75" s="741">
        <f>IF(ISNUMBER((W75*4+V75*3+U75*2+T75)/10),(W75*4+V75*3+U75*2+T75)/10,0)</f>
        <v>84.775412697361276</v>
      </c>
      <c r="Y75" s="741">
        <f>IF(ISNUMBER((X75*4+W75*3+V75*2+U75)/10),(X75*4+W75*3+V75*2+U75)/10,0)</f>
        <v>84.774843986420507</v>
      </c>
      <c r="Z75" s="741">
        <f>IF(ISNUMBER((Y75*4+X75*3+W75*2+V75)/10),(Y75*4+X75*3+W75*2+V75)/10,0)</f>
        <v>84.774833917544242</v>
      </c>
      <c r="AA75" s="741">
        <f>IF(ISNUMBER((Z75*4+Y75*3+X75*2+W75)/10),(Z75*4+Y75*3+X75*2+W75)/10,0)</f>
        <v>84.774964091809679</v>
      </c>
      <c r="AB75" s="741">
        <f>IF(ISNUMBER((AA75*4+Z75*3+Y75*2+X75)/10),(AA75*4+Z75*3+Y75*2+X75)/10,0)</f>
        <v>84.774945879007362</v>
      </c>
      <c r="AC75" s="741">
        <f>IF(ISNUMBER((AB75*4+AA75*3+Z75*2+Y75)/10),(AB75*4+AA75*3+Z75*2+Y75)/10,0)</f>
        <v>84.774918761296732</v>
      </c>
      <c r="AD75" s="741">
        <f>IF(ISNUMBER((AC75*4+AB75*3+AA75*2+Z75)/10),(AC75*4+AB75*3+AA75*2+Z75)/10,0)</f>
        <v>84.774927478337275</v>
      </c>
      <c r="AE75" s="741">
        <f>IF(ISNUMBER((AD75*4+AC75*3+AB75*2+AA75)/10),(AD75*4+AC75*3+AB75*2+AA75)/10,0)</f>
        <v>84.774932204706374</v>
      </c>
      <c r="AF75" s="741">
        <f>IF(ISNUMBER((AE75*4+AD75*3+AC75*2+AB75)/10),(AE75*4+AD75*3+AC75*2+AB75)/10,0)</f>
        <v>84.774929465543821</v>
      </c>
      <c r="AG75" s="741">
        <f>IF(ISNUMBER((AF75*4+AE75*3+AD75*2+AC75)/10),(AF75*4+AE75*3+AD75*2+AC75)/10,0)</f>
        <v>84.774928819426577</v>
      </c>
      <c r="AH75" s="741">
        <f>IF(ISNUMBER((AG75*4+AF75*3+AE75*2+AD75)/10),(AG75*4+AF75*3+AE75*2+AD75)/10,0)</f>
        <v>84.774929556208775</v>
      </c>
      <c r="AI75" s="741">
        <f>IF(ISNUMBER((AH75*4+AG75*3+AF75*2+AE75)/10),(AH75*4+AG75*3+AF75*2+AE75)/10,0)</f>
        <v>84.774929581890888</v>
      </c>
      <c r="AJ75" s="741">
        <f>IF(ISNUMBER((AI75*4+AH75*3+AG75*2+AF75)/10),(AI75*4+AH75*3+AG75*2+AF75)/10,0)</f>
        <v>84.774929410058675</v>
      </c>
      <c r="AK75" s="741">
        <f>IF(ISNUMBER((AJ75*4+AI75*3+AH75*2+AG75)/10),(AJ75*4+AI75*3+AH75*2+AG75)/10,0)</f>
        <v>84.774929431775149</v>
      </c>
      <c r="AL75" s="741">
        <f>IF(ISNUMBER((AK75*4+AJ75*3+AI75*2+AH75)/10),(AK75*4+AJ75*3+AI75*2+AH75)/10,0)</f>
        <v>84.774929467726707</v>
      </c>
      <c r="AM75" s="440"/>
    </row>
    <row r="76" spans="1:39" s="243" customFormat="1" ht="17.25" customHeight="1">
      <c r="A76" s="734" t="s">
        <v>782</v>
      </c>
      <c r="B76" s="717"/>
      <c r="C76" s="717"/>
      <c r="D76" s="720"/>
      <c r="E76" s="742"/>
      <c r="F76" s="742"/>
      <c r="G76" s="742"/>
      <c r="H76" s="742"/>
      <c r="I76" s="742"/>
      <c r="J76" s="742"/>
      <c r="K76" s="742"/>
      <c r="L76" s="742"/>
      <c r="M76" s="742"/>
      <c r="N76" s="742"/>
      <c r="O76" s="742"/>
      <c r="P76" s="742"/>
      <c r="Q76" s="742"/>
      <c r="R76" s="742"/>
      <c r="S76" s="742"/>
      <c r="T76" s="742"/>
      <c r="U76" s="742"/>
      <c r="V76" s="742"/>
      <c r="W76" s="742"/>
      <c r="X76" s="742"/>
      <c r="Y76" s="742"/>
      <c r="Z76" s="742"/>
      <c r="AA76" s="742"/>
      <c r="AB76" s="742"/>
      <c r="AC76" s="742"/>
      <c r="AD76" s="742"/>
      <c r="AE76" s="742"/>
      <c r="AF76" s="742"/>
      <c r="AG76" s="742"/>
      <c r="AH76" s="742"/>
      <c r="AI76" s="742"/>
      <c r="AJ76" s="742"/>
      <c r="AK76" s="742"/>
      <c r="AL76" s="742"/>
      <c r="AM76" s="440"/>
    </row>
    <row r="77" spans="1:39" s="243" customFormat="1" ht="17.25" customHeight="1">
      <c r="A77" s="974" t="s">
        <v>2820</v>
      </c>
      <c r="B77" s="717"/>
      <c r="C77" s="717"/>
      <c r="D77" s="720">
        <f>资产负债!D63</f>
        <v>0</v>
      </c>
      <c r="E77" s="720">
        <f>资产负债!E63</f>
        <v>0</v>
      </c>
      <c r="F77" s="720">
        <f>资产负债!F63</f>
        <v>10.820055029999999</v>
      </c>
      <c r="G77" s="720">
        <f>资产负债!G63</f>
        <v>10.031441019999999</v>
      </c>
      <c r="H77" s="720">
        <f>资产负债!H63</f>
        <v>7.97619262</v>
      </c>
      <c r="I77" s="741">
        <f>IF(ISNUMBER((H77*2+G77)/3),(H77*2+G77)/3,0)</f>
        <v>8.6612754200000008</v>
      </c>
      <c r="J77" s="741">
        <f>IF(ISNUMBER((I77*2+H77)/3),(I77*2+H77)/3,0)</f>
        <v>8.4329144866666663</v>
      </c>
      <c r="K77" s="741">
        <f>IF(ISNUMBER((J77*2+I77)/3),(J77*2+I77)/3,0)</f>
        <v>8.5090347977777778</v>
      </c>
      <c r="L77" s="741">
        <f>IF(ISNUMBER((K77*2+J77)/3),(K77*2+J77)/3,0)</f>
        <v>8.4836613607407401</v>
      </c>
      <c r="M77" s="741">
        <f>IF(ISNUMBER((L77*2+K77)/3),(L77*2+K77)/3,0)</f>
        <v>8.4921191730864205</v>
      </c>
      <c r="N77" s="741">
        <f>IF(ISNUMBER((M77*2+L77)/3),(M77*2+L77)/3,0)</f>
        <v>8.489299902304527</v>
      </c>
      <c r="O77" s="741">
        <f>IF(ISNUMBER((N77*2+M77)/3),(N77*2+M77)/3,0)</f>
        <v>8.4902396592318254</v>
      </c>
      <c r="P77" s="741">
        <f>IF(ISNUMBER((O77*2+N77)/3),(O77*2+N77)/3,0)</f>
        <v>8.4899264069227254</v>
      </c>
      <c r="Q77" s="741">
        <f>IF(ISNUMBER((P77*2+O77)/3),(P77*2+O77)/3,0)</f>
        <v>8.4900308243590921</v>
      </c>
      <c r="R77" s="741">
        <f>IF(ISNUMBER((Q77*2+P77)/3),(Q77*2+P77)/3,0)</f>
        <v>8.4899960185469698</v>
      </c>
      <c r="S77" s="741">
        <f>IF(ISNUMBER((R77*2+Q77)/3),(R77*2+Q77)/3,0)</f>
        <v>8.4900076204843433</v>
      </c>
      <c r="T77" s="741">
        <f>IF(ISNUMBER((S77*2+R77)/3),(S77*2+R77)/3,0)</f>
        <v>8.4900037531718855</v>
      </c>
      <c r="U77" s="741">
        <f>IF(ISNUMBER((T77*2+S77)/3),(T77*2+S77)/3,0)</f>
        <v>8.4900050422760387</v>
      </c>
      <c r="V77" s="741">
        <f>IF(ISNUMBER((U77*2+T77)/3),(U77*2+T77)/3,0)</f>
        <v>8.4900046125746531</v>
      </c>
      <c r="W77" s="741">
        <f>IF(ISNUMBER((V77*2+U77)/3),(V77*2+U77)/3,0)</f>
        <v>8.4900047558084477</v>
      </c>
      <c r="X77" s="741">
        <f>IF(ISNUMBER((W77*2+V77)/3),(W77*2+V77)/3,0)</f>
        <v>8.4900047080638501</v>
      </c>
      <c r="Y77" s="741">
        <f>IF(ISNUMBER((X77*2+W77)/3),(X77*2+W77)/3,0)</f>
        <v>8.490004723978716</v>
      </c>
      <c r="Z77" s="741">
        <f>IF(ISNUMBER((Y77*2+X77)/3),(Y77*2+X77)/3,0)</f>
        <v>8.4900047186737613</v>
      </c>
      <c r="AA77" s="741">
        <f>IF(ISNUMBER((Z77*2+Y77)/3),(Z77*2+Y77)/3,0)</f>
        <v>8.4900047204420801</v>
      </c>
      <c r="AB77" s="741">
        <f>IF(ISNUMBER((AA77*2+Z77)/3),(AA77*2+Z77)/3,0)</f>
        <v>8.4900047198526405</v>
      </c>
      <c r="AC77" s="741">
        <f>IF(ISNUMBER((AB77*2+AA77)/3),(AB77*2+AA77)/3,0)</f>
        <v>8.4900047200491198</v>
      </c>
      <c r="AD77" s="741">
        <f>IF(ISNUMBER((AC77*2+AB77)/3),(AC77*2+AB77)/3,0)</f>
        <v>8.4900047199836255</v>
      </c>
      <c r="AE77" s="741">
        <f>IF(ISNUMBER((AD77*2+AC77)/3),(AD77*2+AC77)/3,0)</f>
        <v>8.4900047200054569</v>
      </c>
      <c r="AF77" s="741">
        <f>IF(ISNUMBER((AE77*2+AD77)/3),(AE77*2+AD77)/3,0)</f>
        <v>8.490004719998181</v>
      </c>
      <c r="AG77" s="741">
        <f>IF(ISNUMBER((AF77*2+AE77)/3),(AF77*2+AE77)/3,0)</f>
        <v>8.4900047200006057</v>
      </c>
      <c r="AH77" s="741">
        <f>IF(ISNUMBER((AG77*2+AF77)/3),(AG77*2+AF77)/3,0)</f>
        <v>8.4900047199997974</v>
      </c>
      <c r="AI77" s="741">
        <f>IF(ISNUMBER((AH77*2+AG77)/3),(AH77*2+AG77)/3,0)</f>
        <v>8.4900047200000675</v>
      </c>
      <c r="AJ77" s="741">
        <f>IF(ISNUMBER((AI77*2+AH77)/3),(AI77*2+AH77)/3,0)</f>
        <v>8.4900047199999786</v>
      </c>
      <c r="AK77" s="741">
        <f>IF(ISNUMBER((AJ77*2+AI77)/3),(AJ77*2+AI77)/3,0)</f>
        <v>8.4900047200000088</v>
      </c>
      <c r="AL77" s="741">
        <f>IF(ISNUMBER((AK77*2+AJ77)/3),(AK77*2+AJ77)/3,0)</f>
        <v>8.4900047199999999</v>
      </c>
      <c r="AM77" s="440"/>
    </row>
    <row r="78" spans="1:39" s="243" customFormat="1" ht="15" customHeight="1">
      <c r="A78" s="717" t="s">
        <v>783</v>
      </c>
      <c r="B78" s="717"/>
      <c r="C78" s="718"/>
      <c r="D78" s="720">
        <f>资产负债!D64</f>
        <v>0</v>
      </c>
      <c r="E78" s="720">
        <f>资产负债!E64</f>
        <v>0</v>
      </c>
      <c r="F78" s="720">
        <f>资产负债!F64</f>
        <v>0</v>
      </c>
      <c r="G78" s="720">
        <f>资产负债!G64</f>
        <v>0</v>
      </c>
      <c r="H78" s="720">
        <f>资产负债!H64</f>
        <v>0</v>
      </c>
      <c r="I78" s="741">
        <f t="shared" ref="I78:AL78" si="27">IF(ISNUMBER(H78),H78,0)</f>
        <v>0</v>
      </c>
      <c r="J78" s="741">
        <f t="shared" si="27"/>
        <v>0</v>
      </c>
      <c r="K78" s="741">
        <f t="shared" si="27"/>
        <v>0</v>
      </c>
      <c r="L78" s="741">
        <f t="shared" si="27"/>
        <v>0</v>
      </c>
      <c r="M78" s="741">
        <f t="shared" si="27"/>
        <v>0</v>
      </c>
      <c r="N78" s="741">
        <f t="shared" si="27"/>
        <v>0</v>
      </c>
      <c r="O78" s="741">
        <f t="shared" si="27"/>
        <v>0</v>
      </c>
      <c r="P78" s="741">
        <f t="shared" si="27"/>
        <v>0</v>
      </c>
      <c r="Q78" s="741">
        <f t="shared" si="27"/>
        <v>0</v>
      </c>
      <c r="R78" s="741">
        <f t="shared" si="27"/>
        <v>0</v>
      </c>
      <c r="S78" s="741">
        <f t="shared" si="27"/>
        <v>0</v>
      </c>
      <c r="T78" s="741">
        <f t="shared" si="27"/>
        <v>0</v>
      </c>
      <c r="U78" s="741">
        <f t="shared" si="27"/>
        <v>0</v>
      </c>
      <c r="V78" s="741">
        <f t="shared" si="27"/>
        <v>0</v>
      </c>
      <c r="W78" s="741">
        <f t="shared" si="27"/>
        <v>0</v>
      </c>
      <c r="X78" s="741">
        <f t="shared" si="27"/>
        <v>0</v>
      </c>
      <c r="Y78" s="741">
        <f t="shared" si="27"/>
        <v>0</v>
      </c>
      <c r="Z78" s="741">
        <f t="shared" si="27"/>
        <v>0</v>
      </c>
      <c r="AA78" s="741">
        <f t="shared" si="27"/>
        <v>0</v>
      </c>
      <c r="AB78" s="741">
        <f t="shared" si="27"/>
        <v>0</v>
      </c>
      <c r="AC78" s="741">
        <f t="shared" si="27"/>
        <v>0</v>
      </c>
      <c r="AD78" s="741">
        <f t="shared" si="27"/>
        <v>0</v>
      </c>
      <c r="AE78" s="741">
        <f t="shared" si="27"/>
        <v>0</v>
      </c>
      <c r="AF78" s="741">
        <f t="shared" si="27"/>
        <v>0</v>
      </c>
      <c r="AG78" s="741">
        <f t="shared" si="27"/>
        <v>0</v>
      </c>
      <c r="AH78" s="741">
        <f t="shared" si="27"/>
        <v>0</v>
      </c>
      <c r="AI78" s="741">
        <f t="shared" si="27"/>
        <v>0</v>
      </c>
      <c r="AJ78" s="741">
        <f t="shared" si="27"/>
        <v>0</v>
      </c>
      <c r="AK78" s="741">
        <f t="shared" si="27"/>
        <v>0</v>
      </c>
      <c r="AL78" s="741">
        <f t="shared" si="27"/>
        <v>0</v>
      </c>
      <c r="AM78" s="440"/>
    </row>
    <row r="79" spans="1:39" s="243" customFormat="1" ht="15" customHeight="1">
      <c r="A79" s="717" t="s">
        <v>784</v>
      </c>
      <c r="B79" s="717"/>
      <c r="C79" s="718"/>
      <c r="D79" s="720">
        <f>资产负债!D65</f>
        <v>1.4887656200000001</v>
      </c>
      <c r="E79" s="720">
        <f>资产负债!E65</f>
        <v>0</v>
      </c>
      <c r="F79" s="720">
        <f>资产负债!F65</f>
        <v>2.9455830000000002E-2</v>
      </c>
      <c r="G79" s="720">
        <f>资产负债!G65</f>
        <v>1.3269900000000001E-3</v>
      </c>
      <c r="H79" s="720">
        <f>资产负债!H65</f>
        <v>14.9259705</v>
      </c>
      <c r="I79" s="741">
        <v>16.43</v>
      </c>
      <c r="J79" s="741">
        <f>IF(ISNUMBER((I79*2+H79)/3),(I79*2+H79)/3,0)</f>
        <v>15.928656833333333</v>
      </c>
      <c r="K79" s="741">
        <f>IF(ISNUMBER((J79*2+I79)/3),(J79*2+I79)/3,0)</f>
        <v>16.095771222222222</v>
      </c>
      <c r="L79" s="741">
        <f>IF(ISNUMBER((K79*2+J79)/3),(K79*2+J79)/3,0)</f>
        <v>16.040066425925925</v>
      </c>
      <c r="M79" s="741">
        <f>IF(ISNUMBER((L79*2+K79)/3),(L79*2+K79)/3,0)</f>
        <v>16.058634691358023</v>
      </c>
      <c r="N79" s="741">
        <f>IF(ISNUMBER((M79*2+L79)/3),(M79*2+L79)/3,0)</f>
        <v>16.052445269547324</v>
      </c>
      <c r="O79" s="741">
        <f>IF(ISNUMBER((N79*2+M79)/3),(N79*2+M79)/3,0)</f>
        <v>16.054508410150891</v>
      </c>
      <c r="P79" s="741">
        <f>IF(ISNUMBER((O79*2+N79)/3),(O79*2+N79)/3,0)</f>
        <v>16.05382069661637</v>
      </c>
      <c r="Q79" s="741">
        <f>IF(ISNUMBER((P79*2+O79)/3),(P79*2+O79)/3,0)</f>
        <v>16.054049934461208</v>
      </c>
      <c r="R79" s="741">
        <f>IF(ISNUMBER((Q79*2+P79)/3),(Q79*2+P79)/3,0)</f>
        <v>16.053973521846263</v>
      </c>
      <c r="S79" s="741">
        <f>IF(ISNUMBER((R79*2+Q79)/3),(R79*2+Q79)/3,0)</f>
        <v>16.053998992717911</v>
      </c>
      <c r="T79" s="741">
        <f>IF(ISNUMBER((S79*2+R79)/3),(S79*2+R79)/3,0)</f>
        <v>16.053990502427364</v>
      </c>
      <c r="U79" s="741">
        <f>IF(ISNUMBER((T79*2+S79)/3),(T79*2+S79)/3,0)</f>
        <v>16.053993332524215</v>
      </c>
      <c r="V79" s="741">
        <f>IF(ISNUMBER((U79*2+T79)/3),(U79*2+T79)/3,0)</f>
        <v>16.053992389158598</v>
      </c>
      <c r="W79" s="741">
        <f>IF(ISNUMBER((V79*2+U79)/3),(V79*2+U79)/3,0)</f>
        <v>16.053992703613805</v>
      </c>
      <c r="X79" s="741">
        <f>IF(ISNUMBER((W79*2+V79)/3),(W79*2+V79)/3,0)</f>
        <v>16.053992598795404</v>
      </c>
      <c r="Y79" s="741">
        <f>IF(ISNUMBER((X79*2+W79)/3),(X79*2+W79)/3,0)</f>
        <v>16.053992633734868</v>
      </c>
      <c r="Z79" s="741">
        <f>IF(ISNUMBER((Y79*2+X79)/3),(Y79*2+X79)/3,0)</f>
        <v>16.05399262208838</v>
      </c>
      <c r="AA79" s="741">
        <f>IF(ISNUMBER((Z79*2+Y79)/3),(Z79*2+Y79)/3,0)</f>
        <v>16.05399262597054</v>
      </c>
      <c r="AB79" s="741">
        <f>IF(ISNUMBER((AA79*2+Z79)/3),(AA79*2+Z79)/3,0)</f>
        <v>16.053992624676486</v>
      </c>
      <c r="AC79" s="741">
        <f>IF(ISNUMBER((AB79*2+AA79)/3),(AB79*2+AA79)/3,0)</f>
        <v>16.053992625107838</v>
      </c>
      <c r="AD79" s="741">
        <f>IF(ISNUMBER((AC79*2+AB79)/3),(AC79*2+AB79)/3,0)</f>
        <v>16.053992624964053</v>
      </c>
      <c r="AE79" s="741">
        <f>IF(ISNUMBER((AD79*2+AC79)/3),(AD79*2+AC79)/3,0)</f>
        <v>16.053992625011983</v>
      </c>
      <c r="AF79" s="741">
        <f>IF(ISNUMBER((AE79*2+AD79)/3),(AE79*2+AD79)/3,0)</f>
        <v>16.053992624996006</v>
      </c>
      <c r="AG79" s="741">
        <f>IF(ISNUMBER((AF79*2+AE79)/3),(AF79*2+AE79)/3,0)</f>
        <v>16.053992625001332</v>
      </c>
      <c r="AH79" s="741">
        <f>IF(ISNUMBER((AG79*2+AF79)/3),(AG79*2+AF79)/3,0)</f>
        <v>16.053992624999555</v>
      </c>
      <c r="AI79" s="741">
        <f>IF(ISNUMBER((AH79*2+AG79)/3),(AH79*2+AG79)/3,0)</f>
        <v>16.053992625000149</v>
      </c>
      <c r="AJ79" s="741">
        <f>IF(ISNUMBER((AI79*2+AH79)/3),(AI79*2+AH79)/3,0)</f>
        <v>16.05399262499995</v>
      </c>
      <c r="AK79" s="741">
        <f>IF(ISNUMBER((AJ79*2+AI79)/3),(AJ79*2+AI79)/3,0)</f>
        <v>16.053992625000017</v>
      </c>
      <c r="AL79" s="741">
        <f>IF(ISNUMBER((AK79*2+AJ79)/3),(AK79*2+AJ79)/3,0)</f>
        <v>16.053992624999996</v>
      </c>
      <c r="AM79" s="440"/>
    </row>
    <row r="80" spans="1:39" s="243" customFormat="1" ht="15" customHeight="1">
      <c r="A80" s="167" t="s">
        <v>1036</v>
      </c>
      <c r="B80" s="717"/>
      <c r="C80" s="718"/>
      <c r="D80" s="720">
        <f>资产负债!D66</f>
        <v>0</v>
      </c>
      <c r="E80" s="720">
        <f>资产负债!E66</f>
        <v>0</v>
      </c>
      <c r="F80" s="720">
        <f>资产负债!F66</f>
        <v>0</v>
      </c>
      <c r="G80" s="720">
        <f>资产负债!G66</f>
        <v>0</v>
      </c>
      <c r="H80" s="720">
        <f>资产负债!H66</f>
        <v>0</v>
      </c>
      <c r="I80" s="741">
        <f>IF(ISNUMBER(AVERAGE(H80,G80)),AVERAGE(H80,G80),0)</f>
        <v>0</v>
      </c>
      <c r="J80" s="741">
        <f>IF(ISNUMBER(AVERAGE(I80,H80)),AVERAGE(I80,H80),0)</f>
        <v>0</v>
      </c>
      <c r="K80" s="741">
        <f>IF(ISNUMBER(AVERAGE(J80,I80)),AVERAGE(J80,I80),0)</f>
        <v>0</v>
      </c>
      <c r="L80" s="741">
        <f>IF(ISNUMBER(AVERAGE(K80,J80)),AVERAGE(K80,J80),0)</f>
        <v>0</v>
      </c>
      <c r="M80" s="741">
        <f>IF(ISNUMBER(AVERAGE(L80,K80)),AVERAGE(L80,K80),0)</f>
        <v>0</v>
      </c>
      <c r="N80" s="741">
        <f>IF(ISNUMBER(AVERAGE(M80,L80)),AVERAGE(M80,L80),0)</f>
        <v>0</v>
      </c>
      <c r="O80" s="741">
        <f>IF(ISNUMBER(AVERAGE(N80,M80)),AVERAGE(N80,M80),0)</f>
        <v>0</v>
      </c>
      <c r="P80" s="741">
        <f>IF(ISNUMBER(AVERAGE(O80,N80)),AVERAGE(O80,N80),0)</f>
        <v>0</v>
      </c>
      <c r="Q80" s="741">
        <f>IF(ISNUMBER(AVERAGE(P80,O80)),AVERAGE(P80,O80),0)</f>
        <v>0</v>
      </c>
      <c r="R80" s="741">
        <f>IF(ISNUMBER(AVERAGE(Q80,P80)),AVERAGE(Q80,P80),0)</f>
        <v>0</v>
      </c>
      <c r="S80" s="741">
        <f>IF(ISNUMBER(AVERAGE(R80,Q80)),AVERAGE(R80,Q80),0)</f>
        <v>0</v>
      </c>
      <c r="T80" s="741">
        <f>IF(ISNUMBER(AVERAGE(S80,R80)),AVERAGE(S80,R80),0)</f>
        <v>0</v>
      </c>
      <c r="U80" s="741">
        <f>IF(ISNUMBER(AVERAGE(T80,S80)),AVERAGE(T80,S80),0)</f>
        <v>0</v>
      </c>
      <c r="V80" s="741">
        <f>IF(ISNUMBER(AVERAGE(U80,T80)),AVERAGE(U80,T80),0)</f>
        <v>0</v>
      </c>
      <c r="W80" s="741">
        <f>IF(ISNUMBER(AVERAGE(V80,U80)),AVERAGE(V80,U80),0)</f>
        <v>0</v>
      </c>
      <c r="X80" s="741">
        <f>IF(ISNUMBER(AVERAGE(W80,V80)),AVERAGE(W80,V80),0)</f>
        <v>0</v>
      </c>
      <c r="Y80" s="741">
        <f>IF(ISNUMBER(AVERAGE(X80,W80)),AVERAGE(X80,W80),0)</f>
        <v>0</v>
      </c>
      <c r="Z80" s="741">
        <f>IF(ISNUMBER(AVERAGE(Y80,X80)),AVERAGE(Y80,X80),0)</f>
        <v>0</v>
      </c>
      <c r="AA80" s="741">
        <f>IF(ISNUMBER(AVERAGE(Z80,Y80)),AVERAGE(Z80,Y80),0)</f>
        <v>0</v>
      </c>
      <c r="AB80" s="741">
        <f>IF(ISNUMBER(AVERAGE(AA80,Z80)),AVERAGE(AA80,Z80),0)</f>
        <v>0</v>
      </c>
      <c r="AC80" s="741">
        <f>IF(ISNUMBER(AVERAGE(AB80,AA80)),AVERAGE(AB80,AA80),0)</f>
        <v>0</v>
      </c>
      <c r="AD80" s="741">
        <f>IF(ISNUMBER(AVERAGE(AC80,AB80)),AVERAGE(AC80,AB80),0)</f>
        <v>0</v>
      </c>
      <c r="AE80" s="741">
        <f>IF(ISNUMBER(AVERAGE(AD80,AC80)),AVERAGE(AD80,AC80),0)</f>
        <v>0</v>
      </c>
      <c r="AF80" s="741">
        <f>IF(ISNUMBER(AVERAGE(AE80,AD80)),AVERAGE(AE80,AD80),0)</f>
        <v>0</v>
      </c>
      <c r="AG80" s="741">
        <f>IF(ISNUMBER(AVERAGE(AF80,AE80)),AVERAGE(AF80,AE80),0)</f>
        <v>0</v>
      </c>
      <c r="AH80" s="741">
        <f>IF(ISNUMBER(AVERAGE(AG80,AF80)),AVERAGE(AG80,AF80),0)</f>
        <v>0</v>
      </c>
      <c r="AI80" s="741">
        <f>IF(ISNUMBER(AVERAGE(AH80,AG80)),AVERAGE(AH80,AG80),0)</f>
        <v>0</v>
      </c>
      <c r="AJ80" s="741">
        <f>IF(ISNUMBER(AVERAGE(AI80,AH80)),AVERAGE(AI80,AH80),0)</f>
        <v>0</v>
      </c>
      <c r="AK80" s="741">
        <f>IF(ISNUMBER(AVERAGE(AJ80,AI80)),AVERAGE(AJ80,AI80),0)</f>
        <v>0</v>
      </c>
      <c r="AL80" s="741">
        <f>IF(ISNUMBER(AVERAGE(AK80,AJ80)),AVERAGE(AK80,AJ80),0)</f>
        <v>0</v>
      </c>
      <c r="AM80" s="440"/>
    </row>
    <row r="81" spans="1:39" s="243" customFormat="1" ht="15" customHeight="1">
      <c r="A81" s="167" t="s">
        <v>917</v>
      </c>
      <c r="B81" s="717"/>
      <c r="C81" s="718"/>
      <c r="D81" s="720">
        <f>资产负债!D67</f>
        <v>18.411667619999999</v>
      </c>
      <c r="E81" s="720">
        <f>资产负债!E67</f>
        <v>26.436019010000003</v>
      </c>
      <c r="F81" s="720">
        <f>资产负债!F67</f>
        <v>40.489262490000002</v>
      </c>
      <c r="G81" s="720">
        <f>资产负债!G67</f>
        <v>65.091196390000007</v>
      </c>
      <c r="H81" s="720">
        <f>资产负债!H67</f>
        <v>97.583334340000008</v>
      </c>
      <c r="I81" s="741">
        <v>114.37</v>
      </c>
      <c r="J81" s="741">
        <f>IF(ISNUMBER((I81*2+H81)/3),(I81*2+H81)/3,0)</f>
        <v>108.77444478000001</v>
      </c>
      <c r="K81" s="741">
        <f>IF(ISNUMBER((J81*2+I81)/3),(J81*2+I81)/3,0)</f>
        <v>110.63962985333335</v>
      </c>
      <c r="L81" s="741">
        <f>IF(ISNUMBER((K81*2+J81)/3),(K81*2+J81)/3,0)</f>
        <v>110.01790149555556</v>
      </c>
      <c r="M81" s="741">
        <f>IF(ISNUMBER((L81*2+K81)/3),(L81*2+K81)/3,0)</f>
        <v>110.22514428148149</v>
      </c>
      <c r="N81" s="741">
        <f>IF(ISNUMBER((M81*2+L81)/3),(M81*2+L81)/3,0)</f>
        <v>110.15606335283951</v>
      </c>
      <c r="O81" s="741">
        <f>IF(ISNUMBER((N81*2+M81)/3),(N81*2+M81)/3,0)</f>
        <v>110.17909032905351</v>
      </c>
      <c r="P81" s="741">
        <f>IF(ISNUMBER((O81*2+N81)/3),(O81*2+N81)/3,0)</f>
        <v>110.17141467031551</v>
      </c>
      <c r="Q81" s="741">
        <f>IF(ISNUMBER((P81*2+O81)/3),(P81*2+O81)/3,0)</f>
        <v>110.17397322322817</v>
      </c>
      <c r="R81" s="741">
        <f>IF(ISNUMBER((Q81*2+P81)/3),(Q81*2+P81)/3,0)</f>
        <v>110.17312037225729</v>
      </c>
      <c r="S81" s="741">
        <f>IF(ISNUMBER((R81*2+Q81)/3),(R81*2+Q81)/3,0)</f>
        <v>110.17340465591424</v>
      </c>
      <c r="T81" s="741">
        <f>IF(ISNUMBER((S81*2+R81)/3),(S81*2+R81)/3,0)</f>
        <v>110.17330989469525</v>
      </c>
      <c r="U81" s="741">
        <f>IF(ISNUMBER((T81*2+S81)/3),(T81*2+S81)/3,0)</f>
        <v>110.17334148176825</v>
      </c>
      <c r="V81" s="741">
        <f>IF(ISNUMBER((U81*2+T81)/3),(U81*2+T81)/3,0)</f>
        <v>110.17333095274391</v>
      </c>
      <c r="W81" s="741">
        <f>IF(ISNUMBER((V81*2+U81)/3),(V81*2+U81)/3,0)</f>
        <v>110.17333446241868</v>
      </c>
      <c r="X81" s="741">
        <f>IF(ISNUMBER((W81*2+V81)/3),(W81*2+V81)/3,0)</f>
        <v>110.17333329252709</v>
      </c>
      <c r="Y81" s="741">
        <f>IF(ISNUMBER((X81*2+W81)/3),(X81*2+W81)/3,0)</f>
        <v>110.17333368249096</v>
      </c>
      <c r="Z81" s="741">
        <f>IF(ISNUMBER((Y81*2+X81)/3),(Y81*2+X81)/3,0)</f>
        <v>110.173333552503</v>
      </c>
      <c r="AA81" s="741">
        <f>IF(ISNUMBER((Z81*2+Y81)/3),(Z81*2+Y81)/3,0)</f>
        <v>110.17333359583232</v>
      </c>
      <c r="AB81" s="741">
        <f>IF(ISNUMBER((AA81*2+Z81)/3),(AA81*2+Z81)/3,0)</f>
        <v>110.17333358138922</v>
      </c>
      <c r="AC81" s="741">
        <f>IF(ISNUMBER((AB81*2+AA81)/3),(AB81*2+AA81)/3,0)</f>
        <v>110.17333358620358</v>
      </c>
      <c r="AD81" s="741">
        <f>IF(ISNUMBER((AC81*2+AB81)/3),(AC81*2+AB81)/3,0)</f>
        <v>110.17333358459878</v>
      </c>
      <c r="AE81" s="741">
        <f>IF(ISNUMBER((AD81*2+AC81)/3),(AD81*2+AC81)/3,0)</f>
        <v>110.17333358513372</v>
      </c>
      <c r="AF81" s="741">
        <f>IF(ISNUMBER((AE81*2+AD81)/3),(AE81*2+AD81)/3,0)</f>
        <v>110.1733335849554</v>
      </c>
      <c r="AG81" s="741">
        <f>IF(ISNUMBER((AF81*2+AE81)/3),(AF81*2+AE81)/3,0)</f>
        <v>110.17333358501484</v>
      </c>
      <c r="AH81" s="741">
        <f>IF(ISNUMBER((AG81*2+AF81)/3),(AG81*2+AF81)/3,0)</f>
        <v>110.17333358499502</v>
      </c>
      <c r="AI81" s="741">
        <f>IF(ISNUMBER((AH81*2+AG81)/3),(AH81*2+AG81)/3,0)</f>
        <v>110.17333358500163</v>
      </c>
      <c r="AJ81" s="741">
        <f>IF(ISNUMBER((AI81*2+AH81)/3),(AI81*2+AH81)/3,0)</f>
        <v>110.17333358499941</v>
      </c>
      <c r="AK81" s="741">
        <f>IF(ISNUMBER((AJ81*2+AI81)/3),(AJ81*2+AI81)/3,0)</f>
        <v>110.17333358500015</v>
      </c>
      <c r="AL81" s="741">
        <f>IF(ISNUMBER((AK81*2+AJ81)/3),(AK81*2+AJ81)/3,0)</f>
        <v>110.17333358499991</v>
      </c>
      <c r="AM81" s="440"/>
    </row>
    <row r="82" spans="1:39" s="243" customFormat="1" ht="15" customHeight="1">
      <c r="A82" s="717" t="s">
        <v>785</v>
      </c>
      <c r="B82" s="717"/>
      <c r="C82" s="718"/>
      <c r="D82" s="720">
        <f>资产负债!D68</f>
        <v>0</v>
      </c>
      <c r="E82" s="720">
        <f>资产负债!E68</f>
        <v>0</v>
      </c>
      <c r="F82" s="720">
        <f>资产负债!F68</f>
        <v>2.8977348200000392</v>
      </c>
      <c r="G82" s="720">
        <f>资产负债!G68</f>
        <v>31.793796479999855</v>
      </c>
      <c r="H82" s="720">
        <f>资产负债!H68</f>
        <v>84.036498590000178</v>
      </c>
      <c r="I82" s="741">
        <f t="shared" ref="I82:AL82" si="28">IF(ISNUMBER(H82),H82,0)</f>
        <v>84.036498590000178</v>
      </c>
      <c r="J82" s="741">
        <f t="shared" si="28"/>
        <v>84.036498590000178</v>
      </c>
      <c r="K82" s="741">
        <f t="shared" si="28"/>
        <v>84.036498590000178</v>
      </c>
      <c r="L82" s="741">
        <f t="shared" si="28"/>
        <v>84.036498590000178</v>
      </c>
      <c r="M82" s="741">
        <f t="shared" si="28"/>
        <v>84.036498590000178</v>
      </c>
      <c r="N82" s="741">
        <f t="shared" si="28"/>
        <v>84.036498590000178</v>
      </c>
      <c r="O82" s="741">
        <f t="shared" si="28"/>
        <v>84.036498590000178</v>
      </c>
      <c r="P82" s="741">
        <f t="shared" si="28"/>
        <v>84.036498590000178</v>
      </c>
      <c r="Q82" s="741">
        <f t="shared" si="28"/>
        <v>84.036498590000178</v>
      </c>
      <c r="R82" s="741">
        <f t="shared" si="28"/>
        <v>84.036498590000178</v>
      </c>
      <c r="S82" s="741">
        <f t="shared" si="28"/>
        <v>84.036498590000178</v>
      </c>
      <c r="T82" s="741">
        <f t="shared" si="28"/>
        <v>84.036498590000178</v>
      </c>
      <c r="U82" s="741">
        <f t="shared" si="28"/>
        <v>84.036498590000178</v>
      </c>
      <c r="V82" s="741">
        <f t="shared" si="28"/>
        <v>84.036498590000178</v>
      </c>
      <c r="W82" s="741">
        <f t="shared" si="28"/>
        <v>84.036498590000178</v>
      </c>
      <c r="X82" s="741">
        <f t="shared" si="28"/>
        <v>84.036498590000178</v>
      </c>
      <c r="Y82" s="741">
        <f t="shared" si="28"/>
        <v>84.036498590000178</v>
      </c>
      <c r="Z82" s="741">
        <f t="shared" si="28"/>
        <v>84.036498590000178</v>
      </c>
      <c r="AA82" s="741">
        <f t="shared" si="28"/>
        <v>84.036498590000178</v>
      </c>
      <c r="AB82" s="741">
        <f t="shared" si="28"/>
        <v>84.036498590000178</v>
      </c>
      <c r="AC82" s="741">
        <f t="shared" si="28"/>
        <v>84.036498590000178</v>
      </c>
      <c r="AD82" s="741">
        <f t="shared" si="28"/>
        <v>84.036498590000178</v>
      </c>
      <c r="AE82" s="741">
        <f t="shared" si="28"/>
        <v>84.036498590000178</v>
      </c>
      <c r="AF82" s="741">
        <f t="shared" si="28"/>
        <v>84.036498590000178</v>
      </c>
      <c r="AG82" s="741">
        <f t="shared" si="28"/>
        <v>84.036498590000178</v>
      </c>
      <c r="AH82" s="741">
        <f t="shared" si="28"/>
        <v>84.036498590000178</v>
      </c>
      <c r="AI82" s="741">
        <f t="shared" si="28"/>
        <v>84.036498590000178</v>
      </c>
      <c r="AJ82" s="741">
        <f t="shared" si="28"/>
        <v>84.036498590000178</v>
      </c>
      <c r="AK82" s="741">
        <f t="shared" si="28"/>
        <v>84.036498590000178</v>
      </c>
      <c r="AL82" s="741">
        <f t="shared" si="28"/>
        <v>84.036498590000178</v>
      </c>
      <c r="AM82" s="440"/>
    </row>
    <row r="83" spans="1:39" s="243" customFormat="1" ht="15" customHeight="1">
      <c r="A83" s="717" t="s">
        <v>786</v>
      </c>
      <c r="B83" s="715" t="s">
        <v>787</v>
      </c>
      <c r="C83" s="718"/>
      <c r="D83" s="720">
        <f>年度数据!D128/利润表!D2</f>
        <v>0</v>
      </c>
      <c r="E83" s="720">
        <f>年度数据!E128/利润表!E2</f>
        <v>0</v>
      </c>
      <c r="F83" s="720">
        <f>年度数据!F128/利润表!F2</f>
        <v>0</v>
      </c>
      <c r="G83" s="720">
        <f>年度数据!G128/利润表!G2</f>
        <v>0</v>
      </c>
      <c r="H83" s="720">
        <f>年度数据!H128/利润表!H2</f>
        <v>0</v>
      </c>
      <c r="I83" s="741">
        <f t="shared" ref="I83:AL83" si="29">IF(ISNUMBER(H83),H83,0)</f>
        <v>0</v>
      </c>
      <c r="J83" s="741">
        <f t="shared" si="29"/>
        <v>0</v>
      </c>
      <c r="K83" s="741">
        <f t="shared" si="29"/>
        <v>0</v>
      </c>
      <c r="L83" s="741">
        <f t="shared" si="29"/>
        <v>0</v>
      </c>
      <c r="M83" s="741">
        <f t="shared" si="29"/>
        <v>0</v>
      </c>
      <c r="N83" s="741">
        <f t="shared" si="29"/>
        <v>0</v>
      </c>
      <c r="O83" s="741">
        <f t="shared" si="29"/>
        <v>0</v>
      </c>
      <c r="P83" s="741">
        <f t="shared" si="29"/>
        <v>0</v>
      </c>
      <c r="Q83" s="741">
        <f t="shared" si="29"/>
        <v>0</v>
      </c>
      <c r="R83" s="741">
        <f t="shared" si="29"/>
        <v>0</v>
      </c>
      <c r="S83" s="741">
        <f t="shared" si="29"/>
        <v>0</v>
      </c>
      <c r="T83" s="741">
        <f t="shared" si="29"/>
        <v>0</v>
      </c>
      <c r="U83" s="741">
        <f t="shared" si="29"/>
        <v>0</v>
      </c>
      <c r="V83" s="741">
        <f t="shared" si="29"/>
        <v>0</v>
      </c>
      <c r="W83" s="741">
        <f t="shared" si="29"/>
        <v>0</v>
      </c>
      <c r="X83" s="741">
        <f t="shared" si="29"/>
        <v>0</v>
      </c>
      <c r="Y83" s="741">
        <f t="shared" si="29"/>
        <v>0</v>
      </c>
      <c r="Z83" s="741">
        <f t="shared" si="29"/>
        <v>0</v>
      </c>
      <c r="AA83" s="741">
        <f t="shared" si="29"/>
        <v>0</v>
      </c>
      <c r="AB83" s="741">
        <f t="shared" si="29"/>
        <v>0</v>
      </c>
      <c r="AC83" s="741">
        <f t="shared" si="29"/>
        <v>0</v>
      </c>
      <c r="AD83" s="741">
        <f t="shared" si="29"/>
        <v>0</v>
      </c>
      <c r="AE83" s="741">
        <f t="shared" si="29"/>
        <v>0</v>
      </c>
      <c r="AF83" s="741">
        <f t="shared" si="29"/>
        <v>0</v>
      </c>
      <c r="AG83" s="741">
        <f t="shared" si="29"/>
        <v>0</v>
      </c>
      <c r="AH83" s="741">
        <f t="shared" si="29"/>
        <v>0</v>
      </c>
      <c r="AI83" s="741">
        <f t="shared" si="29"/>
        <v>0</v>
      </c>
      <c r="AJ83" s="741">
        <f t="shared" si="29"/>
        <v>0</v>
      </c>
      <c r="AK83" s="741">
        <f t="shared" si="29"/>
        <v>0</v>
      </c>
      <c r="AL83" s="741">
        <f t="shared" si="29"/>
        <v>0</v>
      </c>
      <c r="AM83" s="440"/>
    </row>
    <row r="84" spans="1:39" s="243" customFormat="1" ht="15" customHeight="1">
      <c r="A84" s="717" t="s">
        <v>2683</v>
      </c>
      <c r="B84" s="717"/>
      <c r="C84" s="717"/>
      <c r="D84" s="713">
        <v>0</v>
      </c>
      <c r="E84" s="713">
        <v>0</v>
      </c>
      <c r="F84" s="713">
        <v>0</v>
      </c>
      <c r="G84" s="713">
        <v>0</v>
      </c>
      <c r="H84" s="713">
        <v>0</v>
      </c>
      <c r="I84" s="1067">
        <v>0</v>
      </c>
      <c r="J84" s="1067">
        <v>0</v>
      </c>
      <c r="K84" s="1067">
        <v>0</v>
      </c>
      <c r="L84" s="1067">
        <v>0</v>
      </c>
      <c r="M84" s="1067">
        <v>0</v>
      </c>
      <c r="N84" s="1067">
        <v>0</v>
      </c>
      <c r="O84" s="1067">
        <v>0</v>
      </c>
      <c r="P84" s="1067">
        <v>0</v>
      </c>
      <c r="Q84" s="1067">
        <v>0</v>
      </c>
      <c r="R84" s="1067">
        <v>0</v>
      </c>
      <c r="S84" s="1067">
        <v>0</v>
      </c>
      <c r="T84" s="1067">
        <v>0</v>
      </c>
      <c r="U84" s="1067">
        <v>0</v>
      </c>
      <c r="V84" s="1067">
        <v>0</v>
      </c>
      <c r="W84" s="1067">
        <v>0</v>
      </c>
      <c r="X84" s="1067">
        <v>0</v>
      </c>
      <c r="Y84" s="1067">
        <v>0</v>
      </c>
      <c r="Z84" s="1067">
        <v>0</v>
      </c>
      <c r="AA84" s="1067">
        <v>0</v>
      </c>
      <c r="AB84" s="1067">
        <v>0</v>
      </c>
      <c r="AC84" s="1067">
        <v>0</v>
      </c>
      <c r="AD84" s="1067">
        <v>0</v>
      </c>
      <c r="AE84" s="1067">
        <v>0</v>
      </c>
      <c r="AF84" s="1067">
        <v>0</v>
      </c>
      <c r="AG84" s="1067">
        <v>0</v>
      </c>
      <c r="AH84" s="1067">
        <v>0</v>
      </c>
      <c r="AI84" s="1067">
        <v>0</v>
      </c>
      <c r="AJ84" s="1067">
        <v>0</v>
      </c>
      <c r="AK84" s="1067">
        <v>0</v>
      </c>
      <c r="AL84" s="1067">
        <v>0</v>
      </c>
      <c r="AM84" s="440"/>
    </row>
    <row r="85" spans="1:39" s="243" customFormat="1" ht="15" customHeight="1">
      <c r="A85" s="734"/>
      <c r="B85" s="717"/>
      <c r="C85" s="717"/>
      <c r="D85" s="720"/>
      <c r="E85" s="742"/>
      <c r="F85" s="742"/>
      <c r="G85" s="742"/>
      <c r="H85" s="742"/>
      <c r="I85" s="742"/>
      <c r="J85" s="742"/>
      <c r="K85" s="742"/>
      <c r="L85" s="742"/>
      <c r="M85" s="742"/>
      <c r="N85" s="742"/>
      <c r="O85" s="742"/>
      <c r="P85" s="742"/>
      <c r="Q85" s="742"/>
      <c r="R85" s="742"/>
      <c r="S85" s="742"/>
      <c r="T85" s="742"/>
      <c r="U85" s="742"/>
      <c r="V85" s="742"/>
      <c r="W85" s="742"/>
      <c r="X85" s="742"/>
      <c r="Y85" s="742"/>
      <c r="Z85" s="742"/>
      <c r="AA85" s="742"/>
      <c r="AB85" s="742"/>
      <c r="AC85" s="742"/>
      <c r="AD85" s="742"/>
      <c r="AE85" s="742"/>
      <c r="AF85" s="742"/>
      <c r="AG85" s="742"/>
      <c r="AH85" s="742"/>
      <c r="AI85" s="742"/>
      <c r="AJ85" s="742"/>
      <c r="AK85" s="742"/>
      <c r="AL85" s="742"/>
      <c r="AM85" s="440"/>
    </row>
    <row r="86" spans="1:39" ht="15.9" customHeight="1">
      <c r="A86" s="733" t="s">
        <v>788</v>
      </c>
      <c r="B86" s="715"/>
      <c r="C86" s="716"/>
      <c r="D86" s="199"/>
      <c r="E86" s="200"/>
      <c r="F86" s="200"/>
      <c r="G86" s="200"/>
      <c r="H86" s="742"/>
      <c r="I86" s="200"/>
      <c r="J86" s="200"/>
      <c r="K86" s="200"/>
      <c r="L86" s="200"/>
      <c r="M86" s="200"/>
      <c r="N86" s="200"/>
      <c r="O86" s="200"/>
      <c r="P86" s="200"/>
      <c r="Q86" s="200"/>
      <c r="R86" s="200"/>
      <c r="S86" s="200"/>
      <c r="T86" s="200"/>
      <c r="U86" s="200"/>
      <c r="V86" s="200"/>
      <c r="W86" s="200"/>
      <c r="X86" s="200"/>
      <c r="Y86" s="200"/>
      <c r="Z86" s="200"/>
      <c r="AA86" s="200"/>
      <c r="AB86" s="200"/>
      <c r="AC86" s="200"/>
      <c r="AD86" s="200"/>
      <c r="AE86" s="200"/>
      <c r="AF86" s="200"/>
      <c r="AG86" s="200"/>
      <c r="AH86" s="200"/>
      <c r="AI86" s="200"/>
      <c r="AJ86" s="200"/>
      <c r="AK86" s="200"/>
      <c r="AL86" s="200"/>
      <c r="AM86" s="440"/>
    </row>
    <row r="87" spans="1:39" ht="15.9" customHeight="1">
      <c r="A87" s="745" t="s">
        <v>789</v>
      </c>
      <c r="B87" s="715"/>
      <c r="C87" s="715"/>
      <c r="D87" s="199"/>
      <c r="E87" s="200"/>
      <c r="F87" s="200"/>
      <c r="G87" s="200"/>
      <c r="H87" s="742"/>
      <c r="I87" s="200"/>
      <c r="J87" s="200"/>
      <c r="K87" s="200"/>
      <c r="L87" s="200"/>
      <c r="M87" s="200"/>
      <c r="N87" s="200"/>
      <c r="O87" s="200"/>
      <c r="P87" s="200"/>
      <c r="Q87" s="200"/>
      <c r="R87" s="200"/>
      <c r="S87" s="200"/>
      <c r="T87" s="200"/>
      <c r="U87" s="200"/>
      <c r="V87" s="200"/>
      <c r="W87" s="200"/>
      <c r="X87" s="200"/>
      <c r="Y87" s="200"/>
      <c r="Z87" s="200"/>
      <c r="AA87" s="200"/>
      <c r="AB87" s="200"/>
      <c r="AC87" s="200"/>
      <c r="AD87" s="200"/>
      <c r="AE87" s="200"/>
      <c r="AF87" s="200"/>
      <c r="AG87" s="200"/>
      <c r="AH87" s="200"/>
      <c r="AI87" s="200"/>
      <c r="AJ87" s="200"/>
      <c r="AK87" s="200"/>
      <c r="AL87" s="200"/>
      <c r="AM87" s="440"/>
    </row>
    <row r="88" spans="1:39" s="714" customFormat="1" ht="15.9" customHeight="1">
      <c r="A88" s="746" t="s">
        <v>790</v>
      </c>
      <c r="B88" s="719"/>
      <c r="C88" s="730"/>
      <c r="D88" s="720"/>
      <c r="E88" s="742"/>
      <c r="F88" s="742"/>
      <c r="G88" s="742"/>
      <c r="H88" s="742"/>
      <c r="I88" s="747">
        <v>5</v>
      </c>
      <c r="J88" s="200"/>
      <c r="K88" s="200"/>
      <c r="L88" s="200"/>
      <c r="M88" s="200"/>
      <c r="N88" s="200"/>
      <c r="O88" s="200"/>
      <c r="P88" s="200"/>
      <c r="Q88" s="200"/>
      <c r="R88" s="200"/>
      <c r="S88" s="200"/>
      <c r="T88" s="200"/>
      <c r="U88" s="200"/>
      <c r="V88" s="200"/>
      <c r="W88" s="200"/>
      <c r="X88" s="200"/>
      <c r="Y88" s="200"/>
      <c r="Z88" s="200"/>
      <c r="AA88" s="200"/>
      <c r="AB88" s="200"/>
      <c r="AC88" s="200"/>
      <c r="AD88" s="200"/>
      <c r="AE88" s="200"/>
      <c r="AF88" s="200"/>
      <c r="AG88" s="200"/>
      <c r="AH88" s="200"/>
      <c r="AI88" s="200"/>
      <c r="AJ88" s="200"/>
      <c r="AK88" s="200"/>
      <c r="AL88" s="200"/>
      <c r="AM88" s="440"/>
    </row>
    <row r="89" spans="1:39" s="243" customFormat="1" ht="15.9" customHeight="1">
      <c r="A89" s="748" t="s">
        <v>1549</v>
      </c>
      <c r="B89" s="715"/>
      <c r="C89" s="718"/>
      <c r="D89" s="1315">
        <f>资产负债!D31/利润表!D2</f>
        <v>0.10273269232560781</v>
      </c>
      <c r="E89" s="1315">
        <f>资产负债!E31/利润表!E2</f>
        <v>0.10841140521485113</v>
      </c>
      <c r="F89" s="1315">
        <f>资产负债!F31/利润表!F2</f>
        <v>5.9196823371361063E-2</v>
      </c>
      <c r="G89" s="1315">
        <f>资产负债!G31/利润表!G2</f>
        <v>3.4281057691696308E-2</v>
      </c>
      <c r="H89" s="1315">
        <f>资产负债!H31/利润表!H2</f>
        <v>2.0761319856869985E-2</v>
      </c>
      <c r="I89" s="1316">
        <f t="shared" ref="I89:R91" si="30">IF(ISNUMBER(AVERAGE(H89,G89,F89,E89,D89)),AVERAGE(H89,G89,F89,E89,D89),0)</f>
        <v>6.5076659692077252E-2</v>
      </c>
      <c r="J89" s="1316">
        <f t="shared" si="30"/>
        <v>5.7545453165371144E-2</v>
      </c>
      <c r="K89" s="1316">
        <f t="shared" si="30"/>
        <v>4.7372262755475153E-2</v>
      </c>
      <c r="L89" s="1316">
        <f t="shared" si="30"/>
        <v>4.5007350632297972E-2</v>
      </c>
      <c r="M89" s="1316">
        <f t="shared" si="30"/>
        <v>4.71526092204183E-2</v>
      </c>
      <c r="N89" s="1316">
        <f t="shared" si="30"/>
        <v>5.2430867093127963E-2</v>
      </c>
      <c r="O89" s="1316">
        <f t="shared" si="30"/>
        <v>4.9901708573338109E-2</v>
      </c>
      <c r="P89" s="1316">
        <f t="shared" si="30"/>
        <v>4.8372959654931498E-2</v>
      </c>
      <c r="Q89" s="1316">
        <f t="shared" si="30"/>
        <v>4.8573099034822771E-2</v>
      </c>
      <c r="R89" s="1316">
        <f t="shared" si="30"/>
        <v>4.9286248715327732E-2</v>
      </c>
      <c r="S89" s="1316">
        <f t="shared" ref="S89:AB91" si="31">IF(ISNUMBER(AVERAGE(R89,Q89,P89,O89,N89)),AVERAGE(R89,Q89,P89,O89,N89),0)</f>
        <v>4.9712976614309616E-2</v>
      </c>
      <c r="T89" s="1316">
        <f t="shared" si="31"/>
        <v>4.9169398518545945E-2</v>
      </c>
      <c r="U89" s="1316">
        <f t="shared" si="31"/>
        <v>4.902293650758751E-2</v>
      </c>
      <c r="V89" s="1316">
        <f t="shared" si="31"/>
        <v>4.9152931878118714E-2</v>
      </c>
      <c r="W89" s="1316">
        <f t="shared" si="31"/>
        <v>4.9268898446777898E-2</v>
      </c>
      <c r="X89" s="1316">
        <f t="shared" si="31"/>
        <v>4.9265428393067932E-2</v>
      </c>
      <c r="Y89" s="1316">
        <f t="shared" si="31"/>
        <v>4.9175918748819603E-2</v>
      </c>
      <c r="Z89" s="1316">
        <f t="shared" si="31"/>
        <v>4.917722279487434E-2</v>
      </c>
      <c r="AA89" s="1316">
        <f t="shared" si="31"/>
        <v>4.9208080052331696E-2</v>
      </c>
      <c r="AB89" s="1316">
        <f t="shared" si="31"/>
        <v>4.9219109687174294E-2</v>
      </c>
      <c r="AC89" s="1316">
        <f t="shared" ref="AC89:AL91" si="32">IF(ISNUMBER(AVERAGE(AB89,AA89,Z89,Y89,X89)),AVERAGE(AB89,AA89,Z89,Y89,X89),0)</f>
        <v>4.9209151935253576E-2</v>
      </c>
      <c r="AD89" s="1316">
        <f t="shared" si="32"/>
        <v>4.919789664369071E-2</v>
      </c>
      <c r="AE89" s="1316">
        <f t="shared" si="32"/>
        <v>4.9202292222664923E-2</v>
      </c>
      <c r="AF89" s="1316">
        <f t="shared" si="32"/>
        <v>4.9207306108223034E-2</v>
      </c>
      <c r="AG89" s="1316">
        <f t="shared" si="32"/>
        <v>4.9207151319401309E-2</v>
      </c>
      <c r="AH89" s="1316">
        <f t="shared" si="32"/>
        <v>4.920475964584671E-2</v>
      </c>
      <c r="AI89" s="1316">
        <f t="shared" si="32"/>
        <v>4.9203881187965329E-2</v>
      </c>
      <c r="AJ89" s="1316">
        <f t="shared" si="32"/>
        <v>4.9205078096820266E-2</v>
      </c>
      <c r="AK89" s="1316">
        <f t="shared" si="32"/>
        <v>4.9205635271651324E-2</v>
      </c>
      <c r="AL89" s="1316">
        <f t="shared" si="32"/>
        <v>4.920530110433699E-2</v>
      </c>
      <c r="AM89" s="440"/>
    </row>
    <row r="90" spans="1:39" s="750" customFormat="1" ht="15.9" customHeight="1">
      <c r="A90" s="719" t="s">
        <v>791</v>
      </c>
      <c r="B90" s="719" t="s">
        <v>792</v>
      </c>
      <c r="C90" s="719"/>
      <c r="D90" s="200">
        <f>IF(年度数据!D137=0,10,(资产负债!D30+年度数据!D137)/年度数据!D137)</f>
        <v>14.910704421366272</v>
      </c>
      <c r="E90" s="200">
        <f>IF(年度数据!E137=0,10,(资产负债!E30+年度数据!E137)/年度数据!E137)</f>
        <v>12.755044250413992</v>
      </c>
      <c r="F90" s="200">
        <f>IF(年度数据!F137=0,10,(资产负债!F30+年度数据!F137)/年度数据!F137)</f>
        <v>14.869663940063999</v>
      </c>
      <c r="G90" s="200">
        <f>IF(年度数据!G137=0,10,(资产负债!G30+年度数据!G137)/年度数据!G137)</f>
        <v>12.294295894370917</v>
      </c>
      <c r="H90" s="200">
        <f>IF(年度数据!H137=0,10,(资产负债!H30+年度数据!H137)/年度数据!H137)</f>
        <v>11.166798574001056</v>
      </c>
      <c r="I90" s="544">
        <f t="shared" si="30"/>
        <v>13.19930141604325</v>
      </c>
      <c r="J90" s="544">
        <f t="shared" si="30"/>
        <v>12.857020814978643</v>
      </c>
      <c r="K90" s="544">
        <f t="shared" si="30"/>
        <v>12.877416127891573</v>
      </c>
      <c r="L90" s="544">
        <f t="shared" si="30"/>
        <v>12.478966565457089</v>
      </c>
      <c r="M90" s="544">
        <f t="shared" si="30"/>
        <v>12.515900699674322</v>
      </c>
      <c r="N90" s="544">
        <f t="shared" si="30"/>
        <v>12.785721124808974</v>
      </c>
      <c r="O90" s="544">
        <f t="shared" si="30"/>
        <v>12.703005066562122</v>
      </c>
      <c r="P90" s="544">
        <f t="shared" si="30"/>
        <v>12.672201916878816</v>
      </c>
      <c r="Q90" s="544">
        <f t="shared" si="30"/>
        <v>12.631159074676265</v>
      </c>
      <c r="R90" s="544">
        <f t="shared" si="30"/>
        <v>12.6615975765201</v>
      </c>
      <c r="S90" s="544">
        <f t="shared" si="31"/>
        <v>12.690736951889253</v>
      </c>
      <c r="T90" s="544">
        <f t="shared" si="31"/>
        <v>12.671740117305312</v>
      </c>
      <c r="U90" s="544">
        <f t="shared" si="31"/>
        <v>12.665487127453948</v>
      </c>
      <c r="V90" s="544">
        <f t="shared" si="31"/>
        <v>12.664144169568976</v>
      </c>
      <c r="W90" s="544">
        <f t="shared" si="31"/>
        <v>12.670741188547517</v>
      </c>
      <c r="X90" s="544">
        <f t="shared" si="31"/>
        <v>12.672569910953001</v>
      </c>
      <c r="Y90" s="544">
        <f t="shared" si="31"/>
        <v>12.668936502765751</v>
      </c>
      <c r="Z90" s="544">
        <f t="shared" si="31"/>
        <v>12.66837577985784</v>
      </c>
      <c r="AA90" s="544">
        <f t="shared" si="31"/>
        <v>12.668953510338618</v>
      </c>
      <c r="AB90" s="544">
        <f t="shared" si="31"/>
        <v>12.669915378492545</v>
      </c>
      <c r="AC90" s="544">
        <f t="shared" si="32"/>
        <v>12.669750216481551</v>
      </c>
      <c r="AD90" s="544">
        <f t="shared" si="32"/>
        <v>12.669186277587261</v>
      </c>
      <c r="AE90" s="544">
        <f t="shared" si="32"/>
        <v>12.669236232551564</v>
      </c>
      <c r="AF90" s="544">
        <f t="shared" si="32"/>
        <v>12.669408323090309</v>
      </c>
      <c r="AG90" s="544">
        <f t="shared" si="32"/>
        <v>12.669499285640647</v>
      </c>
      <c r="AH90" s="544">
        <f t="shared" si="32"/>
        <v>12.669416067070266</v>
      </c>
      <c r="AI90" s="544">
        <f t="shared" si="32"/>
        <v>12.66934923718801</v>
      </c>
      <c r="AJ90" s="544">
        <f t="shared" si="32"/>
        <v>12.669381829108158</v>
      </c>
      <c r="AK90" s="544">
        <f t="shared" si="32"/>
        <v>12.669410948419479</v>
      </c>
      <c r="AL90" s="544">
        <f t="shared" si="32"/>
        <v>12.669411473485312</v>
      </c>
      <c r="AM90" s="440"/>
    </row>
    <row r="91" spans="1:39" s="243" customFormat="1" ht="15.9" customHeight="1">
      <c r="A91" s="748" t="s">
        <v>1550</v>
      </c>
      <c r="B91" s="715"/>
      <c r="C91" s="718"/>
      <c r="D91" s="1315">
        <f>资产负债!D30/利润表!D2</f>
        <v>0.17125480338185017</v>
      </c>
      <c r="E91" s="1315">
        <f>资产负债!E30/利润表!E2</f>
        <v>0.15559500224805603</v>
      </c>
      <c r="F91" s="1315">
        <f>资产负债!F30/利润表!F2</f>
        <v>0.21007042281914834</v>
      </c>
      <c r="G91" s="1315">
        <f>资产负债!G30/利润表!G2</f>
        <v>0.21637126130986081</v>
      </c>
      <c r="H91" s="1315">
        <f>资产负债!H30/利润表!H2</f>
        <v>0.2549939416714746</v>
      </c>
      <c r="I91" s="1316">
        <f t="shared" si="30"/>
        <v>0.20165708628607798</v>
      </c>
      <c r="J91" s="1316">
        <f t="shared" si="30"/>
        <v>0.20773754286692356</v>
      </c>
      <c r="K91" s="1316">
        <f t="shared" si="30"/>
        <v>0.21816605099069708</v>
      </c>
      <c r="L91" s="1316">
        <f t="shared" si="30"/>
        <v>0.2197851766250068</v>
      </c>
      <c r="M91" s="1316">
        <f t="shared" si="30"/>
        <v>0.22046795968803598</v>
      </c>
      <c r="N91" s="1316">
        <f t="shared" si="30"/>
        <v>0.2135627632913483</v>
      </c>
      <c r="O91" s="1316">
        <f t="shared" si="30"/>
        <v>0.21594389869240233</v>
      </c>
      <c r="P91" s="1316">
        <f t="shared" si="30"/>
        <v>0.21758516985749812</v>
      </c>
      <c r="Q91" s="1316">
        <f t="shared" si="30"/>
        <v>0.21746899363085831</v>
      </c>
      <c r="R91" s="1316">
        <f t="shared" si="30"/>
        <v>0.2170057570320286</v>
      </c>
      <c r="S91" s="1316">
        <f t="shared" si="31"/>
        <v>0.21631331650082714</v>
      </c>
      <c r="T91" s="1316">
        <f t="shared" si="31"/>
        <v>0.21686342714272291</v>
      </c>
      <c r="U91" s="1316">
        <f t="shared" si="31"/>
        <v>0.21704733283278704</v>
      </c>
      <c r="V91" s="1316">
        <f t="shared" si="31"/>
        <v>0.21693976542784482</v>
      </c>
      <c r="W91" s="1316">
        <f t="shared" si="31"/>
        <v>0.21683391978724206</v>
      </c>
      <c r="X91" s="1316">
        <f t="shared" si="31"/>
        <v>0.2167995523382848</v>
      </c>
      <c r="Y91" s="1316">
        <f t="shared" si="31"/>
        <v>0.21689679950577637</v>
      </c>
      <c r="Z91" s="1316">
        <f t="shared" si="31"/>
        <v>0.21690347397838705</v>
      </c>
      <c r="AA91" s="1316">
        <f t="shared" si="31"/>
        <v>0.21687470220750699</v>
      </c>
      <c r="AB91" s="1316">
        <f t="shared" si="31"/>
        <v>0.21686168956343943</v>
      </c>
      <c r="AC91" s="1316">
        <f t="shared" si="32"/>
        <v>0.21686724351867892</v>
      </c>
      <c r="AD91" s="1316">
        <f t="shared" si="32"/>
        <v>0.21688078175475778</v>
      </c>
      <c r="AE91" s="1316">
        <f t="shared" si="32"/>
        <v>0.21687757820455406</v>
      </c>
      <c r="AF91" s="1316">
        <f t="shared" si="32"/>
        <v>0.21687239904978745</v>
      </c>
      <c r="AG91" s="1316">
        <f t="shared" si="32"/>
        <v>0.21687193841824354</v>
      </c>
      <c r="AH91" s="1316">
        <f t="shared" si="32"/>
        <v>0.21687398818920434</v>
      </c>
      <c r="AI91" s="1316">
        <f t="shared" si="32"/>
        <v>0.21687533712330942</v>
      </c>
      <c r="AJ91" s="1316">
        <f t="shared" si="32"/>
        <v>0.21687424819701975</v>
      </c>
      <c r="AK91" s="1316">
        <f t="shared" si="32"/>
        <v>0.21687358219551287</v>
      </c>
      <c r="AL91" s="1316">
        <f t="shared" si="32"/>
        <v>0.216873818824658</v>
      </c>
      <c r="AM91" s="440"/>
    </row>
    <row r="92" spans="1:39" s="243" customFormat="1" ht="15.9" customHeight="1">
      <c r="A92" s="717" t="s">
        <v>793</v>
      </c>
      <c r="B92" s="715"/>
      <c r="D92" s="720"/>
      <c r="E92" s="742"/>
      <c r="F92" s="742"/>
      <c r="G92" s="742"/>
      <c r="H92" s="742"/>
      <c r="I92" s="751">
        <v>0.04</v>
      </c>
      <c r="J92" s="200"/>
      <c r="K92" s="200"/>
      <c r="L92" s="200"/>
      <c r="M92" s="200"/>
      <c r="N92" s="200"/>
      <c r="O92" s="200"/>
      <c r="P92" s="200"/>
      <c r="Q92" s="200"/>
      <c r="R92" s="200"/>
      <c r="S92" s="200"/>
      <c r="T92" s="200"/>
      <c r="U92" s="200"/>
      <c r="V92" s="200"/>
      <c r="W92" s="200"/>
      <c r="X92" s="200"/>
      <c r="Y92" s="200"/>
      <c r="Z92" s="200"/>
      <c r="AA92" s="200"/>
      <c r="AB92" s="200"/>
      <c r="AC92" s="200"/>
      <c r="AD92" s="200"/>
      <c r="AE92" s="200"/>
      <c r="AF92" s="200"/>
      <c r="AG92" s="200"/>
      <c r="AH92" s="200"/>
      <c r="AI92" s="200"/>
      <c r="AJ92" s="200"/>
      <c r="AK92" s="200"/>
      <c r="AL92" s="200"/>
      <c r="AM92" s="440"/>
    </row>
    <row r="93" spans="1:39" s="750" customFormat="1" ht="15.9" customHeight="1">
      <c r="A93" s="752" t="s">
        <v>1347</v>
      </c>
      <c r="B93" s="719"/>
      <c r="C93" s="753"/>
      <c r="D93" s="155"/>
      <c r="E93" s="200"/>
      <c r="F93" s="200"/>
      <c r="G93" s="200"/>
      <c r="H93" s="200"/>
      <c r="I93" s="751">
        <v>0.5</v>
      </c>
      <c r="J93" s="200"/>
      <c r="K93" s="200"/>
      <c r="L93" s="200"/>
      <c r="M93" s="200"/>
      <c r="N93" s="200"/>
      <c r="O93" s="200"/>
      <c r="P93" s="200"/>
      <c r="Q93" s="200"/>
      <c r="R93" s="200"/>
      <c r="S93" s="200"/>
      <c r="T93" s="200"/>
      <c r="U93" s="200"/>
      <c r="V93" s="200"/>
      <c r="W93" s="200"/>
      <c r="X93" s="200"/>
      <c r="Y93" s="200"/>
      <c r="Z93" s="200"/>
      <c r="AA93" s="200"/>
      <c r="AB93" s="200"/>
      <c r="AC93" s="200"/>
      <c r="AD93" s="200"/>
      <c r="AE93" s="200"/>
      <c r="AF93" s="200"/>
      <c r="AG93" s="200"/>
      <c r="AH93" s="200"/>
      <c r="AI93" s="200"/>
      <c r="AJ93" s="200"/>
      <c r="AK93" s="200"/>
      <c r="AL93" s="200"/>
      <c r="AM93" s="440"/>
    </row>
    <row r="94" spans="1:39" s="714" customFormat="1" ht="15.9" customHeight="1">
      <c r="A94" s="745" t="s">
        <v>794</v>
      </c>
      <c r="B94" s="715"/>
      <c r="C94" s="715"/>
      <c r="D94" s="720"/>
      <c r="E94" s="742"/>
      <c r="F94" s="742"/>
      <c r="G94" s="742"/>
      <c r="H94" s="742"/>
      <c r="I94" s="200"/>
      <c r="J94" s="200"/>
      <c r="K94" s="200"/>
      <c r="L94" s="200"/>
      <c r="M94" s="200"/>
      <c r="N94" s="200"/>
      <c r="O94" s="200"/>
      <c r="P94" s="200"/>
      <c r="Q94" s="200"/>
      <c r="R94" s="200"/>
      <c r="S94" s="200"/>
      <c r="T94" s="200"/>
      <c r="U94" s="200"/>
      <c r="V94" s="200"/>
      <c r="W94" s="200"/>
      <c r="X94" s="200"/>
      <c r="Y94" s="200"/>
      <c r="Z94" s="200"/>
      <c r="AA94" s="200"/>
      <c r="AB94" s="200"/>
      <c r="AC94" s="200"/>
      <c r="AD94" s="200"/>
      <c r="AE94" s="200"/>
      <c r="AF94" s="200"/>
      <c r="AG94" s="200"/>
      <c r="AH94" s="200"/>
      <c r="AI94" s="200"/>
      <c r="AJ94" s="200"/>
      <c r="AK94" s="200"/>
      <c r="AL94" s="200"/>
      <c r="AM94" s="440"/>
    </row>
    <row r="95" spans="1:39" s="750" customFormat="1" ht="15.9" customHeight="1">
      <c r="A95" s="719" t="s">
        <v>795</v>
      </c>
      <c r="B95" s="719" t="s">
        <v>796</v>
      </c>
      <c r="C95" s="754"/>
      <c r="D95" s="720">
        <f>IF(年度数据!D138=0,20,资产负债!D33/年度数据!D138)</f>
        <v>40.917556883620357</v>
      </c>
      <c r="E95" s="720">
        <f>IF(年度数据!E138=0,20,资产负债!E33/年度数据!E138)</f>
        <v>42.296296613678159</v>
      </c>
      <c r="F95" s="720">
        <f>IF(年度数据!F138=0,20,资产负债!F33/年度数据!F138)</f>
        <v>34.566780188349419</v>
      </c>
      <c r="G95" s="720">
        <f>IF(年度数据!G138=0,20,资产负债!G33/年度数据!G138)</f>
        <v>32.346224130331017</v>
      </c>
      <c r="H95" s="720">
        <f>IF(年度数据!H138=0,20,资产负债!H33/年度数据!H138)</f>
        <v>29.332498828587745</v>
      </c>
      <c r="I95" s="544">
        <f t="shared" ref="I95:R96" si="33">IF(ISNUMBER(AVERAGE(H95,G95,F95,E95,D95)),AVERAGE(H95,G95,F95,E95,D95),0)</f>
        <v>35.891871328913339</v>
      </c>
      <c r="J95" s="544">
        <f t="shared" si="33"/>
        <v>34.886734217971934</v>
      </c>
      <c r="K95" s="544">
        <f t="shared" si="33"/>
        <v>33.404821738830691</v>
      </c>
      <c r="L95" s="544">
        <f t="shared" si="33"/>
        <v>33.172430048926948</v>
      </c>
      <c r="M95" s="544">
        <f t="shared" si="33"/>
        <v>33.33767123264613</v>
      </c>
      <c r="N95" s="544">
        <f t="shared" si="33"/>
        <v>34.13870571345781</v>
      </c>
      <c r="O95" s="544">
        <f t="shared" si="33"/>
        <v>33.788072590366703</v>
      </c>
      <c r="P95" s="544">
        <f t="shared" si="33"/>
        <v>33.568340264845652</v>
      </c>
      <c r="Q95" s="544">
        <f t="shared" si="33"/>
        <v>33.60104397004865</v>
      </c>
      <c r="R95" s="544">
        <f t="shared" si="33"/>
        <v>33.686766754272995</v>
      </c>
      <c r="S95" s="544">
        <f t="shared" ref="S95:AB96" si="34">IF(ISNUMBER(AVERAGE(R95,Q95,P95,O95,N95)),AVERAGE(R95,Q95,P95,O95,N95),0)</f>
        <v>33.756585858598363</v>
      </c>
      <c r="T95" s="544">
        <f t="shared" si="34"/>
        <v>33.680161887626475</v>
      </c>
      <c r="U95" s="544">
        <f t="shared" si="34"/>
        <v>33.658579747078427</v>
      </c>
      <c r="V95" s="544">
        <f t="shared" si="34"/>
        <v>33.676627643524981</v>
      </c>
      <c r="W95" s="544">
        <f t="shared" si="34"/>
        <v>33.691744378220243</v>
      </c>
      <c r="X95" s="544">
        <f t="shared" si="34"/>
        <v>33.692739903009695</v>
      </c>
      <c r="Y95" s="544">
        <f t="shared" si="34"/>
        <v>33.679970711891961</v>
      </c>
      <c r="Z95" s="544">
        <f t="shared" si="34"/>
        <v>33.679932476745059</v>
      </c>
      <c r="AA95" s="544">
        <f t="shared" si="34"/>
        <v>33.684203022678389</v>
      </c>
      <c r="AB95" s="544">
        <f t="shared" si="34"/>
        <v>33.685718098509071</v>
      </c>
      <c r="AC95" s="544">
        <f t="shared" ref="AC95:AL96" si="35">IF(ISNUMBER(AVERAGE(AB95,AA95,Z95,Y95,X95)),AVERAGE(AB95,AA95,Z95,Y95,X95),0)</f>
        <v>33.684512842566832</v>
      </c>
      <c r="AD95" s="544">
        <f t="shared" si="35"/>
        <v>33.682867430478261</v>
      </c>
      <c r="AE95" s="544">
        <f t="shared" si="35"/>
        <v>33.683446774195517</v>
      </c>
      <c r="AF95" s="544">
        <f t="shared" si="35"/>
        <v>33.684149633685614</v>
      </c>
      <c r="AG95" s="544">
        <f t="shared" si="35"/>
        <v>33.684138955887065</v>
      </c>
      <c r="AH95" s="544">
        <f t="shared" si="35"/>
        <v>33.683823127362658</v>
      </c>
      <c r="AI95" s="544">
        <f t="shared" si="35"/>
        <v>33.683685184321824</v>
      </c>
      <c r="AJ95" s="544">
        <f t="shared" si="35"/>
        <v>33.683848735090535</v>
      </c>
      <c r="AK95" s="544">
        <f t="shared" si="35"/>
        <v>33.683929127269536</v>
      </c>
      <c r="AL95" s="544">
        <f t="shared" si="35"/>
        <v>33.683885025986328</v>
      </c>
      <c r="AM95" s="440"/>
    </row>
    <row r="96" spans="1:39" s="243" customFormat="1" ht="15.9" customHeight="1">
      <c r="A96" s="748" t="s">
        <v>1551</v>
      </c>
      <c r="B96" s="715"/>
      <c r="C96" s="718"/>
      <c r="D96" s="906">
        <f>资产负债!D33-资产负债!C33</f>
        <v>6.4817077499999982</v>
      </c>
      <c r="E96" s="906">
        <f>资产负债!E33-资产负债!D33</f>
        <v>18.360899379999978</v>
      </c>
      <c r="F96" s="906">
        <f>资产负债!F33-资产负债!E33</f>
        <v>8.1877987900000164</v>
      </c>
      <c r="G96" s="906">
        <f>资产负债!G33-资产负债!F33</f>
        <v>-2.9837193600000091</v>
      </c>
      <c r="H96" s="906">
        <f>资产负债!H33-资产负债!G33</f>
        <v>143.95803329000003</v>
      </c>
      <c r="I96" s="907">
        <f t="shared" si="33"/>
        <v>34.800943970000006</v>
      </c>
      <c r="J96" s="907">
        <f t="shared" si="33"/>
        <v>40.464791214000009</v>
      </c>
      <c r="K96" s="907">
        <f t="shared" si="33"/>
        <v>44.885569580800009</v>
      </c>
      <c r="L96" s="907">
        <f t="shared" si="33"/>
        <v>52.225123738960008</v>
      </c>
      <c r="M96" s="907">
        <f t="shared" si="33"/>
        <v>63.26689235875201</v>
      </c>
      <c r="N96" s="907">
        <f t="shared" si="33"/>
        <v>47.128664172502411</v>
      </c>
      <c r="O96" s="907">
        <f t="shared" si="33"/>
        <v>49.594208213002887</v>
      </c>
      <c r="P96" s="907">
        <f t="shared" si="33"/>
        <v>51.420091612803468</v>
      </c>
      <c r="Q96" s="907">
        <f t="shared" si="33"/>
        <v>52.726996019204151</v>
      </c>
      <c r="R96" s="907">
        <f t="shared" si="33"/>
        <v>52.827370475252977</v>
      </c>
      <c r="S96" s="907">
        <f t="shared" si="34"/>
        <v>50.73946609855318</v>
      </c>
      <c r="T96" s="907">
        <f t="shared" si="34"/>
        <v>51.461626483763339</v>
      </c>
      <c r="U96" s="907">
        <f t="shared" si="34"/>
        <v>51.835110137915422</v>
      </c>
      <c r="V96" s="907">
        <f t="shared" si="34"/>
        <v>51.918113842937807</v>
      </c>
      <c r="W96" s="907">
        <f t="shared" si="34"/>
        <v>51.756337407684541</v>
      </c>
      <c r="X96" s="907">
        <f t="shared" si="34"/>
        <v>51.542130794170859</v>
      </c>
      <c r="Y96" s="907">
        <f t="shared" si="34"/>
        <v>51.702663733294386</v>
      </c>
      <c r="Z96" s="907">
        <f t="shared" si="34"/>
        <v>51.750871183200594</v>
      </c>
      <c r="AA96" s="907">
        <f t="shared" si="34"/>
        <v>51.73402339225764</v>
      </c>
      <c r="AB96" s="907">
        <f t="shared" si="34"/>
        <v>51.69720530212161</v>
      </c>
      <c r="AC96" s="907">
        <f t="shared" si="35"/>
        <v>51.685378881009022</v>
      </c>
      <c r="AD96" s="907">
        <f t="shared" si="35"/>
        <v>51.714028498376649</v>
      </c>
      <c r="AE96" s="907">
        <f t="shared" si="35"/>
        <v>51.716301451393107</v>
      </c>
      <c r="AF96" s="907">
        <f t="shared" si="35"/>
        <v>51.7093875050316</v>
      </c>
      <c r="AG96" s="907">
        <f t="shared" si="35"/>
        <v>51.704460327586403</v>
      </c>
      <c r="AH96" s="907">
        <f t="shared" si="35"/>
        <v>51.705911332679349</v>
      </c>
      <c r="AI96" s="907">
        <f t="shared" si="35"/>
        <v>51.710017823013423</v>
      </c>
      <c r="AJ96" s="907">
        <f t="shared" si="35"/>
        <v>51.709215687940777</v>
      </c>
      <c r="AK96" s="907">
        <f t="shared" si="35"/>
        <v>51.707798535250312</v>
      </c>
      <c r="AL96" s="907">
        <f t="shared" si="35"/>
        <v>51.707480741294049</v>
      </c>
      <c r="AM96" s="440"/>
    </row>
    <row r="97" spans="1:39" s="759" customFormat="1" ht="15.9" customHeight="1">
      <c r="A97" s="755"/>
      <c r="B97" s="755"/>
      <c r="C97" s="756"/>
      <c r="D97" s="720"/>
      <c r="E97" s="742"/>
      <c r="F97" s="742"/>
      <c r="G97" s="742"/>
      <c r="H97" s="742"/>
      <c r="I97" s="742"/>
      <c r="J97" s="757"/>
      <c r="K97" s="757"/>
      <c r="L97" s="757"/>
      <c r="M97" s="757"/>
      <c r="N97" s="757"/>
      <c r="O97" s="757"/>
      <c r="P97" s="757"/>
      <c r="Q97" s="757"/>
      <c r="R97" s="757"/>
      <c r="S97" s="757"/>
      <c r="T97" s="757"/>
      <c r="U97" s="757"/>
      <c r="V97" s="757"/>
      <c r="W97" s="757"/>
      <c r="X97" s="757"/>
      <c r="Y97" s="757"/>
      <c r="Z97" s="757"/>
      <c r="AA97" s="757"/>
      <c r="AB97" s="757"/>
      <c r="AC97" s="757"/>
      <c r="AD97" s="757"/>
      <c r="AE97" s="757"/>
      <c r="AF97" s="757"/>
      <c r="AG97" s="757"/>
      <c r="AH97" s="757"/>
      <c r="AI97" s="757"/>
      <c r="AJ97" s="757"/>
      <c r="AK97" s="757"/>
      <c r="AL97" s="757"/>
      <c r="AM97" s="758"/>
    </row>
    <row r="98" spans="1:39" s="243" customFormat="1" ht="15.9" customHeight="1">
      <c r="A98" s="745" t="s">
        <v>797</v>
      </c>
      <c r="B98" s="715"/>
      <c r="C98" s="715"/>
      <c r="D98" s="1071"/>
      <c r="E98" s="742"/>
      <c r="F98" s="742"/>
      <c r="G98" s="742"/>
      <c r="H98" s="742"/>
      <c r="I98" s="200"/>
      <c r="J98" s="200"/>
      <c r="K98" s="200"/>
      <c r="L98" s="200"/>
      <c r="M98" s="200"/>
      <c r="N98" s="200"/>
      <c r="O98" s="200"/>
      <c r="P98" s="200"/>
      <c r="Q98" s="200"/>
      <c r="R98" s="200"/>
      <c r="S98" s="200"/>
      <c r="T98" s="200"/>
      <c r="U98" s="200"/>
      <c r="V98" s="200"/>
      <c r="W98" s="200"/>
      <c r="X98" s="200"/>
      <c r="Y98" s="200"/>
      <c r="Z98" s="200"/>
      <c r="AA98" s="200"/>
      <c r="AB98" s="200"/>
      <c r="AC98" s="200"/>
      <c r="AD98" s="200"/>
      <c r="AE98" s="200"/>
      <c r="AF98" s="200"/>
      <c r="AG98" s="200"/>
      <c r="AH98" s="200"/>
      <c r="AI98" s="200"/>
      <c r="AJ98" s="200"/>
      <c r="AK98" s="200"/>
      <c r="AL98" s="200"/>
      <c r="AM98" s="440"/>
    </row>
    <row r="99" spans="1:39" s="750" customFormat="1" ht="15.9" customHeight="1">
      <c r="A99" s="719" t="s">
        <v>190</v>
      </c>
      <c r="B99" s="719" t="s">
        <v>2445</v>
      </c>
      <c r="C99" s="754">
        <v>0</v>
      </c>
      <c r="D99" s="720">
        <f>IF(年度数据!D139=0,10,资产负债!D34/年度数据!D139)</f>
        <v>2.9125918309558858</v>
      </c>
      <c r="E99" s="720">
        <f>IF(年度数据!E139=0,10,资产负债!E34/年度数据!E139)</f>
        <v>2.7655534728874018</v>
      </c>
      <c r="F99" s="720">
        <f>IF(年度数据!F139=0,10,资产负债!F34/年度数据!F139)</f>
        <v>1.4084370434041937</v>
      </c>
      <c r="G99" s="720">
        <f>IF(年度数据!G139=0,10,资产负债!G34/年度数据!G139)</f>
        <v>0.76578288479838841</v>
      </c>
      <c r="H99" s="720">
        <f>IF(年度数据!H139=0,10,资产负债!H34/年度数据!H139)</f>
        <v>1.6041551635544036</v>
      </c>
      <c r="I99" s="544">
        <f t="shared" ref="I99:R100" si="36">IF(ISNUMBER(AVERAGE(H99,G99,F99,E99,D99)),AVERAGE(H99,G99,F99,E99,D99),0)</f>
        <v>1.8913040791200548</v>
      </c>
      <c r="J99" s="544">
        <f t="shared" si="36"/>
        <v>1.6870465287528886</v>
      </c>
      <c r="K99" s="544">
        <f t="shared" si="36"/>
        <v>1.4713451399259856</v>
      </c>
      <c r="L99" s="544">
        <f t="shared" si="36"/>
        <v>1.483926759230344</v>
      </c>
      <c r="M99" s="544">
        <f t="shared" si="36"/>
        <v>1.6275555341167354</v>
      </c>
      <c r="N99" s="544">
        <f t="shared" si="36"/>
        <v>1.6322356082292018</v>
      </c>
      <c r="O99" s="544">
        <f t="shared" si="36"/>
        <v>1.5804219140510312</v>
      </c>
      <c r="P99" s="544">
        <f t="shared" si="36"/>
        <v>1.5590969911106596</v>
      </c>
      <c r="Q99" s="544">
        <f t="shared" si="36"/>
        <v>1.5766473613475944</v>
      </c>
      <c r="R99" s="544">
        <f t="shared" si="36"/>
        <v>1.5951914817710446</v>
      </c>
      <c r="S99" s="544">
        <f t="shared" ref="S99:AB100" si="37">IF(ISNUMBER(AVERAGE(R99,Q99,P99,O99,N99)),AVERAGE(R99,Q99,P99,O99,N99),0)</f>
        <v>1.5887186713019061</v>
      </c>
      <c r="T99" s="544">
        <f t="shared" si="37"/>
        <v>1.5800152839164472</v>
      </c>
      <c r="U99" s="544">
        <f t="shared" si="37"/>
        <v>1.5799339578895304</v>
      </c>
      <c r="V99" s="544">
        <f t="shared" si="37"/>
        <v>1.5841013512453046</v>
      </c>
      <c r="W99" s="544">
        <f t="shared" si="37"/>
        <v>1.5855921492248466</v>
      </c>
      <c r="X99" s="544">
        <f t="shared" si="37"/>
        <v>1.5836722827156069</v>
      </c>
      <c r="Y99" s="544">
        <f t="shared" si="37"/>
        <v>1.5826630049983472</v>
      </c>
      <c r="Z99" s="544">
        <f t="shared" si="37"/>
        <v>1.583192549214727</v>
      </c>
      <c r="AA99" s="544">
        <f t="shared" si="37"/>
        <v>1.5838442674797666</v>
      </c>
      <c r="AB99" s="544">
        <f t="shared" si="37"/>
        <v>1.5837928507266592</v>
      </c>
      <c r="AC99" s="544">
        <f t="shared" ref="AC99:AL100" si="38">IF(ISNUMBER(AVERAGE(AB99,AA99,Z99,Y99,X99)),AVERAGE(AB99,AA99,Z99,Y99,X99),0)</f>
        <v>1.5834329910270213</v>
      </c>
      <c r="AD99" s="544">
        <f t="shared" si="38"/>
        <v>1.583385132689304</v>
      </c>
      <c r="AE99" s="544">
        <f t="shared" si="38"/>
        <v>1.5835295582274955</v>
      </c>
      <c r="AF99" s="544">
        <f t="shared" si="38"/>
        <v>1.5835969600300492</v>
      </c>
      <c r="AG99" s="544">
        <f t="shared" si="38"/>
        <v>1.5835474985401059</v>
      </c>
      <c r="AH99" s="544">
        <f t="shared" si="38"/>
        <v>1.5834984281027951</v>
      </c>
      <c r="AI99" s="544">
        <f t="shared" si="38"/>
        <v>1.58351151551795</v>
      </c>
      <c r="AJ99" s="544">
        <f t="shared" si="38"/>
        <v>1.5835367920836791</v>
      </c>
      <c r="AK99" s="544">
        <f t="shared" si="38"/>
        <v>1.5835382388549157</v>
      </c>
      <c r="AL99" s="544">
        <f t="shared" si="38"/>
        <v>1.5835264946198895</v>
      </c>
      <c r="AM99" s="440"/>
    </row>
    <row r="100" spans="1:39" s="243" customFormat="1" ht="15.9" customHeight="1">
      <c r="A100" s="748" t="s">
        <v>1552</v>
      </c>
      <c r="B100" s="717">
        <v>0</v>
      </c>
      <c r="C100" s="718">
        <v>0</v>
      </c>
      <c r="D100" s="906">
        <f>资产负债!D34-资产负债!C34</f>
        <v>-0.48131123999999992</v>
      </c>
      <c r="E100" s="906">
        <f>资产负债!E34-资产负债!D34</f>
        <v>0.65380257000000008</v>
      </c>
      <c r="F100" s="906">
        <f>资产负债!F34-资产负债!E34</f>
        <v>1.4304843899999997</v>
      </c>
      <c r="G100" s="906">
        <f>资产负债!G34-资产负债!F34</f>
        <v>-1.9544674599999998</v>
      </c>
      <c r="H100" s="906">
        <f>资产负债!H34-资产负债!G34</f>
        <v>0.71622156999999986</v>
      </c>
      <c r="I100" s="907">
        <f>IF(ISNUMBER((H100*G100*F100*E100*D100)^(1/5)),(H100*G100*F100*E100*D100)^(1/5),0)</f>
        <v>0.9117721406682876</v>
      </c>
      <c r="J100" s="907">
        <f>IF(ISNUMBER((I100*H100*G100*F100*E100)^(1/5)),(I100*H100*G100*F100*E100)^(1/5),0)</f>
        <v>-1.0360444318938848</v>
      </c>
      <c r="K100" s="907">
        <f>IF(ISNUMBER((J100*I100*H100*G100*F100)^(1/5)),(J100*I100*H100*G100*F100)^(1/5),0)</f>
        <v>1.1359644295377707</v>
      </c>
      <c r="L100" s="907">
        <f>IF(ISNUMBER((K100*J100*I100*H100*G100)^(1/5)),(K100*J100*I100*H100*G100)^(1/5),0)</f>
        <v>1.0847784635693161</v>
      </c>
      <c r="M100" s="907">
        <f>IF(ISNUMBER((L100*K100*J100*I100*H100)^(1/5)),(L100*K100*J100*I100*H100)^(1/5),0)</f>
        <v>-0.96428092644865016</v>
      </c>
      <c r="N100" s="907">
        <f>IF(ISNUMBER((M100*L100*K100*J100*I100)^(1/5)),(M100*L100*K100*J100*I100)^(1/5),0)</f>
        <v>1.0233750214761153</v>
      </c>
      <c r="O100" s="907">
        <f>IF(ISNUMBER((N100*M100*L100*K100*J100)^(1/5)),(N100*M100*L100*K100*J100)^(1/5),0)</f>
        <v>1.0472841031745626</v>
      </c>
      <c r="P100" s="907">
        <f>IF(ISNUMBER((O100*N100*M100*L100*K100)^(1/5)),(O100*N100*M100*L100*K100)^(1/5),0)</f>
        <v>-1.0495466275209104</v>
      </c>
      <c r="Q100" s="907">
        <f>IF(ISNUMBER((P100*O100*N100*M100*L100)^(1/5)),(P100*O100*N100*M100*L100)^(1/5),0)</f>
        <v>1.0330685453765547</v>
      </c>
      <c r="R100" s="907">
        <f>IF(ISNUMBER((Q100*P100*O100*N100*M100)^(1/5)),(Q100*P100*O100*N100*M100)^(1/5),0)</f>
        <v>1.0230261976281634</v>
      </c>
      <c r="S100" s="907">
        <f>IF(ISNUMBER((R100*Q100*P100*O100*N100)^(1/5)),(R100*Q100*P100*O100*N100)^(1/5),0)</f>
        <v>-1.0351979207309869</v>
      </c>
      <c r="T100" s="907">
        <f>IF(ISNUMBER((S100*R100*Q100*P100*O100)^(1/5)),(S100*R100*Q100*P100*O100)^(1/5),0)</f>
        <v>1.0375788409307081</v>
      </c>
      <c r="U100" s="907">
        <f>IF(ISNUMBER((T100*S100*R100*Q100*P100)^(1/5)),(T100*S100*R100*Q100*P100)^(1/5),0)</f>
        <v>1.0356486079942564</v>
      </c>
      <c r="V100" s="907">
        <f>IF(ISNUMBER((U100*T100*S100*R100*Q100)^(1/5)),(U100*T100*S100*R100*Q100)^(1/5),0)</f>
        <v>-1.0328911669277798</v>
      </c>
      <c r="W100" s="907">
        <f>IF(ISNUMBER((V100*U100*T100*S100*R100)^(1/5)),(V100*U100*T100*S100*R100)^(1/5),0)</f>
        <v>1.0328556948929097</v>
      </c>
      <c r="X100" s="907">
        <f>IF(ISNUMBER((W100*V100*U100*T100*S100)^(1/5)),(W100*V100*U100*T100*S100)^(1/5),0)</f>
        <v>1.0348328987512343</v>
      </c>
      <c r="Y100" s="907">
        <f>IF(ISNUMBER((X100*W100*V100*U100*T100)^(1/5)),(X100*W100*V100*U100*T100)^(1/5),0)</f>
        <v>-1.0347599098020202</v>
      </c>
      <c r="Z100" s="907">
        <f>IF(ISNUMBER((Y100*X100*W100*V100*U100)^(1/5)),(Y100*X100*W100*V100*U100)^(1/5),0)</f>
        <v>1.0341970432716163</v>
      </c>
      <c r="AA100" s="907">
        <f>IF(ISNUMBER((Z100*Y100*X100*W100*V100)^(1/5)),(Z100*Y100*X100*W100*V100)^(1/5),0)</f>
        <v>1.0339069745599083</v>
      </c>
      <c r="AB100" s="907">
        <f>IF(ISNUMBER((AA100*Z100*Y100*X100*W100)^(1/5)),(AA100*Z100*Y100*X100*W100)^(1/5),0)</f>
        <v>-1.0341102559357067</v>
      </c>
      <c r="AC100" s="907">
        <f>IF(ISNUMBER((AB100*AA100*Z100*Y100*X100)^(1/5)),(AB100*AA100*Z100*Y100*X100)^(1/5),0)</f>
        <v>1.0343613509477951</v>
      </c>
      <c r="AD100" s="907">
        <f>IF(ISNUMBER((AC100*AB100*AA100*Z100*Y100)^(1/5)),(AC100*AB100*AA100*Z100*Y100)^(1/5),0)</f>
        <v>1.0342670671749641</v>
      </c>
      <c r="AE100" s="907">
        <f>IF(ISNUMBER((AD100*AC100*AB100*AA100*Z100)^(1/5)),(AD100*AC100*AB100*AA100*Z100)^(1/5),0)</f>
        <v>-1.0341685268212719</v>
      </c>
      <c r="AF100" s="907">
        <f>IF(ISNUMBER((AE100*AD100*AC100*AB100*AA100)^(1/5)),(AE100*AD100*AC100*AB100*AA100)^(1/5),0)</f>
        <v>1.0341628236255596</v>
      </c>
      <c r="AG100" s="907">
        <f>IF(ISNUMBER((AF100*AE100*AD100*AC100*AB100)^(1/5)),(AF100*AE100*AD100*AC100*AB100)^(1/5),0)</f>
        <v>1.0342140010356315</v>
      </c>
      <c r="AH100" s="907">
        <f>IF(ISNUMBER((AG100*AF100*AE100*AD100*AC100)^(1/5)),(AG100*AF100*AE100*AD100*AC100)^(1/5),0)</f>
        <v>-1.034234751304546</v>
      </c>
      <c r="AI100" s="907">
        <f>IF(ISNUMBER((AH100*AG100*AF100*AE100*AD100)^(1/5)),(AH100*AG100*AF100*AE100*AD100)^(1/5),0)</f>
        <v>1.0342094332353615</v>
      </c>
      <c r="AJ100" s="907">
        <f>IF(ISNUMBER((AI100*AH100*AG100*AF100*AE100)^(1/5)),(AI100*AH100*AG100*AF100*AE100)^(1/5),0)</f>
        <v>1.0341979068328411</v>
      </c>
      <c r="AK100" s="907">
        <f>IF(ISNUMBER((AJ100*AI100*AH100*AG100*AF100)^(1/5)),(AJ100*AI100*AH100*AG100*AF100)^(1/5),0)</f>
        <v>-1.0342037829353141</v>
      </c>
      <c r="AL100" s="907">
        <f>IF(ISNUMBER((AK100*AJ100*AI100*AH100*AG100)^(1/5)),(AK100*AJ100*AI100*AH100*AG100)^(1/5),0)</f>
        <v>1.0342119749919323</v>
      </c>
      <c r="AM100" s="440"/>
    </row>
    <row r="101" spans="1:39" s="750" customFormat="1" ht="15.9" customHeight="1">
      <c r="A101" s="719"/>
      <c r="B101" s="719"/>
      <c r="C101" s="754"/>
      <c r="D101" s="1071"/>
      <c r="E101" s="742"/>
      <c r="F101" s="742"/>
      <c r="G101" s="742"/>
      <c r="H101" s="742"/>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440"/>
    </row>
    <row r="102" spans="1:39" s="750" customFormat="1" ht="15.9" customHeight="1">
      <c r="A102" s="719"/>
      <c r="B102" s="719"/>
      <c r="C102" s="754"/>
      <c r="D102" s="1071"/>
      <c r="E102" s="742"/>
      <c r="F102" s="742"/>
      <c r="G102" s="742"/>
      <c r="H102" s="742"/>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440"/>
    </row>
    <row r="103" spans="1:39" s="759" customFormat="1" ht="15.9" customHeight="1">
      <c r="A103" s="733" t="s">
        <v>798</v>
      </c>
      <c r="B103" s="755"/>
      <c r="C103" s="756"/>
      <c r="D103" s="1071"/>
      <c r="E103" s="742"/>
      <c r="F103" s="742"/>
      <c r="G103" s="742"/>
      <c r="H103" s="200"/>
      <c r="I103" s="200"/>
      <c r="J103" s="200"/>
      <c r="K103" s="200"/>
      <c r="L103" s="200"/>
      <c r="M103" s="200"/>
      <c r="N103" s="200"/>
      <c r="O103" s="200"/>
      <c r="P103" s="200"/>
      <c r="Q103" s="200"/>
      <c r="R103" s="200"/>
      <c r="S103" s="200"/>
      <c r="T103" s="200"/>
      <c r="U103" s="200"/>
      <c r="V103" s="200"/>
      <c r="W103" s="200"/>
      <c r="X103" s="200"/>
      <c r="Y103" s="200"/>
      <c r="Z103" s="200"/>
      <c r="AA103" s="200"/>
      <c r="AB103" s="200"/>
      <c r="AC103" s="200"/>
      <c r="AD103" s="200"/>
      <c r="AE103" s="200"/>
      <c r="AF103" s="200"/>
      <c r="AG103" s="200"/>
      <c r="AH103" s="200"/>
      <c r="AI103" s="200"/>
      <c r="AJ103" s="200"/>
      <c r="AK103" s="200"/>
      <c r="AL103" s="200"/>
      <c r="AM103" s="758"/>
    </row>
    <row r="104" spans="1:39" s="243" customFormat="1" ht="15.9" customHeight="1">
      <c r="A104" s="715" t="s">
        <v>799</v>
      </c>
      <c r="B104" s="717"/>
      <c r="C104" s="717"/>
      <c r="D104" s="1071"/>
      <c r="E104" s="742"/>
      <c r="F104" s="742"/>
      <c r="G104" s="742"/>
      <c r="H104" s="742"/>
      <c r="I104" s="747">
        <v>5</v>
      </c>
      <c r="J104" s="200"/>
      <c r="K104" s="200"/>
      <c r="L104" s="200"/>
      <c r="M104" s="200"/>
      <c r="N104" s="200"/>
      <c r="O104" s="200"/>
      <c r="P104" s="200"/>
      <c r="Q104" s="200"/>
      <c r="R104" s="200"/>
      <c r="S104" s="200"/>
      <c r="T104" s="200"/>
      <c r="U104" s="200"/>
      <c r="V104" s="200"/>
      <c r="W104" s="200"/>
      <c r="X104" s="200"/>
      <c r="Y104" s="200"/>
      <c r="Z104" s="200"/>
      <c r="AA104" s="200"/>
      <c r="AB104" s="200"/>
      <c r="AC104" s="200"/>
      <c r="AD104" s="200"/>
      <c r="AE104" s="200"/>
      <c r="AF104" s="200"/>
      <c r="AG104" s="200"/>
      <c r="AH104" s="200"/>
      <c r="AI104" s="200"/>
      <c r="AJ104" s="200"/>
      <c r="AK104" s="200"/>
      <c r="AL104" s="200"/>
      <c r="AM104" s="440"/>
    </row>
    <row r="105" spans="1:39" s="243" customFormat="1" ht="15.9" customHeight="1">
      <c r="A105" s="482" t="s">
        <v>1553</v>
      </c>
      <c r="B105" s="717">
        <v>0</v>
      </c>
      <c r="C105" s="717">
        <v>0</v>
      </c>
      <c r="D105" s="1315">
        <f>资产负债!D62/(资产负债!D30+资产负债!D31+资产负债!D33+资产负债!D34+资产负债!D35+资产负债!D37)</f>
        <v>0.12991341610591997</v>
      </c>
      <c r="E105" s="1315">
        <f>资产负债!E62/(资产负债!E30+资产负债!E31+资产负债!E33+资产负债!E34+资产负债!E35+资产负债!E37)</f>
        <v>5.2921730496413993E-2</v>
      </c>
      <c r="F105" s="1315">
        <f>资产负债!F62/(资产负债!F30+资产负债!F31+资产负债!F33+资产负债!F34+资产负债!F35+资产负债!F37)</f>
        <v>0.11451843334740959</v>
      </c>
      <c r="G105" s="1315">
        <f>资产负债!G62/(资产负债!G30+资产负债!G31+资产负债!G33+资产负债!G34+资产负债!G35+资产负债!G37)</f>
        <v>0.39466105750656838</v>
      </c>
      <c r="H105" s="1315">
        <f>资产负债!H62/(资产负债!H30+资产负债!H31+资产负债!H33+资产负债!H34+资产负债!H35+资产负债!H37)</f>
        <v>0.27137853093122938</v>
      </c>
      <c r="I105" s="1316">
        <v>0.31469999999999998</v>
      </c>
      <c r="J105" s="1316">
        <f>IF(ISNUMBER(AVERAGE(I105,H105,G105)),AVERAGE(I105,H105,G105),0)</f>
        <v>0.32691319614593256</v>
      </c>
      <c r="K105" s="1316">
        <f>IF(ISNUMBER(AVERAGE(J105,I105,H105)),AVERAGE(J105,I105,H105),0)</f>
        <v>0.30433057569238731</v>
      </c>
      <c r="L105" s="1316">
        <f>IF(ISNUMBER(AVERAGE(K105,J105,I105)),AVERAGE(K105,J105,I105),0)</f>
        <v>0.31531459061277328</v>
      </c>
      <c r="M105" s="1316">
        <f>IF(ISNUMBER(AVERAGE(L105,K105,J105)),AVERAGE(L105,K105,J105),0)</f>
        <v>0.31551945415036436</v>
      </c>
      <c r="N105" s="1316">
        <f>IF(ISNUMBER(AVERAGE(M105,L105,K105)),AVERAGE(M105,L105,K105),0)</f>
        <v>0.31172154015184167</v>
      </c>
      <c r="O105" s="1316">
        <f>IF(ISNUMBER(AVERAGE(N105,M105,L105)),AVERAGE(N105,M105,L105),0)</f>
        <v>0.31418519497165981</v>
      </c>
      <c r="P105" s="1316">
        <f>IF(ISNUMBER(AVERAGE(O105,N105,M105)),AVERAGE(O105,N105,M105),0)</f>
        <v>0.31380872975795526</v>
      </c>
      <c r="Q105" s="1316">
        <f>IF(ISNUMBER(AVERAGE(P105,O105,N105)),AVERAGE(P105,O105,N105),0)</f>
        <v>0.3132384882938189</v>
      </c>
      <c r="R105" s="1316">
        <f>IF(ISNUMBER(AVERAGE(Q105,P105,O105)),AVERAGE(Q105,P105,O105),0)</f>
        <v>0.31374413767447801</v>
      </c>
      <c r="S105" s="1316">
        <f>IF(ISNUMBER(AVERAGE(R105,Q105,P105)),AVERAGE(R105,Q105,P105),0)</f>
        <v>0.31359711857541739</v>
      </c>
      <c r="T105" s="1316">
        <f>IF(ISNUMBER(AVERAGE(S105,R105,Q105)),AVERAGE(S105,R105,Q105),0)</f>
        <v>0.31352658151457141</v>
      </c>
      <c r="U105" s="1316">
        <f>IF(ISNUMBER(AVERAGE(T105,S105,R105)),AVERAGE(T105,S105,R105),0)</f>
        <v>0.3136226125881556</v>
      </c>
      <c r="V105" s="1316">
        <f>IF(ISNUMBER(AVERAGE(U105,T105,S105)),AVERAGE(U105,T105,S105),0)</f>
        <v>0.3135821042260481</v>
      </c>
      <c r="W105" s="1316">
        <f>IF(ISNUMBER(AVERAGE(V105,U105,T105)),AVERAGE(V105,U105,T105),0)</f>
        <v>0.313577099442925</v>
      </c>
      <c r="X105" s="1316">
        <f>IF(ISNUMBER(AVERAGE(W105,V105,U105)),AVERAGE(W105,V105,U105),0)</f>
        <v>0.31359393875237623</v>
      </c>
      <c r="Y105" s="1316">
        <f>IF(ISNUMBER(AVERAGE(X105,W105,V105)),AVERAGE(X105,W105,V105),0)</f>
        <v>0.31358438080711643</v>
      </c>
      <c r="Z105" s="1316">
        <f>IF(ISNUMBER(AVERAGE(Y105,X105,W105)),AVERAGE(Y105,X105,W105),0)</f>
        <v>0.31358513966747253</v>
      </c>
      <c r="AA105" s="1316">
        <f>IF(ISNUMBER(AVERAGE(Z105,Y105,X105)),AVERAGE(Z105,Y105,X105),0)</f>
        <v>0.31358781974232169</v>
      </c>
      <c r="AB105" s="1316">
        <f>IF(ISNUMBER(AVERAGE(AA105,Z105,Y105)),AVERAGE(AA105,Z105,Y105),0)</f>
        <v>0.31358578007230359</v>
      </c>
      <c r="AC105" s="1316">
        <f>IF(ISNUMBER(AVERAGE(AB105,AA105,Z105)),AVERAGE(AB105,AA105,Z105),0)</f>
        <v>0.31358624649403261</v>
      </c>
      <c r="AD105" s="1316">
        <f>IF(ISNUMBER(AVERAGE(AC105,AB105,AA105)),AVERAGE(AC105,AB105,AA105),0)</f>
        <v>0.3135866154362193</v>
      </c>
      <c r="AE105" s="1316">
        <f>IF(ISNUMBER(AVERAGE(AD105,AC105,AB105)),AVERAGE(AD105,AC105,AB105),0)</f>
        <v>0.31358621400085185</v>
      </c>
      <c r="AF105" s="1316">
        <f>IF(ISNUMBER(AVERAGE(AE105,AD105,AC105)),AVERAGE(AE105,AD105,AC105),0)</f>
        <v>0.31358635864370127</v>
      </c>
      <c r="AG105" s="1316">
        <f>IF(ISNUMBER(AVERAGE(AF105,AE105,AD105)),AVERAGE(AF105,AE105,AD105),0)</f>
        <v>0.31358639602692412</v>
      </c>
      <c r="AH105" s="1316">
        <f>IF(ISNUMBER(AVERAGE(AG105,AF105,AE105)),AVERAGE(AG105,AF105,AE105),0)</f>
        <v>0.31358632289049243</v>
      </c>
      <c r="AI105" s="1316">
        <f>IF(ISNUMBER(AVERAGE(AH105,AG105,AF105)),AVERAGE(AH105,AG105,AF105),0)</f>
        <v>0.31358635918703931</v>
      </c>
      <c r="AJ105" s="1316">
        <f>IF(ISNUMBER(AVERAGE(AI105,AH105,AG105)),AVERAGE(AI105,AH105,AG105),0)</f>
        <v>0.31358635936815199</v>
      </c>
      <c r="AK105" s="1316">
        <f>IF(ISNUMBER(AVERAGE(AJ105,AI105,AH105)),AVERAGE(AJ105,AI105,AH105),0)</f>
        <v>0.31358634714856121</v>
      </c>
      <c r="AL105" s="1316">
        <f>IF(ISNUMBER(AVERAGE(AK105,AJ105,AI105)),AVERAGE(AK105,AJ105,AI105),0)</f>
        <v>0.31358635523458417</v>
      </c>
      <c r="AM105" s="440"/>
    </row>
    <row r="106" spans="1:39" s="243" customFormat="1" ht="15.9" customHeight="1">
      <c r="A106" s="715"/>
      <c r="B106" s="717"/>
      <c r="C106" s="717"/>
      <c r="D106" s="1071"/>
      <c r="E106" s="742"/>
      <c r="F106" s="742"/>
      <c r="G106" s="742"/>
      <c r="H106" s="742"/>
      <c r="I106" s="757"/>
      <c r="J106" s="757"/>
      <c r="K106" s="757"/>
      <c r="L106" s="757"/>
      <c r="M106" s="757"/>
      <c r="N106" s="757"/>
      <c r="O106" s="757"/>
      <c r="P106" s="757"/>
      <c r="Q106" s="757"/>
      <c r="R106" s="757"/>
      <c r="S106" s="757"/>
      <c r="T106" s="757"/>
      <c r="U106" s="757"/>
      <c r="V106" s="757"/>
      <c r="W106" s="757"/>
      <c r="X106" s="757"/>
      <c r="Y106" s="757"/>
      <c r="Z106" s="757"/>
      <c r="AA106" s="757"/>
      <c r="AB106" s="757"/>
      <c r="AC106" s="757"/>
      <c r="AD106" s="757"/>
      <c r="AE106" s="757"/>
      <c r="AF106" s="757"/>
      <c r="AG106" s="757"/>
      <c r="AH106" s="757"/>
      <c r="AI106" s="757"/>
      <c r="AJ106" s="757"/>
      <c r="AK106" s="757"/>
      <c r="AL106" s="757"/>
      <c r="AM106" s="440"/>
    </row>
    <row r="107" spans="1:39" s="243" customFormat="1" ht="15.9" customHeight="1">
      <c r="A107" s="715"/>
      <c r="B107" s="717"/>
      <c r="C107" s="717"/>
      <c r="D107" s="1071"/>
      <c r="E107" s="742"/>
      <c r="F107" s="742"/>
      <c r="G107" s="742"/>
      <c r="H107" s="742"/>
      <c r="I107" s="757"/>
      <c r="J107" s="757"/>
      <c r="K107" s="757"/>
      <c r="L107" s="757"/>
      <c r="M107" s="757"/>
      <c r="N107" s="757"/>
      <c r="O107" s="757"/>
      <c r="P107" s="757"/>
      <c r="Q107" s="757"/>
      <c r="R107" s="757"/>
      <c r="S107" s="757"/>
      <c r="T107" s="757"/>
      <c r="U107" s="757"/>
      <c r="V107" s="757"/>
      <c r="W107" s="757"/>
      <c r="X107" s="757"/>
      <c r="Y107" s="757"/>
      <c r="Z107" s="757"/>
      <c r="AA107" s="757"/>
      <c r="AB107" s="757"/>
      <c r="AC107" s="757"/>
      <c r="AD107" s="757"/>
      <c r="AE107" s="757"/>
      <c r="AF107" s="757"/>
      <c r="AG107" s="757"/>
      <c r="AH107" s="757"/>
      <c r="AI107" s="757"/>
      <c r="AJ107" s="757"/>
      <c r="AK107" s="757"/>
      <c r="AL107" s="757"/>
      <c r="AM107" s="440"/>
    </row>
    <row r="108" spans="1:39" ht="15" customHeight="1">
      <c r="A108" s="733" t="s">
        <v>800</v>
      </c>
      <c r="B108" s="719"/>
      <c r="C108" s="715"/>
      <c r="D108" s="150"/>
      <c r="E108" s="152"/>
      <c r="F108" s="200"/>
      <c r="G108" s="742"/>
      <c r="H108" s="742"/>
      <c r="I108" s="200"/>
      <c r="J108" s="200"/>
      <c r="K108" s="200"/>
      <c r="L108" s="200"/>
      <c r="M108" s="200"/>
      <c r="N108" s="200"/>
      <c r="O108" s="200"/>
      <c r="P108" s="200"/>
      <c r="Q108" s="200"/>
      <c r="R108" s="200"/>
      <c r="S108" s="200"/>
      <c r="T108" s="200"/>
      <c r="U108" s="200"/>
      <c r="V108" s="200"/>
      <c r="W108" s="200"/>
      <c r="X108" s="200"/>
      <c r="Y108" s="200"/>
      <c r="Z108" s="200"/>
      <c r="AA108" s="200"/>
      <c r="AB108" s="200"/>
      <c r="AC108" s="200"/>
      <c r="AD108" s="200"/>
      <c r="AE108" s="200"/>
      <c r="AF108" s="200"/>
      <c r="AG108" s="200"/>
      <c r="AH108" s="200"/>
      <c r="AI108" s="200"/>
      <c r="AJ108" s="200"/>
      <c r="AK108" s="200"/>
      <c r="AL108" s="200"/>
      <c r="AM108" s="440"/>
    </row>
    <row r="109" spans="1:39" ht="15" customHeight="1">
      <c r="A109" s="719" t="s">
        <v>801</v>
      </c>
      <c r="B109" s="719"/>
      <c r="C109" s="715"/>
      <c r="D109" s="150"/>
      <c r="E109" s="152"/>
      <c r="F109" s="200"/>
      <c r="G109" s="742"/>
      <c r="H109" s="200"/>
      <c r="I109" s="1128">
        <v>6.6000000000000003E-2</v>
      </c>
      <c r="J109" s="749">
        <f>I$109</f>
        <v>6.6000000000000003E-2</v>
      </c>
      <c r="K109" s="749">
        <f>J$109</f>
        <v>6.6000000000000003E-2</v>
      </c>
      <c r="L109" s="749">
        <f t="shared" ref="L109:AL109" si="39">K$109</f>
        <v>6.6000000000000003E-2</v>
      </c>
      <c r="M109" s="749">
        <f t="shared" si="39"/>
        <v>6.6000000000000003E-2</v>
      </c>
      <c r="N109" s="749">
        <f t="shared" si="39"/>
        <v>6.6000000000000003E-2</v>
      </c>
      <c r="O109" s="749">
        <f t="shared" si="39"/>
        <v>6.6000000000000003E-2</v>
      </c>
      <c r="P109" s="749">
        <f t="shared" si="39"/>
        <v>6.6000000000000003E-2</v>
      </c>
      <c r="Q109" s="749">
        <f t="shared" si="39"/>
        <v>6.6000000000000003E-2</v>
      </c>
      <c r="R109" s="749">
        <f t="shared" si="39"/>
        <v>6.6000000000000003E-2</v>
      </c>
      <c r="S109" s="749">
        <f t="shared" si="39"/>
        <v>6.6000000000000003E-2</v>
      </c>
      <c r="T109" s="749">
        <f t="shared" si="39"/>
        <v>6.6000000000000003E-2</v>
      </c>
      <c r="U109" s="749">
        <f t="shared" si="39"/>
        <v>6.6000000000000003E-2</v>
      </c>
      <c r="V109" s="749">
        <f t="shared" si="39"/>
        <v>6.6000000000000003E-2</v>
      </c>
      <c r="W109" s="749">
        <f t="shared" si="39"/>
        <v>6.6000000000000003E-2</v>
      </c>
      <c r="X109" s="749">
        <f t="shared" si="39"/>
        <v>6.6000000000000003E-2</v>
      </c>
      <c r="Y109" s="749">
        <f t="shared" si="39"/>
        <v>6.6000000000000003E-2</v>
      </c>
      <c r="Z109" s="749">
        <f t="shared" si="39"/>
        <v>6.6000000000000003E-2</v>
      </c>
      <c r="AA109" s="749">
        <f t="shared" si="39"/>
        <v>6.6000000000000003E-2</v>
      </c>
      <c r="AB109" s="749">
        <f t="shared" si="39"/>
        <v>6.6000000000000003E-2</v>
      </c>
      <c r="AC109" s="749">
        <f t="shared" si="39"/>
        <v>6.6000000000000003E-2</v>
      </c>
      <c r="AD109" s="749">
        <f t="shared" si="39"/>
        <v>6.6000000000000003E-2</v>
      </c>
      <c r="AE109" s="749">
        <f t="shared" si="39"/>
        <v>6.6000000000000003E-2</v>
      </c>
      <c r="AF109" s="749">
        <f t="shared" si="39"/>
        <v>6.6000000000000003E-2</v>
      </c>
      <c r="AG109" s="749">
        <f t="shared" si="39"/>
        <v>6.6000000000000003E-2</v>
      </c>
      <c r="AH109" s="749">
        <f t="shared" si="39"/>
        <v>6.6000000000000003E-2</v>
      </c>
      <c r="AI109" s="749">
        <f t="shared" si="39"/>
        <v>6.6000000000000003E-2</v>
      </c>
      <c r="AJ109" s="749">
        <f t="shared" si="39"/>
        <v>6.6000000000000003E-2</v>
      </c>
      <c r="AK109" s="749">
        <f t="shared" si="39"/>
        <v>6.6000000000000003E-2</v>
      </c>
      <c r="AL109" s="749">
        <f t="shared" si="39"/>
        <v>6.6000000000000003E-2</v>
      </c>
      <c r="AM109" s="440"/>
    </row>
    <row r="110" spans="1:39" ht="15" customHeight="1">
      <c r="A110" s="719" t="s">
        <v>802</v>
      </c>
      <c r="B110" s="719"/>
      <c r="C110" s="715"/>
      <c r="D110" s="150"/>
      <c r="E110" s="152"/>
      <c r="F110" s="200"/>
      <c r="G110" s="742"/>
      <c r="H110" s="200"/>
      <c r="I110" s="1128">
        <v>6.0599999999999994E-2</v>
      </c>
      <c r="J110" s="749">
        <f>I$110</f>
        <v>6.0599999999999994E-2</v>
      </c>
      <c r="K110" s="749">
        <f>J$110</f>
        <v>6.0599999999999994E-2</v>
      </c>
      <c r="L110" s="749">
        <f t="shared" ref="L110:AL110" si="40">K$110</f>
        <v>6.0599999999999994E-2</v>
      </c>
      <c r="M110" s="749">
        <f t="shared" si="40"/>
        <v>6.0599999999999994E-2</v>
      </c>
      <c r="N110" s="749">
        <f t="shared" si="40"/>
        <v>6.0599999999999994E-2</v>
      </c>
      <c r="O110" s="749">
        <f t="shared" si="40"/>
        <v>6.0599999999999994E-2</v>
      </c>
      <c r="P110" s="749">
        <f t="shared" si="40"/>
        <v>6.0599999999999994E-2</v>
      </c>
      <c r="Q110" s="749">
        <f t="shared" si="40"/>
        <v>6.0599999999999994E-2</v>
      </c>
      <c r="R110" s="749">
        <f t="shared" si="40"/>
        <v>6.0599999999999994E-2</v>
      </c>
      <c r="S110" s="749">
        <f t="shared" si="40"/>
        <v>6.0599999999999994E-2</v>
      </c>
      <c r="T110" s="749">
        <f t="shared" si="40"/>
        <v>6.0599999999999994E-2</v>
      </c>
      <c r="U110" s="749">
        <f t="shared" si="40"/>
        <v>6.0599999999999994E-2</v>
      </c>
      <c r="V110" s="749">
        <f t="shared" si="40"/>
        <v>6.0599999999999994E-2</v>
      </c>
      <c r="W110" s="749">
        <f t="shared" si="40"/>
        <v>6.0599999999999994E-2</v>
      </c>
      <c r="X110" s="749">
        <f t="shared" si="40"/>
        <v>6.0599999999999994E-2</v>
      </c>
      <c r="Y110" s="749">
        <f t="shared" si="40"/>
        <v>6.0599999999999994E-2</v>
      </c>
      <c r="Z110" s="749">
        <f t="shared" si="40"/>
        <v>6.0599999999999994E-2</v>
      </c>
      <c r="AA110" s="749">
        <f t="shared" si="40"/>
        <v>6.0599999999999994E-2</v>
      </c>
      <c r="AB110" s="749">
        <f t="shared" si="40"/>
        <v>6.0599999999999994E-2</v>
      </c>
      <c r="AC110" s="749">
        <f t="shared" si="40"/>
        <v>6.0599999999999994E-2</v>
      </c>
      <c r="AD110" s="749">
        <f t="shared" si="40"/>
        <v>6.0599999999999994E-2</v>
      </c>
      <c r="AE110" s="749">
        <f t="shared" si="40"/>
        <v>6.0599999999999994E-2</v>
      </c>
      <c r="AF110" s="749">
        <f t="shared" si="40"/>
        <v>6.0599999999999994E-2</v>
      </c>
      <c r="AG110" s="749">
        <f t="shared" si="40"/>
        <v>6.0599999999999994E-2</v>
      </c>
      <c r="AH110" s="749">
        <f t="shared" si="40"/>
        <v>6.0599999999999994E-2</v>
      </c>
      <c r="AI110" s="749">
        <f t="shared" si="40"/>
        <v>6.0599999999999994E-2</v>
      </c>
      <c r="AJ110" s="749">
        <f t="shared" si="40"/>
        <v>6.0599999999999994E-2</v>
      </c>
      <c r="AK110" s="749">
        <f t="shared" si="40"/>
        <v>6.0599999999999994E-2</v>
      </c>
      <c r="AL110" s="749">
        <f t="shared" si="40"/>
        <v>6.0599999999999994E-2</v>
      </c>
      <c r="AM110" s="440"/>
    </row>
    <row r="111" spans="1:39" ht="15" customHeight="1">
      <c r="A111" s="719" t="s">
        <v>829</v>
      </c>
      <c r="B111" s="719"/>
      <c r="C111" s="715"/>
      <c r="D111" s="150"/>
      <c r="E111" s="152"/>
      <c r="F111" s="200"/>
      <c r="G111" s="742"/>
      <c r="H111" s="200"/>
      <c r="I111" s="1128">
        <v>0.03</v>
      </c>
      <c r="J111" s="749">
        <f>I$111</f>
        <v>0.03</v>
      </c>
      <c r="K111" s="749">
        <f>J$111</f>
        <v>0.03</v>
      </c>
      <c r="L111" s="749">
        <f t="shared" ref="L111:AL111" si="41">K$111</f>
        <v>0.03</v>
      </c>
      <c r="M111" s="749">
        <f t="shared" si="41"/>
        <v>0.03</v>
      </c>
      <c r="N111" s="749">
        <f t="shared" si="41"/>
        <v>0.03</v>
      </c>
      <c r="O111" s="749">
        <f t="shared" si="41"/>
        <v>0.03</v>
      </c>
      <c r="P111" s="749">
        <f t="shared" si="41"/>
        <v>0.03</v>
      </c>
      <c r="Q111" s="749">
        <f t="shared" si="41"/>
        <v>0.03</v>
      </c>
      <c r="R111" s="749">
        <f t="shared" si="41"/>
        <v>0.03</v>
      </c>
      <c r="S111" s="749">
        <f t="shared" si="41"/>
        <v>0.03</v>
      </c>
      <c r="T111" s="749">
        <f t="shared" si="41"/>
        <v>0.03</v>
      </c>
      <c r="U111" s="749">
        <f t="shared" si="41"/>
        <v>0.03</v>
      </c>
      <c r="V111" s="749">
        <f t="shared" si="41"/>
        <v>0.03</v>
      </c>
      <c r="W111" s="749">
        <f t="shared" si="41"/>
        <v>0.03</v>
      </c>
      <c r="X111" s="749">
        <f t="shared" si="41"/>
        <v>0.03</v>
      </c>
      <c r="Y111" s="749">
        <f t="shared" si="41"/>
        <v>0.03</v>
      </c>
      <c r="Z111" s="749">
        <f t="shared" si="41"/>
        <v>0.03</v>
      </c>
      <c r="AA111" s="749">
        <f t="shared" si="41"/>
        <v>0.03</v>
      </c>
      <c r="AB111" s="749">
        <f t="shared" si="41"/>
        <v>0.03</v>
      </c>
      <c r="AC111" s="749">
        <f t="shared" si="41"/>
        <v>0.03</v>
      </c>
      <c r="AD111" s="749">
        <f t="shared" si="41"/>
        <v>0.03</v>
      </c>
      <c r="AE111" s="749">
        <f t="shared" si="41"/>
        <v>0.03</v>
      </c>
      <c r="AF111" s="749">
        <f t="shared" si="41"/>
        <v>0.03</v>
      </c>
      <c r="AG111" s="749">
        <f t="shared" si="41"/>
        <v>0.03</v>
      </c>
      <c r="AH111" s="749">
        <f t="shared" si="41"/>
        <v>0.03</v>
      </c>
      <c r="AI111" s="749">
        <f t="shared" si="41"/>
        <v>0.03</v>
      </c>
      <c r="AJ111" s="749">
        <f t="shared" si="41"/>
        <v>0.03</v>
      </c>
      <c r="AK111" s="749">
        <f t="shared" si="41"/>
        <v>0.03</v>
      </c>
      <c r="AL111" s="749">
        <f t="shared" si="41"/>
        <v>0.03</v>
      </c>
      <c r="AM111" s="440"/>
    </row>
    <row r="112" spans="1:39" s="750" customFormat="1" ht="15" customHeight="1">
      <c r="A112" s="719"/>
      <c r="B112" s="719"/>
      <c r="C112" s="719"/>
      <c r="D112" s="1071"/>
      <c r="E112" s="742"/>
      <c r="F112" s="742"/>
      <c r="G112" s="742"/>
      <c r="H112" s="200"/>
      <c r="I112" s="200"/>
      <c r="J112" s="200"/>
      <c r="K112" s="200"/>
      <c r="L112" s="200"/>
      <c r="M112" s="200"/>
      <c r="N112" s="200"/>
      <c r="O112" s="200"/>
      <c r="P112" s="200"/>
      <c r="Q112" s="200"/>
      <c r="R112" s="200"/>
      <c r="S112" s="200"/>
      <c r="T112" s="200"/>
      <c r="U112" s="200"/>
      <c r="V112" s="200"/>
      <c r="W112" s="200"/>
      <c r="X112" s="200"/>
      <c r="Y112" s="200"/>
      <c r="Z112" s="200"/>
      <c r="AA112" s="200"/>
      <c r="AB112" s="200"/>
      <c r="AC112" s="200"/>
      <c r="AD112" s="200"/>
      <c r="AE112" s="200"/>
      <c r="AF112" s="200"/>
      <c r="AG112" s="200"/>
      <c r="AH112" s="200"/>
      <c r="AI112" s="200"/>
      <c r="AJ112" s="200"/>
      <c r="AK112" s="200"/>
      <c r="AL112" s="200"/>
      <c r="AM112" s="440"/>
    </row>
    <row r="113" spans="1:40" s="761" customFormat="1" ht="15" customHeight="1">
      <c r="A113" s="719"/>
      <c r="B113" s="719"/>
      <c r="C113" s="754"/>
      <c r="D113" s="155"/>
      <c r="E113" s="200"/>
      <c r="F113" s="200"/>
      <c r="G113" s="1159" t="str">
        <f>I2</f>
        <v>2023E</v>
      </c>
      <c r="H113" s="1159" t="str">
        <f>I2</f>
        <v>2023E</v>
      </c>
      <c r="I113" s="1159" t="str">
        <f>I2</f>
        <v>2023E</v>
      </c>
      <c r="J113" s="1159" t="str">
        <f>J2</f>
        <v>2024E</v>
      </c>
      <c r="K113" s="200"/>
      <c r="L113" s="200"/>
      <c r="M113" s="200"/>
      <c r="N113" s="200"/>
      <c r="O113" s="200"/>
      <c r="P113" s="200"/>
      <c r="Q113" s="200"/>
      <c r="R113" s="200"/>
      <c r="S113" s="200"/>
      <c r="T113" s="200"/>
      <c r="U113" s="200"/>
      <c r="V113" s="200"/>
      <c r="W113" s="200"/>
      <c r="X113" s="200"/>
      <c r="Y113" s="200"/>
      <c r="Z113" s="200"/>
      <c r="AA113" s="200"/>
      <c r="AB113" s="200"/>
      <c r="AC113" s="200"/>
      <c r="AD113" s="200"/>
      <c r="AE113" s="200"/>
      <c r="AF113" s="200"/>
      <c r="AG113" s="200"/>
      <c r="AH113" s="200"/>
      <c r="AI113" s="200"/>
      <c r="AJ113" s="200"/>
      <c r="AK113" s="200"/>
      <c r="AL113" s="200"/>
      <c r="AM113" s="760"/>
    </row>
    <row r="114" spans="1:40" ht="15" customHeight="1">
      <c r="A114" s="762" t="s">
        <v>1299</v>
      </c>
      <c r="B114" s="1160" t="s">
        <v>2744</v>
      </c>
      <c r="C114" s="716"/>
      <c r="D114" s="150"/>
      <c r="E114" s="152"/>
      <c r="F114" s="742"/>
      <c r="G114" s="1156" t="str">
        <f>CONCATENATE("","年初至年中")</f>
        <v>年初至年中</v>
      </c>
      <c r="H114" s="1156" t="str">
        <f>CONCATENATE("","年中至中报前")</f>
        <v>年中至中报前</v>
      </c>
      <c r="I114" s="1157" t="str">
        <f>CONCATENATE("","中报至年底")</f>
        <v>中报至年底</v>
      </c>
      <c r="J114" s="1158" t="str">
        <f>CONCATENATE("","年初至年报前")</f>
        <v>年初至年报前</v>
      </c>
      <c r="L114" s="742"/>
      <c r="M114" s="742"/>
      <c r="N114" s="742"/>
      <c r="O114" s="742"/>
      <c r="P114" s="742"/>
      <c r="Q114" s="742"/>
      <c r="R114" s="742"/>
      <c r="S114" s="742"/>
      <c r="T114" s="742"/>
      <c r="U114" s="742"/>
      <c r="V114" s="742"/>
      <c r="W114" s="742"/>
      <c r="X114" s="742"/>
      <c r="Y114" s="742"/>
      <c r="Z114" s="742"/>
      <c r="AA114" s="742"/>
      <c r="AB114" s="742"/>
      <c r="AC114" s="742"/>
      <c r="AD114" s="742"/>
      <c r="AE114" s="742"/>
      <c r="AF114" s="742"/>
      <c r="AG114" s="742"/>
      <c r="AH114" s="742"/>
      <c r="AI114" s="742"/>
      <c r="AJ114" s="742"/>
      <c r="AK114" s="742"/>
      <c r="AL114" s="742"/>
      <c r="AM114" s="742"/>
      <c r="AN114" s="440"/>
    </row>
    <row r="115" spans="1:40" ht="15" customHeight="1">
      <c r="A115" s="763" t="s">
        <v>803</v>
      </c>
      <c r="B115" s="764"/>
      <c r="C115" s="765"/>
      <c r="D115" s="150"/>
      <c r="E115" s="152"/>
      <c r="F115" s="742"/>
      <c r="G115" s="742"/>
      <c r="H115" s="742"/>
      <c r="I115" s="742"/>
      <c r="J115" s="742"/>
      <c r="L115" s="742"/>
      <c r="M115" s="742"/>
      <c r="N115" s="742"/>
      <c r="O115" s="742"/>
      <c r="P115" s="742"/>
      <c r="Q115" s="742"/>
      <c r="R115" s="742"/>
      <c r="S115" s="742"/>
      <c r="T115" s="742"/>
      <c r="U115" s="742"/>
      <c r="V115" s="742"/>
      <c r="W115" s="742"/>
      <c r="X115" s="742"/>
      <c r="Y115" s="742"/>
      <c r="Z115" s="742"/>
      <c r="AA115" s="742"/>
      <c r="AB115" s="742"/>
      <c r="AC115" s="742"/>
      <c r="AD115" s="742"/>
      <c r="AE115" s="742"/>
      <c r="AF115" s="742"/>
      <c r="AG115" s="742"/>
      <c r="AH115" s="742"/>
      <c r="AI115" s="742"/>
      <c r="AJ115" s="742"/>
      <c r="AK115" s="742"/>
      <c r="AL115" s="742"/>
      <c r="AM115" s="742"/>
      <c r="AN115" s="440"/>
    </row>
    <row r="116" spans="1:40" s="769" customFormat="1" ht="15" customHeight="1">
      <c r="A116" s="766" t="s">
        <v>804</v>
      </c>
      <c r="B116" s="767"/>
      <c r="C116" s="728"/>
      <c r="D116" s="154"/>
      <c r="E116" s="128"/>
      <c r="F116" s="128"/>
      <c r="G116" s="768"/>
      <c r="H116" s="768"/>
      <c r="I116" s="768"/>
      <c r="J116" s="768"/>
      <c r="L116" s="276"/>
      <c r="M116" s="276"/>
      <c r="N116" s="276"/>
      <c r="O116" s="276"/>
      <c r="P116" s="276"/>
      <c r="Q116" s="276"/>
      <c r="R116" s="276"/>
      <c r="S116" s="276"/>
      <c r="T116" s="276"/>
      <c r="U116" s="276"/>
      <c r="V116" s="276"/>
      <c r="W116" s="276"/>
      <c r="X116" s="276"/>
      <c r="Y116" s="276"/>
      <c r="Z116" s="276"/>
      <c r="AA116" s="276"/>
      <c r="AB116" s="276"/>
      <c r="AC116" s="276"/>
      <c r="AD116" s="276"/>
      <c r="AE116" s="276"/>
      <c r="AF116" s="276"/>
      <c r="AG116" s="276"/>
      <c r="AH116" s="276"/>
      <c r="AI116" s="276"/>
      <c r="AJ116" s="276"/>
      <c r="AK116" s="276"/>
      <c r="AL116" s="276"/>
      <c r="AM116" s="276"/>
      <c r="AN116" s="276"/>
    </row>
    <row r="117" spans="1:40" ht="15" customHeight="1">
      <c r="A117" s="766" t="s">
        <v>805</v>
      </c>
      <c r="B117" s="767"/>
      <c r="C117" s="728"/>
      <c r="D117" s="150"/>
      <c r="E117" s="152"/>
      <c r="F117" s="742"/>
      <c r="G117" s="768"/>
      <c r="H117" s="768"/>
      <c r="I117" s="768"/>
      <c r="J117" s="768"/>
      <c r="L117" s="440"/>
      <c r="M117" s="440"/>
      <c r="N117" s="440"/>
      <c r="O117" s="440"/>
      <c r="P117" s="440"/>
      <c r="Q117" s="440"/>
      <c r="R117" s="440"/>
      <c r="S117" s="440"/>
      <c r="T117" s="440"/>
      <c r="U117" s="440"/>
      <c r="V117" s="440"/>
      <c r="W117" s="440"/>
      <c r="X117" s="440"/>
      <c r="Y117" s="440"/>
      <c r="Z117" s="440"/>
      <c r="AA117" s="440"/>
      <c r="AB117" s="440"/>
      <c r="AC117" s="440"/>
      <c r="AD117" s="440"/>
      <c r="AE117" s="440"/>
      <c r="AF117" s="440"/>
      <c r="AG117" s="440"/>
      <c r="AH117" s="440"/>
      <c r="AI117" s="440"/>
      <c r="AJ117" s="440"/>
      <c r="AK117" s="440"/>
      <c r="AL117" s="440"/>
      <c r="AM117" s="440"/>
      <c r="AN117" s="440"/>
    </row>
    <row r="118" spans="1:40" ht="15" customHeight="1">
      <c r="A118" s="770" t="s">
        <v>806</v>
      </c>
      <c r="B118" s="764"/>
      <c r="C118" s="765"/>
      <c r="D118" s="150"/>
      <c r="E118" s="152"/>
      <c r="F118" s="742"/>
      <c r="G118" s="200"/>
      <c r="H118" s="200"/>
      <c r="I118" s="200"/>
      <c r="J118" s="200"/>
      <c r="L118" s="440"/>
      <c r="M118" s="440"/>
      <c r="N118" s="440"/>
      <c r="O118" s="440"/>
      <c r="P118" s="440"/>
      <c r="Q118" s="440"/>
      <c r="R118" s="440"/>
      <c r="S118" s="440"/>
      <c r="T118" s="440"/>
      <c r="U118" s="440"/>
      <c r="V118" s="440"/>
      <c r="W118" s="440"/>
      <c r="X118" s="440"/>
      <c r="Y118" s="440"/>
      <c r="Z118" s="440"/>
      <c r="AA118" s="440"/>
      <c r="AB118" s="440"/>
      <c r="AC118" s="440"/>
      <c r="AD118" s="440"/>
      <c r="AE118" s="440"/>
      <c r="AF118" s="440"/>
      <c r="AG118" s="440"/>
      <c r="AH118" s="440"/>
      <c r="AI118" s="440"/>
      <c r="AJ118" s="440"/>
      <c r="AK118" s="440"/>
      <c r="AL118" s="440"/>
      <c r="AM118" s="440"/>
      <c r="AN118" s="440"/>
    </row>
    <row r="119" spans="1:40" ht="15" customHeight="1">
      <c r="A119" s="766" t="s">
        <v>807</v>
      </c>
      <c r="B119" s="767"/>
      <c r="C119" s="728"/>
      <c r="D119" s="150"/>
      <c r="E119" s="152"/>
      <c r="F119" s="152"/>
      <c r="G119" s="768"/>
      <c r="H119" s="768"/>
      <c r="I119" s="768"/>
      <c r="J119" s="768"/>
      <c r="L119" s="440"/>
      <c r="M119" s="440"/>
      <c r="N119" s="440"/>
      <c r="O119" s="440"/>
      <c r="P119" s="440"/>
      <c r="Q119" s="440"/>
      <c r="R119" s="440"/>
      <c r="S119" s="440"/>
      <c r="T119" s="440"/>
      <c r="U119" s="440"/>
      <c r="V119" s="440"/>
      <c r="W119" s="440"/>
      <c r="X119" s="440"/>
      <c r="Y119" s="440"/>
      <c r="Z119" s="440"/>
      <c r="AA119" s="440"/>
      <c r="AB119" s="440"/>
      <c r="AC119" s="440"/>
      <c r="AD119" s="440"/>
      <c r="AE119" s="440"/>
      <c r="AF119" s="440"/>
      <c r="AG119" s="440"/>
      <c r="AH119" s="440"/>
      <c r="AI119" s="440"/>
      <c r="AJ119" s="440"/>
      <c r="AK119" s="440"/>
      <c r="AL119" s="440"/>
      <c r="AM119" s="440"/>
      <c r="AN119" s="440"/>
    </row>
    <row r="120" spans="1:40" ht="15" customHeight="1">
      <c r="A120" s="766" t="s">
        <v>808</v>
      </c>
      <c r="B120" s="767"/>
      <c r="C120" s="728"/>
      <c r="D120" s="150"/>
      <c r="E120" s="152"/>
      <c r="F120" s="200"/>
      <c r="G120" s="768"/>
      <c r="H120" s="768"/>
      <c r="I120" s="768"/>
      <c r="J120" s="768"/>
      <c r="L120" s="440"/>
      <c r="M120" s="440"/>
      <c r="N120" s="440"/>
      <c r="O120" s="440"/>
      <c r="P120" s="440"/>
      <c r="Q120" s="440"/>
      <c r="R120" s="440"/>
      <c r="S120" s="440"/>
      <c r="T120" s="440"/>
      <c r="U120" s="440"/>
      <c r="V120" s="440"/>
      <c r="W120" s="440"/>
      <c r="X120" s="440"/>
      <c r="Y120" s="440"/>
      <c r="Z120" s="440"/>
      <c r="AA120" s="440"/>
      <c r="AB120" s="440"/>
      <c r="AC120" s="440"/>
      <c r="AD120" s="440"/>
      <c r="AE120" s="440"/>
      <c r="AF120" s="440"/>
      <c r="AG120" s="440"/>
      <c r="AH120" s="440"/>
      <c r="AI120" s="440"/>
      <c r="AJ120" s="440"/>
      <c r="AK120" s="440"/>
      <c r="AL120" s="440"/>
      <c r="AM120" s="440"/>
      <c r="AN120" s="440"/>
    </row>
    <row r="121" spans="1:40" ht="15" customHeight="1">
      <c r="A121" s="770" t="s">
        <v>809</v>
      </c>
      <c r="B121" s="765"/>
      <c r="C121" s="728"/>
      <c r="D121" s="150"/>
      <c r="E121" s="152"/>
      <c r="F121" s="742"/>
      <c r="G121" s="200"/>
      <c r="H121" s="200"/>
      <c r="I121" s="200"/>
      <c r="J121" s="200"/>
      <c r="L121" s="440"/>
      <c r="M121" s="440"/>
      <c r="N121" s="440"/>
      <c r="O121" s="440"/>
      <c r="P121" s="440"/>
      <c r="Q121" s="440"/>
      <c r="R121" s="440"/>
      <c r="S121" s="440"/>
      <c r="T121" s="440"/>
      <c r="U121" s="440"/>
      <c r="V121" s="440"/>
      <c r="W121" s="440"/>
      <c r="X121" s="440"/>
      <c r="Y121" s="440"/>
      <c r="Z121" s="440"/>
      <c r="AA121" s="440"/>
      <c r="AB121" s="440"/>
      <c r="AC121" s="440"/>
      <c r="AD121" s="440"/>
      <c r="AE121" s="440"/>
      <c r="AF121" s="440"/>
      <c r="AG121" s="440"/>
      <c r="AH121" s="440"/>
      <c r="AI121" s="440"/>
      <c r="AJ121" s="440"/>
      <c r="AK121" s="440"/>
      <c r="AL121" s="440"/>
      <c r="AM121" s="440"/>
      <c r="AN121" s="440"/>
    </row>
    <row r="122" spans="1:40" ht="15" customHeight="1">
      <c r="A122" s="766" t="s">
        <v>810</v>
      </c>
      <c r="B122" s="771"/>
      <c r="C122" s="728"/>
      <c r="D122" s="150"/>
      <c r="E122" s="152"/>
      <c r="F122" s="742"/>
      <c r="G122" s="768"/>
      <c r="H122" s="768"/>
      <c r="I122" s="768"/>
      <c r="J122" s="768"/>
      <c r="L122" s="440"/>
      <c r="M122" s="440"/>
      <c r="N122" s="440"/>
      <c r="O122" s="440"/>
      <c r="P122" s="440"/>
      <c r="Q122" s="440"/>
      <c r="R122" s="440"/>
      <c r="S122" s="440"/>
      <c r="T122" s="440"/>
      <c r="U122" s="440"/>
      <c r="V122" s="440"/>
      <c r="W122" s="440"/>
      <c r="X122" s="440"/>
      <c r="Y122" s="440"/>
      <c r="Z122" s="440"/>
      <c r="AA122" s="440"/>
      <c r="AB122" s="440"/>
      <c r="AC122" s="440"/>
      <c r="AD122" s="440"/>
      <c r="AE122" s="440"/>
      <c r="AF122" s="440"/>
      <c r="AG122" s="440"/>
      <c r="AH122" s="440"/>
      <c r="AI122" s="440"/>
      <c r="AJ122" s="440"/>
      <c r="AK122" s="440"/>
      <c r="AL122" s="440"/>
      <c r="AM122" s="440"/>
      <c r="AN122" s="440"/>
    </row>
    <row r="123" spans="1:40" ht="15" customHeight="1">
      <c r="A123" s="766" t="s">
        <v>811</v>
      </c>
      <c r="B123" s="771"/>
      <c r="C123" s="728"/>
      <c r="D123" s="150"/>
      <c r="E123" s="152"/>
      <c r="F123" s="742"/>
      <c r="G123" s="768"/>
      <c r="H123" s="768"/>
      <c r="I123" s="768"/>
      <c r="J123" s="768"/>
      <c r="L123" s="440"/>
      <c r="M123" s="440"/>
      <c r="N123" s="440"/>
      <c r="O123" s="440"/>
      <c r="P123" s="440"/>
      <c r="Q123" s="440"/>
      <c r="R123" s="440"/>
      <c r="S123" s="440"/>
      <c r="T123" s="440"/>
      <c r="U123" s="440"/>
      <c r="V123" s="440"/>
      <c r="W123" s="440"/>
      <c r="X123" s="440"/>
      <c r="Y123" s="440"/>
      <c r="Z123" s="440"/>
      <c r="AA123" s="440"/>
      <c r="AB123" s="440"/>
      <c r="AC123" s="440"/>
      <c r="AD123" s="440"/>
      <c r="AE123" s="440"/>
      <c r="AF123" s="440"/>
      <c r="AG123" s="440"/>
      <c r="AH123" s="440"/>
      <c r="AI123" s="440"/>
      <c r="AJ123" s="440"/>
      <c r="AK123" s="440"/>
      <c r="AL123" s="440"/>
      <c r="AM123" s="440"/>
      <c r="AN123" s="440"/>
    </row>
    <row r="124" spans="1:40" ht="15" customHeight="1">
      <c r="A124" s="770" t="s">
        <v>812</v>
      </c>
      <c r="B124" s="715"/>
      <c r="C124" s="728"/>
      <c r="D124" s="150"/>
      <c r="E124" s="152"/>
      <c r="F124" s="200"/>
      <c r="G124" s="200"/>
      <c r="H124" s="200"/>
      <c r="I124" s="200"/>
      <c r="J124" s="200"/>
      <c r="L124" s="440"/>
      <c r="M124" s="440"/>
      <c r="N124" s="440"/>
      <c r="O124" s="440"/>
      <c r="P124" s="440"/>
      <c r="Q124" s="440"/>
      <c r="R124" s="440"/>
      <c r="S124" s="440"/>
      <c r="T124" s="440"/>
      <c r="U124" s="440"/>
      <c r="V124" s="440"/>
      <c r="W124" s="440"/>
      <c r="X124" s="440"/>
      <c r="Y124" s="440"/>
      <c r="Z124" s="440"/>
      <c r="AA124" s="440"/>
      <c r="AB124" s="440"/>
      <c r="AC124" s="440"/>
      <c r="AD124" s="440"/>
      <c r="AE124" s="440"/>
      <c r="AF124" s="440"/>
      <c r="AG124" s="440"/>
      <c r="AH124" s="440"/>
      <c r="AI124" s="440"/>
      <c r="AJ124" s="440"/>
      <c r="AK124" s="440"/>
      <c r="AL124" s="440"/>
      <c r="AM124" s="440"/>
      <c r="AN124" s="440"/>
    </row>
    <row r="125" spans="1:40" ht="15" customHeight="1">
      <c r="A125" s="766" t="s">
        <v>813</v>
      </c>
      <c r="B125" s="715"/>
      <c r="C125" s="728"/>
      <c r="D125" s="150"/>
      <c r="E125" s="152"/>
      <c r="F125" s="742"/>
      <c r="G125" s="768"/>
      <c r="H125" s="768"/>
      <c r="I125" s="768"/>
      <c r="J125" s="768"/>
      <c r="L125" s="440"/>
      <c r="M125" s="440"/>
      <c r="N125" s="440"/>
      <c r="O125" s="440"/>
      <c r="P125" s="440"/>
      <c r="Q125" s="440"/>
      <c r="R125" s="440"/>
      <c r="S125" s="440"/>
      <c r="T125" s="440"/>
      <c r="U125" s="440"/>
      <c r="V125" s="440"/>
      <c r="W125" s="440"/>
      <c r="X125" s="440"/>
      <c r="Y125" s="440"/>
      <c r="Z125" s="440"/>
      <c r="AA125" s="440"/>
      <c r="AB125" s="440"/>
      <c r="AC125" s="440"/>
      <c r="AD125" s="440"/>
      <c r="AE125" s="440"/>
      <c r="AF125" s="440"/>
      <c r="AG125" s="440"/>
      <c r="AH125" s="440"/>
      <c r="AI125" s="440"/>
      <c r="AJ125" s="440"/>
      <c r="AK125" s="440"/>
      <c r="AL125" s="440"/>
      <c r="AM125" s="440"/>
      <c r="AN125" s="440"/>
    </row>
    <row r="126" spans="1:40" ht="15" customHeight="1">
      <c r="A126" s="766" t="s">
        <v>814</v>
      </c>
      <c r="B126" s="715"/>
      <c r="C126" s="728"/>
      <c r="D126" s="150"/>
      <c r="E126" s="152"/>
      <c r="F126" s="742"/>
      <c r="G126" s="768"/>
      <c r="H126" s="768"/>
      <c r="I126" s="768"/>
      <c r="J126" s="768"/>
      <c r="L126" s="440"/>
      <c r="M126" s="440"/>
      <c r="N126" s="440"/>
      <c r="O126" s="440"/>
      <c r="P126" s="440"/>
      <c r="Q126" s="440"/>
      <c r="R126" s="440"/>
      <c r="S126" s="440"/>
      <c r="T126" s="440"/>
      <c r="U126" s="440"/>
      <c r="V126" s="440"/>
      <c r="W126" s="440"/>
      <c r="X126" s="440"/>
      <c r="Y126" s="440"/>
      <c r="Z126" s="440"/>
      <c r="AA126" s="440"/>
      <c r="AB126" s="440"/>
      <c r="AC126" s="440"/>
      <c r="AD126" s="440"/>
      <c r="AE126" s="440"/>
      <c r="AF126" s="440"/>
      <c r="AG126" s="440"/>
      <c r="AH126" s="440"/>
      <c r="AI126" s="440"/>
      <c r="AJ126" s="440"/>
      <c r="AK126" s="440"/>
      <c r="AL126" s="440"/>
      <c r="AM126" s="440"/>
      <c r="AN126" s="440"/>
    </row>
    <row r="127" spans="1:40" ht="15" customHeight="1">
      <c r="A127" s="770" t="s">
        <v>815</v>
      </c>
      <c r="B127" s="715"/>
      <c r="C127" s="728"/>
      <c r="D127" s="150"/>
      <c r="E127" s="152"/>
      <c r="F127" s="772"/>
      <c r="G127" s="200"/>
      <c r="H127" s="200"/>
      <c r="I127" s="200"/>
      <c r="J127" s="200"/>
      <c r="L127" s="440"/>
      <c r="M127" s="440"/>
      <c r="N127" s="440"/>
      <c r="O127" s="440"/>
      <c r="P127" s="440"/>
      <c r="Q127" s="440"/>
      <c r="R127" s="440"/>
      <c r="S127" s="440"/>
      <c r="T127" s="440"/>
      <c r="U127" s="440"/>
      <c r="V127" s="440"/>
      <c r="W127" s="440"/>
      <c r="X127" s="440"/>
      <c r="Y127" s="440"/>
      <c r="Z127" s="440"/>
      <c r="AA127" s="440"/>
      <c r="AB127" s="440"/>
      <c r="AC127" s="440"/>
      <c r="AD127" s="440"/>
      <c r="AE127" s="440"/>
      <c r="AF127" s="440"/>
      <c r="AG127" s="440"/>
      <c r="AH127" s="440"/>
      <c r="AI127" s="440"/>
      <c r="AJ127" s="440"/>
      <c r="AK127" s="440"/>
      <c r="AL127" s="440"/>
      <c r="AM127" s="440"/>
      <c r="AN127" s="440"/>
    </row>
    <row r="128" spans="1:40" ht="15" customHeight="1">
      <c r="A128" s="766" t="s">
        <v>816</v>
      </c>
      <c r="B128" s="715"/>
      <c r="C128" s="728"/>
      <c r="D128" s="150"/>
      <c r="E128" s="200"/>
      <c r="F128" s="772"/>
      <c r="G128" s="768"/>
      <c r="H128" s="768"/>
      <c r="I128" s="768"/>
      <c r="J128" s="768"/>
      <c r="L128" s="440"/>
      <c r="M128" s="440"/>
      <c r="N128" s="440"/>
      <c r="O128" s="440"/>
      <c r="P128" s="440"/>
      <c r="Q128" s="440"/>
      <c r="R128" s="440"/>
      <c r="S128" s="440"/>
      <c r="T128" s="440"/>
      <c r="U128" s="440"/>
      <c r="V128" s="440"/>
      <c r="W128" s="440"/>
      <c r="X128" s="440"/>
      <c r="Y128" s="440"/>
      <c r="Z128" s="440"/>
      <c r="AA128" s="440"/>
      <c r="AB128" s="440"/>
      <c r="AC128" s="440"/>
      <c r="AD128" s="440"/>
      <c r="AE128" s="440"/>
      <c r="AF128" s="440"/>
      <c r="AG128" s="440"/>
      <c r="AH128" s="440"/>
      <c r="AI128" s="440"/>
      <c r="AJ128" s="440"/>
      <c r="AK128" s="440"/>
      <c r="AL128" s="440"/>
      <c r="AM128" s="440"/>
      <c r="AN128" s="440"/>
    </row>
    <row r="129" spans="1:40" ht="15" customHeight="1">
      <c r="A129" s="766" t="s">
        <v>817</v>
      </c>
      <c r="B129" s="715"/>
      <c r="C129" s="728"/>
      <c r="D129" s="150"/>
      <c r="E129" s="152"/>
      <c r="F129" s="772"/>
      <c r="G129" s="768"/>
      <c r="H129" s="768"/>
      <c r="I129" s="768"/>
      <c r="J129" s="768"/>
      <c r="L129" s="440"/>
      <c r="M129" s="440"/>
      <c r="N129" s="440"/>
      <c r="O129" s="440"/>
      <c r="P129" s="440"/>
      <c r="Q129" s="440"/>
      <c r="R129" s="440"/>
      <c r="S129" s="440"/>
      <c r="T129" s="440"/>
      <c r="U129" s="440"/>
      <c r="V129" s="440"/>
      <c r="W129" s="440"/>
      <c r="X129" s="440"/>
      <c r="Y129" s="440"/>
      <c r="Z129" s="440"/>
      <c r="AA129" s="440"/>
      <c r="AB129" s="440"/>
      <c r="AC129" s="440"/>
      <c r="AD129" s="440"/>
      <c r="AE129" s="440"/>
      <c r="AF129" s="440"/>
      <c r="AG129" s="440"/>
      <c r="AH129" s="440"/>
      <c r="AI129" s="440"/>
      <c r="AJ129" s="440"/>
      <c r="AK129" s="440"/>
      <c r="AL129" s="440"/>
      <c r="AM129" s="440"/>
      <c r="AN129" s="440"/>
    </row>
    <row r="130" spans="1:40" ht="15" customHeight="1">
      <c r="A130" s="770" t="s">
        <v>830</v>
      </c>
      <c r="B130" s="715"/>
      <c r="C130" s="728"/>
      <c r="D130" s="150"/>
      <c r="E130" s="152"/>
      <c r="F130" s="772"/>
      <c r="G130" s="128">
        <f>G116+G119+G122+G125+G128</f>
        <v>0</v>
      </c>
      <c r="H130" s="128">
        <f>H116+H119+H122+H125+H128</f>
        <v>0</v>
      </c>
      <c r="I130" s="128">
        <f>I116+I119+I122+I125+I128</f>
        <v>0</v>
      </c>
      <c r="J130" s="128">
        <f>J116+J119+J122+J125+J128</f>
        <v>0</v>
      </c>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440"/>
    </row>
    <row r="131" spans="1:40" ht="15" customHeight="1">
      <c r="A131" s="770" t="s">
        <v>818</v>
      </c>
      <c r="B131" s="715"/>
      <c r="C131" s="728"/>
      <c r="D131" s="150"/>
      <c r="E131" s="152"/>
      <c r="F131" s="772"/>
      <c r="G131" s="128">
        <f>G116*G117+G119*G120+G122*G123+G125*G126+G128*G129</f>
        <v>0</v>
      </c>
      <c r="H131" s="128">
        <f>H116*H117+H119*H120+H122*H123+H125*H126+H128*H129</f>
        <v>0</v>
      </c>
      <c r="I131" s="128">
        <f>I116*I117+I119*I120+I122*I123+I125*I126+I128*I129</f>
        <v>0</v>
      </c>
      <c r="J131" s="128">
        <f>J116*J117+J119*J120+J122*J123+J125*J126+J128*J129</f>
        <v>0</v>
      </c>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row>
    <row r="132" spans="1:40" s="1015" customFormat="1" ht="15" customHeight="1">
      <c r="A132" s="1033" t="s">
        <v>2334</v>
      </c>
      <c r="B132" s="1009"/>
      <c r="C132" s="1027"/>
      <c r="D132" s="1072"/>
      <c r="E132" s="1011"/>
      <c r="F132" s="1034"/>
      <c r="G132" s="1035">
        <f>G131-G130</f>
        <v>0</v>
      </c>
      <c r="H132" s="1035">
        <f>H131-H130</f>
        <v>0</v>
      </c>
      <c r="I132" s="1035">
        <f>I131-I130</f>
        <v>0</v>
      </c>
      <c r="J132" s="1035">
        <f>J131-J130</f>
        <v>0</v>
      </c>
      <c r="K132" s="1013"/>
      <c r="L132" s="1035"/>
      <c r="M132" s="1035"/>
      <c r="N132" s="1035"/>
      <c r="O132" s="1035"/>
      <c r="P132" s="1035"/>
      <c r="Q132" s="1035"/>
      <c r="R132" s="1035"/>
      <c r="S132" s="1035"/>
      <c r="T132" s="1035"/>
      <c r="U132" s="1035"/>
      <c r="V132" s="1035"/>
      <c r="W132" s="1035"/>
      <c r="X132" s="1035"/>
      <c r="Y132" s="1035"/>
      <c r="Z132" s="1035"/>
      <c r="AA132" s="1035"/>
      <c r="AB132" s="1035"/>
      <c r="AC132" s="1035"/>
      <c r="AD132" s="1035"/>
      <c r="AE132" s="1035"/>
      <c r="AF132" s="1035"/>
      <c r="AG132" s="1035"/>
      <c r="AH132" s="1035"/>
      <c r="AI132" s="1035"/>
      <c r="AJ132" s="1035"/>
      <c r="AK132" s="1035"/>
      <c r="AL132" s="1035"/>
      <c r="AM132" s="1035"/>
      <c r="AN132" s="1035"/>
    </row>
    <row r="133" spans="1:40" ht="15" customHeight="1">
      <c r="A133" s="773" t="s">
        <v>1354</v>
      </c>
      <c r="B133" s="715"/>
      <c r="C133" s="728"/>
      <c r="D133" s="150"/>
      <c r="E133" s="152"/>
      <c r="F133" s="772"/>
      <c r="G133" s="200"/>
      <c r="H133" s="200"/>
      <c r="I133" s="200"/>
      <c r="J133" s="200"/>
      <c r="K133" s="200"/>
      <c r="L133" s="200"/>
      <c r="M133" s="200"/>
      <c r="N133" s="200"/>
      <c r="O133" s="200"/>
      <c r="P133" s="200"/>
      <c r="Q133" s="200"/>
      <c r="R133" s="200"/>
      <c r="S133" s="200"/>
      <c r="T133" s="200"/>
      <c r="U133" s="200"/>
      <c r="V133" s="200"/>
      <c r="W133" s="200"/>
      <c r="X133" s="200"/>
      <c r="Y133" s="200"/>
      <c r="Z133" s="200"/>
      <c r="AA133" s="200"/>
      <c r="AB133" s="200"/>
      <c r="AC133" s="200"/>
      <c r="AD133" s="200"/>
      <c r="AE133" s="200"/>
      <c r="AF133" s="200"/>
      <c r="AG133" s="200"/>
      <c r="AH133" s="200"/>
      <c r="AI133" s="200"/>
      <c r="AJ133" s="200"/>
      <c r="AK133" s="200"/>
      <c r="AL133" s="200"/>
      <c r="AM133" s="440"/>
    </row>
    <row r="134" spans="1:40" ht="15" customHeight="1">
      <c r="B134" s="771"/>
      <c r="C134" s="728"/>
      <c r="D134" s="150"/>
      <c r="E134" s="152"/>
      <c r="F134" s="772"/>
      <c r="G134" s="200"/>
      <c r="H134" s="200"/>
      <c r="I134" s="200"/>
      <c r="J134" s="200"/>
      <c r="K134" s="200"/>
      <c r="L134" s="200"/>
      <c r="M134" s="200"/>
      <c r="N134" s="200"/>
      <c r="O134" s="200"/>
      <c r="P134" s="200"/>
      <c r="Q134" s="200"/>
      <c r="R134" s="200"/>
      <c r="S134" s="200"/>
      <c r="T134" s="200"/>
      <c r="U134" s="200"/>
      <c r="V134" s="200"/>
      <c r="W134" s="200"/>
      <c r="X134" s="200"/>
      <c r="Y134" s="200"/>
      <c r="Z134" s="200"/>
      <c r="AA134" s="200"/>
      <c r="AB134" s="200"/>
      <c r="AC134" s="200"/>
      <c r="AD134" s="200"/>
      <c r="AE134" s="200"/>
      <c r="AF134" s="200"/>
      <c r="AG134" s="200"/>
      <c r="AH134" s="200"/>
      <c r="AI134" s="200"/>
      <c r="AJ134" s="200"/>
      <c r="AK134" s="200"/>
      <c r="AL134" s="200"/>
      <c r="AM134" s="440"/>
    </row>
    <row r="135" spans="1:40" ht="17.25" customHeight="1">
      <c r="A135" s="733" t="s">
        <v>819</v>
      </c>
      <c r="B135" s="774" t="s">
        <v>2446</v>
      </c>
      <c r="C135" s="728"/>
      <c r="D135" s="150"/>
      <c r="E135" s="152"/>
      <c r="F135" s="772"/>
      <c r="G135" s="200"/>
      <c r="H135" s="200"/>
      <c r="I135" s="200"/>
      <c r="J135" s="200"/>
      <c r="K135" s="200"/>
      <c r="L135" s="200"/>
      <c r="M135" s="200"/>
      <c r="N135" s="200"/>
      <c r="O135" s="200"/>
      <c r="P135" s="200"/>
      <c r="Q135" s="200"/>
      <c r="R135" s="200"/>
      <c r="S135" s="200"/>
      <c r="T135" s="200"/>
      <c r="U135" s="200"/>
      <c r="V135" s="200"/>
      <c r="W135" s="200"/>
      <c r="X135" s="200"/>
      <c r="Y135" s="200"/>
      <c r="Z135" s="200"/>
      <c r="AA135" s="200"/>
      <c r="AB135" s="200"/>
      <c r="AC135" s="200"/>
      <c r="AD135" s="200"/>
      <c r="AE135" s="200"/>
      <c r="AF135" s="200"/>
      <c r="AG135" s="200"/>
      <c r="AH135" s="200"/>
      <c r="AI135" s="200"/>
      <c r="AJ135" s="200"/>
      <c r="AK135" s="200"/>
      <c r="AL135" s="200"/>
      <c r="AM135" s="440"/>
    </row>
    <row r="136" spans="1:40" s="243" customFormat="1" ht="15" customHeight="1">
      <c r="A136" s="766" t="s">
        <v>820</v>
      </c>
      <c r="B136" s="775"/>
      <c r="C136" s="728"/>
      <c r="D136" s="199">
        <f>年度数据!D118</f>
        <v>610.66660000000002</v>
      </c>
      <c r="E136" s="199">
        <f>年度数据!E118</f>
        <v>607.72360000000003</v>
      </c>
      <c r="F136" s="199">
        <f>年度数据!F118</f>
        <v>611.77160000000003</v>
      </c>
      <c r="G136" s="199">
        <f>年度数据!G118</f>
        <v>1151.18658</v>
      </c>
      <c r="H136" s="199">
        <f>年度数据!H118</f>
        <v>1180.8786270000001</v>
      </c>
      <c r="I136" s="200">
        <f>H136+SUM(G130:I130)+I137+I138+I143</f>
        <v>1180.8786270000001</v>
      </c>
      <c r="J136" s="200">
        <f>I136+J130</f>
        <v>1180.8786270000001</v>
      </c>
      <c r="K136" s="200">
        <f t="shared" ref="K136:AL136" si="42">J136</f>
        <v>1180.8786270000001</v>
      </c>
      <c r="L136" s="200">
        <f t="shared" si="42"/>
        <v>1180.8786270000001</v>
      </c>
      <c r="M136" s="200">
        <f t="shared" si="42"/>
        <v>1180.8786270000001</v>
      </c>
      <c r="N136" s="200">
        <f t="shared" si="42"/>
        <v>1180.8786270000001</v>
      </c>
      <c r="O136" s="200">
        <f t="shared" si="42"/>
        <v>1180.8786270000001</v>
      </c>
      <c r="P136" s="200">
        <f t="shared" si="42"/>
        <v>1180.8786270000001</v>
      </c>
      <c r="Q136" s="200">
        <f t="shared" si="42"/>
        <v>1180.8786270000001</v>
      </c>
      <c r="R136" s="200">
        <f t="shared" si="42"/>
        <v>1180.8786270000001</v>
      </c>
      <c r="S136" s="200">
        <f t="shared" si="42"/>
        <v>1180.8786270000001</v>
      </c>
      <c r="T136" s="200">
        <f t="shared" si="42"/>
        <v>1180.8786270000001</v>
      </c>
      <c r="U136" s="200">
        <f t="shared" si="42"/>
        <v>1180.8786270000001</v>
      </c>
      <c r="V136" s="200">
        <f t="shared" si="42"/>
        <v>1180.8786270000001</v>
      </c>
      <c r="W136" s="200">
        <f t="shared" si="42"/>
        <v>1180.8786270000001</v>
      </c>
      <c r="X136" s="200">
        <f t="shared" si="42"/>
        <v>1180.8786270000001</v>
      </c>
      <c r="Y136" s="200">
        <f t="shared" si="42"/>
        <v>1180.8786270000001</v>
      </c>
      <c r="Z136" s="200">
        <f t="shared" si="42"/>
        <v>1180.8786270000001</v>
      </c>
      <c r="AA136" s="200">
        <f t="shared" si="42"/>
        <v>1180.8786270000001</v>
      </c>
      <c r="AB136" s="200">
        <f t="shared" si="42"/>
        <v>1180.8786270000001</v>
      </c>
      <c r="AC136" s="200">
        <f t="shared" si="42"/>
        <v>1180.8786270000001</v>
      </c>
      <c r="AD136" s="200">
        <f t="shared" si="42"/>
        <v>1180.8786270000001</v>
      </c>
      <c r="AE136" s="200">
        <f t="shared" si="42"/>
        <v>1180.8786270000001</v>
      </c>
      <c r="AF136" s="200">
        <f t="shared" si="42"/>
        <v>1180.8786270000001</v>
      </c>
      <c r="AG136" s="200">
        <f t="shared" si="42"/>
        <v>1180.8786270000001</v>
      </c>
      <c r="AH136" s="200">
        <f t="shared" si="42"/>
        <v>1180.8786270000001</v>
      </c>
      <c r="AI136" s="200">
        <f t="shared" si="42"/>
        <v>1180.8786270000001</v>
      </c>
      <c r="AJ136" s="200">
        <f t="shared" si="42"/>
        <v>1180.8786270000001</v>
      </c>
      <c r="AK136" s="200">
        <f t="shared" si="42"/>
        <v>1180.8786270000001</v>
      </c>
      <c r="AL136" s="200">
        <f t="shared" si="42"/>
        <v>1180.8786270000001</v>
      </c>
      <c r="AM136" s="440"/>
    </row>
    <row r="137" spans="1:40" ht="15" customHeight="1">
      <c r="A137" s="783" t="s">
        <v>515</v>
      </c>
      <c r="B137" s="715"/>
      <c r="C137" s="728"/>
      <c r="D137" s="150"/>
      <c r="E137" s="152"/>
      <c r="F137" s="772"/>
      <c r="H137" s="200"/>
      <c r="I137" s="200">
        <f>H136*年度数据!H35+(数据输入季度数据!L117/1000000+H130)*(数据输入季度数据!L35/1000000)</f>
        <v>0</v>
      </c>
      <c r="J137" s="440"/>
      <c r="K137" s="440"/>
      <c r="L137" s="440"/>
      <c r="M137" s="440"/>
      <c r="N137" s="440"/>
      <c r="O137" s="440"/>
      <c r="P137" s="440"/>
      <c r="Q137" s="440"/>
      <c r="R137" s="440"/>
      <c r="S137" s="440"/>
      <c r="T137" s="440"/>
      <c r="U137" s="440"/>
      <c r="V137" s="440"/>
      <c r="W137" s="440"/>
      <c r="X137" s="440"/>
      <c r="Y137" s="440"/>
      <c r="Z137" s="440"/>
      <c r="AA137" s="440"/>
      <c r="AB137" s="440"/>
      <c r="AC137" s="440"/>
      <c r="AD137" s="440"/>
      <c r="AE137" s="440"/>
      <c r="AF137" s="440"/>
      <c r="AG137" s="440"/>
      <c r="AH137" s="440"/>
      <c r="AI137" s="440"/>
      <c r="AJ137" s="440"/>
      <c r="AK137" s="440"/>
      <c r="AL137" s="440"/>
      <c r="AM137" s="440"/>
    </row>
    <row r="138" spans="1:40" ht="15" customHeight="1">
      <c r="A138" s="783" t="s">
        <v>516</v>
      </c>
      <c r="B138" s="715"/>
      <c r="C138" s="715"/>
      <c r="D138" s="150"/>
      <c r="E138" s="152"/>
      <c r="F138" s="772"/>
      <c r="H138" s="200"/>
      <c r="I138" s="200">
        <f>H136*年度数据!H34+(H136+H136*年度数据!H34+G130)*年度数据!H37</f>
        <v>0</v>
      </c>
      <c r="J138" s="200"/>
      <c r="K138" s="440"/>
      <c r="L138" s="440"/>
      <c r="M138" s="440"/>
      <c r="N138" s="440"/>
      <c r="O138" s="440"/>
      <c r="P138" s="440"/>
      <c r="Q138" s="440"/>
      <c r="R138" s="440"/>
      <c r="S138" s="440"/>
      <c r="T138" s="440"/>
      <c r="U138" s="440"/>
      <c r="V138" s="440"/>
      <c r="W138" s="440"/>
      <c r="X138" s="440"/>
      <c r="Y138" s="440"/>
      <c r="Z138" s="440"/>
      <c r="AA138" s="440"/>
      <c r="AB138" s="440"/>
      <c r="AC138" s="440"/>
      <c r="AD138" s="440"/>
      <c r="AE138" s="440"/>
      <c r="AF138" s="440"/>
      <c r="AG138" s="440"/>
      <c r="AH138" s="440"/>
      <c r="AI138" s="440"/>
      <c r="AJ138" s="440"/>
      <c r="AK138" s="440"/>
      <c r="AL138" s="440"/>
      <c r="AM138" s="440"/>
    </row>
    <row r="139" spans="1:40" ht="15" hidden="1" customHeight="1">
      <c r="A139" s="782" t="s">
        <v>517</v>
      </c>
      <c r="B139" s="715"/>
      <c r="C139" s="715"/>
      <c r="D139" s="150"/>
      <c r="E139" s="152"/>
      <c r="F139" s="200"/>
      <c r="H139" s="200"/>
      <c r="I139" s="200">
        <v>0</v>
      </c>
      <c r="J139" s="200"/>
      <c r="K139" s="200"/>
      <c r="L139" s="200"/>
      <c r="M139" s="200"/>
      <c r="N139" s="200"/>
      <c r="O139" s="200"/>
      <c r="P139" s="200"/>
      <c r="Q139" s="200"/>
      <c r="R139" s="200"/>
      <c r="S139" s="200"/>
      <c r="T139" s="200"/>
      <c r="U139" s="200"/>
      <c r="V139" s="200"/>
      <c r="W139" s="200"/>
      <c r="X139" s="200"/>
      <c r="Y139" s="200"/>
      <c r="Z139" s="200"/>
      <c r="AA139" s="200"/>
      <c r="AB139" s="200"/>
      <c r="AC139" s="200"/>
      <c r="AD139" s="200"/>
      <c r="AE139" s="200"/>
      <c r="AF139" s="200"/>
      <c r="AG139" s="200"/>
      <c r="AH139" s="200"/>
      <c r="AI139" s="200"/>
      <c r="AJ139" s="200"/>
      <c r="AK139" s="200"/>
      <c r="AL139" s="200"/>
      <c r="AM139" s="440"/>
    </row>
    <row r="140" spans="1:40" ht="15" hidden="1" customHeight="1">
      <c r="A140" s="782" t="s">
        <v>518</v>
      </c>
      <c r="B140" s="715"/>
      <c r="C140" s="715"/>
      <c r="D140" s="150"/>
      <c r="E140" s="152"/>
      <c r="F140" s="200"/>
      <c r="H140" s="200"/>
      <c r="I140" s="200">
        <v>0</v>
      </c>
      <c r="J140" s="200"/>
      <c r="K140" s="200"/>
      <c r="L140" s="200"/>
      <c r="M140" s="200"/>
      <c r="N140" s="200"/>
      <c r="O140" s="200"/>
      <c r="P140" s="200"/>
      <c r="Q140" s="200"/>
      <c r="R140" s="200"/>
      <c r="S140" s="200"/>
      <c r="T140" s="200"/>
      <c r="U140" s="200"/>
      <c r="V140" s="200"/>
      <c r="W140" s="200"/>
      <c r="X140" s="200"/>
      <c r="Y140" s="200"/>
      <c r="Z140" s="200"/>
      <c r="AA140" s="200"/>
      <c r="AB140" s="200"/>
      <c r="AC140" s="200"/>
      <c r="AD140" s="200"/>
      <c r="AE140" s="200"/>
      <c r="AF140" s="200"/>
      <c r="AG140" s="200"/>
      <c r="AH140" s="200"/>
      <c r="AI140" s="200"/>
      <c r="AJ140" s="200"/>
      <c r="AK140" s="200"/>
      <c r="AL140" s="200"/>
      <c r="AM140" s="440"/>
    </row>
    <row r="141" spans="1:40" ht="15" hidden="1" customHeight="1">
      <c r="A141" s="782" t="s">
        <v>519</v>
      </c>
      <c r="B141" s="715"/>
      <c r="C141" s="715"/>
      <c r="D141" s="150"/>
      <c r="E141" s="152"/>
      <c r="F141" s="200"/>
      <c r="H141" s="200"/>
      <c r="I141" s="200">
        <v>0</v>
      </c>
      <c r="J141" s="200"/>
      <c r="K141" s="200"/>
      <c r="L141" s="200"/>
      <c r="M141" s="200"/>
      <c r="N141" s="200"/>
      <c r="O141" s="200"/>
      <c r="P141" s="200"/>
      <c r="Q141" s="200"/>
      <c r="R141" s="200"/>
      <c r="S141" s="200"/>
      <c r="T141" s="200"/>
      <c r="U141" s="200"/>
      <c r="V141" s="200"/>
      <c r="W141" s="200"/>
      <c r="X141" s="200"/>
      <c r="Y141" s="200"/>
      <c r="Z141" s="200"/>
      <c r="AA141" s="200"/>
      <c r="AB141" s="200"/>
      <c r="AC141" s="200"/>
      <c r="AD141" s="200"/>
      <c r="AE141" s="200"/>
      <c r="AF141" s="200"/>
      <c r="AG141" s="200"/>
      <c r="AH141" s="200"/>
      <c r="AI141" s="200"/>
      <c r="AJ141" s="200"/>
      <c r="AK141" s="200"/>
      <c r="AL141" s="200"/>
      <c r="AM141" s="440"/>
    </row>
    <row r="142" spans="1:40" ht="15" hidden="1" customHeight="1">
      <c r="A142" s="782" t="s">
        <v>520</v>
      </c>
      <c r="B142" s="715"/>
      <c r="C142" s="715"/>
      <c r="D142" s="150"/>
      <c r="E142" s="152"/>
      <c r="F142" s="200"/>
      <c r="H142" s="200"/>
      <c r="I142" s="200">
        <v>0</v>
      </c>
      <c r="J142" s="200"/>
      <c r="K142" s="200"/>
      <c r="L142" s="200"/>
      <c r="M142" s="200"/>
      <c r="N142" s="200"/>
      <c r="O142" s="200"/>
      <c r="P142" s="200"/>
      <c r="Q142" s="200"/>
      <c r="R142" s="200"/>
      <c r="S142" s="200"/>
      <c r="T142" s="200"/>
      <c r="U142" s="200"/>
      <c r="V142" s="200"/>
      <c r="W142" s="200"/>
      <c r="X142" s="200"/>
      <c r="Y142" s="200"/>
      <c r="Z142" s="200"/>
      <c r="AA142" s="200"/>
      <c r="AB142" s="200"/>
      <c r="AC142" s="200"/>
      <c r="AD142" s="200"/>
      <c r="AE142" s="200"/>
      <c r="AF142" s="200"/>
      <c r="AG142" s="200"/>
      <c r="AH142" s="200"/>
      <c r="AI142" s="200"/>
      <c r="AJ142" s="200"/>
      <c r="AK142" s="200"/>
      <c r="AL142" s="200"/>
      <c r="AM142" s="440"/>
    </row>
    <row r="143" spans="1:40" ht="15" customHeight="1">
      <c r="A143" s="783" t="s">
        <v>2472</v>
      </c>
      <c r="B143" s="1009"/>
      <c r="C143" s="1009"/>
      <c r="D143" s="150"/>
      <c r="E143" s="152"/>
      <c r="F143" s="200"/>
      <c r="H143" s="200"/>
      <c r="I143" s="1166"/>
      <c r="J143" s="200"/>
      <c r="K143" s="200"/>
      <c r="L143" s="200"/>
      <c r="M143" s="200"/>
      <c r="N143" s="200"/>
      <c r="O143" s="200"/>
      <c r="P143" s="200"/>
      <c r="Q143" s="200"/>
      <c r="R143" s="200"/>
      <c r="S143" s="200"/>
      <c r="T143" s="200"/>
      <c r="U143" s="200"/>
      <c r="V143" s="200"/>
      <c r="W143" s="200"/>
      <c r="X143" s="200"/>
      <c r="Y143" s="200"/>
      <c r="Z143" s="200"/>
      <c r="AA143" s="200"/>
      <c r="AB143" s="200"/>
      <c r="AC143" s="200"/>
      <c r="AD143" s="200"/>
      <c r="AE143" s="200"/>
      <c r="AF143" s="200"/>
      <c r="AG143" s="200"/>
      <c r="AH143" s="200"/>
      <c r="AI143" s="200"/>
      <c r="AJ143" s="200"/>
      <c r="AK143" s="200"/>
      <c r="AL143" s="200"/>
      <c r="AM143" s="440"/>
    </row>
    <row r="144" spans="1:40" s="1015" customFormat="1" ht="15" customHeight="1">
      <c r="A144" s="1008" t="s">
        <v>2326</v>
      </c>
      <c r="B144" s="1017"/>
      <c r="C144" s="1009"/>
      <c r="D144" s="1072"/>
      <c r="E144" s="1072"/>
      <c r="F144" s="1010"/>
      <c r="G144" s="1010"/>
      <c r="H144" s="1010"/>
      <c r="I144" s="1012"/>
      <c r="J144" s="1012"/>
      <c r="K144" s="1012"/>
      <c r="L144" s="1012"/>
      <c r="M144" s="1012"/>
      <c r="N144" s="1012"/>
      <c r="O144" s="1012"/>
      <c r="P144" s="1012"/>
      <c r="Q144" s="1012"/>
      <c r="R144" s="1012"/>
      <c r="S144" s="1012"/>
      <c r="T144" s="1012"/>
      <c r="U144" s="1012"/>
      <c r="V144" s="1012"/>
      <c r="W144" s="1012"/>
      <c r="X144" s="1012"/>
      <c r="Y144" s="1012"/>
      <c r="Z144" s="1012"/>
      <c r="AA144" s="1012"/>
      <c r="AB144" s="1012"/>
      <c r="AC144" s="1012"/>
      <c r="AD144" s="1012"/>
      <c r="AE144" s="1012"/>
      <c r="AF144" s="1012"/>
      <c r="AG144" s="1012"/>
      <c r="AH144" s="1012"/>
      <c r="AI144" s="1012"/>
      <c r="AJ144" s="1012"/>
      <c r="AK144" s="1012"/>
      <c r="AL144" s="1012"/>
      <c r="AM144" s="1014"/>
    </row>
    <row r="145" spans="1:74" s="1015" customFormat="1" ht="15" customHeight="1">
      <c r="A145" s="1016" t="s">
        <v>2317</v>
      </c>
      <c r="B145" s="1017"/>
      <c r="C145" s="1009"/>
      <c r="D145" s="1010">
        <f>年度数据!C122</f>
        <v>588.92393775999994</v>
      </c>
      <c r="E145" s="1010">
        <f>年度数据!D122</f>
        <v>1843.06637875</v>
      </c>
      <c r="F145" s="1010">
        <f>年度数据!E122</f>
        <v>1830.68615363</v>
      </c>
      <c r="G145" s="1013">
        <f>年度数据!F122</f>
        <v>1909.0041427900001</v>
      </c>
      <c r="H145" s="1012">
        <f>年度数据!G122</f>
        <v>1680.9903678599999</v>
      </c>
      <c r="I145" s="1012">
        <f>H153</f>
        <v>2072.21509741</v>
      </c>
      <c r="J145" s="1012">
        <f>I153</f>
        <v>2072.21509741</v>
      </c>
      <c r="K145" s="1012">
        <f>J153</f>
        <v>2072.21509741</v>
      </c>
      <c r="L145" s="1012">
        <f t="shared" ref="L145:AL145" si="43">K153</f>
        <v>2072.21509741</v>
      </c>
      <c r="M145" s="1012">
        <f>L153</f>
        <v>2072.21509741</v>
      </c>
      <c r="N145" s="1012">
        <f t="shared" si="43"/>
        <v>2072.21509741</v>
      </c>
      <c r="O145" s="1012">
        <f t="shared" si="43"/>
        <v>2072.21509741</v>
      </c>
      <c r="P145" s="1012">
        <f t="shared" si="43"/>
        <v>2072.21509741</v>
      </c>
      <c r="Q145" s="1012">
        <f t="shared" si="43"/>
        <v>2072.21509741</v>
      </c>
      <c r="R145" s="1012">
        <f t="shared" si="43"/>
        <v>2072.21509741</v>
      </c>
      <c r="S145" s="1012">
        <f t="shared" si="43"/>
        <v>2072.21509741</v>
      </c>
      <c r="T145" s="1012">
        <f t="shared" si="43"/>
        <v>2072.21509741</v>
      </c>
      <c r="U145" s="1012">
        <f t="shared" si="43"/>
        <v>2072.21509741</v>
      </c>
      <c r="V145" s="1012">
        <f t="shared" si="43"/>
        <v>2072.21509741</v>
      </c>
      <c r="W145" s="1012">
        <f t="shared" si="43"/>
        <v>2072.21509741</v>
      </c>
      <c r="X145" s="1012">
        <f t="shared" si="43"/>
        <v>2072.21509741</v>
      </c>
      <c r="Y145" s="1012">
        <f t="shared" si="43"/>
        <v>2072.21509741</v>
      </c>
      <c r="Z145" s="1012">
        <f t="shared" si="43"/>
        <v>2072.21509741</v>
      </c>
      <c r="AA145" s="1012">
        <f t="shared" si="43"/>
        <v>2072.21509741</v>
      </c>
      <c r="AB145" s="1012">
        <f t="shared" si="43"/>
        <v>2072.21509741</v>
      </c>
      <c r="AC145" s="1012">
        <f t="shared" si="43"/>
        <v>2072.21509741</v>
      </c>
      <c r="AD145" s="1012">
        <f t="shared" si="43"/>
        <v>2072.21509741</v>
      </c>
      <c r="AE145" s="1012">
        <f t="shared" si="43"/>
        <v>2072.21509741</v>
      </c>
      <c r="AF145" s="1012">
        <f t="shared" si="43"/>
        <v>2072.21509741</v>
      </c>
      <c r="AG145" s="1012">
        <f t="shared" si="43"/>
        <v>2072.21509741</v>
      </c>
      <c r="AH145" s="1012">
        <f t="shared" si="43"/>
        <v>2072.21509741</v>
      </c>
      <c r="AI145" s="1012">
        <f t="shared" si="43"/>
        <v>2072.21509741</v>
      </c>
      <c r="AJ145" s="1012">
        <f t="shared" si="43"/>
        <v>2072.21509741</v>
      </c>
      <c r="AK145" s="1012">
        <f t="shared" si="43"/>
        <v>2072.21509741</v>
      </c>
      <c r="AL145" s="1012">
        <f t="shared" si="43"/>
        <v>2072.21509741</v>
      </c>
      <c r="AM145" s="1014"/>
    </row>
    <row r="146" spans="1:74" s="1015" customFormat="1" ht="15" customHeight="1">
      <c r="A146" s="1018" t="s">
        <v>2318</v>
      </c>
      <c r="B146" s="1017"/>
      <c r="C146" s="1009"/>
      <c r="D146" s="1072"/>
      <c r="E146" s="1011"/>
      <c r="F146" s="1012"/>
      <c r="G146" s="1013"/>
      <c r="H146" s="1012"/>
      <c r="I146" s="1012">
        <f>I137</f>
        <v>0</v>
      </c>
      <c r="J146" s="1012"/>
      <c r="K146" s="1012"/>
      <c r="L146" s="1012"/>
      <c r="M146" s="1012"/>
      <c r="N146" s="1012"/>
      <c r="O146" s="1012"/>
      <c r="P146" s="1012"/>
      <c r="Q146" s="1012"/>
      <c r="R146" s="1012"/>
      <c r="S146" s="1012"/>
      <c r="T146" s="1012"/>
      <c r="U146" s="1012"/>
      <c r="V146" s="1012"/>
      <c r="W146" s="1012"/>
      <c r="X146" s="1012"/>
      <c r="Y146" s="1012"/>
      <c r="Z146" s="1012"/>
      <c r="AA146" s="1012"/>
      <c r="AB146" s="1012"/>
      <c r="AC146" s="1012"/>
      <c r="AD146" s="1012"/>
      <c r="AE146" s="1012"/>
      <c r="AF146" s="1012"/>
      <c r="AG146" s="1012"/>
      <c r="AH146" s="1012"/>
      <c r="AI146" s="1012"/>
      <c r="AJ146" s="1012"/>
      <c r="AK146" s="1012"/>
      <c r="AL146" s="1012"/>
      <c r="AM146" s="1014"/>
    </row>
    <row r="147" spans="1:74" s="1015" customFormat="1" ht="15" hidden="1" customHeight="1">
      <c r="A147" s="1018" t="s">
        <v>2319</v>
      </c>
      <c r="B147" s="1017"/>
      <c r="C147" s="1009"/>
      <c r="D147" s="1072"/>
      <c r="E147" s="1011"/>
      <c r="F147" s="1012"/>
      <c r="G147" s="1013"/>
      <c r="H147" s="1012"/>
      <c r="I147" s="1012"/>
      <c r="J147" s="1012"/>
      <c r="K147" s="1012"/>
      <c r="L147" s="1012"/>
      <c r="M147" s="1012"/>
      <c r="N147" s="1012"/>
      <c r="O147" s="1012"/>
      <c r="P147" s="1012"/>
      <c r="Q147" s="1012"/>
      <c r="R147" s="1012"/>
      <c r="S147" s="1012"/>
      <c r="T147" s="1012"/>
      <c r="U147" s="1012"/>
      <c r="V147" s="1012"/>
      <c r="W147" s="1012"/>
      <c r="X147" s="1012"/>
      <c r="Y147" s="1012"/>
      <c r="Z147" s="1012"/>
      <c r="AA147" s="1012"/>
      <c r="AB147" s="1012"/>
      <c r="AC147" s="1012"/>
      <c r="AD147" s="1012"/>
      <c r="AE147" s="1012"/>
      <c r="AF147" s="1012"/>
      <c r="AG147" s="1012"/>
      <c r="AH147" s="1012"/>
      <c r="AI147" s="1012"/>
      <c r="AJ147" s="1012"/>
      <c r="AK147" s="1012"/>
      <c r="AL147" s="1012"/>
      <c r="AM147" s="1014"/>
    </row>
    <row r="148" spans="1:74" s="1015" customFormat="1" ht="15" hidden="1" customHeight="1">
      <c r="A148" s="1018" t="s">
        <v>2320</v>
      </c>
      <c r="B148" s="1017"/>
      <c r="C148" s="1009"/>
      <c r="D148" s="1072"/>
      <c r="E148" s="1011"/>
      <c r="F148" s="1012"/>
      <c r="G148" s="1013"/>
      <c r="H148" s="1012"/>
      <c r="I148" s="1012"/>
      <c r="J148" s="1012"/>
      <c r="K148" s="1012"/>
      <c r="L148" s="1012"/>
      <c r="M148" s="1012"/>
      <c r="N148" s="1012"/>
      <c r="O148" s="1012"/>
      <c r="P148" s="1012"/>
      <c r="Q148" s="1012"/>
      <c r="R148" s="1012"/>
      <c r="S148" s="1012"/>
      <c r="T148" s="1012"/>
      <c r="U148" s="1012"/>
      <c r="V148" s="1012"/>
      <c r="W148" s="1012"/>
      <c r="X148" s="1012"/>
      <c r="Y148" s="1012"/>
      <c r="Z148" s="1012"/>
      <c r="AA148" s="1012"/>
      <c r="AB148" s="1012"/>
      <c r="AC148" s="1012"/>
      <c r="AD148" s="1012"/>
      <c r="AE148" s="1012"/>
      <c r="AF148" s="1012"/>
      <c r="AG148" s="1012"/>
      <c r="AH148" s="1012"/>
      <c r="AI148" s="1012"/>
      <c r="AJ148" s="1012"/>
      <c r="AK148" s="1012"/>
      <c r="AL148" s="1012"/>
      <c r="AM148" s="1014"/>
    </row>
    <row r="149" spans="1:74" s="1015" customFormat="1" ht="15" hidden="1" customHeight="1">
      <c r="A149" s="1018" t="s">
        <v>2321</v>
      </c>
      <c r="B149" s="1017"/>
      <c r="C149" s="1009"/>
      <c r="D149" s="1072"/>
      <c r="E149" s="1011"/>
      <c r="F149" s="1012"/>
      <c r="G149" s="1013"/>
      <c r="H149" s="1012"/>
      <c r="I149" s="1012"/>
      <c r="J149" s="1012"/>
      <c r="K149" s="1012"/>
      <c r="L149" s="1012"/>
      <c r="M149" s="1012"/>
      <c r="N149" s="1012"/>
      <c r="O149" s="1012"/>
      <c r="P149" s="1012"/>
      <c r="Q149" s="1012"/>
      <c r="R149" s="1012"/>
      <c r="S149" s="1012"/>
      <c r="T149" s="1012"/>
      <c r="U149" s="1012"/>
      <c r="V149" s="1012"/>
      <c r="W149" s="1012"/>
      <c r="X149" s="1012"/>
      <c r="Y149" s="1012"/>
      <c r="Z149" s="1012"/>
      <c r="AA149" s="1012"/>
      <c r="AB149" s="1012"/>
      <c r="AC149" s="1012"/>
      <c r="AD149" s="1012"/>
      <c r="AE149" s="1012"/>
      <c r="AF149" s="1012"/>
      <c r="AG149" s="1012"/>
      <c r="AH149" s="1012"/>
      <c r="AI149" s="1012"/>
      <c r="AJ149" s="1012"/>
      <c r="AK149" s="1012"/>
      <c r="AL149" s="1012"/>
      <c r="AM149" s="1014"/>
    </row>
    <row r="150" spans="1:74" s="1015" customFormat="1" ht="15" hidden="1" customHeight="1">
      <c r="A150" s="1018" t="s">
        <v>2322</v>
      </c>
      <c r="B150" s="1017"/>
      <c r="C150" s="1009"/>
      <c r="D150" s="1072"/>
      <c r="E150" s="1011"/>
      <c r="F150" s="1012"/>
      <c r="G150" s="1013"/>
      <c r="H150" s="1012"/>
      <c r="I150" s="1012"/>
      <c r="J150" s="1012"/>
      <c r="K150" s="1012"/>
      <c r="L150" s="1012"/>
      <c r="M150" s="1012"/>
      <c r="N150" s="1012"/>
      <c r="O150" s="1012"/>
      <c r="P150" s="1012"/>
      <c r="Q150" s="1012"/>
      <c r="R150" s="1012"/>
      <c r="S150" s="1012"/>
      <c r="T150" s="1012"/>
      <c r="U150" s="1012"/>
      <c r="V150" s="1012"/>
      <c r="W150" s="1012"/>
      <c r="X150" s="1012"/>
      <c r="Y150" s="1012"/>
      <c r="Z150" s="1012"/>
      <c r="AA150" s="1012"/>
      <c r="AB150" s="1012"/>
      <c r="AC150" s="1012"/>
      <c r="AD150" s="1012"/>
      <c r="AE150" s="1012"/>
      <c r="AF150" s="1012"/>
      <c r="AG150" s="1012"/>
      <c r="AH150" s="1012"/>
      <c r="AI150" s="1012"/>
      <c r="AJ150" s="1012"/>
      <c r="AK150" s="1012"/>
      <c r="AL150" s="1012"/>
      <c r="AM150" s="1014"/>
    </row>
    <row r="151" spans="1:74" s="1015" customFormat="1" ht="15" hidden="1" customHeight="1">
      <c r="A151" s="1018" t="s">
        <v>2323</v>
      </c>
      <c r="B151" s="1017"/>
      <c r="C151" s="1009"/>
      <c r="D151" s="1072"/>
      <c r="E151" s="1011"/>
      <c r="F151" s="1012"/>
      <c r="G151" s="1013"/>
      <c r="H151" s="1012"/>
      <c r="I151" s="1012"/>
      <c r="J151" s="1012"/>
      <c r="K151" s="1012"/>
      <c r="L151" s="1012"/>
      <c r="M151" s="1012"/>
      <c r="N151" s="1012"/>
      <c r="O151" s="1012"/>
      <c r="P151" s="1012"/>
      <c r="Q151" s="1012"/>
      <c r="R151" s="1012"/>
      <c r="S151" s="1012"/>
      <c r="T151" s="1012"/>
      <c r="U151" s="1012"/>
      <c r="V151" s="1012"/>
      <c r="W151" s="1012"/>
      <c r="X151" s="1012"/>
      <c r="Y151" s="1012"/>
      <c r="Z151" s="1012"/>
      <c r="AA151" s="1012"/>
      <c r="AB151" s="1012"/>
      <c r="AC151" s="1012"/>
      <c r="AD151" s="1012"/>
      <c r="AE151" s="1012"/>
      <c r="AF151" s="1012"/>
      <c r="AG151" s="1012"/>
      <c r="AH151" s="1012"/>
      <c r="AI151" s="1012"/>
      <c r="AJ151" s="1012"/>
      <c r="AK151" s="1012"/>
      <c r="AL151" s="1012"/>
      <c r="AM151" s="1014"/>
    </row>
    <row r="152" spans="1:74" s="1015" customFormat="1" ht="15" hidden="1" customHeight="1">
      <c r="A152" s="1019" t="s">
        <v>2324</v>
      </c>
      <c r="B152" s="1020" t="s">
        <v>2447</v>
      </c>
      <c r="C152" s="1009"/>
      <c r="D152" s="1072"/>
      <c r="E152" s="1011"/>
      <c r="F152" s="1012"/>
      <c r="G152" s="1013"/>
      <c r="H152" s="1012"/>
      <c r="I152" s="1012"/>
      <c r="J152" s="1012"/>
      <c r="K152" s="1012"/>
      <c r="L152" s="1012"/>
      <c r="M152" s="1012"/>
      <c r="N152" s="1012"/>
      <c r="O152" s="1012"/>
      <c r="P152" s="1012"/>
      <c r="Q152" s="1012"/>
      <c r="R152" s="1012"/>
      <c r="S152" s="1012"/>
      <c r="T152" s="1012"/>
      <c r="U152" s="1012"/>
      <c r="V152" s="1012"/>
      <c r="W152" s="1012"/>
      <c r="X152" s="1012"/>
      <c r="Y152" s="1012"/>
      <c r="Z152" s="1012"/>
      <c r="AA152" s="1012"/>
      <c r="AB152" s="1012"/>
      <c r="AC152" s="1012"/>
      <c r="AD152" s="1012"/>
      <c r="AE152" s="1012"/>
      <c r="AF152" s="1012"/>
      <c r="AG152" s="1012"/>
      <c r="AH152" s="1012"/>
      <c r="AI152" s="1012"/>
      <c r="AJ152" s="1012"/>
      <c r="AK152" s="1012"/>
      <c r="AL152" s="1012"/>
      <c r="AM152" s="1014"/>
    </row>
    <row r="153" spans="1:74" s="1015" customFormat="1" ht="15" customHeight="1">
      <c r="A153" s="1016" t="s">
        <v>2325</v>
      </c>
      <c r="B153" s="1020" t="s">
        <v>2449</v>
      </c>
      <c r="C153" s="715"/>
      <c r="D153" s="1010">
        <f>年度数据!D122</f>
        <v>1843.06637875</v>
      </c>
      <c r="E153" s="1010">
        <f>年度数据!E122</f>
        <v>1830.68615363</v>
      </c>
      <c r="F153" s="1010">
        <f>年度数据!F122</f>
        <v>1909.0041427900001</v>
      </c>
      <c r="G153" s="1013">
        <f>年度数据!G122</f>
        <v>1680.9903678599999</v>
      </c>
      <c r="H153" s="1012">
        <f>年度数据!H122</f>
        <v>2072.21509741</v>
      </c>
      <c r="I153" s="1012">
        <f>H153+SUM(G132:I132)-I146</f>
        <v>2072.21509741</v>
      </c>
      <c r="J153" s="1012">
        <f>I153+J132</f>
        <v>2072.21509741</v>
      </c>
      <c r="K153" s="1012">
        <f>J153</f>
        <v>2072.21509741</v>
      </c>
      <c r="L153" s="1012">
        <f t="shared" ref="L153:AL153" si="44">K153</f>
        <v>2072.21509741</v>
      </c>
      <c r="M153" s="1012">
        <f t="shared" si="44"/>
        <v>2072.21509741</v>
      </c>
      <c r="N153" s="1012">
        <f t="shared" si="44"/>
        <v>2072.21509741</v>
      </c>
      <c r="O153" s="1012">
        <f>N153</f>
        <v>2072.21509741</v>
      </c>
      <c r="P153" s="1012">
        <f t="shared" si="44"/>
        <v>2072.21509741</v>
      </c>
      <c r="Q153" s="1012">
        <f t="shared" si="44"/>
        <v>2072.21509741</v>
      </c>
      <c r="R153" s="1012">
        <f t="shared" si="44"/>
        <v>2072.21509741</v>
      </c>
      <c r="S153" s="1012">
        <f t="shared" si="44"/>
        <v>2072.21509741</v>
      </c>
      <c r="T153" s="1012">
        <f t="shared" si="44"/>
        <v>2072.21509741</v>
      </c>
      <c r="U153" s="1012">
        <f t="shared" si="44"/>
        <v>2072.21509741</v>
      </c>
      <c r="V153" s="1012">
        <f t="shared" si="44"/>
        <v>2072.21509741</v>
      </c>
      <c r="W153" s="1012">
        <f t="shared" si="44"/>
        <v>2072.21509741</v>
      </c>
      <c r="X153" s="1012">
        <f t="shared" si="44"/>
        <v>2072.21509741</v>
      </c>
      <c r="Y153" s="1012">
        <f t="shared" si="44"/>
        <v>2072.21509741</v>
      </c>
      <c r="Z153" s="1012">
        <f t="shared" si="44"/>
        <v>2072.21509741</v>
      </c>
      <c r="AA153" s="1012">
        <f t="shared" si="44"/>
        <v>2072.21509741</v>
      </c>
      <c r="AB153" s="1012">
        <f t="shared" si="44"/>
        <v>2072.21509741</v>
      </c>
      <c r="AC153" s="1012">
        <f t="shared" si="44"/>
        <v>2072.21509741</v>
      </c>
      <c r="AD153" s="1012">
        <f t="shared" si="44"/>
        <v>2072.21509741</v>
      </c>
      <c r="AE153" s="1012">
        <f t="shared" si="44"/>
        <v>2072.21509741</v>
      </c>
      <c r="AF153" s="1012">
        <f t="shared" si="44"/>
        <v>2072.21509741</v>
      </c>
      <c r="AG153" s="1012">
        <f t="shared" si="44"/>
        <v>2072.21509741</v>
      </c>
      <c r="AH153" s="1012">
        <f t="shared" si="44"/>
        <v>2072.21509741</v>
      </c>
      <c r="AI153" s="1012">
        <f t="shared" si="44"/>
        <v>2072.21509741</v>
      </c>
      <c r="AJ153" s="1012">
        <f t="shared" si="44"/>
        <v>2072.21509741</v>
      </c>
      <c r="AK153" s="1012">
        <f t="shared" si="44"/>
        <v>2072.21509741</v>
      </c>
      <c r="AL153" s="1012">
        <f t="shared" si="44"/>
        <v>2072.21509741</v>
      </c>
      <c r="AM153" s="1014"/>
    </row>
    <row r="154" spans="1:74" ht="15" customHeight="1">
      <c r="A154" s="1007"/>
      <c r="B154" s="715"/>
      <c r="C154" s="715"/>
      <c r="D154" s="150"/>
      <c r="E154" s="152"/>
      <c r="F154" s="200"/>
      <c r="H154" s="200"/>
      <c r="I154" s="1091">
        <f>现金流量!I52+现金流量!I53-SUM(假设!G130:'假设'!I130)-SUM(假设!G132:'假设'!I132)</f>
        <v>0</v>
      </c>
      <c r="J154" s="200"/>
      <c r="K154" s="200"/>
      <c r="L154" s="200"/>
      <c r="M154" s="200"/>
      <c r="N154" s="200"/>
      <c r="O154" s="200"/>
      <c r="P154" s="200"/>
      <c r="Q154" s="200"/>
      <c r="R154" s="200"/>
      <c r="S154" s="200"/>
      <c r="T154" s="200"/>
      <c r="U154" s="200"/>
      <c r="V154" s="200"/>
      <c r="W154" s="200"/>
      <c r="X154" s="200"/>
      <c r="Y154" s="200"/>
      <c r="Z154" s="200"/>
      <c r="AA154" s="200"/>
      <c r="AB154" s="200"/>
      <c r="AC154" s="200"/>
      <c r="AD154" s="200"/>
      <c r="AE154" s="200"/>
      <c r="AF154" s="200"/>
      <c r="AG154" s="200"/>
      <c r="AH154" s="200"/>
      <c r="AI154" s="200"/>
      <c r="AJ154" s="200"/>
      <c r="AK154" s="200"/>
      <c r="AL154" s="200"/>
      <c r="AM154" s="440"/>
    </row>
    <row r="155" spans="1:74" ht="15" customHeight="1">
      <c r="A155" s="762" t="s">
        <v>27</v>
      </c>
      <c r="B155" s="1293" t="s">
        <v>2448</v>
      </c>
      <c r="C155" s="1294"/>
      <c r="D155" s="150"/>
      <c r="E155" s="152"/>
      <c r="F155" s="200"/>
      <c r="H155" s="200"/>
      <c r="I155" s="200"/>
      <c r="J155" s="200"/>
      <c r="K155" s="200"/>
      <c r="L155" s="200"/>
      <c r="M155" s="200"/>
      <c r="N155" s="200"/>
      <c r="O155" s="200"/>
      <c r="P155" s="200"/>
      <c r="Q155" s="200"/>
      <c r="R155" s="200"/>
      <c r="S155" s="200"/>
      <c r="T155" s="200"/>
      <c r="U155" s="200"/>
      <c r="V155" s="200"/>
      <c r="W155" s="200"/>
      <c r="X155" s="200"/>
      <c r="Y155" s="200"/>
      <c r="Z155" s="200"/>
      <c r="AA155" s="200"/>
      <c r="AB155" s="200"/>
      <c r="AC155" s="200"/>
      <c r="AD155" s="200"/>
      <c r="AE155" s="200"/>
      <c r="AF155" s="200"/>
      <c r="AG155" s="200"/>
      <c r="AH155" s="200"/>
      <c r="AI155" s="200"/>
      <c r="AJ155" s="200"/>
      <c r="AK155" s="200"/>
      <c r="AL155" s="200"/>
      <c r="AM155" s="440"/>
    </row>
    <row r="156" spans="1:74" s="605" customFormat="1" ht="18.75" customHeight="1" outlineLevel="1">
      <c r="A156" s="167" t="s">
        <v>364</v>
      </c>
      <c r="B156" s="1291"/>
      <c r="C156" s="1292"/>
      <c r="D156" s="768">
        <v>0</v>
      </c>
      <c r="E156" s="768">
        <v>0</v>
      </c>
      <c r="F156" s="768">
        <v>0</v>
      </c>
      <c r="G156" s="768">
        <v>0</v>
      </c>
      <c r="H156" s="768">
        <v>0</v>
      </c>
      <c r="I156" s="159"/>
      <c r="J156" s="159"/>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c r="BH156" s="160"/>
      <c r="BI156" s="160"/>
      <c r="BJ156" s="160"/>
      <c r="BK156" s="160"/>
      <c r="BL156" s="160"/>
      <c r="BM156" s="160"/>
      <c r="BN156" s="160"/>
      <c r="BO156" s="160"/>
      <c r="BP156" s="160"/>
      <c r="BQ156" s="160"/>
      <c r="BR156" s="160"/>
      <c r="BS156" s="160"/>
      <c r="BT156" s="160"/>
      <c r="BU156" s="160"/>
      <c r="BV156" s="160"/>
    </row>
    <row r="157" spans="1:74" ht="15" customHeight="1">
      <c r="A157" s="715"/>
      <c r="B157" s="715"/>
      <c r="C157" s="715"/>
      <c r="D157" s="740"/>
      <c r="E157" s="152"/>
      <c r="F157" s="200"/>
      <c r="H157" s="200"/>
      <c r="I157" s="200"/>
      <c r="J157" s="200"/>
      <c r="K157" s="200"/>
      <c r="L157" s="200"/>
      <c r="M157" s="200"/>
      <c r="N157" s="200"/>
      <c r="O157" s="200"/>
      <c r="P157" s="200"/>
      <c r="Q157" s="200"/>
      <c r="R157" s="200"/>
      <c r="S157" s="200"/>
      <c r="T157" s="200"/>
      <c r="U157" s="200"/>
      <c r="V157" s="200"/>
      <c r="W157" s="200"/>
      <c r="X157" s="200"/>
      <c r="Y157" s="200"/>
      <c r="Z157" s="200"/>
      <c r="AA157" s="200"/>
      <c r="AB157" s="200"/>
      <c r="AC157" s="200"/>
      <c r="AD157" s="200"/>
      <c r="AE157" s="200"/>
      <c r="AF157" s="200"/>
      <c r="AG157" s="200"/>
      <c r="AH157" s="200"/>
      <c r="AI157" s="200"/>
      <c r="AJ157" s="200"/>
      <c r="AK157" s="200"/>
      <c r="AL157" s="200"/>
      <c r="AM157" s="440"/>
    </row>
    <row r="158" spans="1:74" ht="15" customHeight="1">
      <c r="A158" s="1123"/>
      <c r="B158" s="715"/>
      <c r="C158" s="715"/>
      <c r="D158" s="740"/>
      <c r="E158" s="152"/>
      <c r="F158" s="200"/>
      <c r="H158" s="200"/>
      <c r="I158" s="200"/>
      <c r="J158" s="200"/>
      <c r="K158" s="200"/>
      <c r="L158" s="200"/>
      <c r="M158" s="200"/>
      <c r="N158" s="200"/>
      <c r="O158" s="200"/>
      <c r="P158" s="200"/>
      <c r="Q158" s="200"/>
      <c r="R158" s="200"/>
      <c r="S158" s="200"/>
      <c r="T158" s="200"/>
      <c r="U158" s="200"/>
      <c r="V158" s="200"/>
      <c r="W158" s="200"/>
      <c r="X158" s="200"/>
      <c r="Y158" s="200"/>
      <c r="Z158" s="200"/>
      <c r="AA158" s="200"/>
      <c r="AB158" s="200"/>
      <c r="AC158" s="200"/>
      <c r="AD158" s="200"/>
      <c r="AE158" s="200"/>
      <c r="AF158" s="200"/>
      <c r="AG158" s="200"/>
      <c r="AH158" s="200"/>
      <c r="AI158" s="200"/>
      <c r="AJ158" s="200"/>
      <c r="AK158" s="200"/>
      <c r="AL158" s="200"/>
      <c r="AM158" s="440"/>
    </row>
    <row r="159" spans="1:74" ht="15" customHeight="1">
      <c r="A159" s="715"/>
      <c r="B159" s="974"/>
      <c r="C159" s="715"/>
      <c r="D159" s="740"/>
      <c r="E159" s="152"/>
      <c r="F159" s="713"/>
      <c r="G159" s="713"/>
      <c r="H159" s="713"/>
      <c r="I159" s="850"/>
      <c r="J159" s="850"/>
      <c r="K159" s="850"/>
      <c r="L159" s="200"/>
      <c r="M159" s="200"/>
      <c r="N159" s="200"/>
      <c r="O159" s="200"/>
      <c r="P159" s="200"/>
      <c r="Q159" s="200"/>
      <c r="R159" s="200"/>
      <c r="S159" s="200"/>
      <c r="T159" s="200"/>
      <c r="U159" s="200"/>
      <c r="V159" s="200"/>
      <c r="W159" s="200"/>
      <c r="X159" s="200"/>
      <c r="Y159" s="200"/>
      <c r="Z159" s="200"/>
      <c r="AA159" s="200"/>
      <c r="AB159" s="200"/>
      <c r="AC159" s="200"/>
      <c r="AD159" s="200"/>
      <c r="AE159" s="200"/>
      <c r="AF159" s="200"/>
      <c r="AG159" s="200"/>
      <c r="AH159" s="200"/>
      <c r="AI159" s="200"/>
      <c r="AJ159" s="200"/>
      <c r="AK159" s="200"/>
      <c r="AL159" s="200"/>
      <c r="AM159" s="440"/>
    </row>
    <row r="160" spans="1:74" ht="15" customHeight="1">
      <c r="A160" s="715"/>
      <c r="B160" s="715"/>
      <c r="C160" s="715"/>
      <c r="D160" s="740"/>
      <c r="E160" s="152"/>
      <c r="F160" s="200"/>
      <c r="H160" s="200"/>
      <c r="I160" s="200"/>
      <c r="J160" s="200"/>
      <c r="K160" s="200"/>
      <c r="L160" s="200"/>
      <c r="M160" s="200"/>
      <c r="N160" s="200"/>
      <c r="O160" s="200"/>
      <c r="P160" s="200"/>
      <c r="Q160" s="200"/>
      <c r="R160" s="200"/>
      <c r="S160" s="200"/>
      <c r="T160" s="200"/>
      <c r="U160" s="200"/>
      <c r="V160" s="200"/>
      <c r="W160" s="200"/>
      <c r="X160" s="200"/>
      <c r="Y160" s="200"/>
      <c r="Z160" s="200"/>
      <c r="AA160" s="200"/>
      <c r="AB160" s="200"/>
      <c r="AC160" s="200"/>
      <c r="AD160" s="200"/>
      <c r="AE160" s="200"/>
      <c r="AF160" s="200"/>
      <c r="AG160" s="200"/>
      <c r="AH160" s="200"/>
      <c r="AI160" s="200"/>
      <c r="AJ160" s="200"/>
      <c r="AK160" s="200"/>
      <c r="AL160" s="200"/>
    </row>
    <row r="161" spans="1:11" ht="15" customHeight="1">
      <c r="A161" s="762"/>
      <c r="B161" s="715"/>
      <c r="C161" s="715"/>
    </row>
    <row r="162" spans="1:11" ht="15" customHeight="1">
      <c r="A162" s="167"/>
      <c r="B162" s="715"/>
      <c r="C162" s="715"/>
      <c r="I162" s="200"/>
      <c r="J162" s="200"/>
      <c r="K162" s="200"/>
    </row>
    <row r="163" spans="1:11" ht="15" customHeight="1">
      <c r="A163" s="715"/>
      <c r="B163" s="715"/>
      <c r="C163" s="715"/>
      <c r="H163" s="324"/>
    </row>
    <row r="164" spans="1:11" ht="15" customHeight="1">
      <c r="A164" s="715"/>
      <c r="B164" s="715"/>
      <c r="C164" s="715"/>
      <c r="H164" s="324"/>
    </row>
    <row r="165" spans="1:11" ht="15" customHeight="1">
      <c r="A165" s="715"/>
      <c r="B165" s="715"/>
      <c r="C165" s="715"/>
      <c r="H165" s="324"/>
    </row>
    <row r="166" spans="1:11" ht="15" customHeight="1">
      <c r="A166" s="715"/>
      <c r="B166" s="715"/>
      <c r="C166" s="715"/>
    </row>
    <row r="167" spans="1:11" ht="15" customHeight="1">
      <c r="A167" s="715"/>
      <c r="B167" s="715"/>
      <c r="C167" s="715"/>
    </row>
    <row r="168" spans="1:11" ht="15" customHeight="1">
      <c r="A168" s="715"/>
      <c r="B168" s="715"/>
      <c r="C168" s="715"/>
    </row>
    <row r="169" spans="1:11" ht="15" customHeight="1">
      <c r="A169" s="715"/>
      <c r="B169" s="715"/>
      <c r="C169" s="715"/>
    </row>
    <row r="170" spans="1:11" ht="15" customHeight="1">
      <c r="A170" s="715"/>
      <c r="B170" s="715"/>
      <c r="C170" s="715"/>
    </row>
    <row r="171" spans="1:11" ht="15" customHeight="1">
      <c r="A171" s="715"/>
      <c r="B171" s="715"/>
      <c r="C171" s="715"/>
    </row>
    <row r="172" spans="1:11" ht="15" customHeight="1">
      <c r="A172" s="715"/>
      <c r="B172" s="715"/>
      <c r="C172" s="715"/>
    </row>
    <row r="173" spans="1:11" ht="15" customHeight="1">
      <c r="A173" s="715"/>
      <c r="B173" s="715"/>
      <c r="C173" s="715"/>
    </row>
    <row r="174" spans="1:11" ht="15" customHeight="1">
      <c r="A174" s="715"/>
      <c r="B174" s="715"/>
      <c r="C174" s="715"/>
    </row>
    <row r="175" spans="1:11" ht="15" customHeight="1">
      <c r="A175" s="715"/>
      <c r="B175" s="715"/>
      <c r="C175" s="715"/>
    </row>
    <row r="176" spans="1:11" ht="15" customHeight="1">
      <c r="A176" s="715"/>
      <c r="B176" s="715"/>
      <c r="C176" s="715"/>
    </row>
    <row r="177" spans="1:3" ht="15" customHeight="1">
      <c r="A177" s="715"/>
      <c r="B177" s="715"/>
      <c r="C177" s="715"/>
    </row>
    <row r="178" spans="1:3" ht="15" customHeight="1">
      <c r="A178" s="715"/>
      <c r="B178" s="715"/>
      <c r="C178" s="715"/>
    </row>
    <row r="179" spans="1:3" ht="15" customHeight="1">
      <c r="A179" s="715"/>
      <c r="B179" s="715"/>
      <c r="C179" s="715"/>
    </row>
    <row r="180" spans="1:3" ht="15" customHeight="1">
      <c r="A180" s="715"/>
      <c r="B180" s="715"/>
      <c r="C180" s="715"/>
    </row>
    <row r="181" spans="1:3" ht="15" customHeight="1">
      <c r="A181" s="715"/>
      <c r="B181" s="715"/>
      <c r="C181" s="715"/>
    </row>
    <row r="182" spans="1:3" ht="15" customHeight="1">
      <c r="A182" s="715"/>
      <c r="B182" s="715"/>
      <c r="C182" s="715"/>
    </row>
    <row r="183" spans="1:3" ht="15" customHeight="1">
      <c r="A183" s="715"/>
      <c r="B183" s="715"/>
      <c r="C183" s="715"/>
    </row>
    <row r="184" spans="1:3" ht="15" customHeight="1">
      <c r="A184" s="715"/>
      <c r="B184" s="715"/>
      <c r="C184" s="715"/>
    </row>
    <row r="185" spans="1:3" ht="15" customHeight="1">
      <c r="A185" s="715"/>
      <c r="B185" s="715"/>
      <c r="C185" s="715"/>
    </row>
    <row r="186" spans="1:3" ht="15" customHeight="1">
      <c r="A186" s="715"/>
      <c r="B186" s="715"/>
      <c r="C186" s="715"/>
    </row>
    <row r="187" spans="1:3" ht="15" customHeight="1">
      <c r="A187" s="715"/>
      <c r="B187" s="715"/>
      <c r="C187" s="715"/>
    </row>
    <row r="188" spans="1:3" ht="15" customHeight="1">
      <c r="A188" s="715"/>
      <c r="B188" s="715"/>
      <c r="C188" s="715"/>
    </row>
    <row r="189" spans="1:3" ht="15" customHeight="1">
      <c r="A189" s="715"/>
      <c r="B189" s="715"/>
      <c r="C189" s="715"/>
    </row>
    <row r="190" spans="1:3" ht="15" customHeight="1">
      <c r="A190" s="715"/>
      <c r="B190" s="715"/>
      <c r="C190" s="715"/>
    </row>
    <row r="191" spans="1:3" ht="15" customHeight="1">
      <c r="A191" s="715"/>
      <c r="B191" s="715"/>
      <c r="C191" s="715"/>
    </row>
    <row r="192" spans="1:3" ht="15" customHeight="1">
      <c r="A192" s="715"/>
      <c r="B192" s="715"/>
      <c r="C192" s="715"/>
    </row>
    <row r="193" spans="1:3" ht="15" customHeight="1">
      <c r="A193" s="715"/>
      <c r="B193" s="715"/>
      <c r="C193" s="715"/>
    </row>
    <row r="194" spans="1:3" ht="15" customHeight="1">
      <c r="A194" s="715"/>
      <c r="B194" s="715"/>
      <c r="C194" s="715"/>
    </row>
    <row r="195" spans="1:3" ht="15" customHeight="1">
      <c r="A195" s="715"/>
      <c r="B195" s="715"/>
      <c r="C195" s="715"/>
    </row>
    <row r="196" spans="1:3" ht="15" customHeight="1">
      <c r="A196" s="715"/>
      <c r="B196" s="715"/>
      <c r="C196" s="715"/>
    </row>
    <row r="197" spans="1:3" ht="15" customHeight="1">
      <c r="A197" s="715"/>
      <c r="B197" s="715"/>
      <c r="C197" s="715"/>
    </row>
    <row r="198" spans="1:3" ht="15" customHeight="1">
      <c r="A198" s="715"/>
      <c r="B198" s="715"/>
      <c r="C198" s="715"/>
    </row>
    <row r="199" spans="1:3" ht="15" customHeight="1">
      <c r="A199" s="715"/>
      <c r="B199" s="715"/>
      <c r="C199" s="715"/>
    </row>
    <row r="200" spans="1:3" ht="15" customHeight="1">
      <c r="A200" s="715"/>
      <c r="B200" s="715"/>
      <c r="C200" s="715"/>
    </row>
    <row r="201" spans="1:3" ht="15" customHeight="1">
      <c r="A201" s="715"/>
      <c r="B201" s="715"/>
      <c r="C201" s="715"/>
    </row>
    <row r="202" spans="1:3" ht="15" customHeight="1">
      <c r="A202" s="715"/>
      <c r="B202" s="715"/>
      <c r="C202" s="715"/>
    </row>
    <row r="203" spans="1:3" ht="15" customHeight="1">
      <c r="A203" s="715"/>
      <c r="B203" s="715"/>
      <c r="C203" s="715"/>
    </row>
    <row r="204" spans="1:3" ht="15" customHeight="1">
      <c r="A204" s="715"/>
      <c r="B204" s="715"/>
      <c r="C204" s="715"/>
    </row>
    <row r="205" spans="1:3" ht="15" customHeight="1">
      <c r="A205" s="715"/>
      <c r="B205" s="715"/>
      <c r="C205" s="715"/>
    </row>
    <row r="206" spans="1:3" ht="15" customHeight="1">
      <c r="A206" s="715"/>
      <c r="B206" s="715"/>
      <c r="C206" s="715"/>
    </row>
    <row r="207" spans="1:3" ht="15" customHeight="1">
      <c r="A207" s="715"/>
      <c r="B207" s="715"/>
      <c r="C207" s="715"/>
    </row>
    <row r="208" spans="1:3" ht="15" customHeight="1">
      <c r="A208" s="715"/>
      <c r="B208" s="715"/>
      <c r="C208" s="715"/>
    </row>
    <row r="209" spans="1:3" ht="15" customHeight="1">
      <c r="A209" s="715"/>
      <c r="B209" s="715"/>
      <c r="C209" s="715"/>
    </row>
    <row r="210" spans="1:3" ht="15" customHeight="1">
      <c r="A210" s="715"/>
      <c r="B210" s="715"/>
      <c r="C210" s="715"/>
    </row>
    <row r="211" spans="1:3" ht="15" customHeight="1">
      <c r="A211" s="715"/>
      <c r="B211" s="715"/>
      <c r="C211" s="715"/>
    </row>
    <row r="212" spans="1:3" ht="15" customHeight="1">
      <c r="A212" s="715"/>
      <c r="B212" s="715"/>
      <c r="C212" s="715"/>
    </row>
    <row r="213" spans="1:3" ht="15" customHeight="1">
      <c r="A213" s="715"/>
      <c r="B213" s="715"/>
      <c r="C213" s="715"/>
    </row>
    <row r="214" spans="1:3" ht="15" customHeight="1">
      <c r="A214" s="715"/>
      <c r="B214" s="715"/>
      <c r="C214" s="715"/>
    </row>
    <row r="215" spans="1:3" ht="15" customHeight="1">
      <c r="A215" s="715"/>
      <c r="B215" s="715"/>
      <c r="C215" s="715"/>
    </row>
    <row r="216" spans="1:3" ht="15" customHeight="1">
      <c r="A216" s="715"/>
      <c r="B216" s="715"/>
      <c r="C216" s="715"/>
    </row>
    <row r="217" spans="1:3" ht="15" customHeight="1">
      <c r="A217" s="715"/>
      <c r="B217" s="715"/>
      <c r="C217" s="715"/>
    </row>
    <row r="218" spans="1:3" ht="15" customHeight="1">
      <c r="A218" s="715"/>
      <c r="B218" s="715"/>
      <c r="C218" s="715"/>
    </row>
    <row r="219" spans="1:3" ht="15" customHeight="1">
      <c r="A219" s="715"/>
      <c r="B219" s="715"/>
      <c r="C219" s="715"/>
    </row>
    <row r="220" spans="1:3" ht="15" customHeight="1">
      <c r="A220" s="715"/>
      <c r="B220" s="715"/>
      <c r="C220" s="715"/>
    </row>
    <row r="221" spans="1:3" ht="15" customHeight="1">
      <c r="A221" s="715"/>
      <c r="B221" s="715"/>
      <c r="C221" s="715"/>
    </row>
    <row r="222" spans="1:3" ht="15" customHeight="1">
      <c r="A222" s="715"/>
      <c r="B222" s="715"/>
      <c r="C222" s="715"/>
    </row>
    <row r="223" spans="1:3" ht="15" customHeight="1">
      <c r="A223" s="715"/>
      <c r="B223" s="715"/>
      <c r="C223" s="715"/>
    </row>
    <row r="224" spans="1:3" ht="15" customHeight="1">
      <c r="A224" s="715"/>
      <c r="B224" s="715"/>
      <c r="C224" s="715"/>
    </row>
    <row r="225" spans="1:3" ht="15" customHeight="1">
      <c r="A225" s="715"/>
      <c r="B225" s="715"/>
      <c r="C225" s="715"/>
    </row>
    <row r="226" spans="1:3" ht="15" customHeight="1">
      <c r="A226" s="715"/>
      <c r="B226" s="715"/>
      <c r="C226" s="715"/>
    </row>
    <row r="227" spans="1:3" ht="15" customHeight="1">
      <c r="A227" s="715"/>
      <c r="B227" s="715"/>
      <c r="C227" s="715"/>
    </row>
    <row r="228" spans="1:3" ht="15" customHeight="1">
      <c r="A228" s="715"/>
      <c r="B228" s="715"/>
      <c r="C228" s="715"/>
    </row>
    <row r="229" spans="1:3" ht="15" customHeight="1">
      <c r="A229" s="715"/>
      <c r="B229" s="715"/>
      <c r="C229" s="715"/>
    </row>
    <row r="230" spans="1:3" ht="15" customHeight="1">
      <c r="A230" s="715"/>
      <c r="B230" s="715"/>
      <c r="C230" s="715"/>
    </row>
    <row r="231" spans="1:3" ht="15" customHeight="1">
      <c r="A231" s="715"/>
      <c r="B231" s="715"/>
      <c r="C231" s="715"/>
    </row>
    <row r="232" spans="1:3" ht="15" customHeight="1">
      <c r="A232" s="715"/>
      <c r="B232" s="715"/>
      <c r="C232" s="715"/>
    </row>
    <row r="233" spans="1:3" ht="15" customHeight="1">
      <c r="A233" s="715"/>
      <c r="B233" s="715"/>
      <c r="C233" s="715"/>
    </row>
    <row r="234" spans="1:3" ht="15" customHeight="1">
      <c r="A234" s="715"/>
      <c r="B234" s="715"/>
      <c r="C234" s="715"/>
    </row>
    <row r="235" spans="1:3" ht="15" customHeight="1">
      <c r="A235" s="715"/>
      <c r="B235" s="715"/>
      <c r="C235" s="715"/>
    </row>
    <row r="236" spans="1:3" ht="15" customHeight="1">
      <c r="A236" s="715"/>
      <c r="B236" s="715"/>
      <c r="C236" s="715"/>
    </row>
    <row r="237" spans="1:3" ht="15" customHeight="1">
      <c r="A237" s="715"/>
      <c r="B237" s="715"/>
      <c r="C237" s="715"/>
    </row>
    <row r="238" spans="1:3" ht="15" customHeight="1">
      <c r="A238" s="715"/>
      <c r="B238" s="715"/>
      <c r="C238" s="715"/>
    </row>
    <row r="239" spans="1:3" ht="15" customHeight="1">
      <c r="A239" s="715"/>
      <c r="B239" s="715"/>
      <c r="C239" s="715"/>
    </row>
    <row r="240" spans="1:3" ht="15" customHeight="1">
      <c r="A240" s="715"/>
      <c r="B240" s="715"/>
      <c r="C240" s="715"/>
    </row>
    <row r="241" spans="1:3" ht="15" customHeight="1">
      <c r="A241" s="715"/>
      <c r="B241" s="715"/>
      <c r="C241" s="715"/>
    </row>
    <row r="242" spans="1:3" ht="15" customHeight="1">
      <c r="A242" s="715"/>
      <c r="B242" s="715"/>
      <c r="C242" s="715"/>
    </row>
    <row r="243" spans="1:3" ht="15" customHeight="1">
      <c r="A243" s="715"/>
      <c r="B243" s="715"/>
      <c r="C243" s="715"/>
    </row>
    <row r="244" spans="1:3" ht="15" customHeight="1">
      <c r="A244" s="715"/>
      <c r="B244" s="715"/>
      <c r="C244" s="715"/>
    </row>
    <row r="245" spans="1:3" ht="15" customHeight="1">
      <c r="A245" s="715"/>
      <c r="B245" s="715"/>
      <c r="C245" s="715"/>
    </row>
    <row r="246" spans="1:3" ht="15" customHeight="1">
      <c r="A246" s="715"/>
      <c r="B246" s="715"/>
      <c r="C246" s="715"/>
    </row>
    <row r="247" spans="1:3" ht="15" customHeight="1">
      <c r="A247" s="715"/>
      <c r="B247" s="715"/>
      <c r="C247" s="715"/>
    </row>
    <row r="248" spans="1:3" ht="15" customHeight="1">
      <c r="A248" s="715"/>
      <c r="B248" s="715"/>
      <c r="C248" s="715"/>
    </row>
    <row r="249" spans="1:3" ht="15" customHeight="1">
      <c r="A249" s="715"/>
      <c r="B249" s="715"/>
      <c r="C249" s="715"/>
    </row>
    <row r="250" spans="1:3" ht="15" customHeight="1">
      <c r="A250" s="715"/>
      <c r="B250" s="715"/>
      <c r="C250" s="715"/>
    </row>
    <row r="251" spans="1:3" ht="15" customHeight="1">
      <c r="A251" s="715"/>
      <c r="B251" s="715"/>
      <c r="C251" s="715"/>
    </row>
    <row r="252" spans="1:3" ht="15" customHeight="1">
      <c r="A252" s="715"/>
      <c r="B252" s="715"/>
      <c r="C252" s="715"/>
    </row>
    <row r="253" spans="1:3" ht="15" customHeight="1">
      <c r="A253" s="715"/>
      <c r="B253" s="715"/>
      <c r="C253" s="715"/>
    </row>
    <row r="254" spans="1:3" ht="15" customHeight="1">
      <c r="A254" s="715"/>
      <c r="B254" s="715"/>
      <c r="C254" s="715"/>
    </row>
    <row r="255" spans="1:3" ht="15" customHeight="1">
      <c r="A255" s="715"/>
      <c r="B255" s="715"/>
      <c r="C255" s="715"/>
    </row>
    <row r="256" spans="1:3" ht="15" customHeight="1">
      <c r="A256" s="715"/>
      <c r="B256" s="715"/>
      <c r="C256" s="715"/>
    </row>
    <row r="257" spans="1:3" ht="15" customHeight="1">
      <c r="A257" s="715"/>
      <c r="B257" s="715"/>
      <c r="C257" s="715"/>
    </row>
    <row r="258" spans="1:3" ht="15" customHeight="1">
      <c r="A258" s="715"/>
      <c r="B258" s="715"/>
      <c r="C258" s="715"/>
    </row>
    <row r="259" spans="1:3" ht="15" customHeight="1">
      <c r="A259" s="715"/>
      <c r="B259" s="715"/>
      <c r="C259" s="715"/>
    </row>
    <row r="260" spans="1:3" ht="15" customHeight="1">
      <c r="A260" s="715"/>
      <c r="B260" s="715"/>
      <c r="C260" s="715"/>
    </row>
    <row r="261" spans="1:3" ht="15" customHeight="1">
      <c r="A261" s="715"/>
      <c r="B261" s="715"/>
      <c r="C261" s="715"/>
    </row>
    <row r="262" spans="1:3" ht="15" customHeight="1">
      <c r="A262" s="715"/>
      <c r="B262" s="715"/>
      <c r="C262" s="715"/>
    </row>
    <row r="263" spans="1:3" ht="15" customHeight="1">
      <c r="A263" s="715"/>
      <c r="B263" s="715"/>
      <c r="C263" s="715"/>
    </row>
    <row r="264" spans="1:3" ht="15" customHeight="1">
      <c r="A264" s="715"/>
      <c r="B264" s="715"/>
      <c r="C264" s="715"/>
    </row>
    <row r="265" spans="1:3" ht="15" customHeight="1">
      <c r="A265" s="715"/>
      <c r="B265" s="715"/>
      <c r="C265" s="715"/>
    </row>
    <row r="266" spans="1:3" ht="15" customHeight="1">
      <c r="A266" s="715"/>
      <c r="B266" s="715"/>
      <c r="C266" s="715"/>
    </row>
    <row r="267" spans="1:3" ht="15" customHeight="1">
      <c r="A267" s="715"/>
      <c r="B267" s="715"/>
      <c r="C267" s="715"/>
    </row>
    <row r="268" spans="1:3" ht="15" customHeight="1">
      <c r="A268" s="715"/>
      <c r="B268" s="715"/>
      <c r="C268" s="715"/>
    </row>
    <row r="269" spans="1:3" ht="15" customHeight="1">
      <c r="A269" s="715"/>
      <c r="B269" s="715"/>
      <c r="C269" s="715"/>
    </row>
    <row r="270" spans="1:3" ht="15" customHeight="1">
      <c r="A270" s="715"/>
      <c r="B270" s="715"/>
      <c r="C270" s="715"/>
    </row>
    <row r="271" spans="1:3" ht="15" customHeight="1">
      <c r="A271" s="715"/>
      <c r="B271" s="715"/>
      <c r="C271" s="715"/>
    </row>
    <row r="272" spans="1:3" ht="15" customHeight="1">
      <c r="A272" s="715"/>
      <c r="B272" s="715"/>
      <c r="C272" s="715"/>
    </row>
    <row r="273" spans="1:3" ht="15" customHeight="1">
      <c r="A273" s="715"/>
      <c r="B273" s="715"/>
      <c r="C273" s="715"/>
    </row>
    <row r="274" spans="1:3" ht="15" customHeight="1">
      <c r="A274" s="715"/>
      <c r="B274" s="715"/>
      <c r="C274" s="715"/>
    </row>
    <row r="275" spans="1:3" ht="15" customHeight="1">
      <c r="A275" s="715"/>
      <c r="B275" s="715"/>
      <c r="C275" s="715"/>
    </row>
    <row r="276" spans="1:3" ht="15" customHeight="1">
      <c r="A276" s="715"/>
      <c r="B276" s="715"/>
      <c r="C276" s="715"/>
    </row>
    <row r="277" spans="1:3" ht="15" customHeight="1">
      <c r="A277" s="715"/>
      <c r="B277" s="715"/>
      <c r="C277" s="715"/>
    </row>
    <row r="278" spans="1:3" ht="15" customHeight="1">
      <c r="A278" s="715"/>
      <c r="B278" s="715"/>
      <c r="C278" s="715"/>
    </row>
    <row r="279" spans="1:3" ht="15" customHeight="1">
      <c r="A279" s="715"/>
      <c r="B279" s="715"/>
      <c r="C279" s="715"/>
    </row>
    <row r="280" spans="1:3" ht="15" customHeight="1">
      <c r="A280" s="715"/>
      <c r="B280" s="715"/>
      <c r="C280" s="715"/>
    </row>
    <row r="281" spans="1:3" ht="15" customHeight="1">
      <c r="A281" s="715"/>
      <c r="B281" s="715"/>
      <c r="C281" s="715"/>
    </row>
    <row r="282" spans="1:3" ht="15" customHeight="1">
      <c r="A282" s="715"/>
      <c r="B282" s="715"/>
      <c r="C282" s="715"/>
    </row>
    <row r="283" spans="1:3" ht="15" customHeight="1">
      <c r="A283" s="715"/>
      <c r="B283" s="715"/>
      <c r="C283" s="715"/>
    </row>
    <row r="284" spans="1:3" ht="15" customHeight="1">
      <c r="A284" s="715"/>
      <c r="B284" s="715"/>
      <c r="C284" s="715"/>
    </row>
    <row r="285" spans="1:3" ht="15" customHeight="1">
      <c r="A285" s="715"/>
      <c r="B285" s="715"/>
      <c r="C285" s="715"/>
    </row>
    <row r="286" spans="1:3" ht="15" customHeight="1">
      <c r="A286" s="715"/>
      <c r="B286" s="715"/>
      <c r="C286" s="715"/>
    </row>
    <row r="287" spans="1:3" ht="15" customHeight="1">
      <c r="A287" s="715"/>
      <c r="B287" s="715"/>
      <c r="C287" s="715"/>
    </row>
    <row r="288" spans="1:3" ht="15" customHeight="1">
      <c r="A288" s="715"/>
      <c r="B288" s="715"/>
      <c r="C288" s="715"/>
    </row>
    <row r="289" spans="1:3" ht="15" customHeight="1">
      <c r="A289" s="715"/>
      <c r="B289" s="715"/>
      <c r="C289" s="715"/>
    </row>
    <row r="290" spans="1:3" ht="15" customHeight="1">
      <c r="A290" s="715"/>
      <c r="B290" s="715"/>
      <c r="C290" s="715"/>
    </row>
    <row r="291" spans="1:3" ht="15" customHeight="1">
      <c r="A291" s="715"/>
      <c r="B291" s="715"/>
      <c r="C291" s="715"/>
    </row>
    <row r="292" spans="1:3" ht="15" customHeight="1">
      <c r="A292" s="715"/>
      <c r="B292" s="715"/>
      <c r="C292" s="715"/>
    </row>
    <row r="293" spans="1:3" ht="15" customHeight="1">
      <c r="A293" s="715"/>
      <c r="B293" s="715"/>
      <c r="C293" s="715"/>
    </row>
    <row r="294" spans="1:3" ht="15" customHeight="1">
      <c r="A294" s="715"/>
      <c r="B294" s="715"/>
      <c r="C294" s="715"/>
    </row>
    <row r="295" spans="1:3" ht="15" customHeight="1">
      <c r="A295" s="715"/>
      <c r="B295" s="715"/>
      <c r="C295" s="715"/>
    </row>
    <row r="296" spans="1:3" ht="15" customHeight="1">
      <c r="A296" s="715"/>
      <c r="B296" s="715"/>
      <c r="C296" s="715"/>
    </row>
    <row r="297" spans="1:3" ht="15" customHeight="1">
      <c r="A297" s="715"/>
      <c r="B297" s="715"/>
      <c r="C297" s="715"/>
    </row>
    <row r="298" spans="1:3" ht="15" customHeight="1">
      <c r="A298" s="715"/>
      <c r="B298" s="715"/>
      <c r="C298" s="715"/>
    </row>
    <row r="299" spans="1:3" ht="15" customHeight="1">
      <c r="A299" s="715"/>
      <c r="B299" s="715"/>
      <c r="C299" s="715"/>
    </row>
    <row r="300" spans="1:3" ht="15" customHeight="1">
      <c r="A300" s="715"/>
      <c r="B300" s="715"/>
      <c r="C300" s="715"/>
    </row>
    <row r="301" spans="1:3" ht="15" customHeight="1">
      <c r="A301" s="715"/>
      <c r="B301" s="715"/>
      <c r="C301" s="715"/>
    </row>
    <row r="302" spans="1:3" ht="15" customHeight="1">
      <c r="A302" s="715"/>
      <c r="B302" s="715"/>
      <c r="C302" s="715"/>
    </row>
    <row r="303" spans="1:3" ht="15" customHeight="1">
      <c r="A303" s="715"/>
      <c r="B303" s="715"/>
      <c r="C303" s="715"/>
    </row>
    <row r="304" spans="1:3" ht="15" customHeight="1">
      <c r="A304" s="715"/>
      <c r="B304" s="715"/>
      <c r="C304" s="715"/>
    </row>
    <row r="305" spans="1:3" ht="15" customHeight="1">
      <c r="A305" s="715"/>
      <c r="B305" s="715"/>
      <c r="C305" s="715"/>
    </row>
    <row r="306" spans="1:3" ht="15" customHeight="1">
      <c r="A306" s="715"/>
      <c r="B306" s="715"/>
      <c r="C306" s="715"/>
    </row>
    <row r="307" spans="1:3" ht="15" customHeight="1">
      <c r="A307" s="715"/>
      <c r="B307" s="715"/>
      <c r="C307" s="715"/>
    </row>
    <row r="308" spans="1:3" ht="15" customHeight="1">
      <c r="A308" s="715"/>
      <c r="B308" s="715"/>
      <c r="C308" s="715"/>
    </row>
    <row r="309" spans="1:3" ht="15" customHeight="1">
      <c r="A309" s="715"/>
      <c r="B309" s="715"/>
      <c r="C309" s="715"/>
    </row>
    <row r="310" spans="1:3" ht="15" customHeight="1">
      <c r="A310" s="715"/>
      <c r="B310" s="715"/>
      <c r="C310" s="715"/>
    </row>
    <row r="311" spans="1:3" ht="15" customHeight="1">
      <c r="A311" s="715"/>
      <c r="B311" s="715"/>
      <c r="C311" s="715"/>
    </row>
    <row r="312" spans="1:3">
      <c r="A312" s="715"/>
      <c r="B312" s="715"/>
      <c r="C312" s="715"/>
    </row>
    <row r="313" spans="1:3">
      <c r="A313" s="715"/>
      <c r="B313" s="715"/>
      <c r="C313" s="715"/>
    </row>
    <row r="314" spans="1:3">
      <c r="A314" s="715"/>
      <c r="B314" s="715"/>
      <c r="C314" s="715"/>
    </row>
    <row r="315" spans="1:3">
      <c r="A315" s="715"/>
      <c r="B315" s="715"/>
      <c r="C315" s="715"/>
    </row>
    <row r="316" spans="1:3">
      <c r="A316" s="715"/>
      <c r="B316" s="715"/>
      <c r="C316" s="715"/>
    </row>
    <row r="317" spans="1:3">
      <c r="A317" s="715"/>
      <c r="B317" s="715"/>
      <c r="C317" s="715"/>
    </row>
    <row r="318" spans="1:3">
      <c r="A318" s="715"/>
      <c r="B318" s="715"/>
      <c r="C318" s="715"/>
    </row>
    <row r="319" spans="1:3">
      <c r="A319" s="715"/>
      <c r="B319" s="715"/>
      <c r="C319" s="715"/>
    </row>
    <row r="320" spans="1:3">
      <c r="A320" s="715"/>
      <c r="B320" s="715"/>
      <c r="C320" s="715"/>
    </row>
    <row r="321" spans="1:3">
      <c r="A321" s="715"/>
      <c r="B321" s="715"/>
      <c r="C321" s="715"/>
    </row>
  </sheetData>
  <sheetProtection selectLockedCells="1"/>
  <dataConsolidate/>
  <mergeCells count="3">
    <mergeCell ref="G1:H1"/>
    <mergeCell ref="B156:C156"/>
    <mergeCell ref="B155:C155"/>
  </mergeCells>
  <phoneticPr fontId="4" type="noConversion"/>
  <dataValidations count="1">
    <dataValidation operator="greaterThan" allowBlank="1" showInputMessage="1" showErrorMessage="1" sqref="I88 I104" xr:uid="{00000000-0002-0000-0C00-000000000000}"/>
  </dataValidations>
  <pageMargins left="0.94488188976377963" right="0.55118110236220474" top="0.98425196850393704" bottom="0.98425196850393704" header="0.51181102362204722" footer="0.51181102362204722"/>
  <pageSetup paperSize="9" scale="60" orientation="portrait" r:id="rId1"/>
  <headerFooter alignWithMargins="0"/>
  <ignoredErrors>
    <ignoredError sqref="D27:E27 E94:J94 E97:J97 F106:K106 G31:H31 K97:K98 J101 F102:H102 F104:H104 F103:J103 D45:I45 D23:H23 D31:E31 D44:H44 D59:I59 D48:H48 D50:H50 D52:H52 D54:H54 D55:H55 D56:H56 D58:H58 D60:H60 D61:H61 J102 K101:K103 D97 D28 H28:I28 H27:I27 E92:H92 J92 I29 F101:H101 F98:J98" evalError="1"/>
    <ignoredError sqref="AM38 AM19 AM21 AM13 AM24 AM23 AM22 AM7 AM9 AM10 AM12 AM18 AM14 AM17 I20:AM20" formula="1"/>
  </ignoredErrors>
  <drawing r:id="rId2"/>
  <legacyDrawing r:id="rId3"/>
  <controls>
    <mc:AlternateContent xmlns:mc="http://schemas.openxmlformats.org/markup-compatibility/2006">
      <mc:Choice Requires="x14">
        <control shapeId="9613" r:id="rId4" name="cbo_htzc">
          <controlPr autoLine="0" r:id="rId5">
            <anchor moveWithCells="1">
              <from>
                <xdr:col>2</xdr:col>
                <xdr:colOff>7620</xdr:colOff>
                <xdr:row>40</xdr:row>
                <xdr:rowOff>7620</xdr:rowOff>
              </from>
              <to>
                <xdr:col>2</xdr:col>
                <xdr:colOff>1440180</xdr:colOff>
                <xdr:row>41</xdr:row>
                <xdr:rowOff>7620</xdr:rowOff>
              </to>
            </anchor>
          </controlPr>
        </control>
      </mc:Choice>
      <mc:Fallback>
        <control shapeId="9613" r:id="rId4" name="cbo_htzc"/>
      </mc:Fallback>
    </mc:AlternateContent>
    <mc:AlternateContent xmlns:mc="http://schemas.openxmlformats.org/markup-compatibility/2006">
      <mc:Choice Requires="x14">
        <control shapeId="9612" r:id="rId6" name="cbo_jsxyjzss">
          <controlPr autoLine="0" r:id="rId7">
            <anchor moveWithCells="1">
              <from>
                <xdr:col>2</xdr:col>
                <xdr:colOff>30480</xdr:colOff>
                <xdr:row>10</xdr:row>
                <xdr:rowOff>7620</xdr:rowOff>
              </from>
              <to>
                <xdr:col>2</xdr:col>
                <xdr:colOff>1447800</xdr:colOff>
                <xdr:row>11</xdr:row>
                <xdr:rowOff>7620</xdr:rowOff>
              </to>
            </anchor>
          </controlPr>
        </control>
      </mc:Choice>
      <mc:Fallback>
        <control shapeId="9612" r:id="rId6" name="cbo_jsxyjzss"/>
      </mc:Fallback>
    </mc:AlternateContent>
    <mc:AlternateContent xmlns:mc="http://schemas.openxmlformats.org/markup-compatibility/2006">
      <mc:Choice Requires="x14">
        <control shapeId="9611" r:id="rId8" name="cboxyjzss">
          <controlPr autoLine="0" r:id="rId9">
            <anchor moveWithCells="1">
              <from>
                <xdr:col>1</xdr:col>
                <xdr:colOff>45720</xdr:colOff>
                <xdr:row>10</xdr:row>
                <xdr:rowOff>0</xdr:rowOff>
              </from>
              <to>
                <xdr:col>1</xdr:col>
                <xdr:colOff>1714500</xdr:colOff>
                <xdr:row>11</xdr:row>
                <xdr:rowOff>15240</xdr:rowOff>
              </to>
            </anchor>
          </controlPr>
        </control>
      </mc:Choice>
      <mc:Fallback>
        <control shapeId="9611" r:id="rId8" name="cboxyjzss"/>
      </mc:Fallback>
    </mc:AlternateContent>
    <mc:AlternateContent xmlns:mc="http://schemas.openxmlformats.org/markup-compatibility/2006">
      <mc:Choice Requires="x14">
        <control shapeId="9609" r:id="rId10" name="cbo_js_yspjyszk">
          <controlPr autoLine="0" r:id="rId11">
            <anchor moveWithCells="1">
              <from>
                <xdr:col>1</xdr:col>
                <xdr:colOff>22860</xdr:colOff>
                <xdr:row>32</xdr:row>
                <xdr:rowOff>22860</xdr:rowOff>
              </from>
              <to>
                <xdr:col>1</xdr:col>
                <xdr:colOff>1844040</xdr:colOff>
                <xdr:row>33</xdr:row>
                <xdr:rowOff>22860</xdr:rowOff>
              </to>
            </anchor>
          </controlPr>
        </control>
      </mc:Choice>
      <mc:Fallback>
        <control shapeId="9609" r:id="rId10" name="cbo_js_yspjyszk"/>
      </mc:Fallback>
    </mc:AlternateContent>
    <mc:AlternateContent xmlns:mc="http://schemas.openxmlformats.org/markup-compatibility/2006">
      <mc:Choice Requires="x14">
        <control shapeId="9594" r:id="rId12" name="cboAssetBalance">
          <controlPr defaultSize="0" autoLine="0" r:id="rId13">
            <anchor moveWithCells="1">
              <from>
                <xdr:col>2</xdr:col>
                <xdr:colOff>7620</xdr:colOff>
                <xdr:row>25</xdr:row>
                <xdr:rowOff>182880</xdr:rowOff>
              </from>
              <to>
                <xdr:col>2</xdr:col>
                <xdr:colOff>1440180</xdr:colOff>
                <xdr:row>27</xdr:row>
                <xdr:rowOff>30480</xdr:rowOff>
              </to>
            </anchor>
          </controlPr>
        </control>
      </mc:Choice>
      <mc:Fallback>
        <control shapeId="9594" r:id="rId12" name="cboAssetBalance"/>
      </mc:Fallback>
    </mc:AlternateContent>
    <mc:AlternateContent xmlns:mc="http://schemas.openxmlformats.org/markup-compatibility/2006">
      <mc:Choice Requires="x14">
        <control shapeId="9593" r:id="rId14" name="cbo_jscqgqtz">
          <controlPr print="0" autoLine="0" r:id="rId15">
            <anchor moveWithCells="1">
              <from>
                <xdr:col>2</xdr:col>
                <xdr:colOff>22860</xdr:colOff>
                <xdr:row>52</xdr:row>
                <xdr:rowOff>7620</xdr:rowOff>
              </from>
              <to>
                <xdr:col>2</xdr:col>
                <xdr:colOff>1455420</xdr:colOff>
                <xdr:row>53</xdr:row>
                <xdr:rowOff>7620</xdr:rowOff>
              </to>
            </anchor>
          </controlPr>
        </control>
      </mc:Choice>
      <mc:Fallback>
        <control shapeId="9593" r:id="rId14" name="cbo_jscqgqtz"/>
      </mc:Fallback>
    </mc:AlternateContent>
    <mc:AlternateContent xmlns:mc="http://schemas.openxmlformats.org/markup-compatibility/2006">
      <mc:Choice Requires="x14">
        <control shapeId="9592" r:id="rId16" name="cbozcjzss">
          <controlPr autoLine="0" r:id="rId17">
            <anchor moveWithCells="1">
              <from>
                <xdr:col>1</xdr:col>
                <xdr:colOff>45720</xdr:colOff>
                <xdr:row>9</xdr:row>
                <xdr:rowOff>0</xdr:rowOff>
              </from>
              <to>
                <xdr:col>1</xdr:col>
                <xdr:colOff>1714500</xdr:colOff>
                <xdr:row>10</xdr:row>
                <xdr:rowOff>15240</xdr:rowOff>
              </to>
            </anchor>
          </controlPr>
        </control>
      </mc:Choice>
      <mc:Fallback>
        <control shapeId="9592" r:id="rId16" name="cbozcjzss"/>
      </mc:Fallback>
    </mc:AlternateContent>
    <mc:AlternateContent xmlns:mc="http://schemas.openxmlformats.org/markup-compatibility/2006">
      <mc:Choice Requires="x14">
        <control shapeId="9591" r:id="rId18" name="cboqtcwfy">
          <controlPr autoLine="0" r:id="rId19">
            <anchor moveWithCells="1">
              <from>
                <xdr:col>1</xdr:col>
                <xdr:colOff>45720</xdr:colOff>
                <xdr:row>8</xdr:row>
                <xdr:rowOff>0</xdr:rowOff>
              </from>
              <to>
                <xdr:col>1</xdr:col>
                <xdr:colOff>1714500</xdr:colOff>
                <xdr:row>9</xdr:row>
                <xdr:rowOff>15240</xdr:rowOff>
              </to>
            </anchor>
          </controlPr>
        </control>
      </mc:Choice>
      <mc:Fallback>
        <control shapeId="9591" r:id="rId18" name="cboqtcwfy"/>
      </mc:Fallback>
    </mc:AlternateContent>
    <mc:AlternateContent xmlns:mc="http://schemas.openxmlformats.org/markup-compatibility/2006">
      <mc:Choice Requires="x14">
        <control shapeId="9590" r:id="rId20" name="cboMgpx">
          <controlPr autoLine="0" r:id="rId21">
            <anchor moveWithCells="1">
              <from>
                <xdr:col>1</xdr:col>
                <xdr:colOff>30480</xdr:colOff>
                <xdr:row>20</xdr:row>
                <xdr:rowOff>182880</xdr:rowOff>
              </from>
              <to>
                <xdr:col>1</xdr:col>
                <xdr:colOff>1699260</xdr:colOff>
                <xdr:row>22</xdr:row>
                <xdr:rowOff>7620</xdr:rowOff>
              </to>
            </anchor>
          </controlPr>
        </control>
      </mc:Choice>
      <mc:Fallback>
        <control shapeId="9590" r:id="rId20" name="cboMgpx"/>
      </mc:Fallback>
    </mc:AlternateContent>
    <mc:AlternateContent xmlns:mc="http://schemas.openxmlformats.org/markup-compatibility/2006">
      <mc:Choice Requires="x14">
        <control shapeId="9589" r:id="rId22" name="cbo_jsmgpx">
          <controlPr autoLine="0" r:id="rId23">
            <anchor moveWithCells="1">
              <from>
                <xdr:col>2</xdr:col>
                <xdr:colOff>30480</xdr:colOff>
                <xdr:row>21</xdr:row>
                <xdr:rowOff>7620</xdr:rowOff>
              </from>
              <to>
                <xdr:col>2</xdr:col>
                <xdr:colOff>1440180</xdr:colOff>
                <xdr:row>22</xdr:row>
                <xdr:rowOff>7620</xdr:rowOff>
              </to>
            </anchor>
          </controlPr>
        </control>
      </mc:Choice>
      <mc:Fallback>
        <control shapeId="9589" r:id="rId22" name="cbo_jsmgpx"/>
      </mc:Fallback>
    </mc:AlternateContent>
    <mc:AlternateContent xmlns:mc="http://schemas.openxmlformats.org/markup-compatibility/2006">
      <mc:Choice Requires="x14">
        <control shapeId="9588" r:id="rId24" name="cbo_xzcqjk">
          <controlPr print="0" autoLine="0" r:id="rId25">
            <anchor moveWithCells="1">
              <from>
                <xdr:col>1</xdr:col>
                <xdr:colOff>38100</xdr:colOff>
                <xdr:row>104</xdr:row>
                <xdr:rowOff>0</xdr:rowOff>
              </from>
              <to>
                <xdr:col>1</xdr:col>
                <xdr:colOff>1844040</xdr:colOff>
                <xdr:row>105</xdr:row>
                <xdr:rowOff>22860</xdr:rowOff>
              </to>
            </anchor>
          </controlPr>
        </control>
      </mc:Choice>
      <mc:Fallback>
        <control shapeId="9588" r:id="rId24" name="cbo_xzcqjk"/>
      </mc:Fallback>
    </mc:AlternateContent>
    <mc:AlternateContent xmlns:mc="http://schemas.openxmlformats.org/markup-compatibility/2006">
      <mc:Choice Requires="x14">
        <control shapeId="9587" r:id="rId26" name="cbo_xzcqdtfy">
          <controlPr print="0" autoLine="0" r:id="rId27">
            <anchor moveWithCells="1">
              <from>
                <xdr:col>1</xdr:col>
                <xdr:colOff>38100</xdr:colOff>
                <xdr:row>98</xdr:row>
                <xdr:rowOff>190500</xdr:rowOff>
              </from>
              <to>
                <xdr:col>1</xdr:col>
                <xdr:colOff>1844040</xdr:colOff>
                <xdr:row>100</xdr:row>
                <xdr:rowOff>0</xdr:rowOff>
              </to>
            </anchor>
          </controlPr>
        </control>
      </mc:Choice>
      <mc:Fallback>
        <control shapeId="9587" r:id="rId26" name="cbo_xzcqdtfy"/>
      </mc:Fallback>
    </mc:AlternateContent>
    <mc:AlternateContent xmlns:mc="http://schemas.openxmlformats.org/markup-compatibility/2006">
      <mc:Choice Requires="x14">
        <control shapeId="9586" r:id="rId28" name="cbo_xzwxzc">
          <controlPr print="0" autoLine="0" r:id="rId29">
            <anchor moveWithCells="1">
              <from>
                <xdr:col>1</xdr:col>
                <xdr:colOff>38100</xdr:colOff>
                <xdr:row>95</xdr:row>
                <xdr:rowOff>7620</xdr:rowOff>
              </from>
              <to>
                <xdr:col>1</xdr:col>
                <xdr:colOff>1844040</xdr:colOff>
                <xdr:row>96</xdr:row>
                <xdr:rowOff>15240</xdr:rowOff>
              </to>
            </anchor>
          </controlPr>
        </control>
      </mc:Choice>
      <mc:Fallback>
        <control shapeId="9586" r:id="rId28" name="cbo_xzwxzc"/>
      </mc:Fallback>
    </mc:AlternateContent>
    <mc:AlternateContent xmlns:mc="http://schemas.openxmlformats.org/markup-compatibility/2006">
      <mc:Choice Requires="x14">
        <control shapeId="9585" r:id="rId30" name="cbo_xzgdzc">
          <controlPr print="0" autoLine="0" r:id="rId31">
            <anchor moveWithCells="1">
              <from>
                <xdr:col>1</xdr:col>
                <xdr:colOff>30480</xdr:colOff>
                <xdr:row>90</xdr:row>
                <xdr:rowOff>22860</xdr:rowOff>
              </from>
              <to>
                <xdr:col>1</xdr:col>
                <xdr:colOff>1836420</xdr:colOff>
                <xdr:row>91</xdr:row>
                <xdr:rowOff>30480</xdr:rowOff>
              </to>
            </anchor>
          </controlPr>
        </control>
      </mc:Choice>
      <mc:Fallback>
        <control shapeId="9585" r:id="rId30" name="cbo_xzgdzc"/>
      </mc:Fallback>
    </mc:AlternateContent>
    <mc:AlternateContent xmlns:mc="http://schemas.openxmlformats.org/markup-compatibility/2006">
      <mc:Choice Requires="x14">
        <control shapeId="9584" r:id="rId32" name="cbo_xzzjgc">
          <controlPr print="0" autoLine="0" r:id="rId33">
            <anchor moveWithCells="1">
              <from>
                <xdr:col>1</xdr:col>
                <xdr:colOff>30480</xdr:colOff>
                <xdr:row>88</xdr:row>
                <xdr:rowOff>0</xdr:rowOff>
              </from>
              <to>
                <xdr:col>1</xdr:col>
                <xdr:colOff>1836420</xdr:colOff>
                <xdr:row>89</xdr:row>
                <xdr:rowOff>7620</xdr:rowOff>
              </to>
            </anchor>
          </controlPr>
        </control>
      </mc:Choice>
      <mc:Fallback>
        <control shapeId="9584" r:id="rId32" name="cbo_xzzjgc"/>
      </mc:Fallback>
    </mc:AlternateContent>
    <mc:AlternateContent xmlns:mc="http://schemas.openxmlformats.org/markup-compatibility/2006">
      <mc:Choice Requires="x14">
        <control shapeId="9561" r:id="rId34" name="cbo_jsxzcqjk">
          <controlPr autoLine="0" r:id="rId35">
            <anchor moveWithCells="1">
              <from>
                <xdr:col>2</xdr:col>
                <xdr:colOff>22860</xdr:colOff>
                <xdr:row>104</xdr:row>
                <xdr:rowOff>22860</xdr:rowOff>
              </from>
              <to>
                <xdr:col>2</xdr:col>
                <xdr:colOff>1455420</xdr:colOff>
                <xdr:row>105</xdr:row>
                <xdr:rowOff>7620</xdr:rowOff>
              </to>
            </anchor>
          </controlPr>
        </control>
      </mc:Choice>
      <mc:Fallback>
        <control shapeId="9561" r:id="rId34" name="cbo_jsxzcqjk"/>
      </mc:Fallback>
    </mc:AlternateContent>
    <mc:AlternateContent xmlns:mc="http://schemas.openxmlformats.org/markup-compatibility/2006">
      <mc:Choice Requires="x14">
        <control shapeId="9560" r:id="rId36" name="cbo_jscqdtfytxnx">
          <controlPr autoLine="0" r:id="rId37">
            <anchor moveWithCells="1">
              <from>
                <xdr:col>2</xdr:col>
                <xdr:colOff>22860</xdr:colOff>
                <xdr:row>98</xdr:row>
                <xdr:rowOff>22860</xdr:rowOff>
              </from>
              <to>
                <xdr:col>2</xdr:col>
                <xdr:colOff>1455420</xdr:colOff>
                <xdr:row>99</xdr:row>
                <xdr:rowOff>7620</xdr:rowOff>
              </to>
            </anchor>
          </controlPr>
        </control>
      </mc:Choice>
      <mc:Fallback>
        <control shapeId="9560" r:id="rId36" name="cbo_jscqdtfytxnx"/>
      </mc:Fallback>
    </mc:AlternateContent>
    <mc:AlternateContent xmlns:mc="http://schemas.openxmlformats.org/markup-compatibility/2006">
      <mc:Choice Requires="x14">
        <control shapeId="9559" r:id="rId38" name="cbo_jsxzcqdtfy">
          <controlPr autoLine="0" r:id="rId39">
            <anchor moveWithCells="1">
              <from>
                <xdr:col>2</xdr:col>
                <xdr:colOff>22860</xdr:colOff>
                <xdr:row>99</xdr:row>
                <xdr:rowOff>22860</xdr:rowOff>
              </from>
              <to>
                <xdr:col>2</xdr:col>
                <xdr:colOff>1455420</xdr:colOff>
                <xdr:row>100</xdr:row>
                <xdr:rowOff>7620</xdr:rowOff>
              </to>
            </anchor>
          </controlPr>
        </control>
      </mc:Choice>
      <mc:Fallback>
        <control shapeId="9559" r:id="rId38" name="cbo_jsxzcqdtfy"/>
      </mc:Fallback>
    </mc:AlternateContent>
    <mc:AlternateContent xmlns:mc="http://schemas.openxmlformats.org/markup-compatibility/2006">
      <mc:Choice Requires="x14">
        <control shapeId="9558" r:id="rId40" name="cbo_jswxzctxnx">
          <controlPr autoLine="0" r:id="rId41">
            <anchor moveWithCells="1">
              <from>
                <xdr:col>2</xdr:col>
                <xdr:colOff>22860</xdr:colOff>
                <xdr:row>94</xdr:row>
                <xdr:rowOff>22860</xdr:rowOff>
              </from>
              <to>
                <xdr:col>2</xdr:col>
                <xdr:colOff>1455420</xdr:colOff>
                <xdr:row>95</xdr:row>
                <xdr:rowOff>7620</xdr:rowOff>
              </to>
            </anchor>
          </controlPr>
        </control>
      </mc:Choice>
      <mc:Fallback>
        <control shapeId="9558" r:id="rId40" name="cbo_jswxzctxnx"/>
      </mc:Fallback>
    </mc:AlternateContent>
    <mc:AlternateContent xmlns:mc="http://schemas.openxmlformats.org/markup-compatibility/2006">
      <mc:Choice Requires="x14">
        <control shapeId="9557" r:id="rId42" name="cbo_jsxzzjgc">
          <controlPr autoLine="0" r:id="rId43">
            <anchor moveWithCells="1">
              <from>
                <xdr:col>2</xdr:col>
                <xdr:colOff>22860</xdr:colOff>
                <xdr:row>88</xdr:row>
                <xdr:rowOff>7620</xdr:rowOff>
              </from>
              <to>
                <xdr:col>2</xdr:col>
                <xdr:colOff>1455420</xdr:colOff>
                <xdr:row>88</xdr:row>
                <xdr:rowOff>190500</xdr:rowOff>
              </to>
            </anchor>
          </controlPr>
        </control>
      </mc:Choice>
      <mc:Fallback>
        <control shapeId="9557" r:id="rId42" name="cbo_jsxzzjgc"/>
      </mc:Fallback>
    </mc:AlternateContent>
    <mc:AlternateContent xmlns:mc="http://schemas.openxmlformats.org/markup-compatibility/2006">
      <mc:Choice Requires="x14">
        <control shapeId="9555" r:id="rId44" name="cbo_jsdysdsfz">
          <controlPr autoLine="0" r:id="rId45">
            <anchor moveWithCells="1">
              <from>
                <xdr:col>2</xdr:col>
                <xdr:colOff>7620</xdr:colOff>
                <xdr:row>78</xdr:row>
                <xdr:rowOff>22860</xdr:rowOff>
              </from>
              <to>
                <xdr:col>2</xdr:col>
                <xdr:colOff>1447800</xdr:colOff>
                <xdr:row>79</xdr:row>
                <xdr:rowOff>15240</xdr:rowOff>
              </to>
            </anchor>
          </controlPr>
        </control>
      </mc:Choice>
      <mc:Fallback>
        <control shapeId="9555" r:id="rId44" name="cbo_jsdysdsfz"/>
      </mc:Fallback>
    </mc:AlternateContent>
    <mc:AlternateContent xmlns:mc="http://schemas.openxmlformats.org/markup-compatibility/2006">
      <mc:Choice Requires="x14">
        <control shapeId="9554" r:id="rId46" name="cbo_jscqyfk">
          <controlPr autoLine="0" r:id="rId47">
            <anchor moveWithCells="1">
              <from>
                <xdr:col>2</xdr:col>
                <xdr:colOff>7620</xdr:colOff>
                <xdr:row>77</xdr:row>
                <xdr:rowOff>22860</xdr:rowOff>
              </from>
              <to>
                <xdr:col>2</xdr:col>
                <xdr:colOff>1447800</xdr:colOff>
                <xdr:row>78</xdr:row>
                <xdr:rowOff>15240</xdr:rowOff>
              </to>
            </anchor>
          </controlPr>
        </control>
      </mc:Choice>
      <mc:Fallback>
        <control shapeId="9554" r:id="rId46" name="cbo_jscqyfk"/>
      </mc:Fallback>
    </mc:AlternateContent>
    <mc:AlternateContent xmlns:mc="http://schemas.openxmlformats.org/markup-compatibility/2006">
      <mc:Choice Requires="x14">
        <control shapeId="9553" r:id="rId48" name="cbo_jswbbbzsce">
          <controlPr autoLine="0" r:id="rId49">
            <anchor moveWithCells="1">
              <from>
                <xdr:col>2</xdr:col>
                <xdr:colOff>22860</xdr:colOff>
                <xdr:row>82</xdr:row>
                <xdr:rowOff>7620</xdr:rowOff>
              </from>
              <to>
                <xdr:col>2</xdr:col>
                <xdr:colOff>1455420</xdr:colOff>
                <xdr:row>83</xdr:row>
                <xdr:rowOff>0</xdr:rowOff>
              </to>
            </anchor>
          </controlPr>
        </control>
      </mc:Choice>
      <mc:Fallback>
        <control shapeId="9553" r:id="rId48" name="cbo_jswbbbzsce"/>
      </mc:Fallback>
    </mc:AlternateContent>
    <mc:AlternateContent xmlns:mc="http://schemas.openxmlformats.org/markup-compatibility/2006">
      <mc:Choice Requires="x14">
        <control shapeId="9552" r:id="rId50" name="cbo_jsqtldfz">
          <controlPr autoLine="0" r:id="rId51">
            <anchor moveWithCells="1">
              <from>
                <xdr:col>2</xdr:col>
                <xdr:colOff>7620</xdr:colOff>
                <xdr:row>74</xdr:row>
                <xdr:rowOff>22860</xdr:rowOff>
              </from>
              <to>
                <xdr:col>2</xdr:col>
                <xdr:colOff>1447800</xdr:colOff>
                <xdr:row>75</xdr:row>
                <xdr:rowOff>7620</xdr:rowOff>
              </to>
            </anchor>
          </controlPr>
        </control>
      </mc:Choice>
      <mc:Fallback>
        <control shapeId="9552" r:id="rId50" name="cbo_jsqtldfz"/>
      </mc:Fallback>
    </mc:AlternateContent>
    <mc:AlternateContent xmlns:mc="http://schemas.openxmlformats.org/markup-compatibility/2006">
      <mc:Choice Requires="x14">
        <control shapeId="9549" r:id="rId52" name="cbo_jsyszk">
          <controlPr autoLine="0" r:id="rId53">
            <anchor moveWithCells="1">
              <from>
                <xdr:col>2</xdr:col>
                <xdr:colOff>22860</xdr:colOff>
                <xdr:row>66</xdr:row>
                <xdr:rowOff>22860</xdr:rowOff>
              </from>
              <to>
                <xdr:col>2</xdr:col>
                <xdr:colOff>1463040</xdr:colOff>
                <xdr:row>67</xdr:row>
                <xdr:rowOff>15240</xdr:rowOff>
              </to>
            </anchor>
          </controlPr>
        </control>
      </mc:Choice>
      <mc:Fallback>
        <control shapeId="9549" r:id="rId52" name="cbo_jsyszk"/>
      </mc:Fallback>
    </mc:AlternateContent>
    <mc:AlternateContent xmlns:mc="http://schemas.openxmlformats.org/markup-compatibility/2006">
      <mc:Choice Requires="x14">
        <control shapeId="9547" r:id="rId54" name="cbo_jssy">
          <controlPr print="0" autoLine="0" r:id="rId55">
            <anchor moveWithCells="1">
              <from>
                <xdr:col>2</xdr:col>
                <xdr:colOff>22860</xdr:colOff>
                <xdr:row>54</xdr:row>
                <xdr:rowOff>7620</xdr:rowOff>
              </from>
              <to>
                <xdr:col>2</xdr:col>
                <xdr:colOff>1455420</xdr:colOff>
                <xdr:row>55</xdr:row>
                <xdr:rowOff>7620</xdr:rowOff>
              </to>
            </anchor>
          </controlPr>
        </control>
      </mc:Choice>
      <mc:Fallback>
        <control shapeId="9547" r:id="rId54" name="cbo_jssy"/>
      </mc:Fallback>
    </mc:AlternateContent>
    <mc:AlternateContent xmlns:mc="http://schemas.openxmlformats.org/markup-compatibility/2006">
      <mc:Choice Requires="x14">
        <control shapeId="9546" r:id="rId56" name="cbo_ch">
          <controlPr autoLine="0" r:id="rId57">
            <anchor moveWithCells="1">
              <from>
                <xdr:col>2</xdr:col>
                <xdr:colOff>7620</xdr:colOff>
                <xdr:row>39</xdr:row>
                <xdr:rowOff>7620</xdr:rowOff>
              </from>
              <to>
                <xdr:col>2</xdr:col>
                <xdr:colOff>1440180</xdr:colOff>
                <xdr:row>40</xdr:row>
                <xdr:rowOff>7620</xdr:rowOff>
              </to>
            </anchor>
          </controlPr>
        </control>
      </mc:Choice>
      <mc:Fallback>
        <control shapeId="9546" r:id="rId56" name="cbo_ch"/>
      </mc:Fallback>
    </mc:AlternateContent>
    <mc:AlternateContent xmlns:mc="http://schemas.openxmlformats.org/markup-compatibility/2006">
      <mc:Choice Requires="x14">
        <control shapeId="9543" r:id="rId58" name="cbo_jsxzgdzc">
          <controlPr autoLine="0" r:id="rId59">
            <anchor moveWithCells="1">
              <from>
                <xdr:col>2</xdr:col>
                <xdr:colOff>22860</xdr:colOff>
                <xdr:row>90</xdr:row>
                <xdr:rowOff>22860</xdr:rowOff>
              </from>
              <to>
                <xdr:col>2</xdr:col>
                <xdr:colOff>1455420</xdr:colOff>
                <xdr:row>91</xdr:row>
                <xdr:rowOff>7620</xdr:rowOff>
              </to>
            </anchor>
          </controlPr>
        </control>
      </mc:Choice>
      <mc:Fallback>
        <control shapeId="9543" r:id="rId58" name="cbo_jsxzgdzc"/>
      </mc:Fallback>
    </mc:AlternateContent>
    <mc:AlternateContent xmlns:mc="http://schemas.openxmlformats.org/markup-compatibility/2006">
      <mc:Choice Requires="x14">
        <control shapeId="9541" r:id="rId60" name="cbo_jsqtfldfz">
          <controlPr autoLine="0" r:id="rId61">
            <anchor moveWithCells="1">
              <from>
                <xdr:col>2</xdr:col>
                <xdr:colOff>22860</xdr:colOff>
                <xdr:row>81</xdr:row>
                <xdr:rowOff>22860</xdr:rowOff>
              </from>
              <to>
                <xdr:col>2</xdr:col>
                <xdr:colOff>1455420</xdr:colOff>
                <xdr:row>82</xdr:row>
                <xdr:rowOff>15240</xdr:rowOff>
              </to>
            </anchor>
          </controlPr>
        </control>
      </mc:Choice>
      <mc:Fallback>
        <control shapeId="9541" r:id="rId60" name="cbo_jsqtfldfz"/>
      </mc:Fallback>
    </mc:AlternateContent>
    <mc:AlternateContent xmlns:mc="http://schemas.openxmlformats.org/markup-compatibility/2006">
      <mc:Choice Requires="x14">
        <control shapeId="9540" r:id="rId62" name="cbo_jszxyfk">
          <controlPr autoLine="0" r:id="rId63">
            <anchor moveWithCells="1">
              <from>
                <xdr:col>2</xdr:col>
                <xdr:colOff>22860</xdr:colOff>
                <xdr:row>79</xdr:row>
                <xdr:rowOff>22860</xdr:rowOff>
              </from>
              <to>
                <xdr:col>2</xdr:col>
                <xdr:colOff>1455420</xdr:colOff>
                <xdr:row>80</xdr:row>
                <xdr:rowOff>15240</xdr:rowOff>
              </to>
            </anchor>
          </controlPr>
        </control>
      </mc:Choice>
      <mc:Fallback>
        <control shapeId="9540" r:id="rId62" name="cbo_jszxyfk"/>
      </mc:Fallback>
    </mc:AlternateContent>
    <mc:AlternateContent xmlns:mc="http://schemas.openxmlformats.org/markup-compatibility/2006">
      <mc:Choice Requires="x14">
        <control shapeId="9538" r:id="rId64" name="cbo_jsgdzczjnx">
          <controlPr autoLine="0" r:id="rId65">
            <anchor moveWithCells="1">
              <from>
                <xdr:col>2</xdr:col>
                <xdr:colOff>22860</xdr:colOff>
                <xdr:row>89</xdr:row>
                <xdr:rowOff>7620</xdr:rowOff>
              </from>
              <to>
                <xdr:col>2</xdr:col>
                <xdr:colOff>1455420</xdr:colOff>
                <xdr:row>89</xdr:row>
                <xdr:rowOff>190500</xdr:rowOff>
              </to>
            </anchor>
          </controlPr>
        </control>
      </mc:Choice>
      <mc:Fallback>
        <control shapeId="9538" r:id="rId64" name="cbo_jsgdzczjnx"/>
      </mc:Fallback>
    </mc:AlternateContent>
    <mc:AlternateContent xmlns:mc="http://schemas.openxmlformats.org/markup-compatibility/2006">
      <mc:Choice Requires="x14">
        <control shapeId="9536" r:id="rId66" name="cbo_jsyjfz">
          <controlPr autoLine="0" r:id="rId67">
            <anchor moveWithCells="1">
              <from>
                <xdr:col>2</xdr:col>
                <xdr:colOff>7620</xdr:colOff>
                <xdr:row>80</xdr:row>
                <xdr:rowOff>22860</xdr:rowOff>
              </from>
              <to>
                <xdr:col>2</xdr:col>
                <xdr:colOff>1440180</xdr:colOff>
                <xdr:row>81</xdr:row>
                <xdr:rowOff>15240</xdr:rowOff>
              </to>
            </anchor>
          </controlPr>
        </control>
      </mc:Choice>
      <mc:Fallback>
        <control shapeId="9536" r:id="rId66" name="cbo_jsyjfz"/>
      </mc:Fallback>
    </mc:AlternateContent>
    <mc:AlternateContent xmlns:mc="http://schemas.openxmlformats.org/markup-compatibility/2006">
      <mc:Choice Requires="x14">
        <control shapeId="9535" r:id="rId68" name="cbo_jsxzwxzc">
          <controlPr autoLine="0" r:id="rId69">
            <anchor moveWithCells="1">
              <from>
                <xdr:col>2</xdr:col>
                <xdr:colOff>22860</xdr:colOff>
                <xdr:row>95</xdr:row>
                <xdr:rowOff>22860</xdr:rowOff>
              </from>
              <to>
                <xdr:col>2</xdr:col>
                <xdr:colOff>1455420</xdr:colOff>
                <xdr:row>96</xdr:row>
                <xdr:rowOff>7620</xdr:rowOff>
              </to>
            </anchor>
          </controlPr>
        </control>
      </mc:Choice>
      <mc:Fallback>
        <control shapeId="9535" r:id="rId68" name="cbo_jsxzwxzc"/>
      </mc:Fallback>
    </mc:AlternateContent>
    <mc:AlternateContent xmlns:mc="http://schemas.openxmlformats.org/markup-compatibility/2006">
      <mc:Choice Requires="x14">
        <control shapeId="9532" r:id="rId70" name="cbo_jszddqjkye">
          <controlPr autoLine="0" r:id="rId71">
            <anchor moveWithCells="1">
              <from>
                <xdr:col>2</xdr:col>
                <xdr:colOff>7620</xdr:colOff>
                <xdr:row>59</xdr:row>
                <xdr:rowOff>7620</xdr:rowOff>
              </from>
              <to>
                <xdr:col>2</xdr:col>
                <xdr:colOff>1447800</xdr:colOff>
                <xdr:row>60</xdr:row>
                <xdr:rowOff>0</xdr:rowOff>
              </to>
            </anchor>
          </controlPr>
        </control>
      </mc:Choice>
      <mc:Fallback>
        <control shapeId="9532" r:id="rId70" name="cbo_jszddqjkye"/>
      </mc:Fallback>
    </mc:AlternateContent>
    <mc:AlternateContent xmlns:mc="http://schemas.openxmlformats.org/markup-compatibility/2006">
      <mc:Choice Requires="x14">
        <control shapeId="9531" r:id="rId72" name="cbo_jsdysdszc">
          <controlPr autoLine="0" r:id="rId73">
            <anchor moveWithCells="1">
              <from>
                <xdr:col>2</xdr:col>
                <xdr:colOff>7620</xdr:colOff>
                <xdr:row>55</xdr:row>
                <xdr:rowOff>7620</xdr:rowOff>
              </from>
              <to>
                <xdr:col>2</xdr:col>
                <xdr:colOff>1447800</xdr:colOff>
                <xdr:row>56</xdr:row>
                <xdr:rowOff>7620</xdr:rowOff>
              </to>
            </anchor>
          </controlPr>
        </control>
      </mc:Choice>
      <mc:Fallback>
        <control shapeId="9531" r:id="rId72" name="cbo_jsdysdszc"/>
      </mc:Fallback>
    </mc:AlternateContent>
    <mc:AlternateContent xmlns:mc="http://schemas.openxmlformats.org/markup-compatibility/2006">
      <mc:Choice Requires="x14">
        <control shapeId="9530" r:id="rId74" name="cbo_tzxfdc">
          <controlPr print="0" autoLine="0" r:id="rId75">
            <anchor moveWithCells="1">
              <from>
                <xdr:col>2</xdr:col>
                <xdr:colOff>22860</xdr:colOff>
                <xdr:row>51</xdr:row>
                <xdr:rowOff>7620</xdr:rowOff>
              </from>
              <to>
                <xdr:col>2</xdr:col>
                <xdr:colOff>1455420</xdr:colOff>
                <xdr:row>52</xdr:row>
                <xdr:rowOff>7620</xdr:rowOff>
              </to>
            </anchor>
          </controlPr>
        </control>
      </mc:Choice>
      <mc:Fallback>
        <control shapeId="9530" r:id="rId74" name="cbo_tzxfdc"/>
      </mc:Fallback>
    </mc:AlternateContent>
    <mc:AlternateContent xmlns:mc="http://schemas.openxmlformats.org/markup-compatibility/2006">
      <mc:Choice Requires="x14">
        <control shapeId="9528" r:id="rId76" name="cbo_jsqtfldzc">
          <controlPr autoLine="0" r:id="rId77">
            <anchor moveWithCells="1">
              <from>
                <xdr:col>2</xdr:col>
                <xdr:colOff>7620</xdr:colOff>
                <xdr:row>57</xdr:row>
                <xdr:rowOff>7620</xdr:rowOff>
              </from>
              <to>
                <xdr:col>2</xdr:col>
                <xdr:colOff>1447800</xdr:colOff>
                <xdr:row>58</xdr:row>
                <xdr:rowOff>7620</xdr:rowOff>
              </to>
            </anchor>
          </controlPr>
        </control>
      </mc:Choice>
      <mc:Fallback>
        <control shapeId="9528" r:id="rId76" name="cbo_jsqtfldzc"/>
      </mc:Fallback>
    </mc:AlternateContent>
    <mc:AlternateContent xmlns:mc="http://schemas.openxmlformats.org/markup-compatibility/2006">
      <mc:Choice Requires="x14">
        <control shapeId="9527" r:id="rId78" name="cbo_jyxjrzc">
          <controlPr autoLine="0" r:id="rId79">
            <anchor moveWithCells="1">
              <from>
                <xdr:col>2</xdr:col>
                <xdr:colOff>7620</xdr:colOff>
                <xdr:row>30</xdr:row>
                <xdr:rowOff>7620</xdr:rowOff>
              </from>
              <to>
                <xdr:col>2</xdr:col>
                <xdr:colOff>1447800</xdr:colOff>
                <xdr:row>31</xdr:row>
                <xdr:rowOff>0</xdr:rowOff>
              </to>
            </anchor>
          </controlPr>
        </control>
      </mc:Choice>
      <mc:Fallback>
        <control shapeId="9527" r:id="rId78" name="cbo_jyxjrzc"/>
      </mc:Fallback>
    </mc:AlternateContent>
    <mc:AlternateContent xmlns:mc="http://schemas.openxmlformats.org/markup-compatibility/2006">
      <mc:Choice Requires="x14">
        <control shapeId="9524" r:id="rId80" name="cbo_qtldzc">
          <controlPr autoLine="0" r:id="rId81">
            <anchor moveWithCells="1">
              <from>
                <xdr:col>2</xdr:col>
                <xdr:colOff>22860</xdr:colOff>
                <xdr:row>43</xdr:row>
                <xdr:rowOff>7620</xdr:rowOff>
              </from>
              <to>
                <xdr:col>2</xdr:col>
                <xdr:colOff>1463040</xdr:colOff>
                <xdr:row>44</xdr:row>
                <xdr:rowOff>15240</xdr:rowOff>
              </to>
            </anchor>
          </controlPr>
        </control>
      </mc:Choice>
      <mc:Fallback>
        <control shapeId="9524" r:id="rId80" name="cbo_qtldzc"/>
      </mc:Fallback>
    </mc:AlternateContent>
    <mc:AlternateContent xmlns:mc="http://schemas.openxmlformats.org/markup-compatibility/2006">
      <mc:Choice Requires="x14">
        <control shapeId="9523" r:id="rId82" name="cbo_ynndqdfldzc">
          <controlPr autoLine="0" r:id="rId83">
            <anchor moveWithCells="1">
              <from>
                <xdr:col>2</xdr:col>
                <xdr:colOff>7620</xdr:colOff>
                <xdr:row>42</xdr:row>
                <xdr:rowOff>7620</xdr:rowOff>
              </from>
              <to>
                <xdr:col>2</xdr:col>
                <xdr:colOff>1447800</xdr:colOff>
                <xdr:row>43</xdr:row>
                <xdr:rowOff>7620</xdr:rowOff>
              </to>
            </anchor>
          </controlPr>
        </control>
      </mc:Choice>
      <mc:Fallback>
        <control shapeId="9523" r:id="rId82" name="cbo_ynndqdfldzc"/>
      </mc:Fallback>
    </mc:AlternateContent>
    <mc:AlternateContent xmlns:mc="http://schemas.openxmlformats.org/markup-compatibility/2006">
      <mc:Choice Requires="x14">
        <control shapeId="9520" r:id="rId84" name="cbo_jsqtcwfy">
          <controlPr autoLine="0" r:id="rId85">
            <anchor moveWithCells="1">
              <from>
                <xdr:col>2</xdr:col>
                <xdr:colOff>22860</xdr:colOff>
                <xdr:row>8</xdr:row>
                <xdr:rowOff>7620</xdr:rowOff>
              </from>
              <to>
                <xdr:col>2</xdr:col>
                <xdr:colOff>1455420</xdr:colOff>
                <xdr:row>9</xdr:row>
                <xdr:rowOff>7620</xdr:rowOff>
              </to>
            </anchor>
          </controlPr>
        </control>
      </mc:Choice>
      <mc:Fallback>
        <control shapeId="9520" r:id="rId84" name="cbo_jsqtcwfy"/>
      </mc:Fallback>
    </mc:AlternateContent>
    <mc:AlternateContent xmlns:mc="http://schemas.openxmlformats.org/markup-compatibility/2006">
      <mc:Choice Requires="x14">
        <control shapeId="9516" r:id="rId86" name="cbo_jsyjsf">
          <controlPr autoLine="0" r:id="rId87">
            <anchor moveWithCells="1">
              <from>
                <xdr:col>2</xdr:col>
                <xdr:colOff>7620</xdr:colOff>
                <xdr:row>71</xdr:row>
                <xdr:rowOff>22860</xdr:rowOff>
              </from>
              <to>
                <xdr:col>2</xdr:col>
                <xdr:colOff>1447800</xdr:colOff>
                <xdr:row>73</xdr:row>
                <xdr:rowOff>15240</xdr:rowOff>
              </to>
            </anchor>
          </controlPr>
        </control>
      </mc:Choice>
      <mc:Fallback>
        <control shapeId="9516" r:id="rId86" name="cbo_jsyjsf"/>
      </mc:Fallback>
    </mc:AlternateContent>
    <mc:AlternateContent xmlns:mc="http://schemas.openxmlformats.org/markup-compatibility/2006">
      <mc:Choice Requires="x14">
        <control shapeId="9510" r:id="rId88" name="cbo_kgcsjrzc">
          <controlPr autoLine="0" r:id="rId89">
            <anchor moveWithCells="1">
              <from>
                <xdr:col>2</xdr:col>
                <xdr:colOff>7620</xdr:colOff>
                <xdr:row>47</xdr:row>
                <xdr:rowOff>7620</xdr:rowOff>
              </from>
              <to>
                <xdr:col>2</xdr:col>
                <xdr:colOff>1447800</xdr:colOff>
                <xdr:row>48</xdr:row>
                <xdr:rowOff>7620</xdr:rowOff>
              </to>
            </anchor>
          </controlPr>
        </control>
      </mc:Choice>
      <mc:Fallback>
        <control shapeId="9510" r:id="rId88" name="cbo_kgcsjrzc"/>
      </mc:Fallback>
    </mc:AlternateContent>
    <mc:AlternateContent xmlns:mc="http://schemas.openxmlformats.org/markup-compatibility/2006">
      <mc:Choice Requires="x14">
        <control shapeId="9496" r:id="rId90" name="cbo_jsjyxjrfz">
          <controlPr autoLine="0" r:id="rId91">
            <anchor moveWithCells="1">
              <from>
                <xdr:col>2</xdr:col>
                <xdr:colOff>7620</xdr:colOff>
                <xdr:row>60</xdr:row>
                <xdr:rowOff>22860</xdr:rowOff>
              </from>
              <to>
                <xdr:col>2</xdr:col>
                <xdr:colOff>1447800</xdr:colOff>
                <xdr:row>61</xdr:row>
                <xdr:rowOff>15240</xdr:rowOff>
              </to>
            </anchor>
          </controlPr>
        </control>
      </mc:Choice>
      <mc:Fallback>
        <control shapeId="9496" r:id="rId90" name="cbo_jsjyxjrfz"/>
      </mc:Fallback>
    </mc:AlternateContent>
    <mc:AlternateContent xmlns:mc="http://schemas.openxmlformats.org/markup-compatibility/2006">
      <mc:Choice Requires="x14">
        <control shapeId="9488" r:id="rId92" name="cbo_tzjsyly">
          <controlPr autoLine="0" r:id="rId93">
            <anchor moveWithCells="1">
              <from>
                <xdr:col>2</xdr:col>
                <xdr:colOff>22860</xdr:colOff>
                <xdr:row>12</xdr:row>
                <xdr:rowOff>7620</xdr:rowOff>
              </from>
              <to>
                <xdr:col>2</xdr:col>
                <xdr:colOff>1455420</xdr:colOff>
                <xdr:row>13</xdr:row>
                <xdr:rowOff>0</xdr:rowOff>
              </to>
            </anchor>
          </controlPr>
        </control>
      </mc:Choice>
      <mc:Fallback>
        <control shapeId="9488" r:id="rId92" name="cbo_tzjsyly"/>
      </mc:Fallback>
    </mc:AlternateContent>
    <mc:AlternateContent xmlns:mc="http://schemas.openxmlformats.org/markup-compatibility/2006">
      <mc:Choice Requires="x14">
        <control shapeId="9459" r:id="rId94" name="cboDefault">
          <controlPr defaultSize="0" autoLine="0" r:id="rId95">
            <anchor moveWithCells="1">
              <from>
                <xdr:col>2</xdr:col>
                <xdr:colOff>22860</xdr:colOff>
                <xdr:row>0</xdr:row>
                <xdr:rowOff>38100</xdr:rowOff>
              </from>
              <to>
                <xdr:col>2</xdr:col>
                <xdr:colOff>1455420</xdr:colOff>
                <xdr:row>0</xdr:row>
                <xdr:rowOff>274320</xdr:rowOff>
              </to>
            </anchor>
          </controlPr>
        </control>
      </mc:Choice>
      <mc:Fallback>
        <control shapeId="9459" r:id="rId94" name="cboDefault"/>
      </mc:Fallback>
    </mc:AlternateContent>
    <mc:AlternateContent xmlns:mc="http://schemas.openxmlformats.org/markup-compatibility/2006">
      <mc:Choice Requires="x14">
        <control shapeId="9454" r:id="rId96" name="cbo_jsyfzgxc">
          <controlPr autoLine="0" r:id="rId97">
            <anchor moveWithCells="1">
              <from>
                <xdr:col>2</xdr:col>
                <xdr:colOff>7620</xdr:colOff>
                <xdr:row>69</xdr:row>
                <xdr:rowOff>7620</xdr:rowOff>
              </from>
              <to>
                <xdr:col>2</xdr:col>
                <xdr:colOff>1447800</xdr:colOff>
                <xdr:row>71</xdr:row>
                <xdr:rowOff>7620</xdr:rowOff>
              </to>
            </anchor>
          </controlPr>
        </control>
      </mc:Choice>
      <mc:Fallback>
        <control shapeId="9454" r:id="rId96" name="cbo_jsyfzgxc"/>
      </mc:Fallback>
    </mc:AlternateContent>
    <mc:AlternateContent xmlns:mc="http://schemas.openxmlformats.org/markup-compatibility/2006">
      <mc:Choice Requires="x14">
        <control shapeId="9451" r:id="rId98" name="cbo_jsdysy">
          <controlPr autoLine="0" r:id="rId99">
            <anchor moveWithCells="1">
              <from>
                <xdr:col>2</xdr:col>
                <xdr:colOff>7620</xdr:colOff>
                <xdr:row>68</xdr:row>
                <xdr:rowOff>7620</xdr:rowOff>
              </from>
              <to>
                <xdr:col>2</xdr:col>
                <xdr:colOff>1447800</xdr:colOff>
                <xdr:row>69</xdr:row>
                <xdr:rowOff>0</xdr:rowOff>
              </to>
            </anchor>
          </controlPr>
        </control>
      </mc:Choice>
      <mc:Fallback>
        <control shapeId="9451" r:id="rId98" name="cbo_jsdysy"/>
      </mc:Fallback>
    </mc:AlternateContent>
    <mc:AlternateContent xmlns:mc="http://schemas.openxmlformats.org/markup-compatibility/2006">
      <mc:Choice Requires="x14">
        <control shapeId="9448" r:id="rId100" name="cbo_jsyfzk">
          <controlPr autoLine="0" r:id="rId101">
            <anchor moveWithCells="1">
              <from>
                <xdr:col>2</xdr:col>
                <xdr:colOff>7620</xdr:colOff>
                <xdr:row>62</xdr:row>
                <xdr:rowOff>22860</xdr:rowOff>
              </from>
              <to>
                <xdr:col>2</xdr:col>
                <xdr:colOff>1447800</xdr:colOff>
                <xdr:row>63</xdr:row>
                <xdr:rowOff>15240</xdr:rowOff>
              </to>
            </anchor>
          </controlPr>
        </control>
      </mc:Choice>
      <mc:Fallback>
        <control shapeId="9448" r:id="rId100" name="cbo_jsyfzk"/>
      </mc:Fallback>
    </mc:AlternateContent>
    <mc:AlternateContent xmlns:mc="http://schemas.openxmlformats.org/markup-compatibility/2006">
      <mc:Choice Requires="x14">
        <control shapeId="9446" r:id="rId102" name="cbo_jsqtyfzk">
          <controlPr autoLine="0" r:id="rId103">
            <anchor moveWithCells="1">
              <from>
                <xdr:col>2</xdr:col>
                <xdr:colOff>7620</xdr:colOff>
                <xdr:row>65</xdr:row>
                <xdr:rowOff>22860</xdr:rowOff>
              </from>
              <to>
                <xdr:col>2</xdr:col>
                <xdr:colOff>1447800</xdr:colOff>
                <xdr:row>66</xdr:row>
                <xdr:rowOff>15240</xdr:rowOff>
              </to>
            </anchor>
          </controlPr>
        </control>
      </mc:Choice>
      <mc:Fallback>
        <control shapeId="9446" r:id="rId102" name="cbo_jsqtyfzk"/>
      </mc:Fallback>
    </mc:AlternateContent>
    <mc:AlternateContent xmlns:mc="http://schemas.openxmlformats.org/markup-compatibility/2006">
      <mc:Choice Requires="x14">
        <control shapeId="9432" r:id="rId104" name="cbo_jscqysk">
          <controlPr print="0" autoLine="0" r:id="rId105">
            <anchor moveWithCells="1">
              <from>
                <xdr:col>2</xdr:col>
                <xdr:colOff>30480</xdr:colOff>
                <xdr:row>53</xdr:row>
                <xdr:rowOff>7620</xdr:rowOff>
              </from>
              <to>
                <xdr:col>2</xdr:col>
                <xdr:colOff>1463040</xdr:colOff>
                <xdr:row>54</xdr:row>
                <xdr:rowOff>7620</xdr:rowOff>
              </to>
            </anchor>
          </controlPr>
        </control>
      </mc:Choice>
      <mc:Fallback>
        <control shapeId="9432" r:id="rId104" name="cbo_jscqysk"/>
      </mc:Fallback>
    </mc:AlternateContent>
    <mc:AlternateContent xmlns:mc="http://schemas.openxmlformats.org/markup-compatibility/2006">
      <mc:Choice Requires="x14">
        <control shapeId="9431" r:id="rId106" name="cbo_cyzdqtz">
          <controlPr autoLine="0" r:id="rId107">
            <anchor moveWithCells="1">
              <from>
                <xdr:col>2</xdr:col>
                <xdr:colOff>22860</xdr:colOff>
                <xdr:row>49</xdr:row>
                <xdr:rowOff>7620</xdr:rowOff>
              </from>
              <to>
                <xdr:col>2</xdr:col>
                <xdr:colOff>1455420</xdr:colOff>
                <xdr:row>50</xdr:row>
                <xdr:rowOff>7620</xdr:rowOff>
              </to>
            </anchor>
          </controlPr>
        </control>
      </mc:Choice>
      <mc:Fallback>
        <control shapeId="9431" r:id="rId106" name="cbo_cyzdqtz"/>
      </mc:Fallback>
    </mc:AlternateContent>
    <mc:AlternateContent xmlns:mc="http://schemas.openxmlformats.org/markup-compatibility/2006">
      <mc:Choice Requires="x14">
        <control shapeId="9420" r:id="rId108" name="cbo_yfzk">
          <controlPr autoLine="0" r:id="rId109">
            <anchor moveWithCells="1">
              <from>
                <xdr:col>2</xdr:col>
                <xdr:colOff>22860</xdr:colOff>
                <xdr:row>38</xdr:row>
                <xdr:rowOff>7620</xdr:rowOff>
              </from>
              <to>
                <xdr:col>2</xdr:col>
                <xdr:colOff>1455420</xdr:colOff>
                <xdr:row>39</xdr:row>
                <xdr:rowOff>7620</xdr:rowOff>
              </to>
            </anchor>
          </controlPr>
        </control>
      </mc:Choice>
      <mc:Fallback>
        <control shapeId="9420" r:id="rId108" name="cbo_yfzk"/>
      </mc:Fallback>
    </mc:AlternateContent>
    <mc:AlternateContent xmlns:mc="http://schemas.openxmlformats.org/markup-compatibility/2006">
      <mc:Choice Requires="x14">
        <control shapeId="9414" r:id="rId110" name="cbo_zdxjye">
          <controlPr autoLine="0" r:id="rId111">
            <anchor moveWithCells="1">
              <from>
                <xdr:col>2</xdr:col>
                <xdr:colOff>7620</xdr:colOff>
                <xdr:row>29</xdr:row>
                <xdr:rowOff>7620</xdr:rowOff>
              </from>
              <to>
                <xdr:col>2</xdr:col>
                <xdr:colOff>1447800</xdr:colOff>
                <xdr:row>30</xdr:row>
                <xdr:rowOff>0</xdr:rowOff>
              </to>
            </anchor>
          </controlPr>
        </control>
      </mc:Choice>
      <mc:Fallback>
        <control shapeId="9414" r:id="rId110" name="cbo_zdxjye"/>
      </mc:Fallback>
    </mc:AlternateContent>
    <mc:AlternateContent xmlns:mc="http://schemas.openxmlformats.org/markup-compatibility/2006">
      <mc:Choice Requires="x14">
        <control shapeId="9411" r:id="rId112" name="cbo_ssgdsy">
          <controlPr autoLine="0" r:id="rId113">
            <anchor moveWithCells="1">
              <from>
                <xdr:col>2</xdr:col>
                <xdr:colOff>30480</xdr:colOff>
                <xdr:row>20</xdr:row>
                <xdr:rowOff>7620</xdr:rowOff>
              </from>
              <to>
                <xdr:col>2</xdr:col>
                <xdr:colOff>1440180</xdr:colOff>
                <xdr:row>21</xdr:row>
                <xdr:rowOff>7620</xdr:rowOff>
              </to>
            </anchor>
          </controlPr>
        </control>
      </mc:Choice>
      <mc:Fallback>
        <control shapeId="9411" r:id="rId112" name="cbo_ssgdsy"/>
      </mc:Fallback>
    </mc:AlternateContent>
    <mc:AlternateContent xmlns:mc="http://schemas.openxmlformats.org/markup-compatibility/2006">
      <mc:Choice Requires="x14">
        <control shapeId="9409" r:id="rId114" name="cbo_yywzc">
          <controlPr autoLine="0" r:id="rId115">
            <anchor moveWithCells="1">
              <from>
                <xdr:col>2</xdr:col>
                <xdr:colOff>22860</xdr:colOff>
                <xdr:row>17</xdr:row>
                <xdr:rowOff>7620</xdr:rowOff>
              </from>
              <to>
                <xdr:col>2</xdr:col>
                <xdr:colOff>1455420</xdr:colOff>
                <xdr:row>18</xdr:row>
                <xdr:rowOff>7620</xdr:rowOff>
              </to>
            </anchor>
          </controlPr>
        </control>
      </mc:Choice>
      <mc:Fallback>
        <control shapeId="9409" r:id="rId114" name="cbo_yywzc"/>
      </mc:Fallback>
    </mc:AlternateContent>
    <mc:AlternateContent xmlns:mc="http://schemas.openxmlformats.org/markup-compatibility/2006">
      <mc:Choice Requires="x14">
        <control shapeId="9408" r:id="rId116" name="cbo_yywsr">
          <controlPr autoLine="0" r:id="rId117">
            <anchor moveWithCells="1">
              <from>
                <xdr:col>2</xdr:col>
                <xdr:colOff>30480</xdr:colOff>
                <xdr:row>16</xdr:row>
                <xdr:rowOff>7620</xdr:rowOff>
              </from>
              <to>
                <xdr:col>2</xdr:col>
                <xdr:colOff>1447800</xdr:colOff>
                <xdr:row>17</xdr:row>
                <xdr:rowOff>7620</xdr:rowOff>
              </to>
            </anchor>
          </controlPr>
        </control>
      </mc:Choice>
      <mc:Fallback>
        <control shapeId="9408" r:id="rId116" name="cbo_yywsr"/>
      </mc:Fallback>
    </mc:AlternateContent>
    <mc:AlternateContent xmlns:mc="http://schemas.openxmlformats.org/markup-compatibility/2006">
      <mc:Choice Requires="x14">
        <control shapeId="9407" r:id="rId118" name="cbo_tzjsyqt">
          <controlPr autoLine="0" r:id="rId119">
            <anchor moveWithCells="1">
              <from>
                <xdr:col>2</xdr:col>
                <xdr:colOff>22860</xdr:colOff>
                <xdr:row>13</xdr:row>
                <xdr:rowOff>7620</xdr:rowOff>
              </from>
              <to>
                <xdr:col>2</xdr:col>
                <xdr:colOff>1455420</xdr:colOff>
                <xdr:row>14</xdr:row>
                <xdr:rowOff>7620</xdr:rowOff>
              </to>
            </anchor>
          </controlPr>
        </control>
      </mc:Choice>
      <mc:Fallback>
        <control shapeId="9407" r:id="rId118" name="cbo_tzjsyqt"/>
      </mc:Fallback>
    </mc:AlternateContent>
    <mc:AlternateContent xmlns:mc="http://schemas.openxmlformats.org/markup-compatibility/2006">
      <mc:Choice Requires="x14">
        <control shapeId="9406" r:id="rId120" name="cbo_gyjzbdsy">
          <controlPr autoLine="0" r:id="rId121">
            <anchor moveWithCells="1">
              <from>
                <xdr:col>2</xdr:col>
                <xdr:colOff>22860</xdr:colOff>
                <xdr:row>11</xdr:row>
                <xdr:rowOff>7620</xdr:rowOff>
              </from>
              <to>
                <xdr:col>2</xdr:col>
                <xdr:colOff>1455420</xdr:colOff>
                <xdr:row>12</xdr:row>
                <xdr:rowOff>7620</xdr:rowOff>
              </to>
            </anchor>
          </controlPr>
        </control>
      </mc:Choice>
      <mc:Fallback>
        <control shapeId="9406" r:id="rId120" name="cbo_gyjzbdsy"/>
      </mc:Fallback>
    </mc:AlternateContent>
    <mc:AlternateContent xmlns:mc="http://schemas.openxmlformats.org/markup-compatibility/2006">
      <mc:Choice Requires="x14">
        <control shapeId="9405" r:id="rId122" name="cbo_jszcjzss">
          <controlPr autoLine="0" r:id="rId123">
            <anchor moveWithCells="1">
              <from>
                <xdr:col>2</xdr:col>
                <xdr:colOff>30480</xdr:colOff>
                <xdr:row>9</xdr:row>
                <xdr:rowOff>7620</xdr:rowOff>
              </from>
              <to>
                <xdr:col>2</xdr:col>
                <xdr:colOff>1447800</xdr:colOff>
                <xdr:row>10</xdr:row>
                <xdr:rowOff>7620</xdr:rowOff>
              </to>
            </anchor>
          </controlPr>
        </control>
      </mc:Choice>
      <mc:Fallback>
        <control shapeId="9405" r:id="rId122" name="cbo_jszcjzss"/>
      </mc:Fallback>
    </mc:AlternateContent>
    <mc:AlternateContent xmlns:mc="http://schemas.openxmlformats.org/markup-compatibility/2006">
      <mc:Choice Requires="x14">
        <control shapeId="9262" r:id="rId124" name="cbo_xjfxl">
          <controlPr autoLine="0" r:id="rId125">
            <anchor moveWithCells="1">
              <from>
                <xdr:col>2</xdr:col>
                <xdr:colOff>7620</xdr:colOff>
                <xdr:row>22</xdr:row>
                <xdr:rowOff>7620</xdr:rowOff>
              </from>
              <to>
                <xdr:col>2</xdr:col>
                <xdr:colOff>1447800</xdr:colOff>
                <xdr:row>23</xdr:row>
                <xdr:rowOff>0</xdr:rowOff>
              </to>
            </anchor>
          </controlPr>
        </control>
      </mc:Choice>
      <mc:Fallback>
        <control shapeId="9262" r:id="rId124" name="cbo_xjfxl"/>
      </mc:Fallback>
    </mc:AlternateContent>
    <mc:AlternateContent xmlns:mc="http://schemas.openxmlformats.org/markup-compatibility/2006">
      <mc:Choice Requires="x14">
        <control shapeId="9240" r:id="rId126" name="cbo_qtysk">
          <controlPr autoLine="0" r:id="rId127">
            <anchor moveWithCells="1">
              <from>
                <xdr:col>2</xdr:col>
                <xdr:colOff>7620</xdr:colOff>
                <xdr:row>37</xdr:row>
                <xdr:rowOff>22860</xdr:rowOff>
              </from>
              <to>
                <xdr:col>2</xdr:col>
                <xdr:colOff>1447800</xdr:colOff>
                <xdr:row>38</xdr:row>
                <xdr:rowOff>15240</xdr:rowOff>
              </to>
            </anchor>
          </controlPr>
        </control>
      </mc:Choice>
      <mc:Fallback>
        <control shapeId="9240" r:id="rId126" name="cbo_qtysk"/>
      </mc:Fallback>
    </mc:AlternateContent>
    <mc:AlternateContent xmlns:mc="http://schemas.openxmlformats.org/markup-compatibility/2006">
      <mc:Choice Requires="x14">
        <control shapeId="9236" r:id="rId128" name="cbo_yszk">
          <controlPr autoLine="0" r:id="rId129">
            <anchor moveWithCells="1">
              <from>
                <xdr:col>2</xdr:col>
                <xdr:colOff>7620</xdr:colOff>
                <xdr:row>32</xdr:row>
                <xdr:rowOff>7620</xdr:rowOff>
              </from>
              <to>
                <xdr:col>2</xdr:col>
                <xdr:colOff>1447800</xdr:colOff>
                <xdr:row>33</xdr:row>
                <xdr:rowOff>0</xdr:rowOff>
              </to>
            </anchor>
          </controlPr>
        </control>
      </mc:Choice>
      <mc:Fallback>
        <control shapeId="9236" r:id="rId128" name="cbo_yszk"/>
      </mc:Fallback>
    </mc:AlternateContent>
    <mc:AlternateContent xmlns:mc="http://schemas.openxmlformats.org/markup-compatibility/2006">
      <mc:Choice Requires="x14">
        <control shapeId="9230" r:id="rId130" name="cbo_sl">
          <controlPr autoLine="0" r:id="rId131">
            <anchor moveWithCells="1">
              <from>
                <xdr:col>2</xdr:col>
                <xdr:colOff>30480</xdr:colOff>
                <xdr:row>18</xdr:row>
                <xdr:rowOff>7620</xdr:rowOff>
              </from>
              <to>
                <xdr:col>2</xdr:col>
                <xdr:colOff>1447800</xdr:colOff>
                <xdr:row>20</xdr:row>
                <xdr:rowOff>22860</xdr:rowOff>
              </to>
            </anchor>
          </controlPr>
        </control>
      </mc:Choice>
      <mc:Fallback>
        <control shapeId="9230" r:id="rId130" name="cbo_sl"/>
      </mc:Fallback>
    </mc:AlternateContent>
    <mc:AlternateContent xmlns:mc="http://schemas.openxmlformats.org/markup-compatibility/2006">
      <mc:Choice Requires="x14">
        <control shapeId="9229" r:id="rId132" name="cbo_glfy">
          <controlPr autoLine="0" r:id="rId133">
            <anchor moveWithCells="1">
              <from>
                <xdr:col>2</xdr:col>
                <xdr:colOff>30480</xdr:colOff>
                <xdr:row>6</xdr:row>
                <xdr:rowOff>7620</xdr:rowOff>
              </from>
              <to>
                <xdr:col>2</xdr:col>
                <xdr:colOff>1447800</xdr:colOff>
                <xdr:row>7</xdr:row>
                <xdr:rowOff>7620</xdr:rowOff>
              </to>
            </anchor>
          </controlPr>
        </control>
      </mc:Choice>
      <mc:Fallback>
        <control shapeId="9229" r:id="rId132" name="cbo_glfy"/>
      </mc:Fallback>
    </mc:AlternateContent>
    <mc:AlternateContent xmlns:mc="http://schemas.openxmlformats.org/markup-compatibility/2006">
      <mc:Choice Requires="x14">
        <control shapeId="9228" r:id="rId134" name="cbo_yyfy">
          <controlPr autoLine="0" r:id="rId135">
            <anchor moveWithCells="1">
              <from>
                <xdr:col>2</xdr:col>
                <xdr:colOff>30480</xdr:colOff>
                <xdr:row>5</xdr:row>
                <xdr:rowOff>7620</xdr:rowOff>
              </from>
              <to>
                <xdr:col>2</xdr:col>
                <xdr:colOff>1447800</xdr:colOff>
                <xdr:row>6</xdr:row>
                <xdr:rowOff>7620</xdr:rowOff>
              </to>
            </anchor>
          </controlPr>
        </control>
      </mc:Choice>
      <mc:Fallback>
        <control shapeId="9228" r:id="rId134" name="cbo_yyfy"/>
      </mc:Fallback>
    </mc:AlternateContent>
    <mc:AlternateContent xmlns:mc="http://schemas.openxmlformats.org/markup-compatibility/2006">
      <mc:Choice Requires="x14">
        <control shapeId="9227" r:id="rId136" name="cbo_yysjjfj">
          <controlPr autoLine="0" r:id="rId137">
            <anchor moveWithCells="1">
              <from>
                <xdr:col>2</xdr:col>
                <xdr:colOff>30480</xdr:colOff>
                <xdr:row>4</xdr:row>
                <xdr:rowOff>7620</xdr:rowOff>
              </from>
              <to>
                <xdr:col>2</xdr:col>
                <xdr:colOff>1447800</xdr:colOff>
                <xdr:row>5</xdr:row>
                <xdr:rowOff>7620</xdr:rowOff>
              </to>
            </anchor>
          </controlPr>
        </control>
      </mc:Choice>
      <mc:Fallback>
        <control shapeId="9227" r:id="rId136" name="cbo_yysjjfj"/>
      </mc:Fallback>
    </mc:AlternateContent>
    <mc:AlternateContent xmlns:mc="http://schemas.openxmlformats.org/markup-compatibility/2006">
      <mc:Choice Requires="x14">
        <control shapeId="9226" r:id="rId138" name="cbo_yycb">
          <controlPr autoLine="0" r:id="rId139">
            <anchor moveWithCells="1">
              <from>
                <xdr:col>2</xdr:col>
                <xdr:colOff>30480</xdr:colOff>
                <xdr:row>3</xdr:row>
                <xdr:rowOff>7620</xdr:rowOff>
              </from>
              <to>
                <xdr:col>2</xdr:col>
                <xdr:colOff>1447800</xdr:colOff>
                <xdr:row>4</xdr:row>
                <xdr:rowOff>7620</xdr:rowOff>
              </to>
            </anchor>
          </controlPr>
        </control>
      </mc:Choice>
      <mc:Fallback>
        <control shapeId="9226" r:id="rId138" name="cbo_yycb"/>
      </mc:Fallback>
    </mc:AlternateContent>
    <mc:AlternateContent xmlns:mc="http://schemas.openxmlformats.org/markup-compatibility/2006">
      <mc:Choice Requires="x14">
        <control shapeId="9224" r:id="rId140" name="cbo_yysr">
          <controlPr autoLine="0" r:id="rId141">
            <anchor moveWithCells="1">
              <from>
                <xdr:col>2</xdr:col>
                <xdr:colOff>30480</xdr:colOff>
                <xdr:row>2</xdr:row>
                <xdr:rowOff>7620</xdr:rowOff>
              </from>
              <to>
                <xdr:col>2</xdr:col>
                <xdr:colOff>1447800</xdr:colOff>
                <xdr:row>3</xdr:row>
                <xdr:rowOff>7620</xdr:rowOff>
              </to>
            </anchor>
          </controlPr>
        </control>
      </mc:Choice>
      <mc:Fallback>
        <control shapeId="9224" r:id="rId140" name="cbo_yysr"/>
      </mc:Fallback>
    </mc:AlternateContent>
    <mc:AlternateContent xmlns:mc="http://schemas.openxmlformats.org/markup-compatibility/2006">
      <mc:Choice Requires="x14">
        <control shapeId="9596" r:id="rId142" name="cbo_yygjj">
          <controlPr autoLine="0" r:id="rId143">
            <anchor moveWithCells="1">
              <from>
                <xdr:col>2</xdr:col>
                <xdr:colOff>7620</xdr:colOff>
                <xdr:row>23</xdr:row>
                <xdr:rowOff>7620</xdr:rowOff>
              </from>
              <to>
                <xdr:col>2</xdr:col>
                <xdr:colOff>1447800</xdr:colOff>
                <xdr:row>24</xdr:row>
                <xdr:rowOff>7620</xdr:rowOff>
              </to>
            </anchor>
          </controlPr>
        </control>
      </mc:Choice>
      <mc:Fallback>
        <control shapeId="9596" r:id="rId142" name="cbo_yygjj"/>
      </mc:Fallback>
    </mc:AlternateContent>
    <mc:AlternateContent xmlns:mc="http://schemas.openxmlformats.org/markup-compatibility/2006">
      <mc:Choice Requires="x14">
        <control shapeId="9600" r:id="rId144" name="cbo_qtsy">
          <controlPr autoLine="0" r:id="rId145">
            <anchor moveWithCells="1">
              <from>
                <xdr:col>2</xdr:col>
                <xdr:colOff>30480</xdr:colOff>
                <xdr:row>14</xdr:row>
                <xdr:rowOff>7620</xdr:rowOff>
              </from>
              <to>
                <xdr:col>2</xdr:col>
                <xdr:colOff>1447800</xdr:colOff>
                <xdr:row>15</xdr:row>
                <xdr:rowOff>0</xdr:rowOff>
              </to>
            </anchor>
          </controlPr>
        </control>
      </mc:Choice>
      <mc:Fallback>
        <control shapeId="9600" r:id="rId144" name="cbo_qtsy"/>
      </mc:Fallback>
    </mc:AlternateContent>
    <mc:AlternateContent xmlns:mc="http://schemas.openxmlformats.org/markup-compatibility/2006">
      <mc:Choice Requires="x14">
        <control shapeId="9603" r:id="rId146" name="cbo_zcczsy">
          <controlPr autoLine="0" r:id="rId147">
            <anchor moveWithCells="1">
              <from>
                <xdr:col>2</xdr:col>
                <xdr:colOff>30480</xdr:colOff>
                <xdr:row>15</xdr:row>
                <xdr:rowOff>7620</xdr:rowOff>
              </from>
              <to>
                <xdr:col>2</xdr:col>
                <xdr:colOff>1447800</xdr:colOff>
                <xdr:row>16</xdr:row>
                <xdr:rowOff>0</xdr:rowOff>
              </to>
            </anchor>
          </controlPr>
        </control>
      </mc:Choice>
      <mc:Fallback>
        <control shapeId="9603" r:id="rId146" name="cbo_zcczsy"/>
      </mc:Fallback>
    </mc:AlternateContent>
    <mc:AlternateContent xmlns:mc="http://schemas.openxmlformats.org/markup-compatibility/2006">
      <mc:Choice Requires="x14">
        <control shapeId="9604" r:id="rId148" name="cbo_yffy">
          <controlPr autoLine="0" r:id="rId149">
            <anchor moveWithCells="1">
              <from>
                <xdr:col>2</xdr:col>
                <xdr:colOff>30480</xdr:colOff>
                <xdr:row>7</xdr:row>
                <xdr:rowOff>7620</xdr:rowOff>
              </from>
              <to>
                <xdr:col>2</xdr:col>
                <xdr:colOff>1447800</xdr:colOff>
                <xdr:row>8</xdr:row>
                <xdr:rowOff>7620</xdr:rowOff>
              </to>
            </anchor>
          </controlPr>
        </control>
      </mc:Choice>
      <mc:Fallback>
        <control shapeId="9604" r:id="rId148" name="cbo_yffy"/>
      </mc:Fallback>
    </mc:AlternateContent>
    <mc:AlternateContent xmlns:mc="http://schemas.openxmlformats.org/markup-compatibility/2006">
      <mc:Choice Requires="x14">
        <control shapeId="9605" r:id="rId150" name="cbo_yspj">
          <controlPr autoLine="0" r:id="rId151">
            <anchor moveWithCells="1">
              <from>
                <xdr:col>2</xdr:col>
                <xdr:colOff>7620</xdr:colOff>
                <xdr:row>33</xdr:row>
                <xdr:rowOff>7620</xdr:rowOff>
              </from>
              <to>
                <xdr:col>2</xdr:col>
                <xdr:colOff>1447800</xdr:colOff>
                <xdr:row>34</xdr:row>
                <xdr:rowOff>0</xdr:rowOff>
              </to>
            </anchor>
          </controlPr>
        </control>
      </mc:Choice>
      <mc:Fallback>
        <control shapeId="9605" r:id="rId150" name="cbo_yspj"/>
      </mc:Fallback>
    </mc:AlternateContent>
    <mc:AlternateContent xmlns:mc="http://schemas.openxmlformats.org/markup-compatibility/2006">
      <mc:Choice Requires="x14">
        <control shapeId="9606" r:id="rId152" name="cbo_yszk_mx">
          <controlPr autoLine="0" r:id="rId153">
            <anchor moveWithCells="1">
              <from>
                <xdr:col>2</xdr:col>
                <xdr:colOff>7620</xdr:colOff>
                <xdr:row>34</xdr:row>
                <xdr:rowOff>7620</xdr:rowOff>
              </from>
              <to>
                <xdr:col>2</xdr:col>
                <xdr:colOff>1447800</xdr:colOff>
                <xdr:row>36</xdr:row>
                <xdr:rowOff>0</xdr:rowOff>
              </to>
            </anchor>
          </controlPr>
        </control>
      </mc:Choice>
      <mc:Fallback>
        <control shapeId="9606" r:id="rId152" name="cbo_yszk_mx"/>
      </mc:Fallback>
    </mc:AlternateContent>
    <mc:AlternateContent xmlns:mc="http://schemas.openxmlformats.org/markup-compatibility/2006">
      <mc:Choice Requires="x14">
        <control shapeId="9607" r:id="rId154" name="cbo_yfpj">
          <controlPr autoLine="0" r:id="rId155">
            <anchor moveWithCells="1">
              <from>
                <xdr:col>2</xdr:col>
                <xdr:colOff>7620</xdr:colOff>
                <xdr:row>63</xdr:row>
                <xdr:rowOff>22860</xdr:rowOff>
              </from>
              <to>
                <xdr:col>2</xdr:col>
                <xdr:colOff>1447800</xdr:colOff>
                <xdr:row>64</xdr:row>
                <xdr:rowOff>15240</xdr:rowOff>
              </to>
            </anchor>
          </controlPr>
        </control>
      </mc:Choice>
      <mc:Fallback>
        <control shapeId="9607" r:id="rId154" name="cbo_yfpj"/>
      </mc:Fallback>
    </mc:AlternateContent>
    <mc:AlternateContent xmlns:mc="http://schemas.openxmlformats.org/markup-compatibility/2006">
      <mc:Choice Requires="x14">
        <control shapeId="9608" r:id="rId156" name="cbo_yfzk_mx">
          <controlPr autoLine="0" r:id="rId157">
            <anchor moveWithCells="1">
              <from>
                <xdr:col>2</xdr:col>
                <xdr:colOff>7620</xdr:colOff>
                <xdr:row>64</xdr:row>
                <xdr:rowOff>22860</xdr:rowOff>
              </from>
              <to>
                <xdr:col>2</xdr:col>
                <xdr:colOff>1447800</xdr:colOff>
                <xdr:row>65</xdr:row>
                <xdr:rowOff>15240</xdr:rowOff>
              </to>
            </anchor>
          </controlPr>
        </control>
      </mc:Choice>
      <mc:Fallback>
        <control shapeId="9608" r:id="rId156" name="cbo_yfzk_mx"/>
      </mc:Fallback>
    </mc:AlternateContent>
    <mc:AlternateContent xmlns:mc="http://schemas.openxmlformats.org/markup-compatibility/2006">
      <mc:Choice Requires="x14">
        <control shapeId="9610" r:id="rId158" name="cbo_js_yfpjyfzk">
          <controlPr autoLine="0" r:id="rId159">
            <anchor moveWithCells="1">
              <from>
                <xdr:col>1</xdr:col>
                <xdr:colOff>22860</xdr:colOff>
                <xdr:row>62</xdr:row>
                <xdr:rowOff>22860</xdr:rowOff>
              </from>
              <to>
                <xdr:col>1</xdr:col>
                <xdr:colOff>1844040</xdr:colOff>
                <xdr:row>63</xdr:row>
                <xdr:rowOff>22860</xdr:rowOff>
              </to>
            </anchor>
          </controlPr>
        </control>
      </mc:Choice>
      <mc:Fallback>
        <control shapeId="9610" r:id="rId158" name="cbo_js_yfpjyfzk"/>
      </mc:Fallback>
    </mc:AlternateContent>
    <mc:AlternateContent xmlns:mc="http://schemas.openxmlformats.org/markup-compatibility/2006">
      <mc:Choice Requires="x14">
        <control shapeId="9614" r:id="rId160" name="cbo_ysjrzc">
          <controlPr autoLine="0" r:id="rId161">
            <anchor moveWithCells="1">
              <from>
                <xdr:col>2</xdr:col>
                <xdr:colOff>7620</xdr:colOff>
                <xdr:row>31</xdr:row>
                <xdr:rowOff>7620</xdr:rowOff>
              </from>
              <to>
                <xdr:col>2</xdr:col>
                <xdr:colOff>1447800</xdr:colOff>
                <xdr:row>32</xdr:row>
                <xdr:rowOff>0</xdr:rowOff>
              </to>
            </anchor>
          </controlPr>
        </control>
      </mc:Choice>
      <mc:Fallback>
        <control shapeId="9614" r:id="rId160" name="cbo_ysjrzc"/>
      </mc:Fallback>
    </mc:AlternateContent>
    <mc:AlternateContent xmlns:mc="http://schemas.openxmlformats.org/markup-compatibility/2006">
      <mc:Choice Requires="x14">
        <control shapeId="9615" r:id="rId162" name="cbo_yskxrz">
          <controlPr autoLine="0" r:id="rId163">
            <anchor moveWithCells="1">
              <from>
                <xdr:col>2</xdr:col>
                <xdr:colOff>7620</xdr:colOff>
                <xdr:row>36</xdr:row>
                <xdr:rowOff>7620</xdr:rowOff>
              </from>
              <to>
                <xdr:col>2</xdr:col>
                <xdr:colOff>1447800</xdr:colOff>
                <xdr:row>37</xdr:row>
                <xdr:rowOff>38100</xdr:rowOff>
              </to>
            </anchor>
          </controlPr>
        </control>
      </mc:Choice>
      <mc:Fallback>
        <control shapeId="9615" r:id="rId162" name="cbo_yskxrz"/>
      </mc:Fallback>
    </mc:AlternateContent>
    <mc:AlternateContent xmlns:mc="http://schemas.openxmlformats.org/markup-compatibility/2006">
      <mc:Choice Requires="x14">
        <control shapeId="9616" r:id="rId164" name="cbo_hfwcydsdzc">
          <controlPr autoLine="0" r:id="rId165">
            <anchor moveWithCells="1">
              <from>
                <xdr:col>2</xdr:col>
                <xdr:colOff>7620</xdr:colOff>
                <xdr:row>41</xdr:row>
                <xdr:rowOff>7620</xdr:rowOff>
              </from>
              <to>
                <xdr:col>2</xdr:col>
                <xdr:colOff>1440180</xdr:colOff>
                <xdr:row>42</xdr:row>
                <xdr:rowOff>7620</xdr:rowOff>
              </to>
            </anchor>
          </controlPr>
        </control>
      </mc:Choice>
      <mc:Fallback>
        <control shapeId="9616" r:id="rId164" name="cbo_hfwcydsdzc"/>
      </mc:Fallback>
    </mc:AlternateContent>
    <mc:AlternateContent xmlns:mc="http://schemas.openxmlformats.org/markup-compatibility/2006">
      <mc:Choice Requires="x14">
        <control shapeId="9617" r:id="rId166" name="cbo_zqtz">
          <controlPr autoLine="0" r:id="rId167">
            <anchor moveWithCells="1">
              <from>
                <xdr:col>2</xdr:col>
                <xdr:colOff>22860</xdr:colOff>
                <xdr:row>45</xdr:row>
                <xdr:rowOff>7620</xdr:rowOff>
              </from>
              <to>
                <xdr:col>2</xdr:col>
                <xdr:colOff>1463040</xdr:colOff>
                <xdr:row>46</xdr:row>
                <xdr:rowOff>0</xdr:rowOff>
              </to>
            </anchor>
          </controlPr>
        </control>
      </mc:Choice>
      <mc:Fallback>
        <control shapeId="9617" r:id="rId166" name="cbo_zqtz"/>
      </mc:Fallback>
    </mc:AlternateContent>
    <mc:AlternateContent xmlns:mc="http://schemas.openxmlformats.org/markup-compatibility/2006">
      <mc:Choice Requires="x14">
        <control shapeId="9618" r:id="rId168" name="cbo_qtzqtz">
          <controlPr autoLine="0" r:id="rId169">
            <anchor moveWithCells="1">
              <from>
                <xdr:col>2</xdr:col>
                <xdr:colOff>22860</xdr:colOff>
                <xdr:row>46</xdr:row>
                <xdr:rowOff>7620</xdr:rowOff>
              </from>
              <to>
                <xdr:col>2</xdr:col>
                <xdr:colOff>1463040</xdr:colOff>
                <xdr:row>47</xdr:row>
                <xdr:rowOff>0</xdr:rowOff>
              </to>
            </anchor>
          </controlPr>
        </control>
      </mc:Choice>
      <mc:Fallback>
        <control shapeId="9618" r:id="rId168" name="cbo_qtzqtz"/>
      </mc:Fallback>
    </mc:AlternateContent>
    <mc:AlternateContent xmlns:mc="http://schemas.openxmlformats.org/markup-compatibility/2006">
      <mc:Choice Requires="x14">
        <control shapeId="9619" r:id="rId170" name="cbo_qtqygjzt">
          <controlPr autoLine="0" r:id="rId171">
            <anchor moveWithCells="1">
              <from>
                <xdr:col>2</xdr:col>
                <xdr:colOff>7620</xdr:colOff>
                <xdr:row>48</xdr:row>
                <xdr:rowOff>7620</xdr:rowOff>
              </from>
              <to>
                <xdr:col>2</xdr:col>
                <xdr:colOff>1447800</xdr:colOff>
                <xdr:row>49</xdr:row>
                <xdr:rowOff>7620</xdr:rowOff>
              </to>
            </anchor>
          </controlPr>
        </control>
      </mc:Choice>
      <mc:Fallback>
        <control shapeId="9619" r:id="rId170" name="cbo_qtqygjzt"/>
      </mc:Fallback>
    </mc:AlternateContent>
    <mc:AlternateContent xmlns:mc="http://schemas.openxmlformats.org/markup-compatibility/2006">
      <mc:Choice Requires="x14">
        <control shapeId="9620" r:id="rId172" name="cbo_qtfldjrzc">
          <controlPr autoLine="0" r:id="rId173">
            <anchor moveWithCells="1">
              <from>
                <xdr:col>2</xdr:col>
                <xdr:colOff>22860</xdr:colOff>
                <xdr:row>50</xdr:row>
                <xdr:rowOff>7620</xdr:rowOff>
              </from>
              <to>
                <xdr:col>2</xdr:col>
                <xdr:colOff>1455420</xdr:colOff>
                <xdr:row>51</xdr:row>
                <xdr:rowOff>7620</xdr:rowOff>
              </to>
            </anchor>
          </controlPr>
        </control>
      </mc:Choice>
      <mc:Fallback>
        <control shapeId="9620" r:id="rId172" name="cbo_qtfldjrzc"/>
      </mc:Fallback>
    </mc:AlternateContent>
    <mc:AlternateContent xmlns:mc="http://schemas.openxmlformats.org/markup-compatibility/2006">
      <mc:Choice Requires="x14">
        <control shapeId="9621" r:id="rId174" name="cbo_syqzc">
          <controlPr autoLine="0" r:id="rId175">
            <anchor moveWithCells="1">
              <from>
                <xdr:col>2</xdr:col>
                <xdr:colOff>7620</xdr:colOff>
                <xdr:row>56</xdr:row>
                <xdr:rowOff>7620</xdr:rowOff>
              </from>
              <to>
                <xdr:col>2</xdr:col>
                <xdr:colOff>1447800</xdr:colOff>
                <xdr:row>57</xdr:row>
                <xdr:rowOff>7620</xdr:rowOff>
              </to>
            </anchor>
          </controlPr>
        </control>
      </mc:Choice>
      <mc:Fallback>
        <control shapeId="9621" r:id="rId174" name="cbo_syqzc"/>
      </mc:Fallback>
    </mc:AlternateContent>
    <mc:AlternateContent xmlns:mc="http://schemas.openxmlformats.org/markup-compatibility/2006">
      <mc:Choice Requires="x14">
        <control shapeId="9622" r:id="rId176" name="cbo_ysjrfz">
          <controlPr autoLine="0" r:id="rId177">
            <anchor moveWithCells="1">
              <from>
                <xdr:col>2</xdr:col>
                <xdr:colOff>7620</xdr:colOff>
                <xdr:row>61</xdr:row>
                <xdr:rowOff>22860</xdr:rowOff>
              </from>
              <to>
                <xdr:col>2</xdr:col>
                <xdr:colOff>1447800</xdr:colOff>
                <xdr:row>62</xdr:row>
                <xdr:rowOff>15240</xdr:rowOff>
              </to>
            </anchor>
          </controlPr>
        </control>
      </mc:Choice>
      <mc:Fallback>
        <control shapeId="9622" r:id="rId176" name="cbo_ysjrfz"/>
      </mc:Fallback>
    </mc:AlternateContent>
    <mc:AlternateContent xmlns:mc="http://schemas.openxmlformats.org/markup-compatibility/2006">
      <mc:Choice Requires="x14">
        <control shapeId="9623" r:id="rId178" name="cbo_htfz">
          <controlPr autoLine="0" r:id="rId179">
            <anchor moveWithCells="1">
              <from>
                <xdr:col>2</xdr:col>
                <xdr:colOff>22860</xdr:colOff>
                <xdr:row>67</xdr:row>
                <xdr:rowOff>22860</xdr:rowOff>
              </from>
              <to>
                <xdr:col>2</xdr:col>
                <xdr:colOff>1463040</xdr:colOff>
                <xdr:row>68</xdr:row>
                <xdr:rowOff>15240</xdr:rowOff>
              </to>
            </anchor>
          </controlPr>
        </control>
      </mc:Choice>
      <mc:Fallback>
        <control shapeId="9623" r:id="rId178" name="cbo_htfz"/>
      </mc:Fallback>
    </mc:AlternateContent>
    <mc:AlternateContent xmlns:mc="http://schemas.openxmlformats.org/markup-compatibility/2006">
      <mc:Choice Requires="x14">
        <control shapeId="9624" r:id="rId180" name="cbo_hfwcydsdfz">
          <controlPr autoLine="0" r:id="rId181">
            <anchor moveWithCells="1">
              <from>
                <xdr:col>2</xdr:col>
                <xdr:colOff>7620</xdr:colOff>
                <xdr:row>73</xdr:row>
                <xdr:rowOff>22860</xdr:rowOff>
              </from>
              <to>
                <xdr:col>2</xdr:col>
                <xdr:colOff>1447800</xdr:colOff>
                <xdr:row>74</xdr:row>
                <xdr:rowOff>15240</xdr:rowOff>
              </to>
            </anchor>
          </controlPr>
        </control>
      </mc:Choice>
      <mc:Fallback>
        <control shapeId="9624" r:id="rId180" name="cbo_hfwcydsdfz"/>
      </mc:Fallback>
    </mc:AlternateContent>
    <mc:AlternateContent xmlns:mc="http://schemas.openxmlformats.org/markup-compatibility/2006">
      <mc:Choice Requires="x14">
        <control shapeId="9625" r:id="rId182" name="cbo_zlfz">
          <controlPr autoLine="0" r:id="rId183">
            <anchor moveWithCells="1">
              <from>
                <xdr:col>2</xdr:col>
                <xdr:colOff>7620</xdr:colOff>
                <xdr:row>76</xdr:row>
                <xdr:rowOff>22860</xdr:rowOff>
              </from>
              <to>
                <xdr:col>2</xdr:col>
                <xdr:colOff>1447800</xdr:colOff>
                <xdr:row>76</xdr:row>
                <xdr:rowOff>205740</xdr:rowOff>
              </to>
            </anchor>
          </controlPr>
        </control>
      </mc:Choice>
      <mc:Fallback>
        <control shapeId="9625" r:id="rId182" name="cbo_zlfz"/>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FJ65446"/>
  <sheetViews>
    <sheetView workbookViewId="0">
      <pane xSplit="2" ySplit="1" topLeftCell="C47" activePane="bottomRight" state="frozen"/>
      <selection activeCell="A37" sqref="A37"/>
      <selection pane="topRight" activeCell="A37" sqref="A37"/>
      <selection pane="bottomLeft" activeCell="A37" sqref="A37"/>
      <selection pane="bottomRight" activeCell="H43" sqref="H43"/>
    </sheetView>
  </sheetViews>
  <sheetFormatPr defaultColWidth="9.375" defaultRowHeight="17.25" customHeight="1"/>
  <cols>
    <col min="1" max="1" width="38.5" style="158" customWidth="1"/>
    <col min="2" max="2" width="16.375" style="158" customWidth="1"/>
    <col min="3" max="5" width="15.875" style="126" hidden="1" customWidth="1"/>
    <col min="6" max="8" width="15.875" style="126" customWidth="1"/>
    <col min="9" max="11" width="15.875" style="129" customWidth="1"/>
    <col min="12" max="28" width="15.875" style="129" hidden="1" customWidth="1"/>
    <col min="29" max="38" width="15.875" style="127" hidden="1" customWidth="1"/>
    <col min="39" max="39" width="10.5" style="127" customWidth="1"/>
    <col min="40" max="16384" width="9.375" style="127"/>
  </cols>
  <sheetData>
    <row r="1" spans="1:166" s="203" customFormat="1" ht="18.75" customHeight="1">
      <c r="A1" s="204" t="s">
        <v>225</v>
      </c>
      <c r="B1" s="204" t="s">
        <v>1063</v>
      </c>
      <c r="C1" s="124" t="str">
        <f>年度数据!C1</f>
        <v>2017-12-31</v>
      </c>
      <c r="D1" s="969">
        <f>假设!D2</f>
        <v>2018</v>
      </c>
      <c r="E1" s="969">
        <f>假设!E2</f>
        <v>2019</v>
      </c>
      <c r="F1" s="969">
        <f>假设!F2</f>
        <v>2020</v>
      </c>
      <c r="G1" s="969">
        <f>假设!G2</f>
        <v>2021</v>
      </c>
      <c r="H1" s="969">
        <f>假设!H2</f>
        <v>2022</v>
      </c>
      <c r="I1" s="122" t="str">
        <f>假设!I2</f>
        <v>2023E</v>
      </c>
      <c r="J1" s="122" t="str">
        <f>假设!J2</f>
        <v>2024E</v>
      </c>
      <c r="K1" s="122" t="str">
        <f>假设!K2</f>
        <v>2025E</v>
      </c>
      <c r="L1" s="122" t="str">
        <f>假设!L2</f>
        <v>2026E</v>
      </c>
      <c r="M1" s="122" t="str">
        <f>假设!M2</f>
        <v>2027E</v>
      </c>
      <c r="N1" s="122" t="str">
        <f>假设!N2</f>
        <v>2028E</v>
      </c>
      <c r="O1" s="122" t="str">
        <f>假设!O2</f>
        <v>2029E</v>
      </c>
      <c r="P1" s="122" t="str">
        <f>假设!P2</f>
        <v>2030E</v>
      </c>
      <c r="Q1" s="122" t="str">
        <f>假设!Q2</f>
        <v>2031E</v>
      </c>
      <c r="R1" s="122" t="str">
        <f>假设!R2</f>
        <v>2032E</v>
      </c>
      <c r="S1" s="122" t="str">
        <f>假设!S2</f>
        <v>2033E</v>
      </c>
      <c r="T1" s="122" t="str">
        <f>假设!T2</f>
        <v>2034E</v>
      </c>
      <c r="U1" s="122" t="str">
        <f>假设!U2</f>
        <v>2035E</v>
      </c>
      <c r="V1" s="122" t="str">
        <f>假设!V2</f>
        <v>2036E</v>
      </c>
      <c r="W1" s="122" t="str">
        <f>假设!W2</f>
        <v>2037E</v>
      </c>
      <c r="X1" s="122" t="str">
        <f>假设!X2</f>
        <v>2038E</v>
      </c>
      <c r="Y1" s="122" t="str">
        <f>假设!Y2</f>
        <v>2039E</v>
      </c>
      <c r="Z1" s="122" t="str">
        <f>假设!Z2</f>
        <v>2040E</v>
      </c>
      <c r="AA1" s="122" t="str">
        <f>假设!AA2</f>
        <v>2041E</v>
      </c>
      <c r="AB1" s="122" t="str">
        <f>假设!AB2</f>
        <v>2042E</v>
      </c>
      <c r="AC1" s="122" t="str">
        <f>假设!AC2</f>
        <v>2043E</v>
      </c>
      <c r="AD1" s="122" t="str">
        <f>假设!AD2</f>
        <v>2044E</v>
      </c>
      <c r="AE1" s="122" t="str">
        <f>假设!AE2</f>
        <v>2045E</v>
      </c>
      <c r="AF1" s="122" t="str">
        <f>假设!AF2</f>
        <v>2046E</v>
      </c>
      <c r="AG1" s="122" t="str">
        <f>假设!AG2</f>
        <v>2047E</v>
      </c>
      <c r="AH1" s="122" t="str">
        <f>假设!AH2</f>
        <v>2048E</v>
      </c>
      <c r="AI1" s="122" t="str">
        <f>假设!AI2</f>
        <v>2049E</v>
      </c>
      <c r="AJ1" s="122" t="str">
        <f>假设!AJ2</f>
        <v>2050E</v>
      </c>
      <c r="AK1" s="122" t="str">
        <f>假设!AK2</f>
        <v>2051E</v>
      </c>
      <c r="AL1" s="122" t="str">
        <f>假设!AL2</f>
        <v>2052E</v>
      </c>
      <c r="AM1" s="324"/>
    </row>
    <row r="2" spans="1:166" ht="17.25" customHeight="1">
      <c r="A2" s="281" t="s">
        <v>155</v>
      </c>
      <c r="B2" s="282"/>
      <c r="C2" s="200"/>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200"/>
      <c r="AD2" s="200"/>
      <c r="AE2" s="200"/>
      <c r="AF2" s="200"/>
      <c r="AG2" s="200"/>
      <c r="AH2" s="200"/>
      <c r="AI2" s="200"/>
      <c r="AJ2" s="200"/>
      <c r="AK2" s="200"/>
      <c r="AL2" s="200"/>
      <c r="AM2" s="200"/>
      <c r="AN2" s="200"/>
    </row>
    <row r="3" spans="1:166" ht="17.25" customHeight="1">
      <c r="A3" s="283" t="s">
        <v>156</v>
      </c>
      <c r="B3" s="284" t="s">
        <v>1232</v>
      </c>
      <c r="C3" s="200">
        <f>资产负债!C19</f>
        <v>1812.4361544200001</v>
      </c>
      <c r="D3" s="200">
        <f>资产负债!D19</f>
        <v>3805.8223282399999</v>
      </c>
      <c r="E3" s="200">
        <f>资产负债!E19</f>
        <v>4452.7059321400002</v>
      </c>
      <c r="F3" s="200">
        <f>资产负债!F19</f>
        <v>6088.4127550000003</v>
      </c>
      <c r="G3" s="200">
        <f>资产负债!G19</f>
        <v>8233.0472691300001</v>
      </c>
      <c r="H3" s="200">
        <f>资产负债!H19</f>
        <v>9493.1811295400003</v>
      </c>
      <c r="I3" s="200">
        <f ca="1">资产负债!I19-SUM(利润表!$I$13:'利润表'!I13)</f>
        <v>7625.0360933341208</v>
      </c>
      <c r="J3" s="200">
        <f ca="1">资产负债!J19-SUM(利润表!$I$13:'利润表'!J13)</f>
        <v>12125.379289498353</v>
      </c>
      <c r="K3" s="200">
        <f ca="1">资产负债!K19-SUM(利润表!$I$13:'利润表'!K13)</f>
        <v>11555.91824291422</v>
      </c>
      <c r="L3" s="200">
        <f ca="1">资产负债!L19-SUM(利润表!$I$13:'利润表'!L13)</f>
        <v>15252.911811748118</v>
      </c>
      <c r="M3" s="200">
        <f ca="1">资产负债!M19-SUM(利润表!$I$13:'利润表'!M13)</f>
        <v>15212.642901677655</v>
      </c>
      <c r="N3" s="200">
        <f ca="1">资产负债!N19-SUM(利润表!$I$13:'利润表'!N13)</f>
        <v>19391.302498190726</v>
      </c>
      <c r="O3" s="200">
        <f ca="1">资产负债!O19-SUM(利润表!$I$13:'利润表'!O13)</f>
        <v>19930.491483128251</v>
      </c>
      <c r="P3" s="200">
        <f ca="1">资产负债!P19-SUM(利润表!$I$13:'利润表'!P13)</f>
        <v>25070.299250251504</v>
      </c>
      <c r="Q3" s="200">
        <f ca="1">资产负债!Q19-SUM(利润表!$I$13:'利润表'!Q13)</f>
        <v>26077.525162577702</v>
      </c>
      <c r="R3" s="200">
        <f ca="1">资产负债!R19-SUM(利润表!$I$13:'利润表'!R13)</f>
        <v>31870.670996557525</v>
      </c>
      <c r="S3" s="200">
        <f ca="1">资产负债!S19-SUM(利润表!$I$13:'利润表'!S13)</f>
        <v>33907.311849174657</v>
      </c>
      <c r="T3" s="200">
        <f ca="1">资产负债!T19-SUM(利润表!$I$13:'利润表'!T13)</f>
        <v>40764.936870355836</v>
      </c>
      <c r="U3" s="200">
        <f ca="1">资产负债!U19-SUM(利润表!$I$13:'利润表'!U13)</f>
        <v>43942.496237381041</v>
      </c>
      <c r="V3" s="200">
        <f ca="1">资产负债!V19-SUM(利润表!$I$13:'利润表'!V13)</f>
        <v>52056.019152387467</v>
      </c>
      <c r="W3" s="200">
        <f ca="1">资产负债!W19-SUM(利润表!$I$13:'利润表'!W13)</f>
        <v>56678.665759326905</v>
      </c>
      <c r="X3" s="200">
        <f ca="1">资产负债!X19-SUM(利润表!$I$13:'利润表'!X13)</f>
        <v>66487.232430566888</v>
      </c>
      <c r="Y3" s="200">
        <f ca="1">资产负债!Y19-SUM(利润表!$I$13:'利润表'!Y13)</f>
        <v>72999.470613444573</v>
      </c>
      <c r="Z3" s="200">
        <f ca="1">资产负债!Z19-SUM(利润表!$I$13:'利润表'!Z13)</f>
        <v>84908.871385472754</v>
      </c>
      <c r="AA3" s="200">
        <f ca="1">资产负债!AA19-SUM(利润表!$I$13:'利润表'!AA13)</f>
        <v>93798.459636967425</v>
      </c>
      <c r="AB3" s="200">
        <f ca="1">资产负债!AB19-SUM(利润表!$I$13:'利润表'!AB13)</f>
        <v>108415.55369817534</v>
      </c>
      <c r="AC3" s="200">
        <f ca="1">资产负债!AC19-SUM(利润表!$I$13:'利润表'!AC13)</f>
        <v>120367.88840448964</v>
      </c>
      <c r="AD3" s="200">
        <f ca="1">资产负债!AD19-SUM(利润表!$I$13:'利润表'!AD13)</f>
        <v>138434.44053469878</v>
      </c>
      <c r="AE3" s="200">
        <f ca="1">资产负债!AE19-SUM(利润表!$I$13:'利润表'!AE13)</f>
        <v>154278.5503049531</v>
      </c>
      <c r="AF3" s="200">
        <f ca="1">资产负债!AF19-SUM(利润表!$I$13:'利润表'!AF13)</f>
        <v>176746.34918354516</v>
      </c>
      <c r="AG3" s="200">
        <f ca="1">资产负债!AG19-SUM(利润表!$I$13:'利润表'!AG13)</f>
        <v>197568.95118385466</v>
      </c>
      <c r="AH3" s="200">
        <f ca="1">资产负债!AH19-SUM(利润表!$I$13:'利润表'!AH13)</f>
        <v>225660.32741624321</v>
      </c>
      <c r="AI3" s="200">
        <f ca="1">资产负债!AI19-SUM(利润表!$I$13:'利润表'!AI13)</f>
        <v>252832.89638558045</v>
      </c>
      <c r="AJ3" s="200">
        <f ca="1">资产负债!AJ19-SUM(利润表!$I$13:'利润表'!AJ13)</f>
        <v>288098.78460939717</v>
      </c>
      <c r="AK3" s="200">
        <f ca="1">资产负债!AK19-SUM(利润表!$I$13:'利润表'!AK13)</f>
        <v>323379.3587443732</v>
      </c>
      <c r="AL3" s="200">
        <f ca="1">资产负债!AL19-SUM(利润表!$I$13:'利润表'!AL13)</f>
        <v>367807.02626721736</v>
      </c>
      <c r="AM3" s="200"/>
      <c r="AN3" s="200"/>
    </row>
    <row r="4" spans="1:166" ht="17.25" customHeight="1">
      <c r="A4" s="283" t="s">
        <v>157</v>
      </c>
      <c r="B4" s="284" t="s">
        <v>1232</v>
      </c>
      <c r="C4" s="200">
        <f>资产负债!C4</f>
        <v>0</v>
      </c>
      <c r="D4" s="200">
        <f>资产负债!D4</f>
        <v>584.92510415999993</v>
      </c>
      <c r="E4" s="200">
        <f>资产负债!E4</f>
        <v>0</v>
      </c>
      <c r="F4" s="200">
        <f>资产负债!F4</f>
        <v>217.19637222</v>
      </c>
      <c r="G4" s="200">
        <f>资产负债!G4</f>
        <v>5.4218209999999996E-2</v>
      </c>
      <c r="H4" s="200">
        <f>资产负债!H4</f>
        <v>74.012589969999993</v>
      </c>
      <c r="I4" s="200">
        <f>资产负债!I4</f>
        <v>72.815795100000003</v>
      </c>
      <c r="J4" s="200">
        <f>资产负债!J4</f>
        <v>91.019743874999989</v>
      </c>
      <c r="K4" s="200">
        <f>资产负债!K4</f>
        <v>59.475586788749993</v>
      </c>
      <c r="L4" s="200">
        <f>资产负债!L4</f>
        <v>74.330928933437491</v>
      </c>
      <c r="M4" s="200">
        <f>资产负债!M4</f>
        <v>74.41051367429688</v>
      </c>
      <c r="N4" s="200">
        <f>资产负债!N4</f>
        <v>74.809193317871092</v>
      </c>
      <c r="O4" s="200">
        <f>资产负债!O4</f>
        <v>70.756555678588867</v>
      </c>
      <c r="P4" s="200">
        <f>资产负债!P4</f>
        <v>73.576797901048579</v>
      </c>
      <c r="Q4" s="200">
        <f>资产负债!Q4</f>
        <v>73.388265142951354</v>
      </c>
      <c r="R4" s="200">
        <f>资产负债!R4</f>
        <v>73.132703010114966</v>
      </c>
      <c r="S4" s="200">
        <f>资产负债!S4</f>
        <v>72.713580433175949</v>
      </c>
      <c r="T4" s="200">
        <f>资产负债!T4</f>
        <v>73.202836621822712</v>
      </c>
      <c r="U4" s="200">
        <f>资产负债!U4</f>
        <v>73.109346302016235</v>
      </c>
      <c r="V4" s="200">
        <f>资产负债!V4</f>
        <v>73.039616591782476</v>
      </c>
      <c r="W4" s="200">
        <f>资产负债!W4</f>
        <v>73.016344987199346</v>
      </c>
      <c r="X4" s="200">
        <f>资产负债!X4</f>
        <v>73.092036125705192</v>
      </c>
      <c r="Y4" s="200">
        <f>资产负债!Y4</f>
        <v>73.064336001675812</v>
      </c>
      <c r="Z4" s="200">
        <f>资产负债!Z4</f>
        <v>73.053083426590717</v>
      </c>
      <c r="AA4" s="200">
        <f>资产负债!AA4</f>
        <v>73.056450135292778</v>
      </c>
      <c r="AB4" s="200">
        <f>资产负债!AB4</f>
        <v>73.066476422316128</v>
      </c>
      <c r="AC4" s="200">
        <f>资产负债!AC4</f>
        <v>73.060086496468855</v>
      </c>
      <c r="AD4" s="200">
        <f>资产负债!AD4</f>
        <v>73.059024120167123</v>
      </c>
      <c r="AE4" s="200">
        <f>资产负债!AE4</f>
        <v>73.060509293561211</v>
      </c>
      <c r="AF4" s="200">
        <f>资产负债!AF4</f>
        <v>73.061524083128319</v>
      </c>
      <c r="AG4" s="200">
        <f>资产负债!AG4</f>
        <v>73.060285998331381</v>
      </c>
      <c r="AH4" s="200">
        <f>资产负债!AH4</f>
        <v>73.060335873797015</v>
      </c>
      <c r="AI4" s="200">
        <f>资产负债!AI4</f>
        <v>73.060663812204481</v>
      </c>
      <c r="AJ4" s="200">
        <f>资产负债!AJ4</f>
        <v>73.060702441865288</v>
      </c>
      <c r="AK4" s="200">
        <f>资产负债!AK4</f>
        <v>73.060497031549545</v>
      </c>
      <c r="AL4" s="200">
        <f>资产负债!AL4</f>
        <v>73.060549789854093</v>
      </c>
      <c r="AM4" s="200"/>
      <c r="AN4" s="200"/>
    </row>
    <row r="5" spans="1:166" ht="17.25" customHeight="1">
      <c r="A5" s="167" t="s">
        <v>2825</v>
      </c>
      <c r="B5" s="284" t="s">
        <v>1232</v>
      </c>
      <c r="C5" s="200">
        <f>资产负债!C5</f>
        <v>0</v>
      </c>
      <c r="D5" s="200">
        <f>资产负债!D5</f>
        <v>0</v>
      </c>
      <c r="E5" s="200">
        <f>资产负债!E5</f>
        <v>0</v>
      </c>
      <c r="F5" s="200">
        <f>资产负债!F5</f>
        <v>0</v>
      </c>
      <c r="G5" s="200">
        <f>资产负债!G5</f>
        <v>0</v>
      </c>
      <c r="H5" s="200">
        <f>资产负债!H5</f>
        <v>0</v>
      </c>
      <c r="I5" s="200">
        <f>资产负债!I5</f>
        <v>0</v>
      </c>
      <c r="J5" s="200">
        <f>资产负债!J5</f>
        <v>0</v>
      </c>
      <c r="K5" s="200">
        <f>资产负债!K5</f>
        <v>0</v>
      </c>
      <c r="L5" s="200">
        <f>资产负债!L5</f>
        <v>0</v>
      </c>
      <c r="M5" s="200">
        <f>资产负债!M5</f>
        <v>0</v>
      </c>
      <c r="N5" s="200">
        <f>资产负债!N5</f>
        <v>0</v>
      </c>
      <c r="O5" s="200">
        <f>资产负债!O5</f>
        <v>0</v>
      </c>
      <c r="P5" s="200">
        <f>资产负债!P5</f>
        <v>0</v>
      </c>
      <c r="Q5" s="200">
        <f>资产负债!Q5</f>
        <v>0</v>
      </c>
      <c r="R5" s="200">
        <f>资产负债!R5</f>
        <v>0</v>
      </c>
      <c r="S5" s="200">
        <f>资产负债!S5</f>
        <v>0</v>
      </c>
      <c r="T5" s="200">
        <f>资产负债!T5</f>
        <v>0</v>
      </c>
      <c r="U5" s="200">
        <f>资产负债!U5</f>
        <v>0</v>
      </c>
      <c r="V5" s="200">
        <f>资产负债!V5</f>
        <v>0</v>
      </c>
      <c r="W5" s="200">
        <f>资产负债!W5</f>
        <v>0</v>
      </c>
      <c r="X5" s="200">
        <f>资产负债!X5</f>
        <v>0</v>
      </c>
      <c r="Y5" s="200">
        <f>资产负债!Y5</f>
        <v>0</v>
      </c>
      <c r="Z5" s="200">
        <f>资产负债!Z5</f>
        <v>0</v>
      </c>
      <c r="AA5" s="200">
        <f>资产负债!AA5</f>
        <v>0</v>
      </c>
      <c r="AB5" s="200">
        <f>资产负债!AB5</f>
        <v>0</v>
      </c>
      <c r="AC5" s="200">
        <f>资产负债!AC5</f>
        <v>0</v>
      </c>
      <c r="AD5" s="200">
        <f>资产负债!AD5</f>
        <v>0</v>
      </c>
      <c r="AE5" s="200">
        <f>资产负债!AE5</f>
        <v>0</v>
      </c>
      <c r="AF5" s="200">
        <f>资产负债!AF5</f>
        <v>0</v>
      </c>
      <c r="AG5" s="200">
        <f>资产负债!AG5</f>
        <v>0</v>
      </c>
      <c r="AH5" s="200">
        <f>资产负债!AH5</f>
        <v>0</v>
      </c>
      <c r="AI5" s="200">
        <f>资产负债!AI5</f>
        <v>0</v>
      </c>
      <c r="AJ5" s="200">
        <f>资产负债!AJ5</f>
        <v>0</v>
      </c>
      <c r="AK5" s="200">
        <f>资产负债!AK5</f>
        <v>0</v>
      </c>
      <c r="AL5" s="200">
        <f>资产负债!AL5</f>
        <v>0</v>
      </c>
      <c r="AM5" s="200"/>
      <c r="AN5" s="200"/>
    </row>
    <row r="6" spans="1:166" ht="17.25" customHeight="1">
      <c r="A6" s="283" t="s">
        <v>158</v>
      </c>
      <c r="B6" s="284" t="s">
        <v>1232</v>
      </c>
      <c r="C6" s="200">
        <f>资产负债!C3</f>
        <v>345.99767836000001</v>
      </c>
      <c r="D6" s="200">
        <f>资产负债!D3</f>
        <v>905.64100541999994</v>
      </c>
      <c r="E6" s="200">
        <f>资产负债!E3</f>
        <v>1100.96552367</v>
      </c>
      <c r="F6" s="200">
        <f>资产负债!F3</f>
        <v>1420.1496190099999</v>
      </c>
      <c r="G6" s="200">
        <f>资产负债!G3</f>
        <v>2189.35391622</v>
      </c>
      <c r="H6" s="200">
        <f>资产负债!H3</f>
        <v>2333.58753101</v>
      </c>
      <c r="I6" s="200">
        <f ca="1">资产负债!I3</f>
        <v>2232.272658944305</v>
      </c>
      <c r="J6" s="200">
        <f ca="1">资产负债!J3</f>
        <v>2537.7698719241203</v>
      </c>
      <c r="K6" s="200">
        <f ca="1">资产负债!K3</f>
        <v>3015.8754115929255</v>
      </c>
      <c r="L6" s="200">
        <f ca="1">资产负债!L3</f>
        <v>3516.7777527681346</v>
      </c>
      <c r="M6" s="200">
        <f ca="1">资产负债!M3</f>
        <v>3873.4658165061528</v>
      </c>
      <c r="N6" s="200">
        <f ca="1">资产负债!N3</f>
        <v>4287.9586639774143</v>
      </c>
      <c r="O6" s="200">
        <f ca="1">资产负债!O3</f>
        <v>4886.8333467462753</v>
      </c>
      <c r="P6" s="200">
        <f ca="1">资产负债!P3</f>
        <v>5571.8861270060506</v>
      </c>
      <c r="Q6" s="200">
        <f ca="1">资产负债!Q3</f>
        <v>6300.0064086703524</v>
      </c>
      <c r="R6" s="200">
        <f ca="1">资产负债!R3</f>
        <v>7079.4746140628013</v>
      </c>
      <c r="S6" s="200">
        <f ca="1">资产负债!S3</f>
        <v>7987.0066860235775</v>
      </c>
      <c r="T6" s="200">
        <f ca="1">资产负债!T3</f>
        <v>9045.1017140361691</v>
      </c>
      <c r="U6" s="200">
        <f ca="1">资产负债!U3</f>
        <v>10230.379200395768</v>
      </c>
      <c r="V6" s="200">
        <f ca="1">资产负债!V3</f>
        <v>11552.346908091145</v>
      </c>
      <c r="W6" s="200">
        <f ca="1">资产负债!W3</f>
        <v>13041.768686205953</v>
      </c>
      <c r="X6" s="200">
        <f ca="1">资产负债!X3</f>
        <v>14736.816856325464</v>
      </c>
      <c r="Y6" s="200">
        <f ca="1">资产负债!Y3</f>
        <v>16657.41817505861</v>
      </c>
      <c r="Z6" s="200">
        <f ca="1">资产负债!Z3</f>
        <v>18821.167301296864</v>
      </c>
      <c r="AA6" s="200">
        <f ca="1">资产负债!AA3</f>
        <v>21261.678118226326</v>
      </c>
      <c r="AB6" s="200">
        <f ca="1">资产负债!AB3</f>
        <v>24020.553432506553</v>
      </c>
      <c r="AC6" s="200">
        <f ca="1">资产负债!AC3</f>
        <v>27141.404443759031</v>
      </c>
      <c r="AD6" s="200">
        <f ca="1">资产负债!AD3</f>
        <v>30667.476716223766</v>
      </c>
      <c r="AE6" s="200">
        <f ca="1">资产负债!AE3</f>
        <v>34649.112567579534</v>
      </c>
      <c r="AF6" s="200">
        <f ca="1">资产负债!AF3</f>
        <v>39147.247229183544</v>
      </c>
      <c r="AG6" s="200">
        <f ca="1">资产负债!AG3</f>
        <v>44230.511994864581</v>
      </c>
      <c r="AH6" s="200">
        <f ca="1">资产负债!AH3</f>
        <v>49974.649656186339</v>
      </c>
      <c r="AI6" s="200">
        <f ca="1">资产负债!AI3</f>
        <v>56464.20874029283</v>
      </c>
      <c r="AJ6" s="200">
        <f ca="1">资产负债!AJ3</f>
        <v>63795.829257436046</v>
      </c>
      <c r="AK6" s="200">
        <f ca="1">资产负债!AK3</f>
        <v>72079.592259857804</v>
      </c>
      <c r="AL6" s="200">
        <f ca="1">资产负债!AL3</f>
        <v>81439.395205588822</v>
      </c>
      <c r="AM6" s="200"/>
      <c r="AN6" s="200"/>
    </row>
    <row r="7" spans="1:166" ht="17.25" customHeight="1">
      <c r="A7" s="285" t="s">
        <v>159</v>
      </c>
      <c r="B7" s="116" t="s">
        <v>1034</v>
      </c>
      <c r="C7" s="128">
        <f>C3-C4-C5-C6</f>
        <v>1466.4384760600001</v>
      </c>
      <c r="D7" s="128">
        <f t="shared" ref="D7:H7" si="0">D3-D4-D5-D6</f>
        <v>2315.2562186599998</v>
      </c>
      <c r="E7" s="128">
        <f t="shared" si="0"/>
        <v>3351.7404084700001</v>
      </c>
      <c r="F7" s="128">
        <f t="shared" si="0"/>
        <v>4451.0667637700008</v>
      </c>
      <c r="G7" s="128">
        <f t="shared" si="0"/>
        <v>6043.6391347000008</v>
      </c>
      <c r="H7" s="128">
        <f t="shared" si="0"/>
        <v>7085.5810085600006</v>
      </c>
      <c r="I7" s="128">
        <f t="shared" ref="I7" ca="1" si="1">I3-I4-I5-I6</f>
        <v>5319.9476392898159</v>
      </c>
      <c r="J7" s="128">
        <f t="shared" ref="J7" ca="1" si="2">J3-J4-J5-J6</f>
        <v>9496.5896736992327</v>
      </c>
      <c r="K7" s="128">
        <f t="shared" ref="K7" ca="1" si="3">K3-K4-K5-K6</f>
        <v>8480.5672445325436</v>
      </c>
      <c r="L7" s="128">
        <f t="shared" ref="L7" ca="1" si="4">L3-L4-L5-L6</f>
        <v>11661.803130046545</v>
      </c>
      <c r="M7" s="128">
        <f t="shared" ref="M7" ca="1" si="5">M3-M4-M5-M6</f>
        <v>11264.766571497206</v>
      </c>
      <c r="N7" s="128">
        <f t="shared" ref="N7" ca="1" si="6">N3-N4-N5-N6</f>
        <v>15028.534640895443</v>
      </c>
      <c r="O7" s="128">
        <f t="shared" ref="O7" ca="1" si="7">O3-O4-O5-O6</f>
        <v>14972.901580703387</v>
      </c>
      <c r="P7" s="128">
        <f t="shared" ref="P7" ca="1" si="8">P3-P4-P5-P6</f>
        <v>19424.836325344404</v>
      </c>
      <c r="Q7" s="128">
        <f t="shared" ref="Q7" ca="1" si="9">Q3-Q4-Q5-Q6</f>
        <v>19704.130488764396</v>
      </c>
      <c r="R7" s="128">
        <f t="shared" ref="R7" ca="1" si="10">R3-R4-R5-R6</f>
        <v>24718.063679484607</v>
      </c>
      <c r="S7" s="128">
        <f t="shared" ref="S7" ca="1" si="11">S3-S4-S5-S6</f>
        <v>25847.591582717901</v>
      </c>
      <c r="T7" s="128">
        <f t="shared" ref="T7" ca="1" si="12">T3-T4-T5-T6</f>
        <v>31646.632319697845</v>
      </c>
      <c r="U7" s="128">
        <f t="shared" ref="U7" ca="1" si="13">U3-U4-U5-U6</f>
        <v>33639.007690683255</v>
      </c>
      <c r="V7" s="128">
        <f t="shared" ref="V7" ca="1" si="14">V3-V4-V5-V6</f>
        <v>40430.632627704537</v>
      </c>
      <c r="W7" s="128">
        <f t="shared" ref="W7" ca="1" si="15">W3-W4-W5-W6</f>
        <v>43563.88072813375</v>
      </c>
      <c r="X7" s="128">
        <f t="shared" ref="X7" ca="1" si="16">X3-X4-X5-X6</f>
        <v>51677.323538115721</v>
      </c>
      <c r="Y7" s="128">
        <f t="shared" ref="Y7" ca="1" si="17">Y3-Y4-Y5-Y6</f>
        <v>56268.98810238429</v>
      </c>
      <c r="Z7" s="128">
        <f t="shared" ref="Z7" ca="1" si="18">Z3-Z4-Z5-Z6</f>
        <v>66014.651000749291</v>
      </c>
      <c r="AA7" s="128">
        <f t="shared" ref="AA7" ca="1" si="19">AA3-AA4-AA5-AA6</f>
        <v>72463.725068605811</v>
      </c>
      <c r="AB7" s="128">
        <f t="shared" ref="AB7" ca="1" si="20">AB3-AB4-AB5-AB6</f>
        <v>84321.933789246468</v>
      </c>
      <c r="AC7" s="128">
        <f t="shared" ref="AC7" ca="1" si="21">AC3-AC4-AC5-AC6</f>
        <v>93153.42387423414</v>
      </c>
      <c r="AD7" s="128">
        <f t="shared" ref="AD7" ca="1" si="22">AD3-AD4-AD5-AD6</f>
        <v>107693.90479435485</v>
      </c>
      <c r="AE7" s="128">
        <f t="shared" ref="AE7" ca="1" si="23">AE3-AE4-AE5-AE6</f>
        <v>119556.37722807999</v>
      </c>
      <c r="AF7" s="128">
        <f t="shared" ref="AF7" ca="1" si="24">AF3-AF4-AF5-AF6</f>
        <v>137526.04043027846</v>
      </c>
      <c r="AG7" s="128">
        <f t="shared" ref="AG7" ca="1" si="25">AG3-AG4-AG5-AG6</f>
        <v>153265.37890299174</v>
      </c>
      <c r="AH7" s="128">
        <f t="shared" ref="AH7" ca="1" si="26">AH3-AH4-AH5-AH6</f>
        <v>175612.61742418306</v>
      </c>
      <c r="AI7" s="128">
        <f t="shared" ref="AI7" ca="1" si="27">AI3-AI4-AI5-AI6</f>
        <v>196295.62698147539</v>
      </c>
      <c r="AJ7" s="128">
        <f t="shared" ref="AJ7" ca="1" si="28">AJ3-AJ4-AJ5-AJ6</f>
        <v>224229.89464951929</v>
      </c>
      <c r="AK7" s="128">
        <f t="shared" ref="AK7" ca="1" si="29">AK3-AK4-AK5-AK6</f>
        <v>251226.70598748385</v>
      </c>
      <c r="AL7" s="128">
        <f t="shared" ref="AL7" ca="1" si="30">AL3-AL4-AL5-AL6</f>
        <v>286294.57051183865</v>
      </c>
      <c r="AM7" s="128"/>
      <c r="AN7" s="200"/>
    </row>
    <row r="8" spans="1:166" s="279" customFormat="1" ht="17.25" customHeight="1">
      <c r="A8" s="285" t="s">
        <v>164</v>
      </c>
      <c r="B8" s="116" t="s">
        <v>1034</v>
      </c>
      <c r="C8" s="128"/>
      <c r="D8" s="128">
        <f>D7-C7</f>
        <v>848.81774259999975</v>
      </c>
      <c r="E8" s="128">
        <f>E7-D7</f>
        <v>1036.4841898100003</v>
      </c>
      <c r="F8" s="128">
        <f t="shared" ref="F8:AL8" si="31">F7-E7</f>
        <v>1099.3263553000006</v>
      </c>
      <c r="G8" s="128">
        <f t="shared" si="31"/>
        <v>1592.57237093</v>
      </c>
      <c r="H8" s="128">
        <f t="shared" si="31"/>
        <v>1041.9418738599998</v>
      </c>
      <c r="I8" s="128">
        <f t="shared" ca="1" si="31"/>
        <v>-1765.6333692701846</v>
      </c>
      <c r="J8" s="128">
        <f t="shared" ca="1" si="31"/>
        <v>4176.6420344094167</v>
      </c>
      <c r="K8" s="128">
        <f t="shared" ca="1" si="31"/>
        <v>-1016.0224291666891</v>
      </c>
      <c r="L8" s="128">
        <f t="shared" ca="1" si="31"/>
        <v>3181.235885514001</v>
      </c>
      <c r="M8" s="128">
        <f t="shared" ca="1" si="31"/>
        <v>-397.03655854933822</v>
      </c>
      <c r="N8" s="128">
        <f t="shared" ca="1" si="31"/>
        <v>3763.7680693982365</v>
      </c>
      <c r="O8" s="128">
        <f t="shared" ca="1" si="31"/>
        <v>-55.633060192056291</v>
      </c>
      <c r="P8" s="128">
        <f t="shared" ca="1" si="31"/>
        <v>4451.9347446410175</v>
      </c>
      <c r="Q8" s="128">
        <f t="shared" ca="1" si="31"/>
        <v>279.2941634199924</v>
      </c>
      <c r="R8" s="128">
        <f t="shared" ca="1" si="31"/>
        <v>5013.9331907202104</v>
      </c>
      <c r="S8" s="128">
        <f t="shared" ca="1" si="31"/>
        <v>1129.5279032332946</v>
      </c>
      <c r="T8" s="128">
        <f t="shared" ca="1" si="31"/>
        <v>5799.0407369799432</v>
      </c>
      <c r="U8" s="128">
        <f t="shared" ca="1" si="31"/>
        <v>1992.37537098541</v>
      </c>
      <c r="V8" s="128">
        <f t="shared" ca="1" si="31"/>
        <v>6791.6249370212827</v>
      </c>
      <c r="W8" s="128">
        <f t="shared" ca="1" si="31"/>
        <v>3133.2481004292131</v>
      </c>
      <c r="X8" s="128">
        <f t="shared" ca="1" si="31"/>
        <v>8113.4428099819706</v>
      </c>
      <c r="Y8" s="128">
        <f t="shared" ca="1" si="31"/>
        <v>4591.6645642685689</v>
      </c>
      <c r="Z8" s="128">
        <f t="shared" ca="1" si="31"/>
        <v>9745.6628983650007</v>
      </c>
      <c r="AA8" s="128">
        <f t="shared" ca="1" si="31"/>
        <v>6449.0740678565198</v>
      </c>
      <c r="AB8" s="128">
        <f t="shared" ca="1" si="31"/>
        <v>11858.208720640658</v>
      </c>
      <c r="AC8" s="128">
        <f t="shared" ca="1" si="31"/>
        <v>8831.4900849876722</v>
      </c>
      <c r="AD8" s="128">
        <f t="shared" ca="1" si="31"/>
        <v>14540.48092012071</v>
      </c>
      <c r="AE8" s="128">
        <f t="shared" ca="1" si="31"/>
        <v>11862.472433725139</v>
      </c>
      <c r="AF8" s="128">
        <f t="shared" ca="1" si="31"/>
        <v>17969.66320219847</v>
      </c>
      <c r="AG8" s="128">
        <f t="shared" ca="1" si="31"/>
        <v>15739.33847271328</v>
      </c>
      <c r="AH8" s="128">
        <f t="shared" ca="1" si="31"/>
        <v>22347.238521191321</v>
      </c>
      <c r="AI8" s="128">
        <f t="shared" ca="1" si="31"/>
        <v>20683.009557292331</v>
      </c>
      <c r="AJ8" s="128">
        <f t="shared" ca="1" si="31"/>
        <v>27934.267668043904</v>
      </c>
      <c r="AK8" s="128">
        <f t="shared" ca="1" si="31"/>
        <v>26996.811337964551</v>
      </c>
      <c r="AL8" s="128">
        <f t="shared" ca="1" si="31"/>
        <v>35067.864524354809</v>
      </c>
      <c r="AM8" s="128"/>
      <c r="AN8" s="128"/>
      <c r="AO8" s="203"/>
      <c r="AP8" s="203"/>
      <c r="AQ8" s="203"/>
      <c r="AR8" s="203"/>
      <c r="AS8" s="203"/>
      <c r="AT8" s="127"/>
      <c r="AU8" s="127"/>
      <c r="AV8" s="127"/>
      <c r="AW8" s="127"/>
      <c r="AX8" s="127"/>
      <c r="AY8" s="127"/>
      <c r="AZ8" s="127"/>
      <c r="BA8" s="127"/>
      <c r="BB8" s="127"/>
      <c r="BC8" s="127"/>
      <c r="BD8" s="127"/>
      <c r="BE8" s="127"/>
      <c r="BF8" s="127"/>
      <c r="BG8" s="127"/>
      <c r="BH8" s="127"/>
      <c r="BI8" s="127"/>
      <c r="BJ8" s="127"/>
      <c r="BK8" s="127"/>
      <c r="BL8" s="127"/>
      <c r="BM8" s="127"/>
      <c r="BN8" s="127"/>
      <c r="BO8" s="127"/>
      <c r="BP8" s="127"/>
      <c r="BQ8" s="127"/>
      <c r="BR8" s="127"/>
      <c r="BS8" s="127"/>
      <c r="BT8" s="127"/>
      <c r="BU8" s="127"/>
      <c r="BV8" s="127"/>
      <c r="BW8" s="127"/>
      <c r="BX8" s="127"/>
      <c r="BY8" s="127"/>
      <c r="BZ8" s="127"/>
      <c r="CA8" s="127"/>
      <c r="CB8" s="127"/>
      <c r="CC8" s="127"/>
      <c r="CD8" s="127"/>
      <c r="CE8" s="127"/>
      <c r="CF8" s="127"/>
      <c r="CG8" s="127"/>
      <c r="CH8" s="127"/>
      <c r="CI8" s="127"/>
      <c r="CJ8" s="127"/>
      <c r="CK8" s="127"/>
      <c r="CL8" s="127"/>
      <c r="CM8" s="127"/>
      <c r="CN8" s="127"/>
      <c r="CO8" s="127"/>
      <c r="CP8" s="127"/>
      <c r="CQ8" s="127"/>
      <c r="CR8" s="127"/>
      <c r="CS8" s="127"/>
      <c r="CT8" s="127"/>
      <c r="CU8" s="127"/>
      <c r="CV8" s="127"/>
      <c r="CW8" s="127"/>
      <c r="CX8" s="127"/>
      <c r="CY8" s="127"/>
      <c r="CZ8" s="127"/>
      <c r="DA8" s="127"/>
      <c r="DB8" s="127"/>
      <c r="DC8" s="127"/>
      <c r="DD8" s="127"/>
      <c r="DE8" s="127"/>
      <c r="DF8" s="127"/>
      <c r="DG8" s="127"/>
      <c r="DH8" s="127"/>
      <c r="DI8" s="127"/>
      <c r="DJ8" s="127"/>
      <c r="DK8" s="127"/>
      <c r="DL8" s="127"/>
      <c r="DM8" s="127"/>
      <c r="DN8" s="127"/>
      <c r="DO8" s="127"/>
      <c r="DP8" s="127"/>
      <c r="DQ8" s="127"/>
      <c r="DR8" s="127"/>
      <c r="DS8" s="127"/>
      <c r="DT8" s="127"/>
      <c r="DU8" s="127"/>
      <c r="DV8" s="127"/>
      <c r="DW8" s="127"/>
      <c r="DX8" s="127"/>
      <c r="DY8" s="127"/>
      <c r="DZ8" s="127"/>
      <c r="EA8" s="127"/>
      <c r="EB8" s="127"/>
      <c r="EC8" s="127"/>
      <c r="ED8" s="127"/>
      <c r="EE8" s="127"/>
      <c r="EF8" s="127"/>
      <c r="EG8" s="127"/>
      <c r="EH8" s="127"/>
      <c r="EI8" s="127"/>
      <c r="EJ8" s="127"/>
      <c r="EK8" s="127"/>
      <c r="EL8" s="127"/>
      <c r="EM8" s="127"/>
      <c r="EN8" s="127"/>
      <c r="EO8" s="127"/>
      <c r="EP8" s="127"/>
      <c r="EQ8" s="127"/>
      <c r="ER8" s="127"/>
      <c r="ES8" s="127"/>
      <c r="ET8" s="127"/>
      <c r="EU8" s="127"/>
      <c r="EV8" s="127"/>
      <c r="EW8" s="127"/>
      <c r="EX8" s="127"/>
      <c r="EY8" s="127"/>
      <c r="EZ8" s="127"/>
      <c r="FA8" s="127"/>
      <c r="FB8" s="127"/>
      <c r="FC8" s="127"/>
      <c r="FD8" s="127"/>
      <c r="FE8" s="127"/>
      <c r="FF8" s="127"/>
      <c r="FG8" s="127"/>
      <c r="FH8" s="127"/>
      <c r="FI8" s="127"/>
      <c r="FJ8" s="127"/>
    </row>
    <row r="9" spans="1:166" ht="17.25" customHeight="1">
      <c r="A9" s="286"/>
      <c r="B9" s="284"/>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200"/>
      <c r="AG9" s="200"/>
      <c r="AH9" s="200"/>
      <c r="AI9" s="200"/>
      <c r="AJ9" s="200"/>
      <c r="AK9" s="200"/>
      <c r="AL9" s="200"/>
      <c r="AM9" s="200"/>
      <c r="AN9" s="200"/>
    </row>
    <row r="10" spans="1:166" ht="17.25" customHeight="1">
      <c r="A10" s="281" t="s">
        <v>160</v>
      </c>
      <c r="B10" s="282"/>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row>
    <row r="11" spans="1:166" ht="17.25" customHeight="1">
      <c r="A11" s="283" t="s">
        <v>161</v>
      </c>
      <c r="B11" s="284" t="s">
        <v>1232</v>
      </c>
      <c r="C11" s="200">
        <f>资产负债!C60</f>
        <v>1071.2909453899999</v>
      </c>
      <c r="D11" s="200">
        <f>资产负债!D60</f>
        <v>1866.55043931</v>
      </c>
      <c r="E11" s="200">
        <f>资产负债!E60</f>
        <v>2742.4301052600003</v>
      </c>
      <c r="F11" s="200">
        <f>资产负债!F60</f>
        <v>3747.0198685999999</v>
      </c>
      <c r="G11" s="200">
        <f>资产负债!G60</f>
        <v>4858.1080969799996</v>
      </c>
      <c r="H11" s="200">
        <f>资产负债!H60</f>
        <v>6108.5103673599997</v>
      </c>
      <c r="I11" s="200">
        <f ca="1">资产负债!I60</f>
        <v>4284.9947274284677</v>
      </c>
      <c r="J11" s="200">
        <f ca="1">资产负债!J60</f>
        <v>8757.9928098174951</v>
      </c>
      <c r="K11" s="200">
        <f ca="1">资产负债!K60</f>
        <v>8208.4511807930503</v>
      </c>
      <c r="L11" s="200">
        <f ca="1">资产负债!L60</f>
        <v>11905.51618776674</v>
      </c>
      <c r="M11" s="200">
        <f ca="1">资产负债!M60</f>
        <v>11880.824645279523</v>
      </c>
      <c r="N11" s="200">
        <f ca="1">资产负债!N60</f>
        <v>16040.866839489705</v>
      </c>
      <c r="O11" s="200">
        <f ca="1">资产负债!O60</f>
        <v>16537.811441727561</v>
      </c>
      <c r="P11" s="200">
        <f ca="1">资产负债!P60</f>
        <v>21628.483512797873</v>
      </c>
      <c r="Q11" s="200">
        <f ca="1">资产负债!Q60</f>
        <v>22609.491918704014</v>
      </c>
      <c r="R11" s="200">
        <f ca="1">资产负债!R60</f>
        <v>28419.545513114812</v>
      </c>
      <c r="S11" s="200">
        <f ca="1">资产负债!S60</f>
        <v>30515.565818634201</v>
      </c>
      <c r="T11" s="200">
        <f ca="1">资产负债!T60</f>
        <v>37463.631720591264</v>
      </c>
      <c r="U11" s="200">
        <f ca="1">资产负债!U60</f>
        <v>40772.280784990588</v>
      </c>
      <c r="V11" s="200">
        <f ca="1">资产负债!V60</f>
        <v>49193.793524949899</v>
      </c>
      <c r="W11" s="200">
        <f ca="1">资产负债!W60</f>
        <v>54230.561136268749</v>
      </c>
      <c r="X11" s="200">
        <f ca="1">资产负债!X60</f>
        <v>64574.179002326156</v>
      </c>
      <c r="Y11" s="200">
        <f ca="1">资产负债!Y60</f>
        <v>71751.030714938577</v>
      </c>
      <c r="Z11" s="200">
        <f ca="1">资产负债!Z60</f>
        <v>84475.585270250856</v>
      </c>
      <c r="AA11" s="200">
        <f ca="1">资产负债!AA60</f>
        <v>94347.975789927441</v>
      </c>
      <c r="AB11" s="200">
        <f ca="1">资产负债!AB60</f>
        <v>110140.81304016637</v>
      </c>
      <c r="AC11" s="200">
        <f ca="1">资产负债!AC60</f>
        <v>123490.6001227799</v>
      </c>
      <c r="AD11" s="200">
        <f ca="1">资产负债!AD60</f>
        <v>143204.89348846101</v>
      </c>
      <c r="AE11" s="200">
        <f ca="1">资产负债!AE60</f>
        <v>160983.1452451972</v>
      </c>
      <c r="AF11" s="200">
        <f ca="1">资产负债!AF60</f>
        <v>185717.13848529602</v>
      </c>
      <c r="AG11" s="200">
        <f ca="1">资产负债!AG60</f>
        <v>209183.61564643498</v>
      </c>
      <c r="AH11" s="200">
        <f ca="1">资产负债!AH60</f>
        <v>240347.81859287509</v>
      </c>
      <c r="AI11" s="200">
        <f ca="1">资产负债!AI60</f>
        <v>271085.12918397161</v>
      </c>
      <c r="AJ11" s="200">
        <f ca="1">资产负债!AJ60</f>
        <v>310475.72003760806</v>
      </c>
      <c r="AK11" s="200">
        <f ca="1">资产负债!AK60</f>
        <v>350517.97381082969</v>
      </c>
      <c r="AL11" s="200">
        <f ca="1">资产负债!AL60</f>
        <v>400435.11226812773</v>
      </c>
      <c r="AM11" s="200"/>
      <c r="AN11" s="200"/>
    </row>
    <row r="12" spans="1:166" ht="17.25" customHeight="1">
      <c r="A12" s="283" t="s">
        <v>162</v>
      </c>
      <c r="B12" s="284" t="s">
        <v>1232</v>
      </c>
      <c r="C12" s="200">
        <f>资产负债!C43</f>
        <v>0</v>
      </c>
      <c r="D12" s="200">
        <f>资产负债!D43</f>
        <v>0</v>
      </c>
      <c r="E12" s="200">
        <f>资产负债!E43</f>
        <v>0</v>
      </c>
      <c r="F12" s="200">
        <f>资产负债!F43</f>
        <v>0</v>
      </c>
      <c r="G12" s="200">
        <f>资产负债!G43</f>
        <v>0</v>
      </c>
      <c r="H12" s="200">
        <f>资产负债!H43</f>
        <v>0</v>
      </c>
      <c r="I12" s="200">
        <f>资产负债!I43</f>
        <v>0</v>
      </c>
      <c r="J12" s="200">
        <f>资产负债!J43</f>
        <v>0</v>
      </c>
      <c r="K12" s="200">
        <f>资产负债!K43</f>
        <v>0</v>
      </c>
      <c r="L12" s="200">
        <f>资产负债!L43</f>
        <v>0</v>
      </c>
      <c r="M12" s="200">
        <f>资产负债!M43</f>
        <v>0</v>
      </c>
      <c r="N12" s="200">
        <f>资产负债!N43</f>
        <v>0</v>
      </c>
      <c r="O12" s="200">
        <f>资产负债!O43</f>
        <v>0</v>
      </c>
      <c r="P12" s="200">
        <f>资产负债!P43</f>
        <v>0</v>
      </c>
      <c r="Q12" s="200">
        <f>资产负债!Q43</f>
        <v>0</v>
      </c>
      <c r="R12" s="200">
        <f>资产负债!R43</f>
        <v>0</v>
      </c>
      <c r="S12" s="200">
        <f>资产负债!S43</f>
        <v>0</v>
      </c>
      <c r="T12" s="200">
        <f>资产负债!T43</f>
        <v>0</v>
      </c>
      <c r="U12" s="200">
        <f>资产负债!U43</f>
        <v>0</v>
      </c>
      <c r="V12" s="200">
        <f>资产负债!V43</f>
        <v>0</v>
      </c>
      <c r="W12" s="200">
        <f>资产负债!W43</f>
        <v>0</v>
      </c>
      <c r="X12" s="200">
        <f>资产负债!X43</f>
        <v>0</v>
      </c>
      <c r="Y12" s="200">
        <f>资产负债!Y43</f>
        <v>0</v>
      </c>
      <c r="Z12" s="200">
        <f>资产负债!Z43</f>
        <v>0</v>
      </c>
      <c r="AA12" s="200">
        <f>资产负债!AA43</f>
        <v>0</v>
      </c>
      <c r="AB12" s="200">
        <f>资产负债!AB43</f>
        <v>0</v>
      </c>
      <c r="AC12" s="200">
        <f>资产负债!AC43</f>
        <v>0</v>
      </c>
      <c r="AD12" s="200">
        <f>资产负债!AD43</f>
        <v>0</v>
      </c>
      <c r="AE12" s="200">
        <f>资产负债!AE43</f>
        <v>0</v>
      </c>
      <c r="AF12" s="200">
        <f>资产负债!AF43</f>
        <v>0</v>
      </c>
      <c r="AG12" s="200">
        <f>资产负债!AG43</f>
        <v>0</v>
      </c>
      <c r="AH12" s="200">
        <f>资产负债!AH43</f>
        <v>0</v>
      </c>
      <c r="AI12" s="200">
        <f>资产负债!AI43</f>
        <v>0</v>
      </c>
      <c r="AJ12" s="200">
        <f>资产负债!AJ43</f>
        <v>0</v>
      </c>
      <c r="AK12" s="200">
        <f>资产负债!AK43</f>
        <v>0</v>
      </c>
      <c r="AL12" s="200">
        <f>资产负债!AL43</f>
        <v>0</v>
      </c>
      <c r="AM12" s="200"/>
      <c r="AN12" s="200"/>
    </row>
    <row r="13" spans="1:166" ht="17.25" customHeight="1">
      <c r="A13" s="167" t="s">
        <v>2832</v>
      </c>
      <c r="B13" s="284" t="s">
        <v>1232</v>
      </c>
      <c r="C13" s="200">
        <f>资产负债!C44</f>
        <v>0</v>
      </c>
      <c r="D13" s="200">
        <f>资产负债!D44</f>
        <v>0</v>
      </c>
      <c r="E13" s="200">
        <f>资产负债!E44</f>
        <v>0</v>
      </c>
      <c r="F13" s="200">
        <f>资产负债!F44</f>
        <v>0</v>
      </c>
      <c r="G13" s="200">
        <f>资产负债!G44</f>
        <v>0</v>
      </c>
      <c r="H13" s="200">
        <f>资产负债!H44</f>
        <v>0</v>
      </c>
      <c r="I13" s="200">
        <f>资产负债!I44</f>
        <v>0</v>
      </c>
      <c r="J13" s="200">
        <f>资产负债!J44</f>
        <v>0</v>
      </c>
      <c r="K13" s="200">
        <f>资产负债!K44</f>
        <v>0</v>
      </c>
      <c r="L13" s="200">
        <f>资产负债!L44</f>
        <v>0</v>
      </c>
      <c r="M13" s="200">
        <f>资产负债!M44</f>
        <v>0</v>
      </c>
      <c r="N13" s="200">
        <f>资产负债!N44</f>
        <v>0</v>
      </c>
      <c r="O13" s="200">
        <f>资产负债!O44</f>
        <v>0</v>
      </c>
      <c r="P13" s="200">
        <f>资产负债!P44</f>
        <v>0</v>
      </c>
      <c r="Q13" s="200">
        <f>资产负债!Q44</f>
        <v>0</v>
      </c>
      <c r="R13" s="200">
        <f>资产负债!R44</f>
        <v>0</v>
      </c>
      <c r="S13" s="200">
        <f>资产负债!S44</f>
        <v>0</v>
      </c>
      <c r="T13" s="200">
        <f>资产负债!T44</f>
        <v>0</v>
      </c>
      <c r="U13" s="200">
        <f>资产负债!U44</f>
        <v>0</v>
      </c>
      <c r="V13" s="200">
        <f>资产负债!V44</f>
        <v>0</v>
      </c>
      <c r="W13" s="200">
        <f>资产负债!W44</f>
        <v>0</v>
      </c>
      <c r="X13" s="200">
        <f>资产负债!X44</f>
        <v>0</v>
      </c>
      <c r="Y13" s="200">
        <f>资产负债!Y44</f>
        <v>0</v>
      </c>
      <c r="Z13" s="200">
        <f>资产负债!Z44</f>
        <v>0</v>
      </c>
      <c r="AA13" s="200">
        <f>资产负债!AA44</f>
        <v>0</v>
      </c>
      <c r="AB13" s="200">
        <f>资产负债!AB44</f>
        <v>0</v>
      </c>
      <c r="AC13" s="200">
        <f>资产负债!AC44</f>
        <v>0</v>
      </c>
      <c r="AD13" s="200">
        <f>资产负债!AD44</f>
        <v>0</v>
      </c>
      <c r="AE13" s="200">
        <f>资产负债!AE44</f>
        <v>0</v>
      </c>
      <c r="AF13" s="200">
        <f>资产负债!AF44</f>
        <v>0</v>
      </c>
      <c r="AG13" s="200">
        <f>资产负债!AG44</f>
        <v>0</v>
      </c>
      <c r="AH13" s="200">
        <f>资产负债!AH44</f>
        <v>0</v>
      </c>
      <c r="AI13" s="200">
        <f>资产负债!AI44</f>
        <v>0</v>
      </c>
      <c r="AJ13" s="200">
        <f>资产负债!AJ44</f>
        <v>0</v>
      </c>
      <c r="AK13" s="200">
        <f>资产负债!AK44</f>
        <v>0</v>
      </c>
      <c r="AL13" s="200">
        <f>资产负债!AL44</f>
        <v>0</v>
      </c>
      <c r="AM13" s="200"/>
      <c r="AN13" s="200"/>
    </row>
    <row r="14" spans="1:166" ht="17.25" customHeight="1">
      <c r="A14" s="283" t="s">
        <v>163</v>
      </c>
      <c r="B14" s="284" t="s">
        <v>1232</v>
      </c>
      <c r="C14" s="200">
        <f>资产负债!C42</f>
        <v>153</v>
      </c>
      <c r="D14" s="200">
        <f>资产负债!D42</f>
        <v>286.71851020999998</v>
      </c>
      <c r="E14" s="200">
        <f>资产负债!E42</f>
        <v>510.76333983999996</v>
      </c>
      <c r="F14" s="200">
        <f>资产负债!F42</f>
        <v>659.19128383999998</v>
      </c>
      <c r="G14" s="200">
        <f>资产负债!G42</f>
        <v>595.51845549999996</v>
      </c>
      <c r="H14" s="200">
        <f>资产负债!H42</f>
        <v>1161.9753268099998</v>
      </c>
      <c r="I14" s="200">
        <f ca="1">资产负债!I42</f>
        <v>3228.5417177481845</v>
      </c>
      <c r="J14" s="200">
        <f ca="1">资产负债!J42</f>
        <v>7700.9640738841808</v>
      </c>
      <c r="K14" s="200">
        <f ca="1">资产负债!K42</f>
        <v>7069.3107945012607</v>
      </c>
      <c r="L14" s="200">
        <f ca="1">资产负债!L42</f>
        <v>10744.221991543325</v>
      </c>
      <c r="M14" s="200">
        <f ca="1">资产负债!M42</f>
        <v>10643.283143128936</v>
      </c>
      <c r="N14" s="200">
        <f ca="1">资产负债!N42</f>
        <v>14904.471847047502</v>
      </c>
      <c r="O14" s="200">
        <f ca="1">资产负债!O42</f>
        <v>15319.187274992444</v>
      </c>
      <c r="P14" s="200">
        <f ca="1">资产负债!P42</f>
        <v>20364.100158658403</v>
      </c>
      <c r="Q14" s="200">
        <f ca="1">资产负债!Q42</f>
        <v>21249.883773312311</v>
      </c>
      <c r="R14" s="200">
        <f ca="1">资产负债!R42</f>
        <v>26988.762186620555</v>
      </c>
      <c r="S14" s="200">
        <f ca="1">资产负债!S42</f>
        <v>28961.024952376203</v>
      </c>
      <c r="T14" s="200">
        <f ca="1">资产负债!T42</f>
        <v>35816.655103242098</v>
      </c>
      <c r="U14" s="200">
        <f ca="1">资产负债!U42</f>
        <v>38976.317539978678</v>
      </c>
      <c r="V14" s="200">
        <f ca="1">资产负债!V42</f>
        <v>47263.655013813834</v>
      </c>
      <c r="W14" s="200">
        <f ca="1">资产负债!W42</f>
        <v>52102.021291683915</v>
      </c>
      <c r="X14" s="200">
        <f ca="1">资产负债!X42</f>
        <v>62266.601820935764</v>
      </c>
      <c r="Y14" s="200">
        <f ca="1">资产负债!Y42</f>
        <v>69197.13262156531</v>
      </c>
      <c r="Z14" s="200">
        <f ca="1">资产负债!Z42</f>
        <v>81688.129535167973</v>
      </c>
      <c r="AA14" s="200">
        <f ca="1">资产负债!AA42</f>
        <v>91261.025389858303</v>
      </c>
      <c r="AB14" s="200">
        <f ca="1">资产负债!AB42</f>
        <v>106760.51235603985</v>
      </c>
      <c r="AC14" s="200">
        <f ca="1">资产负债!AC42</f>
        <v>119734.62082261642</v>
      </c>
      <c r="AD14" s="200">
        <f ca="1">资产负债!AD42</f>
        <v>139069.4384189712</v>
      </c>
      <c r="AE14" s="200">
        <f ca="1">资产负债!AE42</f>
        <v>156373.97972504349</v>
      </c>
      <c r="AF14" s="200">
        <f ca="1">资产负债!AF42</f>
        <v>180617.27013219483</v>
      </c>
      <c r="AG14" s="200">
        <f ca="1">资产负债!AG42</f>
        <v>203484.4714035716</v>
      </c>
      <c r="AH14" s="200">
        <f ca="1">资产负债!AH42</f>
        <v>234016.83490941825</v>
      </c>
      <c r="AI14" s="200">
        <f ca="1">资产负债!AI42</f>
        <v>263995.20731317869</v>
      </c>
      <c r="AJ14" s="200">
        <f ca="1">资产负债!AJ42</f>
        <v>302572.90848284343</v>
      </c>
      <c r="AK14" s="200">
        <f ca="1">资产负债!AK42</f>
        <v>341652.05773909244</v>
      </c>
      <c r="AL14" s="200">
        <f ca="1">资产负债!AL42</f>
        <v>390525.74549395696</v>
      </c>
      <c r="AM14" s="200"/>
      <c r="AN14" s="200"/>
    </row>
    <row r="15" spans="1:166" ht="17.25" customHeight="1">
      <c r="A15" s="167" t="s">
        <v>824</v>
      </c>
      <c r="B15" s="284" t="s">
        <v>1232</v>
      </c>
      <c r="C15" s="200">
        <f>资产负债!C52</f>
        <v>3.8812528799999999</v>
      </c>
      <c r="D15" s="200">
        <f>资产负债!D52</f>
        <v>35.944653439999996</v>
      </c>
      <c r="E15" s="200">
        <f>资产负债!E52</f>
        <v>21.633062640000002</v>
      </c>
      <c r="F15" s="200">
        <f>资产负债!F52</f>
        <v>32.750740190000002</v>
      </c>
      <c r="G15" s="200">
        <f>资产负债!G52</f>
        <v>90.693011680000012</v>
      </c>
      <c r="H15" s="200">
        <f>资产负债!H52</f>
        <v>540.9064181</v>
      </c>
      <c r="I15" s="200">
        <f ca="1">资产负债!I52</f>
        <v>142.07738368505539</v>
      </c>
      <c r="J15" s="200">
        <f ca="1">资产负债!J52</f>
        <v>158.5015359732254</v>
      </c>
      <c r="K15" s="200">
        <f ca="1">资产负债!K52</f>
        <v>175.68908882909759</v>
      </c>
      <c r="L15" s="200">
        <f ca="1">资产负债!L52</f>
        <v>189.36466376688713</v>
      </c>
      <c r="M15" s="200">
        <f ca="1">资产负债!M52</f>
        <v>199.16213851975999</v>
      </c>
      <c r="N15" s="200">
        <f ca="1">资产负债!N52</f>
        <v>72.458264342224766</v>
      </c>
      <c r="O15" s="200">
        <f ca="1">资产负债!O52</f>
        <v>75.101194328673884</v>
      </c>
      <c r="P15" s="200">
        <f ca="1">资产负债!P52</f>
        <v>77.945227526678039</v>
      </c>
      <c r="Q15" s="200">
        <f ca="1">资产负债!Q52</f>
        <v>84.736539736536827</v>
      </c>
      <c r="R15" s="200">
        <f ca="1">资产负债!R52</f>
        <v>97.717831888476681</v>
      </c>
      <c r="S15" s="200">
        <f ca="1">资产负债!S52</f>
        <v>109.1072878775083</v>
      </c>
      <c r="T15" s="200">
        <f ca="1">资产负债!T52</f>
        <v>120.28877693599944</v>
      </c>
      <c r="U15" s="200">
        <f ca="1">资产负债!U52</f>
        <v>133.56801229480362</v>
      </c>
      <c r="V15" s="200">
        <f ca="1">资产负债!V52</f>
        <v>159.77158353835475</v>
      </c>
      <c r="W15" s="200">
        <f ca="1">资产负债!W52</f>
        <v>190.14467956449724</v>
      </c>
      <c r="X15" s="200">
        <f ca="1">资产负债!X52</f>
        <v>224.05011208949625</v>
      </c>
      <c r="Y15" s="200">
        <f ca="1">资产负债!Y52</f>
        <v>261.99998889793608</v>
      </c>
      <c r="Z15" s="200">
        <f ca="1">资产负债!Z52</f>
        <v>305.18616069209736</v>
      </c>
      <c r="AA15" s="200">
        <f ca="1">资产负债!AA52</f>
        <v>344.66035651620746</v>
      </c>
      <c r="AB15" s="200">
        <f ca="1">资产负债!AB52</f>
        <v>388.76756077748371</v>
      </c>
      <c r="AC15" s="200">
        <f ca="1">资产负债!AC52</f>
        <v>438.06244784432545</v>
      </c>
      <c r="AD15" s="200">
        <f ca="1">资产负债!AD52</f>
        <v>493.76994424696801</v>
      </c>
      <c r="AE15" s="200">
        <f ca="1">资产负债!AE52</f>
        <v>556.83513154522723</v>
      </c>
      <c r="AF15" s="200">
        <f ca="1">资产负债!AF52</f>
        <v>628.34921572914641</v>
      </c>
      <c r="AG15" s="200">
        <f ca="1">资产负债!AG52</f>
        <v>709.09891925652141</v>
      </c>
      <c r="AH15" s="200">
        <f ca="1">资产负债!AH52</f>
        <v>799.97605896267407</v>
      </c>
      <c r="AI15" s="200">
        <f ca="1">资产负债!AI52</f>
        <v>902.89532992318061</v>
      </c>
      <c r="AJ15" s="200">
        <f ca="1">资产负债!AJ52</f>
        <v>1019.4140390566818</v>
      </c>
      <c r="AK15" s="200">
        <f ca="1">资产负债!AK52</f>
        <v>1150.8515087755104</v>
      </c>
      <c r="AL15" s="200">
        <f ca="1">资产负债!AL52</f>
        <v>1299.4846293531805</v>
      </c>
      <c r="AM15" s="200"/>
      <c r="AN15" s="200"/>
    </row>
    <row r="16" spans="1:166" s="280" customFormat="1" ht="17.25" customHeight="1">
      <c r="A16" s="287" t="s">
        <v>165</v>
      </c>
      <c r="B16" s="116" t="s">
        <v>1034</v>
      </c>
      <c r="C16" s="128">
        <f>C11-C12-C13-C14-C15</f>
        <v>914.4096925099999</v>
      </c>
      <c r="D16" s="128">
        <f t="shared" ref="D16:H16" si="32">D11-D12-D13-D14-D15</f>
        <v>1543.8872756600001</v>
      </c>
      <c r="E16" s="128">
        <f t="shared" si="32"/>
        <v>2210.0337027800006</v>
      </c>
      <c r="F16" s="128">
        <f t="shared" si="32"/>
        <v>3055.0778445699998</v>
      </c>
      <c r="G16" s="128">
        <f t="shared" si="32"/>
        <v>4171.8966297999996</v>
      </c>
      <c r="H16" s="128">
        <f t="shared" si="32"/>
        <v>4405.6286224499991</v>
      </c>
      <c r="I16" s="128">
        <f t="shared" ref="I16" ca="1" si="33">I11-I12-I13-I14-I15</f>
        <v>914.37562599522789</v>
      </c>
      <c r="J16" s="128">
        <f t="shared" ref="J16" ca="1" si="34">J11-J12-J13-J14-J15</f>
        <v>898.52719996008886</v>
      </c>
      <c r="K16" s="128">
        <f t="shared" ref="K16" ca="1" si="35">K11-K12-K13-K14-K15</f>
        <v>963.45129746269197</v>
      </c>
      <c r="L16" s="128">
        <f t="shared" ref="L16" ca="1" si="36">L11-L12-L13-L14-L15</f>
        <v>971.92953245652734</v>
      </c>
      <c r="M16" s="128">
        <f t="shared" ref="M16" ca="1" si="37">M11-M12-M13-M14-M15</f>
        <v>1038.3793636308269</v>
      </c>
      <c r="N16" s="128">
        <f t="shared" ref="N16" ca="1" si="38">N11-N12-N13-N14-N15</f>
        <v>1063.9367280999784</v>
      </c>
      <c r="O16" s="128">
        <f t="shared" ref="O16" ca="1" si="39">O11-O12-O13-O14-O15</f>
        <v>1143.5229724064429</v>
      </c>
      <c r="P16" s="128">
        <f t="shared" ref="P16" ca="1" si="40">P11-P12-P13-P14-P15</f>
        <v>1186.4381266127925</v>
      </c>
      <c r="Q16" s="128">
        <f t="shared" ref="Q16" ca="1" si="41">Q11-Q12-Q13-Q14-Q15</f>
        <v>1274.8716056551664</v>
      </c>
      <c r="R16" s="128">
        <f t="shared" ref="R16" ca="1" si="42">R11-R12-R13-R14-R15</f>
        <v>1333.0654946057798</v>
      </c>
      <c r="S16" s="128">
        <f t="shared" ref="S16" ca="1" si="43">S11-S12-S13-S14-S15</f>
        <v>1445.4335783804893</v>
      </c>
      <c r="T16" s="128">
        <f t="shared" ref="T16" ca="1" si="44">T11-T12-T13-T14-T15</f>
        <v>1526.6878404131667</v>
      </c>
      <c r="U16" s="128">
        <f t="shared" ref="U16" ca="1" si="45">U11-U12-U13-U14-U15</f>
        <v>1662.3952327171062</v>
      </c>
      <c r="V16" s="128">
        <f t="shared" ref="V16" ca="1" si="46">V11-V12-V13-V14-V15</f>
        <v>1770.3669275977104</v>
      </c>
      <c r="W16" s="128">
        <f t="shared" ref="W16" ca="1" si="47">W11-W12-W13-W14-W15</f>
        <v>1938.395165020336</v>
      </c>
      <c r="X16" s="128">
        <f t="shared" ref="X16" ca="1" si="48">X11-X12-X13-X14-X15</f>
        <v>2083.5270693008956</v>
      </c>
      <c r="Y16" s="128">
        <f t="shared" ref="Y16" ca="1" si="49">Y11-Y12-Y13-Y14-Y15</f>
        <v>2291.8981044753314</v>
      </c>
      <c r="Z16" s="128">
        <f t="shared" ref="Z16" ca="1" si="50">Z11-Z12-Z13-Z14-Z15</f>
        <v>2482.2695743907861</v>
      </c>
      <c r="AA16" s="128">
        <f t="shared" ref="AA16" ca="1" si="51">AA11-AA12-AA13-AA14-AA15</f>
        <v>2742.29004355293</v>
      </c>
      <c r="AB16" s="128">
        <f t="shared" ref="AB16" ca="1" si="52">AB11-AB12-AB13-AB14-AB15</f>
        <v>2991.5331233490324</v>
      </c>
      <c r="AC16" s="128">
        <f t="shared" ref="AC16" ca="1" si="53">AC11-AC12-AC13-AC14-AC15</f>
        <v>3317.916852319157</v>
      </c>
      <c r="AD16" s="128">
        <f t="shared" ref="AD16" ca="1" si="54">AD11-AD12-AD13-AD14-AD15</f>
        <v>3641.6851252428382</v>
      </c>
      <c r="AE16" s="128">
        <f t="shared" ref="AE16" ca="1" si="55">AE11-AE12-AE13-AE14-AE15</f>
        <v>4052.3303886084796</v>
      </c>
      <c r="AF16" s="128">
        <f t="shared" ref="AF16" ca="1" si="56">AF11-AF12-AF13-AF14-AF15</f>
        <v>4471.5191373720454</v>
      </c>
      <c r="AG16" s="128">
        <f t="shared" ref="AG16" ca="1" si="57">AG11-AG12-AG13-AG14-AG15</f>
        <v>4990.0453236068533</v>
      </c>
      <c r="AH16" s="128">
        <f t="shared" ref="AH16" ca="1" si="58">AH11-AH12-AH13-AH14-AH15</f>
        <v>5531.0076244941674</v>
      </c>
      <c r="AI16" s="128">
        <f t="shared" ref="AI16" ca="1" si="59">AI11-AI12-AI13-AI14-AI15</f>
        <v>6187.0265408697442</v>
      </c>
      <c r="AJ16" s="128">
        <f t="shared" ref="AJ16" ca="1" si="60">AJ11-AJ12-AJ13-AJ14-AJ15</f>
        <v>6883.3975157079485</v>
      </c>
      <c r="AK16" s="128">
        <f t="shared" ref="AK16" ca="1" si="61">AK11-AK12-AK13-AK14-AK15</f>
        <v>7715.0645629617329</v>
      </c>
      <c r="AL16" s="128">
        <f t="shared" ref="AL16" ca="1" si="62">AL11-AL12-AL13-AL14-AL15</f>
        <v>8609.882144817595</v>
      </c>
      <c r="AM16" s="200"/>
      <c r="AN16" s="200"/>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c r="BK16" s="127"/>
      <c r="BL16" s="127"/>
      <c r="BM16" s="127"/>
      <c r="BN16" s="127"/>
      <c r="BO16" s="127"/>
      <c r="BP16" s="127"/>
      <c r="BQ16" s="127"/>
      <c r="BR16" s="127"/>
      <c r="BS16" s="127"/>
      <c r="BT16" s="127"/>
      <c r="BU16" s="127"/>
      <c r="BV16" s="127"/>
      <c r="BW16" s="127"/>
      <c r="BX16" s="127"/>
      <c r="BY16" s="127"/>
      <c r="BZ16" s="127"/>
      <c r="CA16" s="127"/>
      <c r="CB16" s="127"/>
      <c r="CC16" s="127"/>
      <c r="CD16" s="127"/>
      <c r="CE16" s="127"/>
      <c r="CF16" s="127"/>
      <c r="CG16" s="127"/>
      <c r="CH16" s="127"/>
      <c r="CI16" s="127"/>
      <c r="CJ16" s="127"/>
      <c r="CK16" s="127"/>
      <c r="CL16" s="127"/>
      <c r="CM16" s="127"/>
      <c r="CN16" s="127"/>
      <c r="CO16" s="127"/>
      <c r="CP16" s="127"/>
      <c r="CQ16" s="127"/>
      <c r="CR16" s="127"/>
      <c r="CS16" s="127"/>
      <c r="CT16" s="127"/>
      <c r="CU16" s="127"/>
      <c r="CV16" s="127"/>
      <c r="CW16" s="127"/>
      <c r="CX16" s="127"/>
      <c r="CY16" s="127"/>
      <c r="CZ16" s="127"/>
      <c r="DA16" s="127"/>
      <c r="DB16" s="127"/>
      <c r="DC16" s="127"/>
      <c r="DD16" s="127"/>
      <c r="DE16" s="127"/>
      <c r="DF16" s="127"/>
      <c r="DG16" s="127"/>
      <c r="DH16" s="127"/>
      <c r="DI16" s="127"/>
      <c r="DJ16" s="127"/>
      <c r="DK16" s="127"/>
      <c r="DL16" s="127"/>
      <c r="DM16" s="127"/>
      <c r="DN16" s="127"/>
      <c r="DO16" s="127"/>
      <c r="DP16" s="127"/>
      <c r="DQ16" s="127"/>
      <c r="DR16" s="127"/>
      <c r="DS16" s="127"/>
      <c r="DT16" s="127"/>
      <c r="DU16" s="127"/>
      <c r="DV16" s="127"/>
      <c r="DW16" s="127"/>
      <c r="DX16" s="127"/>
      <c r="DY16" s="127"/>
      <c r="DZ16" s="127"/>
      <c r="EA16" s="127"/>
      <c r="EB16" s="127"/>
      <c r="EC16" s="127"/>
      <c r="ED16" s="127"/>
      <c r="EE16" s="127"/>
      <c r="EF16" s="127"/>
      <c r="EG16" s="127"/>
      <c r="EH16" s="127"/>
      <c r="EI16" s="127"/>
      <c r="EJ16" s="127"/>
      <c r="EK16" s="127"/>
      <c r="EL16" s="127"/>
      <c r="EM16" s="127"/>
      <c r="EN16" s="127"/>
      <c r="EO16" s="127"/>
      <c r="EP16" s="127"/>
      <c r="EQ16" s="127"/>
      <c r="ER16" s="127"/>
      <c r="ES16" s="127"/>
      <c r="ET16" s="127"/>
      <c r="EU16" s="127"/>
      <c r="EV16" s="127"/>
      <c r="EW16" s="127"/>
      <c r="EX16" s="127"/>
      <c r="EY16" s="127"/>
      <c r="EZ16" s="127"/>
      <c r="FA16" s="127"/>
      <c r="FB16" s="127"/>
      <c r="FC16" s="127"/>
      <c r="FD16" s="127"/>
      <c r="FE16" s="127"/>
      <c r="FF16" s="127"/>
      <c r="FG16" s="127"/>
      <c r="FH16" s="127"/>
      <c r="FI16" s="127"/>
      <c r="FJ16" s="127"/>
    </row>
    <row r="17" spans="1:166" s="279" customFormat="1" ht="17.25" customHeight="1">
      <c r="A17" s="287" t="s">
        <v>166</v>
      </c>
      <c r="B17" s="116" t="s">
        <v>1034</v>
      </c>
      <c r="C17" s="128"/>
      <c r="D17" s="128">
        <f>D16-C16</f>
        <v>629.47758315000021</v>
      </c>
      <c r="E17" s="128">
        <f>E16-D16</f>
        <v>666.14642712000045</v>
      </c>
      <c r="F17" s="128">
        <f t="shared" ref="F17:AL17" si="63">F16-E16</f>
        <v>845.04414178999923</v>
      </c>
      <c r="G17" s="128">
        <f t="shared" si="63"/>
        <v>1116.8187852299998</v>
      </c>
      <c r="H17" s="128">
        <f t="shared" si="63"/>
        <v>233.73199264999948</v>
      </c>
      <c r="I17" s="128">
        <f t="shared" ca="1" si="63"/>
        <v>-3491.2529964547712</v>
      </c>
      <c r="J17" s="128">
        <f t="shared" ca="1" si="63"/>
        <v>-15.848426035139028</v>
      </c>
      <c r="K17" s="128">
        <f t="shared" ca="1" si="63"/>
        <v>64.924097502603104</v>
      </c>
      <c r="L17" s="128">
        <f t="shared" ca="1" si="63"/>
        <v>8.4782349938353718</v>
      </c>
      <c r="M17" s="128">
        <f t="shared" ca="1" si="63"/>
        <v>66.449831174299561</v>
      </c>
      <c r="N17" s="128">
        <f t="shared" ca="1" si="63"/>
        <v>25.55736446915148</v>
      </c>
      <c r="O17" s="128">
        <f t="shared" ca="1" si="63"/>
        <v>79.58624430646455</v>
      </c>
      <c r="P17" s="128">
        <f t="shared" ca="1" si="63"/>
        <v>42.915154206349598</v>
      </c>
      <c r="Q17" s="128">
        <f t="shared" ca="1" si="63"/>
        <v>88.433479042373847</v>
      </c>
      <c r="R17" s="128">
        <f t="shared" ca="1" si="63"/>
        <v>58.193888950613427</v>
      </c>
      <c r="S17" s="128">
        <f t="shared" ca="1" si="63"/>
        <v>112.36808377470948</v>
      </c>
      <c r="T17" s="128">
        <f t="shared" ca="1" si="63"/>
        <v>81.254262032677389</v>
      </c>
      <c r="U17" s="128">
        <f t="shared" ca="1" si="63"/>
        <v>135.70739230393951</v>
      </c>
      <c r="V17" s="128">
        <f t="shared" ca="1" si="63"/>
        <v>107.97169488060422</v>
      </c>
      <c r="W17" s="128">
        <f t="shared" ca="1" si="63"/>
        <v>168.02823742262558</v>
      </c>
      <c r="X17" s="128">
        <f t="shared" ca="1" si="63"/>
        <v>145.13190428055964</v>
      </c>
      <c r="Y17" s="128">
        <f t="shared" ca="1" si="63"/>
        <v>208.37103517443575</v>
      </c>
      <c r="Z17" s="128">
        <f t="shared" ca="1" si="63"/>
        <v>190.37146991545478</v>
      </c>
      <c r="AA17" s="128">
        <f t="shared" ca="1" si="63"/>
        <v>260.02046916214385</v>
      </c>
      <c r="AB17" s="128">
        <f t="shared" ca="1" si="63"/>
        <v>249.24307979610239</v>
      </c>
      <c r="AC17" s="128">
        <f t="shared" ca="1" si="63"/>
        <v>326.38372897012459</v>
      </c>
      <c r="AD17" s="128">
        <f t="shared" ca="1" si="63"/>
        <v>323.76827292368125</v>
      </c>
      <c r="AE17" s="128">
        <f t="shared" ca="1" si="63"/>
        <v>410.64526336564131</v>
      </c>
      <c r="AF17" s="128">
        <f t="shared" ca="1" si="63"/>
        <v>419.18874876356585</v>
      </c>
      <c r="AG17" s="128">
        <f t="shared" ca="1" si="63"/>
        <v>518.52618623480794</v>
      </c>
      <c r="AH17" s="128">
        <f t="shared" ca="1" si="63"/>
        <v>540.96230088731409</v>
      </c>
      <c r="AI17" s="128">
        <f t="shared" ca="1" si="63"/>
        <v>656.01891637557674</v>
      </c>
      <c r="AJ17" s="128">
        <f t="shared" ca="1" si="63"/>
        <v>696.37097483820435</v>
      </c>
      <c r="AK17" s="128">
        <f t="shared" ca="1" si="63"/>
        <v>831.6670472537844</v>
      </c>
      <c r="AL17" s="128">
        <f t="shared" ca="1" si="63"/>
        <v>894.81758185586204</v>
      </c>
      <c r="AM17" s="128"/>
      <c r="AN17" s="128"/>
      <c r="AO17" s="203"/>
      <c r="AP17" s="203"/>
      <c r="AQ17" s="203"/>
      <c r="AR17" s="203"/>
      <c r="AS17" s="203"/>
      <c r="AT17" s="127"/>
      <c r="AU17" s="127"/>
      <c r="AV17" s="127"/>
      <c r="AW17" s="127"/>
      <c r="AX17" s="127"/>
      <c r="AY17" s="127"/>
      <c r="AZ17" s="127"/>
      <c r="BA17" s="127"/>
      <c r="BB17" s="127"/>
      <c r="BC17" s="127"/>
      <c r="BD17" s="127"/>
      <c r="BE17" s="127"/>
      <c r="BF17" s="127"/>
      <c r="BG17" s="127"/>
      <c r="BH17" s="127"/>
      <c r="BI17" s="127"/>
      <c r="BJ17" s="127"/>
      <c r="BK17" s="127"/>
      <c r="BL17" s="127"/>
      <c r="BM17" s="127"/>
      <c r="BN17" s="127"/>
      <c r="BO17" s="127"/>
      <c r="BP17" s="127"/>
      <c r="BQ17" s="127"/>
      <c r="BR17" s="127"/>
      <c r="BS17" s="127"/>
      <c r="BT17" s="127"/>
      <c r="BU17" s="127"/>
      <c r="BV17" s="127"/>
      <c r="BW17" s="127"/>
      <c r="BX17" s="127"/>
      <c r="BY17" s="127"/>
      <c r="BZ17" s="127"/>
      <c r="CA17" s="127"/>
      <c r="CB17" s="127"/>
      <c r="CC17" s="127"/>
      <c r="CD17" s="127"/>
      <c r="CE17" s="127"/>
      <c r="CF17" s="127"/>
      <c r="CG17" s="127"/>
      <c r="CH17" s="127"/>
      <c r="CI17" s="127"/>
      <c r="CJ17" s="127"/>
      <c r="CK17" s="127"/>
      <c r="CL17" s="127"/>
      <c r="CM17" s="127"/>
      <c r="CN17" s="127"/>
      <c r="CO17" s="127"/>
      <c r="CP17" s="127"/>
      <c r="CQ17" s="127"/>
      <c r="CR17" s="127"/>
      <c r="CS17" s="127"/>
      <c r="CT17" s="127"/>
      <c r="CU17" s="127"/>
      <c r="CV17" s="127"/>
      <c r="CW17" s="127"/>
      <c r="CX17" s="127"/>
      <c r="CY17" s="127"/>
      <c r="CZ17" s="127"/>
      <c r="DA17" s="127"/>
      <c r="DB17" s="127"/>
      <c r="DC17" s="127"/>
      <c r="DD17" s="127"/>
      <c r="DE17" s="127"/>
      <c r="DF17" s="127"/>
      <c r="DG17" s="127"/>
      <c r="DH17" s="127"/>
      <c r="DI17" s="127"/>
      <c r="DJ17" s="127"/>
      <c r="DK17" s="127"/>
      <c r="DL17" s="127"/>
      <c r="DM17" s="127"/>
      <c r="DN17" s="127"/>
      <c r="DO17" s="127"/>
      <c r="DP17" s="127"/>
      <c r="DQ17" s="127"/>
      <c r="DR17" s="127"/>
      <c r="DS17" s="127"/>
      <c r="DT17" s="127"/>
      <c r="DU17" s="127"/>
      <c r="DV17" s="127"/>
      <c r="DW17" s="127"/>
      <c r="DX17" s="127"/>
      <c r="DY17" s="127"/>
      <c r="DZ17" s="127"/>
      <c r="EA17" s="127"/>
      <c r="EB17" s="127"/>
      <c r="EC17" s="127"/>
      <c r="ED17" s="127"/>
      <c r="EE17" s="127"/>
      <c r="EF17" s="127"/>
      <c r="EG17" s="127"/>
      <c r="EH17" s="127"/>
      <c r="EI17" s="127"/>
      <c r="EJ17" s="127"/>
      <c r="EK17" s="127"/>
      <c r="EL17" s="127"/>
      <c r="EM17" s="127"/>
      <c r="EN17" s="127"/>
      <c r="EO17" s="127"/>
      <c r="EP17" s="127"/>
      <c r="EQ17" s="127"/>
      <c r="ER17" s="127"/>
      <c r="ES17" s="127"/>
      <c r="ET17" s="127"/>
      <c r="EU17" s="127"/>
      <c r="EV17" s="127"/>
      <c r="EW17" s="127"/>
      <c r="EX17" s="127"/>
      <c r="EY17" s="127"/>
      <c r="EZ17" s="127"/>
      <c r="FA17" s="127"/>
      <c r="FB17" s="127"/>
      <c r="FC17" s="127"/>
      <c r="FD17" s="127"/>
      <c r="FE17" s="127"/>
      <c r="FF17" s="127"/>
      <c r="FG17" s="127"/>
      <c r="FH17" s="127"/>
      <c r="FI17" s="127"/>
      <c r="FJ17" s="127"/>
    </row>
    <row r="18" spans="1:166" ht="17.25" customHeight="1">
      <c r="B18" s="186"/>
      <c r="C18" s="200"/>
      <c r="D18" s="200"/>
      <c r="E18" s="200"/>
      <c r="F18" s="200"/>
      <c r="G18" s="200"/>
      <c r="H18" s="200"/>
      <c r="I18" s="200"/>
      <c r="J18" s="200"/>
      <c r="K18" s="200"/>
      <c r="L18" s="200"/>
      <c r="M18" s="200"/>
      <c r="N18" s="200"/>
      <c r="O18" s="200"/>
      <c r="P18" s="200"/>
      <c r="Q18" s="200"/>
      <c r="R18" s="200"/>
      <c r="S18" s="200"/>
      <c r="T18" s="200"/>
      <c r="U18" s="200"/>
      <c r="V18" s="200"/>
      <c r="W18" s="200"/>
      <c r="X18" s="200"/>
      <c r="Y18" s="200"/>
      <c r="Z18" s="200"/>
      <c r="AA18" s="200"/>
      <c r="AB18" s="200"/>
      <c r="AC18" s="200"/>
      <c r="AD18" s="200"/>
      <c r="AE18" s="200"/>
      <c r="AF18" s="200"/>
      <c r="AG18" s="200"/>
      <c r="AH18" s="200"/>
      <c r="AI18" s="200"/>
      <c r="AJ18" s="200"/>
      <c r="AK18" s="200"/>
      <c r="AL18" s="200"/>
      <c r="AM18" s="200"/>
      <c r="AN18" s="200"/>
    </row>
    <row r="19" spans="1:166" ht="17.25" customHeight="1">
      <c r="A19" s="184" t="s">
        <v>1359</v>
      </c>
      <c r="B19" s="186"/>
      <c r="C19" s="200"/>
      <c r="D19" s="200"/>
      <c r="E19" s="200"/>
      <c r="F19" s="200"/>
      <c r="G19" s="200"/>
      <c r="H19" s="200"/>
      <c r="I19" s="200"/>
      <c r="J19" s="200"/>
      <c r="K19" s="200"/>
      <c r="L19" s="200"/>
      <c r="M19" s="200"/>
      <c r="N19" s="200"/>
      <c r="O19" s="200"/>
      <c r="P19" s="200"/>
      <c r="Q19" s="200"/>
      <c r="R19" s="200"/>
      <c r="S19" s="200"/>
      <c r="T19" s="200"/>
      <c r="U19" s="200"/>
      <c r="V19" s="200"/>
      <c r="W19" s="200"/>
      <c r="X19" s="200"/>
      <c r="Y19" s="200"/>
      <c r="Z19" s="200"/>
      <c r="AA19" s="200"/>
      <c r="AB19" s="200"/>
      <c r="AC19" s="200"/>
      <c r="AD19" s="200"/>
      <c r="AE19" s="200"/>
      <c r="AF19" s="200"/>
      <c r="AG19" s="200"/>
      <c r="AH19" s="200"/>
      <c r="AI19" s="200"/>
      <c r="AJ19" s="200"/>
      <c r="AK19" s="200"/>
      <c r="AL19" s="200"/>
      <c r="AM19" s="200"/>
      <c r="AN19" s="200"/>
    </row>
    <row r="20" spans="1:166" ht="17.25" customHeight="1">
      <c r="A20" s="158" t="s">
        <v>1233</v>
      </c>
      <c r="B20" s="116" t="s">
        <v>1034</v>
      </c>
      <c r="C20" s="200">
        <f>C7-C16</f>
        <v>552.02878355000018</v>
      </c>
      <c r="D20" s="200">
        <f>D7-D16</f>
        <v>771.36894299999972</v>
      </c>
      <c r="E20" s="200">
        <f t="shared" ref="E20:AL20" si="64">E7-E16</f>
        <v>1141.7067056899996</v>
      </c>
      <c r="F20" s="200">
        <f t="shared" si="64"/>
        <v>1395.988919200001</v>
      </c>
      <c r="G20" s="200">
        <f t="shared" si="64"/>
        <v>1871.7425049000012</v>
      </c>
      <c r="H20" s="200">
        <f t="shared" si="64"/>
        <v>2679.9523861100015</v>
      </c>
      <c r="I20" s="200">
        <f t="shared" ca="1" si="64"/>
        <v>4405.572013294588</v>
      </c>
      <c r="J20" s="200">
        <f t="shared" ca="1" si="64"/>
        <v>8598.0624737391445</v>
      </c>
      <c r="K20" s="200">
        <f t="shared" ca="1" si="64"/>
        <v>7517.1159470698512</v>
      </c>
      <c r="L20" s="200">
        <f t="shared" ca="1" si="64"/>
        <v>10689.873597590016</v>
      </c>
      <c r="M20" s="200">
        <f t="shared" ca="1" si="64"/>
        <v>10226.387207866379</v>
      </c>
      <c r="N20" s="200">
        <f t="shared" ca="1" si="64"/>
        <v>13964.597912795465</v>
      </c>
      <c r="O20" s="200">
        <f t="shared" ca="1" si="64"/>
        <v>13829.378608296944</v>
      </c>
      <c r="P20" s="200">
        <f t="shared" ca="1" si="64"/>
        <v>18238.398198731611</v>
      </c>
      <c r="Q20" s="200">
        <f t="shared" ca="1" si="64"/>
        <v>18429.258883109229</v>
      </c>
      <c r="R20" s="200">
        <f t="shared" ca="1" si="64"/>
        <v>23384.998184878827</v>
      </c>
      <c r="S20" s="200">
        <f t="shared" ca="1" si="64"/>
        <v>24402.158004337412</v>
      </c>
      <c r="T20" s="200">
        <f t="shared" ca="1" si="64"/>
        <v>30119.944479284677</v>
      </c>
      <c r="U20" s="200">
        <f t="shared" ca="1" si="64"/>
        <v>31976.612457966148</v>
      </c>
      <c r="V20" s="200">
        <f t="shared" ca="1" si="64"/>
        <v>38660.265700106829</v>
      </c>
      <c r="W20" s="200">
        <f t="shared" ca="1" si="64"/>
        <v>41625.485563113412</v>
      </c>
      <c r="X20" s="200">
        <f t="shared" ca="1" si="64"/>
        <v>49593.796468814828</v>
      </c>
      <c r="Y20" s="200">
        <f t="shared" ca="1" si="64"/>
        <v>53977.089997908959</v>
      </c>
      <c r="Z20" s="200">
        <f t="shared" ca="1" si="64"/>
        <v>63532.381426358508</v>
      </c>
      <c r="AA20" s="200">
        <f t="shared" ca="1" si="64"/>
        <v>69721.435025052881</v>
      </c>
      <c r="AB20" s="200">
        <f t="shared" ca="1" si="64"/>
        <v>81330.400665897439</v>
      </c>
      <c r="AC20" s="200">
        <f t="shared" ca="1" si="64"/>
        <v>89835.507021914978</v>
      </c>
      <c r="AD20" s="200">
        <f t="shared" ca="1" si="64"/>
        <v>104052.21966911202</v>
      </c>
      <c r="AE20" s="200">
        <f t="shared" ca="1" si="64"/>
        <v>115504.04683947151</v>
      </c>
      <c r="AF20" s="200">
        <f t="shared" ca="1" si="64"/>
        <v>133054.5212929064</v>
      </c>
      <c r="AG20" s="200">
        <f t="shared" ca="1" si="64"/>
        <v>148275.3335793849</v>
      </c>
      <c r="AH20" s="200">
        <f t="shared" ca="1" si="64"/>
        <v>170081.60979968889</v>
      </c>
      <c r="AI20" s="200">
        <f t="shared" ca="1" si="64"/>
        <v>190108.60044060566</v>
      </c>
      <c r="AJ20" s="200">
        <f t="shared" ca="1" si="64"/>
        <v>217346.49713381135</v>
      </c>
      <c r="AK20" s="200">
        <f t="shared" ca="1" si="64"/>
        <v>243511.64142452212</v>
      </c>
      <c r="AL20" s="200">
        <f t="shared" ca="1" si="64"/>
        <v>277684.68836702104</v>
      </c>
      <c r="AM20" s="200"/>
      <c r="AN20" s="200"/>
    </row>
    <row r="21" spans="1:166" s="279" customFormat="1" ht="17.25" customHeight="1">
      <c r="A21" s="288" t="s">
        <v>1405</v>
      </c>
      <c r="B21" s="116" t="s">
        <v>1034</v>
      </c>
      <c r="C21" s="128"/>
      <c r="D21" s="128">
        <f>D20-C20</f>
        <v>219.34015944999953</v>
      </c>
      <c r="E21" s="128">
        <f>E20-D20</f>
        <v>370.33776268999986</v>
      </c>
      <c r="F21" s="128">
        <f t="shared" ref="F21:K21" si="65">F20-E20</f>
        <v>254.28221351000138</v>
      </c>
      <c r="G21" s="128">
        <f t="shared" si="65"/>
        <v>475.75358570000026</v>
      </c>
      <c r="H21" s="128">
        <f>H20-G20</f>
        <v>808.20988121000028</v>
      </c>
      <c r="I21" s="128">
        <f t="shared" ca="1" si="65"/>
        <v>1725.6196271845865</v>
      </c>
      <c r="J21" s="128">
        <f t="shared" ca="1" si="65"/>
        <v>4192.4904604445564</v>
      </c>
      <c r="K21" s="128">
        <f t="shared" ca="1" si="65"/>
        <v>-1080.9465266692932</v>
      </c>
      <c r="L21" s="128">
        <f t="shared" ref="L21:AL21" ca="1" si="66">L20-K20</f>
        <v>3172.757650520165</v>
      </c>
      <c r="M21" s="128">
        <f t="shared" ca="1" si="66"/>
        <v>-463.48638972363733</v>
      </c>
      <c r="N21" s="128">
        <f t="shared" ca="1" si="66"/>
        <v>3738.2107049290862</v>
      </c>
      <c r="O21" s="128">
        <f t="shared" ca="1" si="66"/>
        <v>-135.21930449852152</v>
      </c>
      <c r="P21" s="128">
        <f t="shared" ca="1" si="66"/>
        <v>4409.0195904346674</v>
      </c>
      <c r="Q21" s="128">
        <f t="shared" ca="1" si="66"/>
        <v>190.86068437761787</v>
      </c>
      <c r="R21" s="128">
        <f t="shared" ca="1" si="66"/>
        <v>4955.7393017695977</v>
      </c>
      <c r="S21" s="128">
        <f t="shared" ca="1" si="66"/>
        <v>1017.1598194585858</v>
      </c>
      <c r="T21" s="128">
        <f t="shared" ca="1" si="66"/>
        <v>5717.7864749472647</v>
      </c>
      <c r="U21" s="128">
        <f t="shared" ca="1" si="66"/>
        <v>1856.6679786814711</v>
      </c>
      <c r="V21" s="128">
        <f t="shared" ca="1" si="66"/>
        <v>6683.653242140681</v>
      </c>
      <c r="W21" s="128">
        <f t="shared" ca="1" si="66"/>
        <v>2965.2198630065832</v>
      </c>
      <c r="X21" s="128">
        <f t="shared" ca="1" si="66"/>
        <v>7968.3109057014153</v>
      </c>
      <c r="Y21" s="128">
        <f t="shared" ca="1" si="66"/>
        <v>4383.2935290941314</v>
      </c>
      <c r="Z21" s="128">
        <f t="shared" ca="1" si="66"/>
        <v>9555.2914284495491</v>
      </c>
      <c r="AA21" s="128">
        <f t="shared" ca="1" si="66"/>
        <v>6189.0535986943723</v>
      </c>
      <c r="AB21" s="128">
        <f t="shared" ca="1" si="66"/>
        <v>11608.965640844559</v>
      </c>
      <c r="AC21" s="128">
        <f t="shared" ca="1" si="66"/>
        <v>8505.1063560175389</v>
      </c>
      <c r="AD21" s="128">
        <f t="shared" ca="1" si="66"/>
        <v>14216.71264719704</v>
      </c>
      <c r="AE21" s="128">
        <f t="shared" ca="1" si="66"/>
        <v>11451.827170359495</v>
      </c>
      <c r="AF21" s="128">
        <f t="shared" ca="1" si="66"/>
        <v>17550.474453434887</v>
      </c>
      <c r="AG21" s="128">
        <f t="shared" ca="1" si="66"/>
        <v>15220.812286478496</v>
      </c>
      <c r="AH21" s="128">
        <f t="shared" ca="1" si="66"/>
        <v>21806.276220303989</v>
      </c>
      <c r="AI21" s="128">
        <f t="shared" ca="1" si="66"/>
        <v>20026.990640916774</v>
      </c>
      <c r="AJ21" s="128">
        <f t="shared" ca="1" si="66"/>
        <v>27237.896693205694</v>
      </c>
      <c r="AK21" s="128">
        <f t="shared" ca="1" si="66"/>
        <v>26165.14429071077</v>
      </c>
      <c r="AL21" s="128">
        <f t="shared" ca="1" si="66"/>
        <v>34173.046942498913</v>
      </c>
      <c r="AM21" s="128"/>
      <c r="AN21" s="128"/>
      <c r="AO21" s="203"/>
      <c r="AP21" s="203"/>
      <c r="AQ21" s="203"/>
      <c r="AR21" s="203"/>
      <c r="AS21" s="203"/>
      <c r="AT21" s="127"/>
      <c r="AU21" s="127"/>
      <c r="AV21" s="127"/>
      <c r="AW21" s="127"/>
      <c r="AX21" s="127"/>
      <c r="AY21" s="127"/>
      <c r="AZ21" s="127"/>
      <c r="BA21" s="127"/>
      <c r="BB21" s="127"/>
      <c r="BC21" s="127"/>
      <c r="BD21" s="127"/>
      <c r="BE21" s="127"/>
      <c r="BF21" s="127"/>
      <c r="BG21" s="127"/>
      <c r="BH21" s="127"/>
      <c r="BI21" s="127"/>
      <c r="BJ21" s="127"/>
      <c r="BK21" s="127"/>
      <c r="BL21" s="127"/>
      <c r="BM21" s="127"/>
      <c r="BN21" s="127"/>
      <c r="BO21" s="127"/>
      <c r="BP21" s="127"/>
      <c r="BQ21" s="127"/>
      <c r="BR21" s="127"/>
      <c r="BS21" s="127"/>
      <c r="BT21" s="127"/>
      <c r="BU21" s="127"/>
      <c r="BV21" s="127"/>
      <c r="BW21" s="127"/>
      <c r="BX21" s="127"/>
      <c r="BY21" s="127"/>
      <c r="BZ21" s="127"/>
      <c r="CA21" s="127"/>
      <c r="CB21" s="127"/>
      <c r="CC21" s="127"/>
      <c r="CD21" s="127"/>
      <c r="CE21" s="127"/>
      <c r="CF21" s="127"/>
      <c r="CG21" s="127"/>
      <c r="CH21" s="127"/>
      <c r="CI21" s="127"/>
      <c r="CJ21" s="127"/>
      <c r="CK21" s="127"/>
      <c r="CL21" s="127"/>
      <c r="CM21" s="127"/>
      <c r="CN21" s="127"/>
      <c r="CO21" s="127"/>
      <c r="CP21" s="127"/>
      <c r="CQ21" s="127"/>
      <c r="CR21" s="127"/>
      <c r="CS21" s="127"/>
      <c r="CT21" s="127"/>
      <c r="CU21" s="127"/>
      <c r="CV21" s="127"/>
      <c r="CW21" s="127"/>
      <c r="CX21" s="127"/>
      <c r="CY21" s="127"/>
      <c r="CZ21" s="127"/>
      <c r="DA21" s="127"/>
      <c r="DB21" s="127"/>
      <c r="DC21" s="127"/>
      <c r="DD21" s="127"/>
      <c r="DE21" s="127"/>
      <c r="DF21" s="127"/>
      <c r="DG21" s="127"/>
      <c r="DH21" s="127"/>
      <c r="DI21" s="127"/>
      <c r="DJ21" s="127"/>
      <c r="DK21" s="127"/>
      <c r="DL21" s="127"/>
      <c r="DM21" s="127"/>
      <c r="DN21" s="127"/>
      <c r="DO21" s="127"/>
      <c r="DP21" s="127"/>
      <c r="DQ21" s="127"/>
      <c r="DR21" s="127"/>
      <c r="DS21" s="127"/>
      <c r="DT21" s="127"/>
      <c r="DU21" s="127"/>
      <c r="DV21" s="127"/>
      <c r="DW21" s="127"/>
      <c r="DX21" s="127"/>
      <c r="DY21" s="127"/>
      <c r="DZ21" s="127"/>
      <c r="EA21" s="127"/>
      <c r="EB21" s="127"/>
      <c r="EC21" s="127"/>
      <c r="ED21" s="127"/>
      <c r="EE21" s="127"/>
      <c r="EF21" s="127"/>
      <c r="EG21" s="127"/>
      <c r="EH21" s="127"/>
      <c r="EI21" s="127"/>
      <c r="EJ21" s="127"/>
      <c r="EK21" s="127"/>
      <c r="EL21" s="127"/>
      <c r="EM21" s="127"/>
      <c r="EN21" s="127"/>
      <c r="EO21" s="127"/>
      <c r="EP21" s="127"/>
      <c r="EQ21" s="127"/>
      <c r="ER21" s="127"/>
      <c r="ES21" s="127"/>
      <c r="ET21" s="127"/>
      <c r="EU21" s="127"/>
      <c r="EV21" s="127"/>
      <c r="EW21" s="127"/>
      <c r="EX21" s="127"/>
      <c r="EY21" s="127"/>
      <c r="EZ21" s="127"/>
      <c r="FA21" s="127"/>
      <c r="FB21" s="127"/>
      <c r="FC21" s="127"/>
      <c r="FD21" s="127"/>
      <c r="FE21" s="127"/>
      <c r="FF21" s="127"/>
      <c r="FG21" s="127"/>
      <c r="FH21" s="127"/>
      <c r="FI21" s="127"/>
      <c r="FJ21" s="127"/>
    </row>
    <row r="22" spans="1:166" ht="17.25" customHeight="1">
      <c r="B22" s="186"/>
      <c r="C22" s="200"/>
      <c r="D22" s="200"/>
      <c r="E22" s="200"/>
      <c r="F22" s="200"/>
      <c r="G22" s="200"/>
      <c r="H22" s="200"/>
      <c r="I22" s="200"/>
      <c r="J22" s="200"/>
      <c r="K22" s="200"/>
      <c r="L22" s="200"/>
      <c r="M22" s="200"/>
      <c r="N22" s="200"/>
      <c r="O22" s="200"/>
      <c r="P22" s="200"/>
      <c r="Q22" s="200"/>
      <c r="R22" s="200"/>
      <c r="S22" s="200"/>
      <c r="T22" s="200"/>
      <c r="U22" s="200"/>
      <c r="V22" s="200"/>
      <c r="W22" s="200"/>
      <c r="X22" s="200"/>
      <c r="Y22" s="200"/>
      <c r="Z22" s="200"/>
      <c r="AA22" s="200"/>
      <c r="AB22" s="200"/>
      <c r="AC22" s="200"/>
      <c r="AD22" s="200"/>
      <c r="AE22" s="200"/>
      <c r="AF22" s="200"/>
      <c r="AG22" s="200"/>
      <c r="AH22" s="200"/>
      <c r="AI22" s="200"/>
      <c r="AJ22" s="200"/>
      <c r="AK22" s="200"/>
      <c r="AL22" s="200"/>
      <c r="AM22" s="200"/>
      <c r="AN22" s="200"/>
    </row>
    <row r="23" spans="1:166" ht="17.25" customHeight="1">
      <c r="A23" s="289" t="s">
        <v>1407</v>
      </c>
      <c r="B23" s="282"/>
      <c r="C23" s="200"/>
      <c r="D23" s="200"/>
      <c r="E23" s="200"/>
      <c r="F23" s="200"/>
      <c r="G23" s="200"/>
      <c r="H23" s="200"/>
      <c r="I23" s="200"/>
      <c r="J23" s="200"/>
      <c r="K23" s="200"/>
      <c r="L23" s="200"/>
      <c r="M23" s="200"/>
      <c r="N23" s="200"/>
      <c r="O23" s="200"/>
      <c r="P23" s="200"/>
      <c r="Q23" s="200"/>
      <c r="R23" s="200"/>
      <c r="S23" s="200"/>
      <c r="T23" s="200"/>
      <c r="U23" s="200"/>
      <c r="V23" s="200"/>
      <c r="W23" s="200"/>
      <c r="X23" s="200"/>
      <c r="Y23" s="200"/>
      <c r="Z23" s="200"/>
      <c r="AA23" s="200"/>
      <c r="AB23" s="200"/>
      <c r="AC23" s="200"/>
      <c r="AD23" s="200"/>
      <c r="AE23" s="200"/>
      <c r="AF23" s="200"/>
      <c r="AG23" s="200"/>
      <c r="AH23" s="200"/>
      <c r="AI23" s="200"/>
      <c r="AJ23" s="200"/>
      <c r="AK23" s="200"/>
      <c r="AL23" s="200"/>
      <c r="AM23" s="200"/>
      <c r="AN23" s="200"/>
    </row>
    <row r="24" spans="1:166" ht="17.25" customHeight="1">
      <c r="A24" s="290" t="s">
        <v>1408</v>
      </c>
      <c r="B24" s="284" t="s">
        <v>1232</v>
      </c>
      <c r="C24" s="200">
        <f>资产负债!C65</f>
        <v>0</v>
      </c>
      <c r="D24" s="200">
        <f>资产负债!D65</f>
        <v>1.4887656200000001</v>
      </c>
      <c r="E24" s="200">
        <f>资产负债!E65</f>
        <v>0</v>
      </c>
      <c r="F24" s="200">
        <f>资产负债!F65</f>
        <v>2.9455830000000002E-2</v>
      </c>
      <c r="G24" s="200">
        <f>资产负债!G65</f>
        <v>1.3269900000000001E-3</v>
      </c>
      <c r="H24" s="200">
        <f>资产负债!H65</f>
        <v>14.9259705</v>
      </c>
      <c r="I24" s="200">
        <f>资产负债!I65</f>
        <v>16.43</v>
      </c>
      <c r="J24" s="200">
        <f>资产负债!J65</f>
        <v>15.928656833333333</v>
      </c>
      <c r="K24" s="200">
        <f>资产负债!K65</f>
        <v>16.095771222222222</v>
      </c>
      <c r="L24" s="200">
        <f>资产负债!L65</f>
        <v>16.040066425925925</v>
      </c>
      <c r="M24" s="200">
        <f>资产负债!M65</f>
        <v>16.058634691358023</v>
      </c>
      <c r="N24" s="200">
        <f>资产负债!N65</f>
        <v>16.052445269547324</v>
      </c>
      <c r="O24" s="200">
        <f>资产负债!O65</f>
        <v>16.054508410150891</v>
      </c>
      <c r="P24" s="200">
        <f>资产负债!P65</f>
        <v>16.05382069661637</v>
      </c>
      <c r="Q24" s="200">
        <f>资产负债!Q65</f>
        <v>16.054049934461208</v>
      </c>
      <c r="R24" s="200">
        <f>资产负债!R65</f>
        <v>16.053973521846263</v>
      </c>
      <c r="S24" s="200">
        <f>资产负债!S65</f>
        <v>16.053998992717911</v>
      </c>
      <c r="T24" s="200">
        <f>资产负债!T65</f>
        <v>16.053990502427364</v>
      </c>
      <c r="U24" s="200">
        <f>资产负债!U65</f>
        <v>16.053993332524215</v>
      </c>
      <c r="V24" s="200">
        <f>资产负债!V65</f>
        <v>16.053992389158598</v>
      </c>
      <c r="W24" s="200">
        <f>资产负债!W65</f>
        <v>16.053992703613805</v>
      </c>
      <c r="X24" s="200">
        <f>资产负债!X65</f>
        <v>16.053992598795404</v>
      </c>
      <c r="Y24" s="200">
        <f>资产负债!Y65</f>
        <v>16.053992633734868</v>
      </c>
      <c r="Z24" s="200">
        <f>资产负债!Z65</f>
        <v>16.05399262208838</v>
      </c>
      <c r="AA24" s="200">
        <f>资产负债!AA65</f>
        <v>16.05399262597054</v>
      </c>
      <c r="AB24" s="200">
        <f>资产负债!AB65</f>
        <v>16.053992624676486</v>
      </c>
      <c r="AC24" s="200">
        <f>资产负债!AC65</f>
        <v>16.053992625107838</v>
      </c>
      <c r="AD24" s="200">
        <f>资产负债!AD65</f>
        <v>16.053992624964053</v>
      </c>
      <c r="AE24" s="200">
        <f>资产负债!AE65</f>
        <v>16.053992625011983</v>
      </c>
      <c r="AF24" s="200">
        <f>资产负债!AF65</f>
        <v>16.053992624996006</v>
      </c>
      <c r="AG24" s="200">
        <f>资产负债!AG65</f>
        <v>16.053992625001332</v>
      </c>
      <c r="AH24" s="200">
        <f>资产负债!AH65</f>
        <v>16.053992624999555</v>
      </c>
      <c r="AI24" s="200">
        <f>资产负债!AI65</f>
        <v>16.053992625000149</v>
      </c>
      <c r="AJ24" s="200">
        <f>资产负债!AJ65</f>
        <v>16.05399262499995</v>
      </c>
      <c r="AK24" s="200">
        <f>资产负债!AK65</f>
        <v>16.053992625000017</v>
      </c>
      <c r="AL24" s="200">
        <f>资产负债!AL65</f>
        <v>16.053992624999996</v>
      </c>
      <c r="AM24" s="200"/>
      <c r="AN24" s="200"/>
    </row>
    <row r="25" spans="1:166" ht="17.25" customHeight="1">
      <c r="A25" s="290" t="s">
        <v>1409</v>
      </c>
      <c r="B25" s="284" t="s">
        <v>1232</v>
      </c>
      <c r="C25" s="200">
        <f>资产负债!C36</f>
        <v>32.132332390000002</v>
      </c>
      <c r="D25" s="200">
        <f>资产负债!D36</f>
        <v>56.109602119999998</v>
      </c>
      <c r="E25" s="200">
        <f>资产负债!E36</f>
        <v>111.72724604999999</v>
      </c>
      <c r="F25" s="200">
        <f>资产负债!F36</f>
        <v>180.1339705</v>
      </c>
      <c r="G25" s="200">
        <f>资产负债!G36</f>
        <v>175.10562186999999</v>
      </c>
      <c r="H25" s="200">
        <f>资产负债!H36</f>
        <v>218.83819929000001</v>
      </c>
      <c r="I25" s="200">
        <f>资产负债!I36</f>
        <v>218.83819929000001</v>
      </c>
      <c r="J25" s="200">
        <f>资产负债!J36</f>
        <v>218.83819929000001</v>
      </c>
      <c r="K25" s="200">
        <f>资产负债!K36</f>
        <v>218.83819929000001</v>
      </c>
      <c r="L25" s="200">
        <f>资产负债!L36</f>
        <v>218.83819929000001</v>
      </c>
      <c r="M25" s="200">
        <f>资产负债!M36</f>
        <v>218.83819929000001</v>
      </c>
      <c r="N25" s="200">
        <f>资产负债!N36</f>
        <v>218.83819929000001</v>
      </c>
      <c r="O25" s="200">
        <f>资产负债!O36</f>
        <v>218.83819929000001</v>
      </c>
      <c r="P25" s="200">
        <f>资产负债!P36</f>
        <v>218.83819929000001</v>
      </c>
      <c r="Q25" s="200">
        <f>资产负债!Q36</f>
        <v>218.83819929000001</v>
      </c>
      <c r="R25" s="200">
        <f>资产负债!R36</f>
        <v>218.83819929000001</v>
      </c>
      <c r="S25" s="200">
        <f>资产负债!S36</f>
        <v>218.83819929000001</v>
      </c>
      <c r="T25" s="200">
        <f>资产负债!T36</f>
        <v>218.83819929000001</v>
      </c>
      <c r="U25" s="200">
        <f>资产负债!U36</f>
        <v>218.83819929000001</v>
      </c>
      <c r="V25" s="200">
        <f>资产负债!V36</f>
        <v>218.83819929000001</v>
      </c>
      <c r="W25" s="200">
        <f>资产负债!W36</f>
        <v>218.83819929000001</v>
      </c>
      <c r="X25" s="200">
        <f>资产负债!X36</f>
        <v>218.83819929000001</v>
      </c>
      <c r="Y25" s="200">
        <f>资产负债!Y36</f>
        <v>218.83819929000001</v>
      </c>
      <c r="Z25" s="200">
        <f>资产负债!Z36</f>
        <v>218.83819929000001</v>
      </c>
      <c r="AA25" s="200">
        <f>资产负债!AA36</f>
        <v>218.83819929000001</v>
      </c>
      <c r="AB25" s="200">
        <f>资产负债!AB36</f>
        <v>218.83819929000001</v>
      </c>
      <c r="AC25" s="200">
        <f>资产负债!AC36</f>
        <v>218.83819929000001</v>
      </c>
      <c r="AD25" s="200">
        <f>资产负债!AD36</f>
        <v>218.83819929000001</v>
      </c>
      <c r="AE25" s="200">
        <f>资产负债!AE36</f>
        <v>218.83819929000001</v>
      </c>
      <c r="AF25" s="200">
        <f>资产负债!AF36</f>
        <v>218.83819929000001</v>
      </c>
      <c r="AG25" s="200">
        <f>资产负债!AG36</f>
        <v>218.83819929000001</v>
      </c>
      <c r="AH25" s="200">
        <f>资产负债!AH36</f>
        <v>218.83819929000001</v>
      </c>
      <c r="AI25" s="200">
        <f>资产负债!AI36</f>
        <v>218.83819929000001</v>
      </c>
      <c r="AJ25" s="200">
        <f>资产负债!AJ36</f>
        <v>218.83819929000001</v>
      </c>
      <c r="AK25" s="200">
        <f>资产负债!AK36</f>
        <v>218.83819929000001</v>
      </c>
      <c r="AL25" s="200">
        <f>资产负债!AL36</f>
        <v>218.83819929000001</v>
      </c>
      <c r="AM25" s="200"/>
      <c r="AN25" s="200"/>
    </row>
    <row r="26" spans="1:166" s="279" customFormat="1" ht="17.25" customHeight="1">
      <c r="A26" s="291" t="s">
        <v>1410</v>
      </c>
      <c r="B26" s="116" t="s">
        <v>1034</v>
      </c>
      <c r="C26" s="200">
        <f>C24-C25</f>
        <v>-32.132332390000002</v>
      </c>
      <c r="D26" s="200">
        <f>D24-D25</f>
        <v>-54.620836499999996</v>
      </c>
      <c r="E26" s="200">
        <f t="shared" ref="E26:AL26" si="67">E24-E25</f>
        <v>-111.72724604999999</v>
      </c>
      <c r="F26" s="200">
        <f t="shared" si="67"/>
        <v>-180.10451467000001</v>
      </c>
      <c r="G26" s="200">
        <f t="shared" si="67"/>
        <v>-175.10429488</v>
      </c>
      <c r="H26" s="200">
        <f t="shared" si="67"/>
        <v>-203.91222879</v>
      </c>
      <c r="I26" s="200">
        <f t="shared" si="67"/>
        <v>-202.40819929</v>
      </c>
      <c r="J26" s="200">
        <f t="shared" si="67"/>
        <v>-202.90954245666668</v>
      </c>
      <c r="K26" s="200">
        <f t="shared" si="67"/>
        <v>-202.74242806777778</v>
      </c>
      <c r="L26" s="200">
        <f t="shared" si="67"/>
        <v>-202.79813286407409</v>
      </c>
      <c r="M26" s="200">
        <f t="shared" si="67"/>
        <v>-202.77956459864197</v>
      </c>
      <c r="N26" s="200">
        <f t="shared" si="67"/>
        <v>-202.78575402045269</v>
      </c>
      <c r="O26" s="200">
        <f t="shared" si="67"/>
        <v>-202.7836908798491</v>
      </c>
      <c r="P26" s="200">
        <f t="shared" si="67"/>
        <v>-202.78437859338362</v>
      </c>
      <c r="Q26" s="200">
        <f t="shared" si="67"/>
        <v>-202.7841493555388</v>
      </c>
      <c r="R26" s="200">
        <f t="shared" si="67"/>
        <v>-202.78422576815373</v>
      </c>
      <c r="S26" s="200">
        <f t="shared" si="67"/>
        <v>-202.7842002972821</v>
      </c>
      <c r="T26" s="200">
        <f t="shared" si="67"/>
        <v>-202.78420878757265</v>
      </c>
      <c r="U26" s="200">
        <f t="shared" si="67"/>
        <v>-202.78420595747579</v>
      </c>
      <c r="V26" s="200">
        <f t="shared" si="67"/>
        <v>-202.78420690084141</v>
      </c>
      <c r="W26" s="200">
        <f t="shared" si="67"/>
        <v>-202.7842065863862</v>
      </c>
      <c r="X26" s="200">
        <f t="shared" si="67"/>
        <v>-202.78420669120459</v>
      </c>
      <c r="Y26" s="200">
        <f t="shared" si="67"/>
        <v>-202.78420665626513</v>
      </c>
      <c r="Z26" s="200">
        <f t="shared" si="67"/>
        <v>-202.78420666791163</v>
      </c>
      <c r="AA26" s="200">
        <f t="shared" si="67"/>
        <v>-202.78420666402945</v>
      </c>
      <c r="AB26" s="200">
        <f t="shared" si="67"/>
        <v>-202.78420666532352</v>
      </c>
      <c r="AC26" s="200">
        <f t="shared" si="67"/>
        <v>-202.78420666489217</v>
      </c>
      <c r="AD26" s="200">
        <f t="shared" si="67"/>
        <v>-202.78420666503595</v>
      </c>
      <c r="AE26" s="200">
        <f t="shared" si="67"/>
        <v>-202.78420666498803</v>
      </c>
      <c r="AF26" s="200">
        <f t="shared" si="67"/>
        <v>-202.78420666500401</v>
      </c>
      <c r="AG26" s="200">
        <f t="shared" si="67"/>
        <v>-202.78420666499866</v>
      </c>
      <c r="AH26" s="200">
        <f t="shared" si="67"/>
        <v>-202.78420666500045</v>
      </c>
      <c r="AI26" s="200">
        <f t="shared" si="67"/>
        <v>-202.78420666499986</v>
      </c>
      <c r="AJ26" s="200">
        <f t="shared" si="67"/>
        <v>-202.78420666500006</v>
      </c>
      <c r="AK26" s="200">
        <f t="shared" si="67"/>
        <v>-202.784206665</v>
      </c>
      <c r="AL26" s="200">
        <f t="shared" si="67"/>
        <v>-202.784206665</v>
      </c>
      <c r="AM26" s="128"/>
      <c r="AN26" s="128"/>
      <c r="AO26" s="203"/>
      <c r="AP26" s="203"/>
      <c r="AQ26" s="203"/>
      <c r="AR26" s="203"/>
      <c r="AS26" s="203"/>
      <c r="AT26" s="127"/>
      <c r="AU26" s="127"/>
      <c r="AV26" s="127"/>
      <c r="AW26" s="127"/>
      <c r="AX26" s="127"/>
      <c r="AY26" s="127"/>
      <c r="AZ26" s="127"/>
      <c r="BA26" s="127"/>
      <c r="BB26" s="127"/>
      <c r="BC26" s="127"/>
      <c r="BD26" s="127"/>
      <c r="BE26" s="127"/>
      <c r="BF26" s="127"/>
      <c r="BG26" s="127"/>
      <c r="BH26" s="127"/>
      <c r="BI26" s="127"/>
      <c r="BJ26" s="127"/>
      <c r="BK26" s="127"/>
      <c r="BL26" s="127"/>
      <c r="BM26" s="127"/>
      <c r="BN26" s="127"/>
      <c r="BO26" s="127"/>
      <c r="BP26" s="127"/>
      <c r="BQ26" s="127"/>
      <c r="BR26" s="127"/>
      <c r="BS26" s="127"/>
      <c r="BT26" s="127"/>
      <c r="BU26" s="127"/>
      <c r="BV26" s="127"/>
      <c r="BW26" s="127"/>
      <c r="BX26" s="127"/>
      <c r="BY26" s="127"/>
      <c r="BZ26" s="127"/>
      <c r="CA26" s="127"/>
      <c r="CB26" s="127"/>
      <c r="CC26" s="127"/>
      <c r="CD26" s="127"/>
      <c r="CE26" s="127"/>
      <c r="CF26" s="127"/>
      <c r="CG26" s="127"/>
      <c r="CH26" s="127"/>
      <c r="CI26" s="127"/>
      <c r="CJ26" s="127"/>
      <c r="CK26" s="127"/>
      <c r="CL26" s="127"/>
      <c r="CM26" s="127"/>
      <c r="CN26" s="127"/>
      <c r="CO26" s="127"/>
      <c r="CP26" s="127"/>
      <c r="CQ26" s="127"/>
      <c r="CR26" s="127"/>
      <c r="CS26" s="127"/>
      <c r="CT26" s="127"/>
      <c r="CU26" s="127"/>
      <c r="CV26" s="127"/>
      <c r="CW26" s="127"/>
      <c r="CX26" s="127"/>
      <c r="CY26" s="127"/>
      <c r="CZ26" s="127"/>
      <c r="DA26" s="127"/>
      <c r="DB26" s="127"/>
      <c r="DC26" s="127"/>
      <c r="DD26" s="127"/>
      <c r="DE26" s="127"/>
      <c r="DF26" s="127"/>
      <c r="DG26" s="127"/>
      <c r="DH26" s="127"/>
      <c r="DI26" s="127"/>
      <c r="DJ26" s="127"/>
      <c r="DK26" s="127"/>
      <c r="DL26" s="127"/>
      <c r="DM26" s="127"/>
      <c r="DN26" s="127"/>
      <c r="DO26" s="127"/>
      <c r="DP26" s="127"/>
      <c r="DQ26" s="127"/>
      <c r="DR26" s="127"/>
      <c r="DS26" s="127"/>
      <c r="DT26" s="127"/>
      <c r="DU26" s="127"/>
      <c r="DV26" s="127"/>
      <c r="DW26" s="127"/>
      <c r="DX26" s="127"/>
      <c r="DY26" s="127"/>
      <c r="DZ26" s="127"/>
      <c r="EA26" s="127"/>
      <c r="EB26" s="127"/>
      <c r="EC26" s="127"/>
      <c r="ED26" s="127"/>
      <c r="EE26" s="127"/>
      <c r="EF26" s="127"/>
      <c r="EG26" s="127"/>
      <c r="EH26" s="127"/>
      <c r="EI26" s="127"/>
      <c r="EJ26" s="127"/>
      <c r="EK26" s="127"/>
      <c r="EL26" s="127"/>
      <c r="EM26" s="127"/>
      <c r="EN26" s="127"/>
      <c r="EO26" s="127"/>
      <c r="EP26" s="127"/>
      <c r="EQ26" s="127"/>
      <c r="ER26" s="127"/>
      <c r="ES26" s="127"/>
      <c r="ET26" s="127"/>
      <c r="EU26" s="127"/>
      <c r="EV26" s="127"/>
      <c r="EW26" s="127"/>
      <c r="EX26" s="127"/>
      <c r="EY26" s="127"/>
      <c r="EZ26" s="127"/>
      <c r="FA26" s="127"/>
      <c r="FB26" s="127"/>
      <c r="FC26" s="127"/>
      <c r="FD26" s="127"/>
      <c r="FE26" s="127"/>
      <c r="FF26" s="127"/>
      <c r="FG26" s="127"/>
      <c r="FH26" s="127"/>
      <c r="FI26" s="127"/>
      <c r="FJ26" s="127"/>
    </row>
    <row r="27" spans="1:166" s="203" customFormat="1" ht="17.25" customHeight="1">
      <c r="A27" s="291" t="s">
        <v>1406</v>
      </c>
      <c r="B27" s="116" t="s">
        <v>1031</v>
      </c>
      <c r="C27" s="128"/>
      <c r="D27" s="128">
        <f>D26-C26</f>
        <v>-22.488504109999994</v>
      </c>
      <c r="E27" s="128">
        <f>E26-D26</f>
        <v>-57.106409549999995</v>
      </c>
      <c r="F27" s="128">
        <f t="shared" ref="F27:AL27" si="68">F26-E26</f>
        <v>-68.377268620000024</v>
      </c>
      <c r="G27" s="128">
        <f t="shared" si="68"/>
        <v>5.0002197900000169</v>
      </c>
      <c r="H27" s="128">
        <f t="shared" si="68"/>
        <v>-28.807933910000003</v>
      </c>
      <c r="I27" s="128">
        <f t="shared" si="68"/>
        <v>1.5040295000000015</v>
      </c>
      <c r="J27" s="128">
        <f t="shared" si="68"/>
        <v>-0.5013431666666861</v>
      </c>
      <c r="K27" s="128">
        <f t="shared" si="68"/>
        <v>0.16711438888890484</v>
      </c>
      <c r="L27" s="128">
        <f t="shared" si="68"/>
        <v>-5.5704796296311088E-2</v>
      </c>
      <c r="M27" s="128">
        <f t="shared" si="68"/>
        <v>1.8568265432122644E-2</v>
      </c>
      <c r="N27" s="128">
        <f t="shared" si="68"/>
        <v>-6.1894218107170218E-3</v>
      </c>
      <c r="O27" s="128">
        <f t="shared" si="68"/>
        <v>2.0631406035818145E-3</v>
      </c>
      <c r="P27" s="128">
        <f t="shared" si="68"/>
        <v>-6.877135345177976E-4</v>
      </c>
      <c r="Q27" s="128">
        <f t="shared" si="68"/>
        <v>2.2923784482031806E-4</v>
      </c>
      <c r="R27" s="128">
        <f t="shared" si="68"/>
        <v>-7.6412614930632117E-5</v>
      </c>
      <c r="S27" s="128">
        <f t="shared" si="68"/>
        <v>2.5470871634070136E-5</v>
      </c>
      <c r="T27" s="128">
        <f t="shared" si="68"/>
        <v>-8.4902905541639484E-6</v>
      </c>
      <c r="U27" s="128">
        <f t="shared" si="68"/>
        <v>2.8300968608618859E-6</v>
      </c>
      <c r="V27" s="128">
        <f t="shared" si="68"/>
        <v>-9.4336562028729531E-7</v>
      </c>
      <c r="W27" s="128">
        <f t="shared" si="68"/>
        <v>3.1445520676243177E-7</v>
      </c>
      <c r="X27" s="128">
        <f t="shared" si="68"/>
        <v>-1.0481838330633764E-7</v>
      </c>
      <c r="Y27" s="128">
        <f t="shared" si="68"/>
        <v>3.4939461102112546E-8</v>
      </c>
      <c r="Z27" s="128">
        <f t="shared" si="68"/>
        <v>-1.1646505981843802E-8</v>
      </c>
      <c r="AA27" s="128">
        <f t="shared" si="68"/>
        <v>3.8821781345177442E-9</v>
      </c>
      <c r="AB27" s="128">
        <f t="shared" si="68"/>
        <v>-1.2940688520757249E-9</v>
      </c>
      <c r="AC27" s="128">
        <f t="shared" si="68"/>
        <v>4.3135628402524162E-10</v>
      </c>
      <c r="AD27" s="128">
        <f t="shared" si="68"/>
        <v>-1.4378542800841387E-10</v>
      </c>
      <c r="AE27" s="128">
        <f t="shared" si="68"/>
        <v>4.7919002099661157E-11</v>
      </c>
      <c r="AF27" s="128">
        <f t="shared" si="68"/>
        <v>-1.5973000699887052E-11</v>
      </c>
      <c r="AG27" s="128">
        <f t="shared" si="68"/>
        <v>5.3432813729159534E-12</v>
      </c>
      <c r="AH27" s="128">
        <f t="shared" si="68"/>
        <v>-1.7905676941154525E-12</v>
      </c>
      <c r="AI27" s="128">
        <f t="shared" si="68"/>
        <v>5.9685589803848416E-13</v>
      </c>
      <c r="AJ27" s="128">
        <f t="shared" si="68"/>
        <v>0</v>
      </c>
      <c r="AK27" s="128">
        <f t="shared" si="68"/>
        <v>0</v>
      </c>
      <c r="AL27" s="128">
        <f t="shared" si="68"/>
        <v>0</v>
      </c>
      <c r="AM27" s="128"/>
      <c r="AN27" s="128"/>
      <c r="AT27" s="127"/>
      <c r="AU27" s="127"/>
      <c r="AV27" s="127"/>
      <c r="AW27" s="127"/>
      <c r="AX27" s="127"/>
      <c r="AY27" s="127"/>
      <c r="AZ27" s="127"/>
      <c r="BA27" s="127"/>
      <c r="BB27" s="127"/>
      <c r="BC27" s="127"/>
      <c r="BD27" s="127"/>
      <c r="BE27" s="127"/>
      <c r="BF27" s="127"/>
      <c r="BG27" s="127"/>
      <c r="BH27" s="127"/>
      <c r="BI27" s="127"/>
      <c r="BJ27" s="127"/>
      <c r="BK27" s="127"/>
      <c r="BL27" s="127"/>
      <c r="BM27" s="127"/>
      <c r="BN27" s="127"/>
      <c r="BO27" s="127"/>
      <c r="BP27" s="127"/>
      <c r="BQ27" s="127"/>
      <c r="BR27" s="127"/>
      <c r="BS27" s="127"/>
      <c r="BT27" s="127"/>
      <c r="BU27" s="127"/>
      <c r="BV27" s="127"/>
      <c r="BW27" s="127"/>
      <c r="BX27" s="127"/>
      <c r="BY27" s="127"/>
      <c r="BZ27" s="127"/>
      <c r="CA27" s="127"/>
      <c r="CB27" s="127"/>
      <c r="CC27" s="127"/>
      <c r="CD27" s="127"/>
      <c r="CE27" s="127"/>
      <c r="CF27" s="127"/>
      <c r="CG27" s="127"/>
      <c r="CH27" s="127"/>
      <c r="CI27" s="127"/>
      <c r="CJ27" s="127"/>
      <c r="CK27" s="127"/>
      <c r="CL27" s="127"/>
      <c r="CM27" s="127"/>
      <c r="CN27" s="127"/>
      <c r="CO27" s="127"/>
      <c r="CP27" s="127"/>
      <c r="CQ27" s="127"/>
      <c r="CR27" s="127"/>
      <c r="CS27" s="127"/>
      <c r="CT27" s="127"/>
      <c r="CU27" s="127"/>
      <c r="CV27" s="127"/>
      <c r="CW27" s="127"/>
      <c r="CX27" s="127"/>
      <c r="CY27" s="127"/>
      <c r="CZ27" s="127"/>
      <c r="DA27" s="127"/>
      <c r="DB27" s="127"/>
      <c r="DC27" s="127"/>
      <c r="DD27" s="127"/>
      <c r="DE27" s="127"/>
      <c r="DF27" s="127"/>
      <c r="DG27" s="127"/>
      <c r="DH27" s="127"/>
      <c r="DI27" s="127"/>
      <c r="DJ27" s="127"/>
      <c r="DK27" s="127"/>
      <c r="DL27" s="127"/>
      <c r="DM27" s="127"/>
      <c r="DN27" s="127"/>
      <c r="DO27" s="127"/>
      <c r="DP27" s="127"/>
      <c r="DQ27" s="127"/>
      <c r="DR27" s="127"/>
      <c r="DS27" s="127"/>
      <c r="DT27" s="127"/>
      <c r="DU27" s="127"/>
      <c r="DV27" s="127"/>
      <c r="DW27" s="127"/>
      <c r="DX27" s="127"/>
      <c r="DY27" s="127"/>
      <c r="DZ27" s="127"/>
      <c r="EA27" s="127"/>
      <c r="EB27" s="127"/>
      <c r="EC27" s="127"/>
      <c r="ED27" s="127"/>
      <c r="EE27" s="127"/>
      <c r="EF27" s="127"/>
      <c r="EG27" s="127"/>
      <c r="EH27" s="127"/>
      <c r="EI27" s="127"/>
      <c r="EJ27" s="127"/>
      <c r="EK27" s="127"/>
      <c r="EL27" s="127"/>
      <c r="EM27" s="127"/>
      <c r="EN27" s="127"/>
      <c r="EO27" s="127"/>
      <c r="EP27" s="127"/>
      <c r="EQ27" s="127"/>
      <c r="ER27" s="127"/>
      <c r="ES27" s="127"/>
      <c r="ET27" s="127"/>
      <c r="EU27" s="127"/>
      <c r="EV27" s="127"/>
      <c r="EW27" s="127"/>
      <c r="EX27" s="127"/>
      <c r="EY27" s="127"/>
      <c r="EZ27" s="127"/>
      <c r="FA27" s="127"/>
      <c r="FB27" s="127"/>
      <c r="FC27" s="127"/>
      <c r="FD27" s="127"/>
      <c r="FE27" s="127"/>
      <c r="FF27" s="127"/>
      <c r="FG27" s="127"/>
      <c r="FH27" s="127"/>
      <c r="FI27" s="127"/>
      <c r="FJ27" s="127"/>
    </row>
    <row r="28" spans="1:166" ht="17.25" customHeight="1">
      <c r="B28" s="186"/>
      <c r="C28" s="200"/>
      <c r="D28" s="200"/>
      <c r="E28" s="200"/>
      <c r="F28" s="200"/>
      <c r="G28" s="200"/>
      <c r="H28" s="200"/>
      <c r="I28" s="200"/>
      <c r="J28" s="200"/>
      <c r="K28" s="200"/>
      <c r="L28" s="200"/>
      <c r="M28" s="200"/>
      <c r="N28" s="200"/>
      <c r="O28" s="200"/>
      <c r="P28" s="200"/>
      <c r="Q28" s="200"/>
      <c r="R28" s="200"/>
      <c r="S28" s="200"/>
      <c r="T28" s="200"/>
      <c r="U28" s="200"/>
      <c r="V28" s="200"/>
      <c r="W28" s="200"/>
      <c r="X28" s="200"/>
      <c r="Y28" s="200"/>
      <c r="Z28" s="200"/>
      <c r="AA28" s="200"/>
      <c r="AB28" s="200"/>
      <c r="AC28" s="200"/>
      <c r="AD28" s="200"/>
      <c r="AE28" s="200"/>
      <c r="AF28" s="200"/>
      <c r="AG28" s="200"/>
      <c r="AH28" s="200"/>
      <c r="AI28" s="200"/>
      <c r="AJ28" s="200"/>
      <c r="AK28" s="200"/>
      <c r="AL28" s="200"/>
      <c r="AM28" s="200"/>
      <c r="AN28" s="200"/>
    </row>
    <row r="29" spans="1:166" ht="17.25" customHeight="1">
      <c r="A29" s="287" t="s">
        <v>201</v>
      </c>
      <c r="B29" s="186"/>
      <c r="C29" s="200"/>
      <c r="D29" s="200"/>
      <c r="E29" s="200"/>
      <c r="F29" s="200"/>
      <c r="G29" s="200"/>
      <c r="H29" s="200"/>
      <c r="I29" s="200"/>
      <c r="J29" s="200"/>
      <c r="K29" s="200"/>
      <c r="L29" s="200"/>
      <c r="M29" s="200"/>
      <c r="N29" s="200"/>
      <c r="O29" s="200"/>
      <c r="P29" s="200"/>
      <c r="Q29" s="200"/>
      <c r="R29" s="200"/>
      <c r="S29" s="200"/>
      <c r="T29" s="200"/>
      <c r="U29" s="200"/>
      <c r="V29" s="200"/>
      <c r="W29" s="200"/>
      <c r="X29" s="200"/>
      <c r="Y29" s="200"/>
      <c r="Z29" s="200"/>
      <c r="AA29" s="200"/>
      <c r="AB29" s="200"/>
      <c r="AC29" s="200"/>
      <c r="AD29" s="200"/>
      <c r="AE29" s="200"/>
      <c r="AF29" s="200"/>
      <c r="AG29" s="200"/>
      <c r="AH29" s="200"/>
      <c r="AI29" s="200"/>
      <c r="AJ29" s="200"/>
      <c r="AK29" s="200"/>
      <c r="AL29" s="200"/>
      <c r="AM29" s="200"/>
      <c r="AN29" s="200"/>
    </row>
    <row r="30" spans="1:166" ht="17.25" customHeight="1">
      <c r="A30" s="292" t="s">
        <v>168</v>
      </c>
      <c r="B30" s="284" t="s">
        <v>1232</v>
      </c>
      <c r="C30" s="200">
        <f>资产负债!C42</f>
        <v>153</v>
      </c>
      <c r="D30" s="200">
        <f>资产负债!D42</f>
        <v>286.71851020999998</v>
      </c>
      <c r="E30" s="200">
        <f>资产负债!E42</f>
        <v>510.76333983999996</v>
      </c>
      <c r="F30" s="200">
        <f>资产负债!F42</f>
        <v>659.19128383999998</v>
      </c>
      <c r="G30" s="200">
        <f>资产负债!G42</f>
        <v>595.51845549999996</v>
      </c>
      <c r="H30" s="200">
        <f>资产负债!H42</f>
        <v>1161.9753268099998</v>
      </c>
      <c r="I30" s="200">
        <f ca="1">资产负债!I42</f>
        <v>3228.5417177481845</v>
      </c>
      <c r="J30" s="200">
        <f ca="1">资产负债!J42</f>
        <v>7700.9640738841808</v>
      </c>
      <c r="K30" s="200">
        <f ca="1">资产负债!K42</f>
        <v>7069.3107945012607</v>
      </c>
      <c r="L30" s="200">
        <f ca="1">资产负债!L42</f>
        <v>10744.221991543325</v>
      </c>
      <c r="M30" s="200">
        <f ca="1">资产负债!M42</f>
        <v>10643.283143128936</v>
      </c>
      <c r="N30" s="200">
        <f ca="1">资产负债!N42</f>
        <v>14904.471847047502</v>
      </c>
      <c r="O30" s="200">
        <f ca="1">资产负债!O42</f>
        <v>15319.187274992444</v>
      </c>
      <c r="P30" s="200">
        <f ca="1">资产负债!P42</f>
        <v>20364.100158658403</v>
      </c>
      <c r="Q30" s="200">
        <f ca="1">资产负债!Q42</f>
        <v>21249.883773312311</v>
      </c>
      <c r="R30" s="200">
        <f ca="1">资产负债!R42</f>
        <v>26988.762186620555</v>
      </c>
      <c r="S30" s="200">
        <f ca="1">资产负债!S42</f>
        <v>28961.024952376203</v>
      </c>
      <c r="T30" s="200">
        <f ca="1">资产负债!T42</f>
        <v>35816.655103242098</v>
      </c>
      <c r="U30" s="200">
        <f ca="1">资产负债!U42</f>
        <v>38976.317539978678</v>
      </c>
      <c r="V30" s="200">
        <f ca="1">资产负债!V42</f>
        <v>47263.655013813834</v>
      </c>
      <c r="W30" s="200">
        <f ca="1">资产负债!W42</f>
        <v>52102.021291683915</v>
      </c>
      <c r="X30" s="200">
        <f ca="1">资产负债!X42</f>
        <v>62266.601820935764</v>
      </c>
      <c r="Y30" s="200">
        <f ca="1">资产负债!Y42</f>
        <v>69197.13262156531</v>
      </c>
      <c r="Z30" s="200">
        <f ca="1">资产负债!Z42</f>
        <v>81688.129535167973</v>
      </c>
      <c r="AA30" s="200">
        <f ca="1">资产负债!AA42</f>
        <v>91261.025389858303</v>
      </c>
      <c r="AB30" s="200">
        <f ca="1">资产负债!AB42</f>
        <v>106760.51235603985</v>
      </c>
      <c r="AC30" s="200">
        <f ca="1">资产负债!AC42</f>
        <v>119734.62082261642</v>
      </c>
      <c r="AD30" s="200">
        <f ca="1">资产负债!AD42</f>
        <v>139069.4384189712</v>
      </c>
      <c r="AE30" s="200">
        <f ca="1">资产负债!AE42</f>
        <v>156373.97972504349</v>
      </c>
      <c r="AF30" s="200">
        <f ca="1">资产负债!AF42</f>
        <v>180617.27013219483</v>
      </c>
      <c r="AG30" s="200">
        <f ca="1">资产负债!AG42</f>
        <v>203484.4714035716</v>
      </c>
      <c r="AH30" s="200">
        <f ca="1">资产负债!AH42</f>
        <v>234016.83490941825</v>
      </c>
      <c r="AI30" s="200">
        <f ca="1">资产负债!AI42</f>
        <v>263995.20731317869</v>
      </c>
      <c r="AJ30" s="200">
        <f ca="1">资产负债!AJ42</f>
        <v>302572.90848284343</v>
      </c>
      <c r="AK30" s="200">
        <f ca="1">资产负债!AK42</f>
        <v>341652.05773909244</v>
      </c>
      <c r="AL30" s="200">
        <f ca="1">资产负债!AL42</f>
        <v>390525.74549395696</v>
      </c>
      <c r="AM30" s="200"/>
      <c r="AN30" s="200"/>
    </row>
    <row r="31" spans="1:166" ht="17.25" customHeight="1">
      <c r="A31" s="292" t="s">
        <v>192</v>
      </c>
      <c r="B31" s="284" t="s">
        <v>1232</v>
      </c>
      <c r="C31" s="200">
        <f>资产负债!C43</f>
        <v>0</v>
      </c>
      <c r="D31" s="200">
        <f>资产负债!D43</f>
        <v>0</v>
      </c>
      <c r="E31" s="200">
        <f>资产负债!E43</f>
        <v>0</v>
      </c>
      <c r="F31" s="200">
        <f>资产负债!F43</f>
        <v>0</v>
      </c>
      <c r="G31" s="200">
        <f>资产负债!G43</f>
        <v>0</v>
      </c>
      <c r="H31" s="200">
        <f>资产负债!H43</f>
        <v>0</v>
      </c>
      <c r="I31" s="200">
        <f>资产负债!I43</f>
        <v>0</v>
      </c>
      <c r="J31" s="200">
        <f>资产负债!J43</f>
        <v>0</v>
      </c>
      <c r="K31" s="200">
        <f>资产负债!K43</f>
        <v>0</v>
      </c>
      <c r="L31" s="200">
        <f>资产负债!L43</f>
        <v>0</v>
      </c>
      <c r="M31" s="200">
        <f>资产负债!M43</f>
        <v>0</v>
      </c>
      <c r="N31" s="200">
        <f>资产负债!N43</f>
        <v>0</v>
      </c>
      <c r="O31" s="200">
        <f>资产负债!O43</f>
        <v>0</v>
      </c>
      <c r="P31" s="200">
        <f>资产负债!P43</f>
        <v>0</v>
      </c>
      <c r="Q31" s="200">
        <f>资产负债!Q43</f>
        <v>0</v>
      </c>
      <c r="R31" s="200">
        <f>资产负债!R43</f>
        <v>0</v>
      </c>
      <c r="S31" s="200">
        <f>资产负债!S43</f>
        <v>0</v>
      </c>
      <c r="T31" s="200">
        <f>资产负债!T43</f>
        <v>0</v>
      </c>
      <c r="U31" s="200">
        <f>资产负债!U43</f>
        <v>0</v>
      </c>
      <c r="V31" s="200">
        <f>资产负债!V43</f>
        <v>0</v>
      </c>
      <c r="W31" s="200">
        <f>资产负债!W43</f>
        <v>0</v>
      </c>
      <c r="X31" s="200">
        <f>资产负债!X43</f>
        <v>0</v>
      </c>
      <c r="Y31" s="200">
        <f>资产负债!Y43</f>
        <v>0</v>
      </c>
      <c r="Z31" s="200">
        <f>资产负债!Z43</f>
        <v>0</v>
      </c>
      <c r="AA31" s="200">
        <f>资产负债!AA43</f>
        <v>0</v>
      </c>
      <c r="AB31" s="200">
        <f>资产负债!AB43</f>
        <v>0</v>
      </c>
      <c r="AC31" s="200">
        <f>资产负债!AC43</f>
        <v>0</v>
      </c>
      <c r="AD31" s="200">
        <f>资产负债!AD43</f>
        <v>0</v>
      </c>
      <c r="AE31" s="200">
        <f>资产负债!AE43</f>
        <v>0</v>
      </c>
      <c r="AF31" s="200">
        <f>资产负债!AF43</f>
        <v>0</v>
      </c>
      <c r="AG31" s="200">
        <f>资产负债!AG43</f>
        <v>0</v>
      </c>
      <c r="AH31" s="200">
        <f>资产负债!AH43</f>
        <v>0</v>
      </c>
      <c r="AI31" s="200">
        <f>资产负债!AI43</f>
        <v>0</v>
      </c>
      <c r="AJ31" s="200">
        <f>资产负债!AJ43</f>
        <v>0</v>
      </c>
      <c r="AK31" s="200">
        <f>资产负债!AK43</f>
        <v>0</v>
      </c>
      <c r="AL31" s="200">
        <f>资产负债!AL43</f>
        <v>0</v>
      </c>
      <c r="AM31" s="200"/>
      <c r="AN31" s="200"/>
    </row>
    <row r="32" spans="1:166" ht="17.25" customHeight="1">
      <c r="A32" s="292" t="s">
        <v>169</v>
      </c>
      <c r="B32" s="284" t="s">
        <v>1232</v>
      </c>
      <c r="C32" s="200">
        <f>资产负债!C62</f>
        <v>17.943042670000001</v>
      </c>
      <c r="D32" s="200">
        <f>资产负债!D62</f>
        <v>126.28847298999999</v>
      </c>
      <c r="E32" s="200">
        <f>资产负债!E62</f>
        <v>73.709260549999996</v>
      </c>
      <c r="F32" s="200">
        <f>资产负债!F62</f>
        <v>211.37730328999999</v>
      </c>
      <c r="G32" s="200">
        <f>资产负债!G62</f>
        <v>856.58881897000003</v>
      </c>
      <c r="H32" s="200">
        <f>资产负债!H62</f>
        <v>708.48547254999994</v>
      </c>
      <c r="I32" s="200">
        <f ca="1">资产负债!I62</f>
        <v>568.30953474022158</v>
      </c>
      <c r="J32" s="200">
        <f ca="1">资产负债!J62</f>
        <v>491.92876020784615</v>
      </c>
      <c r="K32" s="200">
        <f ca="1">资产负债!K62</f>
        <v>402.1774356581094</v>
      </c>
      <c r="L32" s="200">
        <f ca="1">资产负债!L62</f>
        <v>281.19064658017004</v>
      </c>
      <c r="M32" s="200">
        <f ca="1">资产负债!M62</f>
        <v>131.01588182477434</v>
      </c>
      <c r="N32" s="200">
        <f ca="1">资产负债!N62</f>
        <v>135.42516502015047</v>
      </c>
      <c r="O32" s="200">
        <f ca="1">资产负债!O62</f>
        <v>155.65938206457218</v>
      </c>
      <c r="P32" s="200">
        <f ca="1">资产负债!P62</f>
        <v>177.87208480727583</v>
      </c>
      <c r="Q32" s="200">
        <f ca="1">资产负债!Q62</f>
        <v>195.46998080898067</v>
      </c>
      <c r="R32" s="200">
        <f ca="1">资产负债!R62</f>
        <v>211.64598344456755</v>
      </c>
      <c r="S32" s="200">
        <f ca="1">资产负债!S62</f>
        <v>236.35352304981822</v>
      </c>
      <c r="T32" s="200">
        <f ca="1">资产负债!T62</f>
        <v>267.30760277937009</v>
      </c>
      <c r="U32" s="200">
        <f ca="1">资产负债!U62</f>
        <v>300.29369754796909</v>
      </c>
      <c r="V32" s="200">
        <f ca="1">资产负债!V62</f>
        <v>373.87440596561157</v>
      </c>
      <c r="W32" s="200">
        <f ca="1">资产负债!W62</f>
        <v>449.48904105589054</v>
      </c>
      <c r="X32" s="200">
        <f ca="1">资产负债!X62</f>
        <v>528.78091907414841</v>
      </c>
      <c r="Y32" s="200">
        <f ca="1">资产负债!Y62</f>
        <v>607.77317088396285</v>
      </c>
      <c r="Z32" s="200">
        <f ca="1">资产负债!Z62</f>
        <v>685.07197622607453</v>
      </c>
      <c r="AA32" s="200">
        <f ca="1">资产负债!AA62</f>
        <v>771.13489078641442</v>
      </c>
      <c r="AB32" s="200">
        <f ca="1">资产负债!AB62</f>
        <v>868.6626659700886</v>
      </c>
      <c r="AC32" s="200">
        <f ca="1">资产负债!AC62</f>
        <v>980.41664356772537</v>
      </c>
      <c r="AD32" s="200">
        <f ca="1">资产负债!AD62</f>
        <v>1106.176422041721</v>
      </c>
      <c r="AE32" s="200">
        <f ca="1">资产负债!AE62</f>
        <v>1247.1521930219988</v>
      </c>
      <c r="AF32" s="200">
        <f ca="1">资产负债!AF62</f>
        <v>1407.0966692889961</v>
      </c>
      <c r="AG32" s="200">
        <f ca="1">资产负债!AG62</f>
        <v>1588.0416036305066</v>
      </c>
      <c r="AH32" s="200">
        <f ca="1">资产负债!AH62</f>
        <v>1792.2676686405589</v>
      </c>
      <c r="AI32" s="200">
        <f ca="1">资产负债!AI62</f>
        <v>2023.4984162408737</v>
      </c>
      <c r="AJ32" s="200">
        <f ca="1">资产负债!AJ62</f>
        <v>2284.4888253772033</v>
      </c>
      <c r="AK32" s="200">
        <f ca="1">资产负债!AK62</f>
        <v>2579.1183571919801</v>
      </c>
      <c r="AL32" s="200">
        <f ca="1">资产负债!AL62</f>
        <v>2912.8431843251824</v>
      </c>
      <c r="AM32" s="200"/>
      <c r="AN32" s="200"/>
    </row>
    <row r="33" spans="1:40" ht="17.25" customHeight="1">
      <c r="A33" s="292" t="s">
        <v>200</v>
      </c>
      <c r="B33" s="284" t="s">
        <v>1232</v>
      </c>
      <c r="C33" s="200">
        <f>资产负债!C64</f>
        <v>0</v>
      </c>
      <c r="D33" s="200">
        <f>资产负债!D64</f>
        <v>0</v>
      </c>
      <c r="E33" s="200">
        <f>资产负债!E64</f>
        <v>0</v>
      </c>
      <c r="F33" s="200">
        <f>资产负债!F64</f>
        <v>0</v>
      </c>
      <c r="G33" s="200">
        <f>资产负债!G64</f>
        <v>0</v>
      </c>
      <c r="H33" s="200">
        <f>资产负债!H64</f>
        <v>0</v>
      </c>
      <c r="I33" s="200">
        <f>资产负债!I64</f>
        <v>0</v>
      </c>
      <c r="J33" s="200">
        <f>资产负债!J64</f>
        <v>0</v>
      </c>
      <c r="K33" s="200">
        <f>资产负债!K64</f>
        <v>0</v>
      </c>
      <c r="L33" s="200">
        <f>资产负债!L64</f>
        <v>0</v>
      </c>
      <c r="M33" s="200">
        <f>资产负债!M64</f>
        <v>0</v>
      </c>
      <c r="N33" s="200">
        <f>资产负债!N64</f>
        <v>0</v>
      </c>
      <c r="O33" s="200">
        <f>资产负债!O64</f>
        <v>0</v>
      </c>
      <c r="P33" s="200">
        <f>资产负债!P64</f>
        <v>0</v>
      </c>
      <c r="Q33" s="200">
        <f>资产负债!Q64</f>
        <v>0</v>
      </c>
      <c r="R33" s="200">
        <f>资产负债!R64</f>
        <v>0</v>
      </c>
      <c r="S33" s="200">
        <f>资产负债!S64</f>
        <v>0</v>
      </c>
      <c r="T33" s="200">
        <f>资产负债!T64</f>
        <v>0</v>
      </c>
      <c r="U33" s="200">
        <f>资产负债!U64</f>
        <v>0</v>
      </c>
      <c r="V33" s="200">
        <f>资产负债!V64</f>
        <v>0</v>
      </c>
      <c r="W33" s="200">
        <f>资产负债!W64</f>
        <v>0</v>
      </c>
      <c r="X33" s="200">
        <f>资产负债!X64</f>
        <v>0</v>
      </c>
      <c r="Y33" s="200">
        <f>资产负债!Y64</f>
        <v>0</v>
      </c>
      <c r="Z33" s="200">
        <f>资产负债!Z64</f>
        <v>0</v>
      </c>
      <c r="AA33" s="200">
        <f>资产负债!AA64</f>
        <v>0</v>
      </c>
      <c r="AB33" s="200">
        <f>资产负债!AB64</f>
        <v>0</v>
      </c>
      <c r="AC33" s="200">
        <f>资产负债!AC64</f>
        <v>0</v>
      </c>
      <c r="AD33" s="200">
        <f>资产负债!AD64</f>
        <v>0</v>
      </c>
      <c r="AE33" s="200">
        <f>资产负债!AE64</f>
        <v>0</v>
      </c>
      <c r="AF33" s="200">
        <f>资产负债!AF64</f>
        <v>0</v>
      </c>
      <c r="AG33" s="200">
        <f>资产负债!AG64</f>
        <v>0</v>
      </c>
      <c r="AH33" s="200">
        <f>资产负债!AH64</f>
        <v>0</v>
      </c>
      <c r="AI33" s="200">
        <f>资产负债!AI64</f>
        <v>0</v>
      </c>
      <c r="AJ33" s="200">
        <f>资产负债!AJ64</f>
        <v>0</v>
      </c>
      <c r="AK33" s="200">
        <f>资产负债!AK64</f>
        <v>0</v>
      </c>
      <c r="AL33" s="200">
        <f>资产负债!AL64</f>
        <v>0</v>
      </c>
      <c r="AM33" s="200"/>
      <c r="AN33" s="200"/>
    </row>
    <row r="34" spans="1:40" ht="17.25" customHeight="1">
      <c r="A34" s="292" t="s">
        <v>170</v>
      </c>
      <c r="B34" s="284" t="s">
        <v>1232</v>
      </c>
      <c r="C34" s="200">
        <f>资产负债!C52</f>
        <v>3.8812528799999999</v>
      </c>
      <c r="D34" s="200">
        <f>资产负债!D52</f>
        <v>35.944653439999996</v>
      </c>
      <c r="E34" s="200">
        <f>资产负债!E52</f>
        <v>21.633062640000002</v>
      </c>
      <c r="F34" s="200">
        <f>资产负债!F52</f>
        <v>32.750740190000002</v>
      </c>
      <c r="G34" s="200">
        <f>资产负债!G52</f>
        <v>90.693011680000012</v>
      </c>
      <c r="H34" s="200">
        <f>资产负债!H52</f>
        <v>540.9064181</v>
      </c>
      <c r="I34" s="200">
        <f ca="1">资产负债!I52</f>
        <v>142.07738368505539</v>
      </c>
      <c r="J34" s="200">
        <f ca="1">资产负债!J52</f>
        <v>158.5015359732254</v>
      </c>
      <c r="K34" s="200">
        <f ca="1">资产负债!K52</f>
        <v>175.68908882909759</v>
      </c>
      <c r="L34" s="200">
        <f ca="1">资产负债!L52</f>
        <v>189.36466376688713</v>
      </c>
      <c r="M34" s="200">
        <f ca="1">资产负债!M52</f>
        <v>199.16213851975999</v>
      </c>
      <c r="N34" s="200">
        <f ca="1">资产负债!N52</f>
        <v>72.458264342224766</v>
      </c>
      <c r="O34" s="200">
        <f ca="1">资产负债!O52</f>
        <v>75.101194328673884</v>
      </c>
      <c r="P34" s="200">
        <f ca="1">资产负债!P52</f>
        <v>77.945227526678039</v>
      </c>
      <c r="Q34" s="200">
        <f ca="1">资产负债!Q52</f>
        <v>84.736539736536827</v>
      </c>
      <c r="R34" s="200">
        <f ca="1">资产负债!R52</f>
        <v>97.717831888476681</v>
      </c>
      <c r="S34" s="200">
        <f ca="1">资产负债!S52</f>
        <v>109.1072878775083</v>
      </c>
      <c r="T34" s="200">
        <f ca="1">资产负债!T52</f>
        <v>120.28877693599944</v>
      </c>
      <c r="U34" s="200">
        <f ca="1">资产负债!U52</f>
        <v>133.56801229480362</v>
      </c>
      <c r="V34" s="200">
        <f ca="1">资产负债!V52</f>
        <v>159.77158353835475</v>
      </c>
      <c r="W34" s="200">
        <f ca="1">资产负债!W52</f>
        <v>190.14467956449724</v>
      </c>
      <c r="X34" s="200">
        <f ca="1">资产负债!X52</f>
        <v>224.05011208949625</v>
      </c>
      <c r="Y34" s="200">
        <f ca="1">资产负债!Y52</f>
        <v>261.99998889793608</v>
      </c>
      <c r="Z34" s="200">
        <f ca="1">资产负债!Z52</f>
        <v>305.18616069209736</v>
      </c>
      <c r="AA34" s="200">
        <f ca="1">资产负债!AA52</f>
        <v>344.66035651620746</v>
      </c>
      <c r="AB34" s="200">
        <f ca="1">资产负债!AB52</f>
        <v>388.76756077748371</v>
      </c>
      <c r="AC34" s="200">
        <f ca="1">资产负债!AC52</f>
        <v>438.06244784432545</v>
      </c>
      <c r="AD34" s="200">
        <f ca="1">资产负债!AD52</f>
        <v>493.76994424696801</v>
      </c>
      <c r="AE34" s="200">
        <f ca="1">资产负债!AE52</f>
        <v>556.83513154522723</v>
      </c>
      <c r="AF34" s="200">
        <f ca="1">资产负债!AF52</f>
        <v>628.34921572914641</v>
      </c>
      <c r="AG34" s="200">
        <f ca="1">资产负债!AG52</f>
        <v>709.09891925652141</v>
      </c>
      <c r="AH34" s="200">
        <f ca="1">资产负债!AH52</f>
        <v>799.97605896267407</v>
      </c>
      <c r="AI34" s="200">
        <f ca="1">资产负债!AI52</f>
        <v>902.89532992318061</v>
      </c>
      <c r="AJ34" s="200">
        <f ca="1">资产负债!AJ52</f>
        <v>1019.4140390566818</v>
      </c>
      <c r="AK34" s="200">
        <f ca="1">资产负债!AK52</f>
        <v>1150.8515087755104</v>
      </c>
      <c r="AL34" s="200">
        <f ca="1">资产负债!AL52</f>
        <v>1299.4846293531805</v>
      </c>
      <c r="AM34" s="200"/>
      <c r="AN34" s="200"/>
    </row>
    <row r="35" spans="1:40" ht="17.25" customHeight="1">
      <c r="A35" s="292" t="s">
        <v>199</v>
      </c>
      <c r="B35" s="284" t="s">
        <v>1232</v>
      </c>
      <c r="C35" s="200">
        <f>资产负债!C68</f>
        <v>0</v>
      </c>
      <c r="D35" s="200">
        <f>资产负债!D68</f>
        <v>0</v>
      </c>
      <c r="E35" s="200">
        <f>资产负债!E68</f>
        <v>0</v>
      </c>
      <c r="F35" s="200">
        <f>资产负债!F68</f>
        <v>2.8977348200000392</v>
      </c>
      <c r="G35" s="200">
        <f>资产负债!G68</f>
        <v>31.793796479999855</v>
      </c>
      <c r="H35" s="200">
        <f>资产负债!H68</f>
        <v>84.036498590000178</v>
      </c>
      <c r="I35" s="200">
        <f>资产负债!I68</f>
        <v>84.036498590000178</v>
      </c>
      <c r="J35" s="200">
        <f>资产负债!J68</f>
        <v>84.036498590000178</v>
      </c>
      <c r="K35" s="200">
        <f>资产负债!K68</f>
        <v>84.036498590000178</v>
      </c>
      <c r="L35" s="200">
        <f>资产负债!L68</f>
        <v>84.036498590000178</v>
      </c>
      <c r="M35" s="200">
        <f>资产负债!M68</f>
        <v>84.036498590000178</v>
      </c>
      <c r="N35" s="200">
        <f>资产负债!N68</f>
        <v>84.036498590000178</v>
      </c>
      <c r="O35" s="200">
        <f>资产负债!O68</f>
        <v>84.036498590000178</v>
      </c>
      <c r="P35" s="200">
        <f>资产负债!P68</f>
        <v>84.036498590000178</v>
      </c>
      <c r="Q35" s="200">
        <f>资产负债!Q68</f>
        <v>84.036498590000178</v>
      </c>
      <c r="R35" s="200">
        <f>资产负债!R68</f>
        <v>84.036498590000178</v>
      </c>
      <c r="S35" s="200">
        <f>资产负债!S68</f>
        <v>84.036498590000178</v>
      </c>
      <c r="T35" s="200">
        <f>资产负债!T68</f>
        <v>84.036498590000178</v>
      </c>
      <c r="U35" s="200">
        <f>资产负债!U68</f>
        <v>84.036498590000178</v>
      </c>
      <c r="V35" s="200">
        <f>资产负债!V68</f>
        <v>84.036498590000178</v>
      </c>
      <c r="W35" s="200">
        <f>资产负债!W68</f>
        <v>84.036498590000178</v>
      </c>
      <c r="X35" s="200">
        <f>资产负债!X68</f>
        <v>84.036498590000178</v>
      </c>
      <c r="Y35" s="200">
        <f>资产负债!Y68</f>
        <v>84.036498590000178</v>
      </c>
      <c r="Z35" s="200">
        <f>资产负债!Z68</f>
        <v>84.036498590000178</v>
      </c>
      <c r="AA35" s="200">
        <f>资产负债!AA68</f>
        <v>84.036498590000178</v>
      </c>
      <c r="AB35" s="200">
        <f>资产负债!AB68</f>
        <v>84.036498590000178</v>
      </c>
      <c r="AC35" s="200">
        <f>资产负债!AC68</f>
        <v>84.036498590000178</v>
      </c>
      <c r="AD35" s="200">
        <f>资产负债!AD68</f>
        <v>84.036498590000178</v>
      </c>
      <c r="AE35" s="200">
        <f>资产负债!AE68</f>
        <v>84.036498590000178</v>
      </c>
      <c r="AF35" s="200">
        <f>资产负债!AF68</f>
        <v>84.036498590000178</v>
      </c>
      <c r="AG35" s="200">
        <f>资产负债!AG68</f>
        <v>84.036498590000178</v>
      </c>
      <c r="AH35" s="200">
        <f>资产负债!AH68</f>
        <v>84.036498590000178</v>
      </c>
      <c r="AI35" s="200">
        <f>资产负债!AI68</f>
        <v>84.036498590000178</v>
      </c>
      <c r="AJ35" s="200">
        <f>资产负债!AJ68</f>
        <v>84.036498590000178</v>
      </c>
      <c r="AK35" s="200">
        <f>资产负债!AK68</f>
        <v>84.036498590000178</v>
      </c>
      <c r="AL35" s="200">
        <f>资产负债!AL68</f>
        <v>84.036498590000178</v>
      </c>
      <c r="AM35" s="200"/>
      <c r="AN35" s="200"/>
    </row>
    <row r="36" spans="1:40" ht="17.25" customHeight="1">
      <c r="A36" s="167" t="s">
        <v>1036</v>
      </c>
      <c r="B36" s="284" t="s">
        <v>1232</v>
      </c>
      <c r="C36" s="200">
        <f>资产负债!C66</f>
        <v>0</v>
      </c>
      <c r="D36" s="200">
        <f>资产负债!D66</f>
        <v>0</v>
      </c>
      <c r="E36" s="200">
        <f>资产负债!E66</f>
        <v>0</v>
      </c>
      <c r="F36" s="200">
        <f>资产负债!F66</f>
        <v>0</v>
      </c>
      <c r="G36" s="200">
        <f>资产负债!G66</f>
        <v>0</v>
      </c>
      <c r="H36" s="200">
        <f>资产负债!H66</f>
        <v>0</v>
      </c>
      <c r="I36" s="200">
        <f>资产负债!I66</f>
        <v>0</v>
      </c>
      <c r="J36" s="200">
        <f>资产负债!J66</f>
        <v>0</v>
      </c>
      <c r="K36" s="200">
        <f>资产负债!K66</f>
        <v>0</v>
      </c>
      <c r="L36" s="200">
        <f>资产负债!L66</f>
        <v>0</v>
      </c>
      <c r="M36" s="200">
        <f>资产负债!M66</f>
        <v>0</v>
      </c>
      <c r="N36" s="200">
        <f>资产负债!N66</f>
        <v>0</v>
      </c>
      <c r="O36" s="200">
        <f>资产负债!O66</f>
        <v>0</v>
      </c>
      <c r="P36" s="200">
        <f>资产负债!P66</f>
        <v>0</v>
      </c>
      <c r="Q36" s="200">
        <f>资产负债!Q66</f>
        <v>0</v>
      </c>
      <c r="R36" s="200">
        <f>资产负债!R66</f>
        <v>0</v>
      </c>
      <c r="S36" s="200">
        <f>资产负债!S66</f>
        <v>0</v>
      </c>
      <c r="T36" s="200">
        <f>资产负债!T66</f>
        <v>0</v>
      </c>
      <c r="U36" s="200">
        <f>资产负债!U66</f>
        <v>0</v>
      </c>
      <c r="V36" s="200">
        <f>资产负债!V66</f>
        <v>0</v>
      </c>
      <c r="W36" s="200">
        <f>资产负债!W66</f>
        <v>0</v>
      </c>
      <c r="X36" s="200">
        <f>资产负债!X66</f>
        <v>0</v>
      </c>
      <c r="Y36" s="200">
        <f>资产负债!Y66</f>
        <v>0</v>
      </c>
      <c r="Z36" s="200">
        <f>资产负债!Z66</f>
        <v>0</v>
      </c>
      <c r="AA36" s="200">
        <f>资产负债!AA66</f>
        <v>0</v>
      </c>
      <c r="AB36" s="200">
        <f>资产负债!AB66</f>
        <v>0</v>
      </c>
      <c r="AC36" s="200">
        <f>资产负债!AC66</f>
        <v>0</v>
      </c>
      <c r="AD36" s="200">
        <f>资产负债!AD66</f>
        <v>0</v>
      </c>
      <c r="AE36" s="200">
        <f>资产负债!AE66</f>
        <v>0</v>
      </c>
      <c r="AF36" s="200">
        <f>资产负债!AF66</f>
        <v>0</v>
      </c>
      <c r="AG36" s="200">
        <f>资产负债!AG66</f>
        <v>0</v>
      </c>
      <c r="AH36" s="200">
        <f>资产负债!AH66</f>
        <v>0</v>
      </c>
      <c r="AI36" s="200">
        <f>资产负债!AI66</f>
        <v>0</v>
      </c>
      <c r="AJ36" s="200">
        <f>资产负债!AJ66</f>
        <v>0</v>
      </c>
      <c r="AK36" s="200">
        <f>资产负债!AK66</f>
        <v>0</v>
      </c>
      <c r="AL36" s="200">
        <f>资产负债!AL66</f>
        <v>0</v>
      </c>
      <c r="AM36" s="200"/>
      <c r="AN36" s="200"/>
    </row>
    <row r="37" spans="1:40" ht="17.25" customHeight="1">
      <c r="A37" s="167" t="s">
        <v>917</v>
      </c>
      <c r="B37" s="284" t="s">
        <v>1232</v>
      </c>
      <c r="C37" s="200">
        <f>资产负债!C67</f>
        <v>11.80061177</v>
      </c>
      <c r="D37" s="200">
        <f>资产负债!D67</f>
        <v>18.411667619999999</v>
      </c>
      <c r="E37" s="200">
        <f>资产负债!E67</f>
        <v>26.436019010000003</v>
      </c>
      <c r="F37" s="200">
        <f>资产负债!F67</f>
        <v>40.489262490000002</v>
      </c>
      <c r="G37" s="200">
        <f>资产负债!G67</f>
        <v>65.091196390000007</v>
      </c>
      <c r="H37" s="200">
        <f>资产负债!H67</f>
        <v>97.583334340000008</v>
      </c>
      <c r="I37" s="200">
        <f>资产负债!I67</f>
        <v>114.37</v>
      </c>
      <c r="J37" s="200">
        <f>资产负债!J67</f>
        <v>108.77444478000001</v>
      </c>
      <c r="K37" s="200">
        <f>资产负债!K67</f>
        <v>110.63962985333335</v>
      </c>
      <c r="L37" s="200">
        <f>资产负债!L67</f>
        <v>110.01790149555556</v>
      </c>
      <c r="M37" s="200">
        <f>资产负债!M67</f>
        <v>110.22514428148149</v>
      </c>
      <c r="N37" s="200">
        <f>资产负债!N67</f>
        <v>110.15606335283951</v>
      </c>
      <c r="O37" s="200">
        <f>资产负债!O67</f>
        <v>110.17909032905351</v>
      </c>
      <c r="P37" s="200">
        <f>资产负债!P67</f>
        <v>110.17141467031551</v>
      </c>
      <c r="Q37" s="200">
        <f>资产负债!Q67</f>
        <v>110.17397322322817</v>
      </c>
      <c r="R37" s="200">
        <f>资产负债!R67</f>
        <v>110.17312037225729</v>
      </c>
      <c r="S37" s="200">
        <f>资产负债!S67</f>
        <v>110.17340465591424</v>
      </c>
      <c r="T37" s="200">
        <f>资产负债!T67</f>
        <v>110.17330989469525</v>
      </c>
      <c r="U37" s="200">
        <f>资产负债!U67</f>
        <v>110.17334148176825</v>
      </c>
      <c r="V37" s="200">
        <f>资产负债!V67</f>
        <v>110.17333095274391</v>
      </c>
      <c r="W37" s="200">
        <f>资产负债!W67</f>
        <v>110.17333446241868</v>
      </c>
      <c r="X37" s="200">
        <f>资产负债!X67</f>
        <v>110.17333329252709</v>
      </c>
      <c r="Y37" s="200">
        <f>资产负债!Y67</f>
        <v>110.17333368249096</v>
      </c>
      <c r="Z37" s="200">
        <f>资产负债!Z67</f>
        <v>110.173333552503</v>
      </c>
      <c r="AA37" s="200">
        <f>资产负债!AA67</f>
        <v>110.17333359583232</v>
      </c>
      <c r="AB37" s="200">
        <f>资产负债!AB67</f>
        <v>110.17333358138922</v>
      </c>
      <c r="AC37" s="200">
        <f>资产负债!AC67</f>
        <v>110.17333358620358</v>
      </c>
      <c r="AD37" s="200">
        <f>资产负债!AD67</f>
        <v>110.17333358459878</v>
      </c>
      <c r="AE37" s="200">
        <f>资产负债!AE67</f>
        <v>110.17333358513372</v>
      </c>
      <c r="AF37" s="200">
        <f>资产负债!AF67</f>
        <v>110.1733335849554</v>
      </c>
      <c r="AG37" s="200">
        <f>资产负债!AG67</f>
        <v>110.17333358501484</v>
      </c>
      <c r="AH37" s="200">
        <f>资产负债!AH67</f>
        <v>110.17333358499502</v>
      </c>
      <c r="AI37" s="200">
        <f>资产负债!AI67</f>
        <v>110.17333358500163</v>
      </c>
      <c r="AJ37" s="200">
        <f>资产负债!AJ67</f>
        <v>110.17333358499941</v>
      </c>
      <c r="AK37" s="200">
        <f>资产负债!AK67</f>
        <v>110.17333358500015</v>
      </c>
      <c r="AL37" s="200">
        <f>资产负债!AL67</f>
        <v>110.17333358499991</v>
      </c>
      <c r="AM37" s="200"/>
      <c r="AN37" s="200"/>
    </row>
    <row r="38" spans="1:40" ht="17.25" customHeight="1">
      <c r="A38" s="287" t="s">
        <v>171</v>
      </c>
      <c r="B38" s="116" t="s">
        <v>1031</v>
      </c>
      <c r="C38" s="128">
        <f>SUM(C30:C35)</f>
        <v>174.82429555000002</v>
      </c>
      <c r="D38" s="128">
        <f>SUM(D30:D35)</f>
        <v>448.95163663999995</v>
      </c>
      <c r="E38" s="128">
        <f t="shared" ref="E38:AL38" si="69">SUM(E30:E35)</f>
        <v>606.10566302999996</v>
      </c>
      <c r="F38" s="128">
        <f t="shared" si="69"/>
        <v>906.21706214000005</v>
      </c>
      <c r="G38" s="128">
        <f t="shared" si="69"/>
        <v>1574.5940826299998</v>
      </c>
      <c r="H38" s="128">
        <f t="shared" si="69"/>
        <v>2495.4037160499997</v>
      </c>
      <c r="I38" s="128">
        <f t="shared" ca="1" si="69"/>
        <v>4022.9651347634617</v>
      </c>
      <c r="J38" s="128">
        <f t="shared" ca="1" si="69"/>
        <v>8435.4308686552522</v>
      </c>
      <c r="K38" s="128">
        <f t="shared" ca="1" si="69"/>
        <v>7731.2138175784676</v>
      </c>
      <c r="L38" s="128">
        <f t="shared" ca="1" si="69"/>
        <v>11298.813800480382</v>
      </c>
      <c r="M38" s="128">
        <f t="shared" ca="1" si="69"/>
        <v>11057.49766206347</v>
      </c>
      <c r="N38" s="128">
        <f t="shared" ca="1" si="69"/>
        <v>15196.391774999878</v>
      </c>
      <c r="O38" s="128">
        <f t="shared" ca="1" si="69"/>
        <v>15633.98434997569</v>
      </c>
      <c r="P38" s="128">
        <f t="shared" ca="1" si="69"/>
        <v>20703.953969582359</v>
      </c>
      <c r="Q38" s="128">
        <f t="shared" ca="1" si="69"/>
        <v>21614.126792447827</v>
      </c>
      <c r="R38" s="128">
        <f t="shared" ca="1" si="69"/>
        <v>27382.1625005436</v>
      </c>
      <c r="S38" s="128">
        <f t="shared" ca="1" si="69"/>
        <v>29390.52226189353</v>
      </c>
      <c r="T38" s="128">
        <f t="shared" ca="1" si="69"/>
        <v>36288.287981547473</v>
      </c>
      <c r="U38" s="128">
        <f t="shared" ca="1" si="69"/>
        <v>39494.21574841145</v>
      </c>
      <c r="V38" s="128">
        <f t="shared" ca="1" si="69"/>
        <v>47881.337501907801</v>
      </c>
      <c r="W38" s="128">
        <f t="shared" ca="1" si="69"/>
        <v>52825.691510894299</v>
      </c>
      <c r="X38" s="128">
        <f t="shared" ca="1" si="69"/>
        <v>63103.469350689411</v>
      </c>
      <c r="Y38" s="128">
        <f t="shared" ca="1" si="69"/>
        <v>70150.942279937197</v>
      </c>
      <c r="Z38" s="128">
        <f t="shared" ca="1" si="69"/>
        <v>82762.424170676139</v>
      </c>
      <c r="AA38" s="128">
        <f t="shared" ca="1" si="69"/>
        <v>92460.857135750921</v>
      </c>
      <c r="AB38" s="128">
        <f t="shared" ca="1" si="69"/>
        <v>108101.97908137742</v>
      </c>
      <c r="AC38" s="128">
        <f t="shared" ca="1" si="69"/>
        <v>121237.13641261846</v>
      </c>
      <c r="AD38" s="128">
        <f t="shared" ca="1" si="69"/>
        <v>140753.42128384989</v>
      </c>
      <c r="AE38" s="128">
        <f t="shared" ca="1" si="69"/>
        <v>158262.00354820071</v>
      </c>
      <c r="AF38" s="128">
        <f t="shared" ca="1" si="69"/>
        <v>182736.75251580295</v>
      </c>
      <c r="AG38" s="128">
        <f t="shared" ca="1" si="69"/>
        <v>205865.64842504862</v>
      </c>
      <c r="AH38" s="128">
        <f t="shared" ca="1" si="69"/>
        <v>236693.11513561147</v>
      </c>
      <c r="AI38" s="128">
        <f t="shared" ca="1" si="69"/>
        <v>267005.63755793276</v>
      </c>
      <c r="AJ38" s="128">
        <f t="shared" ca="1" si="69"/>
        <v>305960.84784586733</v>
      </c>
      <c r="AK38" s="128">
        <f t="shared" ca="1" si="69"/>
        <v>345466.06410364993</v>
      </c>
      <c r="AL38" s="128">
        <f t="shared" ca="1" si="69"/>
        <v>394822.10980622534</v>
      </c>
      <c r="AM38" s="128"/>
      <c r="AN38" s="200"/>
    </row>
    <row r="39" spans="1:40" ht="17.25" customHeight="1">
      <c r="A39" s="292"/>
      <c r="B39" s="186"/>
      <c r="C39" s="200"/>
      <c r="D39" s="200"/>
      <c r="E39" s="200"/>
      <c r="F39" s="200"/>
      <c r="G39" s="200"/>
      <c r="H39" s="200"/>
      <c r="I39" s="200"/>
      <c r="J39" s="200"/>
      <c r="K39" s="200"/>
      <c r="L39" s="200"/>
      <c r="M39" s="200"/>
      <c r="N39" s="200"/>
      <c r="O39" s="200"/>
      <c r="P39" s="200"/>
      <c r="Q39" s="200"/>
      <c r="R39" s="200"/>
      <c r="S39" s="200"/>
      <c r="T39" s="200"/>
      <c r="U39" s="200"/>
      <c r="V39" s="200"/>
      <c r="W39" s="200"/>
      <c r="X39" s="200"/>
      <c r="Y39" s="200"/>
      <c r="Z39" s="200"/>
      <c r="AA39" s="200"/>
      <c r="AB39" s="200"/>
      <c r="AC39" s="200"/>
      <c r="AD39" s="200"/>
      <c r="AE39" s="200"/>
      <c r="AF39" s="200"/>
      <c r="AG39" s="200"/>
      <c r="AH39" s="200"/>
      <c r="AI39" s="200"/>
      <c r="AJ39" s="200"/>
      <c r="AK39" s="200"/>
      <c r="AL39" s="200"/>
      <c r="AM39" s="200"/>
      <c r="AN39" s="200"/>
    </row>
    <row r="40" spans="1:40" ht="17.25" customHeight="1">
      <c r="A40" s="287" t="s">
        <v>174</v>
      </c>
      <c r="B40" s="186"/>
      <c r="C40" s="200"/>
      <c r="D40" s="200"/>
      <c r="E40" s="200"/>
      <c r="F40" s="200"/>
      <c r="G40" s="200"/>
      <c r="H40" s="200"/>
      <c r="I40" s="200"/>
      <c r="J40" s="200"/>
      <c r="K40" s="200"/>
      <c r="L40" s="200"/>
      <c r="M40" s="200"/>
      <c r="N40" s="200"/>
      <c r="O40" s="200"/>
      <c r="P40" s="200"/>
      <c r="Q40" s="200"/>
      <c r="R40" s="200"/>
      <c r="S40" s="200"/>
      <c r="T40" s="200"/>
      <c r="U40" s="200"/>
      <c r="V40" s="200"/>
      <c r="W40" s="200"/>
      <c r="X40" s="200"/>
      <c r="Y40" s="200"/>
      <c r="Z40" s="200"/>
      <c r="AA40" s="200"/>
      <c r="AB40" s="200"/>
      <c r="AC40" s="200"/>
      <c r="AD40" s="200"/>
      <c r="AE40" s="200"/>
      <c r="AF40" s="200"/>
      <c r="AG40" s="200"/>
      <c r="AH40" s="200"/>
      <c r="AI40" s="200"/>
      <c r="AJ40" s="200"/>
      <c r="AK40" s="200"/>
      <c r="AL40" s="200"/>
      <c r="AM40" s="200"/>
      <c r="AN40" s="200"/>
    </row>
    <row r="41" spans="1:40" ht="17.25" customHeight="1">
      <c r="A41" s="292" t="s">
        <v>167</v>
      </c>
      <c r="B41" s="284" t="s">
        <v>1232</v>
      </c>
      <c r="C41" s="200">
        <f>资产负债!C84</f>
        <v>1443.10191224</v>
      </c>
      <c r="D41" s="200">
        <f>资产负债!D84</f>
        <v>2909.92493393</v>
      </c>
      <c r="E41" s="200">
        <f>资产负债!E84</f>
        <v>3130.5898234599999</v>
      </c>
      <c r="F41" s="200">
        <f>资产负债!F84</f>
        <v>4152.4887971999997</v>
      </c>
      <c r="G41" s="200">
        <f>资产负债!G84</f>
        <v>4967.87543155</v>
      </c>
      <c r="H41" s="200">
        <f>资产负债!H84</f>
        <v>5616.8441891000002</v>
      </c>
      <c r="I41" s="200">
        <f ca="1">资产负债!I84</f>
        <v>5358.4885121267353</v>
      </c>
      <c r="J41" s="200">
        <f ca="1">资产负债!J84</f>
        <v>5467.2261411648951</v>
      </c>
      <c r="K41" s="200">
        <f ca="1">资产负债!K84</f>
        <v>5507.9057507718817</v>
      </c>
      <c r="L41" s="200">
        <f ca="1">资产负债!L84</f>
        <v>5483.2465847899339</v>
      </c>
      <c r="M41" s="200">
        <f ca="1">资产负债!M84</f>
        <v>5355.1649433035072</v>
      </c>
      <c r="N41" s="200">
        <f ca="1">资产负债!N84</f>
        <v>5178.4053173684752</v>
      </c>
      <c r="O41" s="200">
        <f ca="1">资产负债!O84</f>
        <v>4985.2412898945504</v>
      </c>
      <c r="P41" s="200">
        <f ca="1">资产负债!P84</f>
        <v>4735.7607223217519</v>
      </c>
      <c r="Q41" s="200">
        <f ca="1">资产负债!Q84</f>
        <v>4405.2177858116966</v>
      </c>
      <c r="R41" s="200">
        <f ca="1">资产负债!R84</f>
        <v>3990.1404343418976</v>
      </c>
      <c r="S41" s="200">
        <f ca="1">资产负债!S84</f>
        <v>3485.4117846834342</v>
      </c>
      <c r="T41" s="200">
        <f ca="1">资产负债!T84</f>
        <v>2882.437785154299</v>
      </c>
      <c r="U41" s="200">
        <f ca="1">资产负债!U84</f>
        <v>2161.1248972723415</v>
      </c>
      <c r="V41" s="200">
        <f ca="1">资产负债!V84</f>
        <v>1296.3203058826175</v>
      </c>
      <c r="W41" s="200">
        <f ca="1">资产负债!W84</f>
        <v>265.78426190259688</v>
      </c>
      <c r="X41" s="200">
        <f ca="1">资产负债!X84</f>
        <v>-952.36434118795853</v>
      </c>
      <c r="Y41" s="200">
        <f ca="1">资产负债!Y84</f>
        <v>-2385.351241690289</v>
      </c>
      <c r="Z41" s="200">
        <f ca="1">资产负债!Z84</f>
        <v>-4065.720503815895</v>
      </c>
      <c r="AA41" s="200">
        <f ca="1">资产负债!AA84</f>
        <v>-6029.9660978083211</v>
      </c>
      <c r="AB41" s="200">
        <f ca="1">资产负债!AB84</f>
        <v>-8317.3992493413334</v>
      </c>
      <c r="AC41" s="200">
        <f ca="1">资产负债!AC84</f>
        <v>-10972.723988671874</v>
      </c>
      <c r="AD41" s="200">
        <f ca="1">资产负债!AD84</f>
        <v>-14047.599720955968</v>
      </c>
      <c r="AE41" s="200">
        <f ca="1">资产负债!AE84</f>
        <v>-17600.760633016991</v>
      </c>
      <c r="AF41" s="200">
        <f ca="1">资产负债!AF84</f>
        <v>-21698.296180578887</v>
      </c>
      <c r="AG41" s="200">
        <f ca="1">资产负债!AG84</f>
        <v>-26414.72826839078</v>
      </c>
      <c r="AH41" s="200">
        <f ca="1">资产负债!AH84</f>
        <v>-31834.700351115349</v>
      </c>
      <c r="AI41" s="200">
        <f ca="1">资产负债!AI84</f>
        <v>-38054.388725458251</v>
      </c>
      <c r="AJ41" s="200">
        <f ca="1">资产负债!AJ84</f>
        <v>-45182.682655793164</v>
      </c>
      <c r="AK41" s="200">
        <f ca="1">资产负债!AK84</f>
        <v>-53342.615011511502</v>
      </c>
      <c r="AL41" s="200">
        <f ca="1">资产负债!AL84</f>
        <v>-62673.492563336433</v>
      </c>
      <c r="AM41" s="200"/>
      <c r="AN41" s="200"/>
    </row>
    <row r="42" spans="1:40" ht="17.25" customHeight="1">
      <c r="A42" s="292" t="s">
        <v>172</v>
      </c>
      <c r="B42" s="284"/>
      <c r="C42" s="200">
        <f>C38</f>
        <v>174.82429555000002</v>
      </c>
      <c r="D42" s="200">
        <f t="shared" ref="D42:AL42" si="70">D38</f>
        <v>448.95163663999995</v>
      </c>
      <c r="E42" s="200">
        <f t="shared" si="70"/>
        <v>606.10566302999996</v>
      </c>
      <c r="F42" s="200">
        <f t="shared" si="70"/>
        <v>906.21706214000005</v>
      </c>
      <c r="G42" s="200">
        <f t="shared" si="70"/>
        <v>1574.5940826299998</v>
      </c>
      <c r="H42" s="200">
        <f t="shared" si="70"/>
        <v>2495.4037160499997</v>
      </c>
      <c r="I42" s="200">
        <f t="shared" ca="1" si="70"/>
        <v>4022.9651347634617</v>
      </c>
      <c r="J42" s="200">
        <f t="shared" ca="1" si="70"/>
        <v>8435.4308686552522</v>
      </c>
      <c r="K42" s="200">
        <f t="shared" ca="1" si="70"/>
        <v>7731.2138175784676</v>
      </c>
      <c r="L42" s="200">
        <f t="shared" ca="1" si="70"/>
        <v>11298.813800480382</v>
      </c>
      <c r="M42" s="200">
        <f t="shared" ca="1" si="70"/>
        <v>11057.49766206347</v>
      </c>
      <c r="N42" s="200">
        <f t="shared" ca="1" si="70"/>
        <v>15196.391774999878</v>
      </c>
      <c r="O42" s="200">
        <f t="shared" ca="1" si="70"/>
        <v>15633.98434997569</v>
      </c>
      <c r="P42" s="200">
        <f t="shared" ca="1" si="70"/>
        <v>20703.953969582359</v>
      </c>
      <c r="Q42" s="200">
        <f t="shared" ca="1" si="70"/>
        <v>21614.126792447827</v>
      </c>
      <c r="R42" s="200">
        <f t="shared" ca="1" si="70"/>
        <v>27382.1625005436</v>
      </c>
      <c r="S42" s="200">
        <f t="shared" ca="1" si="70"/>
        <v>29390.52226189353</v>
      </c>
      <c r="T42" s="200">
        <f t="shared" ca="1" si="70"/>
        <v>36288.287981547473</v>
      </c>
      <c r="U42" s="200">
        <f t="shared" ca="1" si="70"/>
        <v>39494.21574841145</v>
      </c>
      <c r="V42" s="200">
        <f t="shared" ca="1" si="70"/>
        <v>47881.337501907801</v>
      </c>
      <c r="W42" s="200">
        <f t="shared" ca="1" si="70"/>
        <v>52825.691510894299</v>
      </c>
      <c r="X42" s="200">
        <f t="shared" ca="1" si="70"/>
        <v>63103.469350689411</v>
      </c>
      <c r="Y42" s="200">
        <f t="shared" ca="1" si="70"/>
        <v>70150.942279937197</v>
      </c>
      <c r="Z42" s="200">
        <f t="shared" ca="1" si="70"/>
        <v>82762.424170676139</v>
      </c>
      <c r="AA42" s="200">
        <f t="shared" ca="1" si="70"/>
        <v>92460.857135750921</v>
      </c>
      <c r="AB42" s="200">
        <f t="shared" ca="1" si="70"/>
        <v>108101.97908137742</v>
      </c>
      <c r="AC42" s="200">
        <f t="shared" ca="1" si="70"/>
        <v>121237.13641261846</v>
      </c>
      <c r="AD42" s="200">
        <f t="shared" ca="1" si="70"/>
        <v>140753.42128384989</v>
      </c>
      <c r="AE42" s="200">
        <f t="shared" ca="1" si="70"/>
        <v>158262.00354820071</v>
      </c>
      <c r="AF42" s="200">
        <f t="shared" ca="1" si="70"/>
        <v>182736.75251580295</v>
      </c>
      <c r="AG42" s="200">
        <f t="shared" ca="1" si="70"/>
        <v>205865.64842504862</v>
      </c>
      <c r="AH42" s="200">
        <f t="shared" ca="1" si="70"/>
        <v>236693.11513561147</v>
      </c>
      <c r="AI42" s="200">
        <f t="shared" ca="1" si="70"/>
        <v>267005.63755793276</v>
      </c>
      <c r="AJ42" s="200">
        <f t="shared" ca="1" si="70"/>
        <v>305960.84784586733</v>
      </c>
      <c r="AK42" s="200">
        <f t="shared" ca="1" si="70"/>
        <v>345466.06410364993</v>
      </c>
      <c r="AL42" s="200">
        <f t="shared" ca="1" si="70"/>
        <v>394822.10980622534</v>
      </c>
      <c r="AM42" s="200"/>
      <c r="AN42" s="200"/>
    </row>
    <row r="43" spans="1:40" ht="17.25" customHeight="1">
      <c r="A43" s="287" t="s">
        <v>173</v>
      </c>
      <c r="B43" s="116" t="s">
        <v>1031</v>
      </c>
      <c r="C43" s="128">
        <f>C41+C42</f>
        <v>1617.92620779</v>
      </c>
      <c r="D43" s="128">
        <f t="shared" ref="D43:AL43" si="71">D41+D42</f>
        <v>3358.8765705699998</v>
      </c>
      <c r="E43" s="128">
        <f t="shared" si="71"/>
        <v>3736.6954864899999</v>
      </c>
      <c r="F43" s="128">
        <f t="shared" si="71"/>
        <v>5058.7058593399997</v>
      </c>
      <c r="G43" s="128">
        <f t="shared" si="71"/>
        <v>6542.4695141800003</v>
      </c>
      <c r="H43" s="128">
        <f t="shared" si="71"/>
        <v>8112.2479051499995</v>
      </c>
      <c r="I43" s="128">
        <f t="shared" ca="1" si="71"/>
        <v>9381.453646890197</v>
      </c>
      <c r="J43" s="128">
        <f t="shared" ca="1" si="71"/>
        <v>13902.657009820148</v>
      </c>
      <c r="K43" s="128">
        <f t="shared" ca="1" si="71"/>
        <v>13239.11956835035</v>
      </c>
      <c r="L43" s="128">
        <f t="shared" ca="1" si="71"/>
        <v>16782.060385270317</v>
      </c>
      <c r="M43" s="128">
        <f t="shared" ca="1" si="71"/>
        <v>16412.662605366975</v>
      </c>
      <c r="N43" s="128">
        <f t="shared" ca="1" si="71"/>
        <v>20374.797092368353</v>
      </c>
      <c r="O43" s="128">
        <f t="shared" ca="1" si="71"/>
        <v>20619.225639870241</v>
      </c>
      <c r="P43" s="128">
        <f t="shared" ca="1" si="71"/>
        <v>25439.714691904112</v>
      </c>
      <c r="Q43" s="128">
        <f t="shared" ca="1" si="71"/>
        <v>26019.344578259523</v>
      </c>
      <c r="R43" s="128">
        <f t="shared" ca="1" si="71"/>
        <v>31372.302934885498</v>
      </c>
      <c r="S43" s="128">
        <f t="shared" ca="1" si="71"/>
        <v>32875.934046576964</v>
      </c>
      <c r="T43" s="128">
        <f t="shared" ca="1" si="71"/>
        <v>39170.725766701769</v>
      </c>
      <c r="U43" s="128">
        <f t="shared" ca="1" si="71"/>
        <v>41655.340645683791</v>
      </c>
      <c r="V43" s="128">
        <f t="shared" ca="1" si="71"/>
        <v>49177.65780779042</v>
      </c>
      <c r="W43" s="128">
        <f t="shared" ca="1" si="71"/>
        <v>53091.475772796897</v>
      </c>
      <c r="X43" s="128">
        <f t="shared" ca="1" si="71"/>
        <v>62151.105009501451</v>
      </c>
      <c r="Y43" s="128">
        <f t="shared" ca="1" si="71"/>
        <v>67765.591038246901</v>
      </c>
      <c r="Z43" s="128">
        <f t="shared" ca="1" si="71"/>
        <v>78696.703666860238</v>
      </c>
      <c r="AA43" s="128">
        <f t="shared" ca="1" si="71"/>
        <v>86430.891037942594</v>
      </c>
      <c r="AB43" s="128">
        <f t="shared" ca="1" si="71"/>
        <v>99784.579832036077</v>
      </c>
      <c r="AC43" s="128">
        <f t="shared" ca="1" si="71"/>
        <v>110264.41242394659</v>
      </c>
      <c r="AD43" s="128">
        <f t="shared" ca="1" si="71"/>
        <v>126705.82156289392</v>
      </c>
      <c r="AE43" s="128">
        <f t="shared" ca="1" si="71"/>
        <v>140661.24291518371</v>
      </c>
      <c r="AF43" s="128">
        <f t="shared" ca="1" si="71"/>
        <v>161038.45633522407</v>
      </c>
      <c r="AG43" s="128">
        <f t="shared" ca="1" si="71"/>
        <v>179450.92015665784</v>
      </c>
      <c r="AH43" s="128">
        <f t="shared" ca="1" si="71"/>
        <v>204858.41478449613</v>
      </c>
      <c r="AI43" s="128">
        <f t="shared" ca="1" si="71"/>
        <v>228951.24883247452</v>
      </c>
      <c r="AJ43" s="128">
        <f t="shared" ca="1" si="71"/>
        <v>260778.16519007419</v>
      </c>
      <c r="AK43" s="128">
        <f t="shared" ca="1" si="71"/>
        <v>292123.44909213844</v>
      </c>
      <c r="AL43" s="128">
        <f t="shared" ca="1" si="71"/>
        <v>332148.6172428889</v>
      </c>
      <c r="AM43" s="128"/>
      <c r="AN43" s="200"/>
    </row>
    <row r="44" spans="1:40" ht="17.25" customHeight="1">
      <c r="B44" s="186"/>
      <c r="C44" s="200"/>
      <c r="D44" s="200"/>
      <c r="E44" s="200"/>
      <c r="F44" s="200"/>
      <c r="G44" s="200"/>
      <c r="H44" s="200"/>
      <c r="I44" s="200"/>
      <c r="J44" s="200"/>
      <c r="K44" s="200"/>
      <c r="L44" s="200"/>
      <c r="M44" s="200"/>
      <c r="N44" s="200"/>
      <c r="O44" s="200"/>
      <c r="P44" s="200"/>
      <c r="Q44" s="200"/>
      <c r="R44" s="200"/>
      <c r="S44" s="200"/>
      <c r="T44" s="200"/>
      <c r="U44" s="200"/>
      <c r="V44" s="200"/>
      <c r="W44" s="200"/>
      <c r="X44" s="200"/>
      <c r="Y44" s="200"/>
      <c r="Z44" s="200"/>
      <c r="AA44" s="200"/>
      <c r="AB44" s="200"/>
      <c r="AC44" s="200"/>
      <c r="AD44" s="200"/>
      <c r="AE44" s="200"/>
      <c r="AF44" s="200"/>
      <c r="AG44" s="200"/>
      <c r="AH44" s="200"/>
      <c r="AI44" s="200"/>
      <c r="AJ44" s="200"/>
      <c r="AK44" s="200"/>
      <c r="AL44" s="200"/>
      <c r="AM44" s="200"/>
      <c r="AN44" s="200"/>
    </row>
    <row r="45" spans="1:40" ht="17.25" customHeight="1">
      <c r="A45" s="281" t="s">
        <v>181</v>
      </c>
      <c r="B45" s="293"/>
      <c r="C45" s="200"/>
      <c r="D45" s="200"/>
      <c r="E45" s="200"/>
      <c r="F45" s="200"/>
      <c r="G45" s="200"/>
      <c r="H45" s="200"/>
      <c r="I45" s="200"/>
      <c r="J45" s="200"/>
      <c r="K45" s="200"/>
      <c r="L45" s="200"/>
      <c r="M45" s="200"/>
      <c r="N45" s="200"/>
      <c r="O45" s="200"/>
      <c r="P45" s="200"/>
      <c r="Q45" s="200"/>
      <c r="R45" s="200"/>
      <c r="S45" s="200"/>
      <c r="T45" s="200"/>
      <c r="U45" s="200"/>
      <c r="V45" s="200"/>
      <c r="W45" s="200"/>
      <c r="X45" s="200"/>
      <c r="Y45" s="200"/>
      <c r="Z45" s="200"/>
      <c r="AA45" s="200"/>
      <c r="AB45" s="200"/>
      <c r="AC45" s="200"/>
      <c r="AD45" s="200"/>
      <c r="AE45" s="200"/>
      <c r="AF45" s="200"/>
      <c r="AG45" s="200"/>
      <c r="AH45" s="200"/>
      <c r="AI45" s="200"/>
      <c r="AJ45" s="200"/>
      <c r="AK45" s="200"/>
      <c r="AL45" s="200"/>
      <c r="AM45" s="200"/>
      <c r="AN45" s="200"/>
    </row>
    <row r="46" spans="1:40" ht="17.25" customHeight="1">
      <c r="A46" s="169" t="s">
        <v>1237</v>
      </c>
      <c r="B46" s="170" t="s">
        <v>1033</v>
      </c>
      <c r="C46" s="200">
        <f>资产负债!C3</f>
        <v>345.99767836000001</v>
      </c>
      <c r="D46" s="200">
        <f>资产负债!D3</f>
        <v>905.64100541999994</v>
      </c>
      <c r="E46" s="200">
        <f>资产负债!E3</f>
        <v>1100.96552367</v>
      </c>
      <c r="F46" s="200">
        <f>资产负债!F3</f>
        <v>1420.1496190099999</v>
      </c>
      <c r="G46" s="200">
        <f>资产负债!G3</f>
        <v>2189.35391622</v>
      </c>
      <c r="H46" s="200">
        <f>资产负债!H3</f>
        <v>2333.58753101</v>
      </c>
      <c r="I46" s="200">
        <f ca="1">资产负债!I3</f>
        <v>2232.272658944305</v>
      </c>
      <c r="J46" s="200">
        <f ca="1">资产负债!J3</f>
        <v>2537.7698719241203</v>
      </c>
      <c r="K46" s="200">
        <f ca="1">资产负债!K3</f>
        <v>3015.8754115929255</v>
      </c>
      <c r="L46" s="200">
        <f ca="1">资产负债!L3</f>
        <v>3516.7777527681346</v>
      </c>
      <c r="M46" s="200">
        <f ca="1">资产负债!M3</f>
        <v>3873.4658165061528</v>
      </c>
      <c r="N46" s="200">
        <f ca="1">资产负债!N3</f>
        <v>4287.9586639774143</v>
      </c>
      <c r="O46" s="200">
        <f ca="1">资产负债!O3</f>
        <v>4886.8333467462753</v>
      </c>
      <c r="P46" s="200">
        <f ca="1">资产负债!P3</f>
        <v>5571.8861270060506</v>
      </c>
      <c r="Q46" s="200">
        <f ca="1">资产负债!Q3</f>
        <v>6300.0064086703524</v>
      </c>
      <c r="R46" s="200">
        <f ca="1">资产负债!R3</f>
        <v>7079.4746140628013</v>
      </c>
      <c r="S46" s="200">
        <f ca="1">资产负债!S3</f>
        <v>7987.0066860235775</v>
      </c>
      <c r="T46" s="200">
        <f ca="1">资产负债!T3</f>
        <v>9045.1017140361691</v>
      </c>
      <c r="U46" s="200">
        <f ca="1">资产负债!U3</f>
        <v>10230.379200395768</v>
      </c>
      <c r="V46" s="200">
        <f ca="1">资产负债!V3</f>
        <v>11552.346908091145</v>
      </c>
      <c r="W46" s="200">
        <f ca="1">资产负债!W3</f>
        <v>13041.768686205953</v>
      </c>
      <c r="X46" s="200">
        <f ca="1">资产负债!X3</f>
        <v>14736.816856325464</v>
      </c>
      <c r="Y46" s="200">
        <f ca="1">资产负债!Y3</f>
        <v>16657.41817505861</v>
      </c>
      <c r="Z46" s="200">
        <f ca="1">资产负债!Z3</f>
        <v>18821.167301296864</v>
      </c>
      <c r="AA46" s="200">
        <f ca="1">资产负债!AA3</f>
        <v>21261.678118226326</v>
      </c>
      <c r="AB46" s="200">
        <f ca="1">资产负债!AB3</f>
        <v>24020.553432506553</v>
      </c>
      <c r="AC46" s="200">
        <f ca="1">资产负债!AC3</f>
        <v>27141.404443759031</v>
      </c>
      <c r="AD46" s="200">
        <f ca="1">资产负债!AD3</f>
        <v>30667.476716223766</v>
      </c>
      <c r="AE46" s="200">
        <f ca="1">资产负债!AE3</f>
        <v>34649.112567579534</v>
      </c>
      <c r="AF46" s="200">
        <f ca="1">资产负债!AF3</f>
        <v>39147.247229183544</v>
      </c>
      <c r="AG46" s="200">
        <f ca="1">资产负债!AG3</f>
        <v>44230.511994864581</v>
      </c>
      <c r="AH46" s="200">
        <f ca="1">资产负债!AH3</f>
        <v>49974.649656186339</v>
      </c>
      <c r="AI46" s="200">
        <f ca="1">资产负债!AI3</f>
        <v>56464.20874029283</v>
      </c>
      <c r="AJ46" s="200">
        <f ca="1">资产负债!AJ3</f>
        <v>63795.829257436046</v>
      </c>
      <c r="AK46" s="200">
        <f ca="1">资产负债!AK3</f>
        <v>72079.592259857804</v>
      </c>
      <c r="AL46" s="200">
        <f ca="1">资产负债!AL3</f>
        <v>81439.395205588822</v>
      </c>
      <c r="AM46" s="200"/>
    </row>
    <row r="47" spans="1:40" ht="17.25" customHeight="1">
      <c r="A47" s="294" t="s">
        <v>175</v>
      </c>
      <c r="B47" s="170" t="s">
        <v>1033</v>
      </c>
      <c r="C47" s="200">
        <f>资产负债!C4</f>
        <v>0</v>
      </c>
      <c r="D47" s="200">
        <f>资产负债!D4</f>
        <v>584.92510415999993</v>
      </c>
      <c r="E47" s="200">
        <f>资产负债!E4</f>
        <v>0</v>
      </c>
      <c r="F47" s="200">
        <f>资产负债!F4</f>
        <v>217.19637222</v>
      </c>
      <c r="G47" s="200">
        <f>资产负债!G4</f>
        <v>5.4218209999999996E-2</v>
      </c>
      <c r="H47" s="200">
        <f>资产负债!H4</f>
        <v>74.012589969999993</v>
      </c>
      <c r="I47" s="200">
        <f>资产负债!I4</f>
        <v>72.815795100000003</v>
      </c>
      <c r="J47" s="200">
        <f>资产负债!J4</f>
        <v>91.019743874999989</v>
      </c>
      <c r="K47" s="200">
        <f>资产负债!K4</f>
        <v>59.475586788749993</v>
      </c>
      <c r="L47" s="200">
        <f>资产负债!L4</f>
        <v>74.330928933437491</v>
      </c>
      <c r="M47" s="200">
        <f>资产负债!M4</f>
        <v>74.41051367429688</v>
      </c>
      <c r="N47" s="200">
        <f>资产负债!N4</f>
        <v>74.809193317871092</v>
      </c>
      <c r="O47" s="200">
        <f>资产负债!O4</f>
        <v>70.756555678588867</v>
      </c>
      <c r="P47" s="200">
        <f>资产负债!P4</f>
        <v>73.576797901048579</v>
      </c>
      <c r="Q47" s="200">
        <f>资产负债!Q4</f>
        <v>73.388265142951354</v>
      </c>
      <c r="R47" s="200">
        <f>资产负债!R4</f>
        <v>73.132703010114966</v>
      </c>
      <c r="S47" s="200">
        <f>资产负债!S4</f>
        <v>72.713580433175949</v>
      </c>
      <c r="T47" s="200">
        <f>资产负债!T4</f>
        <v>73.202836621822712</v>
      </c>
      <c r="U47" s="200">
        <f>资产负债!U4</f>
        <v>73.109346302016235</v>
      </c>
      <c r="V47" s="200">
        <f>资产负债!V4</f>
        <v>73.039616591782476</v>
      </c>
      <c r="W47" s="200">
        <f>资产负债!W4</f>
        <v>73.016344987199346</v>
      </c>
      <c r="X47" s="200">
        <f>资产负债!X4</f>
        <v>73.092036125705192</v>
      </c>
      <c r="Y47" s="200">
        <f>资产负债!Y4</f>
        <v>73.064336001675812</v>
      </c>
      <c r="Z47" s="200">
        <f>资产负债!Z4</f>
        <v>73.053083426590717</v>
      </c>
      <c r="AA47" s="200">
        <f>资产负债!AA4</f>
        <v>73.056450135292778</v>
      </c>
      <c r="AB47" s="200">
        <f>资产负债!AB4</f>
        <v>73.066476422316128</v>
      </c>
      <c r="AC47" s="200">
        <f>资产负债!AC4</f>
        <v>73.060086496468855</v>
      </c>
      <c r="AD47" s="200">
        <f>资产负债!AD4</f>
        <v>73.059024120167123</v>
      </c>
      <c r="AE47" s="200">
        <f>资产负债!AE4</f>
        <v>73.060509293561211</v>
      </c>
      <c r="AF47" s="200">
        <f>资产负债!AF4</f>
        <v>73.061524083128319</v>
      </c>
      <c r="AG47" s="200">
        <f>资产负债!AG4</f>
        <v>73.060285998331381</v>
      </c>
      <c r="AH47" s="200">
        <f>资产负债!AH4</f>
        <v>73.060335873797015</v>
      </c>
      <c r="AI47" s="200">
        <f>资产负债!AI4</f>
        <v>73.060663812204481</v>
      </c>
      <c r="AJ47" s="200">
        <f>资产负债!AJ4</f>
        <v>73.060702441865288</v>
      </c>
      <c r="AK47" s="200">
        <f>资产负债!AK4</f>
        <v>73.060497031549545</v>
      </c>
      <c r="AL47" s="200">
        <f>资产负债!AL4</f>
        <v>73.060549789854093</v>
      </c>
      <c r="AM47" s="200"/>
      <c r="AN47" s="200"/>
    </row>
    <row r="48" spans="1:40" ht="17.25" customHeight="1">
      <c r="A48" s="294" t="s">
        <v>176</v>
      </c>
      <c r="B48" s="170" t="s">
        <v>1033</v>
      </c>
      <c r="C48" s="200">
        <f>资产负债!C23</f>
        <v>30</v>
      </c>
      <c r="D48" s="200">
        <f>资产负债!D23</f>
        <v>0</v>
      </c>
      <c r="E48" s="200">
        <f>资产负债!E23</f>
        <v>0</v>
      </c>
      <c r="F48" s="200">
        <f>资产负债!F23</f>
        <v>0</v>
      </c>
      <c r="G48" s="200">
        <f>资产负债!G23</f>
        <v>0</v>
      </c>
      <c r="H48" s="200">
        <f>资产负债!H23</f>
        <v>0</v>
      </c>
      <c r="I48" s="200">
        <f>资产负债!I23</f>
        <v>0</v>
      </c>
      <c r="J48" s="200">
        <f>资产负债!J23</f>
        <v>0</v>
      </c>
      <c r="K48" s="200">
        <f>资产负债!K23</f>
        <v>0</v>
      </c>
      <c r="L48" s="200">
        <f>资产负债!L23</f>
        <v>0</v>
      </c>
      <c r="M48" s="200">
        <f>资产负债!M23</f>
        <v>0</v>
      </c>
      <c r="N48" s="200">
        <f>资产负债!N23</f>
        <v>0</v>
      </c>
      <c r="O48" s="200">
        <f>资产负债!O23</f>
        <v>0</v>
      </c>
      <c r="P48" s="200">
        <f>资产负债!P23</f>
        <v>0</v>
      </c>
      <c r="Q48" s="200">
        <f>资产负债!Q23</f>
        <v>0</v>
      </c>
      <c r="R48" s="200">
        <f>资产负债!R23</f>
        <v>0</v>
      </c>
      <c r="S48" s="200">
        <f>资产负债!S23</f>
        <v>0</v>
      </c>
      <c r="T48" s="200">
        <f>资产负债!T23</f>
        <v>0</v>
      </c>
      <c r="U48" s="200">
        <f>资产负债!U23</f>
        <v>0</v>
      </c>
      <c r="V48" s="200">
        <f>资产负债!V23</f>
        <v>0</v>
      </c>
      <c r="W48" s="200">
        <f>资产负债!W23</f>
        <v>0</v>
      </c>
      <c r="X48" s="200">
        <f>资产负债!X23</f>
        <v>0</v>
      </c>
      <c r="Y48" s="200">
        <f>资产负债!Y23</f>
        <v>0</v>
      </c>
      <c r="Z48" s="200">
        <f>资产负债!Z23</f>
        <v>0</v>
      </c>
      <c r="AA48" s="200">
        <f>资产负债!AA23</f>
        <v>0</v>
      </c>
      <c r="AB48" s="200">
        <f>资产负债!AB23</f>
        <v>0</v>
      </c>
      <c r="AC48" s="200">
        <f>资产负债!AC23</f>
        <v>0</v>
      </c>
      <c r="AD48" s="200">
        <f>资产负债!AD23</f>
        <v>0</v>
      </c>
      <c r="AE48" s="200">
        <f>资产负债!AE23</f>
        <v>0</v>
      </c>
      <c r="AF48" s="200">
        <f>资产负债!AF23</f>
        <v>0</v>
      </c>
      <c r="AG48" s="200">
        <f>资产负债!AG23</f>
        <v>0</v>
      </c>
      <c r="AH48" s="200">
        <f>资产负债!AH23</f>
        <v>0</v>
      </c>
      <c r="AI48" s="200">
        <f>资产负债!AI23</f>
        <v>0</v>
      </c>
      <c r="AJ48" s="200">
        <f>资产负债!AJ23</f>
        <v>0</v>
      </c>
      <c r="AK48" s="200">
        <f>资产负债!AK23</f>
        <v>0</v>
      </c>
      <c r="AL48" s="200">
        <f>资产负债!AL23</f>
        <v>0</v>
      </c>
      <c r="AM48" s="200"/>
      <c r="AN48" s="200"/>
    </row>
    <row r="49" spans="1:166" ht="17.25" customHeight="1">
      <c r="A49" s="294" t="s">
        <v>177</v>
      </c>
      <c r="B49" s="170" t="s">
        <v>1033</v>
      </c>
      <c r="C49" s="200">
        <f>资产负债!C25</f>
        <v>0</v>
      </c>
      <c r="D49" s="200">
        <f>资产负债!D25</f>
        <v>0</v>
      </c>
      <c r="E49" s="200">
        <f>资产负债!E25</f>
        <v>0</v>
      </c>
      <c r="F49" s="200">
        <f>资产负债!F25</f>
        <v>0</v>
      </c>
      <c r="G49" s="200">
        <f>资产负债!G25</f>
        <v>0</v>
      </c>
      <c r="H49" s="200">
        <f>资产负债!H25</f>
        <v>0</v>
      </c>
      <c r="I49" s="200">
        <f>资产负债!I25</f>
        <v>0</v>
      </c>
      <c r="J49" s="200">
        <f>资产负债!J25</f>
        <v>0</v>
      </c>
      <c r="K49" s="200">
        <f>资产负债!K25</f>
        <v>0</v>
      </c>
      <c r="L49" s="200">
        <f>资产负债!L25</f>
        <v>0</v>
      </c>
      <c r="M49" s="200">
        <f>资产负债!M25</f>
        <v>0</v>
      </c>
      <c r="N49" s="200">
        <f>资产负债!N25</f>
        <v>0</v>
      </c>
      <c r="O49" s="200">
        <f>资产负债!O25</f>
        <v>0</v>
      </c>
      <c r="P49" s="200">
        <f>资产负债!P25</f>
        <v>0</v>
      </c>
      <c r="Q49" s="200">
        <f>资产负债!Q25</f>
        <v>0</v>
      </c>
      <c r="R49" s="200">
        <f>资产负债!R25</f>
        <v>0</v>
      </c>
      <c r="S49" s="200">
        <f>资产负债!S25</f>
        <v>0</v>
      </c>
      <c r="T49" s="200">
        <f>资产负债!T25</f>
        <v>0</v>
      </c>
      <c r="U49" s="200">
        <f>资产负债!U25</f>
        <v>0</v>
      </c>
      <c r="V49" s="200">
        <f>资产负债!V25</f>
        <v>0</v>
      </c>
      <c r="W49" s="200">
        <f>资产负债!W25</f>
        <v>0</v>
      </c>
      <c r="X49" s="200">
        <f>资产负债!X25</f>
        <v>0</v>
      </c>
      <c r="Y49" s="200">
        <f>资产负债!Y25</f>
        <v>0</v>
      </c>
      <c r="Z49" s="200">
        <f>资产负债!Z25</f>
        <v>0</v>
      </c>
      <c r="AA49" s="200">
        <f>资产负债!AA25</f>
        <v>0</v>
      </c>
      <c r="AB49" s="200">
        <f>资产负债!AB25</f>
        <v>0</v>
      </c>
      <c r="AC49" s="200">
        <f>资产负债!AC25</f>
        <v>0</v>
      </c>
      <c r="AD49" s="200">
        <f>资产负债!AD25</f>
        <v>0</v>
      </c>
      <c r="AE49" s="200">
        <f>资产负债!AE25</f>
        <v>0</v>
      </c>
      <c r="AF49" s="200">
        <f>资产负债!AF25</f>
        <v>0</v>
      </c>
      <c r="AG49" s="200">
        <f>资产负债!AG25</f>
        <v>0</v>
      </c>
      <c r="AH49" s="200">
        <f>资产负债!AH25</f>
        <v>0</v>
      </c>
      <c r="AI49" s="200">
        <f>资产负债!AI25</f>
        <v>0</v>
      </c>
      <c r="AJ49" s="200">
        <f>资产负债!AJ25</f>
        <v>0</v>
      </c>
      <c r="AK49" s="200">
        <f>资产负债!AK25</f>
        <v>0</v>
      </c>
      <c r="AL49" s="200">
        <f>资产负债!AL25</f>
        <v>0</v>
      </c>
      <c r="AM49" s="200"/>
      <c r="AN49" s="200"/>
    </row>
    <row r="50" spans="1:166" ht="17.25" customHeight="1">
      <c r="A50" s="294" t="s">
        <v>178</v>
      </c>
      <c r="B50" s="170" t="s">
        <v>1033</v>
      </c>
      <c r="C50" s="200">
        <f>资产负债!C27</f>
        <v>0</v>
      </c>
      <c r="D50" s="200">
        <f>资产负债!D27</f>
        <v>0</v>
      </c>
      <c r="E50" s="200">
        <f>资产负债!E27</f>
        <v>0</v>
      </c>
      <c r="F50" s="200">
        <f>资产负债!F27</f>
        <v>0</v>
      </c>
      <c r="G50" s="200">
        <f>资产负债!G27</f>
        <v>0</v>
      </c>
      <c r="H50" s="200">
        <f>资产负债!H27</f>
        <v>101.52110451</v>
      </c>
      <c r="I50" s="200">
        <f>资产负债!I27</f>
        <v>25.3802761275</v>
      </c>
      <c r="J50" s="200">
        <f>资产负债!J27</f>
        <v>31.725345159374999</v>
      </c>
      <c r="K50" s="200">
        <f>资产负债!K27</f>
        <v>39.656681449218752</v>
      </c>
      <c r="L50" s="200">
        <f>资产负债!L27</f>
        <v>49.57085181152344</v>
      </c>
      <c r="M50" s="200">
        <f>资产负债!M27</f>
        <v>36.5832886369043</v>
      </c>
      <c r="N50" s="200">
        <f>资产负债!N27</f>
        <v>39.384041764255372</v>
      </c>
      <c r="O50" s="200">
        <f>资产负债!O27</f>
        <v>41.298715915475469</v>
      </c>
      <c r="P50" s="200">
        <f>资产负债!P27</f>
        <v>41.709224532039642</v>
      </c>
      <c r="Q50" s="200">
        <f>资产负债!Q27</f>
        <v>39.743817712168692</v>
      </c>
      <c r="R50" s="200">
        <f>资产负债!R27</f>
        <v>40.533949980984794</v>
      </c>
      <c r="S50" s="200">
        <f>资产负债!S27</f>
        <v>40.821427035167147</v>
      </c>
      <c r="T50" s="200">
        <f>资产负债!T27</f>
        <v>40.702104815090067</v>
      </c>
      <c r="U50" s="200">
        <f>资产负债!U27</f>
        <v>40.450324885852673</v>
      </c>
      <c r="V50" s="200">
        <f>资产负债!V27</f>
        <v>40.626951679273674</v>
      </c>
      <c r="W50" s="200">
        <f>资产负债!W27</f>
        <v>40.650202103845885</v>
      </c>
      <c r="X50" s="200">
        <f>资产负债!X27</f>
        <v>40.607395871015569</v>
      </c>
      <c r="Y50" s="200">
        <f>资产负债!Y27</f>
        <v>40.583718634996949</v>
      </c>
      <c r="Z50" s="200">
        <f>资产负债!Z27</f>
        <v>40.617067072283021</v>
      </c>
      <c r="AA50" s="200">
        <f>资产负债!AA27</f>
        <v>40.614595920535358</v>
      </c>
      <c r="AB50" s="200">
        <f>资产负债!AB27</f>
        <v>40.605694374707724</v>
      </c>
      <c r="AC50" s="200">
        <f>资产负债!AC27</f>
        <v>40.605269000630763</v>
      </c>
      <c r="AD50" s="200">
        <f>资产负债!AD27</f>
        <v>40.610656592039213</v>
      </c>
      <c r="AE50" s="200">
        <f>资产负债!AE27</f>
        <v>40.609053971978263</v>
      </c>
      <c r="AF50" s="200">
        <f>资产负债!AF27</f>
        <v>40.607668484838989</v>
      </c>
      <c r="AG50" s="200">
        <f>资产负债!AG27</f>
        <v>40.608162012371807</v>
      </c>
      <c r="AH50" s="200">
        <f>资产负债!AH27</f>
        <v>40.608885265307066</v>
      </c>
      <c r="AI50" s="200">
        <f>资产负债!AI27</f>
        <v>40.608442433624028</v>
      </c>
      <c r="AJ50" s="200">
        <f>资产负债!AJ27</f>
        <v>40.608289549035469</v>
      </c>
      <c r="AK50" s="200">
        <f>资产负债!AK27</f>
        <v>40.608444815084596</v>
      </c>
      <c r="AL50" s="200">
        <f>资产负债!AL27</f>
        <v>40.60851551576279</v>
      </c>
      <c r="AM50" s="200"/>
      <c r="AN50" s="200"/>
    </row>
    <row r="51" spans="1:166" ht="17.25" customHeight="1">
      <c r="A51" s="294" t="s">
        <v>179</v>
      </c>
      <c r="B51" s="170" t="s">
        <v>1033</v>
      </c>
      <c r="C51" s="200">
        <f>资产负债!C29</f>
        <v>0</v>
      </c>
      <c r="D51" s="200">
        <f>资产负债!D29</f>
        <v>0</v>
      </c>
      <c r="E51" s="200">
        <f>资产负债!E29</f>
        <v>0</v>
      </c>
      <c r="F51" s="200">
        <f>资产负债!F29</f>
        <v>0</v>
      </c>
      <c r="G51" s="200">
        <f>资产负债!G29</f>
        <v>24.483474050000002</v>
      </c>
      <c r="H51" s="200">
        <f>资产负债!H29</f>
        <v>32.961611179999998</v>
      </c>
      <c r="I51" s="200">
        <f>资产负债!I29</f>
        <v>41.088376823999994</v>
      </c>
      <c r="J51" s="200">
        <f>资产负债!J29</f>
        <v>49.144868170799995</v>
      </c>
      <c r="K51" s="200">
        <f>资产负债!K29</f>
        <v>57.117030360959987</v>
      </c>
      <c r="L51" s="200">
        <f>资产负债!L29</f>
        <v>64.987997563151978</v>
      </c>
      <c r="M51" s="200">
        <f>资产负债!M29</f>
        <v>72.854276617782375</v>
      </c>
      <c r="N51" s="200">
        <f>资产负债!N29</f>
        <v>80.832809705338846</v>
      </c>
      <c r="O51" s="200">
        <f>资产负债!O29</f>
        <v>88.781696281606614</v>
      </c>
      <c r="P51" s="200">
        <f>资产负债!P29</f>
        <v>96.709061903767932</v>
      </c>
      <c r="Q51" s="200">
        <f>资产负债!Q29</f>
        <v>104.62746821232952</v>
      </c>
      <c r="R51" s="200">
        <f>资产负债!R29</f>
        <v>112.55536234216503</v>
      </c>
      <c r="S51" s="200">
        <f>资产负债!S29</f>
        <v>120.49557948704155</v>
      </c>
      <c r="T51" s="200">
        <f>资产负债!T29</f>
        <v>128.42813344338211</v>
      </c>
      <c r="U51" s="200">
        <f>资产负债!U29</f>
        <v>136.3574208757372</v>
      </c>
      <c r="V51" s="200">
        <f>资产负债!V29</f>
        <v>144.28709267013107</v>
      </c>
      <c r="W51" s="200">
        <f>资产负债!W29</f>
        <v>152.21901756169137</v>
      </c>
      <c r="X51" s="200">
        <f>资产负债!X29</f>
        <v>160.15174860559665</v>
      </c>
      <c r="Y51" s="200">
        <f>资产负债!Y29</f>
        <v>168.08298242930766</v>
      </c>
      <c r="Z51" s="200">
        <f>资产负债!Z29</f>
        <v>176.01395222649276</v>
      </c>
      <c r="AA51" s="200">
        <f>资产负债!AA29</f>
        <v>183.94525849664387</v>
      </c>
      <c r="AB51" s="200">
        <f>资产负债!AB29</f>
        <v>191.87689166194644</v>
      </c>
      <c r="AC51" s="200">
        <f>资产负债!AC29</f>
        <v>199.80846648199747</v>
      </c>
      <c r="AD51" s="200">
        <f>资产负债!AD29</f>
        <v>207.73981005727762</v>
      </c>
      <c r="AE51" s="200">
        <f>资产负债!AE29</f>
        <v>215.67117558287163</v>
      </c>
      <c r="AF51" s="200">
        <f>资产负债!AF29</f>
        <v>223.60262025414738</v>
      </c>
      <c r="AG51" s="200">
        <f>资产负债!AG29</f>
        <v>231.53409260564808</v>
      </c>
      <c r="AH51" s="200">
        <f>资产负债!AH29</f>
        <v>239.46553279438842</v>
      </c>
      <c r="AI51" s="200">
        <f>资产负债!AI29</f>
        <v>247.39694605686662</v>
      </c>
      <c r="AJ51" s="200">
        <f>资产负债!AJ29</f>
        <v>255.32837325678443</v>
      </c>
      <c r="AK51" s="200">
        <f>资产负债!AK29</f>
        <v>263.25981279156701</v>
      </c>
      <c r="AL51" s="200">
        <f>资产负债!AL29</f>
        <v>271.19125129905092</v>
      </c>
      <c r="AM51" s="200"/>
      <c r="AN51" s="200"/>
    </row>
    <row r="52" spans="1:166" ht="17.25" customHeight="1">
      <c r="A52" s="294" t="s">
        <v>180</v>
      </c>
      <c r="B52" s="170" t="s">
        <v>1033</v>
      </c>
      <c r="C52" s="200">
        <f>资产负债!C37</f>
        <v>0.72000000000014097</v>
      </c>
      <c r="D52" s="200">
        <f>资产负债!D37</f>
        <v>1.2363000000000284</v>
      </c>
      <c r="E52" s="200">
        <f>资产负债!E37</f>
        <v>23.24610959000006</v>
      </c>
      <c r="F52" s="200">
        <f>资产负债!F37</f>
        <v>15.113123739999992</v>
      </c>
      <c r="G52" s="200">
        <f>资产负债!G37</f>
        <v>76.606523689999904</v>
      </c>
      <c r="H52" s="200">
        <f>资产负债!H37</f>
        <v>106.37376504000031</v>
      </c>
      <c r="I52" s="200">
        <f>资产负债!I37</f>
        <v>55.334880515000066</v>
      </c>
      <c r="J52" s="200">
        <f>资产负债!J37</f>
        <v>63.357073246250067</v>
      </c>
      <c r="K52" s="200">
        <f>资产负债!K37</f>
        <v>75.41806062281259</v>
      </c>
      <c r="L52" s="200">
        <f>资产负债!L37</f>
        <v>75.120944856015754</v>
      </c>
      <c r="M52" s="200">
        <f>资产负债!M37</f>
        <v>67.307739810019626</v>
      </c>
      <c r="N52" s="200">
        <f>资产负债!N37</f>
        <v>70.300954633774509</v>
      </c>
      <c r="O52" s="200">
        <f>资产负债!O37</f>
        <v>72.036924980655613</v>
      </c>
      <c r="P52" s="200">
        <f>资产负债!P37</f>
        <v>71.191641070116376</v>
      </c>
      <c r="Q52" s="200">
        <f>资产负债!Q37</f>
        <v>70.209315123641517</v>
      </c>
      <c r="R52" s="200">
        <f>资产负债!R37</f>
        <v>70.934708952047004</v>
      </c>
      <c r="S52" s="200">
        <f>资产负债!S37</f>
        <v>71.093147531615131</v>
      </c>
      <c r="T52" s="200">
        <f>资产负债!T37</f>
        <v>70.857203169355003</v>
      </c>
      <c r="U52" s="200">
        <f>资产负债!U37</f>
        <v>70.773593694164674</v>
      </c>
      <c r="V52" s="200">
        <f>资产负债!V37</f>
        <v>70.914663336795456</v>
      </c>
      <c r="W52" s="200">
        <f>资产负债!W37</f>
        <v>70.90965193298257</v>
      </c>
      <c r="X52" s="200">
        <f>资产负债!X37</f>
        <v>70.863778033324422</v>
      </c>
      <c r="Y52" s="200">
        <f>资产负债!Y37</f>
        <v>70.865421749316781</v>
      </c>
      <c r="Z52" s="200">
        <f>资产负债!Z37</f>
        <v>70.888378763104811</v>
      </c>
      <c r="AA52" s="200">
        <f>资产负债!AA37</f>
        <v>70.881807619682149</v>
      </c>
      <c r="AB52" s="200">
        <f>资产负债!AB37</f>
        <v>70.874846541357044</v>
      </c>
      <c r="AC52" s="200">
        <f>资产负债!AC37</f>
        <v>70.8776136683652</v>
      </c>
      <c r="AD52" s="200">
        <f>资产负债!AD37</f>
        <v>70.880661648127301</v>
      </c>
      <c r="AE52" s="200">
        <f>资产负债!AE37</f>
        <v>70.878732369382931</v>
      </c>
      <c r="AF52" s="200">
        <f>资产负债!AF37</f>
        <v>70.877963556808112</v>
      </c>
      <c r="AG52" s="200">
        <f>资产负债!AG37</f>
        <v>70.878742810670886</v>
      </c>
      <c r="AH52" s="200">
        <f>资产负债!AH37</f>
        <v>70.879025096247318</v>
      </c>
      <c r="AI52" s="200">
        <f>资产负债!AI37</f>
        <v>70.878615958277322</v>
      </c>
      <c r="AJ52" s="200">
        <f>资产负债!AJ37</f>
        <v>70.878586855500913</v>
      </c>
      <c r="AK52" s="200">
        <f>资产负债!AK37</f>
        <v>70.878742680174113</v>
      </c>
      <c r="AL52" s="200">
        <f>资产负债!AL37</f>
        <v>70.878742647549913</v>
      </c>
      <c r="AM52" s="200"/>
      <c r="AN52" s="200"/>
      <c r="AO52" s="200"/>
    </row>
    <row r="53" spans="1:166" s="279" customFormat="1" ht="17.25" customHeight="1">
      <c r="A53" s="295" t="s">
        <v>1238</v>
      </c>
      <c r="B53" s="202" t="s">
        <v>1240</v>
      </c>
      <c r="C53" s="128">
        <f>SUM(C46:C52)</f>
        <v>376.71767836000015</v>
      </c>
      <c r="D53" s="128">
        <f t="shared" ref="D53:AL53" si="72">SUM(D46:D52)</f>
        <v>1491.8024095799999</v>
      </c>
      <c r="E53" s="128">
        <f t="shared" si="72"/>
        <v>1124.2116332600001</v>
      </c>
      <c r="F53" s="128">
        <f t="shared" si="72"/>
        <v>1652.45911497</v>
      </c>
      <c r="G53" s="128">
        <f t="shared" si="72"/>
        <v>2290.4981321699997</v>
      </c>
      <c r="H53" s="128">
        <f t="shared" si="72"/>
        <v>2648.4566017100005</v>
      </c>
      <c r="I53" s="128">
        <f t="shared" ca="1" si="72"/>
        <v>2426.8919875108049</v>
      </c>
      <c r="J53" s="128">
        <f t="shared" ca="1" si="72"/>
        <v>2773.0169023755452</v>
      </c>
      <c r="K53" s="128">
        <f t="shared" ca="1" si="72"/>
        <v>3247.5427708146672</v>
      </c>
      <c r="L53" s="128">
        <f t="shared" ca="1" si="72"/>
        <v>3780.7884759322633</v>
      </c>
      <c r="M53" s="128">
        <f t="shared" ca="1" si="72"/>
        <v>4124.6216352451565</v>
      </c>
      <c r="N53" s="128">
        <f t="shared" ca="1" si="72"/>
        <v>4553.2856633986539</v>
      </c>
      <c r="O53" s="128">
        <f t="shared" ca="1" si="72"/>
        <v>5159.7072396026015</v>
      </c>
      <c r="P53" s="128">
        <f t="shared" ca="1" si="72"/>
        <v>5855.0728524130236</v>
      </c>
      <c r="Q53" s="128">
        <f t="shared" ca="1" si="72"/>
        <v>6587.9752748614428</v>
      </c>
      <c r="R53" s="128">
        <f t="shared" ca="1" si="72"/>
        <v>7376.6313383481129</v>
      </c>
      <c r="S53" s="128">
        <f t="shared" ca="1" si="72"/>
        <v>8292.1304205105771</v>
      </c>
      <c r="T53" s="128">
        <f t="shared" ca="1" si="72"/>
        <v>9358.2919920858185</v>
      </c>
      <c r="U53" s="128">
        <f t="shared" ca="1" si="72"/>
        <v>10551.069886153538</v>
      </c>
      <c r="V53" s="128">
        <f t="shared" ca="1" si="72"/>
        <v>11881.21523236913</v>
      </c>
      <c r="W53" s="128">
        <f t="shared" ca="1" si="72"/>
        <v>13378.563902791671</v>
      </c>
      <c r="X53" s="128">
        <f t="shared" ca="1" si="72"/>
        <v>15081.531814961105</v>
      </c>
      <c r="Y53" s="128">
        <f t="shared" ca="1" si="72"/>
        <v>17010.014633873907</v>
      </c>
      <c r="Z53" s="128">
        <f t="shared" ca="1" si="72"/>
        <v>19181.739782785338</v>
      </c>
      <c r="AA53" s="128">
        <f t="shared" ca="1" si="72"/>
        <v>21630.17623039848</v>
      </c>
      <c r="AB53" s="128">
        <f t="shared" ca="1" si="72"/>
        <v>24396.977341506874</v>
      </c>
      <c r="AC53" s="128">
        <f t="shared" ca="1" si="72"/>
        <v>27525.755879406493</v>
      </c>
      <c r="AD53" s="128">
        <f t="shared" ca="1" si="72"/>
        <v>31059.766868641378</v>
      </c>
      <c r="AE53" s="128">
        <f t="shared" ca="1" si="72"/>
        <v>35049.332038797329</v>
      </c>
      <c r="AF53" s="128">
        <f t="shared" ca="1" si="72"/>
        <v>39555.39700556246</v>
      </c>
      <c r="AG53" s="128">
        <f t="shared" ca="1" si="72"/>
        <v>44646.593278291606</v>
      </c>
      <c r="AH53" s="128">
        <f t="shared" ca="1" si="72"/>
        <v>50398.663435216076</v>
      </c>
      <c r="AI53" s="128">
        <f t="shared" ca="1" si="72"/>
        <v>56896.153408553801</v>
      </c>
      <c r="AJ53" s="128">
        <f t="shared" ca="1" si="72"/>
        <v>64235.705209539228</v>
      </c>
      <c r="AK53" s="128">
        <f t="shared" ca="1" si="72"/>
        <v>72527.399757176172</v>
      </c>
      <c r="AL53" s="128">
        <f t="shared" ca="1" si="72"/>
        <v>81895.134264841035</v>
      </c>
      <c r="AM53" s="128"/>
      <c r="AN53" s="128"/>
      <c r="AO53" s="203"/>
      <c r="AP53" s="203"/>
      <c r="AQ53" s="203"/>
      <c r="AR53" s="203"/>
      <c r="AS53" s="203"/>
      <c r="AT53" s="127"/>
      <c r="AU53" s="127"/>
      <c r="AV53" s="127"/>
      <c r="AW53" s="127"/>
      <c r="AX53" s="127"/>
      <c r="AY53" s="127"/>
      <c r="AZ53" s="127"/>
      <c r="BA53" s="127"/>
      <c r="BB53" s="127"/>
      <c r="BC53" s="127"/>
      <c r="BD53" s="127"/>
      <c r="BE53" s="127"/>
      <c r="BF53" s="127"/>
      <c r="BG53" s="127"/>
      <c r="BH53" s="127"/>
      <c r="BI53" s="127"/>
      <c r="BJ53" s="127"/>
      <c r="BK53" s="127"/>
      <c r="BL53" s="127"/>
      <c r="BM53" s="127"/>
      <c r="BN53" s="127"/>
      <c r="BO53" s="127"/>
      <c r="BP53" s="127"/>
      <c r="BQ53" s="127"/>
      <c r="BR53" s="127"/>
      <c r="BS53" s="127"/>
      <c r="BT53" s="127"/>
      <c r="BU53" s="127"/>
      <c r="BV53" s="127"/>
      <c r="BW53" s="127"/>
      <c r="BX53" s="127"/>
      <c r="BY53" s="127"/>
      <c r="BZ53" s="127"/>
      <c r="CA53" s="127"/>
      <c r="CB53" s="127"/>
      <c r="CC53" s="127"/>
      <c r="CD53" s="127"/>
      <c r="CE53" s="127"/>
      <c r="CF53" s="127"/>
      <c r="CG53" s="127"/>
      <c r="CH53" s="127"/>
      <c r="CI53" s="127"/>
      <c r="CJ53" s="127"/>
      <c r="CK53" s="127"/>
      <c r="CL53" s="127"/>
      <c r="CM53" s="127"/>
      <c r="CN53" s="127"/>
      <c r="CO53" s="127"/>
      <c r="CP53" s="127"/>
      <c r="CQ53" s="127"/>
      <c r="CR53" s="127"/>
      <c r="CS53" s="127"/>
      <c r="CT53" s="127"/>
      <c r="CU53" s="127"/>
      <c r="CV53" s="127"/>
      <c r="CW53" s="127"/>
      <c r="CX53" s="127"/>
      <c r="CY53" s="127"/>
      <c r="CZ53" s="127"/>
      <c r="DA53" s="127"/>
      <c r="DB53" s="127"/>
      <c r="DC53" s="127"/>
      <c r="DD53" s="127"/>
      <c r="DE53" s="127"/>
      <c r="DF53" s="127"/>
      <c r="DG53" s="127"/>
      <c r="DH53" s="127"/>
      <c r="DI53" s="127"/>
      <c r="DJ53" s="127"/>
      <c r="DK53" s="127"/>
      <c r="DL53" s="127"/>
      <c r="DM53" s="127"/>
      <c r="DN53" s="127"/>
      <c r="DO53" s="127"/>
      <c r="DP53" s="127"/>
      <c r="DQ53" s="127"/>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c r="EN53" s="127"/>
      <c r="EO53" s="127"/>
      <c r="EP53" s="127"/>
      <c r="EQ53" s="127"/>
      <c r="ER53" s="127"/>
      <c r="ES53" s="127"/>
      <c r="ET53" s="127"/>
      <c r="EU53" s="127"/>
      <c r="EV53" s="127"/>
      <c r="EW53" s="127"/>
      <c r="EX53" s="127"/>
      <c r="EY53" s="127"/>
      <c r="EZ53" s="127"/>
      <c r="FA53" s="127"/>
      <c r="FB53" s="127"/>
      <c r="FC53" s="127"/>
      <c r="FD53" s="127"/>
      <c r="FE53" s="127"/>
      <c r="FF53" s="127"/>
      <c r="FG53" s="127"/>
      <c r="FH53" s="127"/>
      <c r="FI53" s="127"/>
      <c r="FJ53" s="127"/>
    </row>
    <row r="54" spans="1:166" ht="17.25" customHeight="1">
      <c r="B54" s="186"/>
      <c r="C54" s="200"/>
      <c r="D54" s="200"/>
      <c r="E54" s="200"/>
      <c r="F54" s="200"/>
      <c r="G54" s="200"/>
      <c r="H54" s="200"/>
      <c r="I54" s="200"/>
      <c r="J54" s="200"/>
      <c r="K54" s="200"/>
      <c r="L54" s="200"/>
      <c r="M54" s="200"/>
      <c r="N54" s="200"/>
      <c r="O54" s="200"/>
      <c r="P54" s="200"/>
      <c r="Q54" s="200"/>
      <c r="R54" s="200"/>
      <c r="S54" s="200"/>
      <c r="T54" s="200"/>
      <c r="U54" s="200"/>
      <c r="V54" s="200"/>
      <c r="W54" s="200"/>
      <c r="X54" s="200"/>
      <c r="Y54" s="200"/>
      <c r="Z54" s="200"/>
      <c r="AA54" s="200"/>
      <c r="AB54" s="200"/>
      <c r="AC54" s="200"/>
      <c r="AD54" s="200"/>
      <c r="AE54" s="200"/>
      <c r="AF54" s="200"/>
      <c r="AG54" s="200"/>
      <c r="AH54" s="200"/>
      <c r="AI54" s="200"/>
      <c r="AJ54" s="200"/>
      <c r="AK54" s="200"/>
      <c r="AL54" s="200"/>
      <c r="AM54" s="200"/>
      <c r="AN54" s="200"/>
    </row>
    <row r="55" spans="1:166" ht="17.25" customHeight="1">
      <c r="A55" s="424" t="s">
        <v>341</v>
      </c>
      <c r="B55" s="186"/>
      <c r="C55" s="200"/>
      <c r="D55" s="200"/>
      <c r="E55" s="200"/>
      <c r="F55" s="200"/>
      <c r="G55" s="200"/>
      <c r="H55" s="200"/>
      <c r="I55" s="200"/>
      <c r="J55" s="200"/>
      <c r="K55" s="200"/>
      <c r="L55" s="200"/>
      <c r="M55" s="200"/>
      <c r="N55" s="200"/>
      <c r="O55" s="200"/>
      <c r="P55" s="200"/>
      <c r="Q55" s="200"/>
      <c r="R55" s="200"/>
      <c r="S55" s="200"/>
      <c r="T55" s="200"/>
      <c r="U55" s="200"/>
      <c r="V55" s="200"/>
      <c r="W55" s="200"/>
      <c r="X55" s="200"/>
      <c r="Y55" s="200"/>
      <c r="Z55" s="200"/>
      <c r="AA55" s="200"/>
      <c r="AB55" s="200"/>
      <c r="AC55" s="200"/>
      <c r="AD55" s="200"/>
      <c r="AE55" s="200"/>
      <c r="AF55" s="200"/>
      <c r="AG55" s="200"/>
      <c r="AH55" s="200"/>
      <c r="AI55" s="200"/>
      <c r="AJ55" s="200"/>
      <c r="AK55" s="200"/>
      <c r="AL55" s="200"/>
      <c r="AM55" s="200"/>
      <c r="AN55" s="200"/>
    </row>
    <row r="56" spans="1:166" ht="17.25" customHeight="1">
      <c r="A56" s="425" t="s">
        <v>335</v>
      </c>
      <c r="B56" s="170" t="s">
        <v>1033</v>
      </c>
      <c r="C56" s="200"/>
      <c r="D56" s="200">
        <f>资产负债!D30-资产负债!C30</f>
        <v>185.62103268999999</v>
      </c>
      <c r="E56" s="200">
        <f>资产负债!E30-资产负债!D30</f>
        <v>193.48807083999998</v>
      </c>
      <c r="F56" s="200">
        <f>资产负债!F30-资产负债!E30</f>
        <v>586.57251322000025</v>
      </c>
      <c r="G56" s="200">
        <f>资产负债!G30-资产负债!F30</f>
        <v>370.96761102999972</v>
      </c>
      <c r="H56" s="200">
        <f>资产负债!H30-资产负债!G30</f>
        <v>272.05554497000003</v>
      </c>
      <c r="I56" s="200">
        <f ca="1">资产负债!I30-资产负债!H30+资本投资!J107</f>
        <v>187.4834755763903</v>
      </c>
      <c r="J56" s="200">
        <f ca="1">资产负债!J30-资产负债!I30+资本投资!K107</f>
        <v>329.29238937752064</v>
      </c>
      <c r="K56" s="200">
        <f ca="1">资产负债!K30-资产负债!J30+资本投资!L107</f>
        <v>409.59079955934135</v>
      </c>
      <c r="L56" s="200">
        <f ca="1">资产负债!L30-资产负债!K30+资本投资!M107</f>
        <v>385.28939823527253</v>
      </c>
      <c r="M56" s="200">
        <f ca="1">资产负债!M30-资产负债!L30+资本投资!N107</f>
        <v>363.4583555039577</v>
      </c>
      <c r="N56" s="200">
        <f ca="1">资产负债!N30-资产负债!M30+资本投资!O107</f>
        <v>463.77340633859438</v>
      </c>
      <c r="O56" s="200">
        <f ca="1">资产负债!O30-资产负债!N30+资本投资!P107</f>
        <v>553.70848311859709</v>
      </c>
      <c r="P56" s="200">
        <f ca="1">资产负债!P30-资产负债!O30+资本投资!Q107</f>
        <v>614.93273792913988</v>
      </c>
      <c r="Q56" s="200">
        <f ca="1">资产负债!Q30-资产负债!P30+资本投资!R107</f>
        <v>665.69404037753429</v>
      </c>
      <c r="R56" s="200">
        <f ca="1">资产负债!R30-资产负债!Q30+资本投资!S107</f>
        <v>745.12826793993213</v>
      </c>
      <c r="S56" s="200">
        <f ca="1">资产负债!S30-资产负债!R30+资本投资!T107</f>
        <v>860.7372818530215</v>
      </c>
      <c r="T56" s="200">
        <f ca="1">资产负债!T30-资产负债!S30+资本投资!U107</f>
        <v>976.08200823907339</v>
      </c>
      <c r="U56" s="200">
        <f ca="1">资产负债!U30-资产负债!T30+资本投资!V107</f>
        <v>1094.5344112728819</v>
      </c>
      <c r="V56" s="200">
        <f ca="1">资产负债!V30-资产负债!U30+资本投资!W107</f>
        <v>1229.5906764557662</v>
      </c>
      <c r="W56" s="200">
        <f ca="1">资产负债!W30-资产负债!V30+资本投资!X107</f>
        <v>1391.4748690356309</v>
      </c>
      <c r="X56" s="200">
        <f ca="1">资产负债!X30-资产负债!W30+资本投资!Y107</f>
        <v>1577.7500869670635</v>
      </c>
      <c r="Y56" s="200">
        <f ca="1">资产负债!Y30-资产负债!X30+资本投资!Z107</f>
        <v>1781.9623942814965</v>
      </c>
      <c r="Z56" s="200">
        <f ca="1">资产负债!Z30-资产负债!Y30+资本投资!AA107</f>
        <v>2010.5353826713076</v>
      </c>
      <c r="AA56" s="200">
        <f ca="1">资产负债!AA30-资产负债!Z30+资本投资!AB107</f>
        <v>2270.8345915686386</v>
      </c>
      <c r="AB56" s="200">
        <f ca="1">资产负债!AB30-资产负债!AA30+资本投资!AC107</f>
        <v>2567.321524515035</v>
      </c>
      <c r="AC56" s="200">
        <f ca="1">资产负债!AC30-资产负债!AB30+资本投资!AD107</f>
        <v>2901.8359656338553</v>
      </c>
      <c r="AD56" s="200">
        <f ca="1">资产负债!AD30-资产负债!AC30+资本投资!AE107</f>
        <v>3277.8417421710797</v>
      </c>
      <c r="AE56" s="200">
        <f ca="1">资产负债!AE30-资产负债!AD30+资本投资!AF107</f>
        <v>3702.6824579484201</v>
      </c>
      <c r="AF56" s="200">
        <f ca="1">资产负债!AF30-资产负债!AE30+资本投资!AG107</f>
        <v>4183.6108680225743</v>
      </c>
      <c r="AG56" s="200">
        <f ca="1">资产负债!AG30-资产负债!AF30+资本投资!AH107</f>
        <v>4727.3829395225475</v>
      </c>
      <c r="AH56" s="200">
        <f ca="1">资产负债!AH30-资产负债!AG30+资本投资!AI107</f>
        <v>5341.2975176583404</v>
      </c>
      <c r="AI56" s="200">
        <f ca="1">资产负债!AI30-资产负债!AH30+资本投资!AJ107</f>
        <v>6034.4892746390024</v>
      </c>
      <c r="AJ56" s="200">
        <f ca="1">资产负债!AJ30-资产负债!AI30+资本投资!AK107</f>
        <v>6817.9035982607438</v>
      </c>
      <c r="AK56" s="200">
        <f ca="1">资产负债!AK30-资产负债!AJ30+资本投资!AL107</f>
        <v>7703.3203947844468</v>
      </c>
      <c r="AL56" s="200">
        <f ca="1">资产负债!AL30-资产负债!AK30+资本投资!AM107</f>
        <v>8703.6978463308769</v>
      </c>
      <c r="AM56" s="200"/>
      <c r="AN56" s="200"/>
    </row>
    <row r="57" spans="1:166" ht="17.25" customHeight="1">
      <c r="A57" s="425" t="s">
        <v>336</v>
      </c>
      <c r="B57" s="170" t="s">
        <v>1033</v>
      </c>
      <c r="C57" s="200"/>
      <c r="D57" s="200">
        <f>资产负债!D31-资产负债!C31</f>
        <v>109.04559468999997</v>
      </c>
      <c r="E57" s="200">
        <f>资产负债!E31-资产负债!D31</f>
        <v>186.18780458000003</v>
      </c>
      <c r="F57" s="200">
        <f>资产负债!F31-资产负债!E31</f>
        <v>-135.06260462</v>
      </c>
      <c r="G57" s="200">
        <f>资产负债!G31-资产负债!F31</f>
        <v>-102.87394910000006</v>
      </c>
      <c r="H57" s="200">
        <f>资产负债!H31-资产负债!G31</f>
        <v>-107.34363406999998</v>
      </c>
      <c r="I57" s="200">
        <f ca="1">资产负债!I31-资产负债!H31</f>
        <v>21.776301558004462</v>
      </c>
      <c r="J57" s="200">
        <f ca="1">资产负债!J31-资产负债!I31</f>
        <v>38.645871191724609</v>
      </c>
      <c r="K57" s="200">
        <f ca="1">资产负债!K31-资产负债!J31</f>
        <v>28.29920410883139</v>
      </c>
      <c r="L57" s="200">
        <f ca="1">资产负债!L31-资产负债!K31</f>
        <v>11.949603210943877</v>
      </c>
      <c r="M57" s="200">
        <f ca="1">资产负债!M31-资产负债!L31</f>
        <v>4.388605266085392</v>
      </c>
      <c r="N57" s="200">
        <f ca="1">资产负债!N31-资产负债!M31</f>
        <v>27.466813671950717</v>
      </c>
      <c r="O57" s="200">
        <f ca="1">资产负债!O31-资产负债!N31</f>
        <v>32.895667049279723</v>
      </c>
      <c r="P57" s="200">
        <f ca="1">资产负债!P31-资产负债!O31</f>
        <v>32.983867019317756</v>
      </c>
      <c r="Q57" s="200">
        <f ca="1">资产负债!Q31-资产负债!P31</f>
        <v>34.862421910743421</v>
      </c>
      <c r="R57" s="200">
        <f ca="1">资产负债!R31-资产负债!Q31</f>
        <v>42.544852264759129</v>
      </c>
      <c r="S57" s="200">
        <f ca="1">资产负债!S31-资产负债!R31</f>
        <v>54.691587755746582</v>
      </c>
      <c r="T57" s="200">
        <f ca="1">资产负债!T31-资产负债!S31</f>
        <v>60.826517145464209</v>
      </c>
      <c r="U57" s="200">
        <f ca="1">资产负债!U31-资产负债!T31</f>
        <v>67.287371221578837</v>
      </c>
      <c r="V57" s="200">
        <f ca="1">资产负债!V31-资产负债!U31</f>
        <v>76.772738477048847</v>
      </c>
      <c r="W57" s="200">
        <f ca="1">资产负债!W31-资产负债!V31</f>
        <v>89.301211442983458</v>
      </c>
      <c r="X57" s="200">
        <f ca="1">资产负债!X31-资产负债!W31</f>
        <v>102.70062275307191</v>
      </c>
      <c r="Y57" s="200">
        <f ca="1">资产负债!Y31-资产负债!X31</f>
        <v>115.49451242520229</v>
      </c>
      <c r="Z57" s="200">
        <f ca="1">资产负债!Z31-资产负债!Y31</f>
        <v>130.02011924648605</v>
      </c>
      <c r="AA57" s="200">
        <f ca="1">资产负债!AA31-资产负债!Z31</f>
        <v>146.98917050833347</v>
      </c>
      <c r="AB57" s="200">
        <f ca="1">资产负债!AB31-资产负债!AA31</f>
        <v>166.39507521780979</v>
      </c>
      <c r="AC57" s="200">
        <f ca="1">资产负债!AC31-资产负债!AB31</f>
        <v>187.97991571442503</v>
      </c>
      <c r="AD57" s="200">
        <f ca="1">资产负债!AD31-资产负债!AC31</f>
        <v>212.00442638100822</v>
      </c>
      <c r="AE57" s="200">
        <f ca="1">资产负债!AE31-资产负债!AD31</f>
        <v>239.42013407030254</v>
      </c>
      <c r="AF57" s="200">
        <f ca="1">资产负债!AF31-资产负债!AE31</f>
        <v>270.59770051398891</v>
      </c>
      <c r="AG57" s="200">
        <f ca="1">资产负债!AG31-资产负债!AF31</f>
        <v>305.80349613563703</v>
      </c>
      <c r="AH57" s="200">
        <f ca="1">资产负债!AH31-资产负债!AG31</f>
        <v>345.43834654793136</v>
      </c>
      <c r="AI57" s="200">
        <f ca="1">资产负债!AI31-资产负债!AH31</f>
        <v>390.18877665808077</v>
      </c>
      <c r="AJ57" s="200">
        <f ca="1">资产负债!AJ31-资产负债!AI31</f>
        <v>440.86568277293918</v>
      </c>
      <c r="AK57" s="200">
        <f ca="1">资产负债!AK31-资产负债!AJ31</f>
        <v>498.1485462319979</v>
      </c>
      <c r="AL57" s="200">
        <f ca="1">资产负债!AL31-资产负债!AK31</f>
        <v>562.83980708235595</v>
      </c>
      <c r="AM57" s="200"/>
      <c r="AN57" s="200"/>
    </row>
    <row r="58" spans="1:166" ht="17.25" customHeight="1">
      <c r="A58" s="425" t="s">
        <v>337</v>
      </c>
      <c r="B58" s="170" t="s">
        <v>1033</v>
      </c>
      <c r="C58" s="200"/>
      <c r="D58" s="200">
        <f>资产负债!D33-资产负债!C33</f>
        <v>6.4817077499999982</v>
      </c>
      <c r="E58" s="200">
        <f>资产负债!E33-资产负债!D33</f>
        <v>18.360899379999978</v>
      </c>
      <c r="F58" s="200">
        <f>资产负债!F33-资产负债!E33</f>
        <v>8.1877987900000164</v>
      </c>
      <c r="G58" s="200">
        <f>资产负债!G33-资产负债!F33</f>
        <v>-2.9837193600000091</v>
      </c>
      <c r="H58" s="200">
        <f>资产负债!H33-资产负债!G33</f>
        <v>143.95803329000003</v>
      </c>
      <c r="I58" s="200">
        <f>资产负债!I33-资产负债!H33+资本投资!J121</f>
        <v>34.800943970000006</v>
      </c>
      <c r="J58" s="200">
        <f>资产负债!J33-资产负债!I33+资本投资!K121</f>
        <v>40.464791213999995</v>
      </c>
      <c r="K58" s="200">
        <f>资产负债!K33-资产负债!J33+资本投资!L121</f>
        <v>44.885569580800009</v>
      </c>
      <c r="L58" s="200">
        <f>资产负债!L33-资产负债!K33+资本投资!M121</f>
        <v>52.225123738960008</v>
      </c>
      <c r="M58" s="200">
        <f>资产负债!M33-资产负债!L33+资本投资!N121</f>
        <v>63.266892358752017</v>
      </c>
      <c r="N58" s="200">
        <f>资产负债!N33-资产负债!M33+资本投资!O121</f>
        <v>47.128664172502376</v>
      </c>
      <c r="O58" s="200">
        <f>资产负债!O33-资产负债!N33+资本投资!P121</f>
        <v>49.594208213002787</v>
      </c>
      <c r="P58" s="200">
        <f>资产负债!P33-资产负债!O33+资本投资!Q121</f>
        <v>51.420091612803503</v>
      </c>
      <c r="Q58" s="200">
        <f>资产负债!Q33-资产负债!P33+资本投资!R121</f>
        <v>52.726996019204151</v>
      </c>
      <c r="R58" s="200">
        <f>资产负债!R33-资产负债!Q33+资本投资!S121</f>
        <v>52.827370475253048</v>
      </c>
      <c r="S58" s="200">
        <f>资产负债!S33-资产负债!R33+资本投资!T121</f>
        <v>50.739466098553137</v>
      </c>
      <c r="T58" s="200">
        <f>资产负债!T33-资产负债!S33+资本投资!U121</f>
        <v>51.461626483763325</v>
      </c>
      <c r="U58" s="200">
        <f>资产负债!U33-资产负债!T33+资本投资!V121</f>
        <v>51.835110137915457</v>
      </c>
      <c r="V58" s="200">
        <f>资产负债!V33-资产负债!U33+资本投资!W121</f>
        <v>51.918113842937871</v>
      </c>
      <c r="W58" s="200">
        <f>资产负债!W33-资产负债!V33+资本投资!X121</f>
        <v>51.756337407684569</v>
      </c>
      <c r="X58" s="200">
        <f>资产负债!X33-资产负债!W33+资本投资!Y121</f>
        <v>51.542130794170831</v>
      </c>
      <c r="Y58" s="200">
        <f>资产负债!Y33-资产负债!X33+资本投资!Z121</f>
        <v>51.702663733294386</v>
      </c>
      <c r="Z58" s="200">
        <f>资产负债!Z33-资产负债!Y33+资本投资!AA121</f>
        <v>51.750871183200601</v>
      </c>
      <c r="AA58" s="200">
        <f>资产负债!AA33-资产负债!Z33+资本投资!AB121</f>
        <v>51.734023392257605</v>
      </c>
      <c r="AB58" s="200">
        <f>资产负债!AB33-资产负债!AA33+资本投资!AC121</f>
        <v>51.697205302121574</v>
      </c>
      <c r="AC58" s="200">
        <f>资产负债!AC33-资产负债!AB33+资本投资!AD121</f>
        <v>51.685378881009022</v>
      </c>
      <c r="AD58" s="200">
        <f>资产负债!AD33-资产负债!AC33+资本投资!AE121</f>
        <v>51.714028498376571</v>
      </c>
      <c r="AE58" s="200">
        <f>资产负债!AE33-资产负债!AD33+资本投资!AF121</f>
        <v>51.716301451393079</v>
      </c>
      <c r="AF58" s="200">
        <f>资产负债!AF33-资产负债!AE33+资本投资!AG121</f>
        <v>51.709387505031572</v>
      </c>
      <c r="AG58" s="200">
        <f>资产负债!AG33-资产负债!AF33+资本投资!AH121</f>
        <v>51.704460327586389</v>
      </c>
      <c r="AH58" s="200">
        <f>资产负债!AH33-资产负债!AG33+资本投资!AI121</f>
        <v>51.705911332679285</v>
      </c>
      <c r="AI58" s="200">
        <f>资产负债!AI33-资产负债!AH33+资本投资!AJ121</f>
        <v>51.71001782301343</v>
      </c>
      <c r="AJ58" s="200">
        <f>资产负债!AJ33-资产负债!AI33+资本投资!AK121</f>
        <v>51.709215687940713</v>
      </c>
      <c r="AK58" s="200">
        <f>资产负债!AK33-资产负债!AJ33+资本投资!AL121</f>
        <v>51.707798535250326</v>
      </c>
      <c r="AL58" s="200">
        <f>资产负债!AL33-资产负债!AK33+资本投资!AM121</f>
        <v>51.707480741294006</v>
      </c>
      <c r="AM58" s="200"/>
      <c r="AN58" s="200"/>
    </row>
    <row r="59" spans="1:166" ht="17.25" customHeight="1">
      <c r="A59" s="158" t="s">
        <v>2492</v>
      </c>
      <c r="B59" s="170" t="s">
        <v>1033</v>
      </c>
      <c r="C59" s="200"/>
      <c r="D59" s="200">
        <f>资产负债!D34-资产负债!C34</f>
        <v>-0.48131123999999992</v>
      </c>
      <c r="E59" s="200">
        <f>资产负债!E34-资产负债!D34</f>
        <v>0.65380257000000008</v>
      </c>
      <c r="F59" s="200">
        <f>资产负债!F34-资产负债!E34</f>
        <v>1.4304843899999997</v>
      </c>
      <c r="G59" s="200">
        <f>资产负债!G34-资产负债!F34</f>
        <v>-1.9544674599999998</v>
      </c>
      <c r="H59" s="200">
        <f>资产负债!H34-资产负债!G34</f>
        <v>0.71622156999999986</v>
      </c>
      <c r="I59" s="200">
        <f>资产负债!I34-资产负债!H34+资本投资!J127</f>
        <v>0.91177214066828771</v>
      </c>
      <c r="J59" s="200">
        <f>资产负债!J34-资产负债!I34+资本投资!K127</f>
        <v>-1.0360444318938848</v>
      </c>
      <c r="K59" s="200">
        <f>资产负债!K34-资产负债!J34+资本投资!L127</f>
        <v>1.1359644295377707</v>
      </c>
      <c r="L59" s="200">
        <f>资产负债!L34-资产负债!K34+资本投资!M127</f>
        <v>1.0847784635693163</v>
      </c>
      <c r="M59" s="200">
        <f>资产负债!M34-资产负债!L34+资本投资!N127</f>
        <v>-0.96428092644865016</v>
      </c>
      <c r="N59" s="200">
        <f>资产负债!N34-资产负债!M34+资本投资!O127</f>
        <v>1.0233750214761153</v>
      </c>
      <c r="O59" s="200">
        <f>资产负债!O34-资产负债!N34+资本投资!P127</f>
        <v>1.0472841031745626</v>
      </c>
      <c r="P59" s="200">
        <f>资产负债!P34-资产负债!O34+资本投资!Q127</f>
        <v>-1.0495466275209104</v>
      </c>
      <c r="Q59" s="200">
        <f>资产负债!Q34-资产负债!P34+资本投资!R127</f>
        <v>1.0330685453765547</v>
      </c>
      <c r="R59" s="200">
        <f>资产负债!R34-资产负债!Q34+资本投资!S127</f>
        <v>1.0230261976281638</v>
      </c>
      <c r="S59" s="200">
        <f>资产负债!S34-资产负债!R34+资本投资!T127</f>
        <v>-1.0351979207309867</v>
      </c>
      <c r="T59" s="200">
        <f>资产负债!T34-资产负债!S34+资本投资!U127</f>
        <v>1.0375788409307081</v>
      </c>
      <c r="U59" s="200">
        <f>资产负债!U34-资产负债!T34+资本投资!V127</f>
        <v>1.0356486079942562</v>
      </c>
      <c r="V59" s="200">
        <f>资产负债!V34-资产负债!U34+资本投资!W127</f>
        <v>-1.03289116692778</v>
      </c>
      <c r="W59" s="200">
        <f>资产负债!W34-资产负债!V34+资本投资!X127</f>
        <v>1.0328556948929091</v>
      </c>
      <c r="X59" s="200">
        <f>资产负债!X34-资产负债!W34+资本投资!Y127</f>
        <v>1.0348328987512341</v>
      </c>
      <c r="Y59" s="200">
        <f>资产负债!Y34-资产负债!X34+资本投资!Z127</f>
        <v>-1.0347599098020188</v>
      </c>
      <c r="Z59" s="200">
        <f>资产负债!Z34-资产负债!Y34+资本投资!AA127</f>
        <v>1.0341970432716181</v>
      </c>
      <c r="AA59" s="200">
        <f>资产负债!AA34-资产负债!Z34+资本投资!AB127</f>
        <v>1.0339069745599083</v>
      </c>
      <c r="AB59" s="200">
        <f>资产负债!AB34-资产负债!AA34+资本投资!AC127</f>
        <v>-1.0341102559357092</v>
      </c>
      <c r="AC59" s="200">
        <f>资产负债!AC34-资产负债!AB34+资本投资!AD127</f>
        <v>1.0343613509477949</v>
      </c>
      <c r="AD59" s="200">
        <f>资产负债!AD34-资产负债!AC34+资本投资!AE127</f>
        <v>1.0342670671749641</v>
      </c>
      <c r="AE59" s="200">
        <f>资产负债!AE34-资产负债!AD34+资本投资!AF127</f>
        <v>-1.034168526821273</v>
      </c>
      <c r="AF59" s="200">
        <f>资产负债!AF34-资产负债!AE34+资本投资!AG127</f>
        <v>1.0341628236255604</v>
      </c>
      <c r="AG59" s="200">
        <f>资产负债!AG34-资产负债!AF34+资本投资!AH127</f>
        <v>1.0342140010356302</v>
      </c>
      <c r="AH59" s="200">
        <f>资产负债!AH34-资产负债!AG34+资本投资!AI127</f>
        <v>-1.0342347513045467</v>
      </c>
      <c r="AI59" s="200">
        <f>资产负债!AI34-资产负债!AH34+资本投资!AJ127</f>
        <v>1.0342094332353624</v>
      </c>
      <c r="AJ59" s="200">
        <f>资产负债!AJ34-资产负债!AI34+资本投资!AK127</f>
        <v>1.0341979068328473</v>
      </c>
      <c r="AK59" s="200">
        <f>资产负债!AK34-资产负债!AJ34+资本投资!AL127</f>
        <v>-1.0342037829353172</v>
      </c>
      <c r="AL59" s="200">
        <f>资产负债!AL34-资产负债!AK34+资本投资!AM127</f>
        <v>1.0342119749919325</v>
      </c>
      <c r="AM59" s="200"/>
      <c r="AN59" s="200"/>
    </row>
    <row r="60" spans="1:166" ht="17.25" customHeight="1">
      <c r="A60" s="158" t="s">
        <v>2493</v>
      </c>
      <c r="B60" s="170" t="s">
        <v>1033</v>
      </c>
      <c r="C60" s="200"/>
      <c r="D60" s="200">
        <f>资产负债!D35-资产负债!C35</f>
        <v>0</v>
      </c>
      <c r="E60" s="200">
        <f>资产负债!E35-资产负债!D35</f>
        <v>0</v>
      </c>
      <c r="F60" s="200">
        <f>资产负债!F35-资产负债!E35</f>
        <v>0</v>
      </c>
      <c r="G60" s="200">
        <f>资产负债!G35-资产负债!F35</f>
        <v>0</v>
      </c>
      <c r="H60" s="200">
        <f>资产负债!H35-资产负债!G35</f>
        <v>101.09582881</v>
      </c>
      <c r="I60" s="200">
        <f>资产负债!I35-资产负债!H35</f>
        <v>-28.215828810000005</v>
      </c>
      <c r="J60" s="200">
        <f>资产负债!J35-资产负债!I35</f>
        <v>14.107914405000002</v>
      </c>
      <c r="K60" s="200">
        <f>资产负债!K35-资产负债!J35</f>
        <v>-7.0539572025000012</v>
      </c>
      <c r="L60" s="200">
        <f>资产负债!L35-资产负债!K35</f>
        <v>3.5269786012500077</v>
      </c>
      <c r="M60" s="200">
        <f>资产负债!M35-资产负债!L35</f>
        <v>-1.7634893006249968</v>
      </c>
      <c r="N60" s="200">
        <f>资产负债!N35-资产负债!M35</f>
        <v>0.88174465031249838</v>
      </c>
      <c r="O60" s="200">
        <f>资产负债!O35-资产负债!N35</f>
        <v>-0.44087232515624919</v>
      </c>
      <c r="P60" s="200">
        <f>资产负债!P35-资产负债!O35</f>
        <v>0.22043616257812459</v>
      </c>
      <c r="Q60" s="200">
        <f>资产负债!Q35-资产负债!P35</f>
        <v>-0.1102180812890623</v>
      </c>
      <c r="R60" s="200">
        <f>资产负债!R35-资产负债!Q35</f>
        <v>5.5109040644524043E-2</v>
      </c>
      <c r="S60" s="200">
        <f>资产负债!S35-资产负债!R35</f>
        <v>-2.7554520322269127E-2</v>
      </c>
      <c r="T60" s="200">
        <f>资产负债!T35-资产负债!S35</f>
        <v>1.3777260161134564E-2</v>
      </c>
      <c r="U60" s="200">
        <f>资产负债!U35-资产负债!T35</f>
        <v>-6.8886300805672818E-3</v>
      </c>
      <c r="V60" s="200">
        <f>资产负债!V35-资产负债!U35</f>
        <v>3.4443150402836409E-3</v>
      </c>
      <c r="W60" s="200">
        <f>资产负债!W35-资产负债!V35</f>
        <v>-1.7221575201489259E-3</v>
      </c>
      <c r="X60" s="200">
        <f>资产负债!X35-资产负债!W35</f>
        <v>8.6107876006735751E-4</v>
      </c>
      <c r="Y60" s="200">
        <f>资产负债!Y35-资产负债!X35</f>
        <v>-4.3053938003367875E-4</v>
      </c>
      <c r="Z60" s="200">
        <f>资产负债!Z35-资产负债!Y35</f>
        <v>2.1526969001683938E-4</v>
      </c>
      <c r="AA60" s="200">
        <f>资产负债!AA35-资产负债!Z35</f>
        <v>-1.0763484500841969E-4</v>
      </c>
      <c r="AB60" s="200">
        <f>资产负债!AB35-资产负债!AA35</f>
        <v>5.3817422511315272E-5</v>
      </c>
      <c r="AC60" s="200">
        <f>资产负债!AC35-资产负债!AB35</f>
        <v>-2.6908711248552208E-5</v>
      </c>
      <c r="AD60" s="200">
        <f>资产负债!AD35-资产负债!AC35</f>
        <v>1.3454355624276104E-5</v>
      </c>
      <c r="AE60" s="200">
        <f>资产负债!AE35-资产负债!AD35</f>
        <v>-6.7271778192434795E-6</v>
      </c>
      <c r="AF60" s="200">
        <f>资产负债!AF35-资产负债!AE35</f>
        <v>3.3635889167271671E-6</v>
      </c>
      <c r="AG60" s="200">
        <f>资产负债!AG35-资产负债!AF35</f>
        <v>-1.6817944583635835E-6</v>
      </c>
      <c r="AH60" s="200">
        <f>资产负债!AH35-资产负债!AG35</f>
        <v>8.4089722918179177E-7</v>
      </c>
      <c r="AI60" s="200">
        <f>资产负债!AI35-资产负债!AH35</f>
        <v>-4.2044861459089589E-7</v>
      </c>
      <c r="AJ60" s="200">
        <f>资产负债!AJ35-资产负债!AI35</f>
        <v>2.102243144008753E-7</v>
      </c>
      <c r="AK60" s="200">
        <f>资产负债!AK35-资产负债!AJ35</f>
        <v>-1.0511215009501029E-7</v>
      </c>
      <c r="AL60" s="200">
        <f>资产负债!AL35-资产负债!AK35</f>
        <v>5.2556075047505146E-8</v>
      </c>
      <c r="AM60" s="200"/>
      <c r="AN60" s="200"/>
    </row>
    <row r="61" spans="1:166" ht="17.25" customHeight="1">
      <c r="A61" s="425" t="s">
        <v>338</v>
      </c>
      <c r="B61" s="170" t="s">
        <v>1033</v>
      </c>
      <c r="C61" s="200"/>
      <c r="D61" s="200">
        <f>(资产负债!D70-资产负债!D62-资产负债!D64-资产负债!D68)-(资产负债!C70-资产负债!C62-资产负债!C64-资产负债!C68)</f>
        <v>6.7539325099999985</v>
      </c>
      <c r="E61" s="200">
        <f>(资产负债!E70-资产负债!E62-资产负债!E64-资产负债!E68)-(资产负债!D70-资产负债!D62-资产负债!D64-资产负债!D68)</f>
        <v>6.5355857700000115</v>
      </c>
      <c r="F61" s="200">
        <f>(资产负债!F70-资产负债!F62-资产负债!F64-资产负债!F68)-(资产负债!E70-资产负债!E62-资产负债!E64-资产负债!E68)</f>
        <v>24.902754339999987</v>
      </c>
      <c r="G61" s="200">
        <f>(资产负债!G70-资产负债!G62-资产负债!G64-资产负债!G68)-(资产负债!F70-资产负债!F62-资产负债!F64-资产负债!F68)</f>
        <v>23.785191050000094</v>
      </c>
      <c r="H61" s="200">
        <f>(资产负债!H70-资产负债!H62-资产负债!H64-资产负债!H68)-(资产负债!G70-资产负债!G62-资产负债!G64-资产负债!G68)</f>
        <v>45.361533059999829</v>
      </c>
      <c r="I61" s="200">
        <f ca="1">(资产负债!I70-资产负债!I62-资产负债!I64-资产负债!I68)-(资产负债!H70-资产负债!H62-资产负债!H64-资产负债!H68)</f>
        <v>18.975777960000073</v>
      </c>
      <c r="J61" s="200">
        <f ca="1">(资产负债!J70-资产负债!J62-资产负债!J64-资产负债!J68)-(资产负债!I70-资产负债!I62-资产负债!I64-资产负债!I68)</f>
        <v>-6.3252593199999865</v>
      </c>
      <c r="K61" s="200">
        <f ca="1">(资产负债!K70-资产负债!K62-资产负债!K64-资产负债!K68)-(资产负债!J70-资产负债!J62-资产负债!J64-资产负债!J68)</f>
        <v>2.108419773333253</v>
      </c>
      <c r="L61" s="200">
        <f ca="1">(资产负债!L70-资产负债!L62-资产负债!L64-资产负债!L68)-(资产负债!K70-资产负债!K62-资产负债!K64-资产负债!K68)</f>
        <v>-0.70280659111097066</v>
      </c>
      <c r="M61" s="200">
        <f ca="1">(资产负债!M70-资产负债!M62-资产负债!M64-资产负债!M68)-(资产负债!L70-资产负债!L62-资产负债!L64-资产负债!L68)</f>
        <v>0.23426886370367583</v>
      </c>
      <c r="N61" s="200">
        <f ca="1">(资产负债!N70-资产负债!N62-资产负债!N64-资产负债!N68)-(资产负债!M70-资产负债!M62-资产负债!M64-资产负债!M68)</f>
        <v>-7.8089621234596507E-2</v>
      </c>
      <c r="O61" s="200">
        <f ca="1">(资产负债!O70-资产负债!O62-资产负债!O64-资产负债!O68)-(资产负债!N70-资产负债!N62-资产负债!N64-资产负债!N68)</f>
        <v>2.6029873744903398E-2</v>
      </c>
      <c r="P61" s="200">
        <f ca="1">(资产负债!P70-资产负债!P62-资产负债!P64-资产负债!P68)-(资产负债!O70-资产负债!O62-资产负债!O64-资产负债!O68)</f>
        <v>-8.6766245816534138E-3</v>
      </c>
      <c r="Q61" s="200">
        <f ca="1">(资产负债!Q70-资产负债!Q62-资产负债!Q64-资产负债!Q68)-(资产负债!P70-资产负债!P62-资产负债!P64-资产负债!P68)</f>
        <v>2.8922081938276278E-3</v>
      </c>
      <c r="R61" s="200">
        <f ca="1">(资产负债!R70-资产负债!R62-资产负债!R64-资产负债!R68)-(资产负债!Q70-资产负债!Q62-资产负债!Q64-资产负债!Q68)</f>
        <v>-9.6406939792359481E-4</v>
      </c>
      <c r="S61" s="200">
        <f ca="1">(资产负债!S70-资产负债!S62-资产负债!S64-资产负债!S68)-(资产负债!R70-资产负债!R62-资产负债!R64-资产负债!R68)</f>
        <v>3.2135646594610989E-4</v>
      </c>
      <c r="T61" s="200">
        <f ca="1">(资产负债!T70-资产负债!T62-资产负债!T64-资产负债!T68)-(资产负债!S70-资产负债!S62-资产负债!S64-资产负债!S68)</f>
        <v>-1.0711882194414102E-4</v>
      </c>
      <c r="U61" s="200">
        <f ca="1">(资产负债!U70-资产负债!U62-资产负债!U64-资产负债!U68)-(资产负债!T70-资产负债!T62-资产负债!T64-资产负债!T68)</f>
        <v>3.5706274047697661E-5</v>
      </c>
      <c r="V61" s="200">
        <f ca="1">(资产负债!V70-资产负债!V62-资产负债!V64-资产负债!V68)-(资产负债!U70-资产负债!U62-资产负债!U64-资产负债!U68)</f>
        <v>-1.1902091330284748E-5</v>
      </c>
      <c r="W61" s="200">
        <f ca="1">(资产负债!W70-资产负债!W62-资产负债!W64-资产负债!W68)-(资产负债!V70-资产负债!V62-资产负债!V64-资产负债!V68)</f>
        <v>3.9673636820225511E-6</v>
      </c>
      <c r="X61" s="200">
        <f ca="1">(资产负债!X70-资产负债!X62-资产负债!X64-资产负债!X68)-(资产负债!W70-资产负债!W62-资产负债!W64-资产负债!W68)</f>
        <v>-1.3224545227785711E-6</v>
      </c>
      <c r="Y61" s="200">
        <f ca="1">(资产负债!Y70-资产负债!Y62-资产负债!Y64-资产负债!Y68)-(资产负债!X70-资产负债!X62-资产负债!X64-资产负债!X68)</f>
        <v>4.4081809846829856E-7</v>
      </c>
      <c r="Z61" s="200">
        <f ca="1">(资产负债!Z70-资产负债!Z62-资产负债!Z64-资产负债!Z68)-(资产负债!Y70-资产负债!Y62-资产负债!Y64-资产负债!Y68)</f>
        <v>-1.4693944194732467E-7</v>
      </c>
      <c r="AA61" s="200">
        <f ca="1">(资产负债!AA70-资产负债!AA62-资产负债!AA64-资产负债!AA68)-(资产负债!Z70-资产负债!Z62-资产负债!Z64-资产负债!Z68)</f>
        <v>4.8979927669279277E-8</v>
      </c>
      <c r="AB61" s="200">
        <f ca="1">(资产负债!AB70-资产负债!AB62-资产负债!AB64-资产负债!AB68)-(资产负债!AA70-资产负债!AA62-资产负债!AA64-资产负债!AA68)</f>
        <v>-1.6326680452039E-8</v>
      </c>
      <c r="AC61" s="200">
        <f ca="1">(资产负债!AC70-资产负债!AC62-资产负债!AC64-资产负债!AC68)-(资产负债!AB70-资产负债!AB62-资产负债!AB64-资产负债!AB68)</f>
        <v>5.4421889217337593E-9</v>
      </c>
      <c r="AD61" s="200">
        <f ca="1">(资产负债!AD70-资产负债!AD62-资产负债!AD64-资产负债!AD68)-(资产负债!AC70-资产负债!AC62-资产负债!AC64-资产负债!AC68)</f>
        <v>-1.814100869523827E-9</v>
      </c>
      <c r="AE61" s="200">
        <f ca="1">(资产负债!AE70-资产负债!AE62-资产负债!AE64-资产负债!AE68)-(资产负债!AD70-资产负债!AD62-资产负债!AD64-资产负债!AD68)</f>
        <v>6.0458660300355405E-10</v>
      </c>
      <c r="AF61" s="200">
        <f ca="1">(资产负债!AF70-资产负债!AF62-资产负债!AF64-资产负债!AF68)-(资产负债!AE70-资产负债!AE62-资产负债!AE64-资产负债!AE68)</f>
        <v>-2.014530764427036E-10</v>
      </c>
      <c r="AG61" s="200">
        <f ca="1">(资产负债!AG70-资产负债!AG62-资产负债!AG64-资产负债!AG68)-(资产负债!AF70-资产负债!AF62-资产负债!AF64-资产负债!AF68)</f>
        <v>6.7075234255753458E-11</v>
      </c>
      <c r="AH61" s="200">
        <f ca="1">(资产负债!AH70-资产负债!AH62-资产负债!AH64-资产负债!AH68)-(资产负债!AG70-资产负债!AG62-资产负债!AG64-资产负债!AG68)</f>
        <v>-2.205524651799351E-11</v>
      </c>
      <c r="AI61" s="200">
        <f ca="1">(资产负债!AI70-资产负债!AI62-资产负债!AI64-资产负债!AI68)-(资产负债!AH70-资产负债!AH62-资产负债!AH64-资产负债!AH68)</f>
        <v>7.2759576141834259E-12</v>
      </c>
      <c r="AJ61" s="200">
        <f ca="1">(资产负债!AJ70-资产负债!AJ62-资产负债!AJ64-资产负债!AJ68)-(资产负债!AI70-资产负债!AI62-资产负债!AI64-资产负债!AI68)</f>
        <v>-2.7284841053187847E-12</v>
      </c>
      <c r="AK61" s="200">
        <f ca="1">(资产负债!AK70-资产负债!AK62-资产负债!AK64-资产负债!AK68)-(资产负债!AJ70-资产负债!AJ62-资产负债!AJ64-资产负债!AJ68)</f>
        <v>9.0949470177292824E-13</v>
      </c>
      <c r="AL61" s="200">
        <f ca="1">(资产负债!AL70-资产负债!AL62-资产负债!AL64-资产负债!AL68)-(资产负债!AK70-资产负债!AK62-资产负债!AK64-资产负债!AK68)</f>
        <v>-4.5474735088646412E-13</v>
      </c>
      <c r="AM61" s="200"/>
      <c r="AN61" s="200"/>
    </row>
    <row r="62" spans="1:166" s="203" customFormat="1" ht="17.25" customHeight="1">
      <c r="A62" s="426" t="s">
        <v>334</v>
      </c>
      <c r="B62" s="202" t="s">
        <v>1031</v>
      </c>
      <c r="C62" s="128"/>
      <c r="D62" s="128">
        <f>D56+D57+D58+D59+D60-D61</f>
        <v>293.91309137999997</v>
      </c>
      <c r="E62" s="128">
        <f t="shared" ref="E62:AL62" si="73">E56+E57+E58+E59+E60-E61</f>
        <v>392.15499159999996</v>
      </c>
      <c r="F62" s="128">
        <f t="shared" si="73"/>
        <v>436.22543744000023</v>
      </c>
      <c r="G62" s="128">
        <f t="shared" si="73"/>
        <v>239.37028405999956</v>
      </c>
      <c r="H62" s="128">
        <f t="shared" si="73"/>
        <v>365.12046151000027</v>
      </c>
      <c r="I62" s="128">
        <f t="shared" ca="1" si="73"/>
        <v>197.78088647506297</v>
      </c>
      <c r="J62" s="128">
        <f t="shared" ca="1" si="73"/>
        <v>427.80018107635135</v>
      </c>
      <c r="K62" s="128">
        <f t="shared" ca="1" si="73"/>
        <v>474.74916070267727</v>
      </c>
      <c r="L62" s="128">
        <f t="shared" ca="1" si="73"/>
        <v>454.77868884110671</v>
      </c>
      <c r="M62" s="128">
        <f t="shared" ca="1" si="73"/>
        <v>428.15181403801779</v>
      </c>
      <c r="N62" s="128">
        <f t="shared" ca="1" si="73"/>
        <v>540.35209347607065</v>
      </c>
      <c r="O62" s="128">
        <f t="shared" ca="1" si="73"/>
        <v>636.77874028515316</v>
      </c>
      <c r="P62" s="128">
        <f t="shared" ca="1" si="73"/>
        <v>698.51626272090004</v>
      </c>
      <c r="Q62" s="128">
        <f t="shared" ca="1" si="73"/>
        <v>754.20341656337564</v>
      </c>
      <c r="R62" s="128">
        <f t="shared" ca="1" si="73"/>
        <v>841.5795899876149</v>
      </c>
      <c r="S62" s="128">
        <f t="shared" ca="1" si="73"/>
        <v>965.10526190980204</v>
      </c>
      <c r="T62" s="128">
        <f t="shared" ca="1" si="73"/>
        <v>1089.4216150882148</v>
      </c>
      <c r="U62" s="128">
        <f t="shared" ca="1" si="73"/>
        <v>1214.6856169040161</v>
      </c>
      <c r="V62" s="128">
        <f t="shared" ca="1" si="73"/>
        <v>1357.2520938259565</v>
      </c>
      <c r="W62" s="128">
        <f t="shared" ca="1" si="73"/>
        <v>1533.5635474563082</v>
      </c>
      <c r="X62" s="128">
        <f t="shared" ca="1" si="73"/>
        <v>1733.0285358142719</v>
      </c>
      <c r="Y62" s="128">
        <f t="shared" ca="1" si="73"/>
        <v>1948.1243795499931</v>
      </c>
      <c r="Z62" s="128">
        <f t="shared" ca="1" si="73"/>
        <v>2193.3407855608953</v>
      </c>
      <c r="AA62" s="128">
        <f t="shared" ca="1" si="73"/>
        <v>2470.5915847599654</v>
      </c>
      <c r="AB62" s="128">
        <f t="shared" ca="1" si="73"/>
        <v>2784.3797486127805</v>
      </c>
      <c r="AC62" s="128">
        <f t="shared" ca="1" si="73"/>
        <v>3142.5355946660839</v>
      </c>
      <c r="AD62" s="128">
        <f t="shared" ca="1" si="73"/>
        <v>3542.5944775738089</v>
      </c>
      <c r="AE62" s="128">
        <f t="shared" ca="1" si="73"/>
        <v>3992.7847182155119</v>
      </c>
      <c r="AF62" s="128">
        <f t="shared" ca="1" si="73"/>
        <v>4506.9521222290114</v>
      </c>
      <c r="AG62" s="128">
        <f t="shared" ca="1" si="73"/>
        <v>5085.9251083049439</v>
      </c>
      <c r="AH62" s="128">
        <f t="shared" ca="1" si="73"/>
        <v>5737.4075416285659</v>
      </c>
      <c r="AI62" s="128">
        <f t="shared" ca="1" si="73"/>
        <v>6477.4222781328763</v>
      </c>
      <c r="AJ62" s="128">
        <f t="shared" ca="1" si="73"/>
        <v>7311.5126948386833</v>
      </c>
      <c r="AK62" s="128">
        <f t="shared" ca="1" si="73"/>
        <v>8252.1425356636464</v>
      </c>
      <c r="AL62" s="128">
        <f t="shared" ca="1" si="73"/>
        <v>9319.2793461820747</v>
      </c>
      <c r="AM62" s="128"/>
      <c r="AN62" s="128"/>
    </row>
    <row r="63" spans="1:166" ht="17.25" customHeight="1">
      <c r="B63" s="186"/>
      <c r="C63" s="200"/>
      <c r="D63" s="200"/>
      <c r="E63" s="200"/>
      <c r="F63" s="200"/>
      <c r="G63" s="200"/>
      <c r="H63" s="200"/>
      <c r="I63" s="200"/>
      <c r="J63" s="200"/>
      <c r="K63" s="200"/>
      <c r="L63" s="200"/>
      <c r="M63" s="200"/>
      <c r="N63" s="200"/>
      <c r="O63" s="200"/>
      <c r="P63" s="200"/>
      <c r="Q63" s="200"/>
      <c r="R63" s="200"/>
      <c r="S63" s="200"/>
      <c r="T63" s="200"/>
      <c r="U63" s="200"/>
      <c r="V63" s="200"/>
      <c r="W63" s="200"/>
      <c r="X63" s="200"/>
      <c r="Y63" s="200"/>
      <c r="Z63" s="200"/>
      <c r="AA63" s="200"/>
      <c r="AB63" s="200"/>
      <c r="AC63" s="200"/>
      <c r="AD63" s="200"/>
      <c r="AE63" s="200"/>
      <c r="AF63" s="200"/>
      <c r="AG63" s="200"/>
      <c r="AH63" s="200"/>
      <c r="AI63" s="200"/>
      <c r="AJ63" s="200"/>
      <c r="AK63" s="200"/>
      <c r="AL63" s="200"/>
      <c r="AM63" s="200"/>
      <c r="AN63" s="200"/>
    </row>
    <row r="64" spans="1:166" customFormat="1" ht="17.25" customHeight="1"/>
    <row r="65" customFormat="1" ht="17.25" customHeight="1"/>
    <row r="66" customFormat="1" ht="17.25" customHeight="1"/>
    <row r="67" customFormat="1" ht="17.25" customHeight="1"/>
    <row r="68" customFormat="1" ht="17.25" customHeight="1"/>
    <row r="69" customFormat="1" ht="17.25" customHeight="1"/>
    <row r="70" customFormat="1" ht="17.25" customHeight="1"/>
    <row r="71" customFormat="1" ht="17.25" customHeight="1"/>
    <row r="72" customFormat="1" ht="17.25" customHeight="1"/>
    <row r="73" customFormat="1" ht="17.25" customHeight="1"/>
    <row r="74" customFormat="1" ht="17.25" customHeight="1"/>
    <row r="75" customFormat="1" ht="17.25" customHeight="1"/>
    <row r="76" customFormat="1" ht="17.25" customHeight="1"/>
    <row r="77" customFormat="1" ht="17.25" customHeight="1"/>
    <row r="78" customFormat="1" ht="17.25" customHeight="1"/>
    <row r="79" customFormat="1" ht="17.25" customHeight="1"/>
    <row r="80" customFormat="1" ht="17.25" customHeight="1"/>
    <row r="81" customFormat="1" ht="17.25" customHeight="1"/>
    <row r="82" customFormat="1" ht="17.25" customHeight="1"/>
    <row r="83" customFormat="1" ht="17.25" customHeight="1"/>
    <row r="84" customFormat="1" ht="17.25" customHeight="1"/>
    <row r="85" customFormat="1" ht="17.25" customHeight="1"/>
    <row r="86" customFormat="1" ht="17.25" customHeight="1"/>
    <row r="87" customFormat="1" ht="17.25" customHeight="1"/>
    <row r="88" customFormat="1" ht="17.25" customHeight="1"/>
    <row r="89" customFormat="1" ht="17.25" customHeight="1"/>
    <row r="90" customFormat="1" ht="17.25" customHeight="1"/>
    <row r="91" customFormat="1" ht="17.25" customHeight="1"/>
    <row r="92" customFormat="1" ht="17.25" customHeight="1"/>
    <row r="93" customFormat="1" ht="17.25" customHeight="1"/>
    <row r="94" customFormat="1" ht="17.25" customHeight="1"/>
    <row r="95" customFormat="1" ht="17.25" customHeight="1"/>
    <row r="96" customFormat="1" ht="17.25" customHeight="1"/>
    <row r="97" customFormat="1" ht="17.25" customHeight="1"/>
    <row r="98" customFormat="1" ht="17.25" customHeight="1"/>
    <row r="99" customFormat="1" ht="17.25" customHeight="1"/>
    <row r="100" customFormat="1" ht="17.25" customHeight="1"/>
    <row r="101" customFormat="1" ht="17.25" customHeight="1"/>
    <row r="102" customFormat="1" ht="17.25" customHeight="1"/>
    <row r="103" customFormat="1" ht="17.25" customHeight="1"/>
    <row r="104" customFormat="1" ht="17.25" customHeight="1"/>
    <row r="105" customFormat="1" ht="17.25" customHeight="1"/>
    <row r="106" customFormat="1" ht="17.25" customHeight="1"/>
    <row r="107" customFormat="1" ht="17.25" customHeight="1"/>
    <row r="108" customFormat="1" ht="17.25" customHeight="1"/>
    <row r="109" customFormat="1" ht="17.25" customHeight="1"/>
    <row r="110" customFormat="1" ht="17.25" customHeight="1"/>
    <row r="111" customFormat="1" ht="17.25" customHeight="1"/>
    <row r="112" customFormat="1" ht="17.25" customHeight="1"/>
    <row r="113" customFormat="1" ht="17.25" customHeight="1"/>
    <row r="114" customFormat="1" ht="17.25" customHeight="1"/>
    <row r="115" customFormat="1" ht="17.25" customHeight="1"/>
    <row r="116" customFormat="1" ht="17.25" customHeight="1"/>
    <row r="117" customFormat="1" ht="17.25" customHeight="1"/>
    <row r="118" customFormat="1" ht="17.25" customHeight="1"/>
    <row r="119" customFormat="1" ht="17.25" customHeight="1"/>
    <row r="120" customFormat="1" ht="17.25" customHeight="1"/>
    <row r="121" customFormat="1" ht="17.25" customHeight="1"/>
    <row r="122" customFormat="1" ht="17.25" customHeight="1"/>
    <row r="123" customFormat="1" ht="17.25" customHeight="1"/>
    <row r="124" customFormat="1" ht="17.25" customHeight="1"/>
    <row r="125" customFormat="1" ht="17.25" customHeight="1"/>
    <row r="126" customFormat="1" ht="17.25" customHeight="1"/>
    <row r="127" customFormat="1" ht="17.25" customHeight="1"/>
    <row r="128" customFormat="1" ht="17.25" customHeight="1"/>
    <row r="129" customFormat="1" ht="17.25" customHeight="1"/>
    <row r="130" customFormat="1" ht="17.25" customHeight="1"/>
    <row r="131" customFormat="1" ht="17.25" customHeight="1"/>
    <row r="132" customFormat="1" ht="17.25" customHeight="1"/>
    <row r="133" customFormat="1" ht="17.25" customHeight="1"/>
    <row r="134" customFormat="1" ht="17.25" customHeight="1"/>
    <row r="135" customFormat="1" ht="17.25" customHeight="1"/>
    <row r="136" customFormat="1" ht="17.25" customHeight="1"/>
    <row r="137" customFormat="1" ht="17.25" customHeight="1"/>
    <row r="138" customFormat="1" ht="17.25" customHeight="1"/>
    <row r="139" customFormat="1" ht="17.25" customHeight="1"/>
    <row r="140" customFormat="1" ht="17.25" customHeight="1"/>
    <row r="141" customFormat="1" ht="17.25" customHeight="1"/>
    <row r="142" customFormat="1" ht="17.25" customHeight="1"/>
    <row r="143" customFormat="1" ht="17.25" customHeight="1"/>
    <row r="144" customFormat="1" ht="17.25" customHeight="1"/>
    <row r="145" customFormat="1" ht="17.25" customHeight="1"/>
    <row r="146" customFormat="1" ht="17.25" customHeight="1"/>
    <row r="147" customFormat="1" ht="17.25" customHeight="1"/>
    <row r="148" customFormat="1" ht="17.25" customHeight="1"/>
    <row r="149" customFormat="1" ht="17.25" customHeight="1"/>
    <row r="150" customFormat="1" ht="17.25" customHeight="1"/>
    <row r="151" customFormat="1" ht="17.25" customHeight="1"/>
    <row r="152" customFormat="1" ht="17.25" customHeight="1"/>
    <row r="153" customFormat="1" ht="17.25" customHeight="1"/>
    <row r="154" customFormat="1" ht="17.25" customHeight="1"/>
    <row r="155" customFormat="1" ht="17.25" customHeight="1"/>
    <row r="156" customFormat="1" ht="17.25" customHeight="1"/>
    <row r="157" customFormat="1" ht="17.25" customHeight="1"/>
    <row r="158" customFormat="1" ht="17.25" customHeight="1"/>
    <row r="159" customFormat="1" ht="17.25" customHeight="1"/>
    <row r="160" customFormat="1" ht="17.25" customHeight="1"/>
    <row r="161" customFormat="1" ht="17.25" customHeight="1"/>
    <row r="162" customFormat="1" ht="17.25" customHeight="1"/>
    <row r="163" customFormat="1" ht="17.25" customHeight="1"/>
    <row r="164" customFormat="1" ht="17.25" customHeight="1"/>
    <row r="165" customFormat="1" ht="17.25" customHeight="1"/>
    <row r="166" customFormat="1" ht="17.25" customHeight="1"/>
    <row r="167" customFormat="1" ht="17.25" customHeight="1"/>
    <row r="168" customFormat="1" ht="17.25" customHeight="1"/>
    <row r="169" customFormat="1" ht="17.25" customHeight="1"/>
    <row r="170" customFormat="1" ht="17.25" customHeight="1"/>
    <row r="171" customFormat="1" ht="17.25" customHeight="1"/>
    <row r="172" customFormat="1" ht="17.25" customHeight="1"/>
    <row r="173" customFormat="1" ht="17.25" customHeight="1"/>
    <row r="174" customFormat="1" ht="17.25" customHeight="1"/>
    <row r="175" customFormat="1" ht="17.25" customHeight="1"/>
    <row r="176" customFormat="1" ht="17.25" customHeight="1"/>
    <row r="177" customFormat="1" ht="17.25" customHeight="1"/>
    <row r="178" customFormat="1" ht="17.25" customHeight="1"/>
    <row r="179" customFormat="1" ht="17.25" customHeight="1"/>
    <row r="180" customFormat="1" ht="17.25" customHeight="1"/>
    <row r="181" customFormat="1" ht="17.25" customHeight="1"/>
    <row r="182" customFormat="1" ht="17.25" customHeight="1"/>
    <row r="183" customFormat="1" ht="17.25" customHeight="1"/>
    <row r="184" customFormat="1" ht="17.25" customHeight="1"/>
    <row r="185" customFormat="1" ht="17.25" customHeight="1"/>
    <row r="186" customFormat="1" ht="17.25" customHeight="1"/>
    <row r="187" customFormat="1" ht="17.25" customHeight="1"/>
    <row r="188" customFormat="1" ht="17.25" customHeight="1"/>
    <row r="189" customFormat="1" ht="17.25" customHeight="1"/>
    <row r="190" customFormat="1" ht="17.25" customHeight="1"/>
    <row r="191" customFormat="1" ht="17.25" customHeight="1"/>
    <row r="192" customFormat="1" ht="17.25" customHeight="1"/>
    <row r="193" customFormat="1" ht="17.25" customHeight="1"/>
    <row r="194" customFormat="1" ht="17.25" customHeight="1"/>
    <row r="195" customFormat="1" ht="17.25" customHeight="1"/>
    <row r="196" customFormat="1" ht="17.25" customHeight="1"/>
    <row r="197" customFormat="1" ht="17.25" customHeight="1"/>
    <row r="198" customFormat="1" ht="17.25" customHeight="1"/>
    <row r="199" customFormat="1" ht="17.25" customHeight="1"/>
    <row r="200" customFormat="1" ht="17.25" customHeight="1"/>
    <row r="201" customFormat="1" ht="17.25" customHeight="1"/>
    <row r="202" customFormat="1" ht="17.25" customHeight="1"/>
    <row r="203" customFormat="1" ht="17.25" customHeight="1"/>
    <row r="204" customFormat="1" ht="17.25" customHeight="1"/>
    <row r="205" customFormat="1" ht="17.25" customHeight="1"/>
    <row r="206" customFormat="1" ht="17.25" customHeight="1"/>
    <row r="207" customFormat="1" ht="17.25" customHeight="1"/>
    <row r="208" customFormat="1" ht="17.25" customHeight="1"/>
    <row r="209" customFormat="1" ht="17.25" customHeight="1"/>
    <row r="210" customFormat="1" ht="17.25" customHeight="1"/>
    <row r="211" customFormat="1" ht="17.25" customHeight="1"/>
    <row r="212" customFormat="1" ht="17.25" customHeight="1"/>
    <row r="213" customFormat="1" ht="17.25" customHeight="1"/>
    <row r="214" customFormat="1" ht="17.25" customHeight="1"/>
    <row r="215" customFormat="1" ht="17.25" customHeight="1"/>
    <row r="216" customFormat="1" ht="17.25" customHeight="1"/>
    <row r="217" customFormat="1" ht="17.25" customHeight="1"/>
    <row r="218" customFormat="1" ht="17.25" customHeight="1"/>
    <row r="219" customFormat="1" ht="17.25" customHeight="1"/>
    <row r="220" customFormat="1" ht="17.25" customHeight="1"/>
    <row r="221" customFormat="1" ht="17.25" customHeight="1"/>
    <row r="222" customFormat="1" ht="17.25" customHeight="1"/>
    <row r="223" customFormat="1" ht="17.25" customHeight="1"/>
    <row r="224" customFormat="1" ht="17.25" customHeight="1"/>
    <row r="225" customFormat="1" ht="17.25" customHeight="1"/>
    <row r="226" customFormat="1" ht="17.25" customHeight="1"/>
    <row r="227" customFormat="1" ht="17.25" customHeight="1"/>
    <row r="228" customFormat="1" ht="17.25" customHeight="1"/>
    <row r="229" customFormat="1" ht="17.25" customHeight="1"/>
    <row r="230" customFormat="1" ht="17.25" customHeight="1"/>
    <row r="231" customFormat="1" ht="17.25" customHeight="1"/>
    <row r="232" customFormat="1" ht="17.25" customHeight="1"/>
    <row r="233" customFormat="1" ht="17.25" customHeight="1"/>
    <row r="234" customFormat="1" ht="17.25" customHeight="1"/>
    <row r="235" customFormat="1" ht="17.25" customHeight="1"/>
    <row r="236" customFormat="1" ht="17.25" customHeight="1"/>
    <row r="237" customFormat="1" ht="17.25" customHeight="1"/>
    <row r="238" customFormat="1" ht="17.25" customHeight="1"/>
    <row r="239" customFormat="1" ht="17.25" customHeight="1"/>
    <row r="240" customFormat="1" ht="17.25" customHeight="1"/>
    <row r="241" customFormat="1" ht="17.25" customHeight="1"/>
    <row r="242" customFormat="1" ht="17.25" customHeight="1"/>
    <row r="243" customFormat="1" ht="17.25" customHeight="1"/>
    <row r="244" customFormat="1" ht="17.25" customHeight="1"/>
    <row r="245" customFormat="1" ht="17.25" customHeight="1"/>
    <row r="246" customFormat="1" ht="17.25" customHeight="1"/>
    <row r="247" customFormat="1" ht="17.25" customHeight="1"/>
    <row r="248" customFormat="1" ht="17.25" customHeight="1"/>
    <row r="249" customFormat="1" ht="17.25" customHeight="1"/>
    <row r="250" customFormat="1" ht="17.25" customHeight="1"/>
    <row r="251" customFormat="1" ht="17.25" customHeight="1"/>
    <row r="252" customFormat="1" ht="17.25" customHeight="1"/>
    <row r="253" customFormat="1" ht="17.25" customHeight="1"/>
    <row r="254" customFormat="1" ht="17.25" customHeight="1"/>
    <row r="255" customFormat="1" ht="17.25" customHeight="1"/>
    <row r="256" customFormat="1" ht="17.25" customHeight="1"/>
    <row r="257" customFormat="1" ht="17.25" customHeight="1"/>
    <row r="258" customFormat="1" ht="17.25" customHeight="1"/>
    <row r="259" customFormat="1" ht="17.25" customHeight="1"/>
    <row r="260" customFormat="1" ht="17.25" customHeight="1"/>
    <row r="261" customFormat="1" ht="17.25" customHeight="1"/>
    <row r="262" customFormat="1" ht="17.25" customHeight="1"/>
    <row r="263" customFormat="1" ht="17.25" customHeight="1"/>
    <row r="264" customFormat="1" ht="17.25" customHeight="1"/>
    <row r="265" customFormat="1" ht="17.25" customHeight="1"/>
    <row r="266" customFormat="1" ht="17.25" customHeight="1"/>
    <row r="267" customFormat="1" ht="17.25" customHeight="1"/>
    <row r="268" customFormat="1" ht="17.25" customHeight="1"/>
    <row r="269" customFormat="1" ht="17.25" customHeight="1"/>
    <row r="270" customFormat="1" ht="17.25" customHeight="1"/>
    <row r="271" customFormat="1" ht="17.25" customHeight="1"/>
    <row r="272" customFormat="1" ht="17.25" customHeight="1"/>
    <row r="273" customFormat="1" ht="17.25" customHeight="1"/>
    <row r="274" customFormat="1" ht="17.25" customHeight="1"/>
    <row r="275" customFormat="1" ht="17.25" customHeight="1"/>
    <row r="276" customFormat="1" ht="17.25" customHeight="1"/>
    <row r="277" customFormat="1" ht="17.25" customHeight="1"/>
    <row r="278" customFormat="1" ht="17.25" customHeight="1"/>
    <row r="279" customFormat="1" ht="17.25" customHeight="1"/>
    <row r="280" customFormat="1" ht="17.25" customHeight="1"/>
    <row r="281" customFormat="1" ht="17.25" customHeight="1"/>
    <row r="282" customFormat="1" ht="17.25" customHeight="1"/>
    <row r="283" customFormat="1" ht="17.25" customHeight="1"/>
    <row r="284" customFormat="1" ht="17.25" customHeight="1"/>
    <row r="285" customFormat="1" ht="17.25" customHeight="1"/>
    <row r="286" customFormat="1" ht="17.25" customHeight="1"/>
    <row r="287" customFormat="1" ht="17.25" customHeight="1"/>
    <row r="288" customFormat="1" ht="17.25" customHeight="1"/>
    <row r="289" customFormat="1" ht="17.25" customHeight="1"/>
    <row r="290" customFormat="1" ht="17.25" customHeight="1"/>
    <row r="291" customFormat="1" ht="17.25" customHeight="1"/>
    <row r="292" customFormat="1" ht="17.25" customHeight="1"/>
    <row r="293" customFormat="1" ht="17.25" customHeight="1"/>
    <row r="294" customFormat="1" ht="17.25" customHeight="1"/>
    <row r="295" customFormat="1" ht="17.25" customHeight="1"/>
    <row r="296" customFormat="1" ht="17.25" customHeight="1"/>
    <row r="297" customFormat="1" ht="17.25" customHeight="1"/>
    <row r="298" customFormat="1" ht="17.25" customHeight="1"/>
    <row r="299" customFormat="1" ht="17.25" customHeight="1"/>
    <row r="300" customFormat="1" ht="17.25" customHeight="1"/>
    <row r="301" customFormat="1" ht="17.25" customHeight="1"/>
    <row r="302" customFormat="1" ht="17.25" customHeight="1"/>
    <row r="303" customFormat="1" ht="17.25" customHeight="1"/>
    <row r="304" customFormat="1" ht="17.25" customHeight="1"/>
    <row r="305" customFormat="1" ht="17.25" customHeight="1"/>
    <row r="306" customFormat="1" ht="17.25" customHeight="1"/>
    <row r="307" customFormat="1" ht="17.25" customHeight="1"/>
    <row r="308" customFormat="1" ht="17.25" customHeight="1"/>
    <row r="309" customFormat="1" ht="17.25" customHeight="1"/>
    <row r="310" customFormat="1" ht="17.25" customHeight="1"/>
    <row r="311" customFormat="1" ht="17.25" customHeight="1"/>
    <row r="312" customFormat="1" ht="17.25" customHeight="1"/>
    <row r="313" customFormat="1" ht="17.25" customHeight="1"/>
    <row r="314" customFormat="1" ht="17.25" customHeight="1"/>
    <row r="315" customFormat="1" ht="17.25" customHeight="1"/>
    <row r="316" customFormat="1" ht="17.25" customHeight="1"/>
    <row r="317" customFormat="1" ht="17.25" customHeight="1"/>
    <row r="318" customFormat="1" ht="17.25" customHeight="1"/>
    <row r="319" customFormat="1" ht="17.25" customHeight="1"/>
    <row r="320" customFormat="1" ht="17.25" customHeight="1"/>
    <row r="321" customFormat="1" ht="17.25" customHeight="1"/>
    <row r="322" customFormat="1" ht="17.25" customHeight="1"/>
    <row r="323" customFormat="1" ht="17.25" customHeight="1"/>
    <row r="324" customFormat="1" ht="17.25" customHeight="1"/>
    <row r="325" customFormat="1" ht="17.25" customHeight="1"/>
    <row r="326" customFormat="1" ht="17.25" customHeight="1"/>
    <row r="327" customFormat="1" ht="17.25" customHeight="1"/>
    <row r="328" customFormat="1" ht="17.25" customHeight="1"/>
    <row r="329" customFormat="1" ht="17.25" customHeight="1"/>
    <row r="330" customFormat="1" ht="17.25" customHeight="1"/>
    <row r="331" customFormat="1" ht="17.25" customHeight="1"/>
    <row r="332" customFormat="1" ht="17.25" customHeight="1"/>
    <row r="333" customFormat="1" ht="17.25" customHeight="1"/>
    <row r="334" customFormat="1" ht="17.25" customHeight="1"/>
    <row r="335" customFormat="1" ht="17.25" customHeight="1"/>
    <row r="336" customFormat="1" ht="17.25" customHeight="1"/>
    <row r="337" customFormat="1" ht="17.25" customHeight="1"/>
    <row r="338" customFormat="1" ht="17.25" customHeight="1"/>
    <row r="339" customFormat="1" ht="17.25" customHeight="1"/>
    <row r="340" customFormat="1" ht="17.25" customHeight="1"/>
    <row r="341" customFormat="1" ht="17.25" customHeight="1"/>
    <row r="342" customFormat="1" ht="17.25" customHeight="1"/>
    <row r="343" customFormat="1" ht="17.25" customHeight="1"/>
    <row r="344" customFormat="1" ht="17.25" customHeight="1"/>
    <row r="345" customFormat="1" ht="17.25" customHeight="1"/>
    <row r="346" customFormat="1" ht="17.25" customHeight="1"/>
    <row r="347" customFormat="1" ht="17.25" customHeight="1"/>
    <row r="348" customFormat="1" ht="17.25" customHeight="1"/>
    <row r="349" customFormat="1" ht="17.25" customHeight="1"/>
    <row r="350" customFormat="1" ht="17.25" customHeight="1"/>
    <row r="351" customFormat="1" ht="17.25" customHeight="1"/>
    <row r="352" customFormat="1" ht="17.25" customHeight="1"/>
    <row r="353" customFormat="1" ht="17.25" customHeight="1"/>
    <row r="354" customFormat="1" ht="17.25" customHeight="1"/>
    <row r="355" customFormat="1" ht="17.25" customHeight="1"/>
    <row r="356" customFormat="1" ht="17.25" customHeight="1"/>
    <row r="357" customFormat="1" ht="17.25" customHeight="1"/>
    <row r="358" customFormat="1" ht="17.25" customHeight="1"/>
    <row r="359" customFormat="1" ht="17.25" customHeight="1"/>
    <row r="360" customFormat="1" ht="17.25" customHeight="1"/>
    <row r="361" customFormat="1" ht="17.25" customHeight="1"/>
    <row r="362" customFormat="1" ht="17.25" customHeight="1"/>
    <row r="363" customFormat="1" ht="17.25" customHeight="1"/>
    <row r="364" customFormat="1" ht="17.25" customHeight="1"/>
    <row r="365" customFormat="1" ht="17.25" customHeight="1"/>
    <row r="366" customFormat="1" ht="17.25" customHeight="1"/>
    <row r="367" customFormat="1" ht="17.25" customHeight="1"/>
    <row r="368" customFormat="1" ht="17.25" customHeight="1"/>
    <row r="369" customFormat="1" ht="17.25" customHeight="1"/>
    <row r="370" customFormat="1" ht="17.25" customHeight="1"/>
    <row r="371" customFormat="1" ht="17.25" customHeight="1"/>
    <row r="372" customFormat="1" ht="17.25" customHeight="1"/>
    <row r="373" customFormat="1" ht="17.25" customHeight="1"/>
    <row r="374" customFormat="1" ht="17.25" customHeight="1"/>
    <row r="375" customFormat="1" ht="17.25" customHeight="1"/>
    <row r="376" customFormat="1" ht="17.25" customHeight="1"/>
    <row r="377" customFormat="1" ht="17.25" customHeight="1"/>
    <row r="378" customFormat="1" ht="17.25" customHeight="1"/>
    <row r="379" customFormat="1" ht="17.25" customHeight="1"/>
    <row r="380" customFormat="1" ht="17.25" customHeight="1"/>
    <row r="381" customFormat="1" ht="17.25" customHeight="1"/>
    <row r="382" customFormat="1" ht="17.25" customHeight="1"/>
    <row r="383" customFormat="1" ht="17.25" customHeight="1"/>
    <row r="384" customFormat="1" ht="17.25" customHeight="1"/>
    <row r="385" customFormat="1" ht="17.25" customHeight="1"/>
    <row r="386" customFormat="1" ht="17.25" customHeight="1"/>
    <row r="387" customFormat="1" ht="17.25" customHeight="1"/>
    <row r="388" customFormat="1" ht="17.25" customHeight="1"/>
    <row r="389" customFormat="1" ht="17.25" customHeight="1"/>
    <row r="390" customFormat="1" ht="17.25" customHeight="1"/>
    <row r="391" customFormat="1" ht="17.25" customHeight="1"/>
    <row r="392" customFormat="1" ht="17.25" customHeight="1"/>
    <row r="393" customFormat="1" ht="17.25" customHeight="1"/>
    <row r="394" customFormat="1" ht="17.25" customHeight="1"/>
    <row r="395" customFormat="1" ht="17.25" customHeight="1"/>
    <row r="396" customFormat="1" ht="17.25" customHeight="1"/>
    <row r="397" customFormat="1" ht="17.25" customHeight="1"/>
    <row r="398" customFormat="1" ht="17.25" customHeight="1"/>
    <row r="399" customFormat="1" ht="17.25" customHeight="1"/>
    <row r="400" customFormat="1" ht="17.25" customHeight="1"/>
    <row r="401" customFormat="1" ht="17.25" customHeight="1"/>
    <row r="402" customFormat="1" ht="17.25" customHeight="1"/>
    <row r="403" customFormat="1" ht="17.25" customHeight="1"/>
    <row r="404" customFormat="1" ht="17.25" customHeight="1"/>
    <row r="405" customFormat="1" ht="17.25" customHeight="1"/>
    <row r="406" customFormat="1" ht="17.25" customHeight="1"/>
    <row r="407" customFormat="1" ht="17.25" customHeight="1"/>
    <row r="408" customFormat="1" ht="17.25" customHeight="1"/>
    <row r="409" customFormat="1" ht="17.25" customHeight="1"/>
    <row r="410" customFormat="1" ht="17.25" customHeight="1"/>
    <row r="411" customFormat="1" ht="17.25" customHeight="1"/>
    <row r="412" customFormat="1" ht="17.25" customHeight="1"/>
    <row r="413" customFormat="1" ht="17.25" customHeight="1"/>
    <row r="414" customFormat="1" ht="17.25" customHeight="1"/>
    <row r="415" customFormat="1" ht="17.25" customHeight="1"/>
    <row r="416" customFormat="1" ht="17.25" customHeight="1"/>
    <row r="417" customFormat="1" ht="17.25" customHeight="1"/>
    <row r="418" customFormat="1" ht="17.25" customHeight="1"/>
    <row r="419" customFormat="1" ht="17.25" customHeight="1"/>
    <row r="420" customFormat="1" ht="17.25" customHeight="1"/>
    <row r="421" customFormat="1" ht="17.25" customHeight="1"/>
    <row r="422" customFormat="1" ht="17.25" customHeight="1"/>
    <row r="423" customFormat="1" ht="17.25" customHeight="1"/>
    <row r="424" customFormat="1" ht="17.25" customHeight="1"/>
    <row r="425" customFormat="1" ht="17.25" customHeight="1"/>
    <row r="426" customFormat="1" ht="17.25" customHeight="1"/>
    <row r="427" customFormat="1" ht="17.25" customHeight="1"/>
    <row r="428" customFormat="1" ht="17.25" customHeight="1"/>
    <row r="429" customFormat="1" ht="17.25" customHeight="1"/>
    <row r="430" customFormat="1" ht="17.25" customHeight="1"/>
    <row r="431" customFormat="1" ht="17.25" customHeight="1"/>
    <row r="432" customFormat="1" ht="17.25" customHeight="1"/>
    <row r="433" customFormat="1" ht="17.25" customHeight="1"/>
    <row r="434" customFormat="1" ht="17.25" customHeight="1"/>
    <row r="435" customFormat="1" ht="17.25" customHeight="1"/>
    <row r="436" customFormat="1" ht="17.25" customHeight="1"/>
    <row r="437" customFormat="1" ht="17.25" customHeight="1"/>
    <row r="438" customFormat="1" ht="17.25" customHeight="1"/>
    <row r="439" customFormat="1" ht="17.25" customHeight="1"/>
    <row r="440" customFormat="1" ht="17.25" customHeight="1"/>
    <row r="441" customFormat="1" ht="17.25" customHeight="1"/>
    <row r="442" customFormat="1" ht="17.25" customHeight="1"/>
    <row r="443" customFormat="1" ht="17.25" customHeight="1"/>
    <row r="444" customFormat="1" ht="17.25" customHeight="1"/>
    <row r="445" customFormat="1" ht="17.25" customHeight="1"/>
    <row r="446" customFormat="1" ht="17.25" customHeight="1"/>
    <row r="447" customFormat="1" ht="17.25" customHeight="1"/>
    <row r="448" customFormat="1" ht="17.25" customHeight="1"/>
    <row r="449" customFormat="1" ht="17.25" customHeight="1"/>
    <row r="450" customFormat="1" ht="17.25" customHeight="1"/>
    <row r="451" customFormat="1" ht="17.25" customHeight="1"/>
    <row r="452" customFormat="1" ht="17.25" customHeight="1"/>
    <row r="453" customFormat="1" ht="17.25" customHeight="1"/>
    <row r="454" customFormat="1" ht="17.25" customHeight="1"/>
    <row r="455" customFormat="1" ht="17.25" customHeight="1"/>
    <row r="456" customFormat="1" ht="17.25" customHeight="1"/>
    <row r="457" customFormat="1" ht="17.25" customHeight="1"/>
    <row r="458" customFormat="1" ht="17.25" customHeight="1"/>
    <row r="459" customFormat="1" ht="17.25" customHeight="1"/>
    <row r="460" customFormat="1" ht="17.25" customHeight="1"/>
    <row r="461" customFormat="1" ht="17.25" customHeight="1"/>
    <row r="462" customFormat="1" ht="17.25" customHeight="1"/>
    <row r="463" customFormat="1" ht="17.25" customHeight="1"/>
    <row r="464" customFormat="1" ht="17.25" customHeight="1"/>
    <row r="465" customFormat="1" ht="17.25" customHeight="1"/>
    <row r="466" customFormat="1" ht="17.25" customHeight="1"/>
    <row r="467" customFormat="1" ht="17.25" customHeight="1"/>
    <row r="468" customFormat="1" ht="17.25" customHeight="1"/>
    <row r="469" customFormat="1" ht="17.25" customHeight="1"/>
    <row r="470" customFormat="1" ht="17.25" customHeight="1"/>
    <row r="471" customFormat="1" ht="17.25" customHeight="1"/>
    <row r="472" customFormat="1" ht="17.25" customHeight="1"/>
    <row r="473" customFormat="1" ht="17.25" customHeight="1"/>
    <row r="474" customFormat="1" ht="17.25" customHeight="1"/>
    <row r="475" customFormat="1" ht="17.25" customHeight="1"/>
    <row r="476" customFormat="1" ht="17.25" customHeight="1"/>
    <row r="477" customFormat="1" ht="17.25" customHeight="1"/>
    <row r="478" customFormat="1" ht="17.25" customHeight="1"/>
    <row r="479" customFormat="1" ht="17.25" customHeight="1"/>
    <row r="480" customFormat="1" ht="17.25" customHeight="1"/>
    <row r="481" customFormat="1" ht="17.25" customHeight="1"/>
    <row r="482" customFormat="1" ht="17.25" customHeight="1"/>
    <row r="483" customFormat="1" ht="17.25" customHeight="1"/>
    <row r="484" customFormat="1" ht="17.25" customHeight="1"/>
    <row r="485" customFormat="1" ht="17.25" customHeight="1"/>
    <row r="486" customFormat="1" ht="17.25" customHeight="1"/>
    <row r="487" customFormat="1" ht="17.25" customHeight="1"/>
    <row r="488" customFormat="1" ht="17.25" customHeight="1"/>
    <row r="489" customFormat="1" ht="17.25" customHeight="1"/>
    <row r="490" customFormat="1" ht="17.25" customHeight="1"/>
    <row r="491" customFormat="1" ht="17.25" customHeight="1"/>
    <row r="492" customFormat="1" ht="17.25" customHeight="1"/>
    <row r="493" customFormat="1" ht="17.25" customHeight="1"/>
    <row r="494" customFormat="1" ht="17.25" customHeight="1"/>
    <row r="495" customFormat="1" ht="17.25" customHeight="1"/>
    <row r="496" customFormat="1" ht="17.25" customHeight="1"/>
    <row r="497" customFormat="1" ht="17.25" customHeight="1"/>
    <row r="498" customFormat="1" ht="17.25" customHeight="1"/>
    <row r="499" customFormat="1" ht="17.25" customHeight="1"/>
    <row r="500" customFormat="1" ht="17.25" customHeight="1"/>
    <row r="501" customFormat="1" ht="17.25" customHeight="1"/>
    <row r="502" customFormat="1" ht="17.25" customHeight="1"/>
    <row r="503" customFormat="1" ht="17.25" customHeight="1"/>
    <row r="504" customFormat="1" ht="17.25" customHeight="1"/>
    <row r="505" customFormat="1" ht="17.25" customHeight="1"/>
    <row r="506" customFormat="1" ht="17.25" customHeight="1"/>
    <row r="507" customFormat="1" ht="17.25" customHeight="1"/>
    <row r="508" customFormat="1" ht="17.25" customHeight="1"/>
    <row r="509" customFormat="1" ht="17.25" customHeight="1"/>
    <row r="510" customFormat="1" ht="17.25" customHeight="1"/>
    <row r="511" customFormat="1" ht="17.25" customHeight="1"/>
    <row r="512" customFormat="1" ht="17.25" customHeight="1"/>
    <row r="513" customFormat="1" ht="17.25" customHeight="1"/>
    <row r="514" customFormat="1" ht="17.25" customHeight="1"/>
    <row r="515" customFormat="1" ht="17.25" customHeight="1"/>
    <row r="516" customFormat="1" ht="17.25" customHeight="1"/>
    <row r="517" customFormat="1" ht="17.25" customHeight="1"/>
    <row r="518" customFormat="1" ht="17.25" customHeight="1"/>
    <row r="519" customFormat="1" ht="17.25" customHeight="1"/>
    <row r="520" customFormat="1" ht="17.25" customHeight="1"/>
    <row r="521" customFormat="1" ht="17.25" customHeight="1"/>
    <row r="522" customFormat="1" ht="17.25" customHeight="1"/>
    <row r="523" customFormat="1" ht="17.25" customHeight="1"/>
    <row r="524" customFormat="1" ht="17.25" customHeight="1"/>
    <row r="525" customFormat="1" ht="17.25" customHeight="1"/>
    <row r="526" customFormat="1" ht="17.25" customHeight="1"/>
    <row r="527" customFormat="1" ht="17.25" customHeight="1"/>
    <row r="528" customFormat="1" ht="17.25" customHeight="1"/>
    <row r="529" customFormat="1" ht="17.25" customHeight="1"/>
    <row r="530" customFormat="1" ht="17.25" customHeight="1"/>
    <row r="531" customFormat="1" ht="17.25" customHeight="1"/>
    <row r="532" customFormat="1" ht="17.25" customHeight="1"/>
    <row r="533" customFormat="1" ht="17.25" customHeight="1"/>
    <row r="534" customFormat="1" ht="17.25" customHeight="1"/>
    <row r="535" customFormat="1" ht="17.25" customHeight="1"/>
    <row r="536" customFormat="1" ht="17.25" customHeight="1"/>
    <row r="537" customFormat="1" ht="17.25" customHeight="1"/>
    <row r="538" customFormat="1" ht="17.25" customHeight="1"/>
    <row r="539" customFormat="1" ht="17.25" customHeight="1"/>
    <row r="540" customFormat="1" ht="17.25" customHeight="1"/>
    <row r="541" customFormat="1" ht="17.25" customHeight="1"/>
    <row r="542" customFormat="1" ht="17.25" customHeight="1"/>
    <row r="543" customFormat="1" ht="17.25" customHeight="1"/>
    <row r="544" customFormat="1" ht="17.25" customHeight="1"/>
    <row r="545" customFormat="1" ht="17.25" customHeight="1"/>
    <row r="546" customFormat="1" ht="17.25" customHeight="1"/>
    <row r="547" customFormat="1" ht="17.25" customHeight="1"/>
    <row r="548" customFormat="1" ht="17.25" customHeight="1"/>
    <row r="549" customFormat="1" ht="17.25" customHeight="1"/>
    <row r="550" customFormat="1" ht="17.25" customHeight="1"/>
    <row r="551" customFormat="1" ht="17.25" customHeight="1"/>
    <row r="552" customFormat="1" ht="17.25" customHeight="1"/>
    <row r="553" customFormat="1" ht="17.25" customHeight="1"/>
    <row r="554" customFormat="1" ht="17.25" customHeight="1"/>
    <row r="555" customFormat="1" ht="17.25" customHeight="1"/>
    <row r="556" customFormat="1" ht="17.25" customHeight="1"/>
    <row r="557" customFormat="1" ht="17.25" customHeight="1"/>
    <row r="558" customFormat="1" ht="17.25" customHeight="1"/>
    <row r="559" customFormat="1" ht="17.25" customHeight="1"/>
    <row r="560" customFormat="1" ht="17.25" customHeight="1"/>
    <row r="561" customFormat="1" ht="17.25" customHeight="1"/>
    <row r="562" customFormat="1" ht="17.25" customHeight="1"/>
    <row r="563" customFormat="1" ht="17.25" customHeight="1"/>
    <row r="564" customFormat="1" ht="17.25" customHeight="1"/>
    <row r="565" customFormat="1" ht="17.25" customHeight="1"/>
    <row r="566" customFormat="1" ht="17.25" customHeight="1"/>
    <row r="567" customFormat="1" ht="17.25" customHeight="1"/>
    <row r="568" customFormat="1" ht="17.25" customHeight="1"/>
    <row r="569" customFormat="1" ht="17.25" customHeight="1"/>
    <row r="570" customFormat="1" ht="17.25" customHeight="1"/>
    <row r="571" customFormat="1" ht="17.25" customHeight="1"/>
    <row r="572" customFormat="1" ht="17.25" customHeight="1"/>
    <row r="573" customFormat="1" ht="17.25" customHeight="1"/>
    <row r="574" customFormat="1" ht="17.25" customHeight="1"/>
    <row r="575" customFormat="1" ht="17.25" customHeight="1"/>
    <row r="576" customFormat="1" ht="17.25" customHeight="1"/>
    <row r="577" customFormat="1" ht="17.25" customHeight="1"/>
    <row r="578" customFormat="1" ht="17.25" customHeight="1"/>
    <row r="579" customFormat="1" ht="17.25" customHeight="1"/>
    <row r="580" customFormat="1" ht="17.25" customHeight="1"/>
    <row r="581" customFormat="1" ht="17.25" customHeight="1"/>
    <row r="582" customFormat="1" ht="17.25" customHeight="1"/>
    <row r="583" customFormat="1" ht="17.25" customHeight="1"/>
    <row r="584" customFormat="1" ht="17.25" customHeight="1"/>
    <row r="585" customFormat="1" ht="17.25" customHeight="1"/>
    <row r="586" customFormat="1" ht="17.25" customHeight="1"/>
    <row r="587" customFormat="1" ht="17.25" customHeight="1"/>
    <row r="588" customFormat="1" ht="17.25" customHeight="1"/>
    <row r="589" customFormat="1" ht="17.25" customHeight="1"/>
    <row r="590" customFormat="1" ht="17.25" customHeight="1"/>
    <row r="591" customFormat="1" ht="17.25" customHeight="1"/>
    <row r="592" customFormat="1" ht="17.25" customHeight="1"/>
    <row r="593" customFormat="1" ht="17.25" customHeight="1"/>
    <row r="594" customFormat="1" ht="17.25" customHeight="1"/>
    <row r="595" customFormat="1" ht="17.25" customHeight="1"/>
    <row r="596" customFormat="1" ht="17.25" customHeight="1"/>
    <row r="597" customFormat="1" ht="17.25" customHeight="1"/>
    <row r="598" customFormat="1" ht="17.25" customHeight="1"/>
    <row r="599" customFormat="1" ht="17.25" customHeight="1"/>
    <row r="600" customFormat="1" ht="17.25" customHeight="1"/>
    <row r="601" customFormat="1" ht="17.25" customHeight="1"/>
    <row r="602" customFormat="1" ht="17.25" customHeight="1"/>
    <row r="603" customFormat="1" ht="17.25" customHeight="1"/>
    <row r="604" customFormat="1" ht="17.25" customHeight="1"/>
    <row r="605" customFormat="1" ht="17.25" customHeight="1"/>
    <row r="606" customFormat="1" ht="17.25" customHeight="1"/>
    <row r="607" customFormat="1" ht="17.25" customHeight="1"/>
    <row r="608" customFormat="1" ht="17.25" customHeight="1"/>
    <row r="609" customFormat="1" ht="17.25" customHeight="1"/>
    <row r="610" customFormat="1" ht="17.25" customHeight="1"/>
    <row r="611" customFormat="1" ht="17.25" customHeight="1"/>
    <row r="612" customFormat="1" ht="17.25" customHeight="1"/>
    <row r="613" customFormat="1" ht="17.25" customHeight="1"/>
    <row r="614" customFormat="1" ht="17.25" customHeight="1"/>
    <row r="615" customFormat="1" ht="17.25" customHeight="1"/>
    <row r="616" customFormat="1" ht="17.25" customHeight="1"/>
    <row r="617" customFormat="1" ht="17.25" customHeight="1"/>
    <row r="618" customFormat="1" ht="17.25" customHeight="1"/>
    <row r="619" customFormat="1" ht="17.25" customHeight="1"/>
    <row r="620" customFormat="1" ht="17.25" customHeight="1"/>
    <row r="621" customFormat="1" ht="17.25" customHeight="1"/>
    <row r="622" customFormat="1" ht="17.25" customHeight="1"/>
    <row r="623" customFormat="1" ht="17.25" customHeight="1"/>
    <row r="624" customFormat="1" ht="17.25" customHeight="1"/>
    <row r="625" customFormat="1" ht="17.25" customHeight="1"/>
    <row r="626" customFormat="1" ht="17.25" customHeight="1"/>
    <row r="627" customFormat="1" ht="17.25" customHeight="1"/>
    <row r="628" customFormat="1" ht="17.25" customHeight="1"/>
    <row r="629" customFormat="1" ht="17.25" customHeight="1"/>
    <row r="630" customFormat="1" ht="17.25" customHeight="1"/>
    <row r="631" customFormat="1" ht="17.25" customHeight="1"/>
    <row r="632" customFormat="1" ht="17.25" customHeight="1"/>
    <row r="633" customFormat="1" ht="17.25" customHeight="1"/>
    <row r="634" customFormat="1" ht="17.25" customHeight="1"/>
    <row r="635" customFormat="1" ht="17.25" customHeight="1"/>
    <row r="636" customFormat="1" ht="17.25" customHeight="1"/>
    <row r="637" customFormat="1" ht="17.25" customHeight="1"/>
    <row r="638" customFormat="1" ht="17.25" customHeight="1"/>
    <row r="639" customFormat="1" ht="17.25" customHeight="1"/>
    <row r="640" customFormat="1" ht="17.25" customHeight="1"/>
    <row r="641" customFormat="1" ht="17.25" customHeight="1"/>
    <row r="642" customFormat="1" ht="17.25" customHeight="1"/>
    <row r="643" customFormat="1" ht="17.25" customHeight="1"/>
    <row r="644" customFormat="1" ht="17.25" customHeight="1"/>
    <row r="645" customFormat="1" ht="17.25" customHeight="1"/>
    <row r="646" customFormat="1" ht="17.25" customHeight="1"/>
    <row r="647" customFormat="1" ht="17.25" customHeight="1"/>
    <row r="648" customFormat="1" ht="17.25" customHeight="1"/>
    <row r="649" customFormat="1" ht="17.25" customHeight="1"/>
    <row r="650" customFormat="1" ht="17.25" customHeight="1"/>
    <row r="651" customFormat="1" ht="17.25" customHeight="1"/>
    <row r="652" customFormat="1" ht="17.25" customHeight="1"/>
    <row r="653" customFormat="1" ht="17.25" customHeight="1"/>
    <row r="654" customFormat="1" ht="17.25" customHeight="1"/>
    <row r="655" customFormat="1" ht="17.25" customHeight="1"/>
    <row r="656" customFormat="1" ht="17.25" customHeight="1"/>
    <row r="657" customFormat="1" ht="17.25" customHeight="1"/>
    <row r="658" customFormat="1" ht="17.25" customHeight="1"/>
    <row r="659" customFormat="1" ht="17.25" customHeight="1"/>
    <row r="660" customFormat="1" ht="17.25" customHeight="1"/>
    <row r="661" customFormat="1" ht="17.25" customHeight="1"/>
    <row r="662" customFormat="1" ht="17.25" customHeight="1"/>
    <row r="663" customFormat="1" ht="17.25" customHeight="1"/>
    <row r="664" customFormat="1" ht="17.25" customHeight="1"/>
    <row r="665" customFormat="1" ht="17.25" customHeight="1"/>
    <row r="666" customFormat="1" ht="17.25" customHeight="1"/>
    <row r="667" customFormat="1" ht="17.25" customHeight="1"/>
    <row r="668" customFormat="1" ht="17.25" customHeight="1"/>
    <row r="669" customFormat="1" ht="17.25" customHeight="1"/>
    <row r="670" customFormat="1" ht="17.25" customHeight="1"/>
    <row r="671" customFormat="1" ht="17.25" customHeight="1"/>
    <row r="672" customFormat="1" ht="17.25" customHeight="1"/>
    <row r="673" customFormat="1" ht="17.25" customHeight="1"/>
    <row r="674" customFormat="1" ht="17.25" customHeight="1"/>
    <row r="675" customFormat="1" ht="17.25" customHeight="1"/>
    <row r="676" customFormat="1" ht="17.25" customHeight="1"/>
    <row r="677" customFormat="1" ht="17.25" customHeight="1"/>
    <row r="678" customFormat="1" ht="17.25" customHeight="1"/>
    <row r="679" customFormat="1" ht="17.25" customHeight="1"/>
    <row r="680" customFormat="1" ht="17.25" customHeight="1"/>
    <row r="681" customFormat="1" ht="17.25" customHeight="1"/>
    <row r="682" customFormat="1" ht="17.25" customHeight="1"/>
    <row r="683" customFormat="1" ht="17.25" customHeight="1"/>
    <row r="684" customFormat="1" ht="17.25" customHeight="1"/>
    <row r="685" customFormat="1" ht="17.25" customHeight="1"/>
    <row r="686" customFormat="1" ht="17.25" customHeight="1"/>
    <row r="687" customFormat="1" ht="17.25" customHeight="1"/>
    <row r="688" customFormat="1" ht="17.25" customHeight="1"/>
    <row r="689" customFormat="1" ht="17.25" customHeight="1"/>
    <row r="690" customFormat="1" ht="17.25" customHeight="1"/>
    <row r="691" customFormat="1" ht="17.25" customHeight="1"/>
    <row r="692" customFormat="1" ht="17.25" customHeight="1"/>
    <row r="693" customFormat="1" ht="17.25" customHeight="1"/>
    <row r="694" customFormat="1" ht="17.25" customHeight="1"/>
    <row r="695" customFormat="1" ht="17.25" customHeight="1"/>
    <row r="696" customFormat="1" ht="17.25" customHeight="1"/>
    <row r="697" customFormat="1" ht="17.25" customHeight="1"/>
    <row r="698" customFormat="1" ht="17.25" customHeight="1"/>
    <row r="699" customFormat="1" ht="17.25" customHeight="1"/>
    <row r="700" customFormat="1" ht="17.25" customHeight="1"/>
    <row r="701" customFormat="1" ht="17.25" customHeight="1"/>
    <row r="702" customFormat="1" ht="17.25" customHeight="1"/>
    <row r="703" customFormat="1" ht="17.25" customHeight="1"/>
    <row r="704" customFormat="1" ht="17.25" customHeight="1"/>
    <row r="705" customFormat="1" ht="17.25" customHeight="1"/>
    <row r="706" customFormat="1" ht="17.25" customHeight="1"/>
    <row r="707" customFormat="1" ht="17.25" customHeight="1"/>
    <row r="708" customFormat="1" ht="17.25" customHeight="1"/>
    <row r="709" customFormat="1" ht="17.25" customHeight="1"/>
    <row r="710" customFormat="1" ht="17.25" customHeight="1"/>
    <row r="711" customFormat="1" ht="17.25" customHeight="1"/>
    <row r="712" customFormat="1" ht="17.25" customHeight="1"/>
    <row r="713" customFormat="1" ht="17.25" customHeight="1"/>
    <row r="714" customFormat="1" ht="17.25" customHeight="1"/>
    <row r="715" customFormat="1" ht="17.25" customHeight="1"/>
    <row r="716" customFormat="1" ht="17.25" customHeight="1"/>
    <row r="717" customFormat="1" ht="17.25" customHeight="1"/>
    <row r="718" customFormat="1" ht="17.25" customHeight="1"/>
    <row r="719" customFormat="1" ht="17.25" customHeight="1"/>
    <row r="720" customFormat="1" ht="17.25" customHeight="1"/>
    <row r="721" customFormat="1" ht="17.25" customHeight="1"/>
    <row r="722" customFormat="1" ht="17.25" customHeight="1"/>
    <row r="723" customFormat="1" ht="17.25" customHeight="1"/>
    <row r="724" customFormat="1" ht="17.25" customHeight="1"/>
    <row r="725" customFormat="1" ht="17.25" customHeight="1"/>
    <row r="726" customFormat="1" ht="17.25" customHeight="1"/>
    <row r="727" customFormat="1" ht="17.25" customHeight="1"/>
    <row r="728" customFormat="1" ht="17.25" customHeight="1"/>
    <row r="729" customFormat="1" ht="17.25" customHeight="1"/>
    <row r="730" customFormat="1" ht="17.25" customHeight="1"/>
    <row r="731" customFormat="1" ht="17.25" customHeight="1"/>
    <row r="732" customFormat="1" ht="17.25" customHeight="1"/>
    <row r="733" customFormat="1" ht="17.25" customHeight="1"/>
    <row r="734" customFormat="1" ht="17.25" customHeight="1"/>
    <row r="735" customFormat="1" ht="17.25" customHeight="1"/>
    <row r="736" customFormat="1" ht="17.25" customHeight="1"/>
    <row r="737" customFormat="1" ht="17.25" customHeight="1"/>
    <row r="738" customFormat="1" ht="17.25" customHeight="1"/>
    <row r="739" customFormat="1" ht="17.25" customHeight="1"/>
    <row r="740" customFormat="1" ht="17.25" customHeight="1"/>
    <row r="741" customFormat="1" ht="17.25" customHeight="1"/>
    <row r="742" customFormat="1" ht="17.25" customHeight="1"/>
    <row r="743" customFormat="1" ht="17.25" customHeight="1"/>
    <row r="744" customFormat="1" ht="17.25" customHeight="1"/>
    <row r="745" customFormat="1" ht="17.25" customHeight="1"/>
    <row r="746" customFormat="1" ht="17.25" customHeight="1"/>
    <row r="747" customFormat="1" ht="17.25" customHeight="1"/>
    <row r="748" customFormat="1" ht="17.25" customHeight="1"/>
    <row r="749" customFormat="1" ht="17.25" customHeight="1"/>
    <row r="750" customFormat="1" ht="17.25" customHeight="1"/>
    <row r="751" customFormat="1" ht="17.25" customHeight="1"/>
    <row r="752" customFormat="1" ht="17.25" customHeight="1"/>
    <row r="753" customFormat="1" ht="17.25" customHeight="1"/>
    <row r="754" customFormat="1" ht="17.25" customHeight="1"/>
    <row r="755" customFormat="1" ht="17.25" customHeight="1"/>
    <row r="756" customFormat="1" ht="17.25" customHeight="1"/>
    <row r="757" customFormat="1" ht="17.25" customHeight="1"/>
    <row r="758" customFormat="1" ht="17.25" customHeight="1"/>
    <row r="759" customFormat="1" ht="17.25" customHeight="1"/>
    <row r="760" customFormat="1" ht="17.25" customHeight="1"/>
    <row r="761" customFormat="1" ht="17.25" customHeight="1"/>
    <row r="762" customFormat="1" ht="17.25" customHeight="1"/>
    <row r="763" customFormat="1" ht="17.25" customHeight="1"/>
    <row r="764" customFormat="1" ht="17.25" customHeight="1"/>
    <row r="765" customFormat="1" ht="17.25" customHeight="1"/>
    <row r="766" customFormat="1" ht="17.25" customHeight="1"/>
    <row r="767" customFormat="1" ht="17.25" customHeight="1"/>
    <row r="768" customFormat="1" ht="17.25" customHeight="1"/>
    <row r="769" customFormat="1" ht="17.25" customHeight="1"/>
    <row r="770" customFormat="1" ht="17.25" customHeight="1"/>
    <row r="771" customFormat="1" ht="17.25" customHeight="1"/>
    <row r="772" customFormat="1" ht="17.25" customHeight="1"/>
    <row r="773" customFormat="1" ht="17.25" customHeight="1"/>
    <row r="774" customFormat="1" ht="17.25" customHeight="1"/>
    <row r="775" customFormat="1" ht="17.25" customHeight="1"/>
    <row r="776" customFormat="1" ht="17.25" customHeight="1"/>
    <row r="777" customFormat="1" ht="17.25" customHeight="1"/>
    <row r="778" customFormat="1" ht="17.25" customHeight="1"/>
    <row r="779" customFormat="1" ht="17.25" customHeight="1"/>
    <row r="780" customFormat="1" ht="17.25" customHeight="1"/>
    <row r="781" customFormat="1" ht="17.25" customHeight="1"/>
    <row r="782" customFormat="1" ht="17.25" customHeight="1"/>
    <row r="783" customFormat="1" ht="17.25" customHeight="1"/>
    <row r="784" customFormat="1" ht="17.25" customHeight="1"/>
    <row r="785" customFormat="1" ht="17.25" customHeight="1"/>
    <row r="786" customFormat="1" ht="17.25" customHeight="1"/>
    <row r="787" customFormat="1" ht="17.25" customHeight="1"/>
    <row r="788" customFormat="1" ht="17.25" customHeight="1"/>
    <row r="789" customFormat="1" ht="17.25" customHeight="1"/>
    <row r="790" customFormat="1" ht="17.25" customHeight="1"/>
    <row r="791" customFormat="1" ht="17.25" customHeight="1"/>
    <row r="792" customFormat="1" ht="17.25" customHeight="1"/>
    <row r="793" customFormat="1" ht="17.25" customHeight="1"/>
    <row r="794" customFormat="1" ht="17.25" customHeight="1"/>
    <row r="795" customFormat="1" ht="17.25" customHeight="1"/>
    <row r="796" customFormat="1" ht="17.25" customHeight="1"/>
    <row r="797" customFormat="1" ht="17.25" customHeight="1"/>
    <row r="798" customFormat="1" ht="17.25" customHeight="1"/>
    <row r="799" customFormat="1" ht="17.25" customHeight="1"/>
    <row r="800" customFormat="1" ht="17.25" customHeight="1"/>
    <row r="801" customFormat="1" ht="17.25" customHeight="1"/>
    <row r="802" customFormat="1" ht="17.25" customHeight="1"/>
    <row r="803" customFormat="1" ht="17.25" customHeight="1"/>
    <row r="804" customFormat="1" ht="17.25" customHeight="1"/>
    <row r="805" customFormat="1" ht="17.25" customHeight="1"/>
    <row r="806" customFormat="1" ht="17.25" customHeight="1"/>
    <row r="807" customFormat="1" ht="17.25" customHeight="1"/>
    <row r="808" customFormat="1" ht="17.25" customHeight="1"/>
    <row r="809" customFormat="1" ht="17.25" customHeight="1"/>
    <row r="810" customFormat="1" ht="17.25" customHeight="1"/>
    <row r="811" customFormat="1" ht="17.25" customHeight="1"/>
    <row r="812" customFormat="1" ht="17.25" customHeight="1"/>
    <row r="813" customFormat="1" ht="17.25" customHeight="1"/>
    <row r="814" customFormat="1" ht="17.25" customHeight="1"/>
    <row r="815" customFormat="1" ht="17.25" customHeight="1"/>
    <row r="816" customFormat="1" ht="17.25" customHeight="1"/>
    <row r="817" customFormat="1" ht="17.25" customHeight="1"/>
    <row r="818" customFormat="1" ht="17.25" customHeight="1"/>
    <row r="819" customFormat="1" ht="17.25" customHeight="1"/>
    <row r="820" customFormat="1" ht="17.25" customHeight="1"/>
    <row r="821" customFormat="1" ht="17.25" customHeight="1"/>
    <row r="822" customFormat="1" ht="17.25" customHeight="1"/>
    <row r="823" customFormat="1" ht="17.25" customHeight="1"/>
    <row r="824" customFormat="1" ht="17.25" customHeight="1"/>
    <row r="825" customFormat="1" ht="17.25" customHeight="1"/>
    <row r="826" customFormat="1" ht="17.25" customHeight="1"/>
    <row r="827" customFormat="1" ht="17.25" customHeight="1"/>
    <row r="828" customFormat="1" ht="17.25" customHeight="1"/>
    <row r="829" customFormat="1" ht="17.25" customHeight="1"/>
    <row r="830" customFormat="1" ht="17.25" customHeight="1"/>
    <row r="831" customFormat="1" ht="17.25" customHeight="1"/>
    <row r="832" customFormat="1" ht="17.25" customHeight="1"/>
    <row r="833" customFormat="1" ht="17.25" customHeight="1"/>
    <row r="834" customFormat="1" ht="17.25" customHeight="1"/>
    <row r="835" customFormat="1" ht="17.25" customHeight="1"/>
    <row r="836" customFormat="1" ht="17.25" customHeight="1"/>
    <row r="837" customFormat="1" ht="17.25" customHeight="1"/>
    <row r="838" customFormat="1" ht="17.25" customHeight="1"/>
    <row r="839" customFormat="1" ht="17.25" customHeight="1"/>
    <row r="840" customFormat="1" ht="17.25" customHeight="1"/>
    <row r="841" customFormat="1" ht="17.25" customHeight="1"/>
    <row r="842" customFormat="1" ht="17.25" customHeight="1"/>
    <row r="843" customFormat="1" ht="17.25" customHeight="1"/>
    <row r="844" customFormat="1" ht="17.25" customHeight="1"/>
    <row r="845" customFormat="1" ht="17.25" customHeight="1"/>
    <row r="846" customFormat="1" ht="17.25" customHeight="1"/>
    <row r="847" customFormat="1" ht="17.25" customHeight="1"/>
    <row r="848" customFormat="1" ht="17.25" customHeight="1"/>
    <row r="849" customFormat="1" ht="17.25" customHeight="1"/>
    <row r="850" customFormat="1" ht="17.25" customHeight="1"/>
    <row r="851" customFormat="1" ht="17.25" customHeight="1"/>
    <row r="852" customFormat="1" ht="17.25" customHeight="1"/>
    <row r="853" customFormat="1" ht="17.25" customHeight="1"/>
    <row r="854" customFormat="1" ht="17.25" customHeight="1"/>
    <row r="855" customFormat="1" ht="17.25" customHeight="1"/>
    <row r="856" customFormat="1" ht="17.25" customHeight="1"/>
    <row r="857" customFormat="1" ht="17.25" customHeight="1"/>
    <row r="858" customFormat="1" ht="17.25" customHeight="1"/>
    <row r="859" customFormat="1" ht="17.25" customHeight="1"/>
    <row r="860" customFormat="1" ht="17.25" customHeight="1"/>
    <row r="861" customFormat="1" ht="17.25" customHeight="1"/>
    <row r="862" customFormat="1" ht="17.25" customHeight="1"/>
    <row r="863" customFormat="1" ht="17.25" customHeight="1"/>
    <row r="864" customFormat="1" ht="17.25" customHeight="1"/>
    <row r="865" customFormat="1" ht="17.25" customHeight="1"/>
    <row r="866" customFormat="1" ht="17.25" customHeight="1"/>
    <row r="867" customFormat="1" ht="17.25" customHeight="1"/>
    <row r="868" customFormat="1" ht="17.25" customHeight="1"/>
    <row r="869" customFormat="1" ht="17.25" customHeight="1"/>
    <row r="870" customFormat="1" ht="17.25" customHeight="1"/>
    <row r="871" customFormat="1" ht="17.25" customHeight="1"/>
    <row r="872" customFormat="1" ht="17.25" customHeight="1"/>
    <row r="873" customFormat="1" ht="17.25" customHeight="1"/>
    <row r="874" customFormat="1" ht="17.25" customHeight="1"/>
    <row r="875" customFormat="1" ht="17.25" customHeight="1"/>
    <row r="876" customFormat="1" ht="17.25" customHeight="1"/>
    <row r="877" customFormat="1" ht="17.25" customHeight="1"/>
    <row r="878" customFormat="1" ht="17.25" customHeight="1"/>
    <row r="879" customFormat="1" ht="17.25" customHeight="1"/>
    <row r="880" customFormat="1" ht="17.25" customHeight="1"/>
    <row r="881" customFormat="1" ht="17.25" customHeight="1"/>
    <row r="882" customFormat="1" ht="17.25" customHeight="1"/>
    <row r="883" customFormat="1" ht="17.25" customHeight="1"/>
    <row r="884" customFormat="1" ht="17.25" customHeight="1"/>
    <row r="885" customFormat="1" ht="17.25" customHeight="1"/>
    <row r="886" customFormat="1" ht="17.25" customHeight="1"/>
    <row r="887" customFormat="1" ht="17.25" customHeight="1"/>
    <row r="888" customFormat="1" ht="17.25" customHeight="1"/>
    <row r="889" customFormat="1" ht="17.25" customHeight="1"/>
    <row r="890" customFormat="1" ht="17.25" customHeight="1"/>
    <row r="891" customFormat="1" ht="17.25" customHeight="1"/>
    <row r="892" customFormat="1" ht="17.25" customHeight="1"/>
    <row r="893" customFormat="1" ht="17.25" customHeight="1"/>
    <row r="894" customFormat="1" ht="17.25" customHeight="1"/>
    <row r="895" customFormat="1" ht="17.25" customHeight="1"/>
    <row r="896" customFormat="1" ht="17.25" customHeight="1"/>
    <row r="897" customFormat="1" ht="17.25" customHeight="1"/>
    <row r="898" customFormat="1" ht="17.25" customHeight="1"/>
    <row r="899" customFormat="1" ht="17.25" customHeight="1"/>
    <row r="900" customFormat="1" ht="17.25" customHeight="1"/>
    <row r="901" customFormat="1" ht="17.25" customHeight="1"/>
    <row r="902" customFormat="1" ht="17.25" customHeight="1"/>
    <row r="903" customFormat="1" ht="17.25" customHeight="1"/>
    <row r="904" customFormat="1" ht="17.25" customHeight="1"/>
    <row r="905" customFormat="1" ht="17.25" customHeight="1"/>
    <row r="906" customFormat="1" ht="17.25" customHeight="1"/>
    <row r="907" customFormat="1" ht="17.25" customHeight="1"/>
    <row r="908" customFormat="1" ht="17.25" customHeight="1"/>
    <row r="909" customFormat="1" ht="17.25" customHeight="1"/>
    <row r="910" customFormat="1" ht="17.25" customHeight="1"/>
    <row r="911" customFormat="1" ht="17.25" customHeight="1"/>
    <row r="912" customFormat="1" ht="17.25" customHeight="1"/>
    <row r="913" customFormat="1" ht="17.25" customHeight="1"/>
    <row r="914" customFormat="1" ht="17.25" customHeight="1"/>
    <row r="915" customFormat="1" ht="17.25" customHeight="1"/>
    <row r="916" customFormat="1" ht="17.25" customHeight="1"/>
    <row r="917" customFormat="1" ht="17.25" customHeight="1"/>
    <row r="918" customFormat="1" ht="17.25" customHeight="1"/>
    <row r="919" customFormat="1" ht="17.25" customHeight="1"/>
    <row r="920" customFormat="1" ht="17.25" customHeight="1"/>
    <row r="921" customFormat="1" ht="17.25" customHeight="1"/>
    <row r="922" customFormat="1" ht="17.25" customHeight="1"/>
    <row r="923" customFormat="1" ht="17.25" customHeight="1"/>
    <row r="924" customFormat="1" ht="17.25" customHeight="1"/>
    <row r="925" customFormat="1" ht="17.25" customHeight="1"/>
    <row r="926" customFormat="1" ht="17.25" customHeight="1"/>
    <row r="927" customFormat="1" ht="17.25" customHeight="1"/>
    <row r="928" customFormat="1" ht="17.25" customHeight="1"/>
    <row r="929" customFormat="1" ht="17.25" customHeight="1"/>
    <row r="930" customFormat="1" ht="17.25" customHeight="1"/>
    <row r="931" customFormat="1" ht="17.25" customHeight="1"/>
    <row r="932" customFormat="1" ht="17.25" customHeight="1"/>
    <row r="933" customFormat="1" ht="17.25" customHeight="1"/>
    <row r="934" customFormat="1" ht="17.25" customHeight="1"/>
    <row r="935" customFormat="1" ht="17.25" customHeight="1"/>
    <row r="936" customFormat="1" ht="17.25" customHeight="1"/>
    <row r="937" customFormat="1" ht="17.25" customHeight="1"/>
    <row r="938" customFormat="1" ht="17.25" customHeight="1"/>
    <row r="939" customFormat="1" ht="17.25" customHeight="1"/>
    <row r="940" customFormat="1" ht="17.25" customHeight="1"/>
    <row r="941" customFormat="1" ht="17.25" customHeight="1"/>
    <row r="942" customFormat="1" ht="17.25" customHeight="1"/>
    <row r="943" customFormat="1" ht="17.25" customHeight="1"/>
    <row r="944" customFormat="1" ht="17.25" customHeight="1"/>
    <row r="945" customFormat="1" ht="17.25" customHeight="1"/>
    <row r="946" customFormat="1" ht="17.25" customHeight="1"/>
    <row r="947" customFormat="1" ht="17.25" customHeight="1"/>
    <row r="948" customFormat="1" ht="17.25" customHeight="1"/>
    <row r="949" customFormat="1" ht="17.25" customHeight="1"/>
    <row r="950" customFormat="1" ht="17.25" customHeight="1"/>
    <row r="951" customFormat="1" ht="17.25" customHeight="1"/>
    <row r="952" customFormat="1" ht="17.25" customHeight="1"/>
    <row r="953" customFormat="1" ht="17.25" customHeight="1"/>
    <row r="954" customFormat="1" ht="17.25" customHeight="1"/>
    <row r="955" customFormat="1" ht="17.25" customHeight="1"/>
    <row r="956" customFormat="1" ht="17.25" customHeight="1"/>
    <row r="957" customFormat="1" ht="17.25" customHeight="1"/>
    <row r="958" customFormat="1" ht="17.25" customHeight="1"/>
    <row r="959" customFormat="1" ht="17.25" customHeight="1"/>
    <row r="960" customFormat="1" ht="17.25" customHeight="1"/>
    <row r="961" customFormat="1" ht="17.25" customHeight="1"/>
    <row r="962" customFormat="1" ht="17.25" customHeight="1"/>
    <row r="963" customFormat="1" ht="17.25" customHeight="1"/>
    <row r="964" customFormat="1" ht="17.25" customHeight="1"/>
    <row r="965" customFormat="1" ht="17.25" customHeight="1"/>
    <row r="966" customFormat="1" ht="17.25" customHeight="1"/>
    <row r="967" customFormat="1" ht="17.25" customHeight="1"/>
    <row r="968" customFormat="1" ht="17.25" customHeight="1"/>
    <row r="969" customFormat="1" ht="17.25" customHeight="1"/>
    <row r="970" customFormat="1" ht="17.25" customHeight="1"/>
    <row r="971" customFormat="1" ht="17.25" customHeight="1"/>
    <row r="972" customFormat="1" ht="17.25" customHeight="1"/>
    <row r="973" customFormat="1" ht="17.25" customHeight="1"/>
    <row r="974" customFormat="1" ht="17.25" customHeight="1"/>
    <row r="975" customFormat="1" ht="17.25" customHeight="1"/>
    <row r="976" customFormat="1" ht="17.25" customHeight="1"/>
    <row r="977" customFormat="1" ht="17.25" customHeight="1"/>
    <row r="978" customFormat="1" ht="17.25" customHeight="1"/>
    <row r="979" customFormat="1" ht="17.25" customHeight="1"/>
    <row r="980" customFormat="1" ht="17.25" customHeight="1"/>
    <row r="981" customFormat="1" ht="17.25" customHeight="1"/>
    <row r="982" customFormat="1" ht="17.25" customHeight="1"/>
    <row r="983" customFormat="1" ht="17.25" customHeight="1"/>
    <row r="984" customFormat="1" ht="17.25" customHeight="1"/>
    <row r="985" customFormat="1" ht="17.25" customHeight="1"/>
    <row r="986" customFormat="1" ht="17.25" customHeight="1"/>
    <row r="987" customFormat="1" ht="17.25" customHeight="1"/>
    <row r="988" customFormat="1" ht="17.25" customHeight="1"/>
    <row r="989" customFormat="1" ht="17.25" customHeight="1"/>
    <row r="990" customFormat="1" ht="17.25" customHeight="1"/>
    <row r="991" customFormat="1" ht="17.25" customHeight="1"/>
    <row r="992" customFormat="1" ht="17.25" customHeight="1"/>
    <row r="993" customFormat="1" ht="17.25" customHeight="1"/>
    <row r="994" customFormat="1" ht="17.25" customHeight="1"/>
    <row r="995" customFormat="1" ht="17.25" customHeight="1"/>
    <row r="996" customFormat="1" ht="17.25" customHeight="1"/>
    <row r="997" customFormat="1" ht="17.25" customHeight="1"/>
    <row r="998" customFormat="1" ht="17.25" customHeight="1"/>
    <row r="999" customFormat="1" ht="17.25" customHeight="1"/>
    <row r="1000" customFormat="1" ht="17.25" customHeight="1"/>
    <row r="1001" customFormat="1" ht="17.25" customHeight="1"/>
    <row r="1002" customFormat="1" ht="17.25" customHeight="1"/>
    <row r="1003" customFormat="1" ht="17.25" customHeight="1"/>
    <row r="1004" customFormat="1" ht="17.25" customHeight="1"/>
    <row r="1005" customFormat="1" ht="17.25" customHeight="1"/>
    <row r="1006" customFormat="1" ht="17.25" customHeight="1"/>
    <row r="1007" customFormat="1" ht="17.25" customHeight="1"/>
    <row r="1008" customFormat="1" ht="17.25" customHeight="1"/>
    <row r="1009" customFormat="1" ht="17.25" customHeight="1"/>
    <row r="1010" customFormat="1" ht="17.25" customHeight="1"/>
    <row r="1011" customFormat="1" ht="17.25" customHeight="1"/>
    <row r="1012" customFormat="1" ht="17.25" customHeight="1"/>
    <row r="1013" customFormat="1" ht="17.25" customHeight="1"/>
    <row r="1014" customFormat="1" ht="17.25" customHeight="1"/>
    <row r="1015" customFormat="1" ht="17.25" customHeight="1"/>
    <row r="1016" customFormat="1" ht="17.25" customHeight="1"/>
    <row r="1017" customFormat="1" ht="17.25" customHeight="1"/>
    <row r="1018" customFormat="1" ht="17.25" customHeight="1"/>
    <row r="1019" customFormat="1" ht="17.25" customHeight="1"/>
    <row r="1020" customFormat="1" ht="17.25" customHeight="1"/>
    <row r="1021" customFormat="1" ht="17.25" customHeight="1"/>
    <row r="1022" customFormat="1" ht="17.25" customHeight="1"/>
    <row r="1023" customFormat="1" ht="17.25" customHeight="1"/>
    <row r="1024" customFormat="1" ht="17.25" customHeight="1"/>
    <row r="1025" customFormat="1" ht="17.25" customHeight="1"/>
    <row r="1026" customFormat="1" ht="17.25" customHeight="1"/>
    <row r="1027" customFormat="1" ht="17.25" customHeight="1"/>
    <row r="1028" customFormat="1" ht="17.25" customHeight="1"/>
    <row r="1029" customFormat="1" ht="17.25" customHeight="1"/>
    <row r="1030" customFormat="1" ht="17.25" customHeight="1"/>
    <row r="1031" customFormat="1" ht="17.25" customHeight="1"/>
    <row r="1032" customFormat="1" ht="17.25" customHeight="1"/>
    <row r="1033" customFormat="1" ht="17.25" customHeight="1"/>
    <row r="1034" customFormat="1" ht="17.25" customHeight="1"/>
    <row r="1035" customFormat="1" ht="17.25" customHeight="1"/>
    <row r="1036" customFormat="1" ht="17.25" customHeight="1"/>
    <row r="1037" customFormat="1" ht="17.25" customHeight="1"/>
    <row r="1038" customFormat="1" ht="17.25" customHeight="1"/>
    <row r="1039" customFormat="1" ht="17.25" customHeight="1"/>
    <row r="1040" customFormat="1" ht="17.25" customHeight="1"/>
    <row r="1041" customFormat="1" ht="17.25" customHeight="1"/>
    <row r="1042" customFormat="1" ht="17.25" customHeight="1"/>
    <row r="1043" customFormat="1" ht="17.25" customHeight="1"/>
    <row r="1044" customFormat="1" ht="17.25" customHeight="1"/>
    <row r="1045" customFormat="1" ht="17.25" customHeight="1"/>
    <row r="1046" customFormat="1" ht="17.25" customHeight="1"/>
    <row r="1047" customFormat="1" ht="17.25" customHeight="1"/>
    <row r="1048" customFormat="1" ht="17.25" customHeight="1"/>
    <row r="1049" customFormat="1" ht="17.25" customHeight="1"/>
    <row r="1050" customFormat="1" ht="17.25" customHeight="1"/>
    <row r="1051" customFormat="1" ht="17.25" customHeight="1"/>
    <row r="1052" customFormat="1" ht="17.25" customHeight="1"/>
    <row r="1053" customFormat="1" ht="17.25" customHeight="1"/>
    <row r="1054" customFormat="1" ht="17.25" customHeight="1"/>
    <row r="1055" customFormat="1" ht="17.25" customHeight="1"/>
    <row r="1056" customFormat="1" ht="17.25" customHeight="1"/>
    <row r="1057" customFormat="1" ht="17.25" customHeight="1"/>
    <row r="1058" customFormat="1" ht="17.25" customHeight="1"/>
    <row r="1059" customFormat="1" ht="17.25" customHeight="1"/>
    <row r="1060" customFormat="1" ht="17.25" customHeight="1"/>
    <row r="1061" customFormat="1" ht="17.25" customHeight="1"/>
    <row r="1062" customFormat="1" ht="17.25" customHeight="1"/>
    <row r="1063" customFormat="1" ht="17.25" customHeight="1"/>
    <row r="1064" customFormat="1" ht="17.25" customHeight="1"/>
    <row r="1065" customFormat="1" ht="17.25" customHeight="1"/>
    <row r="1066" customFormat="1" ht="17.25" customHeight="1"/>
    <row r="1067" customFormat="1" ht="17.25" customHeight="1"/>
    <row r="1068" customFormat="1" ht="17.25" customHeight="1"/>
    <row r="1069" customFormat="1" ht="17.25" customHeight="1"/>
    <row r="1070" customFormat="1" ht="17.25" customHeight="1"/>
    <row r="1071" customFormat="1" ht="17.25" customHeight="1"/>
    <row r="1072" customFormat="1" ht="17.25" customHeight="1"/>
    <row r="1073" customFormat="1" ht="17.25" customHeight="1"/>
    <row r="1074" customFormat="1" ht="17.25" customHeight="1"/>
    <row r="1075" customFormat="1" ht="17.25" customHeight="1"/>
    <row r="1076" customFormat="1" ht="17.25" customHeight="1"/>
    <row r="1077" customFormat="1" ht="17.25" customHeight="1"/>
    <row r="1078" customFormat="1" ht="17.25" customHeight="1"/>
    <row r="1079" customFormat="1" ht="17.25" customHeight="1"/>
    <row r="1080" customFormat="1" ht="17.25" customHeight="1"/>
    <row r="1081" customFormat="1" ht="17.25" customHeight="1"/>
    <row r="1082" customFormat="1" ht="17.25" customHeight="1"/>
    <row r="1083" customFormat="1" ht="17.25" customHeight="1"/>
    <row r="1084" customFormat="1" ht="17.25" customHeight="1"/>
    <row r="1085" customFormat="1" ht="17.25" customHeight="1"/>
    <row r="1086" customFormat="1" ht="17.25" customHeight="1"/>
    <row r="1087" customFormat="1" ht="17.25" customHeight="1"/>
    <row r="1088" customFormat="1" ht="17.25" customHeight="1"/>
    <row r="1089" customFormat="1" ht="17.25" customHeight="1"/>
    <row r="1090" customFormat="1" ht="17.25" customHeight="1"/>
    <row r="1091" customFormat="1" ht="17.25" customHeight="1"/>
    <row r="1092" customFormat="1" ht="17.25" customHeight="1"/>
    <row r="1093" customFormat="1" ht="17.25" customHeight="1"/>
    <row r="1094" customFormat="1" ht="17.25" customHeight="1"/>
    <row r="1095" customFormat="1" ht="17.25" customHeight="1"/>
    <row r="1096" customFormat="1" ht="17.25" customHeight="1"/>
    <row r="1097" customFormat="1" ht="17.25" customHeight="1"/>
    <row r="1098" customFormat="1" ht="17.25" customHeight="1"/>
    <row r="1099" customFormat="1" ht="17.25" customHeight="1"/>
    <row r="1100" customFormat="1" ht="17.25" customHeight="1"/>
    <row r="1101" customFormat="1" ht="17.25" customHeight="1"/>
    <row r="1102" customFormat="1" ht="17.25" customHeight="1"/>
    <row r="1103" customFormat="1" ht="17.25" customHeight="1"/>
    <row r="1104" customFormat="1" ht="17.25" customHeight="1"/>
    <row r="1105" customFormat="1" ht="17.25" customHeight="1"/>
    <row r="1106" customFormat="1" ht="17.25" customHeight="1"/>
    <row r="1107" customFormat="1" ht="17.25" customHeight="1"/>
    <row r="1108" customFormat="1" ht="17.25" customHeight="1"/>
    <row r="1109" customFormat="1" ht="17.25" customHeight="1"/>
    <row r="1110" customFormat="1" ht="17.25" customHeight="1"/>
    <row r="1111" customFormat="1" ht="17.25" customHeight="1"/>
    <row r="1112" customFormat="1" ht="17.25" customHeight="1"/>
    <row r="1113" customFormat="1" ht="17.25" customHeight="1"/>
    <row r="1114" customFormat="1" ht="17.25" customHeight="1"/>
    <row r="1115" customFormat="1" ht="17.25" customHeight="1"/>
    <row r="1116" customFormat="1" ht="17.25" customHeight="1"/>
    <row r="1117" customFormat="1" ht="17.25" customHeight="1"/>
    <row r="1118" customFormat="1" ht="17.25" customHeight="1"/>
    <row r="1119" customFormat="1" ht="17.25" customHeight="1"/>
    <row r="1120" customFormat="1" ht="17.25" customHeight="1"/>
    <row r="1121" customFormat="1" ht="17.25" customHeight="1"/>
    <row r="1122" customFormat="1" ht="17.25" customHeight="1"/>
    <row r="1123" customFormat="1" ht="17.25" customHeight="1"/>
    <row r="1124" customFormat="1" ht="17.25" customHeight="1"/>
    <row r="1125" customFormat="1" ht="17.25" customHeight="1"/>
    <row r="1126" customFormat="1" ht="17.25" customHeight="1"/>
    <row r="1127" customFormat="1" ht="17.25" customHeight="1"/>
    <row r="1128" customFormat="1" ht="17.25" customHeight="1"/>
    <row r="1129" customFormat="1" ht="17.25" customHeight="1"/>
    <row r="1130" customFormat="1" ht="17.25" customHeight="1"/>
    <row r="1131" customFormat="1" ht="17.25" customHeight="1"/>
    <row r="1132" customFormat="1" ht="17.25" customHeight="1"/>
    <row r="1133" customFormat="1" ht="17.25" customHeight="1"/>
    <row r="1134" customFormat="1" ht="17.25" customHeight="1"/>
    <row r="1135" customFormat="1" ht="17.25" customHeight="1"/>
    <row r="1136" customFormat="1" ht="17.25" customHeight="1"/>
    <row r="1137" customFormat="1" ht="17.25" customHeight="1"/>
    <row r="1138" customFormat="1" ht="17.25" customHeight="1"/>
    <row r="1139" customFormat="1" ht="17.25" customHeight="1"/>
    <row r="1140" customFormat="1" ht="17.25" customHeight="1"/>
    <row r="1141" customFormat="1" ht="17.25" customHeight="1"/>
    <row r="1142" customFormat="1" ht="17.25" customHeight="1"/>
    <row r="1143" customFormat="1" ht="17.25" customHeight="1"/>
    <row r="1144" customFormat="1" ht="17.25" customHeight="1"/>
    <row r="1145" customFormat="1" ht="17.25" customHeight="1"/>
    <row r="1146" customFormat="1" ht="17.25" customHeight="1"/>
    <row r="1147" customFormat="1" ht="17.25" customHeight="1"/>
    <row r="1148" customFormat="1" ht="17.25" customHeight="1"/>
    <row r="1149" customFormat="1" ht="17.25" customHeight="1"/>
    <row r="1150" customFormat="1" ht="17.25" customHeight="1"/>
    <row r="1151" customFormat="1" ht="17.25" customHeight="1"/>
    <row r="1152" customFormat="1" ht="17.25" customHeight="1"/>
    <row r="1153" customFormat="1" ht="17.25" customHeight="1"/>
    <row r="1154" customFormat="1" ht="17.25" customHeight="1"/>
    <row r="1155" customFormat="1" ht="17.25" customHeight="1"/>
    <row r="1156" customFormat="1" ht="17.25" customHeight="1"/>
    <row r="1157" customFormat="1" ht="17.25" customHeight="1"/>
    <row r="1158" customFormat="1" ht="17.25" customHeight="1"/>
    <row r="1159" customFormat="1" ht="17.25" customHeight="1"/>
    <row r="1160" customFormat="1" ht="17.25" customHeight="1"/>
    <row r="1161" customFormat="1" ht="17.25" customHeight="1"/>
    <row r="1162" customFormat="1" ht="17.25" customHeight="1"/>
    <row r="1163" customFormat="1" ht="17.25" customHeight="1"/>
    <row r="1164" customFormat="1" ht="17.25" customHeight="1"/>
    <row r="1165" customFormat="1" ht="17.25" customHeight="1"/>
    <row r="1166" customFormat="1" ht="17.25" customHeight="1"/>
    <row r="1167" customFormat="1" ht="17.25" customHeight="1"/>
    <row r="1168" customFormat="1" ht="17.25" customHeight="1"/>
    <row r="1169" customFormat="1" ht="17.25" customHeight="1"/>
    <row r="1170" customFormat="1" ht="17.25" customHeight="1"/>
    <row r="1171" customFormat="1" ht="17.25" customHeight="1"/>
    <row r="1172" customFormat="1" ht="17.25" customHeight="1"/>
    <row r="1173" customFormat="1" ht="17.25" customHeight="1"/>
    <row r="1174" customFormat="1" ht="17.25" customHeight="1"/>
    <row r="1175" customFormat="1" ht="17.25" customHeight="1"/>
    <row r="1176" customFormat="1" ht="17.25" customHeight="1"/>
    <row r="1177" customFormat="1" ht="17.25" customHeight="1"/>
    <row r="1178" customFormat="1" ht="17.25" customHeight="1"/>
    <row r="1179" customFormat="1" ht="17.25" customHeight="1"/>
    <row r="1180" customFormat="1" ht="17.25" customHeight="1"/>
    <row r="1181" customFormat="1" ht="17.25" customHeight="1"/>
    <row r="1182" customFormat="1" ht="17.25" customHeight="1"/>
    <row r="1183" customFormat="1" ht="17.25" customHeight="1"/>
    <row r="1184" customFormat="1" ht="17.25" customHeight="1"/>
    <row r="1185" customFormat="1" ht="17.25" customHeight="1"/>
    <row r="1186" customFormat="1" ht="17.25" customHeight="1"/>
    <row r="1187" customFormat="1" ht="17.25" customHeight="1"/>
    <row r="1188" customFormat="1" ht="17.25" customHeight="1"/>
    <row r="1189" customFormat="1" ht="17.25" customHeight="1"/>
    <row r="1190" customFormat="1" ht="17.25" customHeight="1"/>
    <row r="1191" customFormat="1" ht="17.25" customHeight="1"/>
    <row r="1192" customFormat="1" ht="17.25" customHeight="1"/>
    <row r="1193" customFormat="1" ht="17.25" customHeight="1"/>
    <row r="1194" customFormat="1" ht="17.25" customHeight="1"/>
    <row r="1195" customFormat="1" ht="17.25" customHeight="1"/>
    <row r="1196" customFormat="1" ht="17.25" customHeight="1"/>
    <row r="1197" customFormat="1" ht="17.25" customHeight="1"/>
    <row r="1198" customFormat="1" ht="17.25" customHeight="1"/>
    <row r="1199" customFormat="1" ht="17.25" customHeight="1"/>
    <row r="1200" customFormat="1" ht="17.25" customHeight="1"/>
    <row r="1201" customFormat="1" ht="17.25" customHeight="1"/>
    <row r="1202" customFormat="1" ht="17.25" customHeight="1"/>
    <row r="1203" customFormat="1" ht="17.25" customHeight="1"/>
    <row r="1204" customFormat="1" ht="17.25" customHeight="1"/>
    <row r="1205" customFormat="1" ht="17.25" customHeight="1"/>
    <row r="1206" customFormat="1" ht="17.25" customHeight="1"/>
    <row r="1207" customFormat="1" ht="17.25" customHeight="1"/>
    <row r="1208" customFormat="1" ht="17.25" customHeight="1"/>
    <row r="1209" customFormat="1" ht="17.25" customHeight="1"/>
    <row r="1210" customFormat="1" ht="17.25" customHeight="1"/>
    <row r="1211" customFormat="1" ht="17.25" customHeight="1"/>
    <row r="1212" customFormat="1" ht="17.25" customHeight="1"/>
    <row r="1213" customFormat="1" ht="17.25" customHeight="1"/>
    <row r="1214" customFormat="1" ht="17.25" customHeight="1"/>
    <row r="1215" customFormat="1" ht="17.25" customHeight="1"/>
    <row r="1216" customFormat="1" ht="17.25" customHeight="1"/>
    <row r="1217" customFormat="1" ht="17.25" customHeight="1"/>
    <row r="1218" customFormat="1" ht="17.25" customHeight="1"/>
    <row r="1219" customFormat="1" ht="17.25" customHeight="1"/>
    <row r="1220" customFormat="1" ht="17.25" customHeight="1"/>
    <row r="1221" customFormat="1" ht="17.25" customHeight="1"/>
    <row r="1222" customFormat="1" ht="17.25" customHeight="1"/>
    <row r="1223" customFormat="1" ht="17.25" customHeight="1"/>
    <row r="1224" customFormat="1" ht="17.25" customHeight="1"/>
    <row r="1225" customFormat="1" ht="17.25" customHeight="1"/>
    <row r="1226" customFormat="1" ht="17.25" customHeight="1"/>
    <row r="1227" customFormat="1" ht="17.25" customHeight="1"/>
    <row r="1228" customFormat="1" ht="17.25" customHeight="1"/>
    <row r="1229" customFormat="1" ht="17.25" customHeight="1"/>
    <row r="1230" customFormat="1" ht="17.25" customHeight="1"/>
    <row r="1231" customFormat="1" ht="17.25" customHeight="1"/>
    <row r="1232" customFormat="1" ht="17.25" customHeight="1"/>
    <row r="1233" customFormat="1" ht="17.25" customHeight="1"/>
    <row r="1234" customFormat="1" ht="17.25" customHeight="1"/>
    <row r="1235" customFormat="1" ht="17.25" customHeight="1"/>
    <row r="1236" customFormat="1" ht="17.25" customHeight="1"/>
    <row r="1237" customFormat="1" ht="17.25" customHeight="1"/>
    <row r="1238" customFormat="1" ht="17.25" customHeight="1"/>
    <row r="1239" customFormat="1" ht="17.25" customHeight="1"/>
    <row r="1240" customFormat="1" ht="17.25" customHeight="1"/>
    <row r="1241" customFormat="1" ht="17.25" customHeight="1"/>
    <row r="1242" customFormat="1" ht="17.25" customHeight="1"/>
    <row r="1243" customFormat="1" ht="17.25" customHeight="1"/>
    <row r="1244" customFormat="1" ht="17.25" customHeight="1"/>
    <row r="1245" customFormat="1" ht="17.25" customHeight="1"/>
    <row r="1246" customFormat="1" ht="17.25" customHeight="1"/>
    <row r="1247" customFormat="1" ht="17.25" customHeight="1"/>
    <row r="1248" customFormat="1" ht="17.25" customHeight="1"/>
    <row r="1249" customFormat="1" ht="17.25" customHeight="1"/>
    <row r="1250" customFormat="1" ht="17.25" customHeight="1"/>
    <row r="1251" customFormat="1" ht="17.25" customHeight="1"/>
    <row r="1252" customFormat="1" ht="17.25" customHeight="1"/>
    <row r="1253" customFormat="1" ht="17.25" customHeight="1"/>
    <row r="1254" customFormat="1" ht="17.25" customHeight="1"/>
    <row r="1255" customFormat="1" ht="17.25" customHeight="1"/>
    <row r="1256" customFormat="1" ht="17.25" customHeight="1"/>
    <row r="1257" customFormat="1" ht="17.25" customHeight="1"/>
    <row r="1258" customFormat="1" ht="17.25" customHeight="1"/>
    <row r="1259" customFormat="1" ht="17.25" customHeight="1"/>
    <row r="1260" customFormat="1" ht="17.25" customHeight="1"/>
    <row r="1261" customFormat="1" ht="17.25" customHeight="1"/>
    <row r="1262" customFormat="1" ht="17.25" customHeight="1"/>
    <row r="1263" customFormat="1" ht="17.25" customHeight="1"/>
    <row r="1264" customFormat="1" ht="17.25" customHeight="1"/>
    <row r="1265" customFormat="1" ht="17.25" customHeight="1"/>
    <row r="1266" customFormat="1" ht="17.25" customHeight="1"/>
    <row r="1267" customFormat="1" ht="17.25" customHeight="1"/>
    <row r="1268" customFormat="1" ht="17.25" customHeight="1"/>
    <row r="1269" customFormat="1" ht="17.25" customHeight="1"/>
    <row r="1270" customFormat="1" ht="17.25" customHeight="1"/>
    <row r="1271" customFormat="1" ht="17.25" customHeight="1"/>
    <row r="1272" customFormat="1" ht="17.25" customHeight="1"/>
    <row r="1273" customFormat="1" ht="17.25" customHeight="1"/>
    <row r="1274" customFormat="1" ht="17.25" customHeight="1"/>
    <row r="1275" customFormat="1" ht="17.25" customHeight="1"/>
    <row r="1276" customFormat="1" ht="17.25" customHeight="1"/>
    <row r="1277" customFormat="1" ht="17.25" customHeight="1"/>
    <row r="1278" customFormat="1" ht="17.25" customHeight="1"/>
    <row r="1279" customFormat="1" ht="17.25" customHeight="1"/>
    <row r="1280" customFormat="1" ht="17.25" customHeight="1"/>
    <row r="1281" customFormat="1" ht="17.25" customHeight="1"/>
    <row r="1282" customFormat="1" ht="17.25" customHeight="1"/>
    <row r="1283" customFormat="1" ht="17.25" customHeight="1"/>
    <row r="1284" customFormat="1" ht="17.25" customHeight="1"/>
    <row r="1285" customFormat="1" ht="17.25" customHeight="1"/>
    <row r="1286" customFormat="1" ht="17.25" customHeight="1"/>
    <row r="1287" customFormat="1" ht="17.25" customHeight="1"/>
    <row r="1288" customFormat="1" ht="17.25" customHeight="1"/>
    <row r="1289" customFormat="1" ht="17.25" customHeight="1"/>
    <row r="1290" customFormat="1" ht="17.25" customHeight="1"/>
    <row r="1291" customFormat="1" ht="17.25" customHeight="1"/>
    <row r="1292" customFormat="1" ht="17.25" customHeight="1"/>
    <row r="1293" customFormat="1" ht="17.25" customHeight="1"/>
    <row r="1294" customFormat="1" ht="17.25" customHeight="1"/>
    <row r="1295" customFormat="1" ht="17.25" customHeight="1"/>
    <row r="1296" customFormat="1" ht="17.25" customHeight="1"/>
    <row r="1297" customFormat="1" ht="17.25" customHeight="1"/>
    <row r="1298" customFormat="1" ht="17.25" customHeight="1"/>
    <row r="1299" customFormat="1" ht="17.25" customHeight="1"/>
    <row r="1300" customFormat="1" ht="17.25" customHeight="1"/>
    <row r="1301" customFormat="1" ht="17.25" customHeight="1"/>
    <row r="1302" customFormat="1" ht="17.25" customHeight="1"/>
    <row r="1303" customFormat="1" ht="17.25" customHeight="1"/>
    <row r="1304" customFormat="1" ht="17.25" customHeight="1"/>
    <row r="1305" customFormat="1" ht="17.25" customHeight="1"/>
    <row r="1306" customFormat="1" ht="17.25" customHeight="1"/>
    <row r="1307" customFormat="1" ht="17.25" customHeight="1"/>
    <row r="1308" customFormat="1" ht="17.25" customHeight="1"/>
    <row r="1309" customFormat="1" ht="17.25" customHeight="1"/>
    <row r="1310" customFormat="1" ht="17.25" customHeight="1"/>
    <row r="1311" customFormat="1" ht="17.25" customHeight="1"/>
    <row r="1312" customFormat="1" ht="17.25" customHeight="1"/>
    <row r="1313" customFormat="1" ht="17.25" customHeight="1"/>
    <row r="1314" customFormat="1" ht="17.25" customHeight="1"/>
    <row r="1315" customFormat="1" ht="17.25" customHeight="1"/>
    <row r="1316" customFormat="1" ht="17.25" customHeight="1"/>
    <row r="1317" customFormat="1" ht="17.25" customHeight="1"/>
    <row r="1318" customFormat="1" ht="17.25" customHeight="1"/>
    <row r="1319" customFormat="1" ht="17.25" customHeight="1"/>
    <row r="1320" customFormat="1" ht="17.25" customHeight="1"/>
    <row r="1321" customFormat="1" ht="17.25" customHeight="1"/>
    <row r="1322" customFormat="1" ht="17.25" customHeight="1"/>
    <row r="1323" customFormat="1" ht="17.25" customHeight="1"/>
    <row r="1324" customFormat="1" ht="17.25" customHeight="1"/>
    <row r="1325" customFormat="1" ht="17.25" customHeight="1"/>
    <row r="1326" customFormat="1" ht="17.25" customHeight="1"/>
    <row r="1327" customFormat="1" ht="17.25" customHeight="1"/>
    <row r="1328" customFormat="1" ht="17.25" customHeight="1"/>
    <row r="1329" customFormat="1" ht="17.25" customHeight="1"/>
    <row r="1330" customFormat="1" ht="17.25" customHeight="1"/>
    <row r="1331" customFormat="1" ht="17.25" customHeight="1"/>
    <row r="1332" customFormat="1" ht="17.25" customHeight="1"/>
    <row r="1333" customFormat="1" ht="17.25" customHeight="1"/>
    <row r="1334" customFormat="1" ht="17.25" customHeight="1"/>
    <row r="1335" customFormat="1" ht="17.25" customHeight="1"/>
    <row r="1336" customFormat="1" ht="17.25" customHeight="1"/>
    <row r="1337" customFormat="1" ht="17.25" customHeight="1"/>
    <row r="1338" customFormat="1" ht="17.25" customHeight="1"/>
    <row r="1339" customFormat="1" ht="17.25" customHeight="1"/>
    <row r="1340" customFormat="1" ht="17.25" customHeight="1"/>
    <row r="1341" customFormat="1" ht="17.25" customHeight="1"/>
    <row r="1342" customFormat="1" ht="17.25" customHeight="1"/>
    <row r="1343" customFormat="1" ht="17.25" customHeight="1"/>
    <row r="1344" customFormat="1" ht="17.25" customHeight="1"/>
    <row r="1345" customFormat="1" ht="17.25" customHeight="1"/>
    <row r="1346" customFormat="1" ht="17.25" customHeight="1"/>
    <row r="1347" customFormat="1" ht="17.25" customHeight="1"/>
    <row r="1348" customFormat="1" ht="17.25" customHeight="1"/>
    <row r="1349" customFormat="1" ht="17.25" customHeight="1"/>
    <row r="1350" customFormat="1" ht="17.25" customHeight="1"/>
    <row r="1351" customFormat="1" ht="17.25" customHeight="1"/>
    <row r="1352" customFormat="1" ht="17.25" customHeight="1"/>
    <row r="1353" customFormat="1" ht="17.25" customHeight="1"/>
    <row r="1354" customFormat="1" ht="17.25" customHeight="1"/>
    <row r="1355" customFormat="1" ht="17.25" customHeight="1"/>
    <row r="1356" customFormat="1" ht="17.25" customHeight="1"/>
    <row r="1357" customFormat="1" ht="17.25" customHeight="1"/>
    <row r="1358" customFormat="1" ht="17.25" customHeight="1"/>
    <row r="1359" customFormat="1" ht="17.25" customHeight="1"/>
    <row r="1360" customFormat="1" ht="17.25" customHeight="1"/>
    <row r="1361" customFormat="1" ht="17.25" customHeight="1"/>
    <row r="1362" customFormat="1" ht="17.25" customHeight="1"/>
    <row r="1363" customFormat="1" ht="17.25" customHeight="1"/>
    <row r="1364" customFormat="1" ht="17.25" customHeight="1"/>
    <row r="1365" customFormat="1" ht="17.25" customHeight="1"/>
    <row r="1366" customFormat="1" ht="17.25" customHeight="1"/>
    <row r="1367" customFormat="1" ht="17.25" customHeight="1"/>
    <row r="1368" customFormat="1" ht="17.25" customHeight="1"/>
    <row r="1369" customFormat="1" ht="17.25" customHeight="1"/>
    <row r="1370" customFormat="1" ht="17.25" customHeight="1"/>
    <row r="1371" customFormat="1" ht="17.25" customHeight="1"/>
    <row r="1372" customFormat="1" ht="17.25" customHeight="1"/>
    <row r="1373" customFormat="1" ht="17.25" customHeight="1"/>
    <row r="1374" customFormat="1" ht="17.25" customHeight="1"/>
    <row r="1375" customFormat="1" ht="17.25" customHeight="1"/>
    <row r="1376" customFormat="1" ht="17.25" customHeight="1"/>
    <row r="1377" customFormat="1" ht="17.25" customHeight="1"/>
    <row r="1378" customFormat="1" ht="17.25" customHeight="1"/>
    <row r="1379" customFormat="1" ht="17.25" customHeight="1"/>
    <row r="1380" customFormat="1" ht="17.25" customHeight="1"/>
    <row r="1381" customFormat="1" ht="17.25" customHeight="1"/>
    <row r="1382" customFormat="1" ht="17.25" customHeight="1"/>
    <row r="1383" customFormat="1" ht="17.25" customHeight="1"/>
    <row r="1384" customFormat="1" ht="17.25" customHeight="1"/>
    <row r="1385" customFormat="1" ht="17.25" customHeight="1"/>
    <row r="1386" customFormat="1" ht="17.25" customHeight="1"/>
    <row r="1387" customFormat="1" ht="17.25" customHeight="1"/>
    <row r="1388" customFormat="1" ht="17.25" customHeight="1"/>
    <row r="1389" customFormat="1" ht="17.25" customHeight="1"/>
    <row r="1390" customFormat="1" ht="17.25" customHeight="1"/>
    <row r="1391" customFormat="1" ht="17.25" customHeight="1"/>
    <row r="1392" customFormat="1" ht="17.25" customHeight="1"/>
    <row r="1393" customFormat="1" ht="17.25" customHeight="1"/>
    <row r="1394" customFormat="1" ht="17.25" customHeight="1"/>
    <row r="1395" customFormat="1" ht="17.25" customHeight="1"/>
    <row r="1396" customFormat="1" ht="17.25" customHeight="1"/>
    <row r="1397" customFormat="1" ht="17.25" customHeight="1"/>
    <row r="1398" customFormat="1" ht="17.25" customHeight="1"/>
    <row r="1399" customFormat="1" ht="17.25" customHeight="1"/>
    <row r="1400" customFormat="1" ht="17.25" customHeight="1"/>
    <row r="1401" customFormat="1" ht="17.25" customHeight="1"/>
    <row r="1402" customFormat="1" ht="17.25" customHeight="1"/>
    <row r="1403" customFormat="1" ht="17.25" customHeight="1"/>
    <row r="1404" customFormat="1" ht="17.25" customHeight="1"/>
    <row r="1405" customFormat="1" ht="17.25" customHeight="1"/>
    <row r="1406" customFormat="1" ht="17.25" customHeight="1"/>
    <row r="1407" customFormat="1" ht="17.25" customHeight="1"/>
    <row r="1408" customFormat="1" ht="17.25" customHeight="1"/>
    <row r="1409" customFormat="1" ht="17.25" customHeight="1"/>
    <row r="1410" customFormat="1" ht="17.25" customHeight="1"/>
    <row r="1411" customFormat="1" ht="17.25" customHeight="1"/>
    <row r="1412" customFormat="1" ht="17.25" customHeight="1"/>
    <row r="1413" customFormat="1" ht="17.25" customHeight="1"/>
    <row r="1414" customFormat="1" ht="17.25" customHeight="1"/>
    <row r="1415" customFormat="1" ht="17.25" customHeight="1"/>
    <row r="1416" customFormat="1" ht="17.25" customHeight="1"/>
    <row r="1417" customFormat="1" ht="17.25" customHeight="1"/>
    <row r="1418" customFormat="1" ht="17.25" customHeight="1"/>
    <row r="1419" customFormat="1" ht="17.25" customHeight="1"/>
    <row r="1420" customFormat="1" ht="17.25" customHeight="1"/>
    <row r="1421" customFormat="1" ht="17.25" customHeight="1"/>
    <row r="1422" customFormat="1" ht="17.25" customHeight="1"/>
    <row r="1423" customFormat="1" ht="17.25" customHeight="1"/>
    <row r="1424" customFormat="1" ht="17.25" customHeight="1"/>
    <row r="1425" customFormat="1" ht="17.25" customHeight="1"/>
    <row r="1426" customFormat="1" ht="17.25" customHeight="1"/>
    <row r="1427" customFormat="1" ht="17.25" customHeight="1"/>
    <row r="1428" customFormat="1" ht="17.25" customHeight="1"/>
    <row r="1429" customFormat="1" ht="17.25" customHeight="1"/>
    <row r="1430" customFormat="1" ht="17.25" customHeight="1"/>
    <row r="1431" customFormat="1" ht="17.25" customHeight="1"/>
    <row r="1432" customFormat="1" ht="17.25" customHeight="1"/>
    <row r="1433" customFormat="1" ht="17.25" customHeight="1"/>
    <row r="1434" customFormat="1" ht="17.25" customHeight="1"/>
    <row r="1435" customFormat="1" ht="17.25" customHeight="1"/>
    <row r="1436" customFormat="1" ht="17.25" customHeight="1"/>
    <row r="1437" customFormat="1" ht="17.25" customHeight="1"/>
    <row r="1438" customFormat="1" ht="17.25" customHeight="1"/>
    <row r="1439" customFormat="1" ht="17.25" customHeight="1"/>
    <row r="1440" customFormat="1" ht="17.25" customHeight="1"/>
    <row r="1441" customFormat="1" ht="17.25" customHeight="1"/>
    <row r="1442" customFormat="1" ht="17.25" customHeight="1"/>
    <row r="1443" customFormat="1" ht="17.25" customHeight="1"/>
    <row r="1444" customFormat="1" ht="17.25" customHeight="1"/>
    <row r="1445" customFormat="1" ht="17.25" customHeight="1"/>
    <row r="1446" customFormat="1" ht="17.25" customHeight="1"/>
    <row r="1447" customFormat="1" ht="17.25" customHeight="1"/>
    <row r="1448" customFormat="1" ht="17.25" customHeight="1"/>
    <row r="1449" customFormat="1" ht="17.25" customHeight="1"/>
    <row r="1450" customFormat="1" ht="17.25" customHeight="1"/>
    <row r="1451" customFormat="1" ht="17.25" customHeight="1"/>
    <row r="1452" customFormat="1" ht="17.25" customHeight="1"/>
    <row r="1453" customFormat="1" ht="17.25" customHeight="1"/>
    <row r="1454" customFormat="1" ht="17.25" customHeight="1"/>
    <row r="1455" customFormat="1" ht="17.25" customHeight="1"/>
    <row r="1456" customFormat="1" ht="17.25" customHeight="1"/>
    <row r="1457" customFormat="1" ht="17.25" customHeight="1"/>
    <row r="1458" customFormat="1" ht="17.25" customHeight="1"/>
    <row r="1459" customFormat="1" ht="17.25" customHeight="1"/>
    <row r="1460" customFormat="1" ht="17.25" customHeight="1"/>
    <row r="1461" customFormat="1" ht="17.25" customHeight="1"/>
    <row r="1462" customFormat="1" ht="17.25" customHeight="1"/>
    <row r="1463" customFormat="1" ht="17.25" customHeight="1"/>
    <row r="1464" customFormat="1" ht="17.25" customHeight="1"/>
    <row r="1465" customFormat="1" ht="17.25" customHeight="1"/>
    <row r="1466" customFormat="1" ht="17.25" customHeight="1"/>
    <row r="1467" customFormat="1" ht="17.25" customHeight="1"/>
    <row r="1468" customFormat="1" ht="17.25" customHeight="1"/>
    <row r="1469" customFormat="1" ht="17.25" customHeight="1"/>
    <row r="1470" customFormat="1" ht="17.25" customHeight="1"/>
    <row r="1471" customFormat="1" ht="17.25" customHeight="1"/>
    <row r="1472" customFormat="1" ht="17.25" customHeight="1"/>
    <row r="1473" customFormat="1" ht="17.25" customHeight="1"/>
    <row r="1474" customFormat="1" ht="17.25" customHeight="1"/>
    <row r="1475" customFormat="1" ht="17.25" customHeight="1"/>
    <row r="1476" customFormat="1" ht="17.25" customHeight="1"/>
    <row r="1477" customFormat="1" ht="17.25" customHeight="1"/>
    <row r="1478" customFormat="1" ht="17.25" customHeight="1"/>
    <row r="1479" customFormat="1" ht="17.25" customHeight="1"/>
    <row r="1480" customFormat="1" ht="17.25" customHeight="1"/>
    <row r="1481" customFormat="1" ht="17.25" customHeight="1"/>
    <row r="1482" customFormat="1" ht="17.25" customHeight="1"/>
    <row r="1483" customFormat="1" ht="17.25" customHeight="1"/>
    <row r="1484" customFormat="1" ht="17.25" customHeight="1"/>
    <row r="1485" customFormat="1" ht="17.25" customHeight="1"/>
    <row r="1486" customFormat="1" ht="17.25" customHeight="1"/>
    <row r="1487" customFormat="1" ht="17.25" customHeight="1"/>
    <row r="1488" customFormat="1" ht="17.25" customHeight="1"/>
    <row r="1489" customFormat="1" ht="17.25" customHeight="1"/>
    <row r="1490" customFormat="1" ht="17.25" customHeight="1"/>
    <row r="1491" customFormat="1" ht="17.25" customHeight="1"/>
    <row r="1492" customFormat="1" ht="17.25" customHeight="1"/>
    <row r="1493" customFormat="1" ht="17.25" customHeight="1"/>
    <row r="1494" customFormat="1" ht="17.25" customHeight="1"/>
    <row r="1495" customFormat="1" ht="17.25" customHeight="1"/>
    <row r="1496" customFormat="1" ht="17.25" customHeight="1"/>
    <row r="1497" customFormat="1" ht="17.25" customHeight="1"/>
    <row r="1498" customFormat="1" ht="17.25" customHeight="1"/>
    <row r="1499" customFormat="1" ht="17.25" customHeight="1"/>
    <row r="1500" customFormat="1" ht="17.25" customHeight="1"/>
    <row r="1501" customFormat="1" ht="17.25" customHeight="1"/>
    <row r="1502" customFormat="1" ht="17.25" customHeight="1"/>
    <row r="1503" customFormat="1" ht="17.25" customHeight="1"/>
    <row r="1504" customFormat="1" ht="17.25" customHeight="1"/>
    <row r="1505" customFormat="1" ht="17.25" customHeight="1"/>
    <row r="1506" customFormat="1" ht="17.25" customHeight="1"/>
    <row r="1507" customFormat="1" ht="17.25" customHeight="1"/>
    <row r="1508" customFormat="1" ht="17.25" customHeight="1"/>
    <row r="1509" customFormat="1" ht="17.25" customHeight="1"/>
    <row r="1510" customFormat="1" ht="17.25" customHeight="1"/>
    <row r="1511" customFormat="1" ht="17.25" customHeight="1"/>
    <row r="1512" customFormat="1" ht="17.25" customHeight="1"/>
    <row r="1513" customFormat="1" ht="17.25" customHeight="1"/>
    <row r="1514" customFormat="1" ht="17.25" customHeight="1"/>
    <row r="1515" customFormat="1" ht="17.25" customHeight="1"/>
    <row r="1516" customFormat="1" ht="17.25" customHeight="1"/>
    <row r="1517" customFormat="1" ht="17.25" customHeight="1"/>
    <row r="1518" customFormat="1" ht="17.25" customHeight="1"/>
    <row r="1519" customFormat="1" ht="17.25" customHeight="1"/>
    <row r="1520" customFormat="1" ht="17.25" customHeight="1"/>
    <row r="1521" customFormat="1" ht="17.25" customHeight="1"/>
    <row r="1522" customFormat="1" ht="17.25" customHeight="1"/>
    <row r="1523" customFormat="1" ht="17.25" customHeight="1"/>
    <row r="1524" customFormat="1" ht="17.25" customHeight="1"/>
    <row r="1525" customFormat="1" ht="17.25" customHeight="1"/>
    <row r="1526" customFormat="1" ht="17.25" customHeight="1"/>
    <row r="1527" customFormat="1" ht="17.25" customHeight="1"/>
    <row r="1528" customFormat="1" ht="17.25" customHeight="1"/>
    <row r="1529" customFormat="1" ht="17.25" customHeight="1"/>
    <row r="1530" customFormat="1" ht="17.25" customHeight="1"/>
    <row r="1531" customFormat="1" ht="17.25" customHeight="1"/>
    <row r="1532" customFormat="1" ht="17.25" customHeight="1"/>
    <row r="1533" customFormat="1" ht="17.25" customHeight="1"/>
    <row r="1534" customFormat="1" ht="17.25" customHeight="1"/>
    <row r="1535" customFormat="1" ht="17.25" customHeight="1"/>
    <row r="1536" customFormat="1" ht="17.25" customHeight="1"/>
    <row r="1537" customFormat="1" ht="17.25" customHeight="1"/>
    <row r="1538" customFormat="1" ht="17.25" customHeight="1"/>
    <row r="1539" customFormat="1" ht="17.25" customHeight="1"/>
    <row r="1540" customFormat="1" ht="17.25" customHeight="1"/>
    <row r="1541" customFormat="1" ht="17.25" customHeight="1"/>
    <row r="1542" customFormat="1" ht="17.25" customHeight="1"/>
    <row r="1543" customFormat="1" ht="17.25" customHeight="1"/>
    <row r="1544" customFormat="1" ht="17.25" customHeight="1"/>
    <row r="1545" customFormat="1" ht="17.25" customHeight="1"/>
    <row r="1546" customFormat="1" ht="17.25" customHeight="1"/>
    <row r="1547" customFormat="1" ht="17.25" customHeight="1"/>
    <row r="1548" customFormat="1" ht="17.25" customHeight="1"/>
    <row r="1549" customFormat="1" ht="17.25" customHeight="1"/>
    <row r="1550" customFormat="1" ht="17.25" customHeight="1"/>
    <row r="1551" customFormat="1" ht="17.25" customHeight="1"/>
    <row r="1552" customFormat="1" ht="17.25" customHeight="1"/>
    <row r="1553" customFormat="1" ht="17.25" customHeight="1"/>
    <row r="1554" customFormat="1" ht="17.25" customHeight="1"/>
    <row r="1555" customFormat="1" ht="17.25" customHeight="1"/>
    <row r="1556" customFormat="1" ht="17.25" customHeight="1"/>
    <row r="1557" customFormat="1" ht="17.25" customHeight="1"/>
    <row r="1558" customFormat="1" ht="17.25" customHeight="1"/>
    <row r="1559" customFormat="1" ht="17.25" customHeight="1"/>
    <row r="1560" customFormat="1" ht="17.25" customHeight="1"/>
    <row r="1561" customFormat="1" ht="17.25" customHeight="1"/>
    <row r="1562" customFormat="1" ht="17.25" customHeight="1"/>
    <row r="1563" customFormat="1" ht="17.25" customHeight="1"/>
    <row r="1564" customFormat="1" ht="17.25" customHeight="1"/>
    <row r="1565" customFormat="1" ht="17.25" customHeight="1"/>
    <row r="1566" customFormat="1" ht="17.25" customHeight="1"/>
    <row r="1567" customFormat="1" ht="17.25" customHeight="1"/>
    <row r="1568" customFormat="1" ht="17.25" customHeight="1"/>
    <row r="1569" customFormat="1" ht="17.25" customHeight="1"/>
    <row r="1570" customFormat="1" ht="17.25" customHeight="1"/>
    <row r="1571" customFormat="1" ht="17.25" customHeight="1"/>
    <row r="1572" customFormat="1" ht="17.25" customHeight="1"/>
    <row r="1573" customFormat="1" ht="17.25" customHeight="1"/>
    <row r="1574" customFormat="1" ht="17.25" customHeight="1"/>
    <row r="1575" customFormat="1" ht="17.25" customHeight="1"/>
    <row r="1576" customFormat="1" ht="17.25" customHeight="1"/>
    <row r="1577" customFormat="1" ht="17.25" customHeight="1"/>
    <row r="1578" customFormat="1" ht="17.25" customHeight="1"/>
    <row r="1579" customFormat="1" ht="17.25" customHeight="1"/>
    <row r="1580" customFormat="1" ht="17.25" customHeight="1"/>
    <row r="1581" customFormat="1" ht="17.25" customHeight="1"/>
    <row r="1582" customFormat="1" ht="17.25" customHeight="1"/>
    <row r="1583" customFormat="1" ht="17.25" customHeight="1"/>
    <row r="1584" customFormat="1" ht="17.25" customHeight="1"/>
    <row r="1585" customFormat="1" ht="17.25" customHeight="1"/>
    <row r="1586" customFormat="1" ht="17.25" customHeight="1"/>
    <row r="1587" customFormat="1" ht="17.25" customHeight="1"/>
    <row r="1588" customFormat="1" ht="17.25" customHeight="1"/>
    <row r="1589" customFormat="1" ht="17.25" customHeight="1"/>
    <row r="1590" customFormat="1" ht="17.25" customHeight="1"/>
    <row r="1591" customFormat="1" ht="17.25" customHeight="1"/>
    <row r="1592" customFormat="1" ht="17.25" customHeight="1"/>
    <row r="1593" customFormat="1" ht="17.25" customHeight="1"/>
    <row r="1594" customFormat="1" ht="17.25" customHeight="1"/>
    <row r="1595" customFormat="1" ht="17.25" customHeight="1"/>
    <row r="1596" customFormat="1" ht="17.25" customHeight="1"/>
    <row r="1597" customFormat="1" ht="17.25" customHeight="1"/>
    <row r="1598" customFormat="1" ht="17.25" customHeight="1"/>
    <row r="1599" customFormat="1" ht="17.25" customHeight="1"/>
    <row r="1600" customFormat="1" ht="17.25" customHeight="1"/>
    <row r="1601" customFormat="1" ht="17.25" customHeight="1"/>
    <row r="1602" customFormat="1" ht="17.25" customHeight="1"/>
    <row r="1603" customFormat="1" ht="17.25" customHeight="1"/>
    <row r="1604" customFormat="1" ht="17.25" customHeight="1"/>
    <row r="1605" customFormat="1" ht="17.25" customHeight="1"/>
    <row r="1606" customFormat="1" ht="17.25" customHeight="1"/>
    <row r="1607" customFormat="1" ht="17.25" customHeight="1"/>
    <row r="1608" customFormat="1" ht="17.25" customHeight="1"/>
    <row r="1609" customFormat="1" ht="17.25" customHeight="1"/>
    <row r="1610" customFormat="1" ht="17.25" customHeight="1"/>
    <row r="1611" customFormat="1" ht="17.25" customHeight="1"/>
    <row r="1612" customFormat="1" ht="17.25" customHeight="1"/>
    <row r="1613" customFormat="1" ht="17.25" customHeight="1"/>
    <row r="1614" customFormat="1" ht="17.25" customHeight="1"/>
    <row r="1615" customFormat="1" ht="17.25" customHeight="1"/>
    <row r="1616" customFormat="1" ht="17.25" customHeight="1"/>
    <row r="1617" customFormat="1" ht="17.25" customHeight="1"/>
    <row r="1618" customFormat="1" ht="17.25" customHeight="1"/>
    <row r="1619" customFormat="1" ht="17.25" customHeight="1"/>
    <row r="1620" customFormat="1" ht="17.25" customHeight="1"/>
    <row r="1621" customFormat="1" ht="17.25" customHeight="1"/>
    <row r="1622" customFormat="1" ht="17.25" customHeight="1"/>
    <row r="1623" customFormat="1" ht="17.25" customHeight="1"/>
    <row r="1624" customFormat="1" ht="17.25" customHeight="1"/>
    <row r="1625" customFormat="1" ht="17.25" customHeight="1"/>
    <row r="1626" customFormat="1" ht="17.25" customHeight="1"/>
    <row r="1627" customFormat="1" ht="17.25" customHeight="1"/>
    <row r="1628" customFormat="1" ht="17.25" customHeight="1"/>
    <row r="1629" customFormat="1" ht="17.25" customHeight="1"/>
    <row r="1630" customFormat="1" ht="17.25" customHeight="1"/>
    <row r="1631" customFormat="1" ht="17.25" customHeight="1"/>
    <row r="1632" customFormat="1" ht="17.25" customHeight="1"/>
    <row r="1633" customFormat="1" ht="17.25" customHeight="1"/>
    <row r="1634" customFormat="1" ht="17.25" customHeight="1"/>
    <row r="1635" customFormat="1" ht="17.25" customHeight="1"/>
    <row r="1636" customFormat="1" ht="17.25" customHeight="1"/>
    <row r="1637" customFormat="1" ht="17.25" customHeight="1"/>
    <row r="1638" customFormat="1" ht="17.25" customHeight="1"/>
    <row r="1639" customFormat="1" ht="17.25" customHeight="1"/>
    <row r="1640" customFormat="1" ht="17.25" customHeight="1"/>
    <row r="1641" customFormat="1" ht="17.25" customHeight="1"/>
    <row r="1642" customFormat="1" ht="17.25" customHeight="1"/>
    <row r="1643" customFormat="1" ht="17.25" customHeight="1"/>
    <row r="1644" customFormat="1" ht="17.25" customHeight="1"/>
    <row r="1645" customFormat="1" ht="17.25" customHeight="1"/>
    <row r="1646" customFormat="1" ht="17.25" customHeight="1"/>
    <row r="1647" customFormat="1" ht="17.25" customHeight="1"/>
    <row r="1648" customFormat="1" ht="17.25" customHeight="1"/>
    <row r="1649" customFormat="1" ht="17.25" customHeight="1"/>
    <row r="1650" customFormat="1" ht="17.25" customHeight="1"/>
    <row r="1651" customFormat="1" ht="17.25" customHeight="1"/>
    <row r="1652" customFormat="1" ht="17.25" customHeight="1"/>
    <row r="1653" customFormat="1" ht="17.25" customHeight="1"/>
    <row r="1654" customFormat="1" ht="17.25" customHeight="1"/>
    <row r="1655" customFormat="1" ht="17.25" customHeight="1"/>
    <row r="1656" customFormat="1" ht="17.25" customHeight="1"/>
    <row r="1657" customFormat="1" ht="17.25" customHeight="1"/>
    <row r="1658" customFormat="1" ht="17.25" customHeight="1"/>
    <row r="1659" customFormat="1" ht="17.25" customHeight="1"/>
    <row r="1660" customFormat="1" ht="17.25" customHeight="1"/>
    <row r="1661" customFormat="1" ht="17.25" customHeight="1"/>
    <row r="1662" customFormat="1" ht="17.25" customHeight="1"/>
    <row r="1663" customFormat="1" ht="17.25" customHeight="1"/>
    <row r="1664" customFormat="1" ht="17.25" customHeight="1"/>
    <row r="1665" customFormat="1" ht="17.25" customHeight="1"/>
    <row r="1666" customFormat="1" ht="17.25" customHeight="1"/>
    <row r="1667" customFormat="1" ht="17.25" customHeight="1"/>
    <row r="1668" customFormat="1" ht="17.25" customHeight="1"/>
    <row r="1669" customFormat="1" ht="17.25" customHeight="1"/>
    <row r="1670" customFormat="1" ht="17.25" customHeight="1"/>
    <row r="1671" customFormat="1" ht="17.25" customHeight="1"/>
    <row r="1672" customFormat="1" ht="17.25" customHeight="1"/>
    <row r="1673" customFormat="1" ht="17.25" customHeight="1"/>
    <row r="1674" customFormat="1" ht="17.25" customHeight="1"/>
    <row r="1675" customFormat="1" ht="17.25" customHeight="1"/>
    <row r="1676" customFormat="1" ht="17.25" customHeight="1"/>
    <row r="1677" customFormat="1" ht="17.25" customHeight="1"/>
    <row r="1678" customFormat="1" ht="17.25" customHeight="1"/>
    <row r="1679" customFormat="1" ht="17.25" customHeight="1"/>
    <row r="1680" customFormat="1" ht="17.25" customHeight="1"/>
    <row r="1681" customFormat="1" ht="17.25" customHeight="1"/>
    <row r="1682" customFormat="1" ht="17.25" customHeight="1"/>
    <row r="1683" customFormat="1" ht="17.25" customHeight="1"/>
    <row r="1684" customFormat="1" ht="17.25" customHeight="1"/>
    <row r="1685" customFormat="1" ht="17.25" customHeight="1"/>
    <row r="1686" customFormat="1" ht="17.25" customHeight="1"/>
    <row r="1687" customFormat="1" ht="17.25" customHeight="1"/>
    <row r="1688" customFormat="1" ht="17.25" customHeight="1"/>
    <row r="1689" customFormat="1" ht="17.25" customHeight="1"/>
    <row r="1690" customFormat="1" ht="17.25" customHeight="1"/>
    <row r="1691" customFormat="1" ht="17.25" customHeight="1"/>
    <row r="1692" customFormat="1" ht="17.25" customHeight="1"/>
    <row r="1693" customFormat="1" ht="17.25" customHeight="1"/>
    <row r="1694" customFormat="1" ht="17.25" customHeight="1"/>
    <row r="1695" customFormat="1" ht="17.25" customHeight="1"/>
    <row r="1696" customFormat="1" ht="17.25" customHeight="1"/>
    <row r="1697" customFormat="1" ht="17.25" customHeight="1"/>
    <row r="1698" customFormat="1" ht="17.25" customHeight="1"/>
    <row r="1699" customFormat="1" ht="17.25" customHeight="1"/>
    <row r="1700" customFormat="1" ht="17.25" customHeight="1"/>
    <row r="1701" customFormat="1" ht="17.25" customHeight="1"/>
    <row r="1702" customFormat="1" ht="17.25" customHeight="1"/>
    <row r="1703" customFormat="1" ht="17.25" customHeight="1"/>
    <row r="1704" customFormat="1" ht="17.25" customHeight="1"/>
    <row r="1705" customFormat="1" ht="17.25" customHeight="1"/>
    <row r="1706" customFormat="1" ht="17.25" customHeight="1"/>
    <row r="1707" customFormat="1" ht="17.25" customHeight="1"/>
    <row r="1708" customFormat="1" ht="17.25" customHeight="1"/>
    <row r="1709" customFormat="1" ht="17.25" customHeight="1"/>
    <row r="1710" customFormat="1" ht="17.25" customHeight="1"/>
    <row r="1711" customFormat="1" ht="17.25" customHeight="1"/>
    <row r="1712" customFormat="1" ht="17.25" customHeight="1"/>
    <row r="1713" customFormat="1" ht="17.25" customHeight="1"/>
    <row r="1714" customFormat="1" ht="17.25" customHeight="1"/>
    <row r="1715" customFormat="1" ht="17.25" customHeight="1"/>
    <row r="1716" customFormat="1" ht="17.25" customHeight="1"/>
    <row r="1717" customFormat="1" ht="17.25" customHeight="1"/>
    <row r="1718" customFormat="1" ht="17.25" customHeight="1"/>
    <row r="1719" customFormat="1" ht="17.25" customHeight="1"/>
    <row r="1720" customFormat="1" ht="17.25" customHeight="1"/>
    <row r="1721" customFormat="1" ht="17.25" customHeight="1"/>
    <row r="1722" customFormat="1" ht="17.25" customHeight="1"/>
    <row r="1723" customFormat="1" ht="17.25" customHeight="1"/>
    <row r="1724" customFormat="1" ht="17.25" customHeight="1"/>
    <row r="1725" customFormat="1" ht="17.25" customHeight="1"/>
    <row r="1726" customFormat="1" ht="17.25" customHeight="1"/>
    <row r="1727" customFormat="1" ht="17.25" customHeight="1"/>
    <row r="1728" customFormat="1" ht="17.25" customHeight="1"/>
    <row r="1729" customFormat="1" ht="17.25" customHeight="1"/>
    <row r="1730" customFormat="1" ht="17.25" customHeight="1"/>
    <row r="1731" customFormat="1" ht="17.25" customHeight="1"/>
    <row r="1732" customFormat="1" ht="17.25" customHeight="1"/>
    <row r="1733" customFormat="1" ht="17.25" customHeight="1"/>
    <row r="1734" customFormat="1" ht="17.25" customHeight="1"/>
    <row r="1735" customFormat="1" ht="17.25" customHeight="1"/>
    <row r="1736" customFormat="1" ht="17.25" customHeight="1"/>
    <row r="1737" customFormat="1" ht="17.25" customHeight="1"/>
    <row r="1738" customFormat="1" ht="17.25" customHeight="1"/>
    <row r="1739" customFormat="1" ht="17.25" customHeight="1"/>
    <row r="1740" customFormat="1" ht="17.25" customHeight="1"/>
    <row r="1741" customFormat="1" ht="17.25" customHeight="1"/>
    <row r="1742" customFormat="1" ht="17.25" customHeight="1"/>
    <row r="1743" customFormat="1" ht="17.25" customHeight="1"/>
    <row r="1744" customFormat="1" ht="17.25" customHeight="1"/>
    <row r="1745" customFormat="1" ht="17.25" customHeight="1"/>
    <row r="1746" customFormat="1" ht="17.25" customHeight="1"/>
    <row r="1747" customFormat="1" ht="17.25" customHeight="1"/>
    <row r="1748" customFormat="1" ht="17.25" customHeight="1"/>
    <row r="1749" customFormat="1" ht="17.25" customHeight="1"/>
    <row r="1750" customFormat="1" ht="17.25" customHeight="1"/>
    <row r="1751" customFormat="1" ht="17.25" customHeight="1"/>
    <row r="1752" customFormat="1" ht="17.25" customHeight="1"/>
    <row r="1753" customFormat="1" ht="17.25" customHeight="1"/>
    <row r="1754" customFormat="1" ht="17.25" customHeight="1"/>
    <row r="1755" customFormat="1" ht="17.25" customHeight="1"/>
    <row r="1756" customFormat="1" ht="17.25" customHeight="1"/>
    <row r="1757" customFormat="1" ht="17.25" customHeight="1"/>
    <row r="1758" customFormat="1" ht="17.25" customHeight="1"/>
    <row r="1759" customFormat="1" ht="17.25" customHeight="1"/>
    <row r="1760" customFormat="1" ht="17.25" customHeight="1"/>
    <row r="1761" customFormat="1" ht="17.25" customHeight="1"/>
    <row r="1762" customFormat="1" ht="17.25" customHeight="1"/>
    <row r="1763" customFormat="1" ht="17.25" customHeight="1"/>
    <row r="1764" customFormat="1" ht="17.25" customHeight="1"/>
    <row r="1765" customFormat="1" ht="17.25" customHeight="1"/>
    <row r="1766" customFormat="1" ht="17.25" customHeight="1"/>
    <row r="1767" customFormat="1" ht="17.25" customHeight="1"/>
    <row r="1768" customFormat="1" ht="17.25" customHeight="1"/>
    <row r="1769" customFormat="1" ht="17.25" customHeight="1"/>
    <row r="1770" customFormat="1" ht="17.25" customHeight="1"/>
    <row r="1771" customFormat="1" ht="17.25" customHeight="1"/>
    <row r="1772" customFormat="1" ht="17.25" customHeight="1"/>
    <row r="1773" customFormat="1" ht="17.25" customHeight="1"/>
    <row r="1774" customFormat="1" ht="17.25" customHeight="1"/>
    <row r="1775" customFormat="1" ht="17.25" customHeight="1"/>
    <row r="1776" customFormat="1" ht="17.25" customHeight="1"/>
    <row r="1777" customFormat="1" ht="17.25" customHeight="1"/>
    <row r="1778" customFormat="1" ht="17.25" customHeight="1"/>
    <row r="1779" customFormat="1" ht="17.25" customHeight="1"/>
    <row r="1780" customFormat="1" ht="17.25" customHeight="1"/>
    <row r="1781" customFormat="1" ht="17.25" customHeight="1"/>
    <row r="1782" customFormat="1" ht="17.25" customHeight="1"/>
    <row r="1783" customFormat="1" ht="17.25" customHeight="1"/>
    <row r="1784" customFormat="1" ht="17.25" customHeight="1"/>
    <row r="1785" customFormat="1" ht="17.25" customHeight="1"/>
    <row r="1786" customFormat="1" ht="17.25" customHeight="1"/>
    <row r="1787" customFormat="1" ht="17.25" customHeight="1"/>
    <row r="1788" customFormat="1" ht="17.25" customHeight="1"/>
    <row r="1789" customFormat="1" ht="17.25" customHeight="1"/>
    <row r="1790" customFormat="1" ht="17.25" customHeight="1"/>
    <row r="1791" customFormat="1" ht="17.25" customHeight="1"/>
    <row r="1792" customFormat="1" ht="17.25" customHeight="1"/>
    <row r="1793" customFormat="1" ht="17.25" customHeight="1"/>
    <row r="1794" customFormat="1" ht="17.25" customHeight="1"/>
    <row r="1795" customFormat="1" ht="17.25" customHeight="1"/>
    <row r="1796" customFormat="1" ht="17.25" customHeight="1"/>
    <row r="1797" customFormat="1" ht="17.25" customHeight="1"/>
    <row r="1798" customFormat="1" ht="17.25" customHeight="1"/>
    <row r="1799" customFormat="1" ht="17.25" customHeight="1"/>
    <row r="1800" customFormat="1" ht="17.25" customHeight="1"/>
    <row r="1801" customFormat="1" ht="17.25" customHeight="1"/>
    <row r="1802" customFormat="1" ht="17.25" customHeight="1"/>
    <row r="1803" customFormat="1" ht="17.25" customHeight="1"/>
    <row r="1804" customFormat="1" ht="17.25" customHeight="1"/>
    <row r="1805" customFormat="1" ht="17.25" customHeight="1"/>
    <row r="1806" customFormat="1" ht="17.25" customHeight="1"/>
    <row r="1807" customFormat="1" ht="17.25" customHeight="1"/>
    <row r="1808" customFormat="1" ht="17.25" customHeight="1"/>
    <row r="1809" customFormat="1" ht="17.25" customHeight="1"/>
    <row r="1810" customFormat="1" ht="17.25" customHeight="1"/>
    <row r="1811" customFormat="1" ht="17.25" customHeight="1"/>
    <row r="1812" customFormat="1" ht="17.25" customHeight="1"/>
    <row r="1813" customFormat="1" ht="17.25" customHeight="1"/>
    <row r="1814" customFormat="1" ht="17.25" customHeight="1"/>
    <row r="1815" customFormat="1" ht="17.25" customHeight="1"/>
    <row r="1816" customFormat="1" ht="17.25" customHeight="1"/>
    <row r="1817" customFormat="1" ht="17.25" customHeight="1"/>
    <row r="1818" customFormat="1" ht="17.25" customHeight="1"/>
    <row r="1819" customFormat="1" ht="17.25" customHeight="1"/>
    <row r="1820" customFormat="1" ht="17.25" customHeight="1"/>
    <row r="1821" customFormat="1" ht="17.25" customHeight="1"/>
    <row r="1822" customFormat="1" ht="17.25" customHeight="1"/>
    <row r="1823" customFormat="1" ht="17.25" customHeight="1"/>
    <row r="1824" customFormat="1" ht="17.25" customHeight="1"/>
    <row r="1825" customFormat="1" ht="17.25" customHeight="1"/>
    <row r="1826" customFormat="1" ht="17.25" customHeight="1"/>
    <row r="1827" customFormat="1" ht="17.25" customHeight="1"/>
    <row r="1828" customFormat="1" ht="17.25" customHeight="1"/>
    <row r="1829" customFormat="1" ht="17.25" customHeight="1"/>
    <row r="1830" customFormat="1" ht="17.25" customHeight="1"/>
    <row r="1831" customFormat="1" ht="17.25" customHeight="1"/>
    <row r="1832" customFormat="1" ht="17.25" customHeight="1"/>
    <row r="1833" customFormat="1" ht="17.25" customHeight="1"/>
    <row r="1834" customFormat="1" ht="17.25" customHeight="1"/>
    <row r="1835" customFormat="1" ht="17.25" customHeight="1"/>
    <row r="1836" customFormat="1" ht="17.25" customHeight="1"/>
    <row r="1837" customFormat="1" ht="17.25" customHeight="1"/>
    <row r="1838" customFormat="1" ht="17.25" customHeight="1"/>
    <row r="1839" customFormat="1" ht="17.25" customHeight="1"/>
    <row r="1840" customFormat="1" ht="17.25" customHeight="1"/>
    <row r="1841" customFormat="1" ht="17.25" customHeight="1"/>
    <row r="1842" customFormat="1" ht="17.25" customHeight="1"/>
    <row r="1843" customFormat="1" ht="17.25" customHeight="1"/>
    <row r="1844" customFormat="1" ht="17.25" customHeight="1"/>
    <row r="1845" customFormat="1" ht="17.25" customHeight="1"/>
    <row r="1846" customFormat="1" ht="17.25" customHeight="1"/>
    <row r="1847" customFormat="1" ht="17.25" customHeight="1"/>
    <row r="1848" customFormat="1" ht="17.25" customHeight="1"/>
    <row r="1849" customFormat="1" ht="17.25" customHeight="1"/>
    <row r="1850" customFormat="1" ht="17.25" customHeight="1"/>
    <row r="1851" customFormat="1" ht="17.25" customHeight="1"/>
    <row r="1852" customFormat="1" ht="17.25" customHeight="1"/>
    <row r="1853" customFormat="1" ht="17.25" customHeight="1"/>
    <row r="1854" customFormat="1" ht="17.25" customHeight="1"/>
    <row r="1855" customFormat="1" ht="17.25" customHeight="1"/>
    <row r="1856" customFormat="1" ht="17.25" customHeight="1"/>
    <row r="1857" customFormat="1" ht="17.25" customHeight="1"/>
    <row r="1858" customFormat="1" ht="17.25" customHeight="1"/>
    <row r="1859" customFormat="1" ht="17.25" customHeight="1"/>
    <row r="1860" customFormat="1" ht="17.25" customHeight="1"/>
    <row r="1861" customFormat="1" ht="17.25" customHeight="1"/>
    <row r="1862" customFormat="1" ht="17.25" customHeight="1"/>
    <row r="1863" customFormat="1" ht="17.25" customHeight="1"/>
    <row r="1864" customFormat="1" ht="17.25" customHeight="1"/>
    <row r="1865" customFormat="1" ht="17.25" customHeight="1"/>
    <row r="1866" customFormat="1" ht="17.25" customHeight="1"/>
    <row r="1867" customFormat="1" ht="17.25" customHeight="1"/>
    <row r="1868" customFormat="1" ht="17.25" customHeight="1"/>
    <row r="1869" customFormat="1" ht="17.25" customHeight="1"/>
    <row r="1870" customFormat="1" ht="17.25" customHeight="1"/>
    <row r="1871" customFormat="1" ht="17.25" customHeight="1"/>
    <row r="1872" customFormat="1" ht="17.25" customHeight="1"/>
    <row r="1873" customFormat="1" ht="17.25" customHeight="1"/>
    <row r="1874" customFormat="1" ht="17.25" customHeight="1"/>
    <row r="1875" customFormat="1" ht="17.25" customHeight="1"/>
    <row r="1876" customFormat="1" ht="17.25" customHeight="1"/>
    <row r="1877" customFormat="1" ht="17.25" customHeight="1"/>
    <row r="1878" customFormat="1" ht="17.25" customHeight="1"/>
    <row r="1879" customFormat="1" ht="17.25" customHeight="1"/>
    <row r="1880" customFormat="1" ht="17.25" customHeight="1"/>
    <row r="1881" customFormat="1" ht="17.25" customHeight="1"/>
    <row r="1882" customFormat="1" ht="17.25" customHeight="1"/>
    <row r="1883" customFormat="1" ht="17.25" customHeight="1"/>
    <row r="1884" customFormat="1" ht="17.25" customHeight="1"/>
    <row r="1885" customFormat="1" ht="17.25" customHeight="1"/>
    <row r="1886" customFormat="1" ht="17.25" customHeight="1"/>
    <row r="1887" customFormat="1" ht="17.25" customHeight="1"/>
    <row r="1888" customFormat="1" ht="17.25" customHeight="1"/>
    <row r="1889" customFormat="1" ht="17.25" customHeight="1"/>
    <row r="1890" customFormat="1" ht="17.25" customHeight="1"/>
    <row r="1891" customFormat="1" ht="17.25" customHeight="1"/>
    <row r="1892" customFormat="1" ht="17.25" customHeight="1"/>
    <row r="1893" customFormat="1" ht="17.25" customHeight="1"/>
    <row r="1894" customFormat="1" ht="17.25" customHeight="1"/>
    <row r="1895" customFormat="1" ht="17.25" customHeight="1"/>
    <row r="1896" customFormat="1" ht="17.25" customHeight="1"/>
    <row r="1897" customFormat="1" ht="17.25" customHeight="1"/>
    <row r="1898" customFormat="1" ht="17.25" customHeight="1"/>
    <row r="1899" customFormat="1" ht="17.25" customHeight="1"/>
    <row r="1900" customFormat="1" ht="17.25" customHeight="1"/>
    <row r="1901" customFormat="1" ht="17.25" customHeight="1"/>
    <row r="1902" customFormat="1" ht="17.25" customHeight="1"/>
    <row r="1903" customFormat="1" ht="17.25" customHeight="1"/>
    <row r="1904" customFormat="1" ht="17.25" customHeight="1"/>
    <row r="1905" customFormat="1" ht="17.25" customHeight="1"/>
    <row r="1906" customFormat="1" ht="17.25" customHeight="1"/>
    <row r="1907" customFormat="1" ht="17.25" customHeight="1"/>
    <row r="1908" customFormat="1" ht="17.25" customHeight="1"/>
    <row r="1909" customFormat="1" ht="17.25" customHeight="1"/>
    <row r="1910" customFormat="1" ht="17.25" customHeight="1"/>
    <row r="1911" customFormat="1" ht="17.25" customHeight="1"/>
    <row r="1912" customFormat="1" ht="17.25" customHeight="1"/>
    <row r="1913" customFormat="1" ht="17.25" customHeight="1"/>
    <row r="1914" customFormat="1" ht="17.25" customHeight="1"/>
    <row r="1915" customFormat="1" ht="17.25" customHeight="1"/>
    <row r="1916" customFormat="1" ht="17.25" customHeight="1"/>
    <row r="1917" customFormat="1" ht="17.25" customHeight="1"/>
    <row r="1918" customFormat="1" ht="17.25" customHeight="1"/>
    <row r="1919" customFormat="1" ht="17.25" customHeight="1"/>
    <row r="1920" customFormat="1" ht="17.25" customHeight="1"/>
    <row r="1921" customFormat="1" ht="17.25" customHeight="1"/>
    <row r="1922" customFormat="1" ht="17.25" customHeight="1"/>
    <row r="1923" customFormat="1" ht="17.25" customHeight="1"/>
    <row r="1924" customFormat="1" ht="17.25" customHeight="1"/>
    <row r="1925" customFormat="1" ht="17.25" customHeight="1"/>
    <row r="1926" customFormat="1" ht="17.25" customHeight="1"/>
    <row r="1927" customFormat="1" ht="17.25" customHeight="1"/>
    <row r="1928" customFormat="1" ht="17.25" customHeight="1"/>
    <row r="1929" customFormat="1" ht="17.25" customHeight="1"/>
    <row r="1930" customFormat="1" ht="17.25" customHeight="1"/>
    <row r="1931" customFormat="1" ht="17.25" customHeight="1"/>
    <row r="1932" customFormat="1" ht="17.25" customHeight="1"/>
    <row r="1933" customFormat="1" ht="17.25" customHeight="1"/>
    <row r="1934" customFormat="1" ht="17.25" customHeight="1"/>
    <row r="1935" customFormat="1" ht="17.25" customHeight="1"/>
    <row r="1936" customFormat="1" ht="17.25" customHeight="1"/>
    <row r="1937" customFormat="1" ht="17.25" customHeight="1"/>
    <row r="1938" customFormat="1" ht="17.25" customHeight="1"/>
    <row r="1939" customFormat="1" ht="17.25" customHeight="1"/>
    <row r="1940" customFormat="1" ht="17.25" customHeight="1"/>
    <row r="1941" customFormat="1" ht="17.25" customHeight="1"/>
    <row r="1942" customFormat="1" ht="17.25" customHeight="1"/>
    <row r="1943" customFormat="1" ht="17.25" customHeight="1"/>
    <row r="1944" customFormat="1" ht="17.25" customHeight="1"/>
    <row r="1945" customFormat="1" ht="17.25" customHeight="1"/>
    <row r="1946" customFormat="1" ht="17.25" customHeight="1"/>
    <row r="1947" customFormat="1" ht="17.25" customHeight="1"/>
    <row r="1948" customFormat="1" ht="17.25" customHeight="1"/>
    <row r="1949" customFormat="1" ht="17.25" customHeight="1"/>
    <row r="1950" customFormat="1" ht="17.25" customHeight="1"/>
    <row r="1951" customFormat="1" ht="17.25" customHeight="1"/>
    <row r="1952" customFormat="1" ht="17.25" customHeight="1"/>
    <row r="1953" customFormat="1" ht="17.25" customHeight="1"/>
    <row r="1954" customFormat="1" ht="17.25" customHeight="1"/>
    <row r="1955" customFormat="1" ht="17.25" customHeight="1"/>
    <row r="1956" customFormat="1" ht="17.25" customHeight="1"/>
    <row r="1957" customFormat="1" ht="17.25" customHeight="1"/>
    <row r="1958" customFormat="1" ht="17.25" customHeight="1"/>
    <row r="1959" customFormat="1" ht="17.25" customHeight="1"/>
    <row r="1960" customFormat="1" ht="17.25" customHeight="1"/>
    <row r="1961" customFormat="1" ht="17.25" customHeight="1"/>
    <row r="1962" customFormat="1" ht="17.25" customHeight="1"/>
    <row r="1963" customFormat="1" ht="17.25" customHeight="1"/>
    <row r="1964" customFormat="1" ht="17.25" customHeight="1"/>
    <row r="1965" customFormat="1" ht="17.25" customHeight="1"/>
    <row r="1966" customFormat="1" ht="17.25" customHeight="1"/>
    <row r="1967" customFormat="1" ht="17.25" customHeight="1"/>
    <row r="1968" customFormat="1" ht="17.25" customHeight="1"/>
    <row r="1969" customFormat="1" ht="17.25" customHeight="1"/>
    <row r="1970" customFormat="1" ht="17.25" customHeight="1"/>
    <row r="1971" customFormat="1" ht="17.25" customHeight="1"/>
    <row r="1972" customFormat="1" ht="17.25" customHeight="1"/>
    <row r="1973" customFormat="1" ht="17.25" customHeight="1"/>
    <row r="1974" customFormat="1" ht="17.25" customHeight="1"/>
    <row r="1975" customFormat="1" ht="17.25" customHeight="1"/>
    <row r="1976" customFormat="1" ht="17.25" customHeight="1"/>
    <row r="1977" customFormat="1" ht="17.25" customHeight="1"/>
    <row r="1978" customFormat="1" ht="17.25" customHeight="1"/>
    <row r="1979" customFormat="1" ht="17.25" customHeight="1"/>
    <row r="1980" customFormat="1" ht="17.25" customHeight="1"/>
    <row r="1981" customFormat="1" ht="17.25" customHeight="1"/>
    <row r="1982" customFormat="1" ht="17.25" customHeight="1"/>
    <row r="1983" customFormat="1" ht="17.25" customHeight="1"/>
    <row r="1984" customFormat="1" ht="17.25" customHeight="1"/>
    <row r="1985" customFormat="1" ht="17.25" customHeight="1"/>
    <row r="1986" customFormat="1" ht="17.25" customHeight="1"/>
    <row r="1987" customFormat="1" ht="17.25" customHeight="1"/>
    <row r="1988" customFormat="1" ht="17.25" customHeight="1"/>
    <row r="1989" customFormat="1" ht="17.25" customHeight="1"/>
    <row r="1990" customFormat="1" ht="17.25" customHeight="1"/>
    <row r="1991" customFormat="1" ht="17.25" customHeight="1"/>
    <row r="1992" customFormat="1" ht="17.25" customHeight="1"/>
    <row r="1993" customFormat="1" ht="17.25" customHeight="1"/>
    <row r="1994" customFormat="1" ht="17.25" customHeight="1"/>
    <row r="1995" customFormat="1" ht="17.25" customHeight="1"/>
    <row r="1996" customFormat="1" ht="17.25" customHeight="1"/>
    <row r="1997" customFormat="1" ht="17.25" customHeight="1"/>
    <row r="1998" customFormat="1" ht="17.25" customHeight="1"/>
    <row r="1999" customFormat="1" ht="17.25" customHeight="1"/>
    <row r="2000" customFormat="1" ht="17.25" customHeight="1"/>
    <row r="2001" customFormat="1" ht="17.25" customHeight="1"/>
    <row r="2002" customFormat="1" ht="17.25" customHeight="1"/>
    <row r="2003" customFormat="1" ht="17.25" customHeight="1"/>
    <row r="2004" customFormat="1" ht="17.25" customHeight="1"/>
    <row r="2005" customFormat="1" ht="17.25" customHeight="1"/>
    <row r="2006" customFormat="1" ht="17.25" customHeight="1"/>
    <row r="2007" customFormat="1" ht="17.25" customHeight="1"/>
    <row r="2008" customFormat="1" ht="17.25" customHeight="1"/>
    <row r="2009" customFormat="1" ht="17.25" customHeight="1"/>
    <row r="2010" customFormat="1" ht="17.25" customHeight="1"/>
    <row r="2011" customFormat="1" ht="17.25" customHeight="1"/>
    <row r="2012" customFormat="1" ht="17.25" customHeight="1"/>
    <row r="2013" customFormat="1" ht="17.25" customHeight="1"/>
    <row r="2014" customFormat="1" ht="17.25" customHeight="1"/>
    <row r="2015" customFormat="1" ht="17.25" customHeight="1"/>
    <row r="2016" customFormat="1" ht="17.25" customHeight="1"/>
    <row r="2017" customFormat="1" ht="17.25" customHeight="1"/>
    <row r="2018" customFormat="1" ht="17.25" customHeight="1"/>
    <row r="2019" customFormat="1" ht="17.25" customHeight="1"/>
    <row r="2020" customFormat="1" ht="17.25" customHeight="1"/>
    <row r="2021" customFormat="1" ht="17.25" customHeight="1"/>
    <row r="2022" customFormat="1" ht="17.25" customHeight="1"/>
    <row r="2023" customFormat="1" ht="17.25" customHeight="1"/>
    <row r="2024" customFormat="1" ht="17.25" customHeight="1"/>
    <row r="2025" customFormat="1" ht="17.25" customHeight="1"/>
    <row r="2026" customFormat="1" ht="17.25" customHeight="1"/>
    <row r="2027" customFormat="1" ht="17.25" customHeight="1"/>
    <row r="2028" customFormat="1" ht="17.25" customHeight="1"/>
    <row r="2029" customFormat="1" ht="17.25" customHeight="1"/>
    <row r="2030" customFormat="1" ht="17.25" customHeight="1"/>
    <row r="2031" customFormat="1" ht="17.25" customHeight="1"/>
    <row r="2032" customFormat="1" ht="17.25" customHeight="1"/>
    <row r="2033" customFormat="1" ht="17.25" customHeight="1"/>
    <row r="2034" customFormat="1" ht="17.25" customHeight="1"/>
    <row r="2035" customFormat="1" ht="17.25" customHeight="1"/>
    <row r="2036" customFormat="1" ht="17.25" customHeight="1"/>
    <row r="2037" customFormat="1" ht="17.25" customHeight="1"/>
    <row r="2038" customFormat="1" ht="17.25" customHeight="1"/>
    <row r="2039" customFormat="1" ht="17.25" customHeight="1"/>
    <row r="2040" customFormat="1" ht="17.25" customHeight="1"/>
    <row r="2041" customFormat="1" ht="17.25" customHeight="1"/>
    <row r="2042" customFormat="1" ht="17.25" customHeight="1"/>
    <row r="2043" customFormat="1" ht="17.25" customHeight="1"/>
    <row r="2044" customFormat="1" ht="17.25" customHeight="1"/>
    <row r="2045" customFormat="1" ht="17.25" customHeight="1"/>
    <row r="2046" customFormat="1" ht="17.25" customHeight="1"/>
    <row r="2047" customFormat="1" ht="17.25" customHeight="1"/>
    <row r="2048" customFormat="1" ht="17.25" customHeight="1"/>
    <row r="2049" customFormat="1" ht="17.25" customHeight="1"/>
    <row r="2050" customFormat="1" ht="17.25" customHeight="1"/>
    <row r="2051" customFormat="1" ht="17.25" customHeight="1"/>
    <row r="2052" customFormat="1" ht="17.25" customHeight="1"/>
    <row r="2053" customFormat="1" ht="17.25" customHeight="1"/>
    <row r="2054" customFormat="1" ht="17.25" customHeight="1"/>
    <row r="2055" customFormat="1" ht="17.25" customHeight="1"/>
    <row r="2056" customFormat="1" ht="17.25" customHeight="1"/>
    <row r="2057" customFormat="1" ht="17.25" customHeight="1"/>
    <row r="2058" customFormat="1" ht="17.25" customHeight="1"/>
    <row r="2059" customFormat="1" ht="17.25" customHeight="1"/>
    <row r="2060" customFormat="1" ht="17.25" customHeight="1"/>
    <row r="2061" customFormat="1" ht="17.25" customHeight="1"/>
    <row r="2062" customFormat="1" ht="17.25" customHeight="1"/>
    <row r="2063" customFormat="1" ht="17.25" customHeight="1"/>
    <row r="2064" customFormat="1" ht="17.25" customHeight="1"/>
    <row r="2065" customFormat="1" ht="17.25" customHeight="1"/>
    <row r="2066" customFormat="1" ht="17.25" customHeight="1"/>
    <row r="2067" customFormat="1" ht="17.25" customHeight="1"/>
    <row r="2068" customFormat="1" ht="17.25" customHeight="1"/>
    <row r="2069" customFormat="1" ht="17.25" customHeight="1"/>
    <row r="2070" customFormat="1" ht="17.25" customHeight="1"/>
    <row r="2071" customFormat="1" ht="17.25" customHeight="1"/>
    <row r="2072" customFormat="1" ht="17.25" customHeight="1"/>
    <row r="2073" customFormat="1" ht="17.25" customHeight="1"/>
    <row r="2074" customFormat="1" ht="17.25" customHeight="1"/>
    <row r="2075" customFormat="1" ht="17.25" customHeight="1"/>
    <row r="2076" customFormat="1" ht="17.25" customHeight="1"/>
    <row r="2077" customFormat="1" ht="17.25" customHeight="1"/>
    <row r="2078" customFormat="1" ht="17.25" customHeight="1"/>
    <row r="2079" customFormat="1" ht="17.25" customHeight="1"/>
    <row r="2080" customFormat="1" ht="17.25" customHeight="1"/>
    <row r="2081" customFormat="1" ht="17.25" customHeight="1"/>
    <row r="2082" customFormat="1" ht="17.25" customHeight="1"/>
    <row r="2083" customFormat="1" ht="17.25" customHeight="1"/>
    <row r="2084" customFormat="1" ht="17.25" customHeight="1"/>
    <row r="2085" customFormat="1" ht="17.25" customHeight="1"/>
    <row r="2086" customFormat="1" ht="17.25" customHeight="1"/>
    <row r="2087" customFormat="1" ht="17.25" customHeight="1"/>
    <row r="2088" customFormat="1" ht="17.25" customHeight="1"/>
    <row r="2089" customFormat="1" ht="17.25" customHeight="1"/>
    <row r="2090" customFormat="1" ht="17.25" customHeight="1"/>
    <row r="2091" customFormat="1" ht="17.25" customHeight="1"/>
    <row r="2092" customFormat="1" ht="17.25" customHeight="1"/>
    <row r="2093" customFormat="1" ht="17.25" customHeight="1"/>
    <row r="2094" customFormat="1" ht="17.25" customHeight="1"/>
    <row r="2095" customFormat="1" ht="17.25" customHeight="1"/>
    <row r="2096" customFormat="1" ht="17.25" customHeight="1"/>
    <row r="2097" customFormat="1" ht="17.25" customHeight="1"/>
    <row r="2098" customFormat="1" ht="17.25" customHeight="1"/>
    <row r="2099" customFormat="1" ht="17.25" customHeight="1"/>
    <row r="2100" customFormat="1" ht="17.25" customHeight="1"/>
    <row r="2101" customFormat="1" ht="17.25" customHeight="1"/>
    <row r="2102" customFormat="1" ht="17.25" customHeight="1"/>
    <row r="2103" customFormat="1" ht="17.25" customHeight="1"/>
    <row r="2104" customFormat="1" ht="17.25" customHeight="1"/>
    <row r="2105" customFormat="1" ht="17.25" customHeight="1"/>
    <row r="2106" customFormat="1" ht="17.25" customHeight="1"/>
    <row r="2107" customFormat="1" ht="17.25" customHeight="1"/>
    <row r="2108" customFormat="1" ht="17.25" customHeight="1"/>
    <row r="2109" customFormat="1" ht="17.25" customHeight="1"/>
    <row r="2110" customFormat="1" ht="17.25" customHeight="1"/>
    <row r="2111" customFormat="1" ht="17.25" customHeight="1"/>
    <row r="2112" customFormat="1" ht="17.25" customHeight="1"/>
    <row r="2113" customFormat="1" ht="17.25" customHeight="1"/>
    <row r="2114" customFormat="1" ht="17.25" customHeight="1"/>
    <row r="2115" customFormat="1" ht="17.25" customHeight="1"/>
    <row r="2116" customFormat="1" ht="17.25" customHeight="1"/>
    <row r="2117" customFormat="1" ht="17.25" customHeight="1"/>
    <row r="2118" customFormat="1" ht="17.25" customHeight="1"/>
    <row r="2119" customFormat="1" ht="17.25" customHeight="1"/>
    <row r="2120" customFormat="1" ht="17.25" customHeight="1"/>
    <row r="2121" customFormat="1" ht="17.25" customHeight="1"/>
    <row r="2122" customFormat="1" ht="17.25" customHeight="1"/>
    <row r="2123" customFormat="1" ht="17.25" customHeight="1"/>
    <row r="2124" customFormat="1" ht="17.25" customHeight="1"/>
    <row r="2125" customFormat="1" ht="17.25" customHeight="1"/>
    <row r="2126" customFormat="1" ht="17.25" customHeight="1"/>
    <row r="2127" customFormat="1" ht="17.25" customHeight="1"/>
    <row r="2128" customFormat="1" ht="17.25" customHeight="1"/>
    <row r="2129" customFormat="1" ht="17.25" customHeight="1"/>
    <row r="2130" customFormat="1" ht="17.25" customHeight="1"/>
    <row r="2131" customFormat="1" ht="17.25" customHeight="1"/>
    <row r="2132" customFormat="1" ht="17.25" customHeight="1"/>
    <row r="2133" customFormat="1" ht="17.25" customHeight="1"/>
    <row r="2134" customFormat="1" ht="17.25" customHeight="1"/>
    <row r="2135" customFormat="1" ht="17.25" customHeight="1"/>
    <row r="2136" customFormat="1" ht="17.25" customHeight="1"/>
    <row r="2137" customFormat="1" ht="17.25" customHeight="1"/>
    <row r="2138" customFormat="1" ht="17.25" customHeight="1"/>
    <row r="2139" customFormat="1" ht="17.25" customHeight="1"/>
    <row r="2140" customFormat="1" ht="17.25" customHeight="1"/>
    <row r="2141" customFormat="1" ht="17.25" customHeight="1"/>
    <row r="2142" customFormat="1" ht="17.25" customHeight="1"/>
    <row r="2143" customFormat="1" ht="17.25" customHeight="1"/>
    <row r="2144" customFormat="1" ht="17.25" customHeight="1"/>
    <row r="2145" customFormat="1" ht="17.25" customHeight="1"/>
    <row r="2146" customFormat="1" ht="17.25" customHeight="1"/>
    <row r="2147" customFormat="1" ht="17.25" customHeight="1"/>
    <row r="2148" customFormat="1" ht="17.25" customHeight="1"/>
    <row r="2149" customFormat="1" ht="17.25" customHeight="1"/>
    <row r="2150" customFormat="1" ht="17.25" customHeight="1"/>
    <row r="2151" customFormat="1" ht="17.25" customHeight="1"/>
    <row r="2152" customFormat="1" ht="17.25" customHeight="1"/>
    <row r="2153" customFormat="1" ht="17.25" customHeight="1"/>
    <row r="2154" customFormat="1" ht="17.25" customHeight="1"/>
    <row r="2155" customFormat="1" ht="17.25" customHeight="1"/>
    <row r="2156" customFormat="1" ht="17.25" customHeight="1"/>
    <row r="2157" customFormat="1" ht="17.25" customHeight="1"/>
    <row r="2158" customFormat="1" ht="17.25" customHeight="1"/>
    <row r="2159" customFormat="1" ht="17.25" customHeight="1"/>
    <row r="2160" customFormat="1" ht="17.25" customHeight="1"/>
    <row r="2161" customFormat="1" ht="17.25" customHeight="1"/>
    <row r="2162" customFormat="1" ht="17.25" customHeight="1"/>
    <row r="2163" customFormat="1" ht="17.25" customHeight="1"/>
    <row r="2164" customFormat="1" ht="17.25" customHeight="1"/>
    <row r="2165" customFormat="1" ht="17.25" customHeight="1"/>
    <row r="2166" customFormat="1" ht="17.25" customHeight="1"/>
    <row r="2167" customFormat="1" ht="17.25" customHeight="1"/>
    <row r="2168" customFormat="1" ht="17.25" customHeight="1"/>
    <row r="2169" customFormat="1" ht="17.25" customHeight="1"/>
    <row r="2170" customFormat="1" ht="17.25" customHeight="1"/>
    <row r="2171" customFormat="1" ht="17.25" customHeight="1"/>
    <row r="2172" customFormat="1" ht="17.25" customHeight="1"/>
    <row r="2173" customFormat="1" ht="17.25" customHeight="1"/>
    <row r="2174" customFormat="1" ht="17.25" customHeight="1"/>
    <row r="2175" customFormat="1" ht="17.25" customHeight="1"/>
    <row r="2176" customFormat="1" ht="17.25" customHeight="1"/>
    <row r="2177" customFormat="1" ht="17.25" customHeight="1"/>
    <row r="2178" customFormat="1" ht="17.25" customHeight="1"/>
    <row r="2179" customFormat="1" ht="17.25" customHeight="1"/>
    <row r="2180" customFormat="1" ht="17.25" customHeight="1"/>
    <row r="2181" customFormat="1" ht="17.25" customHeight="1"/>
    <row r="2182" customFormat="1" ht="17.25" customHeight="1"/>
    <row r="2183" customFormat="1" ht="17.25" customHeight="1"/>
    <row r="2184" customFormat="1" ht="17.25" customHeight="1"/>
    <row r="2185" customFormat="1" ht="17.25" customHeight="1"/>
    <row r="2186" customFormat="1" ht="17.25" customHeight="1"/>
    <row r="2187" customFormat="1" ht="17.25" customHeight="1"/>
    <row r="2188" customFormat="1" ht="17.25" customHeight="1"/>
    <row r="2189" customFormat="1" ht="17.25" customHeight="1"/>
    <row r="2190" customFormat="1" ht="17.25" customHeight="1"/>
    <row r="2191" customFormat="1" ht="17.25" customHeight="1"/>
    <row r="2192" customFormat="1" ht="17.25" customHeight="1"/>
    <row r="2193" customFormat="1" ht="17.25" customHeight="1"/>
    <row r="2194" customFormat="1" ht="17.25" customHeight="1"/>
    <row r="2195" customFormat="1" ht="17.25" customHeight="1"/>
    <row r="2196" customFormat="1" ht="17.25" customHeight="1"/>
    <row r="2197" customFormat="1" ht="17.25" customHeight="1"/>
    <row r="2198" customFormat="1" ht="17.25" customHeight="1"/>
    <row r="2199" customFormat="1" ht="17.25" customHeight="1"/>
    <row r="2200" customFormat="1" ht="17.25" customHeight="1"/>
    <row r="2201" customFormat="1" ht="17.25" customHeight="1"/>
    <row r="2202" customFormat="1" ht="17.25" customHeight="1"/>
    <row r="2203" customFormat="1" ht="17.25" customHeight="1"/>
    <row r="2204" customFormat="1" ht="17.25" customHeight="1"/>
    <row r="2205" customFormat="1" ht="17.25" customHeight="1"/>
    <row r="2206" customFormat="1" ht="17.25" customHeight="1"/>
    <row r="2207" customFormat="1" ht="17.25" customHeight="1"/>
    <row r="2208" customFormat="1" ht="17.25" customHeight="1"/>
    <row r="2209" customFormat="1" ht="17.25" customHeight="1"/>
    <row r="2210" customFormat="1" ht="17.25" customHeight="1"/>
    <row r="2211" customFormat="1" ht="17.25" customHeight="1"/>
    <row r="2212" customFormat="1" ht="17.25" customHeight="1"/>
    <row r="2213" customFormat="1" ht="17.25" customHeight="1"/>
    <row r="2214" customFormat="1" ht="17.25" customHeight="1"/>
    <row r="2215" customFormat="1" ht="17.25" customHeight="1"/>
    <row r="2216" customFormat="1" ht="17.25" customHeight="1"/>
    <row r="2217" customFormat="1" ht="17.25" customHeight="1"/>
    <row r="2218" customFormat="1" ht="17.25" customHeight="1"/>
    <row r="2219" customFormat="1" ht="17.25" customHeight="1"/>
    <row r="2220" customFormat="1" ht="17.25" customHeight="1"/>
    <row r="2221" customFormat="1" ht="17.25" customHeight="1"/>
    <row r="2222" customFormat="1" ht="17.25" customHeight="1"/>
    <row r="2223" customFormat="1" ht="17.25" customHeight="1"/>
    <row r="2224" customFormat="1" ht="17.25" customHeight="1"/>
    <row r="2225" customFormat="1" ht="17.25" customHeight="1"/>
    <row r="2226" customFormat="1" ht="17.25" customHeight="1"/>
    <row r="2227" customFormat="1" ht="17.25" customHeight="1"/>
    <row r="2228" customFormat="1" ht="17.25" customHeight="1"/>
    <row r="2229" customFormat="1" ht="17.25" customHeight="1"/>
    <row r="2230" customFormat="1" ht="17.25" customHeight="1"/>
    <row r="2231" customFormat="1" ht="17.25" customHeight="1"/>
    <row r="2232" customFormat="1" ht="17.25" customHeight="1"/>
    <row r="2233" customFormat="1" ht="17.25" customHeight="1"/>
    <row r="2234" customFormat="1" ht="17.25" customHeight="1"/>
    <row r="2235" customFormat="1" ht="17.25" customHeight="1"/>
    <row r="2236" customFormat="1" ht="17.25" customHeight="1"/>
    <row r="2237" customFormat="1" ht="17.25" customHeight="1"/>
    <row r="2238" customFormat="1" ht="17.25" customHeight="1"/>
    <row r="2239" customFormat="1" ht="17.25" customHeight="1"/>
    <row r="2240" customFormat="1" ht="17.25" customHeight="1"/>
    <row r="2241" customFormat="1" ht="17.25" customHeight="1"/>
    <row r="2242" customFormat="1" ht="17.25" customHeight="1"/>
    <row r="2243" customFormat="1" ht="17.25" customHeight="1"/>
    <row r="2244" customFormat="1" ht="17.25" customHeight="1"/>
    <row r="2245" customFormat="1" ht="17.25" customHeight="1"/>
    <row r="2246" customFormat="1" ht="17.25" customHeight="1"/>
    <row r="2247" customFormat="1" ht="17.25" customHeight="1"/>
    <row r="2248" customFormat="1" ht="17.25" customHeight="1"/>
    <row r="2249" customFormat="1" ht="17.25" customHeight="1"/>
    <row r="2250" customFormat="1" ht="17.25" customHeight="1"/>
    <row r="2251" customFormat="1" ht="17.25" customHeight="1"/>
    <row r="2252" customFormat="1" ht="17.25" customHeight="1"/>
    <row r="2253" customFormat="1" ht="17.25" customHeight="1"/>
    <row r="2254" customFormat="1" ht="17.25" customHeight="1"/>
    <row r="2255" customFormat="1" ht="17.25" customHeight="1"/>
    <row r="2256" customFormat="1" ht="17.25" customHeight="1"/>
    <row r="2257" customFormat="1" ht="17.25" customHeight="1"/>
    <row r="2258" customFormat="1" ht="17.25" customHeight="1"/>
    <row r="2259" customFormat="1" ht="17.25" customHeight="1"/>
    <row r="2260" customFormat="1" ht="17.25" customHeight="1"/>
    <row r="2261" customFormat="1" ht="17.25" customHeight="1"/>
    <row r="2262" customFormat="1" ht="17.25" customHeight="1"/>
    <row r="2263" customFormat="1" ht="17.25" customHeight="1"/>
    <row r="2264" customFormat="1" ht="17.25" customHeight="1"/>
    <row r="2265" customFormat="1" ht="17.25" customHeight="1"/>
    <row r="2266" customFormat="1" ht="17.25" customHeight="1"/>
    <row r="2267" customFormat="1" ht="17.25" customHeight="1"/>
    <row r="2268" customFormat="1" ht="17.25" customHeight="1"/>
    <row r="2269" customFormat="1" ht="17.25" customHeight="1"/>
    <row r="2270" customFormat="1" ht="17.25" customHeight="1"/>
    <row r="2271" customFormat="1" ht="17.25" customHeight="1"/>
    <row r="2272" customFormat="1" ht="17.25" customHeight="1"/>
    <row r="2273" customFormat="1" ht="17.25" customHeight="1"/>
    <row r="2274" customFormat="1" ht="17.25" customHeight="1"/>
    <row r="2275" customFormat="1" ht="17.25" customHeight="1"/>
    <row r="2276" customFormat="1" ht="17.25" customHeight="1"/>
    <row r="2277" customFormat="1" ht="17.25" customHeight="1"/>
    <row r="2278" customFormat="1" ht="17.25" customHeight="1"/>
    <row r="2279" customFormat="1" ht="17.25" customHeight="1"/>
    <row r="2280" customFormat="1" ht="17.25" customHeight="1"/>
    <row r="2281" customFormat="1" ht="17.25" customHeight="1"/>
    <row r="2282" customFormat="1" ht="17.25" customHeight="1"/>
    <row r="2283" customFormat="1" ht="17.25" customHeight="1"/>
    <row r="2284" customFormat="1" ht="17.25" customHeight="1"/>
    <row r="2285" customFormat="1" ht="17.25" customHeight="1"/>
    <row r="2286" customFormat="1" ht="17.25" customHeight="1"/>
    <row r="2287" customFormat="1" ht="17.25" customHeight="1"/>
    <row r="2288" customFormat="1" ht="17.25" customHeight="1"/>
    <row r="2289" customFormat="1" ht="17.25" customHeight="1"/>
    <row r="2290" customFormat="1" ht="17.25" customHeight="1"/>
    <row r="2291" customFormat="1" ht="17.25" customHeight="1"/>
    <row r="2292" customFormat="1" ht="17.25" customHeight="1"/>
    <row r="2293" customFormat="1" ht="17.25" customHeight="1"/>
    <row r="2294" customFormat="1" ht="17.25" customHeight="1"/>
    <row r="2295" customFormat="1" ht="17.25" customHeight="1"/>
    <row r="2296" customFormat="1" ht="17.25" customHeight="1"/>
    <row r="2297" customFormat="1" ht="17.25" customHeight="1"/>
    <row r="2298" customFormat="1" ht="17.25" customHeight="1"/>
    <row r="2299" customFormat="1" ht="17.25" customHeight="1"/>
    <row r="2300" customFormat="1" ht="17.25" customHeight="1"/>
    <row r="2301" customFormat="1" ht="17.25" customHeight="1"/>
    <row r="2302" customFormat="1" ht="17.25" customHeight="1"/>
    <row r="2303" customFormat="1" ht="17.25" customHeight="1"/>
    <row r="2304" customFormat="1" ht="17.25" customHeight="1"/>
    <row r="2305" customFormat="1" ht="17.25" customHeight="1"/>
    <row r="2306" customFormat="1" ht="17.25" customHeight="1"/>
    <row r="2307" customFormat="1" ht="17.25" customHeight="1"/>
    <row r="2308" customFormat="1" ht="17.25" customHeight="1"/>
    <row r="2309" customFormat="1" ht="17.25" customHeight="1"/>
    <row r="2310" customFormat="1" ht="17.25" customHeight="1"/>
    <row r="2311" customFormat="1" ht="17.25" customHeight="1"/>
    <row r="2312" customFormat="1" ht="17.25" customHeight="1"/>
    <row r="2313" customFormat="1" ht="17.25" customHeight="1"/>
    <row r="2314" customFormat="1" ht="17.25" customHeight="1"/>
    <row r="2315" customFormat="1" ht="17.25" customHeight="1"/>
    <row r="2316" customFormat="1" ht="17.25" customHeight="1"/>
    <row r="2317" customFormat="1" ht="17.25" customHeight="1"/>
    <row r="2318" customFormat="1" ht="17.25" customHeight="1"/>
    <row r="2319" customFormat="1" ht="17.25" customHeight="1"/>
    <row r="2320" customFormat="1" ht="17.25" customHeight="1"/>
    <row r="2321" customFormat="1" ht="17.25" customHeight="1"/>
    <row r="2322" customFormat="1" ht="17.25" customHeight="1"/>
    <row r="2323" customFormat="1" ht="17.25" customHeight="1"/>
    <row r="2324" customFormat="1" ht="17.25" customHeight="1"/>
    <row r="2325" customFormat="1" ht="17.25" customHeight="1"/>
    <row r="2326" customFormat="1" ht="17.25" customHeight="1"/>
    <row r="2327" customFormat="1" ht="17.25" customHeight="1"/>
    <row r="2328" customFormat="1" ht="17.25" customHeight="1"/>
    <row r="2329" customFormat="1" ht="17.25" customHeight="1"/>
    <row r="2330" customFormat="1" ht="17.25" customHeight="1"/>
    <row r="2331" customFormat="1" ht="17.25" customHeight="1"/>
    <row r="2332" customFormat="1" ht="17.25" customHeight="1"/>
    <row r="2333" customFormat="1" ht="17.25" customHeight="1"/>
    <row r="2334" customFormat="1" ht="17.25" customHeight="1"/>
    <row r="2335" customFormat="1" ht="17.25" customHeight="1"/>
    <row r="2336" customFormat="1" ht="17.25" customHeight="1"/>
    <row r="2337" customFormat="1" ht="17.25" customHeight="1"/>
    <row r="2338" customFormat="1" ht="17.25" customHeight="1"/>
    <row r="2339" customFormat="1" ht="17.25" customHeight="1"/>
    <row r="2340" customFormat="1" ht="17.25" customHeight="1"/>
    <row r="2341" customFormat="1" ht="17.25" customHeight="1"/>
    <row r="2342" customFormat="1" ht="17.25" customHeight="1"/>
    <row r="2343" customFormat="1" ht="17.25" customHeight="1"/>
    <row r="2344" customFormat="1" ht="17.25" customHeight="1"/>
    <row r="2345" customFormat="1" ht="17.25" customHeight="1"/>
    <row r="2346" customFormat="1" ht="17.25" customHeight="1"/>
    <row r="2347" customFormat="1" ht="17.25" customHeight="1"/>
    <row r="2348" customFormat="1" ht="17.25" customHeight="1"/>
    <row r="2349" customFormat="1" ht="17.25" customHeight="1"/>
    <row r="2350" customFormat="1" ht="17.25" customHeight="1"/>
    <row r="2351" customFormat="1" ht="17.25" customHeight="1"/>
    <row r="2352" customFormat="1" ht="17.25" customHeight="1"/>
    <row r="2353" customFormat="1" ht="17.25" customHeight="1"/>
    <row r="2354" customFormat="1" ht="17.25" customHeight="1"/>
    <row r="2355" customFormat="1" ht="17.25" customHeight="1"/>
    <row r="2356" customFormat="1" ht="17.25" customHeight="1"/>
    <row r="2357" customFormat="1" ht="17.25" customHeight="1"/>
    <row r="2358" customFormat="1" ht="17.25" customHeight="1"/>
    <row r="2359" customFormat="1" ht="17.25" customHeight="1"/>
    <row r="2360" customFormat="1" ht="17.25" customHeight="1"/>
    <row r="2361" customFormat="1" ht="17.25" customHeight="1"/>
    <row r="2362" customFormat="1" ht="17.25" customHeight="1"/>
    <row r="2363" customFormat="1" ht="17.25" customHeight="1"/>
    <row r="2364" customFormat="1" ht="17.25" customHeight="1"/>
    <row r="2365" customFormat="1" ht="17.25" customHeight="1"/>
    <row r="2366" customFormat="1" ht="17.25" customHeight="1"/>
    <row r="2367" customFormat="1" ht="17.25" customHeight="1"/>
    <row r="2368" customFormat="1" ht="17.25" customHeight="1"/>
    <row r="2369" customFormat="1" ht="17.25" customHeight="1"/>
    <row r="2370" customFormat="1" ht="17.25" customHeight="1"/>
    <row r="2371" customFormat="1" ht="17.25" customHeight="1"/>
    <row r="2372" customFormat="1" ht="17.25" customHeight="1"/>
    <row r="2373" customFormat="1" ht="17.25" customHeight="1"/>
    <row r="2374" customFormat="1" ht="17.25" customHeight="1"/>
    <row r="2375" customFormat="1" ht="17.25" customHeight="1"/>
    <row r="2376" customFormat="1" ht="17.25" customHeight="1"/>
    <row r="2377" customFormat="1" ht="17.25" customHeight="1"/>
    <row r="2378" customFormat="1" ht="17.25" customHeight="1"/>
    <row r="2379" customFormat="1" ht="17.25" customHeight="1"/>
    <row r="2380" customFormat="1" ht="17.25" customHeight="1"/>
    <row r="2381" customFormat="1" ht="17.25" customHeight="1"/>
    <row r="2382" customFormat="1" ht="17.25" customHeight="1"/>
    <row r="2383" customFormat="1" ht="17.25" customHeight="1"/>
    <row r="2384" customFormat="1" ht="17.25" customHeight="1"/>
    <row r="2385" customFormat="1" ht="17.25" customHeight="1"/>
    <row r="2386" customFormat="1" ht="17.25" customHeight="1"/>
    <row r="2387" customFormat="1" ht="17.25" customHeight="1"/>
    <row r="2388" customFormat="1" ht="17.25" customHeight="1"/>
    <row r="2389" customFormat="1" ht="17.25" customHeight="1"/>
    <row r="2390" customFormat="1" ht="17.25" customHeight="1"/>
    <row r="2391" customFormat="1" ht="17.25" customHeight="1"/>
    <row r="2392" customFormat="1" ht="17.25" customHeight="1"/>
    <row r="2393" customFormat="1" ht="17.25" customHeight="1"/>
    <row r="2394" customFormat="1" ht="17.25" customHeight="1"/>
    <row r="2395" customFormat="1" ht="17.25" customHeight="1"/>
    <row r="2396" customFormat="1" ht="17.25" customHeight="1"/>
    <row r="2397" customFormat="1" ht="17.25" customHeight="1"/>
    <row r="2398" customFormat="1" ht="17.25" customHeight="1"/>
    <row r="2399" customFormat="1" ht="17.25" customHeight="1"/>
    <row r="2400" customFormat="1" ht="17.25" customHeight="1"/>
    <row r="2401" customFormat="1" ht="17.25" customHeight="1"/>
    <row r="2402" customFormat="1" ht="17.25" customHeight="1"/>
    <row r="2403" customFormat="1" ht="17.25" customHeight="1"/>
    <row r="2404" customFormat="1" ht="17.25" customHeight="1"/>
    <row r="2405" customFormat="1" ht="17.25" customHeight="1"/>
    <row r="2406" customFormat="1" ht="17.25" customHeight="1"/>
    <row r="2407" customFormat="1" ht="17.25" customHeight="1"/>
    <row r="2408" customFormat="1" ht="17.25" customHeight="1"/>
    <row r="2409" customFormat="1" ht="17.25" customHeight="1"/>
    <row r="2410" customFormat="1" ht="17.25" customHeight="1"/>
    <row r="2411" customFormat="1" ht="17.25" customHeight="1"/>
    <row r="2412" customFormat="1" ht="17.25" customHeight="1"/>
    <row r="2413" customFormat="1" ht="17.25" customHeight="1"/>
    <row r="2414" customFormat="1" ht="17.25" customHeight="1"/>
    <row r="2415" customFormat="1" ht="17.25" customHeight="1"/>
    <row r="2416" customFormat="1" ht="17.25" customHeight="1"/>
    <row r="2417" customFormat="1" ht="17.25" customHeight="1"/>
    <row r="2418" customFormat="1" ht="17.25" customHeight="1"/>
    <row r="2419" customFormat="1" ht="17.25" customHeight="1"/>
    <row r="2420" customFormat="1" ht="17.25" customHeight="1"/>
    <row r="2421" customFormat="1" ht="17.25" customHeight="1"/>
    <row r="2422" customFormat="1" ht="17.25" customHeight="1"/>
    <row r="2423" customFormat="1" ht="17.25" customHeight="1"/>
    <row r="2424" customFormat="1" ht="17.25" customHeight="1"/>
    <row r="2425" customFormat="1" ht="17.25" customHeight="1"/>
    <row r="2426" customFormat="1" ht="17.25" customHeight="1"/>
    <row r="2427" customFormat="1" ht="17.25" customHeight="1"/>
    <row r="2428" customFormat="1" ht="17.25" customHeight="1"/>
    <row r="2429" customFormat="1" ht="17.25" customHeight="1"/>
    <row r="2430" customFormat="1" ht="17.25" customHeight="1"/>
    <row r="2431" customFormat="1" ht="17.25" customHeight="1"/>
    <row r="2432" customFormat="1" ht="17.25" customHeight="1"/>
    <row r="2433" customFormat="1" ht="17.25" customHeight="1"/>
    <row r="2434" customFormat="1" ht="17.25" customHeight="1"/>
    <row r="2435" customFormat="1" ht="17.25" customHeight="1"/>
    <row r="2436" customFormat="1" ht="17.25" customHeight="1"/>
    <row r="2437" customFormat="1" ht="17.25" customHeight="1"/>
    <row r="2438" customFormat="1" ht="17.25" customHeight="1"/>
    <row r="2439" customFormat="1" ht="17.25" customHeight="1"/>
    <row r="2440" customFormat="1" ht="17.25" customHeight="1"/>
    <row r="2441" customFormat="1" ht="17.25" customHeight="1"/>
    <row r="2442" customFormat="1" ht="17.25" customHeight="1"/>
    <row r="2443" customFormat="1" ht="17.25" customHeight="1"/>
    <row r="2444" customFormat="1" ht="17.25" customHeight="1"/>
    <row r="2445" customFormat="1" ht="17.25" customHeight="1"/>
    <row r="2446" customFormat="1" ht="17.25" customHeight="1"/>
    <row r="2447" customFormat="1" ht="17.25" customHeight="1"/>
    <row r="2448" customFormat="1" ht="17.25" customHeight="1"/>
    <row r="2449" customFormat="1" ht="17.25" customHeight="1"/>
    <row r="2450" customFormat="1" ht="17.25" customHeight="1"/>
    <row r="2451" customFormat="1" ht="17.25" customHeight="1"/>
    <row r="2452" customFormat="1" ht="17.25" customHeight="1"/>
    <row r="2453" customFormat="1" ht="17.25" customHeight="1"/>
    <row r="2454" customFormat="1" ht="17.25" customHeight="1"/>
    <row r="2455" customFormat="1" ht="17.25" customHeight="1"/>
    <row r="2456" customFormat="1" ht="17.25" customHeight="1"/>
    <row r="2457" customFormat="1" ht="17.25" customHeight="1"/>
    <row r="2458" customFormat="1" ht="17.25" customHeight="1"/>
    <row r="2459" customFormat="1" ht="17.25" customHeight="1"/>
    <row r="2460" customFormat="1" ht="17.25" customHeight="1"/>
    <row r="2461" customFormat="1" ht="17.25" customHeight="1"/>
    <row r="2462" customFormat="1" ht="17.25" customHeight="1"/>
    <row r="2463" customFormat="1" ht="17.25" customHeight="1"/>
    <row r="2464" customFormat="1" ht="17.25" customHeight="1"/>
    <row r="2465" customFormat="1" ht="17.25" customHeight="1"/>
    <row r="2466" customFormat="1" ht="17.25" customHeight="1"/>
    <row r="2467" customFormat="1" ht="17.25" customHeight="1"/>
    <row r="2468" customFormat="1" ht="17.25" customHeight="1"/>
    <row r="2469" customFormat="1" ht="17.25" customHeight="1"/>
    <row r="2470" customFormat="1" ht="17.25" customHeight="1"/>
    <row r="2471" customFormat="1" ht="17.25" customHeight="1"/>
    <row r="2472" customFormat="1" ht="17.25" customHeight="1"/>
    <row r="2473" customFormat="1" ht="17.25" customHeight="1"/>
    <row r="2474" customFormat="1" ht="17.25" customHeight="1"/>
    <row r="2475" customFormat="1" ht="17.25" customHeight="1"/>
    <row r="2476" customFormat="1" ht="17.25" customHeight="1"/>
    <row r="2477" customFormat="1" ht="17.25" customHeight="1"/>
    <row r="2478" customFormat="1" ht="17.25" customHeight="1"/>
    <row r="2479" customFormat="1" ht="17.25" customHeight="1"/>
    <row r="2480" customFormat="1" ht="17.25" customHeight="1"/>
    <row r="2481" customFormat="1" ht="17.25" customHeight="1"/>
    <row r="2482" customFormat="1" ht="17.25" customHeight="1"/>
    <row r="2483" customFormat="1" ht="17.25" customHeight="1"/>
    <row r="2484" customFormat="1" ht="17.25" customHeight="1"/>
    <row r="2485" customFormat="1" ht="17.25" customHeight="1"/>
    <row r="2486" customFormat="1" ht="17.25" customHeight="1"/>
    <row r="2487" customFormat="1" ht="17.25" customHeight="1"/>
    <row r="2488" customFormat="1" ht="17.25" customHeight="1"/>
    <row r="2489" customFormat="1" ht="17.25" customHeight="1"/>
    <row r="2490" customFormat="1" ht="17.25" customHeight="1"/>
    <row r="2491" customFormat="1" ht="17.25" customHeight="1"/>
    <row r="2492" customFormat="1" ht="17.25" customHeight="1"/>
    <row r="2493" customFormat="1" ht="17.25" customHeight="1"/>
    <row r="2494" customFormat="1" ht="17.25" customHeight="1"/>
    <row r="2495" customFormat="1" ht="17.25" customHeight="1"/>
    <row r="2496" customFormat="1" ht="17.25" customHeight="1"/>
    <row r="2497" customFormat="1" ht="17.25" customHeight="1"/>
    <row r="2498" customFormat="1" ht="17.25" customHeight="1"/>
    <row r="2499" customFormat="1" ht="17.25" customHeight="1"/>
    <row r="2500" customFormat="1" ht="17.25" customHeight="1"/>
    <row r="2501" customFormat="1" ht="17.25" customHeight="1"/>
    <row r="2502" customFormat="1" ht="17.25" customHeight="1"/>
    <row r="2503" customFormat="1" ht="17.25" customHeight="1"/>
    <row r="2504" customFormat="1" ht="17.25" customHeight="1"/>
    <row r="2505" customFormat="1" ht="17.25" customHeight="1"/>
    <row r="2506" customFormat="1" ht="17.25" customHeight="1"/>
    <row r="2507" customFormat="1" ht="17.25" customHeight="1"/>
    <row r="2508" customFormat="1" ht="17.25" customHeight="1"/>
    <row r="2509" customFormat="1" ht="17.25" customHeight="1"/>
    <row r="2510" customFormat="1" ht="17.25" customHeight="1"/>
    <row r="2511" customFormat="1" ht="17.25" customHeight="1"/>
    <row r="2512" customFormat="1" ht="17.25" customHeight="1"/>
    <row r="2513" customFormat="1" ht="17.25" customHeight="1"/>
    <row r="2514" customFormat="1" ht="17.25" customHeight="1"/>
    <row r="2515" customFormat="1" ht="17.25" customHeight="1"/>
    <row r="2516" customFormat="1" ht="17.25" customHeight="1"/>
    <row r="2517" customFormat="1" ht="17.25" customHeight="1"/>
    <row r="2518" customFormat="1" ht="17.25" customHeight="1"/>
    <row r="2519" customFormat="1" ht="17.25" customHeight="1"/>
    <row r="2520" customFormat="1" ht="17.25" customHeight="1"/>
    <row r="2521" customFormat="1" ht="17.25" customHeight="1"/>
    <row r="2522" customFormat="1" ht="17.25" customHeight="1"/>
    <row r="2523" customFormat="1" ht="17.25" customHeight="1"/>
    <row r="2524" customFormat="1" ht="17.25" customHeight="1"/>
    <row r="2525" customFormat="1" ht="17.25" customHeight="1"/>
    <row r="2526" customFormat="1" ht="17.25" customHeight="1"/>
    <row r="2527" customFormat="1" ht="17.25" customHeight="1"/>
    <row r="2528" customFormat="1" ht="17.25" customHeight="1"/>
    <row r="2529" customFormat="1" ht="17.25" customHeight="1"/>
    <row r="2530" customFormat="1" ht="17.25" customHeight="1"/>
    <row r="2531" customFormat="1" ht="17.25" customHeight="1"/>
    <row r="2532" customFormat="1" ht="17.25" customHeight="1"/>
    <row r="2533" customFormat="1" ht="17.25" customHeight="1"/>
    <row r="2534" customFormat="1" ht="17.25" customHeight="1"/>
    <row r="2535" customFormat="1" ht="17.25" customHeight="1"/>
    <row r="2536" customFormat="1" ht="17.25" customHeight="1"/>
    <row r="2537" customFormat="1" ht="17.25" customHeight="1"/>
    <row r="2538" customFormat="1" ht="17.25" customHeight="1"/>
    <row r="2539" customFormat="1" ht="17.25" customHeight="1"/>
    <row r="2540" customFormat="1" ht="17.25" customHeight="1"/>
    <row r="2541" customFormat="1" ht="17.25" customHeight="1"/>
    <row r="2542" customFormat="1" ht="17.25" customHeight="1"/>
    <row r="2543" customFormat="1" ht="17.25" customHeight="1"/>
    <row r="2544" customFormat="1" ht="17.25" customHeight="1"/>
    <row r="2545" customFormat="1" ht="17.25" customHeight="1"/>
    <row r="2546" customFormat="1" ht="17.25" customHeight="1"/>
    <row r="2547" customFormat="1" ht="17.25" customHeight="1"/>
    <row r="2548" customFormat="1" ht="17.25" customHeight="1"/>
    <row r="2549" customFormat="1" ht="17.25" customHeight="1"/>
    <row r="2550" customFormat="1" ht="17.25" customHeight="1"/>
    <row r="2551" customFormat="1" ht="17.25" customHeight="1"/>
    <row r="2552" customFormat="1" ht="17.25" customHeight="1"/>
    <row r="2553" customFormat="1" ht="17.25" customHeight="1"/>
    <row r="2554" customFormat="1" ht="17.25" customHeight="1"/>
    <row r="2555" customFormat="1" ht="17.25" customHeight="1"/>
    <row r="2556" customFormat="1" ht="17.25" customHeight="1"/>
    <row r="2557" customFormat="1" ht="17.25" customHeight="1"/>
    <row r="2558" customFormat="1" ht="17.25" customHeight="1"/>
    <row r="2559" customFormat="1" ht="17.25" customHeight="1"/>
    <row r="2560" customFormat="1" ht="17.25" customHeight="1"/>
    <row r="2561" customFormat="1" ht="17.25" customHeight="1"/>
    <row r="2562" customFormat="1" ht="17.25" customHeight="1"/>
    <row r="2563" customFormat="1" ht="17.25" customHeight="1"/>
    <row r="2564" customFormat="1" ht="17.25" customHeight="1"/>
    <row r="2565" customFormat="1" ht="17.25" customHeight="1"/>
    <row r="2566" customFormat="1" ht="17.25" customHeight="1"/>
    <row r="2567" customFormat="1" ht="17.25" customHeight="1"/>
    <row r="2568" customFormat="1" ht="17.25" customHeight="1"/>
    <row r="2569" customFormat="1" ht="17.25" customHeight="1"/>
    <row r="2570" customFormat="1" ht="17.25" customHeight="1"/>
    <row r="2571" customFormat="1" ht="17.25" customHeight="1"/>
    <row r="2572" customFormat="1" ht="17.25" customHeight="1"/>
    <row r="2573" customFormat="1" ht="17.25" customHeight="1"/>
    <row r="2574" customFormat="1" ht="17.25" customHeight="1"/>
    <row r="2575" customFormat="1" ht="17.25" customHeight="1"/>
    <row r="2576" customFormat="1" ht="17.25" customHeight="1"/>
    <row r="2577" customFormat="1" ht="17.25" customHeight="1"/>
    <row r="2578" customFormat="1" ht="17.25" customHeight="1"/>
    <row r="2579" customFormat="1" ht="17.25" customHeight="1"/>
    <row r="2580" customFormat="1" ht="17.25" customHeight="1"/>
    <row r="2581" customFormat="1" ht="17.25" customHeight="1"/>
    <row r="2582" customFormat="1" ht="17.25" customHeight="1"/>
    <row r="2583" customFormat="1" ht="17.25" customHeight="1"/>
    <row r="2584" customFormat="1" ht="17.25" customHeight="1"/>
    <row r="2585" customFormat="1" ht="17.25" customHeight="1"/>
    <row r="2586" customFormat="1" ht="17.25" customHeight="1"/>
    <row r="2587" customFormat="1" ht="17.25" customHeight="1"/>
    <row r="2588" customFormat="1" ht="17.25" customHeight="1"/>
    <row r="2589" customFormat="1" ht="17.25" customHeight="1"/>
    <row r="2590" customFormat="1" ht="17.25" customHeight="1"/>
    <row r="2591" customFormat="1" ht="17.25" customHeight="1"/>
    <row r="2592" customFormat="1" ht="17.25" customHeight="1"/>
    <row r="2593" customFormat="1" ht="17.25" customHeight="1"/>
    <row r="2594" customFormat="1" ht="17.25" customHeight="1"/>
    <row r="2595" customFormat="1" ht="17.25" customHeight="1"/>
    <row r="2596" customFormat="1" ht="17.25" customHeight="1"/>
    <row r="2597" customFormat="1" ht="17.25" customHeight="1"/>
    <row r="2598" customFormat="1" ht="17.25" customHeight="1"/>
    <row r="2599" customFormat="1" ht="17.25" customHeight="1"/>
    <row r="2600" customFormat="1" ht="17.25" customHeight="1"/>
    <row r="2601" customFormat="1" ht="17.25" customHeight="1"/>
    <row r="2602" customFormat="1" ht="17.25" customHeight="1"/>
    <row r="2603" customFormat="1" ht="17.25" customHeight="1"/>
    <row r="2604" customFormat="1" ht="17.25" customHeight="1"/>
    <row r="2605" customFormat="1" ht="17.25" customHeight="1"/>
    <row r="2606" customFormat="1" ht="17.25" customHeight="1"/>
    <row r="2607" customFormat="1" ht="17.25" customHeight="1"/>
    <row r="2608" customFormat="1" ht="17.25" customHeight="1"/>
    <row r="2609" customFormat="1" ht="17.25" customHeight="1"/>
    <row r="2610" customFormat="1" ht="17.25" customHeight="1"/>
    <row r="2611" customFormat="1" ht="17.25" customHeight="1"/>
    <row r="2612" customFormat="1" ht="17.25" customHeight="1"/>
    <row r="2613" customFormat="1" ht="17.25" customHeight="1"/>
    <row r="2614" customFormat="1" ht="17.25" customHeight="1"/>
    <row r="2615" customFormat="1" ht="17.25" customHeight="1"/>
    <row r="2616" customFormat="1" ht="17.25" customHeight="1"/>
    <row r="2617" customFormat="1" ht="17.25" customHeight="1"/>
    <row r="2618" customFormat="1" ht="17.25" customHeight="1"/>
    <row r="2619" customFormat="1" ht="17.25" customHeight="1"/>
    <row r="2620" customFormat="1" ht="17.25" customHeight="1"/>
    <row r="2621" customFormat="1" ht="17.25" customHeight="1"/>
    <row r="2622" customFormat="1" ht="17.25" customHeight="1"/>
    <row r="2623" customFormat="1" ht="17.25" customHeight="1"/>
    <row r="2624" customFormat="1" ht="17.25" customHeight="1"/>
    <row r="2625" customFormat="1" ht="17.25" customHeight="1"/>
    <row r="2626" customFormat="1" ht="17.25" customHeight="1"/>
    <row r="2627" customFormat="1" ht="17.25" customHeight="1"/>
    <row r="2628" customFormat="1" ht="17.25" customHeight="1"/>
    <row r="2629" customFormat="1" ht="17.25" customHeight="1"/>
    <row r="2630" customFormat="1" ht="17.25" customHeight="1"/>
    <row r="2631" customFormat="1" ht="17.25" customHeight="1"/>
    <row r="2632" customFormat="1" ht="17.25" customHeight="1"/>
    <row r="2633" customFormat="1" ht="17.25" customHeight="1"/>
    <row r="2634" customFormat="1" ht="17.25" customHeight="1"/>
    <row r="2635" customFormat="1" ht="17.25" customHeight="1"/>
    <row r="2636" customFormat="1" ht="17.25" customHeight="1"/>
    <row r="2637" customFormat="1" ht="17.25" customHeight="1"/>
    <row r="2638" customFormat="1" ht="17.25" customHeight="1"/>
    <row r="2639" customFormat="1" ht="17.25" customHeight="1"/>
    <row r="2640" customFormat="1" ht="17.25" customHeight="1"/>
    <row r="2641" customFormat="1" ht="17.25" customHeight="1"/>
    <row r="2642" customFormat="1" ht="17.25" customHeight="1"/>
    <row r="2643" customFormat="1" ht="17.25" customHeight="1"/>
    <row r="2644" customFormat="1" ht="17.25" customHeight="1"/>
    <row r="2645" customFormat="1" ht="17.25" customHeight="1"/>
    <row r="2646" customFormat="1" ht="17.25" customHeight="1"/>
    <row r="2647" customFormat="1" ht="17.25" customHeight="1"/>
    <row r="2648" customFormat="1" ht="17.25" customHeight="1"/>
    <row r="2649" customFormat="1" ht="17.25" customHeight="1"/>
    <row r="2650" customFormat="1" ht="17.25" customHeight="1"/>
    <row r="2651" customFormat="1" ht="17.25" customHeight="1"/>
    <row r="2652" customFormat="1" ht="17.25" customHeight="1"/>
    <row r="2653" customFormat="1" ht="17.25" customHeight="1"/>
    <row r="2654" customFormat="1" ht="17.25" customHeight="1"/>
    <row r="2655" customFormat="1" ht="17.25" customHeight="1"/>
    <row r="2656" customFormat="1" ht="17.25" customHeight="1"/>
    <row r="2657" customFormat="1" ht="17.25" customHeight="1"/>
    <row r="2658" customFormat="1" ht="17.25" customHeight="1"/>
    <row r="2659" customFormat="1" ht="17.25" customHeight="1"/>
    <row r="2660" customFormat="1" ht="17.25" customHeight="1"/>
    <row r="2661" customFormat="1" ht="17.25" customHeight="1"/>
    <row r="2662" customFormat="1" ht="17.25" customHeight="1"/>
    <row r="2663" customFormat="1" ht="17.25" customHeight="1"/>
    <row r="2664" customFormat="1" ht="17.25" customHeight="1"/>
    <row r="2665" customFormat="1" ht="17.25" customHeight="1"/>
    <row r="2666" customFormat="1" ht="17.25" customHeight="1"/>
    <row r="2667" customFormat="1" ht="17.25" customHeight="1"/>
    <row r="2668" customFormat="1" ht="17.25" customHeight="1"/>
    <row r="2669" customFormat="1" ht="17.25" customHeight="1"/>
    <row r="2670" customFormat="1" ht="17.25" customHeight="1"/>
    <row r="2671" customFormat="1" ht="17.25" customHeight="1"/>
    <row r="2672" customFormat="1" ht="17.25" customHeight="1"/>
    <row r="2673" customFormat="1" ht="17.25" customHeight="1"/>
    <row r="2674" customFormat="1" ht="17.25" customHeight="1"/>
    <row r="2675" customFormat="1" ht="17.25" customHeight="1"/>
    <row r="2676" customFormat="1" ht="17.25" customHeight="1"/>
    <row r="2677" customFormat="1" ht="17.25" customHeight="1"/>
    <row r="2678" customFormat="1" ht="17.25" customHeight="1"/>
    <row r="2679" customFormat="1" ht="17.25" customHeight="1"/>
    <row r="2680" customFormat="1" ht="17.25" customHeight="1"/>
    <row r="2681" customFormat="1" ht="17.25" customHeight="1"/>
    <row r="2682" customFormat="1" ht="17.25" customHeight="1"/>
    <row r="2683" customFormat="1" ht="17.25" customHeight="1"/>
    <row r="2684" customFormat="1" ht="17.25" customHeight="1"/>
    <row r="2685" customFormat="1" ht="17.25" customHeight="1"/>
    <row r="2686" customFormat="1" ht="17.25" customHeight="1"/>
    <row r="2687" customFormat="1" ht="17.25" customHeight="1"/>
    <row r="2688" customFormat="1" ht="17.25" customHeight="1"/>
    <row r="2689" customFormat="1" ht="17.25" customHeight="1"/>
    <row r="2690" customFormat="1" ht="17.25" customHeight="1"/>
    <row r="2691" customFormat="1" ht="17.25" customHeight="1"/>
    <row r="2692" customFormat="1" ht="17.25" customHeight="1"/>
    <row r="2693" customFormat="1" ht="17.25" customHeight="1"/>
    <row r="2694" customFormat="1" ht="17.25" customHeight="1"/>
    <row r="2695" customFormat="1" ht="17.25" customHeight="1"/>
    <row r="2696" customFormat="1" ht="17.25" customHeight="1"/>
    <row r="2697" customFormat="1" ht="17.25" customHeight="1"/>
    <row r="2698" customFormat="1" ht="17.25" customHeight="1"/>
    <row r="2699" customFormat="1" ht="17.25" customHeight="1"/>
    <row r="2700" customFormat="1" ht="17.25" customHeight="1"/>
    <row r="2701" customFormat="1" ht="17.25" customHeight="1"/>
    <row r="2702" customFormat="1" ht="17.25" customHeight="1"/>
    <row r="2703" customFormat="1" ht="17.25" customHeight="1"/>
    <row r="2704" customFormat="1" ht="17.25" customHeight="1"/>
    <row r="2705" customFormat="1" ht="17.25" customHeight="1"/>
    <row r="2706" customFormat="1" ht="17.25" customHeight="1"/>
    <row r="2707" customFormat="1" ht="17.25" customHeight="1"/>
    <row r="2708" customFormat="1" ht="17.25" customHeight="1"/>
    <row r="2709" customFormat="1" ht="17.25" customHeight="1"/>
    <row r="2710" customFormat="1" ht="17.25" customHeight="1"/>
    <row r="2711" customFormat="1" ht="17.25" customHeight="1"/>
    <row r="2712" customFormat="1" ht="17.25" customHeight="1"/>
    <row r="2713" customFormat="1" ht="17.25" customHeight="1"/>
    <row r="2714" customFormat="1" ht="17.25" customHeight="1"/>
    <row r="2715" customFormat="1" ht="17.25" customHeight="1"/>
    <row r="2716" customFormat="1" ht="17.25" customHeight="1"/>
    <row r="2717" customFormat="1" ht="17.25" customHeight="1"/>
    <row r="2718" customFormat="1" ht="17.25" customHeight="1"/>
    <row r="2719" customFormat="1" ht="17.25" customHeight="1"/>
    <row r="2720" customFormat="1" ht="17.25" customHeight="1"/>
    <row r="2721" customFormat="1" ht="17.25" customHeight="1"/>
    <row r="2722" customFormat="1" ht="17.25" customHeight="1"/>
    <row r="2723" customFormat="1" ht="17.25" customHeight="1"/>
    <row r="2724" customFormat="1" ht="17.25" customHeight="1"/>
    <row r="2725" customFormat="1" ht="17.25" customHeight="1"/>
    <row r="2726" customFormat="1" ht="17.25" customHeight="1"/>
    <row r="2727" customFormat="1" ht="17.25" customHeight="1"/>
    <row r="2728" customFormat="1" ht="17.25" customHeight="1"/>
    <row r="2729" customFormat="1" ht="17.25" customHeight="1"/>
    <row r="2730" customFormat="1" ht="17.25" customHeight="1"/>
    <row r="2731" customFormat="1" ht="17.25" customHeight="1"/>
    <row r="2732" customFormat="1" ht="17.25" customHeight="1"/>
    <row r="2733" customFormat="1" ht="17.25" customHeight="1"/>
    <row r="2734" customFormat="1" ht="17.25" customHeight="1"/>
    <row r="2735" customFormat="1" ht="17.25" customHeight="1"/>
    <row r="2736" customFormat="1" ht="17.25" customHeight="1"/>
    <row r="2737" customFormat="1" ht="17.25" customHeight="1"/>
    <row r="2738" customFormat="1" ht="17.25" customHeight="1"/>
    <row r="2739" customFormat="1" ht="17.25" customHeight="1"/>
    <row r="2740" customFormat="1" ht="17.25" customHeight="1"/>
    <row r="2741" customFormat="1" ht="17.25" customHeight="1"/>
    <row r="2742" customFormat="1" ht="17.25" customHeight="1"/>
    <row r="2743" customFormat="1" ht="17.25" customHeight="1"/>
    <row r="2744" customFormat="1" ht="17.25" customHeight="1"/>
    <row r="2745" customFormat="1" ht="17.25" customHeight="1"/>
    <row r="2746" customFormat="1" ht="17.25" customHeight="1"/>
    <row r="2747" customFormat="1" ht="17.25" customHeight="1"/>
    <row r="2748" customFormat="1" ht="17.25" customHeight="1"/>
    <row r="2749" customFormat="1" ht="17.25" customHeight="1"/>
    <row r="2750" customFormat="1" ht="17.25" customHeight="1"/>
    <row r="2751" customFormat="1" ht="17.25" customHeight="1"/>
    <row r="2752" customFormat="1" ht="17.25" customHeight="1"/>
    <row r="2753" customFormat="1" ht="17.25" customHeight="1"/>
    <row r="2754" customFormat="1" ht="17.25" customHeight="1"/>
    <row r="2755" customFormat="1" ht="17.25" customHeight="1"/>
    <row r="2756" customFormat="1" ht="17.25" customHeight="1"/>
    <row r="2757" customFormat="1" ht="17.25" customHeight="1"/>
    <row r="2758" customFormat="1" ht="17.25" customHeight="1"/>
    <row r="2759" customFormat="1" ht="17.25" customHeight="1"/>
    <row r="2760" customFormat="1" ht="17.25" customHeight="1"/>
    <row r="2761" customFormat="1" ht="17.25" customHeight="1"/>
    <row r="2762" customFormat="1" ht="17.25" customHeight="1"/>
    <row r="2763" customFormat="1" ht="17.25" customHeight="1"/>
    <row r="2764" customFormat="1" ht="17.25" customHeight="1"/>
    <row r="2765" customFormat="1" ht="17.25" customHeight="1"/>
    <row r="2766" customFormat="1" ht="17.25" customHeight="1"/>
    <row r="2767" customFormat="1" ht="17.25" customHeight="1"/>
    <row r="2768" customFormat="1" ht="17.25" customHeight="1"/>
    <row r="2769" customFormat="1" ht="17.25" customHeight="1"/>
    <row r="2770" customFormat="1" ht="17.25" customHeight="1"/>
    <row r="2771" customFormat="1" ht="17.25" customHeight="1"/>
    <row r="2772" customFormat="1" ht="17.25" customHeight="1"/>
    <row r="2773" customFormat="1" ht="17.25" customHeight="1"/>
    <row r="2774" customFormat="1" ht="17.25" customHeight="1"/>
    <row r="2775" customFormat="1" ht="17.25" customHeight="1"/>
    <row r="2776" customFormat="1" ht="17.25" customHeight="1"/>
    <row r="2777" customFormat="1" ht="17.25" customHeight="1"/>
    <row r="2778" customFormat="1" ht="17.25" customHeight="1"/>
    <row r="2779" customFormat="1" ht="17.25" customHeight="1"/>
    <row r="2780" customFormat="1" ht="17.25" customHeight="1"/>
    <row r="2781" customFormat="1" ht="17.25" customHeight="1"/>
    <row r="2782" customFormat="1" ht="17.25" customHeight="1"/>
    <row r="2783" customFormat="1" ht="17.25" customHeight="1"/>
    <row r="2784" customFormat="1" ht="17.25" customHeight="1"/>
    <row r="2785" customFormat="1" ht="17.25" customHeight="1"/>
    <row r="2786" customFormat="1" ht="17.25" customHeight="1"/>
    <row r="2787" customFormat="1" ht="17.25" customHeight="1"/>
    <row r="2788" customFormat="1" ht="17.25" customHeight="1"/>
    <row r="2789" customFormat="1" ht="17.25" customHeight="1"/>
    <row r="2790" customFormat="1" ht="17.25" customHeight="1"/>
    <row r="2791" customFormat="1" ht="17.25" customHeight="1"/>
    <row r="2792" customFormat="1" ht="17.25" customHeight="1"/>
    <row r="2793" customFormat="1" ht="17.25" customHeight="1"/>
    <row r="2794" customFormat="1" ht="17.25" customHeight="1"/>
    <row r="2795" customFormat="1" ht="17.25" customHeight="1"/>
    <row r="2796" customFormat="1" ht="17.25" customHeight="1"/>
    <row r="2797" customFormat="1" ht="17.25" customHeight="1"/>
    <row r="2798" customFormat="1" ht="17.25" customHeight="1"/>
    <row r="2799" customFormat="1" ht="17.25" customHeight="1"/>
    <row r="2800" customFormat="1" ht="17.25" customHeight="1"/>
    <row r="2801" customFormat="1" ht="17.25" customHeight="1"/>
    <row r="2802" customFormat="1" ht="17.25" customHeight="1"/>
    <row r="2803" customFormat="1" ht="17.25" customHeight="1"/>
    <row r="2804" customFormat="1" ht="17.25" customHeight="1"/>
    <row r="2805" customFormat="1" ht="17.25" customHeight="1"/>
    <row r="2806" customFormat="1" ht="17.25" customHeight="1"/>
    <row r="2807" customFormat="1" ht="17.25" customHeight="1"/>
    <row r="2808" customFormat="1" ht="17.25" customHeight="1"/>
    <row r="2809" customFormat="1" ht="17.25" customHeight="1"/>
    <row r="2810" customFormat="1" ht="17.25" customHeight="1"/>
    <row r="2811" customFormat="1" ht="17.25" customHeight="1"/>
    <row r="2812" customFormat="1" ht="17.25" customHeight="1"/>
    <row r="2813" customFormat="1" ht="17.25" customHeight="1"/>
    <row r="2814" customFormat="1" ht="17.25" customHeight="1"/>
    <row r="2815" customFormat="1" ht="17.25" customHeight="1"/>
    <row r="2816" customFormat="1" ht="17.25" customHeight="1"/>
    <row r="2817" customFormat="1" ht="17.25" customHeight="1"/>
    <row r="2818" customFormat="1" ht="17.25" customHeight="1"/>
    <row r="2819" customFormat="1" ht="17.25" customHeight="1"/>
    <row r="2820" customFormat="1" ht="17.25" customHeight="1"/>
    <row r="2821" customFormat="1" ht="17.25" customHeight="1"/>
    <row r="2822" customFormat="1" ht="17.25" customHeight="1"/>
    <row r="2823" customFormat="1" ht="17.25" customHeight="1"/>
    <row r="2824" customFormat="1" ht="17.25" customHeight="1"/>
    <row r="2825" customFormat="1" ht="17.25" customHeight="1"/>
    <row r="2826" customFormat="1" ht="17.25" customHeight="1"/>
    <row r="2827" customFormat="1" ht="17.25" customHeight="1"/>
    <row r="2828" customFormat="1" ht="17.25" customHeight="1"/>
    <row r="2829" customFormat="1" ht="17.25" customHeight="1"/>
    <row r="2830" customFormat="1" ht="17.25" customHeight="1"/>
    <row r="2831" customFormat="1" ht="17.25" customHeight="1"/>
    <row r="2832" customFormat="1" ht="17.25" customHeight="1"/>
    <row r="2833" customFormat="1" ht="17.25" customHeight="1"/>
    <row r="2834" customFormat="1" ht="17.25" customHeight="1"/>
    <row r="2835" customFormat="1" ht="17.25" customHeight="1"/>
    <row r="2836" customFormat="1" ht="17.25" customHeight="1"/>
    <row r="2837" customFormat="1" ht="17.25" customHeight="1"/>
    <row r="2838" customFormat="1" ht="17.25" customHeight="1"/>
    <row r="2839" customFormat="1" ht="17.25" customHeight="1"/>
    <row r="2840" customFormat="1" ht="17.25" customHeight="1"/>
    <row r="2841" customFormat="1" ht="17.25" customHeight="1"/>
    <row r="2842" customFormat="1" ht="17.25" customHeight="1"/>
    <row r="2843" customFormat="1" ht="17.25" customHeight="1"/>
    <row r="2844" customFormat="1" ht="17.25" customHeight="1"/>
    <row r="2845" customFormat="1" ht="17.25" customHeight="1"/>
    <row r="2846" customFormat="1" ht="17.25" customHeight="1"/>
    <row r="2847" customFormat="1" ht="17.25" customHeight="1"/>
    <row r="2848" customFormat="1" ht="17.25" customHeight="1"/>
    <row r="2849" customFormat="1" ht="17.25" customHeight="1"/>
    <row r="2850" customFormat="1" ht="17.25" customHeight="1"/>
    <row r="2851" customFormat="1" ht="17.25" customHeight="1"/>
    <row r="2852" customFormat="1" ht="17.25" customHeight="1"/>
    <row r="2853" customFormat="1" ht="17.25" customHeight="1"/>
    <row r="2854" customFormat="1" ht="17.25" customHeight="1"/>
    <row r="2855" customFormat="1" ht="17.25" customHeight="1"/>
    <row r="2856" customFormat="1" ht="17.25" customHeight="1"/>
    <row r="2857" customFormat="1" ht="17.25" customHeight="1"/>
    <row r="2858" customFormat="1" ht="17.25" customHeight="1"/>
    <row r="2859" customFormat="1" ht="17.25" customHeight="1"/>
    <row r="2860" customFormat="1" ht="17.25" customHeight="1"/>
    <row r="2861" customFormat="1" ht="17.25" customHeight="1"/>
    <row r="2862" customFormat="1" ht="17.25" customHeight="1"/>
    <row r="2863" customFormat="1" ht="17.25" customHeight="1"/>
    <row r="2864" customFormat="1" ht="17.25" customHeight="1"/>
    <row r="2865" customFormat="1" ht="17.25" customHeight="1"/>
    <row r="2866" customFormat="1" ht="17.25" customHeight="1"/>
    <row r="2867" customFormat="1" ht="17.25" customHeight="1"/>
    <row r="2868" customFormat="1" ht="17.25" customHeight="1"/>
    <row r="2869" customFormat="1" ht="17.25" customHeight="1"/>
    <row r="2870" customFormat="1" ht="17.25" customHeight="1"/>
    <row r="2871" customFormat="1" ht="17.25" customHeight="1"/>
    <row r="2872" customFormat="1" ht="17.25" customHeight="1"/>
    <row r="2873" customFormat="1" ht="17.25" customHeight="1"/>
    <row r="2874" customFormat="1" ht="17.25" customHeight="1"/>
    <row r="2875" customFormat="1" ht="17.25" customHeight="1"/>
    <row r="2876" customFormat="1" ht="17.25" customHeight="1"/>
    <row r="2877" customFormat="1" ht="17.25" customHeight="1"/>
    <row r="2878" customFormat="1" ht="17.25" customHeight="1"/>
    <row r="2879" customFormat="1" ht="17.25" customHeight="1"/>
    <row r="2880" customFormat="1" ht="17.25" customHeight="1"/>
    <row r="2881" customFormat="1" ht="17.25" customHeight="1"/>
    <row r="2882" customFormat="1" ht="17.25" customHeight="1"/>
    <row r="2883" customFormat="1" ht="17.25" customHeight="1"/>
    <row r="2884" customFormat="1" ht="17.25" customHeight="1"/>
    <row r="2885" customFormat="1" ht="17.25" customHeight="1"/>
    <row r="2886" customFormat="1" ht="17.25" customHeight="1"/>
    <row r="2887" customFormat="1" ht="17.25" customHeight="1"/>
    <row r="2888" customFormat="1" ht="17.25" customHeight="1"/>
    <row r="2889" customFormat="1" ht="17.25" customHeight="1"/>
    <row r="2890" customFormat="1" ht="17.25" customHeight="1"/>
    <row r="2891" customFormat="1" ht="17.25" customHeight="1"/>
    <row r="2892" customFormat="1" ht="17.25" customHeight="1"/>
    <row r="2893" customFormat="1" ht="17.25" customHeight="1"/>
    <row r="2894" customFormat="1" ht="17.25" customHeight="1"/>
    <row r="2895" customFormat="1" ht="17.25" customHeight="1"/>
    <row r="2896" customFormat="1" ht="17.25" customHeight="1"/>
    <row r="2897" customFormat="1" ht="17.25" customHeight="1"/>
    <row r="2898" customFormat="1" ht="17.25" customHeight="1"/>
    <row r="2899" customFormat="1" ht="17.25" customHeight="1"/>
    <row r="2900" customFormat="1" ht="17.25" customHeight="1"/>
    <row r="2901" customFormat="1" ht="17.25" customHeight="1"/>
    <row r="2902" customFormat="1" ht="17.25" customHeight="1"/>
    <row r="2903" customFormat="1" ht="17.25" customHeight="1"/>
    <row r="2904" customFormat="1" ht="17.25" customHeight="1"/>
    <row r="2905" customFormat="1" ht="17.25" customHeight="1"/>
    <row r="2906" customFormat="1" ht="17.25" customHeight="1"/>
    <row r="2907" customFormat="1" ht="17.25" customHeight="1"/>
    <row r="2908" customFormat="1" ht="17.25" customHeight="1"/>
    <row r="2909" customFormat="1" ht="17.25" customHeight="1"/>
    <row r="2910" customFormat="1" ht="17.25" customHeight="1"/>
    <row r="2911" customFormat="1" ht="17.25" customHeight="1"/>
    <row r="2912" customFormat="1" ht="17.25" customHeight="1"/>
    <row r="2913" customFormat="1" ht="17.25" customHeight="1"/>
    <row r="2914" customFormat="1" ht="17.25" customHeight="1"/>
    <row r="2915" customFormat="1" ht="17.25" customHeight="1"/>
    <row r="2916" customFormat="1" ht="17.25" customHeight="1"/>
    <row r="2917" customFormat="1" ht="17.25" customHeight="1"/>
    <row r="2918" customFormat="1" ht="17.25" customHeight="1"/>
    <row r="2919" customFormat="1" ht="17.25" customHeight="1"/>
    <row r="2920" customFormat="1" ht="17.25" customHeight="1"/>
    <row r="2921" customFormat="1" ht="17.25" customHeight="1"/>
    <row r="2922" customFormat="1" ht="17.25" customHeight="1"/>
    <row r="2923" customFormat="1" ht="17.25" customHeight="1"/>
    <row r="2924" customFormat="1" ht="17.25" customHeight="1"/>
    <row r="2925" customFormat="1" ht="17.25" customHeight="1"/>
    <row r="2926" customFormat="1" ht="17.25" customHeight="1"/>
    <row r="2927" customFormat="1" ht="17.25" customHeight="1"/>
    <row r="2928" customFormat="1" ht="17.25" customHeight="1"/>
    <row r="2929" customFormat="1" ht="17.25" customHeight="1"/>
    <row r="2930" customFormat="1" ht="17.25" customHeight="1"/>
    <row r="2931" customFormat="1" ht="17.25" customHeight="1"/>
    <row r="2932" customFormat="1" ht="17.25" customHeight="1"/>
    <row r="2933" customFormat="1" ht="17.25" customHeight="1"/>
    <row r="2934" customFormat="1" ht="17.25" customHeight="1"/>
    <row r="2935" customFormat="1" ht="17.25" customHeight="1"/>
    <row r="2936" customFormat="1" ht="17.25" customHeight="1"/>
    <row r="2937" customFormat="1" ht="17.25" customHeight="1"/>
    <row r="2938" customFormat="1" ht="17.25" customHeight="1"/>
    <row r="2939" customFormat="1" ht="17.25" customHeight="1"/>
    <row r="2940" customFormat="1" ht="17.25" customHeight="1"/>
    <row r="2941" customFormat="1" ht="17.25" customHeight="1"/>
    <row r="2942" customFormat="1" ht="17.25" customHeight="1"/>
    <row r="2943" customFormat="1" ht="17.25" customHeight="1"/>
    <row r="2944" customFormat="1" ht="17.25" customHeight="1"/>
    <row r="2945" customFormat="1" ht="17.25" customHeight="1"/>
    <row r="2946" customFormat="1" ht="17.25" customHeight="1"/>
    <row r="2947" customFormat="1" ht="17.25" customHeight="1"/>
    <row r="2948" customFormat="1" ht="17.25" customHeight="1"/>
    <row r="2949" customFormat="1" ht="17.25" customHeight="1"/>
    <row r="2950" customFormat="1" ht="17.25" customHeight="1"/>
    <row r="2951" customFormat="1" ht="17.25" customHeight="1"/>
    <row r="2952" customFormat="1" ht="17.25" customHeight="1"/>
    <row r="2953" customFormat="1" ht="17.25" customHeight="1"/>
    <row r="2954" customFormat="1" ht="17.25" customHeight="1"/>
    <row r="2955" customFormat="1" ht="17.25" customHeight="1"/>
    <row r="2956" customFormat="1" ht="17.25" customHeight="1"/>
    <row r="2957" customFormat="1" ht="17.25" customHeight="1"/>
    <row r="2958" customFormat="1" ht="17.25" customHeight="1"/>
    <row r="2959" customFormat="1" ht="17.25" customHeight="1"/>
    <row r="2960" customFormat="1" ht="17.25" customHeight="1"/>
    <row r="2961" customFormat="1" ht="17.25" customHeight="1"/>
    <row r="2962" customFormat="1" ht="17.25" customHeight="1"/>
    <row r="2963" customFormat="1" ht="17.25" customHeight="1"/>
    <row r="2964" customFormat="1" ht="17.25" customHeight="1"/>
    <row r="2965" customFormat="1" ht="17.25" customHeight="1"/>
    <row r="2966" customFormat="1" ht="17.25" customHeight="1"/>
    <row r="2967" customFormat="1" ht="17.25" customHeight="1"/>
    <row r="2968" customFormat="1" ht="17.25" customHeight="1"/>
    <row r="2969" customFormat="1" ht="17.25" customHeight="1"/>
    <row r="2970" customFormat="1" ht="17.25" customHeight="1"/>
    <row r="2971" customFormat="1" ht="17.25" customHeight="1"/>
    <row r="2972" customFormat="1" ht="17.25" customHeight="1"/>
    <row r="2973" customFormat="1" ht="17.25" customHeight="1"/>
    <row r="2974" customFormat="1" ht="17.25" customHeight="1"/>
    <row r="2975" customFormat="1" ht="17.25" customHeight="1"/>
    <row r="2976" customFormat="1" ht="17.25" customHeight="1"/>
    <row r="2977" customFormat="1" ht="17.25" customHeight="1"/>
    <row r="2978" customFormat="1" ht="17.25" customHeight="1"/>
    <row r="2979" customFormat="1" ht="17.25" customHeight="1"/>
    <row r="2980" customFormat="1" ht="17.25" customHeight="1"/>
    <row r="2981" customFormat="1" ht="17.25" customHeight="1"/>
    <row r="2982" customFormat="1" ht="17.25" customHeight="1"/>
    <row r="2983" customFormat="1" ht="17.25" customHeight="1"/>
    <row r="2984" customFormat="1" ht="17.25" customHeight="1"/>
    <row r="2985" customFormat="1" ht="17.25" customHeight="1"/>
    <row r="2986" customFormat="1" ht="17.25" customHeight="1"/>
    <row r="2987" customFormat="1" ht="17.25" customHeight="1"/>
    <row r="2988" customFormat="1" ht="17.25" customHeight="1"/>
    <row r="2989" customFormat="1" ht="17.25" customHeight="1"/>
    <row r="2990" customFormat="1" ht="17.25" customHeight="1"/>
    <row r="2991" customFormat="1" ht="17.25" customHeight="1"/>
    <row r="2992" customFormat="1" ht="17.25" customHeight="1"/>
    <row r="2993" customFormat="1" ht="17.25" customHeight="1"/>
    <row r="2994" customFormat="1" ht="17.25" customHeight="1"/>
    <row r="2995" customFormat="1" ht="17.25" customHeight="1"/>
    <row r="2996" customFormat="1" ht="17.25" customHeight="1"/>
    <row r="2997" customFormat="1" ht="17.25" customHeight="1"/>
    <row r="2998" customFormat="1" ht="17.25" customHeight="1"/>
    <row r="2999" customFormat="1" ht="17.25" customHeight="1"/>
    <row r="3000" customFormat="1" ht="17.25" customHeight="1"/>
    <row r="3001" customFormat="1" ht="17.25" customHeight="1"/>
    <row r="3002" customFormat="1" ht="17.25" customHeight="1"/>
    <row r="3003" customFormat="1" ht="17.25" customHeight="1"/>
    <row r="3004" customFormat="1" ht="17.25" customHeight="1"/>
    <row r="3005" customFormat="1" ht="17.25" customHeight="1"/>
    <row r="3006" customFormat="1" ht="17.25" customHeight="1"/>
    <row r="3007" customFormat="1" ht="17.25" customHeight="1"/>
    <row r="3008" customFormat="1" ht="17.25" customHeight="1"/>
    <row r="3009" customFormat="1" ht="17.25" customHeight="1"/>
    <row r="3010" customFormat="1" ht="17.25" customHeight="1"/>
    <row r="3011" customFormat="1" ht="17.25" customHeight="1"/>
    <row r="3012" customFormat="1" ht="17.25" customHeight="1"/>
    <row r="3013" customFormat="1" ht="17.25" customHeight="1"/>
    <row r="3014" customFormat="1" ht="17.25" customHeight="1"/>
    <row r="3015" customFormat="1" ht="17.25" customHeight="1"/>
    <row r="3016" customFormat="1" ht="17.25" customHeight="1"/>
    <row r="3017" customFormat="1" ht="17.25" customHeight="1"/>
    <row r="3018" customFormat="1" ht="17.25" customHeight="1"/>
    <row r="3019" customFormat="1" ht="17.25" customHeight="1"/>
    <row r="3020" customFormat="1" ht="17.25" customHeight="1"/>
    <row r="3021" customFormat="1" ht="17.25" customHeight="1"/>
    <row r="3022" customFormat="1" ht="17.25" customHeight="1"/>
    <row r="3023" customFormat="1" ht="17.25" customHeight="1"/>
    <row r="3024" customFormat="1" ht="17.25" customHeight="1"/>
    <row r="3025" customFormat="1" ht="17.25" customHeight="1"/>
    <row r="3026" customFormat="1" ht="17.25" customHeight="1"/>
    <row r="3027" customFormat="1" ht="17.25" customHeight="1"/>
    <row r="3028" customFormat="1" ht="17.25" customHeight="1"/>
    <row r="3029" customFormat="1" ht="17.25" customHeight="1"/>
    <row r="3030" customFormat="1" ht="17.25" customHeight="1"/>
    <row r="3031" customFormat="1" ht="17.25" customHeight="1"/>
    <row r="3032" customFormat="1" ht="17.25" customHeight="1"/>
    <row r="3033" customFormat="1" ht="17.25" customHeight="1"/>
    <row r="3034" customFormat="1" ht="17.25" customHeight="1"/>
    <row r="3035" customFormat="1" ht="17.25" customHeight="1"/>
    <row r="3036" customFormat="1" ht="17.25" customHeight="1"/>
    <row r="3037" customFormat="1" ht="17.25" customHeight="1"/>
    <row r="3038" customFormat="1" ht="17.25" customHeight="1"/>
    <row r="3039" customFormat="1" ht="17.25" customHeight="1"/>
    <row r="3040" customFormat="1" ht="17.25" customHeight="1"/>
    <row r="3041" customFormat="1" ht="17.25" customHeight="1"/>
    <row r="3042" customFormat="1" ht="17.25" customHeight="1"/>
    <row r="3043" customFormat="1" ht="17.25" customHeight="1"/>
    <row r="3044" customFormat="1" ht="17.25" customHeight="1"/>
    <row r="3045" customFormat="1" ht="17.25" customHeight="1"/>
    <row r="3046" customFormat="1" ht="17.25" customHeight="1"/>
    <row r="3047" customFormat="1" ht="17.25" customHeight="1"/>
    <row r="3048" customFormat="1" ht="17.25" customHeight="1"/>
    <row r="3049" customFormat="1" ht="17.25" customHeight="1"/>
    <row r="3050" customFormat="1" ht="17.25" customHeight="1"/>
    <row r="3051" customFormat="1" ht="17.25" customHeight="1"/>
    <row r="3052" customFormat="1" ht="17.25" customHeight="1"/>
    <row r="3053" customFormat="1" ht="17.25" customHeight="1"/>
    <row r="3054" customFormat="1" ht="17.25" customHeight="1"/>
    <row r="3055" customFormat="1" ht="17.25" customHeight="1"/>
    <row r="3056" customFormat="1" ht="17.25" customHeight="1"/>
    <row r="3057" customFormat="1" ht="17.25" customHeight="1"/>
    <row r="3058" customFormat="1" ht="17.25" customHeight="1"/>
    <row r="3059" customFormat="1" ht="17.25" customHeight="1"/>
    <row r="3060" customFormat="1" ht="17.25" customHeight="1"/>
    <row r="3061" customFormat="1" ht="17.25" customHeight="1"/>
    <row r="3062" customFormat="1" ht="17.25" customHeight="1"/>
    <row r="3063" customFormat="1" ht="17.25" customHeight="1"/>
    <row r="3064" customFormat="1" ht="17.25" customHeight="1"/>
    <row r="3065" customFormat="1" ht="17.25" customHeight="1"/>
    <row r="3066" customFormat="1" ht="17.25" customHeight="1"/>
    <row r="3067" customFormat="1" ht="17.25" customHeight="1"/>
    <row r="3068" customFormat="1" ht="17.25" customHeight="1"/>
    <row r="3069" customFormat="1" ht="17.25" customHeight="1"/>
    <row r="3070" customFormat="1" ht="17.25" customHeight="1"/>
    <row r="3071" customFormat="1" ht="17.25" customHeight="1"/>
    <row r="3072" customFormat="1" ht="17.25" customHeight="1"/>
    <row r="3073" customFormat="1" ht="17.25" customHeight="1"/>
    <row r="3074" customFormat="1" ht="17.25" customHeight="1"/>
    <row r="3075" customFormat="1" ht="17.25" customHeight="1"/>
    <row r="3076" customFormat="1" ht="17.25" customHeight="1"/>
    <row r="3077" customFormat="1" ht="17.25" customHeight="1"/>
    <row r="3078" customFormat="1" ht="17.25" customHeight="1"/>
    <row r="3079" customFormat="1" ht="17.25" customHeight="1"/>
    <row r="3080" customFormat="1" ht="17.25" customHeight="1"/>
    <row r="3081" customFormat="1" ht="17.25" customHeight="1"/>
    <row r="3082" customFormat="1" ht="17.25" customHeight="1"/>
    <row r="3083" customFormat="1" ht="17.25" customHeight="1"/>
    <row r="3084" customFormat="1" ht="17.25" customHeight="1"/>
    <row r="3085" customFormat="1" ht="17.25" customHeight="1"/>
    <row r="3086" customFormat="1" ht="17.25" customHeight="1"/>
    <row r="3087" customFormat="1" ht="17.25" customHeight="1"/>
    <row r="3088" customFormat="1" ht="17.25" customHeight="1"/>
    <row r="3089" customFormat="1" ht="17.25" customHeight="1"/>
    <row r="3090" customFormat="1" ht="17.25" customHeight="1"/>
    <row r="3091" customFormat="1" ht="17.25" customHeight="1"/>
    <row r="3092" customFormat="1" ht="17.25" customHeight="1"/>
    <row r="3093" customFormat="1" ht="17.25" customHeight="1"/>
    <row r="3094" customFormat="1" ht="17.25" customHeight="1"/>
    <row r="3095" customFormat="1" ht="17.25" customHeight="1"/>
    <row r="3096" customFormat="1" ht="17.25" customHeight="1"/>
    <row r="3097" customFormat="1" ht="17.25" customHeight="1"/>
    <row r="3098" customFormat="1" ht="17.25" customHeight="1"/>
    <row r="3099" customFormat="1" ht="17.25" customHeight="1"/>
    <row r="3100" customFormat="1" ht="17.25" customHeight="1"/>
    <row r="3101" customFormat="1" ht="17.25" customHeight="1"/>
    <row r="3102" customFormat="1" ht="17.25" customHeight="1"/>
    <row r="3103" customFormat="1" ht="17.25" customHeight="1"/>
    <row r="3104" customFormat="1" ht="17.25" customHeight="1"/>
    <row r="3105" customFormat="1" ht="17.25" customHeight="1"/>
    <row r="3106" customFormat="1" ht="17.25" customHeight="1"/>
    <row r="3107" customFormat="1" ht="17.25" customHeight="1"/>
    <row r="3108" customFormat="1" ht="17.25" customHeight="1"/>
    <row r="3109" customFormat="1" ht="17.25" customHeight="1"/>
    <row r="3110" customFormat="1" ht="17.25" customHeight="1"/>
    <row r="3111" customFormat="1" ht="17.25" customHeight="1"/>
    <row r="3112" customFormat="1" ht="17.25" customHeight="1"/>
    <row r="3113" customFormat="1" ht="17.25" customHeight="1"/>
    <row r="3114" customFormat="1" ht="17.25" customHeight="1"/>
    <row r="3115" customFormat="1" ht="17.25" customHeight="1"/>
    <row r="3116" customFormat="1" ht="17.25" customHeight="1"/>
    <row r="3117" customFormat="1" ht="17.25" customHeight="1"/>
    <row r="3118" customFormat="1" ht="17.25" customHeight="1"/>
    <row r="3119" customFormat="1" ht="17.25" customHeight="1"/>
    <row r="3120" customFormat="1" ht="17.25" customHeight="1"/>
    <row r="3121" customFormat="1" ht="17.25" customHeight="1"/>
    <row r="3122" customFormat="1" ht="17.25" customHeight="1"/>
    <row r="3123" customFormat="1" ht="17.25" customHeight="1"/>
    <row r="3124" customFormat="1" ht="17.25" customHeight="1"/>
    <row r="3125" customFormat="1" ht="17.25" customHeight="1"/>
    <row r="3126" customFormat="1" ht="17.25" customHeight="1"/>
    <row r="3127" customFormat="1" ht="17.25" customHeight="1"/>
    <row r="3128" customFormat="1" ht="17.25" customHeight="1"/>
    <row r="3129" customFormat="1" ht="17.25" customHeight="1"/>
    <row r="3130" customFormat="1" ht="17.25" customHeight="1"/>
    <row r="3131" customFormat="1" ht="17.25" customHeight="1"/>
    <row r="3132" customFormat="1" ht="17.25" customHeight="1"/>
    <row r="3133" customFormat="1" ht="17.25" customHeight="1"/>
    <row r="3134" customFormat="1" ht="17.25" customHeight="1"/>
    <row r="3135" customFormat="1" ht="17.25" customHeight="1"/>
    <row r="3136" customFormat="1" ht="17.25" customHeight="1"/>
    <row r="3137" customFormat="1" ht="17.25" customHeight="1"/>
    <row r="3138" customFormat="1" ht="17.25" customHeight="1"/>
    <row r="3139" customFormat="1" ht="17.25" customHeight="1"/>
    <row r="3140" customFormat="1" ht="17.25" customHeight="1"/>
    <row r="3141" customFormat="1" ht="17.25" customHeight="1"/>
    <row r="3142" customFormat="1" ht="17.25" customHeight="1"/>
    <row r="3143" customFormat="1" ht="17.25" customHeight="1"/>
    <row r="3144" customFormat="1" ht="17.25" customHeight="1"/>
    <row r="3145" customFormat="1" ht="17.25" customHeight="1"/>
    <row r="3146" customFormat="1" ht="17.25" customHeight="1"/>
    <row r="3147" customFormat="1" ht="17.25" customHeight="1"/>
    <row r="3148" customFormat="1" ht="17.25" customHeight="1"/>
    <row r="3149" customFormat="1" ht="17.25" customHeight="1"/>
    <row r="3150" customFormat="1" ht="17.25" customHeight="1"/>
    <row r="3151" customFormat="1" ht="17.25" customHeight="1"/>
    <row r="3152" customFormat="1" ht="17.25" customHeight="1"/>
    <row r="3153" customFormat="1" ht="17.25" customHeight="1"/>
    <row r="3154" customFormat="1" ht="17.25" customHeight="1"/>
    <row r="3155" customFormat="1" ht="17.25" customHeight="1"/>
    <row r="3156" customFormat="1" ht="17.25" customHeight="1"/>
    <row r="3157" customFormat="1" ht="17.25" customHeight="1"/>
    <row r="3158" customFormat="1" ht="17.25" customHeight="1"/>
    <row r="3159" customFormat="1" ht="17.25" customHeight="1"/>
    <row r="3160" customFormat="1" ht="17.25" customHeight="1"/>
    <row r="3161" customFormat="1" ht="17.25" customHeight="1"/>
    <row r="3162" customFormat="1" ht="17.25" customHeight="1"/>
    <row r="3163" customFormat="1" ht="17.25" customHeight="1"/>
    <row r="3164" customFormat="1" ht="17.25" customHeight="1"/>
    <row r="3165" customFormat="1" ht="17.25" customHeight="1"/>
    <row r="3166" customFormat="1" ht="17.25" customHeight="1"/>
    <row r="3167" customFormat="1" ht="17.25" customHeight="1"/>
    <row r="3168" customFormat="1" ht="17.25" customHeight="1"/>
    <row r="3169" customFormat="1" ht="17.25" customHeight="1"/>
    <row r="3170" customFormat="1" ht="17.25" customHeight="1"/>
    <row r="3171" customFormat="1" ht="17.25" customHeight="1"/>
    <row r="3172" customFormat="1" ht="17.25" customHeight="1"/>
    <row r="3173" customFormat="1" ht="17.25" customHeight="1"/>
    <row r="3174" customFormat="1" ht="17.25" customHeight="1"/>
    <row r="3175" customFormat="1" ht="17.25" customHeight="1"/>
    <row r="3176" customFormat="1" ht="17.25" customHeight="1"/>
    <row r="3177" customFormat="1" ht="17.25" customHeight="1"/>
    <row r="3178" customFormat="1" ht="17.25" customHeight="1"/>
    <row r="3179" customFormat="1" ht="17.25" customHeight="1"/>
    <row r="3180" customFormat="1" ht="17.25" customHeight="1"/>
    <row r="3181" customFormat="1" ht="17.25" customHeight="1"/>
    <row r="3182" customFormat="1" ht="17.25" customHeight="1"/>
    <row r="3183" customFormat="1" ht="17.25" customHeight="1"/>
    <row r="3184" customFormat="1" ht="17.25" customHeight="1"/>
    <row r="3185" customFormat="1" ht="17.25" customHeight="1"/>
    <row r="3186" customFormat="1" ht="17.25" customHeight="1"/>
    <row r="3187" customFormat="1" ht="17.25" customHeight="1"/>
    <row r="3188" customFormat="1" ht="17.25" customHeight="1"/>
    <row r="3189" customFormat="1" ht="17.25" customHeight="1"/>
    <row r="3190" customFormat="1" ht="17.25" customHeight="1"/>
    <row r="3191" customFormat="1" ht="17.25" customHeight="1"/>
    <row r="3192" customFormat="1" ht="17.25" customHeight="1"/>
    <row r="3193" customFormat="1" ht="17.25" customHeight="1"/>
    <row r="3194" customFormat="1" ht="17.25" customHeight="1"/>
    <row r="3195" customFormat="1" ht="17.25" customHeight="1"/>
    <row r="3196" customFormat="1" ht="17.25" customHeight="1"/>
    <row r="3197" customFormat="1" ht="17.25" customHeight="1"/>
    <row r="3198" customFormat="1" ht="17.25" customHeight="1"/>
    <row r="3199" customFormat="1" ht="17.25" customHeight="1"/>
    <row r="3200" customFormat="1" ht="17.25" customHeight="1"/>
    <row r="3201" customFormat="1" ht="17.25" customHeight="1"/>
    <row r="3202" customFormat="1" ht="17.25" customHeight="1"/>
    <row r="3203" customFormat="1" ht="17.25" customHeight="1"/>
    <row r="3204" customFormat="1" ht="17.25" customHeight="1"/>
    <row r="3205" customFormat="1" ht="17.25" customHeight="1"/>
    <row r="3206" customFormat="1" ht="17.25" customHeight="1"/>
    <row r="3207" customFormat="1" ht="17.25" customHeight="1"/>
    <row r="3208" customFormat="1" ht="17.25" customHeight="1"/>
    <row r="3209" customFormat="1" ht="17.25" customHeight="1"/>
    <row r="3210" customFormat="1" ht="17.25" customHeight="1"/>
    <row r="3211" customFormat="1" ht="17.25" customHeight="1"/>
    <row r="3212" customFormat="1" ht="17.25" customHeight="1"/>
    <row r="3213" customFormat="1" ht="17.25" customHeight="1"/>
    <row r="3214" customFormat="1" ht="17.25" customHeight="1"/>
    <row r="3215" customFormat="1" ht="17.25" customHeight="1"/>
    <row r="3216" customFormat="1" ht="17.25" customHeight="1"/>
    <row r="3217" customFormat="1" ht="17.25" customHeight="1"/>
    <row r="3218" customFormat="1" ht="17.25" customHeight="1"/>
    <row r="3219" customFormat="1" ht="17.25" customHeight="1"/>
    <row r="3220" customFormat="1" ht="17.25" customHeight="1"/>
    <row r="3221" customFormat="1" ht="17.25" customHeight="1"/>
    <row r="3222" customFormat="1" ht="17.25" customHeight="1"/>
    <row r="3223" customFormat="1" ht="17.25" customHeight="1"/>
    <row r="3224" customFormat="1" ht="17.25" customHeight="1"/>
    <row r="3225" customFormat="1" ht="17.25" customHeight="1"/>
    <row r="3226" customFormat="1" ht="17.25" customHeight="1"/>
    <row r="3227" customFormat="1" ht="17.25" customHeight="1"/>
    <row r="3228" customFormat="1" ht="17.25" customHeight="1"/>
    <row r="3229" customFormat="1" ht="17.25" customHeight="1"/>
    <row r="3230" customFormat="1" ht="17.25" customHeight="1"/>
    <row r="3231" customFormat="1" ht="17.25" customHeight="1"/>
    <row r="3232" customFormat="1" ht="17.25" customHeight="1"/>
    <row r="3233" customFormat="1" ht="17.25" customHeight="1"/>
    <row r="3234" customFormat="1" ht="17.25" customHeight="1"/>
    <row r="3235" customFormat="1" ht="17.25" customHeight="1"/>
    <row r="3236" customFormat="1" ht="17.25" customHeight="1"/>
    <row r="3237" customFormat="1" ht="17.25" customHeight="1"/>
    <row r="3238" customFormat="1" ht="17.25" customHeight="1"/>
    <row r="3239" customFormat="1" ht="17.25" customHeight="1"/>
    <row r="3240" customFormat="1" ht="17.25" customHeight="1"/>
    <row r="3241" customFormat="1" ht="17.25" customHeight="1"/>
    <row r="3242" customFormat="1" ht="17.25" customHeight="1"/>
    <row r="3243" customFormat="1" ht="17.25" customHeight="1"/>
    <row r="3244" customFormat="1" ht="17.25" customHeight="1"/>
    <row r="3245" customFormat="1" ht="17.25" customHeight="1"/>
    <row r="3246" customFormat="1" ht="17.25" customHeight="1"/>
    <row r="3247" customFormat="1" ht="17.25" customHeight="1"/>
    <row r="3248" customFormat="1" ht="17.25" customHeight="1"/>
    <row r="3249" customFormat="1" ht="17.25" customHeight="1"/>
    <row r="3250" customFormat="1" ht="17.25" customHeight="1"/>
    <row r="3251" customFormat="1" ht="17.25" customHeight="1"/>
    <row r="3252" customFormat="1" ht="17.25" customHeight="1"/>
    <row r="3253" customFormat="1" ht="17.25" customHeight="1"/>
    <row r="3254" customFormat="1" ht="17.25" customHeight="1"/>
    <row r="3255" customFormat="1" ht="17.25" customHeight="1"/>
    <row r="3256" customFormat="1" ht="17.25" customHeight="1"/>
    <row r="3257" customFormat="1" ht="17.25" customHeight="1"/>
    <row r="3258" customFormat="1" ht="17.25" customHeight="1"/>
    <row r="3259" customFormat="1" ht="17.25" customHeight="1"/>
    <row r="3260" customFormat="1" ht="17.25" customHeight="1"/>
    <row r="3261" customFormat="1" ht="17.25" customHeight="1"/>
    <row r="3262" customFormat="1" ht="17.25" customHeight="1"/>
    <row r="3263" customFormat="1" ht="17.25" customHeight="1"/>
    <row r="3264" customFormat="1" ht="17.25" customHeight="1"/>
    <row r="3265" customFormat="1" ht="17.25" customHeight="1"/>
    <row r="3266" customFormat="1" ht="17.25" customHeight="1"/>
    <row r="3267" customFormat="1" ht="17.25" customHeight="1"/>
    <row r="3268" customFormat="1" ht="17.25" customHeight="1"/>
    <row r="3269" customFormat="1" ht="17.25" customHeight="1"/>
    <row r="3270" customFormat="1" ht="17.25" customHeight="1"/>
    <row r="3271" customFormat="1" ht="17.25" customHeight="1"/>
    <row r="3272" customFormat="1" ht="17.25" customHeight="1"/>
    <row r="3273" customFormat="1" ht="17.25" customHeight="1"/>
    <row r="3274" customFormat="1" ht="17.25" customHeight="1"/>
    <row r="3275" customFormat="1" ht="17.25" customHeight="1"/>
    <row r="3276" customFormat="1" ht="17.25" customHeight="1"/>
    <row r="3277" customFormat="1" ht="17.25" customHeight="1"/>
    <row r="3278" customFormat="1" ht="17.25" customHeight="1"/>
    <row r="3279" customFormat="1" ht="17.25" customHeight="1"/>
    <row r="3280" customFormat="1" ht="17.25" customHeight="1"/>
    <row r="3281" customFormat="1" ht="17.25" customHeight="1"/>
    <row r="3282" customFormat="1" ht="17.25" customHeight="1"/>
    <row r="3283" customFormat="1" ht="17.25" customHeight="1"/>
    <row r="3284" customFormat="1" ht="17.25" customHeight="1"/>
    <row r="3285" customFormat="1" ht="17.25" customHeight="1"/>
    <row r="3286" customFormat="1" ht="17.25" customHeight="1"/>
    <row r="3287" customFormat="1" ht="17.25" customHeight="1"/>
    <row r="3288" customFormat="1" ht="17.25" customHeight="1"/>
    <row r="3289" customFormat="1" ht="17.25" customHeight="1"/>
    <row r="3290" customFormat="1" ht="17.25" customHeight="1"/>
    <row r="3291" customFormat="1" ht="17.25" customHeight="1"/>
    <row r="3292" customFormat="1" ht="17.25" customHeight="1"/>
    <row r="3293" customFormat="1" ht="17.25" customHeight="1"/>
    <row r="3294" customFormat="1" ht="17.25" customHeight="1"/>
    <row r="3295" customFormat="1" ht="17.25" customHeight="1"/>
    <row r="3296" customFormat="1" ht="17.25" customHeight="1"/>
    <row r="3297" customFormat="1" ht="17.25" customHeight="1"/>
    <row r="3298" customFormat="1" ht="17.25" customHeight="1"/>
    <row r="3299" customFormat="1" ht="17.25" customHeight="1"/>
    <row r="3300" customFormat="1" ht="17.25" customHeight="1"/>
    <row r="3301" customFormat="1" ht="17.25" customHeight="1"/>
    <row r="3302" customFormat="1" ht="17.25" customHeight="1"/>
    <row r="3303" customFormat="1" ht="17.25" customHeight="1"/>
    <row r="3304" customFormat="1" ht="17.25" customHeight="1"/>
    <row r="3305" customFormat="1" ht="17.25" customHeight="1"/>
    <row r="3306" customFormat="1" ht="17.25" customHeight="1"/>
    <row r="3307" customFormat="1" ht="17.25" customHeight="1"/>
    <row r="3308" customFormat="1" ht="17.25" customHeight="1"/>
    <row r="3309" customFormat="1" ht="17.25" customHeight="1"/>
    <row r="3310" customFormat="1" ht="17.25" customHeight="1"/>
    <row r="3311" customFormat="1" ht="17.25" customHeight="1"/>
    <row r="3312" customFormat="1" ht="17.25" customHeight="1"/>
    <row r="3313" customFormat="1" ht="17.25" customHeight="1"/>
    <row r="3314" customFormat="1" ht="17.25" customHeight="1"/>
    <row r="3315" customFormat="1" ht="17.25" customHeight="1"/>
    <row r="3316" customFormat="1" ht="17.25" customHeight="1"/>
    <row r="3317" customFormat="1" ht="17.25" customHeight="1"/>
    <row r="3318" customFormat="1" ht="17.25" customHeight="1"/>
    <row r="3319" customFormat="1" ht="17.25" customHeight="1"/>
    <row r="3320" customFormat="1" ht="17.25" customHeight="1"/>
    <row r="3321" customFormat="1" ht="17.25" customHeight="1"/>
    <row r="3322" customFormat="1" ht="17.25" customHeight="1"/>
    <row r="3323" customFormat="1" ht="17.25" customHeight="1"/>
    <row r="3324" customFormat="1" ht="17.25" customHeight="1"/>
    <row r="3325" customFormat="1" ht="17.25" customHeight="1"/>
    <row r="3326" customFormat="1" ht="17.25" customHeight="1"/>
    <row r="3327" customFormat="1" ht="17.25" customHeight="1"/>
    <row r="3328" customFormat="1" ht="17.25" customHeight="1"/>
    <row r="3329" customFormat="1" ht="17.25" customHeight="1"/>
    <row r="3330" customFormat="1" ht="17.25" customHeight="1"/>
    <row r="3331" customFormat="1" ht="17.25" customHeight="1"/>
    <row r="3332" customFormat="1" ht="17.25" customHeight="1"/>
    <row r="3333" customFormat="1" ht="17.25" customHeight="1"/>
    <row r="3334" customFormat="1" ht="17.25" customHeight="1"/>
    <row r="3335" customFormat="1" ht="17.25" customHeight="1"/>
    <row r="3336" customFormat="1" ht="17.25" customHeight="1"/>
    <row r="3337" customFormat="1" ht="17.25" customHeight="1"/>
    <row r="3338" customFormat="1" ht="17.25" customHeight="1"/>
    <row r="3339" customFormat="1" ht="17.25" customHeight="1"/>
    <row r="3340" customFormat="1" ht="17.25" customHeight="1"/>
    <row r="3341" customFormat="1" ht="17.25" customHeight="1"/>
    <row r="3342" customFormat="1" ht="17.25" customHeight="1"/>
    <row r="3343" customFormat="1" ht="17.25" customHeight="1"/>
    <row r="3344" customFormat="1" ht="17.25" customHeight="1"/>
    <row r="3345" customFormat="1" ht="17.25" customHeight="1"/>
    <row r="3346" customFormat="1" ht="17.25" customHeight="1"/>
    <row r="3347" customFormat="1" ht="17.25" customHeight="1"/>
    <row r="3348" customFormat="1" ht="17.25" customHeight="1"/>
    <row r="3349" customFormat="1" ht="17.25" customHeight="1"/>
    <row r="3350" customFormat="1" ht="17.25" customHeight="1"/>
    <row r="3351" customFormat="1" ht="17.25" customHeight="1"/>
    <row r="3352" customFormat="1" ht="17.25" customHeight="1"/>
    <row r="3353" customFormat="1" ht="17.25" customHeight="1"/>
    <row r="3354" customFormat="1" ht="17.25" customHeight="1"/>
    <row r="3355" customFormat="1" ht="17.25" customHeight="1"/>
    <row r="3356" customFormat="1" ht="17.25" customHeight="1"/>
    <row r="3357" customFormat="1" ht="17.25" customHeight="1"/>
    <row r="3358" customFormat="1" ht="17.25" customHeight="1"/>
    <row r="3359" customFormat="1" ht="17.25" customHeight="1"/>
    <row r="3360" customFormat="1" ht="17.25" customHeight="1"/>
    <row r="3361" customFormat="1" ht="17.25" customHeight="1"/>
    <row r="3362" customFormat="1" ht="17.25" customHeight="1"/>
    <row r="3363" customFormat="1" ht="17.25" customHeight="1"/>
    <row r="3364" customFormat="1" ht="17.25" customHeight="1"/>
    <row r="3365" customFormat="1" ht="17.25" customHeight="1"/>
    <row r="3366" customFormat="1" ht="17.25" customHeight="1"/>
    <row r="3367" customFormat="1" ht="17.25" customHeight="1"/>
    <row r="3368" customFormat="1" ht="17.25" customHeight="1"/>
    <row r="3369" customFormat="1" ht="17.25" customHeight="1"/>
    <row r="3370" customFormat="1" ht="17.25" customHeight="1"/>
    <row r="3371" customFormat="1" ht="17.25" customHeight="1"/>
    <row r="3372" customFormat="1" ht="17.25" customHeight="1"/>
    <row r="3373" customFormat="1" ht="17.25" customHeight="1"/>
    <row r="3374" customFormat="1" ht="17.25" customHeight="1"/>
    <row r="3375" customFormat="1" ht="17.25" customHeight="1"/>
    <row r="3376" customFormat="1" ht="17.25" customHeight="1"/>
    <row r="3377" customFormat="1" ht="17.25" customHeight="1"/>
    <row r="3378" customFormat="1" ht="17.25" customHeight="1"/>
    <row r="3379" customFormat="1" ht="17.25" customHeight="1"/>
    <row r="3380" customFormat="1" ht="17.25" customHeight="1"/>
    <row r="3381" customFormat="1" ht="17.25" customHeight="1"/>
    <row r="3382" customFormat="1" ht="17.25" customHeight="1"/>
    <row r="3383" customFormat="1" ht="17.25" customHeight="1"/>
    <row r="3384" customFormat="1" ht="17.25" customHeight="1"/>
    <row r="3385" customFormat="1" ht="17.25" customHeight="1"/>
    <row r="3386" customFormat="1" ht="17.25" customHeight="1"/>
    <row r="3387" customFormat="1" ht="17.25" customHeight="1"/>
    <row r="3388" customFormat="1" ht="17.25" customHeight="1"/>
    <row r="3389" customFormat="1" ht="17.25" customHeight="1"/>
    <row r="3390" customFormat="1" ht="17.25" customHeight="1"/>
    <row r="3391" customFormat="1" ht="17.25" customHeight="1"/>
    <row r="3392" customFormat="1" ht="17.25" customHeight="1"/>
    <row r="3393" customFormat="1" ht="17.25" customHeight="1"/>
    <row r="3394" customFormat="1" ht="17.25" customHeight="1"/>
    <row r="3395" customFormat="1" ht="17.25" customHeight="1"/>
    <row r="3396" customFormat="1" ht="17.25" customHeight="1"/>
    <row r="3397" customFormat="1" ht="17.25" customHeight="1"/>
    <row r="3398" customFormat="1" ht="17.25" customHeight="1"/>
    <row r="3399" customFormat="1" ht="17.25" customHeight="1"/>
    <row r="3400" customFormat="1" ht="17.25" customHeight="1"/>
    <row r="3401" customFormat="1" ht="17.25" customHeight="1"/>
    <row r="3402" customFormat="1" ht="17.25" customHeight="1"/>
    <row r="3403" customFormat="1" ht="17.25" customHeight="1"/>
    <row r="3404" customFormat="1" ht="17.25" customHeight="1"/>
    <row r="3405" customFormat="1" ht="17.25" customHeight="1"/>
    <row r="3406" customFormat="1" ht="17.25" customHeight="1"/>
    <row r="3407" customFormat="1" ht="17.25" customHeight="1"/>
    <row r="3408" customFormat="1" ht="17.25" customHeight="1"/>
    <row r="3409" customFormat="1" ht="17.25" customHeight="1"/>
    <row r="3410" customFormat="1" ht="17.25" customHeight="1"/>
    <row r="3411" customFormat="1" ht="17.25" customHeight="1"/>
    <row r="3412" customFormat="1" ht="17.25" customHeight="1"/>
    <row r="3413" customFormat="1" ht="17.25" customHeight="1"/>
    <row r="3414" customFormat="1" ht="17.25" customHeight="1"/>
    <row r="3415" customFormat="1" ht="17.25" customHeight="1"/>
    <row r="3416" customFormat="1" ht="17.25" customHeight="1"/>
    <row r="3417" customFormat="1" ht="17.25" customHeight="1"/>
    <row r="3418" customFormat="1" ht="17.25" customHeight="1"/>
    <row r="3419" customFormat="1" ht="17.25" customHeight="1"/>
    <row r="3420" customFormat="1" ht="17.25" customHeight="1"/>
    <row r="3421" customFormat="1" ht="17.25" customHeight="1"/>
    <row r="3422" customFormat="1" ht="17.25" customHeight="1"/>
    <row r="3423" customFormat="1" ht="17.25" customHeight="1"/>
    <row r="3424" customFormat="1" ht="17.25" customHeight="1"/>
    <row r="3425" customFormat="1" ht="17.25" customHeight="1"/>
    <row r="3426" customFormat="1" ht="17.25" customHeight="1"/>
    <row r="3427" customFormat="1" ht="17.25" customHeight="1"/>
    <row r="3428" customFormat="1" ht="17.25" customHeight="1"/>
    <row r="3429" customFormat="1" ht="17.25" customHeight="1"/>
    <row r="3430" customFormat="1" ht="17.25" customHeight="1"/>
    <row r="3431" customFormat="1" ht="17.25" customHeight="1"/>
    <row r="3432" customFormat="1" ht="17.25" customHeight="1"/>
    <row r="3433" customFormat="1" ht="17.25" customHeight="1"/>
    <row r="3434" customFormat="1" ht="17.25" customHeight="1"/>
    <row r="3435" customFormat="1" ht="17.25" customHeight="1"/>
    <row r="3436" customFormat="1" ht="17.25" customHeight="1"/>
    <row r="3437" customFormat="1" ht="17.25" customHeight="1"/>
    <row r="3438" customFormat="1" ht="17.25" customHeight="1"/>
    <row r="3439" customFormat="1" ht="17.25" customHeight="1"/>
    <row r="3440" customFormat="1" ht="17.25" customHeight="1"/>
    <row r="3441" customFormat="1" ht="17.25" customHeight="1"/>
    <row r="3442" customFormat="1" ht="17.25" customHeight="1"/>
    <row r="3443" customFormat="1" ht="17.25" customHeight="1"/>
    <row r="3444" customFormat="1" ht="17.25" customHeight="1"/>
    <row r="3445" customFormat="1" ht="17.25" customHeight="1"/>
    <row r="3446" customFormat="1" ht="17.25" customHeight="1"/>
    <row r="3447" customFormat="1" ht="17.25" customHeight="1"/>
    <row r="3448" customFormat="1" ht="17.25" customHeight="1"/>
    <row r="3449" customFormat="1" ht="17.25" customHeight="1"/>
    <row r="3450" customFormat="1" ht="17.25" customHeight="1"/>
    <row r="3451" customFormat="1" ht="17.25" customHeight="1"/>
    <row r="3452" customFormat="1" ht="17.25" customHeight="1"/>
    <row r="3453" customFormat="1" ht="17.25" customHeight="1"/>
    <row r="3454" customFormat="1" ht="17.25" customHeight="1"/>
    <row r="3455" customFormat="1" ht="17.25" customHeight="1"/>
    <row r="3456" customFormat="1" ht="17.25" customHeight="1"/>
    <row r="3457" customFormat="1" ht="17.25" customHeight="1"/>
    <row r="3458" customFormat="1" ht="17.25" customHeight="1"/>
    <row r="3459" customFormat="1" ht="17.25" customHeight="1"/>
    <row r="3460" customFormat="1" ht="17.25" customHeight="1"/>
    <row r="3461" customFormat="1" ht="17.25" customHeight="1"/>
    <row r="3462" customFormat="1" ht="17.25" customHeight="1"/>
    <row r="3463" customFormat="1" ht="17.25" customHeight="1"/>
    <row r="3464" customFormat="1" ht="17.25" customHeight="1"/>
    <row r="3465" customFormat="1" ht="17.25" customHeight="1"/>
    <row r="3466" customFormat="1" ht="17.25" customHeight="1"/>
    <row r="3467" customFormat="1" ht="17.25" customHeight="1"/>
    <row r="3468" customFormat="1" ht="17.25" customHeight="1"/>
    <row r="3469" customFormat="1" ht="17.25" customHeight="1"/>
    <row r="3470" customFormat="1" ht="17.25" customHeight="1"/>
    <row r="3471" customFormat="1" ht="17.25" customHeight="1"/>
    <row r="3472" customFormat="1" ht="17.25" customHeight="1"/>
    <row r="3473" customFormat="1" ht="17.25" customHeight="1"/>
    <row r="3474" customFormat="1" ht="17.25" customHeight="1"/>
    <row r="3475" customFormat="1" ht="17.25" customHeight="1"/>
    <row r="3476" customFormat="1" ht="17.25" customHeight="1"/>
    <row r="3477" customFormat="1" ht="17.25" customHeight="1"/>
    <row r="3478" customFormat="1" ht="17.25" customHeight="1"/>
    <row r="3479" customFormat="1" ht="17.25" customHeight="1"/>
    <row r="3480" customFormat="1" ht="17.25" customHeight="1"/>
    <row r="3481" customFormat="1" ht="17.25" customHeight="1"/>
    <row r="3482" customFormat="1" ht="17.25" customHeight="1"/>
    <row r="3483" customFormat="1" ht="17.25" customHeight="1"/>
    <row r="3484" customFormat="1" ht="17.25" customHeight="1"/>
    <row r="3485" customFormat="1" ht="17.25" customHeight="1"/>
    <row r="3486" customFormat="1" ht="17.25" customHeight="1"/>
    <row r="3487" customFormat="1" ht="17.25" customHeight="1"/>
    <row r="3488" customFormat="1" ht="17.25" customHeight="1"/>
    <row r="3489" customFormat="1" ht="17.25" customHeight="1"/>
    <row r="3490" customFormat="1" ht="17.25" customHeight="1"/>
    <row r="3491" customFormat="1" ht="17.25" customHeight="1"/>
    <row r="3492" customFormat="1" ht="17.25" customHeight="1"/>
    <row r="3493" customFormat="1" ht="17.25" customHeight="1"/>
    <row r="3494" customFormat="1" ht="17.25" customHeight="1"/>
    <row r="3495" customFormat="1" ht="17.25" customHeight="1"/>
    <row r="3496" customFormat="1" ht="17.25" customHeight="1"/>
    <row r="3497" customFormat="1" ht="17.25" customHeight="1"/>
    <row r="3498" customFormat="1" ht="17.25" customHeight="1"/>
    <row r="3499" customFormat="1" ht="17.25" customHeight="1"/>
    <row r="3500" customFormat="1" ht="17.25" customHeight="1"/>
    <row r="3501" customFormat="1" ht="17.25" customHeight="1"/>
    <row r="3502" customFormat="1" ht="17.25" customHeight="1"/>
    <row r="3503" customFormat="1" ht="17.25" customHeight="1"/>
    <row r="3504" customFormat="1" ht="17.25" customHeight="1"/>
    <row r="3505" customFormat="1" ht="17.25" customHeight="1"/>
    <row r="3506" customFormat="1" ht="17.25" customHeight="1"/>
    <row r="3507" customFormat="1" ht="17.25" customHeight="1"/>
    <row r="3508" customFormat="1" ht="17.25" customHeight="1"/>
    <row r="3509" customFormat="1" ht="17.25" customHeight="1"/>
    <row r="3510" customFormat="1" ht="17.25" customHeight="1"/>
    <row r="3511" customFormat="1" ht="17.25" customHeight="1"/>
    <row r="3512" customFormat="1" ht="17.25" customHeight="1"/>
    <row r="3513" customFormat="1" ht="17.25" customHeight="1"/>
    <row r="3514" customFormat="1" ht="17.25" customHeight="1"/>
    <row r="3515" customFormat="1" ht="17.25" customHeight="1"/>
    <row r="3516" customFormat="1" ht="17.25" customHeight="1"/>
    <row r="3517" customFormat="1" ht="17.25" customHeight="1"/>
    <row r="3518" customFormat="1" ht="17.25" customHeight="1"/>
    <row r="3519" customFormat="1" ht="17.25" customHeight="1"/>
    <row r="3520" customFormat="1" ht="17.25" customHeight="1"/>
    <row r="3521" customFormat="1" ht="17.25" customHeight="1"/>
    <row r="3522" customFormat="1" ht="17.25" customHeight="1"/>
    <row r="3523" customFormat="1" ht="17.25" customHeight="1"/>
    <row r="3524" customFormat="1" ht="17.25" customHeight="1"/>
    <row r="3525" customFormat="1" ht="17.25" customHeight="1"/>
    <row r="3526" customFormat="1" ht="17.25" customHeight="1"/>
    <row r="3527" customFormat="1" ht="17.25" customHeight="1"/>
    <row r="3528" customFormat="1" ht="17.25" customHeight="1"/>
    <row r="3529" customFormat="1" ht="17.25" customHeight="1"/>
    <row r="3530" customFormat="1" ht="17.25" customHeight="1"/>
    <row r="3531" customFormat="1" ht="17.25" customHeight="1"/>
    <row r="3532" customFormat="1" ht="17.25" customHeight="1"/>
    <row r="3533" customFormat="1" ht="17.25" customHeight="1"/>
    <row r="3534" customFormat="1" ht="17.25" customHeight="1"/>
    <row r="3535" customFormat="1" ht="17.25" customHeight="1"/>
    <row r="3536" customFormat="1" ht="17.25" customHeight="1"/>
    <row r="3537" customFormat="1" ht="17.25" customHeight="1"/>
    <row r="3538" customFormat="1" ht="17.25" customHeight="1"/>
    <row r="3539" customFormat="1" ht="17.25" customHeight="1"/>
    <row r="3540" customFormat="1" ht="17.25" customHeight="1"/>
    <row r="3541" customFormat="1" ht="17.25" customHeight="1"/>
    <row r="3542" customFormat="1" ht="17.25" customHeight="1"/>
    <row r="3543" customFormat="1" ht="17.25" customHeight="1"/>
    <row r="3544" customFormat="1" ht="17.25" customHeight="1"/>
    <row r="3545" customFormat="1" ht="17.25" customHeight="1"/>
    <row r="3546" customFormat="1" ht="17.25" customHeight="1"/>
    <row r="3547" customFormat="1" ht="17.25" customHeight="1"/>
    <row r="3548" customFormat="1" ht="17.25" customHeight="1"/>
    <row r="3549" customFormat="1" ht="17.25" customHeight="1"/>
    <row r="3550" customFormat="1" ht="17.25" customHeight="1"/>
    <row r="3551" customFormat="1" ht="17.25" customHeight="1"/>
    <row r="3552" customFormat="1" ht="17.25" customHeight="1"/>
    <row r="3553" customFormat="1" ht="17.25" customHeight="1"/>
    <row r="3554" customFormat="1" ht="17.25" customHeight="1"/>
    <row r="3555" customFormat="1" ht="17.25" customHeight="1"/>
    <row r="3556" customFormat="1" ht="17.25" customHeight="1"/>
    <row r="3557" customFormat="1" ht="17.25" customHeight="1"/>
    <row r="3558" customFormat="1" ht="17.25" customHeight="1"/>
    <row r="3559" customFormat="1" ht="17.25" customHeight="1"/>
    <row r="3560" customFormat="1" ht="17.25" customHeight="1"/>
    <row r="3561" customFormat="1" ht="17.25" customHeight="1"/>
    <row r="3562" customFormat="1" ht="17.25" customHeight="1"/>
    <row r="3563" customFormat="1" ht="17.25" customHeight="1"/>
    <row r="3564" customFormat="1" ht="17.25" customHeight="1"/>
    <row r="3565" customFormat="1" ht="17.25" customHeight="1"/>
    <row r="3566" customFormat="1" ht="17.25" customHeight="1"/>
    <row r="3567" customFormat="1" ht="17.25" customHeight="1"/>
    <row r="3568" customFormat="1" ht="17.25" customHeight="1"/>
    <row r="3569" customFormat="1" ht="17.25" customHeight="1"/>
    <row r="3570" customFormat="1" ht="17.25" customHeight="1"/>
    <row r="3571" customFormat="1" ht="17.25" customHeight="1"/>
    <row r="3572" customFormat="1" ht="17.25" customHeight="1"/>
    <row r="3573" customFormat="1" ht="17.25" customHeight="1"/>
    <row r="3574" customFormat="1" ht="17.25" customHeight="1"/>
    <row r="3575" customFormat="1" ht="17.25" customHeight="1"/>
    <row r="3576" customFormat="1" ht="17.25" customHeight="1"/>
    <row r="3577" customFormat="1" ht="17.25" customHeight="1"/>
    <row r="3578" customFormat="1" ht="17.25" customHeight="1"/>
    <row r="3579" customFormat="1" ht="17.25" customHeight="1"/>
    <row r="3580" customFormat="1" ht="17.25" customHeight="1"/>
    <row r="3581" customFormat="1" ht="17.25" customHeight="1"/>
    <row r="3582" customFormat="1" ht="17.25" customHeight="1"/>
    <row r="3583" customFormat="1" ht="17.25" customHeight="1"/>
    <row r="3584" customFormat="1" ht="17.25" customHeight="1"/>
    <row r="3585" customFormat="1" ht="17.25" customHeight="1"/>
    <row r="3586" customFormat="1" ht="17.25" customHeight="1"/>
    <row r="3587" customFormat="1" ht="17.25" customHeight="1"/>
    <row r="3588" customFormat="1" ht="17.25" customHeight="1"/>
    <row r="3589" customFormat="1" ht="17.25" customHeight="1"/>
    <row r="3590" customFormat="1" ht="17.25" customHeight="1"/>
    <row r="3591" customFormat="1" ht="17.25" customHeight="1"/>
    <row r="3592" customFormat="1" ht="17.25" customHeight="1"/>
    <row r="3593" customFormat="1" ht="17.25" customHeight="1"/>
    <row r="3594" customFormat="1" ht="17.25" customHeight="1"/>
    <row r="3595" customFormat="1" ht="17.25" customHeight="1"/>
    <row r="3596" customFormat="1" ht="17.25" customHeight="1"/>
    <row r="3597" customFormat="1" ht="17.25" customHeight="1"/>
    <row r="3598" customFormat="1" ht="17.25" customHeight="1"/>
    <row r="3599" customFormat="1" ht="17.25" customHeight="1"/>
    <row r="3600" customFormat="1" ht="17.25" customHeight="1"/>
    <row r="3601" customFormat="1" ht="17.25" customHeight="1"/>
    <row r="3602" customFormat="1" ht="17.25" customHeight="1"/>
    <row r="3603" customFormat="1" ht="17.25" customHeight="1"/>
    <row r="3604" customFormat="1" ht="17.25" customHeight="1"/>
    <row r="3605" customFormat="1" ht="17.25" customHeight="1"/>
    <row r="3606" customFormat="1" ht="17.25" customHeight="1"/>
    <row r="3607" customFormat="1" ht="17.25" customHeight="1"/>
    <row r="3608" customFormat="1" ht="17.25" customHeight="1"/>
    <row r="3609" customFormat="1" ht="17.25" customHeight="1"/>
    <row r="3610" customFormat="1" ht="17.25" customHeight="1"/>
    <row r="3611" customFormat="1" ht="17.25" customHeight="1"/>
    <row r="3612" customFormat="1" ht="17.25" customHeight="1"/>
    <row r="3613" customFormat="1" ht="17.25" customHeight="1"/>
    <row r="3614" customFormat="1" ht="17.25" customHeight="1"/>
    <row r="3615" customFormat="1" ht="17.25" customHeight="1"/>
    <row r="3616" customFormat="1" ht="17.25" customHeight="1"/>
    <row r="3617" customFormat="1" ht="17.25" customHeight="1"/>
    <row r="3618" customFormat="1" ht="17.25" customHeight="1"/>
    <row r="3619" customFormat="1" ht="17.25" customHeight="1"/>
    <row r="3620" customFormat="1" ht="17.25" customHeight="1"/>
    <row r="3621" customFormat="1" ht="17.25" customHeight="1"/>
    <row r="3622" customFormat="1" ht="17.25" customHeight="1"/>
    <row r="3623" customFormat="1" ht="17.25" customHeight="1"/>
    <row r="3624" customFormat="1" ht="17.25" customHeight="1"/>
    <row r="3625" customFormat="1" ht="17.25" customHeight="1"/>
    <row r="3626" customFormat="1" ht="17.25" customHeight="1"/>
    <row r="3627" customFormat="1" ht="17.25" customHeight="1"/>
    <row r="3628" customFormat="1" ht="17.25" customHeight="1"/>
    <row r="3629" customFormat="1" ht="17.25" customHeight="1"/>
    <row r="3630" customFormat="1" ht="17.25" customHeight="1"/>
    <row r="3631" customFormat="1" ht="17.25" customHeight="1"/>
    <row r="3632" customFormat="1" ht="17.25" customHeight="1"/>
    <row r="3633" customFormat="1" ht="17.25" customHeight="1"/>
    <row r="3634" customFormat="1" ht="17.25" customHeight="1"/>
    <row r="3635" customFormat="1" ht="17.25" customHeight="1"/>
    <row r="3636" customFormat="1" ht="17.25" customHeight="1"/>
    <row r="3637" customFormat="1" ht="17.25" customHeight="1"/>
    <row r="3638" customFormat="1" ht="17.25" customHeight="1"/>
    <row r="3639" customFormat="1" ht="17.25" customHeight="1"/>
    <row r="3640" customFormat="1" ht="17.25" customHeight="1"/>
    <row r="3641" customFormat="1" ht="17.25" customHeight="1"/>
    <row r="3642" customFormat="1" ht="17.25" customHeight="1"/>
    <row r="3643" customFormat="1" ht="17.25" customHeight="1"/>
    <row r="3644" customFormat="1" ht="17.25" customHeight="1"/>
    <row r="3645" customFormat="1" ht="17.25" customHeight="1"/>
    <row r="3646" customFormat="1" ht="17.25" customHeight="1"/>
    <row r="3647" customFormat="1" ht="17.25" customHeight="1"/>
    <row r="3648" customFormat="1" ht="17.25" customHeight="1"/>
    <row r="3649" customFormat="1" ht="17.25" customHeight="1"/>
    <row r="3650" customFormat="1" ht="17.25" customHeight="1"/>
    <row r="3651" customFormat="1" ht="17.25" customHeight="1"/>
    <row r="3652" customFormat="1" ht="17.25" customHeight="1"/>
    <row r="3653" customFormat="1" ht="17.25" customHeight="1"/>
    <row r="3654" customFormat="1" ht="17.25" customHeight="1"/>
    <row r="3655" customFormat="1" ht="17.25" customHeight="1"/>
    <row r="3656" customFormat="1" ht="17.25" customHeight="1"/>
    <row r="3657" customFormat="1" ht="17.25" customHeight="1"/>
    <row r="3658" customFormat="1" ht="17.25" customHeight="1"/>
    <row r="3659" customFormat="1" ht="17.25" customHeight="1"/>
    <row r="3660" customFormat="1" ht="17.25" customHeight="1"/>
    <row r="3661" customFormat="1" ht="17.25" customHeight="1"/>
    <row r="3662" customFormat="1" ht="17.25" customHeight="1"/>
    <row r="3663" customFormat="1" ht="17.25" customHeight="1"/>
    <row r="3664" customFormat="1" ht="17.25" customHeight="1"/>
    <row r="3665" customFormat="1" ht="17.25" customHeight="1"/>
    <row r="3666" customFormat="1" ht="17.25" customHeight="1"/>
    <row r="3667" customFormat="1" ht="17.25" customHeight="1"/>
    <row r="3668" customFormat="1" ht="17.25" customHeight="1"/>
    <row r="3669" customFormat="1" ht="17.25" customHeight="1"/>
    <row r="3670" customFormat="1" ht="17.25" customHeight="1"/>
    <row r="3671" customFormat="1" ht="17.25" customHeight="1"/>
    <row r="3672" customFormat="1" ht="17.25" customHeight="1"/>
    <row r="3673" customFormat="1" ht="17.25" customHeight="1"/>
    <row r="3674" customFormat="1" ht="17.25" customHeight="1"/>
    <row r="3675" customFormat="1" ht="17.25" customHeight="1"/>
    <row r="3676" customFormat="1" ht="17.25" customHeight="1"/>
    <row r="3677" customFormat="1" ht="17.25" customHeight="1"/>
    <row r="3678" customFormat="1" ht="17.25" customHeight="1"/>
    <row r="3679" customFormat="1" ht="17.25" customHeight="1"/>
    <row r="3680" customFormat="1" ht="17.25" customHeight="1"/>
    <row r="3681" customFormat="1" ht="17.25" customHeight="1"/>
    <row r="3682" customFormat="1" ht="17.25" customHeight="1"/>
    <row r="3683" customFormat="1" ht="17.25" customHeight="1"/>
    <row r="3684" customFormat="1" ht="17.25" customHeight="1"/>
    <row r="3685" customFormat="1" ht="17.25" customHeight="1"/>
    <row r="3686" customFormat="1" ht="17.25" customHeight="1"/>
    <row r="3687" customFormat="1" ht="17.25" customHeight="1"/>
    <row r="3688" customFormat="1" ht="17.25" customHeight="1"/>
    <row r="3689" customFormat="1" ht="17.25" customHeight="1"/>
    <row r="3690" customFormat="1" ht="17.25" customHeight="1"/>
    <row r="3691" customFormat="1" ht="17.25" customHeight="1"/>
    <row r="3692" customFormat="1" ht="17.25" customHeight="1"/>
    <row r="3693" customFormat="1" ht="17.25" customHeight="1"/>
    <row r="3694" customFormat="1" ht="17.25" customHeight="1"/>
    <row r="3695" customFormat="1" ht="17.25" customHeight="1"/>
    <row r="3696" customFormat="1" ht="17.25" customHeight="1"/>
    <row r="3697" customFormat="1" ht="17.25" customHeight="1"/>
    <row r="3698" customFormat="1" ht="17.25" customHeight="1"/>
    <row r="3699" customFormat="1" ht="17.25" customHeight="1"/>
    <row r="3700" customFormat="1" ht="17.25" customHeight="1"/>
    <row r="3701" customFormat="1" ht="17.25" customHeight="1"/>
    <row r="3702" customFormat="1" ht="17.25" customHeight="1"/>
    <row r="3703" customFormat="1" ht="17.25" customHeight="1"/>
    <row r="3704" customFormat="1" ht="17.25" customHeight="1"/>
    <row r="3705" customFormat="1" ht="17.25" customHeight="1"/>
    <row r="3706" customFormat="1" ht="17.25" customHeight="1"/>
    <row r="3707" customFormat="1" ht="17.25" customHeight="1"/>
    <row r="3708" customFormat="1" ht="17.25" customHeight="1"/>
    <row r="3709" customFormat="1" ht="17.25" customHeight="1"/>
    <row r="3710" customFormat="1" ht="17.25" customHeight="1"/>
    <row r="3711" customFormat="1" ht="17.25" customHeight="1"/>
    <row r="3712" customFormat="1" ht="17.25" customHeight="1"/>
    <row r="3713" customFormat="1" ht="17.25" customHeight="1"/>
    <row r="3714" customFormat="1" ht="17.25" customHeight="1"/>
    <row r="3715" customFormat="1" ht="17.25" customHeight="1"/>
    <row r="3716" customFormat="1" ht="17.25" customHeight="1"/>
    <row r="3717" customFormat="1" ht="17.25" customHeight="1"/>
    <row r="3718" customFormat="1" ht="17.25" customHeight="1"/>
    <row r="3719" customFormat="1" ht="17.25" customHeight="1"/>
    <row r="3720" customFormat="1" ht="17.25" customHeight="1"/>
    <row r="3721" customFormat="1" ht="17.25" customHeight="1"/>
    <row r="3722" customFormat="1" ht="17.25" customHeight="1"/>
    <row r="3723" customFormat="1" ht="17.25" customHeight="1"/>
    <row r="3724" customFormat="1" ht="17.25" customHeight="1"/>
    <row r="3725" customFormat="1" ht="17.25" customHeight="1"/>
    <row r="3726" customFormat="1" ht="17.25" customHeight="1"/>
    <row r="3727" customFormat="1" ht="17.25" customHeight="1"/>
    <row r="3728" customFormat="1" ht="17.25" customHeight="1"/>
    <row r="3729" customFormat="1" ht="17.25" customHeight="1"/>
    <row r="3730" customFormat="1" ht="17.25" customHeight="1"/>
    <row r="3731" customFormat="1" ht="17.25" customHeight="1"/>
    <row r="3732" customFormat="1" ht="17.25" customHeight="1"/>
    <row r="3733" customFormat="1" ht="17.25" customHeight="1"/>
    <row r="3734" customFormat="1" ht="17.25" customHeight="1"/>
    <row r="3735" customFormat="1" ht="17.25" customHeight="1"/>
    <row r="3736" customFormat="1" ht="17.25" customHeight="1"/>
    <row r="3737" customFormat="1" ht="17.25" customHeight="1"/>
    <row r="3738" customFormat="1" ht="17.25" customHeight="1"/>
    <row r="3739" customFormat="1" ht="17.25" customHeight="1"/>
    <row r="3740" customFormat="1" ht="17.25" customHeight="1"/>
    <row r="3741" customFormat="1" ht="17.25" customHeight="1"/>
    <row r="3742" customFormat="1" ht="17.25" customHeight="1"/>
    <row r="3743" customFormat="1" ht="17.25" customHeight="1"/>
    <row r="3744" customFormat="1" ht="17.25" customHeight="1"/>
    <row r="3745" customFormat="1" ht="17.25" customHeight="1"/>
    <row r="3746" customFormat="1" ht="17.25" customHeight="1"/>
    <row r="3747" customFormat="1" ht="17.25" customHeight="1"/>
    <row r="3748" customFormat="1" ht="17.25" customHeight="1"/>
    <row r="3749" customFormat="1" ht="17.25" customHeight="1"/>
    <row r="3750" customFormat="1" ht="17.25" customHeight="1"/>
    <row r="3751" customFormat="1" ht="17.25" customHeight="1"/>
    <row r="3752" customFormat="1" ht="17.25" customHeight="1"/>
    <row r="3753" customFormat="1" ht="17.25" customHeight="1"/>
    <row r="3754" customFormat="1" ht="17.25" customHeight="1"/>
    <row r="3755" customFormat="1" ht="17.25" customHeight="1"/>
    <row r="3756" customFormat="1" ht="17.25" customHeight="1"/>
    <row r="3757" customFormat="1" ht="17.25" customHeight="1"/>
    <row r="3758" customFormat="1" ht="17.25" customHeight="1"/>
    <row r="3759" customFormat="1" ht="17.25" customHeight="1"/>
    <row r="3760" customFormat="1" ht="17.25" customHeight="1"/>
    <row r="3761" customFormat="1" ht="17.25" customHeight="1"/>
    <row r="3762" customFormat="1" ht="17.25" customHeight="1"/>
    <row r="3763" customFormat="1" ht="17.25" customHeight="1"/>
    <row r="3764" customFormat="1" ht="17.25" customHeight="1"/>
    <row r="3765" customFormat="1" ht="17.25" customHeight="1"/>
    <row r="3766" customFormat="1" ht="17.25" customHeight="1"/>
    <row r="3767" customFormat="1" ht="17.25" customHeight="1"/>
    <row r="3768" customFormat="1" ht="17.25" customHeight="1"/>
    <row r="3769" customFormat="1" ht="17.25" customHeight="1"/>
    <row r="3770" customFormat="1" ht="17.25" customHeight="1"/>
    <row r="3771" customFormat="1" ht="17.25" customHeight="1"/>
    <row r="3772" customFormat="1" ht="17.25" customHeight="1"/>
    <row r="3773" customFormat="1" ht="17.25" customHeight="1"/>
    <row r="3774" customFormat="1" ht="17.25" customHeight="1"/>
    <row r="3775" customFormat="1" ht="17.25" customHeight="1"/>
    <row r="3776" customFormat="1" ht="17.25" customHeight="1"/>
    <row r="3777" customFormat="1" ht="17.25" customHeight="1"/>
    <row r="3778" customFormat="1" ht="17.25" customHeight="1"/>
    <row r="3779" customFormat="1" ht="17.25" customHeight="1"/>
    <row r="3780" customFormat="1" ht="17.25" customHeight="1"/>
    <row r="3781" customFormat="1" ht="17.25" customHeight="1"/>
    <row r="3782" customFormat="1" ht="17.25" customHeight="1"/>
    <row r="3783" customFormat="1" ht="17.25" customHeight="1"/>
    <row r="3784" customFormat="1" ht="17.25" customHeight="1"/>
    <row r="3785" customFormat="1" ht="17.25" customHeight="1"/>
    <row r="3786" customFormat="1" ht="17.25" customHeight="1"/>
    <row r="3787" customFormat="1" ht="17.25" customHeight="1"/>
    <row r="3788" customFormat="1" ht="17.25" customHeight="1"/>
    <row r="3789" customFormat="1" ht="17.25" customHeight="1"/>
    <row r="3790" customFormat="1" ht="17.25" customHeight="1"/>
    <row r="3791" customFormat="1" ht="17.25" customHeight="1"/>
    <row r="3792" customFormat="1" ht="17.25" customHeight="1"/>
    <row r="3793" customFormat="1" ht="17.25" customHeight="1"/>
    <row r="3794" customFormat="1" ht="17.25" customHeight="1"/>
    <row r="3795" customFormat="1" ht="17.25" customHeight="1"/>
    <row r="3796" customFormat="1" ht="17.25" customHeight="1"/>
    <row r="3797" customFormat="1" ht="17.25" customHeight="1"/>
    <row r="3798" customFormat="1" ht="17.25" customHeight="1"/>
    <row r="3799" customFormat="1" ht="17.25" customHeight="1"/>
    <row r="3800" customFormat="1" ht="17.25" customHeight="1"/>
    <row r="3801" customFormat="1" ht="17.25" customHeight="1"/>
    <row r="3802" customFormat="1" ht="17.25" customHeight="1"/>
    <row r="3803" customFormat="1" ht="17.25" customHeight="1"/>
    <row r="3804" customFormat="1" ht="17.25" customHeight="1"/>
    <row r="3805" customFormat="1" ht="17.25" customHeight="1"/>
    <row r="3806" customFormat="1" ht="17.25" customHeight="1"/>
    <row r="3807" customFormat="1" ht="17.25" customHeight="1"/>
    <row r="3808" customFormat="1" ht="17.25" customHeight="1"/>
    <row r="3809" customFormat="1" ht="17.25" customHeight="1"/>
    <row r="3810" customFormat="1" ht="17.25" customHeight="1"/>
    <row r="3811" customFormat="1" ht="17.25" customHeight="1"/>
    <row r="3812" customFormat="1" ht="17.25" customHeight="1"/>
    <row r="3813" customFormat="1" ht="17.25" customHeight="1"/>
    <row r="3814" customFormat="1" ht="17.25" customHeight="1"/>
    <row r="3815" customFormat="1" ht="17.25" customHeight="1"/>
    <row r="3816" customFormat="1" ht="17.25" customHeight="1"/>
    <row r="3817" customFormat="1" ht="17.25" customHeight="1"/>
    <row r="3818" customFormat="1" ht="17.25" customHeight="1"/>
    <row r="3819" customFormat="1" ht="17.25" customHeight="1"/>
    <row r="3820" customFormat="1" ht="17.25" customHeight="1"/>
    <row r="3821" customFormat="1" ht="17.25" customHeight="1"/>
    <row r="3822" customFormat="1" ht="17.25" customHeight="1"/>
    <row r="3823" customFormat="1" ht="17.25" customHeight="1"/>
    <row r="3824" customFormat="1" ht="17.25" customHeight="1"/>
    <row r="3825" customFormat="1" ht="17.25" customHeight="1"/>
    <row r="3826" customFormat="1" ht="17.25" customHeight="1"/>
    <row r="3827" customFormat="1" ht="17.25" customHeight="1"/>
    <row r="3828" customFormat="1" ht="17.25" customHeight="1"/>
    <row r="3829" customFormat="1" ht="17.25" customHeight="1"/>
    <row r="3830" customFormat="1" ht="17.25" customHeight="1"/>
    <row r="3831" customFormat="1" ht="17.25" customHeight="1"/>
    <row r="3832" customFormat="1" ht="17.25" customHeight="1"/>
    <row r="3833" customFormat="1" ht="17.25" customHeight="1"/>
    <row r="3834" customFormat="1" ht="17.25" customHeight="1"/>
    <row r="3835" customFormat="1" ht="17.25" customHeight="1"/>
    <row r="3836" customFormat="1" ht="17.25" customHeight="1"/>
    <row r="3837" customFormat="1" ht="17.25" customHeight="1"/>
    <row r="3838" customFormat="1" ht="17.25" customHeight="1"/>
    <row r="3839" customFormat="1" ht="17.25" customHeight="1"/>
    <row r="3840" customFormat="1" ht="17.25" customHeight="1"/>
    <row r="3841" customFormat="1" ht="17.25" customHeight="1"/>
    <row r="3842" customFormat="1" ht="17.25" customHeight="1"/>
    <row r="3843" customFormat="1" ht="17.25" customHeight="1"/>
    <row r="3844" customFormat="1" ht="17.25" customHeight="1"/>
    <row r="3845" customFormat="1" ht="17.25" customHeight="1"/>
    <row r="3846" customFormat="1" ht="17.25" customHeight="1"/>
    <row r="3847" customFormat="1" ht="17.25" customHeight="1"/>
    <row r="3848" customFormat="1" ht="17.25" customHeight="1"/>
    <row r="3849" customFormat="1" ht="17.25" customHeight="1"/>
    <row r="3850" customFormat="1" ht="17.25" customHeight="1"/>
    <row r="3851" customFormat="1" ht="17.25" customHeight="1"/>
    <row r="3852" customFormat="1" ht="17.25" customHeight="1"/>
    <row r="3853" customFormat="1" ht="17.25" customHeight="1"/>
    <row r="3854" customFormat="1" ht="17.25" customHeight="1"/>
    <row r="3855" customFormat="1" ht="17.25" customHeight="1"/>
    <row r="3856" customFormat="1" ht="17.25" customHeight="1"/>
    <row r="3857" customFormat="1" ht="17.25" customHeight="1"/>
    <row r="3858" customFormat="1" ht="17.25" customHeight="1"/>
    <row r="3859" customFormat="1" ht="17.25" customHeight="1"/>
    <row r="3860" customFormat="1" ht="17.25" customHeight="1"/>
    <row r="3861" customFormat="1" ht="17.25" customHeight="1"/>
    <row r="3862" customFormat="1" ht="17.25" customHeight="1"/>
    <row r="3863" customFormat="1" ht="17.25" customHeight="1"/>
    <row r="3864" customFormat="1" ht="17.25" customHeight="1"/>
    <row r="3865" customFormat="1" ht="17.25" customHeight="1"/>
    <row r="3866" customFormat="1" ht="17.25" customHeight="1"/>
    <row r="3867" customFormat="1" ht="17.25" customHeight="1"/>
    <row r="3868" customFormat="1" ht="17.25" customHeight="1"/>
    <row r="3869" customFormat="1" ht="17.25" customHeight="1"/>
    <row r="3870" customFormat="1" ht="17.25" customHeight="1"/>
    <row r="3871" customFormat="1" ht="17.25" customHeight="1"/>
    <row r="3872" customFormat="1" ht="17.25" customHeight="1"/>
    <row r="3873" customFormat="1" ht="17.25" customHeight="1"/>
    <row r="3874" customFormat="1" ht="17.25" customHeight="1"/>
    <row r="3875" customFormat="1" ht="17.25" customHeight="1"/>
    <row r="3876" customFormat="1" ht="17.25" customHeight="1"/>
    <row r="3877" customFormat="1" ht="17.25" customHeight="1"/>
    <row r="3878" customFormat="1" ht="17.25" customHeight="1"/>
    <row r="3879" customFormat="1" ht="17.25" customHeight="1"/>
    <row r="3880" customFormat="1" ht="17.25" customHeight="1"/>
    <row r="3881" customFormat="1" ht="17.25" customHeight="1"/>
    <row r="3882" customFormat="1" ht="17.25" customHeight="1"/>
    <row r="3883" customFormat="1" ht="17.25" customHeight="1"/>
    <row r="3884" customFormat="1" ht="17.25" customHeight="1"/>
    <row r="3885" customFormat="1" ht="17.25" customHeight="1"/>
    <row r="3886" customFormat="1" ht="17.25" customHeight="1"/>
    <row r="3887" customFormat="1" ht="17.25" customHeight="1"/>
    <row r="3888" customFormat="1" ht="17.25" customHeight="1"/>
    <row r="3889" customFormat="1" ht="17.25" customHeight="1"/>
    <row r="3890" customFormat="1" ht="17.25" customHeight="1"/>
    <row r="3891" customFormat="1" ht="17.25" customHeight="1"/>
    <row r="3892" customFormat="1" ht="17.25" customHeight="1"/>
    <row r="3893" customFormat="1" ht="17.25" customHeight="1"/>
    <row r="3894" customFormat="1" ht="17.25" customHeight="1"/>
    <row r="3895" customFormat="1" ht="17.25" customHeight="1"/>
    <row r="3896" customFormat="1" ht="17.25" customHeight="1"/>
    <row r="3897" customFormat="1" ht="17.25" customHeight="1"/>
    <row r="3898" customFormat="1" ht="17.25" customHeight="1"/>
    <row r="3899" customFormat="1" ht="17.25" customHeight="1"/>
    <row r="3900" customFormat="1" ht="17.25" customHeight="1"/>
    <row r="3901" customFormat="1" ht="17.25" customHeight="1"/>
    <row r="3902" customFormat="1" ht="17.25" customHeight="1"/>
    <row r="3903" customFormat="1" ht="17.25" customHeight="1"/>
    <row r="3904" customFormat="1" ht="17.25" customHeight="1"/>
    <row r="3905" customFormat="1" ht="17.25" customHeight="1"/>
    <row r="3906" customFormat="1" ht="17.25" customHeight="1"/>
    <row r="3907" customFormat="1" ht="17.25" customHeight="1"/>
    <row r="3908" customFormat="1" ht="17.25" customHeight="1"/>
    <row r="3909" customFormat="1" ht="17.25" customHeight="1"/>
    <row r="3910" customFormat="1" ht="17.25" customHeight="1"/>
    <row r="3911" customFormat="1" ht="17.25" customHeight="1"/>
    <row r="3912" customFormat="1" ht="17.25" customHeight="1"/>
    <row r="3913" customFormat="1" ht="17.25" customHeight="1"/>
    <row r="3914" customFormat="1" ht="17.25" customHeight="1"/>
    <row r="3915" customFormat="1" ht="17.25" customHeight="1"/>
    <row r="3916" customFormat="1" ht="17.25" customHeight="1"/>
    <row r="3917" customFormat="1" ht="17.25" customHeight="1"/>
    <row r="3918" customFormat="1" ht="17.25" customHeight="1"/>
    <row r="3919" customFormat="1" ht="17.25" customHeight="1"/>
    <row r="3920" customFormat="1" ht="17.25" customHeight="1"/>
    <row r="3921" customFormat="1" ht="17.25" customHeight="1"/>
    <row r="3922" customFormat="1" ht="17.25" customHeight="1"/>
    <row r="3923" customFormat="1" ht="17.25" customHeight="1"/>
    <row r="3924" customFormat="1" ht="17.25" customHeight="1"/>
    <row r="3925" customFormat="1" ht="17.25" customHeight="1"/>
    <row r="3926" customFormat="1" ht="17.25" customHeight="1"/>
    <row r="3927" customFormat="1" ht="17.25" customHeight="1"/>
    <row r="3928" customFormat="1" ht="17.25" customHeight="1"/>
    <row r="3929" customFormat="1" ht="17.25" customHeight="1"/>
    <row r="3930" customFormat="1" ht="17.25" customHeight="1"/>
    <row r="3931" customFormat="1" ht="17.25" customHeight="1"/>
    <row r="3932" customFormat="1" ht="17.25" customHeight="1"/>
    <row r="3933" customFormat="1" ht="17.25" customHeight="1"/>
    <row r="3934" customFormat="1" ht="17.25" customHeight="1"/>
    <row r="3935" customFormat="1" ht="17.25" customHeight="1"/>
    <row r="3936" customFormat="1" ht="17.25" customHeight="1"/>
    <row r="3937" customFormat="1" ht="17.25" customHeight="1"/>
    <row r="3938" customFormat="1" ht="17.25" customHeight="1"/>
    <row r="3939" customFormat="1" ht="17.25" customHeight="1"/>
    <row r="3940" customFormat="1" ht="17.25" customHeight="1"/>
    <row r="3941" customFormat="1" ht="17.25" customHeight="1"/>
    <row r="3942" customFormat="1" ht="17.25" customHeight="1"/>
    <row r="3943" customFormat="1" ht="17.25" customHeight="1"/>
    <row r="3944" customFormat="1" ht="17.25" customHeight="1"/>
    <row r="3945" customFormat="1" ht="17.25" customHeight="1"/>
    <row r="3946" customFormat="1" ht="17.25" customHeight="1"/>
    <row r="3947" customFormat="1" ht="17.25" customHeight="1"/>
    <row r="3948" customFormat="1" ht="17.25" customHeight="1"/>
    <row r="3949" customFormat="1" ht="17.25" customHeight="1"/>
    <row r="3950" customFormat="1" ht="17.25" customHeight="1"/>
    <row r="3951" customFormat="1" ht="17.25" customHeight="1"/>
    <row r="3952" customFormat="1" ht="17.25" customHeight="1"/>
    <row r="3953" customFormat="1" ht="17.25" customHeight="1"/>
    <row r="3954" customFormat="1" ht="17.25" customHeight="1"/>
    <row r="3955" customFormat="1" ht="17.25" customHeight="1"/>
    <row r="3956" customFormat="1" ht="17.25" customHeight="1"/>
    <row r="3957" customFormat="1" ht="17.25" customHeight="1"/>
    <row r="3958" customFormat="1" ht="17.25" customHeight="1"/>
    <row r="3959" customFormat="1" ht="17.25" customHeight="1"/>
    <row r="3960" customFormat="1" ht="17.25" customHeight="1"/>
    <row r="3961" customFormat="1" ht="17.25" customHeight="1"/>
    <row r="3962" customFormat="1" ht="17.25" customHeight="1"/>
    <row r="3963" customFormat="1" ht="17.25" customHeight="1"/>
    <row r="3964" customFormat="1" ht="17.25" customHeight="1"/>
    <row r="3965" customFormat="1" ht="17.25" customHeight="1"/>
    <row r="3966" customFormat="1" ht="17.25" customHeight="1"/>
    <row r="3967" customFormat="1" ht="17.25" customHeight="1"/>
    <row r="3968" customFormat="1" ht="17.25" customHeight="1"/>
    <row r="3969" customFormat="1" ht="17.25" customHeight="1"/>
    <row r="3970" customFormat="1" ht="17.25" customHeight="1"/>
    <row r="3971" customFormat="1" ht="17.25" customHeight="1"/>
    <row r="3972" customFormat="1" ht="17.25" customHeight="1"/>
    <row r="3973" customFormat="1" ht="17.25" customHeight="1"/>
    <row r="3974" customFormat="1" ht="17.25" customHeight="1"/>
    <row r="3975" customFormat="1" ht="17.25" customHeight="1"/>
    <row r="3976" customFormat="1" ht="17.25" customHeight="1"/>
    <row r="3977" customFormat="1" ht="17.25" customHeight="1"/>
    <row r="3978" customFormat="1" ht="17.25" customHeight="1"/>
    <row r="3979" customFormat="1" ht="17.25" customHeight="1"/>
    <row r="3980" customFormat="1" ht="17.25" customHeight="1"/>
    <row r="3981" customFormat="1" ht="17.25" customHeight="1"/>
    <row r="3982" customFormat="1" ht="17.25" customHeight="1"/>
    <row r="3983" customFormat="1" ht="17.25" customHeight="1"/>
    <row r="3984" customFormat="1" ht="17.25" customHeight="1"/>
    <row r="3985" customFormat="1" ht="17.25" customHeight="1"/>
    <row r="3986" customFormat="1" ht="17.25" customHeight="1"/>
    <row r="3987" customFormat="1" ht="17.25" customHeight="1"/>
    <row r="3988" customFormat="1" ht="17.25" customHeight="1"/>
    <row r="3989" customFormat="1" ht="17.25" customHeight="1"/>
    <row r="3990" customFormat="1" ht="17.25" customHeight="1"/>
    <row r="3991" customFormat="1" ht="17.25" customHeight="1"/>
    <row r="3992" customFormat="1" ht="17.25" customHeight="1"/>
    <row r="3993" customFormat="1" ht="17.25" customHeight="1"/>
    <row r="3994" customFormat="1" ht="17.25" customHeight="1"/>
    <row r="3995" customFormat="1" ht="17.25" customHeight="1"/>
    <row r="3996" customFormat="1" ht="17.25" customHeight="1"/>
    <row r="3997" customFormat="1" ht="17.25" customHeight="1"/>
    <row r="3998" customFormat="1" ht="17.25" customHeight="1"/>
    <row r="3999" customFormat="1" ht="17.25" customHeight="1"/>
    <row r="4000" customFormat="1" ht="17.25" customHeight="1"/>
    <row r="4001" customFormat="1" ht="17.25" customHeight="1"/>
    <row r="4002" customFormat="1" ht="17.25" customHeight="1"/>
    <row r="4003" customFormat="1" ht="17.25" customHeight="1"/>
    <row r="4004" customFormat="1" ht="17.25" customHeight="1"/>
    <row r="4005" customFormat="1" ht="17.25" customHeight="1"/>
    <row r="4006" customFormat="1" ht="17.25" customHeight="1"/>
    <row r="4007" customFormat="1" ht="17.25" customHeight="1"/>
    <row r="4008" customFormat="1" ht="17.25" customHeight="1"/>
    <row r="4009" customFormat="1" ht="17.25" customHeight="1"/>
    <row r="4010" customFormat="1" ht="17.25" customHeight="1"/>
    <row r="4011" customFormat="1" ht="17.25" customHeight="1"/>
    <row r="4012" customFormat="1" ht="17.25" customHeight="1"/>
    <row r="4013" customFormat="1" ht="17.25" customHeight="1"/>
    <row r="4014" customFormat="1" ht="17.25" customHeight="1"/>
    <row r="4015" customFormat="1" ht="17.25" customHeight="1"/>
    <row r="4016" customFormat="1" ht="17.25" customHeight="1"/>
    <row r="4017" customFormat="1" ht="17.25" customHeight="1"/>
    <row r="4018" customFormat="1" ht="17.25" customHeight="1"/>
    <row r="4019" customFormat="1" ht="17.25" customHeight="1"/>
    <row r="4020" customFormat="1" ht="17.25" customHeight="1"/>
    <row r="4021" customFormat="1" ht="17.25" customHeight="1"/>
    <row r="4022" customFormat="1" ht="17.25" customHeight="1"/>
    <row r="4023" customFormat="1" ht="17.25" customHeight="1"/>
    <row r="4024" customFormat="1" ht="17.25" customHeight="1"/>
    <row r="4025" customFormat="1" ht="17.25" customHeight="1"/>
    <row r="4026" customFormat="1" ht="17.25" customHeight="1"/>
    <row r="4027" customFormat="1" ht="17.25" customHeight="1"/>
    <row r="4028" customFormat="1" ht="17.25" customHeight="1"/>
    <row r="4029" customFormat="1" ht="17.25" customHeight="1"/>
    <row r="4030" customFormat="1" ht="17.25" customHeight="1"/>
    <row r="4031" customFormat="1" ht="17.25" customHeight="1"/>
    <row r="4032" customFormat="1" ht="17.25" customHeight="1"/>
    <row r="4033" customFormat="1" ht="17.25" customHeight="1"/>
    <row r="4034" customFormat="1" ht="17.25" customHeight="1"/>
    <row r="4035" customFormat="1" ht="17.25" customHeight="1"/>
    <row r="4036" customFormat="1" ht="17.25" customHeight="1"/>
    <row r="4037" customFormat="1" ht="17.25" customHeight="1"/>
    <row r="4038" customFormat="1" ht="17.25" customHeight="1"/>
    <row r="4039" customFormat="1" ht="17.25" customHeight="1"/>
    <row r="4040" customFormat="1" ht="17.25" customHeight="1"/>
    <row r="4041" customFormat="1" ht="17.25" customHeight="1"/>
    <row r="4042" customFormat="1" ht="17.25" customHeight="1"/>
    <row r="4043" customFormat="1" ht="17.25" customHeight="1"/>
    <row r="4044" customFormat="1" ht="17.25" customHeight="1"/>
    <row r="4045" customFormat="1" ht="17.25" customHeight="1"/>
    <row r="4046" customFormat="1" ht="17.25" customHeight="1"/>
    <row r="4047" customFormat="1" ht="17.25" customHeight="1"/>
    <row r="4048" customFormat="1" ht="17.25" customHeight="1"/>
    <row r="4049" customFormat="1" ht="17.25" customHeight="1"/>
    <row r="4050" customFormat="1" ht="17.25" customHeight="1"/>
    <row r="4051" customFormat="1" ht="17.25" customHeight="1"/>
    <row r="4052" customFormat="1" ht="17.25" customHeight="1"/>
    <row r="4053" customFormat="1" ht="17.25" customHeight="1"/>
    <row r="4054" customFormat="1" ht="17.25" customHeight="1"/>
    <row r="4055" customFormat="1" ht="17.25" customHeight="1"/>
    <row r="4056" customFormat="1" ht="17.25" customHeight="1"/>
    <row r="4057" customFormat="1" ht="17.25" customHeight="1"/>
    <row r="4058" customFormat="1" ht="17.25" customHeight="1"/>
    <row r="4059" customFormat="1" ht="17.25" customHeight="1"/>
    <row r="4060" customFormat="1" ht="17.25" customHeight="1"/>
    <row r="4061" customFormat="1" ht="17.25" customHeight="1"/>
    <row r="4062" customFormat="1" ht="17.25" customHeight="1"/>
    <row r="4063" customFormat="1" ht="17.25" customHeight="1"/>
    <row r="4064" customFormat="1" ht="17.25" customHeight="1"/>
    <row r="4065" customFormat="1" ht="17.25" customHeight="1"/>
    <row r="4066" customFormat="1" ht="17.25" customHeight="1"/>
    <row r="4067" customFormat="1" ht="17.25" customHeight="1"/>
    <row r="4068" customFormat="1" ht="17.25" customHeight="1"/>
    <row r="4069" customFormat="1" ht="17.25" customHeight="1"/>
    <row r="4070" customFormat="1" ht="17.25" customHeight="1"/>
    <row r="4071" customFormat="1" ht="17.25" customHeight="1"/>
    <row r="4072" customFormat="1" ht="17.25" customHeight="1"/>
    <row r="4073" customFormat="1" ht="17.25" customHeight="1"/>
    <row r="4074" customFormat="1" ht="17.25" customHeight="1"/>
    <row r="4075" customFormat="1" ht="17.25" customHeight="1"/>
    <row r="4076" customFormat="1" ht="17.25" customHeight="1"/>
    <row r="4077" customFormat="1" ht="17.25" customHeight="1"/>
    <row r="4078" customFormat="1" ht="17.25" customHeight="1"/>
    <row r="4079" customFormat="1" ht="17.25" customHeight="1"/>
    <row r="4080" customFormat="1" ht="17.25" customHeight="1"/>
    <row r="4081" customFormat="1" ht="17.25" customHeight="1"/>
    <row r="4082" customFormat="1" ht="17.25" customHeight="1"/>
    <row r="4083" customFormat="1" ht="17.25" customHeight="1"/>
    <row r="4084" customFormat="1" ht="17.25" customHeight="1"/>
    <row r="4085" customFormat="1" ht="17.25" customHeight="1"/>
    <row r="4086" customFormat="1" ht="17.25" customHeight="1"/>
    <row r="4087" customFormat="1" ht="17.25" customHeight="1"/>
    <row r="4088" customFormat="1" ht="17.25" customHeight="1"/>
    <row r="4089" customFormat="1" ht="17.25" customHeight="1"/>
    <row r="4090" customFormat="1" ht="17.25" customHeight="1"/>
    <row r="4091" customFormat="1" ht="17.25" customHeight="1"/>
    <row r="4092" customFormat="1" ht="17.25" customHeight="1"/>
    <row r="4093" customFormat="1" ht="17.25" customHeight="1"/>
    <row r="4094" customFormat="1" ht="17.25" customHeight="1"/>
    <row r="4095" customFormat="1" ht="17.25" customHeight="1"/>
    <row r="4096" customFormat="1" ht="17.25" customHeight="1"/>
    <row r="4097" customFormat="1" ht="17.25" customHeight="1"/>
    <row r="4098" customFormat="1" ht="17.25" customHeight="1"/>
    <row r="4099" customFormat="1" ht="17.25" customHeight="1"/>
    <row r="4100" customFormat="1" ht="17.25" customHeight="1"/>
    <row r="4101" customFormat="1" ht="17.25" customHeight="1"/>
    <row r="4102" customFormat="1" ht="17.25" customHeight="1"/>
    <row r="4103" customFormat="1" ht="17.25" customHeight="1"/>
    <row r="4104" customFormat="1" ht="17.25" customHeight="1"/>
    <row r="4105" customFormat="1" ht="17.25" customHeight="1"/>
    <row r="4106" customFormat="1" ht="17.25" customHeight="1"/>
    <row r="4107" customFormat="1" ht="17.25" customHeight="1"/>
    <row r="4108" customFormat="1" ht="17.25" customHeight="1"/>
    <row r="4109" customFormat="1" ht="17.25" customHeight="1"/>
    <row r="4110" customFormat="1" ht="17.25" customHeight="1"/>
    <row r="4111" customFormat="1" ht="17.25" customHeight="1"/>
    <row r="4112" customFormat="1" ht="17.25" customHeight="1"/>
    <row r="4113" customFormat="1" ht="17.25" customHeight="1"/>
    <row r="4114" customFormat="1" ht="17.25" customHeight="1"/>
    <row r="4115" customFormat="1" ht="17.25" customHeight="1"/>
    <row r="4116" customFormat="1" ht="17.25" customHeight="1"/>
    <row r="4117" customFormat="1" ht="17.25" customHeight="1"/>
    <row r="4118" customFormat="1" ht="17.25" customHeight="1"/>
    <row r="4119" customFormat="1" ht="17.25" customHeight="1"/>
    <row r="4120" customFormat="1" ht="17.25" customHeight="1"/>
    <row r="4121" customFormat="1" ht="17.25" customHeight="1"/>
    <row r="4122" customFormat="1" ht="17.25" customHeight="1"/>
    <row r="4123" customFormat="1" ht="17.25" customHeight="1"/>
    <row r="4124" customFormat="1" ht="17.25" customHeight="1"/>
    <row r="4125" customFormat="1" ht="17.25" customHeight="1"/>
    <row r="4126" customFormat="1" ht="17.25" customHeight="1"/>
    <row r="4127" customFormat="1" ht="17.25" customHeight="1"/>
    <row r="4128" customFormat="1" ht="17.25" customHeight="1"/>
    <row r="4129" customFormat="1" ht="17.25" customHeight="1"/>
    <row r="4130" customFormat="1" ht="17.25" customHeight="1"/>
    <row r="4131" customFormat="1" ht="17.25" customHeight="1"/>
    <row r="4132" customFormat="1" ht="17.25" customHeight="1"/>
    <row r="4133" customFormat="1" ht="17.25" customHeight="1"/>
    <row r="4134" customFormat="1" ht="17.25" customHeight="1"/>
    <row r="4135" customFormat="1" ht="17.25" customHeight="1"/>
    <row r="4136" customFormat="1" ht="17.25" customHeight="1"/>
    <row r="4137" customFormat="1" ht="17.25" customHeight="1"/>
    <row r="4138" customFormat="1" ht="17.25" customHeight="1"/>
    <row r="4139" customFormat="1" ht="17.25" customHeight="1"/>
    <row r="4140" customFormat="1" ht="17.25" customHeight="1"/>
    <row r="4141" customFormat="1" ht="17.25" customHeight="1"/>
    <row r="4142" customFormat="1" ht="17.25" customHeight="1"/>
    <row r="4143" customFormat="1" ht="17.25" customHeight="1"/>
    <row r="4144" customFormat="1" ht="17.25" customHeight="1"/>
    <row r="4145" customFormat="1" ht="17.25" customHeight="1"/>
    <row r="4146" customFormat="1" ht="17.25" customHeight="1"/>
    <row r="4147" customFormat="1" ht="17.25" customHeight="1"/>
    <row r="4148" customFormat="1" ht="17.25" customHeight="1"/>
    <row r="4149" customFormat="1" ht="17.25" customHeight="1"/>
    <row r="4150" customFormat="1" ht="17.25" customHeight="1"/>
    <row r="4151" customFormat="1" ht="17.25" customHeight="1"/>
    <row r="4152" customFormat="1" ht="17.25" customHeight="1"/>
    <row r="4153" customFormat="1" ht="17.25" customHeight="1"/>
    <row r="4154" customFormat="1" ht="17.25" customHeight="1"/>
    <row r="4155" customFormat="1" ht="17.25" customHeight="1"/>
    <row r="4156" customFormat="1" ht="17.25" customHeight="1"/>
    <row r="4157" customFormat="1" ht="17.25" customHeight="1"/>
    <row r="4158" customFormat="1" ht="17.25" customHeight="1"/>
    <row r="4159" customFormat="1" ht="17.25" customHeight="1"/>
    <row r="4160" customFormat="1" ht="17.25" customHeight="1"/>
    <row r="4161" customFormat="1" ht="17.25" customHeight="1"/>
    <row r="4162" customFormat="1" ht="17.25" customHeight="1"/>
    <row r="4163" customFormat="1" ht="17.25" customHeight="1"/>
    <row r="4164" customFormat="1" ht="17.25" customHeight="1"/>
    <row r="4165" customFormat="1" ht="17.25" customHeight="1"/>
    <row r="4166" customFormat="1" ht="17.25" customHeight="1"/>
    <row r="4167" customFormat="1" ht="17.25" customHeight="1"/>
    <row r="4168" customFormat="1" ht="17.25" customHeight="1"/>
    <row r="4169" customFormat="1" ht="17.25" customHeight="1"/>
    <row r="4170" customFormat="1" ht="17.25" customHeight="1"/>
    <row r="4171" customFormat="1" ht="17.25" customHeight="1"/>
    <row r="4172" customFormat="1" ht="17.25" customHeight="1"/>
    <row r="4173" customFormat="1" ht="17.25" customHeight="1"/>
    <row r="4174" customFormat="1" ht="17.25" customHeight="1"/>
    <row r="4175" customFormat="1" ht="17.25" customHeight="1"/>
    <row r="4176" customFormat="1" ht="17.25" customHeight="1"/>
    <row r="4177" customFormat="1" ht="17.25" customHeight="1"/>
    <row r="4178" customFormat="1" ht="17.25" customHeight="1"/>
    <row r="4179" customFormat="1" ht="17.25" customHeight="1"/>
    <row r="4180" customFormat="1" ht="17.25" customHeight="1"/>
    <row r="4181" customFormat="1" ht="17.25" customHeight="1"/>
    <row r="4182" customFormat="1" ht="17.25" customHeight="1"/>
    <row r="4183" customFormat="1" ht="17.25" customHeight="1"/>
    <row r="4184" customFormat="1" ht="17.25" customHeight="1"/>
    <row r="4185" customFormat="1" ht="17.25" customHeight="1"/>
    <row r="4186" customFormat="1" ht="17.25" customHeight="1"/>
    <row r="4187" customFormat="1" ht="17.25" customHeight="1"/>
    <row r="4188" customFormat="1" ht="17.25" customHeight="1"/>
    <row r="4189" customFormat="1" ht="17.25" customHeight="1"/>
    <row r="4190" customFormat="1" ht="17.25" customHeight="1"/>
    <row r="4191" customFormat="1" ht="17.25" customHeight="1"/>
    <row r="4192" customFormat="1" ht="17.25" customHeight="1"/>
    <row r="4193" customFormat="1" ht="17.25" customHeight="1"/>
    <row r="4194" customFormat="1" ht="17.25" customHeight="1"/>
    <row r="4195" customFormat="1" ht="17.25" customHeight="1"/>
    <row r="4196" customFormat="1" ht="17.25" customHeight="1"/>
    <row r="4197" customFormat="1" ht="17.25" customHeight="1"/>
    <row r="4198" customFormat="1" ht="17.25" customHeight="1"/>
    <row r="4199" customFormat="1" ht="17.25" customHeight="1"/>
    <row r="4200" customFormat="1" ht="17.25" customHeight="1"/>
    <row r="4201" customFormat="1" ht="17.25" customHeight="1"/>
    <row r="4202" customFormat="1" ht="17.25" customHeight="1"/>
    <row r="4203" customFormat="1" ht="17.25" customHeight="1"/>
    <row r="4204" customFormat="1" ht="17.25" customHeight="1"/>
    <row r="4205" customFormat="1" ht="17.25" customHeight="1"/>
    <row r="4206" customFormat="1" ht="17.25" customHeight="1"/>
    <row r="4207" customFormat="1" ht="17.25" customHeight="1"/>
    <row r="4208" customFormat="1" ht="17.25" customHeight="1"/>
    <row r="4209" customFormat="1" ht="17.25" customHeight="1"/>
    <row r="4210" customFormat="1" ht="17.25" customHeight="1"/>
    <row r="4211" customFormat="1" ht="17.25" customHeight="1"/>
    <row r="4212" customFormat="1" ht="17.25" customHeight="1"/>
    <row r="4213" customFormat="1" ht="17.25" customHeight="1"/>
    <row r="4214" customFormat="1" ht="17.25" customHeight="1"/>
    <row r="4215" customFormat="1" ht="17.25" customHeight="1"/>
    <row r="4216" customFormat="1" ht="17.25" customHeight="1"/>
    <row r="4217" customFormat="1" ht="17.25" customHeight="1"/>
    <row r="4218" customFormat="1" ht="17.25" customHeight="1"/>
    <row r="4219" customFormat="1" ht="17.25" customHeight="1"/>
    <row r="4220" customFormat="1" ht="17.25" customHeight="1"/>
    <row r="4221" customFormat="1" ht="17.25" customHeight="1"/>
    <row r="4222" customFormat="1" ht="17.25" customHeight="1"/>
    <row r="4223" customFormat="1" ht="17.25" customHeight="1"/>
    <row r="4224" customFormat="1" ht="17.25" customHeight="1"/>
    <row r="4225" customFormat="1" ht="17.25" customHeight="1"/>
    <row r="4226" customFormat="1" ht="17.25" customHeight="1"/>
    <row r="4227" customFormat="1" ht="17.25" customHeight="1"/>
    <row r="4228" customFormat="1" ht="17.25" customHeight="1"/>
    <row r="4229" customFormat="1" ht="17.25" customHeight="1"/>
    <row r="4230" customFormat="1" ht="17.25" customHeight="1"/>
    <row r="4231" customFormat="1" ht="17.25" customHeight="1"/>
    <row r="4232" customFormat="1" ht="17.25" customHeight="1"/>
    <row r="4233" customFormat="1" ht="17.25" customHeight="1"/>
    <row r="4234" customFormat="1" ht="17.25" customHeight="1"/>
    <row r="4235" customFormat="1" ht="17.25" customHeight="1"/>
    <row r="4236" customFormat="1" ht="17.25" customHeight="1"/>
    <row r="4237" customFormat="1" ht="17.25" customHeight="1"/>
    <row r="4238" customFormat="1" ht="17.25" customHeight="1"/>
    <row r="4239" customFormat="1" ht="17.25" customHeight="1"/>
    <row r="4240" customFormat="1" ht="17.25" customHeight="1"/>
    <row r="4241" customFormat="1" ht="17.25" customHeight="1"/>
    <row r="4242" customFormat="1" ht="17.25" customHeight="1"/>
    <row r="4243" customFormat="1" ht="17.25" customHeight="1"/>
    <row r="4244" customFormat="1" ht="17.25" customHeight="1"/>
    <row r="4245" customFormat="1" ht="17.25" customHeight="1"/>
    <row r="4246" customFormat="1" ht="17.25" customHeight="1"/>
    <row r="4247" customFormat="1" ht="17.25" customHeight="1"/>
    <row r="4248" customFormat="1" ht="17.25" customHeight="1"/>
    <row r="4249" customFormat="1" ht="17.25" customHeight="1"/>
    <row r="4250" customFormat="1" ht="17.25" customHeight="1"/>
    <row r="4251" customFormat="1" ht="17.25" customHeight="1"/>
    <row r="4252" customFormat="1" ht="17.25" customHeight="1"/>
    <row r="4253" customFormat="1" ht="17.25" customHeight="1"/>
    <row r="4254" customFormat="1" ht="17.25" customHeight="1"/>
    <row r="4255" customFormat="1" ht="17.25" customHeight="1"/>
    <row r="4256" customFormat="1" ht="17.25" customHeight="1"/>
    <row r="4257" customFormat="1" ht="17.25" customHeight="1"/>
    <row r="4258" customFormat="1" ht="17.25" customHeight="1"/>
    <row r="4259" customFormat="1" ht="17.25" customHeight="1"/>
    <row r="4260" customFormat="1" ht="17.25" customHeight="1"/>
    <row r="4261" customFormat="1" ht="17.25" customHeight="1"/>
    <row r="4262" customFormat="1" ht="17.25" customHeight="1"/>
    <row r="4263" customFormat="1" ht="17.25" customHeight="1"/>
    <row r="4264" customFormat="1" ht="17.25" customHeight="1"/>
    <row r="4265" customFormat="1" ht="17.25" customHeight="1"/>
    <row r="4266" customFormat="1" ht="17.25" customHeight="1"/>
    <row r="4267" customFormat="1" ht="17.25" customHeight="1"/>
    <row r="4268" customFormat="1" ht="17.25" customHeight="1"/>
    <row r="4269" customFormat="1" ht="17.25" customHeight="1"/>
    <row r="4270" customFormat="1" ht="17.25" customHeight="1"/>
    <row r="4271" customFormat="1" ht="17.25" customHeight="1"/>
    <row r="4272" customFormat="1" ht="17.25" customHeight="1"/>
    <row r="4273" customFormat="1" ht="17.25" customHeight="1"/>
    <row r="4274" customFormat="1" ht="17.25" customHeight="1"/>
    <row r="4275" customFormat="1" ht="17.25" customHeight="1"/>
    <row r="4276" customFormat="1" ht="17.25" customHeight="1"/>
    <row r="4277" customFormat="1" ht="17.25" customHeight="1"/>
    <row r="4278" customFormat="1" ht="17.25" customHeight="1"/>
    <row r="4279" customFormat="1" ht="17.25" customHeight="1"/>
    <row r="4280" customFormat="1" ht="17.25" customHeight="1"/>
    <row r="4281" customFormat="1" ht="17.25" customHeight="1"/>
    <row r="4282" customFormat="1" ht="17.25" customHeight="1"/>
    <row r="4283" customFormat="1" ht="17.25" customHeight="1"/>
    <row r="4284" customFormat="1" ht="17.25" customHeight="1"/>
    <row r="4285" customFormat="1" ht="17.25" customHeight="1"/>
    <row r="4286" customFormat="1" ht="17.25" customHeight="1"/>
    <row r="4287" customFormat="1" ht="17.25" customHeight="1"/>
    <row r="4288" customFormat="1" ht="17.25" customHeight="1"/>
    <row r="4289" customFormat="1" ht="17.25" customHeight="1"/>
    <row r="4290" customFormat="1" ht="17.25" customHeight="1"/>
    <row r="4291" customFormat="1" ht="17.25" customHeight="1"/>
    <row r="4292" customFormat="1" ht="17.25" customHeight="1"/>
    <row r="4293" customFormat="1" ht="17.25" customHeight="1"/>
    <row r="4294" customFormat="1" ht="17.25" customHeight="1"/>
    <row r="4295" customFormat="1" ht="17.25" customHeight="1"/>
    <row r="4296" customFormat="1" ht="17.25" customHeight="1"/>
    <row r="4297" customFormat="1" ht="17.25" customHeight="1"/>
    <row r="4298" customFormat="1" ht="17.25" customHeight="1"/>
    <row r="4299" customFormat="1" ht="17.25" customHeight="1"/>
    <row r="4300" customFormat="1" ht="17.25" customHeight="1"/>
    <row r="4301" customFormat="1" ht="17.25" customHeight="1"/>
    <row r="4302" customFormat="1" ht="17.25" customHeight="1"/>
    <row r="4303" customFormat="1" ht="17.25" customHeight="1"/>
    <row r="4304" customFormat="1" ht="17.25" customHeight="1"/>
    <row r="4305" customFormat="1" ht="17.25" customHeight="1"/>
    <row r="4306" customFormat="1" ht="17.25" customHeight="1"/>
    <row r="4307" customFormat="1" ht="17.25" customHeight="1"/>
    <row r="4308" customFormat="1" ht="17.25" customHeight="1"/>
    <row r="4309" customFormat="1" ht="17.25" customHeight="1"/>
    <row r="4310" customFormat="1" ht="17.25" customHeight="1"/>
    <row r="4311" customFormat="1" ht="17.25" customHeight="1"/>
    <row r="4312" customFormat="1" ht="17.25" customHeight="1"/>
    <row r="4313" customFormat="1" ht="17.25" customHeight="1"/>
    <row r="4314" customFormat="1" ht="17.25" customHeight="1"/>
    <row r="4315" customFormat="1" ht="17.25" customHeight="1"/>
    <row r="4316" customFormat="1" ht="17.25" customHeight="1"/>
    <row r="4317" customFormat="1" ht="17.25" customHeight="1"/>
    <row r="4318" customFormat="1" ht="17.25" customHeight="1"/>
    <row r="4319" customFormat="1" ht="17.25" customHeight="1"/>
    <row r="4320" customFormat="1" ht="17.25" customHeight="1"/>
    <row r="4321" customFormat="1" ht="17.25" customHeight="1"/>
    <row r="4322" customFormat="1" ht="17.25" customHeight="1"/>
    <row r="4323" customFormat="1" ht="17.25" customHeight="1"/>
    <row r="4324" customFormat="1" ht="17.25" customHeight="1"/>
    <row r="4325" customFormat="1" ht="17.25" customHeight="1"/>
    <row r="4326" customFormat="1" ht="17.25" customHeight="1"/>
    <row r="4327" customFormat="1" ht="17.25" customHeight="1"/>
    <row r="4328" customFormat="1" ht="17.25" customHeight="1"/>
    <row r="4329" customFormat="1" ht="17.25" customHeight="1"/>
    <row r="4330" customFormat="1" ht="17.25" customHeight="1"/>
    <row r="4331" customFormat="1" ht="17.25" customHeight="1"/>
    <row r="4332" customFormat="1" ht="17.25" customHeight="1"/>
    <row r="4333" customFormat="1" ht="17.25" customHeight="1"/>
    <row r="4334" customFormat="1" ht="17.25" customHeight="1"/>
    <row r="4335" customFormat="1" ht="17.25" customHeight="1"/>
    <row r="4336" customFormat="1" ht="17.25" customHeight="1"/>
    <row r="4337" customFormat="1" ht="17.25" customHeight="1"/>
    <row r="4338" customFormat="1" ht="17.25" customHeight="1"/>
    <row r="4339" customFormat="1" ht="17.25" customHeight="1"/>
    <row r="4340" customFormat="1" ht="17.25" customHeight="1"/>
    <row r="4341" customFormat="1" ht="17.25" customHeight="1"/>
    <row r="4342" customFormat="1" ht="17.25" customHeight="1"/>
    <row r="4343" customFormat="1" ht="17.25" customHeight="1"/>
    <row r="4344" customFormat="1" ht="17.25" customHeight="1"/>
    <row r="4345" customFormat="1" ht="17.25" customHeight="1"/>
    <row r="4346" customFormat="1" ht="17.25" customHeight="1"/>
    <row r="4347" customFormat="1" ht="17.25" customHeight="1"/>
    <row r="4348" customFormat="1" ht="17.25" customHeight="1"/>
    <row r="4349" customFormat="1" ht="17.25" customHeight="1"/>
    <row r="4350" customFormat="1" ht="17.25" customHeight="1"/>
    <row r="4351" customFormat="1" ht="17.25" customHeight="1"/>
    <row r="4352" customFormat="1" ht="17.25" customHeight="1"/>
    <row r="4353" customFormat="1" ht="17.25" customHeight="1"/>
    <row r="4354" customFormat="1" ht="17.25" customHeight="1"/>
    <row r="4355" customFormat="1" ht="17.25" customHeight="1"/>
    <row r="4356" customFormat="1" ht="17.25" customHeight="1"/>
    <row r="4357" customFormat="1" ht="17.25" customHeight="1"/>
    <row r="4358" customFormat="1" ht="17.25" customHeight="1"/>
    <row r="4359" customFormat="1" ht="17.25" customHeight="1"/>
    <row r="4360" customFormat="1" ht="17.25" customHeight="1"/>
    <row r="4361" customFormat="1" ht="17.25" customHeight="1"/>
    <row r="4362" customFormat="1" ht="17.25" customHeight="1"/>
    <row r="4363" customFormat="1" ht="17.25" customHeight="1"/>
    <row r="4364" customFormat="1" ht="17.25" customHeight="1"/>
    <row r="4365" customFormat="1" ht="17.25" customHeight="1"/>
    <row r="4366" customFormat="1" ht="17.25" customHeight="1"/>
    <row r="4367" customFormat="1" ht="17.25" customHeight="1"/>
    <row r="4368" customFormat="1" ht="17.25" customHeight="1"/>
    <row r="4369" customFormat="1" ht="17.25" customHeight="1"/>
    <row r="4370" customFormat="1" ht="17.25" customHeight="1"/>
    <row r="4371" customFormat="1" ht="17.25" customHeight="1"/>
    <row r="4372" customFormat="1" ht="17.25" customHeight="1"/>
    <row r="4373" customFormat="1" ht="17.25" customHeight="1"/>
    <row r="4374" customFormat="1" ht="17.25" customHeight="1"/>
    <row r="4375" customFormat="1" ht="17.25" customHeight="1"/>
    <row r="4376" customFormat="1" ht="17.25" customHeight="1"/>
    <row r="4377" customFormat="1" ht="17.25" customHeight="1"/>
    <row r="4378" customFormat="1" ht="17.25" customHeight="1"/>
    <row r="4379" customFormat="1" ht="17.25" customHeight="1"/>
    <row r="4380" customFormat="1" ht="17.25" customHeight="1"/>
    <row r="4381" customFormat="1" ht="17.25" customHeight="1"/>
    <row r="4382" customFormat="1" ht="17.25" customHeight="1"/>
    <row r="4383" customFormat="1" ht="17.25" customHeight="1"/>
    <row r="4384" customFormat="1" ht="17.25" customHeight="1"/>
    <row r="4385" customFormat="1" ht="17.25" customHeight="1"/>
    <row r="4386" customFormat="1" ht="17.25" customHeight="1"/>
    <row r="4387" customFormat="1" ht="17.25" customHeight="1"/>
    <row r="4388" customFormat="1" ht="17.25" customHeight="1"/>
    <row r="4389" customFormat="1" ht="17.25" customHeight="1"/>
    <row r="4390" customFormat="1" ht="17.25" customHeight="1"/>
    <row r="4391" customFormat="1" ht="17.25" customHeight="1"/>
    <row r="4392" customFormat="1" ht="17.25" customHeight="1"/>
    <row r="4393" customFormat="1" ht="17.25" customHeight="1"/>
    <row r="4394" customFormat="1" ht="17.25" customHeight="1"/>
    <row r="4395" customFormat="1" ht="17.25" customHeight="1"/>
    <row r="4396" customFormat="1" ht="17.25" customHeight="1"/>
    <row r="4397" customFormat="1" ht="17.25" customHeight="1"/>
    <row r="4398" customFormat="1" ht="17.25" customHeight="1"/>
    <row r="4399" customFormat="1" ht="17.25" customHeight="1"/>
    <row r="4400" customFormat="1" ht="17.25" customHeight="1"/>
    <row r="4401" customFormat="1" ht="17.25" customHeight="1"/>
    <row r="4402" customFormat="1" ht="17.25" customHeight="1"/>
    <row r="4403" customFormat="1" ht="17.25" customHeight="1"/>
    <row r="4404" customFormat="1" ht="17.25" customHeight="1"/>
    <row r="4405" customFormat="1" ht="17.25" customHeight="1"/>
    <row r="4406" customFormat="1" ht="17.25" customHeight="1"/>
    <row r="4407" customFormat="1" ht="17.25" customHeight="1"/>
    <row r="4408" customFormat="1" ht="17.25" customHeight="1"/>
    <row r="4409" customFormat="1" ht="17.25" customHeight="1"/>
    <row r="4410" customFormat="1" ht="17.25" customHeight="1"/>
    <row r="4411" customFormat="1" ht="17.25" customHeight="1"/>
    <row r="4412" customFormat="1" ht="17.25" customHeight="1"/>
    <row r="4413" customFormat="1" ht="17.25" customHeight="1"/>
    <row r="4414" customFormat="1" ht="17.25" customHeight="1"/>
    <row r="4415" customFormat="1" ht="17.25" customHeight="1"/>
    <row r="4416" customFormat="1" ht="17.25" customHeight="1"/>
    <row r="4417" customFormat="1" ht="17.25" customHeight="1"/>
    <row r="4418" customFormat="1" ht="17.25" customHeight="1"/>
    <row r="4419" customFormat="1" ht="17.25" customHeight="1"/>
    <row r="4420" customFormat="1" ht="17.25" customHeight="1"/>
    <row r="4421" customFormat="1" ht="17.25" customHeight="1"/>
    <row r="4422" customFormat="1" ht="17.25" customHeight="1"/>
    <row r="4423" customFormat="1" ht="17.25" customHeight="1"/>
    <row r="4424" customFormat="1" ht="17.25" customHeight="1"/>
    <row r="4425" customFormat="1" ht="17.25" customHeight="1"/>
    <row r="4426" customFormat="1" ht="17.25" customHeight="1"/>
    <row r="4427" customFormat="1" ht="17.25" customHeight="1"/>
    <row r="4428" customFormat="1" ht="17.25" customHeight="1"/>
    <row r="4429" customFormat="1" ht="17.25" customHeight="1"/>
    <row r="4430" customFormat="1" ht="17.25" customHeight="1"/>
    <row r="4431" customFormat="1" ht="17.25" customHeight="1"/>
    <row r="4432" customFormat="1" ht="17.25" customHeight="1"/>
    <row r="4433" customFormat="1" ht="17.25" customHeight="1"/>
    <row r="4434" customFormat="1" ht="17.25" customHeight="1"/>
    <row r="4435" customFormat="1" ht="17.25" customHeight="1"/>
    <row r="4436" customFormat="1" ht="17.25" customHeight="1"/>
    <row r="4437" customFormat="1" ht="17.25" customHeight="1"/>
    <row r="4438" customFormat="1" ht="17.25" customHeight="1"/>
    <row r="4439" customFormat="1" ht="17.25" customHeight="1"/>
    <row r="4440" customFormat="1" ht="17.25" customHeight="1"/>
    <row r="4441" customFormat="1" ht="17.25" customHeight="1"/>
    <row r="4442" customFormat="1" ht="17.25" customHeight="1"/>
    <row r="4443" customFormat="1" ht="17.25" customHeight="1"/>
    <row r="4444" customFormat="1" ht="17.25" customHeight="1"/>
    <row r="4445" customFormat="1" ht="17.25" customHeight="1"/>
    <row r="4446" customFormat="1" ht="17.25" customHeight="1"/>
    <row r="4447" customFormat="1" ht="17.25" customHeight="1"/>
    <row r="4448" customFormat="1" ht="17.25" customHeight="1"/>
    <row r="4449" customFormat="1" ht="17.25" customHeight="1"/>
    <row r="4450" customFormat="1" ht="17.25" customHeight="1"/>
    <row r="4451" customFormat="1" ht="17.25" customHeight="1"/>
    <row r="4452" customFormat="1" ht="17.25" customHeight="1"/>
    <row r="4453" customFormat="1" ht="17.25" customHeight="1"/>
    <row r="4454" customFormat="1" ht="17.25" customHeight="1"/>
    <row r="4455" customFormat="1" ht="17.25" customHeight="1"/>
    <row r="4456" customFormat="1" ht="17.25" customHeight="1"/>
    <row r="4457" customFormat="1" ht="17.25" customHeight="1"/>
    <row r="4458" customFormat="1" ht="17.25" customHeight="1"/>
    <row r="4459" customFormat="1" ht="17.25" customHeight="1"/>
    <row r="4460" customFormat="1" ht="17.25" customHeight="1"/>
    <row r="4461" customFormat="1" ht="17.25" customHeight="1"/>
    <row r="4462" customFormat="1" ht="17.25" customHeight="1"/>
    <row r="4463" customFormat="1" ht="17.25" customHeight="1"/>
    <row r="4464" customFormat="1" ht="17.25" customHeight="1"/>
    <row r="4465" customFormat="1" ht="17.25" customHeight="1"/>
    <row r="4466" customFormat="1" ht="17.25" customHeight="1"/>
    <row r="4467" customFormat="1" ht="17.25" customHeight="1"/>
    <row r="4468" customFormat="1" ht="17.25" customHeight="1"/>
    <row r="4469" customFormat="1" ht="17.25" customHeight="1"/>
    <row r="4470" customFormat="1" ht="17.25" customHeight="1"/>
    <row r="4471" customFormat="1" ht="17.25" customHeight="1"/>
    <row r="4472" customFormat="1" ht="17.25" customHeight="1"/>
    <row r="4473" customFormat="1" ht="17.25" customHeight="1"/>
    <row r="4474" customFormat="1" ht="17.25" customHeight="1"/>
    <row r="4475" customFormat="1" ht="17.25" customHeight="1"/>
    <row r="4476" customFormat="1" ht="17.25" customHeight="1"/>
    <row r="4477" customFormat="1" ht="17.25" customHeight="1"/>
    <row r="4478" customFormat="1" ht="17.25" customHeight="1"/>
    <row r="4479" customFormat="1" ht="17.25" customHeight="1"/>
    <row r="4480" customFormat="1" ht="17.25" customHeight="1"/>
    <row r="4481" customFormat="1" ht="17.25" customHeight="1"/>
    <row r="4482" customFormat="1" ht="17.25" customHeight="1"/>
    <row r="4483" customFormat="1" ht="17.25" customHeight="1"/>
    <row r="4484" customFormat="1" ht="17.25" customHeight="1"/>
    <row r="4485" customFormat="1" ht="17.25" customHeight="1"/>
    <row r="4486" customFormat="1" ht="17.25" customHeight="1"/>
    <row r="4487" customFormat="1" ht="17.25" customHeight="1"/>
    <row r="4488" customFormat="1" ht="17.25" customHeight="1"/>
    <row r="4489" customFormat="1" ht="17.25" customHeight="1"/>
    <row r="4490" customFormat="1" ht="17.25" customHeight="1"/>
    <row r="4491" customFormat="1" ht="17.25" customHeight="1"/>
    <row r="4492" customFormat="1" ht="17.25" customHeight="1"/>
    <row r="4493" customFormat="1" ht="17.25" customHeight="1"/>
    <row r="4494" customFormat="1" ht="17.25" customHeight="1"/>
    <row r="4495" customFormat="1" ht="17.25" customHeight="1"/>
    <row r="4496" customFormat="1" ht="17.25" customHeight="1"/>
    <row r="4497" customFormat="1" ht="17.25" customHeight="1"/>
    <row r="4498" customFormat="1" ht="17.25" customHeight="1"/>
    <row r="4499" customFormat="1" ht="17.25" customHeight="1"/>
    <row r="4500" customFormat="1" ht="17.25" customHeight="1"/>
    <row r="4501" customFormat="1" ht="17.25" customHeight="1"/>
    <row r="4502" customFormat="1" ht="17.25" customHeight="1"/>
    <row r="4503" customFormat="1" ht="17.25" customHeight="1"/>
    <row r="4504" customFormat="1" ht="17.25" customHeight="1"/>
    <row r="4505" customFormat="1" ht="17.25" customHeight="1"/>
    <row r="4506" customFormat="1" ht="17.25" customHeight="1"/>
    <row r="4507" customFormat="1" ht="17.25" customHeight="1"/>
    <row r="4508" customFormat="1" ht="17.25" customHeight="1"/>
    <row r="4509" customFormat="1" ht="17.25" customHeight="1"/>
    <row r="4510" customFormat="1" ht="17.25" customHeight="1"/>
    <row r="4511" customFormat="1" ht="17.25" customHeight="1"/>
    <row r="4512" customFormat="1" ht="17.25" customHeight="1"/>
    <row r="4513" customFormat="1" ht="17.25" customHeight="1"/>
    <row r="4514" customFormat="1" ht="17.25" customHeight="1"/>
    <row r="4515" customFormat="1" ht="17.25" customHeight="1"/>
    <row r="4516" customFormat="1" ht="17.25" customHeight="1"/>
    <row r="4517" customFormat="1" ht="17.25" customHeight="1"/>
    <row r="4518" customFormat="1" ht="17.25" customHeight="1"/>
    <row r="4519" customFormat="1" ht="17.25" customHeight="1"/>
    <row r="4520" customFormat="1" ht="17.25" customHeight="1"/>
    <row r="4521" customFormat="1" ht="17.25" customHeight="1"/>
    <row r="4522" customFormat="1" ht="17.25" customHeight="1"/>
    <row r="4523" customFormat="1" ht="17.25" customHeight="1"/>
    <row r="4524" customFormat="1" ht="17.25" customHeight="1"/>
    <row r="4525" customFormat="1" ht="17.25" customHeight="1"/>
    <row r="4526" customFormat="1" ht="17.25" customHeight="1"/>
    <row r="4527" customFormat="1" ht="17.25" customHeight="1"/>
    <row r="4528" customFormat="1" ht="17.25" customHeight="1"/>
    <row r="4529" customFormat="1" ht="17.25" customHeight="1"/>
    <row r="4530" customFormat="1" ht="17.25" customHeight="1"/>
    <row r="4531" customFormat="1" ht="17.25" customHeight="1"/>
    <row r="4532" customFormat="1" ht="17.25" customHeight="1"/>
    <row r="4533" customFormat="1" ht="17.25" customHeight="1"/>
    <row r="4534" customFormat="1" ht="17.25" customHeight="1"/>
    <row r="4535" customFormat="1" ht="17.25" customHeight="1"/>
    <row r="4536" customFormat="1" ht="17.25" customHeight="1"/>
    <row r="4537" customFormat="1" ht="17.25" customHeight="1"/>
    <row r="4538" customFormat="1" ht="17.25" customHeight="1"/>
    <row r="4539" customFormat="1" ht="17.25" customHeight="1"/>
    <row r="4540" customFormat="1" ht="17.25" customHeight="1"/>
    <row r="4541" customFormat="1" ht="17.25" customHeight="1"/>
    <row r="4542" customFormat="1" ht="17.25" customHeight="1"/>
    <row r="4543" customFormat="1" ht="17.25" customHeight="1"/>
    <row r="4544" customFormat="1" ht="17.25" customHeight="1"/>
    <row r="4545" customFormat="1" ht="17.25" customHeight="1"/>
    <row r="4546" customFormat="1" ht="17.25" customHeight="1"/>
    <row r="4547" customFormat="1" ht="17.25" customHeight="1"/>
    <row r="4548" customFormat="1" ht="17.25" customHeight="1"/>
    <row r="4549" customFormat="1" ht="17.25" customHeight="1"/>
    <row r="4550" customFormat="1" ht="17.25" customHeight="1"/>
    <row r="4551" customFormat="1" ht="17.25" customHeight="1"/>
    <row r="4552" customFormat="1" ht="17.25" customHeight="1"/>
    <row r="4553" customFormat="1" ht="17.25" customHeight="1"/>
    <row r="4554" customFormat="1" ht="17.25" customHeight="1"/>
    <row r="4555" customFormat="1" ht="17.25" customHeight="1"/>
    <row r="4556" customFormat="1" ht="17.25" customHeight="1"/>
    <row r="4557" customFormat="1" ht="17.25" customHeight="1"/>
    <row r="4558" customFormat="1" ht="17.25" customHeight="1"/>
    <row r="4559" customFormat="1" ht="17.25" customHeight="1"/>
    <row r="4560" customFormat="1" ht="17.25" customHeight="1"/>
    <row r="4561" customFormat="1" ht="17.25" customHeight="1"/>
    <row r="4562" customFormat="1" ht="17.25" customHeight="1"/>
    <row r="4563" customFormat="1" ht="17.25" customHeight="1"/>
    <row r="4564" customFormat="1" ht="17.25" customHeight="1"/>
    <row r="4565" customFormat="1" ht="17.25" customHeight="1"/>
    <row r="4566" customFormat="1" ht="17.25" customHeight="1"/>
    <row r="4567" customFormat="1" ht="17.25" customHeight="1"/>
    <row r="4568" customFormat="1" ht="17.25" customHeight="1"/>
    <row r="4569" customFormat="1" ht="17.25" customHeight="1"/>
    <row r="4570" customFormat="1" ht="17.25" customHeight="1"/>
    <row r="4571" customFormat="1" ht="17.25" customHeight="1"/>
    <row r="4572" customFormat="1" ht="17.25" customHeight="1"/>
    <row r="4573" customFormat="1" ht="17.25" customHeight="1"/>
    <row r="4574" customFormat="1" ht="17.25" customHeight="1"/>
    <row r="4575" customFormat="1" ht="17.25" customHeight="1"/>
    <row r="4576" customFormat="1" ht="17.25" customHeight="1"/>
    <row r="4577" customFormat="1" ht="17.25" customHeight="1"/>
    <row r="4578" customFormat="1" ht="17.25" customHeight="1"/>
    <row r="4579" customFormat="1" ht="17.25" customHeight="1"/>
    <row r="4580" customFormat="1" ht="17.25" customHeight="1"/>
    <row r="4581" customFormat="1" ht="17.25" customHeight="1"/>
    <row r="4582" customFormat="1" ht="17.25" customHeight="1"/>
    <row r="4583" customFormat="1" ht="17.25" customHeight="1"/>
    <row r="4584" customFormat="1" ht="17.25" customHeight="1"/>
    <row r="4585" customFormat="1" ht="17.25" customHeight="1"/>
    <row r="4586" customFormat="1" ht="17.25" customHeight="1"/>
    <row r="4587" customFormat="1" ht="17.25" customHeight="1"/>
    <row r="4588" customFormat="1" ht="17.25" customHeight="1"/>
    <row r="4589" customFormat="1" ht="17.25" customHeight="1"/>
    <row r="4590" customFormat="1" ht="17.25" customHeight="1"/>
    <row r="4591" customFormat="1" ht="17.25" customHeight="1"/>
    <row r="4592" customFormat="1" ht="17.25" customHeight="1"/>
    <row r="4593" customFormat="1" ht="17.25" customHeight="1"/>
    <row r="4594" customFormat="1" ht="17.25" customHeight="1"/>
    <row r="4595" customFormat="1" ht="17.25" customHeight="1"/>
    <row r="4596" customFormat="1" ht="17.25" customHeight="1"/>
    <row r="4597" customFormat="1" ht="17.25" customHeight="1"/>
    <row r="4598" customFormat="1" ht="17.25" customHeight="1"/>
    <row r="4599" customFormat="1" ht="17.25" customHeight="1"/>
    <row r="4600" customFormat="1" ht="17.25" customHeight="1"/>
    <row r="4601" customFormat="1" ht="17.25" customHeight="1"/>
    <row r="4602" customFormat="1" ht="17.25" customHeight="1"/>
    <row r="4603" customFormat="1" ht="17.25" customHeight="1"/>
    <row r="4604" customFormat="1" ht="17.25" customHeight="1"/>
    <row r="4605" customFormat="1" ht="17.25" customHeight="1"/>
    <row r="4606" customFormat="1" ht="17.25" customHeight="1"/>
    <row r="4607" customFormat="1" ht="17.25" customHeight="1"/>
    <row r="4608" customFormat="1" ht="17.25" customHeight="1"/>
    <row r="4609" customFormat="1" ht="17.25" customHeight="1"/>
    <row r="4610" customFormat="1" ht="17.25" customHeight="1"/>
    <row r="4611" customFormat="1" ht="17.25" customHeight="1"/>
    <row r="4612" customFormat="1" ht="17.25" customHeight="1"/>
    <row r="4613" customFormat="1" ht="17.25" customHeight="1"/>
    <row r="4614" customFormat="1" ht="17.25" customHeight="1"/>
    <row r="4615" customFormat="1" ht="17.25" customHeight="1"/>
    <row r="4616" customFormat="1" ht="17.25" customHeight="1"/>
    <row r="4617" customFormat="1" ht="17.25" customHeight="1"/>
    <row r="4618" customFormat="1" ht="17.25" customHeight="1"/>
    <row r="4619" customFormat="1" ht="17.25" customHeight="1"/>
    <row r="4620" customFormat="1" ht="17.25" customHeight="1"/>
    <row r="4621" customFormat="1" ht="17.25" customHeight="1"/>
    <row r="4622" customFormat="1" ht="17.25" customHeight="1"/>
    <row r="4623" customFormat="1" ht="17.25" customHeight="1"/>
    <row r="4624" customFormat="1" ht="17.25" customHeight="1"/>
    <row r="4625" customFormat="1" ht="17.25" customHeight="1"/>
    <row r="4626" customFormat="1" ht="17.25" customHeight="1"/>
    <row r="4627" customFormat="1" ht="17.25" customHeight="1"/>
    <row r="4628" customFormat="1" ht="17.25" customHeight="1"/>
    <row r="4629" customFormat="1" ht="17.25" customHeight="1"/>
    <row r="4630" customFormat="1" ht="17.25" customHeight="1"/>
    <row r="4631" customFormat="1" ht="17.25" customHeight="1"/>
    <row r="4632" customFormat="1" ht="17.25" customHeight="1"/>
    <row r="4633" customFormat="1" ht="17.25" customHeight="1"/>
    <row r="4634" customFormat="1" ht="17.25" customHeight="1"/>
    <row r="4635" customFormat="1" ht="17.25" customHeight="1"/>
    <row r="4636" customFormat="1" ht="17.25" customHeight="1"/>
    <row r="4637" customFormat="1" ht="17.25" customHeight="1"/>
    <row r="4638" customFormat="1" ht="17.25" customHeight="1"/>
    <row r="4639" customFormat="1" ht="17.25" customHeight="1"/>
    <row r="4640" customFormat="1" ht="17.25" customHeight="1"/>
    <row r="4641" customFormat="1" ht="17.25" customHeight="1"/>
    <row r="4642" customFormat="1" ht="17.25" customHeight="1"/>
    <row r="4643" customFormat="1" ht="17.25" customHeight="1"/>
    <row r="4644" customFormat="1" ht="17.25" customHeight="1"/>
    <row r="4645" customFormat="1" ht="17.25" customHeight="1"/>
    <row r="4646" customFormat="1" ht="17.25" customHeight="1"/>
    <row r="4647" customFormat="1" ht="17.25" customHeight="1"/>
    <row r="4648" customFormat="1" ht="17.25" customHeight="1"/>
    <row r="4649" customFormat="1" ht="17.25" customHeight="1"/>
    <row r="4650" customFormat="1" ht="17.25" customHeight="1"/>
    <row r="4651" customFormat="1" ht="17.25" customHeight="1"/>
    <row r="4652" customFormat="1" ht="17.25" customHeight="1"/>
    <row r="4653" customFormat="1" ht="17.25" customHeight="1"/>
    <row r="4654" customFormat="1" ht="17.25" customHeight="1"/>
    <row r="4655" customFormat="1" ht="17.25" customHeight="1"/>
    <row r="4656" customFormat="1" ht="17.25" customHeight="1"/>
    <row r="4657" customFormat="1" ht="17.25" customHeight="1"/>
    <row r="4658" customFormat="1" ht="17.25" customHeight="1"/>
    <row r="4659" customFormat="1" ht="17.25" customHeight="1"/>
    <row r="4660" customFormat="1" ht="17.25" customHeight="1"/>
    <row r="4661" customFormat="1" ht="17.25" customHeight="1"/>
    <row r="4662" customFormat="1" ht="17.25" customHeight="1"/>
    <row r="4663" customFormat="1" ht="17.25" customHeight="1"/>
    <row r="4664" customFormat="1" ht="17.25" customHeight="1"/>
    <row r="4665" customFormat="1" ht="17.25" customHeight="1"/>
    <row r="4666" customFormat="1" ht="17.25" customHeight="1"/>
    <row r="4667" customFormat="1" ht="17.25" customHeight="1"/>
    <row r="4668" customFormat="1" ht="17.25" customHeight="1"/>
    <row r="4669" customFormat="1" ht="17.25" customHeight="1"/>
    <row r="4670" customFormat="1" ht="17.25" customHeight="1"/>
    <row r="4671" customFormat="1" ht="17.25" customHeight="1"/>
    <row r="4672" customFormat="1" ht="17.25" customHeight="1"/>
    <row r="4673" customFormat="1" ht="17.25" customHeight="1"/>
    <row r="4674" customFormat="1" ht="17.25" customHeight="1"/>
    <row r="4675" customFormat="1" ht="17.25" customHeight="1"/>
    <row r="4676" customFormat="1" ht="17.25" customHeight="1"/>
    <row r="4677" customFormat="1" ht="17.25" customHeight="1"/>
    <row r="4678" customFormat="1" ht="17.25" customHeight="1"/>
    <row r="4679" customFormat="1" ht="17.25" customHeight="1"/>
    <row r="4680" customFormat="1" ht="17.25" customHeight="1"/>
    <row r="4681" customFormat="1" ht="17.25" customHeight="1"/>
    <row r="4682" customFormat="1" ht="17.25" customHeight="1"/>
    <row r="4683" customFormat="1" ht="17.25" customHeight="1"/>
    <row r="4684" customFormat="1" ht="17.25" customHeight="1"/>
    <row r="4685" customFormat="1" ht="17.25" customHeight="1"/>
    <row r="4686" customFormat="1" ht="17.25" customHeight="1"/>
    <row r="4687" customFormat="1" ht="17.25" customHeight="1"/>
    <row r="4688" customFormat="1" ht="17.25" customHeight="1"/>
    <row r="4689" customFormat="1" ht="17.25" customHeight="1"/>
    <row r="4690" customFormat="1" ht="17.25" customHeight="1"/>
    <row r="4691" customFormat="1" ht="17.25" customHeight="1"/>
    <row r="4692" customFormat="1" ht="17.25" customHeight="1"/>
    <row r="4693" customFormat="1" ht="17.25" customHeight="1"/>
    <row r="4694" customFormat="1" ht="17.25" customHeight="1"/>
    <row r="4695" customFormat="1" ht="17.25" customHeight="1"/>
    <row r="4696" customFormat="1" ht="17.25" customHeight="1"/>
    <row r="4697" customFormat="1" ht="17.25" customHeight="1"/>
    <row r="4698" customFormat="1" ht="17.25" customHeight="1"/>
    <row r="4699" customFormat="1" ht="17.25" customHeight="1"/>
    <row r="4700" customFormat="1" ht="17.25" customHeight="1"/>
    <row r="4701" customFormat="1" ht="17.25" customHeight="1"/>
    <row r="4702" customFormat="1" ht="17.25" customHeight="1"/>
    <row r="4703" customFormat="1" ht="17.25" customHeight="1"/>
    <row r="4704" customFormat="1" ht="17.25" customHeight="1"/>
    <row r="4705" customFormat="1" ht="17.25" customHeight="1"/>
    <row r="4706" customFormat="1" ht="17.25" customHeight="1"/>
    <row r="4707" customFormat="1" ht="17.25" customHeight="1"/>
    <row r="4708" customFormat="1" ht="17.25" customHeight="1"/>
    <row r="4709" customFormat="1" ht="17.25" customHeight="1"/>
    <row r="4710" customFormat="1" ht="17.25" customHeight="1"/>
    <row r="4711" customFormat="1" ht="17.25" customHeight="1"/>
    <row r="4712" customFormat="1" ht="17.25" customHeight="1"/>
    <row r="4713" customFormat="1" ht="17.25" customHeight="1"/>
    <row r="4714" customFormat="1" ht="17.25" customHeight="1"/>
    <row r="4715" customFormat="1" ht="17.25" customHeight="1"/>
    <row r="4716" customFormat="1" ht="17.25" customHeight="1"/>
    <row r="4717" customFormat="1" ht="17.25" customHeight="1"/>
    <row r="4718" customFormat="1" ht="17.25" customHeight="1"/>
    <row r="4719" customFormat="1" ht="17.25" customHeight="1"/>
    <row r="4720" customFormat="1" ht="17.25" customHeight="1"/>
    <row r="4721" customFormat="1" ht="17.25" customHeight="1"/>
    <row r="4722" customFormat="1" ht="17.25" customHeight="1"/>
    <row r="4723" customFormat="1" ht="17.25" customHeight="1"/>
    <row r="4724" customFormat="1" ht="17.25" customHeight="1"/>
    <row r="4725" customFormat="1" ht="17.25" customHeight="1"/>
    <row r="4726" customFormat="1" ht="17.25" customHeight="1"/>
    <row r="4727" customFormat="1" ht="17.25" customHeight="1"/>
    <row r="4728" customFormat="1" ht="17.25" customHeight="1"/>
    <row r="4729" customFormat="1" ht="17.25" customHeight="1"/>
    <row r="4730" customFormat="1" ht="17.25" customHeight="1"/>
    <row r="4731" customFormat="1" ht="17.25" customHeight="1"/>
    <row r="4732" customFormat="1" ht="17.25" customHeight="1"/>
    <row r="4733" customFormat="1" ht="17.25" customHeight="1"/>
    <row r="4734" customFormat="1" ht="17.25" customHeight="1"/>
    <row r="4735" customFormat="1" ht="17.25" customHeight="1"/>
    <row r="4736" customFormat="1" ht="17.25" customHeight="1"/>
    <row r="4737" customFormat="1" ht="17.25" customHeight="1"/>
    <row r="4738" customFormat="1" ht="17.25" customHeight="1"/>
    <row r="4739" customFormat="1" ht="17.25" customHeight="1"/>
    <row r="4740" customFormat="1" ht="17.25" customHeight="1"/>
    <row r="4741" customFormat="1" ht="17.25" customHeight="1"/>
    <row r="4742" customFormat="1" ht="17.25" customHeight="1"/>
    <row r="4743" customFormat="1" ht="17.25" customHeight="1"/>
    <row r="4744" customFormat="1" ht="17.25" customHeight="1"/>
    <row r="4745" customFormat="1" ht="17.25" customHeight="1"/>
    <row r="4746" customFormat="1" ht="17.25" customHeight="1"/>
    <row r="4747" customFormat="1" ht="17.25" customHeight="1"/>
    <row r="4748" customFormat="1" ht="17.25" customHeight="1"/>
    <row r="4749" customFormat="1" ht="17.25" customHeight="1"/>
    <row r="4750" customFormat="1" ht="17.25" customHeight="1"/>
    <row r="4751" customFormat="1" ht="17.25" customHeight="1"/>
    <row r="4752" customFormat="1" ht="17.25" customHeight="1"/>
    <row r="4753" customFormat="1" ht="17.25" customHeight="1"/>
    <row r="4754" customFormat="1" ht="17.25" customHeight="1"/>
    <row r="4755" customFormat="1" ht="17.25" customHeight="1"/>
    <row r="4756" customFormat="1" ht="17.25" customHeight="1"/>
    <row r="4757" customFormat="1" ht="17.25" customHeight="1"/>
    <row r="4758" customFormat="1" ht="17.25" customHeight="1"/>
    <row r="4759" customFormat="1" ht="17.25" customHeight="1"/>
    <row r="4760" customFormat="1" ht="17.25" customHeight="1"/>
    <row r="4761" customFormat="1" ht="17.25" customHeight="1"/>
    <row r="4762" customFormat="1" ht="17.25" customHeight="1"/>
    <row r="4763" customFormat="1" ht="17.25" customHeight="1"/>
    <row r="4764" customFormat="1" ht="17.25" customHeight="1"/>
    <row r="4765" customFormat="1" ht="17.25" customHeight="1"/>
    <row r="4766" customFormat="1" ht="17.25" customHeight="1"/>
    <row r="4767" customFormat="1" ht="17.25" customHeight="1"/>
    <row r="4768" customFormat="1" ht="17.25" customHeight="1"/>
    <row r="4769" customFormat="1" ht="17.25" customHeight="1"/>
    <row r="4770" customFormat="1" ht="17.25" customHeight="1"/>
    <row r="4771" customFormat="1" ht="17.25" customHeight="1"/>
    <row r="4772" customFormat="1" ht="17.25" customHeight="1"/>
    <row r="4773" customFormat="1" ht="17.25" customHeight="1"/>
    <row r="4774" customFormat="1" ht="17.25" customHeight="1"/>
    <row r="4775" customFormat="1" ht="17.25" customHeight="1"/>
    <row r="4776" customFormat="1" ht="17.25" customHeight="1"/>
    <row r="4777" customFormat="1" ht="17.25" customHeight="1"/>
    <row r="4778" customFormat="1" ht="17.25" customHeight="1"/>
    <row r="4779" customFormat="1" ht="17.25" customHeight="1"/>
    <row r="4780" customFormat="1" ht="17.25" customHeight="1"/>
    <row r="4781" customFormat="1" ht="17.25" customHeight="1"/>
    <row r="4782" customFormat="1" ht="17.25" customHeight="1"/>
    <row r="4783" customFormat="1" ht="17.25" customHeight="1"/>
    <row r="4784" customFormat="1" ht="17.25" customHeight="1"/>
    <row r="4785" customFormat="1" ht="17.25" customHeight="1"/>
    <row r="4786" customFormat="1" ht="17.25" customHeight="1"/>
    <row r="4787" customFormat="1" ht="17.25" customHeight="1"/>
    <row r="4788" customFormat="1" ht="17.25" customHeight="1"/>
    <row r="4789" customFormat="1" ht="17.25" customHeight="1"/>
    <row r="4790" customFormat="1" ht="17.25" customHeight="1"/>
    <row r="4791" customFormat="1" ht="17.25" customHeight="1"/>
    <row r="4792" customFormat="1" ht="17.25" customHeight="1"/>
    <row r="4793" customFormat="1" ht="17.25" customHeight="1"/>
    <row r="4794" customFormat="1" ht="17.25" customHeight="1"/>
    <row r="4795" customFormat="1" ht="17.25" customHeight="1"/>
    <row r="4796" customFormat="1" ht="17.25" customHeight="1"/>
    <row r="4797" customFormat="1" ht="17.25" customHeight="1"/>
    <row r="4798" customFormat="1" ht="17.25" customHeight="1"/>
    <row r="4799" customFormat="1" ht="17.25" customHeight="1"/>
    <row r="4800" customFormat="1" ht="17.25" customHeight="1"/>
    <row r="4801" customFormat="1" ht="17.25" customHeight="1"/>
    <row r="4802" customFormat="1" ht="17.25" customHeight="1"/>
    <row r="4803" customFormat="1" ht="17.25" customHeight="1"/>
    <row r="4804" customFormat="1" ht="17.25" customHeight="1"/>
    <row r="4805" customFormat="1" ht="17.25" customHeight="1"/>
    <row r="4806" customFormat="1" ht="17.25" customHeight="1"/>
    <row r="4807" customFormat="1" ht="17.25" customHeight="1"/>
    <row r="4808" customFormat="1" ht="17.25" customHeight="1"/>
    <row r="4809" customFormat="1" ht="17.25" customHeight="1"/>
    <row r="4810" customFormat="1" ht="17.25" customHeight="1"/>
    <row r="4811" customFormat="1" ht="17.25" customHeight="1"/>
    <row r="4812" customFormat="1" ht="17.25" customHeight="1"/>
    <row r="4813" customFormat="1" ht="17.25" customHeight="1"/>
    <row r="4814" customFormat="1" ht="17.25" customHeight="1"/>
    <row r="4815" customFormat="1" ht="17.25" customHeight="1"/>
    <row r="4816" customFormat="1" ht="17.25" customHeight="1"/>
    <row r="4817" customFormat="1" ht="17.25" customHeight="1"/>
    <row r="4818" customFormat="1" ht="17.25" customHeight="1"/>
    <row r="4819" customFormat="1" ht="17.25" customHeight="1"/>
    <row r="4820" customFormat="1" ht="17.25" customHeight="1"/>
    <row r="4821" customFormat="1" ht="17.25" customHeight="1"/>
    <row r="4822" customFormat="1" ht="17.25" customHeight="1"/>
    <row r="4823" customFormat="1" ht="17.25" customHeight="1"/>
    <row r="4824" customFormat="1" ht="17.25" customHeight="1"/>
    <row r="4825" customFormat="1" ht="17.25" customHeight="1"/>
    <row r="4826" customFormat="1" ht="17.25" customHeight="1"/>
    <row r="4827" customFormat="1" ht="17.25" customHeight="1"/>
    <row r="4828" customFormat="1" ht="17.25" customHeight="1"/>
    <row r="4829" customFormat="1" ht="17.25" customHeight="1"/>
    <row r="4830" customFormat="1" ht="17.25" customHeight="1"/>
    <row r="4831" customFormat="1" ht="17.25" customHeight="1"/>
    <row r="4832" customFormat="1" ht="17.25" customHeight="1"/>
    <row r="4833" customFormat="1" ht="17.25" customHeight="1"/>
    <row r="4834" customFormat="1" ht="17.25" customHeight="1"/>
    <row r="4835" customFormat="1" ht="17.25" customHeight="1"/>
    <row r="4836" customFormat="1" ht="17.25" customHeight="1"/>
    <row r="4837" customFormat="1" ht="17.25" customHeight="1"/>
    <row r="4838" customFormat="1" ht="17.25" customHeight="1"/>
    <row r="4839" customFormat="1" ht="17.25" customHeight="1"/>
    <row r="4840" customFormat="1" ht="17.25" customHeight="1"/>
    <row r="4841" customFormat="1" ht="17.25" customHeight="1"/>
    <row r="4842" customFormat="1" ht="17.25" customHeight="1"/>
    <row r="4843" customFormat="1" ht="17.25" customHeight="1"/>
    <row r="4844" customFormat="1" ht="17.25" customHeight="1"/>
    <row r="4845" customFormat="1" ht="17.25" customHeight="1"/>
    <row r="4846" customFormat="1" ht="17.25" customHeight="1"/>
    <row r="4847" customFormat="1" ht="17.25" customHeight="1"/>
    <row r="4848" customFormat="1" ht="17.25" customHeight="1"/>
    <row r="4849" customFormat="1" ht="17.25" customHeight="1"/>
    <row r="4850" customFormat="1" ht="17.25" customHeight="1"/>
    <row r="4851" customFormat="1" ht="17.25" customHeight="1"/>
    <row r="4852" customFormat="1" ht="17.25" customHeight="1"/>
    <row r="4853" customFormat="1" ht="17.25" customHeight="1"/>
    <row r="4854" customFormat="1" ht="17.25" customHeight="1"/>
    <row r="4855" customFormat="1" ht="17.25" customHeight="1"/>
    <row r="4856" customFormat="1" ht="17.25" customHeight="1"/>
    <row r="4857" customFormat="1" ht="17.25" customHeight="1"/>
    <row r="4858" customFormat="1" ht="17.25" customHeight="1"/>
    <row r="4859" customFormat="1" ht="17.25" customHeight="1"/>
    <row r="4860" customFormat="1" ht="17.25" customHeight="1"/>
    <row r="4861" customFormat="1" ht="17.25" customHeight="1"/>
    <row r="4862" customFormat="1" ht="17.25" customHeight="1"/>
    <row r="4863" customFormat="1" ht="17.25" customHeight="1"/>
    <row r="4864" customFormat="1" ht="17.25" customHeight="1"/>
    <row r="4865" customFormat="1" ht="17.25" customHeight="1"/>
    <row r="4866" customFormat="1" ht="17.25" customHeight="1"/>
    <row r="4867" customFormat="1" ht="17.25" customHeight="1"/>
    <row r="4868" customFormat="1" ht="17.25" customHeight="1"/>
    <row r="4869" customFormat="1" ht="17.25" customHeight="1"/>
    <row r="4870" customFormat="1" ht="17.25" customHeight="1"/>
    <row r="4871" customFormat="1" ht="17.25" customHeight="1"/>
    <row r="4872" customFormat="1" ht="17.25" customHeight="1"/>
    <row r="4873" customFormat="1" ht="17.25" customHeight="1"/>
    <row r="4874" customFormat="1" ht="17.25" customHeight="1"/>
    <row r="4875" customFormat="1" ht="17.25" customHeight="1"/>
    <row r="4876" customFormat="1" ht="17.25" customHeight="1"/>
    <row r="4877" customFormat="1" ht="17.25" customHeight="1"/>
    <row r="4878" customFormat="1" ht="17.25" customHeight="1"/>
    <row r="4879" customFormat="1" ht="17.25" customHeight="1"/>
    <row r="4880" customFormat="1" ht="17.25" customHeight="1"/>
    <row r="4881" customFormat="1" ht="17.25" customHeight="1"/>
    <row r="4882" customFormat="1" ht="17.25" customHeight="1"/>
    <row r="4883" customFormat="1" ht="17.25" customHeight="1"/>
    <row r="4884" customFormat="1" ht="17.25" customHeight="1"/>
    <row r="4885" customFormat="1" ht="17.25" customHeight="1"/>
    <row r="4886" customFormat="1" ht="17.25" customHeight="1"/>
    <row r="4887" customFormat="1" ht="17.25" customHeight="1"/>
    <row r="4888" customFormat="1" ht="17.25" customHeight="1"/>
    <row r="4889" customFormat="1" ht="17.25" customHeight="1"/>
    <row r="4890" customFormat="1" ht="17.25" customHeight="1"/>
    <row r="4891" customFormat="1" ht="17.25" customHeight="1"/>
    <row r="4892" customFormat="1" ht="17.25" customHeight="1"/>
    <row r="4893" customFormat="1" ht="17.25" customHeight="1"/>
    <row r="4894" customFormat="1" ht="17.25" customHeight="1"/>
    <row r="4895" customFormat="1" ht="17.25" customHeight="1"/>
    <row r="4896" customFormat="1" ht="17.25" customHeight="1"/>
    <row r="4897" customFormat="1" ht="17.25" customHeight="1"/>
    <row r="4898" customFormat="1" ht="17.25" customHeight="1"/>
    <row r="4899" customFormat="1" ht="17.25" customHeight="1"/>
    <row r="4900" customFormat="1" ht="17.25" customHeight="1"/>
    <row r="4901" customFormat="1" ht="17.25" customHeight="1"/>
    <row r="4902" customFormat="1" ht="17.25" customHeight="1"/>
    <row r="4903" customFormat="1" ht="17.25" customHeight="1"/>
    <row r="4904" customFormat="1" ht="17.25" customHeight="1"/>
    <row r="4905" customFormat="1" ht="17.25" customHeight="1"/>
    <row r="4906" customFormat="1" ht="17.25" customHeight="1"/>
    <row r="4907" customFormat="1" ht="17.25" customHeight="1"/>
    <row r="4908" customFormat="1" ht="17.25" customHeight="1"/>
    <row r="4909" customFormat="1" ht="17.25" customHeight="1"/>
    <row r="4910" customFormat="1" ht="17.25" customHeight="1"/>
    <row r="4911" customFormat="1" ht="17.25" customHeight="1"/>
    <row r="4912" customFormat="1" ht="17.25" customHeight="1"/>
    <row r="4913" customFormat="1" ht="17.25" customHeight="1"/>
    <row r="4914" customFormat="1" ht="17.25" customHeight="1"/>
    <row r="4915" customFormat="1" ht="17.25" customHeight="1"/>
    <row r="4916" customFormat="1" ht="17.25" customHeight="1"/>
    <row r="4917" customFormat="1" ht="17.25" customHeight="1"/>
    <row r="4918" customFormat="1" ht="17.25" customHeight="1"/>
    <row r="4919" customFormat="1" ht="17.25" customHeight="1"/>
    <row r="4920" customFormat="1" ht="17.25" customHeight="1"/>
    <row r="4921" customFormat="1" ht="17.25" customHeight="1"/>
    <row r="4922" customFormat="1" ht="17.25" customHeight="1"/>
    <row r="4923" customFormat="1" ht="17.25" customHeight="1"/>
    <row r="4924" customFormat="1" ht="17.25" customHeight="1"/>
    <row r="4925" customFormat="1" ht="17.25" customHeight="1"/>
    <row r="4926" customFormat="1" ht="17.25" customHeight="1"/>
    <row r="4927" customFormat="1" ht="17.25" customHeight="1"/>
    <row r="4928" customFormat="1" ht="17.25" customHeight="1"/>
    <row r="4929" customFormat="1" ht="17.25" customHeight="1"/>
    <row r="4930" customFormat="1" ht="17.25" customHeight="1"/>
    <row r="4931" customFormat="1" ht="17.25" customHeight="1"/>
    <row r="4932" customFormat="1" ht="17.25" customHeight="1"/>
    <row r="4933" customFormat="1" ht="17.25" customHeight="1"/>
    <row r="4934" customFormat="1" ht="17.25" customHeight="1"/>
    <row r="4935" customFormat="1" ht="17.25" customHeight="1"/>
    <row r="4936" customFormat="1" ht="17.25" customHeight="1"/>
    <row r="4937" customFormat="1" ht="17.25" customHeight="1"/>
    <row r="4938" customFormat="1" ht="17.25" customHeight="1"/>
    <row r="4939" customFormat="1" ht="17.25" customHeight="1"/>
    <row r="4940" customFormat="1" ht="17.25" customHeight="1"/>
    <row r="4941" customFormat="1" ht="17.25" customHeight="1"/>
    <row r="4942" customFormat="1" ht="17.25" customHeight="1"/>
    <row r="4943" customFormat="1" ht="17.25" customHeight="1"/>
    <row r="4944" customFormat="1" ht="17.25" customHeight="1"/>
    <row r="4945" customFormat="1" ht="17.25" customHeight="1"/>
    <row r="4946" customFormat="1" ht="17.25" customHeight="1"/>
    <row r="4947" customFormat="1" ht="17.25" customHeight="1"/>
    <row r="4948" customFormat="1" ht="17.25" customHeight="1"/>
    <row r="4949" customFormat="1" ht="17.25" customHeight="1"/>
    <row r="4950" customFormat="1" ht="17.25" customHeight="1"/>
    <row r="4951" customFormat="1" ht="17.25" customHeight="1"/>
    <row r="4952" customFormat="1" ht="17.25" customHeight="1"/>
    <row r="4953" customFormat="1" ht="17.25" customHeight="1"/>
    <row r="4954" customFormat="1" ht="17.25" customHeight="1"/>
    <row r="4955" customFormat="1" ht="17.25" customHeight="1"/>
    <row r="4956" customFormat="1" ht="17.25" customHeight="1"/>
    <row r="4957" customFormat="1" ht="17.25" customHeight="1"/>
    <row r="4958" customFormat="1" ht="17.25" customHeight="1"/>
    <row r="4959" customFormat="1" ht="17.25" customHeight="1"/>
    <row r="4960" customFormat="1" ht="17.25" customHeight="1"/>
    <row r="4961" customFormat="1" ht="17.25" customHeight="1"/>
    <row r="4962" customFormat="1" ht="17.25" customHeight="1"/>
    <row r="4963" customFormat="1" ht="17.25" customHeight="1"/>
    <row r="4964" customFormat="1" ht="17.25" customHeight="1"/>
    <row r="4965" customFormat="1" ht="17.25" customHeight="1"/>
    <row r="4966" customFormat="1" ht="17.25" customHeight="1"/>
    <row r="4967" customFormat="1" ht="17.25" customHeight="1"/>
    <row r="4968" customFormat="1" ht="17.25" customHeight="1"/>
    <row r="4969" customFormat="1" ht="17.25" customHeight="1"/>
    <row r="4970" customFormat="1" ht="17.25" customHeight="1"/>
    <row r="4971" customFormat="1" ht="17.25" customHeight="1"/>
    <row r="4972" customFormat="1" ht="17.25" customHeight="1"/>
    <row r="4973" customFormat="1" ht="17.25" customHeight="1"/>
    <row r="4974" customFormat="1" ht="17.25" customHeight="1"/>
    <row r="4975" customFormat="1" ht="17.25" customHeight="1"/>
    <row r="4976" customFormat="1" ht="17.25" customHeight="1"/>
    <row r="4977" customFormat="1" ht="17.25" customHeight="1"/>
    <row r="4978" customFormat="1" ht="17.25" customHeight="1"/>
    <row r="4979" customFormat="1" ht="17.25" customHeight="1"/>
    <row r="4980" customFormat="1" ht="17.25" customHeight="1"/>
    <row r="4981" customFormat="1" ht="17.25" customHeight="1"/>
    <row r="4982" customFormat="1" ht="17.25" customHeight="1"/>
    <row r="4983" customFormat="1" ht="17.25" customHeight="1"/>
    <row r="4984" customFormat="1" ht="17.25" customHeight="1"/>
    <row r="4985" customFormat="1" ht="17.25" customHeight="1"/>
    <row r="4986" customFormat="1" ht="17.25" customHeight="1"/>
    <row r="4987" customFormat="1" ht="17.25" customHeight="1"/>
    <row r="4988" customFormat="1" ht="17.25" customHeight="1"/>
    <row r="4989" customFormat="1" ht="17.25" customHeight="1"/>
    <row r="4990" customFormat="1" ht="17.25" customHeight="1"/>
    <row r="4991" customFormat="1" ht="17.25" customHeight="1"/>
    <row r="4992" customFormat="1" ht="17.25" customHeight="1"/>
    <row r="4993" customFormat="1" ht="17.25" customHeight="1"/>
    <row r="4994" customFormat="1" ht="17.25" customHeight="1"/>
    <row r="4995" customFormat="1" ht="17.25" customHeight="1"/>
    <row r="4996" customFormat="1" ht="17.25" customHeight="1"/>
    <row r="4997" customFormat="1" ht="17.25" customHeight="1"/>
    <row r="4998" customFormat="1" ht="17.25" customHeight="1"/>
    <row r="4999" customFormat="1" ht="17.25" customHeight="1"/>
    <row r="5000" customFormat="1" ht="17.25" customHeight="1"/>
    <row r="5001" customFormat="1" ht="17.25" customHeight="1"/>
    <row r="5002" customFormat="1" ht="17.25" customHeight="1"/>
    <row r="5003" customFormat="1" ht="17.25" customHeight="1"/>
    <row r="5004" customFormat="1" ht="17.25" customHeight="1"/>
    <row r="5005" customFormat="1" ht="17.25" customHeight="1"/>
    <row r="5006" customFormat="1" ht="17.25" customHeight="1"/>
    <row r="5007" customFormat="1" ht="17.25" customHeight="1"/>
    <row r="5008" customFormat="1" ht="17.25" customHeight="1"/>
    <row r="5009" customFormat="1" ht="17.25" customHeight="1"/>
    <row r="5010" customFormat="1" ht="17.25" customHeight="1"/>
    <row r="5011" customFormat="1" ht="17.25" customHeight="1"/>
    <row r="5012" customFormat="1" ht="17.25" customHeight="1"/>
    <row r="5013" customFormat="1" ht="17.25" customHeight="1"/>
    <row r="5014" customFormat="1" ht="17.25" customHeight="1"/>
    <row r="5015" customFormat="1" ht="17.25" customHeight="1"/>
    <row r="5016" customFormat="1" ht="17.25" customHeight="1"/>
    <row r="5017" customFormat="1" ht="17.25" customHeight="1"/>
    <row r="5018" customFormat="1" ht="17.25" customHeight="1"/>
    <row r="5019" customFormat="1" ht="17.25" customHeight="1"/>
    <row r="5020" customFormat="1" ht="17.25" customHeight="1"/>
    <row r="5021" customFormat="1" ht="17.25" customHeight="1"/>
    <row r="5022" customFormat="1" ht="17.25" customHeight="1"/>
    <row r="5023" customFormat="1" ht="17.25" customHeight="1"/>
    <row r="5024" customFormat="1" ht="17.25" customHeight="1"/>
    <row r="5025" customFormat="1" ht="17.25" customHeight="1"/>
    <row r="5026" customFormat="1" ht="17.25" customHeight="1"/>
    <row r="5027" customFormat="1" ht="17.25" customHeight="1"/>
    <row r="5028" customFormat="1" ht="17.25" customHeight="1"/>
    <row r="5029" customFormat="1" ht="17.25" customHeight="1"/>
    <row r="5030" customFormat="1" ht="17.25" customHeight="1"/>
    <row r="5031" customFormat="1" ht="17.25" customHeight="1"/>
    <row r="5032" customFormat="1" ht="17.25" customHeight="1"/>
    <row r="5033" customFormat="1" ht="17.25" customHeight="1"/>
    <row r="5034" customFormat="1" ht="17.25" customHeight="1"/>
    <row r="5035" customFormat="1" ht="17.25" customHeight="1"/>
    <row r="5036" customFormat="1" ht="17.25" customHeight="1"/>
    <row r="5037" customFormat="1" ht="17.25" customHeight="1"/>
    <row r="5038" customFormat="1" ht="17.25" customHeight="1"/>
    <row r="5039" customFormat="1" ht="17.25" customHeight="1"/>
    <row r="5040" customFormat="1" ht="17.25" customHeight="1"/>
    <row r="5041" customFormat="1" ht="17.25" customHeight="1"/>
    <row r="5042" customFormat="1" ht="17.25" customHeight="1"/>
    <row r="5043" customFormat="1" ht="17.25" customHeight="1"/>
    <row r="5044" customFormat="1" ht="17.25" customHeight="1"/>
    <row r="5045" customFormat="1" ht="17.25" customHeight="1"/>
    <row r="5046" customFormat="1" ht="17.25" customHeight="1"/>
    <row r="5047" customFormat="1" ht="17.25" customHeight="1"/>
    <row r="5048" customFormat="1" ht="17.25" customHeight="1"/>
    <row r="5049" customFormat="1" ht="17.25" customHeight="1"/>
    <row r="5050" customFormat="1" ht="17.25" customHeight="1"/>
    <row r="5051" customFormat="1" ht="17.25" customHeight="1"/>
    <row r="5052" customFormat="1" ht="17.25" customHeight="1"/>
    <row r="5053" customFormat="1" ht="17.25" customHeight="1"/>
    <row r="5054" customFormat="1" ht="17.25" customHeight="1"/>
    <row r="5055" customFormat="1" ht="17.25" customHeight="1"/>
    <row r="5056" customFormat="1" ht="17.25" customHeight="1"/>
    <row r="5057" customFormat="1" ht="17.25" customHeight="1"/>
    <row r="5058" customFormat="1" ht="17.25" customHeight="1"/>
    <row r="5059" customFormat="1" ht="17.25" customHeight="1"/>
    <row r="5060" customFormat="1" ht="17.25" customHeight="1"/>
    <row r="5061" customFormat="1" ht="17.25" customHeight="1"/>
    <row r="5062" customFormat="1" ht="17.25" customHeight="1"/>
    <row r="5063" customFormat="1" ht="17.25" customHeight="1"/>
    <row r="5064" customFormat="1" ht="17.25" customHeight="1"/>
    <row r="5065" customFormat="1" ht="17.25" customHeight="1"/>
    <row r="5066" customFormat="1" ht="17.25" customHeight="1"/>
    <row r="5067" customFormat="1" ht="17.25" customHeight="1"/>
    <row r="5068" customFormat="1" ht="17.25" customHeight="1"/>
    <row r="5069" customFormat="1" ht="17.25" customHeight="1"/>
    <row r="5070" customFormat="1" ht="17.25" customHeight="1"/>
    <row r="5071" customFormat="1" ht="17.25" customHeight="1"/>
    <row r="5072" customFormat="1" ht="17.25" customHeight="1"/>
    <row r="5073" customFormat="1" ht="17.25" customHeight="1"/>
    <row r="5074" customFormat="1" ht="17.25" customHeight="1"/>
    <row r="5075" customFormat="1" ht="17.25" customHeight="1"/>
    <row r="5076" customFormat="1" ht="17.25" customHeight="1"/>
    <row r="5077" customFormat="1" ht="17.25" customHeight="1"/>
    <row r="5078" customFormat="1" ht="17.25" customHeight="1"/>
    <row r="5079" customFormat="1" ht="17.25" customHeight="1"/>
    <row r="5080" customFormat="1" ht="17.25" customHeight="1"/>
    <row r="5081" customFormat="1" ht="17.25" customHeight="1"/>
    <row r="5082" customFormat="1" ht="17.25" customHeight="1"/>
    <row r="5083" customFormat="1" ht="17.25" customHeight="1"/>
    <row r="5084" customFormat="1" ht="17.25" customHeight="1"/>
    <row r="5085" customFormat="1" ht="17.25" customHeight="1"/>
    <row r="5086" customFormat="1" ht="17.25" customHeight="1"/>
    <row r="5087" customFormat="1" ht="17.25" customHeight="1"/>
    <row r="5088" customFormat="1" ht="17.25" customHeight="1"/>
    <row r="5089" customFormat="1" ht="17.25" customHeight="1"/>
    <row r="5090" customFormat="1" ht="17.25" customHeight="1"/>
    <row r="5091" customFormat="1" ht="17.25" customHeight="1"/>
    <row r="5092" customFormat="1" ht="17.25" customHeight="1"/>
    <row r="5093" customFormat="1" ht="17.25" customHeight="1"/>
    <row r="5094" customFormat="1" ht="17.25" customHeight="1"/>
    <row r="5095" customFormat="1" ht="17.25" customHeight="1"/>
    <row r="5096" customFormat="1" ht="17.25" customHeight="1"/>
    <row r="5097" customFormat="1" ht="17.25" customHeight="1"/>
    <row r="5098" customFormat="1" ht="17.25" customHeight="1"/>
    <row r="5099" customFormat="1" ht="17.25" customHeight="1"/>
    <row r="5100" customFormat="1" ht="17.25" customHeight="1"/>
    <row r="5101" customFormat="1" ht="17.25" customHeight="1"/>
    <row r="5102" customFormat="1" ht="17.25" customHeight="1"/>
    <row r="5103" customFormat="1" ht="17.25" customHeight="1"/>
    <row r="5104" customFormat="1" ht="17.25" customHeight="1"/>
    <row r="5105" customFormat="1" ht="17.25" customHeight="1"/>
    <row r="5106" customFormat="1" ht="17.25" customHeight="1"/>
    <row r="5107" customFormat="1" ht="17.25" customHeight="1"/>
    <row r="5108" customFormat="1" ht="17.25" customHeight="1"/>
    <row r="5109" customFormat="1" ht="17.25" customHeight="1"/>
    <row r="5110" customFormat="1" ht="17.25" customHeight="1"/>
    <row r="5111" customFormat="1" ht="17.25" customHeight="1"/>
    <row r="5112" customFormat="1" ht="17.25" customHeight="1"/>
    <row r="5113" customFormat="1" ht="17.25" customHeight="1"/>
    <row r="5114" customFormat="1" ht="17.25" customHeight="1"/>
    <row r="5115" customFormat="1" ht="17.25" customHeight="1"/>
    <row r="5116" customFormat="1" ht="17.25" customHeight="1"/>
    <row r="5117" customFormat="1" ht="17.25" customHeight="1"/>
    <row r="5118" customFormat="1" ht="17.25" customHeight="1"/>
    <row r="5119" customFormat="1" ht="17.25" customHeight="1"/>
    <row r="5120" customFormat="1" ht="17.25" customHeight="1"/>
    <row r="5121" customFormat="1" ht="17.25" customHeight="1"/>
    <row r="5122" customFormat="1" ht="17.25" customHeight="1"/>
    <row r="5123" customFormat="1" ht="17.25" customHeight="1"/>
    <row r="5124" customFormat="1" ht="17.25" customHeight="1"/>
    <row r="5125" customFormat="1" ht="17.25" customHeight="1"/>
    <row r="5126" customFormat="1" ht="17.25" customHeight="1"/>
    <row r="5127" customFormat="1" ht="17.25" customHeight="1"/>
    <row r="5128" customFormat="1" ht="17.25" customHeight="1"/>
    <row r="5129" customFormat="1" ht="17.25" customHeight="1"/>
    <row r="5130" customFormat="1" ht="17.25" customHeight="1"/>
    <row r="5131" customFormat="1" ht="17.25" customHeight="1"/>
    <row r="5132" customFormat="1" ht="17.25" customHeight="1"/>
    <row r="5133" customFormat="1" ht="17.25" customHeight="1"/>
    <row r="5134" customFormat="1" ht="17.25" customHeight="1"/>
    <row r="5135" customFormat="1" ht="17.25" customHeight="1"/>
    <row r="5136" customFormat="1" ht="17.25" customHeight="1"/>
    <row r="5137" customFormat="1" ht="17.25" customHeight="1"/>
    <row r="5138" customFormat="1" ht="17.25" customHeight="1"/>
    <row r="5139" customFormat="1" ht="17.25" customHeight="1"/>
    <row r="5140" customFormat="1" ht="17.25" customHeight="1"/>
    <row r="5141" customFormat="1" ht="17.25" customHeight="1"/>
    <row r="5142" customFormat="1" ht="17.25" customHeight="1"/>
    <row r="5143" customFormat="1" ht="17.25" customHeight="1"/>
    <row r="5144" customFormat="1" ht="17.25" customHeight="1"/>
    <row r="5145" customFormat="1" ht="17.25" customHeight="1"/>
    <row r="5146" customFormat="1" ht="17.25" customHeight="1"/>
    <row r="5147" customFormat="1" ht="17.25" customHeight="1"/>
    <row r="5148" customFormat="1" ht="17.25" customHeight="1"/>
    <row r="5149" customFormat="1" ht="17.25" customHeight="1"/>
    <row r="5150" customFormat="1" ht="17.25" customHeight="1"/>
    <row r="5151" customFormat="1" ht="17.25" customHeight="1"/>
    <row r="5152" customFormat="1" ht="17.25" customHeight="1"/>
    <row r="5153" customFormat="1" ht="17.25" customHeight="1"/>
    <row r="5154" customFormat="1" ht="17.25" customHeight="1"/>
    <row r="5155" customFormat="1" ht="17.25" customHeight="1"/>
    <row r="5156" customFormat="1" ht="17.25" customHeight="1"/>
    <row r="5157" customFormat="1" ht="17.25" customHeight="1"/>
    <row r="5158" customFormat="1" ht="17.25" customHeight="1"/>
    <row r="5159" customFormat="1" ht="17.25" customHeight="1"/>
    <row r="5160" customFormat="1" ht="17.25" customHeight="1"/>
    <row r="5161" customFormat="1" ht="17.25" customHeight="1"/>
    <row r="5162" customFormat="1" ht="17.25" customHeight="1"/>
    <row r="5163" customFormat="1" ht="17.25" customHeight="1"/>
    <row r="5164" customFormat="1" ht="17.25" customHeight="1"/>
    <row r="5165" customFormat="1" ht="17.25" customHeight="1"/>
    <row r="5166" customFormat="1" ht="17.25" customHeight="1"/>
    <row r="5167" customFormat="1" ht="17.25" customHeight="1"/>
    <row r="5168" customFormat="1" ht="17.25" customHeight="1"/>
    <row r="5169" customFormat="1" ht="17.25" customHeight="1"/>
    <row r="5170" customFormat="1" ht="17.25" customHeight="1"/>
    <row r="5171" customFormat="1" ht="17.25" customHeight="1"/>
    <row r="5172" customFormat="1" ht="17.25" customHeight="1"/>
    <row r="5173" customFormat="1" ht="17.25" customHeight="1"/>
    <row r="5174" customFormat="1" ht="17.25" customHeight="1"/>
    <row r="5175" customFormat="1" ht="17.25" customHeight="1"/>
    <row r="5176" customFormat="1" ht="17.25" customHeight="1"/>
    <row r="5177" customFormat="1" ht="17.25" customHeight="1"/>
    <row r="5178" customFormat="1" ht="17.25" customHeight="1"/>
    <row r="5179" customFormat="1" ht="17.25" customHeight="1"/>
    <row r="5180" customFormat="1" ht="17.25" customHeight="1"/>
    <row r="5181" customFormat="1" ht="17.25" customHeight="1"/>
    <row r="5182" customFormat="1" ht="17.25" customHeight="1"/>
    <row r="5183" customFormat="1" ht="17.25" customHeight="1"/>
    <row r="5184" customFormat="1" ht="17.25" customHeight="1"/>
    <row r="5185" customFormat="1" ht="17.25" customHeight="1"/>
    <row r="5186" customFormat="1" ht="17.25" customHeight="1"/>
    <row r="5187" customFormat="1" ht="17.25" customHeight="1"/>
    <row r="5188" customFormat="1" ht="17.25" customHeight="1"/>
    <row r="5189" customFormat="1" ht="17.25" customHeight="1"/>
    <row r="5190" customFormat="1" ht="17.25" customHeight="1"/>
    <row r="5191" customFormat="1" ht="17.25" customHeight="1"/>
    <row r="5192" customFormat="1" ht="17.25" customHeight="1"/>
    <row r="5193" customFormat="1" ht="17.25" customHeight="1"/>
    <row r="5194" customFormat="1" ht="17.25" customHeight="1"/>
    <row r="5195" customFormat="1" ht="17.25" customHeight="1"/>
    <row r="5196" customFormat="1" ht="17.25" customHeight="1"/>
    <row r="5197" customFormat="1" ht="17.25" customHeight="1"/>
    <row r="5198" customFormat="1" ht="17.25" customHeight="1"/>
    <row r="5199" customFormat="1" ht="17.25" customHeight="1"/>
    <row r="5200" customFormat="1" ht="17.25" customHeight="1"/>
    <row r="5201" customFormat="1" ht="17.25" customHeight="1"/>
    <row r="5202" customFormat="1" ht="17.25" customHeight="1"/>
    <row r="5203" customFormat="1" ht="17.25" customHeight="1"/>
    <row r="5204" customFormat="1" ht="17.25" customHeight="1"/>
    <row r="5205" customFormat="1" ht="17.25" customHeight="1"/>
    <row r="5206" customFormat="1" ht="17.25" customHeight="1"/>
    <row r="5207" customFormat="1" ht="17.25" customHeight="1"/>
    <row r="5208" customFormat="1" ht="17.25" customHeight="1"/>
    <row r="5209" customFormat="1" ht="17.25" customHeight="1"/>
    <row r="5210" customFormat="1" ht="17.25" customHeight="1"/>
    <row r="5211" customFormat="1" ht="17.25" customHeight="1"/>
    <row r="5212" customFormat="1" ht="17.25" customHeight="1"/>
    <row r="5213" customFormat="1" ht="17.25" customHeight="1"/>
    <row r="5214" customFormat="1" ht="17.25" customHeight="1"/>
    <row r="5215" customFormat="1" ht="17.25" customHeight="1"/>
    <row r="5216" customFormat="1" ht="17.25" customHeight="1"/>
    <row r="5217" customFormat="1" ht="17.25" customHeight="1"/>
    <row r="5218" customFormat="1" ht="17.25" customHeight="1"/>
    <row r="5219" customFormat="1" ht="17.25" customHeight="1"/>
    <row r="5220" customFormat="1" ht="17.25" customHeight="1"/>
    <row r="5221" customFormat="1" ht="17.25" customHeight="1"/>
    <row r="5222" customFormat="1" ht="17.25" customHeight="1"/>
    <row r="5223" customFormat="1" ht="17.25" customHeight="1"/>
    <row r="5224" customFormat="1" ht="17.25" customHeight="1"/>
    <row r="5225" customFormat="1" ht="17.25" customHeight="1"/>
    <row r="5226" customFormat="1" ht="17.25" customHeight="1"/>
    <row r="5227" customFormat="1" ht="17.25" customHeight="1"/>
    <row r="5228" customFormat="1" ht="17.25" customHeight="1"/>
    <row r="5229" customFormat="1" ht="17.25" customHeight="1"/>
    <row r="5230" customFormat="1" ht="17.25" customHeight="1"/>
    <row r="5231" customFormat="1" ht="17.25" customHeight="1"/>
    <row r="5232" customFormat="1" ht="17.25" customHeight="1"/>
    <row r="5233" customFormat="1" ht="17.25" customHeight="1"/>
    <row r="5234" customFormat="1" ht="17.25" customHeight="1"/>
    <row r="5235" customFormat="1" ht="17.25" customHeight="1"/>
    <row r="5236" customFormat="1" ht="17.25" customHeight="1"/>
    <row r="5237" customFormat="1" ht="17.25" customHeight="1"/>
    <row r="5238" customFormat="1" ht="17.25" customHeight="1"/>
    <row r="5239" customFormat="1" ht="17.25" customHeight="1"/>
    <row r="5240" customFormat="1" ht="17.25" customHeight="1"/>
    <row r="5241" customFormat="1" ht="17.25" customHeight="1"/>
    <row r="5242" customFormat="1" ht="17.25" customHeight="1"/>
    <row r="5243" customFormat="1" ht="17.25" customHeight="1"/>
    <row r="5244" customFormat="1" ht="17.25" customHeight="1"/>
    <row r="5245" customFormat="1" ht="17.25" customHeight="1"/>
    <row r="5246" customFormat="1" ht="17.25" customHeight="1"/>
    <row r="5247" customFormat="1" ht="17.25" customHeight="1"/>
    <row r="5248" customFormat="1" ht="17.25" customHeight="1"/>
    <row r="5249" customFormat="1" ht="17.25" customHeight="1"/>
    <row r="5250" customFormat="1" ht="17.25" customHeight="1"/>
    <row r="5251" customFormat="1" ht="17.25" customHeight="1"/>
    <row r="5252" customFormat="1" ht="17.25" customHeight="1"/>
    <row r="5253" customFormat="1" ht="17.25" customHeight="1"/>
    <row r="5254" customFormat="1" ht="17.25" customHeight="1"/>
    <row r="5255" customFormat="1" ht="17.25" customHeight="1"/>
    <row r="5256" customFormat="1" ht="17.25" customHeight="1"/>
    <row r="5257" customFormat="1" ht="17.25" customHeight="1"/>
    <row r="5258" customFormat="1" ht="17.25" customHeight="1"/>
    <row r="5259" customFormat="1" ht="17.25" customHeight="1"/>
    <row r="5260" customFormat="1" ht="17.25" customHeight="1"/>
    <row r="5261" customFormat="1" ht="17.25" customHeight="1"/>
    <row r="5262" customFormat="1" ht="17.25" customHeight="1"/>
    <row r="5263" customFormat="1" ht="17.25" customHeight="1"/>
    <row r="5264" customFormat="1" ht="17.25" customHeight="1"/>
    <row r="5265" customFormat="1" ht="17.25" customHeight="1"/>
    <row r="5266" customFormat="1" ht="17.25" customHeight="1"/>
    <row r="5267" customFormat="1" ht="17.25" customHeight="1"/>
    <row r="5268" customFormat="1" ht="17.25" customHeight="1"/>
    <row r="5269" customFormat="1" ht="17.25" customHeight="1"/>
    <row r="5270" customFormat="1" ht="17.25" customHeight="1"/>
    <row r="5271" customFormat="1" ht="17.25" customHeight="1"/>
    <row r="5272" customFormat="1" ht="17.25" customHeight="1"/>
    <row r="5273" customFormat="1" ht="17.25" customHeight="1"/>
    <row r="5274" customFormat="1" ht="17.25" customHeight="1"/>
    <row r="5275" customFormat="1" ht="17.25" customHeight="1"/>
    <row r="5276" customFormat="1" ht="17.25" customHeight="1"/>
    <row r="5277" customFormat="1" ht="17.25" customHeight="1"/>
    <row r="5278" customFormat="1" ht="17.25" customHeight="1"/>
    <row r="5279" customFormat="1" ht="17.25" customHeight="1"/>
    <row r="5280" customFormat="1" ht="17.25" customHeight="1"/>
    <row r="5281" customFormat="1" ht="17.25" customHeight="1"/>
    <row r="5282" customFormat="1" ht="17.25" customHeight="1"/>
    <row r="5283" customFormat="1" ht="17.25" customHeight="1"/>
    <row r="5284" customFormat="1" ht="17.25" customHeight="1"/>
    <row r="5285" customFormat="1" ht="17.25" customHeight="1"/>
    <row r="5286" customFormat="1" ht="17.25" customHeight="1"/>
    <row r="5287" customFormat="1" ht="17.25" customHeight="1"/>
    <row r="5288" customFormat="1" ht="17.25" customHeight="1"/>
    <row r="5289" customFormat="1" ht="17.25" customHeight="1"/>
    <row r="5290" customFormat="1" ht="17.25" customHeight="1"/>
    <row r="5291" customFormat="1" ht="17.25" customHeight="1"/>
    <row r="5292" customFormat="1" ht="17.25" customHeight="1"/>
    <row r="5293" customFormat="1" ht="17.25" customHeight="1"/>
    <row r="5294" customFormat="1" ht="17.25" customHeight="1"/>
    <row r="5295" customFormat="1" ht="17.25" customHeight="1"/>
    <row r="5296" customFormat="1" ht="17.25" customHeight="1"/>
    <row r="5297" customFormat="1" ht="17.25" customHeight="1"/>
    <row r="5298" customFormat="1" ht="17.25" customHeight="1"/>
    <row r="5299" customFormat="1" ht="17.25" customHeight="1"/>
    <row r="5300" customFormat="1" ht="17.25" customHeight="1"/>
    <row r="5301" customFormat="1" ht="17.25" customHeight="1"/>
    <row r="5302" customFormat="1" ht="17.25" customHeight="1"/>
    <row r="5303" customFormat="1" ht="17.25" customHeight="1"/>
    <row r="5304" customFormat="1" ht="17.25" customHeight="1"/>
    <row r="5305" customFormat="1" ht="17.25" customHeight="1"/>
    <row r="5306" customFormat="1" ht="17.25" customHeight="1"/>
    <row r="5307" customFormat="1" ht="17.25" customHeight="1"/>
    <row r="5308" customFormat="1" ht="17.25" customHeight="1"/>
    <row r="5309" customFormat="1" ht="17.25" customHeight="1"/>
    <row r="5310" customFormat="1" ht="17.25" customHeight="1"/>
    <row r="5311" customFormat="1" ht="17.25" customHeight="1"/>
    <row r="5312" customFormat="1" ht="17.25" customHeight="1"/>
    <row r="5313" customFormat="1" ht="17.25" customHeight="1"/>
    <row r="5314" customFormat="1" ht="17.25" customHeight="1"/>
    <row r="5315" customFormat="1" ht="17.25" customHeight="1"/>
    <row r="5316" customFormat="1" ht="17.25" customHeight="1"/>
    <row r="5317" customFormat="1" ht="17.25" customHeight="1"/>
    <row r="5318" customFormat="1" ht="17.25" customHeight="1"/>
    <row r="5319" customFormat="1" ht="17.25" customHeight="1"/>
    <row r="5320" customFormat="1" ht="17.25" customHeight="1"/>
    <row r="5321" customFormat="1" ht="17.25" customHeight="1"/>
    <row r="5322" customFormat="1" ht="17.25" customHeight="1"/>
    <row r="5323" customFormat="1" ht="17.25" customHeight="1"/>
    <row r="5324" customFormat="1" ht="17.25" customHeight="1"/>
    <row r="5325" customFormat="1" ht="17.25" customHeight="1"/>
    <row r="5326" customFormat="1" ht="17.25" customHeight="1"/>
    <row r="5327" customFormat="1" ht="17.25" customHeight="1"/>
    <row r="5328" customFormat="1" ht="17.25" customHeight="1"/>
    <row r="5329" customFormat="1" ht="17.25" customHeight="1"/>
    <row r="5330" customFormat="1" ht="17.25" customHeight="1"/>
    <row r="5331" customFormat="1" ht="17.25" customHeight="1"/>
    <row r="5332" customFormat="1" ht="17.25" customHeight="1"/>
    <row r="5333" customFormat="1" ht="17.25" customHeight="1"/>
    <row r="5334" customFormat="1" ht="17.25" customHeight="1"/>
    <row r="5335" customFormat="1" ht="17.25" customHeight="1"/>
    <row r="5336" customFormat="1" ht="17.25" customHeight="1"/>
    <row r="5337" customFormat="1" ht="17.25" customHeight="1"/>
    <row r="5338" customFormat="1" ht="17.25" customHeight="1"/>
    <row r="5339" customFormat="1" ht="17.25" customHeight="1"/>
    <row r="5340" customFormat="1" ht="17.25" customHeight="1"/>
    <row r="5341" customFormat="1" ht="17.25" customHeight="1"/>
    <row r="5342" customFormat="1" ht="17.25" customHeight="1"/>
    <row r="5343" customFormat="1" ht="17.25" customHeight="1"/>
    <row r="5344" customFormat="1" ht="17.25" customHeight="1"/>
    <row r="5345" customFormat="1" ht="17.25" customHeight="1"/>
    <row r="5346" customFormat="1" ht="17.25" customHeight="1"/>
    <row r="5347" customFormat="1" ht="17.25" customHeight="1"/>
    <row r="5348" customFormat="1" ht="17.25" customHeight="1"/>
    <row r="5349" customFormat="1" ht="17.25" customHeight="1"/>
    <row r="5350" customFormat="1" ht="17.25" customHeight="1"/>
    <row r="5351" customFormat="1" ht="17.25" customHeight="1"/>
    <row r="5352" customFormat="1" ht="17.25" customHeight="1"/>
    <row r="5353" customFormat="1" ht="17.25" customHeight="1"/>
    <row r="5354" customFormat="1" ht="17.25" customHeight="1"/>
    <row r="5355" customFormat="1" ht="17.25" customHeight="1"/>
    <row r="5356" customFormat="1" ht="17.25" customHeight="1"/>
    <row r="5357" customFormat="1" ht="17.25" customHeight="1"/>
    <row r="5358" customFormat="1" ht="17.25" customHeight="1"/>
    <row r="5359" customFormat="1" ht="17.25" customHeight="1"/>
    <row r="5360" customFormat="1" ht="17.25" customHeight="1"/>
    <row r="5361" customFormat="1" ht="17.25" customHeight="1"/>
    <row r="5362" customFormat="1" ht="17.25" customHeight="1"/>
    <row r="5363" customFormat="1" ht="17.25" customHeight="1"/>
    <row r="5364" customFormat="1" ht="17.25" customHeight="1"/>
    <row r="5365" customFormat="1" ht="17.25" customHeight="1"/>
    <row r="5366" customFormat="1" ht="17.25" customHeight="1"/>
    <row r="5367" customFormat="1" ht="17.25" customHeight="1"/>
    <row r="5368" customFormat="1" ht="17.25" customHeight="1"/>
    <row r="5369" customFormat="1" ht="17.25" customHeight="1"/>
    <row r="5370" customFormat="1" ht="17.25" customHeight="1"/>
    <row r="5371" customFormat="1" ht="17.25" customHeight="1"/>
    <row r="5372" customFormat="1" ht="17.25" customHeight="1"/>
    <row r="5373" customFormat="1" ht="17.25" customHeight="1"/>
    <row r="5374" customFormat="1" ht="17.25" customHeight="1"/>
    <row r="5375" customFormat="1" ht="17.25" customHeight="1"/>
    <row r="5376" customFormat="1" ht="17.25" customHeight="1"/>
    <row r="5377" customFormat="1" ht="17.25" customHeight="1"/>
    <row r="5378" customFormat="1" ht="17.25" customHeight="1"/>
    <row r="5379" customFormat="1" ht="17.25" customHeight="1"/>
    <row r="5380" customFormat="1" ht="17.25" customHeight="1"/>
    <row r="5381" customFormat="1" ht="17.25" customHeight="1"/>
    <row r="5382" customFormat="1" ht="17.25" customHeight="1"/>
    <row r="5383" customFormat="1" ht="17.25" customHeight="1"/>
    <row r="5384" customFormat="1" ht="17.25" customHeight="1"/>
    <row r="5385" customFormat="1" ht="17.25" customHeight="1"/>
    <row r="5386" customFormat="1" ht="17.25" customHeight="1"/>
    <row r="5387" customFormat="1" ht="17.25" customHeight="1"/>
    <row r="5388" customFormat="1" ht="17.25" customHeight="1"/>
    <row r="5389" customFormat="1" ht="17.25" customHeight="1"/>
    <row r="5390" customFormat="1" ht="17.25" customHeight="1"/>
    <row r="5391" customFormat="1" ht="17.25" customHeight="1"/>
    <row r="5392" customFormat="1" ht="17.25" customHeight="1"/>
    <row r="5393" customFormat="1" ht="17.25" customHeight="1"/>
    <row r="5394" customFormat="1" ht="17.25" customHeight="1"/>
    <row r="5395" customFormat="1" ht="17.25" customHeight="1"/>
    <row r="5396" customFormat="1" ht="17.25" customHeight="1"/>
    <row r="5397" customFormat="1" ht="17.25" customHeight="1"/>
    <row r="5398" customFormat="1" ht="17.25" customHeight="1"/>
    <row r="5399" customFormat="1" ht="17.25" customHeight="1"/>
    <row r="5400" customFormat="1" ht="17.25" customHeight="1"/>
    <row r="5401" customFormat="1" ht="17.25" customHeight="1"/>
    <row r="5402" customFormat="1" ht="17.25" customHeight="1"/>
    <row r="5403" customFormat="1" ht="17.25" customHeight="1"/>
    <row r="5404" customFormat="1" ht="17.25" customHeight="1"/>
    <row r="5405" customFormat="1" ht="17.25" customHeight="1"/>
    <row r="5406" customFormat="1" ht="17.25" customHeight="1"/>
    <row r="5407" customFormat="1" ht="17.25" customHeight="1"/>
    <row r="5408" customFormat="1" ht="17.25" customHeight="1"/>
    <row r="5409" customFormat="1" ht="17.25" customHeight="1"/>
    <row r="5410" customFormat="1" ht="17.25" customHeight="1"/>
    <row r="5411" customFormat="1" ht="17.25" customHeight="1"/>
    <row r="5412" customFormat="1" ht="17.25" customHeight="1"/>
    <row r="5413" customFormat="1" ht="17.25" customHeight="1"/>
    <row r="5414" customFormat="1" ht="17.25" customHeight="1"/>
    <row r="5415" customFormat="1" ht="17.25" customHeight="1"/>
    <row r="5416" customFormat="1" ht="17.25" customHeight="1"/>
    <row r="5417" customFormat="1" ht="17.25" customHeight="1"/>
    <row r="5418" customFormat="1" ht="17.25" customHeight="1"/>
    <row r="5419" customFormat="1" ht="17.25" customHeight="1"/>
    <row r="5420" customFormat="1" ht="17.25" customHeight="1"/>
    <row r="5421" customFormat="1" ht="17.25" customHeight="1"/>
    <row r="5422" customFormat="1" ht="17.25" customHeight="1"/>
    <row r="5423" customFormat="1" ht="17.25" customHeight="1"/>
    <row r="5424" customFormat="1" ht="17.25" customHeight="1"/>
    <row r="5425" customFormat="1" ht="17.25" customHeight="1"/>
    <row r="5426" customFormat="1" ht="17.25" customHeight="1"/>
    <row r="5427" customFormat="1" ht="17.25" customHeight="1"/>
    <row r="5428" customFormat="1" ht="17.25" customHeight="1"/>
    <row r="5429" customFormat="1" ht="17.25" customHeight="1"/>
    <row r="5430" customFormat="1" ht="17.25" customHeight="1"/>
    <row r="5431" customFormat="1" ht="17.25" customHeight="1"/>
    <row r="5432" customFormat="1" ht="17.25" customHeight="1"/>
    <row r="5433" customFormat="1" ht="17.25" customHeight="1"/>
    <row r="5434" customFormat="1" ht="17.25" customHeight="1"/>
    <row r="5435" customFormat="1" ht="17.25" customHeight="1"/>
    <row r="5436" customFormat="1" ht="17.25" customHeight="1"/>
    <row r="5437" customFormat="1" ht="17.25" customHeight="1"/>
    <row r="5438" customFormat="1" ht="17.25" customHeight="1"/>
    <row r="5439" customFormat="1" ht="17.25" customHeight="1"/>
    <row r="5440" customFormat="1" ht="17.25" customHeight="1"/>
    <row r="5441" customFormat="1" ht="17.25" customHeight="1"/>
    <row r="5442" customFormat="1" ht="17.25" customHeight="1"/>
    <row r="5443" customFormat="1" ht="17.25" customHeight="1"/>
    <row r="5444" customFormat="1" ht="17.25" customHeight="1"/>
    <row r="5445" customFormat="1" ht="17.25" customHeight="1"/>
    <row r="5446" customFormat="1" ht="17.25" customHeight="1"/>
    <row r="5447" customFormat="1" ht="17.25" customHeight="1"/>
    <row r="5448" customFormat="1" ht="17.25" customHeight="1"/>
    <row r="5449" customFormat="1" ht="17.25" customHeight="1"/>
    <row r="5450" customFormat="1" ht="17.25" customHeight="1"/>
    <row r="5451" customFormat="1" ht="17.25" customHeight="1"/>
    <row r="5452" customFormat="1" ht="17.25" customHeight="1"/>
    <row r="5453" customFormat="1" ht="17.25" customHeight="1"/>
    <row r="5454" customFormat="1" ht="17.25" customHeight="1"/>
    <row r="5455" customFormat="1" ht="17.25" customHeight="1"/>
    <row r="5456" customFormat="1" ht="17.25" customHeight="1"/>
    <row r="5457" customFormat="1" ht="17.25" customHeight="1"/>
    <row r="5458" customFormat="1" ht="17.25" customHeight="1"/>
    <row r="5459" customFormat="1" ht="17.25" customHeight="1"/>
    <row r="5460" customFormat="1" ht="17.25" customHeight="1"/>
    <row r="5461" customFormat="1" ht="17.25" customHeight="1"/>
    <row r="5462" customFormat="1" ht="17.25" customHeight="1"/>
    <row r="5463" customFormat="1" ht="17.25" customHeight="1"/>
    <row r="5464" customFormat="1" ht="17.25" customHeight="1"/>
    <row r="5465" customFormat="1" ht="17.25" customHeight="1"/>
    <row r="5466" customFormat="1" ht="17.25" customHeight="1"/>
    <row r="5467" customFormat="1" ht="17.25" customHeight="1"/>
    <row r="5468" customFormat="1" ht="17.25" customHeight="1"/>
    <row r="5469" customFormat="1" ht="17.25" customHeight="1"/>
    <row r="5470" customFormat="1" ht="17.25" customHeight="1"/>
    <row r="5471" customFormat="1" ht="17.25" customHeight="1"/>
    <row r="5472" customFormat="1" ht="17.25" customHeight="1"/>
    <row r="5473" customFormat="1" ht="17.25" customHeight="1"/>
    <row r="5474" customFormat="1" ht="17.25" customHeight="1"/>
    <row r="5475" customFormat="1" ht="17.25" customHeight="1"/>
    <row r="5476" customFormat="1" ht="17.25" customHeight="1"/>
    <row r="5477" customFormat="1" ht="17.25" customHeight="1"/>
    <row r="5478" customFormat="1" ht="17.25" customHeight="1"/>
    <row r="5479" customFormat="1" ht="17.25" customHeight="1"/>
    <row r="5480" customFormat="1" ht="17.25" customHeight="1"/>
    <row r="5481" customFormat="1" ht="17.25" customHeight="1"/>
    <row r="5482" customFormat="1" ht="17.25" customHeight="1"/>
    <row r="5483" customFormat="1" ht="17.25" customHeight="1"/>
    <row r="5484" customFormat="1" ht="17.25" customHeight="1"/>
    <row r="5485" customFormat="1" ht="17.25" customHeight="1"/>
    <row r="5486" customFormat="1" ht="17.25" customHeight="1"/>
    <row r="5487" customFormat="1" ht="17.25" customHeight="1"/>
    <row r="5488" customFormat="1" ht="17.25" customHeight="1"/>
    <row r="5489" customFormat="1" ht="17.25" customHeight="1"/>
    <row r="5490" customFormat="1" ht="17.25" customHeight="1"/>
    <row r="5491" customFormat="1" ht="17.25" customHeight="1"/>
    <row r="5492" customFormat="1" ht="17.25" customHeight="1"/>
    <row r="5493" customFormat="1" ht="17.25" customHeight="1"/>
    <row r="5494" customFormat="1" ht="17.25" customHeight="1"/>
    <row r="5495" customFormat="1" ht="17.25" customHeight="1"/>
    <row r="5496" customFormat="1" ht="17.25" customHeight="1"/>
    <row r="5497" customFormat="1" ht="17.25" customHeight="1"/>
    <row r="5498" customFormat="1" ht="17.25" customHeight="1"/>
    <row r="5499" customFormat="1" ht="17.25" customHeight="1"/>
    <row r="5500" customFormat="1" ht="17.25" customHeight="1"/>
    <row r="5501" customFormat="1" ht="17.25" customHeight="1"/>
    <row r="5502" customFormat="1" ht="17.25" customHeight="1"/>
    <row r="5503" customFormat="1" ht="17.25" customHeight="1"/>
    <row r="5504" customFormat="1" ht="17.25" customHeight="1"/>
    <row r="5505" customFormat="1" ht="17.25" customHeight="1"/>
    <row r="5506" customFormat="1" ht="17.25" customHeight="1"/>
    <row r="5507" customFormat="1" ht="17.25" customHeight="1"/>
    <row r="5508" customFormat="1" ht="17.25" customHeight="1"/>
    <row r="5509" customFormat="1" ht="17.25" customHeight="1"/>
    <row r="5510" customFormat="1" ht="17.25" customHeight="1"/>
    <row r="5511" customFormat="1" ht="17.25" customHeight="1"/>
    <row r="5512" customFormat="1" ht="17.25" customHeight="1"/>
    <row r="5513" customFormat="1" ht="17.25" customHeight="1"/>
    <row r="5514" customFormat="1" ht="17.25" customHeight="1"/>
    <row r="5515" customFormat="1" ht="17.25" customHeight="1"/>
    <row r="5516" customFormat="1" ht="17.25" customHeight="1"/>
    <row r="5517" customFormat="1" ht="17.25" customHeight="1"/>
    <row r="5518" customFormat="1" ht="17.25" customHeight="1"/>
    <row r="5519" customFormat="1" ht="17.25" customHeight="1"/>
    <row r="5520" customFormat="1" ht="17.25" customHeight="1"/>
    <row r="5521" customFormat="1" ht="17.25" customHeight="1"/>
    <row r="5522" customFormat="1" ht="17.25" customHeight="1"/>
    <row r="5523" customFormat="1" ht="17.25" customHeight="1"/>
    <row r="5524" customFormat="1" ht="17.25" customHeight="1"/>
    <row r="5525" customFormat="1" ht="17.25" customHeight="1"/>
    <row r="5526" customFormat="1" ht="17.25" customHeight="1"/>
    <row r="5527" customFormat="1" ht="17.25" customHeight="1"/>
    <row r="5528" customFormat="1" ht="17.25" customHeight="1"/>
    <row r="5529" customFormat="1" ht="17.25" customHeight="1"/>
    <row r="5530" customFormat="1" ht="17.25" customHeight="1"/>
    <row r="5531" customFormat="1" ht="17.25" customHeight="1"/>
    <row r="5532" customFormat="1" ht="17.25" customHeight="1"/>
    <row r="5533" customFormat="1" ht="17.25" customHeight="1"/>
    <row r="5534" customFormat="1" ht="17.25" customHeight="1"/>
    <row r="5535" customFormat="1" ht="17.25" customHeight="1"/>
    <row r="5536" customFormat="1" ht="17.25" customHeight="1"/>
    <row r="5537" customFormat="1" ht="17.25" customHeight="1"/>
    <row r="5538" customFormat="1" ht="17.25" customHeight="1"/>
    <row r="5539" customFormat="1" ht="17.25" customHeight="1"/>
    <row r="5540" customFormat="1" ht="17.25" customHeight="1"/>
    <row r="5541" customFormat="1" ht="17.25" customHeight="1"/>
    <row r="5542" customFormat="1" ht="17.25" customHeight="1"/>
    <row r="5543" customFormat="1" ht="17.25" customHeight="1"/>
    <row r="5544" customFormat="1" ht="17.25" customHeight="1"/>
    <row r="5545" customFormat="1" ht="17.25" customHeight="1"/>
    <row r="5546" customFormat="1" ht="17.25" customHeight="1"/>
    <row r="5547" customFormat="1" ht="17.25" customHeight="1"/>
    <row r="5548" customFormat="1" ht="17.25" customHeight="1"/>
    <row r="5549" customFormat="1" ht="17.25" customHeight="1"/>
    <row r="5550" customFormat="1" ht="17.25" customHeight="1"/>
    <row r="5551" customFormat="1" ht="17.25" customHeight="1"/>
    <row r="5552" customFormat="1" ht="17.25" customHeight="1"/>
    <row r="5553" customFormat="1" ht="17.25" customHeight="1"/>
    <row r="5554" customFormat="1" ht="17.25" customHeight="1"/>
    <row r="5555" customFormat="1" ht="17.25" customHeight="1"/>
    <row r="5556" customFormat="1" ht="17.25" customHeight="1"/>
    <row r="5557" customFormat="1" ht="17.25" customHeight="1"/>
    <row r="5558" customFormat="1" ht="17.25" customHeight="1"/>
    <row r="5559" customFormat="1" ht="17.25" customHeight="1"/>
    <row r="5560" customFormat="1" ht="17.25" customHeight="1"/>
    <row r="5561" customFormat="1" ht="17.25" customHeight="1"/>
    <row r="5562" customFormat="1" ht="17.25" customHeight="1"/>
    <row r="5563" customFormat="1" ht="17.25" customHeight="1"/>
    <row r="5564" customFormat="1" ht="17.25" customHeight="1"/>
    <row r="5565" customFormat="1" ht="17.25" customHeight="1"/>
    <row r="5566" customFormat="1" ht="17.25" customHeight="1"/>
    <row r="5567" customFormat="1" ht="17.25" customHeight="1"/>
    <row r="5568" customFormat="1" ht="17.25" customHeight="1"/>
    <row r="5569" customFormat="1" ht="17.25" customHeight="1"/>
    <row r="5570" customFormat="1" ht="17.25" customHeight="1"/>
    <row r="5571" customFormat="1" ht="17.25" customHeight="1"/>
    <row r="5572" customFormat="1" ht="17.25" customHeight="1"/>
    <row r="5573" customFormat="1" ht="17.25" customHeight="1"/>
    <row r="5574" customFormat="1" ht="17.25" customHeight="1"/>
    <row r="5575" customFormat="1" ht="17.25" customHeight="1"/>
    <row r="5576" customFormat="1" ht="17.25" customHeight="1"/>
    <row r="5577" customFormat="1" ht="17.25" customHeight="1"/>
    <row r="5578" customFormat="1" ht="17.25" customHeight="1"/>
    <row r="5579" customFormat="1" ht="17.25" customHeight="1"/>
    <row r="5580" customFormat="1" ht="17.25" customHeight="1"/>
    <row r="5581" customFormat="1" ht="17.25" customHeight="1"/>
    <row r="5582" customFormat="1" ht="17.25" customHeight="1"/>
    <row r="5583" customFormat="1" ht="17.25" customHeight="1"/>
    <row r="5584" customFormat="1" ht="17.25" customHeight="1"/>
    <row r="5585" customFormat="1" ht="17.25" customHeight="1"/>
    <row r="5586" customFormat="1" ht="17.25" customHeight="1"/>
    <row r="5587" customFormat="1" ht="17.25" customHeight="1"/>
    <row r="5588" customFormat="1" ht="17.25" customHeight="1"/>
    <row r="5589" customFormat="1" ht="17.25" customHeight="1"/>
    <row r="5590" customFormat="1" ht="17.25" customHeight="1"/>
    <row r="5591" customFormat="1" ht="17.25" customHeight="1"/>
    <row r="5592" customFormat="1" ht="17.25" customHeight="1"/>
    <row r="5593" customFormat="1" ht="17.25" customHeight="1"/>
    <row r="5594" customFormat="1" ht="17.25" customHeight="1"/>
    <row r="5595" customFormat="1" ht="17.25" customHeight="1"/>
    <row r="5596" customFormat="1" ht="17.25" customHeight="1"/>
    <row r="5597" customFormat="1" ht="17.25" customHeight="1"/>
    <row r="5598" customFormat="1" ht="17.25" customHeight="1"/>
    <row r="5599" customFormat="1" ht="17.25" customHeight="1"/>
    <row r="5600" customFormat="1" ht="17.25" customHeight="1"/>
    <row r="5601" customFormat="1" ht="17.25" customHeight="1"/>
    <row r="5602" customFormat="1" ht="17.25" customHeight="1"/>
    <row r="5603" customFormat="1" ht="17.25" customHeight="1"/>
    <row r="5604" customFormat="1" ht="17.25" customHeight="1"/>
    <row r="5605" customFormat="1" ht="17.25" customHeight="1"/>
    <row r="5606" customFormat="1" ht="17.25" customHeight="1"/>
    <row r="5607" customFormat="1" ht="17.25" customHeight="1"/>
    <row r="5608" customFormat="1" ht="17.25" customHeight="1"/>
    <row r="5609" customFormat="1" ht="17.25" customHeight="1"/>
    <row r="5610" customFormat="1" ht="17.25" customHeight="1"/>
    <row r="5611" customFormat="1" ht="17.25" customHeight="1"/>
    <row r="5612" customFormat="1" ht="17.25" customHeight="1"/>
    <row r="5613" customFormat="1" ht="17.25" customHeight="1"/>
    <row r="5614" customFormat="1" ht="17.25" customHeight="1"/>
    <row r="5615" customFormat="1" ht="17.25" customHeight="1"/>
    <row r="5616" customFormat="1" ht="17.25" customHeight="1"/>
    <row r="5617" customFormat="1" ht="17.25" customHeight="1"/>
    <row r="5618" customFormat="1" ht="17.25" customHeight="1"/>
    <row r="5619" customFormat="1" ht="17.25" customHeight="1"/>
    <row r="5620" customFormat="1" ht="17.25" customHeight="1"/>
    <row r="5621" customFormat="1" ht="17.25" customHeight="1"/>
    <row r="5622" customFormat="1" ht="17.25" customHeight="1"/>
    <row r="5623" customFormat="1" ht="17.25" customHeight="1"/>
    <row r="5624" customFormat="1" ht="17.25" customHeight="1"/>
    <row r="5625" customFormat="1" ht="17.25" customHeight="1"/>
    <row r="5626" customFormat="1" ht="17.25" customHeight="1"/>
    <row r="5627" customFormat="1" ht="17.25" customHeight="1"/>
    <row r="5628" customFormat="1" ht="17.25" customHeight="1"/>
    <row r="5629" customFormat="1" ht="17.25" customHeight="1"/>
    <row r="5630" customFormat="1" ht="17.25" customHeight="1"/>
    <row r="5631" customFormat="1" ht="17.25" customHeight="1"/>
    <row r="5632" customFormat="1" ht="17.25" customHeight="1"/>
    <row r="5633" customFormat="1" ht="17.25" customHeight="1"/>
    <row r="5634" customFormat="1" ht="17.25" customHeight="1"/>
    <row r="5635" customFormat="1" ht="17.25" customHeight="1"/>
    <row r="5636" customFormat="1" ht="17.25" customHeight="1"/>
    <row r="5637" customFormat="1" ht="17.25" customHeight="1"/>
    <row r="5638" customFormat="1" ht="17.25" customHeight="1"/>
    <row r="5639" customFormat="1" ht="17.25" customHeight="1"/>
    <row r="5640" customFormat="1" ht="17.25" customHeight="1"/>
    <row r="5641" customFormat="1" ht="17.25" customHeight="1"/>
    <row r="5642" customFormat="1" ht="17.25" customHeight="1"/>
    <row r="5643" customFormat="1" ht="17.25" customHeight="1"/>
    <row r="5644" customFormat="1" ht="17.25" customHeight="1"/>
    <row r="5645" customFormat="1" ht="17.25" customHeight="1"/>
    <row r="5646" customFormat="1" ht="17.25" customHeight="1"/>
    <row r="5647" customFormat="1" ht="17.25" customHeight="1"/>
    <row r="5648" customFormat="1" ht="17.25" customHeight="1"/>
    <row r="5649" customFormat="1" ht="17.25" customHeight="1"/>
    <row r="5650" customFormat="1" ht="17.25" customHeight="1"/>
    <row r="5651" customFormat="1" ht="17.25" customHeight="1"/>
    <row r="5652" customFormat="1" ht="17.25" customHeight="1"/>
    <row r="5653" customFormat="1" ht="17.25" customHeight="1"/>
    <row r="5654" customFormat="1" ht="17.25" customHeight="1"/>
    <row r="5655" customFormat="1" ht="17.25" customHeight="1"/>
    <row r="5656" customFormat="1" ht="17.25" customHeight="1"/>
    <row r="5657" customFormat="1" ht="17.25" customHeight="1"/>
    <row r="5658" customFormat="1" ht="17.25" customHeight="1"/>
    <row r="5659" customFormat="1" ht="17.25" customHeight="1"/>
    <row r="5660" customFormat="1" ht="17.25" customHeight="1"/>
    <row r="5661" customFormat="1" ht="17.25" customHeight="1"/>
    <row r="5662" customFormat="1" ht="17.25" customHeight="1"/>
    <row r="5663" customFormat="1" ht="17.25" customHeight="1"/>
    <row r="5664" customFormat="1" ht="17.25" customHeight="1"/>
    <row r="5665" customFormat="1" ht="17.25" customHeight="1"/>
    <row r="5666" customFormat="1" ht="17.25" customHeight="1"/>
    <row r="5667" customFormat="1" ht="17.25" customHeight="1"/>
    <row r="5668" customFormat="1" ht="17.25" customHeight="1"/>
    <row r="5669" customFormat="1" ht="17.25" customHeight="1"/>
    <row r="5670" customFormat="1" ht="17.25" customHeight="1"/>
    <row r="5671" customFormat="1" ht="17.25" customHeight="1"/>
    <row r="5672" customFormat="1" ht="17.25" customHeight="1"/>
    <row r="5673" customFormat="1" ht="17.25" customHeight="1"/>
    <row r="5674" customFormat="1" ht="17.25" customHeight="1"/>
    <row r="5675" customFormat="1" ht="17.25" customHeight="1"/>
    <row r="5676" customFormat="1" ht="17.25" customHeight="1"/>
    <row r="5677" customFormat="1" ht="17.25" customHeight="1"/>
    <row r="5678" customFormat="1" ht="17.25" customHeight="1"/>
    <row r="5679" customFormat="1" ht="17.25" customHeight="1"/>
    <row r="5680" customFormat="1" ht="17.25" customHeight="1"/>
    <row r="5681" customFormat="1" ht="17.25" customHeight="1"/>
    <row r="5682" customFormat="1" ht="17.25" customHeight="1"/>
    <row r="5683" customFormat="1" ht="17.25" customHeight="1"/>
    <row r="5684" customFormat="1" ht="17.25" customHeight="1"/>
    <row r="5685" customFormat="1" ht="17.25" customHeight="1"/>
    <row r="5686" customFormat="1" ht="17.25" customHeight="1"/>
    <row r="5687" customFormat="1" ht="17.25" customHeight="1"/>
    <row r="5688" customFormat="1" ht="17.25" customHeight="1"/>
    <row r="5689" customFormat="1" ht="17.25" customHeight="1"/>
    <row r="5690" customFormat="1" ht="17.25" customHeight="1"/>
    <row r="5691" customFormat="1" ht="17.25" customHeight="1"/>
    <row r="5692" customFormat="1" ht="17.25" customHeight="1"/>
    <row r="5693" customFormat="1" ht="17.25" customHeight="1"/>
    <row r="5694" customFormat="1" ht="17.25" customHeight="1"/>
    <row r="5695" customFormat="1" ht="17.25" customHeight="1"/>
    <row r="5696" customFormat="1" ht="17.25" customHeight="1"/>
    <row r="5697" customFormat="1" ht="17.25" customHeight="1"/>
    <row r="5698" customFormat="1" ht="17.25" customHeight="1"/>
    <row r="5699" customFormat="1" ht="17.25" customHeight="1"/>
    <row r="5700" customFormat="1" ht="17.25" customHeight="1"/>
    <row r="5701" customFormat="1" ht="17.25" customHeight="1"/>
    <row r="5702" customFormat="1" ht="17.25" customHeight="1"/>
    <row r="5703" customFormat="1" ht="17.25" customHeight="1"/>
    <row r="5704" customFormat="1" ht="17.25" customHeight="1"/>
    <row r="5705" customFormat="1" ht="17.25" customHeight="1"/>
    <row r="5706" customFormat="1" ht="17.25" customHeight="1"/>
    <row r="5707" customFormat="1" ht="17.25" customHeight="1"/>
    <row r="5708" customFormat="1" ht="17.25" customHeight="1"/>
    <row r="5709" customFormat="1" ht="17.25" customHeight="1"/>
    <row r="5710" customFormat="1" ht="17.25" customHeight="1"/>
    <row r="5711" customFormat="1" ht="17.25" customHeight="1"/>
    <row r="5712" customFormat="1" ht="17.25" customHeight="1"/>
    <row r="5713" customFormat="1" ht="17.25" customHeight="1"/>
    <row r="5714" customFormat="1" ht="17.25" customHeight="1"/>
    <row r="5715" customFormat="1" ht="17.25" customHeight="1"/>
    <row r="5716" customFormat="1" ht="17.25" customHeight="1"/>
    <row r="5717" customFormat="1" ht="17.25" customHeight="1"/>
    <row r="5718" customFormat="1" ht="17.25" customHeight="1"/>
    <row r="5719" customFormat="1" ht="17.25" customHeight="1"/>
    <row r="5720" customFormat="1" ht="17.25" customHeight="1"/>
    <row r="5721" customFormat="1" ht="17.25" customHeight="1"/>
    <row r="5722" customFormat="1" ht="17.25" customHeight="1"/>
    <row r="5723" customFormat="1" ht="17.25" customHeight="1"/>
    <row r="5724" customFormat="1" ht="17.25" customHeight="1"/>
    <row r="5725" customFormat="1" ht="17.25" customHeight="1"/>
    <row r="5726" customFormat="1" ht="17.25" customHeight="1"/>
    <row r="5727" customFormat="1" ht="17.25" customHeight="1"/>
    <row r="5728" customFormat="1" ht="17.25" customHeight="1"/>
    <row r="5729" customFormat="1" ht="17.25" customHeight="1"/>
    <row r="5730" customFormat="1" ht="17.25" customHeight="1"/>
    <row r="5731" customFormat="1" ht="17.25" customHeight="1"/>
    <row r="5732" customFormat="1" ht="17.25" customHeight="1"/>
    <row r="5733" customFormat="1" ht="17.25" customHeight="1"/>
    <row r="5734" customFormat="1" ht="17.25" customHeight="1"/>
    <row r="5735" customFormat="1" ht="17.25" customHeight="1"/>
    <row r="5736" customFormat="1" ht="17.25" customHeight="1"/>
    <row r="5737" customFormat="1" ht="17.25" customHeight="1"/>
    <row r="5738" customFormat="1" ht="17.25" customHeight="1"/>
    <row r="5739" customFormat="1" ht="17.25" customHeight="1"/>
    <row r="5740" customFormat="1" ht="17.25" customHeight="1"/>
    <row r="5741" customFormat="1" ht="17.25" customHeight="1"/>
    <row r="5742" customFormat="1" ht="17.25" customHeight="1"/>
    <row r="5743" customFormat="1" ht="17.25" customHeight="1"/>
    <row r="5744" customFormat="1" ht="17.25" customHeight="1"/>
    <row r="5745" customFormat="1" ht="17.25" customHeight="1"/>
    <row r="5746" customFormat="1" ht="17.25" customHeight="1"/>
    <row r="5747" customFormat="1" ht="17.25" customHeight="1"/>
    <row r="5748" customFormat="1" ht="17.25" customHeight="1"/>
    <row r="5749" customFormat="1" ht="17.25" customHeight="1"/>
    <row r="5750" customFormat="1" ht="17.25" customHeight="1"/>
    <row r="5751" customFormat="1" ht="17.25" customHeight="1"/>
    <row r="5752" customFormat="1" ht="17.25" customHeight="1"/>
    <row r="5753" customFormat="1" ht="17.25" customHeight="1"/>
    <row r="5754" customFormat="1" ht="17.25" customHeight="1"/>
    <row r="5755" customFormat="1" ht="17.25" customHeight="1"/>
    <row r="5756" customFormat="1" ht="17.25" customHeight="1"/>
    <row r="5757" customFormat="1" ht="17.25" customHeight="1"/>
    <row r="5758" customFormat="1" ht="17.25" customHeight="1"/>
    <row r="5759" customFormat="1" ht="17.25" customHeight="1"/>
    <row r="5760" customFormat="1" ht="17.25" customHeight="1"/>
    <row r="5761" customFormat="1" ht="17.25" customHeight="1"/>
    <row r="5762" customFormat="1" ht="17.25" customHeight="1"/>
    <row r="5763" customFormat="1" ht="17.25" customHeight="1"/>
    <row r="5764" customFormat="1" ht="17.25" customHeight="1"/>
    <row r="5765" customFormat="1" ht="17.25" customHeight="1"/>
    <row r="5766" customFormat="1" ht="17.25" customHeight="1"/>
    <row r="5767" customFormat="1" ht="17.25" customHeight="1"/>
    <row r="5768" customFormat="1" ht="17.25" customHeight="1"/>
    <row r="5769" customFormat="1" ht="17.25" customHeight="1"/>
    <row r="5770" customFormat="1" ht="17.25" customHeight="1"/>
    <row r="5771" customFormat="1" ht="17.25" customHeight="1"/>
    <row r="5772" customFormat="1" ht="17.25" customHeight="1"/>
    <row r="5773" customFormat="1" ht="17.25" customHeight="1"/>
    <row r="5774" customFormat="1" ht="17.25" customHeight="1"/>
    <row r="5775" customFormat="1" ht="17.25" customHeight="1"/>
    <row r="5776" customFormat="1" ht="17.25" customHeight="1"/>
    <row r="5777" customFormat="1" ht="17.25" customHeight="1"/>
    <row r="5778" customFormat="1" ht="17.25" customHeight="1"/>
    <row r="5779" customFormat="1" ht="17.25" customHeight="1"/>
    <row r="5780" customFormat="1" ht="17.25" customHeight="1"/>
    <row r="5781" customFormat="1" ht="17.25" customHeight="1"/>
    <row r="5782" customFormat="1" ht="17.25" customHeight="1"/>
    <row r="5783" customFormat="1" ht="17.25" customHeight="1"/>
    <row r="5784" customFormat="1" ht="17.25" customHeight="1"/>
    <row r="5785" customFormat="1" ht="17.25" customHeight="1"/>
    <row r="5786" customFormat="1" ht="17.25" customHeight="1"/>
    <row r="5787" customFormat="1" ht="17.25" customHeight="1"/>
    <row r="5788" customFormat="1" ht="17.25" customHeight="1"/>
    <row r="5789" customFormat="1" ht="17.25" customHeight="1"/>
    <row r="5790" customFormat="1" ht="17.25" customHeight="1"/>
    <row r="5791" customFormat="1" ht="17.25" customHeight="1"/>
    <row r="5792" customFormat="1" ht="17.25" customHeight="1"/>
    <row r="5793" customFormat="1" ht="17.25" customHeight="1"/>
    <row r="5794" customFormat="1" ht="17.25" customHeight="1"/>
    <row r="5795" customFormat="1" ht="17.25" customHeight="1"/>
    <row r="5796" customFormat="1" ht="17.25" customHeight="1"/>
    <row r="5797" customFormat="1" ht="17.25" customHeight="1"/>
    <row r="5798" customFormat="1" ht="17.25" customHeight="1"/>
    <row r="5799" customFormat="1" ht="17.25" customHeight="1"/>
    <row r="5800" customFormat="1" ht="17.25" customHeight="1"/>
    <row r="5801" customFormat="1" ht="17.25" customHeight="1"/>
    <row r="5802" customFormat="1" ht="17.25" customHeight="1"/>
    <row r="5803" customFormat="1" ht="17.25" customHeight="1"/>
    <row r="5804" customFormat="1" ht="17.25" customHeight="1"/>
    <row r="5805" customFormat="1" ht="17.25" customHeight="1"/>
    <row r="5806" customFormat="1" ht="17.25" customHeight="1"/>
    <row r="5807" customFormat="1" ht="17.25" customHeight="1"/>
    <row r="5808" customFormat="1" ht="17.25" customHeight="1"/>
    <row r="5809" customFormat="1" ht="17.25" customHeight="1"/>
    <row r="5810" customFormat="1" ht="17.25" customHeight="1"/>
    <row r="5811" customFormat="1" ht="17.25" customHeight="1"/>
    <row r="5812" customFormat="1" ht="17.25" customHeight="1"/>
    <row r="5813" customFormat="1" ht="17.25" customHeight="1"/>
    <row r="5814" customFormat="1" ht="17.25" customHeight="1"/>
    <row r="5815" customFormat="1" ht="17.25" customHeight="1"/>
    <row r="5816" customFormat="1" ht="17.25" customHeight="1"/>
    <row r="5817" customFormat="1" ht="17.25" customHeight="1"/>
    <row r="5818" customFormat="1" ht="17.25" customHeight="1"/>
    <row r="5819" customFormat="1" ht="17.25" customHeight="1"/>
    <row r="5820" customFormat="1" ht="17.25" customHeight="1"/>
    <row r="5821" customFormat="1" ht="17.25" customHeight="1"/>
    <row r="5822" customFormat="1" ht="17.25" customHeight="1"/>
    <row r="5823" customFormat="1" ht="17.25" customHeight="1"/>
    <row r="5824" customFormat="1" ht="17.25" customHeight="1"/>
    <row r="5825" customFormat="1" ht="17.25" customHeight="1"/>
    <row r="5826" customFormat="1" ht="17.25" customHeight="1"/>
    <row r="5827" customFormat="1" ht="17.25" customHeight="1"/>
    <row r="5828" customFormat="1" ht="17.25" customHeight="1"/>
    <row r="5829" customFormat="1" ht="17.25" customHeight="1"/>
    <row r="5830" customFormat="1" ht="17.25" customHeight="1"/>
    <row r="5831" customFormat="1" ht="17.25" customHeight="1"/>
    <row r="5832" customFormat="1" ht="17.25" customHeight="1"/>
    <row r="5833" customFormat="1" ht="17.25" customHeight="1"/>
    <row r="5834" customFormat="1" ht="17.25" customHeight="1"/>
    <row r="5835" customFormat="1" ht="17.25" customHeight="1"/>
    <row r="5836" customFormat="1" ht="17.25" customHeight="1"/>
    <row r="5837" customFormat="1" ht="17.25" customHeight="1"/>
    <row r="5838" customFormat="1" ht="17.25" customHeight="1"/>
    <row r="5839" customFormat="1" ht="17.25" customHeight="1"/>
    <row r="5840" customFormat="1" ht="17.25" customHeight="1"/>
    <row r="5841" customFormat="1" ht="17.25" customHeight="1"/>
    <row r="5842" customFormat="1" ht="17.25" customHeight="1"/>
    <row r="5843" customFormat="1" ht="17.25" customHeight="1"/>
    <row r="5844" customFormat="1" ht="17.25" customHeight="1"/>
    <row r="5845" customFormat="1" ht="17.25" customHeight="1"/>
    <row r="5846" customFormat="1" ht="17.25" customHeight="1"/>
    <row r="5847" customFormat="1" ht="17.25" customHeight="1"/>
    <row r="5848" customFormat="1" ht="17.25" customHeight="1"/>
    <row r="5849" customFormat="1" ht="17.25" customHeight="1"/>
    <row r="5850" customFormat="1" ht="17.25" customHeight="1"/>
    <row r="5851" customFormat="1" ht="17.25" customHeight="1"/>
    <row r="5852" customFormat="1" ht="17.25" customHeight="1"/>
    <row r="5853" customFormat="1" ht="17.25" customHeight="1"/>
    <row r="5854" customFormat="1" ht="17.25" customHeight="1"/>
    <row r="5855" customFormat="1" ht="17.25" customHeight="1"/>
    <row r="5856" customFormat="1" ht="17.25" customHeight="1"/>
    <row r="5857" customFormat="1" ht="17.25" customHeight="1"/>
    <row r="5858" customFormat="1" ht="17.25" customHeight="1"/>
    <row r="5859" customFormat="1" ht="17.25" customHeight="1"/>
    <row r="5860" customFormat="1" ht="17.25" customHeight="1"/>
    <row r="5861" customFormat="1" ht="17.25" customHeight="1"/>
    <row r="5862" customFormat="1" ht="17.25" customHeight="1"/>
    <row r="5863" customFormat="1" ht="17.25" customHeight="1"/>
    <row r="5864" customFormat="1" ht="17.25" customHeight="1"/>
    <row r="5865" customFormat="1" ht="17.25" customHeight="1"/>
    <row r="5866" customFormat="1" ht="17.25" customHeight="1"/>
    <row r="5867" customFormat="1" ht="17.25" customHeight="1"/>
    <row r="5868" customFormat="1" ht="17.25" customHeight="1"/>
    <row r="5869" customFormat="1" ht="17.25" customHeight="1"/>
    <row r="5870" customFormat="1" ht="17.25" customHeight="1"/>
    <row r="5871" customFormat="1" ht="17.25" customHeight="1"/>
    <row r="5872" customFormat="1" ht="17.25" customHeight="1"/>
    <row r="5873" customFormat="1" ht="17.25" customHeight="1"/>
    <row r="5874" customFormat="1" ht="17.25" customHeight="1"/>
    <row r="5875" customFormat="1" ht="17.25" customHeight="1"/>
    <row r="5876" customFormat="1" ht="17.25" customHeight="1"/>
    <row r="5877" customFormat="1" ht="17.25" customHeight="1"/>
    <row r="5878" customFormat="1" ht="17.25" customHeight="1"/>
    <row r="5879" customFormat="1" ht="17.25" customHeight="1"/>
    <row r="5880" customFormat="1" ht="17.25" customHeight="1"/>
    <row r="5881" customFormat="1" ht="17.25" customHeight="1"/>
    <row r="5882" customFormat="1" ht="17.25" customHeight="1"/>
    <row r="5883" customFormat="1" ht="17.25" customHeight="1"/>
    <row r="5884" customFormat="1" ht="17.25" customHeight="1"/>
    <row r="5885" customFormat="1" ht="17.25" customHeight="1"/>
    <row r="5886" customFormat="1" ht="17.25" customHeight="1"/>
    <row r="5887" customFormat="1" ht="17.25" customHeight="1"/>
    <row r="5888" customFormat="1" ht="17.25" customHeight="1"/>
    <row r="5889" customFormat="1" ht="17.25" customHeight="1"/>
    <row r="5890" customFormat="1" ht="17.25" customHeight="1"/>
    <row r="5891" customFormat="1" ht="17.25" customHeight="1"/>
    <row r="5892" customFormat="1" ht="17.25" customHeight="1"/>
    <row r="5893" customFormat="1" ht="17.25" customHeight="1"/>
    <row r="5894" customFormat="1" ht="17.25" customHeight="1"/>
    <row r="5895" customFormat="1" ht="17.25" customHeight="1"/>
    <row r="5896" customFormat="1" ht="17.25" customHeight="1"/>
    <row r="5897" customFormat="1" ht="17.25" customHeight="1"/>
    <row r="5898" customFormat="1" ht="17.25" customHeight="1"/>
    <row r="5899" customFormat="1" ht="17.25" customHeight="1"/>
    <row r="5900" customFormat="1" ht="17.25" customHeight="1"/>
    <row r="5901" customFormat="1" ht="17.25" customHeight="1"/>
    <row r="5902" customFormat="1" ht="17.25" customHeight="1"/>
    <row r="5903" customFormat="1" ht="17.25" customHeight="1"/>
    <row r="5904" customFormat="1" ht="17.25" customHeight="1"/>
    <row r="5905" customFormat="1" ht="17.25" customHeight="1"/>
    <row r="5906" customFormat="1" ht="17.25" customHeight="1"/>
    <row r="5907" customFormat="1" ht="17.25" customHeight="1"/>
    <row r="5908" customFormat="1" ht="17.25" customHeight="1"/>
    <row r="5909" customFormat="1" ht="17.25" customHeight="1"/>
    <row r="5910" customFormat="1" ht="17.25" customHeight="1"/>
    <row r="5911" customFormat="1" ht="17.25" customHeight="1"/>
    <row r="5912" customFormat="1" ht="17.25" customHeight="1"/>
    <row r="5913" customFormat="1" ht="17.25" customHeight="1"/>
    <row r="5914" customFormat="1" ht="17.25" customHeight="1"/>
    <row r="5915" customFormat="1" ht="17.25" customHeight="1"/>
    <row r="5916" customFormat="1" ht="17.25" customHeight="1"/>
    <row r="5917" customFormat="1" ht="17.25" customHeight="1"/>
    <row r="5918" customFormat="1" ht="17.25" customHeight="1"/>
    <row r="5919" customFormat="1" ht="17.25" customHeight="1"/>
    <row r="5920" customFormat="1" ht="17.25" customHeight="1"/>
    <row r="5921" customFormat="1" ht="17.25" customHeight="1"/>
    <row r="5922" customFormat="1" ht="17.25" customHeight="1"/>
    <row r="5923" customFormat="1" ht="17.25" customHeight="1"/>
    <row r="5924" customFormat="1" ht="17.25" customHeight="1"/>
    <row r="5925" customFormat="1" ht="17.25" customHeight="1"/>
    <row r="5926" customFormat="1" ht="17.25" customHeight="1"/>
    <row r="5927" customFormat="1" ht="17.25" customHeight="1"/>
    <row r="5928" customFormat="1" ht="17.25" customHeight="1"/>
    <row r="5929" customFormat="1" ht="17.25" customHeight="1"/>
    <row r="5930" customFormat="1" ht="17.25" customHeight="1"/>
    <row r="5931" customFormat="1" ht="17.25" customHeight="1"/>
    <row r="5932" customFormat="1" ht="17.25" customHeight="1"/>
    <row r="5933" customFormat="1" ht="17.25" customHeight="1"/>
    <row r="5934" customFormat="1" ht="17.25" customHeight="1"/>
    <row r="5935" customFormat="1" ht="17.25" customHeight="1"/>
    <row r="5936" customFormat="1" ht="17.25" customHeight="1"/>
    <row r="5937" customFormat="1" ht="17.25" customHeight="1"/>
    <row r="5938" customFormat="1" ht="17.25" customHeight="1"/>
    <row r="5939" customFormat="1" ht="17.25" customHeight="1"/>
    <row r="5940" customFormat="1" ht="17.25" customHeight="1"/>
    <row r="5941" customFormat="1" ht="17.25" customHeight="1"/>
    <row r="5942" customFormat="1" ht="17.25" customHeight="1"/>
    <row r="5943" customFormat="1" ht="17.25" customHeight="1"/>
    <row r="5944" customFormat="1" ht="17.25" customHeight="1"/>
    <row r="5945" customFormat="1" ht="17.25" customHeight="1"/>
    <row r="5946" customFormat="1" ht="17.25" customHeight="1"/>
    <row r="5947" customFormat="1" ht="17.25" customHeight="1"/>
    <row r="5948" customFormat="1" ht="17.25" customHeight="1"/>
    <row r="5949" customFormat="1" ht="17.25" customHeight="1"/>
    <row r="5950" customFormat="1" ht="17.25" customHeight="1"/>
    <row r="5951" customFormat="1" ht="17.25" customHeight="1"/>
    <row r="5952" customFormat="1" ht="17.25" customHeight="1"/>
    <row r="5953" customFormat="1" ht="17.25" customHeight="1"/>
    <row r="5954" customFormat="1" ht="17.25" customHeight="1"/>
    <row r="5955" customFormat="1" ht="17.25" customHeight="1"/>
    <row r="5956" customFormat="1" ht="17.25" customHeight="1"/>
    <row r="5957" customFormat="1" ht="17.25" customHeight="1"/>
    <row r="5958" customFormat="1" ht="17.25" customHeight="1"/>
    <row r="5959" customFormat="1" ht="17.25" customHeight="1"/>
    <row r="5960" customFormat="1" ht="17.25" customHeight="1"/>
    <row r="5961" customFormat="1" ht="17.25" customHeight="1"/>
    <row r="5962" customFormat="1" ht="17.25" customHeight="1"/>
    <row r="5963" customFormat="1" ht="17.25" customHeight="1"/>
    <row r="5964" customFormat="1" ht="17.25" customHeight="1"/>
    <row r="5965" customFormat="1" ht="17.25" customHeight="1"/>
    <row r="5966" customFormat="1" ht="17.25" customHeight="1"/>
    <row r="5967" customFormat="1" ht="17.25" customHeight="1"/>
    <row r="5968" customFormat="1" ht="17.25" customHeight="1"/>
    <row r="5969" customFormat="1" ht="17.25" customHeight="1"/>
    <row r="5970" customFormat="1" ht="17.25" customHeight="1"/>
    <row r="5971" customFormat="1" ht="17.25" customHeight="1"/>
    <row r="5972" customFormat="1" ht="17.25" customHeight="1"/>
    <row r="5973" customFormat="1" ht="17.25" customHeight="1"/>
    <row r="5974" customFormat="1" ht="17.25" customHeight="1"/>
    <row r="5975" customFormat="1" ht="17.25" customHeight="1"/>
    <row r="5976" customFormat="1" ht="17.25" customHeight="1"/>
    <row r="5977" customFormat="1" ht="17.25" customHeight="1"/>
    <row r="5978" customFormat="1" ht="17.25" customHeight="1"/>
    <row r="5979" customFormat="1" ht="17.25" customHeight="1"/>
    <row r="5980" customFormat="1" ht="17.25" customHeight="1"/>
    <row r="5981" customFormat="1" ht="17.25" customHeight="1"/>
    <row r="5982" customFormat="1" ht="17.25" customHeight="1"/>
    <row r="5983" customFormat="1" ht="17.25" customHeight="1"/>
    <row r="5984" customFormat="1" ht="17.25" customHeight="1"/>
    <row r="5985" customFormat="1" ht="17.25" customHeight="1"/>
    <row r="5986" customFormat="1" ht="17.25" customHeight="1"/>
    <row r="5987" customFormat="1" ht="17.25" customHeight="1"/>
    <row r="5988" customFormat="1" ht="17.25" customHeight="1"/>
    <row r="5989" customFormat="1" ht="17.25" customHeight="1"/>
    <row r="5990" customFormat="1" ht="17.25" customHeight="1"/>
    <row r="5991" customFormat="1" ht="17.25" customHeight="1"/>
    <row r="5992" customFormat="1" ht="17.25" customHeight="1"/>
    <row r="5993" customFormat="1" ht="17.25" customHeight="1"/>
    <row r="5994" customFormat="1" ht="17.25" customHeight="1"/>
    <row r="5995" customFormat="1" ht="17.25" customHeight="1"/>
    <row r="5996" customFormat="1" ht="17.25" customHeight="1"/>
    <row r="5997" customFormat="1" ht="17.25" customHeight="1"/>
    <row r="5998" customFormat="1" ht="17.25" customHeight="1"/>
    <row r="5999" customFormat="1" ht="17.25" customHeight="1"/>
    <row r="6000" customFormat="1" ht="17.25" customHeight="1"/>
    <row r="6001" customFormat="1" ht="17.25" customHeight="1"/>
    <row r="6002" customFormat="1" ht="17.25" customHeight="1"/>
    <row r="6003" customFormat="1" ht="17.25" customHeight="1"/>
    <row r="6004" customFormat="1" ht="17.25" customHeight="1"/>
    <row r="6005" customFormat="1" ht="17.25" customHeight="1"/>
    <row r="6006" customFormat="1" ht="17.25" customHeight="1"/>
    <row r="6007" customFormat="1" ht="17.25" customHeight="1"/>
    <row r="6008" customFormat="1" ht="17.25" customHeight="1"/>
    <row r="6009" customFormat="1" ht="17.25" customHeight="1"/>
    <row r="6010" customFormat="1" ht="17.25" customHeight="1"/>
    <row r="6011" customFormat="1" ht="17.25" customHeight="1"/>
    <row r="6012" customFormat="1" ht="17.25" customHeight="1"/>
    <row r="6013" customFormat="1" ht="17.25" customHeight="1"/>
    <row r="6014" customFormat="1" ht="17.25" customHeight="1"/>
    <row r="6015" customFormat="1" ht="17.25" customHeight="1"/>
    <row r="6016" customFormat="1" ht="17.25" customHeight="1"/>
    <row r="6017" customFormat="1" ht="17.25" customHeight="1"/>
    <row r="6018" customFormat="1" ht="17.25" customHeight="1"/>
    <row r="6019" customFormat="1" ht="17.25" customHeight="1"/>
    <row r="6020" customFormat="1" ht="17.25" customHeight="1"/>
    <row r="6021" customFormat="1" ht="17.25" customHeight="1"/>
    <row r="6022" customFormat="1" ht="17.25" customHeight="1"/>
    <row r="6023" customFormat="1" ht="17.25" customHeight="1"/>
    <row r="6024" customFormat="1" ht="17.25" customHeight="1"/>
    <row r="6025" customFormat="1" ht="17.25" customHeight="1"/>
    <row r="6026" customFormat="1" ht="17.25" customHeight="1"/>
    <row r="6027" customFormat="1" ht="17.25" customHeight="1"/>
    <row r="6028" customFormat="1" ht="17.25" customHeight="1"/>
    <row r="6029" customFormat="1" ht="17.25" customHeight="1"/>
    <row r="6030" customFormat="1" ht="17.25" customHeight="1"/>
    <row r="6031" customFormat="1" ht="17.25" customHeight="1"/>
    <row r="6032" customFormat="1" ht="17.25" customHeight="1"/>
    <row r="6033" customFormat="1" ht="17.25" customHeight="1"/>
    <row r="6034" customFormat="1" ht="17.25" customHeight="1"/>
    <row r="6035" customFormat="1" ht="17.25" customHeight="1"/>
    <row r="6036" customFormat="1" ht="17.25" customHeight="1"/>
    <row r="6037" customFormat="1" ht="17.25" customHeight="1"/>
    <row r="6038" customFormat="1" ht="17.25" customHeight="1"/>
    <row r="6039" customFormat="1" ht="17.25" customHeight="1"/>
    <row r="6040" customFormat="1" ht="17.25" customHeight="1"/>
    <row r="6041" customFormat="1" ht="17.25" customHeight="1"/>
    <row r="6042" customFormat="1" ht="17.25" customHeight="1"/>
    <row r="6043" customFormat="1" ht="17.25" customHeight="1"/>
    <row r="6044" customFormat="1" ht="17.25" customHeight="1"/>
    <row r="6045" customFormat="1" ht="17.25" customHeight="1"/>
    <row r="6046" customFormat="1" ht="17.25" customHeight="1"/>
    <row r="6047" customFormat="1" ht="17.25" customHeight="1"/>
    <row r="6048" customFormat="1" ht="17.25" customHeight="1"/>
    <row r="6049" customFormat="1" ht="17.25" customHeight="1"/>
    <row r="6050" customFormat="1" ht="17.25" customHeight="1"/>
    <row r="6051" customFormat="1" ht="17.25" customHeight="1"/>
    <row r="6052" customFormat="1" ht="17.25" customHeight="1"/>
    <row r="6053" customFormat="1" ht="17.25" customHeight="1"/>
    <row r="6054" customFormat="1" ht="17.25" customHeight="1"/>
    <row r="6055" customFormat="1" ht="17.25" customHeight="1"/>
    <row r="6056" customFormat="1" ht="17.25" customHeight="1"/>
    <row r="6057" customFormat="1" ht="17.25" customHeight="1"/>
    <row r="6058" customFormat="1" ht="17.25" customHeight="1"/>
    <row r="6059" customFormat="1" ht="17.25" customHeight="1"/>
    <row r="6060" customFormat="1" ht="17.25" customHeight="1"/>
    <row r="6061" customFormat="1" ht="17.25" customHeight="1"/>
    <row r="6062" customFormat="1" ht="17.25" customHeight="1"/>
    <row r="6063" customFormat="1" ht="17.25" customHeight="1"/>
    <row r="6064" customFormat="1" ht="17.25" customHeight="1"/>
    <row r="6065" customFormat="1" ht="17.25" customHeight="1"/>
    <row r="6066" customFormat="1" ht="17.25" customHeight="1"/>
    <row r="6067" customFormat="1" ht="17.25" customHeight="1"/>
    <row r="6068" customFormat="1" ht="17.25" customHeight="1"/>
    <row r="6069" customFormat="1" ht="17.25" customHeight="1"/>
    <row r="6070" customFormat="1" ht="17.25" customHeight="1"/>
    <row r="6071" customFormat="1" ht="17.25" customHeight="1"/>
    <row r="6072" customFormat="1" ht="17.25" customHeight="1"/>
    <row r="6073" customFormat="1" ht="17.25" customHeight="1"/>
    <row r="6074" customFormat="1" ht="17.25" customHeight="1"/>
    <row r="6075" customFormat="1" ht="17.25" customHeight="1"/>
    <row r="6076" customFormat="1" ht="17.25" customHeight="1"/>
    <row r="6077" customFormat="1" ht="17.25" customHeight="1"/>
    <row r="6078" customFormat="1" ht="17.25" customHeight="1"/>
    <row r="6079" customFormat="1" ht="17.25" customHeight="1"/>
    <row r="6080" customFormat="1" ht="17.25" customHeight="1"/>
    <row r="6081" customFormat="1" ht="17.25" customHeight="1"/>
    <row r="6082" customFormat="1" ht="17.25" customHeight="1"/>
    <row r="6083" customFormat="1" ht="17.25" customHeight="1"/>
    <row r="6084" customFormat="1" ht="17.25" customHeight="1"/>
    <row r="6085" customFormat="1" ht="17.25" customHeight="1"/>
    <row r="6086" customFormat="1" ht="17.25" customHeight="1"/>
    <row r="6087" customFormat="1" ht="17.25" customHeight="1"/>
    <row r="6088" customFormat="1" ht="17.25" customHeight="1"/>
    <row r="6089" customFormat="1" ht="17.25" customHeight="1"/>
    <row r="6090" customFormat="1" ht="17.25" customHeight="1"/>
    <row r="6091" customFormat="1" ht="17.25" customHeight="1"/>
    <row r="6092" customFormat="1" ht="17.25" customHeight="1"/>
    <row r="6093" customFormat="1" ht="17.25" customHeight="1"/>
    <row r="6094" customFormat="1" ht="17.25" customHeight="1"/>
    <row r="6095" customFormat="1" ht="17.25" customHeight="1"/>
    <row r="6096" customFormat="1" ht="17.25" customHeight="1"/>
    <row r="6097" customFormat="1" ht="17.25" customHeight="1"/>
    <row r="6098" customFormat="1" ht="17.25" customHeight="1"/>
    <row r="6099" customFormat="1" ht="17.25" customHeight="1"/>
    <row r="6100" customFormat="1" ht="17.25" customHeight="1"/>
    <row r="6101" customFormat="1" ht="17.25" customHeight="1"/>
    <row r="6102" customFormat="1" ht="17.25" customHeight="1"/>
    <row r="6103" customFormat="1" ht="17.25" customHeight="1"/>
    <row r="6104" customFormat="1" ht="17.25" customHeight="1"/>
    <row r="6105" customFormat="1" ht="17.25" customHeight="1"/>
    <row r="6106" customFormat="1" ht="17.25" customHeight="1"/>
    <row r="6107" customFormat="1" ht="17.25" customHeight="1"/>
    <row r="6108" customFormat="1" ht="17.25" customHeight="1"/>
    <row r="6109" customFormat="1" ht="17.25" customHeight="1"/>
    <row r="6110" customFormat="1" ht="17.25" customHeight="1"/>
    <row r="6111" customFormat="1" ht="17.25" customHeight="1"/>
    <row r="6112" customFormat="1" ht="17.25" customHeight="1"/>
    <row r="6113" customFormat="1" ht="17.25" customHeight="1"/>
    <row r="6114" customFormat="1" ht="17.25" customHeight="1"/>
    <row r="6115" customFormat="1" ht="17.25" customHeight="1"/>
    <row r="6116" customFormat="1" ht="17.25" customHeight="1"/>
    <row r="6117" customFormat="1" ht="17.25" customHeight="1"/>
    <row r="6118" customFormat="1" ht="17.25" customHeight="1"/>
    <row r="6119" customFormat="1" ht="17.25" customHeight="1"/>
    <row r="6120" customFormat="1" ht="17.25" customHeight="1"/>
    <row r="6121" customFormat="1" ht="17.25" customHeight="1"/>
    <row r="6122" customFormat="1" ht="17.25" customHeight="1"/>
    <row r="6123" customFormat="1" ht="17.25" customHeight="1"/>
    <row r="6124" customFormat="1" ht="17.25" customHeight="1"/>
    <row r="6125" customFormat="1" ht="17.25" customHeight="1"/>
    <row r="6126" customFormat="1" ht="17.25" customHeight="1"/>
    <row r="6127" customFormat="1" ht="17.25" customHeight="1"/>
    <row r="6128" customFormat="1" ht="17.25" customHeight="1"/>
    <row r="6129" customFormat="1" ht="17.25" customHeight="1"/>
    <row r="6130" customFormat="1" ht="17.25" customHeight="1"/>
    <row r="6131" customFormat="1" ht="17.25" customHeight="1"/>
    <row r="6132" customFormat="1" ht="17.25" customHeight="1"/>
    <row r="6133" customFormat="1" ht="17.25" customHeight="1"/>
    <row r="6134" customFormat="1" ht="17.25" customHeight="1"/>
    <row r="6135" customFormat="1" ht="17.25" customHeight="1"/>
    <row r="6136" customFormat="1" ht="17.25" customHeight="1"/>
    <row r="6137" customFormat="1" ht="17.25" customHeight="1"/>
    <row r="6138" customFormat="1" ht="17.25" customHeight="1"/>
    <row r="6139" customFormat="1" ht="17.25" customHeight="1"/>
    <row r="6140" customFormat="1" ht="17.25" customHeight="1"/>
    <row r="6141" customFormat="1" ht="17.25" customHeight="1"/>
    <row r="6142" customFormat="1" ht="17.25" customHeight="1"/>
    <row r="6143" customFormat="1" ht="17.25" customHeight="1"/>
    <row r="6144" customFormat="1" ht="17.25" customHeight="1"/>
    <row r="6145" customFormat="1" ht="17.25" customHeight="1"/>
    <row r="6146" customFormat="1" ht="17.25" customHeight="1"/>
    <row r="6147" customFormat="1" ht="17.25" customHeight="1"/>
    <row r="6148" customFormat="1" ht="17.25" customHeight="1"/>
    <row r="6149" customFormat="1" ht="17.25" customHeight="1"/>
    <row r="6150" customFormat="1" ht="17.25" customHeight="1"/>
    <row r="6151" customFormat="1" ht="17.25" customHeight="1"/>
    <row r="6152" customFormat="1" ht="17.25" customHeight="1"/>
    <row r="6153" customFormat="1" ht="17.25" customHeight="1"/>
    <row r="6154" customFormat="1" ht="17.25" customHeight="1"/>
    <row r="6155" customFormat="1" ht="17.25" customHeight="1"/>
    <row r="6156" customFormat="1" ht="17.25" customHeight="1"/>
    <row r="6157" customFormat="1" ht="17.25" customHeight="1"/>
    <row r="6158" customFormat="1" ht="17.25" customHeight="1"/>
    <row r="6159" customFormat="1" ht="17.25" customHeight="1"/>
    <row r="6160" customFormat="1" ht="17.25" customHeight="1"/>
    <row r="6161" customFormat="1" ht="17.25" customHeight="1"/>
    <row r="6162" customFormat="1" ht="17.25" customHeight="1"/>
    <row r="6163" customFormat="1" ht="17.25" customHeight="1"/>
    <row r="6164" customFormat="1" ht="17.25" customHeight="1"/>
    <row r="6165" customFormat="1" ht="17.25" customHeight="1"/>
    <row r="6166" customFormat="1" ht="17.25" customHeight="1"/>
    <row r="6167" customFormat="1" ht="17.25" customHeight="1"/>
    <row r="6168" customFormat="1" ht="17.25" customHeight="1"/>
    <row r="6169" customFormat="1" ht="17.25" customHeight="1"/>
    <row r="6170" customFormat="1" ht="17.25" customHeight="1"/>
    <row r="6171" customFormat="1" ht="17.25" customHeight="1"/>
    <row r="6172" customFormat="1" ht="17.25" customHeight="1"/>
    <row r="6173" customFormat="1" ht="17.25" customHeight="1"/>
    <row r="6174" customFormat="1" ht="17.25" customHeight="1"/>
    <row r="6175" customFormat="1" ht="17.25" customHeight="1"/>
    <row r="6176" customFormat="1" ht="17.25" customHeight="1"/>
    <row r="6177" customFormat="1" ht="17.25" customHeight="1"/>
    <row r="6178" customFormat="1" ht="17.25" customHeight="1"/>
    <row r="6179" customFormat="1" ht="17.25" customHeight="1"/>
    <row r="6180" customFormat="1" ht="17.25" customHeight="1"/>
    <row r="6181" customFormat="1" ht="17.25" customHeight="1"/>
    <row r="6182" customFormat="1" ht="17.25" customHeight="1"/>
    <row r="6183" customFormat="1" ht="17.25" customHeight="1"/>
    <row r="6184" customFormat="1" ht="17.25" customHeight="1"/>
    <row r="6185" customFormat="1" ht="17.25" customHeight="1"/>
    <row r="6186" customFormat="1" ht="17.25" customHeight="1"/>
    <row r="6187" customFormat="1" ht="17.25" customHeight="1"/>
    <row r="6188" customFormat="1" ht="17.25" customHeight="1"/>
    <row r="6189" customFormat="1" ht="17.25" customHeight="1"/>
    <row r="6190" customFormat="1" ht="17.25" customHeight="1"/>
    <row r="6191" customFormat="1" ht="17.25" customHeight="1"/>
    <row r="6192" customFormat="1" ht="17.25" customHeight="1"/>
    <row r="6193" customFormat="1" ht="17.25" customHeight="1"/>
    <row r="6194" customFormat="1" ht="17.25" customHeight="1"/>
    <row r="6195" customFormat="1" ht="17.25" customHeight="1"/>
    <row r="6196" customFormat="1" ht="17.25" customHeight="1"/>
    <row r="6197" customFormat="1" ht="17.25" customHeight="1"/>
    <row r="6198" customFormat="1" ht="17.25" customHeight="1"/>
    <row r="6199" customFormat="1" ht="17.25" customHeight="1"/>
    <row r="6200" customFormat="1" ht="17.25" customHeight="1"/>
    <row r="6201" customFormat="1" ht="17.25" customHeight="1"/>
    <row r="6202" customFormat="1" ht="17.25" customHeight="1"/>
    <row r="6203" customFormat="1" ht="17.25" customHeight="1"/>
    <row r="6204" customFormat="1" ht="17.25" customHeight="1"/>
    <row r="6205" customFormat="1" ht="17.25" customHeight="1"/>
    <row r="6206" customFormat="1" ht="17.25" customHeight="1"/>
    <row r="6207" customFormat="1" ht="17.25" customHeight="1"/>
    <row r="6208" customFormat="1" ht="17.25" customHeight="1"/>
    <row r="6209" customFormat="1" ht="17.25" customHeight="1"/>
    <row r="6210" customFormat="1" ht="17.25" customHeight="1"/>
    <row r="6211" customFormat="1" ht="17.25" customHeight="1"/>
    <row r="6212" customFormat="1" ht="17.25" customHeight="1"/>
    <row r="6213" customFormat="1" ht="17.25" customHeight="1"/>
    <row r="6214" customFormat="1" ht="17.25" customHeight="1"/>
    <row r="6215" customFormat="1" ht="17.25" customHeight="1"/>
    <row r="6216" customFormat="1" ht="17.25" customHeight="1"/>
    <row r="6217" customFormat="1" ht="17.25" customHeight="1"/>
    <row r="6218" customFormat="1" ht="17.25" customHeight="1"/>
    <row r="6219" customFormat="1" ht="17.25" customHeight="1"/>
    <row r="6220" customFormat="1" ht="17.25" customHeight="1"/>
    <row r="6221" customFormat="1" ht="17.25" customHeight="1"/>
    <row r="6222" customFormat="1" ht="17.25" customHeight="1"/>
    <row r="6223" customFormat="1" ht="17.25" customHeight="1"/>
    <row r="6224" customFormat="1" ht="17.25" customHeight="1"/>
    <row r="6225" customFormat="1" ht="17.25" customHeight="1"/>
    <row r="6226" customFormat="1" ht="17.25" customHeight="1"/>
    <row r="6227" customFormat="1" ht="17.25" customHeight="1"/>
    <row r="6228" customFormat="1" ht="17.25" customHeight="1"/>
    <row r="6229" customFormat="1" ht="17.25" customHeight="1"/>
    <row r="6230" customFormat="1" ht="17.25" customHeight="1"/>
    <row r="6231" customFormat="1" ht="17.25" customHeight="1"/>
    <row r="6232" customFormat="1" ht="17.25" customHeight="1"/>
    <row r="6233" customFormat="1" ht="17.25" customHeight="1"/>
    <row r="6234" customFormat="1" ht="17.25" customHeight="1"/>
    <row r="6235" customFormat="1" ht="17.25" customHeight="1"/>
    <row r="6236" customFormat="1" ht="17.25" customHeight="1"/>
    <row r="6237" customFormat="1" ht="17.25" customHeight="1"/>
    <row r="6238" customFormat="1" ht="17.25" customHeight="1"/>
    <row r="6239" customFormat="1" ht="17.25" customHeight="1"/>
    <row r="6240" customFormat="1" ht="17.25" customHeight="1"/>
    <row r="6241" customFormat="1" ht="17.25" customHeight="1"/>
    <row r="6242" customFormat="1" ht="17.25" customHeight="1"/>
    <row r="6243" customFormat="1" ht="17.25" customHeight="1"/>
    <row r="6244" customFormat="1" ht="17.25" customHeight="1"/>
    <row r="6245" customFormat="1" ht="17.25" customHeight="1"/>
    <row r="6246" customFormat="1" ht="17.25" customHeight="1"/>
    <row r="6247" customFormat="1" ht="17.25" customHeight="1"/>
    <row r="6248" customFormat="1" ht="17.25" customHeight="1"/>
    <row r="6249" customFormat="1" ht="17.25" customHeight="1"/>
    <row r="6250" customFormat="1" ht="17.25" customHeight="1"/>
    <row r="6251" customFormat="1" ht="17.25" customHeight="1"/>
    <row r="6252" customFormat="1" ht="17.25" customHeight="1"/>
    <row r="6253" customFormat="1" ht="17.25" customHeight="1"/>
    <row r="6254" customFormat="1" ht="17.25" customHeight="1"/>
    <row r="6255" customFormat="1" ht="17.25" customHeight="1"/>
    <row r="6256" customFormat="1" ht="17.25" customHeight="1"/>
    <row r="6257" customFormat="1" ht="17.25" customHeight="1"/>
    <row r="6258" customFormat="1" ht="17.25" customHeight="1"/>
    <row r="6259" customFormat="1" ht="17.25" customHeight="1"/>
    <row r="6260" customFormat="1" ht="17.25" customHeight="1"/>
    <row r="6261" customFormat="1" ht="17.25" customHeight="1"/>
    <row r="6262" customFormat="1" ht="17.25" customHeight="1"/>
    <row r="6263" customFormat="1" ht="17.25" customHeight="1"/>
    <row r="6264" customFormat="1" ht="17.25" customHeight="1"/>
    <row r="6265" customFormat="1" ht="17.25" customHeight="1"/>
    <row r="6266" customFormat="1" ht="17.25" customHeight="1"/>
    <row r="6267" customFormat="1" ht="17.25" customHeight="1"/>
    <row r="6268" customFormat="1" ht="17.25" customHeight="1"/>
    <row r="6269" customFormat="1" ht="17.25" customHeight="1"/>
    <row r="6270" customFormat="1" ht="17.25" customHeight="1"/>
    <row r="6271" customFormat="1" ht="17.25" customHeight="1"/>
    <row r="6272" customFormat="1" ht="17.25" customHeight="1"/>
    <row r="6273" customFormat="1" ht="17.25" customHeight="1"/>
    <row r="6274" customFormat="1" ht="17.25" customHeight="1"/>
    <row r="6275" customFormat="1" ht="17.25" customHeight="1"/>
    <row r="6276" customFormat="1" ht="17.25" customHeight="1"/>
    <row r="6277" customFormat="1" ht="17.25" customHeight="1"/>
    <row r="6278" customFormat="1" ht="17.25" customHeight="1"/>
    <row r="6279" customFormat="1" ht="17.25" customHeight="1"/>
    <row r="6280" customFormat="1" ht="17.25" customHeight="1"/>
    <row r="6281" customFormat="1" ht="17.25" customHeight="1"/>
    <row r="6282" customFormat="1" ht="17.25" customHeight="1"/>
    <row r="6283" customFormat="1" ht="17.25" customHeight="1"/>
    <row r="6284" customFormat="1" ht="17.25" customHeight="1"/>
    <row r="6285" customFormat="1" ht="17.25" customHeight="1"/>
    <row r="6286" customFormat="1" ht="17.25" customHeight="1"/>
    <row r="6287" customFormat="1" ht="17.25" customHeight="1"/>
    <row r="6288" customFormat="1" ht="17.25" customHeight="1"/>
    <row r="6289" customFormat="1" ht="17.25" customHeight="1"/>
    <row r="6290" customFormat="1" ht="17.25" customHeight="1"/>
    <row r="6291" customFormat="1" ht="17.25" customHeight="1"/>
    <row r="6292" customFormat="1" ht="17.25" customHeight="1"/>
    <row r="6293" customFormat="1" ht="17.25" customHeight="1"/>
    <row r="6294" customFormat="1" ht="17.25" customHeight="1"/>
    <row r="6295" customFormat="1" ht="17.25" customHeight="1"/>
    <row r="6296" customFormat="1" ht="17.25" customHeight="1"/>
    <row r="6297" customFormat="1" ht="17.25" customHeight="1"/>
    <row r="6298" customFormat="1" ht="17.25" customHeight="1"/>
    <row r="6299" customFormat="1" ht="17.25" customHeight="1"/>
    <row r="6300" customFormat="1" ht="17.25" customHeight="1"/>
    <row r="6301" customFormat="1" ht="17.25" customHeight="1"/>
    <row r="6302" customFormat="1" ht="17.25" customHeight="1"/>
    <row r="6303" customFormat="1" ht="17.25" customHeight="1"/>
    <row r="6304" customFormat="1" ht="17.25" customHeight="1"/>
    <row r="6305" customFormat="1" ht="17.25" customHeight="1"/>
    <row r="6306" customFormat="1" ht="17.25" customHeight="1"/>
    <row r="6307" customFormat="1" ht="17.25" customHeight="1"/>
    <row r="6308" customFormat="1" ht="17.25" customHeight="1"/>
    <row r="6309" customFormat="1" ht="17.25" customHeight="1"/>
    <row r="6310" customFormat="1" ht="17.25" customHeight="1"/>
    <row r="6311" customFormat="1" ht="17.25" customHeight="1"/>
    <row r="6312" customFormat="1" ht="17.25" customHeight="1"/>
    <row r="6313" customFormat="1" ht="17.25" customHeight="1"/>
    <row r="6314" customFormat="1" ht="17.25" customHeight="1"/>
    <row r="6315" customFormat="1" ht="17.25" customHeight="1"/>
    <row r="6316" customFormat="1" ht="17.25" customHeight="1"/>
    <row r="6317" customFormat="1" ht="17.25" customHeight="1"/>
    <row r="6318" customFormat="1" ht="17.25" customHeight="1"/>
    <row r="6319" customFormat="1" ht="17.25" customHeight="1"/>
    <row r="6320" customFormat="1" ht="17.25" customHeight="1"/>
    <row r="6321" customFormat="1" ht="17.25" customHeight="1"/>
    <row r="6322" customFormat="1" ht="17.25" customHeight="1"/>
    <row r="6323" customFormat="1" ht="17.25" customHeight="1"/>
    <row r="6324" customFormat="1" ht="17.25" customHeight="1"/>
    <row r="6325" customFormat="1" ht="17.25" customHeight="1"/>
    <row r="6326" customFormat="1" ht="17.25" customHeight="1"/>
    <row r="6327" customFormat="1" ht="17.25" customHeight="1"/>
    <row r="6328" customFormat="1" ht="17.25" customHeight="1"/>
    <row r="6329" customFormat="1" ht="17.25" customHeight="1"/>
    <row r="6330" customFormat="1" ht="17.25" customHeight="1"/>
    <row r="6331" customFormat="1" ht="17.25" customHeight="1"/>
    <row r="6332" customFormat="1" ht="17.25" customHeight="1"/>
    <row r="6333" customFormat="1" ht="17.25" customHeight="1"/>
    <row r="6334" customFormat="1" ht="17.25" customHeight="1"/>
    <row r="6335" customFormat="1" ht="17.25" customHeight="1"/>
    <row r="6336" customFormat="1" ht="17.25" customHeight="1"/>
    <row r="6337" customFormat="1" ht="17.25" customHeight="1"/>
    <row r="6338" customFormat="1" ht="17.25" customHeight="1"/>
    <row r="6339" customFormat="1" ht="17.25" customHeight="1"/>
    <row r="6340" customFormat="1" ht="17.25" customHeight="1"/>
    <row r="6341" customFormat="1" ht="17.25" customHeight="1"/>
    <row r="6342" customFormat="1" ht="17.25" customHeight="1"/>
    <row r="6343" customFormat="1" ht="17.25" customHeight="1"/>
    <row r="6344" customFormat="1" ht="17.25" customHeight="1"/>
    <row r="6345" customFormat="1" ht="17.25" customHeight="1"/>
    <row r="6346" customFormat="1" ht="17.25" customHeight="1"/>
    <row r="6347" customFormat="1" ht="17.25" customHeight="1"/>
    <row r="6348" customFormat="1" ht="17.25" customHeight="1"/>
    <row r="6349" customFormat="1" ht="17.25" customHeight="1"/>
    <row r="6350" customFormat="1" ht="17.25" customHeight="1"/>
    <row r="6351" customFormat="1" ht="17.25" customHeight="1"/>
    <row r="6352" customFormat="1" ht="17.25" customHeight="1"/>
    <row r="6353" customFormat="1" ht="17.25" customHeight="1"/>
    <row r="6354" customFormat="1" ht="17.25" customHeight="1"/>
    <row r="6355" customFormat="1" ht="17.25" customHeight="1"/>
    <row r="6356" customFormat="1" ht="17.25" customHeight="1"/>
    <row r="6357" customFormat="1" ht="17.25" customHeight="1"/>
    <row r="6358" customFormat="1" ht="17.25" customHeight="1"/>
    <row r="6359" customFormat="1" ht="17.25" customHeight="1"/>
    <row r="6360" customFormat="1" ht="17.25" customHeight="1"/>
    <row r="6361" customFormat="1" ht="17.25" customHeight="1"/>
    <row r="6362" customFormat="1" ht="17.25" customHeight="1"/>
    <row r="6363" customFormat="1" ht="17.25" customHeight="1"/>
    <row r="6364" customFormat="1" ht="17.25" customHeight="1"/>
    <row r="6365" customFormat="1" ht="17.25" customHeight="1"/>
    <row r="6366" customFormat="1" ht="17.25" customHeight="1"/>
    <row r="6367" customFormat="1" ht="17.25" customHeight="1"/>
    <row r="6368" customFormat="1" ht="17.25" customHeight="1"/>
    <row r="6369" customFormat="1" ht="17.25" customHeight="1"/>
    <row r="6370" customFormat="1" ht="17.25" customHeight="1"/>
    <row r="6371" customFormat="1" ht="17.25" customHeight="1"/>
    <row r="6372" customFormat="1" ht="17.25" customHeight="1"/>
    <row r="6373" customFormat="1" ht="17.25" customHeight="1"/>
    <row r="6374" customFormat="1" ht="17.25" customHeight="1"/>
    <row r="6375" customFormat="1" ht="17.25" customHeight="1"/>
    <row r="6376" customFormat="1" ht="17.25" customHeight="1"/>
    <row r="6377" customFormat="1" ht="17.25" customHeight="1"/>
    <row r="6378" customFormat="1" ht="17.25" customHeight="1"/>
    <row r="6379" customFormat="1" ht="17.25" customHeight="1"/>
    <row r="6380" customFormat="1" ht="17.25" customHeight="1"/>
    <row r="6381" customFormat="1" ht="17.25" customHeight="1"/>
    <row r="6382" customFormat="1" ht="17.25" customHeight="1"/>
    <row r="6383" customFormat="1" ht="17.25" customHeight="1"/>
    <row r="6384" customFormat="1" ht="17.25" customHeight="1"/>
    <row r="6385" customFormat="1" ht="17.25" customHeight="1"/>
    <row r="6386" customFormat="1" ht="17.25" customHeight="1"/>
    <row r="6387" customFormat="1" ht="17.25" customHeight="1"/>
    <row r="6388" customFormat="1" ht="17.25" customHeight="1"/>
    <row r="6389" customFormat="1" ht="17.25" customHeight="1"/>
    <row r="6390" customFormat="1" ht="17.25" customHeight="1"/>
    <row r="6391" customFormat="1" ht="17.25" customHeight="1"/>
    <row r="6392" customFormat="1" ht="17.25" customHeight="1"/>
    <row r="6393" customFormat="1" ht="17.25" customHeight="1"/>
    <row r="6394" customFormat="1" ht="17.25" customHeight="1"/>
    <row r="6395" customFormat="1" ht="17.25" customHeight="1"/>
    <row r="6396" customFormat="1" ht="17.25" customHeight="1"/>
    <row r="6397" customFormat="1" ht="17.25" customHeight="1"/>
    <row r="6398" customFormat="1" ht="17.25" customHeight="1"/>
    <row r="6399" customFormat="1" ht="17.25" customHeight="1"/>
    <row r="6400" customFormat="1" ht="17.25" customHeight="1"/>
    <row r="6401" customFormat="1" ht="17.25" customHeight="1"/>
    <row r="6402" customFormat="1" ht="17.25" customHeight="1"/>
    <row r="6403" customFormat="1" ht="17.25" customHeight="1"/>
    <row r="6404" customFormat="1" ht="17.25" customHeight="1"/>
    <row r="6405" customFormat="1" ht="17.25" customHeight="1"/>
    <row r="6406" customFormat="1" ht="17.25" customHeight="1"/>
    <row r="6407" customFormat="1" ht="17.25" customHeight="1"/>
    <row r="6408" customFormat="1" ht="17.25" customHeight="1"/>
    <row r="6409" customFormat="1" ht="17.25" customHeight="1"/>
    <row r="6410" customFormat="1" ht="17.25" customHeight="1"/>
    <row r="6411" customFormat="1" ht="17.25" customHeight="1"/>
    <row r="6412" customFormat="1" ht="17.25" customHeight="1"/>
    <row r="6413" customFormat="1" ht="17.25" customHeight="1"/>
    <row r="6414" customFormat="1" ht="17.25" customHeight="1"/>
    <row r="6415" customFormat="1" ht="17.25" customHeight="1"/>
    <row r="6416" customFormat="1" ht="17.25" customHeight="1"/>
    <row r="6417" customFormat="1" ht="17.25" customHeight="1"/>
    <row r="6418" customFormat="1" ht="17.25" customHeight="1"/>
    <row r="6419" customFormat="1" ht="17.25" customHeight="1"/>
    <row r="6420" customFormat="1" ht="17.25" customHeight="1"/>
    <row r="6421" customFormat="1" ht="17.25" customHeight="1"/>
    <row r="6422" customFormat="1" ht="17.25" customHeight="1"/>
    <row r="6423" customFormat="1" ht="17.25" customHeight="1"/>
    <row r="6424" customFormat="1" ht="17.25" customHeight="1"/>
    <row r="6425" customFormat="1" ht="17.25" customHeight="1"/>
    <row r="6426" customFormat="1" ht="17.25" customHeight="1"/>
    <row r="6427" customFormat="1" ht="17.25" customHeight="1"/>
    <row r="6428" customFormat="1" ht="17.25" customHeight="1"/>
    <row r="6429" customFormat="1" ht="17.25" customHeight="1"/>
    <row r="6430" customFormat="1" ht="17.25" customHeight="1"/>
    <row r="6431" customFormat="1" ht="17.25" customHeight="1"/>
    <row r="6432" customFormat="1" ht="17.25" customHeight="1"/>
    <row r="6433" customFormat="1" ht="17.25" customHeight="1"/>
    <row r="6434" customFormat="1" ht="17.25" customHeight="1"/>
    <row r="6435" customFormat="1" ht="17.25" customHeight="1"/>
    <row r="6436" customFormat="1" ht="17.25" customHeight="1"/>
    <row r="6437" customFormat="1" ht="17.25" customHeight="1"/>
    <row r="6438" customFormat="1" ht="17.25" customHeight="1"/>
    <row r="6439" customFormat="1" ht="17.25" customHeight="1"/>
    <row r="6440" customFormat="1" ht="17.25" customHeight="1"/>
    <row r="6441" customFormat="1" ht="17.25" customHeight="1"/>
    <row r="6442" customFormat="1" ht="17.25" customHeight="1"/>
    <row r="6443" customFormat="1" ht="17.25" customHeight="1"/>
    <row r="6444" customFormat="1" ht="17.25" customHeight="1"/>
    <row r="6445" customFormat="1" ht="17.25" customHeight="1"/>
    <row r="6446" customFormat="1" ht="17.25" customHeight="1"/>
    <row r="6447" customFormat="1" ht="17.25" customHeight="1"/>
    <row r="6448" customFormat="1" ht="17.25" customHeight="1"/>
    <row r="6449" customFormat="1" ht="17.25" customHeight="1"/>
    <row r="6450" customFormat="1" ht="17.25" customHeight="1"/>
    <row r="6451" customFormat="1" ht="17.25" customHeight="1"/>
    <row r="6452" customFormat="1" ht="17.25" customHeight="1"/>
    <row r="6453" customFormat="1" ht="17.25" customHeight="1"/>
    <row r="6454" customFormat="1" ht="17.25" customHeight="1"/>
    <row r="6455" customFormat="1" ht="17.25" customHeight="1"/>
    <row r="6456" customFormat="1" ht="17.25" customHeight="1"/>
    <row r="6457" customFormat="1" ht="17.25" customHeight="1"/>
    <row r="6458" customFormat="1" ht="17.25" customHeight="1"/>
    <row r="6459" customFormat="1" ht="17.25" customHeight="1"/>
    <row r="6460" customFormat="1" ht="17.25" customHeight="1"/>
    <row r="6461" customFormat="1" ht="17.25" customHeight="1"/>
    <row r="6462" customFormat="1" ht="17.25" customHeight="1"/>
    <row r="6463" customFormat="1" ht="17.25" customHeight="1"/>
    <row r="6464" customFormat="1" ht="17.25" customHeight="1"/>
    <row r="6465" customFormat="1" ht="17.25" customHeight="1"/>
    <row r="6466" customFormat="1" ht="17.25" customHeight="1"/>
    <row r="6467" customFormat="1" ht="17.25" customHeight="1"/>
    <row r="6468" customFormat="1" ht="17.25" customHeight="1"/>
    <row r="6469" customFormat="1" ht="17.25" customHeight="1"/>
    <row r="6470" customFormat="1" ht="17.25" customHeight="1"/>
    <row r="6471" customFormat="1" ht="17.25" customHeight="1"/>
    <row r="6472" customFormat="1" ht="17.25" customHeight="1"/>
    <row r="6473" customFormat="1" ht="17.25" customHeight="1"/>
    <row r="6474" customFormat="1" ht="17.25" customHeight="1"/>
    <row r="6475" customFormat="1" ht="17.25" customHeight="1"/>
    <row r="6476" customFormat="1" ht="17.25" customHeight="1"/>
    <row r="6477" customFormat="1" ht="17.25" customHeight="1"/>
    <row r="6478" customFormat="1" ht="17.25" customHeight="1"/>
    <row r="6479" customFormat="1" ht="17.25" customHeight="1"/>
    <row r="6480" customFormat="1" ht="17.25" customHeight="1"/>
    <row r="6481" customFormat="1" ht="17.25" customHeight="1"/>
    <row r="6482" customFormat="1" ht="17.25" customHeight="1"/>
    <row r="6483" customFormat="1" ht="17.25" customHeight="1"/>
    <row r="6484" customFormat="1" ht="17.25" customHeight="1"/>
    <row r="6485" customFormat="1" ht="17.25" customHeight="1"/>
    <row r="6486" customFormat="1" ht="17.25" customHeight="1"/>
    <row r="6487" customFormat="1" ht="17.25" customHeight="1"/>
    <row r="6488" customFormat="1" ht="17.25" customHeight="1"/>
    <row r="6489" customFormat="1" ht="17.25" customHeight="1"/>
    <row r="6490" customFormat="1" ht="17.25" customHeight="1"/>
    <row r="6491" customFormat="1" ht="17.25" customHeight="1"/>
    <row r="6492" customFormat="1" ht="17.25" customHeight="1"/>
    <row r="6493" customFormat="1" ht="17.25" customHeight="1"/>
    <row r="6494" customFormat="1" ht="17.25" customHeight="1"/>
    <row r="6495" customFormat="1" ht="17.25" customHeight="1"/>
    <row r="6496" customFormat="1" ht="17.25" customHeight="1"/>
    <row r="6497" customFormat="1" ht="17.25" customHeight="1"/>
    <row r="6498" customFormat="1" ht="17.25" customHeight="1"/>
    <row r="6499" customFormat="1" ht="17.25" customHeight="1"/>
    <row r="6500" customFormat="1" ht="17.25" customHeight="1"/>
    <row r="6501" customFormat="1" ht="17.25" customHeight="1"/>
    <row r="6502" customFormat="1" ht="17.25" customHeight="1"/>
    <row r="6503" customFormat="1" ht="17.25" customHeight="1"/>
    <row r="6504" customFormat="1" ht="17.25" customHeight="1"/>
    <row r="6505" customFormat="1" ht="17.25" customHeight="1"/>
    <row r="6506" customFormat="1" ht="17.25" customHeight="1"/>
    <row r="6507" customFormat="1" ht="17.25" customHeight="1"/>
    <row r="6508" customFormat="1" ht="17.25" customHeight="1"/>
    <row r="6509" customFormat="1" ht="17.25" customHeight="1"/>
    <row r="6510" customFormat="1" ht="17.25" customHeight="1"/>
    <row r="6511" customFormat="1" ht="17.25" customHeight="1"/>
    <row r="6512" customFormat="1" ht="17.25" customHeight="1"/>
    <row r="6513" customFormat="1" ht="17.25" customHeight="1"/>
    <row r="6514" customFormat="1" ht="17.25" customHeight="1"/>
    <row r="6515" customFormat="1" ht="17.25" customHeight="1"/>
    <row r="6516" customFormat="1" ht="17.25" customHeight="1"/>
    <row r="6517" customFormat="1" ht="17.25" customHeight="1"/>
    <row r="6518" customFormat="1" ht="17.25" customHeight="1"/>
    <row r="6519" customFormat="1" ht="17.25" customHeight="1"/>
    <row r="6520" customFormat="1" ht="17.25" customHeight="1"/>
    <row r="6521" customFormat="1" ht="17.25" customHeight="1"/>
    <row r="6522" customFormat="1" ht="17.25" customHeight="1"/>
    <row r="6523" customFormat="1" ht="17.25" customHeight="1"/>
    <row r="6524" customFormat="1" ht="17.25" customHeight="1"/>
    <row r="6525" customFormat="1" ht="17.25" customHeight="1"/>
    <row r="6526" customFormat="1" ht="17.25" customHeight="1"/>
    <row r="6527" customFormat="1" ht="17.25" customHeight="1"/>
    <row r="6528" customFormat="1" ht="17.25" customHeight="1"/>
    <row r="6529" customFormat="1" ht="17.25" customHeight="1"/>
    <row r="6530" customFormat="1" ht="17.25" customHeight="1"/>
    <row r="6531" customFormat="1" ht="17.25" customHeight="1"/>
    <row r="6532" customFormat="1" ht="17.25" customHeight="1"/>
    <row r="6533" customFormat="1" ht="17.25" customHeight="1"/>
    <row r="6534" customFormat="1" ht="17.25" customHeight="1"/>
    <row r="6535" customFormat="1" ht="17.25" customHeight="1"/>
    <row r="6536" customFormat="1" ht="17.25" customHeight="1"/>
    <row r="6537" customFormat="1" ht="17.25" customHeight="1"/>
    <row r="6538" customFormat="1" ht="17.25" customHeight="1"/>
    <row r="6539" customFormat="1" ht="17.25" customHeight="1"/>
    <row r="6540" customFormat="1" ht="17.25" customHeight="1"/>
    <row r="6541" customFormat="1" ht="17.25" customHeight="1"/>
    <row r="6542" customFormat="1" ht="17.25" customHeight="1"/>
    <row r="6543" customFormat="1" ht="17.25" customHeight="1"/>
    <row r="6544" customFormat="1" ht="17.25" customHeight="1"/>
    <row r="6545" customFormat="1" ht="17.25" customHeight="1"/>
    <row r="6546" customFormat="1" ht="17.25" customHeight="1"/>
    <row r="6547" customFormat="1" ht="17.25" customHeight="1"/>
    <row r="6548" customFormat="1" ht="17.25" customHeight="1"/>
    <row r="6549" customFormat="1" ht="17.25" customHeight="1"/>
    <row r="6550" customFormat="1" ht="17.25" customHeight="1"/>
    <row r="6551" customFormat="1" ht="17.25" customHeight="1"/>
    <row r="6552" customFormat="1" ht="17.25" customHeight="1"/>
    <row r="6553" customFormat="1" ht="17.25" customHeight="1"/>
    <row r="6554" customFormat="1" ht="17.25" customHeight="1"/>
    <row r="6555" customFormat="1" ht="17.25" customHeight="1"/>
    <row r="6556" customFormat="1" ht="17.25" customHeight="1"/>
    <row r="6557" customFormat="1" ht="17.25" customHeight="1"/>
    <row r="6558" customFormat="1" ht="17.25" customHeight="1"/>
    <row r="6559" customFormat="1" ht="17.25" customHeight="1"/>
    <row r="6560" customFormat="1" ht="17.25" customHeight="1"/>
    <row r="6561" customFormat="1" ht="17.25" customHeight="1"/>
    <row r="6562" customFormat="1" ht="17.25" customHeight="1"/>
    <row r="6563" customFormat="1" ht="17.25" customHeight="1"/>
    <row r="6564" customFormat="1" ht="17.25" customHeight="1"/>
    <row r="6565" customFormat="1" ht="17.25" customHeight="1"/>
    <row r="6566" customFormat="1" ht="17.25" customHeight="1"/>
    <row r="6567" customFormat="1" ht="17.25" customHeight="1"/>
    <row r="6568" customFormat="1" ht="17.25" customHeight="1"/>
    <row r="6569" customFormat="1" ht="17.25" customHeight="1"/>
    <row r="6570" customFormat="1" ht="17.25" customHeight="1"/>
    <row r="6571" customFormat="1" ht="17.25" customHeight="1"/>
    <row r="6572" customFormat="1" ht="17.25" customHeight="1"/>
    <row r="6573" customFormat="1" ht="17.25" customHeight="1"/>
    <row r="6574" customFormat="1" ht="17.25" customHeight="1"/>
    <row r="6575" customFormat="1" ht="17.25" customHeight="1"/>
    <row r="6576" customFormat="1" ht="17.25" customHeight="1"/>
    <row r="6577" customFormat="1" ht="17.25" customHeight="1"/>
    <row r="6578" customFormat="1" ht="17.25" customHeight="1"/>
    <row r="6579" customFormat="1" ht="17.25" customHeight="1"/>
    <row r="6580" customFormat="1" ht="17.25" customHeight="1"/>
    <row r="6581" customFormat="1" ht="17.25" customHeight="1"/>
    <row r="6582" customFormat="1" ht="17.25" customHeight="1"/>
    <row r="6583" customFormat="1" ht="17.25" customHeight="1"/>
    <row r="6584" customFormat="1" ht="17.25" customHeight="1"/>
    <row r="6585" customFormat="1" ht="17.25" customHeight="1"/>
    <row r="6586" customFormat="1" ht="17.25" customHeight="1"/>
    <row r="6587" customFormat="1" ht="17.25" customHeight="1"/>
    <row r="6588" customFormat="1" ht="17.25" customHeight="1"/>
    <row r="6589" customFormat="1" ht="17.25" customHeight="1"/>
    <row r="6590" customFormat="1" ht="17.25" customHeight="1"/>
    <row r="6591" customFormat="1" ht="17.25" customHeight="1"/>
    <row r="6592" customFormat="1" ht="17.25" customHeight="1"/>
    <row r="6593" customFormat="1" ht="17.25" customHeight="1"/>
    <row r="6594" customFormat="1" ht="17.25" customHeight="1"/>
    <row r="6595" customFormat="1" ht="17.25" customHeight="1"/>
    <row r="6596" customFormat="1" ht="17.25" customHeight="1"/>
    <row r="6597" customFormat="1" ht="17.25" customHeight="1"/>
    <row r="6598" customFormat="1" ht="17.25" customHeight="1"/>
    <row r="6599" customFormat="1" ht="17.25" customHeight="1"/>
    <row r="6600" customFormat="1" ht="17.25" customHeight="1"/>
    <row r="6601" customFormat="1" ht="17.25" customHeight="1"/>
    <row r="6602" customFormat="1" ht="17.25" customHeight="1"/>
    <row r="6603" customFormat="1" ht="17.25" customHeight="1"/>
    <row r="6604" customFormat="1" ht="17.25" customHeight="1"/>
    <row r="6605" customFormat="1" ht="17.25" customHeight="1"/>
    <row r="6606" customFormat="1" ht="17.25" customHeight="1"/>
    <row r="6607" customFormat="1" ht="17.25" customHeight="1"/>
    <row r="6608" customFormat="1" ht="17.25" customHeight="1"/>
    <row r="6609" customFormat="1" ht="17.25" customHeight="1"/>
    <row r="6610" customFormat="1" ht="17.25" customHeight="1"/>
    <row r="6611" customFormat="1" ht="17.25" customHeight="1"/>
    <row r="6612" customFormat="1" ht="17.25" customHeight="1"/>
    <row r="6613" customFormat="1" ht="17.25" customHeight="1"/>
    <row r="6614" customFormat="1" ht="17.25" customHeight="1"/>
    <row r="6615" customFormat="1" ht="17.25" customHeight="1"/>
    <row r="6616" customFormat="1" ht="17.25" customHeight="1"/>
    <row r="6617" customFormat="1" ht="17.25" customHeight="1"/>
    <row r="6618" customFormat="1" ht="17.25" customHeight="1"/>
    <row r="6619" customFormat="1" ht="17.25" customHeight="1"/>
    <row r="6620" customFormat="1" ht="17.25" customHeight="1"/>
    <row r="6621" customFormat="1" ht="17.25" customHeight="1"/>
    <row r="6622" customFormat="1" ht="17.25" customHeight="1"/>
    <row r="6623" customFormat="1" ht="17.25" customHeight="1"/>
    <row r="6624" customFormat="1" ht="17.25" customHeight="1"/>
    <row r="6625" customFormat="1" ht="17.25" customHeight="1"/>
    <row r="6626" customFormat="1" ht="17.25" customHeight="1"/>
    <row r="6627" customFormat="1" ht="17.25" customHeight="1"/>
    <row r="6628" customFormat="1" ht="17.25" customHeight="1"/>
    <row r="6629" customFormat="1" ht="17.25" customHeight="1"/>
    <row r="6630" customFormat="1" ht="17.25" customHeight="1"/>
    <row r="6631" customFormat="1" ht="17.25" customHeight="1"/>
    <row r="6632" customFormat="1" ht="17.25" customHeight="1"/>
    <row r="6633" customFormat="1" ht="17.25" customHeight="1"/>
    <row r="6634" customFormat="1" ht="17.25" customHeight="1"/>
    <row r="6635" customFormat="1" ht="17.25" customHeight="1"/>
    <row r="6636" customFormat="1" ht="17.25" customHeight="1"/>
    <row r="6637" customFormat="1" ht="17.25" customHeight="1"/>
    <row r="6638" customFormat="1" ht="17.25" customHeight="1"/>
    <row r="6639" customFormat="1" ht="17.25" customHeight="1"/>
    <row r="6640" customFormat="1" ht="17.25" customHeight="1"/>
    <row r="6641" customFormat="1" ht="17.25" customHeight="1"/>
    <row r="6642" customFormat="1" ht="17.25" customHeight="1"/>
    <row r="6643" customFormat="1" ht="17.25" customHeight="1"/>
    <row r="6644" customFormat="1" ht="17.25" customHeight="1"/>
    <row r="6645" customFormat="1" ht="17.25" customHeight="1"/>
    <row r="6646" customFormat="1" ht="17.25" customHeight="1"/>
    <row r="6647" customFormat="1" ht="17.25" customHeight="1"/>
    <row r="6648" customFormat="1" ht="17.25" customHeight="1"/>
    <row r="6649" customFormat="1" ht="17.25" customHeight="1"/>
    <row r="6650" customFormat="1" ht="17.25" customHeight="1"/>
    <row r="6651" customFormat="1" ht="17.25" customHeight="1"/>
    <row r="6652" customFormat="1" ht="17.25" customHeight="1"/>
    <row r="6653" customFormat="1" ht="17.25" customHeight="1"/>
    <row r="6654" customFormat="1" ht="17.25" customHeight="1"/>
    <row r="6655" customFormat="1" ht="17.25" customHeight="1"/>
    <row r="6656" customFormat="1" ht="17.25" customHeight="1"/>
    <row r="6657" customFormat="1" ht="17.25" customHeight="1"/>
    <row r="6658" customFormat="1" ht="17.25" customHeight="1"/>
    <row r="6659" customFormat="1" ht="17.25" customHeight="1"/>
    <row r="6660" customFormat="1" ht="17.25" customHeight="1"/>
    <row r="6661" customFormat="1" ht="17.25" customHeight="1"/>
    <row r="6662" customFormat="1" ht="17.25" customHeight="1"/>
    <row r="6663" customFormat="1" ht="17.25" customHeight="1"/>
    <row r="6664" customFormat="1" ht="17.25" customHeight="1"/>
    <row r="6665" customFormat="1" ht="17.25" customHeight="1"/>
    <row r="6666" customFormat="1" ht="17.25" customHeight="1"/>
    <row r="6667" customFormat="1" ht="17.25" customHeight="1"/>
    <row r="6668" customFormat="1" ht="17.25" customHeight="1"/>
    <row r="6669" customFormat="1" ht="17.25" customHeight="1"/>
    <row r="6670" customFormat="1" ht="17.25" customHeight="1"/>
    <row r="6671" customFormat="1" ht="17.25" customHeight="1"/>
    <row r="6672" customFormat="1" ht="17.25" customHeight="1"/>
    <row r="6673" customFormat="1" ht="17.25" customHeight="1"/>
    <row r="6674" customFormat="1" ht="17.25" customHeight="1"/>
    <row r="6675" customFormat="1" ht="17.25" customHeight="1"/>
    <row r="6676" customFormat="1" ht="17.25" customHeight="1"/>
    <row r="6677" customFormat="1" ht="17.25" customHeight="1"/>
    <row r="6678" customFormat="1" ht="17.25" customHeight="1"/>
    <row r="6679" customFormat="1" ht="17.25" customHeight="1"/>
    <row r="6680" customFormat="1" ht="17.25" customHeight="1"/>
    <row r="6681" customFormat="1" ht="17.25" customHeight="1"/>
    <row r="6682" customFormat="1" ht="17.25" customHeight="1"/>
    <row r="6683" customFormat="1" ht="17.25" customHeight="1"/>
    <row r="6684" customFormat="1" ht="17.25" customHeight="1"/>
    <row r="6685" customFormat="1" ht="17.25" customHeight="1"/>
    <row r="6686" customFormat="1" ht="17.25" customHeight="1"/>
    <row r="6687" customFormat="1" ht="17.25" customHeight="1"/>
    <row r="6688" customFormat="1" ht="17.25" customHeight="1"/>
    <row r="6689" customFormat="1" ht="17.25" customHeight="1"/>
    <row r="6690" customFormat="1" ht="17.25" customHeight="1"/>
    <row r="6691" customFormat="1" ht="17.25" customHeight="1"/>
    <row r="6692" customFormat="1" ht="17.25" customHeight="1"/>
    <row r="6693" customFormat="1" ht="17.25" customHeight="1"/>
    <row r="6694" customFormat="1" ht="17.25" customHeight="1"/>
    <row r="6695" customFormat="1" ht="17.25" customHeight="1"/>
    <row r="6696" customFormat="1" ht="17.25" customHeight="1"/>
    <row r="6697" customFormat="1" ht="17.25" customHeight="1"/>
    <row r="6698" customFormat="1" ht="17.25" customHeight="1"/>
    <row r="6699" customFormat="1" ht="17.25" customHeight="1"/>
    <row r="6700" customFormat="1" ht="17.25" customHeight="1"/>
    <row r="6701" customFormat="1" ht="17.25" customHeight="1"/>
    <row r="6702" customFormat="1" ht="17.25" customHeight="1"/>
    <row r="6703" customFormat="1" ht="17.25" customHeight="1"/>
    <row r="6704" customFormat="1" ht="17.25" customHeight="1"/>
    <row r="6705" customFormat="1" ht="17.25" customHeight="1"/>
    <row r="6706" customFormat="1" ht="17.25" customHeight="1"/>
    <row r="6707" customFormat="1" ht="17.25" customHeight="1"/>
    <row r="6708" customFormat="1" ht="17.25" customHeight="1"/>
    <row r="6709" customFormat="1" ht="17.25" customHeight="1"/>
    <row r="6710" customFormat="1" ht="17.25" customHeight="1"/>
    <row r="6711" customFormat="1" ht="17.25" customHeight="1"/>
    <row r="6712" customFormat="1" ht="17.25" customHeight="1"/>
    <row r="6713" customFormat="1" ht="17.25" customHeight="1"/>
    <row r="6714" customFormat="1" ht="17.25" customHeight="1"/>
    <row r="6715" customFormat="1" ht="17.25" customHeight="1"/>
    <row r="6716" customFormat="1" ht="17.25" customHeight="1"/>
    <row r="6717" customFormat="1" ht="17.25" customHeight="1"/>
    <row r="6718" customFormat="1" ht="17.25" customHeight="1"/>
    <row r="6719" customFormat="1" ht="17.25" customHeight="1"/>
    <row r="6720" customFormat="1" ht="17.25" customHeight="1"/>
    <row r="6721" customFormat="1" ht="17.25" customHeight="1"/>
    <row r="6722" customFormat="1" ht="17.25" customHeight="1"/>
    <row r="6723" customFormat="1" ht="17.25" customHeight="1"/>
    <row r="6724" customFormat="1" ht="17.25" customHeight="1"/>
    <row r="6725" customFormat="1" ht="17.25" customHeight="1"/>
    <row r="6726" customFormat="1" ht="17.25" customHeight="1"/>
    <row r="6727" customFormat="1" ht="17.25" customHeight="1"/>
    <row r="6728" customFormat="1" ht="17.25" customHeight="1"/>
    <row r="6729" customFormat="1" ht="17.25" customHeight="1"/>
    <row r="6730" customFormat="1" ht="17.25" customHeight="1"/>
    <row r="6731" customFormat="1" ht="17.25" customHeight="1"/>
    <row r="6732" customFormat="1" ht="17.25" customHeight="1"/>
    <row r="6733" customFormat="1" ht="17.25" customHeight="1"/>
    <row r="6734" customFormat="1" ht="17.25" customHeight="1"/>
    <row r="6735" customFormat="1" ht="17.25" customHeight="1"/>
    <row r="6736" customFormat="1" ht="17.25" customHeight="1"/>
    <row r="6737" customFormat="1" ht="17.25" customHeight="1"/>
    <row r="6738" customFormat="1" ht="17.25" customHeight="1"/>
    <row r="6739" customFormat="1" ht="17.25" customHeight="1"/>
    <row r="6740" customFormat="1" ht="17.25" customHeight="1"/>
    <row r="6741" customFormat="1" ht="17.25" customHeight="1"/>
    <row r="6742" customFormat="1" ht="17.25" customHeight="1"/>
    <row r="6743" customFormat="1" ht="17.25" customHeight="1"/>
    <row r="6744" customFormat="1" ht="17.25" customHeight="1"/>
    <row r="6745" customFormat="1" ht="17.25" customHeight="1"/>
    <row r="6746" customFormat="1" ht="17.25" customHeight="1"/>
    <row r="6747" customFormat="1" ht="17.25" customHeight="1"/>
    <row r="6748" customFormat="1" ht="17.25" customHeight="1"/>
    <row r="6749" customFormat="1" ht="17.25" customHeight="1"/>
    <row r="6750" customFormat="1" ht="17.25" customHeight="1"/>
    <row r="6751" customFormat="1" ht="17.25" customHeight="1"/>
    <row r="6752" customFormat="1" ht="17.25" customHeight="1"/>
    <row r="6753" customFormat="1" ht="17.25" customHeight="1"/>
    <row r="6754" customFormat="1" ht="17.25" customHeight="1"/>
    <row r="6755" customFormat="1" ht="17.25" customHeight="1"/>
    <row r="6756" customFormat="1" ht="17.25" customHeight="1"/>
    <row r="6757" customFormat="1" ht="17.25" customHeight="1"/>
    <row r="6758" customFormat="1" ht="17.25" customHeight="1"/>
    <row r="6759" customFormat="1" ht="17.25" customHeight="1"/>
    <row r="6760" customFormat="1" ht="17.25" customHeight="1"/>
    <row r="6761" customFormat="1" ht="17.25" customHeight="1"/>
    <row r="6762" customFormat="1" ht="17.25" customHeight="1"/>
    <row r="6763" customFormat="1" ht="17.25" customHeight="1"/>
    <row r="6764" customFormat="1" ht="17.25" customHeight="1"/>
    <row r="6765" customFormat="1" ht="17.25" customHeight="1"/>
    <row r="6766" customFormat="1" ht="17.25" customHeight="1"/>
    <row r="6767" customFormat="1" ht="17.25" customHeight="1"/>
    <row r="6768" customFormat="1" ht="17.25" customHeight="1"/>
    <row r="6769" customFormat="1" ht="17.25" customHeight="1"/>
    <row r="6770" customFormat="1" ht="17.25" customHeight="1"/>
    <row r="6771" customFormat="1" ht="17.25" customHeight="1"/>
    <row r="6772" customFormat="1" ht="17.25" customHeight="1"/>
    <row r="6773" customFormat="1" ht="17.25" customHeight="1"/>
    <row r="6774" customFormat="1" ht="17.25" customHeight="1"/>
    <row r="6775" customFormat="1" ht="17.25" customHeight="1"/>
    <row r="6776" customFormat="1" ht="17.25" customHeight="1"/>
    <row r="6777" customFormat="1" ht="17.25" customHeight="1"/>
    <row r="6778" customFormat="1" ht="17.25" customHeight="1"/>
    <row r="6779" customFormat="1" ht="17.25" customHeight="1"/>
    <row r="6780" customFormat="1" ht="17.25" customHeight="1"/>
    <row r="6781" customFormat="1" ht="17.25" customHeight="1"/>
    <row r="6782" customFormat="1" ht="17.25" customHeight="1"/>
    <row r="6783" customFormat="1" ht="17.25" customHeight="1"/>
    <row r="6784" customFormat="1" ht="17.25" customHeight="1"/>
    <row r="6785" customFormat="1" ht="17.25" customHeight="1"/>
    <row r="6786" customFormat="1" ht="17.25" customHeight="1"/>
    <row r="6787" customFormat="1" ht="17.25" customHeight="1"/>
    <row r="6788" customFormat="1" ht="17.25" customHeight="1"/>
    <row r="6789" customFormat="1" ht="17.25" customHeight="1"/>
    <row r="6790" customFormat="1" ht="17.25" customHeight="1"/>
    <row r="6791" customFormat="1" ht="17.25" customHeight="1"/>
    <row r="6792" customFormat="1" ht="17.25" customHeight="1"/>
    <row r="6793" customFormat="1" ht="17.25" customHeight="1"/>
    <row r="6794" customFormat="1" ht="17.25" customHeight="1"/>
    <row r="6795" customFormat="1" ht="17.25" customHeight="1"/>
    <row r="6796" customFormat="1" ht="17.25" customHeight="1"/>
    <row r="6797" customFormat="1" ht="17.25" customHeight="1"/>
    <row r="6798" customFormat="1" ht="17.25" customHeight="1"/>
    <row r="6799" customFormat="1" ht="17.25" customHeight="1"/>
    <row r="6800" customFormat="1" ht="17.25" customHeight="1"/>
    <row r="6801" customFormat="1" ht="17.25" customHeight="1"/>
    <row r="6802" customFormat="1" ht="17.25" customHeight="1"/>
    <row r="6803" customFormat="1" ht="17.25" customHeight="1"/>
    <row r="6804" customFormat="1" ht="17.25" customHeight="1"/>
    <row r="6805" customFormat="1" ht="17.25" customHeight="1"/>
    <row r="6806" customFormat="1" ht="17.25" customHeight="1"/>
    <row r="6807" customFormat="1" ht="17.25" customHeight="1"/>
    <row r="6808" customFormat="1" ht="17.25" customHeight="1"/>
    <row r="6809" customFormat="1" ht="17.25" customHeight="1"/>
    <row r="6810" customFormat="1" ht="17.25" customHeight="1"/>
    <row r="6811" customFormat="1" ht="17.25" customHeight="1"/>
    <row r="6812" customFormat="1" ht="17.25" customHeight="1"/>
    <row r="6813" customFormat="1" ht="17.25" customHeight="1"/>
    <row r="6814" customFormat="1" ht="17.25" customHeight="1"/>
    <row r="6815" customFormat="1" ht="17.25" customHeight="1"/>
    <row r="6816" customFormat="1" ht="17.25" customHeight="1"/>
    <row r="6817" customFormat="1" ht="17.25" customHeight="1"/>
    <row r="6818" customFormat="1" ht="17.25" customHeight="1"/>
    <row r="6819" customFormat="1" ht="17.25" customHeight="1"/>
    <row r="6820" customFormat="1" ht="17.25" customHeight="1"/>
    <row r="6821" customFormat="1" ht="17.25" customHeight="1"/>
    <row r="6822" customFormat="1" ht="17.25" customHeight="1"/>
    <row r="6823" customFormat="1" ht="17.25" customHeight="1"/>
    <row r="6824" customFormat="1" ht="17.25" customHeight="1"/>
    <row r="6825" customFormat="1" ht="17.25" customHeight="1"/>
    <row r="6826" customFormat="1" ht="17.25" customHeight="1"/>
    <row r="6827" customFormat="1" ht="17.25" customHeight="1"/>
    <row r="6828" customFormat="1" ht="17.25" customHeight="1"/>
    <row r="6829" customFormat="1" ht="17.25" customHeight="1"/>
    <row r="6830" customFormat="1" ht="17.25" customHeight="1"/>
    <row r="6831" customFormat="1" ht="17.25" customHeight="1"/>
    <row r="6832" customFormat="1" ht="17.25" customHeight="1"/>
    <row r="6833" customFormat="1" ht="17.25" customHeight="1"/>
    <row r="6834" customFormat="1" ht="17.25" customHeight="1"/>
    <row r="6835" customFormat="1" ht="17.25" customHeight="1"/>
    <row r="6836" customFormat="1" ht="17.25" customHeight="1"/>
    <row r="6837" customFormat="1" ht="17.25" customHeight="1"/>
    <row r="6838" customFormat="1" ht="17.25" customHeight="1"/>
    <row r="6839" customFormat="1" ht="17.25" customHeight="1"/>
    <row r="6840" customFormat="1" ht="17.25" customHeight="1"/>
    <row r="6841" customFormat="1" ht="17.25" customHeight="1"/>
    <row r="6842" customFormat="1" ht="17.25" customHeight="1"/>
    <row r="6843" customFormat="1" ht="17.25" customHeight="1"/>
    <row r="6844" customFormat="1" ht="17.25" customHeight="1"/>
    <row r="6845" customFormat="1" ht="17.25" customHeight="1"/>
    <row r="6846" customFormat="1" ht="17.25" customHeight="1"/>
    <row r="6847" customFormat="1" ht="17.25" customHeight="1"/>
    <row r="6848" customFormat="1" ht="17.25" customHeight="1"/>
    <row r="6849" customFormat="1" ht="17.25" customHeight="1"/>
    <row r="6850" customFormat="1" ht="17.25" customHeight="1"/>
    <row r="6851" customFormat="1" ht="17.25" customHeight="1"/>
    <row r="6852" customFormat="1" ht="17.25" customHeight="1"/>
    <row r="6853" customFormat="1" ht="17.25" customHeight="1"/>
    <row r="6854" customFormat="1" ht="17.25" customHeight="1"/>
    <row r="6855" customFormat="1" ht="17.25" customHeight="1"/>
    <row r="6856" customFormat="1" ht="17.25" customHeight="1"/>
    <row r="6857" customFormat="1" ht="17.25" customHeight="1"/>
    <row r="6858" customFormat="1" ht="17.25" customHeight="1"/>
    <row r="6859" customFormat="1" ht="17.25" customHeight="1"/>
    <row r="6860" customFormat="1" ht="17.25" customHeight="1"/>
    <row r="6861" customFormat="1" ht="17.25" customHeight="1"/>
    <row r="6862" customFormat="1" ht="17.25" customHeight="1"/>
    <row r="6863" customFormat="1" ht="17.25" customHeight="1"/>
    <row r="6864" customFormat="1" ht="17.25" customHeight="1"/>
    <row r="6865" customFormat="1" ht="17.25" customHeight="1"/>
    <row r="6866" customFormat="1" ht="17.25" customHeight="1"/>
    <row r="6867" customFormat="1" ht="17.25" customHeight="1"/>
    <row r="6868" customFormat="1" ht="17.25" customHeight="1"/>
    <row r="6869" customFormat="1" ht="17.25" customHeight="1"/>
    <row r="6870" customFormat="1" ht="17.25" customHeight="1"/>
    <row r="6871" customFormat="1" ht="17.25" customHeight="1"/>
    <row r="6872" customFormat="1" ht="17.25" customHeight="1"/>
    <row r="6873" customFormat="1" ht="17.25" customHeight="1"/>
    <row r="6874" customFormat="1" ht="17.25" customHeight="1"/>
    <row r="6875" customFormat="1" ht="17.25" customHeight="1"/>
    <row r="6876" customFormat="1" ht="17.25" customHeight="1"/>
    <row r="6877" customFormat="1" ht="17.25" customHeight="1"/>
    <row r="6878" customFormat="1" ht="17.25" customHeight="1"/>
    <row r="6879" customFormat="1" ht="17.25" customHeight="1"/>
    <row r="6880" customFormat="1" ht="17.25" customHeight="1"/>
    <row r="6881" customFormat="1" ht="17.25" customHeight="1"/>
    <row r="6882" customFormat="1" ht="17.25" customHeight="1"/>
    <row r="6883" customFormat="1" ht="17.25" customHeight="1"/>
    <row r="6884" customFormat="1" ht="17.25" customHeight="1"/>
    <row r="6885" customFormat="1" ht="17.25" customHeight="1"/>
    <row r="6886" customFormat="1" ht="17.25" customHeight="1"/>
    <row r="6887" customFormat="1" ht="17.25" customHeight="1"/>
    <row r="6888" customFormat="1" ht="17.25" customHeight="1"/>
    <row r="6889" customFormat="1" ht="17.25" customHeight="1"/>
    <row r="6890" customFormat="1" ht="17.25" customHeight="1"/>
    <row r="6891" customFormat="1" ht="17.25" customHeight="1"/>
    <row r="6892" customFormat="1" ht="17.25" customHeight="1"/>
    <row r="6893" customFormat="1" ht="17.25" customHeight="1"/>
    <row r="6894" customFormat="1" ht="17.25" customHeight="1"/>
    <row r="6895" customFormat="1" ht="17.25" customHeight="1"/>
    <row r="6896" customFormat="1" ht="17.25" customHeight="1"/>
    <row r="6897" customFormat="1" ht="17.25" customHeight="1"/>
    <row r="6898" customFormat="1" ht="17.25" customHeight="1"/>
    <row r="6899" customFormat="1" ht="17.25" customHeight="1"/>
    <row r="6900" customFormat="1" ht="17.25" customHeight="1"/>
    <row r="6901" customFormat="1" ht="17.25" customHeight="1"/>
    <row r="6902" customFormat="1" ht="17.25" customHeight="1"/>
    <row r="6903" customFormat="1" ht="17.25" customHeight="1"/>
    <row r="6904" customFormat="1" ht="17.25" customHeight="1"/>
    <row r="6905" customFormat="1" ht="17.25" customHeight="1"/>
    <row r="6906" customFormat="1" ht="17.25" customHeight="1"/>
    <row r="6907" customFormat="1" ht="17.25" customHeight="1"/>
    <row r="6908" customFormat="1" ht="17.25" customHeight="1"/>
    <row r="6909" customFormat="1" ht="17.25" customHeight="1"/>
    <row r="6910" customFormat="1" ht="17.25" customHeight="1"/>
    <row r="6911" customFormat="1" ht="17.25" customHeight="1"/>
    <row r="6912" customFormat="1" ht="17.25" customHeight="1"/>
    <row r="6913" customFormat="1" ht="17.25" customHeight="1"/>
    <row r="6914" customFormat="1" ht="17.25" customHeight="1"/>
    <row r="6915" customFormat="1" ht="17.25" customHeight="1"/>
    <row r="6916" customFormat="1" ht="17.25" customHeight="1"/>
    <row r="6917" customFormat="1" ht="17.25" customHeight="1"/>
    <row r="6918" customFormat="1" ht="17.25" customHeight="1"/>
    <row r="6919" customFormat="1" ht="17.25" customHeight="1"/>
    <row r="6920" customFormat="1" ht="17.25" customHeight="1"/>
    <row r="6921" customFormat="1" ht="17.25" customHeight="1"/>
    <row r="6922" customFormat="1" ht="17.25" customHeight="1"/>
    <row r="6923" customFormat="1" ht="17.25" customHeight="1"/>
    <row r="6924" customFormat="1" ht="17.25" customHeight="1"/>
    <row r="6925" customFormat="1" ht="17.25" customHeight="1"/>
    <row r="6926" customFormat="1" ht="17.25" customHeight="1"/>
    <row r="6927" customFormat="1" ht="17.25" customHeight="1"/>
    <row r="6928" customFormat="1" ht="17.25" customHeight="1"/>
    <row r="6929" customFormat="1" ht="17.25" customHeight="1"/>
    <row r="6930" customFormat="1" ht="17.25" customHeight="1"/>
    <row r="6931" customFormat="1" ht="17.25" customHeight="1"/>
    <row r="6932" customFormat="1" ht="17.25" customHeight="1"/>
    <row r="6933" customFormat="1" ht="17.25" customHeight="1"/>
    <row r="6934" customFormat="1" ht="17.25" customHeight="1"/>
    <row r="6935" customFormat="1" ht="17.25" customHeight="1"/>
    <row r="6936" customFormat="1" ht="17.25" customHeight="1"/>
    <row r="6937" customFormat="1" ht="17.25" customHeight="1"/>
    <row r="6938" customFormat="1" ht="17.25" customHeight="1"/>
    <row r="6939" customFormat="1" ht="17.25" customHeight="1"/>
    <row r="6940" customFormat="1" ht="17.25" customHeight="1"/>
    <row r="6941" customFormat="1" ht="17.25" customHeight="1"/>
    <row r="6942" customFormat="1" ht="17.25" customHeight="1"/>
    <row r="6943" customFormat="1" ht="17.25" customHeight="1"/>
    <row r="6944" customFormat="1" ht="17.25" customHeight="1"/>
    <row r="6945" customFormat="1" ht="17.25" customHeight="1"/>
    <row r="6946" customFormat="1" ht="17.25" customHeight="1"/>
    <row r="6947" customFormat="1" ht="17.25" customHeight="1"/>
    <row r="6948" customFormat="1" ht="17.25" customHeight="1"/>
    <row r="6949" customFormat="1" ht="17.25" customHeight="1"/>
    <row r="6950" customFormat="1" ht="17.25" customHeight="1"/>
    <row r="6951" customFormat="1" ht="17.25" customHeight="1"/>
    <row r="6952" customFormat="1" ht="17.25" customHeight="1"/>
    <row r="6953" customFormat="1" ht="17.25" customHeight="1"/>
    <row r="6954" customFormat="1" ht="17.25" customHeight="1"/>
    <row r="6955" customFormat="1" ht="17.25" customHeight="1"/>
    <row r="6956" customFormat="1" ht="17.25" customHeight="1"/>
    <row r="6957" customFormat="1" ht="17.25" customHeight="1"/>
    <row r="6958" customFormat="1" ht="17.25" customHeight="1"/>
    <row r="6959" customFormat="1" ht="17.25" customHeight="1"/>
    <row r="6960" customFormat="1" ht="17.25" customHeight="1"/>
    <row r="6961" customFormat="1" ht="17.25" customHeight="1"/>
    <row r="6962" customFormat="1" ht="17.25" customHeight="1"/>
    <row r="6963" customFormat="1" ht="17.25" customHeight="1"/>
    <row r="6964" customFormat="1" ht="17.25" customHeight="1"/>
    <row r="6965" customFormat="1" ht="17.25" customHeight="1"/>
    <row r="6966" customFormat="1" ht="17.25" customHeight="1"/>
    <row r="6967" customFormat="1" ht="17.25" customHeight="1"/>
    <row r="6968" customFormat="1" ht="17.25" customHeight="1"/>
    <row r="6969" customFormat="1" ht="17.25" customHeight="1"/>
    <row r="6970" customFormat="1" ht="17.25" customHeight="1"/>
    <row r="6971" customFormat="1" ht="17.25" customHeight="1"/>
    <row r="6972" customFormat="1" ht="17.25" customHeight="1"/>
    <row r="6973" customFormat="1" ht="17.25" customHeight="1"/>
    <row r="6974" customFormat="1" ht="17.25" customHeight="1"/>
    <row r="6975" customFormat="1" ht="17.25" customHeight="1"/>
    <row r="6976" customFormat="1" ht="17.25" customHeight="1"/>
    <row r="6977" customFormat="1" ht="17.25" customHeight="1"/>
    <row r="6978" customFormat="1" ht="17.25" customHeight="1"/>
    <row r="6979" customFormat="1" ht="17.25" customHeight="1"/>
    <row r="6980" customFormat="1" ht="17.25" customHeight="1"/>
    <row r="6981" customFormat="1" ht="17.25" customHeight="1"/>
    <row r="6982" customFormat="1" ht="17.25" customHeight="1"/>
    <row r="6983" customFormat="1" ht="17.25" customHeight="1"/>
    <row r="6984" customFormat="1" ht="17.25" customHeight="1"/>
    <row r="6985" customFormat="1" ht="17.25" customHeight="1"/>
    <row r="6986" customFormat="1" ht="17.25" customHeight="1"/>
    <row r="6987" customFormat="1" ht="17.25" customHeight="1"/>
    <row r="6988" customFormat="1" ht="17.25" customHeight="1"/>
    <row r="6989" customFormat="1" ht="17.25" customHeight="1"/>
    <row r="6990" customFormat="1" ht="17.25" customHeight="1"/>
    <row r="6991" customFormat="1" ht="17.25" customHeight="1"/>
    <row r="6992" customFormat="1" ht="17.25" customHeight="1"/>
    <row r="6993" customFormat="1" ht="17.25" customHeight="1"/>
    <row r="6994" customFormat="1" ht="17.25" customHeight="1"/>
    <row r="6995" customFormat="1" ht="17.25" customHeight="1"/>
    <row r="6996" customFormat="1" ht="17.25" customHeight="1"/>
    <row r="6997" customFormat="1" ht="17.25" customHeight="1"/>
    <row r="6998" customFormat="1" ht="17.25" customHeight="1"/>
    <row r="6999" customFormat="1" ht="17.25" customHeight="1"/>
    <row r="7000" customFormat="1" ht="17.25" customHeight="1"/>
    <row r="7001" customFormat="1" ht="17.25" customHeight="1"/>
    <row r="7002" customFormat="1" ht="17.25" customHeight="1"/>
    <row r="7003" customFormat="1" ht="17.25" customHeight="1"/>
    <row r="7004" customFormat="1" ht="17.25" customHeight="1"/>
    <row r="7005" customFormat="1" ht="17.25" customHeight="1"/>
    <row r="7006" customFormat="1" ht="17.25" customHeight="1"/>
    <row r="7007" customFormat="1" ht="17.25" customHeight="1"/>
    <row r="7008" customFormat="1" ht="17.25" customHeight="1"/>
    <row r="7009" customFormat="1" ht="17.25" customHeight="1"/>
    <row r="7010" customFormat="1" ht="17.25" customHeight="1"/>
    <row r="7011" customFormat="1" ht="17.25" customHeight="1"/>
    <row r="7012" customFormat="1" ht="17.25" customHeight="1"/>
    <row r="7013" customFormat="1" ht="17.25" customHeight="1"/>
    <row r="7014" customFormat="1" ht="17.25" customHeight="1"/>
    <row r="7015" customFormat="1" ht="17.25" customHeight="1"/>
    <row r="7016" customFormat="1" ht="17.25" customHeight="1"/>
    <row r="7017" customFormat="1" ht="17.25" customHeight="1"/>
    <row r="7018" customFormat="1" ht="17.25" customHeight="1"/>
    <row r="7019" customFormat="1" ht="17.25" customHeight="1"/>
    <row r="7020" customFormat="1" ht="17.25" customHeight="1"/>
    <row r="7021" customFormat="1" ht="17.25" customHeight="1"/>
    <row r="7022" customFormat="1" ht="17.25" customHeight="1"/>
    <row r="7023" customFormat="1" ht="17.25" customHeight="1"/>
    <row r="7024" customFormat="1" ht="17.25" customHeight="1"/>
    <row r="7025" customFormat="1" ht="17.25" customHeight="1"/>
    <row r="7026" customFormat="1" ht="17.25" customHeight="1"/>
    <row r="7027" customFormat="1" ht="17.25" customHeight="1"/>
    <row r="7028" customFormat="1" ht="17.25" customHeight="1"/>
    <row r="7029" customFormat="1" ht="17.25" customHeight="1"/>
    <row r="7030" customFormat="1" ht="17.25" customHeight="1"/>
    <row r="7031" customFormat="1" ht="17.25" customHeight="1"/>
    <row r="7032" customFormat="1" ht="17.25" customHeight="1"/>
    <row r="7033" customFormat="1" ht="17.25" customHeight="1"/>
    <row r="7034" customFormat="1" ht="17.25" customHeight="1"/>
    <row r="7035" customFormat="1" ht="17.25" customHeight="1"/>
    <row r="7036" customFormat="1" ht="17.25" customHeight="1"/>
    <row r="7037" customFormat="1" ht="17.25" customHeight="1"/>
    <row r="7038" customFormat="1" ht="17.25" customHeight="1"/>
    <row r="7039" customFormat="1" ht="17.25" customHeight="1"/>
    <row r="7040" customFormat="1" ht="17.25" customHeight="1"/>
    <row r="7041" customFormat="1" ht="17.25" customHeight="1"/>
    <row r="7042" customFormat="1" ht="17.25" customHeight="1"/>
    <row r="7043" customFormat="1" ht="17.25" customHeight="1"/>
    <row r="7044" customFormat="1" ht="17.25" customHeight="1"/>
    <row r="7045" customFormat="1" ht="17.25" customHeight="1"/>
    <row r="7046" customFormat="1" ht="17.25" customHeight="1"/>
    <row r="7047" customFormat="1" ht="17.25" customHeight="1"/>
    <row r="7048" customFormat="1" ht="17.25" customHeight="1"/>
    <row r="7049" customFormat="1" ht="17.25" customHeight="1"/>
    <row r="7050" customFormat="1" ht="17.25" customHeight="1"/>
    <row r="7051" customFormat="1" ht="17.25" customHeight="1"/>
    <row r="7052" customFormat="1" ht="17.25" customHeight="1"/>
    <row r="7053" customFormat="1" ht="17.25" customHeight="1"/>
    <row r="7054" customFormat="1" ht="17.25" customHeight="1"/>
    <row r="7055" customFormat="1" ht="17.25" customHeight="1"/>
    <row r="7056" customFormat="1" ht="17.25" customHeight="1"/>
    <row r="7057" customFormat="1" ht="17.25" customHeight="1"/>
    <row r="7058" customFormat="1" ht="17.25" customHeight="1"/>
    <row r="7059" customFormat="1" ht="17.25" customHeight="1"/>
    <row r="7060" customFormat="1" ht="17.25" customHeight="1"/>
    <row r="7061" customFormat="1" ht="17.25" customHeight="1"/>
    <row r="7062" customFormat="1" ht="17.25" customHeight="1"/>
    <row r="7063" customFormat="1" ht="17.25" customHeight="1"/>
    <row r="7064" customFormat="1" ht="17.25" customHeight="1"/>
    <row r="7065" customFormat="1" ht="17.25" customHeight="1"/>
    <row r="7066" customFormat="1" ht="17.25" customHeight="1"/>
    <row r="7067" customFormat="1" ht="17.25" customHeight="1"/>
    <row r="7068" customFormat="1" ht="17.25" customHeight="1"/>
    <row r="7069" customFormat="1" ht="17.25" customHeight="1"/>
    <row r="7070" customFormat="1" ht="17.25" customHeight="1"/>
    <row r="7071" customFormat="1" ht="17.25" customHeight="1"/>
    <row r="7072" customFormat="1" ht="17.25" customHeight="1"/>
    <row r="7073" customFormat="1" ht="17.25" customHeight="1"/>
    <row r="7074" customFormat="1" ht="17.25" customHeight="1"/>
    <row r="7075" customFormat="1" ht="17.25" customHeight="1"/>
    <row r="7076" customFormat="1" ht="17.25" customHeight="1"/>
    <row r="7077" customFormat="1" ht="17.25" customHeight="1"/>
    <row r="7078" customFormat="1" ht="17.25" customHeight="1"/>
    <row r="7079" customFormat="1" ht="17.25" customHeight="1"/>
    <row r="7080" customFormat="1" ht="17.25" customHeight="1"/>
    <row r="7081" customFormat="1" ht="17.25" customHeight="1"/>
    <row r="7082" customFormat="1" ht="17.25" customHeight="1"/>
    <row r="7083" customFormat="1" ht="17.25" customHeight="1"/>
    <row r="7084" customFormat="1" ht="17.25" customHeight="1"/>
    <row r="7085" customFormat="1" ht="17.25" customHeight="1"/>
    <row r="7086" customFormat="1" ht="17.25" customHeight="1"/>
    <row r="7087" customFormat="1" ht="17.25" customHeight="1"/>
    <row r="7088" customFormat="1" ht="17.25" customHeight="1"/>
    <row r="7089" customFormat="1" ht="17.25" customHeight="1"/>
    <row r="7090" customFormat="1" ht="17.25" customHeight="1"/>
    <row r="7091" customFormat="1" ht="17.25" customHeight="1"/>
    <row r="7092" customFormat="1" ht="17.25" customHeight="1"/>
    <row r="7093" customFormat="1" ht="17.25" customHeight="1"/>
    <row r="7094" customFormat="1" ht="17.25" customHeight="1"/>
    <row r="7095" customFormat="1" ht="17.25" customHeight="1"/>
    <row r="7096" customFormat="1" ht="17.25" customHeight="1"/>
    <row r="7097" customFormat="1" ht="17.25" customHeight="1"/>
    <row r="7098" customFormat="1" ht="17.25" customHeight="1"/>
    <row r="7099" customFormat="1" ht="17.25" customHeight="1"/>
    <row r="7100" customFormat="1" ht="17.25" customHeight="1"/>
    <row r="7101" customFormat="1" ht="17.25" customHeight="1"/>
    <row r="7102" customFormat="1" ht="17.25" customHeight="1"/>
    <row r="7103" customFormat="1" ht="17.25" customHeight="1"/>
    <row r="7104" customFormat="1" ht="17.25" customHeight="1"/>
    <row r="7105" customFormat="1" ht="17.25" customHeight="1"/>
    <row r="7106" customFormat="1" ht="17.25" customHeight="1"/>
    <row r="7107" customFormat="1" ht="17.25" customHeight="1"/>
    <row r="7108" customFormat="1" ht="17.25" customHeight="1"/>
    <row r="7109" customFormat="1" ht="17.25" customHeight="1"/>
    <row r="7110" customFormat="1" ht="17.25" customHeight="1"/>
    <row r="7111" customFormat="1" ht="17.25" customHeight="1"/>
    <row r="7112" customFormat="1" ht="17.25" customHeight="1"/>
    <row r="7113" customFormat="1" ht="17.25" customHeight="1"/>
    <row r="7114" customFormat="1" ht="17.25" customHeight="1"/>
    <row r="7115" customFormat="1" ht="17.25" customHeight="1"/>
    <row r="7116" customFormat="1" ht="17.25" customHeight="1"/>
    <row r="7117" customFormat="1" ht="17.25" customHeight="1"/>
    <row r="7118" customFormat="1" ht="17.25" customHeight="1"/>
    <row r="7119" customFormat="1" ht="17.25" customHeight="1"/>
    <row r="7120" customFormat="1" ht="17.25" customHeight="1"/>
    <row r="7121" customFormat="1" ht="17.25" customHeight="1"/>
    <row r="7122" customFormat="1" ht="17.25" customHeight="1"/>
    <row r="7123" customFormat="1" ht="17.25" customHeight="1"/>
    <row r="7124" customFormat="1" ht="17.25" customHeight="1"/>
    <row r="7125" customFormat="1" ht="17.25" customHeight="1"/>
    <row r="7126" customFormat="1" ht="17.25" customHeight="1"/>
    <row r="7127" customFormat="1" ht="17.25" customHeight="1"/>
    <row r="7128" customFormat="1" ht="17.25" customHeight="1"/>
    <row r="7129" customFormat="1" ht="17.25" customHeight="1"/>
    <row r="7130" customFormat="1" ht="17.25" customHeight="1"/>
    <row r="7131" customFormat="1" ht="17.25" customHeight="1"/>
    <row r="7132" customFormat="1" ht="17.25" customHeight="1"/>
    <row r="7133" customFormat="1" ht="17.25" customHeight="1"/>
    <row r="7134" customFormat="1" ht="17.25" customHeight="1"/>
    <row r="7135" customFormat="1" ht="17.25" customHeight="1"/>
    <row r="7136" customFormat="1" ht="17.25" customHeight="1"/>
    <row r="7137" customFormat="1" ht="17.25" customHeight="1"/>
    <row r="7138" customFormat="1" ht="17.25" customHeight="1"/>
    <row r="7139" customFormat="1" ht="17.25" customHeight="1"/>
    <row r="7140" customFormat="1" ht="17.25" customHeight="1"/>
    <row r="7141" customFormat="1" ht="17.25" customHeight="1"/>
    <row r="7142" customFormat="1" ht="17.25" customHeight="1"/>
    <row r="7143" customFormat="1" ht="17.25" customHeight="1"/>
    <row r="7144" customFormat="1" ht="17.25" customHeight="1"/>
    <row r="7145" customFormat="1" ht="17.25" customHeight="1"/>
    <row r="7146" customFormat="1" ht="17.25" customHeight="1"/>
    <row r="7147" customFormat="1" ht="17.25" customHeight="1"/>
    <row r="7148" customFormat="1" ht="17.25" customHeight="1"/>
    <row r="7149" customFormat="1" ht="17.25" customHeight="1"/>
    <row r="7150" customFormat="1" ht="17.25" customHeight="1"/>
    <row r="7151" customFormat="1" ht="17.25" customHeight="1"/>
    <row r="7152" customFormat="1" ht="17.25" customHeight="1"/>
    <row r="7153" customFormat="1" ht="17.25" customHeight="1"/>
    <row r="7154" customFormat="1" ht="17.25" customHeight="1"/>
    <row r="7155" customFormat="1" ht="17.25" customHeight="1"/>
    <row r="7156" customFormat="1" ht="17.25" customHeight="1"/>
    <row r="7157" customFormat="1" ht="17.25" customHeight="1"/>
    <row r="7158" customFormat="1" ht="17.25" customHeight="1"/>
    <row r="7159" customFormat="1" ht="17.25" customHeight="1"/>
    <row r="7160" customFormat="1" ht="17.25" customHeight="1"/>
    <row r="7161" customFormat="1" ht="17.25" customHeight="1"/>
    <row r="7162" customFormat="1" ht="17.25" customHeight="1"/>
    <row r="7163" customFormat="1" ht="17.25" customHeight="1"/>
    <row r="7164" customFormat="1" ht="17.25" customHeight="1"/>
    <row r="7165" customFormat="1" ht="17.25" customHeight="1"/>
    <row r="7166" customFormat="1" ht="17.25" customHeight="1"/>
    <row r="7167" customFormat="1" ht="17.25" customHeight="1"/>
    <row r="7168" customFormat="1" ht="17.25" customHeight="1"/>
    <row r="7169" customFormat="1" ht="17.25" customHeight="1"/>
    <row r="7170" customFormat="1" ht="17.25" customHeight="1"/>
    <row r="7171" customFormat="1" ht="17.25" customHeight="1"/>
    <row r="7172" customFormat="1" ht="17.25" customHeight="1"/>
    <row r="7173" customFormat="1" ht="17.25" customHeight="1"/>
    <row r="7174" customFormat="1" ht="17.25" customHeight="1"/>
    <row r="7175" customFormat="1" ht="17.25" customHeight="1"/>
    <row r="7176" customFormat="1" ht="17.25" customHeight="1"/>
    <row r="7177" customFormat="1" ht="17.25" customHeight="1"/>
    <row r="7178" customFormat="1" ht="17.25" customHeight="1"/>
    <row r="7179" customFormat="1" ht="17.25" customHeight="1"/>
    <row r="7180" customFormat="1" ht="17.25" customHeight="1"/>
    <row r="7181" customFormat="1" ht="17.25" customHeight="1"/>
    <row r="7182" customFormat="1" ht="17.25" customHeight="1"/>
    <row r="7183" customFormat="1" ht="17.25" customHeight="1"/>
    <row r="7184" customFormat="1" ht="17.25" customHeight="1"/>
    <row r="7185" customFormat="1" ht="17.25" customHeight="1"/>
    <row r="7186" customFormat="1" ht="17.25" customHeight="1"/>
    <row r="7187" customFormat="1" ht="17.25" customHeight="1"/>
    <row r="7188" customFormat="1" ht="17.25" customHeight="1"/>
    <row r="7189" customFormat="1" ht="17.25" customHeight="1"/>
    <row r="7190" customFormat="1" ht="17.25" customHeight="1"/>
    <row r="7191" customFormat="1" ht="17.25" customHeight="1"/>
    <row r="7192" customFormat="1" ht="17.25" customHeight="1"/>
    <row r="7193" customFormat="1" ht="17.25" customHeight="1"/>
    <row r="7194" customFormat="1" ht="17.25" customHeight="1"/>
    <row r="7195" customFormat="1" ht="17.25" customHeight="1"/>
    <row r="7196" customFormat="1" ht="17.25" customHeight="1"/>
    <row r="7197" customFormat="1" ht="17.25" customHeight="1"/>
    <row r="7198" customFormat="1" ht="17.25" customHeight="1"/>
    <row r="7199" customFormat="1" ht="17.25" customHeight="1"/>
    <row r="7200" customFormat="1" ht="17.25" customHeight="1"/>
    <row r="7201" customFormat="1" ht="17.25" customHeight="1"/>
    <row r="7202" customFormat="1" ht="17.25" customHeight="1"/>
    <row r="7203" customFormat="1" ht="17.25" customHeight="1"/>
    <row r="7204" customFormat="1" ht="17.25" customHeight="1"/>
    <row r="7205" customFormat="1" ht="17.25" customHeight="1"/>
    <row r="7206" customFormat="1" ht="17.25" customHeight="1"/>
    <row r="7207" customFormat="1" ht="17.25" customHeight="1"/>
    <row r="7208" customFormat="1" ht="17.25" customHeight="1"/>
    <row r="7209" customFormat="1" ht="17.25" customHeight="1"/>
    <row r="7210" customFormat="1" ht="17.25" customHeight="1"/>
    <row r="7211" customFormat="1" ht="17.25" customHeight="1"/>
    <row r="7212" customFormat="1" ht="17.25" customHeight="1"/>
    <row r="7213" customFormat="1" ht="17.25" customHeight="1"/>
    <row r="7214" customFormat="1" ht="17.25" customHeight="1"/>
    <row r="7215" customFormat="1" ht="17.25" customHeight="1"/>
    <row r="7216" customFormat="1" ht="17.25" customHeight="1"/>
    <row r="7217" customFormat="1" ht="17.25" customHeight="1"/>
    <row r="7218" customFormat="1" ht="17.25" customHeight="1"/>
    <row r="7219" customFormat="1" ht="17.25" customHeight="1"/>
    <row r="7220" customFormat="1" ht="17.25" customHeight="1"/>
    <row r="7221" customFormat="1" ht="17.25" customHeight="1"/>
    <row r="7222" customFormat="1" ht="17.25" customHeight="1"/>
    <row r="7223" customFormat="1" ht="17.25" customHeight="1"/>
    <row r="7224" customFormat="1" ht="17.25" customHeight="1"/>
    <row r="7225" customFormat="1" ht="17.25" customHeight="1"/>
    <row r="7226" customFormat="1" ht="17.25" customHeight="1"/>
    <row r="7227" customFormat="1" ht="17.25" customHeight="1"/>
    <row r="7228" customFormat="1" ht="17.25" customHeight="1"/>
    <row r="7229" customFormat="1" ht="17.25" customHeight="1"/>
    <row r="7230" customFormat="1" ht="17.25" customHeight="1"/>
    <row r="7231" customFormat="1" ht="17.25" customHeight="1"/>
    <row r="7232" customFormat="1" ht="17.25" customHeight="1"/>
    <row r="7233" customFormat="1" ht="17.25" customHeight="1"/>
    <row r="7234" customFormat="1" ht="17.25" customHeight="1"/>
    <row r="7235" customFormat="1" ht="17.25" customHeight="1"/>
    <row r="7236" customFormat="1" ht="17.25" customHeight="1"/>
    <row r="7237" customFormat="1" ht="17.25" customHeight="1"/>
    <row r="7238" customFormat="1" ht="17.25" customHeight="1"/>
    <row r="7239" customFormat="1" ht="17.25" customHeight="1"/>
    <row r="7240" customFormat="1" ht="17.25" customHeight="1"/>
    <row r="7241" customFormat="1" ht="17.25" customHeight="1"/>
    <row r="7242" customFormat="1" ht="17.25" customHeight="1"/>
    <row r="7243" customFormat="1" ht="17.25" customHeight="1"/>
    <row r="7244" customFormat="1" ht="17.25" customHeight="1"/>
    <row r="7245" customFormat="1" ht="17.25" customHeight="1"/>
    <row r="7246" customFormat="1" ht="17.25" customHeight="1"/>
    <row r="7247" customFormat="1" ht="17.25" customHeight="1"/>
    <row r="7248" customFormat="1" ht="17.25" customHeight="1"/>
    <row r="7249" customFormat="1" ht="17.25" customHeight="1"/>
    <row r="7250" customFormat="1" ht="17.25" customHeight="1"/>
    <row r="7251" customFormat="1" ht="17.25" customHeight="1"/>
    <row r="7252" customFormat="1" ht="17.25" customHeight="1"/>
    <row r="7253" customFormat="1" ht="17.25" customHeight="1"/>
    <row r="7254" customFormat="1" ht="17.25" customHeight="1"/>
    <row r="7255" customFormat="1" ht="17.25" customHeight="1"/>
    <row r="7256" customFormat="1" ht="17.25" customHeight="1"/>
    <row r="7257" customFormat="1" ht="17.25" customHeight="1"/>
    <row r="7258" customFormat="1" ht="17.25" customHeight="1"/>
    <row r="7259" customFormat="1" ht="17.25" customHeight="1"/>
    <row r="7260" customFormat="1" ht="17.25" customHeight="1"/>
    <row r="7261" customFormat="1" ht="17.25" customHeight="1"/>
    <row r="7262" customFormat="1" ht="17.25" customHeight="1"/>
    <row r="7263" customFormat="1" ht="17.25" customHeight="1"/>
    <row r="7264" customFormat="1" ht="17.25" customHeight="1"/>
    <row r="7265" customFormat="1" ht="17.25" customHeight="1"/>
    <row r="7266" customFormat="1" ht="17.25" customHeight="1"/>
    <row r="7267" customFormat="1" ht="17.25" customHeight="1"/>
    <row r="7268" customFormat="1" ht="17.25" customHeight="1"/>
    <row r="7269" customFormat="1" ht="17.25" customHeight="1"/>
    <row r="7270" customFormat="1" ht="17.25" customHeight="1"/>
    <row r="7271" customFormat="1" ht="17.25" customHeight="1"/>
    <row r="7272" customFormat="1" ht="17.25" customHeight="1"/>
    <row r="7273" customFormat="1" ht="17.25" customHeight="1"/>
    <row r="7274" customFormat="1" ht="17.25" customHeight="1"/>
    <row r="7275" customFormat="1" ht="17.25" customHeight="1"/>
    <row r="7276" customFormat="1" ht="17.25" customHeight="1"/>
    <row r="7277" customFormat="1" ht="17.25" customHeight="1"/>
    <row r="7278" customFormat="1" ht="17.25" customHeight="1"/>
    <row r="7279" customFormat="1" ht="17.25" customHeight="1"/>
    <row r="7280" customFormat="1" ht="17.25" customHeight="1"/>
    <row r="7281" customFormat="1" ht="17.25" customHeight="1"/>
    <row r="7282" customFormat="1" ht="17.25" customHeight="1"/>
    <row r="7283" customFormat="1" ht="17.25" customHeight="1"/>
    <row r="7284" customFormat="1" ht="17.25" customHeight="1"/>
    <row r="7285" customFormat="1" ht="17.25" customHeight="1"/>
    <row r="7286" customFormat="1" ht="17.25" customHeight="1"/>
    <row r="7287" customFormat="1" ht="17.25" customHeight="1"/>
    <row r="7288" customFormat="1" ht="17.25" customHeight="1"/>
    <row r="7289" customFormat="1" ht="17.25" customHeight="1"/>
    <row r="7290" customFormat="1" ht="17.25" customHeight="1"/>
    <row r="7291" customFormat="1" ht="17.25" customHeight="1"/>
    <row r="7292" customFormat="1" ht="17.25" customHeight="1"/>
    <row r="7293" customFormat="1" ht="17.25" customHeight="1"/>
    <row r="7294" customFormat="1" ht="17.25" customHeight="1"/>
    <row r="7295" customFormat="1" ht="17.25" customHeight="1"/>
    <row r="7296" customFormat="1" ht="17.25" customHeight="1"/>
    <row r="7297" customFormat="1" ht="17.25" customHeight="1"/>
    <row r="7298" customFormat="1" ht="17.25" customHeight="1"/>
    <row r="7299" customFormat="1" ht="17.25" customHeight="1"/>
    <row r="7300" customFormat="1" ht="17.25" customHeight="1"/>
    <row r="7301" customFormat="1" ht="17.25" customHeight="1"/>
    <row r="7302" customFormat="1" ht="17.25" customHeight="1"/>
    <row r="7303" customFormat="1" ht="17.25" customHeight="1"/>
    <row r="7304" customFormat="1" ht="17.25" customHeight="1"/>
    <row r="7305" customFormat="1" ht="17.25" customHeight="1"/>
    <row r="7306" customFormat="1" ht="17.25" customHeight="1"/>
    <row r="7307" customFormat="1" ht="17.25" customHeight="1"/>
    <row r="7308" customFormat="1" ht="17.25" customHeight="1"/>
    <row r="7309" customFormat="1" ht="17.25" customHeight="1"/>
    <row r="7310" customFormat="1" ht="17.25" customHeight="1"/>
    <row r="7311" customFormat="1" ht="17.25" customHeight="1"/>
    <row r="7312" customFormat="1" ht="17.25" customHeight="1"/>
    <row r="7313" customFormat="1" ht="17.25" customHeight="1"/>
    <row r="7314" customFormat="1" ht="17.25" customHeight="1"/>
    <row r="7315" customFormat="1" ht="17.25" customHeight="1"/>
    <row r="7316" customFormat="1" ht="17.25" customHeight="1"/>
    <row r="7317" customFormat="1" ht="17.25" customHeight="1"/>
    <row r="7318" customFormat="1" ht="17.25" customHeight="1"/>
    <row r="7319" customFormat="1" ht="17.25" customHeight="1"/>
    <row r="7320" customFormat="1" ht="17.25" customHeight="1"/>
    <row r="7321" customFormat="1" ht="17.25" customHeight="1"/>
    <row r="7322" customFormat="1" ht="17.25" customHeight="1"/>
    <row r="7323" customFormat="1" ht="17.25" customHeight="1"/>
    <row r="7324" customFormat="1" ht="17.25" customHeight="1"/>
    <row r="7325" customFormat="1" ht="17.25" customHeight="1"/>
    <row r="7326" customFormat="1" ht="17.25" customHeight="1"/>
    <row r="7327" customFormat="1" ht="17.25" customHeight="1"/>
    <row r="7328" customFormat="1" ht="17.25" customHeight="1"/>
    <row r="7329" customFormat="1" ht="17.25" customHeight="1"/>
    <row r="7330" customFormat="1" ht="17.25" customHeight="1"/>
    <row r="7331" customFormat="1" ht="17.25" customHeight="1"/>
    <row r="7332" customFormat="1" ht="17.25" customHeight="1"/>
    <row r="7333" customFormat="1" ht="17.25" customHeight="1"/>
    <row r="7334" customFormat="1" ht="17.25" customHeight="1"/>
    <row r="7335" customFormat="1" ht="17.25" customHeight="1"/>
    <row r="7336" customFormat="1" ht="17.25" customHeight="1"/>
    <row r="7337" customFormat="1" ht="17.25" customHeight="1"/>
    <row r="7338" customFormat="1" ht="17.25" customHeight="1"/>
    <row r="7339" customFormat="1" ht="17.25" customHeight="1"/>
    <row r="7340" customFormat="1" ht="17.25" customHeight="1"/>
    <row r="7341" customFormat="1" ht="17.25" customHeight="1"/>
    <row r="7342" customFormat="1" ht="17.25" customHeight="1"/>
    <row r="7343" customFormat="1" ht="17.25" customHeight="1"/>
    <row r="7344" customFormat="1" ht="17.25" customHeight="1"/>
    <row r="7345" customFormat="1" ht="17.25" customHeight="1"/>
    <row r="7346" customFormat="1" ht="17.25" customHeight="1"/>
    <row r="7347" customFormat="1" ht="17.25" customHeight="1"/>
    <row r="7348" customFormat="1" ht="17.25" customHeight="1"/>
    <row r="7349" customFormat="1" ht="17.25" customHeight="1"/>
    <row r="7350" customFormat="1" ht="17.25" customHeight="1"/>
    <row r="7351" customFormat="1" ht="17.25" customHeight="1"/>
    <row r="7352" customFormat="1" ht="17.25" customHeight="1"/>
    <row r="7353" customFormat="1" ht="17.25" customHeight="1"/>
    <row r="7354" customFormat="1" ht="17.25" customHeight="1"/>
    <row r="7355" customFormat="1" ht="17.25" customHeight="1"/>
    <row r="7356" customFormat="1" ht="17.25" customHeight="1"/>
    <row r="7357" customFormat="1" ht="17.25" customHeight="1"/>
    <row r="7358" customFormat="1" ht="17.25" customHeight="1"/>
    <row r="7359" customFormat="1" ht="17.25" customHeight="1"/>
    <row r="7360" customFormat="1" ht="17.25" customHeight="1"/>
    <row r="7361" customFormat="1" ht="17.25" customHeight="1"/>
    <row r="7362" customFormat="1" ht="17.25" customHeight="1"/>
    <row r="7363" customFormat="1" ht="17.25" customHeight="1"/>
    <row r="7364" customFormat="1" ht="17.25" customHeight="1"/>
    <row r="7365" customFormat="1" ht="17.25" customHeight="1"/>
    <row r="7366" customFormat="1" ht="17.25" customHeight="1"/>
    <row r="7367" customFormat="1" ht="17.25" customHeight="1"/>
    <row r="7368" customFormat="1" ht="17.25" customHeight="1"/>
    <row r="7369" customFormat="1" ht="17.25" customHeight="1"/>
    <row r="7370" customFormat="1" ht="17.25" customHeight="1"/>
    <row r="7371" customFormat="1" ht="17.25" customHeight="1"/>
    <row r="7372" customFormat="1" ht="17.25" customHeight="1"/>
    <row r="7373" customFormat="1" ht="17.25" customHeight="1"/>
    <row r="7374" customFormat="1" ht="17.25" customHeight="1"/>
    <row r="7375" customFormat="1" ht="17.25" customHeight="1"/>
    <row r="7376" customFormat="1" ht="17.25" customHeight="1"/>
    <row r="7377" customFormat="1" ht="17.25" customHeight="1"/>
    <row r="7378" customFormat="1" ht="17.25" customHeight="1"/>
    <row r="7379" customFormat="1" ht="17.25" customHeight="1"/>
    <row r="7380" customFormat="1" ht="17.25" customHeight="1"/>
    <row r="7381" customFormat="1" ht="17.25" customHeight="1"/>
    <row r="7382" customFormat="1" ht="17.25" customHeight="1"/>
    <row r="7383" customFormat="1" ht="17.25" customHeight="1"/>
    <row r="7384" customFormat="1" ht="17.25" customHeight="1"/>
    <row r="7385" customFormat="1" ht="17.25" customHeight="1"/>
    <row r="7386" customFormat="1" ht="17.25" customHeight="1"/>
    <row r="7387" customFormat="1" ht="17.25" customHeight="1"/>
    <row r="7388" customFormat="1" ht="17.25" customHeight="1"/>
    <row r="7389" customFormat="1" ht="17.25" customHeight="1"/>
    <row r="7390" customFormat="1" ht="17.25" customHeight="1"/>
    <row r="7391" customFormat="1" ht="17.25" customHeight="1"/>
    <row r="7392" customFormat="1" ht="17.25" customHeight="1"/>
    <row r="7393" customFormat="1" ht="17.25" customHeight="1"/>
    <row r="7394" customFormat="1" ht="17.25" customHeight="1"/>
    <row r="7395" customFormat="1" ht="17.25" customHeight="1"/>
    <row r="7396" customFormat="1" ht="17.25" customHeight="1"/>
    <row r="7397" customFormat="1" ht="17.25" customHeight="1"/>
    <row r="7398" customFormat="1" ht="17.25" customHeight="1"/>
    <row r="7399" customFormat="1" ht="17.25" customHeight="1"/>
    <row r="7400" customFormat="1" ht="17.25" customHeight="1"/>
    <row r="7401" customFormat="1" ht="17.25" customHeight="1"/>
    <row r="7402" customFormat="1" ht="17.25" customHeight="1"/>
    <row r="7403" customFormat="1" ht="17.25" customHeight="1"/>
    <row r="7404" customFormat="1" ht="17.25" customHeight="1"/>
    <row r="7405" customFormat="1" ht="17.25" customHeight="1"/>
    <row r="7406" customFormat="1" ht="17.25" customHeight="1"/>
    <row r="7407" customFormat="1" ht="17.25" customHeight="1"/>
    <row r="7408" customFormat="1" ht="17.25" customHeight="1"/>
    <row r="7409" customFormat="1" ht="17.25" customHeight="1"/>
    <row r="7410" customFormat="1" ht="17.25" customHeight="1"/>
    <row r="7411" customFormat="1" ht="17.25" customHeight="1"/>
    <row r="7412" customFormat="1" ht="17.25" customHeight="1"/>
    <row r="7413" customFormat="1" ht="17.25" customHeight="1"/>
    <row r="7414" customFormat="1" ht="17.25" customHeight="1"/>
    <row r="7415" customFormat="1" ht="17.25" customHeight="1"/>
    <row r="7416" customFormat="1" ht="17.25" customHeight="1"/>
    <row r="7417" customFormat="1" ht="17.25" customHeight="1"/>
    <row r="7418" customFormat="1" ht="17.25" customHeight="1"/>
    <row r="7419" customFormat="1" ht="17.25" customHeight="1"/>
    <row r="7420" customFormat="1" ht="17.25" customHeight="1"/>
    <row r="7421" customFormat="1" ht="17.25" customHeight="1"/>
    <row r="7422" customFormat="1" ht="17.25" customHeight="1"/>
    <row r="7423" customFormat="1" ht="17.25" customHeight="1"/>
    <row r="7424" customFormat="1" ht="17.25" customHeight="1"/>
    <row r="7425" customFormat="1" ht="17.25" customHeight="1"/>
    <row r="7426" customFormat="1" ht="17.25" customHeight="1"/>
    <row r="7427" customFormat="1" ht="17.25" customHeight="1"/>
    <row r="7428" customFormat="1" ht="17.25" customHeight="1"/>
    <row r="7429" customFormat="1" ht="17.25" customHeight="1"/>
    <row r="7430" customFormat="1" ht="17.25" customHeight="1"/>
    <row r="7431" customFormat="1" ht="17.25" customHeight="1"/>
    <row r="7432" customFormat="1" ht="17.25" customHeight="1"/>
    <row r="7433" customFormat="1" ht="17.25" customHeight="1"/>
    <row r="7434" customFormat="1" ht="17.25" customHeight="1"/>
    <row r="7435" customFormat="1" ht="17.25" customHeight="1"/>
    <row r="7436" customFormat="1" ht="17.25" customHeight="1"/>
    <row r="7437" customFormat="1" ht="17.25" customHeight="1"/>
    <row r="7438" customFormat="1" ht="17.25" customHeight="1"/>
    <row r="7439" customFormat="1" ht="17.25" customHeight="1"/>
    <row r="7440" customFormat="1" ht="17.25" customHeight="1"/>
    <row r="7441" customFormat="1" ht="17.25" customHeight="1"/>
    <row r="7442" customFormat="1" ht="17.25" customHeight="1"/>
    <row r="7443" customFormat="1" ht="17.25" customHeight="1"/>
    <row r="7444" customFormat="1" ht="17.25" customHeight="1"/>
    <row r="7445" customFormat="1" ht="17.25" customHeight="1"/>
    <row r="7446" customFormat="1" ht="17.25" customHeight="1"/>
    <row r="7447" customFormat="1" ht="17.25" customHeight="1"/>
    <row r="7448" customFormat="1" ht="17.25" customHeight="1"/>
    <row r="7449" customFormat="1" ht="17.25" customHeight="1"/>
    <row r="7450" customFormat="1" ht="17.25" customHeight="1"/>
    <row r="7451" customFormat="1" ht="17.25" customHeight="1"/>
    <row r="7452" customFormat="1" ht="17.25" customHeight="1"/>
    <row r="7453" customFormat="1" ht="17.25" customHeight="1"/>
    <row r="7454" customFormat="1" ht="17.25" customHeight="1"/>
    <row r="7455" customFormat="1" ht="17.25" customHeight="1"/>
    <row r="7456" customFormat="1" ht="17.25" customHeight="1"/>
    <row r="7457" customFormat="1" ht="17.25" customHeight="1"/>
    <row r="7458" customFormat="1" ht="17.25" customHeight="1"/>
    <row r="7459" customFormat="1" ht="17.25" customHeight="1"/>
    <row r="7460" customFormat="1" ht="17.25" customHeight="1"/>
    <row r="7461" customFormat="1" ht="17.25" customHeight="1"/>
    <row r="7462" customFormat="1" ht="17.25" customHeight="1"/>
    <row r="7463" customFormat="1" ht="17.25" customHeight="1"/>
    <row r="7464" customFormat="1" ht="17.25" customHeight="1"/>
    <row r="7465" customFormat="1" ht="17.25" customHeight="1"/>
    <row r="7466" customFormat="1" ht="17.25" customHeight="1"/>
    <row r="7467" customFormat="1" ht="17.25" customHeight="1"/>
    <row r="7468" customFormat="1" ht="17.25" customHeight="1"/>
    <row r="7469" customFormat="1" ht="17.25" customHeight="1"/>
    <row r="7470" customFormat="1" ht="17.25" customHeight="1"/>
    <row r="7471" customFormat="1" ht="17.25" customHeight="1"/>
    <row r="7472" customFormat="1" ht="17.25" customHeight="1"/>
    <row r="7473" customFormat="1" ht="17.25" customHeight="1"/>
    <row r="7474" customFormat="1" ht="17.25" customHeight="1"/>
    <row r="7475" customFormat="1" ht="17.25" customHeight="1"/>
    <row r="7476" customFormat="1" ht="17.25" customHeight="1"/>
    <row r="7477" customFormat="1" ht="17.25" customHeight="1"/>
    <row r="7478" customFormat="1" ht="17.25" customHeight="1"/>
    <row r="7479" customFormat="1" ht="17.25" customHeight="1"/>
    <row r="7480" customFormat="1" ht="17.25" customHeight="1"/>
    <row r="7481" customFormat="1" ht="17.25" customHeight="1"/>
    <row r="7482" customFormat="1" ht="17.25" customHeight="1"/>
    <row r="7483" customFormat="1" ht="17.25" customHeight="1"/>
    <row r="7484" customFormat="1" ht="17.25" customHeight="1"/>
    <row r="7485" customFormat="1" ht="17.25" customHeight="1"/>
    <row r="7486" customFormat="1" ht="17.25" customHeight="1"/>
    <row r="7487" customFormat="1" ht="17.25" customHeight="1"/>
    <row r="7488" customFormat="1" ht="17.25" customHeight="1"/>
    <row r="7489" customFormat="1" ht="17.25" customHeight="1"/>
    <row r="7490" customFormat="1" ht="17.25" customHeight="1"/>
    <row r="7491" customFormat="1" ht="17.25" customHeight="1"/>
    <row r="7492" customFormat="1" ht="17.25" customHeight="1"/>
    <row r="7493" customFormat="1" ht="17.25" customHeight="1"/>
    <row r="7494" customFormat="1" ht="17.25" customHeight="1"/>
    <row r="7495" customFormat="1" ht="17.25" customHeight="1"/>
    <row r="7496" customFormat="1" ht="17.25" customHeight="1"/>
    <row r="7497" customFormat="1" ht="17.25" customHeight="1"/>
    <row r="7498" customFormat="1" ht="17.25" customHeight="1"/>
    <row r="7499" customFormat="1" ht="17.25" customHeight="1"/>
    <row r="7500" customFormat="1" ht="17.25" customHeight="1"/>
    <row r="7501" customFormat="1" ht="17.25" customHeight="1"/>
    <row r="7502" customFormat="1" ht="17.25" customHeight="1"/>
    <row r="7503" customFormat="1" ht="17.25" customHeight="1"/>
    <row r="7504" customFormat="1" ht="17.25" customHeight="1"/>
    <row r="7505" customFormat="1" ht="17.25" customHeight="1"/>
    <row r="7506" customFormat="1" ht="17.25" customHeight="1"/>
    <row r="7507" customFormat="1" ht="17.25" customHeight="1"/>
    <row r="7508" customFormat="1" ht="17.25" customHeight="1"/>
    <row r="7509" customFormat="1" ht="17.25" customHeight="1"/>
    <row r="7510" customFormat="1" ht="17.25" customHeight="1"/>
    <row r="7511" customFormat="1" ht="17.25" customHeight="1"/>
    <row r="7512" customFormat="1" ht="17.25" customHeight="1"/>
    <row r="7513" customFormat="1" ht="17.25" customHeight="1"/>
    <row r="7514" customFormat="1" ht="17.25" customHeight="1"/>
    <row r="7515" customFormat="1" ht="17.25" customHeight="1"/>
    <row r="7516" customFormat="1" ht="17.25" customHeight="1"/>
    <row r="7517" customFormat="1" ht="17.25" customHeight="1"/>
    <row r="7518" customFormat="1" ht="17.25" customHeight="1"/>
    <row r="7519" customFormat="1" ht="17.25" customHeight="1"/>
    <row r="7520" customFormat="1" ht="17.25" customHeight="1"/>
    <row r="7521" customFormat="1" ht="17.25" customHeight="1"/>
    <row r="7522" customFormat="1" ht="17.25" customHeight="1"/>
    <row r="7523" customFormat="1" ht="17.25" customHeight="1"/>
    <row r="7524" customFormat="1" ht="17.25" customHeight="1"/>
    <row r="7525" customFormat="1" ht="17.25" customHeight="1"/>
    <row r="7526" customFormat="1" ht="17.25" customHeight="1"/>
    <row r="7527" customFormat="1" ht="17.25" customHeight="1"/>
    <row r="7528" customFormat="1" ht="17.25" customHeight="1"/>
    <row r="7529" customFormat="1" ht="17.25" customHeight="1"/>
    <row r="7530" customFormat="1" ht="17.25" customHeight="1"/>
    <row r="7531" customFormat="1" ht="17.25" customHeight="1"/>
    <row r="7532" customFormat="1" ht="17.25" customHeight="1"/>
    <row r="7533" customFormat="1" ht="17.25" customHeight="1"/>
    <row r="7534" customFormat="1" ht="17.25" customHeight="1"/>
    <row r="7535" customFormat="1" ht="17.25" customHeight="1"/>
    <row r="7536" customFormat="1" ht="17.25" customHeight="1"/>
    <row r="7537" customFormat="1" ht="17.25" customHeight="1"/>
    <row r="7538" customFormat="1" ht="17.25" customHeight="1"/>
    <row r="7539" customFormat="1" ht="17.25" customHeight="1"/>
    <row r="7540" customFormat="1" ht="17.25" customHeight="1"/>
    <row r="7541" customFormat="1" ht="17.25" customHeight="1"/>
    <row r="7542" customFormat="1" ht="17.25" customHeight="1"/>
    <row r="7543" customFormat="1" ht="17.25" customHeight="1"/>
    <row r="7544" customFormat="1" ht="17.25" customHeight="1"/>
    <row r="7545" customFormat="1" ht="17.25" customHeight="1"/>
    <row r="7546" customFormat="1" ht="17.25" customHeight="1"/>
    <row r="7547" customFormat="1" ht="17.25" customHeight="1"/>
    <row r="7548" customFormat="1" ht="17.25" customHeight="1"/>
    <row r="7549" customFormat="1" ht="17.25" customHeight="1"/>
    <row r="7550" customFormat="1" ht="17.25" customHeight="1"/>
    <row r="7551" customFormat="1" ht="17.25" customHeight="1"/>
    <row r="7552" customFormat="1" ht="17.25" customHeight="1"/>
    <row r="7553" customFormat="1" ht="17.25" customHeight="1"/>
    <row r="7554" customFormat="1" ht="17.25" customHeight="1"/>
    <row r="7555" customFormat="1" ht="17.25" customHeight="1"/>
    <row r="7556" customFormat="1" ht="17.25" customHeight="1"/>
    <row r="7557" customFormat="1" ht="17.25" customHeight="1"/>
    <row r="7558" customFormat="1" ht="17.25" customHeight="1"/>
    <row r="7559" customFormat="1" ht="17.25" customHeight="1"/>
    <row r="7560" customFormat="1" ht="17.25" customHeight="1"/>
    <row r="7561" customFormat="1" ht="17.25" customHeight="1"/>
    <row r="7562" customFormat="1" ht="17.25" customHeight="1"/>
    <row r="7563" customFormat="1" ht="17.25" customHeight="1"/>
    <row r="7564" customFormat="1" ht="17.25" customHeight="1"/>
    <row r="7565" customFormat="1" ht="17.25" customHeight="1"/>
    <row r="7566" customFormat="1" ht="17.25" customHeight="1"/>
    <row r="7567" customFormat="1" ht="17.25" customHeight="1"/>
    <row r="7568" customFormat="1" ht="17.25" customHeight="1"/>
    <row r="7569" customFormat="1" ht="17.25" customHeight="1"/>
    <row r="7570" customFormat="1" ht="17.25" customHeight="1"/>
    <row r="7571" customFormat="1" ht="17.25" customHeight="1"/>
    <row r="7572" customFormat="1" ht="17.25" customHeight="1"/>
    <row r="7573" customFormat="1" ht="17.25" customHeight="1"/>
    <row r="7574" customFormat="1" ht="17.25" customHeight="1"/>
    <row r="7575" customFormat="1" ht="17.25" customHeight="1"/>
    <row r="7576" customFormat="1" ht="17.25" customHeight="1"/>
    <row r="7577" customFormat="1" ht="17.25" customHeight="1"/>
    <row r="7578" customFormat="1" ht="17.25" customHeight="1"/>
    <row r="7579" customFormat="1" ht="17.25" customHeight="1"/>
    <row r="7580" customFormat="1" ht="17.25" customHeight="1"/>
    <row r="7581" customFormat="1" ht="17.25" customHeight="1"/>
    <row r="7582" customFormat="1" ht="17.25" customHeight="1"/>
    <row r="7583" customFormat="1" ht="17.25" customHeight="1"/>
    <row r="7584" customFormat="1" ht="17.25" customHeight="1"/>
    <row r="7585" customFormat="1" ht="17.25" customHeight="1"/>
    <row r="7586" customFormat="1" ht="17.25" customHeight="1"/>
    <row r="7587" customFormat="1" ht="17.25" customHeight="1"/>
    <row r="7588" customFormat="1" ht="17.25" customHeight="1"/>
    <row r="7589" customFormat="1" ht="17.25" customHeight="1"/>
    <row r="7590" customFormat="1" ht="17.25" customHeight="1"/>
    <row r="7591" customFormat="1" ht="17.25" customHeight="1"/>
    <row r="7592" customFormat="1" ht="17.25" customHeight="1"/>
    <row r="7593" customFormat="1" ht="17.25" customHeight="1"/>
    <row r="7594" customFormat="1" ht="17.25" customHeight="1"/>
    <row r="7595" customFormat="1" ht="17.25" customHeight="1"/>
    <row r="7596" customFormat="1" ht="17.25" customHeight="1"/>
    <row r="7597" customFormat="1" ht="17.25" customHeight="1"/>
    <row r="7598" customFormat="1" ht="17.25" customHeight="1"/>
    <row r="7599" customFormat="1" ht="17.25" customHeight="1"/>
    <row r="7600" customFormat="1" ht="17.25" customHeight="1"/>
    <row r="7601" customFormat="1" ht="17.25" customHeight="1"/>
    <row r="7602" customFormat="1" ht="17.25" customHeight="1"/>
    <row r="7603" customFormat="1" ht="17.25" customHeight="1"/>
    <row r="7604" customFormat="1" ht="17.25" customHeight="1"/>
    <row r="7605" customFormat="1" ht="17.25" customHeight="1"/>
    <row r="7606" customFormat="1" ht="17.25" customHeight="1"/>
    <row r="7607" customFormat="1" ht="17.25" customHeight="1"/>
    <row r="7608" customFormat="1" ht="17.25" customHeight="1"/>
    <row r="7609" customFormat="1" ht="17.25" customHeight="1"/>
    <row r="7610" customFormat="1" ht="17.25" customHeight="1"/>
    <row r="7611" customFormat="1" ht="17.25" customHeight="1"/>
    <row r="7612" customFormat="1" ht="17.25" customHeight="1"/>
    <row r="7613" customFormat="1" ht="17.25" customHeight="1"/>
    <row r="7614" customFormat="1" ht="17.25" customHeight="1"/>
    <row r="7615" customFormat="1" ht="17.25" customHeight="1"/>
    <row r="7616" customFormat="1" ht="17.25" customHeight="1"/>
    <row r="7617" customFormat="1" ht="17.25" customHeight="1"/>
    <row r="7618" customFormat="1" ht="17.25" customHeight="1"/>
    <row r="7619" customFormat="1" ht="17.25" customHeight="1"/>
    <row r="7620" customFormat="1" ht="17.25" customHeight="1"/>
    <row r="7621" customFormat="1" ht="17.25" customHeight="1"/>
    <row r="7622" customFormat="1" ht="17.25" customHeight="1"/>
    <row r="7623" customFormat="1" ht="17.25" customHeight="1"/>
    <row r="7624" customFormat="1" ht="17.25" customHeight="1"/>
    <row r="7625" customFormat="1" ht="17.25" customHeight="1"/>
    <row r="7626" customFormat="1" ht="17.25" customHeight="1"/>
    <row r="7627" customFormat="1" ht="17.25" customHeight="1"/>
    <row r="7628" customFormat="1" ht="17.25" customHeight="1"/>
    <row r="7629" customFormat="1" ht="17.25" customHeight="1"/>
    <row r="7630" customFormat="1" ht="17.25" customHeight="1"/>
    <row r="7631" customFormat="1" ht="17.25" customHeight="1"/>
    <row r="7632" customFormat="1" ht="17.25" customHeight="1"/>
    <row r="7633" customFormat="1" ht="17.25" customHeight="1"/>
    <row r="7634" customFormat="1" ht="17.25" customHeight="1"/>
    <row r="7635" customFormat="1" ht="17.25" customHeight="1"/>
    <row r="7636" customFormat="1" ht="17.25" customHeight="1"/>
    <row r="7637" customFormat="1" ht="17.25" customHeight="1"/>
    <row r="7638" customFormat="1" ht="17.25" customHeight="1"/>
    <row r="7639" customFormat="1" ht="17.25" customHeight="1"/>
    <row r="7640" customFormat="1" ht="17.25" customHeight="1"/>
    <row r="7641" customFormat="1" ht="17.25" customHeight="1"/>
    <row r="7642" customFormat="1" ht="17.25" customHeight="1"/>
    <row r="7643" customFormat="1" ht="17.25" customHeight="1"/>
    <row r="7644" customFormat="1" ht="17.25" customHeight="1"/>
    <row r="7645" customFormat="1" ht="17.25" customHeight="1"/>
    <row r="7646" customFormat="1" ht="17.25" customHeight="1"/>
    <row r="7647" customFormat="1" ht="17.25" customHeight="1"/>
    <row r="7648" customFormat="1" ht="17.25" customHeight="1"/>
    <row r="7649" customFormat="1" ht="17.25" customHeight="1"/>
    <row r="7650" customFormat="1" ht="17.25" customHeight="1"/>
    <row r="7651" customFormat="1" ht="17.25" customHeight="1"/>
    <row r="7652" customFormat="1" ht="17.25" customHeight="1"/>
    <row r="7653" customFormat="1" ht="17.25" customHeight="1"/>
    <row r="7654" customFormat="1" ht="17.25" customHeight="1"/>
    <row r="7655" customFormat="1" ht="17.25" customHeight="1"/>
    <row r="7656" customFormat="1" ht="17.25" customHeight="1"/>
    <row r="7657" customFormat="1" ht="17.25" customHeight="1"/>
    <row r="7658" customFormat="1" ht="17.25" customHeight="1"/>
    <row r="7659" customFormat="1" ht="17.25" customHeight="1"/>
    <row r="7660" customFormat="1" ht="17.25" customHeight="1"/>
    <row r="7661" customFormat="1" ht="17.25" customHeight="1"/>
    <row r="7662" customFormat="1" ht="17.25" customHeight="1"/>
    <row r="7663" customFormat="1" ht="17.25" customHeight="1"/>
    <row r="7664" customFormat="1" ht="17.25" customHeight="1"/>
    <row r="7665" customFormat="1" ht="17.25" customHeight="1"/>
    <row r="7666" customFormat="1" ht="17.25" customHeight="1"/>
    <row r="7667" customFormat="1" ht="17.25" customHeight="1"/>
    <row r="7668" customFormat="1" ht="17.25" customHeight="1"/>
    <row r="7669" customFormat="1" ht="17.25" customHeight="1"/>
    <row r="7670" customFormat="1" ht="17.25" customHeight="1"/>
    <row r="7671" customFormat="1" ht="17.25" customHeight="1"/>
    <row r="7672" customFormat="1" ht="17.25" customHeight="1"/>
    <row r="7673" customFormat="1" ht="17.25" customHeight="1"/>
    <row r="7674" customFormat="1" ht="17.25" customHeight="1"/>
    <row r="7675" customFormat="1" ht="17.25" customHeight="1"/>
    <row r="7676" customFormat="1" ht="17.25" customHeight="1"/>
    <row r="7677" customFormat="1" ht="17.25" customHeight="1"/>
    <row r="7678" customFormat="1" ht="17.25" customHeight="1"/>
    <row r="7679" customFormat="1" ht="17.25" customHeight="1"/>
    <row r="7680" customFormat="1" ht="17.25" customHeight="1"/>
    <row r="7681" customFormat="1" ht="17.25" customHeight="1"/>
    <row r="7682" customFormat="1" ht="17.25" customHeight="1"/>
    <row r="7683" customFormat="1" ht="17.25" customHeight="1"/>
    <row r="7684" customFormat="1" ht="17.25" customHeight="1"/>
    <row r="7685" customFormat="1" ht="17.25" customHeight="1"/>
    <row r="7686" customFormat="1" ht="17.25" customHeight="1"/>
    <row r="7687" customFormat="1" ht="17.25" customHeight="1"/>
    <row r="7688" customFormat="1" ht="17.25" customHeight="1"/>
    <row r="7689" customFormat="1" ht="17.25" customHeight="1"/>
    <row r="7690" customFormat="1" ht="17.25" customHeight="1"/>
    <row r="7691" customFormat="1" ht="17.25" customHeight="1"/>
    <row r="7692" customFormat="1" ht="17.25" customHeight="1"/>
    <row r="7693" customFormat="1" ht="17.25" customHeight="1"/>
    <row r="7694" customFormat="1" ht="17.25" customHeight="1"/>
    <row r="7695" customFormat="1" ht="17.25" customHeight="1"/>
    <row r="7696" customFormat="1" ht="17.25" customHeight="1"/>
    <row r="7697" customFormat="1" ht="17.25" customHeight="1"/>
    <row r="7698" customFormat="1" ht="17.25" customHeight="1"/>
    <row r="7699" customFormat="1" ht="17.25" customHeight="1"/>
    <row r="7700" customFormat="1" ht="17.25" customHeight="1"/>
    <row r="7701" customFormat="1" ht="17.25" customHeight="1"/>
    <row r="7702" customFormat="1" ht="17.25" customHeight="1"/>
    <row r="7703" customFormat="1" ht="17.25" customHeight="1"/>
    <row r="7704" customFormat="1" ht="17.25" customHeight="1"/>
    <row r="7705" customFormat="1" ht="17.25" customHeight="1"/>
    <row r="7706" customFormat="1" ht="17.25" customHeight="1"/>
    <row r="7707" customFormat="1" ht="17.25" customHeight="1"/>
    <row r="7708" customFormat="1" ht="17.25" customHeight="1"/>
    <row r="7709" customFormat="1" ht="17.25" customHeight="1"/>
    <row r="7710" customFormat="1" ht="17.25" customHeight="1"/>
    <row r="7711" customFormat="1" ht="17.25" customHeight="1"/>
    <row r="7712" customFormat="1" ht="17.25" customHeight="1"/>
    <row r="7713" customFormat="1" ht="17.25" customHeight="1"/>
    <row r="7714" customFormat="1" ht="17.25" customHeight="1"/>
    <row r="7715" customFormat="1" ht="17.25" customHeight="1"/>
    <row r="7716" customFormat="1" ht="17.25" customHeight="1"/>
    <row r="7717" customFormat="1" ht="17.25" customHeight="1"/>
    <row r="7718" customFormat="1" ht="17.25" customHeight="1"/>
    <row r="7719" customFormat="1" ht="17.25" customHeight="1"/>
    <row r="7720" customFormat="1" ht="17.25" customHeight="1"/>
    <row r="7721" customFormat="1" ht="17.25" customHeight="1"/>
    <row r="7722" customFormat="1" ht="17.25" customHeight="1"/>
    <row r="7723" customFormat="1" ht="17.25" customHeight="1"/>
    <row r="7724" customFormat="1" ht="17.25" customHeight="1"/>
    <row r="7725" customFormat="1" ht="17.25" customHeight="1"/>
    <row r="7726" customFormat="1" ht="17.25" customHeight="1"/>
    <row r="7727" customFormat="1" ht="17.25" customHeight="1"/>
    <row r="7728" customFormat="1" ht="17.25" customHeight="1"/>
    <row r="7729" customFormat="1" ht="17.25" customHeight="1"/>
    <row r="7730" customFormat="1" ht="17.25" customHeight="1"/>
    <row r="7731" customFormat="1" ht="17.25" customHeight="1"/>
    <row r="7732" customFormat="1" ht="17.25" customHeight="1"/>
    <row r="7733" customFormat="1" ht="17.25" customHeight="1"/>
    <row r="7734" customFormat="1" ht="17.25" customHeight="1"/>
    <row r="7735" customFormat="1" ht="17.25" customHeight="1"/>
    <row r="7736" customFormat="1" ht="17.25" customHeight="1"/>
    <row r="7737" customFormat="1" ht="17.25" customHeight="1"/>
    <row r="7738" customFormat="1" ht="17.25" customHeight="1"/>
    <row r="7739" customFormat="1" ht="17.25" customHeight="1"/>
    <row r="7740" customFormat="1" ht="17.25" customHeight="1"/>
    <row r="7741" customFormat="1" ht="17.25" customHeight="1"/>
    <row r="7742" customFormat="1" ht="17.25" customHeight="1"/>
    <row r="7743" customFormat="1" ht="17.25" customHeight="1"/>
    <row r="7744" customFormat="1" ht="17.25" customHeight="1"/>
    <row r="7745" customFormat="1" ht="17.25" customHeight="1"/>
    <row r="7746" customFormat="1" ht="17.25" customHeight="1"/>
    <row r="7747" customFormat="1" ht="17.25" customHeight="1"/>
    <row r="7748" customFormat="1" ht="17.25" customHeight="1"/>
    <row r="7749" customFormat="1" ht="17.25" customHeight="1"/>
    <row r="7750" customFormat="1" ht="17.25" customHeight="1"/>
    <row r="7751" customFormat="1" ht="17.25" customHeight="1"/>
    <row r="7752" customFormat="1" ht="17.25" customHeight="1"/>
    <row r="7753" customFormat="1" ht="17.25" customHeight="1"/>
    <row r="7754" customFormat="1" ht="17.25" customHeight="1"/>
    <row r="7755" customFormat="1" ht="17.25" customHeight="1"/>
    <row r="7756" customFormat="1" ht="17.25" customHeight="1"/>
    <row r="7757" customFormat="1" ht="17.25" customHeight="1"/>
    <row r="7758" customFormat="1" ht="17.25" customHeight="1"/>
    <row r="7759" customFormat="1" ht="17.25" customHeight="1"/>
    <row r="7760" customFormat="1" ht="17.25" customHeight="1"/>
    <row r="7761" customFormat="1" ht="17.25" customHeight="1"/>
    <row r="7762" customFormat="1" ht="17.25" customHeight="1"/>
    <row r="7763" customFormat="1" ht="17.25" customHeight="1"/>
    <row r="7764" customFormat="1" ht="17.25" customHeight="1"/>
    <row r="7765" customFormat="1" ht="17.25" customHeight="1"/>
    <row r="7766" customFormat="1" ht="17.25" customHeight="1"/>
    <row r="7767" customFormat="1" ht="17.25" customHeight="1"/>
    <row r="7768" customFormat="1" ht="17.25" customHeight="1"/>
    <row r="7769" customFormat="1" ht="17.25" customHeight="1"/>
    <row r="7770" customFormat="1" ht="17.25" customHeight="1"/>
    <row r="7771" customFormat="1" ht="17.25" customHeight="1"/>
    <row r="7772" customFormat="1" ht="17.25" customHeight="1"/>
    <row r="7773" customFormat="1" ht="17.25" customHeight="1"/>
    <row r="7774" customFormat="1" ht="17.25" customHeight="1"/>
    <row r="7775" customFormat="1" ht="17.25" customHeight="1"/>
    <row r="7776" customFormat="1" ht="17.25" customHeight="1"/>
    <row r="7777" customFormat="1" ht="17.25" customHeight="1"/>
    <row r="7778" customFormat="1" ht="17.25" customHeight="1"/>
    <row r="7779" customFormat="1" ht="17.25" customHeight="1"/>
    <row r="7780" customFormat="1" ht="17.25" customHeight="1"/>
    <row r="7781" customFormat="1" ht="17.25" customHeight="1"/>
    <row r="7782" customFormat="1" ht="17.25" customHeight="1"/>
    <row r="7783" customFormat="1" ht="17.25" customHeight="1"/>
    <row r="7784" customFormat="1" ht="17.25" customHeight="1"/>
    <row r="7785" customFormat="1" ht="17.25" customHeight="1"/>
    <row r="7786" customFormat="1" ht="17.25" customHeight="1"/>
    <row r="7787" customFormat="1" ht="17.25" customHeight="1"/>
    <row r="7788" customFormat="1" ht="17.25" customHeight="1"/>
    <row r="7789" customFormat="1" ht="17.25" customHeight="1"/>
    <row r="7790" customFormat="1" ht="17.25" customHeight="1"/>
    <row r="7791" customFormat="1" ht="17.25" customHeight="1"/>
    <row r="7792" customFormat="1" ht="17.25" customHeight="1"/>
    <row r="7793" customFormat="1" ht="17.25" customHeight="1"/>
    <row r="7794" customFormat="1" ht="17.25" customHeight="1"/>
    <row r="7795" customFormat="1" ht="17.25" customHeight="1"/>
    <row r="7796" customFormat="1" ht="17.25" customHeight="1"/>
    <row r="7797" customFormat="1" ht="17.25" customHeight="1"/>
    <row r="7798" customFormat="1" ht="17.25" customHeight="1"/>
    <row r="7799" customFormat="1" ht="17.25" customHeight="1"/>
    <row r="7800" customFormat="1" ht="17.25" customHeight="1"/>
    <row r="7801" customFormat="1" ht="17.25" customHeight="1"/>
    <row r="7802" customFormat="1" ht="17.25" customHeight="1"/>
    <row r="7803" customFormat="1" ht="17.25" customHeight="1"/>
    <row r="7804" customFormat="1" ht="17.25" customHeight="1"/>
    <row r="7805" customFormat="1" ht="17.25" customHeight="1"/>
    <row r="7806" customFormat="1" ht="17.25" customHeight="1"/>
    <row r="7807" customFormat="1" ht="17.25" customHeight="1"/>
    <row r="7808" customFormat="1" ht="17.25" customHeight="1"/>
    <row r="7809" customFormat="1" ht="17.25" customHeight="1"/>
    <row r="7810" customFormat="1" ht="17.25" customHeight="1"/>
    <row r="7811" customFormat="1" ht="17.25" customHeight="1"/>
    <row r="7812" customFormat="1" ht="17.25" customHeight="1"/>
    <row r="7813" customFormat="1" ht="17.25" customHeight="1"/>
    <row r="7814" customFormat="1" ht="17.25" customHeight="1"/>
    <row r="7815" customFormat="1" ht="17.25" customHeight="1"/>
    <row r="7816" customFormat="1" ht="17.25" customHeight="1"/>
    <row r="7817" customFormat="1" ht="17.25" customHeight="1"/>
    <row r="7818" customFormat="1" ht="17.25" customHeight="1"/>
    <row r="7819" customFormat="1" ht="17.25" customHeight="1"/>
    <row r="7820" customFormat="1" ht="17.25" customHeight="1"/>
    <row r="7821" customFormat="1" ht="17.25" customHeight="1"/>
    <row r="7822" customFormat="1" ht="17.25" customHeight="1"/>
    <row r="7823" customFormat="1" ht="17.25" customHeight="1"/>
    <row r="7824" customFormat="1" ht="17.25" customHeight="1"/>
    <row r="7825" customFormat="1" ht="17.25" customHeight="1"/>
    <row r="7826" customFormat="1" ht="17.25" customHeight="1"/>
    <row r="7827" customFormat="1" ht="17.25" customHeight="1"/>
    <row r="7828" customFormat="1" ht="17.25" customHeight="1"/>
    <row r="7829" customFormat="1" ht="17.25" customHeight="1"/>
    <row r="7830" customFormat="1" ht="17.25" customHeight="1"/>
    <row r="7831" customFormat="1" ht="17.25" customHeight="1"/>
    <row r="7832" customFormat="1" ht="17.25" customHeight="1"/>
    <row r="7833" customFormat="1" ht="17.25" customHeight="1"/>
    <row r="7834" customFormat="1" ht="17.25" customHeight="1"/>
    <row r="7835" customFormat="1" ht="17.25" customHeight="1"/>
    <row r="7836" customFormat="1" ht="17.25" customHeight="1"/>
    <row r="7837" customFormat="1" ht="17.25" customHeight="1"/>
    <row r="7838" customFormat="1" ht="17.25" customHeight="1"/>
    <row r="7839" customFormat="1" ht="17.25" customHeight="1"/>
    <row r="7840" customFormat="1" ht="17.25" customHeight="1"/>
    <row r="7841" customFormat="1" ht="17.25" customHeight="1"/>
    <row r="7842" customFormat="1" ht="17.25" customHeight="1"/>
    <row r="7843" customFormat="1" ht="17.25" customHeight="1"/>
    <row r="7844" customFormat="1" ht="17.25" customHeight="1"/>
    <row r="7845" customFormat="1" ht="17.25" customHeight="1"/>
    <row r="7846" customFormat="1" ht="17.25" customHeight="1"/>
    <row r="7847" customFormat="1" ht="17.25" customHeight="1"/>
    <row r="7848" customFormat="1" ht="17.25" customHeight="1"/>
    <row r="7849" customFormat="1" ht="17.25" customHeight="1"/>
    <row r="7850" customFormat="1" ht="17.25" customHeight="1"/>
    <row r="7851" customFormat="1" ht="17.25" customHeight="1"/>
    <row r="7852" customFormat="1" ht="17.25" customHeight="1"/>
    <row r="7853" customFormat="1" ht="17.25" customHeight="1"/>
    <row r="7854" customFormat="1" ht="17.25" customHeight="1"/>
    <row r="7855" customFormat="1" ht="17.25" customHeight="1"/>
    <row r="7856" customFormat="1" ht="17.25" customHeight="1"/>
    <row r="7857" customFormat="1" ht="17.25" customHeight="1"/>
    <row r="7858" customFormat="1" ht="17.25" customHeight="1"/>
    <row r="7859" customFormat="1" ht="17.25" customHeight="1"/>
    <row r="7860" customFormat="1" ht="17.25" customHeight="1"/>
    <row r="7861" customFormat="1" ht="17.25" customHeight="1"/>
    <row r="7862" customFormat="1" ht="17.25" customHeight="1"/>
    <row r="7863" customFormat="1" ht="17.25" customHeight="1"/>
    <row r="7864" customFormat="1" ht="17.25" customHeight="1"/>
    <row r="7865" customFormat="1" ht="17.25" customHeight="1"/>
    <row r="7866" customFormat="1" ht="17.25" customHeight="1"/>
    <row r="7867" customFormat="1" ht="17.25" customHeight="1"/>
    <row r="7868" customFormat="1" ht="17.25" customHeight="1"/>
    <row r="7869" customFormat="1" ht="17.25" customHeight="1"/>
    <row r="7870" customFormat="1" ht="17.25" customHeight="1"/>
    <row r="7871" customFormat="1" ht="17.25" customHeight="1"/>
    <row r="7872" customFormat="1" ht="17.25" customHeight="1"/>
    <row r="7873" customFormat="1" ht="17.25" customHeight="1"/>
    <row r="7874" customFormat="1" ht="17.25" customHeight="1"/>
    <row r="7875" customFormat="1" ht="17.25" customHeight="1"/>
    <row r="7876" customFormat="1" ht="17.25" customHeight="1"/>
    <row r="7877" customFormat="1" ht="17.25" customHeight="1"/>
    <row r="7878" customFormat="1" ht="17.25" customHeight="1"/>
    <row r="7879" customFormat="1" ht="17.25" customHeight="1"/>
    <row r="7880" customFormat="1" ht="17.25" customHeight="1"/>
    <row r="7881" customFormat="1" ht="17.25" customHeight="1"/>
    <row r="7882" customFormat="1" ht="17.25" customHeight="1"/>
    <row r="7883" customFormat="1" ht="17.25" customHeight="1"/>
    <row r="7884" customFormat="1" ht="17.25" customHeight="1"/>
    <row r="7885" customFormat="1" ht="17.25" customHeight="1"/>
    <row r="7886" customFormat="1" ht="17.25" customHeight="1"/>
    <row r="7887" customFormat="1" ht="17.25" customHeight="1"/>
    <row r="7888" customFormat="1" ht="17.25" customHeight="1"/>
    <row r="7889" customFormat="1" ht="17.25" customHeight="1"/>
    <row r="7890" customFormat="1" ht="17.25" customHeight="1"/>
    <row r="7891" customFormat="1" ht="17.25" customHeight="1"/>
    <row r="7892" customFormat="1" ht="17.25" customHeight="1"/>
    <row r="7893" customFormat="1" ht="17.25" customHeight="1"/>
    <row r="7894" customFormat="1" ht="17.25" customHeight="1"/>
    <row r="7895" customFormat="1" ht="17.25" customHeight="1"/>
    <row r="7896" customFormat="1" ht="17.25" customHeight="1"/>
    <row r="7897" customFormat="1" ht="17.25" customHeight="1"/>
    <row r="7898" customFormat="1" ht="17.25" customHeight="1"/>
    <row r="7899" customFormat="1" ht="17.25" customHeight="1"/>
    <row r="7900" customFormat="1" ht="17.25" customHeight="1"/>
    <row r="7901" customFormat="1" ht="17.25" customHeight="1"/>
    <row r="7902" customFormat="1" ht="17.25" customHeight="1"/>
    <row r="7903" customFormat="1" ht="17.25" customHeight="1"/>
    <row r="7904" customFormat="1" ht="17.25" customHeight="1"/>
    <row r="7905" customFormat="1" ht="17.25" customHeight="1"/>
    <row r="7906" customFormat="1" ht="17.25" customHeight="1"/>
    <row r="7907" customFormat="1" ht="17.25" customHeight="1"/>
    <row r="7908" customFormat="1" ht="17.25" customHeight="1"/>
    <row r="7909" customFormat="1" ht="17.25" customHeight="1"/>
    <row r="7910" customFormat="1" ht="17.25" customHeight="1"/>
    <row r="7911" customFormat="1" ht="17.25" customHeight="1"/>
    <row r="7912" customFormat="1" ht="17.25" customHeight="1"/>
    <row r="7913" customFormat="1" ht="17.25" customHeight="1"/>
    <row r="7914" customFormat="1" ht="17.25" customHeight="1"/>
    <row r="7915" customFormat="1" ht="17.25" customHeight="1"/>
    <row r="7916" customFormat="1" ht="17.25" customHeight="1"/>
    <row r="7917" customFormat="1" ht="17.25" customHeight="1"/>
    <row r="7918" customFormat="1" ht="17.25" customHeight="1"/>
    <row r="7919" customFormat="1" ht="17.25" customHeight="1"/>
    <row r="7920" customFormat="1" ht="17.25" customHeight="1"/>
    <row r="7921" customFormat="1" ht="17.25" customHeight="1"/>
    <row r="7922" customFormat="1" ht="17.25" customHeight="1"/>
    <row r="7923" customFormat="1" ht="17.25" customHeight="1"/>
    <row r="7924" customFormat="1" ht="17.25" customHeight="1"/>
    <row r="7925" customFormat="1" ht="17.25" customHeight="1"/>
    <row r="7926" customFormat="1" ht="17.25" customHeight="1"/>
    <row r="7927" customFormat="1" ht="17.25" customHeight="1"/>
    <row r="7928" customFormat="1" ht="17.25" customHeight="1"/>
    <row r="7929" customFormat="1" ht="17.25" customHeight="1"/>
    <row r="7930" customFormat="1" ht="17.25" customHeight="1"/>
    <row r="7931" customFormat="1" ht="17.25" customHeight="1"/>
    <row r="7932" customFormat="1" ht="17.25" customHeight="1"/>
    <row r="7933" customFormat="1" ht="17.25" customHeight="1"/>
    <row r="7934" customFormat="1" ht="17.25" customHeight="1"/>
    <row r="7935" customFormat="1" ht="17.25" customHeight="1"/>
    <row r="7936" customFormat="1" ht="17.25" customHeight="1"/>
    <row r="7937" customFormat="1" ht="17.25" customHeight="1"/>
    <row r="7938" customFormat="1" ht="17.25" customHeight="1"/>
    <row r="7939" customFormat="1" ht="17.25" customHeight="1"/>
    <row r="7940" customFormat="1" ht="17.25" customHeight="1"/>
    <row r="7941" customFormat="1" ht="17.25" customHeight="1"/>
    <row r="7942" customFormat="1" ht="17.25" customHeight="1"/>
    <row r="7943" customFormat="1" ht="17.25" customHeight="1"/>
    <row r="7944" customFormat="1" ht="17.25" customHeight="1"/>
    <row r="7945" customFormat="1" ht="17.25" customHeight="1"/>
    <row r="7946" customFormat="1" ht="17.25" customHeight="1"/>
    <row r="7947" customFormat="1" ht="17.25" customHeight="1"/>
    <row r="7948" customFormat="1" ht="17.25" customHeight="1"/>
    <row r="7949" customFormat="1" ht="17.25" customHeight="1"/>
    <row r="7950" customFormat="1" ht="17.25" customHeight="1"/>
    <row r="7951" customFormat="1" ht="17.25" customHeight="1"/>
    <row r="7952" customFormat="1" ht="17.25" customHeight="1"/>
    <row r="7953" customFormat="1" ht="17.25" customHeight="1"/>
    <row r="7954" customFormat="1" ht="17.25" customHeight="1"/>
    <row r="7955" customFormat="1" ht="17.25" customHeight="1"/>
    <row r="7956" customFormat="1" ht="17.25" customHeight="1"/>
    <row r="7957" customFormat="1" ht="17.25" customHeight="1"/>
    <row r="7958" customFormat="1" ht="17.25" customHeight="1"/>
    <row r="7959" customFormat="1" ht="17.25" customHeight="1"/>
    <row r="7960" customFormat="1" ht="17.25" customHeight="1"/>
    <row r="7961" customFormat="1" ht="17.25" customHeight="1"/>
    <row r="7962" customFormat="1" ht="17.25" customHeight="1"/>
    <row r="7963" customFormat="1" ht="17.25" customHeight="1"/>
    <row r="7964" customFormat="1" ht="17.25" customHeight="1"/>
    <row r="7965" customFormat="1" ht="17.25" customHeight="1"/>
    <row r="7966" customFormat="1" ht="17.25" customHeight="1"/>
    <row r="7967" customFormat="1" ht="17.25" customHeight="1"/>
    <row r="7968" customFormat="1" ht="17.25" customHeight="1"/>
    <row r="7969" customFormat="1" ht="17.25" customHeight="1"/>
    <row r="7970" customFormat="1" ht="17.25" customHeight="1"/>
    <row r="7971" customFormat="1" ht="17.25" customHeight="1"/>
    <row r="7972" customFormat="1" ht="17.25" customHeight="1"/>
    <row r="7973" customFormat="1" ht="17.25" customHeight="1"/>
    <row r="7974" customFormat="1" ht="17.25" customHeight="1"/>
    <row r="7975" customFormat="1" ht="17.25" customHeight="1"/>
    <row r="7976" customFormat="1" ht="17.25" customHeight="1"/>
    <row r="7977" customFormat="1" ht="17.25" customHeight="1"/>
    <row r="7978" customFormat="1" ht="17.25" customHeight="1"/>
    <row r="7979" customFormat="1" ht="17.25" customHeight="1"/>
    <row r="7980" customFormat="1" ht="17.25" customHeight="1"/>
    <row r="7981" customFormat="1" ht="17.25" customHeight="1"/>
    <row r="7982" customFormat="1" ht="17.25" customHeight="1"/>
    <row r="7983" customFormat="1" ht="17.25" customHeight="1"/>
    <row r="7984" customFormat="1" ht="17.25" customHeight="1"/>
    <row r="7985" customFormat="1" ht="17.25" customHeight="1"/>
    <row r="7986" customFormat="1" ht="17.25" customHeight="1"/>
    <row r="7987" customFormat="1" ht="17.25" customHeight="1"/>
    <row r="7988" customFormat="1" ht="17.25" customHeight="1"/>
    <row r="7989" customFormat="1" ht="17.25" customHeight="1"/>
    <row r="7990" customFormat="1" ht="17.25" customHeight="1"/>
    <row r="7991" customFormat="1" ht="17.25" customHeight="1"/>
    <row r="7992" customFormat="1" ht="17.25" customHeight="1"/>
    <row r="7993" customFormat="1" ht="17.25" customHeight="1"/>
    <row r="7994" customFormat="1" ht="17.25" customHeight="1"/>
    <row r="7995" customFormat="1" ht="17.25" customHeight="1"/>
    <row r="7996" customFormat="1" ht="17.25" customHeight="1"/>
    <row r="7997" customFormat="1" ht="17.25" customHeight="1"/>
    <row r="7998" customFormat="1" ht="17.25" customHeight="1"/>
    <row r="7999" customFormat="1" ht="17.25" customHeight="1"/>
    <row r="8000" customFormat="1" ht="17.25" customHeight="1"/>
    <row r="8001" customFormat="1" ht="17.25" customHeight="1"/>
    <row r="8002" customFormat="1" ht="17.25" customHeight="1"/>
    <row r="8003" customFormat="1" ht="17.25" customHeight="1"/>
    <row r="8004" customFormat="1" ht="17.25" customHeight="1"/>
    <row r="8005" customFormat="1" ht="17.25" customHeight="1"/>
    <row r="8006" customFormat="1" ht="17.25" customHeight="1"/>
    <row r="8007" customFormat="1" ht="17.25" customHeight="1"/>
    <row r="8008" customFormat="1" ht="17.25" customHeight="1"/>
    <row r="8009" customFormat="1" ht="17.25" customHeight="1"/>
    <row r="8010" customFormat="1" ht="17.25" customHeight="1"/>
    <row r="8011" customFormat="1" ht="17.25" customHeight="1"/>
    <row r="8012" customFormat="1" ht="17.25" customHeight="1"/>
    <row r="8013" customFormat="1" ht="17.25" customHeight="1"/>
    <row r="8014" customFormat="1" ht="17.25" customHeight="1"/>
    <row r="8015" customFormat="1" ht="17.25" customHeight="1"/>
    <row r="8016" customFormat="1" ht="17.25" customHeight="1"/>
    <row r="8017" customFormat="1" ht="17.25" customHeight="1"/>
    <row r="8018" customFormat="1" ht="17.25" customHeight="1"/>
    <row r="8019" customFormat="1" ht="17.25" customHeight="1"/>
    <row r="8020" customFormat="1" ht="17.25" customHeight="1"/>
    <row r="8021" customFormat="1" ht="17.25" customHeight="1"/>
    <row r="8022" customFormat="1" ht="17.25" customHeight="1"/>
    <row r="8023" customFormat="1" ht="17.25" customHeight="1"/>
    <row r="8024" customFormat="1" ht="17.25" customHeight="1"/>
    <row r="8025" customFormat="1" ht="17.25" customHeight="1"/>
    <row r="8026" customFormat="1" ht="17.25" customHeight="1"/>
    <row r="8027" customFormat="1" ht="17.25" customHeight="1"/>
    <row r="8028" customFormat="1" ht="17.25" customHeight="1"/>
    <row r="8029" customFormat="1" ht="17.25" customHeight="1"/>
    <row r="8030" customFormat="1" ht="17.25" customHeight="1"/>
    <row r="8031" customFormat="1" ht="17.25" customHeight="1"/>
    <row r="8032" customFormat="1" ht="17.25" customHeight="1"/>
    <row r="8033" customFormat="1" ht="17.25" customHeight="1"/>
    <row r="8034" customFormat="1" ht="17.25" customHeight="1"/>
    <row r="8035" customFormat="1" ht="17.25" customHeight="1"/>
    <row r="8036" customFormat="1" ht="17.25" customHeight="1"/>
    <row r="8037" customFormat="1" ht="17.25" customHeight="1"/>
    <row r="8038" customFormat="1" ht="17.25" customHeight="1"/>
    <row r="8039" customFormat="1" ht="17.25" customHeight="1"/>
    <row r="8040" customFormat="1" ht="17.25" customHeight="1"/>
    <row r="8041" customFormat="1" ht="17.25" customHeight="1"/>
    <row r="8042" customFormat="1" ht="17.25" customHeight="1"/>
    <row r="8043" customFormat="1" ht="17.25" customHeight="1"/>
    <row r="8044" customFormat="1" ht="17.25" customHeight="1"/>
    <row r="8045" customFormat="1" ht="17.25" customHeight="1"/>
    <row r="8046" customFormat="1" ht="17.25" customHeight="1"/>
    <row r="8047" customFormat="1" ht="17.25" customHeight="1"/>
    <row r="8048" customFormat="1" ht="17.25" customHeight="1"/>
    <row r="8049" customFormat="1" ht="17.25" customHeight="1"/>
    <row r="8050" customFormat="1" ht="17.25" customHeight="1"/>
    <row r="8051" customFormat="1" ht="17.25" customHeight="1"/>
    <row r="8052" customFormat="1" ht="17.25" customHeight="1"/>
    <row r="8053" customFormat="1" ht="17.25" customHeight="1"/>
    <row r="8054" customFormat="1" ht="17.25" customHeight="1"/>
    <row r="8055" customFormat="1" ht="17.25" customHeight="1"/>
    <row r="8056" customFormat="1" ht="17.25" customHeight="1"/>
    <row r="8057" customFormat="1" ht="17.25" customHeight="1"/>
    <row r="8058" customFormat="1" ht="17.25" customHeight="1"/>
    <row r="8059" customFormat="1" ht="17.25" customHeight="1"/>
    <row r="8060" customFormat="1" ht="17.25" customHeight="1"/>
    <row r="8061" customFormat="1" ht="17.25" customHeight="1"/>
    <row r="8062" customFormat="1" ht="17.25" customHeight="1"/>
    <row r="8063" customFormat="1" ht="17.25" customHeight="1"/>
    <row r="8064" customFormat="1" ht="17.25" customHeight="1"/>
    <row r="8065" customFormat="1" ht="17.25" customHeight="1"/>
    <row r="8066" customFormat="1" ht="17.25" customHeight="1"/>
    <row r="8067" customFormat="1" ht="17.25" customHeight="1"/>
    <row r="8068" customFormat="1" ht="17.25" customHeight="1"/>
    <row r="8069" customFormat="1" ht="17.25" customHeight="1"/>
    <row r="8070" customFormat="1" ht="17.25" customHeight="1"/>
    <row r="8071" customFormat="1" ht="17.25" customHeight="1"/>
    <row r="8072" customFormat="1" ht="17.25" customHeight="1"/>
    <row r="8073" customFormat="1" ht="17.25" customHeight="1"/>
    <row r="8074" customFormat="1" ht="17.25" customHeight="1"/>
    <row r="8075" customFormat="1" ht="17.25" customHeight="1"/>
    <row r="8076" customFormat="1" ht="17.25" customHeight="1"/>
    <row r="8077" customFormat="1" ht="17.25" customHeight="1"/>
    <row r="8078" customFormat="1" ht="17.25" customHeight="1"/>
    <row r="8079" customFormat="1" ht="17.25" customHeight="1"/>
    <row r="8080" customFormat="1" ht="17.25" customHeight="1"/>
    <row r="8081" customFormat="1" ht="17.25" customHeight="1"/>
    <row r="8082" customFormat="1" ht="17.25" customHeight="1"/>
    <row r="8083" customFormat="1" ht="17.25" customHeight="1"/>
    <row r="8084" customFormat="1" ht="17.25" customHeight="1"/>
    <row r="8085" customFormat="1" ht="17.25" customHeight="1"/>
    <row r="8086" customFormat="1" ht="17.25" customHeight="1"/>
    <row r="8087" customFormat="1" ht="17.25" customHeight="1"/>
    <row r="8088" customFormat="1" ht="17.25" customHeight="1"/>
    <row r="8089" customFormat="1" ht="17.25" customHeight="1"/>
    <row r="8090" customFormat="1" ht="17.25" customHeight="1"/>
    <row r="8091" customFormat="1" ht="17.25" customHeight="1"/>
    <row r="8092" customFormat="1" ht="17.25" customHeight="1"/>
    <row r="8093" customFormat="1" ht="17.25" customHeight="1"/>
    <row r="8094" customFormat="1" ht="17.25" customHeight="1"/>
    <row r="8095" customFormat="1" ht="17.25" customHeight="1"/>
    <row r="8096" customFormat="1" ht="17.25" customHeight="1"/>
    <row r="8097" customFormat="1" ht="17.25" customHeight="1"/>
    <row r="8098" customFormat="1" ht="17.25" customHeight="1"/>
    <row r="8099" customFormat="1" ht="17.25" customHeight="1"/>
    <row r="8100" customFormat="1" ht="17.25" customHeight="1"/>
    <row r="8101" customFormat="1" ht="17.25" customHeight="1"/>
    <row r="8102" customFormat="1" ht="17.25" customHeight="1"/>
    <row r="8103" customFormat="1" ht="17.25" customHeight="1"/>
    <row r="8104" customFormat="1" ht="17.25" customHeight="1"/>
    <row r="8105" customFormat="1" ht="17.25" customHeight="1"/>
    <row r="8106" customFormat="1" ht="17.25" customHeight="1"/>
    <row r="8107" customFormat="1" ht="17.25" customHeight="1"/>
    <row r="8108" customFormat="1" ht="17.25" customHeight="1"/>
    <row r="8109" customFormat="1" ht="17.25" customHeight="1"/>
    <row r="8110" customFormat="1" ht="17.25" customHeight="1"/>
    <row r="8111" customFormat="1" ht="17.25" customHeight="1"/>
    <row r="8112" customFormat="1" ht="17.25" customHeight="1"/>
    <row r="8113" customFormat="1" ht="17.25" customHeight="1"/>
    <row r="8114" customFormat="1" ht="17.25" customHeight="1"/>
    <row r="8115" customFormat="1" ht="17.25" customHeight="1"/>
    <row r="8116" customFormat="1" ht="17.25" customHeight="1"/>
    <row r="8117" customFormat="1" ht="17.25" customHeight="1"/>
    <row r="8118" customFormat="1" ht="17.25" customHeight="1"/>
    <row r="8119" customFormat="1" ht="17.25" customHeight="1"/>
    <row r="8120" customFormat="1" ht="17.25" customHeight="1"/>
    <row r="8121" customFormat="1" ht="17.25" customHeight="1"/>
    <row r="8122" customFormat="1" ht="17.25" customHeight="1"/>
    <row r="8123" customFormat="1" ht="17.25" customHeight="1"/>
    <row r="8124" customFormat="1" ht="17.25" customHeight="1"/>
    <row r="8125" customFormat="1" ht="17.25" customHeight="1"/>
    <row r="8126" customFormat="1" ht="17.25" customHeight="1"/>
    <row r="8127" customFormat="1" ht="17.25" customHeight="1"/>
    <row r="8128" customFormat="1" ht="17.25" customHeight="1"/>
    <row r="8129" customFormat="1" ht="17.25" customHeight="1"/>
    <row r="8130" customFormat="1" ht="17.25" customHeight="1"/>
    <row r="8131" customFormat="1" ht="17.25" customHeight="1"/>
    <row r="8132" customFormat="1" ht="17.25" customHeight="1"/>
    <row r="8133" customFormat="1" ht="17.25" customHeight="1"/>
    <row r="8134" customFormat="1" ht="17.25" customHeight="1"/>
    <row r="8135" customFormat="1" ht="17.25" customHeight="1"/>
    <row r="8136" customFormat="1" ht="17.25" customHeight="1"/>
    <row r="8137" customFormat="1" ht="17.25" customHeight="1"/>
    <row r="8138" customFormat="1" ht="17.25" customHeight="1"/>
    <row r="8139" customFormat="1" ht="17.25" customHeight="1"/>
    <row r="8140" customFormat="1" ht="17.25" customHeight="1"/>
    <row r="8141" customFormat="1" ht="17.25" customHeight="1"/>
    <row r="8142" customFormat="1" ht="17.25" customHeight="1"/>
    <row r="8143" customFormat="1" ht="17.25" customHeight="1"/>
    <row r="8144" customFormat="1" ht="17.25" customHeight="1"/>
    <row r="8145" customFormat="1" ht="17.25" customHeight="1"/>
    <row r="8146" customFormat="1" ht="17.25" customHeight="1"/>
    <row r="8147" customFormat="1" ht="17.25" customHeight="1"/>
    <row r="8148" customFormat="1" ht="17.25" customHeight="1"/>
    <row r="8149" customFormat="1" ht="17.25" customHeight="1"/>
    <row r="8150" customFormat="1" ht="17.25" customHeight="1"/>
    <row r="8151" customFormat="1" ht="17.25" customHeight="1"/>
    <row r="8152" customFormat="1" ht="17.25" customHeight="1"/>
    <row r="8153" customFormat="1" ht="17.25" customHeight="1"/>
    <row r="8154" customFormat="1" ht="17.25" customHeight="1"/>
    <row r="8155" customFormat="1" ht="17.25" customHeight="1"/>
    <row r="8156" customFormat="1" ht="17.25" customHeight="1"/>
    <row r="8157" customFormat="1" ht="17.25" customHeight="1"/>
    <row r="8158" customFormat="1" ht="17.25" customHeight="1"/>
    <row r="8159" customFormat="1" ht="17.25" customHeight="1"/>
    <row r="8160" customFormat="1" ht="17.25" customHeight="1"/>
    <row r="8161" customFormat="1" ht="17.25" customHeight="1"/>
    <row r="8162" customFormat="1" ht="17.25" customHeight="1"/>
    <row r="8163" customFormat="1" ht="17.25" customHeight="1"/>
    <row r="8164" customFormat="1" ht="17.25" customHeight="1"/>
    <row r="8165" customFormat="1" ht="17.25" customHeight="1"/>
    <row r="8166" customFormat="1" ht="17.25" customHeight="1"/>
    <row r="8167" customFormat="1" ht="17.25" customHeight="1"/>
    <row r="8168" customFormat="1" ht="17.25" customHeight="1"/>
    <row r="8169" customFormat="1" ht="17.25" customHeight="1"/>
    <row r="8170" customFormat="1" ht="17.25" customHeight="1"/>
    <row r="8171" customFormat="1" ht="17.25" customHeight="1"/>
    <row r="8172" customFormat="1" ht="17.25" customHeight="1"/>
    <row r="8173" customFormat="1" ht="17.25" customHeight="1"/>
    <row r="8174" customFormat="1" ht="17.25" customHeight="1"/>
    <row r="8175" customFormat="1" ht="17.25" customHeight="1"/>
    <row r="8176" customFormat="1" ht="17.25" customHeight="1"/>
    <row r="8177" customFormat="1" ht="17.25" customHeight="1"/>
    <row r="8178" customFormat="1" ht="17.25" customHeight="1"/>
    <row r="8179" customFormat="1" ht="17.25" customHeight="1"/>
    <row r="8180" customFormat="1" ht="17.25" customHeight="1"/>
    <row r="8181" customFormat="1" ht="17.25" customHeight="1"/>
    <row r="8182" customFormat="1" ht="17.25" customHeight="1"/>
    <row r="8183" customFormat="1" ht="17.25" customHeight="1"/>
    <row r="8184" customFormat="1" ht="17.25" customHeight="1"/>
    <row r="8185" customFormat="1" ht="17.25" customHeight="1"/>
    <row r="8186" customFormat="1" ht="17.25" customHeight="1"/>
    <row r="8187" customFormat="1" ht="17.25" customHeight="1"/>
    <row r="8188" customFormat="1" ht="17.25" customHeight="1"/>
    <row r="8189" customFormat="1" ht="17.25" customHeight="1"/>
    <row r="8190" customFormat="1" ht="17.25" customHeight="1"/>
    <row r="8191" customFormat="1" ht="17.25" customHeight="1"/>
    <row r="8192" customFormat="1" ht="17.25" customHeight="1"/>
    <row r="8193" customFormat="1" ht="17.25" customHeight="1"/>
    <row r="8194" customFormat="1" ht="17.25" customHeight="1"/>
    <row r="8195" customFormat="1" ht="17.25" customHeight="1"/>
    <row r="8196" customFormat="1" ht="17.25" customHeight="1"/>
    <row r="8197" customFormat="1" ht="17.25" customHeight="1"/>
    <row r="8198" customFormat="1" ht="17.25" customHeight="1"/>
    <row r="8199" customFormat="1" ht="17.25" customHeight="1"/>
    <row r="8200" customFormat="1" ht="17.25" customHeight="1"/>
    <row r="8201" customFormat="1" ht="17.25" customHeight="1"/>
    <row r="8202" customFormat="1" ht="17.25" customHeight="1"/>
    <row r="8203" customFormat="1" ht="17.25" customHeight="1"/>
    <row r="8204" customFormat="1" ht="17.25" customHeight="1"/>
    <row r="8205" customFormat="1" ht="17.25" customHeight="1"/>
    <row r="8206" customFormat="1" ht="17.25" customHeight="1"/>
    <row r="8207" customFormat="1" ht="17.25" customHeight="1"/>
    <row r="8208" customFormat="1" ht="17.25" customHeight="1"/>
    <row r="8209" customFormat="1" ht="17.25" customHeight="1"/>
    <row r="8210" customFormat="1" ht="17.25" customHeight="1"/>
    <row r="8211" customFormat="1" ht="17.25" customHeight="1"/>
    <row r="8212" customFormat="1" ht="17.25" customHeight="1"/>
    <row r="8213" customFormat="1" ht="17.25" customHeight="1"/>
    <row r="8214" customFormat="1" ht="17.25" customHeight="1"/>
    <row r="8215" customFormat="1" ht="17.25" customHeight="1"/>
    <row r="8216" customFormat="1" ht="17.25" customHeight="1"/>
    <row r="8217" customFormat="1" ht="17.25" customHeight="1"/>
    <row r="8218" customFormat="1" ht="17.25" customHeight="1"/>
    <row r="8219" customFormat="1" ht="17.25" customHeight="1"/>
    <row r="8220" customFormat="1" ht="17.25" customHeight="1"/>
    <row r="8221" customFormat="1" ht="17.25" customHeight="1"/>
    <row r="8222" customFormat="1" ht="17.25" customHeight="1"/>
    <row r="8223" customFormat="1" ht="17.25" customHeight="1"/>
    <row r="8224" customFormat="1" ht="17.25" customHeight="1"/>
    <row r="8225" customFormat="1" ht="17.25" customHeight="1"/>
    <row r="8226" customFormat="1" ht="17.25" customHeight="1"/>
    <row r="8227" customFormat="1" ht="17.25" customHeight="1"/>
    <row r="8228" customFormat="1" ht="17.25" customHeight="1"/>
    <row r="8229" customFormat="1" ht="17.25" customHeight="1"/>
    <row r="8230" customFormat="1" ht="17.25" customHeight="1"/>
    <row r="8231" customFormat="1" ht="17.25" customHeight="1"/>
    <row r="8232" customFormat="1" ht="17.25" customHeight="1"/>
    <row r="8233" customFormat="1" ht="17.25" customHeight="1"/>
    <row r="8234" customFormat="1" ht="17.25" customHeight="1"/>
    <row r="8235" customFormat="1" ht="17.25" customHeight="1"/>
    <row r="8236" customFormat="1" ht="17.25" customHeight="1"/>
    <row r="8237" customFormat="1" ht="17.25" customHeight="1"/>
    <row r="8238" customFormat="1" ht="17.25" customHeight="1"/>
    <row r="8239" customFormat="1" ht="17.25" customHeight="1"/>
    <row r="8240" customFormat="1" ht="17.25" customHeight="1"/>
    <row r="8241" customFormat="1" ht="17.25" customHeight="1"/>
    <row r="8242" customFormat="1" ht="17.25" customHeight="1"/>
    <row r="8243" customFormat="1" ht="17.25" customHeight="1"/>
    <row r="8244" customFormat="1" ht="17.25" customHeight="1"/>
    <row r="8245" customFormat="1" ht="17.25" customHeight="1"/>
    <row r="8246" customFormat="1" ht="17.25" customHeight="1"/>
    <row r="8247" customFormat="1" ht="17.25" customHeight="1"/>
    <row r="8248" customFormat="1" ht="17.25" customHeight="1"/>
    <row r="8249" customFormat="1" ht="17.25" customHeight="1"/>
    <row r="8250" customFormat="1" ht="17.25" customHeight="1"/>
    <row r="8251" customFormat="1" ht="17.25" customHeight="1"/>
    <row r="8252" customFormat="1" ht="17.25" customHeight="1"/>
    <row r="8253" customFormat="1" ht="17.25" customHeight="1"/>
    <row r="8254" customFormat="1" ht="17.25" customHeight="1"/>
    <row r="8255" customFormat="1" ht="17.25" customHeight="1"/>
    <row r="8256" customFormat="1" ht="17.25" customHeight="1"/>
    <row r="8257" customFormat="1" ht="17.25" customHeight="1"/>
    <row r="8258" customFormat="1" ht="17.25" customHeight="1"/>
    <row r="8259" customFormat="1" ht="17.25" customHeight="1"/>
    <row r="8260" customFormat="1" ht="17.25" customHeight="1"/>
    <row r="8261" customFormat="1" ht="17.25" customHeight="1"/>
    <row r="8262" customFormat="1" ht="17.25" customHeight="1"/>
    <row r="8263" customFormat="1" ht="17.25" customHeight="1"/>
    <row r="8264" customFormat="1" ht="17.25" customHeight="1"/>
    <row r="8265" customFormat="1" ht="17.25" customHeight="1"/>
    <row r="8266" customFormat="1" ht="17.25" customHeight="1"/>
    <row r="8267" customFormat="1" ht="17.25" customHeight="1"/>
    <row r="8268" customFormat="1" ht="17.25" customHeight="1"/>
    <row r="8269" customFormat="1" ht="17.25" customHeight="1"/>
    <row r="8270" customFormat="1" ht="17.25" customHeight="1"/>
    <row r="8271" customFormat="1" ht="17.25" customHeight="1"/>
    <row r="8272" customFormat="1" ht="17.25" customHeight="1"/>
    <row r="8273" customFormat="1" ht="17.25" customHeight="1"/>
    <row r="8274" customFormat="1" ht="17.25" customHeight="1"/>
    <row r="8275" customFormat="1" ht="17.25" customHeight="1"/>
    <row r="8276" customFormat="1" ht="17.25" customHeight="1"/>
    <row r="8277" customFormat="1" ht="17.25" customHeight="1"/>
    <row r="8278" customFormat="1" ht="17.25" customHeight="1"/>
    <row r="8279" customFormat="1" ht="17.25" customHeight="1"/>
    <row r="8280" customFormat="1" ht="17.25" customHeight="1"/>
    <row r="8281" customFormat="1" ht="17.25" customHeight="1"/>
    <row r="8282" customFormat="1" ht="17.25" customHeight="1"/>
    <row r="8283" customFormat="1" ht="17.25" customHeight="1"/>
    <row r="8284" customFormat="1" ht="17.25" customHeight="1"/>
    <row r="8285" customFormat="1" ht="17.25" customHeight="1"/>
    <row r="8286" customFormat="1" ht="17.25" customHeight="1"/>
    <row r="8287" customFormat="1" ht="17.25" customHeight="1"/>
    <row r="8288" customFormat="1" ht="17.25" customHeight="1"/>
    <row r="8289" customFormat="1" ht="17.25" customHeight="1"/>
    <row r="8290" customFormat="1" ht="17.25" customHeight="1"/>
    <row r="8291" customFormat="1" ht="17.25" customHeight="1"/>
    <row r="8292" customFormat="1" ht="17.25" customHeight="1"/>
    <row r="8293" customFormat="1" ht="17.25" customHeight="1"/>
    <row r="8294" customFormat="1" ht="17.25" customHeight="1"/>
    <row r="8295" customFormat="1" ht="17.25" customHeight="1"/>
    <row r="8296" customFormat="1" ht="17.25" customHeight="1"/>
    <row r="8297" customFormat="1" ht="17.25" customHeight="1"/>
    <row r="8298" customFormat="1" ht="17.25" customHeight="1"/>
    <row r="8299" customFormat="1" ht="17.25" customHeight="1"/>
    <row r="8300" customFormat="1" ht="17.25" customHeight="1"/>
    <row r="8301" customFormat="1" ht="17.25" customHeight="1"/>
    <row r="8302" customFormat="1" ht="17.25" customHeight="1"/>
    <row r="8303" customFormat="1" ht="17.25" customHeight="1"/>
    <row r="8304" customFormat="1" ht="17.25" customHeight="1"/>
    <row r="8305" customFormat="1" ht="17.25" customHeight="1"/>
    <row r="8306" customFormat="1" ht="17.25" customHeight="1"/>
    <row r="8307" customFormat="1" ht="17.25" customHeight="1"/>
    <row r="8308" customFormat="1" ht="17.25" customHeight="1"/>
    <row r="8309" customFormat="1" ht="17.25" customHeight="1"/>
    <row r="8310" customFormat="1" ht="17.25" customHeight="1"/>
    <row r="8311" customFormat="1" ht="17.25" customHeight="1"/>
    <row r="8312" customFormat="1" ht="17.25" customHeight="1"/>
    <row r="8313" customFormat="1" ht="17.25" customHeight="1"/>
    <row r="8314" customFormat="1" ht="17.25" customHeight="1"/>
    <row r="8315" customFormat="1" ht="17.25" customHeight="1"/>
    <row r="8316" customFormat="1" ht="17.25" customHeight="1"/>
    <row r="8317" customFormat="1" ht="17.25" customHeight="1"/>
    <row r="8318" customFormat="1" ht="17.25" customHeight="1"/>
    <row r="8319" customFormat="1" ht="17.25" customHeight="1"/>
    <row r="8320" customFormat="1" ht="17.25" customHeight="1"/>
    <row r="8321" customFormat="1" ht="17.25" customHeight="1"/>
    <row r="8322" customFormat="1" ht="17.25" customHeight="1"/>
    <row r="8323" customFormat="1" ht="17.25" customHeight="1"/>
    <row r="8324" customFormat="1" ht="17.25" customHeight="1"/>
    <row r="8325" customFormat="1" ht="17.25" customHeight="1"/>
    <row r="8326" customFormat="1" ht="17.25" customHeight="1"/>
    <row r="8327" customFormat="1" ht="17.25" customHeight="1"/>
    <row r="8328" customFormat="1" ht="17.25" customHeight="1"/>
    <row r="8329" customFormat="1" ht="17.25" customHeight="1"/>
    <row r="8330" customFormat="1" ht="17.25" customHeight="1"/>
    <row r="8331" customFormat="1" ht="17.25" customHeight="1"/>
    <row r="8332" customFormat="1" ht="17.25" customHeight="1"/>
    <row r="8333" customFormat="1" ht="17.25" customHeight="1"/>
    <row r="8334" customFormat="1" ht="17.25" customHeight="1"/>
    <row r="8335" customFormat="1" ht="17.25" customHeight="1"/>
    <row r="8336" customFormat="1" ht="17.25" customHeight="1"/>
    <row r="8337" customFormat="1" ht="17.25" customHeight="1"/>
    <row r="8338" customFormat="1" ht="17.25" customHeight="1"/>
    <row r="8339" customFormat="1" ht="17.25" customHeight="1"/>
    <row r="8340" customFormat="1" ht="17.25" customHeight="1"/>
    <row r="8341" customFormat="1" ht="17.25" customHeight="1"/>
    <row r="8342" customFormat="1" ht="17.25" customHeight="1"/>
    <row r="8343" customFormat="1" ht="17.25" customHeight="1"/>
    <row r="8344" customFormat="1" ht="17.25" customHeight="1"/>
    <row r="8345" customFormat="1" ht="17.25" customHeight="1"/>
    <row r="8346" customFormat="1" ht="17.25" customHeight="1"/>
    <row r="8347" customFormat="1" ht="17.25" customHeight="1"/>
    <row r="8348" customFormat="1" ht="17.25" customHeight="1"/>
    <row r="8349" customFormat="1" ht="17.25" customHeight="1"/>
    <row r="8350" customFormat="1" ht="17.25" customHeight="1"/>
    <row r="8351" customFormat="1" ht="17.25" customHeight="1"/>
    <row r="8352" customFormat="1" ht="17.25" customHeight="1"/>
    <row r="8353" customFormat="1" ht="17.25" customHeight="1"/>
    <row r="8354" customFormat="1" ht="17.25" customHeight="1"/>
    <row r="8355" customFormat="1" ht="17.25" customHeight="1"/>
    <row r="8356" customFormat="1" ht="17.25" customHeight="1"/>
    <row r="8357" customFormat="1" ht="17.25" customHeight="1"/>
    <row r="8358" customFormat="1" ht="17.25" customHeight="1"/>
    <row r="8359" customFormat="1" ht="17.25" customHeight="1"/>
    <row r="8360" customFormat="1" ht="17.25" customHeight="1"/>
    <row r="8361" customFormat="1" ht="17.25" customHeight="1"/>
    <row r="8362" customFormat="1" ht="17.25" customHeight="1"/>
    <row r="8363" customFormat="1" ht="17.25" customHeight="1"/>
    <row r="8364" customFormat="1" ht="17.25" customHeight="1"/>
    <row r="8365" customFormat="1" ht="17.25" customHeight="1"/>
    <row r="8366" customFormat="1" ht="17.25" customHeight="1"/>
    <row r="8367" customFormat="1" ht="17.25" customHeight="1"/>
    <row r="8368" customFormat="1" ht="17.25" customHeight="1"/>
    <row r="8369" customFormat="1" ht="17.25" customHeight="1"/>
    <row r="8370" customFormat="1" ht="17.25" customHeight="1"/>
    <row r="8371" customFormat="1" ht="17.25" customHeight="1"/>
    <row r="8372" customFormat="1" ht="17.25" customHeight="1"/>
    <row r="8373" customFormat="1" ht="17.25" customHeight="1"/>
    <row r="8374" customFormat="1" ht="17.25" customHeight="1"/>
    <row r="8375" customFormat="1" ht="17.25" customHeight="1"/>
    <row r="8376" customFormat="1" ht="17.25" customHeight="1"/>
    <row r="8377" customFormat="1" ht="17.25" customHeight="1"/>
    <row r="8378" customFormat="1" ht="17.25" customHeight="1"/>
    <row r="8379" customFormat="1" ht="17.25" customHeight="1"/>
    <row r="8380" customFormat="1" ht="17.25" customHeight="1"/>
    <row r="8381" customFormat="1" ht="17.25" customHeight="1"/>
    <row r="8382" customFormat="1" ht="17.25" customHeight="1"/>
    <row r="8383" customFormat="1" ht="17.25" customHeight="1"/>
    <row r="8384" customFormat="1" ht="17.25" customHeight="1"/>
    <row r="8385" customFormat="1" ht="17.25" customHeight="1"/>
    <row r="8386" customFormat="1" ht="17.25" customHeight="1"/>
    <row r="8387" customFormat="1" ht="17.25" customHeight="1"/>
    <row r="8388" customFormat="1" ht="17.25" customHeight="1"/>
    <row r="8389" customFormat="1" ht="17.25" customHeight="1"/>
    <row r="8390" customFormat="1" ht="17.25" customHeight="1"/>
    <row r="8391" customFormat="1" ht="17.25" customHeight="1"/>
    <row r="8392" customFormat="1" ht="17.25" customHeight="1"/>
    <row r="8393" customFormat="1" ht="17.25" customHeight="1"/>
    <row r="8394" customFormat="1" ht="17.25" customHeight="1"/>
    <row r="8395" customFormat="1" ht="17.25" customHeight="1"/>
    <row r="8396" customFormat="1" ht="17.25" customHeight="1"/>
    <row r="8397" customFormat="1" ht="17.25" customHeight="1"/>
    <row r="8398" customFormat="1" ht="17.25" customHeight="1"/>
    <row r="8399" customFormat="1" ht="17.25" customHeight="1"/>
    <row r="8400" customFormat="1" ht="17.25" customHeight="1"/>
    <row r="8401" customFormat="1" ht="17.25" customHeight="1"/>
    <row r="8402" customFormat="1" ht="17.25" customHeight="1"/>
    <row r="8403" customFormat="1" ht="17.25" customHeight="1"/>
    <row r="8404" customFormat="1" ht="17.25" customHeight="1"/>
    <row r="8405" customFormat="1" ht="17.25" customHeight="1"/>
    <row r="8406" customFormat="1" ht="17.25" customHeight="1"/>
    <row r="8407" customFormat="1" ht="17.25" customHeight="1"/>
    <row r="8408" customFormat="1" ht="17.25" customHeight="1"/>
    <row r="8409" customFormat="1" ht="17.25" customHeight="1"/>
    <row r="8410" customFormat="1" ht="17.25" customHeight="1"/>
    <row r="8411" customFormat="1" ht="17.25" customHeight="1"/>
    <row r="8412" customFormat="1" ht="17.25" customHeight="1"/>
    <row r="8413" customFormat="1" ht="17.25" customHeight="1"/>
    <row r="8414" customFormat="1" ht="17.25" customHeight="1"/>
    <row r="8415" customFormat="1" ht="17.25" customHeight="1"/>
    <row r="8416" customFormat="1" ht="17.25" customHeight="1"/>
    <row r="8417" customFormat="1" ht="17.25" customHeight="1"/>
    <row r="8418" customFormat="1" ht="17.25" customHeight="1"/>
    <row r="8419" customFormat="1" ht="17.25" customHeight="1"/>
    <row r="8420" customFormat="1" ht="17.25" customHeight="1"/>
    <row r="8421" customFormat="1" ht="17.25" customHeight="1"/>
    <row r="8422" customFormat="1" ht="17.25" customHeight="1"/>
    <row r="8423" customFormat="1" ht="17.25" customHeight="1"/>
    <row r="8424" customFormat="1" ht="17.25" customHeight="1"/>
    <row r="8425" customFormat="1" ht="17.25" customHeight="1"/>
    <row r="8426" customFormat="1" ht="17.25" customHeight="1"/>
    <row r="8427" customFormat="1" ht="17.25" customHeight="1"/>
    <row r="8428" customFormat="1" ht="17.25" customHeight="1"/>
    <row r="8429" customFormat="1" ht="17.25" customHeight="1"/>
    <row r="8430" customFormat="1" ht="17.25" customHeight="1"/>
    <row r="8431" customFormat="1" ht="17.25" customHeight="1"/>
    <row r="8432" customFormat="1" ht="17.25" customHeight="1"/>
    <row r="8433" customFormat="1" ht="17.25" customHeight="1"/>
    <row r="8434" customFormat="1" ht="17.25" customHeight="1"/>
    <row r="8435" customFormat="1" ht="17.25" customHeight="1"/>
    <row r="8436" customFormat="1" ht="17.25" customHeight="1"/>
    <row r="8437" customFormat="1" ht="17.25" customHeight="1"/>
    <row r="8438" customFormat="1" ht="17.25" customHeight="1"/>
    <row r="8439" customFormat="1" ht="17.25" customHeight="1"/>
    <row r="8440" customFormat="1" ht="17.25" customHeight="1"/>
    <row r="8441" customFormat="1" ht="17.25" customHeight="1"/>
    <row r="8442" customFormat="1" ht="17.25" customHeight="1"/>
    <row r="8443" customFormat="1" ht="17.25" customHeight="1"/>
    <row r="8444" customFormat="1" ht="17.25" customHeight="1"/>
    <row r="8445" customFormat="1" ht="17.25" customHeight="1"/>
    <row r="8446" customFormat="1" ht="17.25" customHeight="1"/>
    <row r="8447" customFormat="1" ht="17.25" customHeight="1"/>
    <row r="8448" customFormat="1" ht="17.25" customHeight="1"/>
    <row r="8449" customFormat="1" ht="17.25" customHeight="1"/>
    <row r="8450" customFormat="1" ht="17.25" customHeight="1"/>
    <row r="8451" customFormat="1" ht="17.25" customHeight="1"/>
    <row r="8452" customFormat="1" ht="17.25" customHeight="1"/>
    <row r="8453" customFormat="1" ht="17.25" customHeight="1"/>
    <row r="8454" customFormat="1" ht="17.25" customHeight="1"/>
    <row r="8455" customFormat="1" ht="17.25" customHeight="1"/>
    <row r="8456" customFormat="1" ht="17.25" customHeight="1"/>
    <row r="8457" customFormat="1" ht="17.25" customHeight="1"/>
    <row r="8458" customFormat="1" ht="17.25" customHeight="1"/>
    <row r="8459" customFormat="1" ht="17.25" customHeight="1"/>
    <row r="8460" customFormat="1" ht="17.25" customHeight="1"/>
    <row r="8461" customFormat="1" ht="17.25" customHeight="1"/>
    <row r="8462" customFormat="1" ht="17.25" customHeight="1"/>
    <row r="8463" customFormat="1" ht="17.25" customHeight="1"/>
    <row r="8464" customFormat="1" ht="17.25" customHeight="1"/>
    <row r="8465" customFormat="1" ht="17.25" customHeight="1"/>
    <row r="8466" customFormat="1" ht="17.25" customHeight="1"/>
    <row r="8467" customFormat="1" ht="17.25" customHeight="1"/>
    <row r="8468" customFormat="1" ht="17.25" customHeight="1"/>
    <row r="8469" customFormat="1" ht="17.25" customHeight="1"/>
    <row r="8470" customFormat="1" ht="17.25" customHeight="1"/>
    <row r="8471" customFormat="1" ht="17.25" customHeight="1"/>
    <row r="8472" customFormat="1" ht="17.25" customHeight="1"/>
    <row r="8473" customFormat="1" ht="17.25" customHeight="1"/>
    <row r="8474" customFormat="1" ht="17.25" customHeight="1"/>
    <row r="8475" customFormat="1" ht="17.25" customHeight="1"/>
    <row r="8476" customFormat="1" ht="17.25" customHeight="1"/>
    <row r="8477" customFormat="1" ht="17.25" customHeight="1"/>
    <row r="8478" customFormat="1" ht="17.25" customHeight="1"/>
    <row r="8479" customFormat="1" ht="17.25" customHeight="1"/>
    <row r="8480" customFormat="1" ht="17.25" customHeight="1"/>
    <row r="8481" customFormat="1" ht="17.25" customHeight="1"/>
    <row r="8482" customFormat="1" ht="17.25" customHeight="1"/>
    <row r="8483" customFormat="1" ht="17.25" customHeight="1"/>
    <row r="8484" customFormat="1" ht="17.25" customHeight="1"/>
    <row r="8485" customFormat="1" ht="17.25" customHeight="1"/>
    <row r="8486" customFormat="1" ht="17.25" customHeight="1"/>
    <row r="8487" customFormat="1" ht="17.25" customHeight="1"/>
    <row r="8488" customFormat="1" ht="17.25" customHeight="1"/>
    <row r="8489" customFormat="1" ht="17.25" customHeight="1"/>
    <row r="8490" customFormat="1" ht="17.25" customHeight="1"/>
    <row r="8491" customFormat="1" ht="17.25" customHeight="1"/>
    <row r="8492" customFormat="1" ht="17.25" customHeight="1"/>
    <row r="8493" customFormat="1" ht="17.25" customHeight="1"/>
    <row r="8494" customFormat="1" ht="17.25" customHeight="1"/>
    <row r="8495" customFormat="1" ht="17.25" customHeight="1"/>
    <row r="8496" customFormat="1" ht="17.25" customHeight="1"/>
    <row r="8497" customFormat="1" ht="17.25" customHeight="1"/>
    <row r="8498" customFormat="1" ht="17.25" customHeight="1"/>
    <row r="8499" customFormat="1" ht="17.25" customHeight="1"/>
    <row r="8500" customFormat="1" ht="17.25" customHeight="1"/>
    <row r="8501" customFormat="1" ht="17.25" customHeight="1"/>
    <row r="8502" customFormat="1" ht="17.25" customHeight="1"/>
    <row r="8503" customFormat="1" ht="17.25" customHeight="1"/>
    <row r="8504" customFormat="1" ht="17.25" customHeight="1"/>
    <row r="8505" customFormat="1" ht="17.25" customHeight="1"/>
    <row r="8506" customFormat="1" ht="17.25" customHeight="1"/>
    <row r="8507" customFormat="1" ht="17.25" customHeight="1"/>
    <row r="8508" customFormat="1" ht="17.25" customHeight="1"/>
    <row r="8509" customFormat="1" ht="17.25" customHeight="1"/>
    <row r="8510" customFormat="1" ht="17.25" customHeight="1"/>
    <row r="8511" customFormat="1" ht="17.25" customHeight="1"/>
    <row r="8512" customFormat="1" ht="17.25" customHeight="1"/>
    <row r="8513" customFormat="1" ht="17.25" customHeight="1"/>
    <row r="8514" customFormat="1" ht="17.25" customHeight="1"/>
    <row r="8515" customFormat="1" ht="17.25" customHeight="1"/>
    <row r="8516" customFormat="1" ht="17.25" customHeight="1"/>
    <row r="8517" customFormat="1" ht="17.25" customHeight="1"/>
    <row r="8518" customFormat="1" ht="17.25" customHeight="1"/>
    <row r="8519" customFormat="1" ht="17.25" customHeight="1"/>
    <row r="8520" customFormat="1" ht="17.25" customHeight="1"/>
    <row r="8521" customFormat="1" ht="17.25" customHeight="1"/>
    <row r="8522" customFormat="1" ht="17.25" customHeight="1"/>
    <row r="8523" customFormat="1" ht="17.25" customHeight="1"/>
    <row r="8524" customFormat="1" ht="17.25" customHeight="1"/>
    <row r="8525" customFormat="1" ht="17.25" customHeight="1"/>
    <row r="8526" customFormat="1" ht="17.25" customHeight="1"/>
    <row r="8527" customFormat="1" ht="17.25" customHeight="1"/>
    <row r="8528" customFormat="1" ht="17.25" customHeight="1"/>
    <row r="8529" customFormat="1" ht="17.25" customHeight="1"/>
    <row r="8530" customFormat="1" ht="17.25" customHeight="1"/>
    <row r="8531" customFormat="1" ht="17.25" customHeight="1"/>
    <row r="8532" customFormat="1" ht="17.25" customHeight="1"/>
    <row r="8533" customFormat="1" ht="17.25" customHeight="1"/>
    <row r="8534" customFormat="1" ht="17.25" customHeight="1"/>
    <row r="8535" customFormat="1" ht="17.25" customHeight="1"/>
    <row r="8536" customFormat="1" ht="17.25" customHeight="1"/>
    <row r="8537" customFormat="1" ht="17.25" customHeight="1"/>
    <row r="8538" customFormat="1" ht="17.25" customHeight="1"/>
    <row r="8539" customFormat="1" ht="17.25" customHeight="1"/>
    <row r="8540" customFormat="1" ht="17.25" customHeight="1"/>
    <row r="8541" customFormat="1" ht="17.25" customHeight="1"/>
    <row r="8542" customFormat="1" ht="17.25" customHeight="1"/>
    <row r="8543" customFormat="1" ht="17.25" customHeight="1"/>
    <row r="8544" customFormat="1" ht="17.25" customHeight="1"/>
    <row r="8545" customFormat="1" ht="17.25" customHeight="1"/>
    <row r="8546" customFormat="1" ht="17.25" customHeight="1"/>
    <row r="8547" customFormat="1" ht="17.25" customHeight="1"/>
    <row r="8548" customFormat="1" ht="17.25" customHeight="1"/>
    <row r="8549" customFormat="1" ht="17.25" customHeight="1"/>
    <row r="8550" customFormat="1" ht="17.25" customHeight="1"/>
    <row r="8551" customFormat="1" ht="17.25" customHeight="1"/>
    <row r="8552" customFormat="1" ht="17.25" customHeight="1"/>
    <row r="8553" customFormat="1" ht="17.25" customHeight="1"/>
    <row r="8554" customFormat="1" ht="17.25" customHeight="1"/>
    <row r="8555" customFormat="1" ht="17.25" customHeight="1"/>
    <row r="8556" customFormat="1" ht="17.25" customHeight="1"/>
    <row r="8557" customFormat="1" ht="17.25" customHeight="1"/>
    <row r="8558" customFormat="1" ht="17.25" customHeight="1"/>
    <row r="8559" customFormat="1" ht="17.25" customHeight="1"/>
    <row r="8560" customFormat="1" ht="17.25" customHeight="1"/>
    <row r="8561" customFormat="1" ht="17.25" customHeight="1"/>
    <row r="8562" customFormat="1" ht="17.25" customHeight="1"/>
    <row r="8563" customFormat="1" ht="17.25" customHeight="1"/>
    <row r="8564" customFormat="1" ht="17.25" customHeight="1"/>
    <row r="8565" customFormat="1" ht="17.25" customHeight="1"/>
    <row r="8566" customFormat="1" ht="17.25" customHeight="1"/>
    <row r="8567" customFormat="1" ht="17.25" customHeight="1"/>
    <row r="8568" customFormat="1" ht="17.25" customHeight="1"/>
    <row r="8569" customFormat="1" ht="17.25" customHeight="1"/>
    <row r="8570" customFormat="1" ht="17.25" customHeight="1"/>
    <row r="8571" customFormat="1" ht="17.25" customHeight="1"/>
    <row r="8572" customFormat="1" ht="17.25" customHeight="1"/>
    <row r="8573" customFormat="1" ht="17.25" customHeight="1"/>
    <row r="8574" customFormat="1" ht="17.25" customHeight="1"/>
    <row r="8575" customFormat="1" ht="17.25" customHeight="1"/>
    <row r="8576" customFormat="1" ht="17.25" customHeight="1"/>
    <row r="8577" customFormat="1" ht="17.25" customHeight="1"/>
    <row r="8578" customFormat="1" ht="17.25" customHeight="1"/>
    <row r="8579" customFormat="1" ht="17.25" customHeight="1"/>
    <row r="8580" customFormat="1" ht="17.25" customHeight="1"/>
    <row r="8581" customFormat="1" ht="17.25" customHeight="1"/>
    <row r="8582" customFormat="1" ht="17.25" customHeight="1"/>
    <row r="8583" customFormat="1" ht="17.25" customHeight="1"/>
    <row r="8584" customFormat="1" ht="17.25" customHeight="1"/>
    <row r="8585" customFormat="1" ht="17.25" customHeight="1"/>
    <row r="8586" customFormat="1" ht="17.25" customHeight="1"/>
    <row r="8587" customFormat="1" ht="17.25" customHeight="1"/>
    <row r="8588" customFormat="1" ht="17.25" customHeight="1"/>
    <row r="8589" customFormat="1" ht="17.25" customHeight="1"/>
    <row r="8590" customFormat="1" ht="17.25" customHeight="1"/>
    <row r="8591" customFormat="1" ht="17.25" customHeight="1"/>
    <row r="8592" customFormat="1" ht="17.25" customHeight="1"/>
    <row r="8593" customFormat="1" ht="17.25" customHeight="1"/>
    <row r="8594" customFormat="1" ht="17.25" customHeight="1"/>
    <row r="8595" customFormat="1" ht="17.25" customHeight="1"/>
    <row r="8596" customFormat="1" ht="17.25" customHeight="1"/>
    <row r="8597" customFormat="1" ht="17.25" customHeight="1"/>
    <row r="8598" customFormat="1" ht="17.25" customHeight="1"/>
    <row r="8599" customFormat="1" ht="17.25" customHeight="1"/>
    <row r="8600" customFormat="1" ht="17.25" customHeight="1"/>
    <row r="8601" customFormat="1" ht="17.25" customHeight="1"/>
    <row r="8602" customFormat="1" ht="17.25" customHeight="1"/>
    <row r="8603" customFormat="1" ht="17.25" customHeight="1"/>
    <row r="8604" customFormat="1" ht="17.25" customHeight="1"/>
    <row r="8605" customFormat="1" ht="17.25" customHeight="1"/>
    <row r="8606" customFormat="1" ht="17.25" customHeight="1"/>
    <row r="8607" customFormat="1" ht="17.25" customHeight="1"/>
    <row r="8608" customFormat="1" ht="17.25" customHeight="1"/>
    <row r="8609" customFormat="1" ht="17.25" customHeight="1"/>
    <row r="8610" customFormat="1" ht="17.25" customHeight="1"/>
    <row r="8611" customFormat="1" ht="17.25" customHeight="1"/>
    <row r="8612" customFormat="1" ht="17.25" customHeight="1"/>
    <row r="8613" customFormat="1" ht="17.25" customHeight="1"/>
    <row r="8614" customFormat="1" ht="17.25" customHeight="1"/>
    <row r="8615" customFormat="1" ht="17.25" customHeight="1"/>
    <row r="8616" customFormat="1" ht="17.25" customHeight="1"/>
    <row r="8617" customFormat="1" ht="17.25" customHeight="1"/>
    <row r="8618" customFormat="1" ht="17.25" customHeight="1"/>
    <row r="8619" customFormat="1" ht="17.25" customHeight="1"/>
    <row r="8620" customFormat="1" ht="17.25" customHeight="1"/>
    <row r="8621" customFormat="1" ht="17.25" customHeight="1"/>
    <row r="8622" customFormat="1" ht="17.25" customHeight="1"/>
    <row r="8623" customFormat="1" ht="17.25" customHeight="1"/>
    <row r="8624" customFormat="1" ht="17.25" customHeight="1"/>
    <row r="8625" customFormat="1" ht="17.25" customHeight="1"/>
    <row r="8626" customFormat="1" ht="17.25" customHeight="1"/>
    <row r="8627" customFormat="1" ht="17.25" customHeight="1"/>
    <row r="8628" customFormat="1" ht="17.25" customHeight="1"/>
    <row r="8629" customFormat="1" ht="17.25" customHeight="1"/>
    <row r="8630" customFormat="1" ht="17.25" customHeight="1"/>
    <row r="8631" customFormat="1" ht="17.25" customHeight="1"/>
    <row r="8632" customFormat="1" ht="17.25" customHeight="1"/>
    <row r="8633" customFormat="1" ht="17.25" customHeight="1"/>
    <row r="8634" customFormat="1" ht="17.25" customHeight="1"/>
    <row r="8635" customFormat="1" ht="17.25" customHeight="1"/>
    <row r="8636" customFormat="1" ht="17.25" customHeight="1"/>
    <row r="8637" customFormat="1" ht="17.25" customHeight="1"/>
    <row r="8638" customFormat="1" ht="17.25" customHeight="1"/>
    <row r="8639" customFormat="1" ht="17.25" customHeight="1"/>
    <row r="8640" customFormat="1" ht="17.25" customHeight="1"/>
    <row r="8641" customFormat="1" ht="17.25" customHeight="1"/>
    <row r="8642" customFormat="1" ht="17.25" customHeight="1"/>
    <row r="8643" customFormat="1" ht="17.25" customHeight="1"/>
    <row r="8644" customFormat="1" ht="17.25" customHeight="1"/>
    <row r="8645" customFormat="1" ht="17.25" customHeight="1"/>
    <row r="8646" customFormat="1" ht="17.25" customHeight="1"/>
    <row r="8647" customFormat="1" ht="17.25" customHeight="1"/>
    <row r="8648" customFormat="1" ht="17.25" customHeight="1"/>
    <row r="8649" customFormat="1" ht="17.25" customHeight="1"/>
    <row r="8650" customFormat="1" ht="17.25" customHeight="1"/>
    <row r="8651" customFormat="1" ht="17.25" customHeight="1"/>
    <row r="8652" customFormat="1" ht="17.25" customHeight="1"/>
    <row r="8653" customFormat="1" ht="17.25" customHeight="1"/>
    <row r="8654" customFormat="1" ht="17.25" customHeight="1"/>
    <row r="8655" customFormat="1" ht="17.25" customHeight="1"/>
    <row r="8656" customFormat="1" ht="17.25" customHeight="1"/>
    <row r="8657" customFormat="1" ht="17.25" customHeight="1"/>
    <row r="8658" customFormat="1" ht="17.25" customHeight="1"/>
    <row r="8659" customFormat="1" ht="17.25" customHeight="1"/>
    <row r="8660" customFormat="1" ht="17.25" customHeight="1"/>
    <row r="8661" customFormat="1" ht="17.25" customHeight="1"/>
    <row r="8662" customFormat="1" ht="17.25" customHeight="1"/>
    <row r="8663" customFormat="1" ht="17.25" customHeight="1"/>
    <row r="8664" customFormat="1" ht="17.25" customHeight="1"/>
    <row r="8665" customFormat="1" ht="17.25" customHeight="1"/>
    <row r="8666" customFormat="1" ht="17.25" customHeight="1"/>
    <row r="8667" customFormat="1" ht="17.25" customHeight="1"/>
    <row r="8668" customFormat="1" ht="17.25" customHeight="1"/>
    <row r="8669" customFormat="1" ht="17.25" customHeight="1"/>
    <row r="8670" customFormat="1" ht="17.25" customHeight="1"/>
    <row r="8671" customFormat="1" ht="17.25" customHeight="1"/>
    <row r="8672" customFormat="1" ht="17.25" customHeight="1"/>
    <row r="8673" customFormat="1" ht="17.25" customHeight="1"/>
    <row r="8674" customFormat="1" ht="17.25" customHeight="1"/>
    <row r="8675" customFormat="1" ht="17.25" customHeight="1"/>
    <row r="8676" customFormat="1" ht="17.25" customHeight="1"/>
    <row r="8677" customFormat="1" ht="17.25" customHeight="1"/>
    <row r="8678" customFormat="1" ht="17.25" customHeight="1"/>
    <row r="8679" customFormat="1" ht="17.25" customHeight="1"/>
    <row r="8680" customFormat="1" ht="17.25" customHeight="1"/>
    <row r="8681" customFormat="1" ht="17.25" customHeight="1"/>
    <row r="8682" customFormat="1" ht="17.25" customHeight="1"/>
    <row r="8683" customFormat="1" ht="17.25" customHeight="1"/>
    <row r="8684" customFormat="1" ht="17.25" customHeight="1"/>
    <row r="8685" customFormat="1" ht="17.25" customHeight="1"/>
    <row r="8686" customFormat="1" ht="17.25" customHeight="1"/>
    <row r="8687" customFormat="1" ht="17.25" customHeight="1"/>
    <row r="8688" customFormat="1" ht="17.25" customHeight="1"/>
    <row r="8689" customFormat="1" ht="17.25" customHeight="1"/>
    <row r="8690" customFormat="1" ht="17.25" customHeight="1"/>
    <row r="8691" customFormat="1" ht="17.25" customHeight="1"/>
    <row r="8692" customFormat="1" ht="17.25" customHeight="1"/>
    <row r="8693" customFormat="1" ht="17.25" customHeight="1"/>
    <row r="8694" customFormat="1" ht="17.25" customHeight="1"/>
    <row r="8695" customFormat="1" ht="17.25" customHeight="1"/>
    <row r="8696" customFormat="1" ht="17.25" customHeight="1"/>
    <row r="8697" customFormat="1" ht="17.25" customHeight="1"/>
    <row r="8698" customFormat="1" ht="17.25" customHeight="1"/>
    <row r="8699" customFormat="1" ht="17.25" customHeight="1"/>
    <row r="8700" customFormat="1" ht="17.25" customHeight="1"/>
    <row r="8701" customFormat="1" ht="17.25" customHeight="1"/>
    <row r="8702" customFormat="1" ht="17.25" customHeight="1"/>
    <row r="8703" customFormat="1" ht="17.25" customHeight="1"/>
    <row r="8704" customFormat="1" ht="17.25" customHeight="1"/>
    <row r="8705" customFormat="1" ht="17.25" customHeight="1"/>
    <row r="8706" customFormat="1" ht="17.25" customHeight="1"/>
    <row r="8707" customFormat="1" ht="17.25" customHeight="1"/>
    <row r="8708" customFormat="1" ht="17.25" customHeight="1"/>
    <row r="8709" customFormat="1" ht="17.25" customHeight="1"/>
    <row r="8710" customFormat="1" ht="17.25" customHeight="1"/>
    <row r="8711" customFormat="1" ht="17.25" customHeight="1"/>
    <row r="8712" customFormat="1" ht="17.25" customHeight="1"/>
    <row r="8713" customFormat="1" ht="17.25" customHeight="1"/>
    <row r="8714" customFormat="1" ht="17.25" customHeight="1"/>
    <row r="8715" customFormat="1" ht="17.25" customHeight="1"/>
    <row r="8716" customFormat="1" ht="17.25" customHeight="1"/>
    <row r="8717" customFormat="1" ht="17.25" customHeight="1"/>
    <row r="8718" customFormat="1" ht="17.25" customHeight="1"/>
    <row r="8719" customFormat="1" ht="17.25" customHeight="1"/>
    <row r="8720" customFormat="1" ht="17.25" customHeight="1"/>
    <row r="8721" customFormat="1" ht="17.25" customHeight="1"/>
    <row r="8722" customFormat="1" ht="17.25" customHeight="1"/>
    <row r="8723" customFormat="1" ht="17.25" customHeight="1"/>
    <row r="8724" customFormat="1" ht="17.25" customHeight="1"/>
    <row r="8725" customFormat="1" ht="17.25" customHeight="1"/>
    <row r="8726" customFormat="1" ht="17.25" customHeight="1"/>
    <row r="8727" customFormat="1" ht="17.25" customHeight="1"/>
    <row r="8728" customFormat="1" ht="17.25" customHeight="1"/>
    <row r="8729" customFormat="1" ht="17.25" customHeight="1"/>
    <row r="8730" customFormat="1" ht="17.25" customHeight="1"/>
    <row r="8731" customFormat="1" ht="17.25" customHeight="1"/>
    <row r="8732" customFormat="1" ht="17.25" customHeight="1"/>
    <row r="8733" customFormat="1" ht="17.25" customHeight="1"/>
    <row r="8734" customFormat="1" ht="17.25" customHeight="1"/>
    <row r="8735" customFormat="1" ht="17.25" customHeight="1"/>
    <row r="8736" customFormat="1" ht="17.25" customHeight="1"/>
    <row r="8737" customFormat="1" ht="17.25" customHeight="1"/>
    <row r="8738" customFormat="1" ht="17.25" customHeight="1"/>
    <row r="8739" customFormat="1" ht="17.25" customHeight="1"/>
    <row r="8740" customFormat="1" ht="17.25" customHeight="1"/>
    <row r="8741" customFormat="1" ht="17.25" customHeight="1"/>
    <row r="8742" customFormat="1" ht="17.25" customHeight="1"/>
    <row r="8743" customFormat="1" ht="17.25" customHeight="1"/>
    <row r="8744" customFormat="1" ht="17.25" customHeight="1"/>
    <row r="8745" customFormat="1" ht="17.25" customHeight="1"/>
    <row r="8746" customFormat="1" ht="17.25" customHeight="1"/>
    <row r="8747" customFormat="1" ht="17.25" customHeight="1"/>
    <row r="8748" customFormat="1" ht="17.25" customHeight="1"/>
    <row r="8749" customFormat="1" ht="17.25" customHeight="1"/>
    <row r="8750" customFormat="1" ht="17.25" customHeight="1"/>
    <row r="8751" customFormat="1" ht="17.25" customHeight="1"/>
    <row r="8752" customFormat="1" ht="17.25" customHeight="1"/>
    <row r="8753" customFormat="1" ht="17.25" customHeight="1"/>
    <row r="8754" customFormat="1" ht="17.25" customHeight="1"/>
    <row r="8755" customFormat="1" ht="17.25" customHeight="1"/>
    <row r="8756" customFormat="1" ht="17.25" customHeight="1"/>
    <row r="8757" customFormat="1" ht="17.25" customHeight="1"/>
    <row r="8758" customFormat="1" ht="17.25" customHeight="1"/>
    <row r="8759" customFormat="1" ht="17.25" customHeight="1"/>
    <row r="8760" customFormat="1" ht="17.25" customHeight="1"/>
    <row r="8761" customFormat="1" ht="17.25" customHeight="1"/>
    <row r="8762" customFormat="1" ht="17.25" customHeight="1"/>
    <row r="8763" customFormat="1" ht="17.25" customHeight="1"/>
    <row r="8764" customFormat="1" ht="17.25" customHeight="1"/>
    <row r="8765" customFormat="1" ht="17.25" customHeight="1"/>
    <row r="8766" customFormat="1" ht="17.25" customHeight="1"/>
    <row r="8767" customFormat="1" ht="17.25" customHeight="1"/>
    <row r="8768" customFormat="1" ht="17.25" customHeight="1"/>
    <row r="8769" customFormat="1" ht="17.25" customHeight="1"/>
    <row r="8770" customFormat="1" ht="17.25" customHeight="1"/>
    <row r="8771" customFormat="1" ht="17.25" customHeight="1"/>
    <row r="8772" customFormat="1" ht="17.25" customHeight="1"/>
    <row r="8773" customFormat="1" ht="17.25" customHeight="1"/>
    <row r="8774" customFormat="1" ht="17.25" customHeight="1"/>
    <row r="8775" customFormat="1" ht="17.25" customHeight="1"/>
    <row r="8776" customFormat="1" ht="17.25" customHeight="1"/>
    <row r="8777" customFormat="1" ht="17.25" customHeight="1"/>
    <row r="8778" customFormat="1" ht="17.25" customHeight="1"/>
    <row r="8779" customFormat="1" ht="17.25" customHeight="1"/>
    <row r="8780" customFormat="1" ht="17.25" customHeight="1"/>
    <row r="8781" customFormat="1" ht="17.25" customHeight="1"/>
    <row r="8782" customFormat="1" ht="17.25" customHeight="1"/>
    <row r="8783" customFormat="1" ht="17.25" customHeight="1"/>
    <row r="8784" customFormat="1" ht="17.25" customHeight="1"/>
    <row r="8785" customFormat="1" ht="17.25" customHeight="1"/>
    <row r="8786" customFormat="1" ht="17.25" customHeight="1"/>
    <row r="8787" customFormat="1" ht="17.25" customHeight="1"/>
    <row r="8788" customFormat="1" ht="17.25" customHeight="1"/>
    <row r="8789" customFormat="1" ht="17.25" customHeight="1"/>
    <row r="8790" customFormat="1" ht="17.25" customHeight="1"/>
    <row r="8791" customFormat="1" ht="17.25" customHeight="1"/>
    <row r="8792" customFormat="1" ht="17.25" customHeight="1"/>
    <row r="8793" customFormat="1" ht="17.25" customHeight="1"/>
    <row r="8794" customFormat="1" ht="17.25" customHeight="1"/>
    <row r="8795" customFormat="1" ht="17.25" customHeight="1"/>
    <row r="8796" customFormat="1" ht="17.25" customHeight="1"/>
    <row r="8797" customFormat="1" ht="17.25" customHeight="1"/>
    <row r="8798" customFormat="1" ht="17.25" customHeight="1"/>
    <row r="8799" customFormat="1" ht="17.25" customHeight="1"/>
    <row r="8800" customFormat="1" ht="17.25" customHeight="1"/>
    <row r="8801" customFormat="1" ht="17.25" customHeight="1"/>
    <row r="8802" customFormat="1" ht="17.25" customHeight="1"/>
    <row r="8803" customFormat="1" ht="17.25" customHeight="1"/>
    <row r="8804" customFormat="1" ht="17.25" customHeight="1"/>
    <row r="8805" customFormat="1" ht="17.25" customHeight="1"/>
    <row r="8806" customFormat="1" ht="17.25" customHeight="1"/>
    <row r="8807" customFormat="1" ht="17.25" customHeight="1"/>
    <row r="8808" customFormat="1" ht="17.25" customHeight="1"/>
    <row r="8809" customFormat="1" ht="17.25" customHeight="1"/>
    <row r="8810" customFormat="1" ht="17.25" customHeight="1"/>
    <row r="8811" customFormat="1" ht="17.25" customHeight="1"/>
    <row r="8812" customFormat="1" ht="17.25" customHeight="1"/>
    <row r="8813" customFormat="1" ht="17.25" customHeight="1"/>
    <row r="8814" customFormat="1" ht="17.25" customHeight="1"/>
    <row r="8815" customFormat="1" ht="17.25" customHeight="1"/>
    <row r="8816" customFormat="1" ht="17.25" customHeight="1"/>
    <row r="8817" customFormat="1" ht="17.25" customHeight="1"/>
    <row r="8818" customFormat="1" ht="17.25" customHeight="1"/>
    <row r="8819" customFormat="1" ht="17.25" customHeight="1"/>
    <row r="8820" customFormat="1" ht="17.25" customHeight="1"/>
    <row r="8821" customFormat="1" ht="17.25" customHeight="1"/>
    <row r="8822" customFormat="1" ht="17.25" customHeight="1"/>
    <row r="8823" customFormat="1" ht="17.25" customHeight="1"/>
    <row r="8824" customFormat="1" ht="17.25" customHeight="1"/>
    <row r="8825" customFormat="1" ht="17.25" customHeight="1"/>
    <row r="8826" customFormat="1" ht="17.25" customHeight="1"/>
    <row r="8827" customFormat="1" ht="17.25" customHeight="1"/>
    <row r="8828" customFormat="1" ht="17.25" customHeight="1"/>
    <row r="8829" customFormat="1" ht="17.25" customHeight="1"/>
    <row r="8830" customFormat="1" ht="17.25" customHeight="1"/>
    <row r="8831" customFormat="1" ht="17.25" customHeight="1"/>
    <row r="8832" customFormat="1" ht="17.25" customHeight="1"/>
    <row r="8833" customFormat="1" ht="17.25" customHeight="1"/>
    <row r="8834" customFormat="1" ht="17.25" customHeight="1"/>
    <row r="8835" customFormat="1" ht="17.25" customHeight="1"/>
    <row r="8836" customFormat="1" ht="17.25" customHeight="1"/>
    <row r="8837" customFormat="1" ht="17.25" customHeight="1"/>
    <row r="8838" customFormat="1" ht="17.25" customHeight="1"/>
    <row r="8839" customFormat="1" ht="17.25" customHeight="1"/>
    <row r="8840" customFormat="1" ht="17.25" customHeight="1"/>
    <row r="8841" customFormat="1" ht="17.25" customHeight="1"/>
    <row r="8842" customFormat="1" ht="17.25" customHeight="1"/>
    <row r="8843" customFormat="1" ht="17.25" customHeight="1"/>
    <row r="8844" customFormat="1" ht="17.25" customHeight="1"/>
    <row r="8845" customFormat="1" ht="17.25" customHeight="1"/>
    <row r="8846" customFormat="1" ht="17.25" customHeight="1"/>
    <row r="8847" customFormat="1" ht="17.25" customHeight="1"/>
    <row r="8848" customFormat="1" ht="17.25" customHeight="1"/>
    <row r="8849" customFormat="1" ht="17.25" customHeight="1"/>
    <row r="8850" customFormat="1" ht="17.25" customHeight="1"/>
    <row r="8851" customFormat="1" ht="17.25" customHeight="1"/>
    <row r="8852" customFormat="1" ht="17.25" customHeight="1"/>
    <row r="8853" customFormat="1" ht="17.25" customHeight="1"/>
    <row r="8854" customFormat="1" ht="17.25" customHeight="1"/>
    <row r="8855" customFormat="1" ht="17.25" customHeight="1"/>
    <row r="8856" customFormat="1" ht="17.25" customHeight="1"/>
    <row r="8857" customFormat="1" ht="17.25" customHeight="1"/>
    <row r="8858" customFormat="1" ht="17.25" customHeight="1"/>
    <row r="8859" customFormat="1" ht="17.25" customHeight="1"/>
    <row r="8860" customFormat="1" ht="17.25" customHeight="1"/>
    <row r="8861" customFormat="1" ht="17.25" customHeight="1"/>
    <row r="8862" customFormat="1" ht="17.25" customHeight="1"/>
    <row r="8863" customFormat="1" ht="17.25" customHeight="1"/>
    <row r="8864" customFormat="1" ht="17.25" customHeight="1"/>
    <row r="8865" customFormat="1" ht="17.25" customHeight="1"/>
    <row r="8866" customFormat="1" ht="17.25" customHeight="1"/>
    <row r="8867" customFormat="1" ht="17.25" customHeight="1"/>
    <row r="8868" customFormat="1" ht="17.25" customHeight="1"/>
    <row r="8869" customFormat="1" ht="17.25" customHeight="1"/>
    <row r="8870" customFormat="1" ht="17.25" customHeight="1"/>
    <row r="8871" customFormat="1" ht="17.25" customHeight="1"/>
    <row r="8872" customFormat="1" ht="17.25" customHeight="1"/>
    <row r="8873" customFormat="1" ht="17.25" customHeight="1"/>
    <row r="8874" customFormat="1" ht="17.25" customHeight="1"/>
    <row r="8875" customFormat="1" ht="17.25" customHeight="1"/>
    <row r="8876" customFormat="1" ht="17.25" customHeight="1"/>
    <row r="8877" customFormat="1" ht="17.25" customHeight="1"/>
    <row r="8878" customFormat="1" ht="17.25" customHeight="1"/>
    <row r="8879" customFormat="1" ht="17.25" customHeight="1"/>
    <row r="8880" customFormat="1" ht="17.25" customHeight="1"/>
    <row r="8881" customFormat="1" ht="17.25" customHeight="1"/>
    <row r="8882" customFormat="1" ht="17.25" customHeight="1"/>
    <row r="8883" customFormat="1" ht="17.25" customHeight="1"/>
    <row r="8884" customFormat="1" ht="17.25" customHeight="1"/>
    <row r="8885" customFormat="1" ht="17.25" customHeight="1"/>
    <row r="8886" customFormat="1" ht="17.25" customHeight="1"/>
    <row r="8887" customFormat="1" ht="17.25" customHeight="1"/>
    <row r="8888" customFormat="1" ht="17.25" customHeight="1"/>
    <row r="8889" customFormat="1" ht="17.25" customHeight="1"/>
    <row r="8890" customFormat="1" ht="17.25" customHeight="1"/>
    <row r="8891" customFormat="1" ht="17.25" customHeight="1"/>
    <row r="8892" customFormat="1" ht="17.25" customHeight="1"/>
    <row r="8893" customFormat="1" ht="17.25" customHeight="1"/>
    <row r="8894" customFormat="1" ht="17.25" customHeight="1"/>
    <row r="8895" customFormat="1" ht="17.25" customHeight="1"/>
    <row r="8896" customFormat="1" ht="17.25" customHeight="1"/>
    <row r="8897" customFormat="1" ht="17.25" customHeight="1"/>
    <row r="8898" customFormat="1" ht="17.25" customHeight="1"/>
    <row r="8899" customFormat="1" ht="17.25" customHeight="1"/>
    <row r="8900" customFormat="1" ht="17.25" customHeight="1"/>
    <row r="8901" customFormat="1" ht="17.25" customHeight="1"/>
    <row r="8902" customFormat="1" ht="17.25" customHeight="1"/>
    <row r="8903" customFormat="1" ht="17.25" customHeight="1"/>
    <row r="8904" customFormat="1" ht="17.25" customHeight="1"/>
    <row r="8905" customFormat="1" ht="17.25" customHeight="1"/>
    <row r="8906" customFormat="1" ht="17.25" customHeight="1"/>
    <row r="8907" customFormat="1" ht="17.25" customHeight="1"/>
    <row r="8908" customFormat="1" ht="17.25" customHeight="1"/>
    <row r="8909" customFormat="1" ht="17.25" customHeight="1"/>
    <row r="8910" customFormat="1" ht="17.25" customHeight="1"/>
    <row r="8911" customFormat="1" ht="17.25" customHeight="1"/>
    <row r="8912" customFormat="1" ht="17.25" customHeight="1"/>
    <row r="8913" customFormat="1" ht="17.25" customHeight="1"/>
    <row r="8914" customFormat="1" ht="17.25" customHeight="1"/>
    <row r="8915" customFormat="1" ht="17.25" customHeight="1"/>
    <row r="8916" customFormat="1" ht="17.25" customHeight="1"/>
    <row r="8917" customFormat="1" ht="17.25" customHeight="1"/>
    <row r="8918" customFormat="1" ht="17.25" customHeight="1"/>
    <row r="8919" customFormat="1" ht="17.25" customHeight="1"/>
    <row r="8920" customFormat="1" ht="17.25" customHeight="1"/>
    <row r="8921" customFormat="1" ht="17.25" customHeight="1"/>
    <row r="8922" customFormat="1" ht="17.25" customHeight="1"/>
    <row r="8923" customFormat="1" ht="17.25" customHeight="1"/>
    <row r="8924" customFormat="1" ht="17.25" customHeight="1"/>
    <row r="8925" customFormat="1" ht="17.25" customHeight="1"/>
    <row r="8926" customFormat="1" ht="17.25" customHeight="1"/>
    <row r="8927" customFormat="1" ht="17.25" customHeight="1"/>
    <row r="8928" customFormat="1" ht="17.25" customHeight="1"/>
    <row r="8929" customFormat="1" ht="17.25" customHeight="1"/>
    <row r="8930" customFormat="1" ht="17.25" customHeight="1"/>
    <row r="8931" customFormat="1" ht="17.25" customHeight="1"/>
    <row r="8932" customFormat="1" ht="17.25" customHeight="1"/>
    <row r="8933" customFormat="1" ht="17.25" customHeight="1"/>
    <row r="8934" customFormat="1" ht="17.25" customHeight="1"/>
    <row r="8935" customFormat="1" ht="17.25" customHeight="1"/>
    <row r="8936" customFormat="1" ht="17.25" customHeight="1"/>
    <row r="8937" customFormat="1" ht="17.25" customHeight="1"/>
    <row r="8938" customFormat="1" ht="17.25" customHeight="1"/>
    <row r="8939" customFormat="1" ht="17.25" customHeight="1"/>
    <row r="8940" customFormat="1" ht="17.25" customHeight="1"/>
    <row r="8941" customFormat="1" ht="17.25" customHeight="1"/>
    <row r="8942" customFormat="1" ht="17.25" customHeight="1"/>
    <row r="8943" customFormat="1" ht="17.25" customHeight="1"/>
    <row r="8944" customFormat="1" ht="17.25" customHeight="1"/>
    <row r="8945" customFormat="1" ht="17.25" customHeight="1"/>
    <row r="8946" customFormat="1" ht="17.25" customHeight="1"/>
    <row r="8947" customFormat="1" ht="17.25" customHeight="1"/>
    <row r="8948" customFormat="1" ht="17.25" customHeight="1"/>
    <row r="8949" customFormat="1" ht="17.25" customHeight="1"/>
    <row r="8950" customFormat="1" ht="17.25" customHeight="1"/>
    <row r="8951" customFormat="1" ht="17.25" customHeight="1"/>
    <row r="8952" customFormat="1" ht="17.25" customHeight="1"/>
    <row r="8953" customFormat="1" ht="17.25" customHeight="1"/>
    <row r="8954" customFormat="1" ht="17.25" customHeight="1"/>
    <row r="8955" customFormat="1" ht="17.25" customHeight="1"/>
    <row r="8956" customFormat="1" ht="17.25" customHeight="1"/>
    <row r="8957" customFormat="1" ht="17.25" customHeight="1"/>
    <row r="8958" customFormat="1" ht="17.25" customHeight="1"/>
    <row r="8959" customFormat="1" ht="17.25" customHeight="1"/>
    <row r="8960" customFormat="1" ht="17.25" customHeight="1"/>
    <row r="8961" customFormat="1" ht="17.25" customHeight="1"/>
    <row r="8962" customFormat="1" ht="17.25" customHeight="1"/>
    <row r="8963" customFormat="1" ht="17.25" customHeight="1"/>
    <row r="8964" customFormat="1" ht="17.25" customHeight="1"/>
    <row r="8965" customFormat="1" ht="17.25" customHeight="1"/>
    <row r="8966" customFormat="1" ht="17.25" customHeight="1"/>
    <row r="8967" customFormat="1" ht="17.25" customHeight="1"/>
    <row r="8968" customFormat="1" ht="17.25" customHeight="1"/>
    <row r="8969" customFormat="1" ht="17.25" customHeight="1"/>
    <row r="8970" customFormat="1" ht="17.25" customHeight="1"/>
    <row r="8971" customFormat="1" ht="17.25" customHeight="1"/>
    <row r="8972" customFormat="1" ht="17.25" customHeight="1"/>
    <row r="8973" customFormat="1" ht="17.25" customHeight="1"/>
    <row r="8974" customFormat="1" ht="17.25" customHeight="1"/>
    <row r="8975" customFormat="1" ht="17.25" customHeight="1"/>
    <row r="8976" customFormat="1" ht="17.25" customHeight="1"/>
    <row r="8977" customFormat="1" ht="17.25" customHeight="1"/>
    <row r="8978" customFormat="1" ht="17.25" customHeight="1"/>
    <row r="8979" customFormat="1" ht="17.25" customHeight="1"/>
    <row r="8980" customFormat="1" ht="17.25" customHeight="1"/>
    <row r="8981" customFormat="1" ht="17.25" customHeight="1"/>
    <row r="8982" customFormat="1" ht="17.25" customHeight="1"/>
    <row r="8983" customFormat="1" ht="17.25" customHeight="1"/>
    <row r="8984" customFormat="1" ht="17.25" customHeight="1"/>
    <row r="8985" customFormat="1" ht="17.25" customHeight="1"/>
    <row r="8986" customFormat="1" ht="17.25" customHeight="1"/>
    <row r="8987" customFormat="1" ht="17.25" customHeight="1"/>
    <row r="8988" customFormat="1" ht="17.25" customHeight="1"/>
    <row r="8989" customFormat="1" ht="17.25" customHeight="1"/>
    <row r="8990" customFormat="1" ht="17.25" customHeight="1"/>
    <row r="8991" customFormat="1" ht="17.25" customHeight="1"/>
    <row r="8992" customFormat="1" ht="17.25" customHeight="1"/>
    <row r="8993" customFormat="1" ht="17.25" customHeight="1"/>
    <row r="8994" customFormat="1" ht="17.25" customHeight="1"/>
    <row r="8995" customFormat="1" ht="17.25" customHeight="1"/>
    <row r="8996" customFormat="1" ht="17.25" customHeight="1"/>
    <row r="8997" customFormat="1" ht="17.25" customHeight="1"/>
    <row r="8998" customFormat="1" ht="17.25" customHeight="1"/>
    <row r="8999" customFormat="1" ht="17.25" customHeight="1"/>
    <row r="9000" customFormat="1" ht="17.25" customHeight="1"/>
    <row r="9001" customFormat="1" ht="17.25" customHeight="1"/>
    <row r="9002" customFormat="1" ht="17.25" customHeight="1"/>
    <row r="9003" customFormat="1" ht="17.25" customHeight="1"/>
    <row r="9004" customFormat="1" ht="17.25" customHeight="1"/>
    <row r="9005" customFormat="1" ht="17.25" customHeight="1"/>
    <row r="9006" customFormat="1" ht="17.25" customHeight="1"/>
    <row r="9007" customFormat="1" ht="17.25" customHeight="1"/>
    <row r="9008" customFormat="1" ht="17.25" customHeight="1"/>
    <row r="9009" customFormat="1" ht="17.25" customHeight="1"/>
    <row r="9010" customFormat="1" ht="17.25" customHeight="1"/>
    <row r="9011" customFormat="1" ht="17.25" customHeight="1"/>
    <row r="9012" customFormat="1" ht="17.25" customHeight="1"/>
    <row r="9013" customFormat="1" ht="17.25" customHeight="1"/>
    <row r="9014" customFormat="1" ht="17.25" customHeight="1"/>
    <row r="9015" customFormat="1" ht="17.25" customHeight="1"/>
    <row r="9016" customFormat="1" ht="17.25" customHeight="1"/>
    <row r="9017" customFormat="1" ht="17.25" customHeight="1"/>
    <row r="9018" customFormat="1" ht="17.25" customHeight="1"/>
    <row r="9019" customFormat="1" ht="17.25" customHeight="1"/>
    <row r="9020" customFormat="1" ht="17.25" customHeight="1"/>
    <row r="9021" customFormat="1" ht="17.25" customHeight="1"/>
    <row r="9022" customFormat="1" ht="17.25" customHeight="1"/>
    <row r="9023" customFormat="1" ht="17.25" customHeight="1"/>
    <row r="9024" customFormat="1" ht="17.25" customHeight="1"/>
    <row r="9025" customFormat="1" ht="17.25" customHeight="1"/>
    <row r="9026" customFormat="1" ht="17.25" customHeight="1"/>
    <row r="9027" customFormat="1" ht="17.25" customHeight="1"/>
    <row r="9028" customFormat="1" ht="17.25" customHeight="1"/>
    <row r="9029" customFormat="1" ht="17.25" customHeight="1"/>
    <row r="9030" customFormat="1" ht="17.25" customHeight="1"/>
    <row r="9031" customFormat="1" ht="17.25" customHeight="1"/>
    <row r="9032" customFormat="1" ht="17.25" customHeight="1"/>
    <row r="9033" customFormat="1" ht="17.25" customHeight="1"/>
    <row r="9034" customFormat="1" ht="17.25" customHeight="1"/>
    <row r="9035" customFormat="1" ht="17.25" customHeight="1"/>
    <row r="9036" customFormat="1" ht="17.25" customHeight="1"/>
    <row r="9037" customFormat="1" ht="17.25" customHeight="1"/>
    <row r="9038" customFormat="1" ht="17.25" customHeight="1"/>
    <row r="9039" customFormat="1" ht="17.25" customHeight="1"/>
    <row r="9040" customFormat="1" ht="17.25" customHeight="1"/>
    <row r="9041" customFormat="1" ht="17.25" customHeight="1"/>
    <row r="9042" customFormat="1" ht="17.25" customHeight="1"/>
    <row r="9043" customFormat="1" ht="17.25" customHeight="1"/>
    <row r="9044" customFormat="1" ht="17.25" customHeight="1"/>
    <row r="9045" customFormat="1" ht="17.25" customHeight="1"/>
    <row r="9046" customFormat="1" ht="17.25" customHeight="1"/>
    <row r="9047" customFormat="1" ht="17.25" customHeight="1"/>
    <row r="9048" customFormat="1" ht="17.25" customHeight="1"/>
    <row r="9049" customFormat="1" ht="17.25" customHeight="1"/>
    <row r="9050" customFormat="1" ht="17.25" customHeight="1"/>
    <row r="9051" customFormat="1" ht="17.25" customHeight="1"/>
    <row r="9052" customFormat="1" ht="17.25" customHeight="1"/>
    <row r="9053" customFormat="1" ht="17.25" customHeight="1"/>
    <row r="9054" customFormat="1" ht="17.25" customHeight="1"/>
    <row r="9055" customFormat="1" ht="17.25" customHeight="1"/>
    <row r="9056" customFormat="1" ht="17.25" customHeight="1"/>
    <row r="9057" customFormat="1" ht="17.25" customHeight="1"/>
    <row r="9058" customFormat="1" ht="17.25" customHeight="1"/>
    <row r="9059" customFormat="1" ht="17.25" customHeight="1"/>
    <row r="9060" customFormat="1" ht="17.25" customHeight="1"/>
    <row r="9061" customFormat="1" ht="17.25" customHeight="1"/>
    <row r="9062" customFormat="1" ht="17.25" customHeight="1"/>
    <row r="9063" customFormat="1" ht="17.25" customHeight="1"/>
    <row r="9064" customFormat="1" ht="17.25" customHeight="1"/>
    <row r="9065" customFormat="1" ht="17.25" customHeight="1"/>
    <row r="9066" customFormat="1" ht="17.25" customHeight="1"/>
    <row r="9067" customFormat="1" ht="17.25" customHeight="1"/>
    <row r="9068" customFormat="1" ht="17.25" customHeight="1"/>
    <row r="9069" customFormat="1" ht="17.25" customHeight="1"/>
    <row r="9070" customFormat="1" ht="17.25" customHeight="1"/>
    <row r="9071" customFormat="1" ht="17.25" customHeight="1"/>
    <row r="9072" customFormat="1" ht="17.25" customHeight="1"/>
    <row r="9073" customFormat="1" ht="17.25" customHeight="1"/>
    <row r="9074" customFormat="1" ht="17.25" customHeight="1"/>
    <row r="9075" customFormat="1" ht="17.25" customHeight="1"/>
    <row r="9076" customFormat="1" ht="17.25" customHeight="1"/>
    <row r="9077" customFormat="1" ht="17.25" customHeight="1"/>
    <row r="9078" customFormat="1" ht="17.25" customHeight="1"/>
    <row r="9079" customFormat="1" ht="17.25" customHeight="1"/>
    <row r="9080" customFormat="1" ht="17.25" customHeight="1"/>
    <row r="9081" customFormat="1" ht="17.25" customHeight="1"/>
    <row r="9082" customFormat="1" ht="17.25" customHeight="1"/>
    <row r="9083" customFormat="1" ht="17.25" customHeight="1"/>
    <row r="9084" customFormat="1" ht="17.25" customHeight="1"/>
    <row r="9085" customFormat="1" ht="17.25" customHeight="1"/>
    <row r="9086" customFormat="1" ht="17.25" customHeight="1"/>
    <row r="9087" customFormat="1" ht="17.25" customHeight="1"/>
    <row r="9088" customFormat="1" ht="17.25" customHeight="1"/>
    <row r="9089" customFormat="1" ht="17.25" customHeight="1"/>
    <row r="9090" customFormat="1" ht="17.25" customHeight="1"/>
    <row r="9091" customFormat="1" ht="17.25" customHeight="1"/>
    <row r="9092" customFormat="1" ht="17.25" customHeight="1"/>
    <row r="9093" customFormat="1" ht="17.25" customHeight="1"/>
    <row r="9094" customFormat="1" ht="17.25" customHeight="1"/>
    <row r="9095" customFormat="1" ht="17.25" customHeight="1"/>
    <row r="9096" customFormat="1" ht="17.25" customHeight="1"/>
    <row r="9097" customFormat="1" ht="17.25" customHeight="1"/>
    <row r="9098" customFormat="1" ht="17.25" customHeight="1"/>
    <row r="9099" customFormat="1" ht="17.25" customHeight="1"/>
    <row r="9100" customFormat="1" ht="17.25" customHeight="1"/>
    <row r="9101" customFormat="1" ht="17.25" customHeight="1"/>
    <row r="9102" customFormat="1" ht="17.25" customHeight="1"/>
    <row r="9103" customFormat="1" ht="17.25" customHeight="1"/>
    <row r="9104" customFormat="1" ht="17.25" customHeight="1"/>
    <row r="9105" customFormat="1" ht="17.25" customHeight="1"/>
    <row r="9106" customFormat="1" ht="17.25" customHeight="1"/>
    <row r="9107" customFormat="1" ht="17.25" customHeight="1"/>
    <row r="9108" customFormat="1" ht="17.25" customHeight="1"/>
    <row r="9109" customFormat="1" ht="17.25" customHeight="1"/>
    <row r="9110" customFormat="1" ht="17.25" customHeight="1"/>
    <row r="9111" customFormat="1" ht="17.25" customHeight="1"/>
    <row r="9112" customFormat="1" ht="17.25" customHeight="1"/>
    <row r="9113" customFormat="1" ht="17.25" customHeight="1"/>
    <row r="9114" customFormat="1" ht="17.25" customHeight="1"/>
    <row r="9115" customFormat="1" ht="17.25" customHeight="1"/>
    <row r="9116" customFormat="1" ht="17.25" customHeight="1"/>
    <row r="9117" customFormat="1" ht="17.25" customHeight="1"/>
    <row r="9118" customFormat="1" ht="17.25" customHeight="1"/>
    <row r="9119" customFormat="1" ht="17.25" customHeight="1"/>
    <row r="9120" customFormat="1" ht="17.25" customHeight="1"/>
    <row r="9121" customFormat="1" ht="17.25" customHeight="1"/>
    <row r="9122" customFormat="1" ht="17.25" customHeight="1"/>
    <row r="9123" customFormat="1" ht="17.25" customHeight="1"/>
    <row r="9124" customFormat="1" ht="17.25" customHeight="1"/>
    <row r="9125" customFormat="1" ht="17.25" customHeight="1"/>
    <row r="9126" customFormat="1" ht="17.25" customHeight="1"/>
    <row r="9127" customFormat="1" ht="17.25" customHeight="1"/>
    <row r="9128" customFormat="1" ht="17.25" customHeight="1"/>
    <row r="9129" customFormat="1" ht="17.25" customHeight="1"/>
    <row r="9130" customFormat="1" ht="17.25" customHeight="1"/>
    <row r="9131" customFormat="1" ht="17.25" customHeight="1"/>
    <row r="9132" customFormat="1" ht="17.25" customHeight="1"/>
    <row r="9133" customFormat="1" ht="17.25" customHeight="1"/>
    <row r="9134" customFormat="1" ht="17.25" customHeight="1"/>
    <row r="9135" customFormat="1" ht="17.25" customHeight="1"/>
    <row r="9136" customFormat="1" ht="17.25" customHeight="1"/>
    <row r="9137" customFormat="1" ht="17.25" customHeight="1"/>
    <row r="9138" customFormat="1" ht="17.25" customHeight="1"/>
    <row r="9139" customFormat="1" ht="17.25" customHeight="1"/>
    <row r="9140" customFormat="1" ht="17.25" customHeight="1"/>
    <row r="9141" customFormat="1" ht="17.25" customHeight="1"/>
    <row r="9142" customFormat="1" ht="17.25" customHeight="1"/>
    <row r="9143" customFormat="1" ht="17.25" customHeight="1"/>
    <row r="9144" customFormat="1" ht="17.25" customHeight="1"/>
    <row r="9145" customFormat="1" ht="17.25" customHeight="1"/>
    <row r="9146" customFormat="1" ht="17.25" customHeight="1"/>
    <row r="9147" customFormat="1" ht="17.25" customHeight="1"/>
    <row r="9148" customFormat="1" ht="17.25" customHeight="1"/>
    <row r="9149" customFormat="1" ht="17.25" customHeight="1"/>
    <row r="9150" customFormat="1" ht="17.25" customHeight="1"/>
    <row r="9151" customFormat="1" ht="17.25" customHeight="1"/>
    <row r="9152" customFormat="1" ht="17.25" customHeight="1"/>
    <row r="9153" customFormat="1" ht="17.25" customHeight="1"/>
    <row r="9154" customFormat="1" ht="17.25" customHeight="1"/>
    <row r="9155" customFormat="1" ht="17.25" customHeight="1"/>
    <row r="9156" customFormat="1" ht="17.25" customHeight="1"/>
    <row r="9157" customFormat="1" ht="17.25" customHeight="1"/>
    <row r="9158" customFormat="1" ht="17.25" customHeight="1"/>
    <row r="9159" customFormat="1" ht="17.25" customHeight="1"/>
    <row r="9160" customFormat="1" ht="17.25" customHeight="1"/>
    <row r="9161" customFormat="1" ht="17.25" customHeight="1"/>
    <row r="9162" customFormat="1" ht="17.25" customHeight="1"/>
    <row r="9163" customFormat="1" ht="17.25" customHeight="1"/>
    <row r="9164" customFormat="1" ht="17.25" customHeight="1"/>
    <row r="9165" customFormat="1" ht="17.25" customHeight="1"/>
    <row r="9166" customFormat="1" ht="17.25" customHeight="1"/>
    <row r="9167" customFormat="1" ht="17.25" customHeight="1"/>
    <row r="9168" customFormat="1" ht="17.25" customHeight="1"/>
    <row r="9169" customFormat="1" ht="17.25" customHeight="1"/>
    <row r="9170" customFormat="1" ht="17.25" customHeight="1"/>
    <row r="9171" customFormat="1" ht="17.25" customHeight="1"/>
    <row r="9172" customFormat="1" ht="17.25" customHeight="1"/>
    <row r="9173" customFormat="1" ht="17.25" customHeight="1"/>
    <row r="9174" customFormat="1" ht="17.25" customHeight="1"/>
    <row r="9175" customFormat="1" ht="17.25" customHeight="1"/>
    <row r="9176" customFormat="1" ht="17.25" customHeight="1"/>
    <row r="9177" customFormat="1" ht="17.25" customHeight="1"/>
    <row r="9178" customFormat="1" ht="17.25" customHeight="1"/>
    <row r="9179" customFormat="1" ht="17.25" customHeight="1"/>
    <row r="9180" customFormat="1" ht="17.25" customHeight="1"/>
    <row r="9181" customFormat="1" ht="17.25" customHeight="1"/>
    <row r="9182" customFormat="1" ht="17.25" customHeight="1"/>
    <row r="9183" customFormat="1" ht="17.25" customHeight="1"/>
    <row r="9184" customFormat="1" ht="17.25" customHeight="1"/>
    <row r="9185" customFormat="1" ht="17.25" customHeight="1"/>
    <row r="9186" customFormat="1" ht="17.25" customHeight="1"/>
    <row r="9187" customFormat="1" ht="17.25" customHeight="1"/>
    <row r="9188" customFormat="1" ht="17.25" customHeight="1"/>
    <row r="9189" customFormat="1" ht="17.25" customHeight="1"/>
    <row r="9190" customFormat="1" ht="17.25" customHeight="1"/>
    <row r="9191" customFormat="1" ht="17.25" customHeight="1"/>
    <row r="9192" customFormat="1" ht="17.25" customHeight="1"/>
    <row r="9193" customFormat="1" ht="17.25" customHeight="1"/>
    <row r="9194" customFormat="1" ht="17.25" customHeight="1"/>
    <row r="9195" customFormat="1" ht="17.25" customHeight="1"/>
    <row r="9196" customFormat="1" ht="17.25" customHeight="1"/>
    <row r="9197" customFormat="1" ht="17.25" customHeight="1"/>
    <row r="9198" customFormat="1" ht="17.25" customHeight="1"/>
    <row r="9199" customFormat="1" ht="17.25" customHeight="1"/>
    <row r="9200" customFormat="1" ht="17.25" customHeight="1"/>
    <row r="9201" customFormat="1" ht="17.25" customHeight="1"/>
    <row r="9202" customFormat="1" ht="17.25" customHeight="1"/>
    <row r="9203" customFormat="1" ht="17.25" customHeight="1"/>
    <row r="9204" customFormat="1" ht="17.25" customHeight="1"/>
    <row r="9205" customFormat="1" ht="17.25" customHeight="1"/>
    <row r="9206" customFormat="1" ht="17.25" customHeight="1"/>
    <row r="9207" customFormat="1" ht="17.25" customHeight="1"/>
    <row r="9208" customFormat="1" ht="17.25" customHeight="1"/>
    <row r="9209" customFormat="1" ht="17.25" customHeight="1"/>
    <row r="9210" customFormat="1" ht="17.25" customHeight="1"/>
    <row r="9211" customFormat="1" ht="17.25" customHeight="1"/>
    <row r="9212" customFormat="1" ht="17.25" customHeight="1"/>
    <row r="9213" customFormat="1" ht="17.25" customHeight="1"/>
    <row r="9214" customFormat="1" ht="17.25" customHeight="1"/>
    <row r="9215" customFormat="1" ht="17.25" customHeight="1"/>
    <row r="9216" customFormat="1" ht="17.25" customHeight="1"/>
    <row r="9217" customFormat="1" ht="17.25" customHeight="1"/>
    <row r="9218" customFormat="1" ht="17.25" customHeight="1"/>
    <row r="9219" customFormat="1" ht="17.25" customHeight="1"/>
    <row r="9220" customFormat="1" ht="17.25" customHeight="1"/>
    <row r="9221" customFormat="1" ht="17.25" customHeight="1"/>
    <row r="9222" customFormat="1" ht="17.25" customHeight="1"/>
    <row r="9223" customFormat="1" ht="17.25" customHeight="1"/>
    <row r="9224" customFormat="1" ht="17.25" customHeight="1"/>
    <row r="9225" customFormat="1" ht="17.25" customHeight="1"/>
    <row r="9226" customFormat="1" ht="17.25" customHeight="1"/>
    <row r="9227" customFormat="1" ht="17.25" customHeight="1"/>
    <row r="9228" customFormat="1" ht="17.25" customHeight="1"/>
    <row r="9229" customFormat="1" ht="17.25" customHeight="1"/>
    <row r="9230" customFormat="1" ht="17.25" customHeight="1"/>
    <row r="9231" customFormat="1" ht="17.25" customHeight="1"/>
    <row r="9232" customFormat="1" ht="17.25" customHeight="1"/>
    <row r="9233" customFormat="1" ht="17.25" customHeight="1"/>
    <row r="9234" customFormat="1" ht="17.25" customHeight="1"/>
    <row r="9235" customFormat="1" ht="17.25" customHeight="1"/>
    <row r="9236" customFormat="1" ht="17.25" customHeight="1"/>
    <row r="9237" customFormat="1" ht="17.25" customHeight="1"/>
    <row r="9238" customFormat="1" ht="17.25" customHeight="1"/>
    <row r="9239" customFormat="1" ht="17.25" customHeight="1"/>
    <row r="9240" customFormat="1" ht="17.25" customHeight="1"/>
    <row r="9241" customFormat="1" ht="17.25" customHeight="1"/>
    <row r="9242" customFormat="1" ht="17.25" customHeight="1"/>
    <row r="9243" customFormat="1" ht="17.25" customHeight="1"/>
    <row r="9244" customFormat="1" ht="17.25" customHeight="1"/>
    <row r="9245" customFormat="1" ht="17.25" customHeight="1"/>
    <row r="9246" customFormat="1" ht="17.25" customHeight="1"/>
    <row r="9247" customFormat="1" ht="17.25" customHeight="1"/>
    <row r="9248" customFormat="1" ht="17.25" customHeight="1"/>
    <row r="9249" customFormat="1" ht="17.25" customHeight="1"/>
    <row r="9250" customFormat="1" ht="17.25" customHeight="1"/>
    <row r="9251" customFormat="1" ht="17.25" customHeight="1"/>
    <row r="9252" customFormat="1" ht="17.25" customHeight="1"/>
    <row r="9253" customFormat="1" ht="17.25" customHeight="1"/>
    <row r="9254" customFormat="1" ht="17.25" customHeight="1"/>
    <row r="9255" customFormat="1" ht="17.25" customHeight="1"/>
    <row r="9256" customFormat="1" ht="17.25" customHeight="1"/>
    <row r="9257" customFormat="1" ht="17.25" customHeight="1"/>
    <row r="9258" customFormat="1" ht="17.25" customHeight="1"/>
    <row r="9259" customFormat="1" ht="17.25" customHeight="1"/>
    <row r="9260" customFormat="1" ht="17.25" customHeight="1"/>
    <row r="9261" customFormat="1" ht="17.25" customHeight="1"/>
    <row r="9262" customFormat="1" ht="17.25" customHeight="1"/>
    <row r="9263" customFormat="1" ht="17.25" customHeight="1"/>
    <row r="9264" customFormat="1" ht="17.25" customHeight="1"/>
    <row r="9265" customFormat="1" ht="17.25" customHeight="1"/>
    <row r="9266" customFormat="1" ht="17.25" customHeight="1"/>
    <row r="9267" customFormat="1" ht="17.25" customHeight="1"/>
    <row r="9268" customFormat="1" ht="17.25" customHeight="1"/>
    <row r="9269" customFormat="1" ht="17.25" customHeight="1"/>
    <row r="9270" customFormat="1" ht="17.25" customHeight="1"/>
    <row r="9271" customFormat="1" ht="17.25" customHeight="1"/>
    <row r="9272" customFormat="1" ht="17.25" customHeight="1"/>
    <row r="9273" customFormat="1" ht="17.25" customHeight="1"/>
    <row r="9274" customFormat="1" ht="17.25" customHeight="1"/>
    <row r="9275" customFormat="1" ht="17.25" customHeight="1"/>
    <row r="9276" customFormat="1" ht="17.25" customHeight="1"/>
    <row r="9277" customFormat="1" ht="17.25" customHeight="1"/>
    <row r="9278" customFormat="1" ht="17.25" customHeight="1"/>
    <row r="9279" customFormat="1" ht="17.25" customHeight="1"/>
    <row r="9280" customFormat="1" ht="17.25" customHeight="1"/>
    <row r="9281" customFormat="1" ht="17.25" customHeight="1"/>
    <row r="9282" customFormat="1" ht="17.25" customHeight="1"/>
    <row r="9283" customFormat="1" ht="17.25" customHeight="1"/>
    <row r="9284" customFormat="1" ht="17.25" customHeight="1"/>
    <row r="9285" customFormat="1" ht="17.25" customHeight="1"/>
    <row r="9286" customFormat="1" ht="17.25" customHeight="1"/>
    <row r="9287" customFormat="1" ht="17.25" customHeight="1"/>
    <row r="9288" customFormat="1" ht="17.25" customHeight="1"/>
    <row r="9289" customFormat="1" ht="17.25" customHeight="1"/>
    <row r="9290" customFormat="1" ht="17.25" customHeight="1"/>
    <row r="9291" customFormat="1" ht="17.25" customHeight="1"/>
    <row r="9292" customFormat="1" ht="17.25" customHeight="1"/>
    <row r="9293" customFormat="1" ht="17.25" customHeight="1"/>
    <row r="9294" customFormat="1" ht="17.25" customHeight="1"/>
    <row r="9295" customFormat="1" ht="17.25" customHeight="1"/>
    <row r="9296" customFormat="1" ht="17.25" customHeight="1"/>
    <row r="9297" customFormat="1" ht="17.25" customHeight="1"/>
    <row r="9298" customFormat="1" ht="17.25" customHeight="1"/>
    <row r="9299" customFormat="1" ht="17.25" customHeight="1"/>
    <row r="9300" customFormat="1" ht="17.25" customHeight="1"/>
    <row r="9301" customFormat="1" ht="17.25" customHeight="1"/>
    <row r="9302" customFormat="1" ht="17.25" customHeight="1"/>
    <row r="9303" customFormat="1" ht="17.25" customHeight="1"/>
    <row r="9304" customFormat="1" ht="17.25" customHeight="1"/>
    <row r="9305" customFormat="1" ht="17.25" customHeight="1"/>
    <row r="9306" customFormat="1" ht="17.25" customHeight="1"/>
    <row r="9307" customFormat="1" ht="17.25" customHeight="1"/>
    <row r="9308" customFormat="1" ht="17.25" customHeight="1"/>
    <row r="9309" customFormat="1" ht="17.25" customHeight="1"/>
    <row r="9310" customFormat="1" ht="17.25" customHeight="1"/>
    <row r="9311" customFormat="1" ht="17.25" customHeight="1"/>
    <row r="9312" customFormat="1" ht="17.25" customHeight="1"/>
    <row r="9313" customFormat="1" ht="17.25" customHeight="1"/>
    <row r="9314" customFormat="1" ht="17.25" customHeight="1"/>
    <row r="9315" customFormat="1" ht="17.25" customHeight="1"/>
    <row r="9316" customFormat="1" ht="17.25" customHeight="1"/>
    <row r="9317" customFormat="1" ht="17.25" customHeight="1"/>
    <row r="9318" customFormat="1" ht="17.25" customHeight="1"/>
    <row r="9319" customFormat="1" ht="17.25" customHeight="1"/>
    <row r="9320" customFormat="1" ht="17.25" customHeight="1"/>
    <row r="9321" customFormat="1" ht="17.25" customHeight="1"/>
    <row r="9322" customFormat="1" ht="17.25" customHeight="1"/>
    <row r="9323" customFormat="1" ht="17.25" customHeight="1"/>
    <row r="9324" customFormat="1" ht="17.25" customHeight="1"/>
    <row r="9325" customFormat="1" ht="17.25" customHeight="1"/>
    <row r="9326" customFormat="1" ht="17.25" customHeight="1"/>
    <row r="9327" customFormat="1" ht="17.25" customHeight="1"/>
    <row r="9328" customFormat="1" ht="17.25" customHeight="1"/>
    <row r="9329" customFormat="1" ht="17.25" customHeight="1"/>
    <row r="9330" customFormat="1" ht="17.25" customHeight="1"/>
    <row r="9331" customFormat="1" ht="17.25" customHeight="1"/>
    <row r="9332" customFormat="1" ht="17.25" customHeight="1"/>
    <row r="9333" customFormat="1" ht="17.25" customHeight="1"/>
    <row r="9334" customFormat="1" ht="17.25" customHeight="1"/>
    <row r="9335" customFormat="1" ht="17.25" customHeight="1"/>
    <row r="9336" customFormat="1" ht="17.25" customHeight="1"/>
    <row r="9337" customFormat="1" ht="17.25" customHeight="1"/>
    <row r="9338" customFormat="1" ht="17.25" customHeight="1"/>
    <row r="9339" customFormat="1" ht="17.25" customHeight="1"/>
    <row r="9340" customFormat="1" ht="17.25" customHeight="1"/>
    <row r="9341" customFormat="1" ht="17.25" customHeight="1"/>
    <row r="9342" customFormat="1" ht="17.25" customHeight="1"/>
    <row r="9343" customFormat="1" ht="17.25" customHeight="1"/>
    <row r="9344" customFormat="1" ht="17.25" customHeight="1"/>
    <row r="9345" customFormat="1" ht="17.25" customHeight="1"/>
    <row r="9346" customFormat="1" ht="17.25" customHeight="1"/>
    <row r="9347" customFormat="1" ht="17.25" customHeight="1"/>
    <row r="9348" customFormat="1" ht="17.25" customHeight="1"/>
    <row r="9349" customFormat="1" ht="17.25" customHeight="1"/>
    <row r="9350" customFormat="1" ht="17.25" customHeight="1"/>
    <row r="9351" customFormat="1" ht="17.25" customHeight="1"/>
    <row r="9352" customFormat="1" ht="17.25" customHeight="1"/>
    <row r="9353" customFormat="1" ht="17.25" customHeight="1"/>
    <row r="9354" customFormat="1" ht="17.25" customHeight="1"/>
    <row r="9355" customFormat="1" ht="17.25" customHeight="1"/>
    <row r="9356" customFormat="1" ht="17.25" customHeight="1"/>
    <row r="9357" customFormat="1" ht="17.25" customHeight="1"/>
    <row r="9358" customFormat="1" ht="17.25" customHeight="1"/>
    <row r="9359" customFormat="1" ht="17.25" customHeight="1"/>
    <row r="9360" customFormat="1" ht="17.25" customHeight="1"/>
    <row r="9361" customFormat="1" ht="17.25" customHeight="1"/>
    <row r="9362" customFormat="1" ht="17.25" customHeight="1"/>
    <row r="9363" customFormat="1" ht="17.25" customHeight="1"/>
    <row r="9364" customFormat="1" ht="17.25" customHeight="1"/>
    <row r="9365" customFormat="1" ht="17.25" customHeight="1"/>
    <row r="9366" customFormat="1" ht="17.25" customHeight="1"/>
    <row r="9367" customFormat="1" ht="17.25" customHeight="1"/>
    <row r="9368" customFormat="1" ht="17.25" customHeight="1"/>
    <row r="9369" customFormat="1" ht="17.25" customHeight="1"/>
    <row r="9370" customFormat="1" ht="17.25" customHeight="1"/>
    <row r="9371" customFormat="1" ht="17.25" customHeight="1"/>
    <row r="9372" customFormat="1" ht="17.25" customHeight="1"/>
    <row r="9373" customFormat="1" ht="17.25" customHeight="1"/>
    <row r="9374" customFormat="1" ht="17.25" customHeight="1"/>
    <row r="9375" customFormat="1" ht="17.25" customHeight="1"/>
    <row r="9376" customFormat="1" ht="17.25" customHeight="1"/>
    <row r="9377" customFormat="1" ht="17.25" customHeight="1"/>
    <row r="9378" customFormat="1" ht="17.25" customHeight="1"/>
    <row r="9379" customFormat="1" ht="17.25" customHeight="1"/>
    <row r="9380" customFormat="1" ht="17.25" customHeight="1"/>
    <row r="9381" customFormat="1" ht="17.25" customHeight="1"/>
    <row r="9382" customFormat="1" ht="17.25" customHeight="1"/>
    <row r="9383" customFormat="1" ht="17.25" customHeight="1"/>
    <row r="9384" customFormat="1" ht="17.25" customHeight="1"/>
    <row r="9385" customFormat="1" ht="17.25" customHeight="1"/>
    <row r="9386" customFormat="1" ht="17.25" customHeight="1"/>
    <row r="9387" customFormat="1" ht="17.25" customHeight="1"/>
    <row r="9388" customFormat="1" ht="17.25" customHeight="1"/>
    <row r="9389" customFormat="1" ht="17.25" customHeight="1"/>
    <row r="9390" customFormat="1" ht="17.25" customHeight="1"/>
    <row r="9391" customFormat="1" ht="17.25" customHeight="1"/>
    <row r="9392" customFormat="1" ht="17.25" customHeight="1"/>
    <row r="9393" customFormat="1" ht="17.25" customHeight="1"/>
    <row r="9394" customFormat="1" ht="17.25" customHeight="1"/>
    <row r="9395" customFormat="1" ht="17.25" customHeight="1"/>
    <row r="9396" customFormat="1" ht="17.25" customHeight="1"/>
    <row r="9397" customFormat="1" ht="17.25" customHeight="1"/>
    <row r="9398" customFormat="1" ht="17.25" customHeight="1"/>
    <row r="9399" customFormat="1" ht="17.25" customHeight="1"/>
    <row r="9400" customFormat="1" ht="17.25" customHeight="1"/>
    <row r="9401" customFormat="1" ht="17.25" customHeight="1"/>
    <row r="9402" customFormat="1" ht="17.25" customHeight="1"/>
    <row r="9403" customFormat="1" ht="17.25" customHeight="1"/>
    <row r="9404" customFormat="1" ht="17.25" customHeight="1"/>
    <row r="9405" customFormat="1" ht="17.25" customHeight="1"/>
    <row r="9406" customFormat="1" ht="17.25" customHeight="1"/>
    <row r="9407" customFormat="1" ht="17.25" customHeight="1"/>
    <row r="9408" customFormat="1" ht="17.25" customHeight="1"/>
    <row r="9409" customFormat="1" ht="17.25" customHeight="1"/>
    <row r="9410" customFormat="1" ht="17.25" customHeight="1"/>
    <row r="9411" customFormat="1" ht="17.25" customHeight="1"/>
    <row r="9412" customFormat="1" ht="17.25" customHeight="1"/>
    <row r="9413" customFormat="1" ht="17.25" customHeight="1"/>
    <row r="9414" customFormat="1" ht="17.25" customHeight="1"/>
    <row r="9415" customFormat="1" ht="17.25" customHeight="1"/>
    <row r="9416" customFormat="1" ht="17.25" customHeight="1"/>
    <row r="9417" customFormat="1" ht="17.25" customHeight="1"/>
    <row r="9418" customFormat="1" ht="17.25" customHeight="1"/>
    <row r="9419" customFormat="1" ht="17.25" customHeight="1"/>
    <row r="9420" customFormat="1" ht="17.25" customHeight="1"/>
    <row r="9421" customFormat="1" ht="17.25" customHeight="1"/>
    <row r="9422" customFormat="1" ht="17.25" customHeight="1"/>
    <row r="9423" customFormat="1" ht="17.25" customHeight="1"/>
    <row r="9424" customFormat="1" ht="17.25" customHeight="1"/>
    <row r="9425" customFormat="1" ht="17.25" customHeight="1"/>
    <row r="9426" customFormat="1" ht="17.25" customHeight="1"/>
    <row r="9427" customFormat="1" ht="17.25" customHeight="1"/>
    <row r="9428" customFormat="1" ht="17.25" customHeight="1"/>
    <row r="9429" customFormat="1" ht="17.25" customHeight="1"/>
    <row r="9430" customFormat="1" ht="17.25" customHeight="1"/>
    <row r="9431" customFormat="1" ht="17.25" customHeight="1"/>
    <row r="9432" customFormat="1" ht="17.25" customHeight="1"/>
    <row r="9433" customFormat="1" ht="17.25" customHeight="1"/>
    <row r="9434" customFormat="1" ht="17.25" customHeight="1"/>
    <row r="9435" customFormat="1" ht="17.25" customHeight="1"/>
    <row r="9436" customFormat="1" ht="17.25" customHeight="1"/>
    <row r="9437" customFormat="1" ht="17.25" customHeight="1"/>
    <row r="9438" customFormat="1" ht="17.25" customHeight="1"/>
    <row r="9439" customFormat="1" ht="17.25" customHeight="1"/>
    <row r="9440" customFormat="1" ht="17.25" customHeight="1"/>
    <row r="9441" customFormat="1" ht="17.25" customHeight="1"/>
    <row r="9442" customFormat="1" ht="17.25" customHeight="1"/>
    <row r="9443" customFormat="1" ht="17.25" customHeight="1"/>
    <row r="9444" customFormat="1" ht="17.25" customHeight="1"/>
    <row r="9445" customFormat="1" ht="17.25" customHeight="1"/>
    <row r="9446" customFormat="1" ht="17.25" customHeight="1"/>
    <row r="9447" customFormat="1" ht="17.25" customHeight="1"/>
    <row r="9448" customFormat="1" ht="17.25" customHeight="1"/>
    <row r="9449" customFormat="1" ht="17.25" customHeight="1"/>
    <row r="9450" customFormat="1" ht="17.25" customHeight="1"/>
    <row r="9451" customFormat="1" ht="17.25" customHeight="1"/>
    <row r="9452" customFormat="1" ht="17.25" customHeight="1"/>
    <row r="9453" customFormat="1" ht="17.25" customHeight="1"/>
    <row r="9454" customFormat="1" ht="17.25" customHeight="1"/>
    <row r="9455" customFormat="1" ht="17.25" customHeight="1"/>
    <row r="9456" customFormat="1" ht="17.25" customHeight="1"/>
    <row r="9457" customFormat="1" ht="17.25" customHeight="1"/>
    <row r="9458" customFormat="1" ht="17.25" customHeight="1"/>
    <row r="9459" customFormat="1" ht="17.25" customHeight="1"/>
    <row r="9460" customFormat="1" ht="17.25" customHeight="1"/>
    <row r="9461" customFormat="1" ht="17.25" customHeight="1"/>
    <row r="9462" customFormat="1" ht="17.25" customHeight="1"/>
    <row r="9463" customFormat="1" ht="17.25" customHeight="1"/>
    <row r="9464" customFormat="1" ht="17.25" customHeight="1"/>
    <row r="9465" customFormat="1" ht="17.25" customHeight="1"/>
    <row r="9466" customFormat="1" ht="17.25" customHeight="1"/>
    <row r="9467" customFormat="1" ht="17.25" customHeight="1"/>
    <row r="9468" customFormat="1" ht="17.25" customHeight="1"/>
    <row r="9469" customFormat="1" ht="17.25" customHeight="1"/>
    <row r="9470" customFormat="1" ht="17.25" customHeight="1"/>
    <row r="9471" customFormat="1" ht="17.25" customHeight="1"/>
    <row r="9472" customFormat="1" ht="17.25" customHeight="1"/>
    <row r="9473" customFormat="1" ht="17.25" customHeight="1"/>
    <row r="9474" customFormat="1" ht="17.25" customHeight="1"/>
    <row r="9475" customFormat="1" ht="17.25" customHeight="1"/>
    <row r="9476" customFormat="1" ht="17.25" customHeight="1"/>
    <row r="9477" customFormat="1" ht="17.25" customHeight="1"/>
    <row r="9478" customFormat="1" ht="17.25" customHeight="1"/>
    <row r="9479" customFormat="1" ht="17.25" customHeight="1"/>
    <row r="9480" customFormat="1" ht="17.25" customHeight="1"/>
    <row r="9481" customFormat="1" ht="17.25" customHeight="1"/>
    <row r="9482" customFormat="1" ht="17.25" customHeight="1"/>
    <row r="9483" customFormat="1" ht="17.25" customHeight="1"/>
    <row r="9484" customFormat="1" ht="17.25" customHeight="1"/>
    <row r="9485" customFormat="1" ht="17.25" customHeight="1"/>
    <row r="9486" customFormat="1" ht="17.25" customHeight="1"/>
    <row r="9487" customFormat="1" ht="17.25" customHeight="1"/>
    <row r="9488" customFormat="1" ht="17.25" customHeight="1"/>
    <row r="9489" customFormat="1" ht="17.25" customHeight="1"/>
    <row r="9490" customFormat="1" ht="17.25" customHeight="1"/>
    <row r="9491" customFormat="1" ht="17.25" customHeight="1"/>
    <row r="9492" customFormat="1" ht="17.25" customHeight="1"/>
    <row r="9493" customFormat="1" ht="17.25" customHeight="1"/>
    <row r="9494" customFormat="1" ht="17.25" customHeight="1"/>
    <row r="9495" customFormat="1" ht="17.25" customHeight="1"/>
    <row r="9496" customFormat="1" ht="17.25" customHeight="1"/>
    <row r="9497" customFormat="1" ht="17.25" customHeight="1"/>
    <row r="9498" customFormat="1" ht="17.25" customHeight="1"/>
    <row r="9499" customFormat="1" ht="17.25" customHeight="1"/>
    <row r="9500" customFormat="1" ht="17.25" customHeight="1"/>
    <row r="9501" customFormat="1" ht="17.25" customHeight="1"/>
    <row r="9502" customFormat="1" ht="17.25" customHeight="1"/>
    <row r="9503" customFormat="1" ht="17.25" customHeight="1"/>
    <row r="9504" customFormat="1" ht="17.25" customHeight="1"/>
    <row r="9505" customFormat="1" ht="17.25" customHeight="1"/>
    <row r="9506" customFormat="1" ht="17.25" customHeight="1"/>
    <row r="9507" customFormat="1" ht="17.25" customHeight="1"/>
    <row r="9508" customFormat="1" ht="17.25" customHeight="1"/>
    <row r="9509" customFormat="1" ht="17.25" customHeight="1"/>
    <row r="9510" customFormat="1" ht="17.25" customHeight="1"/>
    <row r="9511" customFormat="1" ht="17.25" customHeight="1"/>
    <row r="9512" customFormat="1" ht="17.25" customHeight="1"/>
    <row r="9513" customFormat="1" ht="17.25" customHeight="1"/>
    <row r="9514" customFormat="1" ht="17.25" customHeight="1"/>
    <row r="9515" customFormat="1" ht="17.25" customHeight="1"/>
    <row r="9516" customFormat="1" ht="17.25" customHeight="1"/>
    <row r="9517" customFormat="1" ht="17.25" customHeight="1"/>
    <row r="9518" customFormat="1" ht="17.25" customHeight="1"/>
    <row r="9519" customFormat="1" ht="17.25" customHeight="1"/>
    <row r="9520" customFormat="1" ht="17.25" customHeight="1"/>
    <row r="9521" customFormat="1" ht="17.25" customHeight="1"/>
    <row r="9522" customFormat="1" ht="17.25" customHeight="1"/>
    <row r="9523" customFormat="1" ht="17.25" customHeight="1"/>
    <row r="9524" customFormat="1" ht="17.25" customHeight="1"/>
    <row r="9525" customFormat="1" ht="17.25" customHeight="1"/>
    <row r="9526" customFormat="1" ht="17.25" customHeight="1"/>
    <row r="9527" customFormat="1" ht="17.25" customHeight="1"/>
    <row r="9528" customFormat="1" ht="17.25" customHeight="1"/>
    <row r="9529" customFormat="1" ht="17.25" customHeight="1"/>
    <row r="9530" customFormat="1" ht="17.25" customHeight="1"/>
    <row r="9531" customFormat="1" ht="17.25" customHeight="1"/>
    <row r="9532" customFormat="1" ht="17.25" customHeight="1"/>
    <row r="9533" customFormat="1" ht="17.25" customHeight="1"/>
    <row r="9534" customFormat="1" ht="17.25" customHeight="1"/>
    <row r="9535" customFormat="1" ht="17.25" customHeight="1"/>
    <row r="9536" customFormat="1" ht="17.25" customHeight="1"/>
    <row r="9537" customFormat="1" ht="17.25" customHeight="1"/>
    <row r="9538" customFormat="1" ht="17.25" customHeight="1"/>
    <row r="9539" customFormat="1" ht="17.25" customHeight="1"/>
    <row r="9540" customFormat="1" ht="17.25" customHeight="1"/>
    <row r="9541" customFormat="1" ht="17.25" customHeight="1"/>
    <row r="9542" customFormat="1" ht="17.25" customHeight="1"/>
    <row r="9543" customFormat="1" ht="17.25" customHeight="1"/>
    <row r="9544" customFormat="1" ht="17.25" customHeight="1"/>
    <row r="9545" customFormat="1" ht="17.25" customHeight="1"/>
    <row r="9546" customFormat="1" ht="17.25" customHeight="1"/>
    <row r="9547" customFormat="1" ht="17.25" customHeight="1"/>
    <row r="9548" customFormat="1" ht="17.25" customHeight="1"/>
    <row r="9549" customFormat="1" ht="17.25" customHeight="1"/>
    <row r="9550" customFormat="1" ht="17.25" customHeight="1"/>
    <row r="9551" customFormat="1" ht="17.25" customHeight="1"/>
    <row r="9552" customFormat="1" ht="17.25" customHeight="1"/>
    <row r="9553" customFormat="1" ht="17.25" customHeight="1"/>
    <row r="9554" customFormat="1" ht="17.25" customHeight="1"/>
    <row r="9555" customFormat="1" ht="17.25" customHeight="1"/>
    <row r="9556" customFormat="1" ht="17.25" customHeight="1"/>
    <row r="9557" customFormat="1" ht="17.25" customHeight="1"/>
    <row r="9558" customFormat="1" ht="17.25" customHeight="1"/>
    <row r="9559" customFormat="1" ht="17.25" customHeight="1"/>
    <row r="9560" customFormat="1" ht="17.25" customHeight="1"/>
    <row r="9561" customFormat="1" ht="17.25" customHeight="1"/>
    <row r="9562" customFormat="1" ht="17.25" customHeight="1"/>
    <row r="9563" customFormat="1" ht="17.25" customHeight="1"/>
    <row r="9564" customFormat="1" ht="17.25" customHeight="1"/>
    <row r="9565" customFormat="1" ht="17.25" customHeight="1"/>
    <row r="9566" customFormat="1" ht="17.25" customHeight="1"/>
    <row r="9567" customFormat="1" ht="17.25" customHeight="1"/>
    <row r="9568" customFormat="1" ht="17.25" customHeight="1"/>
    <row r="9569" customFormat="1" ht="17.25" customHeight="1"/>
    <row r="9570" customFormat="1" ht="17.25" customHeight="1"/>
    <row r="9571" customFormat="1" ht="17.25" customHeight="1"/>
    <row r="9572" customFormat="1" ht="17.25" customHeight="1"/>
    <row r="9573" customFormat="1" ht="17.25" customHeight="1"/>
    <row r="9574" customFormat="1" ht="17.25" customHeight="1"/>
    <row r="9575" customFormat="1" ht="17.25" customHeight="1"/>
    <row r="9576" customFormat="1" ht="17.25" customHeight="1"/>
    <row r="9577" customFormat="1" ht="17.25" customHeight="1"/>
    <row r="9578" customFormat="1" ht="17.25" customHeight="1"/>
    <row r="9579" customFormat="1" ht="17.25" customHeight="1"/>
    <row r="9580" customFormat="1" ht="17.25" customHeight="1"/>
    <row r="9581" customFormat="1" ht="17.25" customHeight="1"/>
    <row r="9582" customFormat="1" ht="17.25" customHeight="1"/>
    <row r="9583" customFormat="1" ht="17.25" customHeight="1"/>
    <row r="9584" customFormat="1" ht="17.25" customHeight="1"/>
    <row r="9585" customFormat="1" ht="17.25" customHeight="1"/>
    <row r="9586" customFormat="1" ht="17.25" customHeight="1"/>
    <row r="9587" customFormat="1" ht="17.25" customHeight="1"/>
    <row r="9588" customFormat="1" ht="17.25" customHeight="1"/>
    <row r="9589" customFormat="1" ht="17.25" customHeight="1"/>
    <row r="9590" customFormat="1" ht="17.25" customHeight="1"/>
    <row r="9591" customFormat="1" ht="17.25" customHeight="1"/>
    <row r="9592" customFormat="1" ht="17.25" customHeight="1"/>
    <row r="9593" customFormat="1" ht="17.25" customHeight="1"/>
    <row r="9594" customFormat="1" ht="17.25" customHeight="1"/>
    <row r="9595" customFormat="1" ht="17.25" customHeight="1"/>
    <row r="9596" customFormat="1" ht="17.25" customHeight="1"/>
    <row r="9597" customFormat="1" ht="17.25" customHeight="1"/>
    <row r="9598" customFormat="1" ht="17.25" customHeight="1"/>
    <row r="9599" customFormat="1" ht="17.25" customHeight="1"/>
    <row r="9600" customFormat="1" ht="17.25" customHeight="1"/>
    <row r="9601" customFormat="1" ht="17.25" customHeight="1"/>
    <row r="9602" customFormat="1" ht="17.25" customHeight="1"/>
    <row r="9603" customFormat="1" ht="17.25" customHeight="1"/>
    <row r="9604" customFormat="1" ht="17.25" customHeight="1"/>
    <row r="9605" customFormat="1" ht="17.25" customHeight="1"/>
    <row r="9606" customFormat="1" ht="17.25" customHeight="1"/>
    <row r="9607" customFormat="1" ht="17.25" customHeight="1"/>
    <row r="9608" customFormat="1" ht="17.25" customHeight="1"/>
    <row r="9609" customFormat="1" ht="17.25" customHeight="1"/>
    <row r="9610" customFormat="1" ht="17.25" customHeight="1"/>
    <row r="9611" customFormat="1" ht="17.25" customHeight="1"/>
    <row r="9612" customFormat="1" ht="17.25" customHeight="1"/>
    <row r="9613" customFormat="1" ht="17.25" customHeight="1"/>
    <row r="9614" customFormat="1" ht="17.25" customHeight="1"/>
    <row r="9615" customFormat="1" ht="17.25" customHeight="1"/>
    <row r="9616" customFormat="1" ht="17.25" customHeight="1"/>
    <row r="9617" customFormat="1" ht="17.25" customHeight="1"/>
    <row r="9618" customFormat="1" ht="17.25" customHeight="1"/>
    <row r="9619" customFormat="1" ht="17.25" customHeight="1"/>
    <row r="9620" customFormat="1" ht="17.25" customHeight="1"/>
    <row r="9621" customFormat="1" ht="17.25" customHeight="1"/>
    <row r="9622" customFormat="1" ht="17.25" customHeight="1"/>
    <row r="9623" customFormat="1" ht="17.25" customHeight="1"/>
    <row r="9624" customFormat="1" ht="17.25" customHeight="1"/>
    <row r="9625" customFormat="1" ht="17.25" customHeight="1"/>
    <row r="9626" customFormat="1" ht="17.25" customHeight="1"/>
    <row r="9627" customFormat="1" ht="17.25" customHeight="1"/>
    <row r="9628" customFormat="1" ht="17.25" customHeight="1"/>
    <row r="9629" customFormat="1" ht="17.25" customHeight="1"/>
    <row r="9630" customFormat="1" ht="17.25" customHeight="1"/>
    <row r="9631" customFormat="1" ht="17.25" customHeight="1"/>
    <row r="9632" customFormat="1" ht="17.25" customHeight="1"/>
    <row r="9633" customFormat="1" ht="17.25" customHeight="1"/>
    <row r="9634" customFormat="1" ht="17.25" customHeight="1"/>
    <row r="9635" customFormat="1" ht="17.25" customHeight="1"/>
    <row r="9636" customFormat="1" ht="17.25" customHeight="1"/>
    <row r="9637" customFormat="1" ht="17.25" customHeight="1"/>
    <row r="9638" customFormat="1" ht="17.25" customHeight="1"/>
    <row r="9639" customFormat="1" ht="17.25" customHeight="1"/>
    <row r="9640" customFormat="1" ht="17.25" customHeight="1"/>
    <row r="9641" customFormat="1" ht="17.25" customHeight="1"/>
    <row r="9642" customFormat="1" ht="17.25" customHeight="1"/>
    <row r="9643" customFormat="1" ht="17.25" customHeight="1"/>
    <row r="9644" customFormat="1" ht="17.25" customHeight="1"/>
    <row r="9645" customFormat="1" ht="17.25" customHeight="1"/>
    <row r="9646" customFormat="1" ht="17.25" customHeight="1"/>
    <row r="9647" customFormat="1" ht="17.25" customHeight="1"/>
    <row r="9648" customFormat="1" ht="17.25" customHeight="1"/>
    <row r="9649" customFormat="1" ht="17.25" customHeight="1"/>
    <row r="9650" customFormat="1" ht="17.25" customHeight="1"/>
    <row r="9651" customFormat="1" ht="17.25" customHeight="1"/>
    <row r="9652" customFormat="1" ht="17.25" customHeight="1"/>
    <row r="9653" customFormat="1" ht="17.25" customHeight="1"/>
    <row r="9654" customFormat="1" ht="17.25" customHeight="1"/>
    <row r="9655" customFormat="1" ht="17.25" customHeight="1"/>
    <row r="9656" customFormat="1" ht="17.25" customHeight="1"/>
    <row r="9657" customFormat="1" ht="17.25" customHeight="1"/>
    <row r="9658" customFormat="1" ht="17.25" customHeight="1"/>
    <row r="9659" customFormat="1" ht="17.25" customHeight="1"/>
    <row r="9660" customFormat="1" ht="17.25" customHeight="1"/>
    <row r="9661" customFormat="1" ht="17.25" customHeight="1"/>
    <row r="9662" customFormat="1" ht="17.25" customHeight="1"/>
    <row r="9663" customFormat="1" ht="17.25" customHeight="1"/>
    <row r="9664" customFormat="1" ht="17.25" customHeight="1"/>
    <row r="9665" customFormat="1" ht="17.25" customHeight="1"/>
    <row r="9666" customFormat="1" ht="17.25" customHeight="1"/>
    <row r="9667" customFormat="1" ht="17.25" customHeight="1"/>
    <row r="9668" customFormat="1" ht="17.25" customHeight="1"/>
    <row r="9669" customFormat="1" ht="17.25" customHeight="1"/>
    <row r="9670" customFormat="1" ht="17.25" customHeight="1"/>
    <row r="9671" customFormat="1" ht="17.25" customHeight="1"/>
    <row r="9672" customFormat="1" ht="17.25" customHeight="1"/>
    <row r="9673" customFormat="1" ht="17.25" customHeight="1"/>
    <row r="9674" customFormat="1" ht="17.25" customHeight="1"/>
    <row r="9675" customFormat="1" ht="17.25" customHeight="1"/>
    <row r="9676" customFormat="1" ht="17.25" customHeight="1"/>
    <row r="9677" customFormat="1" ht="17.25" customHeight="1"/>
    <row r="9678" customFormat="1" ht="17.25" customHeight="1"/>
    <row r="9679" customFormat="1" ht="17.25" customHeight="1"/>
    <row r="9680" customFormat="1" ht="17.25" customHeight="1"/>
    <row r="9681" customFormat="1" ht="17.25" customHeight="1"/>
    <row r="9682" customFormat="1" ht="17.25" customHeight="1"/>
    <row r="9683" customFormat="1" ht="17.25" customHeight="1"/>
    <row r="9684" customFormat="1" ht="17.25" customHeight="1"/>
    <row r="9685" customFormat="1" ht="17.25" customHeight="1"/>
    <row r="9686" customFormat="1" ht="17.25" customHeight="1"/>
    <row r="9687" customFormat="1" ht="17.25" customHeight="1"/>
    <row r="9688" customFormat="1" ht="17.25" customHeight="1"/>
    <row r="9689" customFormat="1" ht="17.25" customHeight="1"/>
    <row r="9690" customFormat="1" ht="17.25" customHeight="1"/>
    <row r="9691" customFormat="1" ht="17.25" customHeight="1"/>
    <row r="9692" customFormat="1" ht="17.25" customHeight="1"/>
    <row r="9693" customFormat="1" ht="17.25" customHeight="1"/>
    <row r="9694" customFormat="1" ht="17.25" customHeight="1"/>
    <row r="9695" customFormat="1" ht="17.25" customHeight="1"/>
    <row r="9696" customFormat="1" ht="17.25" customHeight="1"/>
    <row r="9697" customFormat="1" ht="17.25" customHeight="1"/>
    <row r="9698" customFormat="1" ht="17.25" customHeight="1"/>
    <row r="9699" customFormat="1" ht="17.25" customHeight="1"/>
    <row r="9700" customFormat="1" ht="17.25" customHeight="1"/>
    <row r="9701" customFormat="1" ht="17.25" customHeight="1"/>
    <row r="9702" customFormat="1" ht="17.25" customHeight="1"/>
    <row r="9703" customFormat="1" ht="17.25" customHeight="1"/>
    <row r="9704" customFormat="1" ht="17.25" customHeight="1"/>
    <row r="9705" customFormat="1" ht="17.25" customHeight="1"/>
    <row r="9706" customFormat="1" ht="17.25" customHeight="1"/>
    <row r="9707" customFormat="1" ht="17.25" customHeight="1"/>
    <row r="9708" customFormat="1" ht="17.25" customHeight="1"/>
    <row r="9709" customFormat="1" ht="17.25" customHeight="1"/>
    <row r="9710" customFormat="1" ht="17.25" customHeight="1"/>
    <row r="9711" customFormat="1" ht="17.25" customHeight="1"/>
    <row r="9712" customFormat="1" ht="17.25" customHeight="1"/>
    <row r="9713" customFormat="1" ht="17.25" customHeight="1"/>
    <row r="9714" customFormat="1" ht="17.25" customHeight="1"/>
    <row r="9715" customFormat="1" ht="17.25" customHeight="1"/>
    <row r="9716" customFormat="1" ht="17.25" customHeight="1"/>
    <row r="9717" customFormat="1" ht="17.25" customHeight="1"/>
    <row r="9718" customFormat="1" ht="17.25" customHeight="1"/>
    <row r="9719" customFormat="1" ht="17.25" customHeight="1"/>
    <row r="9720" customFormat="1" ht="17.25" customHeight="1"/>
    <row r="9721" customFormat="1" ht="17.25" customHeight="1"/>
    <row r="9722" customFormat="1" ht="17.25" customHeight="1"/>
    <row r="9723" customFormat="1" ht="17.25" customHeight="1"/>
    <row r="9724" customFormat="1" ht="17.25" customHeight="1"/>
    <row r="9725" customFormat="1" ht="17.25" customHeight="1"/>
    <row r="9726" customFormat="1" ht="17.25" customHeight="1"/>
    <row r="9727" customFormat="1" ht="17.25" customHeight="1"/>
    <row r="9728" customFormat="1" ht="17.25" customHeight="1"/>
    <row r="9729" customFormat="1" ht="17.25" customHeight="1"/>
    <row r="9730" customFormat="1" ht="17.25" customHeight="1"/>
    <row r="9731" customFormat="1" ht="17.25" customHeight="1"/>
    <row r="9732" customFormat="1" ht="17.25" customHeight="1"/>
    <row r="9733" customFormat="1" ht="17.25" customHeight="1"/>
    <row r="9734" customFormat="1" ht="17.25" customHeight="1"/>
    <row r="9735" customFormat="1" ht="17.25" customHeight="1"/>
    <row r="9736" customFormat="1" ht="17.25" customHeight="1"/>
    <row r="9737" customFormat="1" ht="17.25" customHeight="1"/>
    <row r="9738" customFormat="1" ht="17.25" customHeight="1"/>
    <row r="9739" customFormat="1" ht="17.25" customHeight="1"/>
    <row r="9740" customFormat="1" ht="17.25" customHeight="1"/>
    <row r="9741" customFormat="1" ht="17.25" customHeight="1"/>
    <row r="9742" customFormat="1" ht="17.25" customHeight="1"/>
    <row r="9743" customFormat="1" ht="17.25" customHeight="1"/>
    <row r="9744" customFormat="1" ht="17.25" customHeight="1"/>
    <row r="9745" customFormat="1" ht="17.25" customHeight="1"/>
    <row r="9746" customFormat="1" ht="17.25" customHeight="1"/>
    <row r="9747" customFormat="1" ht="17.25" customHeight="1"/>
    <row r="9748" customFormat="1" ht="17.25" customHeight="1"/>
    <row r="9749" customFormat="1" ht="17.25" customHeight="1"/>
    <row r="9750" customFormat="1" ht="17.25" customHeight="1"/>
    <row r="9751" customFormat="1" ht="17.25" customHeight="1"/>
    <row r="9752" customFormat="1" ht="17.25" customHeight="1"/>
    <row r="9753" customFormat="1" ht="17.25" customHeight="1"/>
    <row r="9754" customFormat="1" ht="17.25" customHeight="1"/>
    <row r="9755" customFormat="1" ht="17.25" customHeight="1"/>
    <row r="9756" customFormat="1" ht="17.25" customHeight="1"/>
    <row r="9757" customFormat="1" ht="17.25" customHeight="1"/>
    <row r="9758" customFormat="1" ht="17.25" customHeight="1"/>
    <row r="9759" customFormat="1" ht="17.25" customHeight="1"/>
    <row r="9760" customFormat="1" ht="17.25" customHeight="1"/>
    <row r="9761" customFormat="1" ht="17.25" customHeight="1"/>
    <row r="9762" customFormat="1" ht="17.25" customHeight="1"/>
    <row r="9763" customFormat="1" ht="17.25" customHeight="1"/>
    <row r="9764" customFormat="1" ht="17.25" customHeight="1"/>
    <row r="9765" customFormat="1" ht="17.25" customHeight="1"/>
    <row r="9766" customFormat="1" ht="17.25" customHeight="1"/>
    <row r="9767" customFormat="1" ht="17.25" customHeight="1"/>
    <row r="9768" customFormat="1" ht="17.25" customHeight="1"/>
    <row r="9769" customFormat="1" ht="17.25" customHeight="1"/>
    <row r="9770" customFormat="1" ht="17.25" customHeight="1"/>
    <row r="9771" customFormat="1" ht="17.25" customHeight="1"/>
    <row r="9772" customFormat="1" ht="17.25" customHeight="1"/>
    <row r="9773" customFormat="1" ht="17.25" customHeight="1"/>
    <row r="9774" customFormat="1" ht="17.25" customHeight="1"/>
    <row r="9775" customFormat="1" ht="17.25" customHeight="1"/>
    <row r="9776" customFormat="1" ht="17.25" customHeight="1"/>
    <row r="9777" customFormat="1" ht="17.25" customHeight="1"/>
    <row r="9778" customFormat="1" ht="17.25" customHeight="1"/>
    <row r="9779" customFormat="1" ht="17.25" customHeight="1"/>
    <row r="9780" customFormat="1" ht="17.25" customHeight="1"/>
    <row r="9781" customFormat="1" ht="17.25" customHeight="1"/>
    <row r="9782" customFormat="1" ht="17.25" customHeight="1"/>
    <row r="9783" customFormat="1" ht="17.25" customHeight="1"/>
    <row r="9784" customFormat="1" ht="17.25" customHeight="1"/>
    <row r="9785" customFormat="1" ht="17.25" customHeight="1"/>
    <row r="9786" customFormat="1" ht="17.25" customHeight="1"/>
    <row r="9787" customFormat="1" ht="17.25" customHeight="1"/>
    <row r="9788" customFormat="1" ht="17.25" customHeight="1"/>
    <row r="9789" customFormat="1" ht="17.25" customHeight="1"/>
    <row r="9790" customFormat="1" ht="17.25" customHeight="1"/>
    <row r="9791" customFormat="1" ht="17.25" customHeight="1"/>
    <row r="9792" customFormat="1" ht="17.25" customHeight="1"/>
    <row r="9793" customFormat="1" ht="17.25" customHeight="1"/>
    <row r="9794" customFormat="1" ht="17.25" customHeight="1"/>
    <row r="9795" customFormat="1" ht="17.25" customHeight="1"/>
    <row r="9796" customFormat="1" ht="17.25" customHeight="1"/>
    <row r="9797" customFormat="1" ht="17.25" customHeight="1"/>
    <row r="9798" customFormat="1" ht="17.25" customHeight="1"/>
    <row r="9799" customFormat="1" ht="17.25" customHeight="1"/>
    <row r="9800" customFormat="1" ht="17.25" customHeight="1"/>
    <row r="9801" customFormat="1" ht="17.25" customHeight="1"/>
    <row r="9802" customFormat="1" ht="17.25" customHeight="1"/>
    <row r="9803" customFormat="1" ht="17.25" customHeight="1"/>
    <row r="9804" customFormat="1" ht="17.25" customHeight="1"/>
    <row r="9805" customFormat="1" ht="17.25" customHeight="1"/>
    <row r="9806" customFormat="1" ht="17.25" customHeight="1"/>
    <row r="9807" customFormat="1" ht="17.25" customHeight="1"/>
    <row r="9808" customFormat="1" ht="17.25" customHeight="1"/>
    <row r="9809" customFormat="1" ht="17.25" customHeight="1"/>
    <row r="9810" customFormat="1" ht="17.25" customHeight="1"/>
    <row r="9811" customFormat="1" ht="17.25" customHeight="1"/>
    <row r="9812" customFormat="1" ht="17.25" customHeight="1"/>
    <row r="9813" customFormat="1" ht="17.25" customHeight="1"/>
    <row r="9814" customFormat="1" ht="17.25" customHeight="1"/>
    <row r="9815" customFormat="1" ht="17.25" customHeight="1"/>
    <row r="9816" customFormat="1" ht="17.25" customHeight="1"/>
    <row r="9817" customFormat="1" ht="17.25" customHeight="1"/>
    <row r="9818" customFormat="1" ht="17.25" customHeight="1"/>
    <row r="9819" customFormat="1" ht="17.25" customHeight="1"/>
    <row r="9820" customFormat="1" ht="17.25" customHeight="1"/>
    <row r="9821" customFormat="1" ht="17.25" customHeight="1"/>
    <row r="9822" customFormat="1" ht="17.25" customHeight="1"/>
    <row r="9823" customFormat="1" ht="17.25" customHeight="1"/>
    <row r="9824" customFormat="1" ht="17.25" customHeight="1"/>
    <row r="9825" customFormat="1" ht="17.25" customHeight="1"/>
    <row r="9826" customFormat="1" ht="17.25" customHeight="1"/>
    <row r="9827" customFormat="1" ht="17.25" customHeight="1"/>
    <row r="9828" customFormat="1" ht="17.25" customHeight="1"/>
    <row r="9829" customFormat="1" ht="17.25" customHeight="1"/>
    <row r="9830" customFormat="1" ht="17.25" customHeight="1"/>
    <row r="9831" customFormat="1" ht="17.25" customHeight="1"/>
    <row r="9832" customFormat="1" ht="17.25" customHeight="1"/>
    <row r="9833" customFormat="1" ht="17.25" customHeight="1"/>
    <row r="9834" customFormat="1" ht="17.25" customHeight="1"/>
    <row r="9835" customFormat="1" ht="17.25" customHeight="1"/>
    <row r="9836" customFormat="1" ht="17.25" customHeight="1"/>
    <row r="9837" customFormat="1" ht="17.25" customHeight="1"/>
    <row r="9838" customFormat="1" ht="17.25" customHeight="1"/>
    <row r="9839" customFormat="1" ht="17.25" customHeight="1"/>
    <row r="9840" customFormat="1" ht="17.25" customHeight="1"/>
    <row r="9841" customFormat="1" ht="17.25" customHeight="1"/>
    <row r="9842" customFormat="1" ht="17.25" customHeight="1"/>
    <row r="9843" customFormat="1" ht="17.25" customHeight="1"/>
    <row r="9844" customFormat="1" ht="17.25" customHeight="1"/>
    <row r="9845" customFormat="1" ht="17.25" customHeight="1"/>
    <row r="9846" customFormat="1" ht="17.25" customHeight="1"/>
    <row r="9847" customFormat="1" ht="17.25" customHeight="1"/>
    <row r="9848" customFormat="1" ht="17.25" customHeight="1"/>
    <row r="9849" customFormat="1" ht="17.25" customHeight="1"/>
    <row r="9850" customFormat="1" ht="17.25" customHeight="1"/>
    <row r="9851" customFormat="1" ht="17.25" customHeight="1"/>
    <row r="9852" customFormat="1" ht="17.25" customHeight="1"/>
    <row r="9853" customFormat="1" ht="17.25" customHeight="1"/>
    <row r="9854" customFormat="1" ht="17.25" customHeight="1"/>
    <row r="9855" customFormat="1" ht="17.25" customHeight="1"/>
    <row r="9856" customFormat="1" ht="17.25" customHeight="1"/>
    <row r="9857" customFormat="1" ht="17.25" customHeight="1"/>
    <row r="9858" customFormat="1" ht="17.25" customHeight="1"/>
    <row r="9859" customFormat="1" ht="17.25" customHeight="1"/>
    <row r="9860" customFormat="1" ht="17.25" customHeight="1"/>
    <row r="9861" customFormat="1" ht="17.25" customHeight="1"/>
    <row r="9862" customFormat="1" ht="17.25" customHeight="1"/>
    <row r="9863" customFormat="1" ht="17.25" customHeight="1"/>
    <row r="9864" customFormat="1" ht="17.25" customHeight="1"/>
    <row r="9865" customFormat="1" ht="17.25" customHeight="1"/>
    <row r="9866" customFormat="1" ht="17.25" customHeight="1"/>
    <row r="9867" customFormat="1" ht="17.25" customHeight="1"/>
    <row r="9868" customFormat="1" ht="17.25" customHeight="1"/>
    <row r="9869" customFormat="1" ht="17.25" customHeight="1"/>
    <row r="9870" customFormat="1" ht="17.25" customHeight="1"/>
    <row r="9871" customFormat="1" ht="17.25" customHeight="1"/>
    <row r="9872" customFormat="1" ht="17.25" customHeight="1"/>
    <row r="9873" customFormat="1" ht="17.25" customHeight="1"/>
    <row r="9874" customFormat="1" ht="17.25" customHeight="1"/>
    <row r="9875" customFormat="1" ht="17.25" customHeight="1"/>
    <row r="9876" customFormat="1" ht="17.25" customHeight="1"/>
    <row r="9877" customFormat="1" ht="17.25" customHeight="1"/>
    <row r="9878" customFormat="1" ht="17.25" customHeight="1"/>
    <row r="9879" customFormat="1" ht="17.25" customHeight="1"/>
    <row r="9880" customFormat="1" ht="17.25" customHeight="1"/>
    <row r="9881" customFormat="1" ht="17.25" customHeight="1"/>
    <row r="9882" customFormat="1" ht="17.25" customHeight="1"/>
    <row r="9883" customFormat="1" ht="17.25" customHeight="1"/>
    <row r="9884" customFormat="1" ht="17.25" customHeight="1"/>
    <row r="9885" customFormat="1" ht="17.25" customHeight="1"/>
    <row r="9886" customFormat="1" ht="17.25" customHeight="1"/>
    <row r="9887" customFormat="1" ht="17.25" customHeight="1"/>
    <row r="9888" customFormat="1" ht="17.25" customHeight="1"/>
    <row r="9889" customFormat="1" ht="17.25" customHeight="1"/>
    <row r="9890" customFormat="1" ht="17.25" customHeight="1"/>
    <row r="9891" customFormat="1" ht="17.25" customHeight="1"/>
    <row r="9892" customFormat="1" ht="17.25" customHeight="1"/>
    <row r="9893" customFormat="1" ht="17.25" customHeight="1"/>
    <row r="9894" customFormat="1" ht="17.25" customHeight="1"/>
    <row r="9895" customFormat="1" ht="17.25" customHeight="1"/>
    <row r="9896" customFormat="1" ht="17.25" customHeight="1"/>
    <row r="9897" customFormat="1" ht="17.25" customHeight="1"/>
    <row r="9898" customFormat="1" ht="17.25" customHeight="1"/>
    <row r="9899" customFormat="1" ht="17.25" customHeight="1"/>
    <row r="9900" customFormat="1" ht="17.25" customHeight="1"/>
    <row r="9901" customFormat="1" ht="17.25" customHeight="1"/>
    <row r="9902" customFormat="1" ht="17.25" customHeight="1"/>
    <row r="9903" customFormat="1" ht="17.25" customHeight="1"/>
    <row r="9904" customFormat="1" ht="17.25" customHeight="1"/>
    <row r="9905" customFormat="1" ht="17.25" customHeight="1"/>
    <row r="9906" customFormat="1" ht="17.25" customHeight="1"/>
    <row r="9907" customFormat="1" ht="17.25" customHeight="1"/>
    <row r="9908" customFormat="1" ht="17.25" customHeight="1"/>
    <row r="9909" customFormat="1" ht="17.25" customHeight="1"/>
    <row r="9910" customFormat="1" ht="17.25" customHeight="1"/>
    <row r="9911" customFormat="1" ht="17.25" customHeight="1"/>
    <row r="9912" customFormat="1" ht="17.25" customHeight="1"/>
    <row r="9913" customFormat="1" ht="17.25" customHeight="1"/>
    <row r="9914" customFormat="1" ht="17.25" customHeight="1"/>
    <row r="9915" customFormat="1" ht="17.25" customHeight="1"/>
    <row r="9916" customFormat="1" ht="17.25" customHeight="1"/>
    <row r="9917" customFormat="1" ht="17.25" customHeight="1"/>
    <row r="9918" customFormat="1" ht="17.25" customHeight="1"/>
    <row r="9919" customFormat="1" ht="17.25" customHeight="1"/>
    <row r="9920" customFormat="1" ht="17.25" customHeight="1"/>
    <row r="9921" customFormat="1" ht="17.25" customHeight="1"/>
    <row r="9922" customFormat="1" ht="17.25" customHeight="1"/>
    <row r="9923" customFormat="1" ht="17.25" customHeight="1"/>
    <row r="9924" customFormat="1" ht="17.25" customHeight="1"/>
    <row r="9925" customFormat="1" ht="17.25" customHeight="1"/>
    <row r="9926" customFormat="1" ht="17.25" customHeight="1"/>
    <row r="9927" customFormat="1" ht="17.25" customHeight="1"/>
    <row r="9928" customFormat="1" ht="17.25" customHeight="1"/>
    <row r="9929" customFormat="1" ht="17.25" customHeight="1"/>
    <row r="9930" customFormat="1" ht="17.25" customHeight="1"/>
    <row r="9931" customFormat="1" ht="17.25" customHeight="1"/>
    <row r="9932" customFormat="1" ht="17.25" customHeight="1"/>
    <row r="9933" customFormat="1" ht="17.25" customHeight="1"/>
    <row r="9934" customFormat="1" ht="17.25" customHeight="1"/>
    <row r="9935" customFormat="1" ht="17.25" customHeight="1"/>
    <row r="9936" customFormat="1" ht="17.25" customHeight="1"/>
    <row r="9937" customFormat="1" ht="17.25" customHeight="1"/>
    <row r="9938" customFormat="1" ht="17.25" customHeight="1"/>
    <row r="9939" customFormat="1" ht="17.25" customHeight="1"/>
    <row r="9940" customFormat="1" ht="17.25" customHeight="1"/>
    <row r="9941" customFormat="1" ht="17.25" customHeight="1"/>
    <row r="9942" customFormat="1" ht="17.25" customHeight="1"/>
    <row r="9943" customFormat="1" ht="17.25" customHeight="1"/>
    <row r="9944" customFormat="1" ht="17.25" customHeight="1"/>
    <row r="9945" customFormat="1" ht="17.25" customHeight="1"/>
    <row r="9946" customFormat="1" ht="17.25" customHeight="1"/>
    <row r="9947" customFormat="1" ht="17.25" customHeight="1"/>
    <row r="9948" customFormat="1" ht="17.25" customHeight="1"/>
    <row r="9949" customFormat="1" ht="17.25" customHeight="1"/>
    <row r="9950" customFormat="1" ht="17.25" customHeight="1"/>
    <row r="9951" customFormat="1" ht="17.25" customHeight="1"/>
    <row r="9952" customFormat="1" ht="17.25" customHeight="1"/>
    <row r="9953" customFormat="1" ht="17.25" customHeight="1"/>
    <row r="9954" customFormat="1" ht="17.25" customHeight="1"/>
    <row r="9955" customFormat="1" ht="17.25" customHeight="1"/>
    <row r="9956" customFormat="1" ht="17.25" customHeight="1"/>
    <row r="9957" customFormat="1" ht="17.25" customHeight="1"/>
    <row r="9958" customFormat="1" ht="17.25" customHeight="1"/>
    <row r="9959" customFormat="1" ht="17.25" customHeight="1"/>
    <row r="9960" customFormat="1" ht="17.25" customHeight="1"/>
    <row r="9961" customFormat="1" ht="17.25" customHeight="1"/>
    <row r="9962" customFormat="1" ht="17.25" customHeight="1"/>
    <row r="9963" customFormat="1" ht="17.25" customHeight="1"/>
    <row r="9964" customFormat="1" ht="17.25" customHeight="1"/>
    <row r="9965" customFormat="1" ht="17.25" customHeight="1"/>
    <row r="9966" customFormat="1" ht="17.25" customHeight="1"/>
    <row r="9967" customFormat="1" ht="17.25" customHeight="1"/>
    <row r="9968" customFormat="1" ht="17.25" customHeight="1"/>
    <row r="9969" customFormat="1" ht="17.25" customHeight="1"/>
    <row r="9970" customFormat="1" ht="17.25" customHeight="1"/>
    <row r="9971" customFormat="1" ht="17.25" customHeight="1"/>
    <row r="9972" customFormat="1" ht="17.25" customHeight="1"/>
    <row r="9973" customFormat="1" ht="17.25" customHeight="1"/>
    <row r="9974" customFormat="1" ht="17.25" customHeight="1"/>
    <row r="9975" customFormat="1" ht="17.25" customHeight="1"/>
    <row r="9976" customFormat="1" ht="17.25" customHeight="1"/>
    <row r="9977" customFormat="1" ht="17.25" customHeight="1"/>
    <row r="9978" customFormat="1" ht="17.25" customHeight="1"/>
    <row r="9979" customFormat="1" ht="17.25" customHeight="1"/>
    <row r="9980" customFormat="1" ht="17.25" customHeight="1"/>
    <row r="9981" customFormat="1" ht="17.25" customHeight="1"/>
    <row r="9982" customFormat="1" ht="17.25" customHeight="1"/>
    <row r="9983" customFormat="1" ht="17.25" customHeight="1"/>
    <row r="9984" customFormat="1" ht="17.25" customHeight="1"/>
    <row r="9985" customFormat="1" ht="17.25" customHeight="1"/>
    <row r="9986" customFormat="1" ht="17.25" customHeight="1"/>
    <row r="9987" customFormat="1" ht="17.25" customHeight="1"/>
    <row r="9988" customFormat="1" ht="17.25" customHeight="1"/>
    <row r="9989" customFormat="1" ht="17.25" customHeight="1"/>
    <row r="9990" customFormat="1" ht="17.25" customHeight="1"/>
    <row r="9991" customFormat="1" ht="17.25" customHeight="1"/>
    <row r="9992" customFormat="1" ht="17.25" customHeight="1"/>
    <row r="9993" customFormat="1" ht="17.25" customHeight="1"/>
    <row r="9994" customFormat="1" ht="17.25" customHeight="1"/>
    <row r="9995" customFormat="1" ht="17.25" customHeight="1"/>
    <row r="9996" customFormat="1" ht="17.25" customHeight="1"/>
    <row r="9997" customFormat="1" ht="17.25" customHeight="1"/>
    <row r="9998" customFormat="1" ht="17.25" customHeight="1"/>
    <row r="9999" customFormat="1" ht="17.25" customHeight="1"/>
    <row r="10000" customFormat="1" ht="17.25" customHeight="1"/>
    <row r="10001" customFormat="1" ht="17.25" customHeight="1"/>
    <row r="10002" customFormat="1" ht="17.25" customHeight="1"/>
    <row r="10003" customFormat="1" ht="17.25" customHeight="1"/>
    <row r="10004" customFormat="1" ht="17.25" customHeight="1"/>
    <row r="10005" customFormat="1" ht="17.25" customHeight="1"/>
    <row r="10006" customFormat="1" ht="17.25" customHeight="1"/>
    <row r="10007" customFormat="1" ht="17.25" customHeight="1"/>
    <row r="10008" customFormat="1" ht="17.25" customHeight="1"/>
    <row r="10009" customFormat="1" ht="17.25" customHeight="1"/>
    <row r="10010" customFormat="1" ht="17.25" customHeight="1"/>
    <row r="10011" customFormat="1" ht="17.25" customHeight="1"/>
    <row r="10012" customFormat="1" ht="17.25" customHeight="1"/>
    <row r="10013" customFormat="1" ht="17.25" customHeight="1"/>
    <row r="10014" customFormat="1" ht="17.25" customHeight="1"/>
    <row r="10015" customFormat="1" ht="17.25" customHeight="1"/>
    <row r="10016" customFormat="1" ht="17.25" customHeight="1"/>
    <row r="10017" customFormat="1" ht="17.25" customHeight="1"/>
    <row r="10018" customFormat="1" ht="17.25" customHeight="1"/>
    <row r="10019" customFormat="1" ht="17.25" customHeight="1"/>
    <row r="10020" customFormat="1" ht="17.25" customHeight="1"/>
    <row r="10021" customFormat="1" ht="17.25" customHeight="1"/>
    <row r="10022" customFormat="1" ht="17.25" customHeight="1"/>
    <row r="10023" customFormat="1" ht="17.25" customHeight="1"/>
    <row r="10024" customFormat="1" ht="17.25" customHeight="1"/>
    <row r="10025" customFormat="1" ht="17.25" customHeight="1"/>
    <row r="10026" customFormat="1" ht="17.25" customHeight="1"/>
    <row r="10027" customFormat="1" ht="17.25" customHeight="1"/>
    <row r="10028" customFormat="1" ht="17.25" customHeight="1"/>
    <row r="10029" customFormat="1" ht="17.25" customHeight="1"/>
    <row r="10030" customFormat="1" ht="17.25" customHeight="1"/>
    <row r="10031" customFormat="1" ht="17.25" customHeight="1"/>
    <row r="10032" customFormat="1" ht="17.25" customHeight="1"/>
    <row r="10033" customFormat="1" ht="17.25" customHeight="1"/>
    <row r="10034" customFormat="1" ht="17.25" customHeight="1"/>
    <row r="10035" customFormat="1" ht="17.25" customHeight="1"/>
    <row r="10036" customFormat="1" ht="17.25" customHeight="1"/>
    <row r="10037" customFormat="1" ht="17.25" customHeight="1"/>
    <row r="10038" customFormat="1" ht="17.25" customHeight="1"/>
    <row r="10039" customFormat="1" ht="17.25" customHeight="1"/>
    <row r="10040" customFormat="1" ht="17.25" customHeight="1"/>
    <row r="10041" customFormat="1" ht="17.25" customHeight="1"/>
    <row r="10042" customFormat="1" ht="17.25" customHeight="1"/>
    <row r="10043" customFormat="1" ht="17.25" customHeight="1"/>
    <row r="10044" customFormat="1" ht="17.25" customHeight="1"/>
    <row r="10045" customFormat="1" ht="17.25" customHeight="1"/>
    <row r="10046" customFormat="1" ht="17.25" customHeight="1"/>
    <row r="10047" customFormat="1" ht="17.25" customHeight="1"/>
    <row r="10048" customFormat="1" ht="17.25" customHeight="1"/>
    <row r="10049" customFormat="1" ht="17.25" customHeight="1"/>
    <row r="10050" customFormat="1" ht="17.25" customHeight="1"/>
    <row r="10051" customFormat="1" ht="17.25" customHeight="1"/>
    <row r="10052" customFormat="1" ht="17.25" customHeight="1"/>
    <row r="10053" customFormat="1" ht="17.25" customHeight="1"/>
    <row r="10054" customFormat="1" ht="17.25" customHeight="1"/>
    <row r="10055" customFormat="1" ht="17.25" customHeight="1"/>
    <row r="10056" customFormat="1" ht="17.25" customHeight="1"/>
    <row r="10057" customFormat="1" ht="17.25" customHeight="1"/>
    <row r="10058" customFormat="1" ht="17.25" customHeight="1"/>
    <row r="10059" customFormat="1" ht="17.25" customHeight="1"/>
    <row r="10060" customFormat="1" ht="17.25" customHeight="1"/>
    <row r="10061" customFormat="1" ht="17.25" customHeight="1"/>
    <row r="10062" customFormat="1" ht="17.25" customHeight="1"/>
    <row r="10063" customFormat="1" ht="17.25" customHeight="1"/>
    <row r="10064" customFormat="1" ht="17.25" customHeight="1"/>
    <row r="10065" customFormat="1" ht="17.25" customHeight="1"/>
    <row r="10066" customFormat="1" ht="17.25" customHeight="1"/>
    <row r="10067" customFormat="1" ht="17.25" customHeight="1"/>
    <row r="10068" customFormat="1" ht="17.25" customHeight="1"/>
    <row r="10069" customFormat="1" ht="17.25" customHeight="1"/>
    <row r="10070" customFormat="1" ht="17.25" customHeight="1"/>
    <row r="10071" customFormat="1" ht="17.25" customHeight="1"/>
    <row r="10072" customFormat="1" ht="17.25" customHeight="1"/>
    <row r="10073" customFormat="1" ht="17.25" customHeight="1"/>
    <row r="10074" customFormat="1" ht="17.25" customHeight="1"/>
    <row r="10075" customFormat="1" ht="17.25" customHeight="1"/>
    <row r="10076" customFormat="1" ht="17.25" customHeight="1"/>
    <row r="10077" customFormat="1" ht="17.25" customHeight="1"/>
    <row r="10078" customFormat="1" ht="17.25" customHeight="1"/>
    <row r="10079" customFormat="1" ht="17.25" customHeight="1"/>
    <row r="10080" customFormat="1" ht="17.25" customHeight="1"/>
    <row r="10081" customFormat="1" ht="17.25" customHeight="1"/>
    <row r="10082" customFormat="1" ht="17.25" customHeight="1"/>
    <row r="10083" customFormat="1" ht="17.25" customHeight="1"/>
    <row r="10084" customFormat="1" ht="17.25" customHeight="1"/>
    <row r="10085" customFormat="1" ht="17.25" customHeight="1"/>
    <row r="10086" customFormat="1" ht="17.25" customHeight="1"/>
    <row r="10087" customFormat="1" ht="17.25" customHeight="1"/>
    <row r="10088" customFormat="1" ht="17.25" customHeight="1"/>
    <row r="10089" customFormat="1" ht="17.25" customHeight="1"/>
    <row r="10090" customFormat="1" ht="17.25" customHeight="1"/>
    <row r="10091" customFormat="1" ht="17.25" customHeight="1"/>
    <row r="10092" customFormat="1" ht="17.25" customHeight="1"/>
    <row r="10093" customFormat="1" ht="17.25" customHeight="1"/>
    <row r="10094" customFormat="1" ht="17.25" customHeight="1"/>
    <row r="10095" customFormat="1" ht="17.25" customHeight="1"/>
    <row r="10096" customFormat="1" ht="17.25" customHeight="1"/>
    <row r="10097" customFormat="1" ht="17.25" customHeight="1"/>
    <row r="10098" customFormat="1" ht="17.25" customHeight="1"/>
    <row r="10099" customFormat="1" ht="17.25" customHeight="1"/>
    <row r="10100" customFormat="1" ht="17.25" customHeight="1"/>
    <row r="10101" customFormat="1" ht="17.25" customHeight="1"/>
    <row r="10102" customFormat="1" ht="17.25" customHeight="1"/>
    <row r="10103" customFormat="1" ht="17.25" customHeight="1"/>
    <row r="10104" customFormat="1" ht="17.25" customHeight="1"/>
    <row r="10105" customFormat="1" ht="17.25" customHeight="1"/>
    <row r="10106" customFormat="1" ht="17.25" customHeight="1"/>
    <row r="10107" customFormat="1" ht="17.25" customHeight="1"/>
    <row r="10108" customFormat="1" ht="17.25" customHeight="1"/>
    <row r="10109" customFormat="1" ht="17.25" customHeight="1"/>
    <row r="10110" customFormat="1" ht="17.25" customHeight="1"/>
    <row r="10111" customFormat="1" ht="17.25" customHeight="1"/>
    <row r="10112" customFormat="1" ht="17.25" customHeight="1"/>
    <row r="10113" customFormat="1" ht="17.25" customHeight="1"/>
    <row r="10114" customFormat="1" ht="17.25" customHeight="1"/>
    <row r="10115" customFormat="1" ht="17.25" customHeight="1"/>
    <row r="10116" customFormat="1" ht="17.25" customHeight="1"/>
    <row r="10117" customFormat="1" ht="17.25" customHeight="1"/>
    <row r="10118" customFormat="1" ht="17.25" customHeight="1"/>
    <row r="10119" customFormat="1" ht="17.25" customHeight="1"/>
    <row r="10120" customFormat="1" ht="17.25" customHeight="1"/>
    <row r="10121" customFormat="1" ht="17.25" customHeight="1"/>
    <row r="10122" customFormat="1" ht="17.25" customHeight="1"/>
    <row r="10123" customFormat="1" ht="17.25" customHeight="1"/>
    <row r="10124" customFormat="1" ht="17.25" customHeight="1"/>
    <row r="10125" customFormat="1" ht="17.25" customHeight="1"/>
    <row r="10126" customFormat="1" ht="17.25" customHeight="1"/>
    <row r="10127" customFormat="1" ht="17.25" customHeight="1"/>
    <row r="10128" customFormat="1" ht="17.25" customHeight="1"/>
    <row r="10129" customFormat="1" ht="17.25" customHeight="1"/>
    <row r="10130" customFormat="1" ht="17.25" customHeight="1"/>
    <row r="10131" customFormat="1" ht="17.25" customHeight="1"/>
    <row r="10132" customFormat="1" ht="17.25" customHeight="1"/>
    <row r="10133" customFormat="1" ht="17.25" customHeight="1"/>
    <row r="10134" customFormat="1" ht="17.25" customHeight="1"/>
    <row r="10135" customFormat="1" ht="17.25" customHeight="1"/>
    <row r="10136" customFormat="1" ht="17.25" customHeight="1"/>
    <row r="10137" customFormat="1" ht="17.25" customHeight="1"/>
    <row r="10138" customFormat="1" ht="17.25" customHeight="1"/>
    <row r="10139" customFormat="1" ht="17.25" customHeight="1"/>
    <row r="10140" customFormat="1" ht="17.25" customHeight="1"/>
    <row r="10141" customFormat="1" ht="17.25" customHeight="1"/>
    <row r="10142" customFormat="1" ht="17.25" customHeight="1"/>
    <row r="10143" customFormat="1" ht="17.25" customHeight="1"/>
    <row r="10144" customFormat="1" ht="17.25" customHeight="1"/>
    <row r="10145" customFormat="1" ht="17.25" customHeight="1"/>
    <row r="10146" customFormat="1" ht="17.25" customHeight="1"/>
    <row r="10147" customFormat="1" ht="17.25" customHeight="1"/>
    <row r="10148" customFormat="1" ht="17.25" customHeight="1"/>
    <row r="10149" customFormat="1" ht="17.25" customHeight="1"/>
    <row r="10150" customFormat="1" ht="17.25" customHeight="1"/>
    <row r="10151" customFormat="1" ht="17.25" customHeight="1"/>
    <row r="10152" customFormat="1" ht="17.25" customHeight="1"/>
    <row r="10153" customFormat="1" ht="17.25" customHeight="1"/>
    <row r="10154" customFormat="1" ht="17.25" customHeight="1"/>
    <row r="10155" customFormat="1" ht="17.25" customHeight="1"/>
    <row r="10156" customFormat="1" ht="17.25" customHeight="1"/>
    <row r="10157" customFormat="1" ht="17.25" customHeight="1"/>
    <row r="10158" customFormat="1" ht="17.25" customHeight="1"/>
    <row r="10159" customFormat="1" ht="17.25" customHeight="1"/>
    <row r="10160" customFormat="1" ht="17.25" customHeight="1"/>
    <row r="10161" customFormat="1" ht="17.25" customHeight="1"/>
    <row r="10162" customFormat="1" ht="17.25" customHeight="1"/>
    <row r="10163" customFormat="1" ht="17.25" customHeight="1"/>
    <row r="10164" customFormat="1" ht="17.25" customHeight="1"/>
    <row r="10165" customFormat="1" ht="17.25" customHeight="1"/>
    <row r="10166" customFormat="1" ht="17.25" customHeight="1"/>
    <row r="10167" customFormat="1" ht="17.25" customHeight="1"/>
    <row r="10168" customFormat="1" ht="17.25" customHeight="1"/>
    <row r="10169" customFormat="1" ht="17.25" customHeight="1"/>
    <row r="10170" customFormat="1" ht="17.25" customHeight="1"/>
    <row r="10171" customFormat="1" ht="17.25" customHeight="1"/>
    <row r="10172" customFormat="1" ht="17.25" customHeight="1"/>
    <row r="10173" customFormat="1" ht="17.25" customHeight="1"/>
    <row r="10174" customFormat="1" ht="17.25" customHeight="1"/>
    <row r="10175" customFormat="1" ht="17.25" customHeight="1"/>
    <row r="10176" customFormat="1" ht="17.25" customHeight="1"/>
    <row r="10177" customFormat="1" ht="17.25" customHeight="1"/>
    <row r="10178" customFormat="1" ht="17.25" customHeight="1"/>
    <row r="10179" customFormat="1" ht="17.25" customHeight="1"/>
    <row r="10180" customFormat="1" ht="17.25" customHeight="1"/>
    <row r="10181" customFormat="1" ht="17.25" customHeight="1"/>
    <row r="10182" customFormat="1" ht="17.25" customHeight="1"/>
    <row r="10183" customFormat="1" ht="17.25" customHeight="1"/>
    <row r="10184" customFormat="1" ht="17.25" customHeight="1"/>
    <row r="10185" customFormat="1" ht="17.25" customHeight="1"/>
    <row r="10186" customFormat="1" ht="17.25" customHeight="1"/>
    <row r="10187" customFormat="1" ht="17.25" customHeight="1"/>
    <row r="10188" customFormat="1" ht="17.25" customHeight="1"/>
    <row r="10189" customFormat="1" ht="17.25" customHeight="1"/>
    <row r="10190" customFormat="1" ht="17.25" customHeight="1"/>
    <row r="10191" customFormat="1" ht="17.25" customHeight="1"/>
    <row r="10192" customFormat="1" ht="17.25" customHeight="1"/>
    <row r="10193" customFormat="1" ht="17.25" customHeight="1"/>
    <row r="10194" customFormat="1" ht="17.25" customHeight="1"/>
    <row r="10195" customFormat="1" ht="17.25" customHeight="1"/>
    <row r="10196" customFormat="1" ht="17.25" customHeight="1"/>
    <row r="10197" customFormat="1" ht="17.25" customHeight="1"/>
    <row r="10198" customFormat="1" ht="17.25" customHeight="1"/>
    <row r="10199" customFormat="1" ht="17.25" customHeight="1"/>
    <row r="10200" customFormat="1" ht="17.25" customHeight="1"/>
    <row r="10201" customFormat="1" ht="17.25" customHeight="1"/>
    <row r="10202" customFormat="1" ht="17.25" customHeight="1"/>
    <row r="10203" customFormat="1" ht="17.25" customHeight="1"/>
    <row r="10204" customFormat="1" ht="17.25" customHeight="1"/>
    <row r="10205" customFormat="1" ht="17.25" customHeight="1"/>
    <row r="10206" customFormat="1" ht="17.25" customHeight="1"/>
    <row r="10207" customFormat="1" ht="17.25" customHeight="1"/>
    <row r="10208" customFormat="1" ht="17.25" customHeight="1"/>
    <row r="10209" customFormat="1" ht="17.25" customHeight="1"/>
    <row r="10210" customFormat="1" ht="17.25" customHeight="1"/>
    <row r="10211" customFormat="1" ht="17.25" customHeight="1"/>
    <row r="10212" customFormat="1" ht="17.25" customHeight="1"/>
    <row r="10213" customFormat="1" ht="17.25" customHeight="1"/>
    <row r="10214" customFormat="1" ht="17.25" customHeight="1"/>
    <row r="10215" customFormat="1" ht="17.25" customHeight="1"/>
    <row r="10216" customFormat="1" ht="17.25" customHeight="1"/>
    <row r="10217" customFormat="1" ht="17.25" customHeight="1"/>
    <row r="10218" customFormat="1" ht="17.25" customHeight="1"/>
    <row r="10219" customFormat="1" ht="17.25" customHeight="1"/>
    <row r="10220" customFormat="1" ht="17.25" customHeight="1"/>
    <row r="10221" customFormat="1" ht="17.25" customHeight="1"/>
    <row r="10222" customFormat="1" ht="17.25" customHeight="1"/>
    <row r="10223" customFormat="1" ht="17.25" customHeight="1"/>
    <row r="10224" customFormat="1" ht="17.25" customHeight="1"/>
    <row r="10225" customFormat="1" ht="17.25" customHeight="1"/>
    <row r="10226" customFormat="1" ht="17.25" customHeight="1"/>
    <row r="10227" customFormat="1" ht="17.25" customHeight="1"/>
    <row r="10228" customFormat="1" ht="17.25" customHeight="1"/>
    <row r="10229" customFormat="1" ht="17.25" customHeight="1"/>
    <row r="10230" customFormat="1" ht="17.25" customHeight="1"/>
    <row r="10231" customFormat="1" ht="17.25" customHeight="1"/>
    <row r="10232" customFormat="1" ht="17.25" customHeight="1"/>
    <row r="10233" customFormat="1" ht="17.25" customHeight="1"/>
    <row r="10234" customFormat="1" ht="17.25" customHeight="1"/>
    <row r="10235" customFormat="1" ht="17.25" customHeight="1"/>
    <row r="10236" customFormat="1" ht="17.25" customHeight="1"/>
    <row r="10237" customFormat="1" ht="17.25" customHeight="1"/>
    <row r="10238" customFormat="1" ht="17.25" customHeight="1"/>
    <row r="10239" customFormat="1" ht="17.25" customHeight="1"/>
    <row r="10240" customFormat="1" ht="17.25" customHeight="1"/>
    <row r="10241" customFormat="1" ht="17.25" customHeight="1"/>
    <row r="10242" customFormat="1" ht="17.25" customHeight="1"/>
    <row r="10243" customFormat="1" ht="17.25" customHeight="1"/>
    <row r="10244" customFormat="1" ht="17.25" customHeight="1"/>
    <row r="10245" customFormat="1" ht="17.25" customHeight="1"/>
    <row r="10246" customFormat="1" ht="17.25" customHeight="1"/>
    <row r="10247" customFormat="1" ht="17.25" customHeight="1"/>
    <row r="10248" customFormat="1" ht="17.25" customHeight="1"/>
    <row r="10249" customFormat="1" ht="17.25" customHeight="1"/>
    <row r="10250" customFormat="1" ht="17.25" customHeight="1"/>
    <row r="10251" customFormat="1" ht="17.25" customHeight="1"/>
    <row r="10252" customFormat="1" ht="17.25" customHeight="1"/>
    <row r="10253" customFormat="1" ht="17.25" customHeight="1"/>
    <row r="10254" customFormat="1" ht="17.25" customHeight="1"/>
    <row r="10255" customFormat="1" ht="17.25" customHeight="1"/>
    <row r="10256" customFormat="1" ht="17.25" customHeight="1"/>
    <row r="10257" customFormat="1" ht="17.25" customHeight="1"/>
    <row r="10258" customFormat="1" ht="17.25" customHeight="1"/>
    <row r="10259" customFormat="1" ht="17.25" customHeight="1"/>
    <row r="10260" customFormat="1" ht="17.25" customHeight="1"/>
    <row r="10261" customFormat="1" ht="17.25" customHeight="1"/>
    <row r="10262" customFormat="1" ht="17.25" customHeight="1"/>
    <row r="10263" customFormat="1" ht="17.25" customHeight="1"/>
    <row r="10264" customFormat="1" ht="17.25" customHeight="1"/>
    <row r="10265" customFormat="1" ht="17.25" customHeight="1"/>
    <row r="10266" customFormat="1" ht="17.25" customHeight="1"/>
    <row r="10267" customFormat="1" ht="17.25" customHeight="1"/>
    <row r="10268" customFormat="1" ht="17.25" customHeight="1"/>
    <row r="10269" customFormat="1" ht="17.25" customHeight="1"/>
    <row r="10270" customFormat="1" ht="17.25" customHeight="1"/>
    <row r="10271" customFormat="1" ht="17.25" customHeight="1"/>
    <row r="10272" customFormat="1" ht="17.25" customHeight="1"/>
    <row r="10273" customFormat="1" ht="17.25" customHeight="1"/>
    <row r="10274" customFormat="1" ht="17.25" customHeight="1"/>
    <row r="10275" customFormat="1" ht="17.25" customHeight="1"/>
    <row r="10276" customFormat="1" ht="17.25" customHeight="1"/>
    <row r="10277" customFormat="1" ht="17.25" customHeight="1"/>
    <row r="10278" customFormat="1" ht="17.25" customHeight="1"/>
    <row r="10279" customFormat="1" ht="17.25" customHeight="1"/>
    <row r="10280" customFormat="1" ht="17.25" customHeight="1"/>
    <row r="10281" customFormat="1" ht="17.25" customHeight="1"/>
    <row r="10282" customFormat="1" ht="17.25" customHeight="1"/>
    <row r="10283" customFormat="1" ht="17.25" customHeight="1"/>
    <row r="10284" customFormat="1" ht="17.25" customHeight="1"/>
    <row r="10285" customFormat="1" ht="17.25" customHeight="1"/>
    <row r="10286" customFormat="1" ht="17.25" customHeight="1"/>
    <row r="10287" customFormat="1" ht="17.25" customHeight="1"/>
    <row r="10288" customFormat="1" ht="17.25" customHeight="1"/>
    <row r="10289" customFormat="1" ht="17.25" customHeight="1"/>
    <row r="10290" customFormat="1" ht="17.25" customHeight="1"/>
    <row r="10291" customFormat="1" ht="17.25" customHeight="1"/>
    <row r="10292" customFormat="1" ht="17.25" customHeight="1"/>
    <row r="10293" customFormat="1" ht="17.25" customHeight="1"/>
    <row r="10294" customFormat="1" ht="17.25" customHeight="1"/>
    <row r="10295" customFormat="1" ht="17.25" customHeight="1"/>
    <row r="10296" customFormat="1" ht="17.25" customHeight="1"/>
    <row r="10297" customFormat="1" ht="17.25" customHeight="1"/>
    <row r="10298" customFormat="1" ht="17.25" customHeight="1"/>
    <row r="10299" customFormat="1" ht="17.25" customHeight="1"/>
    <row r="10300" customFormat="1" ht="17.25" customHeight="1"/>
    <row r="10301" customFormat="1" ht="17.25" customHeight="1"/>
    <row r="10302" customFormat="1" ht="17.25" customHeight="1"/>
    <row r="10303" customFormat="1" ht="17.25" customHeight="1"/>
    <row r="10304" customFormat="1" ht="17.25" customHeight="1"/>
    <row r="10305" customFormat="1" ht="17.25" customHeight="1"/>
    <row r="10306" customFormat="1" ht="17.25" customHeight="1"/>
    <row r="10307" customFormat="1" ht="17.25" customHeight="1"/>
    <row r="10308" customFormat="1" ht="17.25" customHeight="1"/>
    <row r="10309" customFormat="1" ht="17.25" customHeight="1"/>
    <row r="10310" customFormat="1" ht="17.25" customHeight="1"/>
    <row r="10311" customFormat="1" ht="17.25" customHeight="1"/>
    <row r="10312" customFormat="1" ht="17.25" customHeight="1"/>
    <row r="10313" customFormat="1" ht="17.25" customHeight="1"/>
    <row r="10314" customFormat="1" ht="17.25" customHeight="1"/>
    <row r="10315" customFormat="1" ht="17.25" customHeight="1"/>
    <row r="10316" customFormat="1" ht="17.25" customHeight="1"/>
    <row r="10317" customFormat="1" ht="17.25" customHeight="1"/>
    <row r="10318" customFormat="1" ht="17.25" customHeight="1"/>
    <row r="10319" customFormat="1" ht="17.25" customHeight="1"/>
    <row r="10320" customFormat="1" ht="17.25" customHeight="1"/>
    <row r="10321" customFormat="1" ht="17.25" customHeight="1"/>
    <row r="10322" customFormat="1" ht="17.25" customHeight="1"/>
    <row r="10323" customFormat="1" ht="17.25" customHeight="1"/>
    <row r="10324" customFormat="1" ht="17.25" customHeight="1"/>
    <row r="10325" customFormat="1" ht="17.25" customHeight="1"/>
    <row r="10326" customFormat="1" ht="17.25" customHeight="1"/>
    <row r="10327" customFormat="1" ht="17.25" customHeight="1"/>
    <row r="10328" customFormat="1" ht="17.25" customHeight="1"/>
    <row r="10329" customFormat="1" ht="17.25" customHeight="1"/>
    <row r="10330" customFormat="1" ht="17.25" customHeight="1"/>
    <row r="10331" customFormat="1" ht="17.25" customHeight="1"/>
    <row r="10332" customFormat="1" ht="17.25" customHeight="1"/>
    <row r="10333" customFormat="1" ht="17.25" customHeight="1"/>
    <row r="10334" customFormat="1" ht="17.25" customHeight="1"/>
    <row r="10335" customFormat="1" ht="17.25" customHeight="1"/>
    <row r="10336" customFormat="1" ht="17.25" customHeight="1"/>
    <row r="10337" customFormat="1" ht="17.25" customHeight="1"/>
    <row r="10338" customFormat="1" ht="17.25" customHeight="1"/>
    <row r="10339" customFormat="1" ht="17.25" customHeight="1"/>
    <row r="10340" customFormat="1" ht="17.25" customHeight="1"/>
    <row r="10341" customFormat="1" ht="17.25" customHeight="1"/>
    <row r="10342" customFormat="1" ht="17.25" customHeight="1"/>
    <row r="10343" customFormat="1" ht="17.25" customHeight="1"/>
    <row r="10344" customFormat="1" ht="17.25" customHeight="1"/>
    <row r="10345" customFormat="1" ht="17.25" customHeight="1"/>
    <row r="10346" customFormat="1" ht="17.25" customHeight="1"/>
    <row r="10347" customFormat="1" ht="17.25" customHeight="1"/>
    <row r="10348" customFormat="1" ht="17.25" customHeight="1"/>
    <row r="10349" customFormat="1" ht="17.25" customHeight="1"/>
    <row r="10350" customFormat="1" ht="17.25" customHeight="1"/>
    <row r="10351" customFormat="1" ht="17.25" customHeight="1"/>
    <row r="10352" customFormat="1" ht="17.25" customHeight="1"/>
    <row r="10353" customFormat="1" ht="17.25" customHeight="1"/>
    <row r="10354" customFormat="1" ht="17.25" customHeight="1"/>
    <row r="10355" customFormat="1" ht="17.25" customHeight="1"/>
    <row r="10356" customFormat="1" ht="17.25" customHeight="1"/>
    <row r="10357" customFormat="1" ht="17.25" customHeight="1"/>
    <row r="10358" customFormat="1" ht="17.25" customHeight="1"/>
    <row r="10359" customFormat="1" ht="17.25" customHeight="1"/>
    <row r="10360" customFormat="1" ht="17.25" customHeight="1"/>
    <row r="10361" customFormat="1" ht="17.25" customHeight="1"/>
    <row r="10362" customFormat="1" ht="17.25" customHeight="1"/>
    <row r="10363" customFormat="1" ht="17.25" customHeight="1"/>
    <row r="10364" customFormat="1" ht="17.25" customHeight="1"/>
    <row r="10365" customFormat="1" ht="17.25" customHeight="1"/>
    <row r="10366" customFormat="1" ht="17.25" customHeight="1"/>
    <row r="10367" customFormat="1" ht="17.25" customHeight="1"/>
    <row r="10368" customFormat="1" ht="17.25" customHeight="1"/>
    <row r="10369" customFormat="1" ht="17.25" customHeight="1"/>
    <row r="10370" customFormat="1" ht="17.25" customHeight="1"/>
    <row r="10371" customFormat="1" ht="17.25" customHeight="1"/>
    <row r="10372" customFormat="1" ht="17.25" customHeight="1"/>
    <row r="10373" customFormat="1" ht="17.25" customHeight="1"/>
    <row r="10374" customFormat="1" ht="17.25" customHeight="1"/>
    <row r="10375" customFormat="1" ht="17.25" customHeight="1"/>
    <row r="10376" customFormat="1" ht="17.25" customHeight="1"/>
    <row r="10377" customFormat="1" ht="17.25" customHeight="1"/>
    <row r="10378" customFormat="1" ht="17.25" customHeight="1"/>
    <row r="10379" customFormat="1" ht="17.25" customHeight="1"/>
    <row r="10380" customFormat="1" ht="17.25" customHeight="1"/>
    <row r="10381" customFormat="1" ht="17.25" customHeight="1"/>
    <row r="10382" customFormat="1" ht="17.25" customHeight="1"/>
    <row r="10383" customFormat="1" ht="17.25" customHeight="1"/>
    <row r="10384" customFormat="1" ht="17.25" customHeight="1"/>
    <row r="10385" customFormat="1" ht="17.25" customHeight="1"/>
    <row r="10386" customFormat="1" ht="17.25" customHeight="1"/>
    <row r="10387" customFormat="1" ht="17.25" customHeight="1"/>
    <row r="10388" customFormat="1" ht="17.25" customHeight="1"/>
    <row r="10389" customFormat="1" ht="17.25" customHeight="1"/>
    <row r="10390" customFormat="1" ht="17.25" customHeight="1"/>
    <row r="10391" customFormat="1" ht="17.25" customHeight="1"/>
    <row r="10392" customFormat="1" ht="17.25" customHeight="1"/>
    <row r="10393" customFormat="1" ht="17.25" customHeight="1"/>
    <row r="10394" customFormat="1" ht="17.25" customHeight="1"/>
    <row r="10395" customFormat="1" ht="17.25" customHeight="1"/>
    <row r="10396" customFormat="1" ht="17.25" customHeight="1"/>
    <row r="10397" customFormat="1" ht="17.25" customHeight="1"/>
    <row r="10398" customFormat="1" ht="17.25" customHeight="1"/>
    <row r="10399" customFormat="1" ht="17.25" customHeight="1"/>
    <row r="10400" customFormat="1" ht="17.25" customHeight="1"/>
    <row r="10401" customFormat="1" ht="17.25" customHeight="1"/>
    <row r="10402" customFormat="1" ht="17.25" customHeight="1"/>
    <row r="10403" customFormat="1" ht="17.25" customHeight="1"/>
    <row r="10404" customFormat="1" ht="17.25" customHeight="1"/>
    <row r="10405" customFormat="1" ht="17.25" customHeight="1"/>
    <row r="10406" customFormat="1" ht="17.25" customHeight="1"/>
    <row r="10407" customFormat="1" ht="17.25" customHeight="1"/>
    <row r="10408" customFormat="1" ht="17.25" customHeight="1"/>
    <row r="10409" customFormat="1" ht="17.25" customHeight="1"/>
    <row r="10410" customFormat="1" ht="17.25" customHeight="1"/>
    <row r="10411" customFormat="1" ht="17.25" customHeight="1"/>
    <row r="10412" customFormat="1" ht="17.25" customHeight="1"/>
    <row r="10413" customFormat="1" ht="17.25" customHeight="1"/>
    <row r="10414" customFormat="1" ht="17.25" customHeight="1"/>
    <row r="10415" customFormat="1" ht="17.25" customHeight="1"/>
    <row r="10416" customFormat="1" ht="17.25" customHeight="1"/>
    <row r="10417" customFormat="1" ht="17.25" customHeight="1"/>
    <row r="10418" customFormat="1" ht="17.25" customHeight="1"/>
    <row r="10419" customFormat="1" ht="17.25" customHeight="1"/>
    <row r="10420" customFormat="1" ht="17.25" customHeight="1"/>
    <row r="10421" customFormat="1" ht="17.25" customHeight="1"/>
    <row r="10422" customFormat="1" ht="17.25" customHeight="1"/>
    <row r="10423" customFormat="1" ht="17.25" customHeight="1"/>
    <row r="10424" customFormat="1" ht="17.25" customHeight="1"/>
    <row r="10425" customFormat="1" ht="17.25" customHeight="1"/>
    <row r="10426" customFormat="1" ht="17.25" customHeight="1"/>
    <row r="10427" customFormat="1" ht="17.25" customHeight="1"/>
    <row r="10428" customFormat="1" ht="17.25" customHeight="1"/>
    <row r="10429" customFormat="1" ht="17.25" customHeight="1"/>
    <row r="10430" customFormat="1" ht="17.25" customHeight="1"/>
    <row r="10431" customFormat="1" ht="17.25" customHeight="1"/>
    <row r="10432" customFormat="1" ht="17.25" customHeight="1"/>
    <row r="10433" customFormat="1" ht="17.25" customHeight="1"/>
    <row r="10434" customFormat="1" ht="17.25" customHeight="1"/>
    <row r="10435" customFormat="1" ht="17.25" customHeight="1"/>
    <row r="10436" customFormat="1" ht="17.25" customHeight="1"/>
    <row r="10437" customFormat="1" ht="17.25" customHeight="1"/>
    <row r="10438" customFormat="1" ht="17.25" customHeight="1"/>
    <row r="10439" customFormat="1" ht="17.25" customHeight="1"/>
    <row r="10440" customFormat="1" ht="17.25" customHeight="1"/>
    <row r="10441" customFormat="1" ht="17.25" customHeight="1"/>
    <row r="10442" customFormat="1" ht="17.25" customHeight="1"/>
    <row r="10443" customFormat="1" ht="17.25" customHeight="1"/>
    <row r="10444" customFormat="1" ht="17.25" customHeight="1"/>
    <row r="10445" customFormat="1" ht="17.25" customHeight="1"/>
    <row r="10446" customFormat="1" ht="17.25" customHeight="1"/>
    <row r="10447" customFormat="1" ht="17.25" customHeight="1"/>
    <row r="10448" customFormat="1" ht="17.25" customHeight="1"/>
    <row r="10449" customFormat="1" ht="17.25" customHeight="1"/>
    <row r="10450" customFormat="1" ht="17.25" customHeight="1"/>
    <row r="10451" customFormat="1" ht="17.25" customHeight="1"/>
    <row r="10452" customFormat="1" ht="17.25" customHeight="1"/>
    <row r="10453" customFormat="1" ht="17.25" customHeight="1"/>
    <row r="10454" customFormat="1" ht="17.25" customHeight="1"/>
    <row r="10455" customFormat="1" ht="17.25" customHeight="1"/>
    <row r="10456" customFormat="1" ht="17.25" customHeight="1"/>
    <row r="10457" customFormat="1" ht="17.25" customHeight="1"/>
    <row r="10458" customFormat="1" ht="17.25" customHeight="1"/>
    <row r="10459" customFormat="1" ht="17.25" customHeight="1"/>
    <row r="10460" customFormat="1" ht="17.25" customHeight="1"/>
    <row r="10461" customFormat="1" ht="17.25" customHeight="1"/>
    <row r="10462" customFormat="1" ht="17.25" customHeight="1"/>
    <row r="10463" customFormat="1" ht="17.25" customHeight="1"/>
    <row r="10464" customFormat="1" ht="17.25" customHeight="1"/>
    <row r="10465" customFormat="1" ht="17.25" customHeight="1"/>
    <row r="10466" customFormat="1" ht="17.25" customHeight="1"/>
    <row r="10467" customFormat="1" ht="17.25" customHeight="1"/>
    <row r="10468" customFormat="1" ht="17.25" customHeight="1"/>
    <row r="10469" customFormat="1" ht="17.25" customHeight="1"/>
    <row r="10470" customFormat="1" ht="17.25" customHeight="1"/>
    <row r="10471" customFormat="1" ht="17.25" customHeight="1"/>
    <row r="10472" customFormat="1" ht="17.25" customHeight="1"/>
    <row r="10473" customFormat="1" ht="17.25" customHeight="1"/>
    <row r="10474" customFormat="1" ht="17.25" customHeight="1"/>
    <row r="10475" customFormat="1" ht="17.25" customHeight="1"/>
    <row r="10476" customFormat="1" ht="17.25" customHeight="1"/>
    <row r="10477" customFormat="1" ht="17.25" customHeight="1"/>
    <row r="10478" customFormat="1" ht="17.25" customHeight="1"/>
    <row r="10479" customFormat="1" ht="17.25" customHeight="1"/>
    <row r="10480" customFormat="1" ht="17.25" customHeight="1"/>
    <row r="10481" customFormat="1" ht="17.25" customHeight="1"/>
    <row r="10482" customFormat="1" ht="17.25" customHeight="1"/>
    <row r="10483" customFormat="1" ht="17.25" customHeight="1"/>
    <row r="10484" customFormat="1" ht="17.25" customHeight="1"/>
    <row r="10485" customFormat="1" ht="17.25" customHeight="1"/>
    <row r="10486" customFormat="1" ht="17.25" customHeight="1"/>
    <row r="10487" customFormat="1" ht="17.25" customHeight="1"/>
    <row r="10488" customFormat="1" ht="17.25" customHeight="1"/>
    <row r="10489" customFormat="1" ht="17.25" customHeight="1"/>
    <row r="10490" customFormat="1" ht="17.25" customHeight="1"/>
    <row r="10491" customFormat="1" ht="17.25" customHeight="1"/>
    <row r="10492" customFormat="1" ht="17.25" customHeight="1"/>
    <row r="10493" customFormat="1" ht="17.25" customHeight="1"/>
    <row r="10494" customFormat="1" ht="17.25" customHeight="1"/>
    <row r="10495" customFormat="1" ht="17.25" customHeight="1"/>
    <row r="10496" customFormat="1" ht="17.25" customHeight="1"/>
    <row r="10497" customFormat="1" ht="17.25" customHeight="1"/>
    <row r="10498" customFormat="1" ht="17.25" customHeight="1"/>
    <row r="10499" customFormat="1" ht="17.25" customHeight="1"/>
    <row r="10500" customFormat="1" ht="17.25" customHeight="1"/>
    <row r="10501" customFormat="1" ht="17.25" customHeight="1"/>
    <row r="10502" customFormat="1" ht="17.25" customHeight="1"/>
    <row r="10503" customFormat="1" ht="17.25" customHeight="1"/>
    <row r="10504" customFormat="1" ht="17.25" customHeight="1"/>
    <row r="10505" customFormat="1" ht="17.25" customHeight="1"/>
    <row r="10506" customFormat="1" ht="17.25" customHeight="1"/>
    <row r="10507" customFormat="1" ht="17.25" customHeight="1"/>
    <row r="10508" customFormat="1" ht="17.25" customHeight="1"/>
    <row r="10509" customFormat="1" ht="17.25" customHeight="1"/>
    <row r="10510" customFormat="1" ht="17.25" customHeight="1"/>
    <row r="10511" customFormat="1" ht="17.25" customHeight="1"/>
    <row r="10512" customFormat="1" ht="17.25" customHeight="1"/>
    <row r="10513" customFormat="1" ht="17.25" customHeight="1"/>
    <row r="10514" customFormat="1" ht="17.25" customHeight="1"/>
    <row r="10515" customFormat="1" ht="17.25" customHeight="1"/>
    <row r="10516" customFormat="1" ht="17.25" customHeight="1"/>
    <row r="10517" customFormat="1" ht="17.25" customHeight="1"/>
    <row r="10518" customFormat="1" ht="17.25" customHeight="1"/>
    <row r="10519" customFormat="1" ht="17.25" customHeight="1"/>
    <row r="10520" customFormat="1" ht="17.25" customHeight="1"/>
    <row r="10521" customFormat="1" ht="17.25" customHeight="1"/>
    <row r="10522" customFormat="1" ht="17.25" customHeight="1"/>
    <row r="10523" customFormat="1" ht="17.25" customHeight="1"/>
    <row r="10524" customFormat="1" ht="17.25" customHeight="1"/>
    <row r="10525" customFormat="1" ht="17.25" customHeight="1"/>
    <row r="10526" customFormat="1" ht="17.25" customHeight="1"/>
    <row r="10527" customFormat="1" ht="17.25" customHeight="1"/>
    <row r="10528" customFormat="1" ht="17.25" customHeight="1"/>
    <row r="10529" customFormat="1" ht="17.25" customHeight="1"/>
    <row r="10530" customFormat="1" ht="17.25" customHeight="1"/>
    <row r="10531" customFormat="1" ht="17.25" customHeight="1"/>
    <row r="10532" customFormat="1" ht="17.25" customHeight="1"/>
    <row r="10533" customFormat="1" ht="17.25" customHeight="1"/>
    <row r="10534" customFormat="1" ht="17.25" customHeight="1"/>
    <row r="10535" customFormat="1" ht="17.25" customHeight="1"/>
    <row r="10536" customFormat="1" ht="17.25" customHeight="1"/>
    <row r="10537" customFormat="1" ht="17.25" customHeight="1"/>
    <row r="10538" customFormat="1" ht="17.25" customHeight="1"/>
    <row r="10539" customFormat="1" ht="17.25" customHeight="1"/>
    <row r="10540" customFormat="1" ht="17.25" customHeight="1"/>
    <row r="10541" customFormat="1" ht="17.25" customHeight="1"/>
    <row r="10542" customFormat="1" ht="17.25" customHeight="1"/>
    <row r="10543" customFormat="1" ht="17.25" customHeight="1"/>
    <row r="10544" customFormat="1" ht="17.25" customHeight="1"/>
    <row r="10545" customFormat="1" ht="17.25" customHeight="1"/>
    <row r="10546" customFormat="1" ht="17.25" customHeight="1"/>
    <row r="10547" customFormat="1" ht="17.25" customHeight="1"/>
    <row r="10548" customFormat="1" ht="17.25" customHeight="1"/>
    <row r="10549" customFormat="1" ht="17.25" customHeight="1"/>
    <row r="10550" customFormat="1" ht="17.25" customHeight="1"/>
    <row r="10551" customFormat="1" ht="17.25" customHeight="1"/>
    <row r="10552" customFormat="1" ht="17.25" customHeight="1"/>
    <row r="10553" customFormat="1" ht="17.25" customHeight="1"/>
    <row r="10554" customFormat="1" ht="17.25" customHeight="1"/>
    <row r="10555" customFormat="1" ht="17.25" customHeight="1"/>
    <row r="10556" customFormat="1" ht="17.25" customHeight="1"/>
    <row r="10557" customFormat="1" ht="17.25" customHeight="1"/>
    <row r="10558" customFormat="1" ht="17.25" customHeight="1"/>
    <row r="10559" customFormat="1" ht="17.25" customHeight="1"/>
    <row r="10560" customFormat="1" ht="17.25" customHeight="1"/>
    <row r="10561" customFormat="1" ht="17.25" customHeight="1"/>
    <row r="10562" customFormat="1" ht="17.25" customHeight="1"/>
    <row r="10563" customFormat="1" ht="17.25" customHeight="1"/>
    <row r="10564" customFormat="1" ht="17.25" customHeight="1"/>
    <row r="10565" customFormat="1" ht="17.25" customHeight="1"/>
    <row r="10566" customFormat="1" ht="17.25" customHeight="1"/>
    <row r="10567" customFormat="1" ht="17.25" customHeight="1"/>
    <row r="10568" customFormat="1" ht="17.25" customHeight="1"/>
    <row r="10569" customFormat="1" ht="17.25" customHeight="1"/>
    <row r="10570" customFormat="1" ht="17.25" customHeight="1"/>
    <row r="10571" customFormat="1" ht="17.25" customHeight="1"/>
    <row r="10572" customFormat="1" ht="17.25" customHeight="1"/>
    <row r="10573" customFormat="1" ht="17.25" customHeight="1"/>
    <row r="10574" customFormat="1" ht="17.25" customHeight="1"/>
    <row r="10575" customFormat="1" ht="17.25" customHeight="1"/>
    <row r="10576" customFormat="1" ht="17.25" customHeight="1"/>
    <row r="10577" customFormat="1" ht="17.25" customHeight="1"/>
    <row r="10578" customFormat="1" ht="17.25" customHeight="1"/>
    <row r="10579" customFormat="1" ht="17.25" customHeight="1"/>
    <row r="10580" customFormat="1" ht="17.25" customHeight="1"/>
    <row r="10581" customFormat="1" ht="17.25" customHeight="1"/>
    <row r="10582" customFormat="1" ht="17.25" customHeight="1"/>
    <row r="10583" customFormat="1" ht="17.25" customHeight="1"/>
    <row r="10584" customFormat="1" ht="17.25" customHeight="1"/>
    <row r="10585" customFormat="1" ht="17.25" customHeight="1"/>
    <row r="10586" customFormat="1" ht="17.25" customHeight="1"/>
    <row r="10587" customFormat="1" ht="17.25" customHeight="1"/>
    <row r="10588" customFormat="1" ht="17.25" customHeight="1"/>
    <row r="10589" customFormat="1" ht="17.25" customHeight="1"/>
    <row r="10590" customFormat="1" ht="17.25" customHeight="1"/>
    <row r="10591" customFormat="1" ht="17.25" customHeight="1"/>
    <row r="10592" customFormat="1" ht="17.25" customHeight="1"/>
    <row r="10593" customFormat="1" ht="17.25" customHeight="1"/>
    <row r="10594" customFormat="1" ht="17.25" customHeight="1"/>
    <row r="10595" customFormat="1" ht="17.25" customHeight="1"/>
    <row r="10596" customFormat="1" ht="17.25" customHeight="1"/>
    <row r="10597" customFormat="1" ht="17.25" customHeight="1"/>
    <row r="10598" customFormat="1" ht="17.25" customHeight="1"/>
    <row r="10599" customFormat="1" ht="17.25" customHeight="1"/>
    <row r="10600" customFormat="1" ht="17.25" customHeight="1"/>
    <row r="10601" customFormat="1" ht="17.25" customHeight="1"/>
    <row r="10602" customFormat="1" ht="17.25" customHeight="1"/>
    <row r="10603" customFormat="1" ht="17.25" customHeight="1"/>
    <row r="10604" customFormat="1" ht="17.25" customHeight="1"/>
    <row r="10605" customFormat="1" ht="17.25" customHeight="1"/>
    <row r="10606" customFormat="1" ht="17.25" customHeight="1"/>
    <row r="10607" customFormat="1" ht="17.25" customHeight="1"/>
    <row r="10608" customFormat="1" ht="17.25" customHeight="1"/>
    <row r="10609" customFormat="1" ht="17.25" customHeight="1"/>
    <row r="10610" customFormat="1" ht="17.25" customHeight="1"/>
    <row r="10611" customFormat="1" ht="17.25" customHeight="1"/>
    <row r="10612" customFormat="1" ht="17.25" customHeight="1"/>
    <row r="10613" customFormat="1" ht="17.25" customHeight="1"/>
    <row r="10614" customFormat="1" ht="17.25" customHeight="1"/>
    <row r="10615" customFormat="1" ht="17.25" customHeight="1"/>
    <row r="10616" customFormat="1" ht="17.25" customHeight="1"/>
    <row r="10617" customFormat="1" ht="17.25" customHeight="1"/>
    <row r="10618" customFormat="1" ht="17.25" customHeight="1"/>
    <row r="10619" customFormat="1" ht="17.25" customHeight="1"/>
    <row r="10620" customFormat="1" ht="17.25" customHeight="1"/>
    <row r="10621" customFormat="1" ht="17.25" customHeight="1"/>
    <row r="10622" customFormat="1" ht="17.25" customHeight="1"/>
    <row r="10623" customFormat="1" ht="17.25" customHeight="1"/>
    <row r="10624" customFormat="1" ht="17.25" customHeight="1"/>
    <row r="10625" customFormat="1" ht="17.25" customHeight="1"/>
    <row r="10626" customFormat="1" ht="17.25" customHeight="1"/>
    <row r="10627" customFormat="1" ht="17.25" customHeight="1"/>
    <row r="10628" customFormat="1" ht="17.25" customHeight="1"/>
    <row r="10629" customFormat="1" ht="17.25" customHeight="1"/>
    <row r="10630" customFormat="1" ht="17.25" customHeight="1"/>
    <row r="10631" customFormat="1" ht="17.25" customHeight="1"/>
    <row r="10632" customFormat="1" ht="17.25" customHeight="1"/>
    <row r="10633" customFormat="1" ht="17.25" customHeight="1"/>
    <row r="10634" customFormat="1" ht="17.25" customHeight="1"/>
    <row r="10635" customFormat="1" ht="17.25" customHeight="1"/>
    <row r="10636" customFormat="1" ht="17.25" customHeight="1"/>
    <row r="10637" customFormat="1" ht="17.25" customHeight="1"/>
    <row r="10638" customFormat="1" ht="17.25" customHeight="1"/>
    <row r="10639" customFormat="1" ht="17.25" customHeight="1"/>
    <row r="10640" customFormat="1" ht="17.25" customHeight="1"/>
    <row r="10641" customFormat="1" ht="17.25" customHeight="1"/>
    <row r="10642" customFormat="1" ht="17.25" customHeight="1"/>
    <row r="10643" customFormat="1" ht="17.25" customHeight="1"/>
    <row r="10644" customFormat="1" ht="17.25" customHeight="1"/>
    <row r="10645" customFormat="1" ht="17.25" customHeight="1"/>
    <row r="10646" customFormat="1" ht="17.25" customHeight="1"/>
    <row r="10647" customFormat="1" ht="17.25" customHeight="1"/>
    <row r="10648" customFormat="1" ht="17.25" customHeight="1"/>
    <row r="10649" customFormat="1" ht="17.25" customHeight="1"/>
    <row r="10650" customFormat="1" ht="17.25" customHeight="1"/>
    <row r="10651" customFormat="1" ht="17.25" customHeight="1"/>
    <row r="10652" customFormat="1" ht="17.25" customHeight="1"/>
    <row r="10653" customFormat="1" ht="17.25" customHeight="1"/>
    <row r="10654" customFormat="1" ht="17.25" customHeight="1"/>
    <row r="10655" customFormat="1" ht="17.25" customHeight="1"/>
    <row r="10656" customFormat="1" ht="17.25" customHeight="1"/>
    <row r="10657" customFormat="1" ht="17.25" customHeight="1"/>
    <row r="10658" customFormat="1" ht="17.25" customHeight="1"/>
    <row r="10659" customFormat="1" ht="17.25" customHeight="1"/>
    <row r="10660" customFormat="1" ht="17.25" customHeight="1"/>
    <row r="10661" customFormat="1" ht="17.25" customHeight="1"/>
    <row r="10662" customFormat="1" ht="17.25" customHeight="1"/>
    <row r="10663" customFormat="1" ht="17.25" customHeight="1"/>
    <row r="10664" customFormat="1" ht="17.25" customHeight="1"/>
    <row r="10665" customFormat="1" ht="17.25" customHeight="1"/>
    <row r="10666" customFormat="1" ht="17.25" customHeight="1"/>
    <row r="10667" customFormat="1" ht="17.25" customHeight="1"/>
    <row r="10668" customFormat="1" ht="17.25" customHeight="1"/>
    <row r="10669" customFormat="1" ht="17.25" customHeight="1"/>
    <row r="10670" customFormat="1" ht="17.25" customHeight="1"/>
    <row r="10671" customFormat="1" ht="17.25" customHeight="1"/>
    <row r="10672" customFormat="1" ht="17.25" customHeight="1"/>
    <row r="10673" customFormat="1" ht="17.25" customHeight="1"/>
    <row r="10674" customFormat="1" ht="17.25" customHeight="1"/>
    <row r="10675" customFormat="1" ht="17.25" customHeight="1"/>
    <row r="10676" customFormat="1" ht="17.25" customHeight="1"/>
    <row r="10677" customFormat="1" ht="17.25" customHeight="1"/>
    <row r="10678" customFormat="1" ht="17.25" customHeight="1"/>
    <row r="10679" customFormat="1" ht="17.25" customHeight="1"/>
    <row r="10680" customFormat="1" ht="17.25" customHeight="1"/>
    <row r="10681" customFormat="1" ht="17.25" customHeight="1"/>
    <row r="10682" customFormat="1" ht="17.25" customHeight="1"/>
    <row r="10683" customFormat="1" ht="17.25" customHeight="1"/>
    <row r="10684" customFormat="1" ht="17.25" customHeight="1"/>
    <row r="10685" customFormat="1" ht="17.25" customHeight="1"/>
    <row r="10686" customFormat="1" ht="17.25" customHeight="1"/>
    <row r="10687" customFormat="1" ht="17.25" customHeight="1"/>
    <row r="10688" customFormat="1" ht="17.25" customHeight="1"/>
    <row r="10689" customFormat="1" ht="17.25" customHeight="1"/>
    <row r="10690" customFormat="1" ht="17.25" customHeight="1"/>
    <row r="10691" customFormat="1" ht="17.25" customHeight="1"/>
    <row r="10692" customFormat="1" ht="17.25" customHeight="1"/>
    <row r="10693" customFormat="1" ht="17.25" customHeight="1"/>
    <row r="10694" customFormat="1" ht="17.25" customHeight="1"/>
    <row r="10695" customFormat="1" ht="17.25" customHeight="1"/>
    <row r="10696" customFormat="1" ht="17.25" customHeight="1"/>
    <row r="10697" customFormat="1" ht="17.25" customHeight="1"/>
    <row r="10698" customFormat="1" ht="17.25" customHeight="1"/>
    <row r="10699" customFormat="1" ht="17.25" customHeight="1"/>
    <row r="10700" customFormat="1" ht="17.25" customHeight="1"/>
    <row r="10701" customFormat="1" ht="17.25" customHeight="1"/>
    <row r="10702" customFormat="1" ht="17.25" customHeight="1"/>
    <row r="10703" customFormat="1" ht="17.25" customHeight="1"/>
    <row r="10704" customFormat="1" ht="17.25" customHeight="1"/>
    <row r="10705" customFormat="1" ht="17.25" customHeight="1"/>
    <row r="10706" customFormat="1" ht="17.25" customHeight="1"/>
    <row r="10707" customFormat="1" ht="17.25" customHeight="1"/>
    <row r="10708" customFormat="1" ht="17.25" customHeight="1"/>
    <row r="10709" customFormat="1" ht="17.25" customHeight="1"/>
    <row r="10710" customFormat="1" ht="17.25" customHeight="1"/>
    <row r="10711" customFormat="1" ht="17.25" customHeight="1"/>
    <row r="10712" customFormat="1" ht="17.25" customHeight="1"/>
    <row r="10713" customFormat="1" ht="17.25" customHeight="1"/>
    <row r="10714" customFormat="1" ht="17.25" customHeight="1"/>
    <row r="10715" customFormat="1" ht="17.25" customHeight="1"/>
    <row r="10716" customFormat="1" ht="17.25" customHeight="1"/>
    <row r="10717" customFormat="1" ht="17.25" customHeight="1"/>
    <row r="10718" customFormat="1" ht="17.25" customHeight="1"/>
    <row r="10719" customFormat="1" ht="17.25" customHeight="1"/>
    <row r="10720" customFormat="1" ht="17.25" customHeight="1"/>
    <row r="10721" customFormat="1" ht="17.25" customHeight="1"/>
    <row r="10722" customFormat="1" ht="17.25" customHeight="1"/>
    <row r="10723" customFormat="1" ht="17.25" customHeight="1"/>
    <row r="10724" customFormat="1" ht="17.25" customHeight="1"/>
    <row r="10725" customFormat="1" ht="17.25" customHeight="1"/>
    <row r="10726" customFormat="1" ht="17.25" customHeight="1"/>
    <row r="10727" customFormat="1" ht="17.25" customHeight="1"/>
    <row r="10728" customFormat="1" ht="17.25" customHeight="1"/>
    <row r="10729" customFormat="1" ht="17.25" customHeight="1"/>
    <row r="10730" customFormat="1" ht="17.25" customHeight="1"/>
    <row r="10731" customFormat="1" ht="17.25" customHeight="1"/>
    <row r="10732" customFormat="1" ht="17.25" customHeight="1"/>
    <row r="10733" customFormat="1" ht="17.25" customHeight="1"/>
    <row r="10734" customFormat="1" ht="17.25" customHeight="1"/>
    <row r="10735" customFormat="1" ht="17.25" customHeight="1"/>
    <row r="10736" customFormat="1" ht="17.25" customHeight="1"/>
    <row r="10737" customFormat="1" ht="17.25" customHeight="1"/>
    <row r="10738" customFormat="1" ht="17.25" customHeight="1"/>
    <row r="10739" customFormat="1" ht="17.25" customHeight="1"/>
    <row r="10740" customFormat="1" ht="17.25" customHeight="1"/>
    <row r="10741" customFormat="1" ht="17.25" customHeight="1"/>
    <row r="10742" customFormat="1" ht="17.25" customHeight="1"/>
    <row r="10743" customFormat="1" ht="17.25" customHeight="1"/>
    <row r="10744" customFormat="1" ht="17.25" customHeight="1"/>
    <row r="10745" customFormat="1" ht="17.25" customHeight="1"/>
    <row r="10746" customFormat="1" ht="17.25" customHeight="1"/>
    <row r="10747" customFormat="1" ht="17.25" customHeight="1"/>
    <row r="10748" customFormat="1" ht="17.25" customHeight="1"/>
    <row r="10749" customFormat="1" ht="17.25" customHeight="1"/>
    <row r="10750" customFormat="1" ht="17.25" customHeight="1"/>
    <row r="10751" customFormat="1" ht="17.25" customHeight="1"/>
    <row r="10752" customFormat="1" ht="17.25" customHeight="1"/>
    <row r="10753" customFormat="1" ht="17.25" customHeight="1"/>
    <row r="10754" customFormat="1" ht="17.25" customHeight="1"/>
    <row r="10755" customFormat="1" ht="17.25" customHeight="1"/>
    <row r="10756" customFormat="1" ht="17.25" customHeight="1"/>
    <row r="10757" customFormat="1" ht="17.25" customHeight="1"/>
    <row r="10758" customFormat="1" ht="17.25" customHeight="1"/>
    <row r="10759" customFormat="1" ht="17.25" customHeight="1"/>
    <row r="10760" customFormat="1" ht="17.25" customHeight="1"/>
    <row r="10761" customFormat="1" ht="17.25" customHeight="1"/>
    <row r="10762" customFormat="1" ht="17.25" customHeight="1"/>
    <row r="10763" customFormat="1" ht="17.25" customHeight="1"/>
    <row r="10764" customFormat="1" ht="17.25" customHeight="1"/>
    <row r="10765" customFormat="1" ht="17.25" customHeight="1"/>
    <row r="10766" customFormat="1" ht="17.25" customHeight="1"/>
    <row r="10767" customFormat="1" ht="17.25" customHeight="1"/>
    <row r="10768" customFormat="1" ht="17.25" customHeight="1"/>
    <row r="10769" customFormat="1" ht="17.25" customHeight="1"/>
    <row r="10770" customFormat="1" ht="17.25" customHeight="1"/>
    <row r="10771" customFormat="1" ht="17.25" customHeight="1"/>
    <row r="10772" customFormat="1" ht="17.25" customHeight="1"/>
    <row r="10773" customFormat="1" ht="17.25" customHeight="1"/>
    <row r="10774" customFormat="1" ht="17.25" customHeight="1"/>
    <row r="10775" customFormat="1" ht="17.25" customHeight="1"/>
    <row r="10776" customFormat="1" ht="17.25" customHeight="1"/>
    <row r="10777" customFormat="1" ht="17.25" customHeight="1"/>
    <row r="10778" customFormat="1" ht="17.25" customHeight="1"/>
    <row r="10779" customFormat="1" ht="17.25" customHeight="1"/>
    <row r="10780" customFormat="1" ht="17.25" customHeight="1"/>
    <row r="10781" customFormat="1" ht="17.25" customHeight="1"/>
    <row r="10782" customFormat="1" ht="17.25" customHeight="1"/>
    <row r="10783" customFormat="1" ht="17.25" customHeight="1"/>
    <row r="10784" customFormat="1" ht="17.25" customHeight="1"/>
    <row r="10785" customFormat="1" ht="17.25" customHeight="1"/>
    <row r="10786" customFormat="1" ht="17.25" customHeight="1"/>
    <row r="10787" customFormat="1" ht="17.25" customHeight="1"/>
    <row r="10788" customFormat="1" ht="17.25" customHeight="1"/>
    <row r="10789" customFormat="1" ht="17.25" customHeight="1"/>
    <row r="10790" customFormat="1" ht="17.25" customHeight="1"/>
    <row r="10791" customFormat="1" ht="17.25" customHeight="1"/>
    <row r="10792" customFormat="1" ht="17.25" customHeight="1"/>
    <row r="10793" customFormat="1" ht="17.25" customHeight="1"/>
    <row r="10794" customFormat="1" ht="17.25" customHeight="1"/>
    <row r="10795" customFormat="1" ht="17.25" customHeight="1"/>
    <row r="10796" customFormat="1" ht="17.25" customHeight="1"/>
    <row r="10797" customFormat="1" ht="17.25" customHeight="1"/>
    <row r="10798" customFormat="1" ht="17.25" customHeight="1"/>
    <row r="10799" customFormat="1" ht="17.25" customHeight="1"/>
    <row r="10800" customFormat="1" ht="17.25" customHeight="1"/>
    <row r="10801" customFormat="1" ht="17.25" customHeight="1"/>
    <row r="10802" customFormat="1" ht="17.25" customHeight="1"/>
    <row r="10803" customFormat="1" ht="17.25" customHeight="1"/>
    <row r="10804" customFormat="1" ht="17.25" customHeight="1"/>
    <row r="10805" customFormat="1" ht="17.25" customHeight="1"/>
    <row r="10806" customFormat="1" ht="17.25" customHeight="1"/>
    <row r="10807" customFormat="1" ht="17.25" customHeight="1"/>
    <row r="10808" customFormat="1" ht="17.25" customHeight="1"/>
    <row r="10809" customFormat="1" ht="17.25" customHeight="1"/>
    <row r="10810" customFormat="1" ht="17.25" customHeight="1"/>
    <row r="10811" customFormat="1" ht="17.25" customHeight="1"/>
    <row r="10812" customFormat="1" ht="17.25" customHeight="1"/>
    <row r="10813" customFormat="1" ht="17.25" customHeight="1"/>
    <row r="10814" customFormat="1" ht="17.25" customHeight="1"/>
    <row r="10815" customFormat="1" ht="17.25" customHeight="1"/>
    <row r="10816" customFormat="1" ht="17.25" customHeight="1"/>
    <row r="10817" customFormat="1" ht="17.25" customHeight="1"/>
    <row r="10818" customFormat="1" ht="17.25" customHeight="1"/>
    <row r="10819" customFormat="1" ht="17.25" customHeight="1"/>
    <row r="10820" customFormat="1" ht="17.25" customHeight="1"/>
    <row r="10821" customFormat="1" ht="17.25" customHeight="1"/>
    <row r="10822" customFormat="1" ht="17.25" customHeight="1"/>
    <row r="10823" customFormat="1" ht="17.25" customHeight="1"/>
    <row r="10824" customFormat="1" ht="17.25" customHeight="1"/>
    <row r="10825" customFormat="1" ht="17.25" customHeight="1"/>
    <row r="10826" customFormat="1" ht="17.25" customHeight="1"/>
    <row r="10827" customFormat="1" ht="17.25" customHeight="1"/>
    <row r="10828" customFormat="1" ht="17.25" customHeight="1"/>
    <row r="10829" customFormat="1" ht="17.25" customHeight="1"/>
    <row r="10830" customFormat="1" ht="17.25" customHeight="1"/>
    <row r="10831" customFormat="1" ht="17.25" customHeight="1"/>
    <row r="10832" customFormat="1" ht="17.25" customHeight="1"/>
    <row r="10833" customFormat="1" ht="17.25" customHeight="1"/>
    <row r="10834" customFormat="1" ht="17.25" customHeight="1"/>
    <row r="10835" customFormat="1" ht="17.25" customHeight="1"/>
    <row r="10836" customFormat="1" ht="17.25" customHeight="1"/>
    <row r="10837" customFormat="1" ht="17.25" customHeight="1"/>
    <row r="10838" customFormat="1" ht="17.25" customHeight="1"/>
    <row r="10839" customFormat="1" ht="17.25" customHeight="1"/>
    <row r="10840" customFormat="1" ht="17.25" customHeight="1"/>
    <row r="10841" customFormat="1" ht="17.25" customHeight="1"/>
    <row r="10842" customFormat="1" ht="17.25" customHeight="1"/>
    <row r="10843" customFormat="1" ht="17.25" customHeight="1"/>
    <row r="10844" customFormat="1" ht="17.25" customHeight="1"/>
    <row r="10845" customFormat="1" ht="17.25" customHeight="1"/>
    <row r="10846" customFormat="1" ht="17.25" customHeight="1"/>
    <row r="10847" customFormat="1" ht="17.25" customHeight="1"/>
    <row r="10848" customFormat="1" ht="17.25" customHeight="1"/>
    <row r="10849" customFormat="1" ht="17.25" customHeight="1"/>
    <row r="10850" customFormat="1" ht="17.25" customHeight="1"/>
    <row r="10851" customFormat="1" ht="17.25" customHeight="1"/>
    <row r="10852" customFormat="1" ht="17.25" customHeight="1"/>
    <row r="10853" customFormat="1" ht="17.25" customHeight="1"/>
    <row r="10854" customFormat="1" ht="17.25" customHeight="1"/>
    <row r="10855" customFormat="1" ht="17.25" customHeight="1"/>
    <row r="10856" customFormat="1" ht="17.25" customHeight="1"/>
    <row r="10857" customFormat="1" ht="17.25" customHeight="1"/>
    <row r="10858" customFormat="1" ht="17.25" customHeight="1"/>
    <row r="10859" customFormat="1" ht="17.25" customHeight="1"/>
    <row r="10860" customFormat="1" ht="17.25" customHeight="1"/>
    <row r="10861" customFormat="1" ht="17.25" customHeight="1"/>
    <row r="10862" customFormat="1" ht="17.25" customHeight="1"/>
    <row r="10863" customFormat="1" ht="17.25" customHeight="1"/>
    <row r="10864" customFormat="1" ht="17.25" customHeight="1"/>
    <row r="10865" customFormat="1" ht="17.25" customHeight="1"/>
    <row r="10866" customFormat="1" ht="17.25" customHeight="1"/>
    <row r="10867" customFormat="1" ht="17.25" customHeight="1"/>
    <row r="10868" customFormat="1" ht="17.25" customHeight="1"/>
    <row r="10869" customFormat="1" ht="17.25" customHeight="1"/>
    <row r="10870" customFormat="1" ht="17.25" customHeight="1"/>
    <row r="10871" customFormat="1" ht="17.25" customHeight="1"/>
    <row r="10872" customFormat="1" ht="17.25" customHeight="1"/>
    <row r="10873" customFormat="1" ht="17.25" customHeight="1"/>
    <row r="10874" customFormat="1" ht="17.25" customHeight="1"/>
    <row r="10875" customFormat="1" ht="17.25" customHeight="1"/>
    <row r="10876" customFormat="1" ht="17.25" customHeight="1"/>
    <row r="10877" customFormat="1" ht="17.25" customHeight="1"/>
    <row r="10878" customFormat="1" ht="17.25" customHeight="1"/>
    <row r="10879" customFormat="1" ht="17.25" customHeight="1"/>
    <row r="10880" customFormat="1" ht="17.25" customHeight="1"/>
    <row r="10881" customFormat="1" ht="17.25" customHeight="1"/>
    <row r="10882" customFormat="1" ht="17.25" customHeight="1"/>
    <row r="10883" customFormat="1" ht="17.25" customHeight="1"/>
    <row r="10884" customFormat="1" ht="17.25" customHeight="1"/>
    <row r="10885" customFormat="1" ht="17.25" customHeight="1"/>
    <row r="10886" customFormat="1" ht="17.25" customHeight="1"/>
    <row r="10887" customFormat="1" ht="17.25" customHeight="1"/>
    <row r="10888" customFormat="1" ht="17.25" customHeight="1"/>
    <row r="10889" customFormat="1" ht="17.25" customHeight="1"/>
    <row r="10890" customFormat="1" ht="17.25" customHeight="1"/>
    <row r="10891" customFormat="1" ht="17.25" customHeight="1"/>
    <row r="10892" customFormat="1" ht="17.25" customHeight="1"/>
    <row r="10893" customFormat="1" ht="17.25" customHeight="1"/>
    <row r="10894" customFormat="1" ht="17.25" customHeight="1"/>
    <row r="10895" customFormat="1" ht="17.25" customHeight="1"/>
    <row r="10896" customFormat="1" ht="17.25" customHeight="1"/>
    <row r="10897" customFormat="1" ht="17.25" customHeight="1"/>
    <row r="10898" customFormat="1" ht="17.25" customHeight="1"/>
    <row r="10899" customFormat="1" ht="17.25" customHeight="1"/>
    <row r="10900" customFormat="1" ht="17.25" customHeight="1"/>
    <row r="10901" customFormat="1" ht="17.25" customHeight="1"/>
    <row r="10902" customFormat="1" ht="17.25" customHeight="1"/>
    <row r="10903" customFormat="1" ht="17.25" customHeight="1"/>
    <row r="10904" customFormat="1" ht="17.25" customHeight="1"/>
    <row r="10905" customFormat="1" ht="17.25" customHeight="1"/>
    <row r="10906" customFormat="1" ht="17.25" customHeight="1"/>
    <row r="10907" customFormat="1" ht="17.25" customHeight="1"/>
    <row r="10908" customFormat="1" ht="17.25" customHeight="1"/>
    <row r="10909" customFormat="1" ht="17.25" customHeight="1"/>
    <row r="10910" customFormat="1" ht="17.25" customHeight="1"/>
    <row r="10911" customFormat="1" ht="17.25" customHeight="1"/>
    <row r="10912" customFormat="1" ht="17.25" customHeight="1"/>
    <row r="10913" customFormat="1" ht="17.25" customHeight="1"/>
    <row r="10914" customFormat="1" ht="17.25" customHeight="1"/>
    <row r="10915" customFormat="1" ht="17.25" customHeight="1"/>
    <row r="10916" customFormat="1" ht="17.25" customHeight="1"/>
    <row r="10917" customFormat="1" ht="17.25" customHeight="1"/>
    <row r="10918" customFormat="1" ht="17.25" customHeight="1"/>
    <row r="10919" customFormat="1" ht="17.25" customHeight="1"/>
    <row r="10920" customFormat="1" ht="17.25" customHeight="1"/>
    <row r="10921" customFormat="1" ht="17.25" customHeight="1"/>
    <row r="10922" customFormat="1" ht="17.25" customHeight="1"/>
    <row r="10923" customFormat="1" ht="17.25" customHeight="1"/>
    <row r="10924" customFormat="1" ht="17.25" customHeight="1"/>
    <row r="10925" customFormat="1" ht="17.25" customHeight="1"/>
    <row r="10926" customFormat="1" ht="17.25" customHeight="1"/>
    <row r="10927" customFormat="1" ht="17.25" customHeight="1"/>
    <row r="10928" customFormat="1" ht="17.25" customHeight="1"/>
    <row r="10929" customFormat="1" ht="17.25" customHeight="1"/>
    <row r="10930" customFormat="1" ht="17.25" customHeight="1"/>
    <row r="10931" customFormat="1" ht="17.25" customHeight="1"/>
    <row r="10932" customFormat="1" ht="17.25" customHeight="1"/>
    <row r="10933" customFormat="1" ht="17.25" customHeight="1"/>
    <row r="10934" customFormat="1" ht="17.25" customHeight="1"/>
    <row r="10935" customFormat="1" ht="17.25" customHeight="1"/>
    <row r="10936" customFormat="1" ht="17.25" customHeight="1"/>
    <row r="10937" customFormat="1" ht="17.25" customHeight="1"/>
    <row r="10938" customFormat="1" ht="17.25" customHeight="1"/>
    <row r="10939" customFormat="1" ht="17.25" customHeight="1"/>
    <row r="10940" customFormat="1" ht="17.25" customHeight="1"/>
    <row r="10941" customFormat="1" ht="17.25" customHeight="1"/>
    <row r="10942" customFormat="1" ht="17.25" customHeight="1"/>
    <row r="10943" customFormat="1" ht="17.25" customHeight="1"/>
    <row r="10944" customFormat="1" ht="17.25" customHeight="1"/>
    <row r="10945" customFormat="1" ht="17.25" customHeight="1"/>
    <row r="10946" customFormat="1" ht="17.25" customHeight="1"/>
    <row r="10947" customFormat="1" ht="17.25" customHeight="1"/>
    <row r="10948" customFormat="1" ht="17.25" customHeight="1"/>
    <row r="10949" customFormat="1" ht="17.25" customHeight="1"/>
    <row r="10950" customFormat="1" ht="17.25" customHeight="1"/>
    <row r="10951" customFormat="1" ht="17.25" customHeight="1"/>
    <row r="10952" customFormat="1" ht="17.25" customHeight="1"/>
    <row r="10953" customFormat="1" ht="17.25" customHeight="1"/>
    <row r="10954" customFormat="1" ht="17.25" customHeight="1"/>
    <row r="10955" customFormat="1" ht="17.25" customHeight="1"/>
    <row r="10956" customFormat="1" ht="17.25" customHeight="1"/>
    <row r="10957" customFormat="1" ht="17.25" customHeight="1"/>
    <row r="10958" customFormat="1" ht="17.25" customHeight="1"/>
    <row r="10959" customFormat="1" ht="17.25" customHeight="1"/>
    <row r="10960" customFormat="1" ht="17.25" customHeight="1"/>
    <row r="10961" customFormat="1" ht="17.25" customHeight="1"/>
    <row r="10962" customFormat="1" ht="17.25" customHeight="1"/>
    <row r="10963" customFormat="1" ht="17.25" customHeight="1"/>
    <row r="10964" customFormat="1" ht="17.25" customHeight="1"/>
    <row r="10965" customFormat="1" ht="17.25" customHeight="1"/>
    <row r="10966" customFormat="1" ht="17.25" customHeight="1"/>
    <row r="10967" customFormat="1" ht="17.25" customHeight="1"/>
    <row r="10968" customFormat="1" ht="17.25" customHeight="1"/>
    <row r="10969" customFormat="1" ht="17.25" customHeight="1"/>
    <row r="10970" customFormat="1" ht="17.25" customHeight="1"/>
    <row r="10971" customFormat="1" ht="17.25" customHeight="1"/>
    <row r="10972" customFormat="1" ht="17.25" customHeight="1"/>
    <row r="10973" customFormat="1" ht="17.25" customHeight="1"/>
    <row r="10974" customFormat="1" ht="17.25" customHeight="1"/>
    <row r="10975" customFormat="1" ht="17.25" customHeight="1"/>
    <row r="10976" customFormat="1" ht="17.25" customHeight="1"/>
    <row r="10977" customFormat="1" ht="17.25" customHeight="1"/>
    <row r="10978" customFormat="1" ht="17.25" customHeight="1"/>
    <row r="10979" customFormat="1" ht="17.25" customHeight="1"/>
    <row r="10980" customFormat="1" ht="17.25" customHeight="1"/>
    <row r="10981" customFormat="1" ht="17.25" customHeight="1"/>
    <row r="10982" customFormat="1" ht="17.25" customHeight="1"/>
    <row r="10983" customFormat="1" ht="17.25" customHeight="1"/>
    <row r="10984" customFormat="1" ht="17.25" customHeight="1"/>
    <row r="10985" customFormat="1" ht="17.25" customHeight="1"/>
    <row r="10986" customFormat="1" ht="17.25" customHeight="1"/>
    <row r="10987" customFormat="1" ht="17.25" customHeight="1"/>
    <row r="10988" customFormat="1" ht="17.25" customHeight="1"/>
    <row r="10989" customFormat="1" ht="17.25" customHeight="1"/>
    <row r="10990" customFormat="1" ht="17.25" customHeight="1"/>
    <row r="10991" customFormat="1" ht="17.25" customHeight="1"/>
    <row r="10992" customFormat="1" ht="17.25" customHeight="1"/>
    <row r="10993" customFormat="1" ht="17.25" customHeight="1"/>
    <row r="10994" customFormat="1" ht="17.25" customHeight="1"/>
    <row r="10995" customFormat="1" ht="17.25" customHeight="1"/>
    <row r="10996" customFormat="1" ht="17.25" customHeight="1"/>
    <row r="10997" customFormat="1" ht="17.25" customHeight="1"/>
    <row r="10998" customFormat="1" ht="17.25" customHeight="1"/>
    <row r="10999" customFormat="1" ht="17.25" customHeight="1"/>
    <row r="11000" customFormat="1" ht="17.25" customHeight="1"/>
    <row r="11001" customFormat="1" ht="17.25" customHeight="1"/>
    <row r="11002" customFormat="1" ht="17.25" customHeight="1"/>
    <row r="11003" customFormat="1" ht="17.25" customHeight="1"/>
    <row r="11004" customFormat="1" ht="17.25" customHeight="1"/>
    <row r="11005" customFormat="1" ht="17.25" customHeight="1"/>
    <row r="11006" customFormat="1" ht="17.25" customHeight="1"/>
    <row r="11007" customFormat="1" ht="17.25" customHeight="1"/>
    <row r="11008" customFormat="1" ht="17.25" customHeight="1"/>
    <row r="11009" customFormat="1" ht="17.25" customHeight="1"/>
    <row r="11010" customFormat="1" ht="17.25" customHeight="1"/>
    <row r="11011" customFormat="1" ht="17.25" customHeight="1"/>
    <row r="11012" customFormat="1" ht="17.25" customHeight="1"/>
    <row r="11013" customFormat="1" ht="17.25" customHeight="1"/>
    <row r="11014" customFormat="1" ht="17.25" customHeight="1"/>
    <row r="11015" customFormat="1" ht="17.25" customHeight="1"/>
    <row r="11016" customFormat="1" ht="17.25" customHeight="1"/>
    <row r="11017" customFormat="1" ht="17.25" customHeight="1"/>
    <row r="11018" customFormat="1" ht="17.25" customHeight="1"/>
    <row r="11019" customFormat="1" ht="17.25" customHeight="1"/>
    <row r="11020" customFormat="1" ht="17.25" customHeight="1"/>
    <row r="11021" customFormat="1" ht="17.25" customHeight="1"/>
    <row r="11022" customFormat="1" ht="17.25" customHeight="1"/>
    <row r="11023" customFormat="1" ht="17.25" customHeight="1"/>
    <row r="11024" customFormat="1" ht="17.25" customHeight="1"/>
    <row r="11025" customFormat="1" ht="17.25" customHeight="1"/>
    <row r="11026" customFormat="1" ht="17.25" customHeight="1"/>
    <row r="11027" customFormat="1" ht="17.25" customHeight="1"/>
    <row r="11028" customFormat="1" ht="17.25" customHeight="1"/>
    <row r="11029" customFormat="1" ht="17.25" customHeight="1"/>
    <row r="11030" customFormat="1" ht="17.25" customHeight="1"/>
    <row r="11031" customFormat="1" ht="17.25" customHeight="1"/>
    <row r="11032" customFormat="1" ht="17.25" customHeight="1"/>
    <row r="11033" customFormat="1" ht="17.25" customHeight="1"/>
    <row r="11034" customFormat="1" ht="17.25" customHeight="1"/>
    <row r="11035" customFormat="1" ht="17.25" customHeight="1"/>
    <row r="11036" customFormat="1" ht="17.25" customHeight="1"/>
    <row r="11037" customFormat="1" ht="17.25" customHeight="1"/>
    <row r="11038" customFormat="1" ht="17.25" customHeight="1"/>
    <row r="11039" customFormat="1" ht="17.25" customHeight="1"/>
    <row r="11040" customFormat="1" ht="17.25" customHeight="1"/>
    <row r="11041" customFormat="1" ht="17.25" customHeight="1"/>
    <row r="11042" customFormat="1" ht="17.25" customHeight="1"/>
    <row r="11043" customFormat="1" ht="17.25" customHeight="1"/>
    <row r="11044" customFormat="1" ht="17.25" customHeight="1"/>
    <row r="11045" customFormat="1" ht="17.25" customHeight="1"/>
    <row r="11046" customFormat="1" ht="17.25" customHeight="1"/>
    <row r="11047" customFormat="1" ht="17.25" customHeight="1"/>
    <row r="11048" customFormat="1" ht="17.25" customHeight="1"/>
    <row r="11049" customFormat="1" ht="17.25" customHeight="1"/>
    <row r="11050" customFormat="1" ht="17.25" customHeight="1"/>
    <row r="11051" customFormat="1" ht="17.25" customHeight="1"/>
    <row r="11052" customFormat="1" ht="17.25" customHeight="1"/>
    <row r="11053" customFormat="1" ht="17.25" customHeight="1"/>
    <row r="11054" customFormat="1" ht="17.25" customHeight="1"/>
    <row r="11055" customFormat="1" ht="17.25" customHeight="1"/>
    <row r="11056" customFormat="1" ht="17.25" customHeight="1"/>
    <row r="11057" customFormat="1" ht="17.25" customHeight="1"/>
    <row r="11058" customFormat="1" ht="17.25" customHeight="1"/>
    <row r="11059" customFormat="1" ht="17.25" customHeight="1"/>
    <row r="11060" customFormat="1" ht="17.25" customHeight="1"/>
    <row r="11061" customFormat="1" ht="17.25" customHeight="1"/>
    <row r="11062" customFormat="1" ht="17.25" customHeight="1"/>
    <row r="11063" customFormat="1" ht="17.25" customHeight="1"/>
    <row r="11064" customFormat="1" ht="17.25" customHeight="1"/>
    <row r="11065" customFormat="1" ht="17.25" customHeight="1"/>
    <row r="11066" customFormat="1" ht="17.25" customHeight="1"/>
    <row r="11067" customFormat="1" ht="17.25" customHeight="1"/>
    <row r="11068" customFormat="1" ht="17.25" customHeight="1"/>
    <row r="11069" customFormat="1" ht="17.25" customHeight="1"/>
    <row r="11070" customFormat="1" ht="17.25" customHeight="1"/>
    <row r="11071" customFormat="1" ht="17.25" customHeight="1"/>
    <row r="11072" customFormat="1" ht="17.25" customHeight="1"/>
    <row r="11073" customFormat="1" ht="17.25" customHeight="1"/>
    <row r="11074" customFormat="1" ht="17.25" customHeight="1"/>
    <row r="11075" customFormat="1" ht="17.25" customHeight="1"/>
    <row r="11076" customFormat="1" ht="17.25" customHeight="1"/>
    <row r="11077" customFormat="1" ht="17.25" customHeight="1"/>
    <row r="11078" customFormat="1" ht="17.25" customHeight="1"/>
    <row r="11079" customFormat="1" ht="17.25" customHeight="1"/>
    <row r="11080" customFormat="1" ht="17.25" customHeight="1"/>
    <row r="11081" customFormat="1" ht="17.25" customHeight="1"/>
    <row r="11082" customFormat="1" ht="17.25" customHeight="1"/>
    <row r="11083" customFormat="1" ht="17.25" customHeight="1"/>
    <row r="11084" customFormat="1" ht="17.25" customHeight="1"/>
    <row r="11085" customFormat="1" ht="17.25" customHeight="1"/>
    <row r="11086" customFormat="1" ht="17.25" customHeight="1"/>
    <row r="11087" customFormat="1" ht="17.25" customHeight="1"/>
    <row r="11088" customFormat="1" ht="17.25" customHeight="1"/>
    <row r="11089" customFormat="1" ht="17.25" customHeight="1"/>
    <row r="11090" customFormat="1" ht="17.25" customHeight="1"/>
    <row r="11091" customFormat="1" ht="17.25" customHeight="1"/>
    <row r="11092" customFormat="1" ht="17.25" customHeight="1"/>
    <row r="11093" customFormat="1" ht="17.25" customHeight="1"/>
    <row r="11094" customFormat="1" ht="17.25" customHeight="1"/>
    <row r="11095" customFormat="1" ht="17.25" customHeight="1"/>
    <row r="11096" customFormat="1" ht="17.25" customHeight="1"/>
    <row r="11097" customFormat="1" ht="17.25" customHeight="1"/>
    <row r="11098" customFormat="1" ht="17.25" customHeight="1"/>
    <row r="11099" customFormat="1" ht="17.25" customHeight="1"/>
    <row r="11100" customFormat="1" ht="17.25" customHeight="1"/>
    <row r="11101" customFormat="1" ht="17.25" customHeight="1"/>
    <row r="11102" customFormat="1" ht="17.25" customHeight="1"/>
    <row r="11103" customFormat="1" ht="17.25" customHeight="1"/>
    <row r="11104" customFormat="1" ht="17.25" customHeight="1"/>
    <row r="11105" customFormat="1" ht="17.25" customHeight="1"/>
    <row r="11106" customFormat="1" ht="17.25" customHeight="1"/>
    <row r="11107" customFormat="1" ht="17.25" customHeight="1"/>
    <row r="11108" customFormat="1" ht="17.25" customHeight="1"/>
    <row r="11109" customFormat="1" ht="17.25" customHeight="1"/>
    <row r="11110" customFormat="1" ht="17.25" customHeight="1"/>
    <row r="11111" customFormat="1" ht="17.25" customHeight="1"/>
    <row r="11112" customFormat="1" ht="17.25" customHeight="1"/>
    <row r="11113" customFormat="1" ht="17.25" customHeight="1"/>
    <row r="11114" customFormat="1" ht="17.25" customHeight="1"/>
    <row r="11115" customFormat="1" ht="17.25" customHeight="1"/>
    <row r="11116" customFormat="1" ht="17.25" customHeight="1"/>
    <row r="11117" customFormat="1" ht="17.25" customHeight="1"/>
    <row r="11118" customFormat="1" ht="17.25" customHeight="1"/>
    <row r="11119" customFormat="1" ht="17.25" customHeight="1"/>
    <row r="11120" customFormat="1" ht="17.25" customHeight="1"/>
    <row r="11121" customFormat="1" ht="17.25" customHeight="1"/>
    <row r="11122" customFormat="1" ht="17.25" customHeight="1"/>
    <row r="11123" customFormat="1" ht="17.25" customHeight="1"/>
    <row r="11124" customFormat="1" ht="17.25" customHeight="1"/>
    <row r="11125" customFormat="1" ht="17.25" customHeight="1"/>
    <row r="11126" customFormat="1" ht="17.25" customHeight="1"/>
    <row r="11127" customFormat="1" ht="17.25" customHeight="1"/>
    <row r="11128" customFormat="1" ht="17.25" customHeight="1"/>
    <row r="11129" customFormat="1" ht="17.25" customHeight="1"/>
    <row r="11130" customFormat="1" ht="17.25" customHeight="1"/>
    <row r="11131" customFormat="1" ht="17.25" customHeight="1"/>
    <row r="11132" customFormat="1" ht="17.25" customHeight="1"/>
    <row r="11133" customFormat="1" ht="17.25" customHeight="1"/>
    <row r="11134" customFormat="1" ht="17.25" customHeight="1"/>
    <row r="11135" customFormat="1" ht="17.25" customHeight="1"/>
    <row r="11136" customFormat="1" ht="17.25" customHeight="1"/>
    <row r="11137" customFormat="1" ht="17.25" customHeight="1"/>
    <row r="11138" customFormat="1" ht="17.25" customHeight="1"/>
    <row r="11139" customFormat="1" ht="17.25" customHeight="1"/>
    <row r="11140" customFormat="1" ht="17.25" customHeight="1"/>
    <row r="11141" customFormat="1" ht="17.25" customHeight="1"/>
    <row r="11142" customFormat="1" ht="17.25" customHeight="1"/>
    <row r="11143" customFormat="1" ht="17.25" customHeight="1"/>
    <row r="11144" customFormat="1" ht="17.25" customHeight="1"/>
    <row r="11145" customFormat="1" ht="17.25" customHeight="1"/>
    <row r="11146" customFormat="1" ht="17.25" customHeight="1"/>
    <row r="11147" customFormat="1" ht="17.25" customHeight="1"/>
    <row r="11148" customFormat="1" ht="17.25" customHeight="1"/>
    <row r="11149" customFormat="1" ht="17.25" customHeight="1"/>
    <row r="11150" customFormat="1" ht="17.25" customHeight="1"/>
    <row r="11151" customFormat="1" ht="17.25" customHeight="1"/>
    <row r="11152" customFormat="1" ht="17.25" customHeight="1"/>
    <row r="11153" customFormat="1" ht="17.25" customHeight="1"/>
    <row r="11154" customFormat="1" ht="17.25" customHeight="1"/>
    <row r="11155" customFormat="1" ht="17.25" customHeight="1"/>
    <row r="11156" customFormat="1" ht="17.25" customHeight="1"/>
    <row r="11157" customFormat="1" ht="17.25" customHeight="1"/>
    <row r="11158" customFormat="1" ht="17.25" customHeight="1"/>
    <row r="11159" customFormat="1" ht="17.25" customHeight="1"/>
    <row r="11160" customFormat="1" ht="17.25" customHeight="1"/>
    <row r="11161" customFormat="1" ht="17.25" customHeight="1"/>
    <row r="11162" customFormat="1" ht="17.25" customHeight="1"/>
    <row r="11163" customFormat="1" ht="17.25" customHeight="1"/>
    <row r="11164" customFormat="1" ht="17.25" customHeight="1"/>
    <row r="11165" customFormat="1" ht="17.25" customHeight="1"/>
    <row r="11166" customFormat="1" ht="17.25" customHeight="1"/>
    <row r="11167" customFormat="1" ht="17.25" customHeight="1"/>
    <row r="11168" customFormat="1" ht="17.25" customHeight="1"/>
    <row r="11169" customFormat="1" ht="17.25" customHeight="1"/>
    <row r="11170" customFormat="1" ht="17.25" customHeight="1"/>
    <row r="11171" customFormat="1" ht="17.25" customHeight="1"/>
    <row r="11172" customFormat="1" ht="17.25" customHeight="1"/>
    <row r="11173" customFormat="1" ht="17.25" customHeight="1"/>
    <row r="11174" customFormat="1" ht="17.25" customHeight="1"/>
    <row r="11175" customFormat="1" ht="17.25" customHeight="1"/>
    <row r="11176" customFormat="1" ht="17.25" customHeight="1"/>
    <row r="11177" customFormat="1" ht="17.25" customHeight="1"/>
    <row r="11178" customFormat="1" ht="17.25" customHeight="1"/>
    <row r="11179" customFormat="1" ht="17.25" customHeight="1"/>
    <row r="11180" customFormat="1" ht="17.25" customHeight="1"/>
    <row r="11181" customFormat="1" ht="17.25" customHeight="1"/>
    <row r="11182" customFormat="1" ht="17.25" customHeight="1"/>
    <row r="11183" customFormat="1" ht="17.25" customHeight="1"/>
    <row r="11184" customFormat="1" ht="17.25" customHeight="1"/>
    <row r="11185" customFormat="1" ht="17.25" customHeight="1"/>
    <row r="11186" customFormat="1" ht="17.25" customHeight="1"/>
    <row r="11187" customFormat="1" ht="17.25" customHeight="1"/>
    <row r="11188" customFormat="1" ht="17.25" customHeight="1"/>
    <row r="11189" customFormat="1" ht="17.25" customHeight="1"/>
    <row r="11190" customFormat="1" ht="17.25" customHeight="1"/>
    <row r="11191" customFormat="1" ht="17.25" customHeight="1"/>
    <row r="11192" customFormat="1" ht="17.25" customHeight="1"/>
    <row r="11193" customFormat="1" ht="17.25" customHeight="1"/>
    <row r="11194" customFormat="1" ht="17.25" customHeight="1"/>
    <row r="11195" customFormat="1" ht="17.25" customHeight="1"/>
    <row r="11196" customFormat="1" ht="17.25" customHeight="1"/>
    <row r="11197" customFormat="1" ht="17.25" customHeight="1"/>
    <row r="11198" customFormat="1" ht="17.25" customHeight="1"/>
    <row r="11199" customFormat="1" ht="17.25" customHeight="1"/>
    <row r="11200" customFormat="1" ht="17.25" customHeight="1"/>
    <row r="11201" customFormat="1" ht="17.25" customHeight="1"/>
    <row r="11202" customFormat="1" ht="17.25" customHeight="1"/>
    <row r="11203" customFormat="1" ht="17.25" customHeight="1"/>
    <row r="11204" customFormat="1" ht="17.25" customHeight="1"/>
    <row r="11205" customFormat="1" ht="17.25" customHeight="1"/>
    <row r="11206" customFormat="1" ht="17.25" customHeight="1"/>
    <row r="11207" customFormat="1" ht="17.25" customHeight="1"/>
    <row r="11208" customFormat="1" ht="17.25" customHeight="1"/>
    <row r="11209" customFormat="1" ht="17.25" customHeight="1"/>
    <row r="11210" customFormat="1" ht="17.25" customHeight="1"/>
    <row r="11211" customFormat="1" ht="17.25" customHeight="1"/>
    <row r="11212" customFormat="1" ht="17.25" customHeight="1"/>
    <row r="11213" customFormat="1" ht="17.25" customHeight="1"/>
    <row r="11214" customFormat="1" ht="17.25" customHeight="1"/>
    <row r="11215" customFormat="1" ht="17.25" customHeight="1"/>
    <row r="11216" customFormat="1" ht="17.25" customHeight="1"/>
    <row r="11217" customFormat="1" ht="17.25" customHeight="1"/>
    <row r="11218" customFormat="1" ht="17.25" customHeight="1"/>
    <row r="11219" customFormat="1" ht="17.25" customHeight="1"/>
    <row r="11220" customFormat="1" ht="17.25" customHeight="1"/>
    <row r="11221" customFormat="1" ht="17.25" customHeight="1"/>
    <row r="11222" customFormat="1" ht="17.25" customHeight="1"/>
    <row r="11223" customFormat="1" ht="17.25" customHeight="1"/>
    <row r="11224" customFormat="1" ht="17.25" customHeight="1"/>
    <row r="11225" customFormat="1" ht="17.25" customHeight="1"/>
    <row r="11226" customFormat="1" ht="17.25" customHeight="1"/>
    <row r="11227" customFormat="1" ht="17.25" customHeight="1"/>
    <row r="11228" customFormat="1" ht="17.25" customHeight="1"/>
    <row r="11229" customFormat="1" ht="17.25" customHeight="1"/>
    <row r="11230" customFormat="1" ht="17.25" customHeight="1"/>
    <row r="11231" customFormat="1" ht="17.25" customHeight="1"/>
    <row r="11232" customFormat="1" ht="17.25" customHeight="1"/>
    <row r="11233" customFormat="1" ht="17.25" customHeight="1"/>
    <row r="11234" customFormat="1" ht="17.25" customHeight="1"/>
    <row r="11235" customFormat="1" ht="17.25" customHeight="1"/>
    <row r="11236" customFormat="1" ht="17.25" customHeight="1"/>
    <row r="11237" customFormat="1" ht="17.25" customHeight="1"/>
    <row r="11238" customFormat="1" ht="17.25" customHeight="1"/>
    <row r="11239" customFormat="1" ht="17.25" customHeight="1"/>
    <row r="11240" customFormat="1" ht="17.25" customHeight="1"/>
    <row r="11241" customFormat="1" ht="17.25" customHeight="1"/>
    <row r="11242" customFormat="1" ht="17.25" customHeight="1"/>
    <row r="11243" customFormat="1" ht="17.25" customHeight="1"/>
    <row r="11244" customFormat="1" ht="17.25" customHeight="1"/>
    <row r="11245" customFormat="1" ht="17.25" customHeight="1"/>
    <row r="11246" customFormat="1" ht="17.25" customHeight="1"/>
    <row r="11247" customFormat="1" ht="17.25" customHeight="1"/>
    <row r="11248" customFormat="1" ht="17.25" customHeight="1"/>
    <row r="11249" customFormat="1" ht="17.25" customHeight="1"/>
    <row r="11250" customFormat="1" ht="17.25" customHeight="1"/>
    <row r="11251" customFormat="1" ht="17.25" customHeight="1"/>
    <row r="11252" customFormat="1" ht="17.25" customHeight="1"/>
    <row r="11253" customFormat="1" ht="17.25" customHeight="1"/>
    <row r="11254" customFormat="1" ht="17.25" customHeight="1"/>
    <row r="11255" customFormat="1" ht="17.25" customHeight="1"/>
    <row r="11256" customFormat="1" ht="17.25" customHeight="1"/>
    <row r="11257" customFormat="1" ht="17.25" customHeight="1"/>
    <row r="11258" customFormat="1" ht="17.25" customHeight="1"/>
    <row r="11259" customFormat="1" ht="17.25" customHeight="1"/>
    <row r="11260" customFormat="1" ht="17.25" customHeight="1"/>
    <row r="11261" customFormat="1" ht="17.25" customHeight="1"/>
    <row r="11262" customFormat="1" ht="17.25" customHeight="1"/>
    <row r="11263" customFormat="1" ht="17.25" customHeight="1"/>
    <row r="11264" customFormat="1" ht="17.25" customHeight="1"/>
    <row r="11265" customFormat="1" ht="17.25" customHeight="1"/>
    <row r="11266" customFormat="1" ht="17.25" customHeight="1"/>
    <row r="11267" customFormat="1" ht="17.25" customHeight="1"/>
    <row r="11268" customFormat="1" ht="17.25" customHeight="1"/>
    <row r="11269" customFormat="1" ht="17.25" customHeight="1"/>
    <row r="11270" customFormat="1" ht="17.25" customHeight="1"/>
    <row r="11271" customFormat="1" ht="17.25" customHeight="1"/>
    <row r="11272" customFormat="1" ht="17.25" customHeight="1"/>
    <row r="11273" customFormat="1" ht="17.25" customHeight="1"/>
    <row r="11274" customFormat="1" ht="17.25" customHeight="1"/>
    <row r="11275" customFormat="1" ht="17.25" customHeight="1"/>
    <row r="11276" customFormat="1" ht="17.25" customHeight="1"/>
    <row r="11277" customFormat="1" ht="17.25" customHeight="1"/>
    <row r="11278" customFormat="1" ht="17.25" customHeight="1"/>
    <row r="11279" customFormat="1" ht="17.25" customHeight="1"/>
    <row r="11280" customFormat="1" ht="17.25" customHeight="1"/>
    <row r="11281" customFormat="1" ht="17.25" customHeight="1"/>
    <row r="11282" customFormat="1" ht="17.25" customHeight="1"/>
    <row r="11283" customFormat="1" ht="17.25" customHeight="1"/>
    <row r="11284" customFormat="1" ht="17.25" customHeight="1"/>
    <row r="11285" customFormat="1" ht="17.25" customHeight="1"/>
    <row r="11286" customFormat="1" ht="17.25" customHeight="1"/>
    <row r="11287" customFormat="1" ht="17.25" customHeight="1"/>
    <row r="11288" customFormat="1" ht="17.25" customHeight="1"/>
    <row r="11289" customFormat="1" ht="17.25" customHeight="1"/>
    <row r="11290" customFormat="1" ht="17.25" customHeight="1"/>
    <row r="11291" customFormat="1" ht="17.25" customHeight="1"/>
    <row r="11292" customFormat="1" ht="17.25" customHeight="1"/>
    <row r="11293" customFormat="1" ht="17.25" customHeight="1"/>
    <row r="11294" customFormat="1" ht="17.25" customHeight="1"/>
    <row r="11295" customFormat="1" ht="17.25" customHeight="1"/>
    <row r="11296" customFormat="1" ht="17.25" customHeight="1"/>
    <row r="11297" customFormat="1" ht="17.25" customHeight="1"/>
    <row r="11298" customFormat="1" ht="17.25" customHeight="1"/>
    <row r="11299" customFormat="1" ht="17.25" customHeight="1"/>
    <row r="11300" customFormat="1" ht="17.25" customHeight="1"/>
    <row r="11301" customFormat="1" ht="17.25" customHeight="1"/>
    <row r="11302" customFormat="1" ht="17.25" customHeight="1"/>
    <row r="11303" customFormat="1" ht="17.25" customHeight="1"/>
    <row r="11304" customFormat="1" ht="17.25" customHeight="1"/>
    <row r="11305" customFormat="1" ht="17.25" customHeight="1"/>
    <row r="11306" customFormat="1" ht="17.25" customHeight="1"/>
    <row r="11307" customFormat="1" ht="17.25" customHeight="1"/>
    <row r="11308" customFormat="1" ht="17.25" customHeight="1"/>
    <row r="11309" customFormat="1" ht="17.25" customHeight="1"/>
    <row r="11310" customFormat="1" ht="17.25" customHeight="1"/>
    <row r="11311" customFormat="1" ht="17.25" customHeight="1"/>
    <row r="11312" customFormat="1" ht="17.25" customHeight="1"/>
    <row r="11313" customFormat="1" ht="17.25" customHeight="1"/>
    <row r="11314" customFormat="1" ht="17.25" customHeight="1"/>
    <row r="11315" customFormat="1" ht="17.25" customHeight="1"/>
    <row r="11316" customFormat="1" ht="17.25" customHeight="1"/>
    <row r="11317" customFormat="1" ht="17.25" customHeight="1"/>
    <row r="11318" customFormat="1" ht="17.25" customHeight="1"/>
    <row r="11319" customFormat="1" ht="17.25" customHeight="1"/>
    <row r="11320" customFormat="1" ht="17.25" customHeight="1"/>
    <row r="11321" customFormat="1" ht="17.25" customHeight="1"/>
    <row r="11322" customFormat="1" ht="17.25" customHeight="1"/>
    <row r="11323" customFormat="1" ht="17.25" customHeight="1"/>
    <row r="11324" customFormat="1" ht="17.25" customHeight="1"/>
    <row r="11325" customFormat="1" ht="17.25" customHeight="1"/>
    <row r="11326" customFormat="1" ht="17.25" customHeight="1"/>
    <row r="11327" customFormat="1" ht="17.25" customHeight="1"/>
    <row r="11328" customFormat="1" ht="17.25" customHeight="1"/>
    <row r="11329" customFormat="1" ht="17.25" customHeight="1"/>
    <row r="11330" customFormat="1" ht="17.25" customHeight="1"/>
    <row r="11331" customFormat="1" ht="17.25" customHeight="1"/>
    <row r="11332" customFormat="1" ht="17.25" customHeight="1"/>
    <row r="11333" customFormat="1" ht="17.25" customHeight="1"/>
    <row r="11334" customFormat="1" ht="17.25" customHeight="1"/>
    <row r="11335" customFormat="1" ht="17.25" customHeight="1"/>
    <row r="11336" customFormat="1" ht="17.25" customHeight="1"/>
    <row r="11337" customFormat="1" ht="17.25" customHeight="1"/>
    <row r="11338" customFormat="1" ht="17.25" customHeight="1"/>
    <row r="11339" customFormat="1" ht="17.25" customHeight="1"/>
    <row r="11340" customFormat="1" ht="17.25" customHeight="1"/>
    <row r="11341" customFormat="1" ht="17.25" customHeight="1"/>
    <row r="11342" customFormat="1" ht="17.25" customHeight="1"/>
    <row r="11343" customFormat="1" ht="17.25" customHeight="1"/>
    <row r="11344" customFormat="1" ht="17.25" customHeight="1"/>
    <row r="11345" customFormat="1" ht="17.25" customHeight="1"/>
    <row r="11346" customFormat="1" ht="17.25" customHeight="1"/>
    <row r="11347" customFormat="1" ht="17.25" customHeight="1"/>
    <row r="11348" customFormat="1" ht="17.25" customHeight="1"/>
    <row r="11349" customFormat="1" ht="17.25" customHeight="1"/>
    <row r="11350" customFormat="1" ht="17.25" customHeight="1"/>
    <row r="11351" customFormat="1" ht="17.25" customHeight="1"/>
    <row r="11352" customFormat="1" ht="17.25" customHeight="1"/>
    <row r="11353" customFormat="1" ht="17.25" customHeight="1"/>
    <row r="11354" customFormat="1" ht="17.25" customHeight="1"/>
    <row r="11355" customFormat="1" ht="17.25" customHeight="1"/>
    <row r="11356" customFormat="1" ht="17.25" customHeight="1"/>
    <row r="11357" customFormat="1" ht="17.25" customHeight="1"/>
    <row r="11358" customFormat="1" ht="17.25" customHeight="1"/>
    <row r="11359" customFormat="1" ht="17.25" customHeight="1"/>
    <row r="11360" customFormat="1" ht="17.25" customHeight="1"/>
    <row r="11361" customFormat="1" ht="17.25" customHeight="1"/>
    <row r="11362" customFormat="1" ht="17.25" customHeight="1"/>
    <row r="11363" customFormat="1" ht="17.25" customHeight="1"/>
    <row r="11364" customFormat="1" ht="17.25" customHeight="1"/>
    <row r="11365" customFormat="1" ht="17.25" customHeight="1"/>
    <row r="11366" customFormat="1" ht="17.25" customHeight="1"/>
    <row r="11367" customFormat="1" ht="17.25" customHeight="1"/>
    <row r="11368" customFormat="1" ht="17.25" customHeight="1"/>
    <row r="11369" customFormat="1" ht="17.25" customHeight="1"/>
    <row r="11370" customFormat="1" ht="17.25" customHeight="1"/>
    <row r="11371" customFormat="1" ht="17.25" customHeight="1"/>
    <row r="11372" customFormat="1" ht="17.25" customHeight="1"/>
    <row r="11373" customFormat="1" ht="17.25" customHeight="1"/>
    <row r="11374" customFormat="1" ht="17.25" customHeight="1"/>
    <row r="11375" customFormat="1" ht="17.25" customHeight="1"/>
    <row r="11376" customFormat="1" ht="17.25" customHeight="1"/>
    <row r="11377" customFormat="1" ht="17.25" customHeight="1"/>
    <row r="11378" customFormat="1" ht="17.25" customHeight="1"/>
    <row r="11379" customFormat="1" ht="17.25" customHeight="1"/>
    <row r="11380" customFormat="1" ht="17.25" customHeight="1"/>
    <row r="11381" customFormat="1" ht="17.25" customHeight="1"/>
    <row r="11382" customFormat="1" ht="17.25" customHeight="1"/>
    <row r="11383" customFormat="1" ht="17.25" customHeight="1"/>
    <row r="11384" customFormat="1" ht="17.25" customHeight="1"/>
    <row r="11385" customFormat="1" ht="17.25" customHeight="1"/>
    <row r="11386" customFormat="1" ht="17.25" customHeight="1"/>
    <row r="11387" customFormat="1" ht="17.25" customHeight="1"/>
    <row r="11388" customFormat="1" ht="17.25" customHeight="1"/>
    <row r="11389" customFormat="1" ht="17.25" customHeight="1"/>
    <row r="11390" customFormat="1" ht="17.25" customHeight="1"/>
    <row r="11391" customFormat="1" ht="17.25" customHeight="1"/>
    <row r="11392" customFormat="1" ht="17.25" customHeight="1"/>
    <row r="11393" customFormat="1" ht="17.25" customHeight="1"/>
    <row r="11394" customFormat="1" ht="17.25" customHeight="1"/>
    <row r="11395" customFormat="1" ht="17.25" customHeight="1"/>
    <row r="11396" customFormat="1" ht="17.25" customHeight="1"/>
    <row r="11397" customFormat="1" ht="17.25" customHeight="1"/>
    <row r="11398" customFormat="1" ht="17.25" customHeight="1"/>
    <row r="11399" customFormat="1" ht="17.25" customHeight="1"/>
    <row r="11400" customFormat="1" ht="17.25" customHeight="1"/>
    <row r="11401" customFormat="1" ht="17.25" customHeight="1"/>
    <row r="11402" customFormat="1" ht="17.25" customHeight="1"/>
    <row r="11403" customFormat="1" ht="17.25" customHeight="1"/>
    <row r="11404" customFormat="1" ht="17.25" customHeight="1"/>
    <row r="11405" customFormat="1" ht="17.25" customHeight="1"/>
    <row r="11406" customFormat="1" ht="17.25" customHeight="1"/>
    <row r="11407" customFormat="1" ht="17.25" customHeight="1"/>
    <row r="11408" customFormat="1" ht="17.25" customHeight="1"/>
    <row r="11409" customFormat="1" ht="17.25" customHeight="1"/>
    <row r="11410" customFormat="1" ht="17.25" customHeight="1"/>
    <row r="11411" customFormat="1" ht="17.25" customHeight="1"/>
    <row r="11412" customFormat="1" ht="17.25" customHeight="1"/>
    <row r="11413" customFormat="1" ht="17.25" customHeight="1"/>
    <row r="11414" customFormat="1" ht="17.25" customHeight="1"/>
    <row r="11415" customFormat="1" ht="17.25" customHeight="1"/>
    <row r="11416" customFormat="1" ht="17.25" customHeight="1"/>
    <row r="11417" customFormat="1" ht="17.25" customHeight="1"/>
    <row r="11418" customFormat="1" ht="17.25" customHeight="1"/>
    <row r="11419" customFormat="1" ht="17.25" customHeight="1"/>
    <row r="11420" customFormat="1" ht="17.25" customHeight="1"/>
    <row r="11421" customFormat="1" ht="17.25" customHeight="1"/>
    <row r="11422" customFormat="1" ht="17.25" customHeight="1"/>
    <row r="11423" customFormat="1" ht="17.25" customHeight="1"/>
    <row r="11424" customFormat="1" ht="17.25" customHeight="1"/>
    <row r="11425" customFormat="1" ht="17.25" customHeight="1"/>
    <row r="11426" customFormat="1" ht="17.25" customHeight="1"/>
    <row r="11427" customFormat="1" ht="17.25" customHeight="1"/>
    <row r="11428" customFormat="1" ht="17.25" customHeight="1"/>
    <row r="11429" customFormat="1" ht="17.25" customHeight="1"/>
    <row r="11430" customFormat="1" ht="17.25" customHeight="1"/>
    <row r="11431" customFormat="1" ht="17.25" customHeight="1"/>
    <row r="11432" customFormat="1" ht="17.25" customHeight="1"/>
    <row r="11433" customFormat="1" ht="17.25" customHeight="1"/>
    <row r="11434" customFormat="1" ht="17.25" customHeight="1"/>
    <row r="11435" customFormat="1" ht="17.25" customHeight="1"/>
    <row r="11436" customFormat="1" ht="17.25" customHeight="1"/>
    <row r="11437" customFormat="1" ht="17.25" customHeight="1"/>
    <row r="11438" customFormat="1" ht="17.25" customHeight="1"/>
    <row r="11439" customFormat="1" ht="17.25" customHeight="1"/>
    <row r="11440" customFormat="1" ht="17.25" customHeight="1"/>
    <row r="11441" customFormat="1" ht="17.25" customHeight="1"/>
    <row r="11442" customFormat="1" ht="17.25" customHeight="1"/>
    <row r="11443" customFormat="1" ht="17.25" customHeight="1"/>
    <row r="11444" customFormat="1" ht="17.25" customHeight="1"/>
    <row r="11445" customFormat="1" ht="17.25" customHeight="1"/>
    <row r="11446" customFormat="1" ht="17.25" customHeight="1"/>
    <row r="11447" customFormat="1" ht="17.25" customHeight="1"/>
    <row r="11448" customFormat="1" ht="17.25" customHeight="1"/>
    <row r="11449" customFormat="1" ht="17.25" customHeight="1"/>
    <row r="11450" customFormat="1" ht="17.25" customHeight="1"/>
    <row r="11451" customFormat="1" ht="17.25" customHeight="1"/>
    <row r="11452" customFormat="1" ht="17.25" customHeight="1"/>
    <row r="11453" customFormat="1" ht="17.25" customHeight="1"/>
    <row r="11454" customFormat="1" ht="17.25" customHeight="1"/>
    <row r="11455" customFormat="1" ht="17.25" customHeight="1"/>
    <row r="11456" customFormat="1" ht="17.25" customHeight="1"/>
    <row r="11457" customFormat="1" ht="17.25" customHeight="1"/>
    <row r="11458" customFormat="1" ht="17.25" customHeight="1"/>
    <row r="11459" customFormat="1" ht="17.25" customHeight="1"/>
    <row r="11460" customFormat="1" ht="17.25" customHeight="1"/>
    <row r="11461" customFormat="1" ht="17.25" customHeight="1"/>
    <row r="11462" customFormat="1" ht="17.25" customHeight="1"/>
    <row r="11463" customFormat="1" ht="17.25" customHeight="1"/>
    <row r="11464" customFormat="1" ht="17.25" customHeight="1"/>
    <row r="11465" customFormat="1" ht="17.25" customHeight="1"/>
    <row r="11466" customFormat="1" ht="17.25" customHeight="1"/>
    <row r="11467" customFormat="1" ht="17.25" customHeight="1"/>
    <row r="11468" customFormat="1" ht="17.25" customHeight="1"/>
    <row r="11469" customFormat="1" ht="17.25" customHeight="1"/>
    <row r="11470" customFormat="1" ht="17.25" customHeight="1"/>
    <row r="11471" customFormat="1" ht="17.25" customHeight="1"/>
    <row r="11472" customFormat="1" ht="17.25" customHeight="1"/>
    <row r="11473" customFormat="1" ht="17.25" customHeight="1"/>
    <row r="11474" customFormat="1" ht="17.25" customHeight="1"/>
    <row r="11475" customFormat="1" ht="17.25" customHeight="1"/>
    <row r="11476" customFormat="1" ht="17.25" customHeight="1"/>
    <row r="11477" customFormat="1" ht="17.25" customHeight="1"/>
    <row r="11478" customFormat="1" ht="17.25" customHeight="1"/>
    <row r="11479" customFormat="1" ht="17.25" customHeight="1"/>
    <row r="11480" customFormat="1" ht="17.25" customHeight="1"/>
    <row r="11481" customFormat="1" ht="17.25" customHeight="1"/>
    <row r="11482" customFormat="1" ht="17.25" customHeight="1"/>
    <row r="11483" customFormat="1" ht="17.25" customHeight="1"/>
    <row r="11484" customFormat="1" ht="17.25" customHeight="1"/>
    <row r="11485" customFormat="1" ht="17.25" customHeight="1"/>
    <row r="11486" customFormat="1" ht="17.25" customHeight="1"/>
    <row r="11487" customFormat="1" ht="17.25" customHeight="1"/>
    <row r="11488" customFormat="1" ht="17.25" customHeight="1"/>
    <row r="11489" customFormat="1" ht="17.25" customHeight="1"/>
    <row r="11490" customFormat="1" ht="17.25" customHeight="1"/>
    <row r="11491" customFormat="1" ht="17.25" customHeight="1"/>
    <row r="11492" customFormat="1" ht="17.25" customHeight="1"/>
    <row r="11493" customFormat="1" ht="17.25" customHeight="1"/>
    <row r="11494" customFormat="1" ht="17.25" customHeight="1"/>
    <row r="11495" customFormat="1" ht="17.25" customHeight="1"/>
    <row r="11496" customFormat="1" ht="17.25" customHeight="1"/>
    <row r="11497" customFormat="1" ht="17.25" customHeight="1"/>
    <row r="11498" customFormat="1" ht="17.25" customHeight="1"/>
    <row r="11499" customFormat="1" ht="17.25" customHeight="1"/>
    <row r="11500" customFormat="1" ht="17.25" customHeight="1"/>
    <row r="11501" customFormat="1" ht="17.25" customHeight="1"/>
    <row r="11502" customFormat="1" ht="17.25" customHeight="1"/>
    <row r="11503" customFormat="1" ht="17.25" customHeight="1"/>
    <row r="11504" customFormat="1" ht="17.25" customHeight="1"/>
    <row r="11505" customFormat="1" ht="17.25" customHeight="1"/>
    <row r="11506" customFormat="1" ht="17.25" customHeight="1"/>
    <row r="11507" customFormat="1" ht="17.25" customHeight="1"/>
    <row r="11508" customFormat="1" ht="17.25" customHeight="1"/>
    <row r="11509" customFormat="1" ht="17.25" customHeight="1"/>
    <row r="11510" customFormat="1" ht="17.25" customHeight="1"/>
    <row r="11511" customFormat="1" ht="17.25" customHeight="1"/>
    <row r="11512" customFormat="1" ht="17.25" customHeight="1"/>
    <row r="11513" customFormat="1" ht="17.25" customHeight="1"/>
    <row r="11514" customFormat="1" ht="17.25" customHeight="1"/>
    <row r="11515" customFormat="1" ht="17.25" customHeight="1"/>
    <row r="11516" customFormat="1" ht="17.25" customHeight="1"/>
    <row r="11517" customFormat="1" ht="17.25" customHeight="1"/>
    <row r="11518" customFormat="1" ht="17.25" customHeight="1"/>
    <row r="11519" customFormat="1" ht="17.25" customHeight="1"/>
    <row r="11520" customFormat="1" ht="17.25" customHeight="1"/>
    <row r="11521" customFormat="1" ht="17.25" customHeight="1"/>
    <row r="11522" customFormat="1" ht="17.25" customHeight="1"/>
    <row r="11523" customFormat="1" ht="17.25" customHeight="1"/>
    <row r="11524" customFormat="1" ht="17.25" customHeight="1"/>
    <row r="11525" customFormat="1" ht="17.25" customHeight="1"/>
    <row r="11526" customFormat="1" ht="17.25" customHeight="1"/>
    <row r="11527" customFormat="1" ht="17.25" customHeight="1"/>
    <row r="11528" customFormat="1" ht="17.25" customHeight="1"/>
    <row r="11529" customFormat="1" ht="17.25" customHeight="1"/>
    <row r="11530" customFormat="1" ht="17.25" customHeight="1"/>
    <row r="11531" customFormat="1" ht="17.25" customHeight="1"/>
    <row r="11532" customFormat="1" ht="17.25" customHeight="1"/>
    <row r="11533" customFormat="1" ht="17.25" customHeight="1"/>
    <row r="11534" customFormat="1" ht="17.25" customHeight="1"/>
    <row r="11535" customFormat="1" ht="17.25" customHeight="1"/>
    <row r="11536" customFormat="1" ht="17.25" customHeight="1"/>
    <row r="11537" customFormat="1" ht="17.25" customHeight="1"/>
    <row r="11538" customFormat="1" ht="17.25" customHeight="1"/>
    <row r="11539" customFormat="1" ht="17.25" customHeight="1"/>
    <row r="11540" customFormat="1" ht="17.25" customHeight="1"/>
    <row r="11541" customFormat="1" ht="17.25" customHeight="1"/>
    <row r="11542" customFormat="1" ht="17.25" customHeight="1"/>
    <row r="11543" customFormat="1" ht="17.25" customHeight="1"/>
    <row r="11544" customFormat="1" ht="17.25" customHeight="1"/>
    <row r="11545" customFormat="1" ht="17.25" customHeight="1"/>
    <row r="11546" customFormat="1" ht="17.25" customHeight="1"/>
    <row r="11547" customFormat="1" ht="17.25" customHeight="1"/>
    <row r="11548" customFormat="1" ht="17.25" customHeight="1"/>
    <row r="11549" customFormat="1" ht="17.25" customHeight="1"/>
    <row r="11550" customFormat="1" ht="17.25" customHeight="1"/>
    <row r="11551" customFormat="1" ht="17.25" customHeight="1"/>
    <row r="11552" customFormat="1" ht="17.25" customHeight="1"/>
    <row r="11553" customFormat="1" ht="17.25" customHeight="1"/>
    <row r="11554" customFormat="1" ht="17.25" customHeight="1"/>
    <row r="11555" customFormat="1" ht="17.25" customHeight="1"/>
    <row r="11556" customFormat="1" ht="17.25" customHeight="1"/>
    <row r="11557" customFormat="1" ht="17.25" customHeight="1"/>
    <row r="11558" customFormat="1" ht="17.25" customHeight="1"/>
    <row r="11559" customFormat="1" ht="17.25" customHeight="1"/>
    <row r="11560" customFormat="1" ht="17.25" customHeight="1"/>
    <row r="11561" customFormat="1" ht="17.25" customHeight="1"/>
    <row r="11562" customFormat="1" ht="17.25" customHeight="1"/>
    <row r="11563" customFormat="1" ht="17.25" customHeight="1"/>
    <row r="11564" customFormat="1" ht="17.25" customHeight="1"/>
    <row r="11565" customFormat="1" ht="17.25" customHeight="1"/>
    <row r="11566" customFormat="1" ht="17.25" customHeight="1"/>
    <row r="11567" customFormat="1" ht="17.25" customHeight="1"/>
    <row r="11568" customFormat="1" ht="17.25" customHeight="1"/>
    <row r="11569" customFormat="1" ht="17.25" customHeight="1"/>
    <row r="11570" customFormat="1" ht="17.25" customHeight="1"/>
    <row r="11571" customFormat="1" ht="17.25" customHeight="1"/>
    <row r="11572" customFormat="1" ht="17.25" customHeight="1"/>
    <row r="11573" customFormat="1" ht="17.25" customHeight="1"/>
    <row r="11574" customFormat="1" ht="17.25" customHeight="1"/>
    <row r="11575" customFormat="1" ht="17.25" customHeight="1"/>
    <row r="11576" customFormat="1" ht="17.25" customHeight="1"/>
    <row r="11577" customFormat="1" ht="17.25" customHeight="1"/>
    <row r="11578" customFormat="1" ht="17.25" customHeight="1"/>
    <row r="11579" customFormat="1" ht="17.25" customHeight="1"/>
    <row r="11580" customFormat="1" ht="17.25" customHeight="1"/>
    <row r="11581" customFormat="1" ht="17.25" customHeight="1"/>
    <row r="11582" customFormat="1" ht="17.25" customHeight="1"/>
    <row r="11583" customFormat="1" ht="17.25" customHeight="1"/>
    <row r="11584" customFormat="1" ht="17.25" customHeight="1"/>
    <row r="11585" customFormat="1" ht="17.25" customHeight="1"/>
    <row r="11586" customFormat="1" ht="17.25" customHeight="1"/>
    <row r="11587" customFormat="1" ht="17.25" customHeight="1"/>
    <row r="11588" customFormat="1" ht="17.25" customHeight="1"/>
    <row r="11589" customFormat="1" ht="17.25" customHeight="1"/>
    <row r="11590" customFormat="1" ht="17.25" customHeight="1"/>
    <row r="11591" customFormat="1" ht="17.25" customHeight="1"/>
    <row r="11592" customFormat="1" ht="17.25" customHeight="1"/>
    <row r="11593" customFormat="1" ht="17.25" customHeight="1"/>
    <row r="11594" customFormat="1" ht="17.25" customHeight="1"/>
    <row r="11595" customFormat="1" ht="17.25" customHeight="1"/>
    <row r="11596" customFormat="1" ht="17.25" customHeight="1"/>
    <row r="11597" customFormat="1" ht="17.25" customHeight="1"/>
    <row r="11598" customFormat="1" ht="17.25" customHeight="1"/>
    <row r="11599" customFormat="1" ht="17.25" customHeight="1"/>
    <row r="11600" customFormat="1" ht="17.25" customHeight="1"/>
    <row r="11601" customFormat="1" ht="17.25" customHeight="1"/>
    <row r="11602" customFormat="1" ht="17.25" customHeight="1"/>
    <row r="11603" customFormat="1" ht="17.25" customHeight="1"/>
    <row r="11604" customFormat="1" ht="17.25" customHeight="1"/>
    <row r="11605" customFormat="1" ht="17.25" customHeight="1"/>
    <row r="11606" customFormat="1" ht="17.25" customHeight="1"/>
    <row r="11607" customFormat="1" ht="17.25" customHeight="1"/>
    <row r="11608" customFormat="1" ht="17.25" customHeight="1"/>
    <row r="11609" customFormat="1" ht="17.25" customHeight="1"/>
    <row r="11610" customFormat="1" ht="17.25" customHeight="1"/>
    <row r="11611" customFormat="1" ht="17.25" customHeight="1"/>
    <row r="11612" customFormat="1" ht="17.25" customHeight="1"/>
    <row r="11613" customFormat="1" ht="17.25" customHeight="1"/>
    <row r="11614" customFormat="1" ht="17.25" customHeight="1"/>
    <row r="11615" customFormat="1" ht="17.25" customHeight="1"/>
    <row r="11616" customFormat="1" ht="17.25" customHeight="1"/>
    <row r="11617" customFormat="1" ht="17.25" customHeight="1"/>
    <row r="11618" customFormat="1" ht="17.25" customHeight="1"/>
    <row r="11619" customFormat="1" ht="17.25" customHeight="1"/>
    <row r="11620" customFormat="1" ht="17.25" customHeight="1"/>
    <row r="11621" customFormat="1" ht="17.25" customHeight="1"/>
    <row r="11622" customFormat="1" ht="17.25" customHeight="1"/>
    <row r="11623" customFormat="1" ht="17.25" customHeight="1"/>
    <row r="11624" customFormat="1" ht="17.25" customHeight="1"/>
    <row r="11625" customFormat="1" ht="17.25" customHeight="1"/>
    <row r="11626" customFormat="1" ht="17.25" customHeight="1"/>
    <row r="11627" customFormat="1" ht="17.25" customHeight="1"/>
    <row r="11628" customFormat="1" ht="17.25" customHeight="1"/>
    <row r="11629" customFormat="1" ht="17.25" customHeight="1"/>
    <row r="11630" customFormat="1" ht="17.25" customHeight="1"/>
    <row r="11631" customFormat="1" ht="17.25" customHeight="1"/>
    <row r="11632" customFormat="1" ht="17.25" customHeight="1"/>
    <row r="11633" customFormat="1" ht="17.25" customHeight="1"/>
    <row r="11634" customFormat="1" ht="17.25" customHeight="1"/>
    <row r="11635" customFormat="1" ht="17.25" customHeight="1"/>
    <row r="11636" customFormat="1" ht="17.25" customHeight="1"/>
    <row r="11637" customFormat="1" ht="17.25" customHeight="1"/>
    <row r="11638" customFormat="1" ht="17.25" customHeight="1"/>
    <row r="11639" customFormat="1" ht="17.25" customHeight="1"/>
    <row r="11640" customFormat="1" ht="17.25" customHeight="1"/>
    <row r="11641" customFormat="1" ht="17.25" customHeight="1"/>
    <row r="11642" customFormat="1" ht="17.25" customHeight="1"/>
    <row r="11643" customFormat="1" ht="17.25" customHeight="1"/>
    <row r="11644" customFormat="1" ht="17.25" customHeight="1"/>
    <row r="11645" customFormat="1" ht="17.25" customHeight="1"/>
    <row r="11646" customFormat="1" ht="17.25" customHeight="1"/>
    <row r="11647" customFormat="1" ht="17.25" customHeight="1"/>
    <row r="11648" customFormat="1" ht="17.25" customHeight="1"/>
    <row r="11649" customFormat="1" ht="17.25" customHeight="1"/>
    <row r="11650" customFormat="1" ht="17.25" customHeight="1"/>
    <row r="11651" customFormat="1" ht="17.25" customHeight="1"/>
    <row r="11652" customFormat="1" ht="17.25" customHeight="1"/>
    <row r="11653" customFormat="1" ht="17.25" customHeight="1"/>
    <row r="11654" customFormat="1" ht="17.25" customHeight="1"/>
    <row r="11655" customFormat="1" ht="17.25" customHeight="1"/>
    <row r="11656" customFormat="1" ht="17.25" customHeight="1"/>
    <row r="11657" customFormat="1" ht="17.25" customHeight="1"/>
    <row r="11658" customFormat="1" ht="17.25" customHeight="1"/>
    <row r="11659" customFormat="1" ht="17.25" customHeight="1"/>
    <row r="11660" customFormat="1" ht="17.25" customHeight="1"/>
    <row r="11661" customFormat="1" ht="17.25" customHeight="1"/>
    <row r="11662" customFormat="1" ht="17.25" customHeight="1"/>
    <row r="11663" customFormat="1" ht="17.25" customHeight="1"/>
    <row r="11664" customFormat="1" ht="17.25" customHeight="1"/>
    <row r="11665" customFormat="1" ht="17.25" customHeight="1"/>
    <row r="11666" customFormat="1" ht="17.25" customHeight="1"/>
    <row r="11667" customFormat="1" ht="17.25" customHeight="1"/>
    <row r="11668" customFormat="1" ht="17.25" customHeight="1"/>
    <row r="11669" customFormat="1" ht="17.25" customHeight="1"/>
    <row r="11670" customFormat="1" ht="17.25" customHeight="1"/>
    <row r="11671" customFormat="1" ht="17.25" customHeight="1"/>
    <row r="11672" customFormat="1" ht="17.25" customHeight="1"/>
    <row r="11673" customFormat="1" ht="17.25" customHeight="1"/>
    <row r="11674" customFormat="1" ht="17.25" customHeight="1"/>
    <row r="11675" customFormat="1" ht="17.25" customHeight="1"/>
    <row r="11676" customFormat="1" ht="17.25" customHeight="1"/>
    <row r="11677" customFormat="1" ht="17.25" customHeight="1"/>
    <row r="11678" customFormat="1" ht="17.25" customHeight="1"/>
    <row r="11679" customFormat="1" ht="17.25" customHeight="1"/>
    <row r="11680" customFormat="1" ht="17.25" customHeight="1"/>
    <row r="11681" customFormat="1" ht="17.25" customHeight="1"/>
    <row r="11682" customFormat="1" ht="17.25" customHeight="1"/>
    <row r="11683" customFormat="1" ht="17.25" customHeight="1"/>
    <row r="11684" customFormat="1" ht="17.25" customHeight="1"/>
    <row r="11685" customFormat="1" ht="17.25" customHeight="1"/>
    <row r="11686" customFormat="1" ht="17.25" customHeight="1"/>
    <row r="11687" customFormat="1" ht="17.25" customHeight="1"/>
    <row r="11688" customFormat="1" ht="17.25" customHeight="1"/>
    <row r="11689" customFormat="1" ht="17.25" customHeight="1"/>
    <row r="11690" customFormat="1" ht="17.25" customHeight="1"/>
    <row r="11691" customFormat="1" ht="17.25" customHeight="1"/>
    <row r="11692" customFormat="1" ht="17.25" customHeight="1"/>
    <row r="11693" customFormat="1" ht="17.25" customHeight="1"/>
    <row r="11694" customFormat="1" ht="17.25" customHeight="1"/>
    <row r="11695" customFormat="1" ht="17.25" customHeight="1"/>
    <row r="11696" customFormat="1" ht="17.25" customHeight="1"/>
    <row r="11697" customFormat="1" ht="17.25" customHeight="1"/>
    <row r="11698" customFormat="1" ht="17.25" customHeight="1"/>
    <row r="11699" customFormat="1" ht="17.25" customHeight="1"/>
    <row r="11700" customFormat="1" ht="17.25" customHeight="1"/>
    <row r="11701" customFormat="1" ht="17.25" customHeight="1"/>
    <row r="11702" customFormat="1" ht="17.25" customHeight="1"/>
    <row r="11703" customFormat="1" ht="17.25" customHeight="1"/>
    <row r="11704" customFormat="1" ht="17.25" customHeight="1"/>
    <row r="11705" customFormat="1" ht="17.25" customHeight="1"/>
    <row r="11706" customFormat="1" ht="17.25" customHeight="1"/>
    <row r="11707" customFormat="1" ht="17.25" customHeight="1"/>
    <row r="11708" customFormat="1" ht="17.25" customHeight="1"/>
    <row r="11709" customFormat="1" ht="17.25" customHeight="1"/>
    <row r="11710" customFormat="1" ht="17.25" customHeight="1"/>
    <row r="11711" customFormat="1" ht="17.25" customHeight="1"/>
    <row r="11712" customFormat="1" ht="17.25" customHeight="1"/>
    <row r="11713" customFormat="1" ht="17.25" customHeight="1"/>
    <row r="11714" customFormat="1" ht="17.25" customHeight="1"/>
    <row r="11715" customFormat="1" ht="17.25" customHeight="1"/>
    <row r="11716" customFormat="1" ht="17.25" customHeight="1"/>
    <row r="11717" customFormat="1" ht="17.25" customHeight="1"/>
    <row r="11718" customFormat="1" ht="17.25" customHeight="1"/>
    <row r="11719" customFormat="1" ht="17.25" customHeight="1"/>
    <row r="11720" customFormat="1" ht="17.25" customHeight="1"/>
    <row r="11721" customFormat="1" ht="17.25" customHeight="1"/>
    <row r="11722" customFormat="1" ht="17.25" customHeight="1"/>
    <row r="11723" customFormat="1" ht="17.25" customHeight="1"/>
    <row r="11724" customFormat="1" ht="17.25" customHeight="1"/>
    <row r="11725" customFormat="1" ht="17.25" customHeight="1"/>
    <row r="11726" customFormat="1" ht="17.25" customHeight="1"/>
    <row r="11727" customFormat="1" ht="17.25" customHeight="1"/>
    <row r="11728" customFormat="1" ht="17.25" customHeight="1"/>
    <row r="11729" customFormat="1" ht="17.25" customHeight="1"/>
    <row r="11730" customFormat="1" ht="17.25" customHeight="1"/>
    <row r="11731" customFormat="1" ht="17.25" customHeight="1"/>
    <row r="11732" customFormat="1" ht="17.25" customHeight="1"/>
    <row r="11733" customFormat="1" ht="17.25" customHeight="1"/>
    <row r="11734" customFormat="1" ht="17.25" customHeight="1"/>
    <row r="11735" customFormat="1" ht="17.25" customHeight="1"/>
    <row r="11736" customFormat="1" ht="17.25" customHeight="1"/>
    <row r="11737" customFormat="1" ht="17.25" customHeight="1"/>
    <row r="11738" customFormat="1" ht="17.25" customHeight="1"/>
    <row r="11739" customFormat="1" ht="17.25" customHeight="1"/>
    <row r="11740" customFormat="1" ht="17.25" customHeight="1"/>
    <row r="11741" customFormat="1" ht="17.25" customHeight="1"/>
    <row r="11742" customFormat="1" ht="17.25" customHeight="1"/>
    <row r="11743" customFormat="1" ht="17.25" customHeight="1"/>
    <row r="11744" customFormat="1" ht="17.25" customHeight="1"/>
    <row r="11745" customFormat="1" ht="17.25" customHeight="1"/>
    <row r="11746" customFormat="1" ht="17.25" customHeight="1"/>
    <row r="11747" customFormat="1" ht="17.25" customHeight="1"/>
    <row r="11748" customFormat="1" ht="17.25" customHeight="1"/>
    <row r="11749" customFormat="1" ht="17.25" customHeight="1"/>
    <row r="11750" customFormat="1" ht="17.25" customHeight="1"/>
    <row r="11751" customFormat="1" ht="17.25" customHeight="1"/>
    <row r="11752" customFormat="1" ht="17.25" customHeight="1"/>
    <row r="11753" customFormat="1" ht="17.25" customHeight="1"/>
    <row r="11754" customFormat="1" ht="17.25" customHeight="1"/>
    <row r="11755" customFormat="1" ht="17.25" customHeight="1"/>
    <row r="11756" customFormat="1" ht="17.25" customHeight="1"/>
    <row r="11757" customFormat="1" ht="17.25" customHeight="1"/>
    <row r="11758" customFormat="1" ht="17.25" customHeight="1"/>
    <row r="11759" customFormat="1" ht="17.25" customHeight="1"/>
    <row r="11760" customFormat="1" ht="17.25" customHeight="1"/>
    <row r="11761" customFormat="1" ht="17.25" customHeight="1"/>
    <row r="11762" customFormat="1" ht="17.25" customHeight="1"/>
    <row r="11763" customFormat="1" ht="17.25" customHeight="1"/>
    <row r="11764" customFormat="1" ht="17.25" customHeight="1"/>
    <row r="11765" customFormat="1" ht="17.25" customHeight="1"/>
    <row r="11766" customFormat="1" ht="17.25" customHeight="1"/>
    <row r="11767" customFormat="1" ht="17.25" customHeight="1"/>
    <row r="11768" customFormat="1" ht="17.25" customHeight="1"/>
    <row r="11769" customFormat="1" ht="17.25" customHeight="1"/>
    <row r="11770" customFormat="1" ht="17.25" customHeight="1"/>
    <row r="11771" customFormat="1" ht="17.25" customHeight="1"/>
    <row r="11772" customFormat="1" ht="17.25" customHeight="1"/>
    <row r="11773" customFormat="1" ht="17.25" customHeight="1"/>
    <row r="11774" customFormat="1" ht="17.25" customHeight="1"/>
    <row r="11775" customFormat="1" ht="17.25" customHeight="1"/>
    <row r="11776" customFormat="1" ht="17.25" customHeight="1"/>
    <row r="11777" customFormat="1" ht="17.25" customHeight="1"/>
    <row r="11778" customFormat="1" ht="17.25" customHeight="1"/>
    <row r="11779" customFormat="1" ht="17.25" customHeight="1"/>
    <row r="11780" customFormat="1" ht="17.25" customHeight="1"/>
    <row r="11781" customFormat="1" ht="17.25" customHeight="1"/>
    <row r="11782" customFormat="1" ht="17.25" customHeight="1"/>
    <row r="11783" customFormat="1" ht="17.25" customHeight="1"/>
    <row r="11784" customFormat="1" ht="17.25" customHeight="1"/>
    <row r="11785" customFormat="1" ht="17.25" customHeight="1"/>
    <row r="11786" customFormat="1" ht="17.25" customHeight="1"/>
    <row r="11787" customFormat="1" ht="17.25" customHeight="1"/>
    <row r="11788" customFormat="1" ht="17.25" customHeight="1"/>
    <row r="11789" customFormat="1" ht="17.25" customHeight="1"/>
    <row r="11790" customFormat="1" ht="17.25" customHeight="1"/>
    <row r="11791" customFormat="1" ht="17.25" customHeight="1"/>
    <row r="11792" customFormat="1" ht="17.25" customHeight="1"/>
    <row r="11793" customFormat="1" ht="17.25" customHeight="1"/>
    <row r="11794" customFormat="1" ht="17.25" customHeight="1"/>
    <row r="11795" customFormat="1" ht="17.25" customHeight="1"/>
    <row r="11796" customFormat="1" ht="17.25" customHeight="1"/>
    <row r="11797" customFormat="1" ht="17.25" customHeight="1"/>
    <row r="11798" customFormat="1" ht="17.25" customHeight="1"/>
    <row r="11799" customFormat="1" ht="17.25" customHeight="1"/>
    <row r="11800" customFormat="1" ht="17.25" customHeight="1"/>
    <row r="11801" customFormat="1" ht="17.25" customHeight="1"/>
    <row r="11802" customFormat="1" ht="17.25" customHeight="1"/>
    <row r="11803" customFormat="1" ht="17.25" customHeight="1"/>
    <row r="11804" customFormat="1" ht="17.25" customHeight="1"/>
    <row r="11805" customFormat="1" ht="17.25" customHeight="1"/>
    <row r="11806" customFormat="1" ht="17.25" customHeight="1"/>
    <row r="11807" customFormat="1" ht="17.25" customHeight="1"/>
    <row r="11808" customFormat="1" ht="17.25" customHeight="1"/>
    <row r="11809" customFormat="1" ht="17.25" customHeight="1"/>
    <row r="11810" customFormat="1" ht="17.25" customHeight="1"/>
    <row r="11811" customFormat="1" ht="17.25" customHeight="1"/>
    <row r="11812" customFormat="1" ht="17.25" customHeight="1"/>
    <row r="11813" customFormat="1" ht="17.25" customHeight="1"/>
    <row r="11814" customFormat="1" ht="17.25" customHeight="1"/>
    <row r="11815" customFormat="1" ht="17.25" customHeight="1"/>
    <row r="11816" customFormat="1" ht="17.25" customHeight="1"/>
    <row r="11817" customFormat="1" ht="17.25" customHeight="1"/>
    <row r="11818" customFormat="1" ht="17.25" customHeight="1"/>
    <row r="11819" customFormat="1" ht="17.25" customHeight="1"/>
    <row r="11820" customFormat="1" ht="17.25" customHeight="1"/>
    <row r="11821" customFormat="1" ht="17.25" customHeight="1"/>
    <row r="11822" customFormat="1" ht="17.25" customHeight="1"/>
    <row r="11823" customFormat="1" ht="17.25" customHeight="1"/>
    <row r="11824" customFormat="1" ht="17.25" customHeight="1"/>
    <row r="11825" customFormat="1" ht="17.25" customHeight="1"/>
    <row r="11826" customFormat="1" ht="17.25" customHeight="1"/>
    <row r="11827" customFormat="1" ht="17.25" customHeight="1"/>
    <row r="11828" customFormat="1" ht="17.25" customHeight="1"/>
    <row r="11829" customFormat="1" ht="17.25" customHeight="1"/>
    <row r="11830" customFormat="1" ht="17.25" customHeight="1"/>
    <row r="11831" customFormat="1" ht="17.25" customHeight="1"/>
    <row r="11832" customFormat="1" ht="17.25" customHeight="1"/>
    <row r="11833" customFormat="1" ht="17.25" customHeight="1"/>
    <row r="11834" customFormat="1" ht="17.25" customHeight="1"/>
    <row r="11835" customFormat="1" ht="17.25" customHeight="1"/>
    <row r="11836" customFormat="1" ht="17.25" customHeight="1"/>
    <row r="11837" customFormat="1" ht="17.25" customHeight="1"/>
    <row r="11838" customFormat="1" ht="17.25" customHeight="1"/>
    <row r="11839" customFormat="1" ht="17.25" customHeight="1"/>
    <row r="11840" customFormat="1" ht="17.25" customHeight="1"/>
    <row r="11841" customFormat="1" ht="17.25" customHeight="1"/>
    <row r="11842" customFormat="1" ht="17.25" customHeight="1"/>
    <row r="11843" customFormat="1" ht="17.25" customHeight="1"/>
    <row r="11844" customFormat="1" ht="17.25" customHeight="1"/>
    <row r="11845" customFormat="1" ht="17.25" customHeight="1"/>
    <row r="11846" customFormat="1" ht="17.25" customHeight="1"/>
    <row r="11847" customFormat="1" ht="17.25" customHeight="1"/>
    <row r="11848" customFormat="1" ht="17.25" customHeight="1"/>
    <row r="11849" customFormat="1" ht="17.25" customHeight="1"/>
    <row r="11850" customFormat="1" ht="17.25" customHeight="1"/>
    <row r="11851" customFormat="1" ht="17.25" customHeight="1"/>
    <row r="11852" customFormat="1" ht="17.25" customHeight="1"/>
    <row r="11853" customFormat="1" ht="17.25" customHeight="1"/>
    <row r="11854" customFormat="1" ht="17.25" customHeight="1"/>
    <row r="11855" customFormat="1" ht="17.25" customHeight="1"/>
    <row r="11856" customFormat="1" ht="17.25" customHeight="1"/>
    <row r="11857" customFormat="1" ht="17.25" customHeight="1"/>
    <row r="11858" customFormat="1" ht="17.25" customHeight="1"/>
    <row r="11859" customFormat="1" ht="17.25" customHeight="1"/>
    <row r="11860" customFormat="1" ht="17.25" customHeight="1"/>
    <row r="11861" customFormat="1" ht="17.25" customHeight="1"/>
    <row r="11862" customFormat="1" ht="17.25" customHeight="1"/>
    <row r="11863" customFormat="1" ht="17.25" customHeight="1"/>
    <row r="11864" customFormat="1" ht="17.25" customHeight="1"/>
    <row r="11865" customFormat="1" ht="17.25" customHeight="1"/>
    <row r="11866" customFormat="1" ht="17.25" customHeight="1"/>
    <row r="11867" customFormat="1" ht="17.25" customHeight="1"/>
    <row r="11868" customFormat="1" ht="17.25" customHeight="1"/>
    <row r="11869" customFormat="1" ht="17.25" customHeight="1"/>
    <row r="11870" customFormat="1" ht="17.25" customHeight="1"/>
    <row r="11871" customFormat="1" ht="17.25" customHeight="1"/>
    <row r="11872" customFormat="1" ht="17.25" customHeight="1"/>
    <row r="11873" customFormat="1" ht="17.25" customHeight="1"/>
    <row r="11874" customFormat="1" ht="17.25" customHeight="1"/>
    <row r="11875" customFormat="1" ht="17.25" customHeight="1"/>
    <row r="11876" customFormat="1" ht="17.25" customHeight="1"/>
    <row r="11877" customFormat="1" ht="17.25" customHeight="1"/>
    <row r="11878" customFormat="1" ht="17.25" customHeight="1"/>
    <row r="11879" customFormat="1" ht="17.25" customHeight="1"/>
    <row r="11880" customFormat="1" ht="17.25" customHeight="1"/>
    <row r="11881" customFormat="1" ht="17.25" customHeight="1"/>
    <row r="11882" customFormat="1" ht="17.25" customHeight="1"/>
    <row r="11883" customFormat="1" ht="17.25" customHeight="1"/>
    <row r="11884" customFormat="1" ht="17.25" customHeight="1"/>
    <row r="11885" customFormat="1" ht="17.25" customHeight="1"/>
    <row r="11886" customFormat="1" ht="17.25" customHeight="1"/>
    <row r="11887" customFormat="1" ht="17.25" customHeight="1"/>
    <row r="11888" customFormat="1" ht="17.25" customHeight="1"/>
    <row r="11889" customFormat="1" ht="17.25" customHeight="1"/>
    <row r="11890" customFormat="1" ht="17.25" customHeight="1"/>
    <row r="11891" customFormat="1" ht="17.25" customHeight="1"/>
    <row r="11892" customFormat="1" ht="17.25" customHeight="1"/>
    <row r="11893" customFormat="1" ht="17.25" customHeight="1"/>
    <row r="11894" customFormat="1" ht="17.25" customHeight="1"/>
    <row r="11895" customFormat="1" ht="17.25" customHeight="1"/>
    <row r="11896" customFormat="1" ht="17.25" customHeight="1"/>
    <row r="11897" customFormat="1" ht="17.25" customHeight="1"/>
    <row r="11898" customFormat="1" ht="17.25" customHeight="1"/>
    <row r="11899" customFormat="1" ht="17.25" customHeight="1"/>
    <row r="11900" customFormat="1" ht="17.25" customHeight="1"/>
    <row r="11901" customFormat="1" ht="17.25" customHeight="1"/>
    <row r="11902" customFormat="1" ht="17.25" customHeight="1"/>
    <row r="11903" customFormat="1" ht="17.25" customHeight="1"/>
    <row r="11904" customFormat="1" ht="17.25" customHeight="1"/>
    <row r="11905" customFormat="1" ht="17.25" customHeight="1"/>
    <row r="11906" customFormat="1" ht="17.25" customHeight="1"/>
    <row r="11907" customFormat="1" ht="17.25" customHeight="1"/>
    <row r="11908" customFormat="1" ht="17.25" customHeight="1"/>
    <row r="11909" customFormat="1" ht="17.25" customHeight="1"/>
    <row r="11910" customFormat="1" ht="17.25" customHeight="1"/>
    <row r="11911" customFormat="1" ht="17.25" customHeight="1"/>
    <row r="11912" customFormat="1" ht="17.25" customHeight="1"/>
    <row r="11913" customFormat="1" ht="17.25" customHeight="1"/>
    <row r="11914" customFormat="1" ht="17.25" customHeight="1"/>
    <row r="11915" customFormat="1" ht="17.25" customHeight="1"/>
    <row r="11916" customFormat="1" ht="17.25" customHeight="1"/>
    <row r="11917" customFormat="1" ht="17.25" customHeight="1"/>
    <row r="11918" customFormat="1" ht="17.25" customHeight="1"/>
    <row r="11919" customFormat="1" ht="17.25" customHeight="1"/>
    <row r="11920" customFormat="1" ht="17.25" customHeight="1"/>
    <row r="11921" customFormat="1" ht="17.25" customHeight="1"/>
    <row r="11922" customFormat="1" ht="17.25" customHeight="1"/>
    <row r="11923" customFormat="1" ht="17.25" customHeight="1"/>
    <row r="11924" customFormat="1" ht="17.25" customHeight="1"/>
    <row r="11925" customFormat="1" ht="17.25" customHeight="1"/>
    <row r="11926" customFormat="1" ht="17.25" customHeight="1"/>
    <row r="11927" customFormat="1" ht="17.25" customHeight="1"/>
    <row r="11928" customFormat="1" ht="17.25" customHeight="1"/>
    <row r="11929" customFormat="1" ht="17.25" customHeight="1"/>
    <row r="11930" customFormat="1" ht="17.25" customHeight="1"/>
    <row r="11931" customFormat="1" ht="17.25" customHeight="1"/>
    <row r="11932" customFormat="1" ht="17.25" customHeight="1"/>
    <row r="11933" customFormat="1" ht="17.25" customHeight="1"/>
    <row r="11934" customFormat="1" ht="17.25" customHeight="1"/>
    <row r="11935" customFormat="1" ht="17.25" customHeight="1"/>
    <row r="11936" customFormat="1" ht="17.25" customHeight="1"/>
    <row r="11937" customFormat="1" ht="17.25" customHeight="1"/>
    <row r="11938" customFormat="1" ht="17.25" customHeight="1"/>
    <row r="11939" customFormat="1" ht="17.25" customHeight="1"/>
    <row r="11940" customFormat="1" ht="17.25" customHeight="1"/>
    <row r="11941" customFormat="1" ht="17.25" customHeight="1"/>
    <row r="11942" customFormat="1" ht="17.25" customHeight="1"/>
    <row r="11943" customFormat="1" ht="17.25" customHeight="1"/>
    <row r="11944" customFormat="1" ht="17.25" customHeight="1"/>
    <row r="11945" customFormat="1" ht="17.25" customHeight="1"/>
    <row r="11946" customFormat="1" ht="17.25" customHeight="1"/>
    <row r="11947" customFormat="1" ht="17.25" customHeight="1"/>
    <row r="11948" customFormat="1" ht="17.25" customHeight="1"/>
    <row r="11949" customFormat="1" ht="17.25" customHeight="1"/>
    <row r="11950" customFormat="1" ht="17.25" customHeight="1"/>
    <row r="11951" customFormat="1" ht="17.25" customHeight="1"/>
    <row r="11952" customFormat="1" ht="17.25" customHeight="1"/>
    <row r="11953" customFormat="1" ht="17.25" customHeight="1"/>
    <row r="11954" customFormat="1" ht="17.25" customHeight="1"/>
    <row r="11955" customFormat="1" ht="17.25" customHeight="1"/>
    <row r="11956" customFormat="1" ht="17.25" customHeight="1"/>
    <row r="11957" customFormat="1" ht="17.25" customHeight="1"/>
    <row r="11958" customFormat="1" ht="17.25" customHeight="1"/>
    <row r="11959" customFormat="1" ht="17.25" customHeight="1"/>
    <row r="11960" customFormat="1" ht="17.25" customHeight="1"/>
    <row r="11961" customFormat="1" ht="17.25" customHeight="1"/>
    <row r="11962" customFormat="1" ht="17.25" customHeight="1"/>
    <row r="11963" customFormat="1" ht="17.25" customHeight="1"/>
    <row r="11964" customFormat="1" ht="17.25" customHeight="1"/>
    <row r="11965" customFormat="1" ht="17.25" customHeight="1"/>
    <row r="11966" customFormat="1" ht="17.25" customHeight="1"/>
    <row r="11967" customFormat="1" ht="17.25" customHeight="1"/>
    <row r="11968" customFormat="1" ht="17.25" customHeight="1"/>
    <row r="11969" customFormat="1" ht="17.25" customHeight="1"/>
    <row r="11970" customFormat="1" ht="17.25" customHeight="1"/>
    <row r="11971" customFormat="1" ht="17.25" customHeight="1"/>
    <row r="11972" customFormat="1" ht="17.25" customHeight="1"/>
    <row r="11973" customFormat="1" ht="17.25" customHeight="1"/>
    <row r="11974" customFormat="1" ht="17.25" customHeight="1"/>
    <row r="11975" customFormat="1" ht="17.25" customHeight="1"/>
    <row r="11976" customFormat="1" ht="17.25" customHeight="1"/>
    <row r="11977" customFormat="1" ht="17.25" customHeight="1"/>
    <row r="11978" customFormat="1" ht="17.25" customHeight="1"/>
    <row r="11979" customFormat="1" ht="17.25" customHeight="1"/>
    <row r="11980" customFormat="1" ht="17.25" customHeight="1"/>
    <row r="11981" customFormat="1" ht="17.25" customHeight="1"/>
    <row r="11982" customFormat="1" ht="17.25" customHeight="1"/>
    <row r="11983" customFormat="1" ht="17.25" customHeight="1"/>
    <row r="11984" customFormat="1" ht="17.25" customHeight="1"/>
    <row r="11985" customFormat="1" ht="17.25" customHeight="1"/>
    <row r="11986" customFormat="1" ht="17.25" customHeight="1"/>
    <row r="11987" customFormat="1" ht="17.25" customHeight="1"/>
    <row r="11988" customFormat="1" ht="17.25" customHeight="1"/>
    <row r="11989" customFormat="1" ht="17.25" customHeight="1"/>
    <row r="11990" customFormat="1" ht="17.25" customHeight="1"/>
    <row r="11991" customFormat="1" ht="17.25" customHeight="1"/>
    <row r="11992" customFormat="1" ht="17.25" customHeight="1"/>
    <row r="11993" customFormat="1" ht="17.25" customHeight="1"/>
    <row r="11994" customFormat="1" ht="17.25" customHeight="1"/>
    <row r="11995" customFormat="1" ht="17.25" customHeight="1"/>
    <row r="11996" customFormat="1" ht="17.25" customHeight="1"/>
    <row r="11997" customFormat="1" ht="17.25" customHeight="1"/>
    <row r="11998" customFormat="1" ht="17.25" customHeight="1"/>
    <row r="11999" customFormat="1" ht="17.25" customHeight="1"/>
    <row r="12000" customFormat="1" ht="17.25" customHeight="1"/>
    <row r="12001" customFormat="1" ht="17.25" customHeight="1"/>
    <row r="12002" customFormat="1" ht="17.25" customHeight="1"/>
    <row r="12003" customFormat="1" ht="17.25" customHeight="1"/>
    <row r="12004" customFormat="1" ht="17.25" customHeight="1"/>
    <row r="12005" customFormat="1" ht="17.25" customHeight="1"/>
    <row r="12006" customFormat="1" ht="17.25" customHeight="1"/>
    <row r="12007" customFormat="1" ht="17.25" customHeight="1"/>
    <row r="12008" customFormat="1" ht="17.25" customHeight="1"/>
    <row r="12009" customFormat="1" ht="17.25" customHeight="1"/>
    <row r="12010" customFormat="1" ht="17.25" customHeight="1"/>
    <row r="12011" customFormat="1" ht="17.25" customHeight="1"/>
    <row r="12012" customFormat="1" ht="17.25" customHeight="1"/>
    <row r="12013" customFormat="1" ht="17.25" customHeight="1"/>
    <row r="12014" customFormat="1" ht="17.25" customHeight="1"/>
    <row r="12015" customFormat="1" ht="17.25" customHeight="1"/>
    <row r="12016" customFormat="1" ht="17.25" customHeight="1"/>
    <row r="12017" customFormat="1" ht="17.25" customHeight="1"/>
    <row r="12018" customFormat="1" ht="17.25" customHeight="1"/>
    <row r="12019" customFormat="1" ht="17.25" customHeight="1"/>
    <row r="12020" customFormat="1" ht="17.25" customHeight="1"/>
    <row r="12021" customFormat="1" ht="17.25" customHeight="1"/>
    <row r="12022" customFormat="1" ht="17.25" customHeight="1"/>
    <row r="12023" customFormat="1" ht="17.25" customHeight="1"/>
    <row r="12024" customFormat="1" ht="17.25" customHeight="1"/>
    <row r="12025" customFormat="1" ht="17.25" customHeight="1"/>
    <row r="12026" customFormat="1" ht="17.25" customHeight="1"/>
    <row r="12027" customFormat="1" ht="17.25" customHeight="1"/>
    <row r="12028" customFormat="1" ht="17.25" customHeight="1"/>
    <row r="12029" customFormat="1" ht="17.25" customHeight="1"/>
    <row r="12030" customFormat="1" ht="17.25" customHeight="1"/>
    <row r="12031" customFormat="1" ht="17.25" customHeight="1"/>
    <row r="12032" customFormat="1" ht="17.25" customHeight="1"/>
    <row r="12033" customFormat="1" ht="17.25" customHeight="1"/>
    <row r="12034" customFormat="1" ht="17.25" customHeight="1"/>
    <row r="12035" customFormat="1" ht="17.25" customHeight="1"/>
    <row r="12036" customFormat="1" ht="17.25" customHeight="1"/>
    <row r="12037" customFormat="1" ht="17.25" customHeight="1"/>
    <row r="12038" customFormat="1" ht="17.25" customHeight="1"/>
    <row r="12039" customFormat="1" ht="17.25" customHeight="1"/>
    <row r="12040" customFormat="1" ht="17.25" customHeight="1"/>
    <row r="12041" customFormat="1" ht="17.25" customHeight="1"/>
    <row r="12042" customFormat="1" ht="17.25" customHeight="1"/>
    <row r="12043" customFormat="1" ht="17.25" customHeight="1"/>
    <row r="12044" customFormat="1" ht="17.25" customHeight="1"/>
    <row r="12045" customFormat="1" ht="17.25" customHeight="1"/>
    <row r="12046" customFormat="1" ht="17.25" customHeight="1"/>
    <row r="12047" customFormat="1" ht="17.25" customHeight="1"/>
    <row r="12048" customFormat="1" ht="17.25" customHeight="1"/>
    <row r="12049" customFormat="1" ht="17.25" customHeight="1"/>
    <row r="12050" customFormat="1" ht="17.25" customHeight="1"/>
    <row r="12051" customFormat="1" ht="17.25" customHeight="1"/>
    <row r="12052" customFormat="1" ht="17.25" customHeight="1"/>
    <row r="12053" customFormat="1" ht="17.25" customHeight="1"/>
    <row r="12054" customFormat="1" ht="17.25" customHeight="1"/>
    <row r="12055" customFormat="1" ht="17.25" customHeight="1"/>
    <row r="12056" customFormat="1" ht="17.25" customHeight="1"/>
    <row r="12057" customFormat="1" ht="17.25" customHeight="1"/>
    <row r="12058" customFormat="1" ht="17.25" customHeight="1"/>
    <row r="12059" customFormat="1" ht="17.25" customHeight="1"/>
    <row r="12060" customFormat="1" ht="17.25" customHeight="1"/>
    <row r="12061" customFormat="1" ht="17.25" customHeight="1"/>
    <row r="12062" customFormat="1" ht="17.25" customHeight="1"/>
    <row r="12063" customFormat="1" ht="17.25" customHeight="1"/>
    <row r="12064" customFormat="1" ht="17.25" customHeight="1"/>
    <row r="12065" customFormat="1" ht="17.25" customHeight="1"/>
    <row r="12066" customFormat="1" ht="17.25" customHeight="1"/>
    <row r="12067" customFormat="1" ht="17.25" customHeight="1"/>
    <row r="12068" customFormat="1" ht="17.25" customHeight="1"/>
    <row r="12069" customFormat="1" ht="17.25" customHeight="1"/>
    <row r="12070" customFormat="1" ht="17.25" customHeight="1"/>
    <row r="12071" customFormat="1" ht="17.25" customHeight="1"/>
    <row r="12072" customFormat="1" ht="17.25" customHeight="1"/>
    <row r="12073" customFormat="1" ht="17.25" customHeight="1"/>
    <row r="12074" customFormat="1" ht="17.25" customHeight="1"/>
    <row r="12075" customFormat="1" ht="17.25" customHeight="1"/>
    <row r="12076" customFormat="1" ht="17.25" customHeight="1"/>
    <row r="12077" customFormat="1" ht="17.25" customHeight="1"/>
    <row r="12078" customFormat="1" ht="17.25" customHeight="1"/>
    <row r="12079" customFormat="1" ht="17.25" customHeight="1"/>
    <row r="12080" customFormat="1" ht="17.25" customHeight="1"/>
    <row r="12081" customFormat="1" ht="17.25" customHeight="1"/>
    <row r="12082" customFormat="1" ht="17.25" customHeight="1"/>
    <row r="12083" customFormat="1" ht="17.25" customHeight="1"/>
    <row r="12084" customFormat="1" ht="17.25" customHeight="1"/>
    <row r="12085" customFormat="1" ht="17.25" customHeight="1"/>
    <row r="12086" customFormat="1" ht="17.25" customHeight="1"/>
    <row r="12087" customFormat="1" ht="17.25" customHeight="1"/>
    <row r="12088" customFormat="1" ht="17.25" customHeight="1"/>
    <row r="12089" customFormat="1" ht="17.25" customHeight="1"/>
    <row r="12090" customFormat="1" ht="17.25" customHeight="1"/>
    <row r="12091" customFormat="1" ht="17.25" customHeight="1"/>
    <row r="12092" customFormat="1" ht="17.25" customHeight="1"/>
    <row r="12093" customFormat="1" ht="17.25" customHeight="1"/>
    <row r="12094" customFormat="1" ht="17.25" customHeight="1"/>
    <row r="12095" customFormat="1" ht="17.25" customHeight="1"/>
    <row r="12096" customFormat="1" ht="17.25" customHeight="1"/>
    <row r="12097" customFormat="1" ht="17.25" customHeight="1"/>
    <row r="12098" customFormat="1" ht="17.25" customHeight="1"/>
    <row r="12099" customFormat="1" ht="17.25" customHeight="1"/>
    <row r="12100" customFormat="1" ht="17.25" customHeight="1"/>
    <row r="12101" customFormat="1" ht="17.25" customHeight="1"/>
    <row r="12102" customFormat="1" ht="17.25" customHeight="1"/>
    <row r="12103" customFormat="1" ht="17.25" customHeight="1"/>
    <row r="12104" customFormat="1" ht="17.25" customHeight="1"/>
    <row r="12105" customFormat="1" ht="17.25" customHeight="1"/>
    <row r="12106" customFormat="1" ht="17.25" customHeight="1"/>
    <row r="12107" customFormat="1" ht="17.25" customHeight="1"/>
    <row r="12108" customFormat="1" ht="17.25" customHeight="1"/>
    <row r="12109" customFormat="1" ht="17.25" customHeight="1"/>
    <row r="12110" customFormat="1" ht="17.25" customHeight="1"/>
    <row r="12111" customFormat="1" ht="17.25" customHeight="1"/>
    <row r="12112" customFormat="1" ht="17.25" customHeight="1"/>
    <row r="12113" customFormat="1" ht="17.25" customHeight="1"/>
    <row r="12114" customFormat="1" ht="17.25" customHeight="1"/>
    <row r="12115" customFormat="1" ht="17.25" customHeight="1"/>
    <row r="12116" customFormat="1" ht="17.25" customHeight="1"/>
    <row r="12117" customFormat="1" ht="17.25" customHeight="1"/>
    <row r="12118" customFormat="1" ht="17.25" customHeight="1"/>
    <row r="12119" customFormat="1" ht="17.25" customHeight="1"/>
    <row r="12120" customFormat="1" ht="17.25" customHeight="1"/>
    <row r="12121" customFormat="1" ht="17.25" customHeight="1"/>
    <row r="12122" customFormat="1" ht="17.25" customHeight="1"/>
    <row r="12123" customFormat="1" ht="17.25" customHeight="1"/>
    <row r="12124" customFormat="1" ht="17.25" customHeight="1"/>
    <row r="12125" customFormat="1" ht="17.25" customHeight="1"/>
    <row r="12126" customFormat="1" ht="17.25" customHeight="1"/>
    <row r="12127" customFormat="1" ht="17.25" customHeight="1"/>
    <row r="12128" customFormat="1" ht="17.25" customHeight="1"/>
    <row r="12129" customFormat="1" ht="17.25" customHeight="1"/>
    <row r="12130" customFormat="1" ht="17.25" customHeight="1"/>
    <row r="12131" customFormat="1" ht="17.25" customHeight="1"/>
    <row r="12132" customFormat="1" ht="17.25" customHeight="1"/>
    <row r="12133" customFormat="1" ht="17.25" customHeight="1"/>
    <row r="12134" customFormat="1" ht="17.25" customHeight="1"/>
    <row r="12135" customFormat="1" ht="17.25" customHeight="1"/>
    <row r="12136" customFormat="1" ht="17.25" customHeight="1"/>
    <row r="12137" customFormat="1" ht="17.25" customHeight="1"/>
    <row r="12138" customFormat="1" ht="17.25" customHeight="1"/>
    <row r="12139" customFormat="1" ht="17.25" customHeight="1"/>
    <row r="12140" customFormat="1" ht="17.25" customHeight="1"/>
    <row r="12141" customFormat="1" ht="17.25" customHeight="1"/>
    <row r="12142" customFormat="1" ht="17.25" customHeight="1"/>
    <row r="12143" customFormat="1" ht="17.25" customHeight="1"/>
    <row r="12144" customFormat="1" ht="17.25" customHeight="1"/>
    <row r="12145" customFormat="1" ht="17.25" customHeight="1"/>
    <row r="12146" customFormat="1" ht="17.25" customHeight="1"/>
    <row r="12147" customFormat="1" ht="17.25" customHeight="1"/>
    <row r="12148" customFormat="1" ht="17.25" customHeight="1"/>
    <row r="12149" customFormat="1" ht="17.25" customHeight="1"/>
    <row r="12150" customFormat="1" ht="17.25" customHeight="1"/>
    <row r="12151" customFormat="1" ht="17.25" customHeight="1"/>
    <row r="12152" customFormat="1" ht="17.25" customHeight="1"/>
    <row r="12153" customFormat="1" ht="17.25" customHeight="1"/>
    <row r="12154" customFormat="1" ht="17.25" customHeight="1"/>
    <row r="12155" customFormat="1" ht="17.25" customHeight="1"/>
    <row r="12156" customFormat="1" ht="17.25" customHeight="1"/>
    <row r="12157" customFormat="1" ht="17.25" customHeight="1"/>
    <row r="12158" customFormat="1" ht="17.25" customHeight="1"/>
    <row r="12159" customFormat="1" ht="17.25" customHeight="1"/>
    <row r="12160" customFormat="1" ht="17.25" customHeight="1"/>
    <row r="12161" customFormat="1" ht="17.25" customHeight="1"/>
    <row r="12162" customFormat="1" ht="17.25" customHeight="1"/>
    <row r="12163" customFormat="1" ht="17.25" customHeight="1"/>
    <row r="12164" customFormat="1" ht="17.25" customHeight="1"/>
    <row r="12165" customFormat="1" ht="17.25" customHeight="1"/>
    <row r="12166" customFormat="1" ht="17.25" customHeight="1"/>
    <row r="12167" customFormat="1" ht="17.25" customHeight="1"/>
    <row r="12168" customFormat="1" ht="17.25" customHeight="1"/>
    <row r="12169" customFormat="1" ht="17.25" customHeight="1"/>
    <row r="12170" customFormat="1" ht="17.25" customHeight="1"/>
    <row r="12171" customFormat="1" ht="17.25" customHeight="1"/>
    <row r="12172" customFormat="1" ht="17.25" customHeight="1"/>
    <row r="12173" customFormat="1" ht="17.25" customHeight="1"/>
    <row r="12174" customFormat="1" ht="17.25" customHeight="1"/>
    <row r="12175" customFormat="1" ht="17.25" customHeight="1"/>
    <row r="12176" customFormat="1" ht="17.25" customHeight="1"/>
    <row r="12177" customFormat="1" ht="17.25" customHeight="1"/>
    <row r="12178" customFormat="1" ht="17.25" customHeight="1"/>
    <row r="12179" customFormat="1" ht="17.25" customHeight="1"/>
    <row r="12180" customFormat="1" ht="17.25" customHeight="1"/>
    <row r="12181" customFormat="1" ht="17.25" customHeight="1"/>
    <row r="12182" customFormat="1" ht="17.25" customHeight="1"/>
    <row r="12183" customFormat="1" ht="17.25" customHeight="1"/>
    <row r="12184" customFormat="1" ht="17.25" customHeight="1"/>
    <row r="12185" customFormat="1" ht="17.25" customHeight="1"/>
    <row r="12186" customFormat="1" ht="17.25" customHeight="1"/>
    <row r="12187" customFormat="1" ht="17.25" customHeight="1"/>
    <row r="12188" customFormat="1" ht="17.25" customHeight="1"/>
    <row r="12189" customFormat="1" ht="17.25" customHeight="1"/>
    <row r="12190" customFormat="1" ht="17.25" customHeight="1"/>
    <row r="12191" customFormat="1" ht="17.25" customHeight="1"/>
    <row r="12192" customFormat="1" ht="17.25" customHeight="1"/>
    <row r="12193" customFormat="1" ht="17.25" customHeight="1"/>
    <row r="12194" customFormat="1" ht="17.25" customHeight="1"/>
    <row r="12195" customFormat="1" ht="17.25" customHeight="1"/>
    <row r="12196" customFormat="1" ht="17.25" customHeight="1"/>
    <row r="12197" customFormat="1" ht="17.25" customHeight="1"/>
    <row r="12198" customFormat="1" ht="17.25" customHeight="1"/>
    <row r="12199" customFormat="1" ht="17.25" customHeight="1"/>
    <row r="12200" customFormat="1" ht="17.25" customHeight="1"/>
    <row r="12201" customFormat="1" ht="17.25" customHeight="1"/>
    <row r="12202" customFormat="1" ht="17.25" customHeight="1"/>
    <row r="12203" customFormat="1" ht="17.25" customHeight="1"/>
    <row r="12204" customFormat="1" ht="17.25" customHeight="1"/>
    <row r="12205" customFormat="1" ht="17.25" customHeight="1"/>
    <row r="12206" customFormat="1" ht="17.25" customHeight="1"/>
    <row r="12207" customFormat="1" ht="17.25" customHeight="1"/>
    <row r="12208" customFormat="1" ht="17.25" customHeight="1"/>
    <row r="12209" customFormat="1" ht="17.25" customHeight="1"/>
    <row r="12210" customFormat="1" ht="17.25" customHeight="1"/>
    <row r="12211" customFormat="1" ht="17.25" customHeight="1"/>
    <row r="12212" customFormat="1" ht="17.25" customHeight="1"/>
    <row r="12213" customFormat="1" ht="17.25" customHeight="1"/>
    <row r="12214" customFormat="1" ht="17.25" customHeight="1"/>
    <row r="12215" customFormat="1" ht="17.25" customHeight="1"/>
    <row r="12216" customFormat="1" ht="17.25" customHeight="1"/>
    <row r="12217" customFormat="1" ht="17.25" customHeight="1"/>
    <row r="12218" customFormat="1" ht="17.25" customHeight="1"/>
    <row r="12219" customFormat="1" ht="17.25" customHeight="1"/>
    <row r="12220" customFormat="1" ht="17.25" customHeight="1"/>
    <row r="12221" customFormat="1" ht="17.25" customHeight="1"/>
    <row r="12222" customFormat="1" ht="17.25" customHeight="1"/>
    <row r="12223" customFormat="1" ht="17.25" customHeight="1"/>
    <row r="12224" customFormat="1" ht="17.25" customHeight="1"/>
    <row r="12225" customFormat="1" ht="17.25" customHeight="1"/>
    <row r="12226" customFormat="1" ht="17.25" customHeight="1"/>
    <row r="12227" customFormat="1" ht="17.25" customHeight="1"/>
    <row r="12228" customFormat="1" ht="17.25" customHeight="1"/>
    <row r="12229" customFormat="1" ht="17.25" customHeight="1"/>
    <row r="12230" customFormat="1" ht="17.25" customHeight="1"/>
    <row r="12231" customFormat="1" ht="17.25" customHeight="1"/>
    <row r="12232" customFormat="1" ht="17.25" customHeight="1"/>
    <row r="12233" customFormat="1" ht="17.25" customHeight="1"/>
    <row r="12234" customFormat="1" ht="17.25" customHeight="1"/>
    <row r="12235" customFormat="1" ht="17.25" customHeight="1"/>
    <row r="12236" customFormat="1" ht="17.25" customHeight="1"/>
    <row r="12237" customFormat="1" ht="17.25" customHeight="1"/>
    <row r="12238" customFormat="1" ht="17.25" customHeight="1"/>
    <row r="12239" customFormat="1" ht="17.25" customHeight="1"/>
    <row r="12240" customFormat="1" ht="17.25" customHeight="1"/>
    <row r="12241" customFormat="1" ht="17.25" customHeight="1"/>
    <row r="12242" customFormat="1" ht="17.25" customHeight="1"/>
    <row r="12243" customFormat="1" ht="17.25" customHeight="1"/>
    <row r="12244" customFormat="1" ht="17.25" customHeight="1"/>
    <row r="12245" customFormat="1" ht="17.25" customHeight="1"/>
    <row r="12246" customFormat="1" ht="17.25" customHeight="1"/>
    <row r="12247" customFormat="1" ht="17.25" customHeight="1"/>
    <row r="12248" customFormat="1" ht="17.25" customHeight="1"/>
    <row r="12249" customFormat="1" ht="17.25" customHeight="1"/>
    <row r="12250" customFormat="1" ht="17.25" customHeight="1"/>
    <row r="12251" customFormat="1" ht="17.25" customHeight="1"/>
    <row r="12252" customFormat="1" ht="17.25" customHeight="1"/>
    <row r="12253" customFormat="1" ht="17.25" customHeight="1"/>
    <row r="12254" customFormat="1" ht="17.25" customHeight="1"/>
    <row r="12255" customFormat="1" ht="17.25" customHeight="1"/>
    <row r="12256" customFormat="1" ht="17.25" customHeight="1"/>
    <row r="12257" customFormat="1" ht="17.25" customHeight="1"/>
    <row r="12258" customFormat="1" ht="17.25" customHeight="1"/>
    <row r="12259" customFormat="1" ht="17.25" customHeight="1"/>
    <row r="12260" customFormat="1" ht="17.25" customHeight="1"/>
    <row r="12261" customFormat="1" ht="17.25" customHeight="1"/>
    <row r="12262" customFormat="1" ht="17.25" customHeight="1"/>
    <row r="12263" customFormat="1" ht="17.25" customHeight="1"/>
    <row r="12264" customFormat="1" ht="17.25" customHeight="1"/>
    <row r="12265" customFormat="1" ht="17.25" customHeight="1"/>
    <row r="12266" customFormat="1" ht="17.25" customHeight="1"/>
    <row r="12267" customFormat="1" ht="17.25" customHeight="1"/>
    <row r="12268" customFormat="1" ht="17.25" customHeight="1"/>
    <row r="12269" customFormat="1" ht="17.25" customHeight="1"/>
    <row r="12270" customFormat="1" ht="17.25" customHeight="1"/>
    <row r="12271" customFormat="1" ht="17.25" customHeight="1"/>
    <row r="12272" customFormat="1" ht="17.25" customHeight="1"/>
    <row r="12273" customFormat="1" ht="17.25" customHeight="1"/>
    <row r="12274" customFormat="1" ht="17.25" customHeight="1"/>
    <row r="12275" customFormat="1" ht="17.25" customHeight="1"/>
    <row r="12276" customFormat="1" ht="17.25" customHeight="1"/>
    <row r="12277" customFormat="1" ht="17.25" customHeight="1"/>
    <row r="12278" customFormat="1" ht="17.25" customHeight="1"/>
    <row r="12279" customFormat="1" ht="17.25" customHeight="1"/>
    <row r="12280" customFormat="1" ht="17.25" customHeight="1"/>
    <row r="12281" customFormat="1" ht="17.25" customHeight="1"/>
    <row r="12282" customFormat="1" ht="17.25" customHeight="1"/>
    <row r="12283" customFormat="1" ht="17.25" customHeight="1"/>
    <row r="12284" customFormat="1" ht="17.25" customHeight="1"/>
    <row r="12285" customFormat="1" ht="17.25" customHeight="1"/>
    <row r="12286" customFormat="1" ht="17.25" customHeight="1"/>
    <row r="12287" customFormat="1" ht="17.25" customHeight="1"/>
    <row r="12288" customFormat="1" ht="17.25" customHeight="1"/>
    <row r="12289" customFormat="1" ht="17.25" customHeight="1"/>
    <row r="12290" customFormat="1" ht="17.25" customHeight="1"/>
    <row r="12291" customFormat="1" ht="17.25" customHeight="1"/>
    <row r="12292" customFormat="1" ht="17.25" customHeight="1"/>
    <row r="12293" customFormat="1" ht="17.25" customHeight="1"/>
    <row r="12294" customFormat="1" ht="17.25" customHeight="1"/>
    <row r="12295" customFormat="1" ht="17.25" customHeight="1"/>
    <row r="12296" customFormat="1" ht="17.25" customHeight="1"/>
    <row r="12297" customFormat="1" ht="17.25" customHeight="1"/>
    <row r="12298" customFormat="1" ht="17.25" customHeight="1"/>
    <row r="12299" customFormat="1" ht="17.25" customHeight="1"/>
    <row r="12300" customFormat="1" ht="17.25" customHeight="1"/>
    <row r="12301" customFormat="1" ht="17.25" customHeight="1"/>
    <row r="12302" customFormat="1" ht="17.25" customHeight="1"/>
    <row r="12303" customFormat="1" ht="17.25" customHeight="1"/>
    <row r="12304" customFormat="1" ht="17.25" customHeight="1"/>
    <row r="12305" customFormat="1" ht="17.25" customHeight="1"/>
    <row r="12306" customFormat="1" ht="17.25" customHeight="1"/>
    <row r="12307" customFormat="1" ht="17.25" customHeight="1"/>
    <row r="12308" customFormat="1" ht="17.25" customHeight="1"/>
    <row r="12309" customFormat="1" ht="17.25" customHeight="1"/>
    <row r="12310" customFormat="1" ht="17.25" customHeight="1"/>
    <row r="12311" customFormat="1" ht="17.25" customHeight="1"/>
    <row r="12312" customFormat="1" ht="17.25" customHeight="1"/>
    <row r="12313" customFormat="1" ht="17.25" customHeight="1"/>
    <row r="12314" customFormat="1" ht="17.25" customHeight="1"/>
    <row r="12315" customFormat="1" ht="17.25" customHeight="1"/>
    <row r="12316" customFormat="1" ht="17.25" customHeight="1"/>
    <row r="12317" customFormat="1" ht="17.25" customHeight="1"/>
    <row r="12318" customFormat="1" ht="17.25" customHeight="1"/>
    <row r="12319" customFormat="1" ht="17.25" customHeight="1"/>
    <row r="12320" customFormat="1" ht="17.25" customHeight="1"/>
    <row r="12321" customFormat="1" ht="17.25" customHeight="1"/>
    <row r="12322" customFormat="1" ht="17.25" customHeight="1"/>
    <row r="12323" customFormat="1" ht="17.25" customHeight="1"/>
    <row r="12324" customFormat="1" ht="17.25" customHeight="1"/>
    <row r="12325" customFormat="1" ht="17.25" customHeight="1"/>
    <row r="12326" customFormat="1" ht="17.25" customHeight="1"/>
    <row r="12327" customFormat="1" ht="17.25" customHeight="1"/>
    <row r="12328" customFormat="1" ht="17.25" customHeight="1"/>
    <row r="12329" customFormat="1" ht="17.25" customHeight="1"/>
    <row r="12330" customFormat="1" ht="17.25" customHeight="1"/>
    <row r="12331" customFormat="1" ht="17.25" customHeight="1"/>
    <row r="12332" customFormat="1" ht="17.25" customHeight="1"/>
    <row r="12333" customFormat="1" ht="17.25" customHeight="1"/>
    <row r="12334" customFormat="1" ht="17.25" customHeight="1"/>
    <row r="12335" customFormat="1" ht="17.25" customHeight="1"/>
    <row r="12336" customFormat="1" ht="17.25" customHeight="1"/>
    <row r="12337" customFormat="1" ht="17.25" customHeight="1"/>
    <row r="12338" customFormat="1" ht="17.25" customHeight="1"/>
    <row r="12339" customFormat="1" ht="17.25" customHeight="1"/>
    <row r="12340" customFormat="1" ht="17.25" customHeight="1"/>
    <row r="12341" customFormat="1" ht="17.25" customHeight="1"/>
    <row r="12342" customFormat="1" ht="17.25" customHeight="1"/>
    <row r="12343" customFormat="1" ht="17.25" customHeight="1"/>
    <row r="12344" customFormat="1" ht="17.25" customHeight="1"/>
    <row r="12345" customFormat="1" ht="17.25" customHeight="1"/>
    <row r="12346" customFormat="1" ht="17.25" customHeight="1"/>
    <row r="12347" customFormat="1" ht="17.25" customHeight="1"/>
    <row r="12348" customFormat="1" ht="17.25" customHeight="1"/>
    <row r="12349" customFormat="1" ht="17.25" customHeight="1"/>
    <row r="12350" customFormat="1" ht="17.25" customHeight="1"/>
    <row r="12351" customFormat="1" ht="17.25" customHeight="1"/>
    <row r="12352" customFormat="1" ht="17.25" customHeight="1"/>
    <row r="12353" customFormat="1" ht="17.25" customHeight="1"/>
    <row r="12354" customFormat="1" ht="17.25" customHeight="1"/>
    <row r="12355" customFormat="1" ht="17.25" customHeight="1"/>
    <row r="12356" customFormat="1" ht="17.25" customHeight="1"/>
    <row r="12357" customFormat="1" ht="17.25" customHeight="1"/>
    <row r="12358" customFormat="1" ht="17.25" customHeight="1"/>
    <row r="12359" customFormat="1" ht="17.25" customHeight="1"/>
    <row r="12360" customFormat="1" ht="17.25" customHeight="1"/>
    <row r="12361" customFormat="1" ht="17.25" customHeight="1"/>
    <row r="12362" customFormat="1" ht="17.25" customHeight="1"/>
    <row r="12363" customFormat="1" ht="17.25" customHeight="1"/>
    <row r="12364" customFormat="1" ht="17.25" customHeight="1"/>
    <row r="12365" customFormat="1" ht="17.25" customHeight="1"/>
    <row r="12366" customFormat="1" ht="17.25" customHeight="1"/>
    <row r="12367" customFormat="1" ht="17.25" customHeight="1"/>
    <row r="12368" customFormat="1" ht="17.25" customHeight="1"/>
    <row r="12369" customFormat="1" ht="17.25" customHeight="1"/>
    <row r="12370" customFormat="1" ht="17.25" customHeight="1"/>
    <row r="12371" customFormat="1" ht="17.25" customHeight="1"/>
    <row r="12372" customFormat="1" ht="17.25" customHeight="1"/>
    <row r="12373" customFormat="1" ht="17.25" customHeight="1"/>
    <row r="12374" customFormat="1" ht="17.25" customHeight="1"/>
    <row r="12375" customFormat="1" ht="17.25" customHeight="1"/>
    <row r="12376" customFormat="1" ht="17.25" customHeight="1"/>
    <row r="12377" customFormat="1" ht="17.25" customHeight="1"/>
    <row r="12378" customFormat="1" ht="17.25" customHeight="1"/>
    <row r="12379" customFormat="1" ht="17.25" customHeight="1"/>
    <row r="12380" customFormat="1" ht="17.25" customHeight="1"/>
    <row r="12381" customFormat="1" ht="17.25" customHeight="1"/>
    <row r="12382" customFormat="1" ht="17.25" customHeight="1"/>
    <row r="12383" customFormat="1" ht="17.25" customHeight="1"/>
    <row r="12384" customFormat="1" ht="17.25" customHeight="1"/>
    <row r="12385" customFormat="1" ht="17.25" customHeight="1"/>
    <row r="12386" customFormat="1" ht="17.25" customHeight="1"/>
    <row r="12387" customFormat="1" ht="17.25" customHeight="1"/>
    <row r="12388" customFormat="1" ht="17.25" customHeight="1"/>
    <row r="12389" customFormat="1" ht="17.25" customHeight="1"/>
    <row r="12390" customFormat="1" ht="17.25" customHeight="1"/>
    <row r="12391" customFormat="1" ht="17.25" customHeight="1"/>
    <row r="12392" customFormat="1" ht="17.25" customHeight="1"/>
    <row r="12393" customFormat="1" ht="17.25" customHeight="1"/>
    <row r="12394" customFormat="1" ht="17.25" customHeight="1"/>
    <row r="12395" customFormat="1" ht="17.25" customHeight="1"/>
    <row r="12396" customFormat="1" ht="17.25" customHeight="1"/>
    <row r="12397" customFormat="1" ht="17.25" customHeight="1"/>
    <row r="12398" customFormat="1" ht="17.25" customHeight="1"/>
    <row r="12399" customFormat="1" ht="17.25" customHeight="1"/>
    <row r="12400" customFormat="1" ht="17.25" customHeight="1"/>
    <row r="12401" customFormat="1" ht="17.25" customHeight="1"/>
    <row r="12402" customFormat="1" ht="17.25" customHeight="1"/>
    <row r="12403" customFormat="1" ht="17.25" customHeight="1"/>
    <row r="12404" customFormat="1" ht="17.25" customHeight="1"/>
    <row r="12405" customFormat="1" ht="17.25" customHeight="1"/>
    <row r="12406" customFormat="1" ht="17.25" customHeight="1"/>
    <row r="12407" customFormat="1" ht="17.25" customHeight="1"/>
    <row r="12408" customFormat="1" ht="17.25" customHeight="1"/>
    <row r="12409" customFormat="1" ht="17.25" customHeight="1"/>
    <row r="12410" customFormat="1" ht="17.25" customHeight="1"/>
    <row r="12411" customFormat="1" ht="17.25" customHeight="1"/>
    <row r="12412" customFormat="1" ht="17.25" customHeight="1"/>
    <row r="12413" customFormat="1" ht="17.25" customHeight="1"/>
    <row r="12414" customFormat="1" ht="17.25" customHeight="1"/>
    <row r="12415" customFormat="1" ht="17.25" customHeight="1"/>
    <row r="12416" customFormat="1" ht="17.25" customHeight="1"/>
    <row r="12417" customFormat="1" ht="17.25" customHeight="1"/>
    <row r="12418" customFormat="1" ht="17.25" customHeight="1"/>
    <row r="12419" customFormat="1" ht="17.25" customHeight="1"/>
    <row r="12420" customFormat="1" ht="17.25" customHeight="1"/>
    <row r="12421" customFormat="1" ht="17.25" customHeight="1"/>
    <row r="12422" customFormat="1" ht="17.25" customHeight="1"/>
    <row r="12423" customFormat="1" ht="17.25" customHeight="1"/>
    <row r="12424" customFormat="1" ht="17.25" customHeight="1"/>
    <row r="12425" customFormat="1" ht="17.25" customHeight="1"/>
    <row r="12426" customFormat="1" ht="17.25" customHeight="1"/>
    <row r="12427" customFormat="1" ht="17.25" customHeight="1"/>
    <row r="12428" customFormat="1" ht="17.25" customHeight="1"/>
    <row r="12429" customFormat="1" ht="17.25" customHeight="1"/>
    <row r="12430" customFormat="1" ht="17.25" customHeight="1"/>
    <row r="12431" customFormat="1" ht="17.25" customHeight="1"/>
    <row r="12432" customFormat="1" ht="17.25" customHeight="1"/>
    <row r="12433" customFormat="1" ht="17.25" customHeight="1"/>
    <row r="12434" customFormat="1" ht="17.25" customHeight="1"/>
    <row r="12435" customFormat="1" ht="17.25" customHeight="1"/>
    <row r="12436" customFormat="1" ht="17.25" customHeight="1"/>
    <row r="12437" customFormat="1" ht="17.25" customHeight="1"/>
    <row r="12438" customFormat="1" ht="17.25" customHeight="1"/>
    <row r="12439" customFormat="1" ht="17.25" customHeight="1"/>
    <row r="12440" customFormat="1" ht="17.25" customHeight="1"/>
    <row r="12441" customFormat="1" ht="17.25" customHeight="1"/>
    <row r="12442" customFormat="1" ht="17.25" customHeight="1"/>
    <row r="12443" customFormat="1" ht="17.25" customHeight="1"/>
    <row r="12444" customFormat="1" ht="17.25" customHeight="1"/>
    <row r="12445" customFormat="1" ht="17.25" customHeight="1"/>
    <row r="12446" customFormat="1" ht="17.25" customHeight="1"/>
    <row r="12447" customFormat="1" ht="17.25" customHeight="1"/>
    <row r="12448" customFormat="1" ht="17.25" customHeight="1"/>
    <row r="12449" customFormat="1" ht="17.25" customHeight="1"/>
    <row r="12450" customFormat="1" ht="17.25" customHeight="1"/>
    <row r="12451" customFormat="1" ht="17.25" customHeight="1"/>
    <row r="12452" customFormat="1" ht="17.25" customHeight="1"/>
    <row r="12453" customFormat="1" ht="17.25" customHeight="1"/>
    <row r="12454" customFormat="1" ht="17.25" customHeight="1"/>
    <row r="12455" customFormat="1" ht="17.25" customHeight="1"/>
    <row r="12456" customFormat="1" ht="17.25" customHeight="1"/>
    <row r="12457" customFormat="1" ht="17.25" customHeight="1"/>
    <row r="12458" customFormat="1" ht="17.25" customHeight="1"/>
    <row r="12459" customFormat="1" ht="17.25" customHeight="1"/>
    <row r="12460" customFormat="1" ht="17.25" customHeight="1"/>
    <row r="12461" customFormat="1" ht="17.25" customHeight="1"/>
    <row r="12462" customFormat="1" ht="17.25" customHeight="1"/>
    <row r="12463" customFormat="1" ht="17.25" customHeight="1"/>
    <row r="12464" customFormat="1" ht="17.25" customHeight="1"/>
    <row r="12465" customFormat="1" ht="17.25" customHeight="1"/>
    <row r="12466" customFormat="1" ht="17.25" customHeight="1"/>
    <row r="12467" customFormat="1" ht="17.25" customHeight="1"/>
    <row r="12468" customFormat="1" ht="17.25" customHeight="1"/>
    <row r="12469" customFormat="1" ht="17.25" customHeight="1"/>
    <row r="12470" customFormat="1" ht="17.25" customHeight="1"/>
    <row r="12471" customFormat="1" ht="17.25" customHeight="1"/>
    <row r="12472" customFormat="1" ht="17.25" customHeight="1"/>
    <row r="12473" customFormat="1" ht="17.25" customHeight="1"/>
    <row r="12474" customFormat="1" ht="17.25" customHeight="1"/>
    <row r="12475" customFormat="1" ht="17.25" customHeight="1"/>
    <row r="12476" customFormat="1" ht="17.25" customHeight="1"/>
    <row r="12477" customFormat="1" ht="17.25" customHeight="1"/>
    <row r="12478" customFormat="1" ht="17.25" customHeight="1"/>
    <row r="12479" customFormat="1" ht="17.25" customHeight="1"/>
    <row r="12480" customFormat="1" ht="17.25" customHeight="1"/>
    <row r="12481" customFormat="1" ht="17.25" customHeight="1"/>
    <row r="12482" customFormat="1" ht="17.25" customHeight="1"/>
    <row r="12483" customFormat="1" ht="17.25" customHeight="1"/>
    <row r="12484" customFormat="1" ht="17.25" customHeight="1"/>
    <row r="12485" customFormat="1" ht="17.25" customHeight="1"/>
    <row r="12486" customFormat="1" ht="17.25" customHeight="1"/>
    <row r="12487" customFormat="1" ht="17.25" customHeight="1"/>
    <row r="12488" customFormat="1" ht="17.25" customHeight="1"/>
    <row r="12489" customFormat="1" ht="17.25" customHeight="1"/>
    <row r="12490" customFormat="1" ht="17.25" customHeight="1"/>
    <row r="12491" customFormat="1" ht="17.25" customHeight="1"/>
    <row r="12492" customFormat="1" ht="17.25" customHeight="1"/>
    <row r="12493" customFormat="1" ht="17.25" customHeight="1"/>
    <row r="12494" customFormat="1" ht="17.25" customHeight="1"/>
    <row r="12495" customFormat="1" ht="17.25" customHeight="1"/>
    <row r="12496" customFormat="1" ht="17.25" customHeight="1"/>
    <row r="12497" customFormat="1" ht="17.25" customHeight="1"/>
    <row r="12498" customFormat="1" ht="17.25" customHeight="1"/>
    <row r="12499" customFormat="1" ht="17.25" customHeight="1"/>
    <row r="12500" customFormat="1" ht="17.25" customHeight="1"/>
    <row r="12501" customFormat="1" ht="17.25" customHeight="1"/>
    <row r="12502" customFormat="1" ht="17.25" customHeight="1"/>
    <row r="12503" customFormat="1" ht="17.25" customHeight="1"/>
    <row r="12504" customFormat="1" ht="17.25" customHeight="1"/>
    <row r="12505" customFormat="1" ht="17.25" customHeight="1"/>
    <row r="12506" customFormat="1" ht="17.25" customHeight="1"/>
    <row r="12507" customFormat="1" ht="17.25" customHeight="1"/>
    <row r="12508" customFormat="1" ht="17.25" customHeight="1"/>
    <row r="12509" customFormat="1" ht="17.25" customHeight="1"/>
    <row r="12510" customFormat="1" ht="17.25" customHeight="1"/>
    <row r="12511" customFormat="1" ht="17.25" customHeight="1"/>
    <row r="12512" customFormat="1" ht="17.25" customHeight="1"/>
    <row r="12513" customFormat="1" ht="17.25" customHeight="1"/>
    <row r="12514" customFormat="1" ht="17.25" customHeight="1"/>
    <row r="12515" customFormat="1" ht="17.25" customHeight="1"/>
    <row r="12516" customFormat="1" ht="17.25" customHeight="1"/>
    <row r="12517" customFormat="1" ht="17.25" customHeight="1"/>
    <row r="12518" customFormat="1" ht="17.25" customHeight="1"/>
    <row r="12519" customFormat="1" ht="17.25" customHeight="1"/>
    <row r="12520" customFormat="1" ht="17.25" customHeight="1"/>
    <row r="12521" customFormat="1" ht="17.25" customHeight="1"/>
    <row r="12522" customFormat="1" ht="17.25" customHeight="1"/>
    <row r="12523" customFormat="1" ht="17.25" customHeight="1"/>
    <row r="12524" customFormat="1" ht="17.25" customHeight="1"/>
    <row r="12525" customFormat="1" ht="17.25" customHeight="1"/>
    <row r="12526" customFormat="1" ht="17.25" customHeight="1"/>
    <row r="12527" customFormat="1" ht="17.25" customHeight="1"/>
    <row r="12528" customFormat="1" ht="17.25" customHeight="1"/>
    <row r="12529" customFormat="1" ht="17.25" customHeight="1"/>
    <row r="12530" customFormat="1" ht="17.25" customHeight="1"/>
    <row r="12531" customFormat="1" ht="17.25" customHeight="1"/>
    <row r="12532" customFormat="1" ht="17.25" customHeight="1"/>
    <row r="12533" customFormat="1" ht="17.25" customHeight="1"/>
    <row r="12534" customFormat="1" ht="17.25" customHeight="1"/>
    <row r="12535" customFormat="1" ht="17.25" customHeight="1"/>
    <row r="12536" customFormat="1" ht="17.25" customHeight="1"/>
    <row r="12537" customFormat="1" ht="17.25" customHeight="1"/>
    <row r="12538" customFormat="1" ht="17.25" customHeight="1"/>
    <row r="12539" customFormat="1" ht="17.25" customHeight="1"/>
    <row r="12540" customFormat="1" ht="17.25" customHeight="1"/>
    <row r="12541" customFormat="1" ht="17.25" customHeight="1"/>
    <row r="12542" customFormat="1" ht="17.25" customHeight="1"/>
    <row r="12543" customFormat="1" ht="17.25" customHeight="1"/>
    <row r="12544" customFormat="1" ht="17.25" customHeight="1"/>
    <row r="12545" customFormat="1" ht="17.25" customHeight="1"/>
    <row r="12546" customFormat="1" ht="17.25" customHeight="1"/>
    <row r="12547" customFormat="1" ht="17.25" customHeight="1"/>
    <row r="12548" customFormat="1" ht="17.25" customHeight="1"/>
    <row r="12549" customFormat="1" ht="17.25" customHeight="1"/>
    <row r="12550" customFormat="1" ht="17.25" customHeight="1"/>
    <row r="12551" customFormat="1" ht="17.25" customHeight="1"/>
    <row r="12552" customFormat="1" ht="17.25" customHeight="1"/>
    <row r="12553" customFormat="1" ht="17.25" customHeight="1"/>
    <row r="12554" customFormat="1" ht="17.25" customHeight="1"/>
    <row r="12555" customFormat="1" ht="17.25" customHeight="1"/>
    <row r="12556" customFormat="1" ht="17.25" customHeight="1"/>
    <row r="12557" customFormat="1" ht="17.25" customHeight="1"/>
    <row r="12558" customFormat="1" ht="17.25" customHeight="1"/>
    <row r="12559" customFormat="1" ht="17.25" customHeight="1"/>
    <row r="12560" customFormat="1" ht="17.25" customHeight="1"/>
    <row r="12561" customFormat="1" ht="17.25" customHeight="1"/>
    <row r="12562" customFormat="1" ht="17.25" customHeight="1"/>
    <row r="12563" customFormat="1" ht="17.25" customHeight="1"/>
    <row r="12564" customFormat="1" ht="17.25" customHeight="1"/>
    <row r="12565" customFormat="1" ht="17.25" customHeight="1"/>
    <row r="12566" customFormat="1" ht="17.25" customHeight="1"/>
    <row r="12567" customFormat="1" ht="17.25" customHeight="1"/>
    <row r="12568" customFormat="1" ht="17.25" customHeight="1"/>
    <row r="12569" customFormat="1" ht="17.25" customHeight="1"/>
    <row r="12570" customFormat="1" ht="17.25" customHeight="1"/>
    <row r="12571" customFormat="1" ht="17.25" customHeight="1"/>
    <row r="12572" customFormat="1" ht="17.25" customHeight="1"/>
    <row r="12573" customFormat="1" ht="17.25" customHeight="1"/>
    <row r="12574" customFormat="1" ht="17.25" customHeight="1"/>
    <row r="12575" customFormat="1" ht="17.25" customHeight="1"/>
    <row r="12576" customFormat="1" ht="17.25" customHeight="1"/>
    <row r="12577" customFormat="1" ht="17.25" customHeight="1"/>
    <row r="12578" customFormat="1" ht="17.25" customHeight="1"/>
    <row r="12579" customFormat="1" ht="17.25" customHeight="1"/>
    <row r="12580" customFormat="1" ht="17.25" customHeight="1"/>
    <row r="12581" customFormat="1" ht="17.25" customHeight="1"/>
    <row r="12582" customFormat="1" ht="17.25" customHeight="1"/>
    <row r="12583" customFormat="1" ht="17.25" customHeight="1"/>
    <row r="12584" customFormat="1" ht="17.25" customHeight="1"/>
    <row r="12585" customFormat="1" ht="17.25" customHeight="1"/>
    <row r="12586" customFormat="1" ht="17.25" customHeight="1"/>
    <row r="12587" customFormat="1" ht="17.25" customHeight="1"/>
    <row r="12588" customFormat="1" ht="17.25" customHeight="1"/>
    <row r="12589" customFormat="1" ht="17.25" customHeight="1"/>
    <row r="12590" customFormat="1" ht="17.25" customHeight="1"/>
    <row r="12591" customFormat="1" ht="17.25" customHeight="1"/>
    <row r="12592" customFormat="1" ht="17.25" customHeight="1"/>
    <row r="12593" customFormat="1" ht="17.25" customHeight="1"/>
    <row r="12594" customFormat="1" ht="17.25" customHeight="1"/>
    <row r="12595" customFormat="1" ht="17.25" customHeight="1"/>
    <row r="12596" customFormat="1" ht="17.25" customHeight="1"/>
    <row r="12597" customFormat="1" ht="17.25" customHeight="1"/>
    <row r="12598" customFormat="1" ht="17.25" customHeight="1"/>
    <row r="12599" customFormat="1" ht="17.25" customHeight="1"/>
    <row r="12600" customFormat="1" ht="17.25" customHeight="1"/>
    <row r="12601" customFormat="1" ht="17.25" customHeight="1"/>
    <row r="12602" customFormat="1" ht="17.25" customHeight="1"/>
    <row r="12603" customFormat="1" ht="17.25" customHeight="1"/>
    <row r="12604" customFormat="1" ht="17.25" customHeight="1"/>
    <row r="12605" customFormat="1" ht="17.25" customHeight="1"/>
    <row r="12606" customFormat="1" ht="17.25" customHeight="1"/>
    <row r="12607" customFormat="1" ht="17.25" customHeight="1"/>
    <row r="12608" customFormat="1" ht="17.25" customHeight="1"/>
    <row r="12609" customFormat="1" ht="17.25" customHeight="1"/>
    <row r="12610" customFormat="1" ht="17.25" customHeight="1"/>
    <row r="12611" customFormat="1" ht="17.25" customHeight="1"/>
    <row r="12612" customFormat="1" ht="17.25" customHeight="1"/>
    <row r="12613" customFormat="1" ht="17.25" customHeight="1"/>
    <row r="12614" customFormat="1" ht="17.25" customHeight="1"/>
    <row r="12615" customFormat="1" ht="17.25" customHeight="1"/>
    <row r="12616" customFormat="1" ht="17.25" customHeight="1"/>
    <row r="12617" customFormat="1" ht="17.25" customHeight="1"/>
    <row r="12618" customFormat="1" ht="17.25" customHeight="1"/>
    <row r="12619" customFormat="1" ht="17.25" customHeight="1"/>
    <row r="12620" customFormat="1" ht="17.25" customHeight="1"/>
    <row r="12621" customFormat="1" ht="17.25" customHeight="1"/>
    <row r="12622" customFormat="1" ht="17.25" customHeight="1"/>
    <row r="12623" customFormat="1" ht="17.25" customHeight="1"/>
    <row r="12624" customFormat="1" ht="17.25" customHeight="1"/>
    <row r="12625" customFormat="1" ht="17.25" customHeight="1"/>
    <row r="12626" customFormat="1" ht="17.25" customHeight="1"/>
    <row r="12627" customFormat="1" ht="17.25" customHeight="1"/>
    <row r="12628" customFormat="1" ht="17.25" customHeight="1"/>
    <row r="12629" customFormat="1" ht="17.25" customHeight="1"/>
    <row r="12630" customFormat="1" ht="17.25" customHeight="1"/>
    <row r="12631" customFormat="1" ht="17.25" customHeight="1"/>
    <row r="12632" customFormat="1" ht="17.25" customHeight="1"/>
    <row r="12633" customFormat="1" ht="17.25" customHeight="1"/>
    <row r="12634" customFormat="1" ht="17.25" customHeight="1"/>
    <row r="12635" customFormat="1" ht="17.25" customHeight="1"/>
    <row r="12636" customFormat="1" ht="17.25" customHeight="1"/>
    <row r="12637" customFormat="1" ht="17.25" customHeight="1"/>
    <row r="12638" customFormat="1" ht="17.25" customHeight="1"/>
    <row r="12639" customFormat="1" ht="17.25" customHeight="1"/>
    <row r="12640" customFormat="1" ht="17.25" customHeight="1"/>
    <row r="12641" customFormat="1" ht="17.25" customHeight="1"/>
    <row r="12642" customFormat="1" ht="17.25" customHeight="1"/>
    <row r="12643" customFormat="1" ht="17.25" customHeight="1"/>
    <row r="12644" customFormat="1" ht="17.25" customHeight="1"/>
    <row r="12645" customFormat="1" ht="17.25" customHeight="1"/>
    <row r="12646" customFormat="1" ht="17.25" customHeight="1"/>
    <row r="12647" customFormat="1" ht="17.25" customHeight="1"/>
    <row r="12648" customFormat="1" ht="17.25" customHeight="1"/>
    <row r="12649" customFormat="1" ht="17.25" customHeight="1"/>
    <row r="12650" customFormat="1" ht="17.25" customHeight="1"/>
    <row r="12651" customFormat="1" ht="17.25" customHeight="1"/>
    <row r="12652" customFormat="1" ht="17.25" customHeight="1"/>
    <row r="12653" customFormat="1" ht="17.25" customHeight="1"/>
    <row r="12654" customFormat="1" ht="17.25" customHeight="1"/>
    <row r="12655" customFormat="1" ht="17.25" customHeight="1"/>
    <row r="12656" customFormat="1" ht="17.25" customHeight="1"/>
    <row r="12657" customFormat="1" ht="17.25" customHeight="1"/>
    <row r="12658" customFormat="1" ht="17.25" customHeight="1"/>
    <row r="12659" customFormat="1" ht="17.25" customHeight="1"/>
    <row r="12660" customFormat="1" ht="17.25" customHeight="1"/>
    <row r="12661" customFormat="1" ht="17.25" customHeight="1"/>
    <row r="12662" customFormat="1" ht="17.25" customHeight="1"/>
    <row r="12663" customFormat="1" ht="17.25" customHeight="1"/>
    <row r="12664" customFormat="1" ht="17.25" customHeight="1"/>
    <row r="12665" customFormat="1" ht="17.25" customHeight="1"/>
    <row r="12666" customFormat="1" ht="17.25" customHeight="1"/>
    <row r="12667" customFormat="1" ht="17.25" customHeight="1"/>
    <row r="12668" customFormat="1" ht="17.25" customHeight="1"/>
    <row r="12669" customFormat="1" ht="17.25" customHeight="1"/>
    <row r="12670" customFormat="1" ht="17.25" customHeight="1"/>
    <row r="12671" customFormat="1" ht="17.25" customHeight="1"/>
    <row r="12672" customFormat="1" ht="17.25" customHeight="1"/>
    <row r="12673" customFormat="1" ht="17.25" customHeight="1"/>
    <row r="12674" customFormat="1" ht="17.25" customHeight="1"/>
    <row r="12675" customFormat="1" ht="17.25" customHeight="1"/>
    <row r="12676" customFormat="1" ht="17.25" customHeight="1"/>
    <row r="12677" customFormat="1" ht="17.25" customHeight="1"/>
    <row r="12678" customFormat="1" ht="17.25" customHeight="1"/>
    <row r="12679" customFormat="1" ht="17.25" customHeight="1"/>
    <row r="12680" customFormat="1" ht="17.25" customHeight="1"/>
    <row r="12681" customFormat="1" ht="17.25" customHeight="1"/>
    <row r="12682" customFormat="1" ht="17.25" customHeight="1"/>
    <row r="12683" customFormat="1" ht="17.25" customHeight="1"/>
    <row r="12684" customFormat="1" ht="17.25" customHeight="1"/>
    <row r="12685" customFormat="1" ht="17.25" customHeight="1"/>
    <row r="12686" customFormat="1" ht="17.25" customHeight="1"/>
    <row r="12687" customFormat="1" ht="17.25" customHeight="1"/>
    <row r="12688" customFormat="1" ht="17.25" customHeight="1"/>
    <row r="12689" customFormat="1" ht="17.25" customHeight="1"/>
    <row r="12690" customFormat="1" ht="17.25" customHeight="1"/>
    <row r="12691" customFormat="1" ht="17.25" customHeight="1"/>
    <row r="12692" customFormat="1" ht="17.25" customHeight="1"/>
    <row r="12693" customFormat="1" ht="17.25" customHeight="1"/>
    <row r="12694" customFormat="1" ht="17.25" customHeight="1"/>
    <row r="12695" customFormat="1" ht="17.25" customHeight="1"/>
    <row r="12696" customFormat="1" ht="17.25" customHeight="1"/>
    <row r="12697" customFormat="1" ht="17.25" customHeight="1"/>
    <row r="12698" customFormat="1" ht="17.25" customHeight="1"/>
    <row r="12699" customFormat="1" ht="17.25" customHeight="1"/>
    <row r="12700" customFormat="1" ht="17.25" customHeight="1"/>
    <row r="12701" customFormat="1" ht="17.25" customHeight="1"/>
    <row r="12702" customFormat="1" ht="17.25" customHeight="1"/>
    <row r="12703" customFormat="1" ht="17.25" customHeight="1"/>
    <row r="12704" customFormat="1" ht="17.25" customHeight="1"/>
    <row r="12705" customFormat="1" ht="17.25" customHeight="1"/>
    <row r="12706" customFormat="1" ht="17.25" customHeight="1"/>
    <row r="12707" customFormat="1" ht="17.25" customHeight="1"/>
    <row r="12708" customFormat="1" ht="17.25" customHeight="1"/>
    <row r="12709" customFormat="1" ht="17.25" customHeight="1"/>
    <row r="12710" customFormat="1" ht="17.25" customHeight="1"/>
    <row r="12711" customFormat="1" ht="17.25" customHeight="1"/>
    <row r="12712" customFormat="1" ht="17.25" customHeight="1"/>
    <row r="12713" customFormat="1" ht="17.25" customHeight="1"/>
    <row r="12714" customFormat="1" ht="17.25" customHeight="1"/>
    <row r="12715" customFormat="1" ht="17.25" customHeight="1"/>
    <row r="12716" customFormat="1" ht="17.25" customHeight="1"/>
    <row r="12717" customFormat="1" ht="17.25" customHeight="1"/>
    <row r="12718" customFormat="1" ht="17.25" customHeight="1"/>
    <row r="12719" customFormat="1" ht="17.25" customHeight="1"/>
    <row r="12720" customFormat="1" ht="17.25" customHeight="1"/>
    <row r="12721" customFormat="1" ht="17.25" customHeight="1"/>
    <row r="12722" customFormat="1" ht="17.25" customHeight="1"/>
    <row r="12723" customFormat="1" ht="17.25" customHeight="1"/>
    <row r="12724" customFormat="1" ht="17.25" customHeight="1"/>
    <row r="12725" customFormat="1" ht="17.25" customHeight="1"/>
    <row r="12726" customFormat="1" ht="17.25" customHeight="1"/>
    <row r="12727" customFormat="1" ht="17.25" customHeight="1"/>
    <row r="12728" customFormat="1" ht="17.25" customHeight="1"/>
    <row r="12729" customFormat="1" ht="17.25" customHeight="1"/>
    <row r="12730" customFormat="1" ht="17.25" customHeight="1"/>
    <row r="12731" customFormat="1" ht="17.25" customHeight="1"/>
    <row r="12732" customFormat="1" ht="17.25" customHeight="1"/>
    <row r="12733" customFormat="1" ht="17.25" customHeight="1"/>
    <row r="12734" customFormat="1" ht="17.25" customHeight="1"/>
    <row r="12735" customFormat="1" ht="17.25" customHeight="1"/>
    <row r="12736" customFormat="1" ht="17.25" customHeight="1"/>
    <row r="12737" customFormat="1" ht="17.25" customHeight="1"/>
    <row r="12738" customFormat="1" ht="17.25" customHeight="1"/>
    <row r="12739" customFormat="1" ht="17.25" customHeight="1"/>
    <row r="12740" customFormat="1" ht="17.25" customHeight="1"/>
    <row r="12741" customFormat="1" ht="17.25" customHeight="1"/>
    <row r="12742" customFormat="1" ht="17.25" customHeight="1"/>
    <row r="12743" customFormat="1" ht="17.25" customHeight="1"/>
    <row r="12744" customFormat="1" ht="17.25" customHeight="1"/>
    <row r="12745" customFormat="1" ht="17.25" customHeight="1"/>
    <row r="12746" customFormat="1" ht="17.25" customHeight="1"/>
    <row r="12747" customFormat="1" ht="17.25" customHeight="1"/>
    <row r="12748" customFormat="1" ht="17.25" customHeight="1"/>
    <row r="12749" customFormat="1" ht="17.25" customHeight="1"/>
    <row r="12750" customFormat="1" ht="17.25" customHeight="1"/>
    <row r="12751" customFormat="1" ht="17.25" customHeight="1"/>
    <row r="12752" customFormat="1" ht="17.25" customHeight="1"/>
    <row r="12753" customFormat="1" ht="17.25" customHeight="1"/>
    <row r="12754" customFormat="1" ht="17.25" customHeight="1"/>
    <row r="12755" customFormat="1" ht="17.25" customHeight="1"/>
    <row r="12756" customFormat="1" ht="17.25" customHeight="1"/>
    <row r="12757" customFormat="1" ht="17.25" customHeight="1"/>
    <row r="12758" customFormat="1" ht="17.25" customHeight="1"/>
    <row r="12759" customFormat="1" ht="17.25" customHeight="1"/>
    <row r="12760" customFormat="1" ht="17.25" customHeight="1"/>
    <row r="12761" customFormat="1" ht="17.25" customHeight="1"/>
    <row r="12762" customFormat="1" ht="17.25" customHeight="1"/>
    <row r="12763" customFormat="1" ht="17.25" customHeight="1"/>
    <row r="12764" customFormat="1" ht="17.25" customHeight="1"/>
    <row r="12765" customFormat="1" ht="17.25" customHeight="1"/>
    <row r="12766" customFormat="1" ht="17.25" customHeight="1"/>
    <row r="12767" customFormat="1" ht="17.25" customHeight="1"/>
    <row r="12768" customFormat="1" ht="17.25" customHeight="1"/>
    <row r="12769" customFormat="1" ht="17.25" customHeight="1"/>
    <row r="12770" customFormat="1" ht="17.25" customHeight="1"/>
    <row r="12771" customFormat="1" ht="17.25" customHeight="1"/>
    <row r="12772" customFormat="1" ht="17.25" customHeight="1"/>
    <row r="12773" customFormat="1" ht="17.25" customHeight="1"/>
    <row r="12774" customFormat="1" ht="17.25" customHeight="1"/>
    <row r="12775" customFormat="1" ht="17.25" customHeight="1"/>
    <row r="12776" customFormat="1" ht="17.25" customHeight="1"/>
    <row r="12777" customFormat="1" ht="17.25" customHeight="1"/>
    <row r="12778" customFormat="1" ht="17.25" customHeight="1"/>
    <row r="12779" customFormat="1" ht="17.25" customHeight="1"/>
    <row r="12780" customFormat="1" ht="17.25" customHeight="1"/>
    <row r="12781" customFormat="1" ht="17.25" customHeight="1"/>
    <row r="12782" customFormat="1" ht="17.25" customHeight="1"/>
    <row r="12783" customFormat="1" ht="17.25" customHeight="1"/>
    <row r="12784" customFormat="1" ht="17.25" customHeight="1"/>
    <row r="12785" customFormat="1" ht="17.25" customHeight="1"/>
    <row r="12786" customFormat="1" ht="17.25" customHeight="1"/>
    <row r="12787" customFormat="1" ht="17.25" customHeight="1"/>
    <row r="12788" customFormat="1" ht="17.25" customHeight="1"/>
    <row r="12789" customFormat="1" ht="17.25" customHeight="1"/>
    <row r="12790" customFormat="1" ht="17.25" customHeight="1"/>
    <row r="12791" customFormat="1" ht="17.25" customHeight="1"/>
    <row r="12792" customFormat="1" ht="17.25" customHeight="1"/>
    <row r="12793" customFormat="1" ht="17.25" customHeight="1"/>
    <row r="12794" customFormat="1" ht="17.25" customHeight="1"/>
    <row r="12795" customFormat="1" ht="17.25" customHeight="1"/>
    <row r="12796" customFormat="1" ht="17.25" customHeight="1"/>
    <row r="12797" customFormat="1" ht="17.25" customHeight="1"/>
    <row r="12798" customFormat="1" ht="17.25" customHeight="1"/>
    <row r="12799" customFormat="1" ht="17.25" customHeight="1"/>
    <row r="12800" customFormat="1" ht="17.25" customHeight="1"/>
    <row r="12801" customFormat="1" ht="17.25" customHeight="1"/>
    <row r="12802" customFormat="1" ht="17.25" customHeight="1"/>
    <row r="12803" customFormat="1" ht="17.25" customHeight="1"/>
    <row r="12804" customFormat="1" ht="17.25" customHeight="1"/>
    <row r="12805" customFormat="1" ht="17.25" customHeight="1"/>
    <row r="12806" customFormat="1" ht="17.25" customHeight="1"/>
    <row r="12807" customFormat="1" ht="17.25" customHeight="1"/>
    <row r="12808" customFormat="1" ht="17.25" customHeight="1"/>
    <row r="12809" customFormat="1" ht="17.25" customHeight="1"/>
    <row r="12810" customFormat="1" ht="17.25" customHeight="1"/>
    <row r="12811" customFormat="1" ht="17.25" customHeight="1"/>
    <row r="12812" customFormat="1" ht="17.25" customHeight="1"/>
    <row r="12813" customFormat="1" ht="17.25" customHeight="1"/>
    <row r="12814" customFormat="1" ht="17.25" customHeight="1"/>
    <row r="12815" customFormat="1" ht="17.25" customHeight="1"/>
    <row r="12816" customFormat="1" ht="17.25" customHeight="1"/>
    <row r="12817" customFormat="1" ht="17.25" customHeight="1"/>
    <row r="12818" customFormat="1" ht="17.25" customHeight="1"/>
    <row r="12819" customFormat="1" ht="17.25" customHeight="1"/>
    <row r="12820" customFormat="1" ht="17.25" customHeight="1"/>
    <row r="12821" customFormat="1" ht="17.25" customHeight="1"/>
    <row r="12822" customFormat="1" ht="17.25" customHeight="1"/>
    <row r="12823" customFormat="1" ht="17.25" customHeight="1"/>
    <row r="12824" customFormat="1" ht="17.25" customHeight="1"/>
    <row r="12825" customFormat="1" ht="17.25" customHeight="1"/>
    <row r="12826" customFormat="1" ht="17.25" customHeight="1"/>
    <row r="12827" customFormat="1" ht="17.25" customHeight="1"/>
    <row r="12828" customFormat="1" ht="17.25" customHeight="1"/>
    <row r="12829" customFormat="1" ht="17.25" customHeight="1"/>
    <row r="12830" customFormat="1" ht="17.25" customHeight="1"/>
    <row r="12831" customFormat="1" ht="17.25" customHeight="1"/>
    <row r="12832" customFormat="1" ht="17.25" customHeight="1"/>
    <row r="12833" customFormat="1" ht="17.25" customHeight="1"/>
    <row r="12834" customFormat="1" ht="17.25" customHeight="1"/>
    <row r="12835" customFormat="1" ht="17.25" customHeight="1"/>
    <row r="12836" customFormat="1" ht="17.25" customHeight="1"/>
    <row r="12837" customFormat="1" ht="17.25" customHeight="1"/>
    <row r="12838" customFormat="1" ht="17.25" customHeight="1"/>
    <row r="12839" customFormat="1" ht="17.25" customHeight="1"/>
    <row r="12840" customFormat="1" ht="17.25" customHeight="1"/>
    <row r="12841" customFormat="1" ht="17.25" customHeight="1"/>
    <row r="12842" customFormat="1" ht="17.25" customHeight="1"/>
    <row r="12843" customFormat="1" ht="17.25" customHeight="1"/>
    <row r="12844" customFormat="1" ht="17.25" customHeight="1"/>
    <row r="12845" customFormat="1" ht="17.25" customHeight="1"/>
    <row r="12846" customFormat="1" ht="17.25" customHeight="1"/>
    <row r="12847" customFormat="1" ht="17.25" customHeight="1"/>
    <row r="12848" customFormat="1" ht="17.25" customHeight="1"/>
    <row r="12849" customFormat="1" ht="17.25" customHeight="1"/>
    <row r="12850" customFormat="1" ht="17.25" customHeight="1"/>
    <row r="12851" customFormat="1" ht="17.25" customHeight="1"/>
    <row r="12852" customFormat="1" ht="17.25" customHeight="1"/>
    <row r="12853" customFormat="1" ht="17.25" customHeight="1"/>
    <row r="12854" customFormat="1" ht="17.25" customHeight="1"/>
    <row r="12855" customFormat="1" ht="17.25" customHeight="1"/>
    <row r="12856" customFormat="1" ht="17.25" customHeight="1"/>
    <row r="12857" customFormat="1" ht="17.25" customHeight="1"/>
    <row r="12858" customFormat="1" ht="17.25" customHeight="1"/>
    <row r="12859" customFormat="1" ht="17.25" customHeight="1"/>
    <row r="12860" customFormat="1" ht="17.25" customHeight="1"/>
    <row r="12861" customFormat="1" ht="17.25" customHeight="1"/>
    <row r="12862" customFormat="1" ht="17.25" customHeight="1"/>
    <row r="12863" customFormat="1" ht="17.25" customHeight="1"/>
    <row r="12864" customFormat="1" ht="17.25" customHeight="1"/>
    <row r="12865" customFormat="1" ht="17.25" customHeight="1"/>
    <row r="12866" customFormat="1" ht="17.25" customHeight="1"/>
    <row r="12867" customFormat="1" ht="17.25" customHeight="1"/>
    <row r="12868" customFormat="1" ht="17.25" customHeight="1"/>
    <row r="12869" customFormat="1" ht="17.25" customHeight="1"/>
    <row r="12870" customFormat="1" ht="17.25" customHeight="1"/>
    <row r="12871" customFormat="1" ht="17.25" customHeight="1"/>
    <row r="12872" customFormat="1" ht="17.25" customHeight="1"/>
    <row r="12873" customFormat="1" ht="17.25" customHeight="1"/>
    <row r="12874" customFormat="1" ht="17.25" customHeight="1"/>
    <row r="12875" customFormat="1" ht="17.25" customHeight="1"/>
    <row r="12876" customFormat="1" ht="17.25" customHeight="1"/>
    <row r="12877" customFormat="1" ht="17.25" customHeight="1"/>
    <row r="12878" customFormat="1" ht="17.25" customHeight="1"/>
    <row r="12879" customFormat="1" ht="17.25" customHeight="1"/>
    <row r="12880" customFormat="1" ht="17.25" customHeight="1"/>
    <row r="12881" customFormat="1" ht="17.25" customHeight="1"/>
    <row r="12882" customFormat="1" ht="17.25" customHeight="1"/>
    <row r="12883" customFormat="1" ht="17.25" customHeight="1"/>
    <row r="12884" customFormat="1" ht="17.25" customHeight="1"/>
    <row r="12885" customFormat="1" ht="17.25" customHeight="1"/>
    <row r="12886" customFormat="1" ht="17.25" customHeight="1"/>
    <row r="12887" customFormat="1" ht="17.25" customHeight="1"/>
    <row r="12888" customFormat="1" ht="17.25" customHeight="1"/>
    <row r="12889" customFormat="1" ht="17.25" customHeight="1"/>
    <row r="12890" customFormat="1" ht="17.25" customHeight="1"/>
    <row r="12891" customFormat="1" ht="17.25" customHeight="1"/>
    <row r="12892" customFormat="1" ht="17.25" customHeight="1"/>
    <row r="12893" customFormat="1" ht="17.25" customHeight="1"/>
    <row r="12894" customFormat="1" ht="17.25" customHeight="1"/>
    <row r="12895" customFormat="1" ht="17.25" customHeight="1"/>
    <row r="12896" customFormat="1" ht="17.25" customHeight="1"/>
    <row r="12897" customFormat="1" ht="17.25" customHeight="1"/>
    <row r="12898" customFormat="1" ht="17.25" customHeight="1"/>
    <row r="12899" customFormat="1" ht="17.25" customHeight="1"/>
    <row r="12900" customFormat="1" ht="17.25" customHeight="1"/>
    <row r="12901" customFormat="1" ht="17.25" customHeight="1"/>
    <row r="12902" customFormat="1" ht="17.25" customHeight="1"/>
    <row r="12903" customFormat="1" ht="17.25" customHeight="1"/>
    <row r="12904" customFormat="1" ht="17.25" customHeight="1"/>
    <row r="12905" customFormat="1" ht="17.25" customHeight="1"/>
    <row r="12906" customFormat="1" ht="17.25" customHeight="1"/>
    <row r="12907" customFormat="1" ht="17.25" customHeight="1"/>
    <row r="12908" customFormat="1" ht="17.25" customHeight="1"/>
    <row r="12909" customFormat="1" ht="17.25" customHeight="1"/>
    <row r="12910" customFormat="1" ht="17.25" customHeight="1"/>
    <row r="12911" customFormat="1" ht="17.25" customHeight="1"/>
    <row r="12912" customFormat="1" ht="17.25" customHeight="1"/>
    <row r="12913" customFormat="1" ht="17.25" customHeight="1"/>
    <row r="12914" customFormat="1" ht="17.25" customHeight="1"/>
    <row r="12915" customFormat="1" ht="17.25" customHeight="1"/>
    <row r="12916" customFormat="1" ht="17.25" customHeight="1"/>
    <row r="12917" customFormat="1" ht="17.25" customHeight="1"/>
    <row r="12918" customFormat="1" ht="17.25" customHeight="1"/>
    <row r="12919" customFormat="1" ht="17.25" customHeight="1"/>
    <row r="12920" customFormat="1" ht="17.25" customHeight="1"/>
    <row r="12921" customFormat="1" ht="17.25" customHeight="1"/>
    <row r="12922" customFormat="1" ht="17.25" customHeight="1"/>
    <row r="12923" customFormat="1" ht="17.25" customHeight="1"/>
    <row r="12924" customFormat="1" ht="17.25" customHeight="1"/>
    <row r="12925" customFormat="1" ht="17.25" customHeight="1"/>
    <row r="12926" customFormat="1" ht="17.25" customHeight="1"/>
    <row r="12927" customFormat="1" ht="17.25" customHeight="1"/>
    <row r="12928" customFormat="1" ht="17.25" customHeight="1"/>
    <row r="12929" customFormat="1" ht="17.25" customHeight="1"/>
    <row r="12930" customFormat="1" ht="17.25" customHeight="1"/>
    <row r="12931" customFormat="1" ht="17.25" customHeight="1"/>
    <row r="12932" customFormat="1" ht="17.25" customHeight="1"/>
    <row r="12933" customFormat="1" ht="17.25" customHeight="1"/>
    <row r="12934" customFormat="1" ht="17.25" customHeight="1"/>
    <row r="12935" customFormat="1" ht="17.25" customHeight="1"/>
    <row r="12936" customFormat="1" ht="17.25" customHeight="1"/>
    <row r="12937" customFormat="1" ht="17.25" customHeight="1"/>
    <row r="12938" customFormat="1" ht="17.25" customHeight="1"/>
    <row r="12939" customFormat="1" ht="17.25" customHeight="1"/>
    <row r="12940" customFormat="1" ht="17.25" customHeight="1"/>
    <row r="12941" customFormat="1" ht="17.25" customHeight="1"/>
    <row r="12942" customFormat="1" ht="17.25" customHeight="1"/>
    <row r="12943" customFormat="1" ht="17.25" customHeight="1"/>
    <row r="12944" customFormat="1" ht="17.25" customHeight="1"/>
    <row r="12945" customFormat="1" ht="17.25" customHeight="1"/>
    <row r="12946" customFormat="1" ht="17.25" customHeight="1"/>
    <row r="12947" customFormat="1" ht="17.25" customHeight="1"/>
    <row r="12948" customFormat="1" ht="17.25" customHeight="1"/>
    <row r="12949" customFormat="1" ht="17.25" customHeight="1"/>
    <row r="12950" customFormat="1" ht="17.25" customHeight="1"/>
    <row r="12951" customFormat="1" ht="17.25" customHeight="1"/>
    <row r="12952" customFormat="1" ht="17.25" customHeight="1"/>
    <row r="12953" customFormat="1" ht="17.25" customHeight="1"/>
    <row r="12954" customFormat="1" ht="17.25" customHeight="1"/>
    <row r="12955" customFormat="1" ht="17.25" customHeight="1"/>
    <row r="12956" customFormat="1" ht="17.25" customHeight="1"/>
    <row r="12957" customFormat="1" ht="17.25" customHeight="1"/>
    <row r="12958" customFormat="1" ht="17.25" customHeight="1"/>
    <row r="12959" customFormat="1" ht="17.25" customHeight="1"/>
    <row r="12960" customFormat="1" ht="17.25" customHeight="1"/>
    <row r="12961" customFormat="1" ht="17.25" customHeight="1"/>
    <row r="12962" customFormat="1" ht="17.25" customHeight="1"/>
    <row r="12963" customFormat="1" ht="17.25" customHeight="1"/>
    <row r="12964" customFormat="1" ht="17.25" customHeight="1"/>
    <row r="12965" customFormat="1" ht="17.25" customHeight="1"/>
    <row r="12966" customFormat="1" ht="17.25" customHeight="1"/>
    <row r="12967" customFormat="1" ht="17.25" customHeight="1"/>
    <row r="12968" customFormat="1" ht="17.25" customHeight="1"/>
    <row r="12969" customFormat="1" ht="17.25" customHeight="1"/>
    <row r="12970" customFormat="1" ht="17.25" customHeight="1"/>
    <row r="12971" customFormat="1" ht="17.25" customHeight="1"/>
    <row r="12972" customFormat="1" ht="17.25" customHeight="1"/>
    <row r="12973" customFormat="1" ht="17.25" customHeight="1"/>
    <row r="12974" customFormat="1" ht="17.25" customHeight="1"/>
    <row r="12975" customFormat="1" ht="17.25" customHeight="1"/>
    <row r="12976" customFormat="1" ht="17.25" customHeight="1"/>
    <row r="12977" customFormat="1" ht="17.25" customHeight="1"/>
    <row r="12978" customFormat="1" ht="17.25" customHeight="1"/>
    <row r="12979" customFormat="1" ht="17.25" customHeight="1"/>
    <row r="12980" customFormat="1" ht="17.25" customHeight="1"/>
    <row r="12981" customFormat="1" ht="17.25" customHeight="1"/>
    <row r="12982" customFormat="1" ht="17.25" customHeight="1"/>
    <row r="12983" customFormat="1" ht="17.25" customHeight="1"/>
    <row r="12984" customFormat="1" ht="17.25" customHeight="1"/>
    <row r="12985" customFormat="1" ht="17.25" customHeight="1"/>
    <row r="12986" customFormat="1" ht="17.25" customHeight="1"/>
    <row r="12987" customFormat="1" ht="17.25" customHeight="1"/>
    <row r="12988" customFormat="1" ht="17.25" customHeight="1"/>
    <row r="12989" customFormat="1" ht="17.25" customHeight="1"/>
    <row r="12990" customFormat="1" ht="17.25" customHeight="1"/>
    <row r="12991" customFormat="1" ht="17.25" customHeight="1"/>
    <row r="12992" customFormat="1" ht="17.25" customHeight="1"/>
    <row r="12993" customFormat="1" ht="17.25" customHeight="1"/>
    <row r="12994" customFormat="1" ht="17.25" customHeight="1"/>
    <row r="12995" customFormat="1" ht="17.25" customHeight="1"/>
    <row r="12996" customFormat="1" ht="17.25" customHeight="1"/>
    <row r="12997" customFormat="1" ht="17.25" customHeight="1"/>
    <row r="12998" customFormat="1" ht="17.25" customHeight="1"/>
    <row r="12999" customFormat="1" ht="17.25" customHeight="1"/>
    <row r="13000" customFormat="1" ht="17.25" customHeight="1"/>
    <row r="13001" customFormat="1" ht="17.25" customHeight="1"/>
    <row r="13002" customFormat="1" ht="17.25" customHeight="1"/>
    <row r="13003" customFormat="1" ht="17.25" customHeight="1"/>
    <row r="13004" customFormat="1" ht="17.25" customHeight="1"/>
    <row r="13005" customFormat="1" ht="17.25" customHeight="1"/>
    <row r="13006" customFormat="1" ht="17.25" customHeight="1"/>
    <row r="13007" customFormat="1" ht="17.25" customHeight="1"/>
    <row r="13008" customFormat="1" ht="17.25" customHeight="1"/>
    <row r="13009" customFormat="1" ht="17.25" customHeight="1"/>
    <row r="13010" customFormat="1" ht="17.25" customHeight="1"/>
    <row r="13011" customFormat="1" ht="17.25" customHeight="1"/>
    <row r="13012" customFormat="1" ht="17.25" customHeight="1"/>
    <row r="13013" customFormat="1" ht="17.25" customHeight="1"/>
    <row r="13014" customFormat="1" ht="17.25" customHeight="1"/>
    <row r="13015" customFormat="1" ht="17.25" customHeight="1"/>
    <row r="13016" customFormat="1" ht="17.25" customHeight="1"/>
    <row r="13017" customFormat="1" ht="17.25" customHeight="1"/>
    <row r="13018" customFormat="1" ht="17.25" customHeight="1"/>
    <row r="13019" customFormat="1" ht="17.25" customHeight="1"/>
    <row r="13020" customFormat="1" ht="17.25" customHeight="1"/>
    <row r="13021" customFormat="1" ht="17.25" customHeight="1"/>
    <row r="13022" customFormat="1" ht="17.25" customHeight="1"/>
    <row r="13023" customFormat="1" ht="17.25" customHeight="1"/>
    <row r="13024" customFormat="1" ht="17.25" customHeight="1"/>
    <row r="13025" customFormat="1" ht="17.25" customHeight="1"/>
    <row r="13026" customFormat="1" ht="17.25" customHeight="1"/>
    <row r="13027" customFormat="1" ht="17.25" customHeight="1"/>
    <row r="13028" customFormat="1" ht="17.25" customHeight="1"/>
    <row r="13029" customFormat="1" ht="17.25" customHeight="1"/>
    <row r="13030" customFormat="1" ht="17.25" customHeight="1"/>
    <row r="13031" customFormat="1" ht="17.25" customHeight="1"/>
    <row r="13032" customFormat="1" ht="17.25" customHeight="1"/>
    <row r="13033" customFormat="1" ht="17.25" customHeight="1"/>
    <row r="13034" customFormat="1" ht="17.25" customHeight="1"/>
    <row r="13035" customFormat="1" ht="17.25" customHeight="1"/>
    <row r="13036" customFormat="1" ht="17.25" customHeight="1"/>
    <row r="13037" customFormat="1" ht="17.25" customHeight="1"/>
    <row r="13038" customFormat="1" ht="17.25" customHeight="1"/>
    <row r="13039" customFormat="1" ht="17.25" customHeight="1"/>
    <row r="13040" customFormat="1" ht="17.25" customHeight="1"/>
    <row r="13041" customFormat="1" ht="17.25" customHeight="1"/>
    <row r="13042" customFormat="1" ht="17.25" customHeight="1"/>
    <row r="13043" customFormat="1" ht="17.25" customHeight="1"/>
    <row r="13044" customFormat="1" ht="17.25" customHeight="1"/>
    <row r="13045" customFormat="1" ht="17.25" customHeight="1"/>
    <row r="13046" customFormat="1" ht="17.25" customHeight="1"/>
    <row r="13047" customFormat="1" ht="17.25" customHeight="1"/>
    <row r="13048" customFormat="1" ht="17.25" customHeight="1"/>
    <row r="13049" customFormat="1" ht="17.25" customHeight="1"/>
    <row r="13050" customFormat="1" ht="17.25" customHeight="1"/>
    <row r="13051" customFormat="1" ht="17.25" customHeight="1"/>
    <row r="13052" customFormat="1" ht="17.25" customHeight="1"/>
    <row r="13053" customFormat="1" ht="17.25" customHeight="1"/>
    <row r="13054" customFormat="1" ht="17.25" customHeight="1"/>
    <row r="13055" customFormat="1" ht="17.25" customHeight="1"/>
    <row r="13056" customFormat="1" ht="17.25" customHeight="1"/>
    <row r="13057" customFormat="1" ht="17.25" customHeight="1"/>
    <row r="13058" customFormat="1" ht="17.25" customHeight="1"/>
    <row r="13059" customFormat="1" ht="17.25" customHeight="1"/>
    <row r="13060" customFormat="1" ht="17.25" customHeight="1"/>
    <row r="13061" customFormat="1" ht="17.25" customHeight="1"/>
    <row r="13062" customFormat="1" ht="17.25" customHeight="1"/>
    <row r="13063" customFormat="1" ht="17.25" customHeight="1"/>
    <row r="13064" customFormat="1" ht="17.25" customHeight="1"/>
    <row r="13065" customFormat="1" ht="17.25" customHeight="1"/>
    <row r="13066" customFormat="1" ht="17.25" customHeight="1"/>
    <row r="13067" customFormat="1" ht="17.25" customHeight="1"/>
    <row r="13068" customFormat="1" ht="17.25" customHeight="1"/>
    <row r="13069" customFormat="1" ht="17.25" customHeight="1"/>
    <row r="13070" customFormat="1" ht="17.25" customHeight="1"/>
    <row r="13071" customFormat="1" ht="17.25" customHeight="1"/>
    <row r="13072" customFormat="1" ht="17.25" customHeight="1"/>
    <row r="13073" customFormat="1" ht="17.25" customHeight="1"/>
    <row r="13074" customFormat="1" ht="17.25" customHeight="1"/>
    <row r="13075" customFormat="1" ht="17.25" customHeight="1"/>
    <row r="13076" customFormat="1" ht="17.25" customHeight="1"/>
    <row r="13077" customFormat="1" ht="17.25" customHeight="1"/>
    <row r="13078" customFormat="1" ht="17.25" customHeight="1"/>
    <row r="13079" customFormat="1" ht="17.25" customHeight="1"/>
    <row r="13080" customFormat="1" ht="17.25" customHeight="1"/>
    <row r="13081" customFormat="1" ht="17.25" customHeight="1"/>
    <row r="13082" customFormat="1" ht="17.25" customHeight="1"/>
    <row r="13083" customFormat="1" ht="17.25" customHeight="1"/>
    <row r="13084" customFormat="1" ht="17.25" customHeight="1"/>
    <row r="13085" customFormat="1" ht="17.25" customHeight="1"/>
    <row r="13086" customFormat="1" ht="17.25" customHeight="1"/>
    <row r="13087" customFormat="1" ht="17.25" customHeight="1"/>
    <row r="13088" customFormat="1" ht="17.25" customHeight="1"/>
    <row r="13089" customFormat="1" ht="17.25" customHeight="1"/>
    <row r="13090" customFormat="1" ht="17.25" customHeight="1"/>
    <row r="13091" customFormat="1" ht="17.25" customHeight="1"/>
    <row r="13092" customFormat="1" ht="17.25" customHeight="1"/>
    <row r="13093" customFormat="1" ht="17.25" customHeight="1"/>
    <row r="13094" customFormat="1" ht="17.25" customHeight="1"/>
    <row r="13095" customFormat="1" ht="17.25" customHeight="1"/>
    <row r="13096" customFormat="1" ht="17.25" customHeight="1"/>
    <row r="13097" customFormat="1" ht="17.25" customHeight="1"/>
    <row r="13098" customFormat="1" ht="17.25" customHeight="1"/>
    <row r="13099" customFormat="1" ht="17.25" customHeight="1"/>
    <row r="13100" customFormat="1" ht="17.25" customHeight="1"/>
    <row r="13101" customFormat="1" ht="17.25" customHeight="1"/>
    <row r="13102" customFormat="1" ht="17.25" customHeight="1"/>
    <row r="13103" customFormat="1" ht="17.25" customHeight="1"/>
    <row r="13104" customFormat="1" ht="17.25" customHeight="1"/>
    <row r="13105" customFormat="1" ht="17.25" customHeight="1"/>
    <row r="13106" customFormat="1" ht="17.25" customHeight="1"/>
    <row r="13107" customFormat="1" ht="17.25" customHeight="1"/>
    <row r="13108" customFormat="1" ht="17.25" customHeight="1"/>
    <row r="13109" customFormat="1" ht="17.25" customHeight="1"/>
    <row r="13110" customFormat="1" ht="17.25" customHeight="1"/>
    <row r="13111" customFormat="1" ht="17.25" customHeight="1"/>
    <row r="13112" customFormat="1" ht="17.25" customHeight="1"/>
    <row r="13113" customFormat="1" ht="17.25" customHeight="1"/>
    <row r="13114" customFormat="1" ht="17.25" customHeight="1"/>
    <row r="13115" customFormat="1" ht="17.25" customHeight="1"/>
    <row r="13116" customFormat="1" ht="17.25" customHeight="1"/>
    <row r="13117" customFormat="1" ht="17.25" customHeight="1"/>
    <row r="13118" customFormat="1" ht="17.25" customHeight="1"/>
    <row r="13119" customFormat="1" ht="17.25" customHeight="1"/>
    <row r="13120" customFormat="1" ht="17.25" customHeight="1"/>
    <row r="13121" customFormat="1" ht="17.25" customHeight="1"/>
    <row r="13122" customFormat="1" ht="17.25" customHeight="1"/>
    <row r="13123" customFormat="1" ht="17.25" customHeight="1"/>
    <row r="13124" customFormat="1" ht="17.25" customHeight="1"/>
    <row r="13125" customFormat="1" ht="17.25" customHeight="1"/>
    <row r="13126" customFormat="1" ht="17.25" customHeight="1"/>
    <row r="13127" customFormat="1" ht="17.25" customHeight="1"/>
    <row r="13128" customFormat="1" ht="17.25" customHeight="1"/>
    <row r="13129" customFormat="1" ht="17.25" customHeight="1"/>
    <row r="13130" customFormat="1" ht="17.25" customHeight="1"/>
    <row r="13131" customFormat="1" ht="17.25" customHeight="1"/>
    <row r="13132" customFormat="1" ht="17.25" customHeight="1"/>
    <row r="13133" customFormat="1" ht="17.25" customHeight="1"/>
    <row r="13134" customFormat="1" ht="17.25" customHeight="1"/>
    <row r="13135" customFormat="1" ht="17.25" customHeight="1"/>
    <row r="13136" customFormat="1" ht="17.25" customHeight="1"/>
    <row r="13137" customFormat="1" ht="17.25" customHeight="1"/>
    <row r="13138" customFormat="1" ht="17.25" customHeight="1"/>
    <row r="13139" customFormat="1" ht="17.25" customHeight="1"/>
    <row r="13140" customFormat="1" ht="17.25" customHeight="1"/>
    <row r="13141" customFormat="1" ht="17.25" customHeight="1"/>
    <row r="13142" customFormat="1" ht="17.25" customHeight="1"/>
    <row r="13143" customFormat="1" ht="17.25" customHeight="1"/>
    <row r="13144" customFormat="1" ht="17.25" customHeight="1"/>
    <row r="13145" customFormat="1" ht="17.25" customHeight="1"/>
    <row r="13146" customFormat="1" ht="17.25" customHeight="1"/>
    <row r="13147" customFormat="1" ht="17.25" customHeight="1"/>
    <row r="13148" customFormat="1" ht="17.25" customHeight="1"/>
    <row r="13149" customFormat="1" ht="17.25" customHeight="1"/>
    <row r="13150" customFormat="1" ht="17.25" customHeight="1"/>
    <row r="13151" customFormat="1" ht="17.25" customHeight="1"/>
    <row r="13152" customFormat="1" ht="17.25" customHeight="1"/>
    <row r="13153" customFormat="1" ht="17.25" customHeight="1"/>
    <row r="13154" customFormat="1" ht="17.25" customHeight="1"/>
    <row r="13155" customFormat="1" ht="17.25" customHeight="1"/>
    <row r="13156" customFormat="1" ht="17.25" customHeight="1"/>
    <row r="13157" customFormat="1" ht="17.25" customHeight="1"/>
    <row r="13158" customFormat="1" ht="17.25" customHeight="1"/>
    <row r="13159" customFormat="1" ht="17.25" customHeight="1"/>
    <row r="13160" customFormat="1" ht="17.25" customHeight="1"/>
    <row r="13161" customFormat="1" ht="17.25" customHeight="1"/>
    <row r="13162" customFormat="1" ht="17.25" customHeight="1"/>
    <row r="13163" customFormat="1" ht="17.25" customHeight="1"/>
    <row r="13164" customFormat="1" ht="17.25" customHeight="1"/>
    <row r="13165" customFormat="1" ht="17.25" customHeight="1"/>
    <row r="13166" customFormat="1" ht="17.25" customHeight="1"/>
    <row r="13167" customFormat="1" ht="17.25" customHeight="1"/>
    <row r="13168" customFormat="1" ht="17.25" customHeight="1"/>
    <row r="13169" customFormat="1" ht="17.25" customHeight="1"/>
    <row r="13170" customFormat="1" ht="17.25" customHeight="1"/>
    <row r="13171" customFormat="1" ht="17.25" customHeight="1"/>
    <row r="13172" customFormat="1" ht="17.25" customHeight="1"/>
    <row r="13173" customFormat="1" ht="17.25" customHeight="1"/>
    <row r="13174" customFormat="1" ht="17.25" customHeight="1"/>
    <row r="13175" customFormat="1" ht="17.25" customHeight="1"/>
    <row r="13176" customFormat="1" ht="17.25" customHeight="1"/>
    <row r="13177" customFormat="1" ht="17.25" customHeight="1"/>
    <row r="13178" customFormat="1" ht="17.25" customHeight="1"/>
    <row r="13179" customFormat="1" ht="17.25" customHeight="1"/>
    <row r="13180" customFormat="1" ht="17.25" customHeight="1"/>
    <row r="13181" customFormat="1" ht="17.25" customHeight="1"/>
    <row r="13182" customFormat="1" ht="17.25" customHeight="1"/>
    <row r="13183" customFormat="1" ht="17.25" customHeight="1"/>
    <row r="13184" customFormat="1" ht="17.25" customHeight="1"/>
    <row r="13185" customFormat="1" ht="17.25" customHeight="1"/>
    <row r="13186" customFormat="1" ht="17.25" customHeight="1"/>
    <row r="13187" customFormat="1" ht="17.25" customHeight="1"/>
    <row r="13188" customFormat="1" ht="17.25" customHeight="1"/>
    <row r="13189" customFormat="1" ht="17.25" customHeight="1"/>
    <row r="13190" customFormat="1" ht="17.25" customHeight="1"/>
    <row r="13191" customFormat="1" ht="17.25" customHeight="1"/>
    <row r="13192" customFormat="1" ht="17.25" customHeight="1"/>
    <row r="13193" customFormat="1" ht="17.25" customHeight="1"/>
    <row r="13194" customFormat="1" ht="17.25" customHeight="1"/>
    <row r="13195" customFormat="1" ht="17.25" customHeight="1"/>
    <row r="13196" customFormat="1" ht="17.25" customHeight="1"/>
    <row r="13197" customFormat="1" ht="17.25" customHeight="1"/>
    <row r="13198" customFormat="1" ht="17.25" customHeight="1"/>
    <row r="13199" customFormat="1" ht="17.25" customHeight="1"/>
    <row r="13200" customFormat="1" ht="17.25" customHeight="1"/>
    <row r="13201" customFormat="1" ht="17.25" customHeight="1"/>
    <row r="13202" customFormat="1" ht="17.25" customHeight="1"/>
    <row r="13203" customFormat="1" ht="17.25" customHeight="1"/>
    <row r="13204" customFormat="1" ht="17.25" customHeight="1"/>
    <row r="13205" customFormat="1" ht="17.25" customHeight="1"/>
    <row r="13206" customFormat="1" ht="17.25" customHeight="1"/>
    <row r="13207" customFormat="1" ht="17.25" customHeight="1"/>
    <row r="13208" customFormat="1" ht="17.25" customHeight="1"/>
    <row r="13209" customFormat="1" ht="17.25" customHeight="1"/>
    <row r="13210" customFormat="1" ht="17.25" customHeight="1"/>
    <row r="13211" customFormat="1" ht="17.25" customHeight="1"/>
    <row r="13212" customFormat="1" ht="17.25" customHeight="1"/>
    <row r="13213" customFormat="1" ht="17.25" customHeight="1"/>
    <row r="13214" customFormat="1" ht="17.25" customHeight="1"/>
    <row r="13215" customFormat="1" ht="17.25" customHeight="1"/>
    <row r="13216" customFormat="1" ht="17.25" customHeight="1"/>
    <row r="13217" customFormat="1" ht="17.25" customHeight="1"/>
    <row r="13218" customFormat="1" ht="17.25" customHeight="1"/>
    <row r="13219" customFormat="1" ht="17.25" customHeight="1"/>
    <row r="13220" customFormat="1" ht="17.25" customHeight="1"/>
    <row r="13221" customFormat="1" ht="17.25" customHeight="1"/>
    <row r="13222" customFormat="1" ht="17.25" customHeight="1"/>
    <row r="13223" customFormat="1" ht="17.25" customHeight="1"/>
    <row r="13224" customFormat="1" ht="17.25" customHeight="1"/>
    <row r="13225" customFormat="1" ht="17.25" customHeight="1"/>
    <row r="13226" customFormat="1" ht="17.25" customHeight="1"/>
    <row r="13227" customFormat="1" ht="17.25" customHeight="1"/>
    <row r="13228" customFormat="1" ht="17.25" customHeight="1"/>
    <row r="13229" customFormat="1" ht="17.25" customHeight="1"/>
    <row r="13230" customFormat="1" ht="17.25" customHeight="1"/>
    <row r="13231" customFormat="1" ht="17.25" customHeight="1"/>
    <row r="13232" customFormat="1" ht="17.25" customHeight="1"/>
    <row r="13233" customFormat="1" ht="17.25" customHeight="1"/>
    <row r="13234" customFormat="1" ht="17.25" customHeight="1"/>
    <row r="13235" customFormat="1" ht="17.25" customHeight="1"/>
    <row r="13236" customFormat="1" ht="17.25" customHeight="1"/>
    <row r="13237" customFormat="1" ht="17.25" customHeight="1"/>
    <row r="13238" customFormat="1" ht="17.25" customHeight="1"/>
    <row r="13239" customFormat="1" ht="17.25" customHeight="1"/>
    <row r="13240" customFormat="1" ht="17.25" customHeight="1"/>
    <row r="13241" customFormat="1" ht="17.25" customHeight="1"/>
    <row r="13242" customFormat="1" ht="17.25" customHeight="1"/>
    <row r="13243" customFormat="1" ht="17.25" customHeight="1"/>
    <row r="13244" customFormat="1" ht="17.25" customHeight="1"/>
    <row r="13245" customFormat="1" ht="17.25" customHeight="1"/>
    <row r="13246" customFormat="1" ht="17.25" customHeight="1"/>
    <row r="13247" customFormat="1" ht="17.25" customHeight="1"/>
    <row r="13248" customFormat="1" ht="17.25" customHeight="1"/>
    <row r="13249" customFormat="1" ht="17.25" customHeight="1"/>
    <row r="13250" customFormat="1" ht="17.25" customHeight="1"/>
    <row r="13251" customFormat="1" ht="17.25" customHeight="1"/>
    <row r="13252" customFormat="1" ht="17.25" customHeight="1"/>
    <row r="13253" customFormat="1" ht="17.25" customHeight="1"/>
    <row r="13254" customFormat="1" ht="17.25" customHeight="1"/>
    <row r="13255" customFormat="1" ht="17.25" customHeight="1"/>
    <row r="13256" customFormat="1" ht="17.25" customHeight="1"/>
    <row r="13257" customFormat="1" ht="17.25" customHeight="1"/>
    <row r="13258" customFormat="1" ht="17.25" customHeight="1"/>
    <row r="13259" customFormat="1" ht="17.25" customHeight="1"/>
    <row r="13260" customFormat="1" ht="17.25" customHeight="1"/>
    <row r="13261" customFormat="1" ht="17.25" customHeight="1"/>
    <row r="13262" customFormat="1" ht="17.25" customHeight="1"/>
    <row r="13263" customFormat="1" ht="17.25" customHeight="1"/>
    <row r="13264" customFormat="1" ht="17.25" customHeight="1"/>
    <row r="13265" customFormat="1" ht="17.25" customHeight="1"/>
    <row r="13266" customFormat="1" ht="17.25" customHeight="1"/>
    <row r="13267" customFormat="1" ht="17.25" customHeight="1"/>
    <row r="13268" customFormat="1" ht="17.25" customHeight="1"/>
    <row r="13269" customFormat="1" ht="17.25" customHeight="1"/>
    <row r="13270" customFormat="1" ht="17.25" customHeight="1"/>
    <row r="13271" customFormat="1" ht="17.25" customHeight="1"/>
    <row r="13272" customFormat="1" ht="17.25" customHeight="1"/>
    <row r="13273" customFormat="1" ht="17.25" customHeight="1"/>
    <row r="13274" customFormat="1" ht="17.25" customHeight="1"/>
    <row r="13275" customFormat="1" ht="17.25" customHeight="1"/>
    <row r="13276" customFormat="1" ht="17.25" customHeight="1"/>
    <row r="13277" customFormat="1" ht="17.25" customHeight="1"/>
    <row r="13278" customFormat="1" ht="17.25" customHeight="1"/>
    <row r="13279" customFormat="1" ht="17.25" customHeight="1"/>
    <row r="13280" customFormat="1" ht="17.25" customHeight="1"/>
    <row r="13281" customFormat="1" ht="17.25" customHeight="1"/>
    <row r="13282" customFormat="1" ht="17.25" customHeight="1"/>
    <row r="13283" customFormat="1" ht="17.25" customHeight="1"/>
    <row r="13284" customFormat="1" ht="17.25" customHeight="1"/>
    <row r="13285" customFormat="1" ht="17.25" customHeight="1"/>
    <row r="13286" customFormat="1" ht="17.25" customHeight="1"/>
    <row r="13287" customFormat="1" ht="17.25" customHeight="1"/>
    <row r="13288" customFormat="1" ht="17.25" customHeight="1"/>
    <row r="13289" customFormat="1" ht="17.25" customHeight="1"/>
    <row r="13290" customFormat="1" ht="17.25" customHeight="1"/>
    <row r="13291" customFormat="1" ht="17.25" customHeight="1"/>
    <row r="13292" customFormat="1" ht="17.25" customHeight="1"/>
    <row r="13293" customFormat="1" ht="17.25" customHeight="1"/>
    <row r="13294" customFormat="1" ht="17.25" customHeight="1"/>
    <row r="13295" customFormat="1" ht="17.25" customHeight="1"/>
    <row r="13296" customFormat="1" ht="17.25" customHeight="1"/>
    <row r="13297" customFormat="1" ht="17.25" customHeight="1"/>
    <row r="13298" customFormat="1" ht="17.25" customHeight="1"/>
    <row r="13299" customFormat="1" ht="17.25" customHeight="1"/>
    <row r="13300" customFormat="1" ht="17.25" customHeight="1"/>
    <row r="13301" customFormat="1" ht="17.25" customHeight="1"/>
    <row r="13302" customFormat="1" ht="17.25" customHeight="1"/>
    <row r="13303" customFormat="1" ht="17.25" customHeight="1"/>
    <row r="13304" customFormat="1" ht="17.25" customHeight="1"/>
    <row r="13305" customFormat="1" ht="17.25" customHeight="1"/>
    <row r="13306" customFormat="1" ht="17.25" customHeight="1"/>
    <row r="13307" customFormat="1" ht="17.25" customHeight="1"/>
    <row r="13308" customFormat="1" ht="17.25" customHeight="1"/>
    <row r="13309" customFormat="1" ht="17.25" customHeight="1"/>
    <row r="13310" customFormat="1" ht="17.25" customHeight="1"/>
    <row r="13311" customFormat="1" ht="17.25" customHeight="1"/>
    <row r="13312" customFormat="1" ht="17.25" customHeight="1"/>
    <row r="13313" customFormat="1" ht="17.25" customHeight="1"/>
    <row r="13314" customFormat="1" ht="17.25" customHeight="1"/>
    <row r="13315" customFormat="1" ht="17.25" customHeight="1"/>
    <row r="13316" customFormat="1" ht="17.25" customHeight="1"/>
    <row r="13317" customFormat="1" ht="17.25" customHeight="1"/>
    <row r="13318" customFormat="1" ht="17.25" customHeight="1"/>
    <row r="13319" customFormat="1" ht="17.25" customHeight="1"/>
    <row r="13320" customFormat="1" ht="17.25" customHeight="1"/>
    <row r="13321" customFormat="1" ht="17.25" customHeight="1"/>
    <row r="13322" customFormat="1" ht="17.25" customHeight="1"/>
    <row r="13323" customFormat="1" ht="17.25" customHeight="1"/>
    <row r="13324" customFormat="1" ht="17.25" customHeight="1"/>
    <row r="13325" customFormat="1" ht="17.25" customHeight="1"/>
    <row r="13326" customFormat="1" ht="17.25" customHeight="1"/>
    <row r="13327" customFormat="1" ht="17.25" customHeight="1"/>
    <row r="13328" customFormat="1" ht="17.25" customHeight="1"/>
    <row r="13329" customFormat="1" ht="17.25" customHeight="1"/>
    <row r="13330" customFormat="1" ht="17.25" customHeight="1"/>
    <row r="13331" customFormat="1" ht="17.25" customHeight="1"/>
    <row r="13332" customFormat="1" ht="17.25" customHeight="1"/>
    <row r="13333" customFormat="1" ht="17.25" customHeight="1"/>
    <row r="13334" customFormat="1" ht="17.25" customHeight="1"/>
    <row r="13335" customFormat="1" ht="17.25" customHeight="1"/>
    <row r="13336" customFormat="1" ht="17.25" customHeight="1"/>
    <row r="13337" customFormat="1" ht="17.25" customHeight="1"/>
    <row r="13338" customFormat="1" ht="17.25" customHeight="1"/>
    <row r="13339" customFormat="1" ht="17.25" customHeight="1"/>
    <row r="13340" customFormat="1" ht="17.25" customHeight="1"/>
    <row r="13341" customFormat="1" ht="17.25" customHeight="1"/>
    <row r="13342" customFormat="1" ht="17.25" customHeight="1"/>
    <row r="13343" customFormat="1" ht="17.25" customHeight="1"/>
    <row r="13344" customFormat="1" ht="17.25" customHeight="1"/>
    <row r="13345" customFormat="1" ht="17.25" customHeight="1"/>
    <row r="13346" customFormat="1" ht="17.25" customHeight="1"/>
    <row r="13347" customFormat="1" ht="17.25" customHeight="1"/>
    <row r="13348" customFormat="1" ht="17.25" customHeight="1"/>
    <row r="13349" customFormat="1" ht="17.25" customHeight="1"/>
    <row r="13350" customFormat="1" ht="17.25" customHeight="1"/>
    <row r="13351" customFormat="1" ht="17.25" customHeight="1"/>
    <row r="13352" customFormat="1" ht="17.25" customHeight="1"/>
    <row r="13353" customFormat="1" ht="17.25" customHeight="1"/>
    <row r="13354" customFormat="1" ht="17.25" customHeight="1"/>
    <row r="13355" customFormat="1" ht="17.25" customHeight="1"/>
    <row r="13356" customFormat="1" ht="17.25" customHeight="1"/>
    <row r="13357" customFormat="1" ht="17.25" customHeight="1"/>
    <row r="13358" customFormat="1" ht="17.25" customHeight="1"/>
    <row r="13359" customFormat="1" ht="17.25" customHeight="1"/>
    <row r="13360" customFormat="1" ht="17.25" customHeight="1"/>
    <row r="13361" customFormat="1" ht="17.25" customHeight="1"/>
    <row r="13362" customFormat="1" ht="17.25" customHeight="1"/>
    <row r="13363" customFormat="1" ht="17.25" customHeight="1"/>
    <row r="13364" customFormat="1" ht="17.25" customHeight="1"/>
    <row r="13365" customFormat="1" ht="17.25" customHeight="1"/>
    <row r="13366" customFormat="1" ht="17.25" customHeight="1"/>
    <row r="13367" customFormat="1" ht="17.25" customHeight="1"/>
    <row r="13368" customFormat="1" ht="17.25" customHeight="1"/>
    <row r="13369" customFormat="1" ht="17.25" customHeight="1"/>
    <row r="13370" customFormat="1" ht="17.25" customHeight="1"/>
    <row r="13371" customFormat="1" ht="17.25" customHeight="1"/>
    <row r="13372" customFormat="1" ht="17.25" customHeight="1"/>
    <row r="13373" customFormat="1" ht="17.25" customHeight="1"/>
    <row r="13374" customFormat="1" ht="17.25" customHeight="1"/>
    <row r="13375" customFormat="1" ht="17.25" customHeight="1"/>
    <row r="13376" customFormat="1" ht="17.25" customHeight="1"/>
    <row r="13377" customFormat="1" ht="17.25" customHeight="1"/>
    <row r="13378" customFormat="1" ht="17.25" customHeight="1"/>
    <row r="13379" customFormat="1" ht="17.25" customHeight="1"/>
    <row r="13380" customFormat="1" ht="17.25" customHeight="1"/>
    <row r="13381" customFormat="1" ht="17.25" customHeight="1"/>
    <row r="13382" customFormat="1" ht="17.25" customHeight="1"/>
    <row r="13383" customFormat="1" ht="17.25" customHeight="1"/>
    <row r="13384" customFormat="1" ht="17.25" customHeight="1"/>
    <row r="13385" customFormat="1" ht="17.25" customHeight="1"/>
    <row r="13386" customFormat="1" ht="17.25" customHeight="1"/>
    <row r="13387" customFormat="1" ht="17.25" customHeight="1"/>
    <row r="13388" customFormat="1" ht="17.25" customHeight="1"/>
    <row r="13389" customFormat="1" ht="17.25" customHeight="1"/>
    <row r="13390" customFormat="1" ht="17.25" customHeight="1"/>
    <row r="13391" customFormat="1" ht="17.25" customHeight="1"/>
    <row r="13392" customFormat="1" ht="17.25" customHeight="1"/>
    <row r="13393" customFormat="1" ht="17.25" customHeight="1"/>
    <row r="13394" customFormat="1" ht="17.25" customHeight="1"/>
    <row r="13395" customFormat="1" ht="17.25" customHeight="1"/>
    <row r="13396" customFormat="1" ht="17.25" customHeight="1"/>
    <row r="13397" customFormat="1" ht="17.25" customHeight="1"/>
    <row r="13398" customFormat="1" ht="17.25" customHeight="1"/>
    <row r="13399" customFormat="1" ht="17.25" customHeight="1"/>
    <row r="13400" customFormat="1" ht="17.25" customHeight="1"/>
    <row r="13401" customFormat="1" ht="17.25" customHeight="1"/>
    <row r="13402" customFormat="1" ht="17.25" customHeight="1"/>
    <row r="13403" customFormat="1" ht="17.25" customHeight="1"/>
    <row r="13404" customFormat="1" ht="17.25" customHeight="1"/>
    <row r="13405" customFormat="1" ht="17.25" customHeight="1"/>
    <row r="13406" customFormat="1" ht="17.25" customHeight="1"/>
    <row r="13407" customFormat="1" ht="17.25" customHeight="1"/>
    <row r="13408" customFormat="1" ht="17.25" customHeight="1"/>
    <row r="13409" customFormat="1" ht="17.25" customHeight="1"/>
    <row r="13410" customFormat="1" ht="17.25" customHeight="1"/>
    <row r="13411" customFormat="1" ht="17.25" customHeight="1"/>
    <row r="13412" customFormat="1" ht="17.25" customHeight="1"/>
    <row r="13413" customFormat="1" ht="17.25" customHeight="1"/>
    <row r="13414" customFormat="1" ht="17.25" customHeight="1"/>
    <row r="13415" customFormat="1" ht="17.25" customHeight="1"/>
    <row r="13416" customFormat="1" ht="17.25" customHeight="1"/>
    <row r="13417" customFormat="1" ht="17.25" customHeight="1"/>
    <row r="13418" customFormat="1" ht="17.25" customHeight="1"/>
    <row r="13419" customFormat="1" ht="17.25" customHeight="1"/>
    <row r="13420" customFormat="1" ht="17.25" customHeight="1"/>
    <row r="13421" customFormat="1" ht="17.25" customHeight="1"/>
    <row r="13422" customFormat="1" ht="17.25" customHeight="1"/>
    <row r="13423" customFormat="1" ht="17.25" customHeight="1"/>
    <row r="13424" customFormat="1" ht="17.25" customHeight="1"/>
    <row r="13425" customFormat="1" ht="17.25" customHeight="1"/>
    <row r="13426" customFormat="1" ht="17.25" customHeight="1"/>
    <row r="13427" customFormat="1" ht="17.25" customHeight="1"/>
    <row r="13428" customFormat="1" ht="17.25" customHeight="1"/>
    <row r="13429" customFormat="1" ht="17.25" customHeight="1"/>
    <row r="13430" customFormat="1" ht="17.25" customHeight="1"/>
    <row r="13431" customFormat="1" ht="17.25" customHeight="1"/>
    <row r="13432" customFormat="1" ht="17.25" customHeight="1"/>
    <row r="13433" customFormat="1" ht="17.25" customHeight="1"/>
    <row r="13434" customFormat="1" ht="17.25" customHeight="1"/>
    <row r="13435" customFormat="1" ht="17.25" customHeight="1"/>
    <row r="13436" customFormat="1" ht="17.25" customHeight="1"/>
    <row r="13437" customFormat="1" ht="17.25" customHeight="1"/>
    <row r="13438" customFormat="1" ht="17.25" customHeight="1"/>
    <row r="13439" customFormat="1" ht="17.25" customHeight="1"/>
    <row r="13440" customFormat="1" ht="17.25" customHeight="1"/>
    <row r="13441" customFormat="1" ht="17.25" customHeight="1"/>
    <row r="13442" customFormat="1" ht="17.25" customHeight="1"/>
    <row r="13443" customFormat="1" ht="17.25" customHeight="1"/>
    <row r="13444" customFormat="1" ht="17.25" customHeight="1"/>
    <row r="13445" customFormat="1" ht="17.25" customHeight="1"/>
    <row r="13446" customFormat="1" ht="17.25" customHeight="1"/>
    <row r="13447" customFormat="1" ht="17.25" customHeight="1"/>
    <row r="13448" customFormat="1" ht="17.25" customHeight="1"/>
    <row r="13449" customFormat="1" ht="17.25" customHeight="1"/>
    <row r="13450" customFormat="1" ht="17.25" customHeight="1"/>
    <row r="13451" customFormat="1" ht="17.25" customHeight="1"/>
    <row r="13452" customFormat="1" ht="17.25" customHeight="1"/>
    <row r="13453" customFormat="1" ht="17.25" customHeight="1"/>
    <row r="13454" customFormat="1" ht="17.25" customHeight="1"/>
    <row r="13455" customFormat="1" ht="17.25" customHeight="1"/>
    <row r="13456" customFormat="1" ht="17.25" customHeight="1"/>
    <row r="13457" customFormat="1" ht="17.25" customHeight="1"/>
    <row r="13458" customFormat="1" ht="17.25" customHeight="1"/>
    <row r="13459" customFormat="1" ht="17.25" customHeight="1"/>
    <row r="13460" customFormat="1" ht="17.25" customHeight="1"/>
    <row r="13461" customFormat="1" ht="17.25" customHeight="1"/>
    <row r="13462" customFormat="1" ht="17.25" customHeight="1"/>
    <row r="13463" customFormat="1" ht="17.25" customHeight="1"/>
    <row r="13464" customFormat="1" ht="17.25" customHeight="1"/>
    <row r="13465" customFormat="1" ht="17.25" customHeight="1"/>
    <row r="13466" customFormat="1" ht="17.25" customHeight="1"/>
    <row r="13467" customFormat="1" ht="17.25" customHeight="1"/>
    <row r="13468" customFormat="1" ht="17.25" customHeight="1"/>
    <row r="13469" customFormat="1" ht="17.25" customHeight="1"/>
    <row r="13470" customFormat="1" ht="17.25" customHeight="1"/>
    <row r="13471" customFormat="1" ht="17.25" customHeight="1"/>
    <row r="13472" customFormat="1" ht="17.25" customHeight="1"/>
    <row r="13473" customFormat="1" ht="17.25" customHeight="1"/>
    <row r="13474" customFormat="1" ht="17.25" customHeight="1"/>
    <row r="13475" customFormat="1" ht="17.25" customHeight="1"/>
    <row r="13476" customFormat="1" ht="17.25" customHeight="1"/>
    <row r="13477" customFormat="1" ht="17.25" customHeight="1"/>
    <row r="13478" customFormat="1" ht="17.25" customHeight="1"/>
    <row r="13479" customFormat="1" ht="17.25" customHeight="1"/>
    <row r="13480" customFormat="1" ht="17.25" customHeight="1"/>
    <row r="13481" customFormat="1" ht="17.25" customHeight="1"/>
    <row r="13482" customFormat="1" ht="17.25" customHeight="1"/>
    <row r="13483" customFormat="1" ht="17.25" customHeight="1"/>
    <row r="13484" customFormat="1" ht="17.25" customHeight="1"/>
    <row r="13485" customFormat="1" ht="17.25" customHeight="1"/>
    <row r="13486" customFormat="1" ht="17.25" customHeight="1"/>
    <row r="13487" customFormat="1" ht="17.25" customHeight="1"/>
    <row r="13488" customFormat="1" ht="17.25" customHeight="1"/>
    <row r="13489" customFormat="1" ht="17.25" customHeight="1"/>
    <row r="13490" customFormat="1" ht="17.25" customHeight="1"/>
    <row r="13491" customFormat="1" ht="17.25" customHeight="1"/>
    <row r="13492" customFormat="1" ht="17.25" customHeight="1"/>
    <row r="13493" customFormat="1" ht="17.25" customHeight="1"/>
    <row r="13494" customFormat="1" ht="17.25" customHeight="1"/>
    <row r="13495" customFormat="1" ht="17.25" customHeight="1"/>
    <row r="13496" customFormat="1" ht="17.25" customHeight="1"/>
    <row r="13497" customFormat="1" ht="17.25" customHeight="1"/>
    <row r="13498" customFormat="1" ht="17.25" customHeight="1"/>
    <row r="13499" customFormat="1" ht="17.25" customHeight="1"/>
    <row r="13500" customFormat="1" ht="17.25" customHeight="1"/>
    <row r="13501" customFormat="1" ht="17.25" customHeight="1"/>
    <row r="13502" customFormat="1" ht="17.25" customHeight="1"/>
    <row r="13503" customFormat="1" ht="17.25" customHeight="1"/>
    <row r="13504" customFormat="1" ht="17.25" customHeight="1"/>
    <row r="13505" customFormat="1" ht="17.25" customHeight="1"/>
    <row r="13506" customFormat="1" ht="17.25" customHeight="1"/>
    <row r="13507" customFormat="1" ht="17.25" customHeight="1"/>
    <row r="13508" customFormat="1" ht="17.25" customHeight="1"/>
    <row r="13509" customFormat="1" ht="17.25" customHeight="1"/>
    <row r="13510" customFormat="1" ht="17.25" customHeight="1"/>
    <row r="13511" customFormat="1" ht="17.25" customHeight="1"/>
    <row r="13512" customFormat="1" ht="17.25" customHeight="1"/>
    <row r="13513" customFormat="1" ht="17.25" customHeight="1"/>
    <row r="13514" customFormat="1" ht="17.25" customHeight="1"/>
    <row r="13515" customFormat="1" ht="17.25" customHeight="1"/>
    <row r="13516" customFormat="1" ht="17.25" customHeight="1"/>
    <row r="13517" customFormat="1" ht="17.25" customHeight="1"/>
    <row r="13518" customFormat="1" ht="17.25" customHeight="1"/>
    <row r="13519" customFormat="1" ht="17.25" customHeight="1"/>
    <row r="13520" customFormat="1" ht="17.25" customHeight="1"/>
    <row r="13521" customFormat="1" ht="17.25" customHeight="1"/>
    <row r="13522" customFormat="1" ht="17.25" customHeight="1"/>
    <row r="13523" customFormat="1" ht="17.25" customHeight="1"/>
    <row r="13524" customFormat="1" ht="17.25" customHeight="1"/>
    <row r="13525" customFormat="1" ht="17.25" customHeight="1"/>
    <row r="13526" customFormat="1" ht="17.25" customHeight="1"/>
    <row r="13527" customFormat="1" ht="17.25" customHeight="1"/>
    <row r="13528" customFormat="1" ht="17.25" customHeight="1"/>
    <row r="13529" customFormat="1" ht="17.25" customHeight="1"/>
    <row r="13530" customFormat="1" ht="17.25" customHeight="1"/>
    <row r="13531" customFormat="1" ht="17.25" customHeight="1"/>
    <row r="13532" customFormat="1" ht="17.25" customHeight="1"/>
    <row r="13533" customFormat="1" ht="17.25" customHeight="1"/>
    <row r="13534" customFormat="1" ht="17.25" customHeight="1"/>
    <row r="13535" customFormat="1" ht="17.25" customHeight="1"/>
    <row r="13536" customFormat="1" ht="17.25" customHeight="1"/>
    <row r="13537" customFormat="1" ht="17.25" customHeight="1"/>
    <row r="13538" customFormat="1" ht="17.25" customHeight="1"/>
    <row r="13539" customFormat="1" ht="17.25" customHeight="1"/>
    <row r="13540" customFormat="1" ht="17.25" customHeight="1"/>
    <row r="13541" customFormat="1" ht="17.25" customHeight="1"/>
    <row r="13542" customFormat="1" ht="17.25" customHeight="1"/>
    <row r="13543" customFormat="1" ht="17.25" customHeight="1"/>
    <row r="13544" customFormat="1" ht="17.25" customHeight="1"/>
    <row r="13545" customFormat="1" ht="17.25" customHeight="1"/>
    <row r="13546" customFormat="1" ht="17.25" customHeight="1"/>
    <row r="13547" customFormat="1" ht="17.25" customHeight="1"/>
    <row r="13548" customFormat="1" ht="17.25" customHeight="1"/>
    <row r="13549" customFormat="1" ht="17.25" customHeight="1"/>
    <row r="13550" customFormat="1" ht="17.25" customHeight="1"/>
    <row r="13551" customFormat="1" ht="17.25" customHeight="1"/>
    <row r="13552" customFormat="1" ht="17.25" customHeight="1"/>
    <row r="13553" customFormat="1" ht="17.25" customHeight="1"/>
    <row r="13554" customFormat="1" ht="17.25" customHeight="1"/>
    <row r="13555" customFormat="1" ht="17.25" customHeight="1"/>
    <row r="13556" customFormat="1" ht="17.25" customHeight="1"/>
    <row r="13557" customFormat="1" ht="17.25" customHeight="1"/>
    <row r="13558" customFormat="1" ht="17.25" customHeight="1"/>
    <row r="13559" customFormat="1" ht="17.25" customHeight="1"/>
    <row r="13560" customFormat="1" ht="17.25" customHeight="1"/>
    <row r="13561" customFormat="1" ht="17.25" customHeight="1"/>
    <row r="13562" customFormat="1" ht="17.25" customHeight="1"/>
    <row r="13563" customFormat="1" ht="17.25" customHeight="1"/>
    <row r="13564" customFormat="1" ht="17.25" customHeight="1"/>
    <row r="13565" customFormat="1" ht="17.25" customHeight="1"/>
    <row r="13566" customFormat="1" ht="17.25" customHeight="1"/>
    <row r="13567" customFormat="1" ht="17.25" customHeight="1"/>
    <row r="13568" customFormat="1" ht="17.25" customHeight="1"/>
    <row r="13569" customFormat="1" ht="17.25" customHeight="1"/>
    <row r="13570" customFormat="1" ht="17.25" customHeight="1"/>
    <row r="13571" customFormat="1" ht="17.25" customHeight="1"/>
    <row r="13572" customFormat="1" ht="17.25" customHeight="1"/>
    <row r="13573" customFormat="1" ht="17.25" customHeight="1"/>
    <row r="13574" customFormat="1" ht="17.25" customHeight="1"/>
    <row r="13575" customFormat="1" ht="17.25" customHeight="1"/>
    <row r="13576" customFormat="1" ht="17.25" customHeight="1"/>
    <row r="13577" customFormat="1" ht="17.25" customHeight="1"/>
    <row r="13578" customFormat="1" ht="17.25" customHeight="1"/>
    <row r="13579" customFormat="1" ht="17.25" customHeight="1"/>
    <row r="13580" customFormat="1" ht="17.25" customHeight="1"/>
    <row r="13581" customFormat="1" ht="17.25" customHeight="1"/>
    <row r="13582" customFormat="1" ht="17.25" customHeight="1"/>
    <row r="13583" customFormat="1" ht="17.25" customHeight="1"/>
    <row r="13584" customFormat="1" ht="17.25" customHeight="1"/>
    <row r="13585" customFormat="1" ht="17.25" customHeight="1"/>
    <row r="13586" customFormat="1" ht="17.25" customHeight="1"/>
    <row r="13587" customFormat="1" ht="17.25" customHeight="1"/>
    <row r="13588" customFormat="1" ht="17.25" customHeight="1"/>
    <row r="13589" customFormat="1" ht="17.25" customHeight="1"/>
    <row r="13590" customFormat="1" ht="17.25" customHeight="1"/>
    <row r="13591" customFormat="1" ht="17.25" customHeight="1"/>
    <row r="13592" customFormat="1" ht="17.25" customHeight="1"/>
    <row r="13593" customFormat="1" ht="17.25" customHeight="1"/>
    <row r="13594" customFormat="1" ht="17.25" customHeight="1"/>
    <row r="13595" customFormat="1" ht="17.25" customHeight="1"/>
    <row r="13596" customFormat="1" ht="17.25" customHeight="1"/>
    <row r="13597" customFormat="1" ht="17.25" customHeight="1"/>
    <row r="13598" customFormat="1" ht="17.25" customHeight="1"/>
    <row r="13599" customFormat="1" ht="17.25" customHeight="1"/>
    <row r="13600" customFormat="1" ht="17.25" customHeight="1"/>
    <row r="13601" customFormat="1" ht="17.25" customHeight="1"/>
    <row r="13602" customFormat="1" ht="17.25" customHeight="1"/>
    <row r="13603" customFormat="1" ht="17.25" customHeight="1"/>
    <row r="13604" customFormat="1" ht="17.25" customHeight="1"/>
    <row r="13605" customFormat="1" ht="17.25" customHeight="1"/>
    <row r="13606" customFormat="1" ht="17.25" customHeight="1"/>
    <row r="13607" customFormat="1" ht="17.25" customHeight="1"/>
    <row r="13608" customFormat="1" ht="17.25" customHeight="1"/>
    <row r="13609" customFormat="1" ht="17.25" customHeight="1"/>
    <row r="13610" customFormat="1" ht="17.25" customHeight="1"/>
    <row r="13611" customFormat="1" ht="17.25" customHeight="1"/>
    <row r="13612" customFormat="1" ht="17.25" customHeight="1"/>
    <row r="13613" customFormat="1" ht="17.25" customHeight="1"/>
    <row r="13614" customFormat="1" ht="17.25" customHeight="1"/>
    <row r="13615" customFormat="1" ht="17.25" customHeight="1"/>
    <row r="13616" customFormat="1" ht="17.25" customHeight="1"/>
    <row r="13617" customFormat="1" ht="17.25" customHeight="1"/>
    <row r="13618" customFormat="1" ht="17.25" customHeight="1"/>
    <row r="13619" customFormat="1" ht="17.25" customHeight="1"/>
    <row r="13620" customFormat="1" ht="17.25" customHeight="1"/>
    <row r="13621" customFormat="1" ht="17.25" customHeight="1"/>
    <row r="13622" customFormat="1" ht="17.25" customHeight="1"/>
    <row r="13623" customFormat="1" ht="17.25" customHeight="1"/>
    <row r="13624" customFormat="1" ht="17.25" customHeight="1"/>
    <row r="13625" customFormat="1" ht="17.25" customHeight="1"/>
    <row r="13626" customFormat="1" ht="17.25" customHeight="1"/>
    <row r="13627" customFormat="1" ht="17.25" customHeight="1"/>
    <row r="13628" customFormat="1" ht="17.25" customHeight="1"/>
    <row r="13629" customFormat="1" ht="17.25" customHeight="1"/>
    <row r="13630" customFormat="1" ht="17.25" customHeight="1"/>
    <row r="13631" customFormat="1" ht="17.25" customHeight="1"/>
    <row r="13632" customFormat="1" ht="17.25" customHeight="1"/>
    <row r="13633" customFormat="1" ht="17.25" customHeight="1"/>
    <row r="13634" customFormat="1" ht="17.25" customHeight="1"/>
    <row r="13635" customFormat="1" ht="17.25" customHeight="1"/>
    <row r="13636" customFormat="1" ht="17.25" customHeight="1"/>
    <row r="13637" customFormat="1" ht="17.25" customHeight="1"/>
    <row r="13638" customFormat="1" ht="17.25" customHeight="1"/>
    <row r="13639" customFormat="1" ht="17.25" customHeight="1"/>
    <row r="13640" customFormat="1" ht="17.25" customHeight="1"/>
    <row r="13641" customFormat="1" ht="17.25" customHeight="1"/>
    <row r="13642" customFormat="1" ht="17.25" customHeight="1"/>
    <row r="13643" customFormat="1" ht="17.25" customHeight="1"/>
    <row r="13644" customFormat="1" ht="17.25" customHeight="1"/>
    <row r="13645" customFormat="1" ht="17.25" customHeight="1"/>
    <row r="13646" customFormat="1" ht="17.25" customHeight="1"/>
    <row r="13647" customFormat="1" ht="17.25" customHeight="1"/>
    <row r="13648" customFormat="1" ht="17.25" customHeight="1"/>
    <row r="13649" customFormat="1" ht="17.25" customHeight="1"/>
    <row r="13650" customFormat="1" ht="17.25" customHeight="1"/>
    <row r="13651" customFormat="1" ht="17.25" customHeight="1"/>
    <row r="13652" customFormat="1" ht="17.25" customHeight="1"/>
    <row r="13653" customFormat="1" ht="17.25" customHeight="1"/>
    <row r="13654" customFormat="1" ht="17.25" customHeight="1"/>
    <row r="13655" customFormat="1" ht="17.25" customHeight="1"/>
    <row r="13656" customFormat="1" ht="17.25" customHeight="1"/>
    <row r="13657" customFormat="1" ht="17.25" customHeight="1"/>
    <row r="13658" customFormat="1" ht="17.25" customHeight="1"/>
    <row r="13659" customFormat="1" ht="17.25" customHeight="1"/>
    <row r="13660" customFormat="1" ht="17.25" customHeight="1"/>
    <row r="13661" customFormat="1" ht="17.25" customHeight="1"/>
    <row r="13662" customFormat="1" ht="17.25" customHeight="1"/>
    <row r="13663" customFormat="1" ht="17.25" customHeight="1"/>
    <row r="13664" customFormat="1" ht="17.25" customHeight="1"/>
    <row r="13665" customFormat="1" ht="17.25" customHeight="1"/>
    <row r="13666" customFormat="1" ht="17.25" customHeight="1"/>
    <row r="13667" customFormat="1" ht="17.25" customHeight="1"/>
    <row r="13668" customFormat="1" ht="17.25" customHeight="1"/>
    <row r="13669" customFormat="1" ht="17.25" customHeight="1"/>
    <row r="13670" customFormat="1" ht="17.25" customHeight="1"/>
    <row r="13671" customFormat="1" ht="17.25" customHeight="1"/>
    <row r="13672" customFormat="1" ht="17.25" customHeight="1"/>
    <row r="13673" customFormat="1" ht="17.25" customHeight="1"/>
    <row r="13674" customFormat="1" ht="17.25" customHeight="1"/>
    <row r="13675" customFormat="1" ht="17.25" customHeight="1"/>
    <row r="13676" customFormat="1" ht="17.25" customHeight="1"/>
    <row r="13677" customFormat="1" ht="17.25" customHeight="1"/>
    <row r="13678" customFormat="1" ht="17.25" customHeight="1"/>
    <row r="13679" customFormat="1" ht="17.25" customHeight="1"/>
    <row r="13680" customFormat="1" ht="17.25" customHeight="1"/>
    <row r="13681" customFormat="1" ht="17.25" customHeight="1"/>
    <row r="13682" customFormat="1" ht="17.25" customHeight="1"/>
    <row r="13683" customFormat="1" ht="17.25" customHeight="1"/>
    <row r="13684" customFormat="1" ht="17.25" customHeight="1"/>
    <row r="13685" customFormat="1" ht="17.25" customHeight="1"/>
    <row r="13686" customFormat="1" ht="17.25" customHeight="1"/>
    <row r="13687" customFormat="1" ht="17.25" customHeight="1"/>
    <row r="13688" customFormat="1" ht="17.25" customHeight="1"/>
    <row r="13689" customFormat="1" ht="17.25" customHeight="1"/>
    <row r="13690" customFormat="1" ht="17.25" customHeight="1"/>
    <row r="13691" customFormat="1" ht="17.25" customHeight="1"/>
    <row r="13692" customFormat="1" ht="17.25" customHeight="1"/>
    <row r="13693" customFormat="1" ht="17.25" customHeight="1"/>
    <row r="13694" customFormat="1" ht="17.25" customHeight="1"/>
    <row r="13695" customFormat="1" ht="17.25" customHeight="1"/>
    <row r="13696" customFormat="1" ht="17.25" customHeight="1"/>
    <row r="13697" customFormat="1" ht="17.25" customHeight="1"/>
    <row r="13698" customFormat="1" ht="17.25" customHeight="1"/>
    <row r="13699" customFormat="1" ht="17.25" customHeight="1"/>
    <row r="13700" customFormat="1" ht="17.25" customHeight="1"/>
    <row r="13701" customFormat="1" ht="17.25" customHeight="1"/>
    <row r="13702" customFormat="1" ht="17.25" customHeight="1"/>
    <row r="13703" customFormat="1" ht="17.25" customHeight="1"/>
    <row r="13704" customFormat="1" ht="17.25" customHeight="1"/>
    <row r="13705" customFormat="1" ht="17.25" customHeight="1"/>
    <row r="13706" customFormat="1" ht="17.25" customHeight="1"/>
    <row r="13707" customFormat="1" ht="17.25" customHeight="1"/>
    <row r="13708" customFormat="1" ht="17.25" customHeight="1"/>
    <row r="13709" customFormat="1" ht="17.25" customHeight="1"/>
    <row r="13710" customFormat="1" ht="17.25" customHeight="1"/>
    <row r="13711" customFormat="1" ht="17.25" customHeight="1"/>
    <row r="13712" customFormat="1" ht="17.25" customHeight="1"/>
    <row r="13713" customFormat="1" ht="17.25" customHeight="1"/>
    <row r="13714" customFormat="1" ht="17.25" customHeight="1"/>
    <row r="13715" customFormat="1" ht="17.25" customHeight="1"/>
    <row r="13716" customFormat="1" ht="17.25" customHeight="1"/>
    <row r="13717" customFormat="1" ht="17.25" customHeight="1"/>
    <row r="13718" customFormat="1" ht="17.25" customHeight="1"/>
    <row r="13719" customFormat="1" ht="17.25" customHeight="1"/>
    <row r="13720" customFormat="1" ht="17.25" customHeight="1"/>
    <row r="13721" customFormat="1" ht="17.25" customHeight="1"/>
    <row r="13722" customFormat="1" ht="17.25" customHeight="1"/>
    <row r="13723" customFormat="1" ht="17.25" customHeight="1"/>
    <row r="13724" customFormat="1" ht="17.25" customHeight="1"/>
    <row r="13725" customFormat="1" ht="17.25" customHeight="1"/>
    <row r="13726" customFormat="1" ht="17.25" customHeight="1"/>
    <row r="13727" customFormat="1" ht="17.25" customHeight="1"/>
    <row r="13728" customFormat="1" ht="17.25" customHeight="1"/>
    <row r="13729" customFormat="1" ht="17.25" customHeight="1"/>
    <row r="13730" customFormat="1" ht="17.25" customHeight="1"/>
    <row r="13731" customFormat="1" ht="17.25" customHeight="1"/>
    <row r="13732" customFormat="1" ht="17.25" customHeight="1"/>
    <row r="13733" customFormat="1" ht="17.25" customHeight="1"/>
    <row r="13734" customFormat="1" ht="17.25" customHeight="1"/>
    <row r="13735" customFormat="1" ht="17.25" customHeight="1"/>
    <row r="13736" customFormat="1" ht="17.25" customHeight="1"/>
    <row r="13737" customFormat="1" ht="17.25" customHeight="1"/>
    <row r="13738" customFormat="1" ht="17.25" customHeight="1"/>
    <row r="13739" customFormat="1" ht="17.25" customHeight="1"/>
    <row r="13740" customFormat="1" ht="17.25" customHeight="1"/>
    <row r="13741" customFormat="1" ht="17.25" customHeight="1"/>
    <row r="13742" customFormat="1" ht="17.25" customHeight="1"/>
    <row r="13743" customFormat="1" ht="17.25" customHeight="1"/>
    <row r="13744" customFormat="1" ht="17.25" customHeight="1"/>
    <row r="13745" customFormat="1" ht="17.25" customHeight="1"/>
    <row r="13746" customFormat="1" ht="17.25" customHeight="1"/>
    <row r="13747" customFormat="1" ht="17.25" customHeight="1"/>
    <row r="13748" customFormat="1" ht="17.25" customHeight="1"/>
    <row r="13749" customFormat="1" ht="17.25" customHeight="1"/>
    <row r="13750" customFormat="1" ht="17.25" customHeight="1"/>
    <row r="13751" customFormat="1" ht="17.25" customHeight="1"/>
    <row r="13752" customFormat="1" ht="17.25" customHeight="1"/>
    <row r="13753" customFormat="1" ht="17.25" customHeight="1"/>
    <row r="13754" customFormat="1" ht="17.25" customHeight="1"/>
    <row r="13755" customFormat="1" ht="17.25" customHeight="1"/>
    <row r="13756" customFormat="1" ht="17.25" customHeight="1"/>
    <row r="13757" customFormat="1" ht="17.25" customHeight="1"/>
    <row r="13758" customFormat="1" ht="17.25" customHeight="1"/>
    <row r="13759" customFormat="1" ht="17.25" customHeight="1"/>
    <row r="13760" customFormat="1" ht="17.25" customHeight="1"/>
    <row r="13761" customFormat="1" ht="17.25" customHeight="1"/>
    <row r="13762" customFormat="1" ht="17.25" customHeight="1"/>
    <row r="13763" customFormat="1" ht="17.25" customHeight="1"/>
    <row r="13764" customFormat="1" ht="17.25" customHeight="1"/>
    <row r="13765" customFormat="1" ht="17.25" customHeight="1"/>
    <row r="13766" customFormat="1" ht="17.25" customHeight="1"/>
    <row r="13767" customFormat="1" ht="17.25" customHeight="1"/>
    <row r="13768" customFormat="1" ht="17.25" customHeight="1"/>
    <row r="13769" customFormat="1" ht="17.25" customHeight="1"/>
    <row r="13770" customFormat="1" ht="17.25" customHeight="1"/>
    <row r="13771" customFormat="1" ht="17.25" customHeight="1"/>
    <row r="13772" customFormat="1" ht="17.25" customHeight="1"/>
    <row r="13773" customFormat="1" ht="17.25" customHeight="1"/>
    <row r="13774" customFormat="1" ht="17.25" customHeight="1"/>
    <row r="13775" customFormat="1" ht="17.25" customHeight="1"/>
    <row r="13776" customFormat="1" ht="17.25" customHeight="1"/>
    <row r="13777" customFormat="1" ht="17.25" customHeight="1"/>
    <row r="13778" customFormat="1" ht="17.25" customHeight="1"/>
    <row r="13779" customFormat="1" ht="17.25" customHeight="1"/>
    <row r="13780" customFormat="1" ht="17.25" customHeight="1"/>
    <row r="13781" customFormat="1" ht="17.25" customHeight="1"/>
    <row r="13782" customFormat="1" ht="17.25" customHeight="1"/>
    <row r="13783" customFormat="1" ht="17.25" customHeight="1"/>
    <row r="13784" customFormat="1" ht="17.25" customHeight="1"/>
    <row r="13785" customFormat="1" ht="17.25" customHeight="1"/>
    <row r="13786" customFormat="1" ht="17.25" customHeight="1"/>
    <row r="13787" customFormat="1" ht="17.25" customHeight="1"/>
    <row r="13788" customFormat="1" ht="17.25" customHeight="1"/>
    <row r="13789" customFormat="1" ht="17.25" customHeight="1"/>
    <row r="13790" customFormat="1" ht="17.25" customHeight="1"/>
    <row r="13791" customFormat="1" ht="17.25" customHeight="1"/>
    <row r="13792" customFormat="1" ht="17.25" customHeight="1"/>
    <row r="13793" customFormat="1" ht="17.25" customHeight="1"/>
    <row r="13794" customFormat="1" ht="17.25" customHeight="1"/>
    <row r="13795" customFormat="1" ht="17.25" customHeight="1"/>
    <row r="13796" customFormat="1" ht="17.25" customHeight="1"/>
    <row r="13797" customFormat="1" ht="17.25" customHeight="1"/>
    <row r="13798" customFormat="1" ht="17.25" customHeight="1"/>
    <row r="13799" customFormat="1" ht="17.25" customHeight="1"/>
    <row r="13800" customFormat="1" ht="17.25" customHeight="1"/>
    <row r="13801" customFormat="1" ht="17.25" customHeight="1"/>
    <row r="13802" customFormat="1" ht="17.25" customHeight="1"/>
    <row r="13803" customFormat="1" ht="17.25" customHeight="1"/>
    <row r="13804" customFormat="1" ht="17.25" customHeight="1"/>
    <row r="13805" customFormat="1" ht="17.25" customHeight="1"/>
    <row r="13806" customFormat="1" ht="17.25" customHeight="1"/>
    <row r="13807" customFormat="1" ht="17.25" customHeight="1"/>
    <row r="13808" customFormat="1" ht="17.25" customHeight="1"/>
    <row r="13809" customFormat="1" ht="17.25" customHeight="1"/>
    <row r="13810" customFormat="1" ht="17.25" customHeight="1"/>
    <row r="13811" customFormat="1" ht="17.25" customHeight="1"/>
    <row r="13812" customFormat="1" ht="17.25" customHeight="1"/>
    <row r="13813" customFormat="1" ht="17.25" customHeight="1"/>
    <row r="13814" customFormat="1" ht="17.25" customHeight="1"/>
    <row r="13815" customFormat="1" ht="17.25" customHeight="1"/>
    <row r="13816" customFormat="1" ht="17.25" customHeight="1"/>
    <row r="13817" customFormat="1" ht="17.25" customHeight="1"/>
    <row r="13818" customFormat="1" ht="17.25" customHeight="1"/>
    <row r="13819" customFormat="1" ht="17.25" customHeight="1"/>
    <row r="13820" customFormat="1" ht="17.25" customHeight="1"/>
    <row r="13821" customFormat="1" ht="17.25" customHeight="1"/>
    <row r="13822" customFormat="1" ht="17.25" customHeight="1"/>
    <row r="13823" customFormat="1" ht="17.25" customHeight="1"/>
    <row r="13824" customFormat="1" ht="17.25" customHeight="1"/>
    <row r="13825" customFormat="1" ht="17.25" customHeight="1"/>
    <row r="13826" customFormat="1" ht="17.25" customHeight="1"/>
    <row r="13827" customFormat="1" ht="17.25" customHeight="1"/>
    <row r="13828" customFormat="1" ht="17.25" customHeight="1"/>
    <row r="13829" customFormat="1" ht="17.25" customHeight="1"/>
    <row r="13830" customFormat="1" ht="17.25" customHeight="1"/>
    <row r="13831" customFormat="1" ht="17.25" customHeight="1"/>
    <row r="13832" customFormat="1" ht="17.25" customHeight="1"/>
    <row r="13833" customFormat="1" ht="17.25" customHeight="1"/>
    <row r="13834" customFormat="1" ht="17.25" customHeight="1"/>
    <row r="13835" customFormat="1" ht="17.25" customHeight="1"/>
    <row r="13836" customFormat="1" ht="17.25" customHeight="1"/>
    <row r="13837" customFormat="1" ht="17.25" customHeight="1"/>
    <row r="13838" customFormat="1" ht="17.25" customHeight="1"/>
    <row r="13839" customFormat="1" ht="17.25" customHeight="1"/>
    <row r="13840" customFormat="1" ht="17.25" customHeight="1"/>
    <row r="13841" customFormat="1" ht="17.25" customHeight="1"/>
    <row r="13842" customFormat="1" ht="17.25" customHeight="1"/>
    <row r="13843" customFormat="1" ht="17.25" customHeight="1"/>
    <row r="13844" customFormat="1" ht="17.25" customHeight="1"/>
    <row r="13845" customFormat="1" ht="17.25" customHeight="1"/>
    <row r="13846" customFormat="1" ht="17.25" customHeight="1"/>
    <row r="13847" customFormat="1" ht="17.25" customHeight="1"/>
    <row r="13848" customFormat="1" ht="17.25" customHeight="1"/>
    <row r="13849" customFormat="1" ht="17.25" customHeight="1"/>
    <row r="13850" customFormat="1" ht="17.25" customHeight="1"/>
    <row r="13851" customFormat="1" ht="17.25" customHeight="1"/>
    <row r="13852" customFormat="1" ht="17.25" customHeight="1"/>
    <row r="13853" customFormat="1" ht="17.25" customHeight="1"/>
    <row r="13854" customFormat="1" ht="17.25" customHeight="1"/>
    <row r="13855" customFormat="1" ht="17.25" customHeight="1"/>
    <row r="13856" customFormat="1" ht="17.25" customHeight="1"/>
    <row r="13857" customFormat="1" ht="17.25" customHeight="1"/>
    <row r="13858" customFormat="1" ht="17.25" customHeight="1"/>
    <row r="13859" customFormat="1" ht="17.25" customHeight="1"/>
    <row r="13860" customFormat="1" ht="17.25" customHeight="1"/>
    <row r="13861" customFormat="1" ht="17.25" customHeight="1"/>
    <row r="13862" customFormat="1" ht="17.25" customHeight="1"/>
    <row r="13863" customFormat="1" ht="17.25" customHeight="1"/>
    <row r="13864" customFormat="1" ht="17.25" customHeight="1"/>
    <row r="13865" customFormat="1" ht="17.25" customHeight="1"/>
    <row r="13866" customFormat="1" ht="17.25" customHeight="1"/>
    <row r="13867" customFormat="1" ht="17.25" customHeight="1"/>
    <row r="13868" customFormat="1" ht="17.25" customHeight="1"/>
    <row r="13869" customFormat="1" ht="17.25" customHeight="1"/>
    <row r="13870" customFormat="1" ht="17.25" customHeight="1"/>
    <row r="13871" customFormat="1" ht="17.25" customHeight="1"/>
    <row r="13872" customFormat="1" ht="17.25" customHeight="1"/>
    <row r="13873" customFormat="1" ht="17.25" customHeight="1"/>
    <row r="13874" customFormat="1" ht="17.25" customHeight="1"/>
    <row r="13875" customFormat="1" ht="17.25" customHeight="1"/>
    <row r="13876" customFormat="1" ht="17.25" customHeight="1"/>
    <row r="13877" customFormat="1" ht="17.25" customHeight="1"/>
    <row r="13878" customFormat="1" ht="17.25" customHeight="1"/>
    <row r="13879" customFormat="1" ht="17.25" customHeight="1"/>
    <row r="13880" customFormat="1" ht="17.25" customHeight="1"/>
    <row r="13881" customFormat="1" ht="17.25" customHeight="1"/>
    <row r="13882" customFormat="1" ht="17.25" customHeight="1"/>
    <row r="13883" customFormat="1" ht="17.25" customHeight="1"/>
    <row r="13884" customFormat="1" ht="17.25" customHeight="1"/>
    <row r="13885" customFormat="1" ht="17.25" customHeight="1"/>
    <row r="13886" customFormat="1" ht="17.25" customHeight="1"/>
    <row r="13887" customFormat="1" ht="17.25" customHeight="1"/>
    <row r="13888" customFormat="1" ht="17.25" customHeight="1"/>
    <row r="13889" customFormat="1" ht="17.25" customHeight="1"/>
    <row r="13890" customFormat="1" ht="17.25" customHeight="1"/>
    <row r="13891" customFormat="1" ht="17.25" customHeight="1"/>
    <row r="13892" customFormat="1" ht="17.25" customHeight="1"/>
    <row r="13893" customFormat="1" ht="17.25" customHeight="1"/>
    <row r="13894" customFormat="1" ht="17.25" customHeight="1"/>
    <row r="13895" customFormat="1" ht="17.25" customHeight="1"/>
    <row r="13896" customFormat="1" ht="17.25" customHeight="1"/>
    <row r="13897" customFormat="1" ht="17.25" customHeight="1"/>
    <row r="13898" customFormat="1" ht="17.25" customHeight="1"/>
    <row r="13899" customFormat="1" ht="17.25" customHeight="1"/>
    <row r="13900" customFormat="1" ht="17.25" customHeight="1"/>
    <row r="13901" customFormat="1" ht="17.25" customHeight="1"/>
    <row r="13902" customFormat="1" ht="17.25" customHeight="1"/>
    <row r="13903" customFormat="1" ht="17.25" customHeight="1"/>
    <row r="13904" customFormat="1" ht="17.25" customHeight="1"/>
    <row r="13905" customFormat="1" ht="17.25" customHeight="1"/>
    <row r="13906" customFormat="1" ht="17.25" customHeight="1"/>
    <row r="13907" customFormat="1" ht="17.25" customHeight="1"/>
    <row r="13908" customFormat="1" ht="17.25" customHeight="1"/>
    <row r="13909" customFormat="1" ht="17.25" customHeight="1"/>
    <row r="13910" customFormat="1" ht="17.25" customHeight="1"/>
    <row r="13911" customFormat="1" ht="17.25" customHeight="1"/>
    <row r="13912" customFormat="1" ht="17.25" customHeight="1"/>
    <row r="13913" customFormat="1" ht="17.25" customHeight="1"/>
    <row r="13914" customFormat="1" ht="17.25" customHeight="1"/>
    <row r="13915" customFormat="1" ht="17.25" customHeight="1"/>
    <row r="13916" customFormat="1" ht="17.25" customHeight="1"/>
    <row r="13917" customFormat="1" ht="17.25" customHeight="1"/>
    <row r="13918" customFormat="1" ht="17.25" customHeight="1"/>
    <row r="13919" customFormat="1" ht="17.25" customHeight="1"/>
    <row r="13920" customFormat="1" ht="17.25" customHeight="1"/>
    <row r="13921" customFormat="1" ht="17.25" customHeight="1"/>
    <row r="13922" customFormat="1" ht="17.25" customHeight="1"/>
    <row r="13923" customFormat="1" ht="17.25" customHeight="1"/>
    <row r="13924" customFormat="1" ht="17.25" customHeight="1"/>
    <row r="13925" customFormat="1" ht="17.25" customHeight="1"/>
    <row r="13926" customFormat="1" ht="17.25" customHeight="1"/>
    <row r="13927" customFormat="1" ht="17.25" customHeight="1"/>
    <row r="13928" customFormat="1" ht="17.25" customHeight="1"/>
    <row r="13929" customFormat="1" ht="17.25" customHeight="1"/>
    <row r="13930" customFormat="1" ht="17.25" customHeight="1"/>
    <row r="13931" customFormat="1" ht="17.25" customHeight="1"/>
    <row r="13932" customFormat="1" ht="17.25" customHeight="1"/>
    <row r="13933" customFormat="1" ht="17.25" customHeight="1"/>
    <row r="13934" customFormat="1" ht="17.25" customHeight="1"/>
    <row r="13935" customFormat="1" ht="17.25" customHeight="1"/>
    <row r="13936" customFormat="1" ht="17.25" customHeight="1"/>
    <row r="13937" customFormat="1" ht="17.25" customHeight="1"/>
    <row r="13938" customFormat="1" ht="17.25" customHeight="1"/>
    <row r="13939" customFormat="1" ht="17.25" customHeight="1"/>
    <row r="13940" customFormat="1" ht="17.25" customHeight="1"/>
    <row r="13941" customFormat="1" ht="17.25" customHeight="1"/>
    <row r="13942" customFormat="1" ht="17.25" customHeight="1"/>
    <row r="13943" customFormat="1" ht="17.25" customHeight="1"/>
    <row r="13944" customFormat="1" ht="17.25" customHeight="1"/>
    <row r="13945" customFormat="1" ht="17.25" customHeight="1"/>
    <row r="13946" customFormat="1" ht="17.25" customHeight="1"/>
    <row r="13947" customFormat="1" ht="17.25" customHeight="1"/>
    <row r="13948" customFormat="1" ht="17.25" customHeight="1"/>
    <row r="13949" customFormat="1" ht="17.25" customHeight="1"/>
    <row r="13950" customFormat="1" ht="17.25" customHeight="1"/>
    <row r="13951" customFormat="1" ht="17.25" customHeight="1"/>
    <row r="13952" customFormat="1" ht="17.25" customHeight="1"/>
    <row r="13953" customFormat="1" ht="17.25" customHeight="1"/>
    <row r="13954" customFormat="1" ht="17.25" customHeight="1"/>
    <row r="13955" customFormat="1" ht="17.25" customHeight="1"/>
    <row r="13956" customFormat="1" ht="17.25" customHeight="1"/>
    <row r="13957" customFormat="1" ht="17.25" customHeight="1"/>
    <row r="13958" customFormat="1" ht="17.25" customHeight="1"/>
    <row r="13959" customFormat="1" ht="17.25" customHeight="1"/>
    <row r="13960" customFormat="1" ht="17.25" customHeight="1"/>
    <row r="13961" customFormat="1" ht="17.25" customHeight="1"/>
    <row r="13962" customFormat="1" ht="17.25" customHeight="1"/>
    <row r="13963" customFormat="1" ht="17.25" customHeight="1"/>
    <row r="13964" customFormat="1" ht="17.25" customHeight="1"/>
    <row r="13965" customFormat="1" ht="17.25" customHeight="1"/>
    <row r="13966" customFormat="1" ht="17.25" customHeight="1"/>
    <row r="13967" customFormat="1" ht="17.25" customHeight="1"/>
    <row r="13968" customFormat="1" ht="17.25" customHeight="1"/>
    <row r="13969" customFormat="1" ht="17.25" customHeight="1"/>
    <row r="13970" customFormat="1" ht="17.25" customHeight="1"/>
    <row r="13971" customFormat="1" ht="17.25" customHeight="1"/>
    <row r="13972" customFormat="1" ht="17.25" customHeight="1"/>
    <row r="13973" customFormat="1" ht="17.25" customHeight="1"/>
    <row r="13974" customFormat="1" ht="17.25" customHeight="1"/>
    <row r="13975" customFormat="1" ht="17.25" customHeight="1"/>
    <row r="13976" customFormat="1" ht="17.25" customHeight="1"/>
    <row r="13977" customFormat="1" ht="17.25" customHeight="1"/>
    <row r="13978" customFormat="1" ht="17.25" customHeight="1"/>
    <row r="13979" customFormat="1" ht="17.25" customHeight="1"/>
    <row r="13980" customFormat="1" ht="17.25" customHeight="1"/>
    <row r="13981" customFormat="1" ht="17.25" customHeight="1"/>
    <row r="13982" customFormat="1" ht="17.25" customHeight="1"/>
    <row r="13983" customFormat="1" ht="17.25" customHeight="1"/>
    <row r="13984" customFormat="1" ht="17.25" customHeight="1"/>
    <row r="13985" customFormat="1" ht="17.25" customHeight="1"/>
    <row r="13986" customFormat="1" ht="17.25" customHeight="1"/>
    <row r="13987" customFormat="1" ht="17.25" customHeight="1"/>
    <row r="13988" customFormat="1" ht="17.25" customHeight="1"/>
    <row r="13989" customFormat="1" ht="17.25" customHeight="1"/>
    <row r="13990" customFormat="1" ht="17.25" customHeight="1"/>
    <row r="13991" customFormat="1" ht="17.25" customHeight="1"/>
    <row r="13992" customFormat="1" ht="17.25" customHeight="1"/>
    <row r="13993" customFormat="1" ht="17.25" customHeight="1"/>
    <row r="13994" customFormat="1" ht="17.25" customHeight="1"/>
    <row r="13995" customFormat="1" ht="17.25" customHeight="1"/>
    <row r="13996" customFormat="1" ht="17.25" customHeight="1"/>
    <row r="13997" customFormat="1" ht="17.25" customHeight="1"/>
    <row r="13998" customFormat="1" ht="17.25" customHeight="1"/>
    <row r="13999" customFormat="1" ht="17.25" customHeight="1"/>
    <row r="14000" customFormat="1" ht="17.25" customHeight="1"/>
    <row r="14001" customFormat="1" ht="17.25" customHeight="1"/>
    <row r="14002" customFormat="1" ht="17.25" customHeight="1"/>
    <row r="14003" customFormat="1" ht="17.25" customHeight="1"/>
    <row r="14004" customFormat="1" ht="17.25" customHeight="1"/>
    <row r="14005" customFormat="1" ht="17.25" customHeight="1"/>
    <row r="14006" customFormat="1" ht="17.25" customHeight="1"/>
    <row r="14007" customFormat="1" ht="17.25" customHeight="1"/>
    <row r="14008" customFormat="1" ht="17.25" customHeight="1"/>
    <row r="14009" customFormat="1" ht="17.25" customHeight="1"/>
    <row r="14010" customFormat="1" ht="17.25" customHeight="1"/>
    <row r="14011" customFormat="1" ht="17.25" customHeight="1"/>
    <row r="14012" customFormat="1" ht="17.25" customHeight="1"/>
    <row r="14013" customFormat="1" ht="17.25" customHeight="1"/>
    <row r="14014" customFormat="1" ht="17.25" customHeight="1"/>
    <row r="14015" customFormat="1" ht="17.25" customHeight="1"/>
    <row r="14016" customFormat="1" ht="17.25" customHeight="1"/>
    <row r="14017" customFormat="1" ht="17.25" customHeight="1"/>
    <row r="14018" customFormat="1" ht="17.25" customHeight="1"/>
    <row r="14019" customFormat="1" ht="17.25" customHeight="1"/>
    <row r="14020" customFormat="1" ht="17.25" customHeight="1"/>
    <row r="14021" customFormat="1" ht="17.25" customHeight="1"/>
    <row r="14022" customFormat="1" ht="17.25" customHeight="1"/>
    <row r="14023" customFormat="1" ht="17.25" customHeight="1"/>
    <row r="14024" customFormat="1" ht="17.25" customHeight="1"/>
    <row r="14025" customFormat="1" ht="17.25" customHeight="1"/>
    <row r="14026" customFormat="1" ht="17.25" customHeight="1"/>
    <row r="14027" customFormat="1" ht="17.25" customHeight="1"/>
    <row r="14028" customFormat="1" ht="17.25" customHeight="1"/>
    <row r="14029" customFormat="1" ht="17.25" customHeight="1"/>
    <row r="14030" customFormat="1" ht="17.25" customHeight="1"/>
    <row r="14031" customFormat="1" ht="17.25" customHeight="1"/>
    <row r="14032" customFormat="1" ht="17.25" customHeight="1"/>
    <row r="14033" customFormat="1" ht="17.25" customHeight="1"/>
    <row r="14034" customFormat="1" ht="17.25" customHeight="1"/>
    <row r="14035" customFormat="1" ht="17.25" customHeight="1"/>
    <row r="14036" customFormat="1" ht="17.25" customHeight="1"/>
    <row r="14037" customFormat="1" ht="17.25" customHeight="1"/>
    <row r="14038" customFormat="1" ht="17.25" customHeight="1"/>
    <row r="14039" customFormat="1" ht="17.25" customHeight="1"/>
    <row r="14040" customFormat="1" ht="17.25" customHeight="1"/>
    <row r="14041" customFormat="1" ht="17.25" customHeight="1"/>
    <row r="14042" customFormat="1" ht="17.25" customHeight="1"/>
    <row r="14043" customFormat="1" ht="17.25" customHeight="1"/>
    <row r="14044" customFormat="1" ht="17.25" customHeight="1"/>
    <row r="14045" customFormat="1" ht="17.25" customHeight="1"/>
    <row r="14046" customFormat="1" ht="17.25" customHeight="1"/>
    <row r="14047" customFormat="1" ht="17.25" customHeight="1"/>
    <row r="14048" customFormat="1" ht="17.25" customHeight="1"/>
    <row r="14049" customFormat="1" ht="17.25" customHeight="1"/>
    <row r="14050" customFormat="1" ht="17.25" customHeight="1"/>
    <row r="14051" customFormat="1" ht="17.25" customHeight="1"/>
    <row r="14052" customFormat="1" ht="17.25" customHeight="1"/>
    <row r="14053" customFormat="1" ht="17.25" customHeight="1"/>
    <row r="14054" customFormat="1" ht="17.25" customHeight="1"/>
    <row r="14055" customFormat="1" ht="17.25" customHeight="1"/>
    <row r="14056" customFormat="1" ht="17.25" customHeight="1"/>
    <row r="14057" customFormat="1" ht="17.25" customHeight="1"/>
    <row r="14058" customFormat="1" ht="17.25" customHeight="1"/>
    <row r="14059" customFormat="1" ht="17.25" customHeight="1"/>
    <row r="14060" customFormat="1" ht="17.25" customHeight="1"/>
    <row r="14061" customFormat="1" ht="17.25" customHeight="1"/>
    <row r="14062" customFormat="1" ht="17.25" customHeight="1"/>
    <row r="14063" customFormat="1" ht="17.25" customHeight="1"/>
    <row r="14064" customFormat="1" ht="17.25" customHeight="1"/>
    <row r="14065" customFormat="1" ht="17.25" customHeight="1"/>
    <row r="14066" customFormat="1" ht="17.25" customHeight="1"/>
    <row r="14067" customFormat="1" ht="17.25" customHeight="1"/>
    <row r="14068" customFormat="1" ht="17.25" customHeight="1"/>
    <row r="14069" customFormat="1" ht="17.25" customHeight="1"/>
    <row r="14070" customFormat="1" ht="17.25" customHeight="1"/>
    <row r="14071" customFormat="1" ht="17.25" customHeight="1"/>
    <row r="14072" customFormat="1" ht="17.25" customHeight="1"/>
    <row r="14073" customFormat="1" ht="17.25" customHeight="1"/>
    <row r="14074" customFormat="1" ht="17.25" customHeight="1"/>
    <row r="14075" customFormat="1" ht="17.25" customHeight="1"/>
    <row r="14076" customFormat="1" ht="17.25" customHeight="1"/>
    <row r="14077" customFormat="1" ht="17.25" customHeight="1"/>
    <row r="14078" customFormat="1" ht="17.25" customHeight="1"/>
    <row r="14079" customFormat="1" ht="17.25" customHeight="1"/>
    <row r="14080" customFormat="1" ht="17.25" customHeight="1"/>
    <row r="14081" customFormat="1" ht="17.25" customHeight="1"/>
    <row r="14082" customFormat="1" ht="17.25" customHeight="1"/>
    <row r="14083" customFormat="1" ht="17.25" customHeight="1"/>
    <row r="14084" customFormat="1" ht="17.25" customHeight="1"/>
    <row r="14085" customFormat="1" ht="17.25" customHeight="1"/>
    <row r="14086" customFormat="1" ht="17.25" customHeight="1"/>
    <row r="14087" customFormat="1" ht="17.25" customHeight="1"/>
    <row r="14088" customFormat="1" ht="17.25" customHeight="1"/>
    <row r="14089" customFormat="1" ht="17.25" customHeight="1"/>
    <row r="14090" customFormat="1" ht="17.25" customHeight="1"/>
    <row r="14091" customFormat="1" ht="17.25" customHeight="1"/>
    <row r="14092" customFormat="1" ht="17.25" customHeight="1"/>
    <row r="14093" customFormat="1" ht="17.25" customHeight="1"/>
    <row r="14094" customFormat="1" ht="17.25" customHeight="1"/>
    <row r="14095" customFormat="1" ht="17.25" customHeight="1"/>
    <row r="14096" customFormat="1" ht="17.25" customHeight="1"/>
    <row r="14097" customFormat="1" ht="17.25" customHeight="1"/>
    <row r="14098" customFormat="1" ht="17.25" customHeight="1"/>
    <row r="14099" customFormat="1" ht="17.25" customHeight="1"/>
    <row r="14100" customFormat="1" ht="17.25" customHeight="1"/>
    <row r="14101" customFormat="1" ht="17.25" customHeight="1"/>
    <row r="14102" customFormat="1" ht="17.25" customHeight="1"/>
    <row r="14103" customFormat="1" ht="17.25" customHeight="1"/>
    <row r="14104" customFormat="1" ht="17.25" customHeight="1"/>
    <row r="14105" customFormat="1" ht="17.25" customHeight="1"/>
    <row r="14106" customFormat="1" ht="17.25" customHeight="1"/>
    <row r="14107" customFormat="1" ht="17.25" customHeight="1"/>
    <row r="14108" customFormat="1" ht="17.25" customHeight="1"/>
    <row r="14109" customFormat="1" ht="17.25" customHeight="1"/>
    <row r="14110" customFormat="1" ht="17.25" customHeight="1"/>
    <row r="14111" customFormat="1" ht="17.25" customHeight="1"/>
    <row r="14112" customFormat="1" ht="17.25" customHeight="1"/>
    <row r="14113" customFormat="1" ht="17.25" customHeight="1"/>
    <row r="14114" customFormat="1" ht="17.25" customHeight="1"/>
    <row r="14115" customFormat="1" ht="17.25" customHeight="1"/>
    <row r="14116" customFormat="1" ht="17.25" customHeight="1"/>
    <row r="14117" customFormat="1" ht="17.25" customHeight="1"/>
    <row r="14118" customFormat="1" ht="17.25" customHeight="1"/>
    <row r="14119" customFormat="1" ht="17.25" customHeight="1"/>
    <row r="14120" customFormat="1" ht="17.25" customHeight="1"/>
    <row r="14121" customFormat="1" ht="17.25" customHeight="1"/>
    <row r="14122" customFormat="1" ht="17.25" customHeight="1"/>
    <row r="14123" customFormat="1" ht="17.25" customHeight="1"/>
    <row r="14124" customFormat="1" ht="17.25" customHeight="1"/>
    <row r="14125" customFormat="1" ht="17.25" customHeight="1"/>
    <row r="14126" customFormat="1" ht="17.25" customHeight="1"/>
    <row r="14127" customFormat="1" ht="17.25" customHeight="1"/>
    <row r="14128" customFormat="1" ht="17.25" customHeight="1"/>
    <row r="14129" customFormat="1" ht="17.25" customHeight="1"/>
    <row r="14130" customFormat="1" ht="17.25" customHeight="1"/>
    <row r="14131" customFormat="1" ht="17.25" customHeight="1"/>
    <row r="14132" customFormat="1" ht="17.25" customHeight="1"/>
    <row r="14133" customFormat="1" ht="17.25" customHeight="1"/>
    <row r="14134" customFormat="1" ht="17.25" customHeight="1"/>
    <row r="14135" customFormat="1" ht="17.25" customHeight="1"/>
    <row r="14136" customFormat="1" ht="17.25" customHeight="1"/>
    <row r="14137" customFormat="1" ht="17.25" customHeight="1"/>
    <row r="14138" customFormat="1" ht="17.25" customHeight="1"/>
    <row r="14139" customFormat="1" ht="17.25" customHeight="1"/>
    <row r="14140" customFormat="1" ht="17.25" customHeight="1"/>
    <row r="14141" customFormat="1" ht="17.25" customHeight="1"/>
    <row r="14142" customFormat="1" ht="17.25" customHeight="1"/>
    <row r="14143" customFormat="1" ht="17.25" customHeight="1"/>
    <row r="14144" customFormat="1" ht="17.25" customHeight="1"/>
    <row r="14145" customFormat="1" ht="17.25" customHeight="1"/>
    <row r="14146" customFormat="1" ht="17.25" customHeight="1"/>
    <row r="14147" customFormat="1" ht="17.25" customHeight="1"/>
    <row r="14148" customFormat="1" ht="17.25" customHeight="1"/>
    <row r="14149" customFormat="1" ht="17.25" customHeight="1"/>
    <row r="14150" customFormat="1" ht="17.25" customHeight="1"/>
    <row r="14151" customFormat="1" ht="17.25" customHeight="1"/>
    <row r="14152" customFormat="1" ht="17.25" customHeight="1"/>
    <row r="14153" customFormat="1" ht="17.25" customHeight="1"/>
    <row r="14154" customFormat="1" ht="17.25" customHeight="1"/>
    <row r="14155" customFormat="1" ht="17.25" customHeight="1"/>
    <row r="14156" customFormat="1" ht="17.25" customHeight="1"/>
    <row r="14157" customFormat="1" ht="17.25" customHeight="1"/>
    <row r="14158" customFormat="1" ht="17.25" customHeight="1"/>
    <row r="14159" customFormat="1" ht="17.25" customHeight="1"/>
    <row r="14160" customFormat="1" ht="17.25" customHeight="1"/>
    <row r="14161" customFormat="1" ht="17.25" customHeight="1"/>
    <row r="14162" customFormat="1" ht="17.25" customHeight="1"/>
    <row r="14163" customFormat="1" ht="17.25" customHeight="1"/>
    <row r="14164" customFormat="1" ht="17.25" customHeight="1"/>
    <row r="14165" customFormat="1" ht="17.25" customHeight="1"/>
    <row r="14166" customFormat="1" ht="17.25" customHeight="1"/>
    <row r="14167" customFormat="1" ht="17.25" customHeight="1"/>
    <row r="14168" customFormat="1" ht="17.25" customHeight="1"/>
    <row r="14169" customFormat="1" ht="17.25" customHeight="1"/>
    <row r="14170" customFormat="1" ht="17.25" customHeight="1"/>
    <row r="14171" customFormat="1" ht="17.25" customHeight="1"/>
    <row r="14172" customFormat="1" ht="17.25" customHeight="1"/>
    <row r="14173" customFormat="1" ht="17.25" customHeight="1"/>
    <row r="14174" customFormat="1" ht="17.25" customHeight="1"/>
    <row r="14175" customFormat="1" ht="17.25" customHeight="1"/>
    <row r="14176" customFormat="1" ht="17.25" customHeight="1"/>
    <row r="14177" customFormat="1" ht="17.25" customHeight="1"/>
    <row r="14178" customFormat="1" ht="17.25" customHeight="1"/>
    <row r="14179" customFormat="1" ht="17.25" customHeight="1"/>
    <row r="14180" customFormat="1" ht="17.25" customHeight="1"/>
    <row r="14181" customFormat="1" ht="17.25" customHeight="1"/>
    <row r="14182" customFormat="1" ht="17.25" customHeight="1"/>
    <row r="14183" customFormat="1" ht="17.25" customHeight="1"/>
    <row r="14184" customFormat="1" ht="17.25" customHeight="1"/>
    <row r="14185" customFormat="1" ht="17.25" customHeight="1"/>
    <row r="14186" customFormat="1" ht="17.25" customHeight="1"/>
    <row r="14187" customFormat="1" ht="17.25" customHeight="1"/>
    <row r="14188" customFormat="1" ht="17.25" customHeight="1"/>
    <row r="14189" customFormat="1" ht="17.25" customHeight="1"/>
    <row r="14190" customFormat="1" ht="17.25" customHeight="1"/>
    <row r="14191" customFormat="1" ht="17.25" customHeight="1"/>
    <row r="14192" customFormat="1" ht="17.25" customHeight="1"/>
    <row r="14193" customFormat="1" ht="17.25" customHeight="1"/>
    <row r="14194" customFormat="1" ht="17.25" customHeight="1"/>
    <row r="14195" customFormat="1" ht="17.25" customHeight="1"/>
    <row r="14196" customFormat="1" ht="17.25" customHeight="1"/>
    <row r="14197" customFormat="1" ht="17.25" customHeight="1"/>
    <row r="14198" customFormat="1" ht="17.25" customHeight="1"/>
    <row r="14199" customFormat="1" ht="17.25" customHeight="1"/>
    <row r="14200" customFormat="1" ht="17.25" customHeight="1"/>
    <row r="14201" customFormat="1" ht="17.25" customHeight="1"/>
    <row r="14202" customFormat="1" ht="17.25" customHeight="1"/>
    <row r="14203" customFormat="1" ht="17.25" customHeight="1"/>
    <row r="14204" customFormat="1" ht="17.25" customHeight="1"/>
    <row r="14205" customFormat="1" ht="17.25" customHeight="1"/>
    <row r="14206" customFormat="1" ht="17.25" customHeight="1"/>
    <row r="14207" customFormat="1" ht="17.25" customHeight="1"/>
    <row r="14208" customFormat="1" ht="17.25" customHeight="1"/>
    <row r="14209" customFormat="1" ht="17.25" customHeight="1"/>
    <row r="14210" customFormat="1" ht="17.25" customHeight="1"/>
    <row r="14211" customFormat="1" ht="17.25" customHeight="1"/>
    <row r="14212" customFormat="1" ht="17.25" customHeight="1"/>
    <row r="14213" customFormat="1" ht="17.25" customHeight="1"/>
    <row r="14214" customFormat="1" ht="17.25" customHeight="1"/>
    <row r="14215" customFormat="1" ht="17.25" customHeight="1"/>
    <row r="14216" customFormat="1" ht="17.25" customHeight="1"/>
    <row r="14217" customFormat="1" ht="17.25" customHeight="1"/>
    <row r="14218" customFormat="1" ht="17.25" customHeight="1"/>
    <row r="14219" customFormat="1" ht="17.25" customHeight="1"/>
    <row r="14220" customFormat="1" ht="17.25" customHeight="1"/>
    <row r="14221" customFormat="1" ht="17.25" customHeight="1"/>
    <row r="14222" customFormat="1" ht="17.25" customHeight="1"/>
    <row r="14223" customFormat="1" ht="17.25" customHeight="1"/>
    <row r="14224" customFormat="1" ht="17.25" customHeight="1"/>
    <row r="14225" customFormat="1" ht="17.25" customHeight="1"/>
    <row r="14226" customFormat="1" ht="17.25" customHeight="1"/>
    <row r="14227" customFormat="1" ht="17.25" customHeight="1"/>
    <row r="14228" customFormat="1" ht="17.25" customHeight="1"/>
    <row r="14229" customFormat="1" ht="17.25" customHeight="1"/>
    <row r="14230" customFormat="1" ht="17.25" customHeight="1"/>
    <row r="14231" customFormat="1" ht="17.25" customHeight="1"/>
    <row r="14232" customFormat="1" ht="17.25" customHeight="1"/>
    <row r="14233" customFormat="1" ht="17.25" customHeight="1"/>
    <row r="14234" customFormat="1" ht="17.25" customHeight="1"/>
    <row r="14235" customFormat="1" ht="17.25" customHeight="1"/>
    <row r="14236" customFormat="1" ht="17.25" customHeight="1"/>
    <row r="14237" customFormat="1" ht="17.25" customHeight="1"/>
    <row r="14238" customFormat="1" ht="17.25" customHeight="1"/>
    <row r="14239" customFormat="1" ht="17.25" customHeight="1"/>
    <row r="14240" customFormat="1" ht="17.25" customHeight="1"/>
    <row r="14241" customFormat="1" ht="17.25" customHeight="1"/>
    <row r="14242" customFormat="1" ht="17.25" customHeight="1"/>
    <row r="14243" customFormat="1" ht="17.25" customHeight="1"/>
    <row r="14244" customFormat="1" ht="17.25" customHeight="1"/>
    <row r="14245" customFormat="1" ht="17.25" customHeight="1"/>
    <row r="14246" customFormat="1" ht="17.25" customHeight="1"/>
    <row r="14247" customFormat="1" ht="17.25" customHeight="1"/>
    <row r="14248" customFormat="1" ht="17.25" customHeight="1"/>
    <row r="14249" customFormat="1" ht="17.25" customHeight="1"/>
    <row r="14250" customFormat="1" ht="17.25" customHeight="1"/>
    <row r="14251" customFormat="1" ht="17.25" customHeight="1"/>
    <row r="14252" customFormat="1" ht="17.25" customHeight="1"/>
    <row r="14253" customFormat="1" ht="17.25" customHeight="1"/>
    <row r="14254" customFormat="1" ht="17.25" customHeight="1"/>
    <row r="14255" customFormat="1" ht="17.25" customHeight="1"/>
    <row r="14256" customFormat="1" ht="17.25" customHeight="1"/>
    <row r="14257" customFormat="1" ht="17.25" customHeight="1"/>
    <row r="14258" customFormat="1" ht="17.25" customHeight="1"/>
    <row r="14259" customFormat="1" ht="17.25" customHeight="1"/>
    <row r="14260" customFormat="1" ht="17.25" customHeight="1"/>
    <row r="14261" customFormat="1" ht="17.25" customHeight="1"/>
    <row r="14262" customFormat="1" ht="17.25" customHeight="1"/>
    <row r="14263" customFormat="1" ht="17.25" customHeight="1"/>
    <row r="14264" customFormat="1" ht="17.25" customHeight="1"/>
    <row r="14265" customFormat="1" ht="17.25" customHeight="1"/>
    <row r="14266" customFormat="1" ht="17.25" customHeight="1"/>
    <row r="14267" customFormat="1" ht="17.25" customHeight="1"/>
    <row r="14268" customFormat="1" ht="17.25" customHeight="1"/>
    <row r="14269" customFormat="1" ht="17.25" customHeight="1"/>
    <row r="14270" customFormat="1" ht="17.25" customHeight="1"/>
    <row r="14271" customFormat="1" ht="17.25" customHeight="1"/>
    <row r="14272" customFormat="1" ht="17.25" customHeight="1"/>
    <row r="14273" customFormat="1" ht="17.25" customHeight="1"/>
    <row r="14274" customFormat="1" ht="17.25" customHeight="1"/>
    <row r="14275" customFormat="1" ht="17.25" customHeight="1"/>
    <row r="14276" customFormat="1" ht="17.25" customHeight="1"/>
    <row r="14277" customFormat="1" ht="17.25" customHeight="1"/>
    <row r="14278" customFormat="1" ht="17.25" customHeight="1"/>
    <row r="14279" customFormat="1" ht="17.25" customHeight="1"/>
    <row r="14280" customFormat="1" ht="17.25" customHeight="1"/>
    <row r="14281" customFormat="1" ht="17.25" customHeight="1"/>
    <row r="14282" customFormat="1" ht="17.25" customHeight="1"/>
    <row r="14283" customFormat="1" ht="17.25" customHeight="1"/>
    <row r="14284" customFormat="1" ht="17.25" customHeight="1"/>
    <row r="14285" customFormat="1" ht="17.25" customHeight="1"/>
    <row r="14286" customFormat="1" ht="17.25" customHeight="1"/>
    <row r="14287" customFormat="1" ht="17.25" customHeight="1"/>
    <row r="14288" customFormat="1" ht="17.25" customHeight="1"/>
    <row r="14289" customFormat="1" ht="17.25" customHeight="1"/>
    <row r="14290" customFormat="1" ht="17.25" customHeight="1"/>
    <row r="14291" customFormat="1" ht="17.25" customHeight="1"/>
    <row r="14292" customFormat="1" ht="17.25" customHeight="1"/>
    <row r="14293" customFormat="1" ht="17.25" customHeight="1"/>
    <row r="14294" customFormat="1" ht="17.25" customHeight="1"/>
    <row r="14295" customFormat="1" ht="17.25" customHeight="1"/>
    <row r="14296" customFormat="1" ht="17.25" customHeight="1"/>
    <row r="14297" customFormat="1" ht="17.25" customHeight="1"/>
    <row r="14298" customFormat="1" ht="17.25" customHeight="1"/>
    <row r="14299" customFormat="1" ht="17.25" customHeight="1"/>
    <row r="14300" customFormat="1" ht="17.25" customHeight="1"/>
    <row r="14301" customFormat="1" ht="17.25" customHeight="1"/>
    <row r="14302" customFormat="1" ht="17.25" customHeight="1"/>
    <row r="14303" customFormat="1" ht="17.25" customHeight="1"/>
    <row r="14304" customFormat="1" ht="17.25" customHeight="1"/>
    <row r="14305" customFormat="1" ht="17.25" customHeight="1"/>
    <row r="14306" customFormat="1" ht="17.25" customHeight="1"/>
    <row r="14307" customFormat="1" ht="17.25" customHeight="1"/>
    <row r="14308" customFormat="1" ht="17.25" customHeight="1"/>
    <row r="14309" customFormat="1" ht="17.25" customHeight="1"/>
    <row r="14310" customFormat="1" ht="17.25" customHeight="1"/>
    <row r="14311" customFormat="1" ht="17.25" customHeight="1"/>
    <row r="14312" customFormat="1" ht="17.25" customHeight="1"/>
    <row r="14313" customFormat="1" ht="17.25" customHeight="1"/>
    <row r="14314" customFormat="1" ht="17.25" customHeight="1"/>
    <row r="14315" customFormat="1" ht="17.25" customHeight="1"/>
    <row r="14316" customFormat="1" ht="17.25" customHeight="1"/>
    <row r="14317" customFormat="1" ht="17.25" customHeight="1"/>
    <row r="14318" customFormat="1" ht="17.25" customHeight="1"/>
    <row r="14319" customFormat="1" ht="17.25" customHeight="1"/>
    <row r="14320" customFormat="1" ht="17.25" customHeight="1"/>
    <row r="14321" customFormat="1" ht="17.25" customHeight="1"/>
    <row r="14322" customFormat="1" ht="17.25" customHeight="1"/>
    <row r="14323" customFormat="1" ht="17.25" customHeight="1"/>
    <row r="14324" customFormat="1" ht="17.25" customHeight="1"/>
    <row r="14325" customFormat="1" ht="17.25" customHeight="1"/>
    <row r="14326" customFormat="1" ht="17.25" customHeight="1"/>
    <row r="14327" customFormat="1" ht="17.25" customHeight="1"/>
    <row r="14328" customFormat="1" ht="17.25" customHeight="1"/>
    <row r="14329" customFormat="1" ht="17.25" customHeight="1"/>
    <row r="14330" customFormat="1" ht="17.25" customHeight="1"/>
    <row r="14331" customFormat="1" ht="17.25" customHeight="1"/>
    <row r="14332" customFormat="1" ht="17.25" customHeight="1"/>
    <row r="14333" customFormat="1" ht="17.25" customHeight="1"/>
    <row r="14334" customFormat="1" ht="17.25" customHeight="1"/>
    <row r="14335" customFormat="1" ht="17.25" customHeight="1"/>
    <row r="14336" customFormat="1" ht="17.25" customHeight="1"/>
    <row r="14337" customFormat="1" ht="17.25" customHeight="1"/>
    <row r="14338" customFormat="1" ht="17.25" customHeight="1"/>
    <row r="14339" customFormat="1" ht="17.25" customHeight="1"/>
    <row r="14340" customFormat="1" ht="17.25" customHeight="1"/>
    <row r="14341" customFormat="1" ht="17.25" customHeight="1"/>
    <row r="14342" customFormat="1" ht="17.25" customHeight="1"/>
    <row r="14343" customFormat="1" ht="17.25" customHeight="1"/>
    <row r="14344" customFormat="1" ht="17.25" customHeight="1"/>
    <row r="14345" customFormat="1" ht="17.25" customHeight="1"/>
    <row r="14346" customFormat="1" ht="17.25" customHeight="1"/>
    <row r="14347" customFormat="1" ht="17.25" customHeight="1"/>
    <row r="14348" customFormat="1" ht="17.25" customHeight="1"/>
    <row r="14349" customFormat="1" ht="17.25" customHeight="1"/>
    <row r="14350" customFormat="1" ht="17.25" customHeight="1"/>
    <row r="14351" customFormat="1" ht="17.25" customHeight="1"/>
    <row r="14352" customFormat="1" ht="17.25" customHeight="1"/>
    <row r="14353" customFormat="1" ht="17.25" customHeight="1"/>
    <row r="14354" customFormat="1" ht="17.25" customHeight="1"/>
    <row r="14355" customFormat="1" ht="17.25" customHeight="1"/>
    <row r="14356" customFormat="1" ht="17.25" customHeight="1"/>
    <row r="14357" customFormat="1" ht="17.25" customHeight="1"/>
    <row r="14358" customFormat="1" ht="17.25" customHeight="1"/>
    <row r="14359" customFormat="1" ht="17.25" customHeight="1"/>
    <row r="14360" customFormat="1" ht="17.25" customHeight="1"/>
    <row r="14361" customFormat="1" ht="17.25" customHeight="1"/>
    <row r="14362" customFormat="1" ht="17.25" customHeight="1"/>
    <row r="14363" customFormat="1" ht="17.25" customHeight="1"/>
    <row r="14364" customFormat="1" ht="17.25" customHeight="1"/>
    <row r="14365" customFormat="1" ht="17.25" customHeight="1"/>
    <row r="14366" customFormat="1" ht="17.25" customHeight="1"/>
    <row r="14367" customFormat="1" ht="17.25" customHeight="1"/>
    <row r="14368" customFormat="1" ht="17.25" customHeight="1"/>
    <row r="14369" customFormat="1" ht="17.25" customHeight="1"/>
    <row r="14370" customFormat="1" ht="17.25" customHeight="1"/>
    <row r="14371" customFormat="1" ht="17.25" customHeight="1"/>
    <row r="14372" customFormat="1" ht="17.25" customHeight="1"/>
    <row r="14373" customFormat="1" ht="17.25" customHeight="1"/>
    <row r="14374" customFormat="1" ht="17.25" customHeight="1"/>
    <row r="14375" customFormat="1" ht="17.25" customHeight="1"/>
    <row r="14376" customFormat="1" ht="17.25" customHeight="1"/>
    <row r="14377" customFormat="1" ht="17.25" customHeight="1"/>
    <row r="14378" customFormat="1" ht="17.25" customHeight="1"/>
    <row r="14379" customFormat="1" ht="17.25" customHeight="1"/>
    <row r="14380" customFormat="1" ht="17.25" customHeight="1"/>
    <row r="14381" customFormat="1" ht="17.25" customHeight="1"/>
    <row r="14382" customFormat="1" ht="17.25" customHeight="1"/>
    <row r="14383" customFormat="1" ht="17.25" customHeight="1"/>
    <row r="14384" customFormat="1" ht="17.25" customHeight="1"/>
    <row r="14385" customFormat="1" ht="17.25" customHeight="1"/>
    <row r="14386" customFormat="1" ht="17.25" customHeight="1"/>
    <row r="14387" customFormat="1" ht="17.25" customHeight="1"/>
    <row r="14388" customFormat="1" ht="17.25" customHeight="1"/>
    <row r="14389" customFormat="1" ht="17.25" customHeight="1"/>
    <row r="14390" customFormat="1" ht="17.25" customHeight="1"/>
    <row r="14391" customFormat="1" ht="17.25" customHeight="1"/>
    <row r="14392" customFormat="1" ht="17.25" customHeight="1"/>
    <row r="14393" customFormat="1" ht="17.25" customHeight="1"/>
    <row r="14394" customFormat="1" ht="17.25" customHeight="1"/>
    <row r="14395" customFormat="1" ht="17.25" customHeight="1"/>
    <row r="14396" customFormat="1" ht="17.25" customHeight="1"/>
    <row r="14397" customFormat="1" ht="17.25" customHeight="1"/>
    <row r="14398" customFormat="1" ht="17.25" customHeight="1"/>
    <row r="14399" customFormat="1" ht="17.25" customHeight="1"/>
    <row r="14400" customFormat="1" ht="17.25" customHeight="1"/>
    <row r="14401" customFormat="1" ht="17.25" customHeight="1"/>
    <row r="14402" customFormat="1" ht="17.25" customHeight="1"/>
    <row r="14403" customFormat="1" ht="17.25" customHeight="1"/>
    <row r="14404" customFormat="1" ht="17.25" customHeight="1"/>
    <row r="14405" customFormat="1" ht="17.25" customHeight="1"/>
    <row r="14406" customFormat="1" ht="17.25" customHeight="1"/>
    <row r="14407" customFormat="1" ht="17.25" customHeight="1"/>
    <row r="14408" customFormat="1" ht="17.25" customHeight="1"/>
    <row r="14409" customFormat="1" ht="17.25" customHeight="1"/>
    <row r="14410" customFormat="1" ht="17.25" customHeight="1"/>
    <row r="14411" customFormat="1" ht="17.25" customHeight="1"/>
    <row r="14412" customFormat="1" ht="17.25" customHeight="1"/>
    <row r="14413" customFormat="1" ht="17.25" customHeight="1"/>
    <row r="14414" customFormat="1" ht="17.25" customHeight="1"/>
    <row r="14415" customFormat="1" ht="17.25" customHeight="1"/>
    <row r="14416" customFormat="1" ht="17.25" customHeight="1"/>
    <row r="14417" customFormat="1" ht="17.25" customHeight="1"/>
    <row r="14418" customFormat="1" ht="17.25" customHeight="1"/>
    <row r="14419" customFormat="1" ht="17.25" customHeight="1"/>
    <row r="14420" customFormat="1" ht="17.25" customHeight="1"/>
    <row r="14421" customFormat="1" ht="17.25" customHeight="1"/>
    <row r="14422" customFormat="1" ht="17.25" customHeight="1"/>
    <row r="14423" customFormat="1" ht="17.25" customHeight="1"/>
    <row r="14424" customFormat="1" ht="17.25" customHeight="1"/>
    <row r="14425" customFormat="1" ht="17.25" customHeight="1"/>
    <row r="14426" customFormat="1" ht="17.25" customHeight="1"/>
    <row r="14427" customFormat="1" ht="17.25" customHeight="1"/>
    <row r="14428" customFormat="1" ht="17.25" customHeight="1"/>
    <row r="14429" customFormat="1" ht="17.25" customHeight="1"/>
    <row r="14430" customFormat="1" ht="17.25" customHeight="1"/>
    <row r="14431" customFormat="1" ht="17.25" customHeight="1"/>
    <row r="14432" customFormat="1" ht="17.25" customHeight="1"/>
    <row r="14433" customFormat="1" ht="17.25" customHeight="1"/>
    <row r="14434" customFormat="1" ht="17.25" customHeight="1"/>
    <row r="14435" customFormat="1" ht="17.25" customHeight="1"/>
    <row r="14436" customFormat="1" ht="17.25" customHeight="1"/>
    <row r="14437" customFormat="1" ht="17.25" customHeight="1"/>
    <row r="14438" customFormat="1" ht="17.25" customHeight="1"/>
    <row r="14439" customFormat="1" ht="17.25" customHeight="1"/>
    <row r="14440" customFormat="1" ht="17.25" customHeight="1"/>
    <row r="14441" customFormat="1" ht="17.25" customHeight="1"/>
    <row r="14442" customFormat="1" ht="17.25" customHeight="1"/>
    <row r="14443" customFormat="1" ht="17.25" customHeight="1"/>
    <row r="14444" customFormat="1" ht="17.25" customHeight="1"/>
    <row r="14445" customFormat="1" ht="17.25" customHeight="1"/>
    <row r="14446" customFormat="1" ht="17.25" customHeight="1"/>
    <row r="14447" customFormat="1" ht="17.25" customHeight="1"/>
    <row r="14448" customFormat="1" ht="17.25" customHeight="1"/>
    <row r="14449" customFormat="1" ht="17.25" customHeight="1"/>
    <row r="14450" customFormat="1" ht="17.25" customHeight="1"/>
    <row r="14451" customFormat="1" ht="17.25" customHeight="1"/>
    <row r="14452" customFormat="1" ht="17.25" customHeight="1"/>
    <row r="14453" customFormat="1" ht="17.25" customHeight="1"/>
    <row r="14454" customFormat="1" ht="17.25" customHeight="1"/>
    <row r="14455" customFormat="1" ht="17.25" customHeight="1"/>
    <row r="14456" customFormat="1" ht="17.25" customHeight="1"/>
    <row r="14457" customFormat="1" ht="17.25" customHeight="1"/>
    <row r="14458" customFormat="1" ht="17.25" customHeight="1"/>
    <row r="14459" customFormat="1" ht="17.25" customHeight="1"/>
    <row r="14460" customFormat="1" ht="17.25" customHeight="1"/>
    <row r="14461" customFormat="1" ht="17.25" customHeight="1"/>
    <row r="14462" customFormat="1" ht="17.25" customHeight="1"/>
    <row r="14463" customFormat="1" ht="17.25" customHeight="1"/>
    <row r="14464" customFormat="1" ht="17.25" customHeight="1"/>
    <row r="14465" customFormat="1" ht="17.25" customHeight="1"/>
    <row r="14466" customFormat="1" ht="17.25" customHeight="1"/>
    <row r="14467" customFormat="1" ht="17.25" customHeight="1"/>
    <row r="14468" customFormat="1" ht="17.25" customHeight="1"/>
    <row r="14469" customFormat="1" ht="17.25" customHeight="1"/>
    <row r="14470" customFormat="1" ht="17.25" customHeight="1"/>
    <row r="14471" customFormat="1" ht="17.25" customHeight="1"/>
    <row r="14472" customFormat="1" ht="17.25" customHeight="1"/>
    <row r="14473" customFormat="1" ht="17.25" customHeight="1"/>
    <row r="14474" customFormat="1" ht="17.25" customHeight="1"/>
    <row r="14475" customFormat="1" ht="17.25" customHeight="1"/>
    <row r="14476" customFormat="1" ht="17.25" customHeight="1"/>
    <row r="14477" customFormat="1" ht="17.25" customHeight="1"/>
    <row r="14478" customFormat="1" ht="17.25" customHeight="1"/>
    <row r="14479" customFormat="1" ht="17.25" customHeight="1"/>
    <row r="14480" customFormat="1" ht="17.25" customHeight="1"/>
    <row r="14481" customFormat="1" ht="17.25" customHeight="1"/>
    <row r="14482" customFormat="1" ht="17.25" customHeight="1"/>
    <row r="14483" customFormat="1" ht="17.25" customHeight="1"/>
    <row r="14484" customFormat="1" ht="17.25" customHeight="1"/>
    <row r="14485" customFormat="1" ht="17.25" customHeight="1"/>
    <row r="14486" customFormat="1" ht="17.25" customHeight="1"/>
    <row r="14487" customFormat="1" ht="17.25" customHeight="1"/>
    <row r="14488" customFormat="1" ht="17.25" customHeight="1"/>
    <row r="14489" customFormat="1" ht="17.25" customHeight="1"/>
    <row r="14490" customFormat="1" ht="17.25" customHeight="1"/>
    <row r="14491" customFormat="1" ht="17.25" customHeight="1"/>
    <row r="14492" customFormat="1" ht="17.25" customHeight="1"/>
    <row r="14493" customFormat="1" ht="17.25" customHeight="1"/>
    <row r="14494" customFormat="1" ht="17.25" customHeight="1"/>
    <row r="14495" customFormat="1" ht="17.25" customHeight="1"/>
    <row r="14496" customFormat="1" ht="17.25" customHeight="1"/>
    <row r="14497" customFormat="1" ht="17.25" customHeight="1"/>
    <row r="14498" customFormat="1" ht="17.25" customHeight="1"/>
    <row r="14499" customFormat="1" ht="17.25" customHeight="1"/>
    <row r="14500" customFormat="1" ht="17.25" customHeight="1"/>
    <row r="14501" customFormat="1" ht="17.25" customHeight="1"/>
    <row r="14502" customFormat="1" ht="17.25" customHeight="1"/>
    <row r="14503" customFormat="1" ht="17.25" customHeight="1"/>
    <row r="14504" customFormat="1" ht="17.25" customHeight="1"/>
    <row r="14505" customFormat="1" ht="17.25" customHeight="1"/>
    <row r="14506" customFormat="1" ht="17.25" customHeight="1"/>
    <row r="14507" customFormat="1" ht="17.25" customHeight="1"/>
    <row r="14508" customFormat="1" ht="17.25" customHeight="1"/>
    <row r="14509" customFormat="1" ht="17.25" customHeight="1"/>
    <row r="14510" customFormat="1" ht="17.25" customHeight="1"/>
    <row r="14511" customFormat="1" ht="17.25" customHeight="1"/>
    <row r="14512" customFormat="1" ht="17.25" customHeight="1"/>
    <row r="14513" customFormat="1" ht="17.25" customHeight="1"/>
    <row r="14514" customFormat="1" ht="17.25" customHeight="1"/>
    <row r="14515" customFormat="1" ht="17.25" customHeight="1"/>
    <row r="14516" customFormat="1" ht="17.25" customHeight="1"/>
    <row r="14517" customFormat="1" ht="17.25" customHeight="1"/>
    <row r="14518" customFormat="1" ht="17.25" customHeight="1"/>
    <row r="14519" customFormat="1" ht="17.25" customHeight="1"/>
    <row r="14520" customFormat="1" ht="17.25" customHeight="1"/>
    <row r="14521" customFormat="1" ht="17.25" customHeight="1"/>
    <row r="14522" customFormat="1" ht="17.25" customHeight="1"/>
    <row r="14523" customFormat="1" ht="17.25" customHeight="1"/>
    <row r="14524" customFormat="1" ht="17.25" customHeight="1"/>
    <row r="14525" customFormat="1" ht="17.25" customHeight="1"/>
    <row r="14526" customFormat="1" ht="17.25" customHeight="1"/>
    <row r="14527" customFormat="1" ht="17.25" customHeight="1"/>
    <row r="14528" customFormat="1" ht="17.25" customHeight="1"/>
    <row r="14529" customFormat="1" ht="17.25" customHeight="1"/>
    <row r="14530" customFormat="1" ht="17.25" customHeight="1"/>
    <row r="14531" customFormat="1" ht="17.25" customHeight="1"/>
    <row r="14532" customFormat="1" ht="17.25" customHeight="1"/>
    <row r="14533" customFormat="1" ht="17.25" customHeight="1"/>
    <row r="14534" customFormat="1" ht="17.25" customHeight="1"/>
    <row r="14535" customFormat="1" ht="17.25" customHeight="1"/>
    <row r="14536" customFormat="1" ht="17.25" customHeight="1"/>
    <row r="14537" customFormat="1" ht="17.25" customHeight="1"/>
    <row r="14538" customFormat="1" ht="17.25" customHeight="1"/>
    <row r="14539" customFormat="1" ht="17.25" customHeight="1"/>
    <row r="14540" customFormat="1" ht="17.25" customHeight="1"/>
    <row r="14541" customFormat="1" ht="17.25" customHeight="1"/>
    <row r="14542" customFormat="1" ht="17.25" customHeight="1"/>
    <row r="14543" customFormat="1" ht="17.25" customHeight="1"/>
    <row r="14544" customFormat="1" ht="17.25" customHeight="1"/>
    <row r="14545" customFormat="1" ht="17.25" customHeight="1"/>
    <row r="14546" customFormat="1" ht="17.25" customHeight="1"/>
    <row r="14547" customFormat="1" ht="17.25" customHeight="1"/>
    <row r="14548" customFormat="1" ht="17.25" customHeight="1"/>
    <row r="14549" customFormat="1" ht="17.25" customHeight="1"/>
    <row r="14550" customFormat="1" ht="17.25" customHeight="1"/>
    <row r="14551" customFormat="1" ht="17.25" customHeight="1"/>
    <row r="14552" customFormat="1" ht="17.25" customHeight="1"/>
    <row r="14553" customFormat="1" ht="17.25" customHeight="1"/>
    <row r="14554" customFormat="1" ht="17.25" customHeight="1"/>
    <row r="14555" customFormat="1" ht="17.25" customHeight="1"/>
    <row r="14556" customFormat="1" ht="17.25" customHeight="1"/>
    <row r="14557" customFormat="1" ht="17.25" customHeight="1"/>
    <row r="14558" customFormat="1" ht="17.25" customHeight="1"/>
    <row r="14559" customFormat="1" ht="17.25" customHeight="1"/>
    <row r="14560" customFormat="1" ht="17.25" customHeight="1"/>
    <row r="14561" customFormat="1" ht="17.25" customHeight="1"/>
    <row r="14562" customFormat="1" ht="17.25" customHeight="1"/>
    <row r="14563" customFormat="1" ht="17.25" customHeight="1"/>
    <row r="14564" customFormat="1" ht="17.25" customHeight="1"/>
    <row r="14565" customFormat="1" ht="17.25" customHeight="1"/>
    <row r="14566" customFormat="1" ht="17.25" customHeight="1"/>
    <row r="14567" customFormat="1" ht="17.25" customHeight="1"/>
    <row r="14568" customFormat="1" ht="17.25" customHeight="1"/>
    <row r="14569" customFormat="1" ht="17.25" customHeight="1"/>
    <row r="14570" customFormat="1" ht="17.25" customHeight="1"/>
    <row r="14571" customFormat="1" ht="17.25" customHeight="1"/>
    <row r="14572" customFormat="1" ht="17.25" customHeight="1"/>
    <row r="14573" customFormat="1" ht="17.25" customHeight="1"/>
    <row r="14574" customFormat="1" ht="17.25" customHeight="1"/>
    <row r="14575" customFormat="1" ht="17.25" customHeight="1"/>
    <row r="14576" customFormat="1" ht="17.25" customHeight="1"/>
    <row r="14577" customFormat="1" ht="17.25" customHeight="1"/>
    <row r="14578" customFormat="1" ht="17.25" customHeight="1"/>
    <row r="14579" customFormat="1" ht="17.25" customHeight="1"/>
    <row r="14580" customFormat="1" ht="17.25" customHeight="1"/>
    <row r="14581" customFormat="1" ht="17.25" customHeight="1"/>
    <row r="14582" customFormat="1" ht="17.25" customHeight="1"/>
    <row r="14583" customFormat="1" ht="17.25" customHeight="1"/>
    <row r="14584" customFormat="1" ht="17.25" customHeight="1"/>
    <row r="14585" customFormat="1" ht="17.25" customHeight="1"/>
    <row r="14586" customFormat="1" ht="17.25" customHeight="1"/>
    <row r="14587" customFormat="1" ht="17.25" customHeight="1"/>
    <row r="14588" customFormat="1" ht="17.25" customHeight="1"/>
    <row r="14589" customFormat="1" ht="17.25" customHeight="1"/>
    <row r="14590" customFormat="1" ht="17.25" customHeight="1"/>
    <row r="14591" customFormat="1" ht="17.25" customHeight="1"/>
    <row r="14592" customFormat="1" ht="17.25" customHeight="1"/>
    <row r="14593" customFormat="1" ht="17.25" customHeight="1"/>
    <row r="14594" customFormat="1" ht="17.25" customHeight="1"/>
    <row r="14595" customFormat="1" ht="17.25" customHeight="1"/>
    <row r="14596" customFormat="1" ht="17.25" customHeight="1"/>
    <row r="14597" customFormat="1" ht="17.25" customHeight="1"/>
    <row r="14598" customFormat="1" ht="17.25" customHeight="1"/>
    <row r="14599" customFormat="1" ht="17.25" customHeight="1"/>
    <row r="14600" customFormat="1" ht="17.25" customHeight="1"/>
    <row r="14601" customFormat="1" ht="17.25" customHeight="1"/>
    <row r="14602" customFormat="1" ht="17.25" customHeight="1"/>
    <row r="14603" customFormat="1" ht="17.25" customHeight="1"/>
    <row r="14604" customFormat="1" ht="17.25" customHeight="1"/>
    <row r="14605" customFormat="1" ht="17.25" customHeight="1"/>
    <row r="14606" customFormat="1" ht="17.25" customHeight="1"/>
    <row r="14607" customFormat="1" ht="17.25" customHeight="1"/>
    <row r="14608" customFormat="1" ht="17.25" customHeight="1"/>
    <row r="14609" customFormat="1" ht="17.25" customHeight="1"/>
    <row r="14610" customFormat="1" ht="17.25" customHeight="1"/>
    <row r="14611" customFormat="1" ht="17.25" customHeight="1"/>
    <row r="14612" customFormat="1" ht="17.25" customHeight="1"/>
    <row r="14613" customFormat="1" ht="17.25" customHeight="1"/>
    <row r="14614" customFormat="1" ht="17.25" customHeight="1"/>
    <row r="14615" customFormat="1" ht="17.25" customHeight="1"/>
    <row r="14616" customFormat="1" ht="17.25" customHeight="1"/>
    <row r="14617" customFormat="1" ht="17.25" customHeight="1"/>
    <row r="14618" customFormat="1" ht="17.25" customHeight="1"/>
    <row r="14619" customFormat="1" ht="17.25" customHeight="1"/>
    <row r="14620" customFormat="1" ht="17.25" customHeight="1"/>
    <row r="14621" customFormat="1" ht="17.25" customHeight="1"/>
    <row r="14622" customFormat="1" ht="17.25" customHeight="1"/>
    <row r="14623" customFormat="1" ht="17.25" customHeight="1"/>
    <row r="14624" customFormat="1" ht="17.25" customHeight="1"/>
    <row r="14625" customFormat="1" ht="17.25" customHeight="1"/>
    <row r="14626" customFormat="1" ht="17.25" customHeight="1"/>
    <row r="14627" customFormat="1" ht="17.25" customHeight="1"/>
    <row r="14628" customFormat="1" ht="17.25" customHeight="1"/>
    <row r="14629" customFormat="1" ht="17.25" customHeight="1"/>
    <row r="14630" customFormat="1" ht="17.25" customHeight="1"/>
    <row r="14631" customFormat="1" ht="17.25" customHeight="1"/>
    <row r="14632" customFormat="1" ht="17.25" customHeight="1"/>
    <row r="14633" customFormat="1" ht="17.25" customHeight="1"/>
    <row r="14634" customFormat="1" ht="17.25" customHeight="1"/>
    <row r="14635" customFormat="1" ht="17.25" customHeight="1"/>
    <row r="14636" customFormat="1" ht="17.25" customHeight="1"/>
    <row r="14637" customFormat="1" ht="17.25" customHeight="1"/>
    <row r="14638" customFormat="1" ht="17.25" customHeight="1"/>
    <row r="14639" customFormat="1" ht="17.25" customHeight="1"/>
    <row r="14640" customFormat="1" ht="17.25" customHeight="1"/>
    <row r="14641" customFormat="1" ht="17.25" customHeight="1"/>
    <row r="14642" customFormat="1" ht="17.25" customHeight="1"/>
    <row r="14643" customFormat="1" ht="17.25" customHeight="1"/>
    <row r="14644" customFormat="1" ht="17.25" customHeight="1"/>
    <row r="14645" customFormat="1" ht="17.25" customHeight="1"/>
    <row r="14646" customFormat="1" ht="17.25" customHeight="1"/>
    <row r="14647" customFormat="1" ht="17.25" customHeight="1"/>
    <row r="14648" customFormat="1" ht="17.25" customHeight="1"/>
    <row r="14649" customFormat="1" ht="17.25" customHeight="1"/>
    <row r="14650" customFormat="1" ht="17.25" customHeight="1"/>
    <row r="14651" customFormat="1" ht="17.25" customHeight="1"/>
    <row r="14652" customFormat="1" ht="17.25" customHeight="1"/>
    <row r="14653" customFormat="1" ht="17.25" customHeight="1"/>
    <row r="14654" customFormat="1" ht="17.25" customHeight="1"/>
    <row r="14655" customFormat="1" ht="17.25" customHeight="1"/>
    <row r="14656" customFormat="1" ht="17.25" customHeight="1"/>
    <row r="14657" customFormat="1" ht="17.25" customHeight="1"/>
    <row r="14658" customFormat="1" ht="17.25" customHeight="1"/>
    <row r="14659" customFormat="1" ht="17.25" customHeight="1"/>
    <row r="14660" customFormat="1" ht="17.25" customHeight="1"/>
    <row r="14661" customFormat="1" ht="17.25" customHeight="1"/>
    <row r="14662" customFormat="1" ht="17.25" customHeight="1"/>
    <row r="14663" customFormat="1" ht="17.25" customHeight="1"/>
    <row r="14664" customFormat="1" ht="17.25" customHeight="1"/>
    <row r="14665" customFormat="1" ht="17.25" customHeight="1"/>
    <row r="14666" customFormat="1" ht="17.25" customHeight="1"/>
    <row r="14667" customFormat="1" ht="17.25" customHeight="1"/>
    <row r="14668" customFormat="1" ht="17.25" customHeight="1"/>
    <row r="14669" customFormat="1" ht="17.25" customHeight="1"/>
    <row r="14670" customFormat="1" ht="17.25" customHeight="1"/>
    <row r="14671" customFormat="1" ht="17.25" customHeight="1"/>
    <row r="14672" customFormat="1" ht="17.25" customHeight="1"/>
    <row r="14673" customFormat="1" ht="17.25" customHeight="1"/>
    <row r="14674" customFormat="1" ht="17.25" customHeight="1"/>
    <row r="14675" customFormat="1" ht="17.25" customHeight="1"/>
    <row r="14676" customFormat="1" ht="17.25" customHeight="1"/>
    <row r="14677" customFormat="1" ht="17.25" customHeight="1"/>
    <row r="14678" customFormat="1" ht="17.25" customHeight="1"/>
    <row r="14679" customFormat="1" ht="17.25" customHeight="1"/>
    <row r="14680" customFormat="1" ht="17.25" customHeight="1"/>
    <row r="14681" customFormat="1" ht="17.25" customHeight="1"/>
    <row r="14682" customFormat="1" ht="17.25" customHeight="1"/>
    <row r="14683" customFormat="1" ht="17.25" customHeight="1"/>
    <row r="14684" customFormat="1" ht="17.25" customHeight="1"/>
    <row r="14685" customFormat="1" ht="17.25" customHeight="1"/>
    <row r="14686" customFormat="1" ht="17.25" customHeight="1"/>
    <row r="14687" customFormat="1" ht="17.25" customHeight="1"/>
    <row r="14688" customFormat="1" ht="17.25" customHeight="1"/>
    <row r="14689" customFormat="1" ht="17.25" customHeight="1"/>
    <row r="14690" customFormat="1" ht="17.25" customHeight="1"/>
    <row r="14691" customFormat="1" ht="17.25" customHeight="1"/>
    <row r="14692" customFormat="1" ht="17.25" customHeight="1"/>
    <row r="14693" customFormat="1" ht="17.25" customHeight="1"/>
    <row r="14694" customFormat="1" ht="17.25" customHeight="1"/>
    <row r="14695" customFormat="1" ht="17.25" customHeight="1"/>
    <row r="14696" customFormat="1" ht="17.25" customHeight="1"/>
    <row r="14697" customFormat="1" ht="17.25" customHeight="1"/>
    <row r="14698" customFormat="1" ht="17.25" customHeight="1"/>
    <row r="14699" customFormat="1" ht="17.25" customHeight="1"/>
    <row r="14700" customFormat="1" ht="17.25" customHeight="1"/>
    <row r="14701" customFormat="1" ht="17.25" customHeight="1"/>
    <row r="14702" customFormat="1" ht="17.25" customHeight="1"/>
    <row r="14703" customFormat="1" ht="17.25" customHeight="1"/>
    <row r="14704" customFormat="1" ht="17.25" customHeight="1"/>
    <row r="14705" customFormat="1" ht="17.25" customHeight="1"/>
    <row r="14706" customFormat="1" ht="17.25" customHeight="1"/>
    <row r="14707" customFormat="1" ht="17.25" customHeight="1"/>
    <row r="14708" customFormat="1" ht="17.25" customHeight="1"/>
    <row r="14709" customFormat="1" ht="17.25" customHeight="1"/>
    <row r="14710" customFormat="1" ht="17.25" customHeight="1"/>
    <row r="14711" customFormat="1" ht="17.25" customHeight="1"/>
    <row r="14712" customFormat="1" ht="17.25" customHeight="1"/>
    <row r="14713" customFormat="1" ht="17.25" customHeight="1"/>
    <row r="14714" customFormat="1" ht="17.25" customHeight="1"/>
    <row r="14715" customFormat="1" ht="17.25" customHeight="1"/>
    <row r="14716" customFormat="1" ht="17.25" customHeight="1"/>
    <row r="14717" customFormat="1" ht="17.25" customHeight="1"/>
    <row r="14718" customFormat="1" ht="17.25" customHeight="1"/>
    <row r="14719" customFormat="1" ht="17.25" customHeight="1"/>
    <row r="14720" customFormat="1" ht="17.25" customHeight="1"/>
    <row r="14721" customFormat="1" ht="17.25" customHeight="1"/>
    <row r="14722" customFormat="1" ht="17.25" customHeight="1"/>
    <row r="14723" customFormat="1" ht="17.25" customHeight="1"/>
    <row r="14724" customFormat="1" ht="17.25" customHeight="1"/>
    <row r="14725" customFormat="1" ht="17.25" customHeight="1"/>
    <row r="14726" customFormat="1" ht="17.25" customHeight="1"/>
    <row r="14727" customFormat="1" ht="17.25" customHeight="1"/>
    <row r="14728" customFormat="1" ht="17.25" customHeight="1"/>
    <row r="14729" customFormat="1" ht="17.25" customHeight="1"/>
    <row r="14730" customFormat="1" ht="17.25" customHeight="1"/>
    <row r="14731" customFormat="1" ht="17.25" customHeight="1"/>
    <row r="14732" customFormat="1" ht="17.25" customHeight="1"/>
    <row r="14733" customFormat="1" ht="17.25" customHeight="1"/>
    <row r="14734" customFormat="1" ht="17.25" customHeight="1"/>
    <row r="14735" customFormat="1" ht="17.25" customHeight="1"/>
    <row r="14736" customFormat="1" ht="17.25" customHeight="1"/>
    <row r="14737" customFormat="1" ht="17.25" customHeight="1"/>
    <row r="14738" customFormat="1" ht="17.25" customHeight="1"/>
    <row r="14739" customFormat="1" ht="17.25" customHeight="1"/>
    <row r="14740" customFormat="1" ht="17.25" customHeight="1"/>
    <row r="14741" customFormat="1" ht="17.25" customHeight="1"/>
    <row r="14742" customFormat="1" ht="17.25" customHeight="1"/>
    <row r="14743" customFormat="1" ht="17.25" customHeight="1"/>
    <row r="14744" customFormat="1" ht="17.25" customHeight="1"/>
    <row r="14745" customFormat="1" ht="17.25" customHeight="1"/>
    <row r="14746" customFormat="1" ht="17.25" customHeight="1"/>
    <row r="14747" customFormat="1" ht="17.25" customHeight="1"/>
    <row r="14748" customFormat="1" ht="17.25" customHeight="1"/>
    <row r="14749" customFormat="1" ht="17.25" customHeight="1"/>
    <row r="14750" customFormat="1" ht="17.25" customHeight="1"/>
    <row r="14751" customFormat="1" ht="17.25" customHeight="1"/>
    <row r="14752" customFormat="1" ht="17.25" customHeight="1"/>
    <row r="14753" customFormat="1" ht="17.25" customHeight="1"/>
    <row r="14754" customFormat="1" ht="17.25" customHeight="1"/>
    <row r="14755" customFormat="1" ht="17.25" customHeight="1"/>
    <row r="14756" customFormat="1" ht="17.25" customHeight="1"/>
    <row r="14757" customFormat="1" ht="17.25" customHeight="1"/>
    <row r="14758" customFormat="1" ht="17.25" customHeight="1"/>
    <row r="14759" customFormat="1" ht="17.25" customHeight="1"/>
    <row r="14760" customFormat="1" ht="17.25" customHeight="1"/>
    <row r="14761" customFormat="1" ht="17.25" customHeight="1"/>
    <row r="14762" customFormat="1" ht="17.25" customHeight="1"/>
    <row r="14763" customFormat="1" ht="17.25" customHeight="1"/>
    <row r="14764" customFormat="1" ht="17.25" customHeight="1"/>
    <row r="14765" customFormat="1" ht="17.25" customHeight="1"/>
    <row r="14766" customFormat="1" ht="17.25" customHeight="1"/>
    <row r="14767" customFormat="1" ht="17.25" customHeight="1"/>
    <row r="14768" customFormat="1" ht="17.25" customHeight="1"/>
    <row r="14769" customFormat="1" ht="17.25" customHeight="1"/>
    <row r="14770" customFormat="1" ht="17.25" customHeight="1"/>
    <row r="14771" customFormat="1" ht="17.25" customHeight="1"/>
    <row r="14772" customFormat="1" ht="17.25" customHeight="1"/>
    <row r="14773" customFormat="1" ht="17.25" customHeight="1"/>
    <row r="14774" customFormat="1" ht="17.25" customHeight="1"/>
    <row r="14775" customFormat="1" ht="17.25" customHeight="1"/>
    <row r="14776" customFormat="1" ht="17.25" customHeight="1"/>
    <row r="14777" customFormat="1" ht="17.25" customHeight="1"/>
    <row r="14778" customFormat="1" ht="17.25" customHeight="1"/>
    <row r="14779" customFormat="1" ht="17.25" customHeight="1"/>
    <row r="14780" customFormat="1" ht="17.25" customHeight="1"/>
    <row r="14781" customFormat="1" ht="17.25" customHeight="1"/>
    <row r="14782" customFormat="1" ht="17.25" customHeight="1"/>
    <row r="14783" customFormat="1" ht="17.25" customHeight="1"/>
    <row r="14784" customFormat="1" ht="17.25" customHeight="1"/>
    <row r="14785" customFormat="1" ht="17.25" customHeight="1"/>
    <row r="14786" customFormat="1" ht="17.25" customHeight="1"/>
    <row r="14787" customFormat="1" ht="17.25" customHeight="1"/>
    <row r="14788" customFormat="1" ht="17.25" customHeight="1"/>
    <row r="14789" customFormat="1" ht="17.25" customHeight="1"/>
    <row r="14790" customFormat="1" ht="17.25" customHeight="1"/>
    <row r="14791" customFormat="1" ht="17.25" customHeight="1"/>
    <row r="14792" customFormat="1" ht="17.25" customHeight="1"/>
    <row r="14793" customFormat="1" ht="17.25" customHeight="1"/>
    <row r="14794" customFormat="1" ht="17.25" customHeight="1"/>
    <row r="14795" customFormat="1" ht="17.25" customHeight="1"/>
    <row r="14796" customFormat="1" ht="17.25" customHeight="1"/>
    <row r="14797" customFormat="1" ht="17.25" customHeight="1"/>
    <row r="14798" customFormat="1" ht="17.25" customHeight="1"/>
    <row r="14799" customFormat="1" ht="17.25" customHeight="1"/>
    <row r="14800" customFormat="1" ht="17.25" customHeight="1"/>
    <row r="14801" customFormat="1" ht="17.25" customHeight="1"/>
    <row r="14802" customFormat="1" ht="17.25" customHeight="1"/>
    <row r="14803" customFormat="1" ht="17.25" customHeight="1"/>
    <row r="14804" customFormat="1" ht="17.25" customHeight="1"/>
    <row r="14805" customFormat="1" ht="17.25" customHeight="1"/>
    <row r="14806" customFormat="1" ht="17.25" customHeight="1"/>
    <row r="14807" customFormat="1" ht="17.25" customHeight="1"/>
    <row r="14808" customFormat="1" ht="17.25" customHeight="1"/>
    <row r="14809" customFormat="1" ht="17.25" customHeight="1"/>
    <row r="14810" customFormat="1" ht="17.25" customHeight="1"/>
    <row r="14811" customFormat="1" ht="17.25" customHeight="1"/>
    <row r="14812" customFormat="1" ht="17.25" customHeight="1"/>
    <row r="14813" customFormat="1" ht="17.25" customHeight="1"/>
    <row r="14814" customFormat="1" ht="17.25" customHeight="1"/>
    <row r="14815" customFormat="1" ht="17.25" customHeight="1"/>
    <row r="14816" customFormat="1" ht="17.25" customHeight="1"/>
    <row r="14817" customFormat="1" ht="17.25" customHeight="1"/>
    <row r="14818" customFormat="1" ht="17.25" customHeight="1"/>
    <row r="14819" customFormat="1" ht="17.25" customHeight="1"/>
    <row r="14820" customFormat="1" ht="17.25" customHeight="1"/>
    <row r="14821" customFormat="1" ht="17.25" customHeight="1"/>
    <row r="14822" customFormat="1" ht="17.25" customHeight="1"/>
    <row r="14823" customFormat="1" ht="17.25" customHeight="1"/>
    <row r="14824" customFormat="1" ht="17.25" customHeight="1"/>
    <row r="14825" customFormat="1" ht="17.25" customHeight="1"/>
    <row r="14826" customFormat="1" ht="17.25" customHeight="1"/>
    <row r="14827" customFormat="1" ht="17.25" customHeight="1"/>
    <row r="14828" customFormat="1" ht="17.25" customHeight="1"/>
    <row r="14829" customFormat="1" ht="17.25" customHeight="1"/>
    <row r="14830" customFormat="1" ht="17.25" customHeight="1"/>
    <row r="14831" customFormat="1" ht="17.25" customHeight="1"/>
    <row r="14832" customFormat="1" ht="17.25" customHeight="1"/>
    <row r="14833" customFormat="1" ht="17.25" customHeight="1"/>
    <row r="14834" customFormat="1" ht="17.25" customHeight="1"/>
    <row r="14835" customFormat="1" ht="17.25" customHeight="1"/>
    <row r="14836" customFormat="1" ht="17.25" customHeight="1"/>
    <row r="14837" customFormat="1" ht="17.25" customHeight="1"/>
    <row r="14838" customFormat="1" ht="17.25" customHeight="1"/>
    <row r="14839" customFormat="1" ht="17.25" customHeight="1"/>
    <row r="14840" customFormat="1" ht="17.25" customHeight="1"/>
    <row r="14841" customFormat="1" ht="17.25" customHeight="1"/>
    <row r="14842" customFormat="1" ht="17.25" customHeight="1"/>
    <row r="14843" customFormat="1" ht="17.25" customHeight="1"/>
    <row r="14844" customFormat="1" ht="17.25" customHeight="1"/>
    <row r="14845" customFormat="1" ht="17.25" customHeight="1"/>
    <row r="14846" customFormat="1" ht="17.25" customHeight="1"/>
    <row r="14847" customFormat="1" ht="17.25" customHeight="1"/>
    <row r="14848" customFormat="1" ht="17.25" customHeight="1"/>
    <row r="14849" customFormat="1" ht="17.25" customHeight="1"/>
    <row r="14850" customFormat="1" ht="17.25" customHeight="1"/>
    <row r="14851" customFormat="1" ht="17.25" customHeight="1"/>
    <row r="14852" customFormat="1" ht="17.25" customHeight="1"/>
    <row r="14853" customFormat="1" ht="17.25" customHeight="1"/>
    <row r="14854" customFormat="1" ht="17.25" customHeight="1"/>
    <row r="14855" customFormat="1" ht="17.25" customHeight="1"/>
    <row r="14856" customFormat="1" ht="17.25" customHeight="1"/>
    <row r="14857" customFormat="1" ht="17.25" customHeight="1"/>
    <row r="14858" customFormat="1" ht="17.25" customHeight="1"/>
    <row r="14859" customFormat="1" ht="17.25" customHeight="1"/>
    <row r="14860" customFormat="1" ht="17.25" customHeight="1"/>
    <row r="14861" customFormat="1" ht="17.25" customHeight="1"/>
    <row r="14862" customFormat="1" ht="17.25" customHeight="1"/>
    <row r="14863" customFormat="1" ht="17.25" customHeight="1"/>
    <row r="14864" customFormat="1" ht="17.25" customHeight="1"/>
    <row r="14865" customFormat="1" ht="17.25" customHeight="1"/>
    <row r="14866" customFormat="1" ht="17.25" customHeight="1"/>
    <row r="14867" customFormat="1" ht="17.25" customHeight="1"/>
    <row r="14868" customFormat="1" ht="17.25" customHeight="1"/>
    <row r="14869" customFormat="1" ht="17.25" customHeight="1"/>
    <row r="14870" customFormat="1" ht="17.25" customHeight="1"/>
    <row r="14871" customFormat="1" ht="17.25" customHeight="1"/>
    <row r="14872" customFormat="1" ht="17.25" customHeight="1"/>
    <row r="14873" customFormat="1" ht="17.25" customHeight="1"/>
    <row r="14874" customFormat="1" ht="17.25" customHeight="1"/>
    <row r="14875" customFormat="1" ht="17.25" customHeight="1"/>
    <row r="14876" customFormat="1" ht="17.25" customHeight="1"/>
    <row r="14877" customFormat="1" ht="17.25" customHeight="1"/>
    <row r="14878" customFormat="1" ht="17.25" customHeight="1"/>
    <row r="14879" customFormat="1" ht="17.25" customHeight="1"/>
    <row r="14880" customFormat="1" ht="17.25" customHeight="1"/>
    <row r="14881" customFormat="1" ht="17.25" customHeight="1"/>
    <row r="14882" customFormat="1" ht="17.25" customHeight="1"/>
    <row r="14883" customFormat="1" ht="17.25" customHeight="1"/>
    <row r="14884" customFormat="1" ht="17.25" customHeight="1"/>
    <row r="14885" customFormat="1" ht="17.25" customHeight="1"/>
    <row r="14886" customFormat="1" ht="17.25" customHeight="1"/>
    <row r="14887" customFormat="1" ht="17.25" customHeight="1"/>
    <row r="14888" customFormat="1" ht="17.25" customHeight="1"/>
    <row r="14889" customFormat="1" ht="17.25" customHeight="1"/>
    <row r="14890" customFormat="1" ht="17.25" customHeight="1"/>
    <row r="14891" customFormat="1" ht="17.25" customHeight="1"/>
    <row r="14892" customFormat="1" ht="17.25" customHeight="1"/>
    <row r="14893" customFormat="1" ht="17.25" customHeight="1"/>
    <row r="14894" customFormat="1" ht="17.25" customHeight="1"/>
    <row r="14895" customFormat="1" ht="17.25" customHeight="1"/>
    <row r="14896" customFormat="1" ht="17.25" customHeight="1"/>
    <row r="14897" customFormat="1" ht="17.25" customHeight="1"/>
    <row r="14898" customFormat="1" ht="17.25" customHeight="1"/>
    <row r="14899" customFormat="1" ht="17.25" customHeight="1"/>
    <row r="14900" customFormat="1" ht="17.25" customHeight="1"/>
    <row r="14901" customFormat="1" ht="17.25" customHeight="1"/>
    <row r="14902" customFormat="1" ht="17.25" customHeight="1"/>
    <row r="14903" customFormat="1" ht="17.25" customHeight="1"/>
    <row r="14904" customFormat="1" ht="17.25" customHeight="1"/>
    <row r="14905" customFormat="1" ht="17.25" customHeight="1"/>
    <row r="14906" customFormat="1" ht="17.25" customHeight="1"/>
    <row r="14907" customFormat="1" ht="17.25" customHeight="1"/>
    <row r="14908" customFormat="1" ht="17.25" customHeight="1"/>
    <row r="14909" customFormat="1" ht="17.25" customHeight="1"/>
    <row r="14910" customFormat="1" ht="17.25" customHeight="1"/>
    <row r="14911" customFormat="1" ht="17.25" customHeight="1"/>
    <row r="14912" customFormat="1" ht="17.25" customHeight="1"/>
    <row r="14913" customFormat="1" ht="17.25" customHeight="1"/>
    <row r="14914" customFormat="1" ht="17.25" customHeight="1"/>
    <row r="14915" customFormat="1" ht="17.25" customHeight="1"/>
    <row r="14916" customFormat="1" ht="17.25" customHeight="1"/>
    <row r="14917" customFormat="1" ht="17.25" customHeight="1"/>
    <row r="14918" customFormat="1" ht="17.25" customHeight="1"/>
    <row r="14919" customFormat="1" ht="17.25" customHeight="1"/>
    <row r="14920" customFormat="1" ht="17.25" customHeight="1"/>
    <row r="14921" customFormat="1" ht="17.25" customHeight="1"/>
    <row r="14922" customFormat="1" ht="17.25" customHeight="1"/>
    <row r="14923" customFormat="1" ht="17.25" customHeight="1"/>
    <row r="14924" customFormat="1" ht="17.25" customHeight="1"/>
    <row r="14925" customFormat="1" ht="17.25" customHeight="1"/>
    <row r="14926" customFormat="1" ht="17.25" customHeight="1"/>
    <row r="14927" customFormat="1" ht="17.25" customHeight="1"/>
    <row r="14928" customFormat="1" ht="17.25" customHeight="1"/>
    <row r="14929" customFormat="1" ht="17.25" customHeight="1"/>
    <row r="14930" customFormat="1" ht="17.25" customHeight="1"/>
    <row r="14931" customFormat="1" ht="17.25" customHeight="1"/>
    <row r="14932" customFormat="1" ht="17.25" customHeight="1"/>
    <row r="14933" customFormat="1" ht="17.25" customHeight="1"/>
    <row r="14934" customFormat="1" ht="17.25" customHeight="1"/>
    <row r="14935" customFormat="1" ht="17.25" customHeight="1"/>
    <row r="14936" customFormat="1" ht="17.25" customHeight="1"/>
    <row r="14937" customFormat="1" ht="17.25" customHeight="1"/>
    <row r="14938" customFormat="1" ht="17.25" customHeight="1"/>
    <row r="14939" customFormat="1" ht="17.25" customHeight="1"/>
    <row r="14940" customFormat="1" ht="17.25" customHeight="1"/>
    <row r="14941" customFormat="1" ht="17.25" customHeight="1"/>
    <row r="14942" customFormat="1" ht="17.25" customHeight="1"/>
    <row r="14943" customFormat="1" ht="17.25" customHeight="1"/>
    <row r="14944" customFormat="1" ht="17.25" customHeight="1"/>
    <row r="14945" customFormat="1" ht="17.25" customHeight="1"/>
    <row r="14946" customFormat="1" ht="17.25" customHeight="1"/>
    <row r="14947" customFormat="1" ht="17.25" customHeight="1"/>
    <row r="14948" customFormat="1" ht="17.25" customHeight="1"/>
    <row r="14949" customFormat="1" ht="17.25" customHeight="1"/>
    <row r="14950" customFormat="1" ht="17.25" customHeight="1"/>
    <row r="14951" customFormat="1" ht="17.25" customHeight="1"/>
    <row r="14952" customFormat="1" ht="17.25" customHeight="1"/>
    <row r="14953" customFormat="1" ht="17.25" customHeight="1"/>
    <row r="14954" customFormat="1" ht="17.25" customHeight="1"/>
    <row r="14955" customFormat="1" ht="17.25" customHeight="1"/>
    <row r="14956" customFormat="1" ht="17.25" customHeight="1"/>
    <row r="14957" customFormat="1" ht="17.25" customHeight="1"/>
    <row r="14958" customFormat="1" ht="17.25" customHeight="1"/>
    <row r="14959" customFormat="1" ht="17.25" customHeight="1"/>
    <row r="14960" customFormat="1" ht="17.25" customHeight="1"/>
    <row r="14961" customFormat="1" ht="17.25" customHeight="1"/>
    <row r="14962" customFormat="1" ht="17.25" customHeight="1"/>
    <row r="14963" customFormat="1" ht="17.25" customHeight="1"/>
    <row r="14964" customFormat="1" ht="17.25" customHeight="1"/>
    <row r="14965" customFormat="1" ht="17.25" customHeight="1"/>
    <row r="14966" customFormat="1" ht="17.25" customHeight="1"/>
    <row r="14967" customFormat="1" ht="17.25" customHeight="1"/>
    <row r="14968" customFormat="1" ht="17.25" customHeight="1"/>
    <row r="14969" customFormat="1" ht="17.25" customHeight="1"/>
    <row r="14970" customFormat="1" ht="17.25" customHeight="1"/>
    <row r="14971" customFormat="1" ht="17.25" customHeight="1"/>
    <row r="14972" customFormat="1" ht="17.25" customHeight="1"/>
    <row r="14973" customFormat="1" ht="17.25" customHeight="1"/>
    <row r="14974" customFormat="1" ht="17.25" customHeight="1"/>
    <row r="14975" customFormat="1" ht="17.25" customHeight="1"/>
    <row r="14976" customFormat="1" ht="17.25" customHeight="1"/>
    <row r="14977" customFormat="1" ht="17.25" customHeight="1"/>
    <row r="14978" customFormat="1" ht="17.25" customHeight="1"/>
    <row r="14979" customFormat="1" ht="17.25" customHeight="1"/>
    <row r="14980" customFormat="1" ht="17.25" customHeight="1"/>
    <row r="14981" customFormat="1" ht="17.25" customHeight="1"/>
    <row r="14982" customFormat="1" ht="17.25" customHeight="1"/>
    <row r="14983" customFormat="1" ht="17.25" customHeight="1"/>
    <row r="14984" customFormat="1" ht="17.25" customHeight="1"/>
    <row r="14985" customFormat="1" ht="17.25" customHeight="1"/>
    <row r="14986" customFormat="1" ht="17.25" customHeight="1"/>
    <row r="14987" customFormat="1" ht="17.25" customHeight="1"/>
    <row r="14988" customFormat="1" ht="17.25" customHeight="1"/>
    <row r="14989" customFormat="1" ht="17.25" customHeight="1"/>
    <row r="14990" customFormat="1" ht="17.25" customHeight="1"/>
    <row r="14991" customFormat="1" ht="17.25" customHeight="1"/>
    <row r="14992" customFormat="1" ht="17.25" customHeight="1"/>
    <row r="14993" customFormat="1" ht="17.25" customHeight="1"/>
    <row r="14994" customFormat="1" ht="17.25" customHeight="1"/>
    <row r="14995" customFormat="1" ht="17.25" customHeight="1"/>
    <row r="14996" customFormat="1" ht="17.25" customHeight="1"/>
    <row r="14997" customFormat="1" ht="17.25" customHeight="1"/>
    <row r="14998" customFormat="1" ht="17.25" customHeight="1"/>
    <row r="14999" customFormat="1" ht="17.25" customHeight="1"/>
    <row r="15000" customFormat="1" ht="17.25" customHeight="1"/>
    <row r="15001" customFormat="1" ht="17.25" customHeight="1"/>
    <row r="15002" customFormat="1" ht="17.25" customHeight="1"/>
    <row r="15003" customFormat="1" ht="17.25" customHeight="1"/>
    <row r="15004" customFormat="1" ht="17.25" customHeight="1"/>
    <row r="15005" customFormat="1" ht="17.25" customHeight="1"/>
    <row r="15006" customFormat="1" ht="17.25" customHeight="1"/>
    <row r="15007" customFormat="1" ht="17.25" customHeight="1"/>
    <row r="15008" customFormat="1" ht="17.25" customHeight="1"/>
    <row r="15009" customFormat="1" ht="17.25" customHeight="1"/>
    <row r="15010" customFormat="1" ht="17.25" customHeight="1"/>
    <row r="15011" customFormat="1" ht="17.25" customHeight="1"/>
    <row r="15012" customFormat="1" ht="17.25" customHeight="1"/>
    <row r="15013" customFormat="1" ht="17.25" customHeight="1"/>
    <row r="15014" customFormat="1" ht="17.25" customHeight="1"/>
    <row r="15015" customFormat="1" ht="17.25" customHeight="1"/>
    <row r="15016" customFormat="1" ht="17.25" customHeight="1"/>
    <row r="15017" customFormat="1" ht="17.25" customHeight="1"/>
    <row r="15018" customFormat="1" ht="17.25" customHeight="1"/>
    <row r="15019" customFormat="1" ht="17.25" customHeight="1"/>
    <row r="15020" customFormat="1" ht="17.25" customHeight="1"/>
    <row r="15021" customFormat="1" ht="17.25" customHeight="1"/>
    <row r="15022" customFormat="1" ht="17.25" customHeight="1"/>
    <row r="15023" customFormat="1" ht="17.25" customHeight="1"/>
    <row r="15024" customFormat="1" ht="17.25" customHeight="1"/>
    <row r="15025" customFormat="1" ht="17.25" customHeight="1"/>
    <row r="15026" customFormat="1" ht="17.25" customHeight="1"/>
    <row r="15027" customFormat="1" ht="17.25" customHeight="1"/>
    <row r="15028" customFormat="1" ht="17.25" customHeight="1"/>
    <row r="15029" customFormat="1" ht="17.25" customHeight="1"/>
    <row r="15030" customFormat="1" ht="17.25" customHeight="1"/>
    <row r="15031" customFormat="1" ht="17.25" customHeight="1"/>
    <row r="15032" customFormat="1" ht="17.25" customHeight="1"/>
    <row r="15033" customFormat="1" ht="17.25" customHeight="1"/>
    <row r="15034" customFormat="1" ht="17.25" customHeight="1"/>
    <row r="15035" customFormat="1" ht="17.25" customHeight="1"/>
    <row r="15036" customFormat="1" ht="17.25" customHeight="1"/>
    <row r="15037" customFormat="1" ht="17.25" customHeight="1"/>
    <row r="15038" customFormat="1" ht="17.25" customHeight="1"/>
    <row r="15039" customFormat="1" ht="17.25" customHeight="1"/>
    <row r="15040" customFormat="1" ht="17.25" customHeight="1"/>
    <row r="15041" customFormat="1" ht="17.25" customHeight="1"/>
    <row r="15042" customFormat="1" ht="17.25" customHeight="1"/>
    <row r="15043" customFormat="1" ht="17.25" customHeight="1"/>
    <row r="15044" customFormat="1" ht="17.25" customHeight="1"/>
    <row r="15045" customFormat="1" ht="17.25" customHeight="1"/>
    <row r="15046" customFormat="1" ht="17.25" customHeight="1"/>
    <row r="15047" customFormat="1" ht="17.25" customHeight="1"/>
    <row r="15048" customFormat="1" ht="17.25" customHeight="1"/>
    <row r="15049" customFormat="1" ht="17.25" customHeight="1"/>
    <row r="15050" customFormat="1" ht="17.25" customHeight="1"/>
    <row r="15051" customFormat="1" ht="17.25" customHeight="1"/>
    <row r="15052" customFormat="1" ht="17.25" customHeight="1"/>
    <row r="15053" customFormat="1" ht="17.25" customHeight="1"/>
    <row r="15054" customFormat="1" ht="17.25" customHeight="1"/>
    <row r="15055" customFormat="1" ht="17.25" customHeight="1"/>
    <row r="15056" customFormat="1" ht="17.25" customHeight="1"/>
    <row r="15057" customFormat="1" ht="17.25" customHeight="1"/>
    <row r="15058" customFormat="1" ht="17.25" customHeight="1"/>
    <row r="15059" customFormat="1" ht="17.25" customHeight="1"/>
    <row r="15060" customFormat="1" ht="17.25" customHeight="1"/>
    <row r="15061" customFormat="1" ht="17.25" customHeight="1"/>
    <row r="15062" customFormat="1" ht="17.25" customHeight="1"/>
    <row r="15063" customFormat="1" ht="17.25" customHeight="1"/>
    <row r="15064" customFormat="1" ht="17.25" customHeight="1"/>
    <row r="15065" customFormat="1" ht="17.25" customHeight="1"/>
    <row r="15066" customFormat="1" ht="17.25" customHeight="1"/>
    <row r="15067" customFormat="1" ht="17.25" customHeight="1"/>
    <row r="15068" customFormat="1" ht="17.25" customHeight="1"/>
    <row r="15069" customFormat="1" ht="17.25" customHeight="1"/>
    <row r="15070" customFormat="1" ht="17.25" customHeight="1"/>
    <row r="15071" customFormat="1" ht="17.25" customHeight="1"/>
    <row r="15072" customFormat="1" ht="17.25" customHeight="1"/>
    <row r="15073" customFormat="1" ht="17.25" customHeight="1"/>
    <row r="15074" customFormat="1" ht="17.25" customHeight="1"/>
    <row r="15075" customFormat="1" ht="17.25" customHeight="1"/>
    <row r="15076" customFormat="1" ht="17.25" customHeight="1"/>
    <row r="15077" customFormat="1" ht="17.25" customHeight="1"/>
    <row r="15078" customFormat="1" ht="17.25" customHeight="1"/>
    <row r="15079" customFormat="1" ht="17.25" customHeight="1"/>
    <row r="15080" customFormat="1" ht="17.25" customHeight="1"/>
    <row r="15081" customFormat="1" ht="17.25" customHeight="1"/>
    <row r="15082" customFormat="1" ht="17.25" customHeight="1"/>
    <row r="15083" customFormat="1" ht="17.25" customHeight="1"/>
    <row r="15084" customFormat="1" ht="17.25" customHeight="1"/>
    <row r="15085" customFormat="1" ht="17.25" customHeight="1"/>
    <row r="15086" customFormat="1" ht="17.25" customHeight="1"/>
    <row r="15087" customFormat="1" ht="17.25" customHeight="1"/>
    <row r="15088" customFormat="1" ht="17.25" customHeight="1"/>
    <row r="15089" customFormat="1" ht="17.25" customHeight="1"/>
    <row r="15090" customFormat="1" ht="17.25" customHeight="1"/>
    <row r="15091" customFormat="1" ht="17.25" customHeight="1"/>
    <row r="15092" customFormat="1" ht="17.25" customHeight="1"/>
    <row r="15093" customFormat="1" ht="17.25" customHeight="1"/>
    <row r="15094" customFormat="1" ht="17.25" customHeight="1"/>
    <row r="15095" customFormat="1" ht="17.25" customHeight="1"/>
    <row r="15096" customFormat="1" ht="17.25" customHeight="1"/>
    <row r="15097" customFormat="1" ht="17.25" customHeight="1"/>
    <row r="15098" customFormat="1" ht="17.25" customHeight="1"/>
    <row r="15099" customFormat="1" ht="17.25" customHeight="1"/>
    <row r="15100" customFormat="1" ht="17.25" customHeight="1"/>
    <row r="15101" customFormat="1" ht="17.25" customHeight="1"/>
    <row r="15102" customFormat="1" ht="17.25" customHeight="1"/>
    <row r="15103" customFormat="1" ht="17.25" customHeight="1"/>
    <row r="15104" customFormat="1" ht="17.25" customHeight="1"/>
    <row r="15105" customFormat="1" ht="17.25" customHeight="1"/>
    <row r="15106" customFormat="1" ht="17.25" customHeight="1"/>
    <row r="15107" customFormat="1" ht="17.25" customHeight="1"/>
    <row r="15108" customFormat="1" ht="17.25" customHeight="1"/>
    <row r="15109" customFormat="1" ht="17.25" customHeight="1"/>
    <row r="15110" customFormat="1" ht="17.25" customHeight="1"/>
    <row r="15111" customFormat="1" ht="17.25" customHeight="1"/>
    <row r="15112" customFormat="1" ht="17.25" customHeight="1"/>
    <row r="15113" customFormat="1" ht="17.25" customHeight="1"/>
    <row r="15114" customFormat="1" ht="17.25" customHeight="1"/>
    <row r="15115" customFormat="1" ht="17.25" customHeight="1"/>
    <row r="15116" customFormat="1" ht="17.25" customHeight="1"/>
    <row r="15117" customFormat="1" ht="17.25" customHeight="1"/>
    <row r="15118" customFormat="1" ht="17.25" customHeight="1"/>
    <row r="15119" customFormat="1" ht="17.25" customHeight="1"/>
    <row r="15120" customFormat="1" ht="17.25" customHeight="1"/>
    <row r="15121" customFormat="1" ht="17.25" customHeight="1"/>
    <row r="15122" customFormat="1" ht="17.25" customHeight="1"/>
    <row r="15123" customFormat="1" ht="17.25" customHeight="1"/>
    <row r="15124" customFormat="1" ht="17.25" customHeight="1"/>
    <row r="15125" customFormat="1" ht="17.25" customHeight="1"/>
    <row r="15126" customFormat="1" ht="17.25" customHeight="1"/>
    <row r="15127" customFormat="1" ht="17.25" customHeight="1"/>
    <row r="15128" customFormat="1" ht="17.25" customHeight="1"/>
    <row r="15129" customFormat="1" ht="17.25" customHeight="1"/>
    <row r="15130" customFormat="1" ht="17.25" customHeight="1"/>
    <row r="15131" customFormat="1" ht="17.25" customHeight="1"/>
    <row r="15132" customFormat="1" ht="17.25" customHeight="1"/>
    <row r="15133" customFormat="1" ht="17.25" customHeight="1"/>
    <row r="15134" customFormat="1" ht="17.25" customHeight="1"/>
    <row r="15135" customFormat="1" ht="17.25" customHeight="1"/>
    <row r="15136" customFormat="1" ht="17.25" customHeight="1"/>
    <row r="15137" customFormat="1" ht="17.25" customHeight="1"/>
    <row r="15138" customFormat="1" ht="17.25" customHeight="1"/>
    <row r="15139" customFormat="1" ht="17.25" customHeight="1"/>
    <row r="15140" customFormat="1" ht="17.25" customHeight="1"/>
    <row r="15141" customFormat="1" ht="17.25" customHeight="1"/>
    <row r="15142" customFormat="1" ht="17.25" customHeight="1"/>
    <row r="15143" customFormat="1" ht="17.25" customHeight="1"/>
    <row r="15144" customFormat="1" ht="17.25" customHeight="1"/>
    <row r="15145" customFormat="1" ht="17.25" customHeight="1"/>
    <row r="15146" customFormat="1" ht="17.25" customHeight="1"/>
    <row r="15147" customFormat="1" ht="17.25" customHeight="1"/>
    <row r="15148" customFormat="1" ht="17.25" customHeight="1"/>
    <row r="15149" customFormat="1" ht="17.25" customHeight="1"/>
    <row r="15150" customFormat="1" ht="17.25" customHeight="1"/>
    <row r="15151" customFormat="1" ht="17.25" customHeight="1"/>
    <row r="15152" customFormat="1" ht="17.25" customHeight="1"/>
    <row r="15153" customFormat="1" ht="17.25" customHeight="1"/>
    <row r="15154" customFormat="1" ht="17.25" customHeight="1"/>
    <row r="15155" customFormat="1" ht="17.25" customHeight="1"/>
    <row r="15156" customFormat="1" ht="17.25" customHeight="1"/>
    <row r="15157" customFormat="1" ht="17.25" customHeight="1"/>
    <row r="15158" customFormat="1" ht="17.25" customHeight="1"/>
    <row r="15159" customFormat="1" ht="17.25" customHeight="1"/>
    <row r="15160" customFormat="1" ht="17.25" customHeight="1"/>
    <row r="15161" customFormat="1" ht="17.25" customHeight="1"/>
    <row r="15162" customFormat="1" ht="17.25" customHeight="1"/>
    <row r="15163" customFormat="1" ht="17.25" customHeight="1"/>
    <row r="15164" customFormat="1" ht="17.25" customHeight="1"/>
    <row r="15165" customFormat="1" ht="17.25" customHeight="1"/>
    <row r="15166" customFormat="1" ht="17.25" customHeight="1"/>
    <row r="15167" customFormat="1" ht="17.25" customHeight="1"/>
    <row r="15168" customFormat="1" ht="17.25" customHeight="1"/>
    <row r="15169" customFormat="1" ht="17.25" customHeight="1"/>
    <row r="15170" customFormat="1" ht="17.25" customHeight="1"/>
    <row r="15171" customFormat="1" ht="17.25" customHeight="1"/>
    <row r="15172" customFormat="1" ht="17.25" customHeight="1"/>
    <row r="15173" customFormat="1" ht="17.25" customHeight="1"/>
    <row r="15174" customFormat="1" ht="17.25" customHeight="1"/>
    <row r="15175" customFormat="1" ht="17.25" customHeight="1"/>
    <row r="15176" customFormat="1" ht="17.25" customHeight="1"/>
    <row r="15177" customFormat="1" ht="17.25" customHeight="1"/>
    <row r="15178" customFormat="1" ht="17.25" customHeight="1"/>
    <row r="15179" customFormat="1" ht="17.25" customHeight="1"/>
    <row r="15180" customFormat="1" ht="17.25" customHeight="1"/>
    <row r="15181" customFormat="1" ht="17.25" customHeight="1"/>
    <row r="15182" customFormat="1" ht="17.25" customHeight="1"/>
    <row r="15183" customFormat="1" ht="17.25" customHeight="1"/>
    <row r="15184" customFormat="1" ht="17.25" customHeight="1"/>
    <row r="15185" customFormat="1" ht="17.25" customHeight="1"/>
    <row r="15186" customFormat="1" ht="17.25" customHeight="1"/>
    <row r="15187" customFormat="1" ht="17.25" customHeight="1"/>
    <row r="15188" customFormat="1" ht="17.25" customHeight="1"/>
    <row r="15189" customFormat="1" ht="17.25" customHeight="1"/>
    <row r="15190" customFormat="1" ht="17.25" customHeight="1"/>
    <row r="15191" customFormat="1" ht="17.25" customHeight="1"/>
    <row r="15192" customFormat="1" ht="17.25" customHeight="1"/>
    <row r="15193" customFormat="1" ht="17.25" customHeight="1"/>
    <row r="15194" customFormat="1" ht="17.25" customHeight="1"/>
    <row r="15195" customFormat="1" ht="17.25" customHeight="1"/>
    <row r="15196" customFormat="1" ht="17.25" customHeight="1"/>
    <row r="15197" customFormat="1" ht="17.25" customHeight="1"/>
    <row r="15198" customFormat="1" ht="17.25" customHeight="1"/>
    <row r="15199" customFormat="1" ht="17.25" customHeight="1"/>
    <row r="15200" customFormat="1" ht="17.25" customHeight="1"/>
    <row r="15201" customFormat="1" ht="17.25" customHeight="1"/>
    <row r="15202" customFormat="1" ht="17.25" customHeight="1"/>
    <row r="15203" customFormat="1" ht="17.25" customHeight="1"/>
    <row r="15204" customFormat="1" ht="17.25" customHeight="1"/>
    <row r="15205" customFormat="1" ht="17.25" customHeight="1"/>
    <row r="15206" customFormat="1" ht="17.25" customHeight="1"/>
    <row r="15207" customFormat="1" ht="17.25" customHeight="1"/>
    <row r="15208" customFormat="1" ht="17.25" customHeight="1"/>
    <row r="15209" customFormat="1" ht="17.25" customHeight="1"/>
    <row r="15210" customFormat="1" ht="17.25" customHeight="1"/>
    <row r="15211" customFormat="1" ht="17.25" customHeight="1"/>
    <row r="15212" customFormat="1" ht="17.25" customHeight="1"/>
    <row r="15213" customFormat="1" ht="17.25" customHeight="1"/>
    <row r="15214" customFormat="1" ht="17.25" customHeight="1"/>
    <row r="15215" customFormat="1" ht="17.25" customHeight="1"/>
    <row r="15216" customFormat="1" ht="17.25" customHeight="1"/>
    <row r="15217" customFormat="1" ht="17.25" customHeight="1"/>
    <row r="15218" customFormat="1" ht="17.25" customHeight="1"/>
    <row r="15219" customFormat="1" ht="17.25" customHeight="1"/>
    <row r="15220" customFormat="1" ht="17.25" customHeight="1"/>
    <row r="15221" customFormat="1" ht="17.25" customHeight="1"/>
    <row r="15222" customFormat="1" ht="17.25" customHeight="1"/>
    <row r="15223" customFormat="1" ht="17.25" customHeight="1"/>
    <row r="15224" customFormat="1" ht="17.25" customHeight="1"/>
    <row r="15225" customFormat="1" ht="17.25" customHeight="1"/>
    <row r="15226" customFormat="1" ht="17.25" customHeight="1"/>
    <row r="15227" customFormat="1" ht="17.25" customHeight="1"/>
    <row r="15228" customFormat="1" ht="17.25" customHeight="1"/>
    <row r="15229" customFormat="1" ht="17.25" customHeight="1"/>
    <row r="15230" customFormat="1" ht="17.25" customHeight="1"/>
    <row r="15231" customFormat="1" ht="17.25" customHeight="1"/>
    <row r="15232" customFormat="1" ht="17.25" customHeight="1"/>
    <row r="15233" customFormat="1" ht="17.25" customHeight="1"/>
    <row r="15234" customFormat="1" ht="17.25" customHeight="1"/>
    <row r="15235" customFormat="1" ht="17.25" customHeight="1"/>
    <row r="15236" customFormat="1" ht="17.25" customHeight="1"/>
    <row r="15237" customFormat="1" ht="17.25" customHeight="1"/>
    <row r="15238" customFormat="1" ht="17.25" customHeight="1"/>
    <row r="15239" customFormat="1" ht="17.25" customHeight="1"/>
    <row r="15240" customFormat="1" ht="17.25" customHeight="1"/>
    <row r="15241" customFormat="1" ht="17.25" customHeight="1"/>
    <row r="15242" customFormat="1" ht="17.25" customHeight="1"/>
    <row r="15243" customFormat="1" ht="17.25" customHeight="1"/>
    <row r="15244" customFormat="1" ht="17.25" customHeight="1"/>
    <row r="15245" customFormat="1" ht="17.25" customHeight="1"/>
    <row r="15246" customFormat="1" ht="17.25" customHeight="1"/>
    <row r="15247" customFormat="1" ht="17.25" customHeight="1"/>
    <row r="15248" customFormat="1" ht="17.25" customHeight="1"/>
    <row r="15249" customFormat="1" ht="17.25" customHeight="1"/>
    <row r="15250" customFormat="1" ht="17.25" customHeight="1"/>
    <row r="15251" customFormat="1" ht="17.25" customHeight="1"/>
    <row r="15252" customFormat="1" ht="17.25" customHeight="1"/>
    <row r="15253" customFormat="1" ht="17.25" customHeight="1"/>
    <row r="15254" customFormat="1" ht="17.25" customHeight="1"/>
    <row r="15255" customFormat="1" ht="17.25" customHeight="1"/>
    <row r="15256" customFormat="1" ht="17.25" customHeight="1"/>
    <row r="15257" customFormat="1" ht="17.25" customHeight="1"/>
    <row r="15258" customFormat="1" ht="17.25" customHeight="1"/>
    <row r="15259" customFormat="1" ht="17.25" customHeight="1"/>
    <row r="15260" customFormat="1" ht="17.25" customHeight="1"/>
    <row r="15261" customFormat="1" ht="17.25" customHeight="1"/>
    <row r="15262" customFormat="1" ht="17.25" customHeight="1"/>
    <row r="15263" customFormat="1" ht="17.25" customHeight="1"/>
    <row r="15264" customFormat="1" ht="17.25" customHeight="1"/>
    <row r="15265" customFormat="1" ht="17.25" customHeight="1"/>
    <row r="15266" customFormat="1" ht="17.25" customHeight="1"/>
    <row r="15267" customFormat="1" ht="17.25" customHeight="1"/>
    <row r="15268" customFormat="1" ht="17.25" customHeight="1"/>
    <row r="15269" customFormat="1" ht="17.25" customHeight="1"/>
    <row r="15270" customFormat="1" ht="17.25" customHeight="1"/>
    <row r="15271" customFormat="1" ht="17.25" customHeight="1"/>
    <row r="15272" customFormat="1" ht="17.25" customHeight="1"/>
    <row r="15273" customFormat="1" ht="17.25" customHeight="1"/>
    <row r="15274" customFormat="1" ht="17.25" customHeight="1"/>
    <row r="15275" customFormat="1" ht="17.25" customHeight="1"/>
    <row r="15276" customFormat="1" ht="17.25" customHeight="1"/>
    <row r="15277" customFormat="1" ht="17.25" customHeight="1"/>
    <row r="15278" customFormat="1" ht="17.25" customHeight="1"/>
    <row r="15279" customFormat="1" ht="17.25" customHeight="1"/>
    <row r="15280" customFormat="1" ht="17.25" customHeight="1"/>
    <row r="15281" customFormat="1" ht="17.25" customHeight="1"/>
    <row r="15282" customFormat="1" ht="17.25" customHeight="1"/>
    <row r="15283" customFormat="1" ht="17.25" customHeight="1"/>
    <row r="15284" customFormat="1" ht="17.25" customHeight="1"/>
    <row r="15285" customFormat="1" ht="17.25" customHeight="1"/>
    <row r="15286" customFormat="1" ht="17.25" customHeight="1"/>
    <row r="15287" customFormat="1" ht="17.25" customHeight="1"/>
    <row r="15288" customFormat="1" ht="17.25" customHeight="1"/>
    <row r="15289" customFormat="1" ht="17.25" customHeight="1"/>
    <row r="15290" customFormat="1" ht="17.25" customHeight="1"/>
    <row r="15291" customFormat="1" ht="17.25" customHeight="1"/>
    <row r="15292" customFormat="1" ht="17.25" customHeight="1"/>
    <row r="15293" customFormat="1" ht="17.25" customHeight="1"/>
    <row r="15294" customFormat="1" ht="17.25" customHeight="1"/>
    <row r="15295" customFormat="1" ht="17.25" customHeight="1"/>
    <row r="15296" customFormat="1" ht="17.25" customHeight="1"/>
    <row r="15297" customFormat="1" ht="17.25" customHeight="1"/>
    <row r="15298" customFormat="1" ht="17.25" customHeight="1"/>
    <row r="15299" customFormat="1" ht="17.25" customHeight="1"/>
    <row r="15300" customFormat="1" ht="17.25" customHeight="1"/>
    <row r="15301" customFormat="1" ht="17.25" customHeight="1"/>
    <row r="15302" customFormat="1" ht="17.25" customHeight="1"/>
    <row r="15303" customFormat="1" ht="17.25" customHeight="1"/>
    <row r="15304" customFormat="1" ht="17.25" customHeight="1"/>
    <row r="15305" customFormat="1" ht="17.25" customHeight="1"/>
    <row r="15306" customFormat="1" ht="17.25" customHeight="1"/>
    <row r="15307" customFormat="1" ht="17.25" customHeight="1"/>
    <row r="15308" customFormat="1" ht="17.25" customHeight="1"/>
    <row r="15309" customFormat="1" ht="17.25" customHeight="1"/>
    <row r="15310" customFormat="1" ht="17.25" customHeight="1"/>
    <row r="15311" customFormat="1" ht="17.25" customHeight="1"/>
    <row r="15312" customFormat="1" ht="17.25" customHeight="1"/>
    <row r="15313" customFormat="1" ht="17.25" customHeight="1"/>
    <row r="15314" customFormat="1" ht="17.25" customHeight="1"/>
    <row r="15315" customFormat="1" ht="17.25" customHeight="1"/>
    <row r="15316" customFormat="1" ht="17.25" customHeight="1"/>
    <row r="15317" customFormat="1" ht="17.25" customHeight="1"/>
    <row r="15318" customFormat="1" ht="17.25" customHeight="1"/>
    <row r="15319" customFormat="1" ht="17.25" customHeight="1"/>
    <row r="15320" customFormat="1" ht="17.25" customHeight="1"/>
    <row r="15321" customFormat="1" ht="17.25" customHeight="1"/>
    <row r="15322" customFormat="1" ht="17.25" customHeight="1"/>
    <row r="15323" customFormat="1" ht="17.25" customHeight="1"/>
    <row r="15324" customFormat="1" ht="17.25" customHeight="1"/>
    <row r="15325" customFormat="1" ht="17.25" customHeight="1"/>
    <row r="15326" customFormat="1" ht="17.25" customHeight="1"/>
    <row r="15327" customFormat="1" ht="17.25" customHeight="1"/>
    <row r="15328" customFormat="1" ht="17.25" customHeight="1"/>
    <row r="15329" customFormat="1" ht="17.25" customHeight="1"/>
    <row r="15330" customFormat="1" ht="17.25" customHeight="1"/>
    <row r="15331" customFormat="1" ht="17.25" customHeight="1"/>
    <row r="15332" customFormat="1" ht="17.25" customHeight="1"/>
    <row r="15333" customFormat="1" ht="17.25" customHeight="1"/>
    <row r="15334" customFormat="1" ht="17.25" customHeight="1"/>
    <row r="15335" customFormat="1" ht="17.25" customHeight="1"/>
    <row r="15336" customFormat="1" ht="17.25" customHeight="1"/>
    <row r="15337" customFormat="1" ht="17.25" customHeight="1"/>
    <row r="15338" customFormat="1" ht="17.25" customHeight="1"/>
    <row r="15339" customFormat="1" ht="17.25" customHeight="1"/>
    <row r="15340" customFormat="1" ht="17.25" customHeight="1"/>
    <row r="15341" customFormat="1" ht="17.25" customHeight="1"/>
    <row r="15342" customFormat="1" ht="17.25" customHeight="1"/>
    <row r="15343" customFormat="1" ht="17.25" customHeight="1"/>
    <row r="15344" customFormat="1" ht="17.25" customHeight="1"/>
    <row r="15345" customFormat="1" ht="17.25" customHeight="1"/>
    <row r="15346" customFormat="1" ht="17.25" customHeight="1"/>
    <row r="15347" customFormat="1" ht="17.25" customHeight="1"/>
    <row r="15348" customFormat="1" ht="17.25" customHeight="1"/>
    <row r="15349" customFormat="1" ht="17.25" customHeight="1"/>
    <row r="15350" customFormat="1" ht="17.25" customHeight="1"/>
    <row r="15351" customFormat="1" ht="17.25" customHeight="1"/>
    <row r="15352" customFormat="1" ht="17.25" customHeight="1"/>
    <row r="15353" customFormat="1" ht="17.25" customHeight="1"/>
    <row r="15354" customFormat="1" ht="17.25" customHeight="1"/>
    <row r="15355" customFormat="1" ht="17.25" customHeight="1"/>
    <row r="15356" customFormat="1" ht="17.25" customHeight="1"/>
    <row r="15357" customFormat="1" ht="17.25" customHeight="1"/>
    <row r="15358" customFormat="1" ht="17.25" customHeight="1"/>
    <row r="15359" customFormat="1" ht="17.25" customHeight="1"/>
    <row r="15360" customFormat="1" ht="17.25" customHeight="1"/>
    <row r="15361" customFormat="1" ht="17.25" customHeight="1"/>
    <row r="15362" customFormat="1" ht="17.25" customHeight="1"/>
    <row r="15363" customFormat="1" ht="17.25" customHeight="1"/>
    <row r="15364" customFormat="1" ht="17.25" customHeight="1"/>
    <row r="15365" customFormat="1" ht="17.25" customHeight="1"/>
    <row r="15366" customFormat="1" ht="17.25" customHeight="1"/>
    <row r="15367" customFormat="1" ht="17.25" customHeight="1"/>
    <row r="15368" customFormat="1" ht="17.25" customHeight="1"/>
    <row r="15369" customFormat="1" ht="17.25" customHeight="1"/>
    <row r="15370" customFormat="1" ht="17.25" customHeight="1"/>
    <row r="15371" customFormat="1" ht="17.25" customHeight="1"/>
    <row r="15372" customFormat="1" ht="17.25" customHeight="1"/>
    <row r="15373" customFormat="1" ht="17.25" customHeight="1"/>
    <row r="15374" customFormat="1" ht="17.25" customHeight="1"/>
    <row r="15375" customFormat="1" ht="17.25" customHeight="1"/>
    <row r="15376" customFormat="1" ht="17.25" customHeight="1"/>
    <row r="15377" customFormat="1" ht="17.25" customHeight="1"/>
    <row r="15378" customFormat="1" ht="17.25" customHeight="1"/>
    <row r="15379" customFormat="1" ht="17.25" customHeight="1"/>
    <row r="15380" customFormat="1" ht="17.25" customHeight="1"/>
    <row r="15381" customFormat="1" ht="17.25" customHeight="1"/>
    <row r="15382" customFormat="1" ht="17.25" customHeight="1"/>
    <row r="15383" customFormat="1" ht="17.25" customHeight="1"/>
    <row r="15384" customFormat="1" ht="17.25" customHeight="1"/>
    <row r="15385" customFormat="1" ht="17.25" customHeight="1"/>
    <row r="15386" customFormat="1" ht="17.25" customHeight="1"/>
    <row r="15387" customFormat="1" ht="17.25" customHeight="1"/>
    <row r="15388" customFormat="1" ht="17.25" customHeight="1"/>
    <row r="15389" customFormat="1" ht="17.25" customHeight="1"/>
    <row r="15390" customFormat="1" ht="17.25" customHeight="1"/>
    <row r="15391" customFormat="1" ht="17.25" customHeight="1"/>
    <row r="15392" customFormat="1" ht="17.25" customHeight="1"/>
    <row r="15393" customFormat="1" ht="17.25" customHeight="1"/>
    <row r="15394" customFormat="1" ht="17.25" customHeight="1"/>
    <row r="15395" customFormat="1" ht="17.25" customHeight="1"/>
    <row r="15396" customFormat="1" ht="17.25" customHeight="1"/>
    <row r="15397" customFormat="1" ht="17.25" customHeight="1"/>
    <row r="15398" customFormat="1" ht="17.25" customHeight="1"/>
    <row r="15399" customFormat="1" ht="17.25" customHeight="1"/>
    <row r="15400" customFormat="1" ht="17.25" customHeight="1"/>
    <row r="15401" customFormat="1" ht="17.25" customHeight="1"/>
    <row r="15402" customFormat="1" ht="17.25" customHeight="1"/>
    <row r="15403" customFormat="1" ht="17.25" customHeight="1"/>
    <row r="15404" customFormat="1" ht="17.25" customHeight="1"/>
    <row r="15405" customFormat="1" ht="17.25" customHeight="1"/>
    <row r="15406" customFormat="1" ht="17.25" customHeight="1"/>
    <row r="15407" customFormat="1" ht="17.25" customHeight="1"/>
    <row r="15408" customFormat="1" ht="17.25" customHeight="1"/>
    <row r="15409" customFormat="1" ht="17.25" customHeight="1"/>
    <row r="15410" customFormat="1" ht="17.25" customHeight="1"/>
    <row r="15411" customFormat="1" ht="17.25" customHeight="1"/>
    <row r="15412" customFormat="1" ht="17.25" customHeight="1"/>
    <row r="15413" customFormat="1" ht="17.25" customHeight="1"/>
    <row r="15414" customFormat="1" ht="17.25" customHeight="1"/>
    <row r="15415" customFormat="1" ht="17.25" customHeight="1"/>
    <row r="15416" customFormat="1" ht="17.25" customHeight="1"/>
    <row r="15417" customFormat="1" ht="17.25" customHeight="1"/>
    <row r="15418" customFormat="1" ht="17.25" customHeight="1"/>
    <row r="15419" customFormat="1" ht="17.25" customHeight="1"/>
    <row r="15420" customFormat="1" ht="17.25" customHeight="1"/>
    <row r="15421" customFormat="1" ht="17.25" customHeight="1"/>
    <row r="15422" customFormat="1" ht="17.25" customHeight="1"/>
    <row r="15423" customFormat="1" ht="17.25" customHeight="1"/>
    <row r="15424" customFormat="1" ht="17.25" customHeight="1"/>
    <row r="15425" customFormat="1" ht="17.25" customHeight="1"/>
    <row r="15426" customFormat="1" ht="17.25" customHeight="1"/>
    <row r="15427" customFormat="1" ht="17.25" customHeight="1"/>
    <row r="15428" customFormat="1" ht="17.25" customHeight="1"/>
    <row r="15429" customFormat="1" ht="17.25" customHeight="1"/>
    <row r="15430" customFormat="1" ht="17.25" customHeight="1"/>
    <row r="15431" customFormat="1" ht="17.25" customHeight="1"/>
    <row r="15432" customFormat="1" ht="17.25" customHeight="1"/>
    <row r="15433" customFormat="1" ht="17.25" customHeight="1"/>
    <row r="15434" customFormat="1" ht="17.25" customHeight="1"/>
    <row r="15435" customFormat="1" ht="17.25" customHeight="1"/>
    <row r="15436" customFormat="1" ht="17.25" customHeight="1"/>
    <row r="15437" customFormat="1" ht="17.25" customHeight="1"/>
    <row r="15438" customFormat="1" ht="17.25" customHeight="1"/>
    <row r="15439" customFormat="1" ht="17.25" customHeight="1"/>
    <row r="15440" customFormat="1" ht="17.25" customHeight="1"/>
    <row r="15441" customFormat="1" ht="17.25" customHeight="1"/>
    <row r="15442" customFormat="1" ht="17.25" customHeight="1"/>
    <row r="15443" customFormat="1" ht="17.25" customHeight="1"/>
    <row r="15444" customFormat="1" ht="17.25" customHeight="1"/>
    <row r="15445" customFormat="1" ht="17.25" customHeight="1"/>
    <row r="15446" customFormat="1" ht="17.25" customHeight="1"/>
    <row r="15447" customFormat="1" ht="17.25" customHeight="1"/>
    <row r="15448" customFormat="1" ht="17.25" customHeight="1"/>
    <row r="15449" customFormat="1" ht="17.25" customHeight="1"/>
    <row r="15450" customFormat="1" ht="17.25" customHeight="1"/>
    <row r="15451" customFormat="1" ht="17.25" customHeight="1"/>
    <row r="15452" customFormat="1" ht="17.25" customHeight="1"/>
    <row r="15453" customFormat="1" ht="17.25" customHeight="1"/>
    <row r="15454" customFormat="1" ht="17.25" customHeight="1"/>
    <row r="15455" customFormat="1" ht="17.25" customHeight="1"/>
    <row r="15456" customFormat="1" ht="17.25" customHeight="1"/>
    <row r="15457" customFormat="1" ht="17.25" customHeight="1"/>
    <row r="15458" customFormat="1" ht="17.25" customHeight="1"/>
    <row r="15459" customFormat="1" ht="17.25" customHeight="1"/>
    <row r="15460" customFormat="1" ht="17.25" customHeight="1"/>
    <row r="15461" customFormat="1" ht="17.25" customHeight="1"/>
    <row r="15462" customFormat="1" ht="17.25" customHeight="1"/>
    <row r="15463" customFormat="1" ht="17.25" customHeight="1"/>
    <row r="15464" customFormat="1" ht="17.25" customHeight="1"/>
    <row r="15465" customFormat="1" ht="17.25" customHeight="1"/>
    <row r="15466" customFormat="1" ht="17.25" customHeight="1"/>
    <row r="15467" customFormat="1" ht="17.25" customHeight="1"/>
    <row r="15468" customFormat="1" ht="17.25" customHeight="1"/>
    <row r="15469" customFormat="1" ht="17.25" customHeight="1"/>
    <row r="15470" customFormat="1" ht="17.25" customHeight="1"/>
    <row r="15471" customFormat="1" ht="17.25" customHeight="1"/>
    <row r="15472" customFormat="1" ht="17.25" customHeight="1"/>
    <row r="15473" customFormat="1" ht="17.25" customHeight="1"/>
    <row r="15474" customFormat="1" ht="17.25" customHeight="1"/>
    <row r="15475" customFormat="1" ht="17.25" customHeight="1"/>
    <row r="15476" customFormat="1" ht="17.25" customHeight="1"/>
    <row r="15477" customFormat="1" ht="17.25" customHeight="1"/>
    <row r="15478" customFormat="1" ht="17.25" customHeight="1"/>
    <row r="15479" customFormat="1" ht="17.25" customHeight="1"/>
    <row r="15480" customFormat="1" ht="17.25" customHeight="1"/>
    <row r="15481" customFormat="1" ht="17.25" customHeight="1"/>
    <row r="15482" customFormat="1" ht="17.25" customHeight="1"/>
    <row r="15483" customFormat="1" ht="17.25" customHeight="1"/>
    <row r="15484" customFormat="1" ht="17.25" customHeight="1"/>
    <row r="15485" customFormat="1" ht="17.25" customHeight="1"/>
    <row r="15486" customFormat="1" ht="17.25" customHeight="1"/>
    <row r="15487" customFormat="1" ht="17.25" customHeight="1"/>
    <row r="15488" customFormat="1" ht="17.25" customHeight="1"/>
    <row r="15489" customFormat="1" ht="17.25" customHeight="1"/>
    <row r="15490" customFormat="1" ht="17.25" customHeight="1"/>
    <row r="15491" customFormat="1" ht="17.25" customHeight="1"/>
    <row r="15492" customFormat="1" ht="17.25" customHeight="1"/>
    <row r="15493" customFormat="1" ht="17.25" customHeight="1"/>
    <row r="15494" customFormat="1" ht="17.25" customHeight="1"/>
    <row r="15495" customFormat="1" ht="17.25" customHeight="1"/>
    <row r="15496" customFormat="1" ht="17.25" customHeight="1"/>
    <row r="15497" customFormat="1" ht="17.25" customHeight="1"/>
    <row r="15498" customFormat="1" ht="17.25" customHeight="1"/>
    <row r="15499" customFormat="1" ht="17.25" customHeight="1"/>
    <row r="15500" customFormat="1" ht="17.25" customHeight="1"/>
    <row r="15501" customFormat="1" ht="17.25" customHeight="1"/>
    <row r="15502" customFormat="1" ht="17.25" customHeight="1"/>
    <row r="15503" customFormat="1" ht="17.25" customHeight="1"/>
    <row r="15504" customFormat="1" ht="17.25" customHeight="1"/>
    <row r="15505" customFormat="1" ht="17.25" customHeight="1"/>
    <row r="15506" customFormat="1" ht="17.25" customHeight="1"/>
    <row r="15507" customFormat="1" ht="17.25" customHeight="1"/>
    <row r="15508" customFormat="1" ht="17.25" customHeight="1"/>
    <row r="15509" customFormat="1" ht="17.25" customHeight="1"/>
    <row r="15510" customFormat="1" ht="17.25" customHeight="1"/>
    <row r="15511" customFormat="1" ht="17.25" customHeight="1"/>
    <row r="15512" customFormat="1" ht="17.25" customHeight="1"/>
    <row r="15513" customFormat="1" ht="17.25" customHeight="1"/>
    <row r="15514" customFormat="1" ht="17.25" customHeight="1"/>
    <row r="15515" customFormat="1" ht="17.25" customHeight="1"/>
    <row r="15516" customFormat="1" ht="17.25" customHeight="1"/>
    <row r="15517" customFormat="1" ht="17.25" customHeight="1"/>
    <row r="15518" customFormat="1" ht="17.25" customHeight="1"/>
    <row r="15519" customFormat="1" ht="17.25" customHeight="1"/>
    <row r="15520" customFormat="1" ht="17.25" customHeight="1"/>
    <row r="15521" customFormat="1" ht="17.25" customHeight="1"/>
    <row r="15522" customFormat="1" ht="17.25" customHeight="1"/>
    <row r="15523" customFormat="1" ht="17.25" customHeight="1"/>
    <row r="15524" customFormat="1" ht="17.25" customHeight="1"/>
    <row r="15525" customFormat="1" ht="17.25" customHeight="1"/>
    <row r="15526" customFormat="1" ht="17.25" customHeight="1"/>
    <row r="15527" customFormat="1" ht="17.25" customHeight="1"/>
    <row r="15528" customFormat="1" ht="17.25" customHeight="1"/>
    <row r="15529" customFormat="1" ht="17.25" customHeight="1"/>
    <row r="15530" customFormat="1" ht="17.25" customHeight="1"/>
    <row r="15531" customFormat="1" ht="17.25" customHeight="1"/>
    <row r="15532" customFormat="1" ht="17.25" customHeight="1"/>
    <row r="15533" customFormat="1" ht="17.25" customHeight="1"/>
    <row r="15534" customFormat="1" ht="17.25" customHeight="1"/>
    <row r="15535" customFormat="1" ht="17.25" customHeight="1"/>
    <row r="15536" customFormat="1" ht="17.25" customHeight="1"/>
    <row r="15537" customFormat="1" ht="17.25" customHeight="1"/>
    <row r="15538" customFormat="1" ht="17.25" customHeight="1"/>
    <row r="15539" customFormat="1" ht="17.25" customHeight="1"/>
    <row r="15540" customFormat="1" ht="17.25" customHeight="1"/>
    <row r="15541" customFormat="1" ht="17.25" customHeight="1"/>
    <row r="15542" customFormat="1" ht="17.25" customHeight="1"/>
    <row r="15543" customFormat="1" ht="17.25" customHeight="1"/>
    <row r="15544" customFormat="1" ht="17.25" customHeight="1"/>
    <row r="15545" customFormat="1" ht="17.25" customHeight="1"/>
    <row r="15546" customFormat="1" ht="17.25" customHeight="1"/>
    <row r="15547" customFormat="1" ht="17.25" customHeight="1"/>
    <row r="15548" customFormat="1" ht="17.25" customHeight="1"/>
    <row r="15549" customFormat="1" ht="17.25" customHeight="1"/>
    <row r="15550" customFormat="1" ht="17.25" customHeight="1"/>
    <row r="15551" customFormat="1" ht="17.25" customHeight="1"/>
    <row r="15552" customFormat="1" ht="17.25" customHeight="1"/>
    <row r="15553" customFormat="1" ht="17.25" customHeight="1"/>
    <row r="15554" customFormat="1" ht="17.25" customHeight="1"/>
    <row r="15555" customFormat="1" ht="17.25" customHeight="1"/>
    <row r="15556" customFormat="1" ht="17.25" customHeight="1"/>
    <row r="15557" customFormat="1" ht="17.25" customHeight="1"/>
    <row r="15558" customFormat="1" ht="17.25" customHeight="1"/>
    <row r="15559" customFormat="1" ht="17.25" customHeight="1"/>
    <row r="15560" customFormat="1" ht="17.25" customHeight="1"/>
    <row r="15561" customFormat="1" ht="17.25" customHeight="1"/>
    <row r="15562" customFormat="1" ht="17.25" customHeight="1"/>
    <row r="15563" customFormat="1" ht="17.25" customHeight="1"/>
    <row r="15564" customFormat="1" ht="17.25" customHeight="1"/>
    <row r="15565" customFormat="1" ht="17.25" customHeight="1"/>
    <row r="15566" customFormat="1" ht="17.25" customHeight="1"/>
    <row r="15567" customFormat="1" ht="17.25" customHeight="1"/>
    <row r="15568" customFormat="1" ht="17.25" customHeight="1"/>
    <row r="15569" customFormat="1" ht="17.25" customHeight="1"/>
    <row r="15570" customFormat="1" ht="17.25" customHeight="1"/>
    <row r="15571" customFormat="1" ht="17.25" customHeight="1"/>
    <row r="15572" customFormat="1" ht="17.25" customHeight="1"/>
    <row r="15573" customFormat="1" ht="17.25" customHeight="1"/>
    <row r="15574" customFormat="1" ht="17.25" customHeight="1"/>
    <row r="15575" customFormat="1" ht="17.25" customHeight="1"/>
    <row r="15576" customFormat="1" ht="17.25" customHeight="1"/>
    <row r="15577" customFormat="1" ht="17.25" customHeight="1"/>
    <row r="15578" customFormat="1" ht="17.25" customHeight="1"/>
    <row r="15579" customFormat="1" ht="17.25" customHeight="1"/>
    <row r="15580" customFormat="1" ht="17.25" customHeight="1"/>
    <row r="15581" customFormat="1" ht="17.25" customHeight="1"/>
    <row r="15582" customFormat="1" ht="17.25" customHeight="1"/>
    <row r="15583" customFormat="1" ht="17.25" customHeight="1"/>
    <row r="15584" customFormat="1" ht="17.25" customHeight="1"/>
    <row r="15585" customFormat="1" ht="17.25" customHeight="1"/>
    <row r="15586" customFormat="1" ht="17.25" customHeight="1"/>
    <row r="15587" customFormat="1" ht="17.25" customHeight="1"/>
    <row r="15588" customFormat="1" ht="17.25" customHeight="1"/>
    <row r="15589" customFormat="1" ht="17.25" customHeight="1"/>
    <row r="15590" customFormat="1" ht="17.25" customHeight="1"/>
    <row r="15591" customFormat="1" ht="17.25" customHeight="1"/>
    <row r="15592" customFormat="1" ht="17.25" customHeight="1"/>
    <row r="15593" customFormat="1" ht="17.25" customHeight="1"/>
    <row r="15594" customFormat="1" ht="17.25" customHeight="1"/>
    <row r="15595" customFormat="1" ht="17.25" customHeight="1"/>
    <row r="15596" customFormat="1" ht="17.25" customHeight="1"/>
    <row r="15597" customFormat="1" ht="17.25" customHeight="1"/>
    <row r="15598" customFormat="1" ht="17.25" customHeight="1"/>
    <row r="15599" customFormat="1" ht="17.25" customHeight="1"/>
    <row r="15600" customFormat="1" ht="17.25" customHeight="1"/>
    <row r="15601" customFormat="1" ht="17.25" customHeight="1"/>
    <row r="15602" customFormat="1" ht="17.25" customHeight="1"/>
    <row r="15603" customFormat="1" ht="17.25" customHeight="1"/>
    <row r="15604" customFormat="1" ht="17.25" customHeight="1"/>
    <row r="15605" customFormat="1" ht="17.25" customHeight="1"/>
    <row r="15606" customFormat="1" ht="17.25" customHeight="1"/>
    <row r="15607" customFormat="1" ht="17.25" customHeight="1"/>
    <row r="15608" customFormat="1" ht="17.25" customHeight="1"/>
    <row r="15609" customFormat="1" ht="17.25" customHeight="1"/>
    <row r="15610" customFormat="1" ht="17.25" customHeight="1"/>
    <row r="15611" customFormat="1" ht="17.25" customHeight="1"/>
    <row r="15612" customFormat="1" ht="17.25" customHeight="1"/>
    <row r="15613" customFormat="1" ht="17.25" customHeight="1"/>
    <row r="15614" customFormat="1" ht="17.25" customHeight="1"/>
    <row r="15615" customFormat="1" ht="17.25" customHeight="1"/>
    <row r="15616" customFormat="1" ht="17.25" customHeight="1"/>
    <row r="15617" customFormat="1" ht="17.25" customHeight="1"/>
    <row r="15618" customFormat="1" ht="17.25" customHeight="1"/>
    <row r="15619" customFormat="1" ht="17.25" customHeight="1"/>
    <row r="15620" customFormat="1" ht="17.25" customHeight="1"/>
    <row r="15621" customFormat="1" ht="17.25" customHeight="1"/>
    <row r="15622" customFormat="1" ht="17.25" customHeight="1"/>
    <row r="15623" customFormat="1" ht="17.25" customHeight="1"/>
    <row r="15624" customFormat="1" ht="17.25" customHeight="1"/>
    <row r="15625" customFormat="1" ht="17.25" customHeight="1"/>
    <row r="15626" customFormat="1" ht="17.25" customHeight="1"/>
    <row r="15627" customFormat="1" ht="17.25" customHeight="1"/>
    <row r="15628" customFormat="1" ht="17.25" customHeight="1"/>
    <row r="15629" customFormat="1" ht="17.25" customHeight="1"/>
    <row r="15630" customFormat="1" ht="17.25" customHeight="1"/>
    <row r="15631" customFormat="1" ht="17.25" customHeight="1"/>
    <row r="15632" customFormat="1" ht="17.25" customHeight="1"/>
    <row r="15633" customFormat="1" ht="17.25" customHeight="1"/>
    <row r="15634" customFormat="1" ht="17.25" customHeight="1"/>
    <row r="15635" customFormat="1" ht="17.25" customHeight="1"/>
    <row r="15636" customFormat="1" ht="17.25" customHeight="1"/>
    <row r="15637" customFormat="1" ht="17.25" customHeight="1"/>
    <row r="15638" customFormat="1" ht="17.25" customHeight="1"/>
    <row r="15639" customFormat="1" ht="17.25" customHeight="1"/>
    <row r="15640" customFormat="1" ht="17.25" customHeight="1"/>
    <row r="15641" customFormat="1" ht="17.25" customHeight="1"/>
    <row r="15642" customFormat="1" ht="17.25" customHeight="1"/>
    <row r="15643" customFormat="1" ht="17.25" customHeight="1"/>
    <row r="15644" customFormat="1" ht="17.25" customHeight="1"/>
    <row r="15645" customFormat="1" ht="17.25" customHeight="1"/>
    <row r="15646" customFormat="1" ht="17.25" customHeight="1"/>
    <row r="15647" customFormat="1" ht="17.25" customHeight="1"/>
    <row r="15648" customFormat="1" ht="17.25" customHeight="1"/>
    <row r="15649" customFormat="1" ht="17.25" customHeight="1"/>
    <row r="15650" customFormat="1" ht="17.25" customHeight="1"/>
    <row r="15651" customFormat="1" ht="17.25" customHeight="1"/>
    <row r="15652" customFormat="1" ht="17.25" customHeight="1"/>
    <row r="15653" customFormat="1" ht="17.25" customHeight="1"/>
    <row r="15654" customFormat="1" ht="17.25" customHeight="1"/>
    <row r="15655" customFormat="1" ht="17.25" customHeight="1"/>
    <row r="15656" customFormat="1" ht="17.25" customHeight="1"/>
    <row r="15657" customFormat="1" ht="17.25" customHeight="1"/>
    <row r="15658" customFormat="1" ht="17.25" customHeight="1"/>
    <row r="15659" customFormat="1" ht="17.25" customHeight="1"/>
    <row r="15660" customFormat="1" ht="17.25" customHeight="1"/>
    <row r="15661" customFormat="1" ht="17.25" customHeight="1"/>
    <row r="15662" customFormat="1" ht="17.25" customHeight="1"/>
    <row r="15663" customFormat="1" ht="17.25" customHeight="1"/>
    <row r="15664" customFormat="1" ht="17.25" customHeight="1"/>
    <row r="15665" customFormat="1" ht="17.25" customHeight="1"/>
    <row r="15666" customFormat="1" ht="17.25" customHeight="1"/>
    <row r="15667" customFormat="1" ht="17.25" customHeight="1"/>
    <row r="15668" customFormat="1" ht="17.25" customHeight="1"/>
    <row r="15669" customFormat="1" ht="17.25" customHeight="1"/>
    <row r="15670" customFormat="1" ht="17.25" customHeight="1"/>
    <row r="15671" customFormat="1" ht="17.25" customHeight="1"/>
    <row r="15672" customFormat="1" ht="17.25" customHeight="1"/>
    <row r="15673" customFormat="1" ht="17.25" customHeight="1"/>
    <row r="15674" customFormat="1" ht="17.25" customHeight="1"/>
    <row r="15675" customFormat="1" ht="17.25" customHeight="1"/>
    <row r="15676" customFormat="1" ht="17.25" customHeight="1"/>
    <row r="15677" customFormat="1" ht="17.25" customHeight="1"/>
    <row r="15678" customFormat="1" ht="17.25" customHeight="1"/>
    <row r="15679" customFormat="1" ht="17.25" customHeight="1"/>
    <row r="15680" customFormat="1" ht="17.25" customHeight="1"/>
    <row r="15681" customFormat="1" ht="17.25" customHeight="1"/>
    <row r="15682" customFormat="1" ht="17.25" customHeight="1"/>
    <row r="15683" customFormat="1" ht="17.25" customHeight="1"/>
    <row r="15684" customFormat="1" ht="17.25" customHeight="1"/>
    <row r="15685" customFormat="1" ht="17.25" customHeight="1"/>
    <row r="15686" customFormat="1" ht="17.25" customHeight="1"/>
    <row r="15687" customFormat="1" ht="17.25" customHeight="1"/>
    <row r="15688" customFormat="1" ht="17.25" customHeight="1"/>
    <row r="15689" customFormat="1" ht="17.25" customHeight="1"/>
    <row r="15690" customFormat="1" ht="17.25" customHeight="1"/>
    <row r="15691" customFormat="1" ht="17.25" customHeight="1"/>
    <row r="15692" customFormat="1" ht="17.25" customHeight="1"/>
    <row r="15693" customFormat="1" ht="17.25" customHeight="1"/>
    <row r="15694" customFormat="1" ht="17.25" customHeight="1"/>
    <row r="15695" customFormat="1" ht="17.25" customHeight="1"/>
    <row r="15696" customFormat="1" ht="17.25" customHeight="1"/>
    <row r="15697" customFormat="1" ht="17.25" customHeight="1"/>
    <row r="15698" customFormat="1" ht="17.25" customHeight="1"/>
    <row r="15699" customFormat="1" ht="17.25" customHeight="1"/>
    <row r="15700" customFormat="1" ht="17.25" customHeight="1"/>
    <row r="15701" customFormat="1" ht="17.25" customHeight="1"/>
    <row r="15702" customFormat="1" ht="17.25" customHeight="1"/>
    <row r="15703" customFormat="1" ht="17.25" customHeight="1"/>
    <row r="15704" customFormat="1" ht="17.25" customHeight="1"/>
    <row r="15705" customFormat="1" ht="17.25" customHeight="1"/>
    <row r="15706" customFormat="1" ht="17.25" customHeight="1"/>
    <row r="15707" customFormat="1" ht="17.25" customHeight="1"/>
    <row r="15708" customFormat="1" ht="17.25" customHeight="1"/>
    <row r="15709" customFormat="1" ht="17.25" customHeight="1"/>
    <row r="15710" customFormat="1" ht="17.25" customHeight="1"/>
    <row r="15711" customFormat="1" ht="17.25" customHeight="1"/>
    <row r="15712" customFormat="1" ht="17.25" customHeight="1"/>
    <row r="15713" customFormat="1" ht="17.25" customHeight="1"/>
    <row r="15714" customFormat="1" ht="17.25" customHeight="1"/>
    <row r="15715" customFormat="1" ht="17.25" customHeight="1"/>
    <row r="15716" customFormat="1" ht="17.25" customHeight="1"/>
    <row r="15717" customFormat="1" ht="17.25" customHeight="1"/>
    <row r="15718" customFormat="1" ht="17.25" customHeight="1"/>
    <row r="15719" customFormat="1" ht="17.25" customHeight="1"/>
    <row r="15720" customFormat="1" ht="17.25" customHeight="1"/>
    <row r="15721" customFormat="1" ht="17.25" customHeight="1"/>
    <row r="15722" customFormat="1" ht="17.25" customHeight="1"/>
    <row r="15723" customFormat="1" ht="17.25" customHeight="1"/>
    <row r="15724" customFormat="1" ht="17.25" customHeight="1"/>
    <row r="15725" customFormat="1" ht="17.25" customHeight="1"/>
    <row r="15726" customFormat="1" ht="17.25" customHeight="1"/>
    <row r="15727" customFormat="1" ht="17.25" customHeight="1"/>
    <row r="15728" customFormat="1" ht="17.25" customHeight="1"/>
    <row r="15729" customFormat="1" ht="17.25" customHeight="1"/>
    <row r="15730" customFormat="1" ht="17.25" customHeight="1"/>
    <row r="15731" customFormat="1" ht="17.25" customHeight="1"/>
    <row r="15732" customFormat="1" ht="17.25" customHeight="1"/>
    <row r="15733" customFormat="1" ht="17.25" customHeight="1"/>
    <row r="15734" customFormat="1" ht="17.25" customHeight="1"/>
    <row r="15735" customFormat="1" ht="17.25" customHeight="1"/>
    <row r="15736" customFormat="1" ht="17.25" customHeight="1"/>
    <row r="15737" customFormat="1" ht="17.25" customHeight="1"/>
    <row r="15738" customFormat="1" ht="17.25" customHeight="1"/>
    <row r="15739" customFormat="1" ht="17.25" customHeight="1"/>
    <row r="15740" customFormat="1" ht="17.25" customHeight="1"/>
    <row r="15741" customFormat="1" ht="17.25" customHeight="1"/>
    <row r="15742" customFormat="1" ht="17.25" customHeight="1"/>
    <row r="15743" customFormat="1" ht="17.25" customHeight="1"/>
    <row r="15744" customFormat="1" ht="17.25" customHeight="1"/>
    <row r="15745" customFormat="1" ht="17.25" customHeight="1"/>
    <row r="15746" customFormat="1" ht="17.25" customHeight="1"/>
    <row r="15747" customFormat="1" ht="17.25" customHeight="1"/>
    <row r="15748" customFormat="1" ht="17.25" customHeight="1"/>
    <row r="15749" customFormat="1" ht="17.25" customHeight="1"/>
    <row r="15750" customFormat="1" ht="17.25" customHeight="1"/>
    <row r="15751" customFormat="1" ht="17.25" customHeight="1"/>
    <row r="15752" customFormat="1" ht="17.25" customHeight="1"/>
    <row r="15753" customFormat="1" ht="17.25" customHeight="1"/>
    <row r="15754" customFormat="1" ht="17.25" customHeight="1"/>
    <row r="15755" customFormat="1" ht="17.25" customHeight="1"/>
    <row r="15756" customFormat="1" ht="17.25" customHeight="1"/>
    <row r="15757" customFormat="1" ht="17.25" customHeight="1"/>
    <row r="15758" customFormat="1" ht="17.25" customHeight="1"/>
    <row r="15759" customFormat="1" ht="17.25" customHeight="1"/>
    <row r="15760" customFormat="1" ht="17.25" customHeight="1"/>
    <row r="15761" customFormat="1" ht="17.25" customHeight="1"/>
    <row r="15762" customFormat="1" ht="17.25" customHeight="1"/>
    <row r="15763" customFormat="1" ht="17.25" customHeight="1"/>
    <row r="15764" customFormat="1" ht="17.25" customHeight="1"/>
    <row r="15765" customFormat="1" ht="17.25" customHeight="1"/>
    <row r="15766" customFormat="1" ht="17.25" customHeight="1"/>
    <row r="15767" customFormat="1" ht="17.25" customHeight="1"/>
    <row r="15768" customFormat="1" ht="17.25" customHeight="1"/>
    <row r="15769" customFormat="1" ht="17.25" customHeight="1"/>
    <row r="15770" customFormat="1" ht="17.25" customHeight="1"/>
    <row r="15771" customFormat="1" ht="17.25" customHeight="1"/>
    <row r="15772" customFormat="1" ht="17.25" customHeight="1"/>
    <row r="15773" customFormat="1" ht="17.25" customHeight="1"/>
    <row r="15774" customFormat="1" ht="17.25" customHeight="1"/>
    <row r="15775" customFormat="1" ht="17.25" customHeight="1"/>
    <row r="15776" customFormat="1" ht="17.25" customHeight="1"/>
    <row r="15777" customFormat="1" ht="17.25" customHeight="1"/>
    <row r="15778" customFormat="1" ht="17.25" customHeight="1"/>
    <row r="15779" customFormat="1" ht="17.25" customHeight="1"/>
    <row r="15780" customFormat="1" ht="17.25" customHeight="1"/>
    <row r="15781" customFormat="1" ht="17.25" customHeight="1"/>
    <row r="15782" customFormat="1" ht="17.25" customHeight="1"/>
    <row r="15783" customFormat="1" ht="17.25" customHeight="1"/>
    <row r="15784" customFormat="1" ht="17.25" customHeight="1"/>
    <row r="15785" customFormat="1" ht="17.25" customHeight="1"/>
    <row r="15786" customFormat="1" ht="17.25" customHeight="1"/>
    <row r="15787" customFormat="1" ht="17.25" customHeight="1"/>
    <row r="15788" customFormat="1" ht="17.25" customHeight="1"/>
    <row r="15789" customFormat="1" ht="17.25" customHeight="1"/>
    <row r="15790" customFormat="1" ht="17.25" customHeight="1"/>
    <row r="15791" customFormat="1" ht="17.25" customHeight="1"/>
    <row r="15792" customFormat="1" ht="17.25" customHeight="1"/>
    <row r="15793" customFormat="1" ht="17.25" customHeight="1"/>
    <row r="15794" customFormat="1" ht="17.25" customHeight="1"/>
    <row r="15795" customFormat="1" ht="17.25" customHeight="1"/>
    <row r="15796" customFormat="1" ht="17.25" customHeight="1"/>
    <row r="15797" customFormat="1" ht="17.25" customHeight="1"/>
    <row r="15798" customFormat="1" ht="17.25" customHeight="1"/>
    <row r="15799" customFormat="1" ht="17.25" customHeight="1"/>
    <row r="15800" customFormat="1" ht="17.25" customHeight="1"/>
    <row r="15801" customFormat="1" ht="17.25" customHeight="1"/>
    <row r="15802" customFormat="1" ht="17.25" customHeight="1"/>
    <row r="15803" customFormat="1" ht="17.25" customHeight="1"/>
    <row r="15804" customFormat="1" ht="17.25" customHeight="1"/>
    <row r="15805" customFormat="1" ht="17.25" customHeight="1"/>
    <row r="15806" customFormat="1" ht="17.25" customHeight="1"/>
    <row r="15807" customFormat="1" ht="17.25" customHeight="1"/>
    <row r="15808" customFormat="1" ht="17.25" customHeight="1"/>
    <row r="15809" customFormat="1" ht="17.25" customHeight="1"/>
    <row r="15810" customFormat="1" ht="17.25" customHeight="1"/>
    <row r="15811" customFormat="1" ht="17.25" customHeight="1"/>
    <row r="15812" customFormat="1" ht="17.25" customHeight="1"/>
    <row r="15813" customFormat="1" ht="17.25" customHeight="1"/>
    <row r="15814" customFormat="1" ht="17.25" customHeight="1"/>
    <row r="15815" customFormat="1" ht="17.25" customHeight="1"/>
    <row r="15816" customFormat="1" ht="17.25" customHeight="1"/>
    <row r="15817" customFormat="1" ht="17.25" customHeight="1"/>
    <row r="15818" customFormat="1" ht="17.25" customHeight="1"/>
    <row r="15819" customFormat="1" ht="17.25" customHeight="1"/>
    <row r="15820" customFormat="1" ht="17.25" customHeight="1"/>
    <row r="15821" customFormat="1" ht="17.25" customHeight="1"/>
    <row r="15822" customFormat="1" ht="17.25" customHeight="1"/>
    <row r="15823" customFormat="1" ht="17.25" customHeight="1"/>
    <row r="15824" customFormat="1" ht="17.25" customHeight="1"/>
    <row r="15825" customFormat="1" ht="17.25" customHeight="1"/>
    <row r="15826" customFormat="1" ht="17.25" customHeight="1"/>
    <row r="15827" customFormat="1" ht="17.25" customHeight="1"/>
    <row r="15828" customFormat="1" ht="17.25" customHeight="1"/>
    <row r="15829" customFormat="1" ht="17.25" customHeight="1"/>
    <row r="15830" customFormat="1" ht="17.25" customHeight="1"/>
    <row r="15831" customFormat="1" ht="17.25" customHeight="1"/>
    <row r="15832" customFormat="1" ht="17.25" customHeight="1"/>
    <row r="15833" customFormat="1" ht="17.25" customHeight="1"/>
    <row r="15834" customFormat="1" ht="17.25" customHeight="1"/>
    <row r="15835" customFormat="1" ht="17.25" customHeight="1"/>
    <row r="15836" customFormat="1" ht="17.25" customHeight="1"/>
    <row r="15837" customFormat="1" ht="17.25" customHeight="1"/>
    <row r="15838" customFormat="1" ht="17.25" customHeight="1"/>
    <row r="15839" customFormat="1" ht="17.25" customHeight="1"/>
    <row r="15840" customFormat="1" ht="17.25" customHeight="1"/>
    <row r="15841" customFormat="1" ht="17.25" customHeight="1"/>
    <row r="15842" customFormat="1" ht="17.25" customHeight="1"/>
    <row r="15843" customFormat="1" ht="17.25" customHeight="1"/>
    <row r="15844" customFormat="1" ht="17.25" customHeight="1"/>
    <row r="15845" customFormat="1" ht="17.25" customHeight="1"/>
    <row r="15846" customFormat="1" ht="17.25" customHeight="1"/>
    <row r="15847" customFormat="1" ht="17.25" customHeight="1"/>
    <row r="15848" customFormat="1" ht="17.25" customHeight="1"/>
    <row r="15849" customFormat="1" ht="17.25" customHeight="1"/>
    <row r="15850" customFormat="1" ht="17.25" customHeight="1"/>
    <row r="15851" customFormat="1" ht="17.25" customHeight="1"/>
    <row r="15852" customFormat="1" ht="17.25" customHeight="1"/>
    <row r="15853" customFormat="1" ht="17.25" customHeight="1"/>
    <row r="15854" customFormat="1" ht="17.25" customHeight="1"/>
    <row r="15855" customFormat="1" ht="17.25" customHeight="1"/>
    <row r="15856" customFormat="1" ht="17.25" customHeight="1"/>
    <row r="15857" customFormat="1" ht="17.25" customHeight="1"/>
    <row r="15858" customFormat="1" ht="17.25" customHeight="1"/>
    <row r="15859" customFormat="1" ht="17.25" customHeight="1"/>
    <row r="15860" customFormat="1" ht="17.25" customHeight="1"/>
    <row r="15861" customFormat="1" ht="17.25" customHeight="1"/>
    <row r="15862" customFormat="1" ht="17.25" customHeight="1"/>
    <row r="15863" customFormat="1" ht="17.25" customHeight="1"/>
    <row r="15864" customFormat="1" ht="17.25" customHeight="1"/>
    <row r="15865" customFormat="1" ht="17.25" customHeight="1"/>
    <row r="15866" customFormat="1" ht="17.25" customHeight="1"/>
    <row r="15867" customFormat="1" ht="17.25" customHeight="1"/>
    <row r="15868" customFormat="1" ht="17.25" customHeight="1"/>
    <row r="15869" customFormat="1" ht="17.25" customHeight="1"/>
    <row r="15870" customFormat="1" ht="17.25" customHeight="1"/>
    <row r="15871" customFormat="1" ht="17.25" customHeight="1"/>
    <row r="15872" customFormat="1" ht="17.25" customHeight="1"/>
    <row r="15873" customFormat="1" ht="17.25" customHeight="1"/>
    <row r="15874" customFormat="1" ht="17.25" customHeight="1"/>
    <row r="15875" customFormat="1" ht="17.25" customHeight="1"/>
    <row r="15876" customFormat="1" ht="17.25" customHeight="1"/>
    <row r="15877" customFormat="1" ht="17.25" customHeight="1"/>
    <row r="15878" customFormat="1" ht="17.25" customHeight="1"/>
    <row r="15879" customFormat="1" ht="17.25" customHeight="1"/>
    <row r="15880" customFormat="1" ht="17.25" customHeight="1"/>
    <row r="15881" customFormat="1" ht="17.25" customHeight="1"/>
    <row r="15882" customFormat="1" ht="17.25" customHeight="1"/>
    <row r="15883" customFormat="1" ht="17.25" customHeight="1"/>
    <row r="15884" customFormat="1" ht="17.25" customHeight="1"/>
    <row r="15885" customFormat="1" ht="17.25" customHeight="1"/>
    <row r="15886" customFormat="1" ht="17.25" customHeight="1"/>
    <row r="15887" customFormat="1" ht="17.25" customHeight="1"/>
    <row r="15888" customFormat="1" ht="17.25" customHeight="1"/>
    <row r="15889" customFormat="1" ht="17.25" customHeight="1"/>
    <row r="15890" customFormat="1" ht="17.25" customHeight="1"/>
    <row r="15891" customFormat="1" ht="17.25" customHeight="1"/>
    <row r="15892" customFormat="1" ht="17.25" customHeight="1"/>
    <row r="15893" customFormat="1" ht="17.25" customHeight="1"/>
    <row r="15894" customFormat="1" ht="17.25" customHeight="1"/>
    <row r="15895" customFormat="1" ht="17.25" customHeight="1"/>
    <row r="15896" customFormat="1" ht="17.25" customHeight="1"/>
    <row r="15897" customFormat="1" ht="17.25" customHeight="1"/>
    <row r="15898" customFormat="1" ht="17.25" customHeight="1"/>
    <row r="15899" customFormat="1" ht="17.25" customHeight="1"/>
    <row r="15900" customFormat="1" ht="17.25" customHeight="1"/>
    <row r="15901" customFormat="1" ht="17.25" customHeight="1"/>
    <row r="15902" customFormat="1" ht="17.25" customHeight="1"/>
    <row r="15903" customFormat="1" ht="17.25" customHeight="1"/>
    <row r="15904" customFormat="1" ht="17.25" customHeight="1"/>
    <row r="15905" customFormat="1" ht="17.25" customHeight="1"/>
    <row r="15906" customFormat="1" ht="17.25" customHeight="1"/>
    <row r="15907" customFormat="1" ht="17.25" customHeight="1"/>
    <row r="15908" customFormat="1" ht="17.25" customHeight="1"/>
    <row r="15909" customFormat="1" ht="17.25" customHeight="1"/>
    <row r="15910" customFormat="1" ht="17.25" customHeight="1"/>
    <row r="15911" customFormat="1" ht="17.25" customHeight="1"/>
    <row r="15912" customFormat="1" ht="17.25" customHeight="1"/>
    <row r="15913" customFormat="1" ht="17.25" customHeight="1"/>
    <row r="15914" customFormat="1" ht="17.25" customHeight="1"/>
    <row r="15915" customFormat="1" ht="17.25" customHeight="1"/>
    <row r="15916" customFormat="1" ht="17.25" customHeight="1"/>
    <row r="15917" customFormat="1" ht="17.25" customHeight="1"/>
    <row r="15918" customFormat="1" ht="17.25" customHeight="1"/>
    <row r="15919" customFormat="1" ht="17.25" customHeight="1"/>
    <row r="15920" customFormat="1" ht="17.25" customHeight="1"/>
    <row r="15921" customFormat="1" ht="17.25" customHeight="1"/>
    <row r="15922" customFormat="1" ht="17.25" customHeight="1"/>
    <row r="15923" customFormat="1" ht="17.25" customHeight="1"/>
    <row r="15924" customFormat="1" ht="17.25" customHeight="1"/>
    <row r="15925" customFormat="1" ht="17.25" customHeight="1"/>
    <row r="15926" customFormat="1" ht="17.25" customHeight="1"/>
    <row r="15927" customFormat="1" ht="17.25" customHeight="1"/>
    <row r="15928" customFormat="1" ht="17.25" customHeight="1"/>
    <row r="15929" customFormat="1" ht="17.25" customHeight="1"/>
    <row r="15930" customFormat="1" ht="17.25" customHeight="1"/>
    <row r="15931" customFormat="1" ht="17.25" customHeight="1"/>
    <row r="15932" customFormat="1" ht="17.25" customHeight="1"/>
    <row r="15933" customFormat="1" ht="17.25" customHeight="1"/>
    <row r="15934" customFormat="1" ht="17.25" customHeight="1"/>
    <row r="15935" customFormat="1" ht="17.25" customHeight="1"/>
    <row r="15936" customFormat="1" ht="17.25" customHeight="1"/>
    <row r="15937" customFormat="1" ht="17.25" customHeight="1"/>
    <row r="15938" customFormat="1" ht="17.25" customHeight="1"/>
    <row r="15939" customFormat="1" ht="17.25" customHeight="1"/>
    <row r="15940" customFormat="1" ht="17.25" customHeight="1"/>
    <row r="15941" customFormat="1" ht="17.25" customHeight="1"/>
    <row r="15942" customFormat="1" ht="17.25" customHeight="1"/>
    <row r="15943" customFormat="1" ht="17.25" customHeight="1"/>
    <row r="15944" customFormat="1" ht="17.25" customHeight="1"/>
    <row r="15945" customFormat="1" ht="17.25" customHeight="1"/>
    <row r="15946" customFormat="1" ht="17.25" customHeight="1"/>
    <row r="15947" customFormat="1" ht="17.25" customHeight="1"/>
    <row r="15948" customFormat="1" ht="17.25" customHeight="1"/>
    <row r="15949" customFormat="1" ht="17.25" customHeight="1"/>
    <row r="15950" customFormat="1" ht="17.25" customHeight="1"/>
    <row r="15951" customFormat="1" ht="17.25" customHeight="1"/>
    <row r="15952" customFormat="1" ht="17.25" customHeight="1"/>
    <row r="15953" customFormat="1" ht="17.25" customHeight="1"/>
    <row r="15954" customFormat="1" ht="17.25" customHeight="1"/>
    <row r="15955" customFormat="1" ht="17.25" customHeight="1"/>
    <row r="15956" customFormat="1" ht="17.25" customHeight="1"/>
    <row r="15957" customFormat="1" ht="17.25" customHeight="1"/>
    <row r="15958" customFormat="1" ht="17.25" customHeight="1"/>
    <row r="15959" customFormat="1" ht="17.25" customHeight="1"/>
    <row r="15960" customFormat="1" ht="17.25" customHeight="1"/>
    <row r="15961" customFormat="1" ht="17.25" customHeight="1"/>
    <row r="15962" customFormat="1" ht="17.25" customHeight="1"/>
    <row r="15963" customFormat="1" ht="17.25" customHeight="1"/>
    <row r="15964" customFormat="1" ht="17.25" customHeight="1"/>
    <row r="15965" customFormat="1" ht="17.25" customHeight="1"/>
    <row r="15966" customFormat="1" ht="17.25" customHeight="1"/>
    <row r="15967" customFormat="1" ht="17.25" customHeight="1"/>
    <row r="15968" customFormat="1" ht="17.25" customHeight="1"/>
    <row r="15969" customFormat="1" ht="17.25" customHeight="1"/>
    <row r="15970" customFormat="1" ht="17.25" customHeight="1"/>
    <row r="15971" customFormat="1" ht="17.25" customHeight="1"/>
    <row r="15972" customFormat="1" ht="17.25" customHeight="1"/>
    <row r="15973" customFormat="1" ht="17.25" customHeight="1"/>
    <row r="15974" customFormat="1" ht="17.25" customHeight="1"/>
    <row r="15975" customFormat="1" ht="17.25" customHeight="1"/>
    <row r="15976" customFormat="1" ht="17.25" customHeight="1"/>
    <row r="15977" customFormat="1" ht="17.25" customHeight="1"/>
    <row r="15978" customFormat="1" ht="17.25" customHeight="1"/>
    <row r="15979" customFormat="1" ht="17.25" customHeight="1"/>
    <row r="15980" customFormat="1" ht="17.25" customHeight="1"/>
    <row r="15981" customFormat="1" ht="17.25" customHeight="1"/>
    <row r="15982" customFormat="1" ht="17.25" customHeight="1"/>
    <row r="15983" customFormat="1" ht="17.25" customHeight="1"/>
    <row r="15984" customFormat="1" ht="17.25" customHeight="1"/>
    <row r="15985" customFormat="1" ht="17.25" customHeight="1"/>
    <row r="15986" customFormat="1" ht="17.25" customHeight="1"/>
    <row r="15987" customFormat="1" ht="17.25" customHeight="1"/>
    <row r="15988" customFormat="1" ht="17.25" customHeight="1"/>
    <row r="15989" customFormat="1" ht="17.25" customHeight="1"/>
    <row r="15990" customFormat="1" ht="17.25" customHeight="1"/>
    <row r="15991" customFormat="1" ht="17.25" customHeight="1"/>
    <row r="15992" customFormat="1" ht="17.25" customHeight="1"/>
    <row r="15993" customFormat="1" ht="17.25" customHeight="1"/>
    <row r="15994" customFormat="1" ht="17.25" customHeight="1"/>
    <row r="15995" customFormat="1" ht="17.25" customHeight="1"/>
    <row r="15996" customFormat="1" ht="17.25" customHeight="1"/>
    <row r="15997" customFormat="1" ht="17.25" customHeight="1"/>
    <row r="15998" customFormat="1" ht="17.25" customHeight="1"/>
    <row r="15999" customFormat="1" ht="17.25" customHeight="1"/>
    <row r="16000" customFormat="1" ht="17.25" customHeight="1"/>
    <row r="16001" customFormat="1" ht="17.25" customHeight="1"/>
    <row r="16002" customFormat="1" ht="17.25" customHeight="1"/>
    <row r="16003" customFormat="1" ht="17.25" customHeight="1"/>
    <row r="16004" customFormat="1" ht="17.25" customHeight="1"/>
    <row r="16005" customFormat="1" ht="17.25" customHeight="1"/>
    <row r="16006" customFormat="1" ht="17.25" customHeight="1"/>
    <row r="16007" customFormat="1" ht="17.25" customHeight="1"/>
    <row r="16008" customFormat="1" ht="17.25" customHeight="1"/>
    <row r="16009" customFormat="1" ht="17.25" customHeight="1"/>
    <row r="16010" customFormat="1" ht="17.25" customHeight="1"/>
    <row r="16011" customFormat="1" ht="17.25" customHeight="1"/>
    <row r="16012" customFormat="1" ht="17.25" customHeight="1"/>
    <row r="16013" customFormat="1" ht="17.25" customHeight="1"/>
    <row r="16014" customFormat="1" ht="17.25" customHeight="1"/>
    <row r="16015" customFormat="1" ht="17.25" customHeight="1"/>
    <row r="16016" customFormat="1" ht="17.25" customHeight="1"/>
    <row r="16017" customFormat="1" ht="17.25" customHeight="1"/>
    <row r="16018" customFormat="1" ht="17.25" customHeight="1"/>
    <row r="16019" customFormat="1" ht="17.25" customHeight="1"/>
    <row r="16020" customFormat="1" ht="17.25" customHeight="1"/>
    <row r="16021" customFormat="1" ht="17.25" customHeight="1"/>
    <row r="16022" customFormat="1" ht="17.25" customHeight="1"/>
    <row r="16023" customFormat="1" ht="17.25" customHeight="1"/>
    <row r="16024" customFormat="1" ht="17.25" customHeight="1"/>
    <row r="16025" customFormat="1" ht="17.25" customHeight="1"/>
    <row r="16026" customFormat="1" ht="17.25" customHeight="1"/>
    <row r="16027" customFormat="1" ht="17.25" customHeight="1"/>
    <row r="16028" customFormat="1" ht="17.25" customHeight="1"/>
    <row r="16029" customFormat="1" ht="17.25" customHeight="1"/>
    <row r="16030" customFormat="1" ht="17.25" customHeight="1"/>
    <row r="16031" customFormat="1" ht="17.25" customHeight="1"/>
    <row r="16032" customFormat="1" ht="17.25" customHeight="1"/>
    <row r="16033" customFormat="1" ht="17.25" customHeight="1"/>
    <row r="16034" customFormat="1" ht="17.25" customHeight="1"/>
    <row r="16035" customFormat="1" ht="17.25" customHeight="1"/>
    <row r="16036" customFormat="1" ht="17.25" customHeight="1"/>
    <row r="16037" customFormat="1" ht="17.25" customHeight="1"/>
    <row r="16038" customFormat="1" ht="17.25" customHeight="1"/>
    <row r="16039" customFormat="1" ht="17.25" customHeight="1"/>
    <row r="16040" customFormat="1" ht="17.25" customHeight="1"/>
    <row r="16041" customFormat="1" ht="17.25" customHeight="1"/>
    <row r="16042" customFormat="1" ht="17.25" customHeight="1"/>
    <row r="16043" customFormat="1" ht="17.25" customHeight="1"/>
    <row r="16044" customFormat="1" ht="17.25" customHeight="1"/>
    <row r="16045" customFormat="1" ht="17.25" customHeight="1"/>
    <row r="16046" customFormat="1" ht="17.25" customHeight="1"/>
    <row r="16047" customFormat="1" ht="17.25" customHeight="1"/>
    <row r="16048" customFormat="1" ht="17.25" customHeight="1"/>
    <row r="16049" customFormat="1" ht="17.25" customHeight="1"/>
    <row r="16050" customFormat="1" ht="17.25" customHeight="1"/>
    <row r="16051" customFormat="1" ht="17.25" customHeight="1"/>
    <row r="16052" customFormat="1" ht="17.25" customHeight="1"/>
    <row r="16053" customFormat="1" ht="17.25" customHeight="1"/>
    <row r="16054" customFormat="1" ht="17.25" customHeight="1"/>
    <row r="16055" customFormat="1" ht="17.25" customHeight="1"/>
    <row r="16056" customFormat="1" ht="17.25" customHeight="1"/>
    <row r="16057" customFormat="1" ht="17.25" customHeight="1"/>
    <row r="16058" customFormat="1" ht="17.25" customHeight="1"/>
    <row r="16059" customFormat="1" ht="17.25" customHeight="1"/>
    <row r="16060" customFormat="1" ht="17.25" customHeight="1"/>
    <row r="16061" customFormat="1" ht="17.25" customHeight="1"/>
    <row r="16062" customFormat="1" ht="17.25" customHeight="1"/>
    <row r="16063" customFormat="1" ht="17.25" customHeight="1"/>
    <row r="16064" customFormat="1" ht="17.25" customHeight="1"/>
    <row r="16065" customFormat="1" ht="17.25" customHeight="1"/>
    <row r="16066" customFormat="1" ht="17.25" customHeight="1"/>
    <row r="16067" customFormat="1" ht="17.25" customHeight="1"/>
    <row r="16068" customFormat="1" ht="17.25" customHeight="1"/>
    <row r="16069" customFormat="1" ht="17.25" customHeight="1"/>
    <row r="16070" customFormat="1" ht="17.25" customHeight="1"/>
    <row r="16071" customFormat="1" ht="17.25" customHeight="1"/>
    <row r="16072" customFormat="1" ht="17.25" customHeight="1"/>
    <row r="16073" customFormat="1" ht="17.25" customHeight="1"/>
    <row r="16074" customFormat="1" ht="17.25" customHeight="1"/>
    <row r="16075" customFormat="1" ht="17.25" customHeight="1"/>
    <row r="16076" customFormat="1" ht="17.25" customHeight="1"/>
    <row r="16077" customFormat="1" ht="17.25" customHeight="1"/>
    <row r="16078" customFormat="1" ht="17.25" customHeight="1"/>
    <row r="16079" customFormat="1" ht="17.25" customHeight="1"/>
    <row r="16080" customFormat="1" ht="17.25" customHeight="1"/>
    <row r="16081" customFormat="1" ht="17.25" customHeight="1"/>
    <row r="16082" customFormat="1" ht="17.25" customHeight="1"/>
    <row r="16083" customFormat="1" ht="17.25" customHeight="1"/>
    <row r="16084" customFormat="1" ht="17.25" customHeight="1"/>
    <row r="16085" customFormat="1" ht="17.25" customHeight="1"/>
    <row r="16086" customFormat="1" ht="17.25" customHeight="1"/>
    <row r="16087" customFormat="1" ht="17.25" customHeight="1"/>
    <row r="16088" customFormat="1" ht="17.25" customHeight="1"/>
    <row r="16089" customFormat="1" ht="17.25" customHeight="1"/>
    <row r="16090" customFormat="1" ht="17.25" customHeight="1"/>
    <row r="16091" customFormat="1" ht="17.25" customHeight="1"/>
    <row r="16092" customFormat="1" ht="17.25" customHeight="1"/>
    <row r="16093" customFormat="1" ht="17.25" customHeight="1"/>
    <row r="16094" customFormat="1" ht="17.25" customHeight="1"/>
    <row r="16095" customFormat="1" ht="17.25" customHeight="1"/>
    <row r="16096" customFormat="1" ht="17.25" customHeight="1"/>
    <row r="16097" customFormat="1" ht="17.25" customHeight="1"/>
    <row r="16098" customFormat="1" ht="17.25" customHeight="1"/>
    <row r="16099" customFormat="1" ht="17.25" customHeight="1"/>
    <row r="16100" customFormat="1" ht="17.25" customHeight="1"/>
    <row r="16101" customFormat="1" ht="17.25" customHeight="1"/>
    <row r="16102" customFormat="1" ht="17.25" customHeight="1"/>
    <row r="16103" customFormat="1" ht="17.25" customHeight="1"/>
    <row r="16104" customFormat="1" ht="17.25" customHeight="1"/>
    <row r="16105" customFormat="1" ht="17.25" customHeight="1"/>
    <row r="16106" customFormat="1" ht="17.25" customHeight="1"/>
    <row r="16107" customFormat="1" ht="17.25" customHeight="1"/>
    <row r="16108" customFormat="1" ht="17.25" customHeight="1"/>
    <row r="16109" customFormat="1" ht="17.25" customHeight="1"/>
    <row r="16110" customFormat="1" ht="17.25" customHeight="1"/>
    <row r="16111" customFormat="1" ht="17.25" customHeight="1"/>
    <row r="16112" customFormat="1" ht="17.25" customHeight="1"/>
    <row r="16113" customFormat="1" ht="17.25" customHeight="1"/>
    <row r="16114" customFormat="1" ht="17.25" customHeight="1"/>
    <row r="16115" customFormat="1" ht="17.25" customHeight="1"/>
    <row r="16116" customFormat="1" ht="17.25" customHeight="1"/>
    <row r="16117" customFormat="1" ht="17.25" customHeight="1"/>
    <row r="16118" customFormat="1" ht="17.25" customHeight="1"/>
    <row r="16119" customFormat="1" ht="17.25" customHeight="1"/>
    <row r="16120" customFormat="1" ht="17.25" customHeight="1"/>
    <row r="16121" customFormat="1" ht="17.25" customHeight="1"/>
    <row r="16122" customFormat="1" ht="17.25" customHeight="1"/>
    <row r="16123" customFormat="1" ht="17.25" customHeight="1"/>
    <row r="16124" customFormat="1" ht="17.25" customHeight="1"/>
    <row r="16125" customFormat="1" ht="17.25" customHeight="1"/>
    <row r="16126" customFormat="1" ht="17.25" customHeight="1"/>
    <row r="16127" customFormat="1" ht="17.25" customHeight="1"/>
    <row r="16128" customFormat="1" ht="17.25" customHeight="1"/>
    <row r="16129" customFormat="1" ht="17.25" customHeight="1"/>
    <row r="16130" customFormat="1" ht="17.25" customHeight="1"/>
    <row r="16131" customFormat="1" ht="17.25" customHeight="1"/>
    <row r="16132" customFormat="1" ht="17.25" customHeight="1"/>
    <row r="16133" customFormat="1" ht="17.25" customHeight="1"/>
    <row r="16134" customFormat="1" ht="17.25" customHeight="1"/>
    <row r="16135" customFormat="1" ht="17.25" customHeight="1"/>
    <row r="16136" customFormat="1" ht="17.25" customHeight="1"/>
    <row r="16137" customFormat="1" ht="17.25" customHeight="1"/>
    <row r="16138" customFormat="1" ht="17.25" customHeight="1"/>
    <row r="16139" customFormat="1" ht="17.25" customHeight="1"/>
    <row r="16140" customFormat="1" ht="17.25" customHeight="1"/>
    <row r="16141" customFormat="1" ht="17.25" customHeight="1"/>
    <row r="16142" customFormat="1" ht="17.25" customHeight="1"/>
    <row r="16143" customFormat="1" ht="17.25" customHeight="1"/>
    <row r="16144" customFormat="1" ht="17.25" customHeight="1"/>
    <row r="16145" customFormat="1" ht="17.25" customHeight="1"/>
    <row r="16146" customFormat="1" ht="17.25" customHeight="1"/>
    <row r="16147" customFormat="1" ht="17.25" customHeight="1"/>
    <row r="16148" customFormat="1" ht="17.25" customHeight="1"/>
    <row r="16149" customFormat="1" ht="17.25" customHeight="1"/>
    <row r="16150" customFormat="1" ht="17.25" customHeight="1"/>
    <row r="16151" customFormat="1" ht="17.25" customHeight="1"/>
    <row r="16152" customFormat="1" ht="17.25" customHeight="1"/>
    <row r="16153" customFormat="1" ht="17.25" customHeight="1"/>
    <row r="16154" customFormat="1" ht="17.25" customHeight="1"/>
    <row r="16155" customFormat="1" ht="17.25" customHeight="1"/>
    <row r="16156" customFormat="1" ht="17.25" customHeight="1"/>
    <row r="16157" customFormat="1" ht="17.25" customHeight="1"/>
    <row r="16158" customFormat="1" ht="17.25" customHeight="1"/>
    <row r="16159" customFormat="1" ht="17.25" customHeight="1"/>
    <row r="16160" customFormat="1" ht="17.25" customHeight="1"/>
    <row r="16161" customFormat="1" ht="17.25" customHeight="1"/>
    <row r="16162" customFormat="1" ht="17.25" customHeight="1"/>
    <row r="16163" customFormat="1" ht="17.25" customHeight="1"/>
    <row r="16164" customFormat="1" ht="17.25" customHeight="1"/>
    <row r="16165" customFormat="1" ht="17.25" customHeight="1"/>
    <row r="16166" customFormat="1" ht="17.25" customHeight="1"/>
    <row r="16167" customFormat="1" ht="17.25" customHeight="1"/>
    <row r="16168" customFormat="1" ht="17.25" customHeight="1"/>
    <row r="16169" customFormat="1" ht="17.25" customHeight="1"/>
    <row r="16170" customFormat="1" ht="17.25" customHeight="1"/>
    <row r="16171" customFormat="1" ht="17.25" customHeight="1"/>
    <row r="16172" customFormat="1" ht="17.25" customHeight="1"/>
    <row r="16173" customFormat="1" ht="17.25" customHeight="1"/>
    <row r="16174" customFormat="1" ht="17.25" customHeight="1"/>
    <row r="16175" customFormat="1" ht="17.25" customHeight="1"/>
    <row r="16176" customFormat="1" ht="17.25" customHeight="1"/>
    <row r="16177" customFormat="1" ht="17.25" customHeight="1"/>
    <row r="16178" customFormat="1" ht="17.25" customHeight="1"/>
    <row r="16179" customFormat="1" ht="17.25" customHeight="1"/>
    <row r="16180" customFormat="1" ht="17.25" customHeight="1"/>
    <row r="16181" customFormat="1" ht="17.25" customHeight="1"/>
    <row r="16182" customFormat="1" ht="17.25" customHeight="1"/>
    <row r="16183" customFormat="1" ht="17.25" customHeight="1"/>
    <row r="16184" customFormat="1" ht="17.25" customHeight="1"/>
    <row r="16185" customFormat="1" ht="17.25" customHeight="1"/>
    <row r="16186" customFormat="1" ht="17.25" customHeight="1"/>
    <row r="16187" customFormat="1" ht="17.25" customHeight="1"/>
    <row r="16188" customFormat="1" ht="17.25" customHeight="1"/>
    <row r="16189" customFormat="1" ht="17.25" customHeight="1"/>
    <row r="16190" customFormat="1" ht="17.25" customHeight="1"/>
    <row r="16191" customFormat="1" ht="17.25" customHeight="1"/>
    <row r="16192" customFormat="1" ht="17.25" customHeight="1"/>
    <row r="16193" customFormat="1" ht="17.25" customHeight="1"/>
    <row r="16194" customFormat="1" ht="17.25" customHeight="1"/>
    <row r="16195" customFormat="1" ht="17.25" customHeight="1"/>
    <row r="16196" customFormat="1" ht="17.25" customHeight="1"/>
    <row r="16197" customFormat="1" ht="17.25" customHeight="1"/>
    <row r="16198" customFormat="1" ht="17.25" customHeight="1"/>
    <row r="16199" customFormat="1" ht="17.25" customHeight="1"/>
    <row r="16200" customFormat="1" ht="17.25" customHeight="1"/>
    <row r="16201" customFormat="1" ht="17.25" customHeight="1"/>
    <row r="16202" customFormat="1" ht="17.25" customHeight="1"/>
    <row r="16203" customFormat="1" ht="17.25" customHeight="1"/>
    <row r="16204" customFormat="1" ht="17.25" customHeight="1"/>
    <row r="16205" customFormat="1" ht="17.25" customHeight="1"/>
    <row r="16206" customFormat="1" ht="17.25" customHeight="1"/>
    <row r="16207" customFormat="1" ht="17.25" customHeight="1"/>
    <row r="16208" customFormat="1" ht="17.25" customHeight="1"/>
    <row r="16209" customFormat="1" ht="17.25" customHeight="1"/>
    <row r="16210" customFormat="1" ht="17.25" customHeight="1"/>
    <row r="16211" customFormat="1" ht="17.25" customHeight="1"/>
    <row r="16212" customFormat="1" ht="17.25" customHeight="1"/>
    <row r="16213" customFormat="1" ht="17.25" customHeight="1"/>
    <row r="16214" customFormat="1" ht="17.25" customHeight="1"/>
    <row r="16215" customFormat="1" ht="17.25" customHeight="1"/>
    <row r="16216" customFormat="1" ht="17.25" customHeight="1"/>
    <row r="16217" customFormat="1" ht="17.25" customHeight="1"/>
    <row r="16218" customFormat="1" ht="17.25" customHeight="1"/>
    <row r="16219" customFormat="1" ht="17.25" customHeight="1"/>
    <row r="16220" customFormat="1" ht="17.25" customHeight="1"/>
    <row r="16221" customFormat="1" ht="17.25" customHeight="1"/>
    <row r="16222" customFormat="1" ht="17.25" customHeight="1"/>
    <row r="16223" customFormat="1" ht="17.25" customHeight="1"/>
    <row r="16224" customFormat="1" ht="17.25" customHeight="1"/>
    <row r="16225" customFormat="1" ht="17.25" customHeight="1"/>
    <row r="16226" customFormat="1" ht="17.25" customHeight="1"/>
    <row r="16227" customFormat="1" ht="17.25" customHeight="1"/>
    <row r="16228" customFormat="1" ht="17.25" customHeight="1"/>
    <row r="16229" customFormat="1" ht="17.25" customHeight="1"/>
    <row r="16230" customFormat="1" ht="17.25" customHeight="1"/>
    <row r="16231" customFormat="1" ht="17.25" customHeight="1"/>
    <row r="16232" customFormat="1" ht="17.25" customHeight="1"/>
    <row r="16233" customFormat="1" ht="17.25" customHeight="1"/>
    <row r="16234" customFormat="1" ht="17.25" customHeight="1"/>
    <row r="16235" customFormat="1" ht="17.25" customHeight="1"/>
    <row r="16236" customFormat="1" ht="17.25" customHeight="1"/>
    <row r="16237" customFormat="1" ht="17.25" customHeight="1"/>
    <row r="16238" customFormat="1" ht="17.25" customHeight="1"/>
    <row r="16239" customFormat="1" ht="17.25" customHeight="1"/>
    <row r="16240" customFormat="1" ht="17.25" customHeight="1"/>
    <row r="16241" customFormat="1" ht="17.25" customHeight="1"/>
    <row r="16242" customFormat="1" ht="17.25" customHeight="1"/>
    <row r="16243" customFormat="1" ht="17.25" customHeight="1"/>
    <row r="16244" customFormat="1" ht="17.25" customHeight="1"/>
    <row r="16245" customFormat="1" ht="17.25" customHeight="1"/>
    <row r="16246" customFormat="1" ht="17.25" customHeight="1"/>
    <row r="16247" customFormat="1" ht="17.25" customHeight="1"/>
    <row r="16248" customFormat="1" ht="17.25" customHeight="1"/>
    <row r="16249" customFormat="1" ht="17.25" customHeight="1"/>
    <row r="16250" customFormat="1" ht="17.25" customHeight="1"/>
    <row r="16251" customFormat="1" ht="17.25" customHeight="1"/>
    <row r="16252" customFormat="1" ht="17.25" customHeight="1"/>
    <row r="16253" customFormat="1" ht="17.25" customHeight="1"/>
    <row r="16254" customFormat="1" ht="17.25" customHeight="1"/>
    <row r="16255" customFormat="1" ht="17.25" customHeight="1"/>
    <row r="16256" customFormat="1" ht="17.25" customHeight="1"/>
    <row r="16257" customFormat="1" ht="17.25" customHeight="1"/>
    <row r="16258" customFormat="1" ht="17.25" customHeight="1"/>
    <row r="16259" customFormat="1" ht="17.25" customHeight="1"/>
    <row r="16260" customFormat="1" ht="17.25" customHeight="1"/>
    <row r="16261" customFormat="1" ht="17.25" customHeight="1"/>
    <row r="16262" customFormat="1" ht="17.25" customHeight="1"/>
    <row r="16263" customFormat="1" ht="17.25" customHeight="1"/>
    <row r="16264" customFormat="1" ht="17.25" customHeight="1"/>
    <row r="16265" customFormat="1" ht="17.25" customHeight="1"/>
    <row r="16266" customFormat="1" ht="17.25" customHeight="1"/>
    <row r="16267" customFormat="1" ht="17.25" customHeight="1"/>
    <row r="16268" customFormat="1" ht="17.25" customHeight="1"/>
    <row r="16269" customFormat="1" ht="17.25" customHeight="1"/>
    <row r="16270" customFormat="1" ht="17.25" customHeight="1"/>
    <row r="16271" customFormat="1" ht="17.25" customHeight="1"/>
    <row r="16272" customFormat="1" ht="17.25" customHeight="1"/>
    <row r="16273" customFormat="1" ht="17.25" customHeight="1"/>
    <row r="16274" customFormat="1" ht="17.25" customHeight="1"/>
    <row r="16275" customFormat="1" ht="17.25" customHeight="1"/>
    <row r="16276" customFormat="1" ht="17.25" customHeight="1"/>
    <row r="16277" customFormat="1" ht="17.25" customHeight="1"/>
    <row r="16278" customFormat="1" ht="17.25" customHeight="1"/>
    <row r="16279" customFormat="1" ht="17.25" customHeight="1"/>
    <row r="16280" customFormat="1" ht="17.25" customHeight="1"/>
    <row r="16281" customFormat="1" ht="17.25" customHeight="1"/>
    <row r="16282" customFormat="1" ht="17.25" customHeight="1"/>
    <row r="16283" customFormat="1" ht="17.25" customHeight="1"/>
    <row r="16284" customFormat="1" ht="17.25" customHeight="1"/>
    <row r="16285" customFormat="1" ht="17.25" customHeight="1"/>
    <row r="16286" customFormat="1" ht="17.25" customHeight="1"/>
    <row r="16287" customFormat="1" ht="17.25" customHeight="1"/>
    <row r="16288" customFormat="1" ht="17.25" customHeight="1"/>
    <row r="16289" customFormat="1" ht="17.25" customHeight="1"/>
    <row r="16290" customFormat="1" ht="17.25" customHeight="1"/>
    <row r="16291" customFormat="1" ht="17.25" customHeight="1"/>
    <row r="16292" customFormat="1" ht="17.25" customHeight="1"/>
    <row r="16293" customFormat="1" ht="17.25" customHeight="1"/>
    <row r="16294" customFormat="1" ht="17.25" customHeight="1"/>
    <row r="16295" customFormat="1" ht="17.25" customHeight="1"/>
    <row r="16296" customFormat="1" ht="17.25" customHeight="1"/>
    <row r="16297" customFormat="1" ht="17.25" customHeight="1"/>
    <row r="16298" customFormat="1" ht="17.25" customHeight="1"/>
    <row r="16299" customFormat="1" ht="17.25" customHeight="1"/>
    <row r="16300" customFormat="1" ht="17.25" customHeight="1"/>
    <row r="16301" customFormat="1" ht="17.25" customHeight="1"/>
    <row r="16302" customFormat="1" ht="17.25" customHeight="1"/>
    <row r="16303" customFormat="1" ht="17.25" customHeight="1"/>
    <row r="16304" customFormat="1" ht="17.25" customHeight="1"/>
    <row r="16305" customFormat="1" ht="17.25" customHeight="1"/>
    <row r="16306" customFormat="1" ht="17.25" customHeight="1"/>
    <row r="16307" customFormat="1" ht="17.25" customHeight="1"/>
    <row r="16308" customFormat="1" ht="17.25" customHeight="1"/>
    <row r="16309" customFormat="1" ht="17.25" customHeight="1"/>
    <row r="16310" customFormat="1" ht="17.25" customHeight="1"/>
    <row r="16311" customFormat="1" ht="17.25" customHeight="1"/>
    <row r="16312" customFormat="1" ht="17.25" customHeight="1"/>
    <row r="16313" customFormat="1" ht="17.25" customHeight="1"/>
    <row r="16314" customFormat="1" ht="17.25" customHeight="1"/>
    <row r="16315" customFormat="1" ht="17.25" customHeight="1"/>
    <row r="16316" customFormat="1" ht="17.25" customHeight="1"/>
    <row r="16317" customFormat="1" ht="17.25" customHeight="1"/>
    <row r="16318" customFormat="1" ht="17.25" customHeight="1"/>
    <row r="16319" customFormat="1" ht="17.25" customHeight="1"/>
    <row r="16320" customFormat="1" ht="17.25" customHeight="1"/>
    <row r="16321" customFormat="1" ht="17.25" customHeight="1"/>
    <row r="16322" customFormat="1" ht="17.25" customHeight="1"/>
    <row r="16323" customFormat="1" ht="17.25" customHeight="1"/>
    <row r="16324" customFormat="1" ht="17.25" customHeight="1"/>
    <row r="16325" customFormat="1" ht="17.25" customHeight="1"/>
    <row r="16326" customFormat="1" ht="17.25" customHeight="1"/>
    <row r="16327" customFormat="1" ht="17.25" customHeight="1"/>
    <row r="16328" customFormat="1" ht="17.25" customHeight="1"/>
    <row r="16329" customFormat="1" ht="17.25" customHeight="1"/>
    <row r="16330" customFormat="1" ht="17.25" customHeight="1"/>
    <row r="16331" customFormat="1" ht="17.25" customHeight="1"/>
    <row r="16332" customFormat="1" ht="17.25" customHeight="1"/>
    <row r="16333" customFormat="1" ht="17.25" customHeight="1"/>
    <row r="16334" customFormat="1" ht="17.25" customHeight="1"/>
    <row r="16335" customFormat="1" ht="17.25" customHeight="1"/>
    <row r="16336" customFormat="1" ht="17.25" customHeight="1"/>
    <row r="16337" customFormat="1" ht="17.25" customHeight="1"/>
    <row r="16338" customFormat="1" ht="17.25" customHeight="1"/>
    <row r="16339" customFormat="1" ht="17.25" customHeight="1"/>
    <row r="16340" customFormat="1" ht="17.25" customHeight="1"/>
    <row r="16341" customFormat="1" ht="17.25" customHeight="1"/>
    <row r="16342" customFormat="1" ht="17.25" customHeight="1"/>
    <row r="16343" customFormat="1" ht="17.25" customHeight="1"/>
    <row r="16344" customFormat="1" ht="17.25" customHeight="1"/>
    <row r="16345" customFormat="1" ht="17.25" customHeight="1"/>
    <row r="16346" customFormat="1" ht="17.25" customHeight="1"/>
    <row r="16347" customFormat="1" ht="17.25" customHeight="1"/>
    <row r="16348" customFormat="1" ht="17.25" customHeight="1"/>
    <row r="16349" customFormat="1" ht="17.25" customHeight="1"/>
    <row r="16350" customFormat="1" ht="17.25" customHeight="1"/>
    <row r="16351" customFormat="1" ht="17.25" customHeight="1"/>
    <row r="16352" customFormat="1" ht="17.25" customHeight="1"/>
    <row r="16353" customFormat="1" ht="17.25" customHeight="1"/>
    <row r="16354" customFormat="1" ht="17.25" customHeight="1"/>
    <row r="16355" customFormat="1" ht="17.25" customHeight="1"/>
    <row r="16356" customFormat="1" ht="17.25" customHeight="1"/>
    <row r="16357" customFormat="1" ht="17.25" customHeight="1"/>
    <row r="16358" customFormat="1" ht="17.25" customHeight="1"/>
    <row r="16359" customFormat="1" ht="17.25" customHeight="1"/>
    <row r="16360" customFormat="1" ht="17.25" customHeight="1"/>
    <row r="16361" customFormat="1" ht="17.25" customHeight="1"/>
    <row r="16362" customFormat="1" ht="17.25" customHeight="1"/>
    <row r="16363" customFormat="1" ht="17.25" customHeight="1"/>
    <row r="16364" customFormat="1" ht="17.25" customHeight="1"/>
    <row r="16365" customFormat="1" ht="17.25" customHeight="1"/>
    <row r="16366" customFormat="1" ht="17.25" customHeight="1"/>
    <row r="16367" customFormat="1" ht="17.25" customHeight="1"/>
    <row r="16368" customFormat="1" ht="17.25" customHeight="1"/>
    <row r="16369" customFormat="1" ht="17.25" customHeight="1"/>
    <row r="16370" customFormat="1" ht="17.25" customHeight="1"/>
    <row r="16371" customFormat="1" ht="17.25" customHeight="1"/>
    <row r="16372" customFormat="1" ht="17.25" customHeight="1"/>
    <row r="16373" customFormat="1" ht="17.25" customHeight="1"/>
    <row r="16374" customFormat="1" ht="17.25" customHeight="1"/>
    <row r="16375" customFormat="1" ht="17.25" customHeight="1"/>
    <row r="16376" customFormat="1" ht="17.25" customHeight="1"/>
    <row r="16377" customFormat="1" ht="17.25" customHeight="1"/>
    <row r="16378" customFormat="1" ht="17.25" customHeight="1"/>
    <row r="16379" customFormat="1" ht="17.25" customHeight="1"/>
    <row r="16380" customFormat="1" ht="17.25" customHeight="1"/>
    <row r="16381" customFormat="1" ht="17.25" customHeight="1"/>
    <row r="16382" customFormat="1" ht="17.25" customHeight="1"/>
    <row r="16383" customFormat="1" ht="17.25" customHeight="1"/>
    <row r="16384" customFormat="1" ht="17.25" customHeight="1"/>
    <row r="16385" customFormat="1" ht="17.25" customHeight="1"/>
    <row r="16386" customFormat="1" ht="17.25" customHeight="1"/>
    <row r="16387" customFormat="1" ht="17.25" customHeight="1"/>
    <row r="16388" customFormat="1" ht="17.25" customHeight="1"/>
    <row r="16389" customFormat="1" ht="17.25" customHeight="1"/>
    <row r="16390" customFormat="1" ht="17.25" customHeight="1"/>
    <row r="16391" customFormat="1" ht="17.25" customHeight="1"/>
    <row r="16392" customFormat="1" ht="17.25" customHeight="1"/>
    <row r="16393" customFormat="1" ht="17.25" customHeight="1"/>
    <row r="16394" customFormat="1" ht="17.25" customHeight="1"/>
    <row r="16395" customFormat="1" ht="17.25" customHeight="1"/>
    <row r="16396" customFormat="1" ht="17.25" customHeight="1"/>
    <row r="16397" customFormat="1" ht="17.25" customHeight="1"/>
    <row r="16398" customFormat="1" ht="17.25" customHeight="1"/>
    <row r="16399" customFormat="1" ht="17.25" customHeight="1"/>
    <row r="16400" customFormat="1" ht="17.25" customHeight="1"/>
    <row r="16401" customFormat="1" ht="17.25" customHeight="1"/>
    <row r="16402" customFormat="1" ht="17.25" customHeight="1"/>
    <row r="16403" customFormat="1" ht="17.25" customHeight="1"/>
    <row r="16404" customFormat="1" ht="17.25" customHeight="1"/>
    <row r="16405" customFormat="1" ht="17.25" customHeight="1"/>
    <row r="16406" customFormat="1" ht="17.25" customHeight="1"/>
    <row r="16407" customFormat="1" ht="17.25" customHeight="1"/>
    <row r="16408" customFormat="1" ht="17.25" customHeight="1"/>
    <row r="16409" customFormat="1" ht="17.25" customHeight="1"/>
    <row r="16410" customFormat="1" ht="17.25" customHeight="1"/>
    <row r="16411" customFormat="1" ht="17.25" customHeight="1"/>
    <row r="16412" customFormat="1" ht="17.25" customHeight="1"/>
    <row r="16413" customFormat="1" ht="17.25" customHeight="1"/>
    <row r="16414" customFormat="1" ht="17.25" customHeight="1"/>
    <row r="16415" customFormat="1" ht="17.25" customHeight="1"/>
    <row r="16416" customFormat="1" ht="17.25" customHeight="1"/>
    <row r="16417" customFormat="1" ht="17.25" customHeight="1"/>
    <row r="16418" customFormat="1" ht="17.25" customHeight="1"/>
    <row r="16419" customFormat="1" ht="17.25" customHeight="1"/>
    <row r="16420" customFormat="1" ht="17.25" customHeight="1"/>
    <row r="16421" customFormat="1" ht="17.25" customHeight="1"/>
    <row r="16422" customFormat="1" ht="17.25" customHeight="1"/>
    <row r="16423" customFormat="1" ht="17.25" customHeight="1"/>
    <row r="16424" customFormat="1" ht="17.25" customHeight="1"/>
    <row r="16425" customFormat="1" ht="17.25" customHeight="1"/>
    <row r="16426" customFormat="1" ht="17.25" customHeight="1"/>
    <row r="16427" customFormat="1" ht="17.25" customHeight="1"/>
    <row r="16428" customFormat="1" ht="17.25" customHeight="1"/>
    <row r="16429" customFormat="1" ht="17.25" customHeight="1"/>
    <row r="16430" customFormat="1" ht="17.25" customHeight="1"/>
    <row r="16431" customFormat="1" ht="17.25" customHeight="1"/>
    <row r="16432" customFormat="1" ht="17.25" customHeight="1"/>
    <row r="16433" customFormat="1" ht="17.25" customHeight="1"/>
    <row r="16434" customFormat="1" ht="17.25" customHeight="1"/>
    <row r="16435" customFormat="1" ht="17.25" customHeight="1"/>
    <row r="16436" customFormat="1" ht="17.25" customHeight="1"/>
    <row r="16437" customFormat="1" ht="17.25" customHeight="1"/>
    <row r="16438" customFormat="1" ht="17.25" customHeight="1"/>
    <row r="16439" customFormat="1" ht="17.25" customHeight="1"/>
    <row r="16440" customFormat="1" ht="17.25" customHeight="1"/>
    <row r="16441" customFormat="1" ht="17.25" customHeight="1"/>
    <row r="16442" customFormat="1" ht="17.25" customHeight="1"/>
    <row r="16443" customFormat="1" ht="17.25" customHeight="1"/>
    <row r="16444" customFormat="1" ht="17.25" customHeight="1"/>
    <row r="16445" customFormat="1" ht="17.25" customHeight="1"/>
    <row r="16446" customFormat="1" ht="17.25" customHeight="1"/>
    <row r="16447" customFormat="1" ht="17.25" customHeight="1"/>
    <row r="16448" customFormat="1" ht="17.25" customHeight="1"/>
    <row r="16449" customFormat="1" ht="17.25" customHeight="1"/>
    <row r="16450" customFormat="1" ht="17.25" customHeight="1"/>
    <row r="16451" customFormat="1" ht="17.25" customHeight="1"/>
    <row r="16452" customFormat="1" ht="17.25" customHeight="1"/>
    <row r="16453" customFormat="1" ht="17.25" customHeight="1"/>
    <row r="16454" customFormat="1" ht="17.25" customHeight="1"/>
    <row r="16455" customFormat="1" ht="17.25" customHeight="1"/>
    <row r="16456" customFormat="1" ht="17.25" customHeight="1"/>
    <row r="16457" customFormat="1" ht="17.25" customHeight="1"/>
    <row r="16458" customFormat="1" ht="17.25" customHeight="1"/>
    <row r="16459" customFormat="1" ht="17.25" customHeight="1"/>
    <row r="16460" customFormat="1" ht="17.25" customHeight="1"/>
    <row r="16461" customFormat="1" ht="17.25" customHeight="1"/>
    <row r="16462" customFormat="1" ht="17.25" customHeight="1"/>
    <row r="16463" customFormat="1" ht="17.25" customHeight="1"/>
    <row r="16464" customFormat="1" ht="17.25" customHeight="1"/>
    <row r="16465" customFormat="1" ht="17.25" customHeight="1"/>
    <row r="16466" customFormat="1" ht="17.25" customHeight="1"/>
    <row r="16467" customFormat="1" ht="17.25" customHeight="1"/>
    <row r="16468" customFormat="1" ht="17.25" customHeight="1"/>
    <row r="16469" customFormat="1" ht="17.25" customHeight="1"/>
    <row r="16470" customFormat="1" ht="17.25" customHeight="1"/>
    <row r="16471" customFormat="1" ht="17.25" customHeight="1"/>
    <row r="16472" customFormat="1" ht="17.25" customHeight="1"/>
    <row r="16473" customFormat="1" ht="17.25" customHeight="1"/>
    <row r="16474" customFormat="1" ht="17.25" customHeight="1"/>
    <row r="16475" customFormat="1" ht="17.25" customHeight="1"/>
    <row r="16476" customFormat="1" ht="17.25" customHeight="1"/>
    <row r="16477" customFormat="1" ht="17.25" customHeight="1"/>
    <row r="16478" customFormat="1" ht="17.25" customHeight="1"/>
    <row r="16479" customFormat="1" ht="17.25" customHeight="1"/>
    <row r="16480" customFormat="1" ht="17.25" customHeight="1"/>
    <row r="16481" customFormat="1" ht="17.25" customHeight="1"/>
    <row r="16482" customFormat="1" ht="17.25" customHeight="1"/>
    <row r="16483" customFormat="1" ht="17.25" customHeight="1"/>
    <row r="16484" customFormat="1" ht="17.25" customHeight="1"/>
    <row r="16485" customFormat="1" ht="17.25" customHeight="1"/>
    <row r="16486" customFormat="1" ht="17.25" customHeight="1"/>
    <row r="16487" customFormat="1" ht="17.25" customHeight="1"/>
    <row r="16488" customFormat="1" ht="17.25" customHeight="1"/>
    <row r="16489" customFormat="1" ht="17.25" customHeight="1"/>
    <row r="16490" customFormat="1" ht="17.25" customHeight="1"/>
    <row r="16491" customFormat="1" ht="17.25" customHeight="1"/>
    <row r="16492" customFormat="1" ht="17.25" customHeight="1"/>
    <row r="16493" customFormat="1" ht="17.25" customHeight="1"/>
    <row r="16494" customFormat="1" ht="17.25" customHeight="1"/>
    <row r="16495" customFormat="1" ht="17.25" customHeight="1"/>
    <row r="16496" customFormat="1" ht="17.25" customHeight="1"/>
    <row r="16497" customFormat="1" ht="17.25" customHeight="1"/>
    <row r="16498" customFormat="1" ht="17.25" customHeight="1"/>
    <row r="16499" customFormat="1" ht="17.25" customHeight="1"/>
    <row r="16500" customFormat="1" ht="17.25" customHeight="1"/>
    <row r="16501" customFormat="1" ht="17.25" customHeight="1"/>
    <row r="16502" customFormat="1" ht="17.25" customHeight="1"/>
    <row r="16503" customFormat="1" ht="17.25" customHeight="1"/>
    <row r="16504" customFormat="1" ht="17.25" customHeight="1"/>
    <row r="16505" customFormat="1" ht="17.25" customHeight="1"/>
    <row r="16506" customFormat="1" ht="17.25" customHeight="1"/>
    <row r="16507" customFormat="1" ht="17.25" customHeight="1"/>
    <row r="16508" customFormat="1" ht="17.25" customHeight="1"/>
    <row r="16509" customFormat="1" ht="17.25" customHeight="1"/>
    <row r="16510" customFormat="1" ht="17.25" customHeight="1"/>
    <row r="16511" customFormat="1" ht="17.25" customHeight="1"/>
    <row r="16512" customFormat="1" ht="17.25" customHeight="1"/>
    <row r="16513" customFormat="1" ht="17.25" customHeight="1"/>
    <row r="16514" customFormat="1" ht="17.25" customHeight="1"/>
    <row r="16515" customFormat="1" ht="17.25" customHeight="1"/>
    <row r="16516" customFormat="1" ht="17.25" customHeight="1"/>
    <row r="16517" customFormat="1" ht="17.25" customHeight="1"/>
    <row r="16518" customFormat="1" ht="17.25" customHeight="1"/>
    <row r="16519" customFormat="1" ht="17.25" customHeight="1"/>
    <row r="16520" customFormat="1" ht="17.25" customHeight="1"/>
    <row r="16521" customFormat="1" ht="17.25" customHeight="1"/>
    <row r="16522" customFormat="1" ht="17.25" customHeight="1"/>
    <row r="16523" customFormat="1" ht="17.25" customHeight="1"/>
    <row r="16524" customFormat="1" ht="17.25" customHeight="1"/>
    <row r="16525" customFormat="1" ht="17.25" customHeight="1"/>
    <row r="16526" customFormat="1" ht="17.25" customHeight="1"/>
    <row r="16527" customFormat="1" ht="17.25" customHeight="1"/>
    <row r="16528" customFormat="1" ht="17.25" customHeight="1"/>
    <row r="16529" customFormat="1" ht="17.25" customHeight="1"/>
    <row r="16530" customFormat="1" ht="17.25" customHeight="1"/>
    <row r="16531" customFormat="1" ht="17.25" customHeight="1"/>
    <row r="16532" customFormat="1" ht="17.25" customHeight="1"/>
    <row r="16533" customFormat="1" ht="17.25" customHeight="1"/>
    <row r="16534" customFormat="1" ht="17.25" customHeight="1"/>
    <row r="16535" customFormat="1" ht="17.25" customHeight="1"/>
    <row r="16536" customFormat="1" ht="17.25" customHeight="1"/>
    <row r="16537" customFormat="1" ht="17.25" customHeight="1"/>
    <row r="16538" customFormat="1" ht="17.25" customHeight="1"/>
    <row r="16539" customFormat="1" ht="17.25" customHeight="1"/>
    <row r="16540" customFormat="1" ht="17.25" customHeight="1"/>
    <row r="16541" customFormat="1" ht="17.25" customHeight="1"/>
    <row r="16542" customFormat="1" ht="17.25" customHeight="1"/>
    <row r="16543" customFormat="1" ht="17.25" customHeight="1"/>
    <row r="16544" customFormat="1" ht="17.25" customHeight="1"/>
    <row r="16545" customFormat="1" ht="17.25" customHeight="1"/>
    <row r="16546" customFormat="1" ht="17.25" customHeight="1"/>
    <row r="16547" customFormat="1" ht="17.25" customHeight="1"/>
    <row r="16548" customFormat="1" ht="17.25" customHeight="1"/>
    <row r="16549" customFormat="1" ht="17.25" customHeight="1"/>
    <row r="16550" customFormat="1" ht="17.25" customHeight="1"/>
    <row r="16551" customFormat="1" ht="17.25" customHeight="1"/>
    <row r="16552" customFormat="1" ht="17.25" customHeight="1"/>
    <row r="16553" customFormat="1" ht="17.25" customHeight="1"/>
    <row r="16554" customFormat="1" ht="17.25" customHeight="1"/>
    <row r="16555" customFormat="1" ht="17.25" customHeight="1"/>
    <row r="16556" customFormat="1" ht="17.25" customHeight="1"/>
    <row r="16557" customFormat="1" ht="17.25" customHeight="1"/>
    <row r="16558" customFormat="1" ht="17.25" customHeight="1"/>
    <row r="16559" customFormat="1" ht="17.25" customHeight="1"/>
    <row r="16560" customFormat="1" ht="17.25" customHeight="1"/>
    <row r="16561" customFormat="1" ht="17.25" customHeight="1"/>
    <row r="16562" customFormat="1" ht="17.25" customHeight="1"/>
    <row r="16563" customFormat="1" ht="17.25" customHeight="1"/>
    <row r="16564" customFormat="1" ht="17.25" customHeight="1"/>
    <row r="16565" customFormat="1" ht="17.25" customHeight="1"/>
    <row r="16566" customFormat="1" ht="17.25" customHeight="1"/>
    <row r="16567" customFormat="1" ht="17.25" customHeight="1"/>
    <row r="16568" customFormat="1" ht="17.25" customHeight="1"/>
    <row r="16569" customFormat="1" ht="17.25" customHeight="1"/>
    <row r="16570" customFormat="1" ht="17.25" customHeight="1"/>
    <row r="16571" customFormat="1" ht="17.25" customHeight="1"/>
    <row r="16572" customFormat="1" ht="17.25" customHeight="1"/>
    <row r="16573" customFormat="1" ht="17.25" customHeight="1"/>
    <row r="16574" customFormat="1" ht="17.25" customHeight="1"/>
    <row r="16575" customFormat="1" ht="17.25" customHeight="1"/>
    <row r="16576" customFormat="1" ht="17.25" customHeight="1"/>
    <row r="16577" customFormat="1" ht="17.25" customHeight="1"/>
    <row r="16578" customFormat="1" ht="17.25" customHeight="1"/>
    <row r="16579" customFormat="1" ht="17.25" customHeight="1"/>
    <row r="16580" customFormat="1" ht="17.25" customHeight="1"/>
    <row r="16581" customFormat="1" ht="17.25" customHeight="1"/>
    <row r="16582" customFormat="1" ht="17.25" customHeight="1"/>
    <row r="16583" customFormat="1" ht="17.25" customHeight="1"/>
    <row r="16584" customFormat="1" ht="17.25" customHeight="1"/>
    <row r="16585" customFormat="1" ht="17.25" customHeight="1"/>
    <row r="16586" customFormat="1" ht="17.25" customHeight="1"/>
    <row r="16587" customFormat="1" ht="17.25" customHeight="1"/>
    <row r="16588" customFormat="1" ht="17.25" customHeight="1"/>
    <row r="16589" customFormat="1" ht="17.25" customHeight="1"/>
    <row r="16590" customFormat="1" ht="17.25" customHeight="1"/>
    <row r="16591" customFormat="1" ht="17.25" customHeight="1"/>
    <row r="16592" customFormat="1" ht="17.25" customHeight="1"/>
    <row r="16593" customFormat="1" ht="17.25" customHeight="1"/>
    <row r="16594" customFormat="1" ht="17.25" customHeight="1"/>
    <row r="16595" customFormat="1" ht="17.25" customHeight="1"/>
    <row r="16596" customFormat="1" ht="17.25" customHeight="1"/>
    <row r="16597" customFormat="1" ht="17.25" customHeight="1"/>
    <row r="16598" customFormat="1" ht="17.25" customHeight="1"/>
    <row r="16599" customFormat="1" ht="17.25" customHeight="1"/>
    <row r="16600" customFormat="1" ht="17.25" customHeight="1"/>
    <row r="16601" customFormat="1" ht="17.25" customHeight="1"/>
    <row r="16602" customFormat="1" ht="17.25" customHeight="1"/>
    <row r="16603" customFormat="1" ht="17.25" customHeight="1"/>
    <row r="16604" customFormat="1" ht="17.25" customHeight="1"/>
    <row r="16605" customFormat="1" ht="17.25" customHeight="1"/>
    <row r="16606" customFormat="1" ht="17.25" customHeight="1"/>
    <row r="16607" customFormat="1" ht="17.25" customHeight="1"/>
    <row r="16608" customFormat="1" ht="17.25" customHeight="1"/>
    <row r="16609" customFormat="1" ht="17.25" customHeight="1"/>
    <row r="16610" customFormat="1" ht="17.25" customHeight="1"/>
    <row r="16611" customFormat="1" ht="17.25" customHeight="1"/>
    <row r="16612" customFormat="1" ht="17.25" customHeight="1"/>
    <row r="16613" customFormat="1" ht="17.25" customHeight="1"/>
    <row r="16614" customFormat="1" ht="17.25" customHeight="1"/>
    <row r="16615" customFormat="1" ht="17.25" customHeight="1"/>
    <row r="16616" customFormat="1" ht="17.25" customHeight="1"/>
    <row r="16617" customFormat="1" ht="17.25" customHeight="1"/>
    <row r="16618" customFormat="1" ht="17.25" customHeight="1"/>
    <row r="16619" customFormat="1" ht="17.25" customHeight="1"/>
    <row r="16620" customFormat="1" ht="17.25" customHeight="1"/>
    <row r="16621" customFormat="1" ht="17.25" customHeight="1"/>
    <row r="16622" customFormat="1" ht="17.25" customHeight="1"/>
    <row r="16623" customFormat="1" ht="17.25" customHeight="1"/>
    <row r="16624" customFormat="1" ht="17.25" customHeight="1"/>
    <row r="16625" customFormat="1" ht="17.25" customHeight="1"/>
    <row r="16626" customFormat="1" ht="17.25" customHeight="1"/>
    <row r="16627" customFormat="1" ht="17.25" customHeight="1"/>
    <row r="16628" customFormat="1" ht="17.25" customHeight="1"/>
    <row r="16629" customFormat="1" ht="17.25" customHeight="1"/>
    <row r="16630" customFormat="1" ht="17.25" customHeight="1"/>
    <row r="16631" customFormat="1" ht="17.25" customHeight="1"/>
    <row r="16632" customFormat="1" ht="17.25" customHeight="1"/>
    <row r="16633" customFormat="1" ht="17.25" customHeight="1"/>
    <row r="16634" customFormat="1" ht="17.25" customHeight="1"/>
    <row r="16635" customFormat="1" ht="17.25" customHeight="1"/>
    <row r="16636" customFormat="1" ht="17.25" customHeight="1"/>
    <row r="16637" customFormat="1" ht="17.25" customHeight="1"/>
    <row r="16638" customFormat="1" ht="17.25" customHeight="1"/>
    <row r="16639" customFormat="1" ht="17.25" customHeight="1"/>
    <row r="16640" customFormat="1" ht="17.25" customHeight="1"/>
    <row r="16641" customFormat="1" ht="17.25" customHeight="1"/>
    <row r="16642" customFormat="1" ht="17.25" customHeight="1"/>
    <row r="16643" customFormat="1" ht="17.25" customHeight="1"/>
    <row r="16644" customFormat="1" ht="17.25" customHeight="1"/>
    <row r="16645" customFormat="1" ht="17.25" customHeight="1"/>
    <row r="16646" customFormat="1" ht="17.25" customHeight="1"/>
    <row r="16647" customFormat="1" ht="17.25" customHeight="1"/>
    <row r="16648" customFormat="1" ht="17.25" customHeight="1"/>
    <row r="16649" customFormat="1" ht="17.25" customHeight="1"/>
    <row r="16650" customFormat="1" ht="17.25" customHeight="1"/>
    <row r="16651" customFormat="1" ht="17.25" customHeight="1"/>
    <row r="16652" customFormat="1" ht="17.25" customHeight="1"/>
    <row r="16653" customFormat="1" ht="17.25" customHeight="1"/>
    <row r="16654" customFormat="1" ht="17.25" customHeight="1"/>
    <row r="16655" customFormat="1" ht="17.25" customHeight="1"/>
    <row r="16656" customFormat="1" ht="17.25" customHeight="1"/>
    <row r="16657" customFormat="1" ht="17.25" customHeight="1"/>
    <row r="16658" customFormat="1" ht="17.25" customHeight="1"/>
    <row r="16659" customFormat="1" ht="17.25" customHeight="1"/>
    <row r="16660" customFormat="1" ht="17.25" customHeight="1"/>
    <row r="16661" customFormat="1" ht="17.25" customHeight="1"/>
    <row r="16662" customFormat="1" ht="17.25" customHeight="1"/>
    <row r="16663" customFormat="1" ht="17.25" customHeight="1"/>
    <row r="16664" customFormat="1" ht="17.25" customHeight="1"/>
    <row r="16665" customFormat="1" ht="17.25" customHeight="1"/>
    <row r="16666" customFormat="1" ht="17.25" customHeight="1"/>
    <row r="16667" customFormat="1" ht="17.25" customHeight="1"/>
    <row r="16668" customFormat="1" ht="17.25" customHeight="1"/>
    <row r="16669" customFormat="1" ht="17.25" customHeight="1"/>
    <row r="16670" customFormat="1" ht="17.25" customHeight="1"/>
    <row r="16671" customFormat="1" ht="17.25" customHeight="1"/>
    <row r="16672" customFormat="1" ht="17.25" customHeight="1"/>
    <row r="16673" customFormat="1" ht="17.25" customHeight="1"/>
    <row r="16674" customFormat="1" ht="17.25" customHeight="1"/>
    <row r="16675" customFormat="1" ht="17.25" customHeight="1"/>
    <row r="16676" customFormat="1" ht="17.25" customHeight="1"/>
    <row r="16677" customFormat="1" ht="17.25" customHeight="1"/>
    <row r="16678" customFormat="1" ht="17.25" customHeight="1"/>
    <row r="16679" customFormat="1" ht="17.25" customHeight="1"/>
    <row r="16680" customFormat="1" ht="17.25" customHeight="1"/>
    <row r="16681" customFormat="1" ht="17.25" customHeight="1"/>
    <row r="16682" customFormat="1" ht="17.25" customHeight="1"/>
    <row r="16683" customFormat="1" ht="17.25" customHeight="1"/>
    <row r="16684" customFormat="1" ht="17.25" customHeight="1"/>
    <row r="16685" customFormat="1" ht="17.25" customHeight="1"/>
    <row r="16686" customFormat="1" ht="17.25" customHeight="1"/>
    <row r="16687" customFormat="1" ht="17.25" customHeight="1"/>
    <row r="16688" customFormat="1" ht="17.25" customHeight="1"/>
    <row r="16689" customFormat="1" ht="17.25" customHeight="1"/>
    <row r="16690" customFormat="1" ht="17.25" customHeight="1"/>
    <row r="16691" customFormat="1" ht="17.25" customHeight="1"/>
    <row r="16692" customFormat="1" ht="17.25" customHeight="1"/>
    <row r="16693" customFormat="1" ht="17.25" customHeight="1"/>
    <row r="16694" customFormat="1" ht="17.25" customHeight="1"/>
    <row r="16695" customFormat="1" ht="17.25" customHeight="1"/>
    <row r="16696" customFormat="1" ht="17.25" customHeight="1"/>
    <row r="16697" customFormat="1" ht="17.25" customHeight="1"/>
    <row r="16698" customFormat="1" ht="17.25" customHeight="1"/>
    <row r="16699" customFormat="1" ht="17.25" customHeight="1"/>
    <row r="16700" customFormat="1" ht="17.25" customHeight="1"/>
    <row r="16701" customFormat="1" ht="17.25" customHeight="1"/>
    <row r="16702" customFormat="1" ht="17.25" customHeight="1"/>
    <row r="16703" customFormat="1" ht="17.25" customHeight="1"/>
    <row r="16704" customFormat="1" ht="17.25" customHeight="1"/>
    <row r="16705" customFormat="1" ht="17.25" customHeight="1"/>
    <row r="16706" customFormat="1" ht="17.25" customHeight="1"/>
    <row r="16707" customFormat="1" ht="17.25" customHeight="1"/>
    <row r="16708" customFormat="1" ht="17.25" customHeight="1"/>
    <row r="16709" customFormat="1" ht="17.25" customHeight="1"/>
    <row r="16710" customFormat="1" ht="17.25" customHeight="1"/>
    <row r="16711" customFormat="1" ht="17.25" customHeight="1"/>
    <row r="16712" customFormat="1" ht="17.25" customHeight="1"/>
    <row r="16713" customFormat="1" ht="17.25" customHeight="1"/>
    <row r="16714" customFormat="1" ht="17.25" customHeight="1"/>
    <row r="16715" customFormat="1" ht="17.25" customHeight="1"/>
    <row r="16716" customFormat="1" ht="17.25" customHeight="1"/>
    <row r="16717" customFormat="1" ht="17.25" customHeight="1"/>
    <row r="16718" customFormat="1" ht="17.25" customHeight="1"/>
    <row r="16719" customFormat="1" ht="17.25" customHeight="1"/>
    <row r="16720" customFormat="1" ht="17.25" customHeight="1"/>
    <row r="16721" customFormat="1" ht="17.25" customHeight="1"/>
    <row r="16722" customFormat="1" ht="17.25" customHeight="1"/>
    <row r="16723" customFormat="1" ht="17.25" customHeight="1"/>
    <row r="16724" customFormat="1" ht="17.25" customHeight="1"/>
    <row r="16725" customFormat="1" ht="17.25" customHeight="1"/>
    <row r="16726" customFormat="1" ht="17.25" customHeight="1"/>
    <row r="16727" customFormat="1" ht="17.25" customHeight="1"/>
    <row r="16728" customFormat="1" ht="17.25" customHeight="1"/>
    <row r="16729" customFormat="1" ht="17.25" customHeight="1"/>
    <row r="16730" customFormat="1" ht="17.25" customHeight="1"/>
    <row r="16731" customFormat="1" ht="17.25" customHeight="1"/>
    <row r="16732" customFormat="1" ht="17.25" customHeight="1"/>
    <row r="16733" customFormat="1" ht="17.25" customHeight="1"/>
    <row r="16734" customFormat="1" ht="17.25" customHeight="1"/>
    <row r="16735" customFormat="1" ht="17.25" customHeight="1"/>
    <row r="16736" customFormat="1" ht="17.25" customHeight="1"/>
    <row r="16737" customFormat="1" ht="17.25" customHeight="1"/>
    <row r="16738" customFormat="1" ht="17.25" customHeight="1"/>
    <row r="16739" customFormat="1" ht="17.25" customHeight="1"/>
    <row r="16740" customFormat="1" ht="17.25" customHeight="1"/>
    <row r="16741" customFormat="1" ht="17.25" customHeight="1"/>
    <row r="16742" customFormat="1" ht="17.25" customHeight="1"/>
    <row r="16743" customFormat="1" ht="17.25" customHeight="1"/>
    <row r="16744" customFormat="1" ht="17.25" customHeight="1"/>
    <row r="16745" customFormat="1" ht="17.25" customHeight="1"/>
    <row r="16746" customFormat="1" ht="17.25" customHeight="1"/>
    <row r="16747" customFormat="1" ht="17.25" customHeight="1"/>
    <row r="16748" customFormat="1" ht="17.25" customHeight="1"/>
    <row r="16749" customFormat="1" ht="17.25" customHeight="1"/>
    <row r="16750" customFormat="1" ht="17.25" customHeight="1"/>
    <row r="16751" customFormat="1" ht="17.25" customHeight="1"/>
    <row r="16752" customFormat="1" ht="17.25" customHeight="1"/>
    <row r="16753" customFormat="1" ht="17.25" customHeight="1"/>
    <row r="16754" customFormat="1" ht="17.25" customHeight="1"/>
    <row r="16755" customFormat="1" ht="17.25" customHeight="1"/>
    <row r="16756" customFormat="1" ht="17.25" customHeight="1"/>
    <row r="16757" customFormat="1" ht="17.25" customHeight="1"/>
    <row r="16758" customFormat="1" ht="17.25" customHeight="1"/>
    <row r="16759" customFormat="1" ht="17.25" customHeight="1"/>
    <row r="16760" customFormat="1" ht="17.25" customHeight="1"/>
    <row r="16761" customFormat="1" ht="17.25" customHeight="1"/>
    <row r="16762" customFormat="1" ht="17.25" customHeight="1"/>
    <row r="16763" customFormat="1" ht="17.25" customHeight="1"/>
    <row r="16764" customFormat="1" ht="17.25" customHeight="1"/>
    <row r="16765" customFormat="1" ht="17.25" customHeight="1"/>
    <row r="16766" customFormat="1" ht="17.25" customHeight="1"/>
    <row r="16767" customFormat="1" ht="17.25" customHeight="1"/>
    <row r="16768" customFormat="1" ht="17.25" customHeight="1"/>
    <row r="16769" customFormat="1" ht="17.25" customHeight="1"/>
    <row r="16770" customFormat="1" ht="17.25" customHeight="1"/>
    <row r="16771" customFormat="1" ht="17.25" customHeight="1"/>
    <row r="16772" customFormat="1" ht="17.25" customHeight="1"/>
    <row r="16773" customFormat="1" ht="17.25" customHeight="1"/>
    <row r="16774" customFormat="1" ht="17.25" customHeight="1"/>
    <row r="16775" customFormat="1" ht="17.25" customHeight="1"/>
    <row r="16776" customFormat="1" ht="17.25" customHeight="1"/>
    <row r="16777" customFormat="1" ht="17.25" customHeight="1"/>
    <row r="16778" customFormat="1" ht="17.25" customHeight="1"/>
    <row r="16779" customFormat="1" ht="17.25" customHeight="1"/>
    <row r="16780" customFormat="1" ht="17.25" customHeight="1"/>
    <row r="16781" customFormat="1" ht="17.25" customHeight="1"/>
    <row r="16782" customFormat="1" ht="17.25" customHeight="1"/>
    <row r="16783" customFormat="1" ht="17.25" customHeight="1"/>
    <row r="16784" customFormat="1" ht="17.25" customHeight="1"/>
    <row r="16785" customFormat="1" ht="17.25" customHeight="1"/>
    <row r="16786" customFormat="1" ht="17.25" customHeight="1"/>
    <row r="16787" customFormat="1" ht="17.25" customHeight="1"/>
    <row r="16788" customFormat="1" ht="17.25" customHeight="1"/>
    <row r="16789" customFormat="1" ht="17.25" customHeight="1"/>
    <row r="16790" customFormat="1" ht="17.25" customHeight="1"/>
    <row r="16791" customFormat="1" ht="17.25" customHeight="1"/>
    <row r="16792" customFormat="1" ht="17.25" customHeight="1"/>
    <row r="16793" customFormat="1" ht="17.25" customHeight="1"/>
    <row r="16794" customFormat="1" ht="17.25" customHeight="1"/>
    <row r="16795" customFormat="1" ht="17.25" customHeight="1"/>
    <row r="16796" customFormat="1" ht="17.25" customHeight="1"/>
    <row r="16797" customFormat="1" ht="17.25" customHeight="1"/>
    <row r="16798" customFormat="1" ht="17.25" customHeight="1"/>
    <row r="16799" customFormat="1" ht="17.25" customHeight="1"/>
    <row r="16800" customFormat="1" ht="17.25" customHeight="1"/>
    <row r="16801" customFormat="1" ht="17.25" customHeight="1"/>
    <row r="16802" customFormat="1" ht="17.25" customHeight="1"/>
    <row r="16803" customFormat="1" ht="17.25" customHeight="1"/>
    <row r="16804" customFormat="1" ht="17.25" customHeight="1"/>
    <row r="16805" customFormat="1" ht="17.25" customHeight="1"/>
    <row r="16806" customFormat="1" ht="17.25" customHeight="1"/>
    <row r="16807" customFormat="1" ht="17.25" customHeight="1"/>
    <row r="16808" customFormat="1" ht="17.25" customHeight="1"/>
    <row r="16809" customFormat="1" ht="17.25" customHeight="1"/>
    <row r="16810" customFormat="1" ht="17.25" customHeight="1"/>
    <row r="16811" customFormat="1" ht="17.25" customHeight="1"/>
    <row r="16812" customFormat="1" ht="17.25" customHeight="1"/>
    <row r="16813" customFormat="1" ht="17.25" customHeight="1"/>
    <row r="16814" customFormat="1" ht="17.25" customHeight="1"/>
    <row r="16815" customFormat="1" ht="17.25" customHeight="1"/>
    <row r="16816" customFormat="1" ht="17.25" customHeight="1"/>
    <row r="16817" customFormat="1" ht="17.25" customHeight="1"/>
    <row r="16818" customFormat="1" ht="17.25" customHeight="1"/>
    <row r="16819" customFormat="1" ht="17.25" customHeight="1"/>
    <row r="16820" customFormat="1" ht="17.25" customHeight="1"/>
    <row r="16821" customFormat="1" ht="17.25" customHeight="1"/>
    <row r="16822" customFormat="1" ht="17.25" customHeight="1"/>
    <row r="16823" customFormat="1" ht="17.25" customHeight="1"/>
    <row r="16824" customFormat="1" ht="17.25" customHeight="1"/>
    <row r="16825" customFormat="1" ht="17.25" customHeight="1"/>
    <row r="16826" customFormat="1" ht="17.25" customHeight="1"/>
    <row r="16827" customFormat="1" ht="17.25" customHeight="1"/>
    <row r="16828" customFormat="1" ht="17.25" customHeight="1"/>
    <row r="16829" customFormat="1" ht="17.25" customHeight="1"/>
    <row r="16830" customFormat="1" ht="17.25" customHeight="1"/>
    <row r="16831" customFormat="1" ht="17.25" customHeight="1"/>
    <row r="16832" customFormat="1" ht="17.25" customHeight="1"/>
    <row r="16833" customFormat="1" ht="17.25" customHeight="1"/>
    <row r="16834" customFormat="1" ht="17.25" customHeight="1"/>
    <row r="16835" customFormat="1" ht="17.25" customHeight="1"/>
    <row r="16836" customFormat="1" ht="17.25" customHeight="1"/>
    <row r="16837" customFormat="1" ht="17.25" customHeight="1"/>
    <row r="16838" customFormat="1" ht="17.25" customHeight="1"/>
    <row r="16839" customFormat="1" ht="17.25" customHeight="1"/>
    <row r="16840" customFormat="1" ht="17.25" customHeight="1"/>
    <row r="16841" customFormat="1" ht="17.25" customHeight="1"/>
    <row r="16842" customFormat="1" ht="17.25" customHeight="1"/>
    <row r="16843" customFormat="1" ht="17.25" customHeight="1"/>
    <row r="16844" customFormat="1" ht="17.25" customHeight="1"/>
    <row r="16845" customFormat="1" ht="17.25" customHeight="1"/>
    <row r="16846" customFormat="1" ht="17.25" customHeight="1"/>
    <row r="16847" customFormat="1" ht="17.25" customHeight="1"/>
    <row r="16848" customFormat="1" ht="17.25" customHeight="1"/>
    <row r="16849" customFormat="1" ht="17.25" customHeight="1"/>
    <row r="16850" customFormat="1" ht="17.25" customHeight="1"/>
    <row r="16851" customFormat="1" ht="17.25" customHeight="1"/>
    <row r="16852" customFormat="1" ht="17.25" customHeight="1"/>
    <row r="16853" customFormat="1" ht="17.25" customHeight="1"/>
    <row r="16854" customFormat="1" ht="17.25" customHeight="1"/>
    <row r="16855" customFormat="1" ht="17.25" customHeight="1"/>
    <row r="16856" customFormat="1" ht="17.25" customHeight="1"/>
    <row r="16857" customFormat="1" ht="17.25" customHeight="1"/>
    <row r="16858" customFormat="1" ht="17.25" customHeight="1"/>
    <row r="16859" customFormat="1" ht="17.25" customHeight="1"/>
    <row r="16860" customFormat="1" ht="17.25" customHeight="1"/>
    <row r="16861" customFormat="1" ht="17.25" customHeight="1"/>
    <row r="16862" customFormat="1" ht="17.25" customHeight="1"/>
    <row r="16863" customFormat="1" ht="17.25" customHeight="1"/>
    <row r="16864" customFormat="1" ht="17.25" customHeight="1"/>
    <row r="16865" customFormat="1" ht="17.25" customHeight="1"/>
    <row r="16866" customFormat="1" ht="17.25" customHeight="1"/>
    <row r="16867" customFormat="1" ht="17.25" customHeight="1"/>
    <row r="16868" customFormat="1" ht="17.25" customHeight="1"/>
    <row r="16869" customFormat="1" ht="17.25" customHeight="1"/>
    <row r="16870" customFormat="1" ht="17.25" customHeight="1"/>
    <row r="16871" customFormat="1" ht="17.25" customHeight="1"/>
    <row r="16872" customFormat="1" ht="17.25" customHeight="1"/>
    <row r="16873" customFormat="1" ht="17.25" customHeight="1"/>
    <row r="16874" customFormat="1" ht="17.25" customHeight="1"/>
    <row r="16875" customFormat="1" ht="17.25" customHeight="1"/>
    <row r="16876" customFormat="1" ht="17.25" customHeight="1"/>
    <row r="16877" customFormat="1" ht="17.25" customHeight="1"/>
    <row r="16878" customFormat="1" ht="17.25" customHeight="1"/>
    <row r="16879" customFormat="1" ht="17.25" customHeight="1"/>
    <row r="16880" customFormat="1" ht="17.25" customHeight="1"/>
    <row r="16881" customFormat="1" ht="17.25" customHeight="1"/>
    <row r="16882" customFormat="1" ht="17.25" customHeight="1"/>
    <row r="16883" customFormat="1" ht="17.25" customHeight="1"/>
    <row r="16884" customFormat="1" ht="17.25" customHeight="1"/>
    <row r="16885" customFormat="1" ht="17.25" customHeight="1"/>
    <row r="16886" customFormat="1" ht="17.25" customHeight="1"/>
    <row r="16887" customFormat="1" ht="17.25" customHeight="1"/>
    <row r="16888" customFormat="1" ht="17.25" customHeight="1"/>
    <row r="16889" customFormat="1" ht="17.25" customHeight="1"/>
    <row r="16890" customFormat="1" ht="17.25" customHeight="1"/>
    <row r="16891" customFormat="1" ht="17.25" customHeight="1"/>
    <row r="16892" customFormat="1" ht="17.25" customHeight="1"/>
    <row r="16893" customFormat="1" ht="17.25" customHeight="1"/>
    <row r="16894" customFormat="1" ht="17.25" customHeight="1"/>
    <row r="16895" customFormat="1" ht="17.25" customHeight="1"/>
    <row r="16896" customFormat="1" ht="17.25" customHeight="1"/>
    <row r="16897" customFormat="1" ht="17.25" customHeight="1"/>
    <row r="16898" customFormat="1" ht="17.25" customHeight="1"/>
    <row r="16899" customFormat="1" ht="17.25" customHeight="1"/>
    <row r="16900" customFormat="1" ht="17.25" customHeight="1"/>
    <row r="16901" customFormat="1" ht="17.25" customHeight="1"/>
    <row r="16902" customFormat="1" ht="17.25" customHeight="1"/>
    <row r="16903" customFormat="1" ht="17.25" customHeight="1"/>
    <row r="16904" customFormat="1" ht="17.25" customHeight="1"/>
    <row r="16905" customFormat="1" ht="17.25" customHeight="1"/>
    <row r="16906" customFormat="1" ht="17.25" customHeight="1"/>
    <row r="16907" customFormat="1" ht="17.25" customHeight="1"/>
    <row r="16908" customFormat="1" ht="17.25" customHeight="1"/>
    <row r="16909" customFormat="1" ht="17.25" customHeight="1"/>
    <row r="16910" customFormat="1" ht="17.25" customHeight="1"/>
    <row r="16911" customFormat="1" ht="17.25" customHeight="1"/>
    <row r="16912" customFormat="1" ht="17.25" customHeight="1"/>
    <row r="16913" customFormat="1" ht="17.25" customHeight="1"/>
    <row r="16914" customFormat="1" ht="17.25" customHeight="1"/>
    <row r="16915" customFormat="1" ht="17.25" customHeight="1"/>
    <row r="16916" customFormat="1" ht="17.25" customHeight="1"/>
    <row r="16917" customFormat="1" ht="17.25" customHeight="1"/>
    <row r="16918" customFormat="1" ht="17.25" customHeight="1"/>
    <row r="16919" customFormat="1" ht="17.25" customHeight="1"/>
    <row r="16920" customFormat="1" ht="17.25" customHeight="1"/>
    <row r="16921" customFormat="1" ht="17.25" customHeight="1"/>
    <row r="16922" customFormat="1" ht="17.25" customHeight="1"/>
    <row r="16923" customFormat="1" ht="17.25" customHeight="1"/>
    <row r="16924" customFormat="1" ht="17.25" customHeight="1"/>
    <row r="16925" customFormat="1" ht="17.25" customHeight="1"/>
    <row r="16926" customFormat="1" ht="17.25" customHeight="1"/>
    <row r="16927" customFormat="1" ht="17.25" customHeight="1"/>
    <row r="16928" customFormat="1" ht="17.25" customHeight="1"/>
    <row r="16929" customFormat="1" ht="17.25" customHeight="1"/>
    <row r="16930" customFormat="1" ht="17.25" customHeight="1"/>
    <row r="16931" customFormat="1" ht="17.25" customHeight="1"/>
    <row r="16932" customFormat="1" ht="17.25" customHeight="1"/>
    <row r="16933" customFormat="1" ht="17.25" customHeight="1"/>
    <row r="16934" customFormat="1" ht="17.25" customHeight="1"/>
    <row r="16935" customFormat="1" ht="17.25" customHeight="1"/>
    <row r="16936" customFormat="1" ht="17.25" customHeight="1"/>
    <row r="16937" customFormat="1" ht="17.25" customHeight="1"/>
    <row r="16938" customFormat="1" ht="17.25" customHeight="1"/>
    <row r="16939" customFormat="1" ht="17.25" customHeight="1"/>
    <row r="16940" customFormat="1" ht="17.25" customHeight="1"/>
    <row r="16941" customFormat="1" ht="17.25" customHeight="1"/>
    <row r="16942" customFormat="1" ht="17.25" customHeight="1"/>
    <row r="16943" customFormat="1" ht="17.25" customHeight="1"/>
    <row r="16944" customFormat="1" ht="17.25" customHeight="1"/>
    <row r="16945" customFormat="1" ht="17.25" customHeight="1"/>
    <row r="16946" customFormat="1" ht="17.25" customHeight="1"/>
    <row r="16947" customFormat="1" ht="17.25" customHeight="1"/>
    <row r="16948" customFormat="1" ht="17.25" customHeight="1"/>
    <row r="16949" customFormat="1" ht="17.25" customHeight="1"/>
    <row r="16950" customFormat="1" ht="17.25" customHeight="1"/>
    <row r="16951" customFormat="1" ht="17.25" customHeight="1"/>
    <row r="16952" customFormat="1" ht="17.25" customHeight="1"/>
    <row r="16953" customFormat="1" ht="17.25" customHeight="1"/>
    <row r="16954" customFormat="1" ht="17.25" customHeight="1"/>
    <row r="16955" customFormat="1" ht="17.25" customHeight="1"/>
    <row r="16956" customFormat="1" ht="17.25" customHeight="1"/>
    <row r="16957" customFormat="1" ht="17.25" customHeight="1"/>
    <row r="16958" customFormat="1" ht="17.25" customHeight="1"/>
    <row r="16959" customFormat="1" ht="17.25" customHeight="1"/>
    <row r="16960" customFormat="1" ht="17.25" customHeight="1"/>
    <row r="16961" customFormat="1" ht="17.25" customHeight="1"/>
    <row r="16962" customFormat="1" ht="17.25" customHeight="1"/>
    <row r="16963" customFormat="1" ht="17.25" customHeight="1"/>
    <row r="16964" customFormat="1" ht="17.25" customHeight="1"/>
    <row r="16965" customFormat="1" ht="17.25" customHeight="1"/>
    <row r="16966" customFormat="1" ht="17.25" customHeight="1"/>
    <row r="16967" customFormat="1" ht="17.25" customHeight="1"/>
    <row r="16968" customFormat="1" ht="17.25" customHeight="1"/>
    <row r="16969" customFormat="1" ht="17.25" customHeight="1"/>
    <row r="16970" customFormat="1" ht="17.25" customHeight="1"/>
    <row r="16971" customFormat="1" ht="17.25" customHeight="1"/>
    <row r="16972" customFormat="1" ht="17.25" customHeight="1"/>
    <row r="16973" customFormat="1" ht="17.25" customHeight="1"/>
    <row r="16974" customFormat="1" ht="17.25" customHeight="1"/>
    <row r="16975" customFormat="1" ht="17.25" customHeight="1"/>
    <row r="16976" customFormat="1" ht="17.25" customHeight="1"/>
    <row r="16977" customFormat="1" ht="17.25" customHeight="1"/>
    <row r="16978" customFormat="1" ht="17.25" customHeight="1"/>
    <row r="16979" customFormat="1" ht="17.25" customHeight="1"/>
    <row r="16980" customFormat="1" ht="17.25" customHeight="1"/>
    <row r="16981" customFormat="1" ht="17.25" customHeight="1"/>
    <row r="16982" customFormat="1" ht="17.25" customHeight="1"/>
    <row r="16983" customFormat="1" ht="17.25" customHeight="1"/>
    <row r="16984" customFormat="1" ht="17.25" customHeight="1"/>
    <row r="16985" customFormat="1" ht="17.25" customHeight="1"/>
    <row r="16986" customFormat="1" ht="17.25" customHeight="1"/>
    <row r="16987" customFormat="1" ht="17.25" customHeight="1"/>
    <row r="16988" customFormat="1" ht="17.25" customHeight="1"/>
    <row r="16989" customFormat="1" ht="17.25" customHeight="1"/>
    <row r="16990" customFormat="1" ht="17.25" customHeight="1"/>
    <row r="16991" customFormat="1" ht="17.25" customHeight="1"/>
    <row r="16992" customFormat="1" ht="17.25" customHeight="1"/>
    <row r="16993" customFormat="1" ht="17.25" customHeight="1"/>
    <row r="16994" customFormat="1" ht="17.25" customHeight="1"/>
    <row r="16995" customFormat="1" ht="17.25" customHeight="1"/>
    <row r="16996" customFormat="1" ht="17.25" customHeight="1"/>
    <row r="16997" customFormat="1" ht="17.25" customHeight="1"/>
    <row r="16998" customFormat="1" ht="17.25" customHeight="1"/>
    <row r="16999" customFormat="1" ht="17.25" customHeight="1"/>
    <row r="17000" customFormat="1" ht="17.25" customHeight="1"/>
    <row r="17001" customFormat="1" ht="17.25" customHeight="1"/>
    <row r="17002" customFormat="1" ht="17.25" customHeight="1"/>
    <row r="17003" customFormat="1" ht="17.25" customHeight="1"/>
    <row r="17004" customFormat="1" ht="17.25" customHeight="1"/>
    <row r="17005" customFormat="1" ht="17.25" customHeight="1"/>
    <row r="17006" customFormat="1" ht="17.25" customHeight="1"/>
    <row r="17007" customFormat="1" ht="17.25" customHeight="1"/>
    <row r="17008" customFormat="1" ht="17.25" customHeight="1"/>
    <row r="17009" customFormat="1" ht="17.25" customHeight="1"/>
    <row r="17010" customFormat="1" ht="17.25" customHeight="1"/>
    <row r="17011" customFormat="1" ht="17.25" customHeight="1"/>
    <row r="17012" customFormat="1" ht="17.25" customHeight="1"/>
    <row r="17013" customFormat="1" ht="17.25" customHeight="1"/>
    <row r="17014" customFormat="1" ht="17.25" customHeight="1"/>
    <row r="17015" customFormat="1" ht="17.25" customHeight="1"/>
    <row r="17016" customFormat="1" ht="17.25" customHeight="1"/>
    <row r="17017" customFormat="1" ht="17.25" customHeight="1"/>
    <row r="17018" customFormat="1" ht="17.25" customHeight="1"/>
    <row r="17019" customFormat="1" ht="17.25" customHeight="1"/>
    <row r="17020" customFormat="1" ht="17.25" customHeight="1"/>
    <row r="17021" customFormat="1" ht="17.25" customHeight="1"/>
    <row r="17022" customFormat="1" ht="17.25" customHeight="1"/>
    <row r="17023" customFormat="1" ht="17.25" customHeight="1"/>
    <row r="17024" customFormat="1" ht="17.25" customHeight="1"/>
    <row r="17025" customFormat="1" ht="17.25" customHeight="1"/>
    <row r="17026" customFormat="1" ht="17.25" customHeight="1"/>
    <row r="17027" customFormat="1" ht="17.25" customHeight="1"/>
    <row r="17028" customFormat="1" ht="17.25" customHeight="1"/>
    <row r="17029" customFormat="1" ht="17.25" customHeight="1"/>
    <row r="17030" customFormat="1" ht="17.25" customHeight="1"/>
    <row r="17031" customFormat="1" ht="17.25" customHeight="1"/>
    <row r="17032" customFormat="1" ht="17.25" customHeight="1"/>
    <row r="17033" customFormat="1" ht="17.25" customHeight="1"/>
    <row r="17034" customFormat="1" ht="17.25" customHeight="1"/>
    <row r="17035" customFormat="1" ht="17.25" customHeight="1"/>
    <row r="17036" customFormat="1" ht="17.25" customHeight="1"/>
    <row r="17037" customFormat="1" ht="17.25" customHeight="1"/>
    <row r="17038" customFormat="1" ht="17.25" customHeight="1"/>
    <row r="17039" customFormat="1" ht="17.25" customHeight="1"/>
    <row r="17040" customFormat="1" ht="17.25" customHeight="1"/>
    <row r="17041" customFormat="1" ht="17.25" customHeight="1"/>
    <row r="17042" customFormat="1" ht="17.25" customHeight="1"/>
    <row r="17043" customFormat="1" ht="17.25" customHeight="1"/>
    <row r="17044" customFormat="1" ht="17.25" customHeight="1"/>
    <row r="17045" customFormat="1" ht="17.25" customHeight="1"/>
    <row r="17046" customFormat="1" ht="17.25" customHeight="1"/>
    <row r="17047" customFormat="1" ht="17.25" customHeight="1"/>
    <row r="17048" customFormat="1" ht="17.25" customHeight="1"/>
    <row r="17049" customFormat="1" ht="17.25" customHeight="1"/>
    <row r="17050" customFormat="1" ht="17.25" customHeight="1"/>
    <row r="17051" customFormat="1" ht="17.25" customHeight="1"/>
    <row r="17052" customFormat="1" ht="17.25" customHeight="1"/>
    <row r="17053" customFormat="1" ht="17.25" customHeight="1"/>
    <row r="17054" customFormat="1" ht="17.25" customHeight="1"/>
    <row r="17055" customFormat="1" ht="17.25" customHeight="1"/>
    <row r="17056" customFormat="1" ht="17.25" customHeight="1"/>
    <row r="17057" customFormat="1" ht="17.25" customHeight="1"/>
    <row r="17058" customFormat="1" ht="17.25" customHeight="1"/>
    <row r="17059" customFormat="1" ht="17.25" customHeight="1"/>
    <row r="17060" customFormat="1" ht="17.25" customHeight="1"/>
    <row r="17061" customFormat="1" ht="17.25" customHeight="1"/>
    <row r="17062" customFormat="1" ht="17.25" customHeight="1"/>
    <row r="17063" customFormat="1" ht="17.25" customHeight="1"/>
    <row r="17064" customFormat="1" ht="17.25" customHeight="1"/>
    <row r="17065" customFormat="1" ht="17.25" customHeight="1"/>
    <row r="17066" customFormat="1" ht="17.25" customHeight="1"/>
    <row r="17067" customFormat="1" ht="17.25" customHeight="1"/>
    <row r="17068" customFormat="1" ht="17.25" customHeight="1"/>
    <row r="17069" customFormat="1" ht="17.25" customHeight="1"/>
    <row r="17070" customFormat="1" ht="17.25" customHeight="1"/>
    <row r="17071" customFormat="1" ht="17.25" customHeight="1"/>
    <row r="17072" customFormat="1" ht="17.25" customHeight="1"/>
    <row r="17073" customFormat="1" ht="17.25" customHeight="1"/>
    <row r="17074" customFormat="1" ht="17.25" customHeight="1"/>
    <row r="17075" customFormat="1" ht="17.25" customHeight="1"/>
    <row r="17076" customFormat="1" ht="17.25" customHeight="1"/>
    <row r="17077" customFormat="1" ht="17.25" customHeight="1"/>
    <row r="17078" customFormat="1" ht="17.25" customHeight="1"/>
    <row r="17079" customFormat="1" ht="17.25" customHeight="1"/>
    <row r="17080" customFormat="1" ht="17.25" customHeight="1"/>
    <row r="17081" customFormat="1" ht="17.25" customHeight="1"/>
    <row r="17082" customFormat="1" ht="17.25" customHeight="1"/>
    <row r="17083" customFormat="1" ht="17.25" customHeight="1"/>
    <row r="17084" customFormat="1" ht="17.25" customHeight="1"/>
    <row r="17085" customFormat="1" ht="17.25" customHeight="1"/>
    <row r="17086" customFormat="1" ht="17.25" customHeight="1"/>
    <row r="17087" customFormat="1" ht="17.25" customHeight="1"/>
    <row r="17088" customFormat="1" ht="17.25" customHeight="1"/>
    <row r="17089" customFormat="1" ht="17.25" customHeight="1"/>
    <row r="17090" customFormat="1" ht="17.25" customHeight="1"/>
    <row r="17091" customFormat="1" ht="17.25" customHeight="1"/>
    <row r="17092" customFormat="1" ht="17.25" customHeight="1"/>
    <row r="17093" customFormat="1" ht="17.25" customHeight="1"/>
    <row r="17094" customFormat="1" ht="17.25" customHeight="1"/>
    <row r="17095" customFormat="1" ht="17.25" customHeight="1"/>
    <row r="17096" customFormat="1" ht="17.25" customHeight="1"/>
    <row r="17097" customFormat="1" ht="17.25" customHeight="1"/>
    <row r="17098" customFormat="1" ht="17.25" customHeight="1"/>
    <row r="17099" customFormat="1" ht="17.25" customHeight="1"/>
    <row r="17100" customFormat="1" ht="17.25" customHeight="1"/>
    <row r="17101" customFormat="1" ht="17.25" customHeight="1"/>
    <row r="17102" customFormat="1" ht="17.25" customHeight="1"/>
    <row r="17103" customFormat="1" ht="17.25" customHeight="1"/>
    <row r="17104" customFormat="1" ht="17.25" customHeight="1"/>
    <row r="17105" customFormat="1" ht="17.25" customHeight="1"/>
    <row r="17106" customFormat="1" ht="17.25" customHeight="1"/>
    <row r="17107" customFormat="1" ht="17.25" customHeight="1"/>
    <row r="17108" customFormat="1" ht="17.25" customHeight="1"/>
    <row r="17109" customFormat="1" ht="17.25" customHeight="1"/>
    <row r="17110" customFormat="1" ht="17.25" customHeight="1"/>
    <row r="17111" customFormat="1" ht="17.25" customHeight="1"/>
    <row r="17112" customFormat="1" ht="17.25" customHeight="1"/>
    <row r="17113" customFormat="1" ht="17.25" customHeight="1"/>
    <row r="17114" customFormat="1" ht="17.25" customHeight="1"/>
    <row r="17115" customFormat="1" ht="17.25" customHeight="1"/>
    <row r="17116" customFormat="1" ht="17.25" customHeight="1"/>
    <row r="17117" customFormat="1" ht="17.25" customHeight="1"/>
    <row r="17118" customFormat="1" ht="17.25" customHeight="1"/>
    <row r="17119" customFormat="1" ht="17.25" customHeight="1"/>
    <row r="17120" customFormat="1" ht="17.25" customHeight="1"/>
    <row r="17121" customFormat="1" ht="17.25" customHeight="1"/>
    <row r="17122" customFormat="1" ht="17.25" customHeight="1"/>
    <row r="17123" customFormat="1" ht="17.25" customHeight="1"/>
    <row r="17124" customFormat="1" ht="17.25" customHeight="1"/>
    <row r="17125" customFormat="1" ht="17.25" customHeight="1"/>
    <row r="17126" customFormat="1" ht="17.25" customHeight="1"/>
    <row r="17127" customFormat="1" ht="17.25" customHeight="1"/>
    <row r="17128" customFormat="1" ht="17.25" customHeight="1"/>
    <row r="17129" customFormat="1" ht="17.25" customHeight="1"/>
    <row r="17130" customFormat="1" ht="17.25" customHeight="1"/>
    <row r="17131" customFormat="1" ht="17.25" customHeight="1"/>
    <row r="17132" customFormat="1" ht="17.25" customHeight="1"/>
    <row r="17133" customFormat="1" ht="17.25" customHeight="1"/>
    <row r="17134" customFormat="1" ht="17.25" customHeight="1"/>
    <row r="17135" customFormat="1" ht="17.25" customHeight="1"/>
    <row r="17136" customFormat="1" ht="17.25" customHeight="1"/>
    <row r="17137" customFormat="1" ht="17.25" customHeight="1"/>
    <row r="17138" customFormat="1" ht="17.25" customHeight="1"/>
    <row r="17139" customFormat="1" ht="17.25" customHeight="1"/>
    <row r="17140" customFormat="1" ht="17.25" customHeight="1"/>
    <row r="17141" customFormat="1" ht="17.25" customHeight="1"/>
    <row r="17142" customFormat="1" ht="17.25" customHeight="1"/>
    <row r="17143" customFormat="1" ht="17.25" customHeight="1"/>
    <row r="17144" customFormat="1" ht="17.25" customHeight="1"/>
    <row r="17145" customFormat="1" ht="17.25" customHeight="1"/>
    <row r="17146" customFormat="1" ht="17.25" customHeight="1"/>
    <row r="17147" customFormat="1" ht="17.25" customHeight="1"/>
    <row r="17148" customFormat="1" ht="17.25" customHeight="1"/>
    <row r="17149" customFormat="1" ht="17.25" customHeight="1"/>
    <row r="17150" customFormat="1" ht="17.25" customHeight="1"/>
    <row r="17151" customFormat="1" ht="17.25" customHeight="1"/>
    <row r="17152" customFormat="1" ht="17.25" customHeight="1"/>
    <row r="17153" customFormat="1" ht="17.25" customHeight="1"/>
    <row r="17154" customFormat="1" ht="17.25" customHeight="1"/>
    <row r="17155" customFormat="1" ht="17.25" customHeight="1"/>
    <row r="17156" customFormat="1" ht="17.25" customHeight="1"/>
    <row r="17157" customFormat="1" ht="17.25" customHeight="1"/>
    <row r="17158" customFormat="1" ht="17.25" customHeight="1"/>
    <row r="17159" customFormat="1" ht="17.25" customHeight="1"/>
    <row r="17160" customFormat="1" ht="17.25" customHeight="1"/>
    <row r="17161" customFormat="1" ht="17.25" customHeight="1"/>
    <row r="17162" customFormat="1" ht="17.25" customHeight="1"/>
    <row r="17163" customFormat="1" ht="17.25" customHeight="1"/>
    <row r="17164" customFormat="1" ht="17.25" customHeight="1"/>
    <row r="17165" customFormat="1" ht="17.25" customHeight="1"/>
    <row r="17166" customFormat="1" ht="17.25" customHeight="1"/>
    <row r="17167" customFormat="1" ht="17.25" customHeight="1"/>
    <row r="17168" customFormat="1" ht="17.25" customHeight="1"/>
    <row r="17169" customFormat="1" ht="17.25" customHeight="1"/>
    <row r="17170" customFormat="1" ht="17.25" customHeight="1"/>
    <row r="17171" customFormat="1" ht="17.25" customHeight="1"/>
    <row r="17172" customFormat="1" ht="17.25" customHeight="1"/>
    <row r="17173" customFormat="1" ht="17.25" customHeight="1"/>
    <row r="17174" customFormat="1" ht="17.25" customHeight="1"/>
    <row r="17175" customFormat="1" ht="17.25" customHeight="1"/>
    <row r="17176" customFormat="1" ht="17.25" customHeight="1"/>
    <row r="17177" customFormat="1" ht="17.25" customHeight="1"/>
    <row r="17178" customFormat="1" ht="17.25" customHeight="1"/>
    <row r="17179" customFormat="1" ht="17.25" customHeight="1"/>
    <row r="17180" customFormat="1" ht="17.25" customHeight="1"/>
    <row r="17181" customFormat="1" ht="17.25" customHeight="1"/>
    <row r="17182" customFormat="1" ht="17.25" customHeight="1"/>
    <row r="17183" customFormat="1" ht="17.25" customHeight="1"/>
    <row r="17184" customFormat="1" ht="17.25" customHeight="1"/>
    <row r="17185" customFormat="1" ht="17.25" customHeight="1"/>
    <row r="17186" customFormat="1" ht="17.25" customHeight="1"/>
    <row r="17187" customFormat="1" ht="17.25" customHeight="1"/>
    <row r="17188" customFormat="1" ht="17.25" customHeight="1"/>
    <row r="17189" customFormat="1" ht="17.25" customHeight="1"/>
    <row r="17190" customFormat="1" ht="17.25" customHeight="1"/>
    <row r="17191" customFormat="1" ht="17.25" customHeight="1"/>
    <row r="17192" customFormat="1" ht="17.25" customHeight="1"/>
    <row r="17193" customFormat="1" ht="17.25" customHeight="1"/>
    <row r="17194" customFormat="1" ht="17.25" customHeight="1"/>
    <row r="17195" customFormat="1" ht="17.25" customHeight="1"/>
    <row r="17196" customFormat="1" ht="17.25" customHeight="1"/>
    <row r="17197" customFormat="1" ht="17.25" customHeight="1"/>
    <row r="17198" customFormat="1" ht="17.25" customHeight="1"/>
    <row r="17199" customFormat="1" ht="17.25" customHeight="1"/>
    <row r="17200" customFormat="1" ht="17.25" customHeight="1"/>
    <row r="17201" customFormat="1" ht="17.25" customHeight="1"/>
    <row r="17202" customFormat="1" ht="17.25" customHeight="1"/>
    <row r="17203" customFormat="1" ht="17.25" customHeight="1"/>
    <row r="17204" customFormat="1" ht="17.25" customHeight="1"/>
    <row r="17205" customFormat="1" ht="17.25" customHeight="1"/>
    <row r="17206" customFormat="1" ht="17.25" customHeight="1"/>
    <row r="17207" customFormat="1" ht="17.25" customHeight="1"/>
    <row r="17208" customFormat="1" ht="17.25" customHeight="1"/>
    <row r="17209" customFormat="1" ht="17.25" customHeight="1"/>
    <row r="17210" customFormat="1" ht="17.25" customHeight="1"/>
    <row r="17211" customFormat="1" ht="17.25" customHeight="1"/>
    <row r="17212" customFormat="1" ht="17.25" customHeight="1"/>
    <row r="17213" customFormat="1" ht="17.25" customHeight="1"/>
    <row r="17214" customFormat="1" ht="17.25" customHeight="1"/>
    <row r="17215" customFormat="1" ht="17.25" customHeight="1"/>
    <row r="17216" customFormat="1" ht="17.25" customHeight="1"/>
    <row r="17217" customFormat="1" ht="17.25" customHeight="1"/>
    <row r="17218" customFormat="1" ht="17.25" customHeight="1"/>
    <row r="17219" customFormat="1" ht="17.25" customHeight="1"/>
    <row r="17220" customFormat="1" ht="17.25" customHeight="1"/>
    <row r="17221" customFormat="1" ht="17.25" customHeight="1"/>
    <row r="17222" customFormat="1" ht="17.25" customHeight="1"/>
    <row r="17223" customFormat="1" ht="17.25" customHeight="1"/>
    <row r="17224" customFormat="1" ht="17.25" customHeight="1"/>
    <row r="17225" customFormat="1" ht="17.25" customHeight="1"/>
    <row r="17226" customFormat="1" ht="17.25" customHeight="1"/>
    <row r="17227" customFormat="1" ht="17.25" customHeight="1"/>
    <row r="17228" customFormat="1" ht="17.25" customHeight="1"/>
    <row r="17229" customFormat="1" ht="17.25" customHeight="1"/>
    <row r="17230" customFormat="1" ht="17.25" customHeight="1"/>
    <row r="17231" customFormat="1" ht="17.25" customHeight="1"/>
    <row r="17232" customFormat="1" ht="17.25" customHeight="1"/>
    <row r="17233" customFormat="1" ht="17.25" customHeight="1"/>
    <row r="17234" customFormat="1" ht="17.25" customHeight="1"/>
    <row r="17235" customFormat="1" ht="17.25" customHeight="1"/>
    <row r="17236" customFormat="1" ht="17.25" customHeight="1"/>
    <row r="17237" customFormat="1" ht="17.25" customHeight="1"/>
    <row r="17238" customFormat="1" ht="17.25" customHeight="1"/>
    <row r="17239" customFormat="1" ht="17.25" customHeight="1"/>
    <row r="17240" customFormat="1" ht="17.25" customHeight="1"/>
    <row r="17241" customFormat="1" ht="17.25" customHeight="1"/>
    <row r="17242" customFormat="1" ht="17.25" customHeight="1"/>
    <row r="17243" customFormat="1" ht="17.25" customHeight="1"/>
    <row r="17244" customFormat="1" ht="17.25" customHeight="1"/>
    <row r="17245" customFormat="1" ht="17.25" customHeight="1"/>
    <row r="17246" customFormat="1" ht="17.25" customHeight="1"/>
    <row r="17247" customFormat="1" ht="17.25" customHeight="1"/>
    <row r="17248" customFormat="1" ht="17.25" customHeight="1"/>
    <row r="17249" customFormat="1" ht="17.25" customHeight="1"/>
    <row r="17250" customFormat="1" ht="17.25" customHeight="1"/>
    <row r="17251" customFormat="1" ht="17.25" customHeight="1"/>
    <row r="17252" customFormat="1" ht="17.25" customHeight="1"/>
    <row r="17253" customFormat="1" ht="17.25" customHeight="1"/>
    <row r="17254" customFormat="1" ht="17.25" customHeight="1"/>
    <row r="17255" customFormat="1" ht="17.25" customHeight="1"/>
    <row r="17256" customFormat="1" ht="17.25" customHeight="1"/>
    <row r="17257" customFormat="1" ht="17.25" customHeight="1"/>
    <row r="17258" customFormat="1" ht="17.25" customHeight="1"/>
    <row r="17259" customFormat="1" ht="17.25" customHeight="1"/>
    <row r="17260" customFormat="1" ht="17.25" customHeight="1"/>
    <row r="17261" customFormat="1" ht="17.25" customHeight="1"/>
    <row r="17262" customFormat="1" ht="17.25" customHeight="1"/>
    <row r="17263" customFormat="1" ht="17.25" customHeight="1"/>
    <row r="17264" customFormat="1" ht="17.25" customHeight="1"/>
    <row r="17265" customFormat="1" ht="17.25" customHeight="1"/>
    <row r="17266" customFormat="1" ht="17.25" customHeight="1"/>
    <row r="17267" customFormat="1" ht="17.25" customHeight="1"/>
    <row r="17268" customFormat="1" ht="17.25" customHeight="1"/>
    <row r="17269" customFormat="1" ht="17.25" customHeight="1"/>
    <row r="17270" customFormat="1" ht="17.25" customHeight="1"/>
    <row r="17271" customFormat="1" ht="17.25" customHeight="1"/>
    <row r="17272" customFormat="1" ht="17.25" customHeight="1"/>
    <row r="17273" customFormat="1" ht="17.25" customHeight="1"/>
    <row r="17274" customFormat="1" ht="17.25" customHeight="1"/>
    <row r="17275" customFormat="1" ht="17.25" customHeight="1"/>
    <row r="17276" customFormat="1" ht="17.25" customHeight="1"/>
    <row r="17277" customFormat="1" ht="17.25" customHeight="1"/>
    <row r="17278" customFormat="1" ht="17.25" customHeight="1"/>
    <row r="17279" customFormat="1" ht="17.25" customHeight="1"/>
    <row r="17280" customFormat="1" ht="17.25" customHeight="1"/>
    <row r="17281" customFormat="1" ht="17.25" customHeight="1"/>
    <row r="17282" customFormat="1" ht="17.25" customHeight="1"/>
    <row r="17283" customFormat="1" ht="17.25" customHeight="1"/>
    <row r="17284" customFormat="1" ht="17.25" customHeight="1"/>
    <row r="17285" customFormat="1" ht="17.25" customHeight="1"/>
    <row r="17286" customFormat="1" ht="17.25" customHeight="1"/>
    <row r="17287" customFormat="1" ht="17.25" customHeight="1"/>
    <row r="17288" customFormat="1" ht="17.25" customHeight="1"/>
    <row r="17289" customFormat="1" ht="17.25" customHeight="1"/>
    <row r="17290" customFormat="1" ht="17.25" customHeight="1"/>
    <row r="17291" customFormat="1" ht="17.25" customHeight="1"/>
    <row r="17292" customFormat="1" ht="17.25" customHeight="1"/>
    <row r="17293" customFormat="1" ht="17.25" customHeight="1"/>
    <row r="17294" customFormat="1" ht="17.25" customHeight="1"/>
    <row r="17295" customFormat="1" ht="17.25" customHeight="1"/>
    <row r="17296" customFormat="1" ht="17.25" customHeight="1"/>
    <row r="17297" customFormat="1" ht="17.25" customHeight="1"/>
    <row r="17298" customFormat="1" ht="17.25" customHeight="1"/>
    <row r="17299" customFormat="1" ht="17.25" customHeight="1"/>
    <row r="17300" customFormat="1" ht="17.25" customHeight="1"/>
    <row r="17301" customFormat="1" ht="17.25" customHeight="1"/>
    <row r="17302" customFormat="1" ht="17.25" customHeight="1"/>
    <row r="17303" customFormat="1" ht="17.25" customHeight="1"/>
    <row r="17304" customFormat="1" ht="17.25" customHeight="1"/>
    <row r="17305" customFormat="1" ht="17.25" customHeight="1"/>
    <row r="17306" customFormat="1" ht="17.25" customHeight="1"/>
    <row r="17307" customFormat="1" ht="17.25" customHeight="1"/>
    <row r="17308" customFormat="1" ht="17.25" customHeight="1"/>
    <row r="17309" customFormat="1" ht="17.25" customHeight="1"/>
    <row r="17310" customFormat="1" ht="17.25" customHeight="1"/>
    <row r="17311" customFormat="1" ht="17.25" customHeight="1"/>
    <row r="17312" customFormat="1" ht="17.25" customHeight="1"/>
    <row r="17313" customFormat="1" ht="17.25" customHeight="1"/>
    <row r="17314" customFormat="1" ht="17.25" customHeight="1"/>
    <row r="17315" customFormat="1" ht="17.25" customHeight="1"/>
    <row r="17316" customFormat="1" ht="17.25" customHeight="1"/>
    <row r="17317" customFormat="1" ht="17.25" customHeight="1"/>
    <row r="17318" customFormat="1" ht="17.25" customHeight="1"/>
    <row r="17319" customFormat="1" ht="17.25" customHeight="1"/>
    <row r="17320" customFormat="1" ht="17.25" customHeight="1"/>
    <row r="17321" customFormat="1" ht="17.25" customHeight="1"/>
    <row r="17322" customFormat="1" ht="17.25" customHeight="1"/>
    <row r="17323" customFormat="1" ht="17.25" customHeight="1"/>
    <row r="17324" customFormat="1" ht="17.25" customHeight="1"/>
    <row r="17325" customFormat="1" ht="17.25" customHeight="1"/>
    <row r="17326" customFormat="1" ht="17.25" customHeight="1"/>
    <row r="17327" customFormat="1" ht="17.25" customHeight="1"/>
    <row r="17328" customFormat="1" ht="17.25" customHeight="1"/>
    <row r="17329" customFormat="1" ht="17.25" customHeight="1"/>
    <row r="17330" customFormat="1" ht="17.25" customHeight="1"/>
    <row r="17331" customFormat="1" ht="17.25" customHeight="1"/>
    <row r="17332" customFormat="1" ht="17.25" customHeight="1"/>
    <row r="17333" customFormat="1" ht="17.25" customHeight="1"/>
    <row r="17334" customFormat="1" ht="17.25" customHeight="1"/>
    <row r="17335" customFormat="1" ht="17.25" customHeight="1"/>
    <row r="17336" customFormat="1" ht="17.25" customHeight="1"/>
    <row r="17337" customFormat="1" ht="17.25" customHeight="1"/>
    <row r="17338" customFormat="1" ht="17.25" customHeight="1"/>
    <row r="17339" customFormat="1" ht="17.25" customHeight="1"/>
    <row r="17340" customFormat="1" ht="17.25" customHeight="1"/>
    <row r="17341" customFormat="1" ht="17.25" customHeight="1"/>
    <row r="17342" customFormat="1" ht="17.25" customHeight="1"/>
    <row r="17343" customFormat="1" ht="17.25" customHeight="1"/>
    <row r="17344" customFormat="1" ht="17.25" customHeight="1"/>
    <row r="17345" customFormat="1" ht="17.25" customHeight="1"/>
    <row r="17346" customFormat="1" ht="17.25" customHeight="1"/>
    <row r="17347" customFormat="1" ht="17.25" customHeight="1"/>
    <row r="17348" customFormat="1" ht="17.25" customHeight="1"/>
    <row r="17349" customFormat="1" ht="17.25" customHeight="1"/>
    <row r="17350" customFormat="1" ht="17.25" customHeight="1"/>
    <row r="17351" customFormat="1" ht="17.25" customHeight="1"/>
    <row r="17352" customFormat="1" ht="17.25" customHeight="1"/>
    <row r="17353" customFormat="1" ht="17.25" customHeight="1"/>
    <row r="17354" customFormat="1" ht="17.25" customHeight="1"/>
    <row r="17355" customFormat="1" ht="17.25" customHeight="1"/>
    <row r="17356" customFormat="1" ht="17.25" customHeight="1"/>
    <row r="17357" customFormat="1" ht="17.25" customHeight="1"/>
    <row r="17358" customFormat="1" ht="17.25" customHeight="1"/>
    <row r="17359" customFormat="1" ht="17.25" customHeight="1"/>
    <row r="17360" customFormat="1" ht="17.25" customHeight="1"/>
    <row r="17361" customFormat="1" ht="17.25" customHeight="1"/>
    <row r="17362" customFormat="1" ht="17.25" customHeight="1"/>
    <row r="17363" customFormat="1" ht="17.25" customHeight="1"/>
    <row r="17364" customFormat="1" ht="17.25" customHeight="1"/>
    <row r="17365" customFormat="1" ht="17.25" customHeight="1"/>
    <row r="17366" customFormat="1" ht="17.25" customHeight="1"/>
    <row r="17367" customFormat="1" ht="17.25" customHeight="1"/>
    <row r="17368" customFormat="1" ht="17.25" customHeight="1"/>
    <row r="17369" customFormat="1" ht="17.25" customHeight="1"/>
    <row r="17370" customFormat="1" ht="17.25" customHeight="1"/>
    <row r="17371" customFormat="1" ht="17.25" customHeight="1"/>
    <row r="17372" customFormat="1" ht="17.25" customHeight="1"/>
    <row r="17373" customFormat="1" ht="17.25" customHeight="1"/>
    <row r="17374" customFormat="1" ht="17.25" customHeight="1"/>
    <row r="17375" customFormat="1" ht="17.25" customHeight="1"/>
    <row r="17376" customFormat="1" ht="17.25" customHeight="1"/>
    <row r="17377" customFormat="1" ht="17.25" customHeight="1"/>
    <row r="17378" customFormat="1" ht="17.25" customHeight="1"/>
    <row r="17379" customFormat="1" ht="17.25" customHeight="1"/>
    <row r="17380" customFormat="1" ht="17.25" customHeight="1"/>
    <row r="17381" customFormat="1" ht="17.25" customHeight="1"/>
    <row r="17382" customFormat="1" ht="17.25" customHeight="1"/>
    <row r="17383" customFormat="1" ht="17.25" customHeight="1"/>
    <row r="17384" customFormat="1" ht="17.25" customHeight="1"/>
    <row r="17385" customFormat="1" ht="17.25" customHeight="1"/>
    <row r="17386" customFormat="1" ht="17.25" customHeight="1"/>
    <row r="17387" customFormat="1" ht="17.25" customHeight="1"/>
    <row r="17388" customFormat="1" ht="17.25" customHeight="1"/>
    <row r="17389" customFormat="1" ht="17.25" customHeight="1"/>
    <row r="17390" customFormat="1" ht="17.25" customHeight="1"/>
    <row r="17391" customFormat="1" ht="17.25" customHeight="1"/>
    <row r="17392" customFormat="1" ht="17.25" customHeight="1"/>
    <row r="17393" customFormat="1" ht="17.25" customHeight="1"/>
    <row r="17394" customFormat="1" ht="17.25" customHeight="1"/>
    <row r="17395" customFormat="1" ht="17.25" customHeight="1"/>
    <row r="17396" customFormat="1" ht="17.25" customHeight="1"/>
    <row r="17397" customFormat="1" ht="17.25" customHeight="1"/>
    <row r="17398" customFormat="1" ht="17.25" customHeight="1"/>
    <row r="17399" customFormat="1" ht="17.25" customHeight="1"/>
    <row r="17400" customFormat="1" ht="17.25" customHeight="1"/>
    <row r="17401" customFormat="1" ht="17.25" customHeight="1"/>
    <row r="17402" customFormat="1" ht="17.25" customHeight="1"/>
    <row r="17403" customFormat="1" ht="17.25" customHeight="1"/>
    <row r="17404" customFormat="1" ht="17.25" customHeight="1"/>
    <row r="17405" customFormat="1" ht="17.25" customHeight="1"/>
    <row r="17406" customFormat="1" ht="17.25" customHeight="1"/>
    <row r="17407" customFormat="1" ht="17.25" customHeight="1"/>
    <row r="17408" customFormat="1" ht="17.25" customHeight="1"/>
    <row r="17409" customFormat="1" ht="17.25" customHeight="1"/>
    <row r="17410" customFormat="1" ht="17.25" customHeight="1"/>
    <row r="17411" customFormat="1" ht="17.25" customHeight="1"/>
    <row r="17412" customFormat="1" ht="17.25" customHeight="1"/>
    <row r="17413" customFormat="1" ht="17.25" customHeight="1"/>
    <row r="17414" customFormat="1" ht="17.25" customHeight="1"/>
    <row r="17415" customFormat="1" ht="17.25" customHeight="1"/>
    <row r="17416" customFormat="1" ht="17.25" customHeight="1"/>
    <row r="17417" customFormat="1" ht="17.25" customHeight="1"/>
    <row r="17418" customFormat="1" ht="17.25" customHeight="1"/>
    <row r="17419" customFormat="1" ht="17.25" customHeight="1"/>
    <row r="17420" customFormat="1" ht="17.25" customHeight="1"/>
    <row r="17421" customFormat="1" ht="17.25" customHeight="1"/>
    <row r="17422" customFormat="1" ht="17.25" customHeight="1"/>
    <row r="17423" customFormat="1" ht="17.25" customHeight="1"/>
    <row r="17424" customFormat="1" ht="17.25" customHeight="1"/>
    <row r="17425" customFormat="1" ht="17.25" customHeight="1"/>
    <row r="17426" customFormat="1" ht="17.25" customHeight="1"/>
    <row r="17427" customFormat="1" ht="17.25" customHeight="1"/>
    <row r="17428" customFormat="1" ht="17.25" customHeight="1"/>
    <row r="17429" customFormat="1" ht="17.25" customHeight="1"/>
    <row r="17430" customFormat="1" ht="17.25" customHeight="1"/>
    <row r="17431" customFormat="1" ht="17.25" customHeight="1"/>
    <row r="17432" customFormat="1" ht="17.25" customHeight="1"/>
    <row r="17433" customFormat="1" ht="17.25" customHeight="1"/>
    <row r="17434" customFormat="1" ht="17.25" customHeight="1"/>
    <row r="17435" customFormat="1" ht="17.25" customHeight="1"/>
    <row r="17436" customFormat="1" ht="17.25" customHeight="1"/>
    <row r="17437" customFormat="1" ht="17.25" customHeight="1"/>
    <row r="17438" customFormat="1" ht="17.25" customHeight="1"/>
    <row r="17439" customFormat="1" ht="17.25" customHeight="1"/>
    <row r="17440" customFormat="1" ht="17.25" customHeight="1"/>
    <row r="17441" customFormat="1" ht="17.25" customHeight="1"/>
    <row r="17442" customFormat="1" ht="17.25" customHeight="1"/>
    <row r="17443" customFormat="1" ht="17.25" customHeight="1"/>
    <row r="17444" customFormat="1" ht="17.25" customHeight="1"/>
    <row r="17445" customFormat="1" ht="17.25" customHeight="1"/>
    <row r="17446" customFormat="1" ht="17.25" customHeight="1"/>
    <row r="17447" customFormat="1" ht="17.25" customHeight="1"/>
    <row r="17448" customFormat="1" ht="17.25" customHeight="1"/>
    <row r="17449" customFormat="1" ht="17.25" customHeight="1"/>
    <row r="17450" customFormat="1" ht="17.25" customHeight="1"/>
    <row r="17451" customFormat="1" ht="17.25" customHeight="1"/>
    <row r="17452" customFormat="1" ht="17.25" customHeight="1"/>
    <row r="17453" customFormat="1" ht="17.25" customHeight="1"/>
    <row r="17454" customFormat="1" ht="17.25" customHeight="1"/>
    <row r="17455" customFormat="1" ht="17.25" customHeight="1"/>
    <row r="17456" customFormat="1" ht="17.25" customHeight="1"/>
    <row r="17457" customFormat="1" ht="17.25" customHeight="1"/>
    <row r="17458" customFormat="1" ht="17.25" customHeight="1"/>
    <row r="17459" customFormat="1" ht="17.25" customHeight="1"/>
    <row r="17460" customFormat="1" ht="17.25" customHeight="1"/>
    <row r="17461" customFormat="1" ht="17.25" customHeight="1"/>
    <row r="17462" customFormat="1" ht="17.25" customHeight="1"/>
    <row r="17463" customFormat="1" ht="17.25" customHeight="1"/>
    <row r="17464" customFormat="1" ht="17.25" customHeight="1"/>
    <row r="17465" customFormat="1" ht="17.25" customHeight="1"/>
    <row r="17466" customFormat="1" ht="17.25" customHeight="1"/>
    <row r="17467" customFormat="1" ht="17.25" customHeight="1"/>
    <row r="17468" customFormat="1" ht="17.25" customHeight="1"/>
    <row r="17469" customFormat="1" ht="17.25" customHeight="1"/>
    <row r="17470" customFormat="1" ht="17.25" customHeight="1"/>
    <row r="17471" customFormat="1" ht="17.25" customHeight="1"/>
    <row r="17472" customFormat="1" ht="17.25" customHeight="1"/>
    <row r="17473" customFormat="1" ht="17.25" customHeight="1"/>
    <row r="17474" customFormat="1" ht="17.25" customHeight="1"/>
    <row r="17475" customFormat="1" ht="17.25" customHeight="1"/>
    <row r="17476" customFormat="1" ht="17.25" customHeight="1"/>
    <row r="17477" customFormat="1" ht="17.25" customHeight="1"/>
    <row r="17478" customFormat="1" ht="17.25" customHeight="1"/>
    <row r="17479" customFormat="1" ht="17.25" customHeight="1"/>
    <row r="17480" customFormat="1" ht="17.25" customHeight="1"/>
    <row r="17481" customFormat="1" ht="17.25" customHeight="1"/>
    <row r="17482" customFormat="1" ht="17.25" customHeight="1"/>
    <row r="17483" customFormat="1" ht="17.25" customHeight="1"/>
    <row r="17484" customFormat="1" ht="17.25" customHeight="1"/>
    <row r="17485" customFormat="1" ht="17.25" customHeight="1"/>
    <row r="17486" customFormat="1" ht="17.25" customHeight="1"/>
    <row r="17487" customFormat="1" ht="17.25" customHeight="1"/>
    <row r="17488" customFormat="1" ht="17.25" customHeight="1"/>
    <row r="17489" customFormat="1" ht="17.25" customHeight="1"/>
    <row r="17490" customFormat="1" ht="17.25" customHeight="1"/>
    <row r="17491" customFormat="1" ht="17.25" customHeight="1"/>
    <row r="17492" customFormat="1" ht="17.25" customHeight="1"/>
    <row r="17493" customFormat="1" ht="17.25" customHeight="1"/>
    <row r="17494" customFormat="1" ht="17.25" customHeight="1"/>
    <row r="17495" customFormat="1" ht="17.25" customHeight="1"/>
    <row r="17496" customFormat="1" ht="17.25" customHeight="1"/>
    <row r="17497" customFormat="1" ht="17.25" customHeight="1"/>
    <row r="17498" customFormat="1" ht="17.25" customHeight="1"/>
    <row r="17499" customFormat="1" ht="17.25" customHeight="1"/>
    <row r="17500" customFormat="1" ht="17.25" customHeight="1"/>
    <row r="17501" customFormat="1" ht="17.25" customHeight="1"/>
    <row r="17502" customFormat="1" ht="17.25" customHeight="1"/>
    <row r="17503" customFormat="1" ht="17.25" customHeight="1"/>
    <row r="17504" customFormat="1" ht="17.25" customHeight="1"/>
    <row r="17505" customFormat="1" ht="17.25" customHeight="1"/>
    <row r="17506" customFormat="1" ht="17.25" customHeight="1"/>
    <row r="17507" customFormat="1" ht="17.25" customHeight="1"/>
    <row r="17508" customFormat="1" ht="17.25" customHeight="1"/>
    <row r="17509" customFormat="1" ht="17.25" customHeight="1"/>
    <row r="17510" customFormat="1" ht="17.25" customHeight="1"/>
    <row r="17511" customFormat="1" ht="17.25" customHeight="1"/>
    <row r="17512" customFormat="1" ht="17.25" customHeight="1"/>
    <row r="17513" customFormat="1" ht="17.25" customHeight="1"/>
    <row r="17514" customFormat="1" ht="17.25" customHeight="1"/>
    <row r="17515" customFormat="1" ht="17.25" customHeight="1"/>
    <row r="17516" customFormat="1" ht="17.25" customHeight="1"/>
    <row r="17517" customFormat="1" ht="17.25" customHeight="1"/>
    <row r="17518" customFormat="1" ht="17.25" customHeight="1"/>
    <row r="17519" customFormat="1" ht="17.25" customHeight="1"/>
    <row r="17520" customFormat="1" ht="17.25" customHeight="1"/>
    <row r="17521" customFormat="1" ht="17.25" customHeight="1"/>
    <row r="17522" customFormat="1" ht="17.25" customHeight="1"/>
    <row r="17523" customFormat="1" ht="17.25" customHeight="1"/>
    <row r="17524" customFormat="1" ht="17.25" customHeight="1"/>
    <row r="17525" customFormat="1" ht="17.25" customHeight="1"/>
    <row r="17526" customFormat="1" ht="17.25" customHeight="1"/>
    <row r="17527" customFormat="1" ht="17.25" customHeight="1"/>
    <row r="17528" customFormat="1" ht="17.25" customHeight="1"/>
    <row r="17529" customFormat="1" ht="17.25" customHeight="1"/>
    <row r="17530" customFormat="1" ht="17.25" customHeight="1"/>
    <row r="17531" customFormat="1" ht="17.25" customHeight="1"/>
    <row r="17532" customFormat="1" ht="17.25" customHeight="1"/>
    <row r="17533" customFormat="1" ht="17.25" customHeight="1"/>
    <row r="17534" customFormat="1" ht="17.25" customHeight="1"/>
    <row r="17535" customFormat="1" ht="17.25" customHeight="1"/>
    <row r="17536" customFormat="1" ht="17.25" customHeight="1"/>
    <row r="17537" customFormat="1" ht="17.25" customHeight="1"/>
    <row r="17538" customFormat="1" ht="17.25" customHeight="1"/>
    <row r="17539" customFormat="1" ht="17.25" customHeight="1"/>
    <row r="17540" customFormat="1" ht="17.25" customHeight="1"/>
    <row r="17541" customFormat="1" ht="17.25" customHeight="1"/>
    <row r="17542" customFormat="1" ht="17.25" customHeight="1"/>
    <row r="17543" customFormat="1" ht="17.25" customHeight="1"/>
    <row r="17544" customFormat="1" ht="17.25" customHeight="1"/>
    <row r="17545" customFormat="1" ht="17.25" customHeight="1"/>
    <row r="17546" customFormat="1" ht="17.25" customHeight="1"/>
    <row r="17547" customFormat="1" ht="17.25" customHeight="1"/>
    <row r="17548" customFormat="1" ht="17.25" customHeight="1"/>
    <row r="17549" customFormat="1" ht="17.25" customHeight="1"/>
    <row r="17550" customFormat="1" ht="17.25" customHeight="1"/>
    <row r="17551" customFormat="1" ht="17.25" customHeight="1"/>
    <row r="17552" customFormat="1" ht="17.25" customHeight="1"/>
    <row r="17553" customFormat="1" ht="17.25" customHeight="1"/>
    <row r="17554" customFormat="1" ht="17.25" customHeight="1"/>
    <row r="17555" customFormat="1" ht="17.25" customHeight="1"/>
    <row r="17556" customFormat="1" ht="17.25" customHeight="1"/>
    <row r="17557" customFormat="1" ht="17.25" customHeight="1"/>
    <row r="17558" customFormat="1" ht="17.25" customHeight="1"/>
    <row r="17559" customFormat="1" ht="17.25" customHeight="1"/>
    <row r="17560" customFormat="1" ht="17.25" customHeight="1"/>
    <row r="17561" customFormat="1" ht="17.25" customHeight="1"/>
    <row r="17562" customFormat="1" ht="17.25" customHeight="1"/>
    <row r="17563" customFormat="1" ht="17.25" customHeight="1"/>
    <row r="17564" customFormat="1" ht="17.25" customHeight="1"/>
    <row r="17565" customFormat="1" ht="17.25" customHeight="1"/>
    <row r="17566" customFormat="1" ht="17.25" customHeight="1"/>
    <row r="17567" customFormat="1" ht="17.25" customHeight="1"/>
    <row r="17568" customFormat="1" ht="17.25" customHeight="1"/>
    <row r="17569" customFormat="1" ht="17.25" customHeight="1"/>
    <row r="17570" customFormat="1" ht="17.25" customHeight="1"/>
    <row r="17571" customFormat="1" ht="17.25" customHeight="1"/>
    <row r="17572" customFormat="1" ht="17.25" customHeight="1"/>
    <row r="17573" customFormat="1" ht="17.25" customHeight="1"/>
    <row r="17574" customFormat="1" ht="17.25" customHeight="1"/>
    <row r="17575" customFormat="1" ht="17.25" customHeight="1"/>
    <row r="17576" customFormat="1" ht="17.25" customHeight="1"/>
    <row r="17577" customFormat="1" ht="17.25" customHeight="1"/>
    <row r="17578" customFormat="1" ht="17.25" customHeight="1"/>
    <row r="17579" customFormat="1" ht="17.25" customHeight="1"/>
    <row r="17580" customFormat="1" ht="17.25" customHeight="1"/>
    <row r="17581" customFormat="1" ht="17.25" customHeight="1"/>
    <row r="17582" customFormat="1" ht="17.25" customHeight="1"/>
    <row r="17583" customFormat="1" ht="17.25" customHeight="1"/>
    <row r="17584" customFormat="1" ht="17.25" customHeight="1"/>
    <row r="17585" customFormat="1" ht="17.25" customHeight="1"/>
    <row r="17586" customFormat="1" ht="17.25" customHeight="1"/>
    <row r="17587" customFormat="1" ht="17.25" customHeight="1"/>
    <row r="17588" customFormat="1" ht="17.25" customHeight="1"/>
    <row r="17589" customFormat="1" ht="17.25" customHeight="1"/>
    <row r="17590" customFormat="1" ht="17.25" customHeight="1"/>
    <row r="17591" customFormat="1" ht="17.25" customHeight="1"/>
    <row r="17592" customFormat="1" ht="17.25" customHeight="1"/>
    <row r="17593" customFormat="1" ht="17.25" customHeight="1"/>
    <row r="17594" customFormat="1" ht="17.25" customHeight="1"/>
    <row r="17595" customFormat="1" ht="17.25" customHeight="1"/>
    <row r="17596" customFormat="1" ht="17.25" customHeight="1"/>
    <row r="17597" customFormat="1" ht="17.25" customHeight="1"/>
    <row r="17598" customFormat="1" ht="17.25" customHeight="1"/>
    <row r="17599" customFormat="1" ht="17.25" customHeight="1"/>
    <row r="17600" customFormat="1" ht="17.25" customHeight="1"/>
    <row r="17601" customFormat="1" ht="17.25" customHeight="1"/>
    <row r="17602" customFormat="1" ht="17.25" customHeight="1"/>
    <row r="17603" customFormat="1" ht="17.25" customHeight="1"/>
    <row r="17604" customFormat="1" ht="17.25" customHeight="1"/>
    <row r="17605" customFormat="1" ht="17.25" customHeight="1"/>
    <row r="17606" customFormat="1" ht="17.25" customHeight="1"/>
    <row r="17607" customFormat="1" ht="17.25" customHeight="1"/>
    <row r="17608" customFormat="1" ht="17.25" customHeight="1"/>
    <row r="17609" customFormat="1" ht="17.25" customHeight="1"/>
    <row r="17610" customFormat="1" ht="17.25" customHeight="1"/>
    <row r="17611" customFormat="1" ht="17.25" customHeight="1"/>
    <row r="17612" customFormat="1" ht="17.25" customHeight="1"/>
    <row r="17613" customFormat="1" ht="17.25" customHeight="1"/>
    <row r="17614" customFormat="1" ht="17.25" customHeight="1"/>
    <row r="17615" customFormat="1" ht="17.25" customHeight="1"/>
    <row r="17616" customFormat="1" ht="17.25" customHeight="1"/>
    <row r="17617" customFormat="1" ht="17.25" customHeight="1"/>
    <row r="17618" customFormat="1" ht="17.25" customHeight="1"/>
    <row r="17619" customFormat="1" ht="17.25" customHeight="1"/>
    <row r="17620" customFormat="1" ht="17.25" customHeight="1"/>
    <row r="17621" customFormat="1" ht="17.25" customHeight="1"/>
    <row r="17622" customFormat="1" ht="17.25" customHeight="1"/>
    <row r="17623" customFormat="1" ht="17.25" customHeight="1"/>
    <row r="17624" customFormat="1" ht="17.25" customHeight="1"/>
    <row r="17625" customFormat="1" ht="17.25" customHeight="1"/>
    <row r="17626" customFormat="1" ht="17.25" customHeight="1"/>
    <row r="17627" customFormat="1" ht="17.25" customHeight="1"/>
    <row r="17628" customFormat="1" ht="17.25" customHeight="1"/>
    <row r="17629" customFormat="1" ht="17.25" customHeight="1"/>
    <row r="17630" customFormat="1" ht="17.25" customHeight="1"/>
    <row r="17631" customFormat="1" ht="17.25" customHeight="1"/>
    <row r="17632" customFormat="1" ht="17.25" customHeight="1"/>
    <row r="17633" customFormat="1" ht="17.25" customHeight="1"/>
    <row r="17634" customFormat="1" ht="17.25" customHeight="1"/>
    <row r="17635" customFormat="1" ht="17.25" customHeight="1"/>
    <row r="17636" customFormat="1" ht="17.25" customHeight="1"/>
    <row r="17637" customFormat="1" ht="17.25" customHeight="1"/>
    <row r="17638" customFormat="1" ht="17.25" customHeight="1"/>
    <row r="17639" customFormat="1" ht="17.25" customHeight="1"/>
    <row r="17640" customFormat="1" ht="17.25" customHeight="1"/>
    <row r="17641" customFormat="1" ht="17.25" customHeight="1"/>
    <row r="17642" customFormat="1" ht="17.25" customHeight="1"/>
    <row r="17643" customFormat="1" ht="17.25" customHeight="1"/>
    <row r="17644" customFormat="1" ht="17.25" customHeight="1"/>
    <row r="17645" customFormat="1" ht="17.25" customHeight="1"/>
    <row r="17646" customFormat="1" ht="17.25" customHeight="1"/>
    <row r="17647" customFormat="1" ht="17.25" customHeight="1"/>
    <row r="17648" customFormat="1" ht="17.25" customHeight="1"/>
    <row r="17649" customFormat="1" ht="17.25" customHeight="1"/>
    <row r="17650" customFormat="1" ht="17.25" customHeight="1"/>
    <row r="17651" customFormat="1" ht="17.25" customHeight="1"/>
    <row r="17652" customFormat="1" ht="17.25" customHeight="1"/>
    <row r="17653" customFormat="1" ht="17.25" customHeight="1"/>
    <row r="17654" customFormat="1" ht="17.25" customHeight="1"/>
    <row r="17655" customFormat="1" ht="17.25" customHeight="1"/>
    <row r="17656" customFormat="1" ht="17.25" customHeight="1"/>
    <row r="17657" customFormat="1" ht="17.25" customHeight="1"/>
    <row r="17658" customFormat="1" ht="17.25" customHeight="1"/>
    <row r="17659" customFormat="1" ht="17.25" customHeight="1"/>
    <row r="17660" customFormat="1" ht="17.25" customHeight="1"/>
    <row r="17661" customFormat="1" ht="17.25" customHeight="1"/>
    <row r="17662" customFormat="1" ht="17.25" customHeight="1"/>
    <row r="17663" customFormat="1" ht="17.25" customHeight="1"/>
    <row r="17664" customFormat="1" ht="17.25" customHeight="1"/>
    <row r="17665" customFormat="1" ht="17.25" customHeight="1"/>
    <row r="17666" customFormat="1" ht="17.25" customHeight="1"/>
    <row r="17667" customFormat="1" ht="17.25" customHeight="1"/>
    <row r="17668" customFormat="1" ht="17.25" customHeight="1"/>
    <row r="17669" customFormat="1" ht="17.25" customHeight="1"/>
    <row r="17670" customFormat="1" ht="17.25" customHeight="1"/>
    <row r="17671" customFormat="1" ht="17.25" customHeight="1"/>
    <row r="17672" customFormat="1" ht="17.25" customHeight="1"/>
    <row r="17673" customFormat="1" ht="17.25" customHeight="1"/>
    <row r="17674" customFormat="1" ht="17.25" customHeight="1"/>
    <row r="17675" customFormat="1" ht="17.25" customHeight="1"/>
    <row r="17676" customFormat="1" ht="17.25" customHeight="1"/>
    <row r="17677" customFormat="1" ht="17.25" customHeight="1"/>
    <row r="17678" customFormat="1" ht="17.25" customHeight="1"/>
    <row r="17679" customFormat="1" ht="17.25" customHeight="1"/>
    <row r="17680" customFormat="1" ht="17.25" customHeight="1"/>
    <row r="17681" customFormat="1" ht="17.25" customHeight="1"/>
    <row r="17682" customFormat="1" ht="17.25" customHeight="1"/>
    <row r="17683" customFormat="1" ht="17.25" customHeight="1"/>
    <row r="17684" customFormat="1" ht="17.25" customHeight="1"/>
    <row r="17685" customFormat="1" ht="17.25" customHeight="1"/>
    <row r="17686" customFormat="1" ht="17.25" customHeight="1"/>
    <row r="17687" customFormat="1" ht="17.25" customHeight="1"/>
    <row r="17688" customFormat="1" ht="17.25" customHeight="1"/>
    <row r="17689" customFormat="1" ht="17.25" customHeight="1"/>
    <row r="17690" customFormat="1" ht="17.25" customHeight="1"/>
    <row r="17691" customFormat="1" ht="17.25" customHeight="1"/>
    <row r="17692" customFormat="1" ht="17.25" customHeight="1"/>
    <row r="17693" customFormat="1" ht="17.25" customHeight="1"/>
    <row r="17694" customFormat="1" ht="17.25" customHeight="1"/>
    <row r="17695" customFormat="1" ht="17.25" customHeight="1"/>
    <row r="17696" customFormat="1" ht="17.25" customHeight="1"/>
    <row r="17697" customFormat="1" ht="17.25" customHeight="1"/>
    <row r="17698" customFormat="1" ht="17.25" customHeight="1"/>
    <row r="17699" customFormat="1" ht="17.25" customHeight="1"/>
    <row r="17700" customFormat="1" ht="17.25" customHeight="1"/>
    <row r="17701" customFormat="1" ht="17.25" customHeight="1"/>
    <row r="17702" customFormat="1" ht="17.25" customHeight="1"/>
    <row r="17703" customFormat="1" ht="17.25" customHeight="1"/>
    <row r="17704" customFormat="1" ht="17.25" customHeight="1"/>
    <row r="17705" customFormat="1" ht="17.25" customHeight="1"/>
    <row r="17706" customFormat="1" ht="17.25" customHeight="1"/>
    <row r="17707" customFormat="1" ht="17.25" customHeight="1"/>
    <row r="17708" customFormat="1" ht="17.25" customHeight="1"/>
    <row r="17709" customFormat="1" ht="17.25" customHeight="1"/>
    <row r="17710" customFormat="1" ht="17.25" customHeight="1"/>
    <row r="17711" customFormat="1" ht="17.25" customHeight="1"/>
    <row r="17712" customFormat="1" ht="17.25" customHeight="1"/>
    <row r="17713" customFormat="1" ht="17.25" customHeight="1"/>
    <row r="17714" customFormat="1" ht="17.25" customHeight="1"/>
    <row r="17715" customFormat="1" ht="17.25" customHeight="1"/>
    <row r="17716" customFormat="1" ht="17.25" customHeight="1"/>
    <row r="17717" customFormat="1" ht="17.25" customHeight="1"/>
    <row r="17718" customFormat="1" ht="17.25" customHeight="1"/>
    <row r="17719" customFormat="1" ht="17.25" customHeight="1"/>
    <row r="17720" customFormat="1" ht="17.25" customHeight="1"/>
    <row r="17721" customFormat="1" ht="17.25" customHeight="1"/>
    <row r="17722" customFormat="1" ht="17.25" customHeight="1"/>
    <row r="17723" customFormat="1" ht="17.25" customHeight="1"/>
    <row r="17724" customFormat="1" ht="17.25" customHeight="1"/>
    <row r="17725" customFormat="1" ht="17.25" customHeight="1"/>
    <row r="17726" customFormat="1" ht="17.25" customHeight="1"/>
    <row r="17727" customFormat="1" ht="17.25" customHeight="1"/>
    <row r="17728" customFormat="1" ht="17.25" customHeight="1"/>
    <row r="17729" customFormat="1" ht="17.25" customHeight="1"/>
    <row r="17730" customFormat="1" ht="17.25" customHeight="1"/>
    <row r="17731" customFormat="1" ht="17.25" customHeight="1"/>
    <row r="17732" customFormat="1" ht="17.25" customHeight="1"/>
    <row r="17733" customFormat="1" ht="17.25" customHeight="1"/>
    <row r="17734" customFormat="1" ht="17.25" customHeight="1"/>
    <row r="17735" customFormat="1" ht="17.25" customHeight="1"/>
    <row r="17736" customFormat="1" ht="17.25" customHeight="1"/>
    <row r="17737" customFormat="1" ht="17.25" customHeight="1"/>
    <row r="17738" customFormat="1" ht="17.25" customHeight="1"/>
    <row r="17739" customFormat="1" ht="17.25" customHeight="1"/>
    <row r="17740" customFormat="1" ht="17.25" customHeight="1"/>
    <row r="17741" customFormat="1" ht="17.25" customHeight="1"/>
    <row r="17742" customFormat="1" ht="17.25" customHeight="1"/>
    <row r="17743" customFormat="1" ht="17.25" customHeight="1"/>
    <row r="17744" customFormat="1" ht="17.25" customHeight="1"/>
    <row r="17745" customFormat="1" ht="17.25" customHeight="1"/>
    <row r="17746" customFormat="1" ht="17.25" customHeight="1"/>
    <row r="17747" customFormat="1" ht="17.25" customHeight="1"/>
    <row r="17748" customFormat="1" ht="17.25" customHeight="1"/>
    <row r="17749" customFormat="1" ht="17.25" customHeight="1"/>
    <row r="17750" customFormat="1" ht="17.25" customHeight="1"/>
    <row r="17751" customFormat="1" ht="17.25" customHeight="1"/>
    <row r="17752" customFormat="1" ht="17.25" customHeight="1"/>
    <row r="17753" customFormat="1" ht="17.25" customHeight="1"/>
    <row r="17754" customFormat="1" ht="17.25" customHeight="1"/>
    <row r="17755" customFormat="1" ht="17.25" customHeight="1"/>
    <row r="17756" customFormat="1" ht="17.25" customHeight="1"/>
    <row r="17757" customFormat="1" ht="17.25" customHeight="1"/>
    <row r="17758" customFormat="1" ht="17.25" customHeight="1"/>
    <row r="17759" customFormat="1" ht="17.25" customHeight="1"/>
    <row r="17760" customFormat="1" ht="17.25" customHeight="1"/>
    <row r="17761" customFormat="1" ht="17.25" customHeight="1"/>
    <row r="17762" customFormat="1" ht="17.25" customHeight="1"/>
    <row r="17763" customFormat="1" ht="17.25" customHeight="1"/>
    <row r="17764" customFormat="1" ht="17.25" customHeight="1"/>
    <row r="17765" customFormat="1" ht="17.25" customHeight="1"/>
    <row r="17766" customFormat="1" ht="17.25" customHeight="1"/>
    <row r="17767" customFormat="1" ht="17.25" customHeight="1"/>
    <row r="17768" customFormat="1" ht="17.25" customHeight="1"/>
    <row r="17769" customFormat="1" ht="17.25" customHeight="1"/>
    <row r="17770" customFormat="1" ht="17.25" customHeight="1"/>
    <row r="17771" customFormat="1" ht="17.25" customHeight="1"/>
    <row r="17772" customFormat="1" ht="17.25" customHeight="1"/>
    <row r="17773" customFormat="1" ht="17.25" customHeight="1"/>
    <row r="17774" customFormat="1" ht="17.25" customHeight="1"/>
    <row r="17775" customFormat="1" ht="17.25" customHeight="1"/>
    <row r="17776" customFormat="1" ht="17.25" customHeight="1"/>
    <row r="17777" customFormat="1" ht="17.25" customHeight="1"/>
    <row r="17778" customFormat="1" ht="17.25" customHeight="1"/>
    <row r="17779" customFormat="1" ht="17.25" customHeight="1"/>
    <row r="17780" customFormat="1" ht="17.25" customHeight="1"/>
    <row r="17781" customFormat="1" ht="17.25" customHeight="1"/>
    <row r="17782" customFormat="1" ht="17.25" customHeight="1"/>
    <row r="17783" customFormat="1" ht="17.25" customHeight="1"/>
    <row r="17784" customFormat="1" ht="17.25" customHeight="1"/>
    <row r="17785" customFormat="1" ht="17.25" customHeight="1"/>
    <row r="17786" customFormat="1" ht="17.25" customHeight="1"/>
    <row r="17787" customFormat="1" ht="17.25" customHeight="1"/>
    <row r="17788" customFormat="1" ht="17.25" customHeight="1"/>
    <row r="17789" customFormat="1" ht="17.25" customHeight="1"/>
    <row r="17790" customFormat="1" ht="17.25" customHeight="1"/>
    <row r="17791" customFormat="1" ht="17.25" customHeight="1"/>
    <row r="17792" customFormat="1" ht="17.25" customHeight="1"/>
    <row r="17793" customFormat="1" ht="17.25" customHeight="1"/>
    <row r="17794" customFormat="1" ht="17.25" customHeight="1"/>
    <row r="17795" customFormat="1" ht="17.25" customHeight="1"/>
    <row r="17796" customFormat="1" ht="17.25" customHeight="1"/>
    <row r="17797" customFormat="1" ht="17.25" customHeight="1"/>
    <row r="17798" customFormat="1" ht="17.25" customHeight="1"/>
    <row r="17799" customFormat="1" ht="17.25" customHeight="1"/>
    <row r="17800" customFormat="1" ht="17.25" customHeight="1"/>
    <row r="17801" customFormat="1" ht="17.25" customHeight="1"/>
    <row r="17802" customFormat="1" ht="17.25" customHeight="1"/>
    <row r="17803" customFormat="1" ht="17.25" customHeight="1"/>
    <row r="17804" customFormat="1" ht="17.25" customHeight="1"/>
    <row r="17805" customFormat="1" ht="17.25" customHeight="1"/>
    <row r="17806" customFormat="1" ht="17.25" customHeight="1"/>
    <row r="17807" customFormat="1" ht="17.25" customHeight="1"/>
    <row r="17808" customFormat="1" ht="17.25" customHeight="1"/>
    <row r="17809" customFormat="1" ht="17.25" customHeight="1"/>
    <row r="17810" customFormat="1" ht="17.25" customHeight="1"/>
    <row r="17811" customFormat="1" ht="17.25" customHeight="1"/>
    <row r="17812" customFormat="1" ht="17.25" customHeight="1"/>
    <row r="17813" customFormat="1" ht="17.25" customHeight="1"/>
    <row r="17814" customFormat="1" ht="17.25" customHeight="1"/>
    <row r="17815" customFormat="1" ht="17.25" customHeight="1"/>
    <row r="17816" customFormat="1" ht="17.25" customHeight="1"/>
    <row r="17817" customFormat="1" ht="17.25" customHeight="1"/>
    <row r="17818" customFormat="1" ht="17.25" customHeight="1"/>
    <row r="17819" customFormat="1" ht="17.25" customHeight="1"/>
    <row r="17820" customFormat="1" ht="17.25" customHeight="1"/>
    <row r="17821" customFormat="1" ht="17.25" customHeight="1"/>
    <row r="17822" customFormat="1" ht="17.25" customHeight="1"/>
    <row r="17823" customFormat="1" ht="17.25" customHeight="1"/>
    <row r="17824" customFormat="1" ht="17.25" customHeight="1"/>
    <row r="17825" customFormat="1" ht="17.25" customHeight="1"/>
    <row r="17826" customFormat="1" ht="17.25" customHeight="1"/>
    <row r="17827" customFormat="1" ht="17.25" customHeight="1"/>
    <row r="17828" customFormat="1" ht="17.25" customHeight="1"/>
    <row r="17829" customFormat="1" ht="17.25" customHeight="1"/>
    <row r="17830" customFormat="1" ht="17.25" customHeight="1"/>
    <row r="17831" customFormat="1" ht="17.25" customHeight="1"/>
    <row r="17832" customFormat="1" ht="17.25" customHeight="1"/>
    <row r="17833" customFormat="1" ht="17.25" customHeight="1"/>
    <row r="17834" customFormat="1" ht="17.25" customHeight="1"/>
    <row r="17835" customFormat="1" ht="17.25" customHeight="1"/>
    <row r="17836" customFormat="1" ht="17.25" customHeight="1"/>
    <row r="17837" customFormat="1" ht="17.25" customHeight="1"/>
    <row r="17838" customFormat="1" ht="17.25" customHeight="1"/>
    <row r="17839" customFormat="1" ht="17.25" customHeight="1"/>
    <row r="17840" customFormat="1" ht="17.25" customHeight="1"/>
    <row r="17841" customFormat="1" ht="17.25" customHeight="1"/>
    <row r="17842" customFormat="1" ht="17.25" customHeight="1"/>
    <row r="17843" customFormat="1" ht="17.25" customHeight="1"/>
    <row r="17844" customFormat="1" ht="17.25" customHeight="1"/>
    <row r="17845" customFormat="1" ht="17.25" customHeight="1"/>
    <row r="17846" customFormat="1" ht="17.25" customHeight="1"/>
    <row r="17847" customFormat="1" ht="17.25" customHeight="1"/>
    <row r="17848" customFormat="1" ht="17.25" customHeight="1"/>
    <row r="17849" customFormat="1" ht="17.25" customHeight="1"/>
    <row r="17850" customFormat="1" ht="17.25" customHeight="1"/>
    <row r="17851" customFormat="1" ht="17.25" customHeight="1"/>
    <row r="17852" customFormat="1" ht="17.25" customHeight="1"/>
    <row r="17853" customFormat="1" ht="17.25" customHeight="1"/>
    <row r="17854" customFormat="1" ht="17.25" customHeight="1"/>
    <row r="17855" customFormat="1" ht="17.25" customHeight="1"/>
    <row r="17856" customFormat="1" ht="17.25" customHeight="1"/>
    <row r="17857" customFormat="1" ht="17.25" customHeight="1"/>
    <row r="17858" customFormat="1" ht="17.25" customHeight="1"/>
    <row r="17859" customFormat="1" ht="17.25" customHeight="1"/>
    <row r="17860" customFormat="1" ht="17.25" customHeight="1"/>
    <row r="17861" customFormat="1" ht="17.25" customHeight="1"/>
    <row r="17862" customFormat="1" ht="17.25" customHeight="1"/>
    <row r="17863" customFormat="1" ht="17.25" customHeight="1"/>
    <row r="17864" customFormat="1" ht="17.25" customHeight="1"/>
    <row r="17865" customFormat="1" ht="17.25" customHeight="1"/>
    <row r="17866" customFormat="1" ht="17.25" customHeight="1"/>
    <row r="17867" customFormat="1" ht="17.25" customHeight="1"/>
    <row r="17868" customFormat="1" ht="17.25" customHeight="1"/>
    <row r="17869" customFormat="1" ht="17.25" customHeight="1"/>
    <row r="17870" customFormat="1" ht="17.25" customHeight="1"/>
    <row r="17871" customFormat="1" ht="17.25" customHeight="1"/>
    <row r="17872" customFormat="1" ht="17.25" customHeight="1"/>
    <row r="17873" customFormat="1" ht="17.25" customHeight="1"/>
    <row r="17874" customFormat="1" ht="17.25" customHeight="1"/>
    <row r="17875" customFormat="1" ht="17.25" customHeight="1"/>
    <row r="17876" customFormat="1" ht="17.25" customHeight="1"/>
    <row r="17877" customFormat="1" ht="17.25" customHeight="1"/>
    <row r="17878" customFormat="1" ht="17.25" customHeight="1"/>
    <row r="17879" customFormat="1" ht="17.25" customHeight="1"/>
    <row r="17880" customFormat="1" ht="17.25" customHeight="1"/>
    <row r="17881" customFormat="1" ht="17.25" customHeight="1"/>
    <row r="17882" customFormat="1" ht="17.25" customHeight="1"/>
    <row r="17883" customFormat="1" ht="17.25" customHeight="1"/>
    <row r="17884" customFormat="1" ht="17.25" customHeight="1"/>
    <row r="17885" customFormat="1" ht="17.25" customHeight="1"/>
    <row r="17886" customFormat="1" ht="17.25" customHeight="1"/>
    <row r="17887" customFormat="1" ht="17.25" customHeight="1"/>
    <row r="17888" customFormat="1" ht="17.25" customHeight="1"/>
    <row r="17889" customFormat="1" ht="17.25" customHeight="1"/>
    <row r="17890" customFormat="1" ht="17.25" customHeight="1"/>
    <row r="17891" customFormat="1" ht="17.25" customHeight="1"/>
    <row r="17892" customFormat="1" ht="17.25" customHeight="1"/>
    <row r="17893" customFormat="1" ht="17.25" customHeight="1"/>
    <row r="17894" customFormat="1" ht="17.25" customHeight="1"/>
    <row r="17895" customFormat="1" ht="17.25" customHeight="1"/>
    <row r="17896" customFormat="1" ht="17.25" customHeight="1"/>
    <row r="17897" customFormat="1" ht="17.25" customHeight="1"/>
    <row r="17898" customFormat="1" ht="17.25" customHeight="1"/>
    <row r="17899" customFormat="1" ht="17.25" customHeight="1"/>
    <row r="17900" customFormat="1" ht="17.25" customHeight="1"/>
    <row r="17901" customFormat="1" ht="17.25" customHeight="1"/>
    <row r="17902" customFormat="1" ht="17.25" customHeight="1"/>
    <row r="17903" customFormat="1" ht="17.25" customHeight="1"/>
    <row r="17904" customFormat="1" ht="17.25" customHeight="1"/>
    <row r="17905" customFormat="1" ht="17.25" customHeight="1"/>
    <row r="17906" customFormat="1" ht="17.25" customHeight="1"/>
    <row r="17907" customFormat="1" ht="17.25" customHeight="1"/>
    <row r="17908" customFormat="1" ht="17.25" customHeight="1"/>
    <row r="17909" customFormat="1" ht="17.25" customHeight="1"/>
    <row r="17910" customFormat="1" ht="17.25" customHeight="1"/>
    <row r="17911" customFormat="1" ht="17.25" customHeight="1"/>
    <row r="17912" customFormat="1" ht="17.25" customHeight="1"/>
    <row r="17913" customFormat="1" ht="17.25" customHeight="1"/>
    <row r="17914" customFormat="1" ht="17.25" customHeight="1"/>
    <row r="17915" customFormat="1" ht="17.25" customHeight="1"/>
    <row r="17916" customFormat="1" ht="17.25" customHeight="1"/>
    <row r="17917" customFormat="1" ht="17.25" customHeight="1"/>
    <row r="17918" customFormat="1" ht="17.25" customHeight="1"/>
    <row r="17919" customFormat="1" ht="17.25" customHeight="1"/>
    <row r="17920" customFormat="1" ht="17.25" customHeight="1"/>
    <row r="17921" customFormat="1" ht="17.25" customHeight="1"/>
    <row r="17922" customFormat="1" ht="17.25" customHeight="1"/>
    <row r="17923" customFormat="1" ht="17.25" customHeight="1"/>
    <row r="17924" customFormat="1" ht="17.25" customHeight="1"/>
    <row r="17925" customFormat="1" ht="17.25" customHeight="1"/>
    <row r="17926" customFormat="1" ht="17.25" customHeight="1"/>
    <row r="17927" customFormat="1" ht="17.25" customHeight="1"/>
    <row r="17928" customFormat="1" ht="17.25" customHeight="1"/>
    <row r="17929" customFormat="1" ht="17.25" customHeight="1"/>
    <row r="17930" customFormat="1" ht="17.25" customHeight="1"/>
    <row r="17931" customFormat="1" ht="17.25" customHeight="1"/>
    <row r="17932" customFormat="1" ht="17.25" customHeight="1"/>
    <row r="17933" customFormat="1" ht="17.25" customHeight="1"/>
    <row r="17934" customFormat="1" ht="17.25" customHeight="1"/>
    <row r="17935" customFormat="1" ht="17.25" customHeight="1"/>
    <row r="17936" customFormat="1" ht="17.25" customHeight="1"/>
    <row r="17937" customFormat="1" ht="17.25" customHeight="1"/>
    <row r="17938" customFormat="1" ht="17.25" customHeight="1"/>
    <row r="17939" customFormat="1" ht="17.25" customHeight="1"/>
    <row r="17940" customFormat="1" ht="17.25" customHeight="1"/>
    <row r="17941" customFormat="1" ht="17.25" customHeight="1"/>
    <row r="17942" customFormat="1" ht="17.25" customHeight="1"/>
    <row r="17943" customFormat="1" ht="17.25" customHeight="1"/>
    <row r="17944" customFormat="1" ht="17.25" customHeight="1"/>
    <row r="17945" customFormat="1" ht="17.25" customHeight="1"/>
    <row r="17946" customFormat="1" ht="17.25" customHeight="1"/>
    <row r="17947" customFormat="1" ht="17.25" customHeight="1"/>
    <row r="17948" customFormat="1" ht="17.25" customHeight="1"/>
    <row r="17949" customFormat="1" ht="17.25" customHeight="1"/>
    <row r="17950" customFormat="1" ht="17.25" customHeight="1"/>
    <row r="17951" customFormat="1" ht="17.25" customHeight="1"/>
    <row r="17952" customFormat="1" ht="17.25" customHeight="1"/>
    <row r="17953" customFormat="1" ht="17.25" customHeight="1"/>
    <row r="17954" customFormat="1" ht="17.25" customHeight="1"/>
    <row r="17955" customFormat="1" ht="17.25" customHeight="1"/>
    <row r="17956" customFormat="1" ht="17.25" customHeight="1"/>
    <row r="17957" customFormat="1" ht="17.25" customHeight="1"/>
    <row r="17958" customFormat="1" ht="17.25" customHeight="1"/>
    <row r="17959" customFormat="1" ht="17.25" customHeight="1"/>
    <row r="17960" customFormat="1" ht="17.25" customHeight="1"/>
    <row r="17961" customFormat="1" ht="17.25" customHeight="1"/>
    <row r="17962" customFormat="1" ht="17.25" customHeight="1"/>
    <row r="17963" customFormat="1" ht="17.25" customHeight="1"/>
    <row r="17964" customFormat="1" ht="17.25" customHeight="1"/>
    <row r="17965" customFormat="1" ht="17.25" customHeight="1"/>
    <row r="17966" customFormat="1" ht="17.25" customHeight="1"/>
    <row r="17967" customFormat="1" ht="17.25" customHeight="1"/>
    <row r="17968" customFormat="1" ht="17.25" customHeight="1"/>
    <row r="17969" customFormat="1" ht="17.25" customHeight="1"/>
    <row r="17970" customFormat="1" ht="17.25" customHeight="1"/>
    <row r="17971" customFormat="1" ht="17.25" customHeight="1"/>
    <row r="17972" customFormat="1" ht="17.25" customHeight="1"/>
    <row r="17973" customFormat="1" ht="17.25" customHeight="1"/>
    <row r="17974" customFormat="1" ht="17.25" customHeight="1"/>
    <row r="17975" customFormat="1" ht="17.25" customHeight="1"/>
    <row r="17976" customFormat="1" ht="17.25" customHeight="1"/>
    <row r="17977" customFormat="1" ht="17.25" customHeight="1"/>
    <row r="17978" customFormat="1" ht="17.25" customHeight="1"/>
    <row r="17979" customFormat="1" ht="17.25" customHeight="1"/>
    <row r="17980" customFormat="1" ht="17.25" customHeight="1"/>
    <row r="17981" customFormat="1" ht="17.25" customHeight="1"/>
    <row r="17982" customFormat="1" ht="17.25" customHeight="1"/>
    <row r="17983" customFormat="1" ht="17.25" customHeight="1"/>
    <row r="17984" customFormat="1" ht="17.25" customHeight="1"/>
    <row r="17985" customFormat="1" ht="17.25" customHeight="1"/>
    <row r="17986" customFormat="1" ht="17.25" customHeight="1"/>
    <row r="17987" customFormat="1" ht="17.25" customHeight="1"/>
    <row r="17988" customFormat="1" ht="17.25" customHeight="1"/>
    <row r="17989" customFormat="1" ht="17.25" customHeight="1"/>
    <row r="17990" customFormat="1" ht="17.25" customHeight="1"/>
    <row r="17991" customFormat="1" ht="17.25" customHeight="1"/>
    <row r="17992" customFormat="1" ht="17.25" customHeight="1"/>
    <row r="17993" customFormat="1" ht="17.25" customHeight="1"/>
    <row r="17994" customFormat="1" ht="17.25" customHeight="1"/>
    <row r="17995" customFormat="1" ht="17.25" customHeight="1"/>
    <row r="17996" customFormat="1" ht="17.25" customHeight="1"/>
    <row r="17997" customFormat="1" ht="17.25" customHeight="1"/>
    <row r="17998" customFormat="1" ht="17.25" customHeight="1"/>
    <row r="17999" customFormat="1" ht="17.25" customHeight="1"/>
    <row r="18000" customFormat="1" ht="17.25" customHeight="1"/>
    <row r="18001" customFormat="1" ht="17.25" customHeight="1"/>
    <row r="18002" customFormat="1" ht="17.25" customHeight="1"/>
    <row r="18003" customFormat="1" ht="17.25" customHeight="1"/>
    <row r="18004" customFormat="1" ht="17.25" customHeight="1"/>
    <row r="18005" customFormat="1" ht="17.25" customHeight="1"/>
    <row r="18006" customFormat="1" ht="17.25" customHeight="1"/>
    <row r="18007" customFormat="1" ht="17.25" customHeight="1"/>
    <row r="18008" customFormat="1" ht="17.25" customHeight="1"/>
    <row r="18009" customFormat="1" ht="17.25" customHeight="1"/>
    <row r="18010" customFormat="1" ht="17.25" customHeight="1"/>
    <row r="18011" customFormat="1" ht="17.25" customHeight="1"/>
    <row r="18012" customFormat="1" ht="17.25" customHeight="1"/>
    <row r="18013" customFormat="1" ht="17.25" customHeight="1"/>
    <row r="18014" customFormat="1" ht="17.25" customHeight="1"/>
    <row r="18015" customFormat="1" ht="17.25" customHeight="1"/>
    <row r="18016" customFormat="1" ht="17.25" customHeight="1"/>
    <row r="18017" customFormat="1" ht="17.25" customHeight="1"/>
    <row r="18018" customFormat="1" ht="17.25" customHeight="1"/>
    <row r="18019" customFormat="1" ht="17.25" customHeight="1"/>
    <row r="18020" customFormat="1" ht="17.25" customHeight="1"/>
    <row r="18021" customFormat="1" ht="17.25" customHeight="1"/>
    <row r="18022" customFormat="1" ht="17.25" customHeight="1"/>
    <row r="18023" customFormat="1" ht="17.25" customHeight="1"/>
    <row r="18024" customFormat="1" ht="17.25" customHeight="1"/>
    <row r="18025" customFormat="1" ht="17.25" customHeight="1"/>
    <row r="18026" customFormat="1" ht="17.25" customHeight="1"/>
    <row r="18027" customFormat="1" ht="17.25" customHeight="1"/>
    <row r="18028" customFormat="1" ht="17.25" customHeight="1"/>
    <row r="18029" customFormat="1" ht="17.25" customHeight="1"/>
    <row r="18030" customFormat="1" ht="17.25" customHeight="1"/>
    <row r="18031" customFormat="1" ht="17.25" customHeight="1"/>
    <row r="18032" customFormat="1" ht="17.25" customHeight="1"/>
    <row r="18033" customFormat="1" ht="17.25" customHeight="1"/>
    <row r="18034" customFormat="1" ht="17.25" customHeight="1"/>
    <row r="18035" customFormat="1" ht="17.25" customHeight="1"/>
    <row r="18036" customFormat="1" ht="17.25" customHeight="1"/>
    <row r="18037" customFormat="1" ht="17.25" customHeight="1"/>
    <row r="18038" customFormat="1" ht="17.25" customHeight="1"/>
    <row r="18039" customFormat="1" ht="17.25" customHeight="1"/>
    <row r="18040" customFormat="1" ht="17.25" customHeight="1"/>
    <row r="18041" customFormat="1" ht="17.25" customHeight="1"/>
    <row r="18042" customFormat="1" ht="17.25" customHeight="1"/>
    <row r="18043" customFormat="1" ht="17.25" customHeight="1"/>
    <row r="18044" customFormat="1" ht="17.25" customHeight="1"/>
    <row r="18045" customFormat="1" ht="17.25" customHeight="1"/>
    <row r="18046" customFormat="1" ht="17.25" customHeight="1"/>
    <row r="18047" customFormat="1" ht="17.25" customHeight="1"/>
    <row r="18048" customFormat="1" ht="17.25" customHeight="1"/>
    <row r="18049" customFormat="1" ht="17.25" customHeight="1"/>
    <row r="18050" customFormat="1" ht="17.25" customHeight="1"/>
    <row r="18051" customFormat="1" ht="17.25" customHeight="1"/>
    <row r="18052" customFormat="1" ht="17.25" customHeight="1"/>
    <row r="18053" customFormat="1" ht="17.25" customHeight="1"/>
    <row r="18054" customFormat="1" ht="17.25" customHeight="1"/>
    <row r="18055" customFormat="1" ht="17.25" customHeight="1"/>
    <row r="18056" customFormat="1" ht="17.25" customHeight="1"/>
    <row r="18057" customFormat="1" ht="17.25" customHeight="1"/>
    <row r="18058" customFormat="1" ht="17.25" customHeight="1"/>
    <row r="18059" customFormat="1" ht="17.25" customHeight="1"/>
    <row r="18060" customFormat="1" ht="17.25" customHeight="1"/>
    <row r="18061" customFormat="1" ht="17.25" customHeight="1"/>
    <row r="18062" customFormat="1" ht="17.25" customHeight="1"/>
    <row r="18063" customFormat="1" ht="17.25" customHeight="1"/>
    <row r="18064" customFormat="1" ht="17.25" customHeight="1"/>
    <row r="18065" customFormat="1" ht="17.25" customHeight="1"/>
    <row r="18066" customFormat="1" ht="17.25" customHeight="1"/>
    <row r="18067" customFormat="1" ht="17.25" customHeight="1"/>
    <row r="18068" customFormat="1" ht="17.25" customHeight="1"/>
    <row r="18069" customFormat="1" ht="17.25" customHeight="1"/>
    <row r="18070" customFormat="1" ht="17.25" customHeight="1"/>
    <row r="18071" customFormat="1" ht="17.25" customHeight="1"/>
    <row r="18072" customFormat="1" ht="17.25" customHeight="1"/>
    <row r="18073" customFormat="1" ht="17.25" customHeight="1"/>
    <row r="18074" customFormat="1" ht="17.25" customHeight="1"/>
    <row r="18075" customFormat="1" ht="17.25" customHeight="1"/>
    <row r="18076" customFormat="1" ht="17.25" customHeight="1"/>
    <row r="18077" customFormat="1" ht="17.25" customHeight="1"/>
    <row r="18078" customFormat="1" ht="17.25" customHeight="1"/>
    <row r="18079" customFormat="1" ht="17.25" customHeight="1"/>
    <row r="18080" customFormat="1" ht="17.25" customHeight="1"/>
    <row r="18081" customFormat="1" ht="17.25" customHeight="1"/>
    <row r="18082" customFormat="1" ht="17.25" customHeight="1"/>
    <row r="18083" customFormat="1" ht="17.25" customHeight="1"/>
    <row r="18084" customFormat="1" ht="17.25" customHeight="1"/>
    <row r="18085" customFormat="1" ht="17.25" customHeight="1"/>
    <row r="18086" customFormat="1" ht="17.25" customHeight="1"/>
    <row r="18087" customFormat="1" ht="17.25" customHeight="1"/>
    <row r="18088" customFormat="1" ht="17.25" customHeight="1"/>
    <row r="18089" customFormat="1" ht="17.25" customHeight="1"/>
    <row r="18090" customFormat="1" ht="17.25" customHeight="1"/>
    <row r="18091" customFormat="1" ht="17.25" customHeight="1"/>
    <row r="18092" customFormat="1" ht="17.25" customHeight="1"/>
    <row r="18093" customFormat="1" ht="17.25" customHeight="1"/>
    <row r="18094" customFormat="1" ht="17.25" customHeight="1"/>
    <row r="18095" customFormat="1" ht="17.25" customHeight="1"/>
    <row r="18096" customFormat="1" ht="17.25" customHeight="1"/>
    <row r="18097" customFormat="1" ht="17.25" customHeight="1"/>
    <row r="18098" customFormat="1" ht="17.25" customHeight="1"/>
    <row r="18099" customFormat="1" ht="17.25" customHeight="1"/>
    <row r="18100" customFormat="1" ht="17.25" customHeight="1"/>
    <row r="18101" customFormat="1" ht="17.25" customHeight="1"/>
    <row r="18102" customFormat="1" ht="17.25" customHeight="1"/>
    <row r="18103" customFormat="1" ht="17.25" customHeight="1"/>
    <row r="18104" customFormat="1" ht="17.25" customHeight="1"/>
    <row r="18105" customFormat="1" ht="17.25" customHeight="1"/>
    <row r="18106" customFormat="1" ht="17.25" customHeight="1"/>
    <row r="18107" customFormat="1" ht="17.25" customHeight="1"/>
    <row r="18108" customFormat="1" ht="17.25" customHeight="1"/>
    <row r="18109" customFormat="1" ht="17.25" customHeight="1"/>
    <row r="18110" customFormat="1" ht="17.25" customHeight="1"/>
    <row r="18111" customFormat="1" ht="17.25" customHeight="1"/>
    <row r="18112" customFormat="1" ht="17.25" customHeight="1"/>
    <row r="18113" customFormat="1" ht="17.25" customHeight="1"/>
    <row r="18114" customFormat="1" ht="17.25" customHeight="1"/>
    <row r="18115" customFormat="1" ht="17.25" customHeight="1"/>
    <row r="18116" customFormat="1" ht="17.25" customHeight="1"/>
    <row r="18117" customFormat="1" ht="17.25" customHeight="1"/>
    <row r="18118" customFormat="1" ht="17.25" customHeight="1"/>
    <row r="18119" customFormat="1" ht="17.25" customHeight="1"/>
    <row r="18120" customFormat="1" ht="17.25" customHeight="1"/>
    <row r="18121" customFormat="1" ht="17.25" customHeight="1"/>
    <row r="18122" customFormat="1" ht="17.25" customHeight="1"/>
    <row r="18123" customFormat="1" ht="17.25" customHeight="1"/>
    <row r="18124" customFormat="1" ht="17.25" customHeight="1"/>
    <row r="18125" customFormat="1" ht="17.25" customHeight="1"/>
    <row r="18126" customFormat="1" ht="17.25" customHeight="1"/>
    <row r="18127" customFormat="1" ht="17.25" customHeight="1"/>
    <row r="18128" customFormat="1" ht="17.25" customHeight="1"/>
    <row r="18129" customFormat="1" ht="17.25" customHeight="1"/>
    <row r="18130" customFormat="1" ht="17.25" customHeight="1"/>
    <row r="18131" customFormat="1" ht="17.25" customHeight="1"/>
    <row r="18132" customFormat="1" ht="17.25" customHeight="1"/>
    <row r="18133" customFormat="1" ht="17.25" customHeight="1"/>
    <row r="18134" customFormat="1" ht="17.25" customHeight="1"/>
    <row r="18135" customFormat="1" ht="17.25" customHeight="1"/>
    <row r="18136" customFormat="1" ht="17.25" customHeight="1"/>
    <row r="18137" customFormat="1" ht="17.25" customHeight="1"/>
    <row r="18138" customFormat="1" ht="17.25" customHeight="1"/>
    <row r="18139" customFormat="1" ht="17.25" customHeight="1"/>
    <row r="18140" customFormat="1" ht="17.25" customHeight="1"/>
    <row r="18141" customFormat="1" ht="17.25" customHeight="1"/>
    <row r="18142" customFormat="1" ht="17.25" customHeight="1"/>
    <row r="18143" customFormat="1" ht="17.25" customHeight="1"/>
    <row r="18144" customFormat="1" ht="17.25" customHeight="1"/>
    <row r="18145" customFormat="1" ht="17.25" customHeight="1"/>
    <row r="18146" customFormat="1" ht="17.25" customHeight="1"/>
    <row r="18147" customFormat="1" ht="17.25" customHeight="1"/>
    <row r="18148" customFormat="1" ht="17.25" customHeight="1"/>
    <row r="18149" customFormat="1" ht="17.25" customHeight="1"/>
    <row r="18150" customFormat="1" ht="17.25" customHeight="1"/>
    <row r="18151" customFormat="1" ht="17.25" customHeight="1"/>
    <row r="18152" customFormat="1" ht="17.25" customHeight="1"/>
    <row r="18153" customFormat="1" ht="17.25" customHeight="1"/>
    <row r="18154" customFormat="1" ht="17.25" customHeight="1"/>
    <row r="18155" customFormat="1" ht="17.25" customHeight="1"/>
    <row r="18156" customFormat="1" ht="17.25" customHeight="1"/>
    <row r="18157" customFormat="1" ht="17.25" customHeight="1"/>
    <row r="18158" customFormat="1" ht="17.25" customHeight="1"/>
    <row r="18159" customFormat="1" ht="17.25" customHeight="1"/>
    <row r="18160" customFormat="1" ht="17.25" customHeight="1"/>
    <row r="18161" customFormat="1" ht="17.25" customHeight="1"/>
    <row r="18162" customFormat="1" ht="17.25" customHeight="1"/>
    <row r="18163" customFormat="1" ht="17.25" customHeight="1"/>
    <row r="18164" customFormat="1" ht="17.25" customHeight="1"/>
    <row r="18165" customFormat="1" ht="17.25" customHeight="1"/>
    <row r="18166" customFormat="1" ht="17.25" customHeight="1"/>
    <row r="18167" customFormat="1" ht="17.25" customHeight="1"/>
    <row r="18168" customFormat="1" ht="17.25" customHeight="1"/>
    <row r="18169" customFormat="1" ht="17.25" customHeight="1"/>
    <row r="18170" customFormat="1" ht="17.25" customHeight="1"/>
    <row r="18171" customFormat="1" ht="17.25" customHeight="1"/>
    <row r="18172" customFormat="1" ht="17.25" customHeight="1"/>
    <row r="18173" customFormat="1" ht="17.25" customHeight="1"/>
    <row r="18174" customFormat="1" ht="17.25" customHeight="1"/>
    <row r="18175" customFormat="1" ht="17.25" customHeight="1"/>
    <row r="18176" customFormat="1" ht="17.25" customHeight="1"/>
    <row r="18177" customFormat="1" ht="17.25" customHeight="1"/>
    <row r="18178" customFormat="1" ht="17.25" customHeight="1"/>
    <row r="18179" customFormat="1" ht="17.25" customHeight="1"/>
    <row r="18180" customFormat="1" ht="17.25" customHeight="1"/>
    <row r="18181" customFormat="1" ht="17.25" customHeight="1"/>
    <row r="18182" customFormat="1" ht="17.25" customHeight="1"/>
    <row r="18183" customFormat="1" ht="17.25" customHeight="1"/>
    <row r="18184" customFormat="1" ht="17.25" customHeight="1"/>
    <row r="18185" customFormat="1" ht="17.25" customHeight="1"/>
    <row r="18186" customFormat="1" ht="17.25" customHeight="1"/>
    <row r="18187" customFormat="1" ht="17.25" customHeight="1"/>
    <row r="18188" customFormat="1" ht="17.25" customHeight="1"/>
    <row r="18189" customFormat="1" ht="17.25" customHeight="1"/>
    <row r="18190" customFormat="1" ht="17.25" customHeight="1"/>
    <row r="18191" customFormat="1" ht="17.25" customHeight="1"/>
    <row r="18192" customFormat="1" ht="17.25" customHeight="1"/>
    <row r="18193" customFormat="1" ht="17.25" customHeight="1"/>
    <row r="18194" customFormat="1" ht="17.25" customHeight="1"/>
    <row r="18195" customFormat="1" ht="17.25" customHeight="1"/>
    <row r="18196" customFormat="1" ht="17.25" customHeight="1"/>
    <row r="18197" customFormat="1" ht="17.25" customHeight="1"/>
    <row r="18198" customFormat="1" ht="17.25" customHeight="1"/>
    <row r="18199" customFormat="1" ht="17.25" customHeight="1"/>
    <row r="18200" customFormat="1" ht="17.25" customHeight="1"/>
    <row r="18201" customFormat="1" ht="17.25" customHeight="1"/>
    <row r="18202" customFormat="1" ht="17.25" customHeight="1"/>
    <row r="18203" customFormat="1" ht="17.25" customHeight="1"/>
    <row r="18204" customFormat="1" ht="17.25" customHeight="1"/>
    <row r="18205" customFormat="1" ht="17.25" customHeight="1"/>
    <row r="18206" customFormat="1" ht="17.25" customHeight="1"/>
    <row r="18207" customFormat="1" ht="17.25" customHeight="1"/>
    <row r="18208" customFormat="1" ht="17.25" customHeight="1"/>
    <row r="18209" customFormat="1" ht="17.25" customHeight="1"/>
    <row r="18210" customFormat="1" ht="17.25" customHeight="1"/>
    <row r="18211" customFormat="1" ht="17.25" customHeight="1"/>
    <row r="18212" customFormat="1" ht="17.25" customHeight="1"/>
    <row r="18213" customFormat="1" ht="17.25" customHeight="1"/>
    <row r="18214" customFormat="1" ht="17.25" customHeight="1"/>
    <row r="18215" customFormat="1" ht="17.25" customHeight="1"/>
    <row r="18216" customFormat="1" ht="17.25" customHeight="1"/>
    <row r="18217" customFormat="1" ht="17.25" customHeight="1"/>
    <row r="18218" customFormat="1" ht="17.25" customHeight="1"/>
    <row r="18219" customFormat="1" ht="17.25" customHeight="1"/>
    <row r="18220" customFormat="1" ht="17.25" customHeight="1"/>
    <row r="18221" customFormat="1" ht="17.25" customHeight="1"/>
    <row r="18222" customFormat="1" ht="17.25" customHeight="1"/>
    <row r="18223" customFormat="1" ht="17.25" customHeight="1"/>
    <row r="18224" customFormat="1" ht="17.25" customHeight="1"/>
    <row r="18225" customFormat="1" ht="17.25" customHeight="1"/>
    <row r="18226" customFormat="1" ht="17.25" customHeight="1"/>
    <row r="18227" customFormat="1" ht="17.25" customHeight="1"/>
    <row r="18228" customFormat="1" ht="17.25" customHeight="1"/>
    <row r="18229" customFormat="1" ht="17.25" customHeight="1"/>
    <row r="18230" customFormat="1" ht="17.25" customHeight="1"/>
    <row r="18231" customFormat="1" ht="17.25" customHeight="1"/>
    <row r="18232" customFormat="1" ht="17.25" customHeight="1"/>
    <row r="18233" customFormat="1" ht="17.25" customHeight="1"/>
    <row r="18234" customFormat="1" ht="17.25" customHeight="1"/>
    <row r="18235" customFormat="1" ht="17.25" customHeight="1"/>
    <row r="18236" customFormat="1" ht="17.25" customHeight="1"/>
    <row r="18237" customFormat="1" ht="17.25" customHeight="1"/>
    <row r="18238" customFormat="1" ht="17.25" customHeight="1"/>
    <row r="18239" customFormat="1" ht="17.25" customHeight="1"/>
    <row r="18240" customFormat="1" ht="17.25" customHeight="1"/>
    <row r="18241" customFormat="1" ht="17.25" customHeight="1"/>
    <row r="18242" customFormat="1" ht="17.25" customHeight="1"/>
    <row r="18243" customFormat="1" ht="17.25" customHeight="1"/>
    <row r="18244" customFormat="1" ht="17.25" customHeight="1"/>
    <row r="18245" customFormat="1" ht="17.25" customHeight="1"/>
    <row r="18246" customFormat="1" ht="17.25" customHeight="1"/>
    <row r="18247" customFormat="1" ht="17.25" customHeight="1"/>
    <row r="18248" customFormat="1" ht="17.25" customHeight="1"/>
    <row r="18249" customFormat="1" ht="17.25" customHeight="1"/>
    <row r="18250" customFormat="1" ht="17.25" customHeight="1"/>
    <row r="18251" customFormat="1" ht="17.25" customHeight="1"/>
    <row r="18252" customFormat="1" ht="17.25" customHeight="1"/>
    <row r="18253" customFormat="1" ht="17.25" customHeight="1"/>
    <row r="18254" customFormat="1" ht="17.25" customHeight="1"/>
    <row r="18255" customFormat="1" ht="17.25" customHeight="1"/>
    <row r="18256" customFormat="1" ht="17.25" customHeight="1"/>
    <row r="18257" customFormat="1" ht="17.25" customHeight="1"/>
    <row r="18258" customFormat="1" ht="17.25" customHeight="1"/>
    <row r="18259" customFormat="1" ht="17.25" customHeight="1"/>
    <row r="18260" customFormat="1" ht="17.25" customHeight="1"/>
    <row r="18261" customFormat="1" ht="17.25" customHeight="1"/>
    <row r="18262" customFormat="1" ht="17.25" customHeight="1"/>
    <row r="18263" customFormat="1" ht="17.25" customHeight="1"/>
    <row r="18264" customFormat="1" ht="17.25" customHeight="1"/>
    <row r="18265" customFormat="1" ht="17.25" customHeight="1"/>
    <row r="18266" customFormat="1" ht="17.25" customHeight="1"/>
    <row r="18267" customFormat="1" ht="17.25" customHeight="1"/>
    <row r="18268" customFormat="1" ht="17.25" customHeight="1"/>
    <row r="18269" customFormat="1" ht="17.25" customHeight="1"/>
    <row r="18270" customFormat="1" ht="17.25" customHeight="1"/>
    <row r="18271" customFormat="1" ht="17.25" customHeight="1"/>
    <row r="18272" customFormat="1" ht="17.25" customHeight="1"/>
    <row r="18273" customFormat="1" ht="17.25" customHeight="1"/>
    <row r="18274" customFormat="1" ht="17.25" customHeight="1"/>
    <row r="18275" customFormat="1" ht="17.25" customHeight="1"/>
    <row r="18276" customFormat="1" ht="17.25" customHeight="1"/>
    <row r="18277" customFormat="1" ht="17.25" customHeight="1"/>
    <row r="18278" customFormat="1" ht="17.25" customHeight="1"/>
    <row r="18279" customFormat="1" ht="17.25" customHeight="1"/>
    <row r="18280" customFormat="1" ht="17.25" customHeight="1"/>
    <row r="18281" customFormat="1" ht="17.25" customHeight="1"/>
    <row r="18282" customFormat="1" ht="17.25" customHeight="1"/>
    <row r="18283" customFormat="1" ht="17.25" customHeight="1"/>
    <row r="18284" customFormat="1" ht="17.25" customHeight="1"/>
    <row r="18285" customFormat="1" ht="17.25" customHeight="1"/>
    <row r="18286" customFormat="1" ht="17.25" customHeight="1"/>
    <row r="18287" customFormat="1" ht="17.25" customHeight="1"/>
    <row r="18288" customFormat="1" ht="17.25" customHeight="1"/>
    <row r="18289" customFormat="1" ht="17.25" customHeight="1"/>
    <row r="18290" customFormat="1" ht="17.25" customHeight="1"/>
    <row r="18291" customFormat="1" ht="17.25" customHeight="1"/>
    <row r="18292" customFormat="1" ht="17.25" customHeight="1"/>
    <row r="18293" customFormat="1" ht="17.25" customHeight="1"/>
    <row r="18294" customFormat="1" ht="17.25" customHeight="1"/>
    <row r="18295" customFormat="1" ht="17.25" customHeight="1"/>
    <row r="18296" customFormat="1" ht="17.25" customHeight="1"/>
    <row r="18297" customFormat="1" ht="17.25" customHeight="1"/>
    <row r="18298" customFormat="1" ht="17.25" customHeight="1"/>
    <row r="18299" customFormat="1" ht="17.25" customHeight="1"/>
    <row r="18300" customFormat="1" ht="17.25" customHeight="1"/>
    <row r="18301" customFormat="1" ht="17.25" customHeight="1"/>
    <row r="18302" customFormat="1" ht="17.25" customHeight="1"/>
    <row r="18303" customFormat="1" ht="17.25" customHeight="1"/>
    <row r="18304" customFormat="1" ht="17.25" customHeight="1"/>
    <row r="18305" customFormat="1" ht="17.25" customHeight="1"/>
    <row r="18306" customFormat="1" ht="17.25" customHeight="1"/>
    <row r="18307" customFormat="1" ht="17.25" customHeight="1"/>
    <row r="18308" customFormat="1" ht="17.25" customHeight="1"/>
    <row r="18309" customFormat="1" ht="17.25" customHeight="1"/>
    <row r="18310" customFormat="1" ht="17.25" customHeight="1"/>
    <row r="18311" customFormat="1" ht="17.25" customHeight="1"/>
    <row r="18312" customFormat="1" ht="17.25" customHeight="1"/>
    <row r="18313" customFormat="1" ht="17.25" customHeight="1"/>
    <row r="18314" customFormat="1" ht="17.25" customHeight="1"/>
    <row r="18315" customFormat="1" ht="17.25" customHeight="1"/>
    <row r="18316" customFormat="1" ht="17.25" customHeight="1"/>
    <row r="18317" customFormat="1" ht="17.25" customHeight="1"/>
    <row r="18318" customFormat="1" ht="17.25" customHeight="1"/>
    <row r="18319" customFormat="1" ht="17.25" customHeight="1"/>
    <row r="18320" customFormat="1" ht="17.25" customHeight="1"/>
    <row r="18321" customFormat="1" ht="17.25" customHeight="1"/>
    <row r="18322" customFormat="1" ht="17.25" customHeight="1"/>
    <row r="18323" customFormat="1" ht="17.25" customHeight="1"/>
    <row r="18324" customFormat="1" ht="17.25" customHeight="1"/>
    <row r="18325" customFormat="1" ht="17.25" customHeight="1"/>
    <row r="18326" customFormat="1" ht="17.25" customHeight="1"/>
    <row r="18327" customFormat="1" ht="17.25" customHeight="1"/>
    <row r="18328" customFormat="1" ht="17.25" customHeight="1"/>
    <row r="18329" customFormat="1" ht="17.25" customHeight="1"/>
    <row r="18330" customFormat="1" ht="17.25" customHeight="1"/>
    <row r="18331" customFormat="1" ht="17.25" customHeight="1"/>
    <row r="18332" customFormat="1" ht="17.25" customHeight="1"/>
    <row r="18333" customFormat="1" ht="17.25" customHeight="1"/>
    <row r="18334" customFormat="1" ht="17.25" customHeight="1"/>
    <row r="18335" customFormat="1" ht="17.25" customHeight="1"/>
    <row r="18336" customFormat="1" ht="17.25" customHeight="1"/>
    <row r="18337" customFormat="1" ht="17.25" customHeight="1"/>
    <row r="18338" customFormat="1" ht="17.25" customHeight="1"/>
    <row r="18339" customFormat="1" ht="17.25" customHeight="1"/>
    <row r="18340" customFormat="1" ht="17.25" customHeight="1"/>
    <row r="18341" customFormat="1" ht="17.25" customHeight="1"/>
    <row r="18342" customFormat="1" ht="17.25" customHeight="1"/>
    <row r="18343" customFormat="1" ht="17.25" customHeight="1"/>
    <row r="18344" customFormat="1" ht="17.25" customHeight="1"/>
    <row r="18345" customFormat="1" ht="17.25" customHeight="1"/>
    <row r="18346" customFormat="1" ht="17.25" customHeight="1"/>
    <row r="18347" customFormat="1" ht="17.25" customHeight="1"/>
    <row r="18348" customFormat="1" ht="17.25" customHeight="1"/>
    <row r="18349" customFormat="1" ht="17.25" customHeight="1"/>
    <row r="18350" customFormat="1" ht="17.25" customHeight="1"/>
    <row r="18351" customFormat="1" ht="17.25" customHeight="1"/>
    <row r="18352" customFormat="1" ht="17.25" customHeight="1"/>
    <row r="18353" customFormat="1" ht="17.25" customHeight="1"/>
    <row r="18354" customFormat="1" ht="17.25" customHeight="1"/>
    <row r="18355" customFormat="1" ht="17.25" customHeight="1"/>
    <row r="18356" customFormat="1" ht="17.25" customHeight="1"/>
    <row r="18357" customFormat="1" ht="17.25" customHeight="1"/>
    <row r="18358" customFormat="1" ht="17.25" customHeight="1"/>
    <row r="18359" customFormat="1" ht="17.25" customHeight="1"/>
    <row r="18360" customFormat="1" ht="17.25" customHeight="1"/>
    <row r="18361" customFormat="1" ht="17.25" customHeight="1"/>
    <row r="18362" customFormat="1" ht="17.25" customHeight="1"/>
    <row r="18363" customFormat="1" ht="17.25" customHeight="1"/>
    <row r="18364" customFormat="1" ht="17.25" customHeight="1"/>
    <row r="18365" customFormat="1" ht="17.25" customHeight="1"/>
    <row r="18366" customFormat="1" ht="17.25" customHeight="1"/>
    <row r="18367" customFormat="1" ht="17.25" customHeight="1"/>
    <row r="18368" customFormat="1" ht="17.25" customHeight="1"/>
    <row r="18369" customFormat="1" ht="17.25" customHeight="1"/>
    <row r="18370" customFormat="1" ht="17.25" customHeight="1"/>
    <row r="18371" customFormat="1" ht="17.25" customHeight="1"/>
    <row r="18372" customFormat="1" ht="17.25" customHeight="1"/>
    <row r="18373" customFormat="1" ht="17.25" customHeight="1"/>
    <row r="18374" customFormat="1" ht="17.25" customHeight="1"/>
    <row r="18375" customFormat="1" ht="17.25" customHeight="1"/>
    <row r="18376" customFormat="1" ht="17.25" customHeight="1"/>
    <row r="18377" customFormat="1" ht="17.25" customHeight="1"/>
    <row r="18378" customFormat="1" ht="17.25" customHeight="1"/>
    <row r="18379" customFormat="1" ht="17.25" customHeight="1"/>
    <row r="18380" customFormat="1" ht="17.25" customHeight="1"/>
    <row r="18381" customFormat="1" ht="17.25" customHeight="1"/>
    <row r="18382" customFormat="1" ht="17.25" customHeight="1"/>
    <row r="18383" customFormat="1" ht="17.25" customHeight="1"/>
    <row r="18384" customFormat="1" ht="17.25" customHeight="1"/>
    <row r="18385" customFormat="1" ht="17.25" customHeight="1"/>
    <row r="18386" customFormat="1" ht="17.25" customHeight="1"/>
    <row r="18387" customFormat="1" ht="17.25" customHeight="1"/>
    <row r="18388" customFormat="1" ht="17.25" customHeight="1"/>
    <row r="18389" customFormat="1" ht="17.25" customHeight="1"/>
    <row r="18390" customFormat="1" ht="17.25" customHeight="1"/>
    <row r="18391" customFormat="1" ht="17.25" customHeight="1"/>
    <row r="18392" customFormat="1" ht="17.25" customHeight="1"/>
    <row r="18393" customFormat="1" ht="17.25" customHeight="1"/>
    <row r="18394" customFormat="1" ht="17.25" customHeight="1"/>
    <row r="18395" customFormat="1" ht="17.25" customHeight="1"/>
    <row r="18396" customFormat="1" ht="17.25" customHeight="1"/>
    <row r="18397" customFormat="1" ht="17.25" customHeight="1"/>
    <row r="18398" customFormat="1" ht="17.25" customHeight="1"/>
    <row r="18399" customFormat="1" ht="17.25" customHeight="1"/>
    <row r="18400" customFormat="1" ht="17.25" customHeight="1"/>
    <row r="18401" customFormat="1" ht="17.25" customHeight="1"/>
    <row r="18402" customFormat="1" ht="17.25" customHeight="1"/>
    <row r="18403" customFormat="1" ht="17.25" customHeight="1"/>
    <row r="18404" customFormat="1" ht="17.25" customHeight="1"/>
    <row r="18405" customFormat="1" ht="17.25" customHeight="1"/>
    <row r="18406" customFormat="1" ht="17.25" customHeight="1"/>
    <row r="18407" customFormat="1" ht="17.25" customHeight="1"/>
    <row r="18408" customFormat="1" ht="17.25" customHeight="1"/>
    <row r="18409" customFormat="1" ht="17.25" customHeight="1"/>
    <row r="18410" customFormat="1" ht="17.25" customHeight="1"/>
    <row r="18411" customFormat="1" ht="17.25" customHeight="1"/>
    <row r="18412" customFormat="1" ht="17.25" customHeight="1"/>
    <row r="18413" customFormat="1" ht="17.25" customHeight="1"/>
    <row r="18414" customFormat="1" ht="17.25" customHeight="1"/>
    <row r="18415" customFormat="1" ht="17.25" customHeight="1"/>
    <row r="18416" customFormat="1" ht="17.25" customHeight="1"/>
    <row r="18417" customFormat="1" ht="17.25" customHeight="1"/>
    <row r="18418" customFormat="1" ht="17.25" customHeight="1"/>
    <row r="18419" customFormat="1" ht="17.25" customHeight="1"/>
    <row r="18420" customFormat="1" ht="17.25" customHeight="1"/>
    <row r="18421" customFormat="1" ht="17.25" customHeight="1"/>
    <row r="18422" customFormat="1" ht="17.25" customHeight="1"/>
    <row r="18423" customFormat="1" ht="17.25" customHeight="1"/>
    <row r="18424" customFormat="1" ht="17.25" customHeight="1"/>
    <row r="18425" customFormat="1" ht="17.25" customHeight="1"/>
    <row r="18426" customFormat="1" ht="17.25" customHeight="1"/>
    <row r="18427" customFormat="1" ht="17.25" customHeight="1"/>
    <row r="18428" customFormat="1" ht="17.25" customHeight="1"/>
    <row r="18429" customFormat="1" ht="17.25" customHeight="1"/>
    <row r="18430" customFormat="1" ht="17.25" customHeight="1"/>
    <row r="18431" customFormat="1" ht="17.25" customHeight="1"/>
    <row r="18432" customFormat="1" ht="17.25" customHeight="1"/>
    <row r="18433" customFormat="1" ht="17.25" customHeight="1"/>
    <row r="18434" customFormat="1" ht="17.25" customHeight="1"/>
    <row r="18435" customFormat="1" ht="17.25" customHeight="1"/>
    <row r="18436" customFormat="1" ht="17.25" customHeight="1"/>
    <row r="18437" customFormat="1" ht="17.25" customHeight="1"/>
    <row r="18438" customFormat="1" ht="17.25" customHeight="1"/>
    <row r="18439" customFormat="1" ht="17.25" customHeight="1"/>
    <row r="18440" customFormat="1" ht="17.25" customHeight="1"/>
    <row r="18441" customFormat="1" ht="17.25" customHeight="1"/>
    <row r="18442" customFormat="1" ht="17.25" customHeight="1"/>
    <row r="18443" customFormat="1" ht="17.25" customHeight="1"/>
    <row r="18444" customFormat="1" ht="17.25" customHeight="1"/>
    <row r="18445" customFormat="1" ht="17.25" customHeight="1"/>
    <row r="18446" customFormat="1" ht="17.25" customHeight="1"/>
    <row r="18447" customFormat="1" ht="17.25" customHeight="1"/>
    <row r="18448" customFormat="1" ht="17.25" customHeight="1"/>
    <row r="18449" customFormat="1" ht="17.25" customHeight="1"/>
    <row r="18450" customFormat="1" ht="17.25" customHeight="1"/>
    <row r="18451" customFormat="1" ht="17.25" customHeight="1"/>
    <row r="18452" customFormat="1" ht="17.25" customHeight="1"/>
    <row r="18453" customFormat="1" ht="17.25" customHeight="1"/>
    <row r="18454" customFormat="1" ht="17.25" customHeight="1"/>
    <row r="18455" customFormat="1" ht="17.25" customHeight="1"/>
    <row r="18456" customFormat="1" ht="17.25" customHeight="1"/>
    <row r="18457" customFormat="1" ht="17.25" customHeight="1"/>
    <row r="18458" customFormat="1" ht="17.25" customHeight="1"/>
    <row r="18459" customFormat="1" ht="17.25" customHeight="1"/>
    <row r="18460" customFormat="1" ht="17.25" customHeight="1"/>
    <row r="18461" customFormat="1" ht="17.25" customHeight="1"/>
    <row r="18462" customFormat="1" ht="17.25" customHeight="1"/>
    <row r="18463" customFormat="1" ht="17.25" customHeight="1"/>
    <row r="18464" customFormat="1" ht="17.25" customHeight="1"/>
    <row r="18465" customFormat="1" ht="17.25" customHeight="1"/>
    <row r="18466" customFormat="1" ht="17.25" customHeight="1"/>
    <row r="18467" customFormat="1" ht="17.25" customHeight="1"/>
    <row r="18468" customFormat="1" ht="17.25" customHeight="1"/>
    <row r="18469" customFormat="1" ht="17.25" customHeight="1"/>
    <row r="18470" customFormat="1" ht="17.25" customHeight="1"/>
    <row r="18471" customFormat="1" ht="17.25" customHeight="1"/>
    <row r="18472" customFormat="1" ht="17.25" customHeight="1"/>
    <row r="18473" customFormat="1" ht="17.25" customHeight="1"/>
    <row r="18474" customFormat="1" ht="17.25" customHeight="1"/>
    <row r="18475" customFormat="1" ht="17.25" customHeight="1"/>
    <row r="18476" customFormat="1" ht="17.25" customHeight="1"/>
    <row r="18477" customFormat="1" ht="17.25" customHeight="1"/>
    <row r="18478" customFormat="1" ht="17.25" customHeight="1"/>
    <row r="18479" customFormat="1" ht="17.25" customHeight="1"/>
    <row r="18480" customFormat="1" ht="17.25" customHeight="1"/>
    <row r="18481" customFormat="1" ht="17.25" customHeight="1"/>
    <row r="18482" customFormat="1" ht="17.25" customHeight="1"/>
    <row r="18483" customFormat="1" ht="17.25" customHeight="1"/>
    <row r="18484" customFormat="1" ht="17.25" customHeight="1"/>
    <row r="18485" customFormat="1" ht="17.25" customHeight="1"/>
    <row r="18486" customFormat="1" ht="17.25" customHeight="1"/>
    <row r="18487" customFormat="1" ht="17.25" customHeight="1"/>
    <row r="18488" customFormat="1" ht="17.25" customHeight="1"/>
    <row r="18489" customFormat="1" ht="17.25" customHeight="1"/>
    <row r="18490" customFormat="1" ht="17.25" customHeight="1"/>
    <row r="18491" customFormat="1" ht="17.25" customHeight="1"/>
    <row r="18492" customFormat="1" ht="17.25" customHeight="1"/>
    <row r="18493" customFormat="1" ht="17.25" customHeight="1"/>
    <row r="18494" customFormat="1" ht="17.25" customHeight="1"/>
    <row r="18495" customFormat="1" ht="17.25" customHeight="1"/>
    <row r="18496" customFormat="1" ht="17.25" customHeight="1"/>
    <row r="18497" customFormat="1" ht="17.25" customHeight="1"/>
    <row r="18498" customFormat="1" ht="17.25" customHeight="1"/>
    <row r="18499" customFormat="1" ht="17.25" customHeight="1"/>
    <row r="18500" customFormat="1" ht="17.25" customHeight="1"/>
    <row r="18501" customFormat="1" ht="17.25" customHeight="1"/>
    <row r="18502" customFormat="1" ht="17.25" customHeight="1"/>
    <row r="18503" customFormat="1" ht="17.25" customHeight="1"/>
    <row r="18504" customFormat="1" ht="17.25" customHeight="1"/>
    <row r="18505" customFormat="1" ht="17.25" customHeight="1"/>
    <row r="18506" customFormat="1" ht="17.25" customHeight="1"/>
    <row r="18507" customFormat="1" ht="17.25" customHeight="1"/>
    <row r="18508" customFormat="1" ht="17.25" customHeight="1"/>
    <row r="18509" customFormat="1" ht="17.25" customHeight="1"/>
    <row r="18510" customFormat="1" ht="17.25" customHeight="1"/>
    <row r="18511" customFormat="1" ht="17.25" customHeight="1"/>
    <row r="18512" customFormat="1" ht="17.25" customHeight="1"/>
    <row r="18513" customFormat="1" ht="17.25" customHeight="1"/>
    <row r="18514" customFormat="1" ht="17.25" customHeight="1"/>
    <row r="18515" customFormat="1" ht="17.25" customHeight="1"/>
    <row r="18516" customFormat="1" ht="17.25" customHeight="1"/>
    <row r="18517" customFormat="1" ht="17.25" customHeight="1"/>
    <row r="18518" customFormat="1" ht="17.25" customHeight="1"/>
    <row r="18519" customFormat="1" ht="17.25" customHeight="1"/>
    <row r="18520" customFormat="1" ht="17.25" customHeight="1"/>
    <row r="18521" customFormat="1" ht="17.25" customHeight="1"/>
    <row r="18522" customFormat="1" ht="17.25" customHeight="1"/>
    <row r="18523" customFormat="1" ht="17.25" customHeight="1"/>
    <row r="18524" customFormat="1" ht="17.25" customHeight="1"/>
    <row r="18525" customFormat="1" ht="17.25" customHeight="1"/>
    <row r="18526" customFormat="1" ht="17.25" customHeight="1"/>
    <row r="18527" customFormat="1" ht="17.25" customHeight="1"/>
    <row r="18528" customFormat="1" ht="17.25" customHeight="1"/>
    <row r="18529" customFormat="1" ht="17.25" customHeight="1"/>
    <row r="18530" customFormat="1" ht="17.25" customHeight="1"/>
    <row r="18531" customFormat="1" ht="17.25" customHeight="1"/>
    <row r="18532" customFormat="1" ht="17.25" customHeight="1"/>
    <row r="18533" customFormat="1" ht="17.25" customHeight="1"/>
    <row r="18534" customFormat="1" ht="17.25" customHeight="1"/>
    <row r="18535" customFormat="1" ht="17.25" customHeight="1"/>
    <row r="18536" customFormat="1" ht="17.25" customHeight="1"/>
    <row r="18537" customFormat="1" ht="17.25" customHeight="1"/>
    <row r="18538" customFormat="1" ht="17.25" customHeight="1"/>
    <row r="18539" customFormat="1" ht="17.25" customHeight="1"/>
    <row r="18540" customFormat="1" ht="17.25" customHeight="1"/>
    <row r="18541" customFormat="1" ht="17.25" customHeight="1"/>
    <row r="18542" customFormat="1" ht="17.25" customHeight="1"/>
    <row r="18543" customFormat="1" ht="17.25" customHeight="1"/>
    <row r="18544" customFormat="1" ht="17.25" customHeight="1"/>
    <row r="18545" customFormat="1" ht="17.25" customHeight="1"/>
    <row r="18546" customFormat="1" ht="17.25" customHeight="1"/>
    <row r="18547" customFormat="1" ht="17.25" customHeight="1"/>
    <row r="18548" customFormat="1" ht="17.25" customHeight="1"/>
    <row r="18549" customFormat="1" ht="17.25" customHeight="1"/>
    <row r="18550" customFormat="1" ht="17.25" customHeight="1"/>
    <row r="18551" customFormat="1" ht="17.25" customHeight="1"/>
    <row r="18552" customFormat="1" ht="17.25" customHeight="1"/>
    <row r="18553" customFormat="1" ht="17.25" customHeight="1"/>
    <row r="18554" customFormat="1" ht="17.25" customHeight="1"/>
    <row r="18555" customFormat="1" ht="17.25" customHeight="1"/>
    <row r="18556" customFormat="1" ht="17.25" customHeight="1"/>
    <row r="18557" customFormat="1" ht="17.25" customHeight="1"/>
    <row r="18558" customFormat="1" ht="17.25" customHeight="1"/>
    <row r="18559" customFormat="1" ht="17.25" customHeight="1"/>
    <row r="18560" customFormat="1" ht="17.25" customHeight="1"/>
    <row r="18561" customFormat="1" ht="17.25" customHeight="1"/>
    <row r="18562" customFormat="1" ht="17.25" customHeight="1"/>
    <row r="18563" customFormat="1" ht="17.25" customHeight="1"/>
    <row r="18564" customFormat="1" ht="17.25" customHeight="1"/>
    <row r="18565" customFormat="1" ht="17.25" customHeight="1"/>
    <row r="18566" customFormat="1" ht="17.25" customHeight="1"/>
    <row r="18567" customFormat="1" ht="17.25" customHeight="1"/>
    <row r="18568" customFormat="1" ht="17.25" customHeight="1"/>
    <row r="18569" customFormat="1" ht="17.25" customHeight="1"/>
    <row r="18570" customFormat="1" ht="17.25" customHeight="1"/>
    <row r="18571" customFormat="1" ht="17.25" customHeight="1"/>
    <row r="18572" customFormat="1" ht="17.25" customHeight="1"/>
    <row r="18573" customFormat="1" ht="17.25" customHeight="1"/>
    <row r="18574" customFormat="1" ht="17.25" customHeight="1"/>
    <row r="18575" customFormat="1" ht="17.25" customHeight="1"/>
    <row r="18576" customFormat="1" ht="17.25" customHeight="1"/>
    <row r="18577" customFormat="1" ht="17.25" customHeight="1"/>
    <row r="18578" customFormat="1" ht="17.25" customHeight="1"/>
    <row r="18579" customFormat="1" ht="17.25" customHeight="1"/>
    <row r="18580" customFormat="1" ht="17.25" customHeight="1"/>
    <row r="18581" customFormat="1" ht="17.25" customHeight="1"/>
    <row r="18582" customFormat="1" ht="17.25" customHeight="1"/>
    <row r="18583" customFormat="1" ht="17.25" customHeight="1"/>
    <row r="18584" customFormat="1" ht="17.25" customHeight="1"/>
    <row r="18585" customFormat="1" ht="17.25" customHeight="1"/>
    <row r="18586" customFormat="1" ht="17.25" customHeight="1"/>
    <row r="18587" customFormat="1" ht="17.25" customHeight="1"/>
    <row r="18588" customFormat="1" ht="17.25" customHeight="1"/>
    <row r="18589" customFormat="1" ht="17.25" customHeight="1"/>
    <row r="18590" customFormat="1" ht="17.25" customHeight="1"/>
    <row r="18591" customFormat="1" ht="17.25" customHeight="1"/>
    <row r="18592" customFormat="1" ht="17.25" customHeight="1"/>
    <row r="18593" customFormat="1" ht="17.25" customHeight="1"/>
    <row r="18594" customFormat="1" ht="17.25" customHeight="1"/>
    <row r="18595" customFormat="1" ht="17.25" customHeight="1"/>
    <row r="18596" customFormat="1" ht="17.25" customHeight="1"/>
    <row r="18597" customFormat="1" ht="17.25" customHeight="1"/>
    <row r="18598" customFormat="1" ht="17.25" customHeight="1"/>
    <row r="18599" customFormat="1" ht="17.25" customHeight="1"/>
    <row r="18600" customFormat="1" ht="17.25" customHeight="1"/>
    <row r="18601" customFormat="1" ht="17.25" customHeight="1"/>
    <row r="18602" customFormat="1" ht="17.25" customHeight="1"/>
    <row r="18603" customFormat="1" ht="17.25" customHeight="1"/>
    <row r="18604" customFormat="1" ht="17.25" customHeight="1"/>
    <row r="18605" customFormat="1" ht="17.25" customHeight="1"/>
    <row r="18606" customFormat="1" ht="17.25" customHeight="1"/>
    <row r="18607" customFormat="1" ht="17.25" customHeight="1"/>
    <row r="18608" customFormat="1" ht="17.25" customHeight="1"/>
    <row r="18609" customFormat="1" ht="17.25" customHeight="1"/>
    <row r="18610" customFormat="1" ht="17.25" customHeight="1"/>
    <row r="18611" customFormat="1" ht="17.25" customHeight="1"/>
    <row r="18612" customFormat="1" ht="17.25" customHeight="1"/>
    <row r="18613" customFormat="1" ht="17.25" customHeight="1"/>
    <row r="18614" customFormat="1" ht="17.25" customHeight="1"/>
    <row r="18615" customFormat="1" ht="17.25" customHeight="1"/>
    <row r="18616" customFormat="1" ht="17.25" customHeight="1"/>
    <row r="18617" customFormat="1" ht="17.25" customHeight="1"/>
    <row r="18618" customFormat="1" ht="17.25" customHeight="1"/>
    <row r="18619" customFormat="1" ht="17.25" customHeight="1"/>
    <row r="18620" customFormat="1" ht="17.25" customHeight="1"/>
    <row r="18621" customFormat="1" ht="17.25" customHeight="1"/>
    <row r="18622" customFormat="1" ht="17.25" customHeight="1"/>
    <row r="18623" customFormat="1" ht="17.25" customHeight="1"/>
    <row r="18624" customFormat="1" ht="17.25" customHeight="1"/>
    <row r="18625" customFormat="1" ht="17.25" customHeight="1"/>
    <row r="18626" customFormat="1" ht="17.25" customHeight="1"/>
    <row r="18627" customFormat="1" ht="17.25" customHeight="1"/>
    <row r="18628" customFormat="1" ht="17.25" customHeight="1"/>
    <row r="18629" customFormat="1" ht="17.25" customHeight="1"/>
    <row r="18630" customFormat="1" ht="17.25" customHeight="1"/>
    <row r="18631" customFormat="1" ht="17.25" customHeight="1"/>
    <row r="18632" customFormat="1" ht="17.25" customHeight="1"/>
    <row r="18633" customFormat="1" ht="17.25" customHeight="1"/>
    <row r="18634" customFormat="1" ht="17.25" customHeight="1"/>
    <row r="18635" customFormat="1" ht="17.25" customHeight="1"/>
    <row r="18636" customFormat="1" ht="17.25" customHeight="1"/>
    <row r="18637" customFormat="1" ht="17.25" customHeight="1"/>
    <row r="18638" customFormat="1" ht="17.25" customHeight="1"/>
    <row r="18639" customFormat="1" ht="17.25" customHeight="1"/>
    <row r="18640" customFormat="1" ht="17.25" customHeight="1"/>
    <row r="18641" customFormat="1" ht="17.25" customHeight="1"/>
    <row r="18642" customFormat="1" ht="17.25" customHeight="1"/>
    <row r="18643" customFormat="1" ht="17.25" customHeight="1"/>
    <row r="18644" customFormat="1" ht="17.25" customHeight="1"/>
    <row r="18645" customFormat="1" ht="17.25" customHeight="1"/>
    <row r="18646" customFormat="1" ht="17.25" customHeight="1"/>
    <row r="18647" customFormat="1" ht="17.25" customHeight="1"/>
    <row r="18648" customFormat="1" ht="17.25" customHeight="1"/>
    <row r="18649" customFormat="1" ht="17.25" customHeight="1"/>
    <row r="18650" customFormat="1" ht="17.25" customHeight="1"/>
    <row r="18651" customFormat="1" ht="17.25" customHeight="1"/>
    <row r="18652" customFormat="1" ht="17.25" customHeight="1"/>
    <row r="18653" customFormat="1" ht="17.25" customHeight="1"/>
    <row r="18654" customFormat="1" ht="17.25" customHeight="1"/>
    <row r="18655" customFormat="1" ht="17.25" customHeight="1"/>
    <row r="18656" customFormat="1" ht="17.25" customHeight="1"/>
    <row r="18657" customFormat="1" ht="17.25" customHeight="1"/>
    <row r="18658" customFormat="1" ht="17.25" customHeight="1"/>
    <row r="18659" customFormat="1" ht="17.25" customHeight="1"/>
    <row r="18660" customFormat="1" ht="17.25" customHeight="1"/>
    <row r="18661" customFormat="1" ht="17.25" customHeight="1"/>
    <row r="18662" customFormat="1" ht="17.25" customHeight="1"/>
    <row r="18663" customFormat="1" ht="17.25" customHeight="1"/>
    <row r="18664" customFormat="1" ht="17.25" customHeight="1"/>
    <row r="18665" customFormat="1" ht="17.25" customHeight="1"/>
    <row r="18666" customFormat="1" ht="17.25" customHeight="1"/>
    <row r="18667" customFormat="1" ht="17.25" customHeight="1"/>
    <row r="18668" customFormat="1" ht="17.25" customHeight="1"/>
    <row r="18669" customFormat="1" ht="17.25" customHeight="1"/>
    <row r="18670" customFormat="1" ht="17.25" customHeight="1"/>
    <row r="18671" customFormat="1" ht="17.25" customHeight="1"/>
    <row r="18672" customFormat="1" ht="17.25" customHeight="1"/>
    <row r="18673" customFormat="1" ht="17.25" customHeight="1"/>
    <row r="18674" customFormat="1" ht="17.25" customHeight="1"/>
    <row r="18675" customFormat="1" ht="17.25" customHeight="1"/>
    <row r="18676" customFormat="1" ht="17.25" customHeight="1"/>
    <row r="18677" customFormat="1" ht="17.25" customHeight="1"/>
    <row r="18678" customFormat="1" ht="17.25" customHeight="1"/>
    <row r="18679" customFormat="1" ht="17.25" customHeight="1"/>
    <row r="18680" customFormat="1" ht="17.25" customHeight="1"/>
    <row r="18681" customFormat="1" ht="17.25" customHeight="1"/>
    <row r="18682" customFormat="1" ht="17.25" customHeight="1"/>
    <row r="18683" customFormat="1" ht="17.25" customHeight="1"/>
    <row r="18684" customFormat="1" ht="17.25" customHeight="1"/>
    <row r="18685" customFormat="1" ht="17.25" customHeight="1"/>
    <row r="18686" customFormat="1" ht="17.25" customHeight="1"/>
    <row r="18687" customFormat="1" ht="17.25" customHeight="1"/>
    <row r="18688" customFormat="1" ht="17.25" customHeight="1"/>
    <row r="18689" customFormat="1" ht="17.25" customHeight="1"/>
    <row r="18690" customFormat="1" ht="17.25" customHeight="1"/>
    <row r="18691" customFormat="1" ht="17.25" customHeight="1"/>
    <row r="18692" customFormat="1" ht="17.25" customHeight="1"/>
    <row r="18693" customFormat="1" ht="17.25" customHeight="1"/>
    <row r="18694" customFormat="1" ht="17.25" customHeight="1"/>
    <row r="18695" customFormat="1" ht="17.25" customHeight="1"/>
    <row r="18696" customFormat="1" ht="17.25" customHeight="1"/>
    <row r="18697" customFormat="1" ht="17.25" customHeight="1"/>
    <row r="18698" customFormat="1" ht="17.25" customHeight="1"/>
    <row r="18699" customFormat="1" ht="17.25" customHeight="1"/>
    <row r="18700" customFormat="1" ht="17.25" customHeight="1"/>
    <row r="18701" customFormat="1" ht="17.25" customHeight="1"/>
    <row r="18702" customFormat="1" ht="17.25" customHeight="1"/>
    <row r="18703" customFormat="1" ht="17.25" customHeight="1"/>
    <row r="18704" customFormat="1" ht="17.25" customHeight="1"/>
    <row r="18705" customFormat="1" ht="17.25" customHeight="1"/>
    <row r="18706" customFormat="1" ht="17.25" customHeight="1"/>
    <row r="18707" customFormat="1" ht="17.25" customHeight="1"/>
    <row r="18708" customFormat="1" ht="17.25" customHeight="1"/>
    <row r="18709" customFormat="1" ht="17.25" customHeight="1"/>
    <row r="18710" customFormat="1" ht="17.25" customHeight="1"/>
    <row r="18711" customFormat="1" ht="17.25" customHeight="1"/>
    <row r="18712" customFormat="1" ht="17.25" customHeight="1"/>
    <row r="18713" customFormat="1" ht="17.25" customHeight="1"/>
    <row r="18714" customFormat="1" ht="17.25" customHeight="1"/>
    <row r="18715" customFormat="1" ht="17.25" customHeight="1"/>
    <row r="18716" customFormat="1" ht="17.25" customHeight="1"/>
    <row r="18717" customFormat="1" ht="17.25" customHeight="1"/>
    <row r="18718" customFormat="1" ht="17.25" customHeight="1"/>
    <row r="18719" customFormat="1" ht="17.25" customHeight="1"/>
    <row r="18720" customFormat="1" ht="17.25" customHeight="1"/>
    <row r="18721" customFormat="1" ht="17.25" customHeight="1"/>
    <row r="18722" customFormat="1" ht="17.25" customHeight="1"/>
    <row r="18723" customFormat="1" ht="17.25" customHeight="1"/>
    <row r="18724" customFormat="1" ht="17.25" customHeight="1"/>
    <row r="18725" customFormat="1" ht="17.25" customHeight="1"/>
    <row r="18726" customFormat="1" ht="17.25" customHeight="1"/>
    <row r="18727" customFormat="1" ht="17.25" customHeight="1"/>
    <row r="18728" customFormat="1" ht="17.25" customHeight="1"/>
    <row r="18729" customFormat="1" ht="17.25" customHeight="1"/>
    <row r="18730" customFormat="1" ht="17.25" customHeight="1"/>
    <row r="18731" customFormat="1" ht="17.25" customHeight="1"/>
    <row r="18732" customFormat="1" ht="17.25" customHeight="1"/>
    <row r="18733" customFormat="1" ht="17.25" customHeight="1"/>
    <row r="18734" customFormat="1" ht="17.25" customHeight="1"/>
    <row r="18735" customFormat="1" ht="17.25" customHeight="1"/>
    <row r="18736" customFormat="1" ht="17.25" customHeight="1"/>
    <row r="18737" customFormat="1" ht="17.25" customHeight="1"/>
    <row r="18738" customFormat="1" ht="17.25" customHeight="1"/>
    <row r="18739" customFormat="1" ht="17.25" customHeight="1"/>
    <row r="18740" customFormat="1" ht="17.25" customHeight="1"/>
    <row r="18741" customFormat="1" ht="17.25" customHeight="1"/>
    <row r="18742" customFormat="1" ht="17.25" customHeight="1"/>
    <row r="18743" customFormat="1" ht="17.25" customHeight="1"/>
    <row r="18744" customFormat="1" ht="17.25" customHeight="1"/>
    <row r="18745" customFormat="1" ht="17.25" customHeight="1"/>
    <row r="18746" customFormat="1" ht="17.25" customHeight="1"/>
    <row r="18747" customFormat="1" ht="17.25" customHeight="1"/>
    <row r="18748" customFormat="1" ht="17.25" customHeight="1"/>
    <row r="18749" customFormat="1" ht="17.25" customHeight="1"/>
    <row r="18750" customFormat="1" ht="17.25" customHeight="1"/>
    <row r="18751" customFormat="1" ht="17.25" customHeight="1"/>
    <row r="18752" customFormat="1" ht="17.25" customHeight="1"/>
    <row r="18753" customFormat="1" ht="17.25" customHeight="1"/>
    <row r="18754" customFormat="1" ht="17.25" customHeight="1"/>
    <row r="18755" customFormat="1" ht="17.25" customHeight="1"/>
    <row r="18756" customFormat="1" ht="17.25" customHeight="1"/>
    <row r="18757" customFormat="1" ht="17.25" customHeight="1"/>
    <row r="18758" customFormat="1" ht="17.25" customHeight="1"/>
    <row r="18759" customFormat="1" ht="17.25" customHeight="1"/>
    <row r="18760" customFormat="1" ht="17.25" customHeight="1"/>
    <row r="18761" customFormat="1" ht="17.25" customHeight="1"/>
    <row r="18762" customFormat="1" ht="17.25" customHeight="1"/>
    <row r="18763" customFormat="1" ht="17.25" customHeight="1"/>
    <row r="18764" customFormat="1" ht="17.25" customHeight="1"/>
    <row r="18765" customFormat="1" ht="17.25" customHeight="1"/>
    <row r="18766" customFormat="1" ht="17.25" customHeight="1"/>
    <row r="18767" customFormat="1" ht="17.25" customHeight="1"/>
    <row r="18768" customFormat="1" ht="17.25" customHeight="1"/>
    <row r="18769" customFormat="1" ht="17.25" customHeight="1"/>
    <row r="18770" customFormat="1" ht="17.25" customHeight="1"/>
    <row r="18771" customFormat="1" ht="17.25" customHeight="1"/>
    <row r="18772" customFormat="1" ht="17.25" customHeight="1"/>
    <row r="18773" customFormat="1" ht="17.25" customHeight="1"/>
    <row r="18774" customFormat="1" ht="17.25" customHeight="1"/>
    <row r="18775" customFormat="1" ht="17.25" customHeight="1"/>
    <row r="18776" customFormat="1" ht="17.25" customHeight="1"/>
    <row r="18777" customFormat="1" ht="17.25" customHeight="1"/>
    <row r="18778" customFormat="1" ht="17.25" customHeight="1"/>
    <row r="18779" customFormat="1" ht="17.25" customHeight="1"/>
    <row r="18780" customFormat="1" ht="17.25" customHeight="1"/>
    <row r="18781" customFormat="1" ht="17.25" customHeight="1"/>
    <row r="18782" customFormat="1" ht="17.25" customHeight="1"/>
    <row r="18783" customFormat="1" ht="17.25" customHeight="1"/>
    <row r="18784" customFormat="1" ht="17.25" customHeight="1"/>
    <row r="18785" customFormat="1" ht="17.25" customHeight="1"/>
    <row r="18786" customFormat="1" ht="17.25" customHeight="1"/>
    <row r="18787" customFormat="1" ht="17.25" customHeight="1"/>
    <row r="18788" customFormat="1" ht="17.25" customHeight="1"/>
    <row r="18789" customFormat="1" ht="17.25" customHeight="1"/>
    <row r="18790" customFormat="1" ht="17.25" customHeight="1"/>
    <row r="18791" customFormat="1" ht="17.25" customHeight="1"/>
    <row r="18792" customFormat="1" ht="17.25" customHeight="1"/>
    <row r="18793" customFormat="1" ht="17.25" customHeight="1"/>
    <row r="18794" customFormat="1" ht="17.25" customHeight="1"/>
    <row r="18795" customFormat="1" ht="17.25" customHeight="1"/>
    <row r="18796" customFormat="1" ht="17.25" customHeight="1"/>
    <row r="18797" customFormat="1" ht="17.25" customHeight="1"/>
    <row r="18798" customFormat="1" ht="17.25" customHeight="1"/>
    <row r="18799" customFormat="1" ht="17.25" customHeight="1"/>
    <row r="18800" customFormat="1" ht="17.25" customHeight="1"/>
    <row r="18801" customFormat="1" ht="17.25" customHeight="1"/>
    <row r="18802" customFormat="1" ht="17.25" customHeight="1"/>
    <row r="18803" customFormat="1" ht="17.25" customHeight="1"/>
    <row r="18804" customFormat="1" ht="17.25" customHeight="1"/>
    <row r="18805" customFormat="1" ht="17.25" customHeight="1"/>
    <row r="18806" customFormat="1" ht="17.25" customHeight="1"/>
    <row r="18807" customFormat="1" ht="17.25" customHeight="1"/>
    <row r="18808" customFormat="1" ht="17.25" customHeight="1"/>
    <row r="18809" customFormat="1" ht="17.25" customHeight="1"/>
    <row r="18810" customFormat="1" ht="17.25" customHeight="1"/>
    <row r="18811" customFormat="1" ht="17.25" customHeight="1"/>
    <row r="18812" customFormat="1" ht="17.25" customHeight="1"/>
    <row r="18813" customFormat="1" ht="17.25" customHeight="1"/>
    <row r="18814" customFormat="1" ht="17.25" customHeight="1"/>
    <row r="18815" customFormat="1" ht="17.25" customHeight="1"/>
    <row r="18816" customFormat="1" ht="17.25" customHeight="1"/>
    <row r="18817" customFormat="1" ht="17.25" customHeight="1"/>
    <row r="18818" customFormat="1" ht="17.25" customHeight="1"/>
    <row r="18819" customFormat="1" ht="17.25" customHeight="1"/>
    <row r="18820" customFormat="1" ht="17.25" customHeight="1"/>
    <row r="18821" customFormat="1" ht="17.25" customHeight="1"/>
    <row r="18822" customFormat="1" ht="17.25" customHeight="1"/>
    <row r="18823" customFormat="1" ht="17.25" customHeight="1"/>
    <row r="18824" customFormat="1" ht="17.25" customHeight="1"/>
    <row r="18825" customFormat="1" ht="17.25" customHeight="1"/>
    <row r="18826" customFormat="1" ht="17.25" customHeight="1"/>
    <row r="18827" customFormat="1" ht="17.25" customHeight="1"/>
    <row r="18828" customFormat="1" ht="17.25" customHeight="1"/>
    <row r="18829" customFormat="1" ht="17.25" customHeight="1"/>
    <row r="18830" customFormat="1" ht="17.25" customHeight="1"/>
    <row r="18831" customFormat="1" ht="17.25" customHeight="1"/>
    <row r="18832" customFormat="1" ht="17.25" customHeight="1"/>
    <row r="18833" customFormat="1" ht="17.25" customHeight="1"/>
    <row r="18834" customFormat="1" ht="17.25" customHeight="1"/>
    <row r="18835" customFormat="1" ht="17.25" customHeight="1"/>
    <row r="18836" customFormat="1" ht="17.25" customHeight="1"/>
    <row r="18837" customFormat="1" ht="17.25" customHeight="1"/>
    <row r="18838" customFormat="1" ht="17.25" customHeight="1"/>
    <row r="18839" customFormat="1" ht="17.25" customHeight="1"/>
    <row r="18840" customFormat="1" ht="17.25" customHeight="1"/>
    <row r="18841" customFormat="1" ht="17.25" customHeight="1"/>
    <row r="18842" customFormat="1" ht="17.25" customHeight="1"/>
    <row r="18843" customFormat="1" ht="17.25" customHeight="1"/>
    <row r="18844" customFormat="1" ht="17.25" customHeight="1"/>
    <row r="18845" customFormat="1" ht="17.25" customHeight="1"/>
    <row r="18846" customFormat="1" ht="17.25" customHeight="1"/>
    <row r="18847" customFormat="1" ht="17.25" customHeight="1"/>
    <row r="18848" customFormat="1" ht="17.25" customHeight="1"/>
    <row r="18849" customFormat="1" ht="17.25" customHeight="1"/>
    <row r="18850" customFormat="1" ht="17.25" customHeight="1"/>
    <row r="18851" customFormat="1" ht="17.25" customHeight="1"/>
    <row r="18852" customFormat="1" ht="17.25" customHeight="1"/>
    <row r="18853" customFormat="1" ht="17.25" customHeight="1"/>
    <row r="18854" customFormat="1" ht="17.25" customHeight="1"/>
    <row r="18855" customFormat="1" ht="17.25" customHeight="1"/>
    <row r="18856" customFormat="1" ht="17.25" customHeight="1"/>
    <row r="18857" customFormat="1" ht="17.25" customHeight="1"/>
    <row r="18858" customFormat="1" ht="17.25" customHeight="1"/>
    <row r="18859" customFormat="1" ht="17.25" customHeight="1"/>
    <row r="18860" customFormat="1" ht="17.25" customHeight="1"/>
    <row r="18861" customFormat="1" ht="17.25" customHeight="1"/>
    <row r="18862" customFormat="1" ht="17.25" customHeight="1"/>
    <row r="18863" customFormat="1" ht="17.25" customHeight="1"/>
    <row r="18864" customFormat="1" ht="17.25" customHeight="1"/>
    <row r="18865" customFormat="1" ht="17.25" customHeight="1"/>
    <row r="18866" customFormat="1" ht="17.25" customHeight="1"/>
    <row r="18867" customFormat="1" ht="17.25" customHeight="1"/>
    <row r="18868" customFormat="1" ht="17.25" customHeight="1"/>
    <row r="18869" customFormat="1" ht="17.25" customHeight="1"/>
    <row r="18870" customFormat="1" ht="17.25" customHeight="1"/>
    <row r="18871" customFormat="1" ht="17.25" customHeight="1"/>
    <row r="18872" customFormat="1" ht="17.25" customHeight="1"/>
    <row r="18873" customFormat="1" ht="17.25" customHeight="1"/>
    <row r="18874" customFormat="1" ht="17.25" customHeight="1"/>
    <row r="18875" customFormat="1" ht="17.25" customHeight="1"/>
    <row r="18876" customFormat="1" ht="17.25" customHeight="1"/>
    <row r="18877" customFormat="1" ht="17.25" customHeight="1"/>
    <row r="18878" customFormat="1" ht="17.25" customHeight="1"/>
    <row r="18879" customFormat="1" ht="17.25" customHeight="1"/>
    <row r="18880" customFormat="1" ht="17.25" customHeight="1"/>
    <row r="18881" customFormat="1" ht="17.25" customHeight="1"/>
    <row r="18882" customFormat="1" ht="17.25" customHeight="1"/>
    <row r="18883" customFormat="1" ht="17.25" customHeight="1"/>
    <row r="18884" customFormat="1" ht="17.25" customHeight="1"/>
    <row r="18885" customFormat="1" ht="17.25" customHeight="1"/>
    <row r="18886" customFormat="1" ht="17.25" customHeight="1"/>
    <row r="18887" customFormat="1" ht="17.25" customHeight="1"/>
    <row r="18888" customFormat="1" ht="17.25" customHeight="1"/>
    <row r="18889" customFormat="1" ht="17.25" customHeight="1"/>
    <row r="18890" customFormat="1" ht="17.25" customHeight="1"/>
    <row r="18891" customFormat="1" ht="17.25" customHeight="1"/>
    <row r="18892" customFormat="1" ht="17.25" customHeight="1"/>
    <row r="18893" customFormat="1" ht="17.25" customHeight="1"/>
    <row r="18894" customFormat="1" ht="17.25" customHeight="1"/>
    <row r="18895" customFormat="1" ht="17.25" customHeight="1"/>
    <row r="18896" customFormat="1" ht="17.25" customHeight="1"/>
    <row r="18897" customFormat="1" ht="17.25" customHeight="1"/>
    <row r="18898" customFormat="1" ht="17.25" customHeight="1"/>
    <row r="18899" customFormat="1" ht="17.25" customHeight="1"/>
    <row r="18900" customFormat="1" ht="17.25" customHeight="1"/>
    <row r="18901" customFormat="1" ht="17.25" customHeight="1"/>
    <row r="18902" customFormat="1" ht="17.25" customHeight="1"/>
    <row r="18903" customFormat="1" ht="17.25" customHeight="1"/>
    <row r="18904" customFormat="1" ht="17.25" customHeight="1"/>
    <row r="18905" customFormat="1" ht="17.25" customHeight="1"/>
    <row r="18906" customFormat="1" ht="17.25" customHeight="1"/>
    <row r="18907" customFormat="1" ht="17.25" customHeight="1"/>
    <row r="18908" customFormat="1" ht="17.25" customHeight="1"/>
    <row r="18909" customFormat="1" ht="17.25" customHeight="1"/>
    <row r="18910" customFormat="1" ht="17.25" customHeight="1"/>
    <row r="18911" customFormat="1" ht="17.25" customHeight="1"/>
    <row r="18912" customFormat="1" ht="17.25" customHeight="1"/>
    <row r="18913" customFormat="1" ht="17.25" customHeight="1"/>
    <row r="18914" customFormat="1" ht="17.25" customHeight="1"/>
    <row r="18915" customFormat="1" ht="17.25" customHeight="1"/>
    <row r="18916" customFormat="1" ht="17.25" customHeight="1"/>
    <row r="18917" customFormat="1" ht="17.25" customHeight="1"/>
    <row r="18918" customFormat="1" ht="17.25" customHeight="1"/>
    <row r="18919" customFormat="1" ht="17.25" customHeight="1"/>
    <row r="18920" customFormat="1" ht="17.25" customHeight="1"/>
    <row r="18921" customFormat="1" ht="17.25" customHeight="1"/>
    <row r="18922" customFormat="1" ht="17.25" customHeight="1"/>
    <row r="18923" customFormat="1" ht="17.25" customHeight="1"/>
    <row r="18924" customFormat="1" ht="17.25" customHeight="1"/>
    <row r="18925" customFormat="1" ht="17.25" customHeight="1"/>
    <row r="18926" customFormat="1" ht="17.25" customHeight="1"/>
    <row r="18927" customFormat="1" ht="17.25" customHeight="1"/>
    <row r="18928" customFormat="1" ht="17.25" customHeight="1"/>
    <row r="18929" customFormat="1" ht="17.25" customHeight="1"/>
    <row r="18930" customFormat="1" ht="17.25" customHeight="1"/>
    <row r="18931" customFormat="1" ht="17.25" customHeight="1"/>
    <row r="18932" customFormat="1" ht="17.25" customHeight="1"/>
    <row r="18933" customFormat="1" ht="17.25" customHeight="1"/>
    <row r="18934" customFormat="1" ht="17.25" customHeight="1"/>
    <row r="18935" customFormat="1" ht="17.25" customHeight="1"/>
    <row r="18936" customFormat="1" ht="17.25" customHeight="1"/>
    <row r="18937" customFormat="1" ht="17.25" customHeight="1"/>
    <row r="18938" customFormat="1" ht="17.25" customHeight="1"/>
    <row r="18939" customFormat="1" ht="17.25" customHeight="1"/>
    <row r="18940" customFormat="1" ht="17.25" customHeight="1"/>
    <row r="18941" customFormat="1" ht="17.25" customHeight="1"/>
    <row r="18942" customFormat="1" ht="17.25" customHeight="1"/>
    <row r="18943" customFormat="1" ht="17.25" customHeight="1"/>
    <row r="18944" customFormat="1" ht="17.25" customHeight="1"/>
    <row r="18945" customFormat="1" ht="17.25" customHeight="1"/>
    <row r="18946" customFormat="1" ht="17.25" customHeight="1"/>
    <row r="18947" customFormat="1" ht="17.25" customHeight="1"/>
    <row r="18948" customFormat="1" ht="17.25" customHeight="1"/>
    <row r="18949" customFormat="1" ht="17.25" customHeight="1"/>
    <row r="18950" customFormat="1" ht="17.25" customHeight="1"/>
    <row r="18951" customFormat="1" ht="17.25" customHeight="1"/>
    <row r="18952" customFormat="1" ht="17.25" customHeight="1"/>
    <row r="18953" customFormat="1" ht="17.25" customHeight="1"/>
    <row r="18954" customFormat="1" ht="17.25" customHeight="1"/>
    <row r="18955" customFormat="1" ht="17.25" customHeight="1"/>
    <row r="18956" customFormat="1" ht="17.25" customHeight="1"/>
    <row r="18957" customFormat="1" ht="17.25" customHeight="1"/>
    <row r="18958" customFormat="1" ht="17.25" customHeight="1"/>
    <row r="18959" customFormat="1" ht="17.25" customHeight="1"/>
    <row r="18960" customFormat="1" ht="17.25" customHeight="1"/>
    <row r="18961" customFormat="1" ht="17.25" customHeight="1"/>
    <row r="18962" customFormat="1" ht="17.25" customHeight="1"/>
    <row r="18963" customFormat="1" ht="17.25" customHeight="1"/>
    <row r="18964" customFormat="1" ht="17.25" customHeight="1"/>
    <row r="18965" customFormat="1" ht="17.25" customHeight="1"/>
    <row r="18966" customFormat="1" ht="17.25" customHeight="1"/>
    <row r="18967" customFormat="1" ht="17.25" customHeight="1"/>
    <row r="18968" customFormat="1" ht="17.25" customHeight="1"/>
    <row r="18969" customFormat="1" ht="17.25" customHeight="1"/>
    <row r="18970" customFormat="1" ht="17.25" customHeight="1"/>
    <row r="18971" customFormat="1" ht="17.25" customHeight="1"/>
    <row r="18972" customFormat="1" ht="17.25" customHeight="1"/>
    <row r="18973" customFormat="1" ht="17.25" customHeight="1"/>
    <row r="18974" customFormat="1" ht="17.25" customHeight="1"/>
    <row r="18975" customFormat="1" ht="17.25" customHeight="1"/>
    <row r="18976" customFormat="1" ht="17.25" customHeight="1"/>
    <row r="18977" customFormat="1" ht="17.25" customHeight="1"/>
    <row r="18978" customFormat="1" ht="17.25" customHeight="1"/>
    <row r="18979" customFormat="1" ht="17.25" customHeight="1"/>
    <row r="18980" customFormat="1" ht="17.25" customHeight="1"/>
    <row r="18981" customFormat="1" ht="17.25" customHeight="1"/>
    <row r="18982" customFormat="1" ht="17.25" customHeight="1"/>
    <row r="18983" customFormat="1" ht="17.25" customHeight="1"/>
    <row r="18984" customFormat="1" ht="17.25" customHeight="1"/>
    <row r="18985" customFormat="1" ht="17.25" customHeight="1"/>
    <row r="18986" customFormat="1" ht="17.25" customHeight="1"/>
    <row r="18987" customFormat="1" ht="17.25" customHeight="1"/>
    <row r="18988" customFormat="1" ht="17.25" customHeight="1"/>
    <row r="18989" customFormat="1" ht="17.25" customHeight="1"/>
    <row r="18990" customFormat="1" ht="17.25" customHeight="1"/>
    <row r="18991" customFormat="1" ht="17.25" customHeight="1"/>
    <row r="18992" customFormat="1" ht="17.25" customHeight="1"/>
    <row r="18993" customFormat="1" ht="17.25" customHeight="1"/>
    <row r="18994" customFormat="1" ht="17.25" customHeight="1"/>
    <row r="18995" customFormat="1" ht="17.25" customHeight="1"/>
    <row r="18996" customFormat="1" ht="17.25" customHeight="1"/>
    <row r="18997" customFormat="1" ht="17.25" customHeight="1"/>
    <row r="18998" customFormat="1" ht="17.25" customHeight="1"/>
    <row r="18999" customFormat="1" ht="17.25" customHeight="1"/>
    <row r="19000" customFormat="1" ht="17.25" customHeight="1"/>
    <row r="19001" customFormat="1" ht="17.25" customHeight="1"/>
    <row r="19002" customFormat="1" ht="17.25" customHeight="1"/>
    <row r="19003" customFormat="1" ht="17.25" customHeight="1"/>
    <row r="19004" customFormat="1" ht="17.25" customHeight="1"/>
    <row r="19005" customFormat="1" ht="17.25" customHeight="1"/>
    <row r="19006" customFormat="1" ht="17.25" customHeight="1"/>
    <row r="19007" customFormat="1" ht="17.25" customHeight="1"/>
    <row r="19008" customFormat="1" ht="17.25" customHeight="1"/>
    <row r="19009" customFormat="1" ht="17.25" customHeight="1"/>
    <row r="19010" customFormat="1" ht="17.25" customHeight="1"/>
    <row r="19011" customFormat="1" ht="17.25" customHeight="1"/>
    <row r="19012" customFormat="1" ht="17.25" customHeight="1"/>
    <row r="19013" customFormat="1" ht="17.25" customHeight="1"/>
    <row r="19014" customFormat="1" ht="17.25" customHeight="1"/>
    <row r="19015" customFormat="1" ht="17.25" customHeight="1"/>
    <row r="19016" customFormat="1" ht="17.25" customHeight="1"/>
    <row r="19017" customFormat="1" ht="17.25" customHeight="1"/>
    <row r="19018" customFormat="1" ht="17.25" customHeight="1"/>
    <row r="19019" customFormat="1" ht="17.25" customHeight="1"/>
    <row r="19020" customFormat="1" ht="17.25" customHeight="1"/>
    <row r="19021" customFormat="1" ht="17.25" customHeight="1"/>
    <row r="19022" customFormat="1" ht="17.25" customHeight="1"/>
    <row r="19023" customFormat="1" ht="17.25" customHeight="1"/>
    <row r="19024" customFormat="1" ht="17.25" customHeight="1"/>
    <row r="19025" customFormat="1" ht="17.25" customHeight="1"/>
    <row r="19026" customFormat="1" ht="17.25" customHeight="1"/>
    <row r="19027" customFormat="1" ht="17.25" customHeight="1"/>
    <row r="19028" customFormat="1" ht="17.25" customHeight="1"/>
    <row r="19029" customFormat="1" ht="17.25" customHeight="1"/>
    <row r="19030" customFormat="1" ht="17.25" customHeight="1"/>
    <row r="19031" customFormat="1" ht="17.25" customHeight="1"/>
    <row r="19032" customFormat="1" ht="17.25" customHeight="1"/>
    <row r="19033" customFormat="1" ht="17.25" customHeight="1"/>
    <row r="19034" customFormat="1" ht="17.25" customHeight="1"/>
    <row r="19035" customFormat="1" ht="17.25" customHeight="1"/>
    <row r="19036" customFormat="1" ht="17.25" customHeight="1"/>
    <row r="19037" customFormat="1" ht="17.25" customHeight="1"/>
    <row r="19038" customFormat="1" ht="17.25" customHeight="1"/>
    <row r="19039" customFormat="1" ht="17.25" customHeight="1"/>
    <row r="19040" customFormat="1" ht="17.25" customHeight="1"/>
    <row r="19041" customFormat="1" ht="17.25" customHeight="1"/>
    <row r="19042" customFormat="1" ht="17.25" customHeight="1"/>
    <row r="19043" customFormat="1" ht="17.25" customHeight="1"/>
    <row r="19044" customFormat="1" ht="17.25" customHeight="1"/>
    <row r="19045" customFormat="1" ht="17.25" customHeight="1"/>
    <row r="19046" customFormat="1" ht="17.25" customHeight="1"/>
    <row r="19047" customFormat="1" ht="17.25" customHeight="1"/>
    <row r="19048" customFormat="1" ht="17.25" customHeight="1"/>
    <row r="19049" customFormat="1" ht="17.25" customHeight="1"/>
    <row r="19050" customFormat="1" ht="17.25" customHeight="1"/>
    <row r="19051" customFormat="1" ht="17.25" customHeight="1"/>
    <row r="19052" customFormat="1" ht="17.25" customHeight="1"/>
    <row r="19053" customFormat="1" ht="17.25" customHeight="1"/>
    <row r="19054" customFormat="1" ht="17.25" customHeight="1"/>
    <row r="19055" customFormat="1" ht="17.25" customHeight="1"/>
    <row r="19056" customFormat="1" ht="17.25" customHeight="1"/>
    <row r="19057" customFormat="1" ht="17.25" customHeight="1"/>
    <row r="19058" customFormat="1" ht="17.25" customHeight="1"/>
    <row r="19059" customFormat="1" ht="17.25" customHeight="1"/>
    <row r="19060" customFormat="1" ht="17.25" customHeight="1"/>
    <row r="19061" customFormat="1" ht="17.25" customHeight="1"/>
    <row r="19062" customFormat="1" ht="17.25" customHeight="1"/>
    <row r="19063" customFormat="1" ht="17.25" customHeight="1"/>
    <row r="19064" customFormat="1" ht="17.25" customHeight="1"/>
    <row r="19065" customFormat="1" ht="17.25" customHeight="1"/>
    <row r="19066" customFormat="1" ht="17.25" customHeight="1"/>
    <row r="19067" customFormat="1" ht="17.25" customHeight="1"/>
    <row r="19068" customFormat="1" ht="17.25" customHeight="1"/>
    <row r="19069" customFormat="1" ht="17.25" customHeight="1"/>
    <row r="19070" customFormat="1" ht="17.25" customHeight="1"/>
    <row r="19071" customFormat="1" ht="17.25" customHeight="1"/>
    <row r="19072" customFormat="1" ht="17.25" customHeight="1"/>
    <row r="19073" customFormat="1" ht="17.25" customHeight="1"/>
    <row r="19074" customFormat="1" ht="17.25" customHeight="1"/>
    <row r="19075" customFormat="1" ht="17.25" customHeight="1"/>
    <row r="19076" customFormat="1" ht="17.25" customHeight="1"/>
    <row r="19077" customFormat="1" ht="17.25" customHeight="1"/>
    <row r="19078" customFormat="1" ht="17.25" customHeight="1"/>
    <row r="19079" customFormat="1" ht="17.25" customHeight="1"/>
    <row r="19080" customFormat="1" ht="17.25" customHeight="1"/>
    <row r="19081" customFormat="1" ht="17.25" customHeight="1"/>
    <row r="19082" customFormat="1" ht="17.25" customHeight="1"/>
    <row r="19083" customFormat="1" ht="17.25" customHeight="1"/>
    <row r="19084" customFormat="1" ht="17.25" customHeight="1"/>
    <row r="19085" customFormat="1" ht="17.25" customHeight="1"/>
    <row r="19086" customFormat="1" ht="17.25" customHeight="1"/>
    <row r="19087" customFormat="1" ht="17.25" customHeight="1"/>
    <row r="19088" customFormat="1" ht="17.25" customHeight="1"/>
    <row r="19089" customFormat="1" ht="17.25" customHeight="1"/>
    <row r="19090" customFormat="1" ht="17.25" customHeight="1"/>
    <row r="19091" customFormat="1" ht="17.25" customHeight="1"/>
    <row r="19092" customFormat="1" ht="17.25" customHeight="1"/>
    <row r="19093" customFormat="1" ht="17.25" customHeight="1"/>
    <row r="19094" customFormat="1" ht="17.25" customHeight="1"/>
    <row r="19095" customFormat="1" ht="17.25" customHeight="1"/>
    <row r="19096" customFormat="1" ht="17.25" customHeight="1"/>
    <row r="19097" customFormat="1" ht="17.25" customHeight="1"/>
    <row r="19098" customFormat="1" ht="17.25" customHeight="1"/>
    <row r="19099" customFormat="1" ht="17.25" customHeight="1"/>
    <row r="19100" customFormat="1" ht="17.25" customHeight="1"/>
    <row r="19101" customFormat="1" ht="17.25" customHeight="1"/>
    <row r="19102" customFormat="1" ht="17.25" customHeight="1"/>
    <row r="19103" customFormat="1" ht="17.25" customHeight="1"/>
    <row r="19104" customFormat="1" ht="17.25" customHeight="1"/>
    <row r="19105" customFormat="1" ht="17.25" customHeight="1"/>
    <row r="19106" customFormat="1" ht="17.25" customHeight="1"/>
    <row r="19107" customFormat="1" ht="17.25" customHeight="1"/>
    <row r="19108" customFormat="1" ht="17.25" customHeight="1"/>
    <row r="19109" customFormat="1" ht="17.25" customHeight="1"/>
    <row r="19110" customFormat="1" ht="17.25" customHeight="1"/>
    <row r="19111" customFormat="1" ht="17.25" customHeight="1"/>
    <row r="19112" customFormat="1" ht="17.25" customHeight="1"/>
    <row r="19113" customFormat="1" ht="17.25" customHeight="1"/>
    <row r="19114" customFormat="1" ht="17.25" customHeight="1"/>
    <row r="19115" customFormat="1" ht="17.25" customHeight="1"/>
    <row r="19116" customFormat="1" ht="17.25" customHeight="1"/>
    <row r="19117" customFormat="1" ht="17.25" customHeight="1"/>
    <row r="19118" customFormat="1" ht="17.25" customHeight="1"/>
    <row r="19119" customFormat="1" ht="17.25" customHeight="1"/>
    <row r="19120" customFormat="1" ht="17.25" customHeight="1"/>
    <row r="19121" customFormat="1" ht="17.25" customHeight="1"/>
    <row r="19122" customFormat="1" ht="17.25" customHeight="1"/>
    <row r="19123" customFormat="1" ht="17.25" customHeight="1"/>
    <row r="19124" customFormat="1" ht="17.25" customHeight="1"/>
    <row r="19125" customFormat="1" ht="17.25" customHeight="1"/>
    <row r="19126" customFormat="1" ht="17.25" customHeight="1"/>
    <row r="19127" customFormat="1" ht="17.25" customHeight="1"/>
    <row r="19128" customFormat="1" ht="17.25" customHeight="1"/>
    <row r="19129" customFormat="1" ht="17.25" customHeight="1"/>
    <row r="19130" customFormat="1" ht="17.25" customHeight="1"/>
    <row r="19131" customFormat="1" ht="17.25" customHeight="1"/>
    <row r="19132" customFormat="1" ht="17.25" customHeight="1"/>
    <row r="19133" customFormat="1" ht="17.25" customHeight="1"/>
    <row r="19134" customFormat="1" ht="17.25" customHeight="1"/>
    <row r="19135" customFormat="1" ht="17.25" customHeight="1"/>
    <row r="19136" customFormat="1" ht="17.25" customHeight="1"/>
    <row r="19137" customFormat="1" ht="17.25" customHeight="1"/>
    <row r="19138" customFormat="1" ht="17.25" customHeight="1"/>
    <row r="19139" customFormat="1" ht="17.25" customHeight="1"/>
    <row r="19140" customFormat="1" ht="17.25" customHeight="1"/>
    <row r="19141" customFormat="1" ht="17.25" customHeight="1"/>
    <row r="19142" customFormat="1" ht="17.25" customHeight="1"/>
    <row r="19143" customFormat="1" ht="17.25" customHeight="1"/>
    <row r="19144" customFormat="1" ht="17.25" customHeight="1"/>
    <row r="19145" customFormat="1" ht="17.25" customHeight="1"/>
    <row r="19146" customFormat="1" ht="17.25" customHeight="1"/>
    <row r="19147" customFormat="1" ht="17.25" customHeight="1"/>
    <row r="19148" customFormat="1" ht="17.25" customHeight="1"/>
    <row r="19149" customFormat="1" ht="17.25" customHeight="1"/>
    <row r="19150" customFormat="1" ht="17.25" customHeight="1"/>
    <row r="19151" customFormat="1" ht="17.25" customHeight="1"/>
    <row r="19152" customFormat="1" ht="17.25" customHeight="1"/>
    <row r="19153" customFormat="1" ht="17.25" customHeight="1"/>
    <row r="19154" customFormat="1" ht="17.25" customHeight="1"/>
    <row r="19155" customFormat="1" ht="17.25" customHeight="1"/>
    <row r="19156" customFormat="1" ht="17.25" customHeight="1"/>
    <row r="19157" customFormat="1" ht="17.25" customHeight="1"/>
    <row r="19158" customFormat="1" ht="17.25" customHeight="1"/>
    <row r="19159" customFormat="1" ht="17.25" customHeight="1"/>
    <row r="19160" customFormat="1" ht="17.25" customHeight="1"/>
    <row r="19161" customFormat="1" ht="17.25" customHeight="1"/>
    <row r="19162" customFormat="1" ht="17.25" customHeight="1"/>
    <row r="19163" customFormat="1" ht="17.25" customHeight="1"/>
    <row r="19164" customFormat="1" ht="17.25" customHeight="1"/>
    <row r="19165" customFormat="1" ht="17.25" customHeight="1"/>
    <row r="19166" customFormat="1" ht="17.25" customHeight="1"/>
    <row r="19167" customFormat="1" ht="17.25" customHeight="1"/>
    <row r="19168" customFormat="1" ht="17.25" customHeight="1"/>
    <row r="19169" customFormat="1" ht="17.25" customHeight="1"/>
    <row r="19170" customFormat="1" ht="17.25" customHeight="1"/>
    <row r="19171" customFormat="1" ht="17.25" customHeight="1"/>
    <row r="19172" customFormat="1" ht="17.25" customHeight="1"/>
    <row r="19173" customFormat="1" ht="17.25" customHeight="1"/>
    <row r="19174" customFormat="1" ht="17.25" customHeight="1"/>
    <row r="19175" customFormat="1" ht="17.25" customHeight="1"/>
    <row r="19176" customFormat="1" ht="17.25" customHeight="1"/>
    <row r="19177" customFormat="1" ht="17.25" customHeight="1"/>
    <row r="19178" customFormat="1" ht="17.25" customHeight="1"/>
    <row r="19179" customFormat="1" ht="17.25" customHeight="1"/>
    <row r="19180" customFormat="1" ht="17.25" customHeight="1"/>
    <row r="19181" customFormat="1" ht="17.25" customHeight="1"/>
    <row r="19182" customFormat="1" ht="17.25" customHeight="1"/>
    <row r="19183" customFormat="1" ht="17.25" customHeight="1"/>
    <row r="19184" customFormat="1" ht="17.25" customHeight="1"/>
    <row r="19185" customFormat="1" ht="17.25" customHeight="1"/>
    <row r="19186" customFormat="1" ht="17.25" customHeight="1"/>
    <row r="19187" customFormat="1" ht="17.25" customHeight="1"/>
    <row r="19188" customFormat="1" ht="17.25" customHeight="1"/>
    <row r="19189" customFormat="1" ht="17.25" customHeight="1"/>
    <row r="19190" customFormat="1" ht="17.25" customHeight="1"/>
    <row r="19191" customFormat="1" ht="17.25" customHeight="1"/>
    <row r="19192" customFormat="1" ht="17.25" customHeight="1"/>
    <row r="19193" customFormat="1" ht="17.25" customHeight="1"/>
    <row r="19194" customFormat="1" ht="17.25" customHeight="1"/>
    <row r="19195" customFormat="1" ht="17.25" customHeight="1"/>
    <row r="19196" customFormat="1" ht="17.25" customHeight="1"/>
    <row r="19197" customFormat="1" ht="17.25" customHeight="1"/>
    <row r="19198" customFormat="1" ht="17.25" customHeight="1"/>
    <row r="19199" customFormat="1" ht="17.25" customHeight="1"/>
    <row r="19200" customFormat="1" ht="17.25" customHeight="1"/>
    <row r="19201" customFormat="1" ht="17.25" customHeight="1"/>
    <row r="19202" customFormat="1" ht="17.25" customHeight="1"/>
    <row r="19203" customFormat="1" ht="17.25" customHeight="1"/>
    <row r="19204" customFormat="1" ht="17.25" customHeight="1"/>
    <row r="19205" customFormat="1" ht="17.25" customHeight="1"/>
    <row r="19206" customFormat="1" ht="17.25" customHeight="1"/>
    <row r="19207" customFormat="1" ht="17.25" customHeight="1"/>
    <row r="19208" customFormat="1" ht="17.25" customHeight="1"/>
    <row r="19209" customFormat="1" ht="17.25" customHeight="1"/>
    <row r="19210" customFormat="1" ht="17.25" customHeight="1"/>
    <row r="19211" customFormat="1" ht="17.25" customHeight="1"/>
    <row r="19212" customFormat="1" ht="17.25" customHeight="1"/>
    <row r="19213" customFormat="1" ht="17.25" customHeight="1"/>
    <row r="19214" customFormat="1" ht="17.25" customHeight="1"/>
    <row r="19215" customFormat="1" ht="17.25" customHeight="1"/>
    <row r="19216" customFormat="1" ht="17.25" customHeight="1"/>
    <row r="19217" customFormat="1" ht="17.25" customHeight="1"/>
    <row r="19218" customFormat="1" ht="17.25" customHeight="1"/>
    <row r="19219" customFormat="1" ht="17.25" customHeight="1"/>
    <row r="19220" customFormat="1" ht="17.25" customHeight="1"/>
    <row r="19221" customFormat="1" ht="17.25" customHeight="1"/>
    <row r="19222" customFormat="1" ht="17.25" customHeight="1"/>
    <row r="19223" customFormat="1" ht="17.25" customHeight="1"/>
    <row r="19224" customFormat="1" ht="17.25" customHeight="1"/>
    <row r="19225" customFormat="1" ht="17.25" customHeight="1"/>
    <row r="19226" customFormat="1" ht="17.25" customHeight="1"/>
    <row r="19227" customFormat="1" ht="17.25" customHeight="1"/>
    <row r="19228" customFormat="1" ht="17.25" customHeight="1"/>
    <row r="19229" customFormat="1" ht="17.25" customHeight="1"/>
    <row r="19230" customFormat="1" ht="17.25" customHeight="1"/>
    <row r="19231" customFormat="1" ht="17.25" customHeight="1"/>
    <row r="19232" customFormat="1" ht="17.25" customHeight="1"/>
    <row r="19233" customFormat="1" ht="17.25" customHeight="1"/>
    <row r="19234" customFormat="1" ht="17.25" customHeight="1"/>
    <row r="19235" customFormat="1" ht="17.25" customHeight="1"/>
    <row r="19236" customFormat="1" ht="17.25" customHeight="1"/>
    <row r="19237" customFormat="1" ht="17.25" customHeight="1"/>
    <row r="19238" customFormat="1" ht="17.25" customHeight="1"/>
    <row r="19239" customFormat="1" ht="17.25" customHeight="1"/>
    <row r="19240" customFormat="1" ht="17.25" customHeight="1"/>
    <row r="19241" customFormat="1" ht="17.25" customHeight="1"/>
    <row r="19242" customFormat="1" ht="17.25" customHeight="1"/>
    <row r="19243" customFormat="1" ht="17.25" customHeight="1"/>
    <row r="19244" customFormat="1" ht="17.25" customHeight="1"/>
    <row r="19245" customFormat="1" ht="17.25" customHeight="1"/>
    <row r="19246" customFormat="1" ht="17.25" customHeight="1"/>
    <row r="19247" customFormat="1" ht="17.25" customHeight="1"/>
    <row r="19248" customFormat="1" ht="17.25" customHeight="1"/>
    <row r="19249" customFormat="1" ht="17.25" customHeight="1"/>
    <row r="19250" customFormat="1" ht="17.25" customHeight="1"/>
    <row r="19251" customFormat="1" ht="17.25" customHeight="1"/>
    <row r="19252" customFormat="1" ht="17.25" customHeight="1"/>
    <row r="19253" customFormat="1" ht="17.25" customHeight="1"/>
    <row r="19254" customFormat="1" ht="17.25" customHeight="1"/>
    <row r="19255" customFormat="1" ht="17.25" customHeight="1"/>
    <row r="19256" customFormat="1" ht="17.25" customHeight="1"/>
    <row r="19257" customFormat="1" ht="17.25" customHeight="1"/>
    <row r="19258" customFormat="1" ht="17.25" customHeight="1"/>
    <row r="19259" customFormat="1" ht="17.25" customHeight="1"/>
    <row r="19260" customFormat="1" ht="17.25" customHeight="1"/>
    <row r="19261" customFormat="1" ht="17.25" customHeight="1"/>
    <row r="19262" customFormat="1" ht="17.25" customHeight="1"/>
    <row r="19263" customFormat="1" ht="17.25" customHeight="1"/>
    <row r="19264" customFormat="1" ht="17.25" customHeight="1"/>
    <row r="19265" customFormat="1" ht="17.25" customHeight="1"/>
    <row r="19266" customFormat="1" ht="17.25" customHeight="1"/>
    <row r="19267" customFormat="1" ht="17.25" customHeight="1"/>
    <row r="19268" customFormat="1" ht="17.25" customHeight="1"/>
    <row r="19269" customFormat="1" ht="17.25" customHeight="1"/>
    <row r="19270" customFormat="1" ht="17.25" customHeight="1"/>
    <row r="19271" customFormat="1" ht="17.25" customHeight="1"/>
    <row r="19272" customFormat="1" ht="17.25" customHeight="1"/>
    <row r="19273" customFormat="1" ht="17.25" customHeight="1"/>
    <row r="19274" customFormat="1" ht="17.25" customHeight="1"/>
    <row r="19275" customFormat="1" ht="17.25" customHeight="1"/>
    <row r="19276" customFormat="1" ht="17.25" customHeight="1"/>
    <row r="19277" customFormat="1" ht="17.25" customHeight="1"/>
    <row r="19278" customFormat="1" ht="17.25" customHeight="1"/>
    <row r="19279" customFormat="1" ht="17.25" customHeight="1"/>
    <row r="19280" customFormat="1" ht="17.25" customHeight="1"/>
    <row r="19281" customFormat="1" ht="17.25" customHeight="1"/>
    <row r="19282" customFormat="1" ht="17.25" customHeight="1"/>
    <row r="19283" customFormat="1" ht="17.25" customHeight="1"/>
    <row r="19284" customFormat="1" ht="17.25" customHeight="1"/>
    <row r="19285" customFormat="1" ht="17.25" customHeight="1"/>
    <row r="19286" customFormat="1" ht="17.25" customHeight="1"/>
    <row r="19287" customFormat="1" ht="17.25" customHeight="1"/>
    <row r="19288" customFormat="1" ht="17.25" customHeight="1"/>
    <row r="19289" customFormat="1" ht="17.25" customHeight="1"/>
    <row r="19290" customFormat="1" ht="17.25" customHeight="1"/>
    <row r="19291" customFormat="1" ht="17.25" customHeight="1"/>
    <row r="19292" customFormat="1" ht="17.25" customHeight="1"/>
    <row r="19293" customFormat="1" ht="17.25" customHeight="1"/>
    <row r="19294" customFormat="1" ht="17.25" customHeight="1"/>
    <row r="19295" customFormat="1" ht="17.25" customHeight="1"/>
    <row r="19296" customFormat="1" ht="17.25" customHeight="1"/>
    <row r="19297" customFormat="1" ht="17.25" customHeight="1"/>
    <row r="19298" customFormat="1" ht="17.25" customHeight="1"/>
    <row r="19299" customFormat="1" ht="17.25" customHeight="1"/>
    <row r="19300" customFormat="1" ht="17.25" customHeight="1"/>
    <row r="19301" customFormat="1" ht="17.25" customHeight="1"/>
    <row r="19302" customFormat="1" ht="17.25" customHeight="1"/>
    <row r="19303" customFormat="1" ht="17.25" customHeight="1"/>
    <row r="19304" customFormat="1" ht="17.25" customHeight="1"/>
    <row r="19305" customFormat="1" ht="17.25" customHeight="1"/>
    <row r="19306" customFormat="1" ht="17.25" customHeight="1"/>
    <row r="19307" customFormat="1" ht="17.25" customHeight="1"/>
    <row r="19308" customFormat="1" ht="17.25" customHeight="1"/>
    <row r="19309" customFormat="1" ht="17.25" customHeight="1"/>
    <row r="19310" customFormat="1" ht="17.25" customHeight="1"/>
    <row r="19311" customFormat="1" ht="17.25" customHeight="1"/>
    <row r="19312" customFormat="1" ht="17.25" customHeight="1"/>
    <row r="19313" customFormat="1" ht="17.25" customHeight="1"/>
    <row r="19314" customFormat="1" ht="17.25" customHeight="1"/>
    <row r="19315" customFormat="1" ht="17.25" customHeight="1"/>
    <row r="19316" customFormat="1" ht="17.25" customHeight="1"/>
    <row r="19317" customFormat="1" ht="17.25" customHeight="1"/>
    <row r="19318" customFormat="1" ht="17.25" customHeight="1"/>
    <row r="19319" customFormat="1" ht="17.25" customHeight="1"/>
    <row r="19320" customFormat="1" ht="17.25" customHeight="1"/>
    <row r="19321" customFormat="1" ht="17.25" customHeight="1"/>
    <row r="19322" customFormat="1" ht="17.25" customHeight="1"/>
    <row r="19323" customFormat="1" ht="17.25" customHeight="1"/>
    <row r="19324" customFormat="1" ht="17.25" customHeight="1"/>
    <row r="19325" customFormat="1" ht="17.25" customHeight="1"/>
    <row r="19326" customFormat="1" ht="17.25" customHeight="1"/>
    <row r="19327" customFormat="1" ht="17.25" customHeight="1"/>
    <row r="19328" customFormat="1" ht="17.25" customHeight="1"/>
    <row r="19329" customFormat="1" ht="17.25" customHeight="1"/>
    <row r="19330" customFormat="1" ht="17.25" customHeight="1"/>
    <row r="19331" customFormat="1" ht="17.25" customHeight="1"/>
    <row r="19332" customFormat="1" ht="17.25" customHeight="1"/>
    <row r="19333" customFormat="1" ht="17.25" customHeight="1"/>
    <row r="19334" customFormat="1" ht="17.25" customHeight="1"/>
    <row r="19335" customFormat="1" ht="17.25" customHeight="1"/>
    <row r="19336" customFormat="1" ht="17.25" customHeight="1"/>
    <row r="19337" customFormat="1" ht="17.25" customHeight="1"/>
    <row r="19338" customFormat="1" ht="17.25" customHeight="1"/>
    <row r="19339" customFormat="1" ht="17.25" customHeight="1"/>
    <row r="19340" customFormat="1" ht="17.25" customHeight="1"/>
    <row r="19341" customFormat="1" ht="17.25" customHeight="1"/>
    <row r="19342" customFormat="1" ht="17.25" customHeight="1"/>
    <row r="19343" customFormat="1" ht="17.25" customHeight="1"/>
    <row r="19344" customFormat="1" ht="17.25" customHeight="1"/>
    <row r="19345" customFormat="1" ht="17.25" customHeight="1"/>
    <row r="19346" customFormat="1" ht="17.25" customHeight="1"/>
    <row r="19347" customFormat="1" ht="17.25" customHeight="1"/>
    <row r="19348" customFormat="1" ht="17.25" customHeight="1"/>
    <row r="19349" customFormat="1" ht="17.25" customHeight="1"/>
    <row r="19350" customFormat="1" ht="17.25" customHeight="1"/>
    <row r="19351" customFormat="1" ht="17.25" customHeight="1"/>
    <row r="19352" customFormat="1" ht="17.25" customHeight="1"/>
    <row r="19353" customFormat="1" ht="17.25" customHeight="1"/>
    <row r="19354" customFormat="1" ht="17.25" customHeight="1"/>
    <row r="19355" customFormat="1" ht="17.25" customHeight="1"/>
    <row r="19356" customFormat="1" ht="17.25" customHeight="1"/>
    <row r="19357" customFormat="1" ht="17.25" customHeight="1"/>
    <row r="19358" customFormat="1" ht="17.25" customHeight="1"/>
    <row r="19359" customFormat="1" ht="17.25" customHeight="1"/>
    <row r="19360" customFormat="1" ht="17.25" customHeight="1"/>
    <row r="19361" customFormat="1" ht="17.25" customHeight="1"/>
    <row r="19362" customFormat="1" ht="17.25" customHeight="1"/>
    <row r="19363" customFormat="1" ht="17.25" customHeight="1"/>
    <row r="19364" customFormat="1" ht="17.25" customHeight="1"/>
    <row r="19365" customFormat="1" ht="17.25" customHeight="1"/>
    <row r="19366" customFormat="1" ht="17.25" customHeight="1"/>
    <row r="19367" customFormat="1" ht="17.25" customHeight="1"/>
    <row r="19368" customFormat="1" ht="17.25" customHeight="1"/>
    <row r="19369" customFormat="1" ht="17.25" customHeight="1"/>
    <row r="19370" customFormat="1" ht="17.25" customHeight="1"/>
    <row r="19371" customFormat="1" ht="17.25" customHeight="1"/>
    <row r="19372" customFormat="1" ht="17.25" customHeight="1"/>
    <row r="19373" customFormat="1" ht="17.25" customHeight="1"/>
    <row r="19374" customFormat="1" ht="17.25" customHeight="1"/>
    <row r="19375" customFormat="1" ht="17.25" customHeight="1"/>
    <row r="19376" customFormat="1" ht="17.25" customHeight="1"/>
    <row r="19377" customFormat="1" ht="17.25" customHeight="1"/>
    <row r="19378" customFormat="1" ht="17.25" customHeight="1"/>
    <row r="19379" customFormat="1" ht="17.25" customHeight="1"/>
    <row r="19380" customFormat="1" ht="17.25" customHeight="1"/>
    <row r="19381" customFormat="1" ht="17.25" customHeight="1"/>
    <row r="19382" customFormat="1" ht="17.25" customHeight="1"/>
    <row r="19383" customFormat="1" ht="17.25" customHeight="1"/>
    <row r="19384" customFormat="1" ht="17.25" customHeight="1"/>
    <row r="19385" customFormat="1" ht="17.25" customHeight="1"/>
    <row r="19386" customFormat="1" ht="17.25" customHeight="1"/>
    <row r="19387" customFormat="1" ht="17.25" customHeight="1"/>
    <row r="19388" customFormat="1" ht="17.25" customHeight="1"/>
    <row r="19389" customFormat="1" ht="17.25" customHeight="1"/>
    <row r="19390" customFormat="1" ht="17.25" customHeight="1"/>
    <row r="19391" customFormat="1" ht="17.25" customHeight="1"/>
    <row r="19392" customFormat="1" ht="17.25" customHeight="1"/>
    <row r="19393" customFormat="1" ht="17.25" customHeight="1"/>
    <row r="19394" customFormat="1" ht="17.25" customHeight="1"/>
    <row r="19395" customFormat="1" ht="17.25" customHeight="1"/>
    <row r="19396" customFormat="1" ht="17.25" customHeight="1"/>
    <row r="19397" customFormat="1" ht="17.25" customHeight="1"/>
    <row r="19398" customFormat="1" ht="17.25" customHeight="1"/>
    <row r="19399" customFormat="1" ht="17.25" customHeight="1"/>
    <row r="19400" customFormat="1" ht="17.25" customHeight="1"/>
    <row r="19401" customFormat="1" ht="17.25" customHeight="1"/>
    <row r="19402" customFormat="1" ht="17.25" customHeight="1"/>
    <row r="19403" customFormat="1" ht="17.25" customHeight="1"/>
    <row r="19404" customFormat="1" ht="17.25" customHeight="1"/>
    <row r="19405" customFormat="1" ht="17.25" customHeight="1"/>
    <row r="19406" customFormat="1" ht="17.25" customHeight="1"/>
    <row r="19407" customFormat="1" ht="17.25" customHeight="1"/>
    <row r="19408" customFormat="1" ht="17.25" customHeight="1"/>
    <row r="19409" customFormat="1" ht="17.25" customHeight="1"/>
    <row r="19410" customFormat="1" ht="17.25" customHeight="1"/>
    <row r="19411" customFormat="1" ht="17.25" customHeight="1"/>
    <row r="19412" customFormat="1" ht="17.25" customHeight="1"/>
    <row r="19413" customFormat="1" ht="17.25" customHeight="1"/>
    <row r="19414" customFormat="1" ht="17.25" customHeight="1"/>
    <row r="19415" customFormat="1" ht="17.25" customHeight="1"/>
    <row r="19416" customFormat="1" ht="17.25" customHeight="1"/>
    <row r="19417" customFormat="1" ht="17.25" customHeight="1"/>
    <row r="19418" customFormat="1" ht="17.25" customHeight="1"/>
    <row r="19419" customFormat="1" ht="17.25" customHeight="1"/>
    <row r="19420" customFormat="1" ht="17.25" customHeight="1"/>
    <row r="19421" customFormat="1" ht="17.25" customHeight="1"/>
    <row r="19422" customFormat="1" ht="17.25" customHeight="1"/>
    <row r="19423" customFormat="1" ht="17.25" customHeight="1"/>
    <row r="19424" customFormat="1" ht="17.25" customHeight="1"/>
    <row r="19425" customFormat="1" ht="17.25" customHeight="1"/>
    <row r="19426" customFormat="1" ht="17.25" customHeight="1"/>
    <row r="19427" customFormat="1" ht="17.25" customHeight="1"/>
    <row r="19428" customFormat="1" ht="17.25" customHeight="1"/>
    <row r="19429" customFormat="1" ht="17.25" customHeight="1"/>
    <row r="19430" customFormat="1" ht="17.25" customHeight="1"/>
    <row r="19431" customFormat="1" ht="17.25" customHeight="1"/>
    <row r="19432" customFormat="1" ht="17.25" customHeight="1"/>
    <row r="19433" customFormat="1" ht="17.25" customHeight="1"/>
    <row r="19434" customFormat="1" ht="17.25" customHeight="1"/>
    <row r="19435" customFormat="1" ht="17.25" customHeight="1"/>
    <row r="19436" customFormat="1" ht="17.25" customHeight="1"/>
    <row r="19437" customFormat="1" ht="17.25" customHeight="1"/>
    <row r="19438" customFormat="1" ht="17.25" customHeight="1"/>
    <row r="19439" customFormat="1" ht="17.25" customHeight="1"/>
    <row r="19440" customFormat="1" ht="17.25" customHeight="1"/>
    <row r="19441" customFormat="1" ht="17.25" customHeight="1"/>
    <row r="19442" customFormat="1" ht="17.25" customHeight="1"/>
    <row r="19443" customFormat="1" ht="17.25" customHeight="1"/>
    <row r="19444" customFormat="1" ht="17.25" customHeight="1"/>
    <row r="19445" customFormat="1" ht="17.25" customHeight="1"/>
    <row r="19446" customFormat="1" ht="17.25" customHeight="1"/>
    <row r="19447" customFormat="1" ht="17.25" customHeight="1"/>
    <row r="19448" customFormat="1" ht="17.25" customHeight="1"/>
    <row r="19449" customFormat="1" ht="17.25" customHeight="1"/>
    <row r="19450" customFormat="1" ht="17.25" customHeight="1"/>
    <row r="19451" customFormat="1" ht="17.25" customHeight="1"/>
    <row r="19452" customFormat="1" ht="17.25" customHeight="1"/>
    <row r="19453" customFormat="1" ht="17.25" customHeight="1"/>
    <row r="19454" customFormat="1" ht="17.25" customHeight="1"/>
    <row r="19455" customFormat="1" ht="17.25" customHeight="1"/>
    <row r="19456" customFormat="1" ht="17.25" customHeight="1"/>
    <row r="19457" customFormat="1" ht="17.25" customHeight="1"/>
    <row r="19458" customFormat="1" ht="17.25" customHeight="1"/>
    <row r="19459" customFormat="1" ht="17.25" customHeight="1"/>
    <row r="19460" customFormat="1" ht="17.25" customHeight="1"/>
    <row r="19461" customFormat="1" ht="17.25" customHeight="1"/>
    <row r="19462" customFormat="1" ht="17.25" customHeight="1"/>
    <row r="19463" customFormat="1" ht="17.25" customHeight="1"/>
    <row r="19464" customFormat="1" ht="17.25" customHeight="1"/>
    <row r="19465" customFormat="1" ht="17.25" customHeight="1"/>
    <row r="19466" customFormat="1" ht="17.25" customHeight="1"/>
    <row r="19467" customFormat="1" ht="17.25" customHeight="1"/>
    <row r="19468" customFormat="1" ht="17.25" customHeight="1"/>
    <row r="19469" customFormat="1" ht="17.25" customHeight="1"/>
    <row r="19470" customFormat="1" ht="17.25" customHeight="1"/>
    <row r="19471" customFormat="1" ht="17.25" customHeight="1"/>
    <row r="19472" customFormat="1" ht="17.25" customHeight="1"/>
    <row r="19473" customFormat="1" ht="17.25" customHeight="1"/>
    <row r="19474" customFormat="1" ht="17.25" customHeight="1"/>
    <row r="19475" customFormat="1" ht="17.25" customHeight="1"/>
    <row r="19476" customFormat="1" ht="17.25" customHeight="1"/>
    <row r="19477" customFormat="1" ht="17.25" customHeight="1"/>
    <row r="19478" customFormat="1" ht="17.25" customHeight="1"/>
    <row r="19479" customFormat="1" ht="17.25" customHeight="1"/>
    <row r="19480" customFormat="1" ht="17.25" customHeight="1"/>
    <row r="19481" customFormat="1" ht="17.25" customHeight="1"/>
    <row r="19482" customFormat="1" ht="17.25" customHeight="1"/>
    <row r="19483" customFormat="1" ht="17.25" customHeight="1"/>
    <row r="19484" customFormat="1" ht="17.25" customHeight="1"/>
    <row r="19485" customFormat="1" ht="17.25" customHeight="1"/>
    <row r="19486" customFormat="1" ht="17.25" customHeight="1"/>
    <row r="19487" customFormat="1" ht="17.25" customHeight="1"/>
    <row r="19488" customFormat="1" ht="17.25" customHeight="1"/>
    <row r="19489" customFormat="1" ht="17.25" customHeight="1"/>
    <row r="19490" customFormat="1" ht="17.25" customHeight="1"/>
    <row r="19491" customFormat="1" ht="17.25" customHeight="1"/>
    <row r="19492" customFormat="1" ht="17.25" customHeight="1"/>
    <row r="19493" customFormat="1" ht="17.25" customHeight="1"/>
    <row r="19494" customFormat="1" ht="17.25" customHeight="1"/>
    <row r="19495" customFormat="1" ht="17.25" customHeight="1"/>
    <row r="19496" customFormat="1" ht="17.25" customHeight="1"/>
    <row r="19497" customFormat="1" ht="17.25" customHeight="1"/>
    <row r="19498" customFormat="1" ht="17.25" customHeight="1"/>
    <row r="19499" customFormat="1" ht="17.25" customHeight="1"/>
    <row r="19500" customFormat="1" ht="17.25" customHeight="1"/>
    <row r="19501" customFormat="1" ht="17.25" customHeight="1"/>
    <row r="19502" customFormat="1" ht="17.25" customHeight="1"/>
    <row r="19503" customFormat="1" ht="17.25" customHeight="1"/>
    <row r="19504" customFormat="1" ht="17.25" customHeight="1"/>
    <row r="19505" customFormat="1" ht="17.25" customHeight="1"/>
    <row r="19506" customFormat="1" ht="17.25" customHeight="1"/>
    <row r="19507" customFormat="1" ht="17.25" customHeight="1"/>
    <row r="19508" customFormat="1" ht="17.25" customHeight="1"/>
    <row r="19509" customFormat="1" ht="17.25" customHeight="1"/>
    <row r="19510" customFormat="1" ht="17.25" customHeight="1"/>
    <row r="19511" customFormat="1" ht="17.25" customHeight="1"/>
    <row r="19512" customFormat="1" ht="17.25" customHeight="1"/>
    <row r="19513" customFormat="1" ht="17.25" customHeight="1"/>
    <row r="19514" customFormat="1" ht="17.25" customHeight="1"/>
    <row r="19515" customFormat="1" ht="17.25" customHeight="1"/>
    <row r="19516" customFormat="1" ht="17.25" customHeight="1"/>
    <row r="19517" customFormat="1" ht="17.25" customHeight="1"/>
    <row r="19518" customFormat="1" ht="17.25" customHeight="1"/>
    <row r="19519" customFormat="1" ht="17.25" customHeight="1"/>
    <row r="19520" customFormat="1" ht="17.25" customHeight="1"/>
    <row r="19521" customFormat="1" ht="17.25" customHeight="1"/>
    <row r="19522" customFormat="1" ht="17.25" customHeight="1"/>
    <row r="19523" customFormat="1" ht="17.25" customHeight="1"/>
    <row r="19524" customFormat="1" ht="17.25" customHeight="1"/>
    <row r="19525" customFormat="1" ht="17.25" customHeight="1"/>
    <row r="19526" customFormat="1" ht="17.25" customHeight="1"/>
    <row r="19527" customFormat="1" ht="17.25" customHeight="1"/>
    <row r="19528" customFormat="1" ht="17.25" customHeight="1"/>
    <row r="19529" customFormat="1" ht="17.25" customHeight="1"/>
    <row r="19530" customFormat="1" ht="17.25" customHeight="1"/>
    <row r="19531" customFormat="1" ht="17.25" customHeight="1"/>
    <row r="19532" customFormat="1" ht="17.25" customHeight="1"/>
    <row r="19533" customFormat="1" ht="17.25" customHeight="1"/>
    <row r="19534" customFormat="1" ht="17.25" customHeight="1"/>
    <row r="19535" customFormat="1" ht="17.25" customHeight="1"/>
    <row r="19536" customFormat="1" ht="17.25" customHeight="1"/>
    <row r="19537" customFormat="1" ht="17.25" customHeight="1"/>
    <row r="19538" customFormat="1" ht="17.25" customHeight="1"/>
    <row r="19539" customFormat="1" ht="17.25" customHeight="1"/>
    <row r="19540" customFormat="1" ht="17.25" customHeight="1"/>
    <row r="19541" customFormat="1" ht="17.25" customHeight="1"/>
    <row r="19542" customFormat="1" ht="17.25" customHeight="1"/>
    <row r="19543" customFormat="1" ht="17.25" customHeight="1"/>
    <row r="19544" customFormat="1" ht="17.25" customHeight="1"/>
    <row r="19545" customFormat="1" ht="17.25" customHeight="1"/>
    <row r="19546" customFormat="1" ht="17.25" customHeight="1"/>
    <row r="19547" customFormat="1" ht="17.25" customHeight="1"/>
    <row r="19548" customFormat="1" ht="17.25" customHeight="1"/>
    <row r="19549" customFormat="1" ht="17.25" customHeight="1"/>
    <row r="19550" customFormat="1" ht="17.25" customHeight="1"/>
    <row r="19551" customFormat="1" ht="17.25" customHeight="1"/>
    <row r="19552" customFormat="1" ht="17.25" customHeight="1"/>
    <row r="19553" customFormat="1" ht="17.25" customHeight="1"/>
    <row r="19554" customFormat="1" ht="17.25" customHeight="1"/>
    <row r="19555" customFormat="1" ht="17.25" customHeight="1"/>
    <row r="19556" customFormat="1" ht="17.25" customHeight="1"/>
    <row r="19557" customFormat="1" ht="17.25" customHeight="1"/>
    <row r="19558" customFormat="1" ht="17.25" customHeight="1"/>
    <row r="19559" customFormat="1" ht="17.25" customHeight="1"/>
    <row r="19560" customFormat="1" ht="17.25" customHeight="1"/>
    <row r="19561" customFormat="1" ht="17.25" customHeight="1"/>
    <row r="19562" customFormat="1" ht="17.25" customHeight="1"/>
    <row r="19563" customFormat="1" ht="17.25" customHeight="1"/>
    <row r="19564" customFormat="1" ht="17.25" customHeight="1"/>
    <row r="19565" customFormat="1" ht="17.25" customHeight="1"/>
    <row r="19566" customFormat="1" ht="17.25" customHeight="1"/>
    <row r="19567" customFormat="1" ht="17.25" customHeight="1"/>
    <row r="19568" customFormat="1" ht="17.25" customHeight="1"/>
    <row r="19569" customFormat="1" ht="17.25" customHeight="1"/>
    <row r="19570" customFormat="1" ht="17.25" customHeight="1"/>
    <row r="19571" customFormat="1" ht="17.25" customHeight="1"/>
    <row r="19572" customFormat="1" ht="17.25" customHeight="1"/>
    <row r="19573" customFormat="1" ht="17.25" customHeight="1"/>
    <row r="19574" customFormat="1" ht="17.25" customHeight="1"/>
    <row r="19575" customFormat="1" ht="17.25" customHeight="1"/>
    <row r="19576" customFormat="1" ht="17.25" customHeight="1"/>
    <row r="19577" customFormat="1" ht="17.25" customHeight="1"/>
    <row r="19578" customFormat="1" ht="17.25" customHeight="1"/>
    <row r="19579" customFormat="1" ht="17.25" customHeight="1"/>
    <row r="19580" customFormat="1" ht="17.25" customHeight="1"/>
    <row r="19581" customFormat="1" ht="17.25" customHeight="1"/>
    <row r="19582" customFormat="1" ht="17.25" customHeight="1"/>
    <row r="19583" customFormat="1" ht="17.25" customHeight="1"/>
    <row r="19584" customFormat="1" ht="17.25" customHeight="1"/>
    <row r="19585" customFormat="1" ht="17.25" customHeight="1"/>
    <row r="19586" customFormat="1" ht="17.25" customHeight="1"/>
    <row r="19587" customFormat="1" ht="17.25" customHeight="1"/>
    <row r="19588" customFormat="1" ht="17.25" customHeight="1"/>
    <row r="19589" customFormat="1" ht="17.25" customHeight="1"/>
    <row r="19590" customFormat="1" ht="17.25" customHeight="1"/>
    <row r="19591" customFormat="1" ht="17.25" customHeight="1"/>
    <row r="19592" customFormat="1" ht="17.25" customHeight="1"/>
    <row r="19593" customFormat="1" ht="17.25" customHeight="1"/>
    <row r="19594" customFormat="1" ht="17.25" customHeight="1"/>
    <row r="19595" customFormat="1" ht="17.25" customHeight="1"/>
    <row r="19596" customFormat="1" ht="17.25" customHeight="1"/>
    <row r="19597" customFormat="1" ht="17.25" customHeight="1"/>
    <row r="19598" customFormat="1" ht="17.25" customHeight="1"/>
    <row r="19599" customFormat="1" ht="17.25" customHeight="1"/>
    <row r="19600" customFormat="1" ht="17.25" customHeight="1"/>
    <row r="19601" customFormat="1" ht="17.25" customHeight="1"/>
    <row r="19602" customFormat="1" ht="17.25" customHeight="1"/>
    <row r="19603" customFormat="1" ht="17.25" customHeight="1"/>
    <row r="19604" customFormat="1" ht="17.25" customHeight="1"/>
    <row r="19605" customFormat="1" ht="17.25" customHeight="1"/>
    <row r="19606" customFormat="1" ht="17.25" customHeight="1"/>
    <row r="19607" customFormat="1" ht="17.25" customHeight="1"/>
    <row r="19608" customFormat="1" ht="17.25" customHeight="1"/>
    <row r="19609" customFormat="1" ht="17.25" customHeight="1"/>
    <row r="19610" customFormat="1" ht="17.25" customHeight="1"/>
    <row r="19611" customFormat="1" ht="17.25" customHeight="1"/>
    <row r="19612" customFormat="1" ht="17.25" customHeight="1"/>
    <row r="19613" customFormat="1" ht="17.25" customHeight="1"/>
    <row r="19614" customFormat="1" ht="17.25" customHeight="1"/>
    <row r="19615" customFormat="1" ht="17.25" customHeight="1"/>
    <row r="19616" customFormat="1" ht="17.25" customHeight="1"/>
    <row r="19617" customFormat="1" ht="17.25" customHeight="1"/>
    <row r="19618" customFormat="1" ht="17.25" customHeight="1"/>
    <row r="19619" customFormat="1" ht="17.25" customHeight="1"/>
    <row r="19620" customFormat="1" ht="17.25" customHeight="1"/>
    <row r="19621" customFormat="1" ht="17.25" customHeight="1"/>
    <row r="19622" customFormat="1" ht="17.25" customHeight="1"/>
    <row r="19623" customFormat="1" ht="17.25" customHeight="1"/>
    <row r="19624" customFormat="1" ht="17.25" customHeight="1"/>
    <row r="19625" customFormat="1" ht="17.25" customHeight="1"/>
    <row r="19626" customFormat="1" ht="17.25" customHeight="1"/>
    <row r="19627" customFormat="1" ht="17.25" customHeight="1"/>
    <row r="19628" customFormat="1" ht="17.25" customHeight="1"/>
    <row r="19629" customFormat="1" ht="17.25" customHeight="1"/>
    <row r="19630" customFormat="1" ht="17.25" customHeight="1"/>
    <row r="19631" customFormat="1" ht="17.25" customHeight="1"/>
    <row r="19632" customFormat="1" ht="17.25" customHeight="1"/>
    <row r="19633" customFormat="1" ht="17.25" customHeight="1"/>
    <row r="19634" customFormat="1" ht="17.25" customHeight="1"/>
    <row r="19635" customFormat="1" ht="17.25" customHeight="1"/>
    <row r="19636" customFormat="1" ht="17.25" customHeight="1"/>
    <row r="19637" customFormat="1" ht="17.25" customHeight="1"/>
    <row r="19638" customFormat="1" ht="17.25" customHeight="1"/>
    <row r="19639" customFormat="1" ht="17.25" customHeight="1"/>
    <row r="19640" customFormat="1" ht="17.25" customHeight="1"/>
    <row r="19641" customFormat="1" ht="17.25" customHeight="1"/>
    <row r="19642" customFormat="1" ht="17.25" customHeight="1"/>
    <row r="19643" customFormat="1" ht="17.25" customHeight="1"/>
    <row r="19644" customFormat="1" ht="17.25" customHeight="1"/>
    <row r="19645" customFormat="1" ht="17.25" customHeight="1"/>
    <row r="19646" customFormat="1" ht="17.25" customHeight="1"/>
    <row r="19647" customFormat="1" ht="17.25" customHeight="1"/>
    <row r="19648" customFormat="1" ht="17.25" customHeight="1"/>
    <row r="19649" customFormat="1" ht="17.25" customHeight="1"/>
    <row r="19650" customFormat="1" ht="17.25" customHeight="1"/>
    <row r="19651" customFormat="1" ht="17.25" customHeight="1"/>
    <row r="19652" customFormat="1" ht="17.25" customHeight="1"/>
    <row r="19653" customFormat="1" ht="17.25" customHeight="1"/>
    <row r="19654" customFormat="1" ht="17.25" customHeight="1"/>
    <row r="19655" customFormat="1" ht="17.25" customHeight="1"/>
    <row r="19656" customFormat="1" ht="17.25" customHeight="1"/>
    <row r="19657" customFormat="1" ht="17.25" customHeight="1"/>
    <row r="19658" customFormat="1" ht="17.25" customHeight="1"/>
    <row r="19659" customFormat="1" ht="17.25" customHeight="1"/>
    <row r="19660" customFormat="1" ht="17.25" customHeight="1"/>
    <row r="19661" customFormat="1" ht="17.25" customHeight="1"/>
    <row r="19662" customFormat="1" ht="17.25" customHeight="1"/>
    <row r="19663" customFormat="1" ht="17.25" customHeight="1"/>
    <row r="19664" customFormat="1" ht="17.25" customHeight="1"/>
    <row r="19665" customFormat="1" ht="17.25" customHeight="1"/>
    <row r="19666" customFormat="1" ht="17.25" customHeight="1"/>
    <row r="19667" customFormat="1" ht="17.25" customHeight="1"/>
    <row r="19668" customFormat="1" ht="17.25" customHeight="1"/>
    <row r="19669" customFormat="1" ht="17.25" customHeight="1"/>
    <row r="19670" customFormat="1" ht="17.25" customHeight="1"/>
    <row r="19671" customFormat="1" ht="17.25" customHeight="1"/>
    <row r="19672" customFormat="1" ht="17.25" customHeight="1"/>
    <row r="19673" customFormat="1" ht="17.25" customHeight="1"/>
    <row r="19674" customFormat="1" ht="17.25" customHeight="1"/>
    <row r="19675" customFormat="1" ht="17.25" customHeight="1"/>
    <row r="19676" customFormat="1" ht="17.25" customHeight="1"/>
    <row r="19677" customFormat="1" ht="17.25" customHeight="1"/>
    <row r="19678" customFormat="1" ht="17.25" customHeight="1"/>
    <row r="19679" customFormat="1" ht="17.25" customHeight="1"/>
    <row r="19680" customFormat="1" ht="17.25" customHeight="1"/>
    <row r="19681" customFormat="1" ht="17.25" customHeight="1"/>
    <row r="19682" customFormat="1" ht="17.25" customHeight="1"/>
    <row r="19683" customFormat="1" ht="17.25" customHeight="1"/>
    <row r="19684" customFormat="1" ht="17.25" customHeight="1"/>
    <row r="19685" customFormat="1" ht="17.25" customHeight="1"/>
    <row r="19686" customFormat="1" ht="17.25" customHeight="1"/>
    <row r="19687" customFormat="1" ht="17.25" customHeight="1"/>
    <row r="19688" customFormat="1" ht="17.25" customHeight="1"/>
    <row r="19689" customFormat="1" ht="17.25" customHeight="1"/>
    <row r="19690" customFormat="1" ht="17.25" customHeight="1"/>
    <row r="19691" customFormat="1" ht="17.25" customHeight="1"/>
    <row r="19692" customFormat="1" ht="17.25" customHeight="1"/>
    <row r="19693" customFormat="1" ht="17.25" customHeight="1"/>
    <row r="19694" customFormat="1" ht="17.25" customHeight="1"/>
    <row r="19695" customFormat="1" ht="17.25" customHeight="1"/>
    <row r="19696" customFormat="1" ht="17.25" customHeight="1"/>
    <row r="19697" customFormat="1" ht="17.25" customHeight="1"/>
    <row r="19698" customFormat="1" ht="17.25" customHeight="1"/>
    <row r="19699" customFormat="1" ht="17.25" customHeight="1"/>
    <row r="19700" customFormat="1" ht="17.25" customHeight="1"/>
    <row r="19701" customFormat="1" ht="17.25" customHeight="1"/>
    <row r="19702" customFormat="1" ht="17.25" customHeight="1"/>
    <row r="19703" customFormat="1" ht="17.25" customHeight="1"/>
    <row r="19704" customFormat="1" ht="17.25" customHeight="1"/>
    <row r="19705" customFormat="1" ht="17.25" customHeight="1"/>
    <row r="19706" customFormat="1" ht="17.25" customHeight="1"/>
    <row r="19707" customFormat="1" ht="17.25" customHeight="1"/>
    <row r="19708" customFormat="1" ht="17.25" customHeight="1"/>
    <row r="19709" customFormat="1" ht="17.25" customHeight="1"/>
    <row r="19710" customFormat="1" ht="17.25" customHeight="1"/>
    <row r="19711" customFormat="1" ht="17.25" customHeight="1"/>
    <row r="19712" customFormat="1" ht="17.25" customHeight="1"/>
    <row r="19713" customFormat="1" ht="17.25" customHeight="1"/>
    <row r="19714" customFormat="1" ht="17.25" customHeight="1"/>
    <row r="19715" customFormat="1" ht="17.25" customHeight="1"/>
    <row r="19716" customFormat="1" ht="17.25" customHeight="1"/>
    <row r="19717" customFormat="1" ht="17.25" customHeight="1"/>
    <row r="19718" customFormat="1" ht="17.25" customHeight="1"/>
    <row r="19719" customFormat="1" ht="17.25" customHeight="1"/>
    <row r="19720" customFormat="1" ht="17.25" customHeight="1"/>
    <row r="19721" customFormat="1" ht="17.25" customHeight="1"/>
    <row r="19722" customFormat="1" ht="17.25" customHeight="1"/>
    <row r="19723" customFormat="1" ht="17.25" customHeight="1"/>
    <row r="19724" customFormat="1" ht="17.25" customHeight="1"/>
    <row r="19725" customFormat="1" ht="17.25" customHeight="1"/>
    <row r="19726" customFormat="1" ht="17.25" customHeight="1"/>
    <row r="19727" customFormat="1" ht="17.25" customHeight="1"/>
    <row r="19728" customFormat="1" ht="17.25" customHeight="1"/>
    <row r="19729" customFormat="1" ht="17.25" customHeight="1"/>
    <row r="19730" customFormat="1" ht="17.25" customHeight="1"/>
    <row r="19731" customFormat="1" ht="17.25" customHeight="1"/>
    <row r="19732" customFormat="1" ht="17.25" customHeight="1"/>
    <row r="19733" customFormat="1" ht="17.25" customHeight="1"/>
    <row r="19734" customFormat="1" ht="17.25" customHeight="1"/>
    <row r="19735" customFormat="1" ht="17.25" customHeight="1"/>
    <row r="19736" customFormat="1" ht="17.25" customHeight="1"/>
    <row r="19737" customFormat="1" ht="17.25" customHeight="1"/>
    <row r="19738" customFormat="1" ht="17.25" customHeight="1"/>
    <row r="19739" customFormat="1" ht="17.25" customHeight="1"/>
    <row r="19740" customFormat="1" ht="17.25" customHeight="1"/>
    <row r="19741" customFormat="1" ht="17.25" customHeight="1"/>
    <row r="19742" customFormat="1" ht="17.25" customHeight="1"/>
    <row r="19743" customFormat="1" ht="17.25" customHeight="1"/>
    <row r="19744" customFormat="1" ht="17.25" customHeight="1"/>
    <row r="19745" customFormat="1" ht="17.25" customHeight="1"/>
    <row r="19746" customFormat="1" ht="17.25" customHeight="1"/>
    <row r="19747" customFormat="1" ht="17.25" customHeight="1"/>
    <row r="19748" customFormat="1" ht="17.25" customHeight="1"/>
    <row r="19749" customFormat="1" ht="17.25" customHeight="1"/>
    <row r="19750" customFormat="1" ht="17.25" customHeight="1"/>
    <row r="19751" customFormat="1" ht="17.25" customHeight="1"/>
    <row r="19752" customFormat="1" ht="17.25" customHeight="1"/>
    <row r="19753" customFormat="1" ht="17.25" customHeight="1"/>
    <row r="19754" customFormat="1" ht="17.25" customHeight="1"/>
    <row r="19755" customFormat="1" ht="17.25" customHeight="1"/>
    <row r="19756" customFormat="1" ht="17.25" customHeight="1"/>
    <row r="19757" customFormat="1" ht="17.25" customHeight="1"/>
    <row r="19758" customFormat="1" ht="17.25" customHeight="1"/>
    <row r="19759" customFormat="1" ht="17.25" customHeight="1"/>
    <row r="19760" customFormat="1" ht="17.25" customHeight="1"/>
    <row r="19761" customFormat="1" ht="17.25" customHeight="1"/>
    <row r="19762" customFormat="1" ht="17.25" customHeight="1"/>
    <row r="19763" customFormat="1" ht="17.25" customHeight="1"/>
    <row r="19764" customFormat="1" ht="17.25" customHeight="1"/>
    <row r="19765" customFormat="1" ht="17.25" customHeight="1"/>
    <row r="19766" customFormat="1" ht="17.25" customHeight="1"/>
    <row r="19767" customFormat="1" ht="17.25" customHeight="1"/>
    <row r="19768" customFormat="1" ht="17.25" customHeight="1"/>
    <row r="19769" customFormat="1" ht="17.25" customHeight="1"/>
    <row r="19770" customFormat="1" ht="17.25" customHeight="1"/>
    <row r="19771" customFormat="1" ht="17.25" customHeight="1"/>
    <row r="19772" customFormat="1" ht="17.25" customHeight="1"/>
    <row r="19773" customFormat="1" ht="17.25" customHeight="1"/>
    <row r="19774" customFormat="1" ht="17.25" customHeight="1"/>
    <row r="19775" customFormat="1" ht="17.25" customHeight="1"/>
    <row r="19776" customFormat="1" ht="17.25" customHeight="1"/>
    <row r="19777" customFormat="1" ht="17.25" customHeight="1"/>
    <row r="19778" customFormat="1" ht="17.25" customHeight="1"/>
    <row r="19779" customFormat="1" ht="17.25" customHeight="1"/>
    <row r="19780" customFormat="1" ht="17.25" customHeight="1"/>
    <row r="19781" customFormat="1" ht="17.25" customHeight="1"/>
    <row r="19782" customFormat="1" ht="17.25" customHeight="1"/>
    <row r="19783" customFormat="1" ht="17.25" customHeight="1"/>
    <row r="19784" customFormat="1" ht="17.25" customHeight="1"/>
    <row r="19785" customFormat="1" ht="17.25" customHeight="1"/>
    <row r="19786" customFormat="1" ht="17.25" customHeight="1"/>
    <row r="19787" customFormat="1" ht="17.25" customHeight="1"/>
    <row r="19788" customFormat="1" ht="17.25" customHeight="1"/>
    <row r="19789" customFormat="1" ht="17.25" customHeight="1"/>
    <row r="19790" customFormat="1" ht="17.25" customHeight="1"/>
    <row r="19791" customFormat="1" ht="17.25" customHeight="1"/>
    <row r="19792" customFormat="1" ht="17.25" customHeight="1"/>
    <row r="19793" customFormat="1" ht="17.25" customHeight="1"/>
    <row r="19794" customFormat="1" ht="17.25" customHeight="1"/>
    <row r="19795" customFormat="1" ht="17.25" customHeight="1"/>
    <row r="19796" customFormat="1" ht="17.25" customHeight="1"/>
    <row r="19797" customFormat="1" ht="17.25" customHeight="1"/>
    <row r="19798" customFormat="1" ht="17.25" customHeight="1"/>
    <row r="19799" customFormat="1" ht="17.25" customHeight="1"/>
    <row r="19800" customFormat="1" ht="17.25" customHeight="1"/>
    <row r="19801" customFormat="1" ht="17.25" customHeight="1"/>
    <row r="19802" customFormat="1" ht="17.25" customHeight="1"/>
    <row r="19803" customFormat="1" ht="17.25" customHeight="1"/>
    <row r="19804" customFormat="1" ht="17.25" customHeight="1"/>
    <row r="19805" customFormat="1" ht="17.25" customHeight="1"/>
    <row r="19806" customFormat="1" ht="17.25" customHeight="1"/>
    <row r="19807" customFormat="1" ht="17.25" customHeight="1"/>
    <row r="19808" customFormat="1" ht="17.25" customHeight="1"/>
    <row r="19809" customFormat="1" ht="17.25" customHeight="1"/>
    <row r="19810" customFormat="1" ht="17.25" customHeight="1"/>
    <row r="19811" customFormat="1" ht="17.25" customHeight="1"/>
    <row r="19812" customFormat="1" ht="17.25" customHeight="1"/>
    <row r="19813" customFormat="1" ht="17.25" customHeight="1"/>
    <row r="19814" customFormat="1" ht="17.25" customHeight="1"/>
    <row r="19815" customFormat="1" ht="17.25" customHeight="1"/>
    <row r="19816" customFormat="1" ht="17.25" customHeight="1"/>
    <row r="19817" customFormat="1" ht="17.25" customHeight="1"/>
    <row r="19818" customFormat="1" ht="17.25" customHeight="1"/>
    <row r="19819" customFormat="1" ht="17.25" customHeight="1"/>
    <row r="19820" customFormat="1" ht="17.25" customHeight="1"/>
    <row r="19821" customFormat="1" ht="17.25" customHeight="1"/>
    <row r="19822" customFormat="1" ht="17.25" customHeight="1"/>
    <row r="19823" customFormat="1" ht="17.25" customHeight="1"/>
    <row r="19824" customFormat="1" ht="17.25" customHeight="1"/>
    <row r="19825" customFormat="1" ht="17.25" customHeight="1"/>
    <row r="19826" customFormat="1" ht="17.25" customHeight="1"/>
    <row r="19827" customFormat="1" ht="17.25" customHeight="1"/>
    <row r="19828" customFormat="1" ht="17.25" customHeight="1"/>
    <row r="19829" customFormat="1" ht="17.25" customHeight="1"/>
    <row r="19830" customFormat="1" ht="17.25" customHeight="1"/>
    <row r="19831" customFormat="1" ht="17.25" customHeight="1"/>
    <row r="19832" customFormat="1" ht="17.25" customHeight="1"/>
    <row r="19833" customFormat="1" ht="17.25" customHeight="1"/>
    <row r="19834" customFormat="1" ht="17.25" customHeight="1"/>
    <row r="19835" customFormat="1" ht="17.25" customHeight="1"/>
    <row r="19836" customFormat="1" ht="17.25" customHeight="1"/>
    <row r="19837" customFormat="1" ht="17.25" customHeight="1"/>
    <row r="19838" customFormat="1" ht="17.25" customHeight="1"/>
    <row r="19839" customFormat="1" ht="17.25" customHeight="1"/>
    <row r="19840" customFormat="1" ht="17.25" customHeight="1"/>
    <row r="19841" customFormat="1" ht="17.25" customHeight="1"/>
    <row r="19842" customFormat="1" ht="17.25" customHeight="1"/>
    <row r="19843" customFormat="1" ht="17.25" customHeight="1"/>
    <row r="19844" customFormat="1" ht="17.25" customHeight="1"/>
    <row r="19845" customFormat="1" ht="17.25" customHeight="1"/>
    <row r="19846" customFormat="1" ht="17.25" customHeight="1"/>
    <row r="19847" customFormat="1" ht="17.25" customHeight="1"/>
    <row r="19848" customFormat="1" ht="17.25" customHeight="1"/>
    <row r="19849" customFormat="1" ht="17.25" customHeight="1"/>
    <row r="19850" customFormat="1" ht="17.25" customHeight="1"/>
    <row r="19851" customFormat="1" ht="17.25" customHeight="1"/>
    <row r="19852" customFormat="1" ht="17.25" customHeight="1"/>
    <row r="19853" customFormat="1" ht="17.25" customHeight="1"/>
    <row r="19854" customFormat="1" ht="17.25" customHeight="1"/>
    <row r="19855" customFormat="1" ht="17.25" customHeight="1"/>
    <row r="19856" customFormat="1" ht="17.25" customHeight="1"/>
    <row r="19857" customFormat="1" ht="17.25" customHeight="1"/>
    <row r="19858" customFormat="1" ht="17.25" customHeight="1"/>
    <row r="19859" customFormat="1" ht="17.25" customHeight="1"/>
    <row r="19860" customFormat="1" ht="17.25" customHeight="1"/>
    <row r="19861" customFormat="1" ht="17.25" customHeight="1"/>
    <row r="19862" customFormat="1" ht="17.25" customHeight="1"/>
    <row r="19863" customFormat="1" ht="17.25" customHeight="1"/>
    <row r="19864" customFormat="1" ht="17.25" customHeight="1"/>
    <row r="19865" customFormat="1" ht="17.25" customHeight="1"/>
    <row r="19866" customFormat="1" ht="17.25" customHeight="1"/>
    <row r="19867" customFormat="1" ht="17.25" customHeight="1"/>
    <row r="19868" customFormat="1" ht="17.25" customHeight="1"/>
    <row r="19869" customFormat="1" ht="17.25" customHeight="1"/>
    <row r="19870" customFormat="1" ht="17.25" customHeight="1"/>
    <row r="19871" customFormat="1" ht="17.25" customHeight="1"/>
    <row r="19872" customFormat="1" ht="17.25" customHeight="1"/>
    <row r="19873" customFormat="1" ht="17.25" customHeight="1"/>
    <row r="19874" customFormat="1" ht="17.25" customHeight="1"/>
    <row r="19875" customFormat="1" ht="17.25" customHeight="1"/>
    <row r="19876" customFormat="1" ht="17.25" customHeight="1"/>
    <row r="19877" customFormat="1" ht="17.25" customHeight="1"/>
    <row r="19878" customFormat="1" ht="17.25" customHeight="1"/>
    <row r="19879" customFormat="1" ht="17.25" customHeight="1"/>
    <row r="19880" customFormat="1" ht="17.25" customHeight="1"/>
    <row r="19881" customFormat="1" ht="17.25" customHeight="1"/>
    <row r="19882" customFormat="1" ht="17.25" customHeight="1"/>
    <row r="19883" customFormat="1" ht="17.25" customHeight="1"/>
    <row r="19884" customFormat="1" ht="17.25" customHeight="1"/>
    <row r="19885" customFormat="1" ht="17.25" customHeight="1"/>
    <row r="19886" customFormat="1" ht="17.25" customHeight="1"/>
    <row r="19887" customFormat="1" ht="17.25" customHeight="1"/>
    <row r="19888" customFormat="1" ht="17.25" customHeight="1"/>
    <row r="19889" customFormat="1" ht="17.25" customHeight="1"/>
    <row r="19890" customFormat="1" ht="17.25" customHeight="1"/>
    <row r="19891" customFormat="1" ht="17.25" customHeight="1"/>
    <row r="19892" customFormat="1" ht="17.25" customHeight="1"/>
    <row r="19893" customFormat="1" ht="17.25" customHeight="1"/>
    <row r="19894" customFormat="1" ht="17.25" customHeight="1"/>
    <row r="19895" customFormat="1" ht="17.25" customHeight="1"/>
    <row r="19896" customFormat="1" ht="17.25" customHeight="1"/>
    <row r="19897" customFormat="1" ht="17.25" customHeight="1"/>
    <row r="19898" customFormat="1" ht="17.25" customHeight="1"/>
    <row r="19899" customFormat="1" ht="17.25" customHeight="1"/>
    <row r="19900" customFormat="1" ht="17.25" customHeight="1"/>
    <row r="19901" customFormat="1" ht="17.25" customHeight="1"/>
    <row r="19902" customFormat="1" ht="17.25" customHeight="1"/>
    <row r="19903" customFormat="1" ht="17.25" customHeight="1"/>
    <row r="19904" customFormat="1" ht="17.25" customHeight="1"/>
    <row r="19905" customFormat="1" ht="17.25" customHeight="1"/>
    <row r="19906" customFormat="1" ht="17.25" customHeight="1"/>
    <row r="19907" customFormat="1" ht="17.25" customHeight="1"/>
    <row r="19908" customFormat="1" ht="17.25" customHeight="1"/>
    <row r="19909" customFormat="1" ht="17.25" customHeight="1"/>
    <row r="19910" customFormat="1" ht="17.25" customHeight="1"/>
    <row r="19911" customFormat="1" ht="17.25" customHeight="1"/>
    <row r="19912" customFormat="1" ht="17.25" customHeight="1"/>
    <row r="19913" customFormat="1" ht="17.25" customHeight="1"/>
    <row r="19914" customFormat="1" ht="17.25" customHeight="1"/>
    <row r="19915" customFormat="1" ht="17.25" customHeight="1"/>
    <row r="19916" customFormat="1" ht="17.25" customHeight="1"/>
    <row r="19917" customFormat="1" ht="17.25" customHeight="1"/>
    <row r="19918" customFormat="1" ht="17.25" customHeight="1"/>
    <row r="19919" customFormat="1" ht="17.25" customHeight="1"/>
    <row r="19920" customFormat="1" ht="17.25" customHeight="1"/>
    <row r="19921" customFormat="1" ht="17.25" customHeight="1"/>
    <row r="19922" customFormat="1" ht="17.25" customHeight="1"/>
    <row r="19923" customFormat="1" ht="17.25" customHeight="1"/>
    <row r="19924" customFormat="1" ht="17.25" customHeight="1"/>
    <row r="19925" customFormat="1" ht="17.25" customHeight="1"/>
    <row r="19926" customFormat="1" ht="17.25" customHeight="1"/>
    <row r="19927" customFormat="1" ht="17.25" customHeight="1"/>
    <row r="19928" customFormat="1" ht="17.25" customHeight="1"/>
    <row r="19929" customFormat="1" ht="17.25" customHeight="1"/>
    <row r="19930" customFormat="1" ht="17.25" customHeight="1"/>
    <row r="19931" customFormat="1" ht="17.25" customHeight="1"/>
    <row r="19932" customFormat="1" ht="17.25" customHeight="1"/>
    <row r="19933" customFormat="1" ht="17.25" customHeight="1"/>
    <row r="19934" customFormat="1" ht="17.25" customHeight="1"/>
    <row r="19935" customFormat="1" ht="17.25" customHeight="1"/>
    <row r="19936" customFormat="1" ht="17.25" customHeight="1"/>
    <row r="19937" customFormat="1" ht="17.25" customHeight="1"/>
    <row r="19938" customFormat="1" ht="17.25" customHeight="1"/>
    <row r="19939" customFormat="1" ht="17.25" customHeight="1"/>
    <row r="19940" customFormat="1" ht="17.25" customHeight="1"/>
    <row r="19941" customFormat="1" ht="17.25" customHeight="1"/>
    <row r="19942" customFormat="1" ht="17.25" customHeight="1"/>
    <row r="19943" customFormat="1" ht="17.25" customHeight="1"/>
    <row r="19944" customFormat="1" ht="17.25" customHeight="1"/>
    <row r="19945" customFormat="1" ht="17.25" customHeight="1"/>
    <row r="19946" customFormat="1" ht="17.25" customHeight="1"/>
    <row r="19947" customFormat="1" ht="17.25" customHeight="1"/>
    <row r="19948" customFormat="1" ht="17.25" customHeight="1"/>
    <row r="19949" customFormat="1" ht="17.25" customHeight="1"/>
    <row r="19950" customFormat="1" ht="17.25" customHeight="1"/>
    <row r="19951" customFormat="1" ht="17.25" customHeight="1"/>
    <row r="19952" customFormat="1" ht="17.25" customHeight="1"/>
    <row r="19953" customFormat="1" ht="17.25" customHeight="1"/>
    <row r="19954" customFormat="1" ht="17.25" customHeight="1"/>
    <row r="19955" customFormat="1" ht="17.25" customHeight="1"/>
    <row r="19956" customFormat="1" ht="17.25" customHeight="1"/>
    <row r="19957" customFormat="1" ht="17.25" customHeight="1"/>
    <row r="19958" customFormat="1" ht="17.25" customHeight="1"/>
    <row r="19959" customFormat="1" ht="17.25" customHeight="1"/>
    <row r="19960" customFormat="1" ht="17.25" customHeight="1"/>
    <row r="19961" customFormat="1" ht="17.25" customHeight="1"/>
    <row r="19962" customFormat="1" ht="17.25" customHeight="1"/>
    <row r="19963" customFormat="1" ht="17.25" customHeight="1"/>
    <row r="19964" customFormat="1" ht="17.25" customHeight="1"/>
    <row r="19965" customFormat="1" ht="17.25" customHeight="1"/>
    <row r="19966" customFormat="1" ht="17.25" customHeight="1"/>
    <row r="19967" customFormat="1" ht="17.25" customHeight="1"/>
    <row r="19968" customFormat="1" ht="17.25" customHeight="1"/>
    <row r="19969" customFormat="1" ht="17.25" customHeight="1"/>
    <row r="19970" customFormat="1" ht="17.25" customHeight="1"/>
    <row r="19971" customFormat="1" ht="17.25" customHeight="1"/>
    <row r="19972" customFormat="1" ht="17.25" customHeight="1"/>
    <row r="19973" customFormat="1" ht="17.25" customHeight="1"/>
    <row r="19974" customFormat="1" ht="17.25" customHeight="1"/>
    <row r="19975" customFormat="1" ht="17.25" customHeight="1"/>
    <row r="19976" customFormat="1" ht="17.25" customHeight="1"/>
    <row r="19977" customFormat="1" ht="17.25" customHeight="1"/>
    <row r="19978" customFormat="1" ht="17.25" customHeight="1"/>
    <row r="19979" customFormat="1" ht="17.25" customHeight="1"/>
    <row r="19980" customFormat="1" ht="17.25" customHeight="1"/>
    <row r="19981" customFormat="1" ht="17.25" customHeight="1"/>
    <row r="19982" customFormat="1" ht="17.25" customHeight="1"/>
    <row r="19983" customFormat="1" ht="17.25" customHeight="1"/>
    <row r="19984" customFormat="1" ht="17.25" customHeight="1"/>
    <row r="19985" customFormat="1" ht="17.25" customHeight="1"/>
    <row r="19986" customFormat="1" ht="17.25" customHeight="1"/>
    <row r="19987" customFormat="1" ht="17.25" customHeight="1"/>
    <row r="19988" customFormat="1" ht="17.25" customHeight="1"/>
    <row r="19989" customFormat="1" ht="17.25" customHeight="1"/>
    <row r="19990" customFormat="1" ht="17.25" customHeight="1"/>
    <row r="19991" customFormat="1" ht="17.25" customHeight="1"/>
    <row r="19992" customFormat="1" ht="17.25" customHeight="1"/>
    <row r="19993" customFormat="1" ht="17.25" customHeight="1"/>
    <row r="19994" customFormat="1" ht="17.25" customHeight="1"/>
    <row r="19995" customFormat="1" ht="17.25" customHeight="1"/>
    <row r="19996" customFormat="1" ht="17.25" customHeight="1"/>
    <row r="19997" customFormat="1" ht="17.25" customHeight="1"/>
    <row r="19998" customFormat="1" ht="17.25" customHeight="1"/>
    <row r="19999" customFormat="1" ht="17.25" customHeight="1"/>
    <row r="20000" customFormat="1" ht="17.25" customHeight="1"/>
    <row r="20001" customFormat="1" ht="17.25" customHeight="1"/>
    <row r="20002" customFormat="1" ht="17.25" customHeight="1"/>
    <row r="20003" customFormat="1" ht="17.25" customHeight="1"/>
    <row r="20004" customFormat="1" ht="17.25" customHeight="1"/>
    <row r="20005" customFormat="1" ht="17.25" customHeight="1"/>
    <row r="20006" customFormat="1" ht="17.25" customHeight="1"/>
    <row r="20007" customFormat="1" ht="17.25" customHeight="1"/>
    <row r="20008" customFormat="1" ht="17.25" customHeight="1"/>
    <row r="20009" customFormat="1" ht="17.25" customHeight="1"/>
    <row r="20010" customFormat="1" ht="17.25" customHeight="1"/>
    <row r="20011" customFormat="1" ht="17.25" customHeight="1"/>
    <row r="20012" customFormat="1" ht="17.25" customHeight="1"/>
    <row r="20013" customFormat="1" ht="17.25" customHeight="1"/>
    <row r="20014" customFormat="1" ht="17.25" customHeight="1"/>
    <row r="20015" customFormat="1" ht="17.25" customHeight="1"/>
    <row r="20016" customFormat="1" ht="17.25" customHeight="1"/>
    <row r="20017" customFormat="1" ht="17.25" customHeight="1"/>
    <row r="20018" customFormat="1" ht="17.25" customHeight="1"/>
    <row r="20019" customFormat="1" ht="17.25" customHeight="1"/>
    <row r="20020" customFormat="1" ht="17.25" customHeight="1"/>
    <row r="20021" customFormat="1" ht="17.25" customHeight="1"/>
    <row r="20022" customFormat="1" ht="17.25" customHeight="1"/>
    <row r="20023" customFormat="1" ht="17.25" customHeight="1"/>
    <row r="20024" customFormat="1" ht="17.25" customHeight="1"/>
    <row r="20025" customFormat="1" ht="17.25" customHeight="1"/>
    <row r="20026" customFormat="1" ht="17.25" customHeight="1"/>
    <row r="20027" customFormat="1" ht="17.25" customHeight="1"/>
    <row r="20028" customFormat="1" ht="17.25" customHeight="1"/>
    <row r="20029" customFormat="1" ht="17.25" customHeight="1"/>
    <row r="20030" customFormat="1" ht="17.25" customHeight="1"/>
    <row r="20031" customFormat="1" ht="17.25" customHeight="1"/>
    <row r="20032" customFormat="1" ht="17.25" customHeight="1"/>
    <row r="20033" customFormat="1" ht="17.25" customHeight="1"/>
    <row r="20034" customFormat="1" ht="17.25" customHeight="1"/>
    <row r="20035" customFormat="1" ht="17.25" customHeight="1"/>
    <row r="20036" customFormat="1" ht="17.25" customHeight="1"/>
    <row r="20037" customFormat="1" ht="17.25" customHeight="1"/>
    <row r="20038" customFormat="1" ht="17.25" customHeight="1"/>
    <row r="20039" customFormat="1" ht="17.25" customHeight="1"/>
    <row r="20040" customFormat="1" ht="17.25" customHeight="1"/>
    <row r="20041" customFormat="1" ht="17.25" customHeight="1"/>
    <row r="20042" customFormat="1" ht="17.25" customHeight="1"/>
    <row r="20043" customFormat="1" ht="17.25" customHeight="1"/>
    <row r="20044" customFormat="1" ht="17.25" customHeight="1"/>
    <row r="20045" customFormat="1" ht="17.25" customHeight="1"/>
    <row r="20046" customFormat="1" ht="17.25" customHeight="1"/>
    <row r="20047" customFormat="1" ht="17.25" customHeight="1"/>
    <row r="20048" customFormat="1" ht="17.25" customHeight="1"/>
    <row r="20049" customFormat="1" ht="17.25" customHeight="1"/>
    <row r="20050" customFormat="1" ht="17.25" customHeight="1"/>
    <row r="20051" customFormat="1" ht="17.25" customHeight="1"/>
    <row r="20052" customFormat="1" ht="17.25" customHeight="1"/>
    <row r="20053" customFormat="1" ht="17.25" customHeight="1"/>
    <row r="20054" customFormat="1" ht="17.25" customHeight="1"/>
    <row r="20055" customFormat="1" ht="17.25" customHeight="1"/>
    <row r="20056" customFormat="1" ht="17.25" customHeight="1"/>
    <row r="20057" customFormat="1" ht="17.25" customHeight="1"/>
    <row r="20058" customFormat="1" ht="17.25" customHeight="1"/>
    <row r="20059" customFormat="1" ht="17.25" customHeight="1"/>
    <row r="20060" customFormat="1" ht="17.25" customHeight="1"/>
    <row r="20061" customFormat="1" ht="17.25" customHeight="1"/>
    <row r="20062" customFormat="1" ht="17.25" customHeight="1"/>
    <row r="20063" customFormat="1" ht="17.25" customHeight="1"/>
    <row r="20064" customFormat="1" ht="17.25" customHeight="1"/>
    <row r="20065" customFormat="1" ht="17.25" customHeight="1"/>
    <row r="20066" customFormat="1" ht="17.25" customHeight="1"/>
    <row r="20067" customFormat="1" ht="17.25" customHeight="1"/>
    <row r="20068" customFormat="1" ht="17.25" customHeight="1"/>
    <row r="20069" customFormat="1" ht="17.25" customHeight="1"/>
    <row r="20070" customFormat="1" ht="17.25" customHeight="1"/>
    <row r="20071" customFormat="1" ht="17.25" customHeight="1"/>
    <row r="20072" customFormat="1" ht="17.25" customHeight="1"/>
    <row r="20073" customFormat="1" ht="17.25" customHeight="1"/>
    <row r="20074" customFormat="1" ht="17.25" customHeight="1"/>
    <row r="20075" customFormat="1" ht="17.25" customHeight="1"/>
    <row r="20076" customFormat="1" ht="17.25" customHeight="1"/>
    <row r="20077" customFormat="1" ht="17.25" customHeight="1"/>
    <row r="20078" customFormat="1" ht="17.25" customHeight="1"/>
    <row r="20079" customFormat="1" ht="17.25" customHeight="1"/>
    <row r="20080" customFormat="1" ht="17.25" customHeight="1"/>
    <row r="20081" customFormat="1" ht="17.25" customHeight="1"/>
    <row r="20082" customFormat="1" ht="17.25" customHeight="1"/>
    <row r="20083" customFormat="1" ht="17.25" customHeight="1"/>
    <row r="20084" customFormat="1" ht="17.25" customHeight="1"/>
    <row r="20085" customFormat="1" ht="17.25" customHeight="1"/>
    <row r="20086" customFormat="1" ht="17.25" customHeight="1"/>
    <row r="20087" customFormat="1" ht="17.25" customHeight="1"/>
    <row r="20088" customFormat="1" ht="17.25" customHeight="1"/>
    <row r="20089" customFormat="1" ht="17.25" customHeight="1"/>
    <row r="20090" customFormat="1" ht="17.25" customHeight="1"/>
    <row r="20091" customFormat="1" ht="17.25" customHeight="1"/>
    <row r="20092" customFormat="1" ht="17.25" customHeight="1"/>
    <row r="20093" customFormat="1" ht="17.25" customHeight="1"/>
    <row r="20094" customFormat="1" ht="17.25" customHeight="1"/>
    <row r="20095" customFormat="1" ht="17.25" customHeight="1"/>
    <row r="20096" customFormat="1" ht="17.25" customHeight="1"/>
    <row r="20097" customFormat="1" ht="17.25" customHeight="1"/>
    <row r="20098" customFormat="1" ht="17.25" customHeight="1"/>
    <row r="20099" customFormat="1" ht="17.25" customHeight="1"/>
    <row r="20100" customFormat="1" ht="17.25" customHeight="1"/>
    <row r="20101" customFormat="1" ht="17.25" customHeight="1"/>
    <row r="20102" customFormat="1" ht="17.25" customHeight="1"/>
    <row r="20103" customFormat="1" ht="17.25" customHeight="1"/>
    <row r="20104" customFormat="1" ht="17.25" customHeight="1"/>
    <row r="20105" customFormat="1" ht="17.25" customHeight="1"/>
    <row r="20106" customFormat="1" ht="17.25" customHeight="1"/>
    <row r="20107" customFormat="1" ht="17.25" customHeight="1"/>
    <row r="20108" customFormat="1" ht="17.25" customHeight="1"/>
    <row r="20109" customFormat="1" ht="17.25" customHeight="1"/>
    <row r="20110" customFormat="1" ht="17.25" customHeight="1"/>
    <row r="20111" customFormat="1" ht="17.25" customHeight="1"/>
    <row r="20112" customFormat="1" ht="17.25" customHeight="1"/>
    <row r="20113" customFormat="1" ht="17.25" customHeight="1"/>
    <row r="20114" customFormat="1" ht="17.25" customHeight="1"/>
    <row r="20115" customFormat="1" ht="17.25" customHeight="1"/>
    <row r="20116" customFormat="1" ht="17.25" customHeight="1"/>
    <row r="20117" customFormat="1" ht="17.25" customHeight="1"/>
    <row r="20118" customFormat="1" ht="17.25" customHeight="1"/>
    <row r="20119" customFormat="1" ht="17.25" customHeight="1"/>
    <row r="20120" customFormat="1" ht="17.25" customHeight="1"/>
    <row r="20121" customFormat="1" ht="17.25" customHeight="1"/>
    <row r="20122" customFormat="1" ht="17.25" customHeight="1"/>
    <row r="20123" customFormat="1" ht="17.25" customHeight="1"/>
    <row r="20124" customFormat="1" ht="17.25" customHeight="1"/>
    <row r="20125" customFormat="1" ht="17.25" customHeight="1"/>
    <row r="20126" customFormat="1" ht="17.25" customHeight="1"/>
    <row r="20127" customFormat="1" ht="17.25" customHeight="1"/>
    <row r="20128" customFormat="1" ht="17.25" customHeight="1"/>
    <row r="20129" customFormat="1" ht="17.25" customHeight="1"/>
    <row r="20130" customFormat="1" ht="17.25" customHeight="1"/>
    <row r="20131" customFormat="1" ht="17.25" customHeight="1"/>
    <row r="20132" customFormat="1" ht="17.25" customHeight="1"/>
    <row r="20133" customFormat="1" ht="17.25" customHeight="1"/>
    <row r="20134" customFormat="1" ht="17.25" customHeight="1"/>
    <row r="20135" customFormat="1" ht="17.25" customHeight="1"/>
    <row r="20136" customFormat="1" ht="17.25" customHeight="1"/>
    <row r="20137" customFormat="1" ht="17.25" customHeight="1"/>
    <row r="20138" customFormat="1" ht="17.25" customHeight="1"/>
    <row r="20139" customFormat="1" ht="17.25" customHeight="1"/>
    <row r="20140" customFormat="1" ht="17.25" customHeight="1"/>
    <row r="20141" customFormat="1" ht="17.25" customHeight="1"/>
    <row r="20142" customFormat="1" ht="17.25" customHeight="1"/>
    <row r="20143" customFormat="1" ht="17.25" customHeight="1"/>
    <row r="20144" customFormat="1" ht="17.25" customHeight="1"/>
    <row r="20145" customFormat="1" ht="17.25" customHeight="1"/>
    <row r="20146" customFormat="1" ht="17.25" customHeight="1"/>
    <row r="20147" customFormat="1" ht="17.25" customHeight="1"/>
    <row r="20148" customFormat="1" ht="17.25" customHeight="1"/>
    <row r="20149" customFormat="1" ht="17.25" customHeight="1"/>
    <row r="20150" customFormat="1" ht="17.25" customHeight="1"/>
    <row r="20151" customFormat="1" ht="17.25" customHeight="1"/>
    <row r="20152" customFormat="1" ht="17.25" customHeight="1"/>
    <row r="20153" customFormat="1" ht="17.25" customHeight="1"/>
    <row r="20154" customFormat="1" ht="17.25" customHeight="1"/>
    <row r="20155" customFormat="1" ht="17.25" customHeight="1"/>
    <row r="20156" customFormat="1" ht="17.25" customHeight="1"/>
    <row r="20157" customFormat="1" ht="17.25" customHeight="1"/>
    <row r="20158" customFormat="1" ht="17.25" customHeight="1"/>
    <row r="20159" customFormat="1" ht="17.25" customHeight="1"/>
    <row r="20160" customFormat="1" ht="17.25" customHeight="1"/>
    <row r="20161" customFormat="1" ht="17.25" customHeight="1"/>
    <row r="20162" customFormat="1" ht="17.25" customHeight="1"/>
    <row r="20163" customFormat="1" ht="17.25" customHeight="1"/>
    <row r="20164" customFormat="1" ht="17.25" customHeight="1"/>
    <row r="20165" customFormat="1" ht="17.25" customHeight="1"/>
    <row r="20166" customFormat="1" ht="17.25" customHeight="1"/>
    <row r="20167" customFormat="1" ht="17.25" customHeight="1"/>
    <row r="20168" customFormat="1" ht="17.25" customHeight="1"/>
    <row r="20169" customFormat="1" ht="17.25" customHeight="1"/>
    <row r="20170" customFormat="1" ht="17.25" customHeight="1"/>
    <row r="20171" customFormat="1" ht="17.25" customHeight="1"/>
    <row r="20172" customFormat="1" ht="17.25" customHeight="1"/>
    <row r="20173" customFormat="1" ht="17.25" customHeight="1"/>
    <row r="20174" customFormat="1" ht="17.25" customHeight="1"/>
    <row r="20175" customFormat="1" ht="17.25" customHeight="1"/>
    <row r="20176" customFormat="1" ht="17.25" customHeight="1"/>
    <row r="20177" customFormat="1" ht="17.25" customHeight="1"/>
    <row r="20178" customFormat="1" ht="17.25" customHeight="1"/>
    <row r="20179" customFormat="1" ht="17.25" customHeight="1"/>
    <row r="20180" customFormat="1" ht="17.25" customHeight="1"/>
    <row r="20181" customFormat="1" ht="17.25" customHeight="1"/>
    <row r="20182" customFormat="1" ht="17.25" customHeight="1"/>
    <row r="20183" customFormat="1" ht="17.25" customHeight="1"/>
    <row r="20184" customFormat="1" ht="17.25" customHeight="1"/>
    <row r="20185" customFormat="1" ht="17.25" customHeight="1"/>
    <row r="20186" customFormat="1" ht="17.25" customHeight="1"/>
    <row r="20187" customFormat="1" ht="17.25" customHeight="1"/>
    <row r="20188" customFormat="1" ht="17.25" customHeight="1"/>
    <row r="20189" customFormat="1" ht="17.25" customHeight="1"/>
    <row r="20190" customFormat="1" ht="17.25" customHeight="1"/>
    <row r="20191" customFormat="1" ht="17.25" customHeight="1"/>
    <row r="20192" customFormat="1" ht="17.25" customHeight="1"/>
    <row r="20193" customFormat="1" ht="17.25" customHeight="1"/>
    <row r="20194" customFormat="1" ht="17.25" customHeight="1"/>
    <row r="20195" customFormat="1" ht="17.25" customHeight="1"/>
    <row r="20196" customFormat="1" ht="17.25" customHeight="1"/>
    <row r="20197" customFormat="1" ht="17.25" customHeight="1"/>
    <row r="20198" customFormat="1" ht="17.25" customHeight="1"/>
    <row r="20199" customFormat="1" ht="17.25" customHeight="1"/>
    <row r="20200" customFormat="1" ht="17.25" customHeight="1"/>
    <row r="20201" customFormat="1" ht="17.25" customHeight="1"/>
    <row r="20202" customFormat="1" ht="17.25" customHeight="1"/>
    <row r="20203" customFormat="1" ht="17.25" customHeight="1"/>
    <row r="20204" customFormat="1" ht="17.25" customHeight="1"/>
    <row r="20205" customFormat="1" ht="17.25" customHeight="1"/>
    <row r="20206" customFormat="1" ht="17.25" customHeight="1"/>
    <row r="20207" customFormat="1" ht="17.25" customHeight="1"/>
    <row r="20208" customFormat="1" ht="17.25" customHeight="1"/>
    <row r="20209" customFormat="1" ht="17.25" customHeight="1"/>
    <row r="20210" customFormat="1" ht="17.25" customHeight="1"/>
    <row r="20211" customFormat="1" ht="17.25" customHeight="1"/>
    <row r="20212" customFormat="1" ht="17.25" customHeight="1"/>
    <row r="20213" customFormat="1" ht="17.25" customHeight="1"/>
    <row r="20214" customFormat="1" ht="17.25" customHeight="1"/>
    <row r="20215" customFormat="1" ht="17.25" customHeight="1"/>
    <row r="20216" customFormat="1" ht="17.25" customHeight="1"/>
    <row r="20217" customFormat="1" ht="17.25" customHeight="1"/>
    <row r="20218" customFormat="1" ht="17.25" customHeight="1"/>
    <row r="20219" customFormat="1" ht="17.25" customHeight="1"/>
    <row r="20220" customFormat="1" ht="17.25" customHeight="1"/>
    <row r="20221" customFormat="1" ht="17.25" customHeight="1"/>
    <row r="20222" customFormat="1" ht="17.25" customHeight="1"/>
    <row r="20223" customFormat="1" ht="17.25" customHeight="1"/>
    <row r="20224" customFormat="1" ht="17.25" customHeight="1"/>
    <row r="20225" customFormat="1" ht="17.25" customHeight="1"/>
    <row r="20226" customFormat="1" ht="17.25" customHeight="1"/>
    <row r="20227" customFormat="1" ht="17.25" customHeight="1"/>
    <row r="20228" customFormat="1" ht="17.25" customHeight="1"/>
    <row r="20229" customFormat="1" ht="17.25" customHeight="1"/>
    <row r="20230" customFormat="1" ht="17.25" customHeight="1"/>
    <row r="20231" customFormat="1" ht="17.25" customHeight="1"/>
    <row r="20232" customFormat="1" ht="17.25" customHeight="1"/>
    <row r="20233" customFormat="1" ht="17.25" customHeight="1"/>
    <row r="20234" customFormat="1" ht="17.25" customHeight="1"/>
    <row r="20235" customFormat="1" ht="17.25" customHeight="1"/>
    <row r="20236" customFormat="1" ht="17.25" customHeight="1"/>
    <row r="20237" customFormat="1" ht="17.25" customHeight="1"/>
    <row r="20238" customFormat="1" ht="17.25" customHeight="1"/>
    <row r="20239" customFormat="1" ht="17.25" customHeight="1"/>
    <row r="20240" customFormat="1" ht="17.25" customHeight="1"/>
    <row r="20241" customFormat="1" ht="17.25" customHeight="1"/>
    <row r="20242" customFormat="1" ht="17.25" customHeight="1"/>
    <row r="20243" customFormat="1" ht="17.25" customHeight="1"/>
    <row r="20244" customFormat="1" ht="17.25" customHeight="1"/>
    <row r="20245" customFormat="1" ht="17.25" customHeight="1"/>
    <row r="20246" customFormat="1" ht="17.25" customHeight="1"/>
    <row r="20247" customFormat="1" ht="17.25" customHeight="1"/>
    <row r="20248" customFormat="1" ht="17.25" customHeight="1"/>
    <row r="20249" customFormat="1" ht="17.25" customHeight="1"/>
    <row r="20250" customFormat="1" ht="17.25" customHeight="1"/>
    <row r="20251" customFormat="1" ht="17.25" customHeight="1"/>
    <row r="20252" customFormat="1" ht="17.25" customHeight="1"/>
    <row r="20253" customFormat="1" ht="17.25" customHeight="1"/>
    <row r="20254" customFormat="1" ht="17.25" customHeight="1"/>
    <row r="20255" customFormat="1" ht="17.25" customHeight="1"/>
    <row r="20256" customFormat="1" ht="17.25" customHeight="1"/>
    <row r="20257" customFormat="1" ht="17.25" customHeight="1"/>
    <row r="20258" customFormat="1" ht="17.25" customHeight="1"/>
    <row r="20259" customFormat="1" ht="17.25" customHeight="1"/>
    <row r="20260" customFormat="1" ht="17.25" customHeight="1"/>
    <row r="20261" customFormat="1" ht="17.25" customHeight="1"/>
    <row r="20262" customFormat="1" ht="17.25" customHeight="1"/>
    <row r="20263" customFormat="1" ht="17.25" customHeight="1"/>
    <row r="20264" customFormat="1" ht="17.25" customHeight="1"/>
    <row r="20265" customFormat="1" ht="17.25" customHeight="1"/>
    <row r="20266" customFormat="1" ht="17.25" customHeight="1"/>
    <row r="20267" customFormat="1" ht="17.25" customHeight="1"/>
    <row r="20268" customFormat="1" ht="17.25" customHeight="1"/>
    <row r="20269" customFormat="1" ht="17.25" customHeight="1"/>
    <row r="20270" customFormat="1" ht="17.25" customHeight="1"/>
    <row r="20271" customFormat="1" ht="17.25" customHeight="1"/>
    <row r="20272" customFormat="1" ht="17.25" customHeight="1"/>
    <row r="20273" customFormat="1" ht="17.25" customHeight="1"/>
    <row r="20274" customFormat="1" ht="17.25" customHeight="1"/>
    <row r="20275" customFormat="1" ht="17.25" customHeight="1"/>
    <row r="20276" customFormat="1" ht="17.25" customHeight="1"/>
    <row r="20277" customFormat="1" ht="17.25" customHeight="1"/>
    <row r="20278" customFormat="1" ht="17.25" customHeight="1"/>
    <row r="20279" customFormat="1" ht="17.25" customHeight="1"/>
    <row r="20280" customFormat="1" ht="17.25" customHeight="1"/>
    <row r="20281" customFormat="1" ht="17.25" customHeight="1"/>
    <row r="20282" customFormat="1" ht="17.25" customHeight="1"/>
    <row r="20283" customFormat="1" ht="17.25" customHeight="1"/>
    <row r="20284" customFormat="1" ht="17.25" customHeight="1"/>
    <row r="20285" customFormat="1" ht="17.25" customHeight="1"/>
    <row r="20286" customFormat="1" ht="17.25" customHeight="1"/>
    <row r="20287" customFormat="1" ht="17.25" customHeight="1"/>
    <row r="20288" customFormat="1" ht="17.25" customHeight="1"/>
    <row r="20289" customFormat="1" ht="17.25" customHeight="1"/>
    <row r="20290" customFormat="1" ht="17.25" customHeight="1"/>
    <row r="20291" customFormat="1" ht="17.25" customHeight="1"/>
    <row r="20292" customFormat="1" ht="17.25" customHeight="1"/>
    <row r="20293" customFormat="1" ht="17.25" customHeight="1"/>
    <row r="20294" customFormat="1" ht="17.25" customHeight="1"/>
    <row r="20295" customFormat="1" ht="17.25" customHeight="1"/>
    <row r="20296" customFormat="1" ht="17.25" customHeight="1"/>
    <row r="20297" customFormat="1" ht="17.25" customHeight="1"/>
    <row r="20298" customFormat="1" ht="17.25" customHeight="1"/>
    <row r="20299" customFormat="1" ht="17.25" customHeight="1"/>
    <row r="20300" customFormat="1" ht="17.25" customHeight="1"/>
    <row r="20301" customFormat="1" ht="17.25" customHeight="1"/>
    <row r="20302" customFormat="1" ht="17.25" customHeight="1"/>
    <row r="20303" customFormat="1" ht="17.25" customHeight="1"/>
    <row r="20304" customFormat="1" ht="17.25" customHeight="1"/>
    <row r="20305" customFormat="1" ht="17.25" customHeight="1"/>
    <row r="20306" customFormat="1" ht="17.25" customHeight="1"/>
    <row r="20307" customFormat="1" ht="17.25" customHeight="1"/>
    <row r="20308" customFormat="1" ht="17.25" customHeight="1"/>
    <row r="20309" customFormat="1" ht="17.25" customHeight="1"/>
    <row r="20310" customFormat="1" ht="17.25" customHeight="1"/>
    <row r="20311" customFormat="1" ht="17.25" customHeight="1"/>
    <row r="20312" customFormat="1" ht="17.25" customHeight="1"/>
    <row r="20313" customFormat="1" ht="17.25" customHeight="1"/>
    <row r="20314" customFormat="1" ht="17.25" customHeight="1"/>
    <row r="20315" customFormat="1" ht="17.25" customHeight="1"/>
    <row r="20316" customFormat="1" ht="17.25" customHeight="1"/>
    <row r="20317" customFormat="1" ht="17.25" customHeight="1"/>
    <row r="20318" customFormat="1" ht="17.25" customHeight="1"/>
    <row r="20319" customFormat="1" ht="17.25" customHeight="1"/>
    <row r="20320" customFormat="1" ht="17.25" customHeight="1"/>
    <row r="20321" customFormat="1" ht="17.25" customHeight="1"/>
    <row r="20322" customFormat="1" ht="17.25" customHeight="1"/>
    <row r="20323" customFormat="1" ht="17.25" customHeight="1"/>
    <row r="20324" customFormat="1" ht="17.25" customHeight="1"/>
    <row r="20325" customFormat="1" ht="17.25" customHeight="1"/>
    <row r="20326" customFormat="1" ht="17.25" customHeight="1"/>
    <row r="20327" customFormat="1" ht="17.25" customHeight="1"/>
    <row r="20328" customFormat="1" ht="17.25" customHeight="1"/>
    <row r="20329" customFormat="1" ht="17.25" customHeight="1"/>
    <row r="20330" customFormat="1" ht="17.25" customHeight="1"/>
    <row r="20331" customFormat="1" ht="17.25" customHeight="1"/>
    <row r="20332" customFormat="1" ht="17.25" customHeight="1"/>
    <row r="20333" customFormat="1" ht="17.25" customHeight="1"/>
    <row r="20334" customFormat="1" ht="17.25" customHeight="1"/>
    <row r="20335" customFormat="1" ht="17.25" customHeight="1"/>
    <row r="20336" customFormat="1" ht="17.25" customHeight="1"/>
    <row r="20337" customFormat="1" ht="17.25" customHeight="1"/>
    <row r="20338" customFormat="1" ht="17.25" customHeight="1"/>
    <row r="20339" customFormat="1" ht="17.25" customHeight="1"/>
    <row r="20340" customFormat="1" ht="17.25" customHeight="1"/>
    <row r="20341" customFormat="1" ht="17.25" customHeight="1"/>
    <row r="20342" customFormat="1" ht="17.25" customHeight="1"/>
    <row r="20343" customFormat="1" ht="17.25" customHeight="1"/>
    <row r="20344" customFormat="1" ht="17.25" customHeight="1"/>
    <row r="20345" customFormat="1" ht="17.25" customHeight="1"/>
    <row r="20346" customFormat="1" ht="17.25" customHeight="1"/>
    <row r="20347" customFormat="1" ht="17.25" customHeight="1"/>
    <row r="20348" customFormat="1" ht="17.25" customHeight="1"/>
    <row r="20349" customFormat="1" ht="17.25" customHeight="1"/>
    <row r="20350" customFormat="1" ht="17.25" customHeight="1"/>
    <row r="20351" customFormat="1" ht="17.25" customHeight="1"/>
    <row r="20352" customFormat="1" ht="17.25" customHeight="1"/>
    <row r="20353" customFormat="1" ht="17.25" customHeight="1"/>
    <row r="20354" customFormat="1" ht="17.25" customHeight="1"/>
    <row r="20355" customFormat="1" ht="17.25" customHeight="1"/>
    <row r="20356" customFormat="1" ht="17.25" customHeight="1"/>
    <row r="20357" customFormat="1" ht="17.25" customHeight="1"/>
    <row r="20358" customFormat="1" ht="17.25" customHeight="1"/>
    <row r="20359" customFormat="1" ht="17.25" customHeight="1"/>
    <row r="20360" customFormat="1" ht="17.25" customHeight="1"/>
    <row r="20361" customFormat="1" ht="17.25" customHeight="1"/>
    <row r="20362" customFormat="1" ht="17.25" customHeight="1"/>
    <row r="20363" customFormat="1" ht="17.25" customHeight="1"/>
    <row r="20364" customFormat="1" ht="17.25" customHeight="1"/>
    <row r="20365" customFormat="1" ht="17.25" customHeight="1"/>
    <row r="20366" customFormat="1" ht="17.25" customHeight="1"/>
    <row r="20367" customFormat="1" ht="17.25" customHeight="1"/>
    <row r="20368" customFormat="1" ht="17.25" customHeight="1"/>
    <row r="20369" customFormat="1" ht="17.25" customHeight="1"/>
    <row r="20370" customFormat="1" ht="17.25" customHeight="1"/>
    <row r="20371" customFormat="1" ht="17.25" customHeight="1"/>
    <row r="20372" customFormat="1" ht="17.25" customHeight="1"/>
    <row r="20373" customFormat="1" ht="17.25" customHeight="1"/>
    <row r="20374" customFormat="1" ht="17.25" customHeight="1"/>
    <row r="20375" customFormat="1" ht="17.25" customHeight="1"/>
    <row r="20376" customFormat="1" ht="17.25" customHeight="1"/>
    <row r="20377" customFormat="1" ht="17.25" customHeight="1"/>
    <row r="20378" customFormat="1" ht="17.25" customHeight="1"/>
    <row r="20379" customFormat="1" ht="17.25" customHeight="1"/>
    <row r="20380" customFormat="1" ht="17.25" customHeight="1"/>
    <row r="20381" customFormat="1" ht="17.25" customHeight="1"/>
    <row r="20382" customFormat="1" ht="17.25" customHeight="1"/>
    <row r="20383" customFormat="1" ht="17.25" customHeight="1"/>
    <row r="20384" customFormat="1" ht="17.25" customHeight="1"/>
    <row r="20385" customFormat="1" ht="17.25" customHeight="1"/>
    <row r="20386" customFormat="1" ht="17.25" customHeight="1"/>
    <row r="20387" customFormat="1" ht="17.25" customHeight="1"/>
    <row r="20388" customFormat="1" ht="17.25" customHeight="1"/>
    <row r="20389" customFormat="1" ht="17.25" customHeight="1"/>
    <row r="20390" customFormat="1" ht="17.25" customHeight="1"/>
    <row r="20391" customFormat="1" ht="17.25" customHeight="1"/>
    <row r="20392" customFormat="1" ht="17.25" customHeight="1"/>
    <row r="20393" customFormat="1" ht="17.25" customHeight="1"/>
    <row r="20394" customFormat="1" ht="17.25" customHeight="1"/>
    <row r="20395" customFormat="1" ht="17.25" customHeight="1"/>
    <row r="20396" customFormat="1" ht="17.25" customHeight="1"/>
    <row r="20397" customFormat="1" ht="17.25" customHeight="1"/>
    <row r="20398" customFormat="1" ht="17.25" customHeight="1"/>
    <row r="20399" customFormat="1" ht="17.25" customHeight="1"/>
    <row r="20400" customFormat="1" ht="17.25" customHeight="1"/>
    <row r="20401" customFormat="1" ht="17.25" customHeight="1"/>
    <row r="20402" customFormat="1" ht="17.25" customHeight="1"/>
    <row r="20403" customFormat="1" ht="17.25" customHeight="1"/>
    <row r="20404" customFormat="1" ht="17.25" customHeight="1"/>
    <row r="20405" customFormat="1" ht="17.25" customHeight="1"/>
    <row r="20406" customFormat="1" ht="17.25" customHeight="1"/>
    <row r="20407" customFormat="1" ht="17.25" customHeight="1"/>
    <row r="20408" customFormat="1" ht="17.25" customHeight="1"/>
    <row r="20409" customFormat="1" ht="17.25" customHeight="1"/>
    <row r="20410" customFormat="1" ht="17.25" customHeight="1"/>
    <row r="20411" customFormat="1" ht="17.25" customHeight="1"/>
    <row r="20412" customFormat="1" ht="17.25" customHeight="1"/>
    <row r="20413" customFormat="1" ht="17.25" customHeight="1"/>
    <row r="20414" customFormat="1" ht="17.25" customHeight="1"/>
    <row r="20415" customFormat="1" ht="17.25" customHeight="1"/>
    <row r="20416" customFormat="1" ht="17.25" customHeight="1"/>
    <row r="20417" customFormat="1" ht="17.25" customHeight="1"/>
    <row r="20418" customFormat="1" ht="17.25" customHeight="1"/>
    <row r="20419" customFormat="1" ht="17.25" customHeight="1"/>
    <row r="20420" customFormat="1" ht="17.25" customHeight="1"/>
    <row r="20421" customFormat="1" ht="17.25" customHeight="1"/>
    <row r="20422" customFormat="1" ht="17.25" customHeight="1"/>
    <row r="20423" customFormat="1" ht="17.25" customHeight="1"/>
    <row r="20424" customFormat="1" ht="17.25" customHeight="1"/>
    <row r="20425" customFormat="1" ht="17.25" customHeight="1"/>
    <row r="20426" customFormat="1" ht="17.25" customHeight="1"/>
    <row r="20427" customFormat="1" ht="17.25" customHeight="1"/>
    <row r="20428" customFormat="1" ht="17.25" customHeight="1"/>
    <row r="20429" customFormat="1" ht="17.25" customHeight="1"/>
    <row r="20430" customFormat="1" ht="17.25" customHeight="1"/>
    <row r="20431" customFormat="1" ht="17.25" customHeight="1"/>
    <row r="20432" customFormat="1" ht="17.25" customHeight="1"/>
    <row r="20433" customFormat="1" ht="17.25" customHeight="1"/>
    <row r="20434" customFormat="1" ht="17.25" customHeight="1"/>
    <row r="20435" customFormat="1" ht="17.25" customHeight="1"/>
    <row r="20436" customFormat="1" ht="17.25" customHeight="1"/>
    <row r="20437" customFormat="1" ht="17.25" customHeight="1"/>
    <row r="20438" customFormat="1" ht="17.25" customHeight="1"/>
    <row r="20439" customFormat="1" ht="17.25" customHeight="1"/>
    <row r="20440" customFormat="1" ht="17.25" customHeight="1"/>
    <row r="20441" customFormat="1" ht="17.25" customHeight="1"/>
    <row r="20442" customFormat="1" ht="17.25" customHeight="1"/>
    <row r="20443" customFormat="1" ht="17.25" customHeight="1"/>
    <row r="20444" customFormat="1" ht="17.25" customHeight="1"/>
    <row r="20445" customFormat="1" ht="17.25" customHeight="1"/>
    <row r="20446" customFormat="1" ht="17.25" customHeight="1"/>
    <row r="20447" customFormat="1" ht="17.25" customHeight="1"/>
    <row r="20448" customFormat="1" ht="17.25" customHeight="1"/>
    <row r="20449" customFormat="1" ht="17.25" customHeight="1"/>
    <row r="20450" customFormat="1" ht="17.25" customHeight="1"/>
    <row r="20451" customFormat="1" ht="17.25" customHeight="1"/>
    <row r="20452" customFormat="1" ht="17.25" customHeight="1"/>
    <row r="20453" customFormat="1" ht="17.25" customHeight="1"/>
    <row r="20454" customFormat="1" ht="17.25" customHeight="1"/>
    <row r="20455" customFormat="1" ht="17.25" customHeight="1"/>
    <row r="20456" customFormat="1" ht="17.25" customHeight="1"/>
    <row r="20457" customFormat="1" ht="17.25" customHeight="1"/>
    <row r="20458" customFormat="1" ht="17.25" customHeight="1"/>
    <row r="20459" customFormat="1" ht="17.25" customHeight="1"/>
    <row r="20460" customFormat="1" ht="17.25" customHeight="1"/>
    <row r="20461" customFormat="1" ht="17.25" customHeight="1"/>
    <row r="20462" customFormat="1" ht="17.25" customHeight="1"/>
    <row r="20463" customFormat="1" ht="17.25" customHeight="1"/>
    <row r="20464" customFormat="1" ht="17.25" customHeight="1"/>
    <row r="20465" customFormat="1" ht="17.25" customHeight="1"/>
    <row r="20466" customFormat="1" ht="17.25" customHeight="1"/>
    <row r="20467" customFormat="1" ht="17.25" customHeight="1"/>
    <row r="20468" customFormat="1" ht="17.25" customHeight="1"/>
    <row r="20469" customFormat="1" ht="17.25" customHeight="1"/>
    <row r="20470" customFormat="1" ht="17.25" customHeight="1"/>
    <row r="20471" customFormat="1" ht="17.25" customHeight="1"/>
    <row r="20472" customFormat="1" ht="17.25" customHeight="1"/>
    <row r="20473" customFormat="1" ht="17.25" customHeight="1"/>
    <row r="20474" customFormat="1" ht="17.25" customHeight="1"/>
    <row r="20475" customFormat="1" ht="17.25" customHeight="1"/>
    <row r="20476" customFormat="1" ht="17.25" customHeight="1"/>
    <row r="20477" customFormat="1" ht="17.25" customHeight="1"/>
    <row r="20478" customFormat="1" ht="17.25" customHeight="1"/>
    <row r="20479" customFormat="1" ht="17.25" customHeight="1"/>
    <row r="20480" customFormat="1" ht="17.25" customHeight="1"/>
    <row r="20481" customFormat="1" ht="17.25" customHeight="1"/>
    <row r="20482" customFormat="1" ht="17.25" customHeight="1"/>
    <row r="20483" customFormat="1" ht="17.25" customHeight="1"/>
    <row r="20484" customFormat="1" ht="17.25" customHeight="1"/>
    <row r="20485" customFormat="1" ht="17.25" customHeight="1"/>
    <row r="20486" customFormat="1" ht="17.25" customHeight="1"/>
    <row r="20487" customFormat="1" ht="17.25" customHeight="1"/>
    <row r="20488" customFormat="1" ht="17.25" customHeight="1"/>
    <row r="20489" customFormat="1" ht="17.25" customHeight="1"/>
    <row r="20490" customFormat="1" ht="17.25" customHeight="1"/>
    <row r="20491" customFormat="1" ht="17.25" customHeight="1"/>
    <row r="20492" customFormat="1" ht="17.25" customHeight="1"/>
    <row r="20493" customFormat="1" ht="17.25" customHeight="1"/>
    <row r="20494" customFormat="1" ht="17.25" customHeight="1"/>
    <row r="20495" customFormat="1" ht="17.25" customHeight="1"/>
    <row r="20496" customFormat="1" ht="17.25" customHeight="1"/>
    <row r="20497" customFormat="1" ht="17.25" customHeight="1"/>
    <row r="20498" customFormat="1" ht="17.25" customHeight="1"/>
    <row r="20499" customFormat="1" ht="17.25" customHeight="1"/>
    <row r="20500" customFormat="1" ht="17.25" customHeight="1"/>
    <row r="20501" customFormat="1" ht="17.25" customHeight="1"/>
    <row r="20502" customFormat="1" ht="17.25" customHeight="1"/>
    <row r="20503" customFormat="1" ht="17.25" customHeight="1"/>
    <row r="20504" customFormat="1" ht="17.25" customHeight="1"/>
    <row r="20505" customFormat="1" ht="17.25" customHeight="1"/>
    <row r="20506" customFormat="1" ht="17.25" customHeight="1"/>
    <row r="20507" customFormat="1" ht="17.25" customHeight="1"/>
    <row r="20508" customFormat="1" ht="17.25" customHeight="1"/>
    <row r="20509" customFormat="1" ht="17.25" customHeight="1"/>
    <row r="20510" customFormat="1" ht="17.25" customHeight="1"/>
    <row r="20511" customFormat="1" ht="17.25" customHeight="1"/>
    <row r="20512" customFormat="1" ht="17.25" customHeight="1"/>
    <row r="20513" customFormat="1" ht="17.25" customHeight="1"/>
    <row r="20514" customFormat="1" ht="17.25" customHeight="1"/>
    <row r="20515" customFormat="1" ht="17.25" customHeight="1"/>
    <row r="20516" customFormat="1" ht="17.25" customHeight="1"/>
    <row r="20517" customFormat="1" ht="17.25" customHeight="1"/>
    <row r="20518" customFormat="1" ht="17.25" customHeight="1"/>
    <row r="20519" customFormat="1" ht="17.25" customHeight="1"/>
    <row r="20520" customFormat="1" ht="17.25" customHeight="1"/>
    <row r="20521" customFormat="1" ht="17.25" customHeight="1"/>
    <row r="20522" customFormat="1" ht="17.25" customHeight="1"/>
    <row r="20523" customFormat="1" ht="17.25" customHeight="1"/>
    <row r="20524" customFormat="1" ht="17.25" customHeight="1"/>
    <row r="20525" customFormat="1" ht="17.25" customHeight="1"/>
    <row r="20526" customFormat="1" ht="17.25" customHeight="1"/>
    <row r="20527" customFormat="1" ht="17.25" customHeight="1"/>
    <row r="20528" customFormat="1" ht="17.25" customHeight="1"/>
    <row r="20529" customFormat="1" ht="17.25" customHeight="1"/>
    <row r="20530" customFormat="1" ht="17.25" customHeight="1"/>
    <row r="20531" customFormat="1" ht="17.25" customHeight="1"/>
    <row r="20532" customFormat="1" ht="17.25" customHeight="1"/>
    <row r="20533" customFormat="1" ht="17.25" customHeight="1"/>
    <row r="20534" customFormat="1" ht="17.25" customHeight="1"/>
    <row r="20535" customFormat="1" ht="17.25" customHeight="1"/>
    <row r="20536" customFormat="1" ht="17.25" customHeight="1"/>
    <row r="20537" customFormat="1" ht="17.25" customHeight="1"/>
    <row r="20538" customFormat="1" ht="17.25" customHeight="1"/>
    <row r="20539" customFormat="1" ht="17.25" customHeight="1"/>
    <row r="20540" customFormat="1" ht="17.25" customHeight="1"/>
    <row r="20541" customFormat="1" ht="17.25" customHeight="1"/>
    <row r="20542" customFormat="1" ht="17.25" customHeight="1"/>
    <row r="20543" customFormat="1" ht="17.25" customHeight="1"/>
    <row r="20544" customFormat="1" ht="17.25" customHeight="1"/>
    <row r="20545" customFormat="1" ht="17.25" customHeight="1"/>
    <row r="20546" customFormat="1" ht="17.25" customHeight="1"/>
    <row r="20547" customFormat="1" ht="17.25" customHeight="1"/>
    <row r="20548" customFormat="1" ht="17.25" customHeight="1"/>
    <row r="20549" customFormat="1" ht="17.25" customHeight="1"/>
    <row r="20550" customFormat="1" ht="17.25" customHeight="1"/>
    <row r="20551" customFormat="1" ht="17.25" customHeight="1"/>
    <row r="20552" customFormat="1" ht="17.25" customHeight="1"/>
    <row r="20553" customFormat="1" ht="17.25" customHeight="1"/>
    <row r="20554" customFormat="1" ht="17.25" customHeight="1"/>
    <row r="20555" customFormat="1" ht="17.25" customHeight="1"/>
    <row r="20556" customFormat="1" ht="17.25" customHeight="1"/>
    <row r="20557" customFormat="1" ht="17.25" customHeight="1"/>
    <row r="20558" customFormat="1" ht="17.25" customHeight="1"/>
    <row r="20559" customFormat="1" ht="17.25" customHeight="1"/>
    <row r="20560" customFormat="1" ht="17.25" customHeight="1"/>
    <row r="20561" customFormat="1" ht="17.25" customHeight="1"/>
    <row r="20562" customFormat="1" ht="17.25" customHeight="1"/>
    <row r="20563" customFormat="1" ht="17.25" customHeight="1"/>
    <row r="20564" customFormat="1" ht="17.25" customHeight="1"/>
    <row r="20565" customFormat="1" ht="17.25" customHeight="1"/>
    <row r="20566" customFormat="1" ht="17.25" customHeight="1"/>
    <row r="20567" customFormat="1" ht="17.25" customHeight="1"/>
    <row r="20568" customFormat="1" ht="17.25" customHeight="1"/>
    <row r="20569" customFormat="1" ht="17.25" customHeight="1"/>
    <row r="20570" customFormat="1" ht="17.25" customHeight="1"/>
    <row r="20571" customFormat="1" ht="17.25" customHeight="1"/>
    <row r="20572" customFormat="1" ht="17.25" customHeight="1"/>
    <row r="20573" customFormat="1" ht="17.25" customHeight="1"/>
    <row r="20574" customFormat="1" ht="17.25" customHeight="1"/>
    <row r="20575" customFormat="1" ht="17.25" customHeight="1"/>
    <row r="20576" customFormat="1" ht="17.25" customHeight="1"/>
    <row r="20577" customFormat="1" ht="17.25" customHeight="1"/>
    <row r="20578" customFormat="1" ht="17.25" customHeight="1"/>
    <row r="20579" customFormat="1" ht="17.25" customHeight="1"/>
    <row r="20580" customFormat="1" ht="17.25" customHeight="1"/>
    <row r="20581" customFormat="1" ht="17.25" customHeight="1"/>
    <row r="20582" customFormat="1" ht="17.25" customHeight="1"/>
    <row r="20583" customFormat="1" ht="17.25" customHeight="1"/>
    <row r="20584" customFormat="1" ht="17.25" customHeight="1"/>
    <row r="20585" customFormat="1" ht="17.25" customHeight="1"/>
    <row r="20586" customFormat="1" ht="17.25" customHeight="1"/>
    <row r="20587" customFormat="1" ht="17.25" customHeight="1"/>
    <row r="20588" customFormat="1" ht="17.25" customHeight="1"/>
    <row r="20589" customFormat="1" ht="17.25" customHeight="1"/>
    <row r="20590" customFormat="1" ht="17.25" customHeight="1"/>
    <row r="20591" customFormat="1" ht="17.25" customHeight="1"/>
    <row r="20592" customFormat="1" ht="17.25" customHeight="1"/>
    <row r="20593" customFormat="1" ht="17.25" customHeight="1"/>
    <row r="20594" customFormat="1" ht="17.25" customHeight="1"/>
    <row r="20595" customFormat="1" ht="17.25" customHeight="1"/>
    <row r="20596" customFormat="1" ht="17.25" customHeight="1"/>
    <row r="20597" customFormat="1" ht="17.25" customHeight="1"/>
    <row r="20598" customFormat="1" ht="17.25" customHeight="1"/>
    <row r="20599" customFormat="1" ht="17.25" customHeight="1"/>
    <row r="20600" customFormat="1" ht="17.25" customHeight="1"/>
    <row r="20601" customFormat="1" ht="17.25" customHeight="1"/>
    <row r="20602" customFormat="1" ht="17.25" customHeight="1"/>
    <row r="20603" customFormat="1" ht="17.25" customHeight="1"/>
    <row r="20604" customFormat="1" ht="17.25" customHeight="1"/>
    <row r="20605" customFormat="1" ht="17.25" customHeight="1"/>
    <row r="20606" customFormat="1" ht="17.25" customHeight="1"/>
    <row r="20607" customFormat="1" ht="17.25" customHeight="1"/>
    <row r="20608" customFormat="1" ht="17.25" customHeight="1"/>
    <row r="20609" customFormat="1" ht="17.25" customHeight="1"/>
    <row r="20610" customFormat="1" ht="17.25" customHeight="1"/>
    <row r="20611" customFormat="1" ht="17.25" customHeight="1"/>
    <row r="20612" customFormat="1" ht="17.25" customHeight="1"/>
    <row r="20613" customFormat="1" ht="17.25" customHeight="1"/>
    <row r="20614" customFormat="1" ht="17.25" customHeight="1"/>
    <row r="20615" customFormat="1" ht="17.25" customHeight="1"/>
    <row r="20616" customFormat="1" ht="17.25" customHeight="1"/>
    <row r="20617" customFormat="1" ht="17.25" customHeight="1"/>
    <row r="20618" customFormat="1" ht="17.25" customHeight="1"/>
    <row r="20619" customFormat="1" ht="17.25" customHeight="1"/>
    <row r="20620" customFormat="1" ht="17.25" customHeight="1"/>
    <row r="20621" customFormat="1" ht="17.25" customHeight="1"/>
    <row r="20622" customFormat="1" ht="17.25" customHeight="1"/>
    <row r="20623" customFormat="1" ht="17.25" customHeight="1"/>
    <row r="20624" customFormat="1" ht="17.25" customHeight="1"/>
    <row r="20625" customFormat="1" ht="17.25" customHeight="1"/>
    <row r="20626" customFormat="1" ht="17.25" customHeight="1"/>
    <row r="20627" customFormat="1" ht="17.25" customHeight="1"/>
    <row r="20628" customFormat="1" ht="17.25" customHeight="1"/>
    <row r="20629" customFormat="1" ht="17.25" customHeight="1"/>
    <row r="20630" customFormat="1" ht="17.25" customHeight="1"/>
    <row r="20631" customFormat="1" ht="17.25" customHeight="1"/>
    <row r="20632" customFormat="1" ht="17.25" customHeight="1"/>
    <row r="20633" customFormat="1" ht="17.25" customHeight="1"/>
    <row r="20634" customFormat="1" ht="17.25" customHeight="1"/>
    <row r="20635" customFormat="1" ht="17.25" customHeight="1"/>
    <row r="20636" customFormat="1" ht="17.25" customHeight="1"/>
    <row r="20637" customFormat="1" ht="17.25" customHeight="1"/>
    <row r="20638" customFormat="1" ht="17.25" customHeight="1"/>
    <row r="20639" customFormat="1" ht="17.25" customHeight="1"/>
    <row r="20640" customFormat="1" ht="17.25" customHeight="1"/>
    <row r="20641" customFormat="1" ht="17.25" customHeight="1"/>
    <row r="20642" customFormat="1" ht="17.25" customHeight="1"/>
    <row r="20643" customFormat="1" ht="17.25" customHeight="1"/>
    <row r="20644" customFormat="1" ht="17.25" customHeight="1"/>
    <row r="20645" customFormat="1" ht="17.25" customHeight="1"/>
    <row r="20646" customFormat="1" ht="17.25" customHeight="1"/>
    <row r="20647" customFormat="1" ht="17.25" customHeight="1"/>
    <row r="20648" customFormat="1" ht="17.25" customHeight="1"/>
    <row r="20649" customFormat="1" ht="17.25" customHeight="1"/>
    <row r="20650" customFormat="1" ht="17.25" customHeight="1"/>
    <row r="20651" customFormat="1" ht="17.25" customHeight="1"/>
    <row r="20652" customFormat="1" ht="17.25" customHeight="1"/>
    <row r="20653" customFormat="1" ht="17.25" customHeight="1"/>
    <row r="20654" customFormat="1" ht="17.25" customHeight="1"/>
    <row r="20655" customFormat="1" ht="17.25" customHeight="1"/>
    <row r="20656" customFormat="1" ht="17.25" customHeight="1"/>
    <row r="20657" customFormat="1" ht="17.25" customHeight="1"/>
    <row r="20658" customFormat="1" ht="17.25" customHeight="1"/>
    <row r="20659" customFormat="1" ht="17.25" customHeight="1"/>
    <row r="20660" customFormat="1" ht="17.25" customHeight="1"/>
    <row r="20661" customFormat="1" ht="17.25" customHeight="1"/>
    <row r="20662" customFormat="1" ht="17.25" customHeight="1"/>
    <row r="20663" customFormat="1" ht="17.25" customHeight="1"/>
    <row r="20664" customFormat="1" ht="17.25" customHeight="1"/>
    <row r="20665" customFormat="1" ht="17.25" customHeight="1"/>
    <row r="20666" customFormat="1" ht="17.25" customHeight="1"/>
    <row r="20667" customFormat="1" ht="17.25" customHeight="1"/>
    <row r="20668" customFormat="1" ht="17.25" customHeight="1"/>
    <row r="20669" customFormat="1" ht="17.25" customHeight="1"/>
    <row r="20670" customFormat="1" ht="17.25" customHeight="1"/>
    <row r="20671" customFormat="1" ht="17.25" customHeight="1"/>
    <row r="20672" customFormat="1" ht="17.25" customHeight="1"/>
    <row r="20673" customFormat="1" ht="17.25" customHeight="1"/>
    <row r="20674" customFormat="1" ht="17.25" customHeight="1"/>
    <row r="20675" customFormat="1" ht="17.25" customHeight="1"/>
    <row r="20676" customFormat="1" ht="17.25" customHeight="1"/>
    <row r="20677" customFormat="1" ht="17.25" customHeight="1"/>
    <row r="20678" customFormat="1" ht="17.25" customHeight="1"/>
    <row r="20679" customFormat="1" ht="17.25" customHeight="1"/>
    <row r="20680" customFormat="1" ht="17.25" customHeight="1"/>
    <row r="20681" customFormat="1" ht="17.25" customHeight="1"/>
    <row r="20682" customFormat="1" ht="17.25" customHeight="1"/>
    <row r="20683" customFormat="1" ht="17.25" customHeight="1"/>
    <row r="20684" customFormat="1" ht="17.25" customHeight="1"/>
    <row r="20685" customFormat="1" ht="17.25" customHeight="1"/>
    <row r="20686" customFormat="1" ht="17.25" customHeight="1"/>
    <row r="20687" customFormat="1" ht="17.25" customHeight="1"/>
    <row r="20688" customFormat="1" ht="17.25" customHeight="1"/>
    <row r="20689" customFormat="1" ht="17.25" customHeight="1"/>
    <row r="20690" customFormat="1" ht="17.25" customHeight="1"/>
    <row r="20691" customFormat="1" ht="17.25" customHeight="1"/>
    <row r="20692" customFormat="1" ht="17.25" customHeight="1"/>
    <row r="20693" customFormat="1" ht="17.25" customHeight="1"/>
    <row r="20694" customFormat="1" ht="17.25" customHeight="1"/>
    <row r="20695" customFormat="1" ht="17.25" customHeight="1"/>
    <row r="20696" customFormat="1" ht="17.25" customHeight="1"/>
    <row r="20697" customFormat="1" ht="17.25" customHeight="1"/>
    <row r="20698" customFormat="1" ht="17.25" customHeight="1"/>
    <row r="20699" customFormat="1" ht="17.25" customHeight="1"/>
    <row r="20700" customFormat="1" ht="17.25" customHeight="1"/>
    <row r="20701" customFormat="1" ht="17.25" customHeight="1"/>
    <row r="20702" customFormat="1" ht="17.25" customHeight="1"/>
    <row r="20703" customFormat="1" ht="17.25" customHeight="1"/>
    <row r="20704" customFormat="1" ht="17.25" customHeight="1"/>
    <row r="20705" customFormat="1" ht="17.25" customHeight="1"/>
    <row r="20706" customFormat="1" ht="17.25" customHeight="1"/>
    <row r="20707" customFormat="1" ht="17.25" customHeight="1"/>
    <row r="20708" customFormat="1" ht="17.25" customHeight="1"/>
    <row r="20709" customFormat="1" ht="17.25" customHeight="1"/>
    <row r="20710" customFormat="1" ht="17.25" customHeight="1"/>
    <row r="20711" customFormat="1" ht="17.25" customHeight="1"/>
    <row r="20712" customFormat="1" ht="17.25" customHeight="1"/>
    <row r="20713" customFormat="1" ht="17.25" customHeight="1"/>
    <row r="20714" customFormat="1" ht="17.25" customHeight="1"/>
    <row r="20715" customFormat="1" ht="17.25" customHeight="1"/>
    <row r="20716" customFormat="1" ht="17.25" customHeight="1"/>
    <row r="20717" customFormat="1" ht="17.25" customHeight="1"/>
    <row r="20718" customFormat="1" ht="17.25" customHeight="1"/>
    <row r="20719" customFormat="1" ht="17.25" customHeight="1"/>
    <row r="20720" customFormat="1" ht="17.25" customHeight="1"/>
    <row r="20721" customFormat="1" ht="17.25" customHeight="1"/>
    <row r="20722" customFormat="1" ht="17.25" customHeight="1"/>
    <row r="20723" customFormat="1" ht="17.25" customHeight="1"/>
    <row r="20724" customFormat="1" ht="17.25" customHeight="1"/>
    <row r="20725" customFormat="1" ht="17.25" customHeight="1"/>
    <row r="20726" customFormat="1" ht="17.25" customHeight="1"/>
    <row r="20727" customFormat="1" ht="17.25" customHeight="1"/>
    <row r="20728" customFormat="1" ht="17.25" customHeight="1"/>
    <row r="20729" customFormat="1" ht="17.25" customHeight="1"/>
    <row r="20730" customFormat="1" ht="17.25" customHeight="1"/>
    <row r="20731" customFormat="1" ht="17.25" customHeight="1"/>
    <row r="20732" customFormat="1" ht="17.25" customHeight="1"/>
    <row r="20733" customFormat="1" ht="17.25" customHeight="1"/>
    <row r="20734" customFormat="1" ht="17.25" customHeight="1"/>
    <row r="20735" customFormat="1" ht="17.25" customHeight="1"/>
    <row r="20736" customFormat="1" ht="17.25" customHeight="1"/>
    <row r="20737" customFormat="1" ht="17.25" customHeight="1"/>
    <row r="20738" customFormat="1" ht="17.25" customHeight="1"/>
    <row r="20739" customFormat="1" ht="17.25" customHeight="1"/>
    <row r="20740" customFormat="1" ht="17.25" customHeight="1"/>
    <row r="20741" customFormat="1" ht="17.25" customHeight="1"/>
    <row r="20742" customFormat="1" ht="17.25" customHeight="1"/>
    <row r="20743" customFormat="1" ht="17.25" customHeight="1"/>
    <row r="20744" customFormat="1" ht="17.25" customHeight="1"/>
    <row r="20745" customFormat="1" ht="17.25" customHeight="1"/>
    <row r="20746" customFormat="1" ht="17.25" customHeight="1"/>
    <row r="20747" customFormat="1" ht="17.25" customHeight="1"/>
    <row r="20748" customFormat="1" ht="17.25" customHeight="1"/>
    <row r="20749" customFormat="1" ht="17.25" customHeight="1"/>
    <row r="20750" customFormat="1" ht="17.25" customHeight="1"/>
    <row r="20751" customFormat="1" ht="17.25" customHeight="1"/>
    <row r="20752" customFormat="1" ht="17.25" customHeight="1"/>
    <row r="20753" customFormat="1" ht="17.25" customHeight="1"/>
    <row r="20754" customFormat="1" ht="17.25" customHeight="1"/>
    <row r="20755" customFormat="1" ht="17.25" customHeight="1"/>
    <row r="20756" customFormat="1" ht="17.25" customHeight="1"/>
    <row r="20757" customFormat="1" ht="17.25" customHeight="1"/>
    <row r="20758" customFormat="1" ht="17.25" customHeight="1"/>
    <row r="20759" customFormat="1" ht="17.25" customHeight="1"/>
    <row r="20760" customFormat="1" ht="17.25" customHeight="1"/>
    <row r="20761" customFormat="1" ht="17.25" customHeight="1"/>
    <row r="20762" customFormat="1" ht="17.25" customHeight="1"/>
    <row r="20763" customFormat="1" ht="17.25" customHeight="1"/>
    <row r="20764" customFormat="1" ht="17.25" customHeight="1"/>
    <row r="20765" customFormat="1" ht="17.25" customHeight="1"/>
    <row r="20766" customFormat="1" ht="17.25" customHeight="1"/>
    <row r="20767" customFormat="1" ht="17.25" customHeight="1"/>
    <row r="20768" customFormat="1" ht="17.25" customHeight="1"/>
    <row r="20769" customFormat="1" ht="17.25" customHeight="1"/>
    <row r="20770" customFormat="1" ht="17.25" customHeight="1"/>
    <row r="20771" customFormat="1" ht="17.25" customHeight="1"/>
    <row r="20772" customFormat="1" ht="17.25" customHeight="1"/>
    <row r="20773" customFormat="1" ht="17.25" customHeight="1"/>
    <row r="20774" customFormat="1" ht="17.25" customHeight="1"/>
    <row r="20775" customFormat="1" ht="17.25" customHeight="1"/>
    <row r="20776" customFormat="1" ht="17.25" customHeight="1"/>
    <row r="20777" customFormat="1" ht="17.25" customHeight="1"/>
    <row r="20778" customFormat="1" ht="17.25" customHeight="1"/>
    <row r="20779" customFormat="1" ht="17.25" customHeight="1"/>
    <row r="20780" customFormat="1" ht="17.25" customHeight="1"/>
    <row r="20781" customFormat="1" ht="17.25" customHeight="1"/>
    <row r="20782" customFormat="1" ht="17.25" customHeight="1"/>
    <row r="20783" customFormat="1" ht="17.25" customHeight="1"/>
    <row r="20784" customFormat="1" ht="17.25" customHeight="1"/>
    <row r="20785" customFormat="1" ht="17.25" customHeight="1"/>
    <row r="20786" customFormat="1" ht="17.25" customHeight="1"/>
    <row r="20787" customFormat="1" ht="17.25" customHeight="1"/>
    <row r="20788" customFormat="1" ht="17.25" customHeight="1"/>
    <row r="20789" customFormat="1" ht="17.25" customHeight="1"/>
    <row r="20790" customFormat="1" ht="17.25" customHeight="1"/>
    <row r="20791" customFormat="1" ht="17.25" customHeight="1"/>
    <row r="20792" customFormat="1" ht="17.25" customHeight="1"/>
    <row r="20793" customFormat="1" ht="17.25" customHeight="1"/>
    <row r="20794" customFormat="1" ht="17.25" customHeight="1"/>
    <row r="20795" customFormat="1" ht="17.25" customHeight="1"/>
    <row r="20796" customFormat="1" ht="17.25" customHeight="1"/>
    <row r="20797" customFormat="1" ht="17.25" customHeight="1"/>
    <row r="20798" customFormat="1" ht="17.25" customHeight="1"/>
    <row r="20799" customFormat="1" ht="17.25" customHeight="1"/>
    <row r="20800" customFormat="1" ht="17.25" customHeight="1"/>
    <row r="20801" customFormat="1" ht="17.25" customHeight="1"/>
    <row r="20802" customFormat="1" ht="17.25" customHeight="1"/>
    <row r="20803" customFormat="1" ht="17.25" customHeight="1"/>
    <row r="20804" customFormat="1" ht="17.25" customHeight="1"/>
    <row r="20805" customFormat="1" ht="17.25" customHeight="1"/>
    <row r="20806" customFormat="1" ht="17.25" customHeight="1"/>
    <row r="20807" customFormat="1" ht="17.25" customHeight="1"/>
    <row r="20808" customFormat="1" ht="17.25" customHeight="1"/>
    <row r="20809" customFormat="1" ht="17.25" customHeight="1"/>
    <row r="20810" customFormat="1" ht="17.25" customHeight="1"/>
    <row r="20811" customFormat="1" ht="17.25" customHeight="1"/>
    <row r="20812" customFormat="1" ht="17.25" customHeight="1"/>
    <row r="20813" customFormat="1" ht="17.25" customHeight="1"/>
    <row r="20814" customFormat="1" ht="17.25" customHeight="1"/>
    <row r="20815" customFormat="1" ht="17.25" customHeight="1"/>
    <row r="20816" customFormat="1" ht="17.25" customHeight="1"/>
    <row r="20817" customFormat="1" ht="17.25" customHeight="1"/>
    <row r="20818" customFormat="1" ht="17.25" customHeight="1"/>
    <row r="20819" customFormat="1" ht="17.25" customHeight="1"/>
    <row r="20820" customFormat="1" ht="17.25" customHeight="1"/>
    <row r="20821" customFormat="1" ht="17.25" customHeight="1"/>
    <row r="20822" customFormat="1" ht="17.25" customHeight="1"/>
    <row r="20823" customFormat="1" ht="17.25" customHeight="1"/>
    <row r="20824" customFormat="1" ht="17.25" customHeight="1"/>
    <row r="20825" customFormat="1" ht="17.25" customHeight="1"/>
    <row r="20826" customFormat="1" ht="17.25" customHeight="1"/>
    <row r="20827" customFormat="1" ht="17.25" customHeight="1"/>
    <row r="20828" customFormat="1" ht="17.25" customHeight="1"/>
    <row r="20829" customFormat="1" ht="17.25" customHeight="1"/>
    <row r="20830" customFormat="1" ht="17.25" customHeight="1"/>
    <row r="20831" customFormat="1" ht="17.25" customHeight="1"/>
    <row r="20832" customFormat="1" ht="17.25" customHeight="1"/>
    <row r="20833" customFormat="1" ht="17.25" customHeight="1"/>
    <row r="20834" customFormat="1" ht="17.25" customHeight="1"/>
    <row r="20835" customFormat="1" ht="17.25" customHeight="1"/>
    <row r="20836" customFormat="1" ht="17.25" customHeight="1"/>
    <row r="20837" customFormat="1" ht="17.25" customHeight="1"/>
    <row r="20838" customFormat="1" ht="17.25" customHeight="1"/>
    <row r="20839" customFormat="1" ht="17.25" customHeight="1"/>
    <row r="20840" customFormat="1" ht="17.25" customHeight="1"/>
    <row r="20841" customFormat="1" ht="17.25" customHeight="1"/>
    <row r="20842" customFormat="1" ht="17.25" customHeight="1"/>
    <row r="20843" customFormat="1" ht="17.25" customHeight="1"/>
    <row r="20844" customFormat="1" ht="17.25" customHeight="1"/>
    <row r="20845" customFormat="1" ht="17.25" customHeight="1"/>
    <row r="20846" customFormat="1" ht="17.25" customHeight="1"/>
    <row r="20847" customFormat="1" ht="17.25" customHeight="1"/>
    <row r="20848" customFormat="1" ht="17.25" customHeight="1"/>
    <row r="20849" customFormat="1" ht="17.25" customHeight="1"/>
    <row r="20850" customFormat="1" ht="17.25" customHeight="1"/>
    <row r="20851" customFormat="1" ht="17.25" customHeight="1"/>
    <row r="20852" customFormat="1" ht="17.25" customHeight="1"/>
    <row r="20853" customFormat="1" ht="17.25" customHeight="1"/>
    <row r="20854" customFormat="1" ht="17.25" customHeight="1"/>
    <row r="20855" customFormat="1" ht="17.25" customHeight="1"/>
    <row r="20856" customFormat="1" ht="17.25" customHeight="1"/>
    <row r="20857" customFormat="1" ht="17.25" customHeight="1"/>
    <row r="20858" customFormat="1" ht="17.25" customHeight="1"/>
    <row r="20859" customFormat="1" ht="17.25" customHeight="1"/>
    <row r="20860" customFormat="1" ht="17.25" customHeight="1"/>
    <row r="20861" customFormat="1" ht="17.25" customHeight="1"/>
    <row r="20862" customFormat="1" ht="17.25" customHeight="1"/>
    <row r="20863" customFormat="1" ht="17.25" customHeight="1"/>
    <row r="20864" customFormat="1" ht="17.25" customHeight="1"/>
    <row r="20865" customFormat="1" ht="17.25" customHeight="1"/>
    <row r="20866" customFormat="1" ht="17.25" customHeight="1"/>
    <row r="20867" customFormat="1" ht="17.25" customHeight="1"/>
    <row r="20868" customFormat="1" ht="17.25" customHeight="1"/>
    <row r="20869" customFormat="1" ht="17.25" customHeight="1"/>
    <row r="20870" customFormat="1" ht="17.25" customHeight="1"/>
    <row r="20871" customFormat="1" ht="17.25" customHeight="1"/>
    <row r="20872" customFormat="1" ht="17.25" customHeight="1"/>
    <row r="20873" customFormat="1" ht="17.25" customHeight="1"/>
    <row r="20874" customFormat="1" ht="17.25" customHeight="1"/>
    <row r="20875" customFormat="1" ht="17.25" customHeight="1"/>
    <row r="20876" customFormat="1" ht="17.25" customHeight="1"/>
    <row r="20877" customFormat="1" ht="17.25" customHeight="1"/>
    <row r="20878" customFormat="1" ht="17.25" customHeight="1"/>
    <row r="20879" customFormat="1" ht="17.25" customHeight="1"/>
    <row r="20880" customFormat="1" ht="17.25" customHeight="1"/>
    <row r="20881" customFormat="1" ht="17.25" customHeight="1"/>
    <row r="20882" customFormat="1" ht="17.25" customHeight="1"/>
    <row r="20883" customFormat="1" ht="17.25" customHeight="1"/>
    <row r="20884" customFormat="1" ht="17.25" customHeight="1"/>
    <row r="20885" customFormat="1" ht="17.25" customHeight="1"/>
    <row r="20886" customFormat="1" ht="17.25" customHeight="1"/>
    <row r="20887" customFormat="1" ht="17.25" customHeight="1"/>
    <row r="20888" customFormat="1" ht="17.25" customHeight="1"/>
    <row r="20889" customFormat="1" ht="17.25" customHeight="1"/>
    <row r="20890" customFormat="1" ht="17.25" customHeight="1"/>
    <row r="20891" customFormat="1" ht="17.25" customHeight="1"/>
    <row r="20892" customFormat="1" ht="17.25" customHeight="1"/>
    <row r="20893" customFormat="1" ht="17.25" customHeight="1"/>
    <row r="20894" customFormat="1" ht="17.25" customHeight="1"/>
    <row r="20895" customFormat="1" ht="17.25" customHeight="1"/>
    <row r="20896" customFormat="1" ht="17.25" customHeight="1"/>
    <row r="20897" customFormat="1" ht="17.25" customHeight="1"/>
    <row r="20898" customFormat="1" ht="17.25" customHeight="1"/>
    <row r="20899" customFormat="1" ht="17.25" customHeight="1"/>
    <row r="20900" customFormat="1" ht="17.25" customHeight="1"/>
    <row r="20901" customFormat="1" ht="17.25" customHeight="1"/>
    <row r="20902" customFormat="1" ht="17.25" customHeight="1"/>
    <row r="20903" customFormat="1" ht="17.25" customHeight="1"/>
    <row r="20904" customFormat="1" ht="17.25" customHeight="1"/>
    <row r="20905" customFormat="1" ht="17.25" customHeight="1"/>
    <row r="20906" customFormat="1" ht="17.25" customHeight="1"/>
    <row r="20907" customFormat="1" ht="17.25" customHeight="1"/>
    <row r="20908" customFormat="1" ht="17.25" customHeight="1"/>
    <row r="20909" customFormat="1" ht="17.25" customHeight="1"/>
    <row r="20910" customFormat="1" ht="17.25" customHeight="1"/>
    <row r="20911" customFormat="1" ht="17.25" customHeight="1"/>
    <row r="20912" customFormat="1" ht="17.25" customHeight="1"/>
    <row r="20913" customFormat="1" ht="17.25" customHeight="1"/>
    <row r="20914" customFormat="1" ht="17.25" customHeight="1"/>
    <row r="20915" customFormat="1" ht="17.25" customHeight="1"/>
    <row r="20916" customFormat="1" ht="17.25" customHeight="1"/>
    <row r="20917" customFormat="1" ht="17.25" customHeight="1"/>
    <row r="20918" customFormat="1" ht="17.25" customHeight="1"/>
    <row r="20919" customFormat="1" ht="17.25" customHeight="1"/>
    <row r="20920" customFormat="1" ht="17.25" customHeight="1"/>
    <row r="20921" customFormat="1" ht="17.25" customHeight="1"/>
    <row r="20922" customFormat="1" ht="17.25" customHeight="1"/>
    <row r="20923" customFormat="1" ht="17.25" customHeight="1"/>
    <row r="20924" customFormat="1" ht="17.25" customHeight="1"/>
    <row r="20925" customFormat="1" ht="17.25" customHeight="1"/>
    <row r="20926" customFormat="1" ht="17.25" customHeight="1"/>
    <row r="20927" customFormat="1" ht="17.25" customHeight="1"/>
    <row r="20928" customFormat="1" ht="17.25" customHeight="1"/>
    <row r="20929" customFormat="1" ht="17.25" customHeight="1"/>
    <row r="20930" customFormat="1" ht="17.25" customHeight="1"/>
    <row r="20931" customFormat="1" ht="17.25" customHeight="1"/>
    <row r="20932" customFormat="1" ht="17.25" customHeight="1"/>
    <row r="20933" customFormat="1" ht="17.25" customHeight="1"/>
    <row r="20934" customFormat="1" ht="17.25" customHeight="1"/>
    <row r="20935" customFormat="1" ht="17.25" customHeight="1"/>
    <row r="20936" customFormat="1" ht="17.25" customHeight="1"/>
    <row r="20937" customFormat="1" ht="17.25" customHeight="1"/>
    <row r="20938" customFormat="1" ht="17.25" customHeight="1"/>
    <row r="20939" customFormat="1" ht="17.25" customHeight="1"/>
    <row r="20940" customFormat="1" ht="17.25" customHeight="1"/>
    <row r="20941" customFormat="1" ht="17.25" customHeight="1"/>
    <row r="20942" customFormat="1" ht="17.25" customHeight="1"/>
    <row r="20943" customFormat="1" ht="17.25" customHeight="1"/>
    <row r="20944" customFormat="1" ht="17.25" customHeight="1"/>
    <row r="20945" customFormat="1" ht="17.25" customHeight="1"/>
    <row r="20946" customFormat="1" ht="17.25" customHeight="1"/>
    <row r="20947" customFormat="1" ht="17.25" customHeight="1"/>
    <row r="20948" customFormat="1" ht="17.25" customHeight="1"/>
    <row r="20949" customFormat="1" ht="17.25" customHeight="1"/>
    <row r="20950" customFormat="1" ht="17.25" customHeight="1"/>
    <row r="20951" customFormat="1" ht="17.25" customHeight="1"/>
    <row r="20952" customFormat="1" ht="17.25" customHeight="1"/>
    <row r="20953" customFormat="1" ht="17.25" customHeight="1"/>
    <row r="20954" customFormat="1" ht="17.25" customHeight="1"/>
    <row r="20955" customFormat="1" ht="17.25" customHeight="1"/>
    <row r="20956" customFormat="1" ht="17.25" customHeight="1"/>
    <row r="20957" customFormat="1" ht="17.25" customHeight="1"/>
    <row r="20958" customFormat="1" ht="17.25" customHeight="1"/>
    <row r="20959" customFormat="1" ht="17.25" customHeight="1"/>
    <row r="20960" customFormat="1" ht="17.25" customHeight="1"/>
    <row r="20961" customFormat="1" ht="17.25" customHeight="1"/>
    <row r="20962" customFormat="1" ht="17.25" customHeight="1"/>
    <row r="20963" customFormat="1" ht="17.25" customHeight="1"/>
    <row r="20964" customFormat="1" ht="17.25" customHeight="1"/>
    <row r="20965" customFormat="1" ht="17.25" customHeight="1"/>
    <row r="20966" customFormat="1" ht="17.25" customHeight="1"/>
    <row r="20967" customFormat="1" ht="17.25" customHeight="1"/>
    <row r="20968" customFormat="1" ht="17.25" customHeight="1"/>
    <row r="20969" customFormat="1" ht="17.25" customHeight="1"/>
    <row r="20970" customFormat="1" ht="17.25" customHeight="1"/>
    <row r="20971" customFormat="1" ht="17.25" customHeight="1"/>
    <row r="20972" customFormat="1" ht="17.25" customHeight="1"/>
    <row r="20973" customFormat="1" ht="17.25" customHeight="1"/>
    <row r="20974" customFormat="1" ht="17.25" customHeight="1"/>
    <row r="20975" customFormat="1" ht="17.25" customHeight="1"/>
    <row r="20976" customFormat="1" ht="17.25" customHeight="1"/>
    <row r="20977" customFormat="1" ht="17.25" customHeight="1"/>
    <row r="20978" customFormat="1" ht="17.25" customHeight="1"/>
    <row r="20979" customFormat="1" ht="17.25" customHeight="1"/>
    <row r="20980" customFormat="1" ht="17.25" customHeight="1"/>
    <row r="20981" customFormat="1" ht="17.25" customHeight="1"/>
    <row r="20982" customFormat="1" ht="17.25" customHeight="1"/>
    <row r="20983" customFormat="1" ht="17.25" customHeight="1"/>
    <row r="20984" customFormat="1" ht="17.25" customHeight="1"/>
    <row r="20985" customFormat="1" ht="17.25" customHeight="1"/>
    <row r="20986" customFormat="1" ht="17.25" customHeight="1"/>
    <row r="20987" customFormat="1" ht="17.25" customHeight="1"/>
    <row r="20988" customFormat="1" ht="17.25" customHeight="1"/>
    <row r="20989" customFormat="1" ht="17.25" customHeight="1"/>
    <row r="20990" customFormat="1" ht="17.25" customHeight="1"/>
    <row r="20991" customFormat="1" ht="17.25" customHeight="1"/>
    <row r="20992" customFormat="1" ht="17.25" customHeight="1"/>
    <row r="20993" customFormat="1" ht="17.25" customHeight="1"/>
    <row r="20994" customFormat="1" ht="17.25" customHeight="1"/>
    <row r="20995" customFormat="1" ht="17.25" customHeight="1"/>
    <row r="20996" customFormat="1" ht="17.25" customHeight="1"/>
    <row r="20997" customFormat="1" ht="17.25" customHeight="1"/>
    <row r="20998" customFormat="1" ht="17.25" customHeight="1"/>
    <row r="20999" customFormat="1" ht="17.25" customHeight="1"/>
    <row r="21000" customFormat="1" ht="17.25" customHeight="1"/>
    <row r="21001" customFormat="1" ht="17.25" customHeight="1"/>
    <row r="21002" customFormat="1" ht="17.25" customHeight="1"/>
    <row r="21003" customFormat="1" ht="17.25" customHeight="1"/>
    <row r="21004" customFormat="1" ht="17.25" customHeight="1"/>
    <row r="21005" customFormat="1" ht="17.25" customHeight="1"/>
    <row r="21006" customFormat="1" ht="17.25" customHeight="1"/>
    <row r="21007" customFormat="1" ht="17.25" customHeight="1"/>
    <row r="21008" customFormat="1" ht="17.25" customHeight="1"/>
    <row r="21009" customFormat="1" ht="17.25" customHeight="1"/>
    <row r="21010" customFormat="1" ht="17.25" customHeight="1"/>
    <row r="21011" customFormat="1" ht="17.25" customHeight="1"/>
    <row r="21012" customFormat="1" ht="17.25" customHeight="1"/>
    <row r="21013" customFormat="1" ht="17.25" customHeight="1"/>
    <row r="21014" customFormat="1" ht="17.25" customHeight="1"/>
    <row r="21015" customFormat="1" ht="17.25" customHeight="1"/>
    <row r="21016" customFormat="1" ht="17.25" customHeight="1"/>
    <row r="21017" customFormat="1" ht="17.25" customHeight="1"/>
    <row r="21018" customFormat="1" ht="17.25" customHeight="1"/>
    <row r="21019" customFormat="1" ht="17.25" customHeight="1"/>
    <row r="21020" customFormat="1" ht="17.25" customHeight="1"/>
    <row r="21021" customFormat="1" ht="17.25" customHeight="1"/>
    <row r="21022" customFormat="1" ht="17.25" customHeight="1"/>
    <row r="21023" customFormat="1" ht="17.25" customHeight="1"/>
    <row r="21024" customFormat="1" ht="17.25" customHeight="1"/>
    <row r="21025" customFormat="1" ht="17.25" customHeight="1"/>
    <row r="21026" customFormat="1" ht="17.25" customHeight="1"/>
    <row r="21027" customFormat="1" ht="17.25" customHeight="1"/>
    <row r="21028" customFormat="1" ht="17.25" customHeight="1"/>
    <row r="21029" customFormat="1" ht="17.25" customHeight="1"/>
    <row r="21030" customFormat="1" ht="17.25" customHeight="1"/>
    <row r="21031" customFormat="1" ht="17.25" customHeight="1"/>
    <row r="21032" customFormat="1" ht="17.25" customHeight="1"/>
    <row r="21033" customFormat="1" ht="17.25" customHeight="1"/>
    <row r="21034" customFormat="1" ht="17.25" customHeight="1"/>
    <row r="21035" customFormat="1" ht="17.25" customHeight="1"/>
    <row r="21036" customFormat="1" ht="17.25" customHeight="1"/>
    <row r="21037" customFormat="1" ht="17.25" customHeight="1"/>
    <row r="21038" customFormat="1" ht="17.25" customHeight="1"/>
    <row r="21039" customFormat="1" ht="17.25" customHeight="1"/>
    <row r="21040" customFormat="1" ht="17.25" customHeight="1"/>
    <row r="21041" customFormat="1" ht="17.25" customHeight="1"/>
    <row r="21042" customFormat="1" ht="17.25" customHeight="1"/>
    <row r="21043" customFormat="1" ht="17.25" customHeight="1"/>
    <row r="21044" customFormat="1" ht="17.25" customHeight="1"/>
    <row r="21045" customFormat="1" ht="17.25" customHeight="1"/>
    <row r="21046" customFormat="1" ht="17.25" customHeight="1"/>
    <row r="21047" customFormat="1" ht="17.25" customHeight="1"/>
    <row r="21048" customFormat="1" ht="17.25" customHeight="1"/>
    <row r="21049" customFormat="1" ht="17.25" customHeight="1"/>
    <row r="21050" customFormat="1" ht="17.25" customHeight="1"/>
    <row r="21051" customFormat="1" ht="17.25" customHeight="1"/>
    <row r="21052" customFormat="1" ht="17.25" customHeight="1"/>
    <row r="21053" customFormat="1" ht="17.25" customHeight="1"/>
    <row r="21054" customFormat="1" ht="17.25" customHeight="1"/>
    <row r="21055" customFormat="1" ht="17.25" customHeight="1"/>
    <row r="21056" customFormat="1" ht="17.25" customHeight="1"/>
    <row r="21057" customFormat="1" ht="17.25" customHeight="1"/>
    <row r="21058" customFormat="1" ht="17.25" customHeight="1"/>
    <row r="21059" customFormat="1" ht="17.25" customHeight="1"/>
    <row r="21060" customFormat="1" ht="17.25" customHeight="1"/>
    <row r="21061" customFormat="1" ht="17.25" customHeight="1"/>
    <row r="21062" customFormat="1" ht="17.25" customHeight="1"/>
    <row r="21063" customFormat="1" ht="17.25" customHeight="1"/>
    <row r="21064" customFormat="1" ht="17.25" customHeight="1"/>
    <row r="21065" customFormat="1" ht="17.25" customHeight="1"/>
    <row r="21066" customFormat="1" ht="17.25" customHeight="1"/>
    <row r="21067" customFormat="1" ht="17.25" customHeight="1"/>
    <row r="21068" customFormat="1" ht="17.25" customHeight="1"/>
    <row r="21069" customFormat="1" ht="17.25" customHeight="1"/>
    <row r="21070" customFormat="1" ht="17.25" customHeight="1"/>
    <row r="21071" customFormat="1" ht="17.25" customHeight="1"/>
    <row r="21072" customFormat="1" ht="17.25" customHeight="1"/>
    <row r="21073" customFormat="1" ht="17.25" customHeight="1"/>
    <row r="21074" customFormat="1" ht="17.25" customHeight="1"/>
    <row r="21075" customFormat="1" ht="17.25" customHeight="1"/>
    <row r="21076" customFormat="1" ht="17.25" customHeight="1"/>
    <row r="21077" customFormat="1" ht="17.25" customHeight="1"/>
    <row r="21078" customFormat="1" ht="17.25" customHeight="1"/>
    <row r="21079" customFormat="1" ht="17.25" customHeight="1"/>
    <row r="21080" customFormat="1" ht="17.25" customHeight="1"/>
    <row r="21081" customFormat="1" ht="17.25" customHeight="1"/>
    <row r="21082" customFormat="1" ht="17.25" customHeight="1"/>
    <row r="21083" customFormat="1" ht="17.25" customHeight="1"/>
    <row r="21084" customFormat="1" ht="17.25" customHeight="1"/>
    <row r="21085" customFormat="1" ht="17.25" customHeight="1"/>
    <row r="21086" customFormat="1" ht="17.25" customHeight="1"/>
    <row r="21087" customFormat="1" ht="17.25" customHeight="1"/>
    <row r="21088" customFormat="1" ht="17.25" customHeight="1"/>
    <row r="21089" customFormat="1" ht="17.25" customHeight="1"/>
    <row r="21090" customFormat="1" ht="17.25" customHeight="1"/>
    <row r="21091" customFormat="1" ht="17.25" customHeight="1"/>
    <row r="21092" customFormat="1" ht="17.25" customHeight="1"/>
    <row r="21093" customFormat="1" ht="17.25" customHeight="1"/>
    <row r="21094" customFormat="1" ht="17.25" customHeight="1"/>
    <row r="21095" customFormat="1" ht="17.25" customHeight="1"/>
    <row r="21096" customFormat="1" ht="17.25" customHeight="1"/>
    <row r="21097" customFormat="1" ht="17.25" customHeight="1"/>
    <row r="21098" customFormat="1" ht="17.25" customHeight="1"/>
    <row r="21099" customFormat="1" ht="17.25" customHeight="1"/>
    <row r="21100" customFormat="1" ht="17.25" customHeight="1"/>
    <row r="21101" customFormat="1" ht="17.25" customHeight="1"/>
    <row r="21102" customFormat="1" ht="17.25" customHeight="1"/>
    <row r="21103" customFormat="1" ht="17.25" customHeight="1"/>
    <row r="21104" customFormat="1" ht="17.25" customHeight="1"/>
    <row r="21105" customFormat="1" ht="17.25" customHeight="1"/>
    <row r="21106" customFormat="1" ht="17.25" customHeight="1"/>
    <row r="21107" customFormat="1" ht="17.25" customHeight="1"/>
    <row r="21108" customFormat="1" ht="17.25" customHeight="1"/>
    <row r="21109" customFormat="1" ht="17.25" customHeight="1"/>
    <row r="21110" customFormat="1" ht="17.25" customHeight="1"/>
    <row r="21111" customFormat="1" ht="17.25" customHeight="1"/>
    <row r="21112" customFormat="1" ht="17.25" customHeight="1"/>
    <row r="21113" customFormat="1" ht="17.25" customHeight="1"/>
    <row r="21114" customFormat="1" ht="17.25" customHeight="1"/>
    <row r="21115" customFormat="1" ht="17.25" customHeight="1"/>
    <row r="21116" customFormat="1" ht="17.25" customHeight="1"/>
    <row r="21117" customFormat="1" ht="17.25" customHeight="1"/>
    <row r="21118" customFormat="1" ht="17.25" customHeight="1"/>
    <row r="21119" customFormat="1" ht="17.25" customHeight="1"/>
    <row r="21120" customFormat="1" ht="17.25" customHeight="1"/>
    <row r="21121" customFormat="1" ht="17.25" customHeight="1"/>
    <row r="21122" customFormat="1" ht="17.25" customHeight="1"/>
    <row r="21123" customFormat="1" ht="17.25" customHeight="1"/>
    <row r="21124" customFormat="1" ht="17.25" customHeight="1"/>
    <row r="21125" customFormat="1" ht="17.25" customHeight="1"/>
    <row r="21126" customFormat="1" ht="17.25" customHeight="1"/>
    <row r="21127" customFormat="1" ht="17.25" customHeight="1"/>
    <row r="21128" customFormat="1" ht="17.25" customHeight="1"/>
    <row r="21129" customFormat="1" ht="17.25" customHeight="1"/>
    <row r="21130" customFormat="1" ht="17.25" customHeight="1"/>
    <row r="21131" customFormat="1" ht="17.25" customHeight="1"/>
    <row r="21132" customFormat="1" ht="17.25" customHeight="1"/>
    <row r="21133" customFormat="1" ht="17.25" customHeight="1"/>
    <row r="21134" customFormat="1" ht="17.25" customHeight="1"/>
    <row r="21135" customFormat="1" ht="17.25" customHeight="1"/>
    <row r="21136" customFormat="1" ht="17.25" customHeight="1"/>
    <row r="21137" customFormat="1" ht="17.25" customHeight="1"/>
    <row r="21138" customFormat="1" ht="17.25" customHeight="1"/>
    <row r="21139" customFormat="1" ht="17.25" customHeight="1"/>
    <row r="21140" customFormat="1" ht="17.25" customHeight="1"/>
    <row r="21141" customFormat="1" ht="17.25" customHeight="1"/>
    <row r="21142" customFormat="1" ht="17.25" customHeight="1"/>
    <row r="21143" customFormat="1" ht="17.25" customHeight="1"/>
    <row r="21144" customFormat="1" ht="17.25" customHeight="1"/>
    <row r="21145" customFormat="1" ht="17.25" customHeight="1"/>
    <row r="21146" customFormat="1" ht="17.25" customHeight="1"/>
    <row r="21147" customFormat="1" ht="17.25" customHeight="1"/>
    <row r="21148" customFormat="1" ht="17.25" customHeight="1"/>
    <row r="21149" customFormat="1" ht="17.25" customHeight="1"/>
    <row r="21150" customFormat="1" ht="17.25" customHeight="1"/>
    <row r="21151" customFormat="1" ht="17.25" customHeight="1"/>
    <row r="21152" customFormat="1" ht="17.25" customHeight="1"/>
    <row r="21153" customFormat="1" ht="17.25" customHeight="1"/>
    <row r="21154" customFormat="1" ht="17.25" customHeight="1"/>
    <row r="21155" customFormat="1" ht="17.25" customHeight="1"/>
    <row r="21156" customFormat="1" ht="17.25" customHeight="1"/>
    <row r="21157" customFormat="1" ht="17.25" customHeight="1"/>
    <row r="21158" customFormat="1" ht="17.25" customHeight="1"/>
    <row r="21159" customFormat="1" ht="17.25" customHeight="1"/>
    <row r="21160" customFormat="1" ht="17.25" customHeight="1"/>
    <row r="21161" customFormat="1" ht="17.25" customHeight="1"/>
    <row r="21162" customFormat="1" ht="17.25" customHeight="1"/>
    <row r="21163" customFormat="1" ht="17.25" customHeight="1"/>
    <row r="21164" customFormat="1" ht="17.25" customHeight="1"/>
    <row r="21165" customFormat="1" ht="17.25" customHeight="1"/>
    <row r="21166" customFormat="1" ht="17.25" customHeight="1"/>
    <row r="21167" customFormat="1" ht="17.25" customHeight="1"/>
    <row r="21168" customFormat="1" ht="17.25" customHeight="1"/>
    <row r="21169" customFormat="1" ht="17.25" customHeight="1"/>
    <row r="21170" customFormat="1" ht="17.25" customHeight="1"/>
    <row r="21171" customFormat="1" ht="17.25" customHeight="1"/>
    <row r="21172" customFormat="1" ht="17.25" customHeight="1"/>
    <row r="21173" customFormat="1" ht="17.25" customHeight="1"/>
    <row r="21174" customFormat="1" ht="17.25" customHeight="1"/>
    <row r="21175" customFormat="1" ht="17.25" customHeight="1"/>
    <row r="21176" customFormat="1" ht="17.25" customHeight="1"/>
    <row r="21177" customFormat="1" ht="17.25" customHeight="1"/>
    <row r="21178" customFormat="1" ht="17.25" customHeight="1"/>
    <row r="21179" customFormat="1" ht="17.25" customHeight="1"/>
    <row r="21180" customFormat="1" ht="17.25" customHeight="1"/>
    <row r="21181" customFormat="1" ht="17.25" customHeight="1"/>
    <row r="21182" customFormat="1" ht="17.25" customHeight="1"/>
    <row r="21183" customFormat="1" ht="17.25" customHeight="1"/>
    <row r="21184" customFormat="1" ht="17.25" customHeight="1"/>
    <row r="21185" customFormat="1" ht="17.25" customHeight="1"/>
    <row r="21186" customFormat="1" ht="17.25" customHeight="1"/>
    <row r="21187" customFormat="1" ht="17.25" customHeight="1"/>
    <row r="21188" customFormat="1" ht="17.25" customHeight="1"/>
    <row r="21189" customFormat="1" ht="17.25" customHeight="1"/>
    <row r="21190" customFormat="1" ht="17.25" customHeight="1"/>
    <row r="21191" customFormat="1" ht="17.25" customHeight="1"/>
    <row r="21192" customFormat="1" ht="17.25" customHeight="1"/>
    <row r="21193" customFormat="1" ht="17.25" customHeight="1"/>
    <row r="21194" customFormat="1" ht="17.25" customHeight="1"/>
    <row r="21195" customFormat="1" ht="17.25" customHeight="1"/>
    <row r="21196" customFormat="1" ht="17.25" customHeight="1"/>
    <row r="21197" customFormat="1" ht="17.25" customHeight="1"/>
    <row r="21198" customFormat="1" ht="17.25" customHeight="1"/>
    <row r="21199" customFormat="1" ht="17.25" customHeight="1"/>
    <row r="21200" customFormat="1" ht="17.25" customHeight="1"/>
    <row r="21201" customFormat="1" ht="17.25" customHeight="1"/>
    <row r="21202" customFormat="1" ht="17.25" customHeight="1"/>
    <row r="21203" customFormat="1" ht="17.25" customHeight="1"/>
    <row r="21204" customFormat="1" ht="17.25" customHeight="1"/>
    <row r="21205" customFormat="1" ht="17.25" customHeight="1"/>
    <row r="21206" customFormat="1" ht="17.25" customHeight="1"/>
    <row r="21207" customFormat="1" ht="17.25" customHeight="1"/>
    <row r="21208" customFormat="1" ht="17.25" customHeight="1"/>
    <row r="21209" customFormat="1" ht="17.25" customHeight="1"/>
    <row r="21210" customFormat="1" ht="17.25" customHeight="1"/>
    <row r="21211" customFormat="1" ht="17.25" customHeight="1"/>
    <row r="21212" customFormat="1" ht="17.25" customHeight="1"/>
    <row r="21213" customFormat="1" ht="17.25" customHeight="1"/>
    <row r="21214" customFormat="1" ht="17.25" customHeight="1"/>
    <row r="21215" customFormat="1" ht="17.25" customHeight="1"/>
    <row r="21216" customFormat="1" ht="17.25" customHeight="1"/>
    <row r="21217" customFormat="1" ht="17.25" customHeight="1"/>
    <row r="21218" customFormat="1" ht="17.25" customHeight="1"/>
    <row r="21219" customFormat="1" ht="17.25" customHeight="1"/>
    <row r="21220" customFormat="1" ht="17.25" customHeight="1"/>
    <row r="21221" customFormat="1" ht="17.25" customHeight="1"/>
    <row r="21222" customFormat="1" ht="17.25" customHeight="1"/>
    <row r="21223" customFormat="1" ht="17.25" customHeight="1"/>
    <row r="21224" customFormat="1" ht="17.25" customHeight="1"/>
    <row r="21225" customFormat="1" ht="17.25" customHeight="1"/>
    <row r="21226" customFormat="1" ht="17.25" customHeight="1"/>
    <row r="21227" customFormat="1" ht="17.25" customHeight="1"/>
    <row r="21228" customFormat="1" ht="17.25" customHeight="1"/>
    <row r="21229" customFormat="1" ht="17.25" customHeight="1"/>
    <row r="21230" customFormat="1" ht="17.25" customHeight="1"/>
    <row r="21231" customFormat="1" ht="17.25" customHeight="1"/>
    <row r="21232" customFormat="1" ht="17.25" customHeight="1"/>
    <row r="21233" customFormat="1" ht="17.25" customHeight="1"/>
    <row r="21234" customFormat="1" ht="17.25" customHeight="1"/>
    <row r="21235" customFormat="1" ht="17.25" customHeight="1"/>
    <row r="21236" customFormat="1" ht="17.25" customHeight="1"/>
    <row r="21237" customFormat="1" ht="17.25" customHeight="1"/>
    <row r="21238" customFormat="1" ht="17.25" customHeight="1"/>
    <row r="21239" customFormat="1" ht="17.25" customHeight="1"/>
    <row r="21240" customFormat="1" ht="17.25" customHeight="1"/>
    <row r="21241" customFormat="1" ht="17.25" customHeight="1"/>
    <row r="21242" customFormat="1" ht="17.25" customHeight="1"/>
    <row r="21243" customFormat="1" ht="17.25" customHeight="1"/>
    <row r="21244" customFormat="1" ht="17.25" customHeight="1"/>
    <row r="21245" customFormat="1" ht="17.25" customHeight="1"/>
    <row r="21246" customFormat="1" ht="17.25" customHeight="1"/>
    <row r="21247" customFormat="1" ht="17.25" customHeight="1"/>
    <row r="21248" customFormat="1" ht="17.25" customHeight="1"/>
    <row r="21249" customFormat="1" ht="17.25" customHeight="1"/>
    <row r="21250" customFormat="1" ht="17.25" customHeight="1"/>
    <row r="21251" customFormat="1" ht="17.25" customHeight="1"/>
    <row r="21252" customFormat="1" ht="17.25" customHeight="1"/>
    <row r="21253" customFormat="1" ht="17.25" customHeight="1"/>
    <row r="21254" customFormat="1" ht="17.25" customHeight="1"/>
    <row r="21255" customFormat="1" ht="17.25" customHeight="1"/>
    <row r="21256" customFormat="1" ht="17.25" customHeight="1"/>
    <row r="21257" customFormat="1" ht="17.25" customHeight="1"/>
    <row r="21258" customFormat="1" ht="17.25" customHeight="1"/>
    <row r="21259" customFormat="1" ht="17.25" customHeight="1"/>
    <row r="21260" customFormat="1" ht="17.25" customHeight="1"/>
    <row r="21261" customFormat="1" ht="17.25" customHeight="1"/>
    <row r="21262" customFormat="1" ht="17.25" customHeight="1"/>
    <row r="21263" customFormat="1" ht="17.25" customHeight="1"/>
    <row r="21264" customFormat="1" ht="17.25" customHeight="1"/>
    <row r="21265" customFormat="1" ht="17.25" customHeight="1"/>
    <row r="21266" customFormat="1" ht="17.25" customHeight="1"/>
    <row r="21267" customFormat="1" ht="17.25" customHeight="1"/>
    <row r="21268" customFormat="1" ht="17.25" customHeight="1"/>
    <row r="21269" customFormat="1" ht="17.25" customHeight="1"/>
    <row r="21270" customFormat="1" ht="17.25" customHeight="1"/>
    <row r="21271" customFormat="1" ht="17.25" customHeight="1"/>
    <row r="21272" customFormat="1" ht="17.25" customHeight="1"/>
    <row r="21273" customFormat="1" ht="17.25" customHeight="1"/>
    <row r="21274" customFormat="1" ht="17.25" customHeight="1"/>
    <row r="21275" customFormat="1" ht="17.25" customHeight="1"/>
    <row r="21276" customFormat="1" ht="17.25" customHeight="1"/>
    <row r="21277" customFormat="1" ht="17.25" customHeight="1"/>
    <row r="21278" customFormat="1" ht="17.25" customHeight="1"/>
    <row r="21279" customFormat="1" ht="17.25" customHeight="1"/>
    <row r="21280" customFormat="1" ht="17.25" customHeight="1"/>
    <row r="21281" customFormat="1" ht="17.25" customHeight="1"/>
    <row r="21282" customFormat="1" ht="17.25" customHeight="1"/>
    <row r="21283" customFormat="1" ht="17.25" customHeight="1"/>
    <row r="21284" customFormat="1" ht="17.25" customHeight="1"/>
    <row r="21285" customFormat="1" ht="17.25" customHeight="1"/>
    <row r="21286" customFormat="1" ht="17.25" customHeight="1"/>
    <row r="21287" customFormat="1" ht="17.25" customHeight="1"/>
    <row r="21288" customFormat="1" ht="17.25" customHeight="1"/>
    <row r="21289" customFormat="1" ht="17.25" customHeight="1"/>
    <row r="21290" customFormat="1" ht="17.25" customHeight="1"/>
    <row r="21291" customFormat="1" ht="17.25" customHeight="1"/>
    <row r="21292" customFormat="1" ht="17.25" customHeight="1"/>
    <row r="21293" customFormat="1" ht="17.25" customHeight="1"/>
    <row r="21294" customFormat="1" ht="17.25" customHeight="1"/>
    <row r="21295" customFormat="1" ht="17.25" customHeight="1"/>
    <row r="21296" customFormat="1" ht="17.25" customHeight="1"/>
    <row r="21297" customFormat="1" ht="17.25" customHeight="1"/>
    <row r="21298" customFormat="1" ht="17.25" customHeight="1"/>
    <row r="21299" customFormat="1" ht="17.25" customHeight="1"/>
    <row r="21300" customFormat="1" ht="17.25" customHeight="1"/>
    <row r="21301" customFormat="1" ht="17.25" customHeight="1"/>
    <row r="21302" customFormat="1" ht="17.25" customHeight="1"/>
    <row r="21303" customFormat="1" ht="17.25" customHeight="1"/>
    <row r="21304" customFormat="1" ht="17.25" customHeight="1"/>
    <row r="21305" customFormat="1" ht="17.25" customHeight="1"/>
    <row r="21306" customFormat="1" ht="17.25" customHeight="1"/>
    <row r="21307" customFormat="1" ht="17.25" customHeight="1"/>
    <row r="21308" customFormat="1" ht="17.25" customHeight="1"/>
    <row r="21309" customFormat="1" ht="17.25" customHeight="1"/>
    <row r="21310" customFormat="1" ht="17.25" customHeight="1"/>
    <row r="21311" customFormat="1" ht="17.25" customHeight="1"/>
    <row r="21312" customFormat="1" ht="17.25" customHeight="1"/>
    <row r="21313" customFormat="1" ht="17.25" customHeight="1"/>
    <row r="21314" customFormat="1" ht="17.25" customHeight="1"/>
    <row r="21315" customFormat="1" ht="17.25" customHeight="1"/>
    <row r="21316" customFormat="1" ht="17.25" customHeight="1"/>
    <row r="21317" customFormat="1" ht="17.25" customHeight="1"/>
    <row r="21318" customFormat="1" ht="17.25" customHeight="1"/>
    <row r="21319" customFormat="1" ht="17.25" customHeight="1"/>
    <row r="21320" customFormat="1" ht="17.25" customHeight="1"/>
    <row r="21321" customFormat="1" ht="17.25" customHeight="1"/>
    <row r="21322" customFormat="1" ht="17.25" customHeight="1"/>
    <row r="21323" customFormat="1" ht="17.25" customHeight="1"/>
    <row r="21324" customFormat="1" ht="17.25" customHeight="1"/>
    <row r="21325" customFormat="1" ht="17.25" customHeight="1"/>
    <row r="21326" customFormat="1" ht="17.25" customHeight="1"/>
    <row r="21327" customFormat="1" ht="17.25" customHeight="1"/>
    <row r="21328" customFormat="1" ht="17.25" customHeight="1"/>
    <row r="21329" customFormat="1" ht="17.25" customHeight="1"/>
    <row r="21330" customFormat="1" ht="17.25" customHeight="1"/>
    <row r="21331" customFormat="1" ht="17.25" customHeight="1"/>
    <row r="21332" customFormat="1" ht="17.25" customHeight="1"/>
    <row r="21333" customFormat="1" ht="17.25" customHeight="1"/>
    <row r="21334" customFormat="1" ht="17.25" customHeight="1"/>
    <row r="21335" customFormat="1" ht="17.25" customHeight="1"/>
    <row r="21336" customFormat="1" ht="17.25" customHeight="1"/>
    <row r="21337" customFormat="1" ht="17.25" customHeight="1"/>
    <row r="21338" customFormat="1" ht="17.25" customHeight="1"/>
    <row r="21339" customFormat="1" ht="17.25" customHeight="1"/>
    <row r="21340" customFormat="1" ht="17.25" customHeight="1"/>
    <row r="21341" customFormat="1" ht="17.25" customHeight="1"/>
    <row r="21342" customFormat="1" ht="17.25" customHeight="1"/>
    <row r="21343" customFormat="1" ht="17.25" customHeight="1"/>
    <row r="21344" customFormat="1" ht="17.25" customHeight="1"/>
    <row r="21345" customFormat="1" ht="17.25" customHeight="1"/>
    <row r="21346" customFormat="1" ht="17.25" customHeight="1"/>
    <row r="21347" customFormat="1" ht="17.25" customHeight="1"/>
    <row r="21348" customFormat="1" ht="17.25" customHeight="1"/>
    <row r="21349" customFormat="1" ht="17.25" customHeight="1"/>
    <row r="21350" customFormat="1" ht="17.25" customHeight="1"/>
    <row r="21351" customFormat="1" ht="17.25" customHeight="1"/>
    <row r="21352" customFormat="1" ht="17.25" customHeight="1"/>
    <row r="21353" customFormat="1" ht="17.25" customHeight="1"/>
    <row r="21354" customFormat="1" ht="17.25" customHeight="1"/>
    <row r="21355" customFormat="1" ht="17.25" customHeight="1"/>
    <row r="21356" customFormat="1" ht="17.25" customHeight="1"/>
    <row r="21357" customFormat="1" ht="17.25" customHeight="1"/>
    <row r="21358" customFormat="1" ht="17.25" customHeight="1"/>
    <row r="21359" customFormat="1" ht="17.25" customHeight="1"/>
    <row r="21360" customFormat="1" ht="17.25" customHeight="1"/>
    <row r="21361" customFormat="1" ht="17.25" customHeight="1"/>
    <row r="21362" customFormat="1" ht="17.25" customHeight="1"/>
    <row r="21363" customFormat="1" ht="17.25" customHeight="1"/>
    <row r="21364" customFormat="1" ht="17.25" customHeight="1"/>
    <row r="21365" customFormat="1" ht="17.25" customHeight="1"/>
    <row r="21366" customFormat="1" ht="17.25" customHeight="1"/>
    <row r="21367" customFormat="1" ht="17.25" customHeight="1"/>
    <row r="21368" customFormat="1" ht="17.25" customHeight="1"/>
    <row r="21369" customFormat="1" ht="17.25" customHeight="1"/>
    <row r="21370" customFormat="1" ht="17.25" customHeight="1"/>
    <row r="21371" customFormat="1" ht="17.25" customHeight="1"/>
    <row r="21372" customFormat="1" ht="17.25" customHeight="1"/>
    <row r="21373" customFormat="1" ht="17.25" customHeight="1"/>
    <row r="21374" customFormat="1" ht="17.25" customHeight="1"/>
    <row r="21375" customFormat="1" ht="17.25" customHeight="1"/>
    <row r="21376" customFormat="1" ht="17.25" customHeight="1"/>
    <row r="21377" customFormat="1" ht="17.25" customHeight="1"/>
    <row r="21378" customFormat="1" ht="17.25" customHeight="1"/>
    <row r="21379" customFormat="1" ht="17.25" customHeight="1"/>
    <row r="21380" customFormat="1" ht="17.25" customHeight="1"/>
    <row r="21381" customFormat="1" ht="17.25" customHeight="1"/>
    <row r="21382" customFormat="1" ht="17.25" customHeight="1"/>
    <row r="21383" customFormat="1" ht="17.25" customHeight="1"/>
    <row r="21384" customFormat="1" ht="17.25" customHeight="1"/>
    <row r="21385" customFormat="1" ht="17.25" customHeight="1"/>
    <row r="21386" customFormat="1" ht="17.25" customHeight="1"/>
    <row r="21387" customFormat="1" ht="17.25" customHeight="1"/>
    <row r="21388" customFormat="1" ht="17.25" customHeight="1"/>
    <row r="21389" customFormat="1" ht="17.25" customHeight="1"/>
    <row r="21390" customFormat="1" ht="17.25" customHeight="1"/>
    <row r="21391" customFormat="1" ht="17.25" customHeight="1"/>
    <row r="21392" customFormat="1" ht="17.25" customHeight="1"/>
    <row r="21393" customFormat="1" ht="17.25" customHeight="1"/>
    <row r="21394" customFormat="1" ht="17.25" customHeight="1"/>
    <row r="21395" customFormat="1" ht="17.25" customHeight="1"/>
    <row r="21396" customFormat="1" ht="17.25" customHeight="1"/>
    <row r="21397" customFormat="1" ht="17.25" customHeight="1"/>
    <row r="21398" customFormat="1" ht="17.25" customHeight="1"/>
    <row r="21399" customFormat="1" ht="17.25" customHeight="1"/>
    <row r="21400" customFormat="1" ht="17.25" customHeight="1"/>
    <row r="21401" customFormat="1" ht="17.25" customHeight="1"/>
    <row r="21402" customFormat="1" ht="17.25" customHeight="1"/>
    <row r="21403" customFormat="1" ht="17.25" customHeight="1"/>
    <row r="21404" customFormat="1" ht="17.25" customHeight="1"/>
    <row r="21405" customFormat="1" ht="17.25" customHeight="1"/>
    <row r="21406" customFormat="1" ht="17.25" customHeight="1"/>
    <row r="21407" customFormat="1" ht="17.25" customHeight="1"/>
    <row r="21408" customFormat="1" ht="17.25" customHeight="1"/>
    <row r="21409" customFormat="1" ht="17.25" customHeight="1"/>
    <row r="21410" customFormat="1" ht="17.25" customHeight="1"/>
    <row r="21411" customFormat="1" ht="17.25" customHeight="1"/>
    <row r="21412" customFormat="1" ht="17.25" customHeight="1"/>
    <row r="21413" customFormat="1" ht="17.25" customHeight="1"/>
    <row r="21414" customFormat="1" ht="17.25" customHeight="1"/>
    <row r="21415" customFormat="1" ht="17.25" customHeight="1"/>
    <row r="21416" customFormat="1" ht="17.25" customHeight="1"/>
    <row r="21417" customFormat="1" ht="17.25" customHeight="1"/>
    <row r="21418" customFormat="1" ht="17.25" customHeight="1"/>
    <row r="21419" customFormat="1" ht="17.25" customHeight="1"/>
    <row r="21420" customFormat="1" ht="17.25" customHeight="1"/>
    <row r="21421" customFormat="1" ht="17.25" customHeight="1"/>
    <row r="21422" customFormat="1" ht="17.25" customHeight="1"/>
    <row r="21423" customFormat="1" ht="17.25" customHeight="1"/>
    <row r="21424" customFormat="1" ht="17.25" customHeight="1"/>
    <row r="21425" customFormat="1" ht="17.25" customHeight="1"/>
    <row r="21426" customFormat="1" ht="17.25" customHeight="1"/>
    <row r="21427" customFormat="1" ht="17.25" customHeight="1"/>
    <row r="21428" customFormat="1" ht="17.25" customHeight="1"/>
    <row r="21429" customFormat="1" ht="17.25" customHeight="1"/>
    <row r="21430" customFormat="1" ht="17.25" customHeight="1"/>
    <row r="21431" customFormat="1" ht="17.25" customHeight="1"/>
    <row r="21432" customFormat="1" ht="17.25" customHeight="1"/>
    <row r="21433" customFormat="1" ht="17.25" customHeight="1"/>
    <row r="21434" customFormat="1" ht="17.25" customHeight="1"/>
    <row r="21435" customFormat="1" ht="17.25" customHeight="1"/>
    <row r="21436" customFormat="1" ht="17.25" customHeight="1"/>
    <row r="21437" customFormat="1" ht="17.25" customHeight="1"/>
    <row r="21438" customFormat="1" ht="17.25" customHeight="1"/>
    <row r="21439" customFormat="1" ht="17.25" customHeight="1"/>
    <row r="21440" customFormat="1" ht="17.25" customHeight="1"/>
    <row r="21441" customFormat="1" ht="17.25" customHeight="1"/>
    <row r="21442" customFormat="1" ht="17.25" customHeight="1"/>
    <row r="21443" customFormat="1" ht="17.25" customHeight="1"/>
    <row r="21444" customFormat="1" ht="17.25" customHeight="1"/>
    <row r="21445" customFormat="1" ht="17.25" customHeight="1"/>
    <row r="21446" customFormat="1" ht="17.25" customHeight="1"/>
    <row r="21447" customFormat="1" ht="17.25" customHeight="1"/>
    <row r="21448" customFormat="1" ht="17.25" customHeight="1"/>
    <row r="21449" customFormat="1" ht="17.25" customHeight="1"/>
    <row r="21450" customFormat="1" ht="17.25" customHeight="1"/>
    <row r="21451" customFormat="1" ht="17.25" customHeight="1"/>
    <row r="21452" customFormat="1" ht="17.25" customHeight="1"/>
    <row r="21453" customFormat="1" ht="17.25" customHeight="1"/>
    <row r="21454" customFormat="1" ht="17.25" customHeight="1"/>
    <row r="21455" customFormat="1" ht="17.25" customHeight="1"/>
    <row r="21456" customFormat="1" ht="17.25" customHeight="1"/>
    <row r="21457" customFormat="1" ht="17.25" customHeight="1"/>
    <row r="21458" customFormat="1" ht="17.25" customHeight="1"/>
    <row r="21459" customFormat="1" ht="17.25" customHeight="1"/>
    <row r="21460" customFormat="1" ht="17.25" customHeight="1"/>
    <row r="21461" customFormat="1" ht="17.25" customHeight="1"/>
    <row r="21462" customFormat="1" ht="17.25" customHeight="1"/>
    <row r="21463" customFormat="1" ht="17.25" customHeight="1"/>
    <row r="21464" customFormat="1" ht="17.25" customHeight="1"/>
    <row r="21465" customFormat="1" ht="17.25" customHeight="1"/>
    <row r="21466" customFormat="1" ht="17.25" customHeight="1"/>
    <row r="21467" customFormat="1" ht="17.25" customHeight="1"/>
    <row r="21468" customFormat="1" ht="17.25" customHeight="1"/>
    <row r="21469" customFormat="1" ht="17.25" customHeight="1"/>
    <row r="21470" customFormat="1" ht="17.25" customHeight="1"/>
    <row r="21471" customFormat="1" ht="17.25" customHeight="1"/>
    <row r="21472" customFormat="1" ht="17.25" customHeight="1"/>
    <row r="21473" customFormat="1" ht="17.25" customHeight="1"/>
    <row r="21474" customFormat="1" ht="17.25" customHeight="1"/>
    <row r="21475" customFormat="1" ht="17.25" customHeight="1"/>
    <row r="21476" customFormat="1" ht="17.25" customHeight="1"/>
    <row r="21477" customFormat="1" ht="17.25" customHeight="1"/>
    <row r="21478" customFormat="1" ht="17.25" customHeight="1"/>
    <row r="21479" customFormat="1" ht="17.25" customHeight="1"/>
    <row r="21480" customFormat="1" ht="17.25" customHeight="1"/>
    <row r="21481" customFormat="1" ht="17.25" customHeight="1"/>
    <row r="21482" customFormat="1" ht="17.25" customHeight="1"/>
    <row r="21483" customFormat="1" ht="17.25" customHeight="1"/>
    <row r="21484" customFormat="1" ht="17.25" customHeight="1"/>
    <row r="21485" customFormat="1" ht="17.25" customHeight="1"/>
    <row r="21486" customFormat="1" ht="17.25" customHeight="1"/>
    <row r="21487" customFormat="1" ht="17.25" customHeight="1"/>
    <row r="21488" customFormat="1" ht="17.25" customHeight="1"/>
    <row r="21489" customFormat="1" ht="17.25" customHeight="1"/>
    <row r="21490" customFormat="1" ht="17.25" customHeight="1"/>
    <row r="21491" customFormat="1" ht="17.25" customHeight="1"/>
    <row r="21492" customFormat="1" ht="17.25" customHeight="1"/>
    <row r="21493" customFormat="1" ht="17.25" customHeight="1"/>
    <row r="21494" customFormat="1" ht="17.25" customHeight="1"/>
    <row r="21495" customFormat="1" ht="17.25" customHeight="1"/>
    <row r="21496" customFormat="1" ht="17.25" customHeight="1"/>
    <row r="21497" customFormat="1" ht="17.25" customHeight="1"/>
    <row r="21498" customFormat="1" ht="17.25" customHeight="1"/>
    <row r="21499" customFormat="1" ht="17.25" customHeight="1"/>
    <row r="21500" customFormat="1" ht="17.25" customHeight="1"/>
    <row r="21501" customFormat="1" ht="17.25" customHeight="1"/>
    <row r="21502" customFormat="1" ht="17.25" customHeight="1"/>
    <row r="21503" customFormat="1" ht="17.25" customHeight="1"/>
    <row r="21504" customFormat="1" ht="17.25" customHeight="1"/>
    <row r="21505" customFormat="1" ht="17.25" customHeight="1"/>
    <row r="21506" customFormat="1" ht="17.25" customHeight="1"/>
    <row r="21507" customFormat="1" ht="17.25" customHeight="1"/>
    <row r="21508" customFormat="1" ht="17.25" customHeight="1"/>
    <row r="21509" customFormat="1" ht="17.25" customHeight="1"/>
    <row r="21510" customFormat="1" ht="17.25" customHeight="1"/>
    <row r="21511" customFormat="1" ht="17.25" customHeight="1"/>
    <row r="21512" customFormat="1" ht="17.25" customHeight="1"/>
    <row r="21513" customFormat="1" ht="17.25" customHeight="1"/>
    <row r="21514" customFormat="1" ht="17.25" customHeight="1"/>
    <row r="21515" customFormat="1" ht="17.25" customHeight="1"/>
    <row r="21516" customFormat="1" ht="17.25" customHeight="1"/>
    <row r="21517" customFormat="1" ht="17.25" customHeight="1"/>
    <row r="21518" customFormat="1" ht="17.25" customHeight="1"/>
    <row r="21519" customFormat="1" ht="17.25" customHeight="1"/>
    <row r="21520" customFormat="1" ht="17.25" customHeight="1"/>
    <row r="21521" customFormat="1" ht="17.25" customHeight="1"/>
    <row r="21522" customFormat="1" ht="17.25" customHeight="1"/>
    <row r="21523" customFormat="1" ht="17.25" customHeight="1"/>
    <row r="21524" customFormat="1" ht="17.25" customHeight="1"/>
    <row r="21525" customFormat="1" ht="17.25" customHeight="1"/>
    <row r="21526" customFormat="1" ht="17.25" customHeight="1"/>
    <row r="21527" customFormat="1" ht="17.25" customHeight="1"/>
    <row r="21528" customFormat="1" ht="17.25" customHeight="1"/>
    <row r="21529" customFormat="1" ht="17.25" customHeight="1"/>
    <row r="21530" customFormat="1" ht="17.25" customHeight="1"/>
    <row r="21531" customFormat="1" ht="17.25" customHeight="1"/>
    <row r="21532" customFormat="1" ht="17.25" customHeight="1"/>
    <row r="21533" customFormat="1" ht="17.25" customHeight="1"/>
    <row r="21534" customFormat="1" ht="17.25" customHeight="1"/>
    <row r="21535" customFormat="1" ht="17.25" customHeight="1"/>
    <row r="21536" customFormat="1" ht="17.25" customHeight="1"/>
    <row r="21537" customFormat="1" ht="17.25" customHeight="1"/>
    <row r="21538" customFormat="1" ht="17.25" customHeight="1"/>
    <row r="21539" customFormat="1" ht="17.25" customHeight="1"/>
    <row r="21540" customFormat="1" ht="17.25" customHeight="1"/>
    <row r="21541" customFormat="1" ht="17.25" customHeight="1"/>
    <row r="21542" customFormat="1" ht="17.25" customHeight="1"/>
    <row r="21543" customFormat="1" ht="17.25" customHeight="1"/>
    <row r="21544" customFormat="1" ht="17.25" customHeight="1"/>
    <row r="21545" customFormat="1" ht="17.25" customHeight="1"/>
    <row r="21546" customFormat="1" ht="17.25" customHeight="1"/>
    <row r="21547" customFormat="1" ht="17.25" customHeight="1"/>
    <row r="21548" customFormat="1" ht="17.25" customHeight="1"/>
    <row r="21549" customFormat="1" ht="17.25" customHeight="1"/>
    <row r="21550" customFormat="1" ht="17.25" customHeight="1"/>
    <row r="21551" customFormat="1" ht="17.25" customHeight="1"/>
    <row r="21552" customFormat="1" ht="17.25" customHeight="1"/>
    <row r="21553" customFormat="1" ht="17.25" customHeight="1"/>
    <row r="21554" customFormat="1" ht="17.25" customHeight="1"/>
    <row r="21555" customFormat="1" ht="17.25" customHeight="1"/>
    <row r="21556" customFormat="1" ht="17.25" customHeight="1"/>
    <row r="21557" customFormat="1" ht="17.25" customHeight="1"/>
    <row r="21558" customFormat="1" ht="17.25" customHeight="1"/>
    <row r="21559" customFormat="1" ht="17.25" customHeight="1"/>
    <row r="21560" customFormat="1" ht="17.25" customHeight="1"/>
    <row r="21561" customFormat="1" ht="17.25" customHeight="1"/>
    <row r="21562" customFormat="1" ht="17.25" customHeight="1"/>
    <row r="21563" customFormat="1" ht="17.25" customHeight="1"/>
    <row r="21564" customFormat="1" ht="17.25" customHeight="1"/>
    <row r="21565" customFormat="1" ht="17.25" customHeight="1"/>
    <row r="21566" customFormat="1" ht="17.25" customHeight="1"/>
    <row r="21567" customFormat="1" ht="17.25" customHeight="1"/>
    <row r="21568" customFormat="1" ht="17.25" customHeight="1"/>
    <row r="21569" customFormat="1" ht="17.25" customHeight="1"/>
    <row r="21570" customFormat="1" ht="17.25" customHeight="1"/>
    <row r="21571" customFormat="1" ht="17.25" customHeight="1"/>
    <row r="21572" customFormat="1" ht="17.25" customHeight="1"/>
    <row r="21573" customFormat="1" ht="17.25" customHeight="1"/>
    <row r="21574" customFormat="1" ht="17.25" customHeight="1"/>
    <row r="21575" customFormat="1" ht="17.25" customHeight="1"/>
    <row r="21576" customFormat="1" ht="17.25" customHeight="1"/>
    <row r="21577" customFormat="1" ht="17.25" customHeight="1"/>
    <row r="21578" customFormat="1" ht="17.25" customHeight="1"/>
    <row r="21579" customFormat="1" ht="17.25" customHeight="1"/>
    <row r="21580" customFormat="1" ht="17.25" customHeight="1"/>
    <row r="21581" customFormat="1" ht="17.25" customHeight="1"/>
    <row r="21582" customFormat="1" ht="17.25" customHeight="1"/>
    <row r="21583" customFormat="1" ht="17.25" customHeight="1"/>
    <row r="21584" customFormat="1" ht="17.25" customHeight="1"/>
    <row r="21585" customFormat="1" ht="17.25" customHeight="1"/>
    <row r="21586" customFormat="1" ht="17.25" customHeight="1"/>
    <row r="21587" customFormat="1" ht="17.25" customHeight="1"/>
    <row r="21588" customFormat="1" ht="17.25" customHeight="1"/>
    <row r="21589" customFormat="1" ht="17.25" customHeight="1"/>
    <row r="21590" customFormat="1" ht="17.25" customHeight="1"/>
    <row r="21591" customFormat="1" ht="17.25" customHeight="1"/>
    <row r="21592" customFormat="1" ht="17.25" customHeight="1"/>
    <row r="21593" customFormat="1" ht="17.25" customHeight="1"/>
    <row r="21594" customFormat="1" ht="17.25" customHeight="1"/>
    <row r="21595" customFormat="1" ht="17.25" customHeight="1"/>
    <row r="21596" customFormat="1" ht="17.25" customHeight="1"/>
    <row r="21597" customFormat="1" ht="17.25" customHeight="1"/>
    <row r="21598" customFormat="1" ht="17.25" customHeight="1"/>
    <row r="21599" customFormat="1" ht="17.25" customHeight="1"/>
    <row r="21600" customFormat="1" ht="17.25" customHeight="1"/>
    <row r="21601" customFormat="1" ht="17.25" customHeight="1"/>
    <row r="21602" customFormat="1" ht="17.25" customHeight="1"/>
    <row r="21603" customFormat="1" ht="17.25" customHeight="1"/>
    <row r="21604" customFormat="1" ht="17.25" customHeight="1"/>
    <row r="21605" customFormat="1" ht="17.25" customHeight="1"/>
    <row r="21606" customFormat="1" ht="17.25" customHeight="1"/>
    <row r="21607" customFormat="1" ht="17.25" customHeight="1"/>
    <row r="21608" customFormat="1" ht="17.25" customHeight="1"/>
    <row r="21609" customFormat="1" ht="17.25" customHeight="1"/>
    <row r="21610" customFormat="1" ht="17.25" customHeight="1"/>
    <row r="21611" customFormat="1" ht="17.25" customHeight="1"/>
    <row r="21612" customFormat="1" ht="17.25" customHeight="1"/>
    <row r="21613" customFormat="1" ht="17.25" customHeight="1"/>
    <row r="21614" customFormat="1" ht="17.25" customHeight="1"/>
    <row r="21615" customFormat="1" ht="17.25" customHeight="1"/>
    <row r="21616" customFormat="1" ht="17.25" customHeight="1"/>
    <row r="21617" customFormat="1" ht="17.25" customHeight="1"/>
    <row r="21618" customFormat="1" ht="17.25" customHeight="1"/>
    <row r="21619" customFormat="1" ht="17.25" customHeight="1"/>
    <row r="21620" customFormat="1" ht="17.25" customHeight="1"/>
    <row r="21621" customFormat="1" ht="17.25" customHeight="1"/>
    <row r="21622" customFormat="1" ht="17.25" customHeight="1"/>
    <row r="21623" customFormat="1" ht="17.25" customHeight="1"/>
    <row r="21624" customFormat="1" ht="17.25" customHeight="1"/>
    <row r="21625" customFormat="1" ht="17.25" customHeight="1"/>
    <row r="21626" customFormat="1" ht="17.25" customHeight="1"/>
    <row r="21627" customFormat="1" ht="17.25" customHeight="1"/>
    <row r="21628" customFormat="1" ht="17.25" customHeight="1"/>
    <row r="21629" customFormat="1" ht="17.25" customHeight="1"/>
    <row r="21630" customFormat="1" ht="17.25" customHeight="1"/>
    <row r="21631" customFormat="1" ht="17.25" customHeight="1"/>
    <row r="21632" customFormat="1" ht="17.25" customHeight="1"/>
    <row r="21633" customFormat="1" ht="17.25" customHeight="1"/>
    <row r="21634" customFormat="1" ht="17.25" customHeight="1"/>
    <row r="21635" customFormat="1" ht="17.25" customHeight="1"/>
    <row r="21636" customFormat="1" ht="17.25" customHeight="1"/>
    <row r="21637" customFormat="1" ht="17.25" customHeight="1"/>
    <row r="21638" customFormat="1" ht="17.25" customHeight="1"/>
    <row r="21639" customFormat="1" ht="17.25" customHeight="1"/>
    <row r="21640" customFormat="1" ht="17.25" customHeight="1"/>
    <row r="21641" customFormat="1" ht="17.25" customHeight="1"/>
    <row r="21642" customFormat="1" ht="17.25" customHeight="1"/>
    <row r="21643" customFormat="1" ht="17.25" customHeight="1"/>
    <row r="21644" customFormat="1" ht="17.25" customHeight="1"/>
    <row r="21645" customFormat="1" ht="17.25" customHeight="1"/>
    <row r="21646" customFormat="1" ht="17.25" customHeight="1"/>
    <row r="21647" customFormat="1" ht="17.25" customHeight="1"/>
    <row r="21648" customFormat="1" ht="17.25" customHeight="1"/>
    <row r="21649" customFormat="1" ht="17.25" customHeight="1"/>
    <row r="21650" customFormat="1" ht="17.25" customHeight="1"/>
    <row r="21651" customFormat="1" ht="17.25" customHeight="1"/>
    <row r="21652" customFormat="1" ht="17.25" customHeight="1"/>
    <row r="21653" customFormat="1" ht="17.25" customHeight="1"/>
    <row r="21654" customFormat="1" ht="17.25" customHeight="1"/>
    <row r="21655" customFormat="1" ht="17.25" customHeight="1"/>
    <row r="21656" customFormat="1" ht="17.25" customHeight="1"/>
    <row r="21657" customFormat="1" ht="17.25" customHeight="1"/>
    <row r="21658" customFormat="1" ht="17.25" customHeight="1"/>
    <row r="21659" customFormat="1" ht="17.25" customHeight="1"/>
    <row r="21660" customFormat="1" ht="17.25" customHeight="1"/>
    <row r="21661" customFormat="1" ht="17.25" customHeight="1"/>
    <row r="21662" customFormat="1" ht="17.25" customHeight="1"/>
    <row r="21663" customFormat="1" ht="17.25" customHeight="1"/>
    <row r="21664" customFormat="1" ht="17.25" customHeight="1"/>
    <row r="21665" customFormat="1" ht="17.25" customHeight="1"/>
    <row r="21666" customFormat="1" ht="17.25" customHeight="1"/>
    <row r="21667" customFormat="1" ht="17.25" customHeight="1"/>
    <row r="21668" customFormat="1" ht="17.25" customHeight="1"/>
    <row r="21669" customFormat="1" ht="17.25" customHeight="1"/>
    <row r="21670" customFormat="1" ht="17.25" customHeight="1"/>
    <row r="21671" customFormat="1" ht="17.25" customHeight="1"/>
    <row r="21672" customFormat="1" ht="17.25" customHeight="1"/>
    <row r="21673" customFormat="1" ht="17.25" customHeight="1"/>
    <row r="21674" customFormat="1" ht="17.25" customHeight="1"/>
    <row r="21675" customFormat="1" ht="17.25" customHeight="1"/>
    <row r="21676" customFormat="1" ht="17.25" customHeight="1"/>
    <row r="21677" customFormat="1" ht="17.25" customHeight="1"/>
    <row r="21678" customFormat="1" ht="17.25" customHeight="1"/>
    <row r="21679" customFormat="1" ht="17.25" customHeight="1"/>
    <row r="21680" customFormat="1" ht="17.25" customHeight="1"/>
    <row r="21681" customFormat="1" ht="17.25" customHeight="1"/>
    <row r="21682" customFormat="1" ht="17.25" customHeight="1"/>
    <row r="21683" customFormat="1" ht="17.25" customHeight="1"/>
    <row r="21684" customFormat="1" ht="17.25" customHeight="1"/>
    <row r="21685" customFormat="1" ht="17.25" customHeight="1"/>
    <row r="21686" customFormat="1" ht="17.25" customHeight="1"/>
    <row r="21687" customFormat="1" ht="17.25" customHeight="1"/>
    <row r="21688" customFormat="1" ht="17.25" customHeight="1"/>
    <row r="21689" customFormat="1" ht="17.25" customHeight="1"/>
    <row r="21690" customFormat="1" ht="17.25" customHeight="1"/>
    <row r="21691" customFormat="1" ht="17.25" customHeight="1"/>
    <row r="21692" customFormat="1" ht="17.25" customHeight="1"/>
    <row r="21693" customFormat="1" ht="17.25" customHeight="1"/>
    <row r="21694" customFormat="1" ht="17.25" customHeight="1"/>
    <row r="21695" customFormat="1" ht="17.25" customHeight="1"/>
    <row r="21696" customFormat="1" ht="17.25" customHeight="1"/>
    <row r="21697" customFormat="1" ht="17.25" customHeight="1"/>
    <row r="21698" customFormat="1" ht="17.25" customHeight="1"/>
    <row r="21699" customFormat="1" ht="17.25" customHeight="1"/>
    <row r="21700" customFormat="1" ht="17.25" customHeight="1"/>
    <row r="21701" customFormat="1" ht="17.25" customHeight="1"/>
    <row r="21702" customFormat="1" ht="17.25" customHeight="1"/>
    <row r="21703" customFormat="1" ht="17.25" customHeight="1"/>
    <row r="21704" customFormat="1" ht="17.25" customHeight="1"/>
    <row r="21705" customFormat="1" ht="17.25" customHeight="1"/>
    <row r="21706" customFormat="1" ht="17.25" customHeight="1"/>
    <row r="21707" customFormat="1" ht="17.25" customHeight="1"/>
    <row r="21708" customFormat="1" ht="17.25" customHeight="1"/>
    <row r="21709" customFormat="1" ht="17.25" customHeight="1"/>
    <row r="21710" customFormat="1" ht="17.25" customHeight="1"/>
    <row r="21711" customFormat="1" ht="17.25" customHeight="1"/>
    <row r="21712" customFormat="1" ht="17.25" customHeight="1"/>
    <row r="21713" customFormat="1" ht="17.25" customHeight="1"/>
    <row r="21714" customFormat="1" ht="17.25" customHeight="1"/>
    <row r="21715" customFormat="1" ht="17.25" customHeight="1"/>
    <row r="21716" customFormat="1" ht="17.25" customHeight="1"/>
    <row r="21717" customFormat="1" ht="17.25" customHeight="1"/>
    <row r="21718" customFormat="1" ht="17.25" customHeight="1"/>
    <row r="21719" customFormat="1" ht="17.25" customHeight="1"/>
    <row r="21720" customFormat="1" ht="17.25" customHeight="1"/>
    <row r="21721" customFormat="1" ht="17.25" customHeight="1"/>
    <row r="21722" customFormat="1" ht="17.25" customHeight="1"/>
    <row r="21723" customFormat="1" ht="17.25" customHeight="1"/>
    <row r="21724" customFormat="1" ht="17.25" customHeight="1"/>
    <row r="21725" customFormat="1" ht="17.25" customHeight="1"/>
    <row r="21726" customFormat="1" ht="17.25" customHeight="1"/>
    <row r="21727" customFormat="1" ht="17.25" customHeight="1"/>
    <row r="21728" customFormat="1" ht="17.25" customHeight="1"/>
    <row r="21729" customFormat="1" ht="17.25" customHeight="1"/>
    <row r="21730" customFormat="1" ht="17.25" customHeight="1"/>
    <row r="21731" customFormat="1" ht="17.25" customHeight="1"/>
    <row r="21732" customFormat="1" ht="17.25" customHeight="1"/>
    <row r="21733" customFormat="1" ht="17.25" customHeight="1"/>
    <row r="21734" customFormat="1" ht="17.25" customHeight="1"/>
    <row r="21735" customFormat="1" ht="17.25" customHeight="1"/>
    <row r="21736" customFormat="1" ht="17.25" customHeight="1"/>
    <row r="21737" customFormat="1" ht="17.25" customHeight="1"/>
    <row r="21738" customFormat="1" ht="17.25" customHeight="1"/>
    <row r="21739" customFormat="1" ht="17.25" customHeight="1"/>
    <row r="21740" customFormat="1" ht="17.25" customHeight="1"/>
    <row r="21741" customFormat="1" ht="17.25" customHeight="1"/>
    <row r="21742" customFormat="1" ht="17.25" customHeight="1"/>
    <row r="21743" customFormat="1" ht="17.25" customHeight="1"/>
    <row r="21744" customFormat="1" ht="17.25" customHeight="1"/>
    <row r="21745" customFormat="1" ht="17.25" customHeight="1"/>
    <row r="21746" customFormat="1" ht="17.25" customHeight="1"/>
    <row r="21747" customFormat="1" ht="17.25" customHeight="1"/>
    <row r="21748" customFormat="1" ht="17.25" customHeight="1"/>
    <row r="21749" customFormat="1" ht="17.25" customHeight="1"/>
    <row r="21750" customFormat="1" ht="17.25" customHeight="1"/>
    <row r="21751" customFormat="1" ht="17.25" customHeight="1"/>
    <row r="21752" customFormat="1" ht="17.25" customHeight="1"/>
    <row r="21753" customFormat="1" ht="17.25" customHeight="1"/>
    <row r="21754" customFormat="1" ht="17.25" customHeight="1"/>
    <row r="21755" customFormat="1" ht="17.25" customHeight="1"/>
    <row r="21756" customFormat="1" ht="17.25" customHeight="1"/>
    <row r="21757" customFormat="1" ht="17.25" customHeight="1"/>
    <row r="21758" customFormat="1" ht="17.25" customHeight="1"/>
    <row r="21759" customFormat="1" ht="17.25" customHeight="1"/>
    <row r="21760" customFormat="1" ht="17.25" customHeight="1"/>
    <row r="21761" customFormat="1" ht="17.25" customHeight="1"/>
    <row r="21762" customFormat="1" ht="17.25" customHeight="1"/>
    <row r="21763" customFormat="1" ht="17.25" customHeight="1"/>
    <row r="21764" customFormat="1" ht="17.25" customHeight="1"/>
    <row r="21765" customFormat="1" ht="17.25" customHeight="1"/>
    <row r="21766" customFormat="1" ht="17.25" customHeight="1"/>
    <row r="21767" customFormat="1" ht="17.25" customHeight="1"/>
    <row r="21768" customFormat="1" ht="17.25" customHeight="1"/>
    <row r="21769" customFormat="1" ht="17.25" customHeight="1"/>
    <row r="21770" customFormat="1" ht="17.25" customHeight="1"/>
    <row r="21771" customFormat="1" ht="17.25" customHeight="1"/>
    <row r="21772" customFormat="1" ht="17.25" customHeight="1"/>
    <row r="21773" customFormat="1" ht="17.25" customHeight="1"/>
    <row r="21774" customFormat="1" ht="17.25" customHeight="1"/>
    <row r="21775" customFormat="1" ht="17.25" customHeight="1"/>
    <row r="21776" customFormat="1" ht="17.25" customHeight="1"/>
    <row r="21777" customFormat="1" ht="17.25" customHeight="1"/>
    <row r="21778" customFormat="1" ht="17.25" customHeight="1"/>
    <row r="21779" customFormat="1" ht="17.25" customHeight="1"/>
    <row r="21780" customFormat="1" ht="17.25" customHeight="1"/>
    <row r="21781" customFormat="1" ht="17.25" customHeight="1"/>
    <row r="21782" customFormat="1" ht="17.25" customHeight="1"/>
    <row r="21783" customFormat="1" ht="17.25" customHeight="1"/>
    <row r="21784" customFormat="1" ht="17.25" customHeight="1"/>
    <row r="21785" customFormat="1" ht="17.25" customHeight="1"/>
    <row r="21786" customFormat="1" ht="17.25" customHeight="1"/>
    <row r="21787" customFormat="1" ht="17.25" customHeight="1"/>
    <row r="21788" customFormat="1" ht="17.25" customHeight="1"/>
    <row r="21789" customFormat="1" ht="17.25" customHeight="1"/>
    <row r="21790" customFormat="1" ht="17.25" customHeight="1"/>
    <row r="21791" customFormat="1" ht="17.25" customHeight="1"/>
    <row r="21792" customFormat="1" ht="17.25" customHeight="1"/>
    <row r="21793" customFormat="1" ht="17.25" customHeight="1"/>
    <row r="21794" customFormat="1" ht="17.25" customHeight="1"/>
    <row r="21795" customFormat="1" ht="17.25" customHeight="1"/>
    <row r="21796" customFormat="1" ht="17.25" customHeight="1"/>
    <row r="21797" customFormat="1" ht="17.25" customHeight="1"/>
    <row r="21798" customFormat="1" ht="17.25" customHeight="1"/>
    <row r="21799" customFormat="1" ht="17.25" customHeight="1"/>
    <row r="21800" customFormat="1" ht="17.25" customHeight="1"/>
    <row r="21801" customFormat="1" ht="17.25" customHeight="1"/>
    <row r="21802" customFormat="1" ht="17.25" customHeight="1"/>
    <row r="21803" customFormat="1" ht="17.25" customHeight="1"/>
    <row r="21804" customFormat="1" ht="17.25" customHeight="1"/>
    <row r="21805" customFormat="1" ht="17.25" customHeight="1"/>
    <row r="21806" customFormat="1" ht="17.25" customHeight="1"/>
    <row r="21807" customFormat="1" ht="17.25" customHeight="1"/>
    <row r="21808" customFormat="1" ht="17.25" customHeight="1"/>
    <row r="21809" customFormat="1" ht="17.25" customHeight="1"/>
    <row r="21810" customFormat="1" ht="17.25" customHeight="1"/>
    <row r="21811" customFormat="1" ht="17.25" customHeight="1"/>
    <row r="21812" customFormat="1" ht="17.25" customHeight="1"/>
    <row r="21813" customFormat="1" ht="17.25" customHeight="1"/>
    <row r="21814" customFormat="1" ht="17.25" customHeight="1"/>
    <row r="21815" customFormat="1" ht="17.25" customHeight="1"/>
    <row r="21816" customFormat="1" ht="17.25" customHeight="1"/>
    <row r="21817" customFormat="1" ht="17.25" customHeight="1"/>
    <row r="21818" customFormat="1" ht="17.25" customHeight="1"/>
    <row r="21819" customFormat="1" ht="17.25" customHeight="1"/>
    <row r="21820" customFormat="1" ht="17.25" customHeight="1"/>
    <row r="21821" customFormat="1" ht="17.25" customHeight="1"/>
    <row r="21822" customFormat="1" ht="17.25" customHeight="1"/>
    <row r="21823" customFormat="1" ht="17.25" customHeight="1"/>
    <row r="21824" customFormat="1" ht="17.25" customHeight="1"/>
    <row r="21825" customFormat="1" ht="17.25" customHeight="1"/>
    <row r="21826" customFormat="1" ht="17.25" customHeight="1"/>
    <row r="21827" customFormat="1" ht="17.25" customHeight="1"/>
    <row r="21828" customFormat="1" ht="17.25" customHeight="1"/>
    <row r="21829" customFormat="1" ht="17.25" customHeight="1"/>
    <row r="21830" customFormat="1" ht="17.25" customHeight="1"/>
    <row r="21831" customFormat="1" ht="17.25" customHeight="1"/>
    <row r="21832" customFormat="1" ht="17.25" customHeight="1"/>
    <row r="21833" customFormat="1" ht="17.25" customHeight="1"/>
    <row r="21834" customFormat="1" ht="17.25" customHeight="1"/>
    <row r="21835" customFormat="1" ht="17.25" customHeight="1"/>
    <row r="21836" customFormat="1" ht="17.25" customHeight="1"/>
    <row r="21837" customFormat="1" ht="17.25" customHeight="1"/>
    <row r="21838" customFormat="1" ht="17.25" customHeight="1"/>
    <row r="21839" customFormat="1" ht="17.25" customHeight="1"/>
    <row r="21840" customFormat="1" ht="17.25" customHeight="1"/>
    <row r="21841" customFormat="1" ht="17.25" customHeight="1"/>
    <row r="21842" customFormat="1" ht="17.25" customHeight="1"/>
    <row r="21843" customFormat="1" ht="17.25" customHeight="1"/>
    <row r="21844" customFormat="1" ht="17.25" customHeight="1"/>
    <row r="21845" customFormat="1" ht="17.25" customHeight="1"/>
    <row r="21846" customFormat="1" ht="17.25" customHeight="1"/>
    <row r="21847" customFormat="1" ht="17.25" customHeight="1"/>
    <row r="21848" customFormat="1" ht="17.25" customHeight="1"/>
    <row r="21849" customFormat="1" ht="17.25" customHeight="1"/>
    <row r="21850" customFormat="1" ht="17.25" customHeight="1"/>
    <row r="21851" customFormat="1" ht="17.25" customHeight="1"/>
    <row r="21852" customFormat="1" ht="17.25" customHeight="1"/>
    <row r="21853" customFormat="1" ht="17.25" customHeight="1"/>
    <row r="21854" customFormat="1" ht="17.25" customHeight="1"/>
    <row r="21855" customFormat="1" ht="17.25" customHeight="1"/>
    <row r="21856" customFormat="1" ht="17.25" customHeight="1"/>
    <row r="21857" customFormat="1" ht="17.25" customHeight="1"/>
    <row r="21858" customFormat="1" ht="17.25" customHeight="1"/>
    <row r="21859" customFormat="1" ht="17.25" customHeight="1"/>
    <row r="21860" customFormat="1" ht="17.25" customHeight="1"/>
    <row r="21861" customFormat="1" ht="17.25" customHeight="1"/>
    <row r="21862" customFormat="1" ht="17.25" customHeight="1"/>
    <row r="21863" customFormat="1" ht="17.25" customHeight="1"/>
    <row r="21864" customFormat="1" ht="17.25" customHeight="1"/>
    <row r="21865" customFormat="1" ht="17.25" customHeight="1"/>
    <row r="21866" customFormat="1" ht="17.25" customHeight="1"/>
    <row r="21867" customFormat="1" ht="17.25" customHeight="1"/>
    <row r="21868" customFormat="1" ht="17.25" customHeight="1"/>
    <row r="21869" customFormat="1" ht="17.25" customHeight="1"/>
    <row r="21870" customFormat="1" ht="17.25" customHeight="1"/>
    <row r="21871" customFormat="1" ht="17.25" customHeight="1"/>
    <row r="21872" customFormat="1" ht="17.25" customHeight="1"/>
    <row r="21873" customFormat="1" ht="17.25" customHeight="1"/>
    <row r="21874" customFormat="1" ht="17.25" customHeight="1"/>
    <row r="21875" customFormat="1" ht="17.25" customHeight="1"/>
    <row r="21876" customFormat="1" ht="17.25" customHeight="1"/>
    <row r="21877" customFormat="1" ht="17.25" customHeight="1"/>
    <row r="21878" customFormat="1" ht="17.25" customHeight="1"/>
    <row r="21879" customFormat="1" ht="17.25" customHeight="1"/>
    <row r="21880" customFormat="1" ht="17.25" customHeight="1"/>
    <row r="21881" customFormat="1" ht="17.25" customHeight="1"/>
    <row r="21882" customFormat="1" ht="17.25" customHeight="1"/>
    <row r="21883" customFormat="1" ht="17.25" customHeight="1"/>
    <row r="21884" customFormat="1" ht="17.25" customHeight="1"/>
    <row r="21885" customFormat="1" ht="17.25" customHeight="1"/>
    <row r="21886" customFormat="1" ht="17.25" customHeight="1"/>
    <row r="21887" customFormat="1" ht="17.25" customHeight="1"/>
    <row r="21888" customFormat="1" ht="17.25" customHeight="1"/>
    <row r="21889" customFormat="1" ht="17.25" customHeight="1"/>
    <row r="21890" customFormat="1" ht="17.25" customHeight="1"/>
    <row r="21891" customFormat="1" ht="17.25" customHeight="1"/>
    <row r="21892" customFormat="1" ht="17.25" customHeight="1"/>
    <row r="21893" customFormat="1" ht="17.25" customHeight="1"/>
    <row r="21894" customFormat="1" ht="17.25" customHeight="1"/>
    <row r="21895" customFormat="1" ht="17.25" customHeight="1"/>
    <row r="21896" customFormat="1" ht="17.25" customHeight="1"/>
    <row r="21897" customFormat="1" ht="17.25" customHeight="1"/>
    <row r="21898" customFormat="1" ht="17.25" customHeight="1"/>
    <row r="21899" customFormat="1" ht="17.25" customHeight="1"/>
    <row r="21900" customFormat="1" ht="17.25" customHeight="1"/>
    <row r="21901" customFormat="1" ht="17.25" customHeight="1"/>
    <row r="21902" customFormat="1" ht="17.25" customHeight="1"/>
    <row r="21903" customFormat="1" ht="17.25" customHeight="1"/>
    <row r="21904" customFormat="1" ht="17.25" customHeight="1"/>
    <row r="21905" customFormat="1" ht="17.25" customHeight="1"/>
    <row r="21906" customFormat="1" ht="17.25" customHeight="1"/>
    <row r="21907" customFormat="1" ht="17.25" customHeight="1"/>
    <row r="21908" customFormat="1" ht="17.25" customHeight="1"/>
    <row r="21909" customFormat="1" ht="17.25" customHeight="1"/>
    <row r="21910" customFormat="1" ht="17.25" customHeight="1"/>
    <row r="21911" customFormat="1" ht="17.25" customHeight="1"/>
    <row r="21912" customFormat="1" ht="17.25" customHeight="1"/>
    <row r="21913" customFormat="1" ht="17.25" customHeight="1"/>
    <row r="21914" customFormat="1" ht="17.25" customHeight="1"/>
    <row r="21915" customFormat="1" ht="17.25" customHeight="1"/>
    <row r="21916" customFormat="1" ht="17.25" customHeight="1"/>
    <row r="21917" customFormat="1" ht="17.25" customHeight="1"/>
    <row r="21918" customFormat="1" ht="17.25" customHeight="1"/>
    <row r="21919" customFormat="1" ht="17.25" customHeight="1"/>
    <row r="21920" customFormat="1" ht="17.25" customHeight="1"/>
    <row r="21921" customFormat="1" ht="17.25" customHeight="1"/>
    <row r="21922" customFormat="1" ht="17.25" customHeight="1"/>
    <row r="21923" customFormat="1" ht="17.25" customHeight="1"/>
    <row r="21924" customFormat="1" ht="17.25" customHeight="1"/>
    <row r="21925" customFormat="1" ht="17.25" customHeight="1"/>
    <row r="21926" customFormat="1" ht="17.25" customHeight="1"/>
    <row r="21927" customFormat="1" ht="17.25" customHeight="1"/>
    <row r="21928" customFormat="1" ht="17.25" customHeight="1"/>
    <row r="21929" customFormat="1" ht="17.25" customHeight="1"/>
    <row r="21930" customFormat="1" ht="17.25" customHeight="1"/>
    <row r="21931" customFormat="1" ht="17.25" customHeight="1"/>
    <row r="21932" customFormat="1" ht="17.25" customHeight="1"/>
    <row r="21933" customFormat="1" ht="17.25" customHeight="1"/>
    <row r="21934" customFormat="1" ht="17.25" customHeight="1"/>
    <row r="21935" customFormat="1" ht="17.25" customHeight="1"/>
    <row r="21936" customFormat="1" ht="17.25" customHeight="1"/>
    <row r="21937" customFormat="1" ht="17.25" customHeight="1"/>
    <row r="21938" customFormat="1" ht="17.25" customHeight="1"/>
    <row r="21939" customFormat="1" ht="17.25" customHeight="1"/>
    <row r="21940" customFormat="1" ht="17.25" customHeight="1"/>
    <row r="21941" customFormat="1" ht="17.25" customHeight="1"/>
    <row r="21942" customFormat="1" ht="17.25" customHeight="1"/>
    <row r="21943" customFormat="1" ht="17.25" customHeight="1"/>
    <row r="21944" customFormat="1" ht="17.25" customHeight="1"/>
    <row r="21945" customFormat="1" ht="17.25" customHeight="1"/>
    <row r="21946" customFormat="1" ht="17.25" customHeight="1"/>
    <row r="21947" customFormat="1" ht="17.25" customHeight="1"/>
    <row r="21948" customFormat="1" ht="17.25" customHeight="1"/>
    <row r="21949" customFormat="1" ht="17.25" customHeight="1"/>
    <row r="21950" customFormat="1" ht="17.25" customHeight="1"/>
    <row r="21951" customFormat="1" ht="17.25" customHeight="1"/>
    <row r="21952" customFormat="1" ht="17.25" customHeight="1"/>
    <row r="21953" customFormat="1" ht="17.25" customHeight="1"/>
    <row r="21954" customFormat="1" ht="17.25" customHeight="1"/>
    <row r="21955" customFormat="1" ht="17.25" customHeight="1"/>
    <row r="21956" customFormat="1" ht="17.25" customHeight="1"/>
    <row r="21957" customFormat="1" ht="17.25" customHeight="1"/>
    <row r="21958" customFormat="1" ht="17.25" customHeight="1"/>
    <row r="21959" customFormat="1" ht="17.25" customHeight="1"/>
    <row r="21960" customFormat="1" ht="17.25" customHeight="1"/>
    <row r="21961" customFormat="1" ht="17.25" customHeight="1"/>
    <row r="21962" customFormat="1" ht="17.25" customHeight="1"/>
    <row r="21963" customFormat="1" ht="17.25" customHeight="1"/>
    <row r="21964" customFormat="1" ht="17.25" customHeight="1"/>
    <row r="21965" customFormat="1" ht="17.25" customHeight="1"/>
    <row r="21966" customFormat="1" ht="17.25" customHeight="1"/>
    <row r="21967" customFormat="1" ht="17.25" customHeight="1"/>
    <row r="21968" customFormat="1" ht="17.25" customHeight="1"/>
    <row r="21969" customFormat="1" ht="17.25" customHeight="1"/>
    <row r="21970" customFormat="1" ht="17.25" customHeight="1"/>
    <row r="21971" customFormat="1" ht="17.25" customHeight="1"/>
    <row r="21972" customFormat="1" ht="17.25" customHeight="1"/>
    <row r="21973" customFormat="1" ht="17.25" customHeight="1"/>
    <row r="21974" customFormat="1" ht="17.25" customHeight="1"/>
    <row r="21975" customFormat="1" ht="17.25" customHeight="1"/>
    <row r="21976" customFormat="1" ht="17.25" customHeight="1"/>
    <row r="21977" customFormat="1" ht="17.25" customHeight="1"/>
    <row r="21978" customFormat="1" ht="17.25" customHeight="1"/>
    <row r="21979" customFormat="1" ht="17.25" customHeight="1"/>
    <row r="21980" customFormat="1" ht="17.25" customHeight="1"/>
    <row r="21981" customFormat="1" ht="17.25" customHeight="1"/>
    <row r="21982" customFormat="1" ht="17.25" customHeight="1"/>
    <row r="21983" customFormat="1" ht="17.25" customHeight="1"/>
    <row r="21984" customFormat="1" ht="17.25" customHeight="1"/>
    <row r="21985" customFormat="1" ht="17.25" customHeight="1"/>
    <row r="21986" customFormat="1" ht="17.25" customHeight="1"/>
    <row r="21987" customFormat="1" ht="17.25" customHeight="1"/>
    <row r="21988" customFormat="1" ht="17.25" customHeight="1"/>
    <row r="21989" customFormat="1" ht="17.25" customHeight="1"/>
    <row r="21990" customFormat="1" ht="17.25" customHeight="1"/>
    <row r="21991" customFormat="1" ht="17.25" customHeight="1"/>
    <row r="21992" customFormat="1" ht="17.25" customHeight="1"/>
    <row r="21993" customFormat="1" ht="17.25" customHeight="1"/>
    <row r="21994" customFormat="1" ht="17.25" customHeight="1"/>
    <row r="21995" customFormat="1" ht="17.25" customHeight="1"/>
    <row r="21996" customFormat="1" ht="17.25" customHeight="1"/>
    <row r="21997" customFormat="1" ht="17.25" customHeight="1"/>
    <row r="21998" customFormat="1" ht="17.25" customHeight="1"/>
    <row r="21999" customFormat="1" ht="17.25" customHeight="1"/>
    <row r="22000" customFormat="1" ht="17.25" customHeight="1"/>
    <row r="22001" customFormat="1" ht="17.25" customHeight="1"/>
    <row r="22002" customFormat="1" ht="17.25" customHeight="1"/>
    <row r="22003" customFormat="1" ht="17.25" customHeight="1"/>
    <row r="22004" customFormat="1" ht="17.25" customHeight="1"/>
    <row r="22005" customFormat="1" ht="17.25" customHeight="1"/>
    <row r="22006" customFormat="1" ht="17.25" customHeight="1"/>
    <row r="22007" customFormat="1" ht="17.25" customHeight="1"/>
    <row r="22008" customFormat="1" ht="17.25" customHeight="1"/>
    <row r="22009" customFormat="1" ht="17.25" customHeight="1"/>
    <row r="22010" customFormat="1" ht="17.25" customHeight="1"/>
    <row r="22011" customFormat="1" ht="17.25" customHeight="1"/>
    <row r="22012" customFormat="1" ht="17.25" customHeight="1"/>
    <row r="22013" customFormat="1" ht="17.25" customHeight="1"/>
    <row r="22014" customFormat="1" ht="17.25" customHeight="1"/>
    <row r="22015" customFormat="1" ht="17.25" customHeight="1"/>
    <row r="22016" customFormat="1" ht="17.25" customHeight="1"/>
    <row r="22017" customFormat="1" ht="17.25" customHeight="1"/>
    <row r="22018" customFormat="1" ht="17.25" customHeight="1"/>
    <row r="22019" customFormat="1" ht="17.25" customHeight="1"/>
    <row r="22020" customFormat="1" ht="17.25" customHeight="1"/>
    <row r="22021" customFormat="1" ht="17.25" customHeight="1"/>
    <row r="22022" customFormat="1" ht="17.25" customHeight="1"/>
    <row r="22023" customFormat="1" ht="17.25" customHeight="1"/>
    <row r="22024" customFormat="1" ht="17.25" customHeight="1"/>
    <row r="22025" customFormat="1" ht="17.25" customHeight="1"/>
    <row r="22026" customFormat="1" ht="17.25" customHeight="1"/>
    <row r="22027" customFormat="1" ht="17.25" customHeight="1"/>
    <row r="22028" customFormat="1" ht="17.25" customHeight="1"/>
    <row r="22029" customFormat="1" ht="17.25" customHeight="1"/>
    <row r="22030" customFormat="1" ht="17.25" customHeight="1"/>
    <row r="22031" customFormat="1" ht="17.25" customHeight="1"/>
    <row r="22032" customFormat="1" ht="17.25" customHeight="1"/>
    <row r="22033" customFormat="1" ht="17.25" customHeight="1"/>
    <row r="22034" customFormat="1" ht="17.25" customHeight="1"/>
    <row r="22035" customFormat="1" ht="17.25" customHeight="1"/>
    <row r="22036" customFormat="1" ht="17.25" customHeight="1"/>
    <row r="22037" customFormat="1" ht="17.25" customHeight="1"/>
    <row r="22038" customFormat="1" ht="17.25" customHeight="1"/>
    <row r="22039" customFormat="1" ht="17.25" customHeight="1"/>
    <row r="22040" customFormat="1" ht="17.25" customHeight="1"/>
    <row r="22041" customFormat="1" ht="17.25" customHeight="1"/>
    <row r="22042" customFormat="1" ht="17.25" customHeight="1"/>
    <row r="22043" customFormat="1" ht="17.25" customHeight="1"/>
    <row r="22044" customFormat="1" ht="17.25" customHeight="1"/>
    <row r="22045" customFormat="1" ht="17.25" customHeight="1"/>
    <row r="22046" customFormat="1" ht="17.25" customHeight="1"/>
    <row r="22047" customFormat="1" ht="17.25" customHeight="1"/>
    <row r="22048" customFormat="1" ht="17.25" customHeight="1"/>
    <row r="22049" customFormat="1" ht="17.25" customHeight="1"/>
    <row r="22050" customFormat="1" ht="17.25" customHeight="1"/>
    <row r="22051" customFormat="1" ht="17.25" customHeight="1"/>
    <row r="22052" customFormat="1" ht="17.25" customHeight="1"/>
    <row r="22053" customFormat="1" ht="17.25" customHeight="1"/>
    <row r="22054" customFormat="1" ht="17.25" customHeight="1"/>
    <row r="22055" customFormat="1" ht="17.25" customHeight="1"/>
    <row r="22056" customFormat="1" ht="17.25" customHeight="1"/>
    <row r="22057" customFormat="1" ht="17.25" customHeight="1"/>
    <row r="22058" customFormat="1" ht="17.25" customHeight="1"/>
    <row r="22059" customFormat="1" ht="17.25" customHeight="1"/>
    <row r="22060" customFormat="1" ht="17.25" customHeight="1"/>
    <row r="22061" customFormat="1" ht="17.25" customHeight="1"/>
    <row r="22062" customFormat="1" ht="17.25" customHeight="1"/>
    <row r="22063" customFormat="1" ht="17.25" customHeight="1"/>
    <row r="22064" customFormat="1" ht="17.25" customHeight="1"/>
    <row r="22065" customFormat="1" ht="17.25" customHeight="1"/>
    <row r="22066" customFormat="1" ht="17.25" customHeight="1"/>
    <row r="22067" customFormat="1" ht="17.25" customHeight="1"/>
    <row r="22068" customFormat="1" ht="17.25" customHeight="1"/>
    <row r="22069" customFormat="1" ht="17.25" customHeight="1"/>
    <row r="22070" customFormat="1" ht="17.25" customHeight="1"/>
    <row r="22071" customFormat="1" ht="17.25" customHeight="1"/>
    <row r="22072" customFormat="1" ht="17.25" customHeight="1"/>
    <row r="22073" customFormat="1" ht="17.25" customHeight="1"/>
    <row r="22074" customFormat="1" ht="17.25" customHeight="1"/>
    <row r="22075" customFormat="1" ht="17.25" customHeight="1"/>
    <row r="22076" customFormat="1" ht="17.25" customHeight="1"/>
    <row r="22077" customFormat="1" ht="17.25" customHeight="1"/>
    <row r="22078" customFormat="1" ht="17.25" customHeight="1"/>
    <row r="22079" customFormat="1" ht="17.25" customHeight="1"/>
    <row r="22080" customFormat="1" ht="17.25" customHeight="1"/>
    <row r="22081" customFormat="1" ht="17.25" customHeight="1"/>
    <row r="22082" customFormat="1" ht="17.25" customHeight="1"/>
    <row r="22083" customFormat="1" ht="17.25" customHeight="1"/>
    <row r="22084" customFormat="1" ht="17.25" customHeight="1"/>
    <row r="22085" customFormat="1" ht="17.25" customHeight="1"/>
    <row r="22086" customFormat="1" ht="17.25" customHeight="1"/>
    <row r="22087" customFormat="1" ht="17.25" customHeight="1"/>
    <row r="22088" customFormat="1" ht="17.25" customHeight="1"/>
    <row r="22089" customFormat="1" ht="17.25" customHeight="1"/>
    <row r="22090" customFormat="1" ht="17.25" customHeight="1"/>
    <row r="22091" customFormat="1" ht="17.25" customHeight="1"/>
    <row r="22092" customFormat="1" ht="17.25" customHeight="1"/>
    <row r="22093" customFormat="1" ht="17.25" customHeight="1"/>
    <row r="22094" customFormat="1" ht="17.25" customHeight="1"/>
    <row r="22095" customFormat="1" ht="17.25" customHeight="1"/>
    <row r="22096" customFormat="1" ht="17.25" customHeight="1"/>
    <row r="22097" customFormat="1" ht="17.25" customHeight="1"/>
    <row r="22098" customFormat="1" ht="17.25" customHeight="1"/>
    <row r="22099" customFormat="1" ht="17.25" customHeight="1"/>
    <row r="22100" customFormat="1" ht="17.25" customHeight="1"/>
    <row r="22101" customFormat="1" ht="17.25" customHeight="1"/>
    <row r="22102" customFormat="1" ht="17.25" customHeight="1"/>
    <row r="22103" customFormat="1" ht="17.25" customHeight="1"/>
    <row r="22104" customFormat="1" ht="17.25" customHeight="1"/>
    <row r="22105" customFormat="1" ht="17.25" customHeight="1"/>
    <row r="22106" customFormat="1" ht="17.25" customHeight="1"/>
    <row r="22107" customFormat="1" ht="17.25" customHeight="1"/>
    <row r="22108" customFormat="1" ht="17.25" customHeight="1"/>
    <row r="22109" customFormat="1" ht="17.25" customHeight="1"/>
    <row r="22110" customFormat="1" ht="17.25" customHeight="1"/>
    <row r="22111" customFormat="1" ht="17.25" customHeight="1"/>
    <row r="22112" customFormat="1" ht="17.25" customHeight="1"/>
    <row r="22113" customFormat="1" ht="17.25" customHeight="1"/>
    <row r="22114" customFormat="1" ht="17.25" customHeight="1"/>
    <row r="22115" customFormat="1" ht="17.25" customHeight="1"/>
    <row r="22116" customFormat="1" ht="17.25" customHeight="1"/>
    <row r="22117" customFormat="1" ht="17.25" customHeight="1"/>
    <row r="22118" customFormat="1" ht="17.25" customHeight="1"/>
    <row r="22119" customFormat="1" ht="17.25" customHeight="1"/>
    <row r="22120" customFormat="1" ht="17.25" customHeight="1"/>
    <row r="22121" customFormat="1" ht="17.25" customHeight="1"/>
    <row r="22122" customFormat="1" ht="17.25" customHeight="1"/>
    <row r="22123" customFormat="1" ht="17.25" customHeight="1"/>
    <row r="22124" customFormat="1" ht="17.25" customHeight="1"/>
    <row r="22125" customFormat="1" ht="17.25" customHeight="1"/>
    <row r="22126" customFormat="1" ht="17.25" customHeight="1"/>
    <row r="22127" customFormat="1" ht="17.25" customHeight="1"/>
    <row r="22128" customFormat="1" ht="17.25" customHeight="1"/>
    <row r="22129" customFormat="1" ht="17.25" customHeight="1"/>
    <row r="22130" customFormat="1" ht="17.25" customHeight="1"/>
    <row r="22131" customFormat="1" ht="17.25" customHeight="1"/>
    <row r="22132" customFormat="1" ht="17.25" customHeight="1"/>
    <row r="22133" customFormat="1" ht="17.25" customHeight="1"/>
    <row r="22134" customFormat="1" ht="17.25" customHeight="1"/>
    <row r="22135" customFormat="1" ht="17.25" customHeight="1"/>
    <row r="22136" customFormat="1" ht="17.25" customHeight="1"/>
    <row r="22137" customFormat="1" ht="17.25" customHeight="1"/>
    <row r="22138" customFormat="1" ht="17.25" customHeight="1"/>
    <row r="22139" customFormat="1" ht="17.25" customHeight="1"/>
    <row r="22140" customFormat="1" ht="17.25" customHeight="1"/>
    <row r="22141" customFormat="1" ht="17.25" customHeight="1"/>
    <row r="22142" customFormat="1" ht="17.25" customHeight="1"/>
    <row r="22143" customFormat="1" ht="17.25" customHeight="1"/>
    <row r="22144" customFormat="1" ht="17.25" customHeight="1"/>
    <row r="22145" customFormat="1" ht="17.25" customHeight="1"/>
    <row r="22146" customFormat="1" ht="17.25" customHeight="1"/>
    <row r="22147" customFormat="1" ht="17.25" customHeight="1"/>
    <row r="22148" customFormat="1" ht="17.25" customHeight="1"/>
    <row r="22149" customFormat="1" ht="17.25" customHeight="1"/>
    <row r="22150" customFormat="1" ht="17.25" customHeight="1"/>
    <row r="22151" customFormat="1" ht="17.25" customHeight="1"/>
    <row r="22152" customFormat="1" ht="17.25" customHeight="1"/>
    <row r="22153" customFormat="1" ht="17.25" customHeight="1"/>
    <row r="22154" customFormat="1" ht="17.25" customHeight="1"/>
    <row r="22155" customFormat="1" ht="17.25" customHeight="1"/>
    <row r="22156" customFormat="1" ht="17.25" customHeight="1"/>
    <row r="22157" customFormat="1" ht="17.25" customHeight="1"/>
    <row r="22158" customFormat="1" ht="17.25" customHeight="1"/>
    <row r="22159" customFormat="1" ht="17.25" customHeight="1"/>
    <row r="22160" customFormat="1" ht="17.25" customHeight="1"/>
    <row r="22161" customFormat="1" ht="17.25" customHeight="1"/>
    <row r="22162" customFormat="1" ht="17.25" customHeight="1"/>
    <row r="22163" customFormat="1" ht="17.25" customHeight="1"/>
    <row r="22164" customFormat="1" ht="17.25" customHeight="1"/>
    <row r="22165" customFormat="1" ht="17.25" customHeight="1"/>
    <row r="22166" customFormat="1" ht="17.25" customHeight="1"/>
    <row r="22167" customFormat="1" ht="17.25" customHeight="1"/>
    <row r="22168" customFormat="1" ht="17.25" customHeight="1"/>
    <row r="22169" customFormat="1" ht="17.25" customHeight="1"/>
    <row r="22170" customFormat="1" ht="17.25" customHeight="1"/>
    <row r="22171" customFormat="1" ht="17.25" customHeight="1"/>
    <row r="22172" customFormat="1" ht="17.25" customHeight="1"/>
    <row r="22173" customFormat="1" ht="17.25" customHeight="1"/>
    <row r="22174" customFormat="1" ht="17.25" customHeight="1"/>
    <row r="22175" customFormat="1" ht="17.25" customHeight="1"/>
    <row r="22176" customFormat="1" ht="17.25" customHeight="1"/>
    <row r="22177" customFormat="1" ht="17.25" customHeight="1"/>
    <row r="22178" customFormat="1" ht="17.25" customHeight="1"/>
    <row r="22179" customFormat="1" ht="17.25" customHeight="1"/>
    <row r="22180" customFormat="1" ht="17.25" customHeight="1"/>
    <row r="22181" customFormat="1" ht="17.25" customHeight="1"/>
    <row r="22182" customFormat="1" ht="17.25" customHeight="1"/>
    <row r="22183" customFormat="1" ht="17.25" customHeight="1"/>
    <row r="22184" customFormat="1" ht="17.25" customHeight="1"/>
    <row r="22185" customFormat="1" ht="17.25" customHeight="1"/>
    <row r="22186" customFormat="1" ht="17.25" customHeight="1"/>
    <row r="22187" customFormat="1" ht="17.25" customHeight="1"/>
    <row r="22188" customFormat="1" ht="17.25" customHeight="1"/>
    <row r="22189" customFormat="1" ht="17.25" customHeight="1"/>
    <row r="22190" customFormat="1" ht="17.25" customHeight="1"/>
    <row r="22191" customFormat="1" ht="17.25" customHeight="1"/>
    <row r="22192" customFormat="1" ht="17.25" customHeight="1"/>
    <row r="22193" customFormat="1" ht="17.25" customHeight="1"/>
    <row r="22194" customFormat="1" ht="17.25" customHeight="1"/>
    <row r="22195" customFormat="1" ht="17.25" customHeight="1"/>
    <row r="22196" customFormat="1" ht="17.25" customHeight="1"/>
    <row r="22197" customFormat="1" ht="17.25" customHeight="1"/>
    <row r="22198" customFormat="1" ht="17.25" customHeight="1"/>
    <row r="22199" customFormat="1" ht="17.25" customHeight="1"/>
    <row r="22200" customFormat="1" ht="17.25" customHeight="1"/>
    <row r="22201" customFormat="1" ht="17.25" customHeight="1"/>
    <row r="22202" customFormat="1" ht="17.25" customHeight="1"/>
    <row r="22203" customFormat="1" ht="17.25" customHeight="1"/>
    <row r="22204" customFormat="1" ht="17.25" customHeight="1"/>
    <row r="22205" customFormat="1" ht="17.25" customHeight="1"/>
    <row r="22206" customFormat="1" ht="17.25" customHeight="1"/>
    <row r="22207" customFormat="1" ht="17.25" customHeight="1"/>
    <row r="22208" customFormat="1" ht="17.25" customHeight="1"/>
    <row r="22209" customFormat="1" ht="17.25" customHeight="1"/>
    <row r="22210" customFormat="1" ht="17.25" customHeight="1"/>
    <row r="22211" customFormat="1" ht="17.25" customHeight="1"/>
    <row r="22212" customFormat="1" ht="17.25" customHeight="1"/>
    <row r="22213" customFormat="1" ht="17.25" customHeight="1"/>
    <row r="22214" customFormat="1" ht="17.25" customHeight="1"/>
    <row r="22215" customFormat="1" ht="17.25" customHeight="1"/>
    <row r="22216" customFormat="1" ht="17.25" customHeight="1"/>
    <row r="22217" customFormat="1" ht="17.25" customHeight="1"/>
    <row r="22218" customFormat="1" ht="17.25" customHeight="1"/>
    <row r="22219" customFormat="1" ht="17.25" customHeight="1"/>
    <row r="22220" customFormat="1" ht="17.25" customHeight="1"/>
    <row r="22221" customFormat="1" ht="17.25" customHeight="1"/>
    <row r="22222" customFormat="1" ht="17.25" customHeight="1"/>
    <row r="22223" customFormat="1" ht="17.25" customHeight="1"/>
    <row r="22224" customFormat="1" ht="17.25" customHeight="1"/>
    <row r="22225" customFormat="1" ht="17.25" customHeight="1"/>
    <row r="22226" customFormat="1" ht="17.25" customHeight="1"/>
    <row r="22227" customFormat="1" ht="17.25" customHeight="1"/>
    <row r="22228" customFormat="1" ht="17.25" customHeight="1"/>
    <row r="22229" customFormat="1" ht="17.25" customHeight="1"/>
    <row r="22230" customFormat="1" ht="17.25" customHeight="1"/>
    <row r="22231" customFormat="1" ht="17.25" customHeight="1"/>
    <row r="22232" customFormat="1" ht="17.25" customHeight="1"/>
    <row r="22233" customFormat="1" ht="17.25" customHeight="1"/>
    <row r="22234" customFormat="1" ht="17.25" customHeight="1"/>
    <row r="22235" customFormat="1" ht="17.25" customHeight="1"/>
    <row r="22236" customFormat="1" ht="17.25" customHeight="1"/>
    <row r="22237" customFormat="1" ht="17.25" customHeight="1"/>
    <row r="22238" customFormat="1" ht="17.25" customHeight="1"/>
    <row r="22239" customFormat="1" ht="17.25" customHeight="1"/>
    <row r="22240" customFormat="1" ht="17.25" customHeight="1"/>
    <row r="22241" customFormat="1" ht="17.25" customHeight="1"/>
    <row r="22242" customFormat="1" ht="17.25" customHeight="1"/>
    <row r="22243" customFormat="1" ht="17.25" customHeight="1"/>
    <row r="22244" customFormat="1" ht="17.25" customHeight="1"/>
    <row r="22245" customFormat="1" ht="17.25" customHeight="1"/>
    <row r="22246" customFormat="1" ht="17.25" customHeight="1"/>
    <row r="22247" customFormat="1" ht="17.25" customHeight="1"/>
    <row r="22248" customFormat="1" ht="17.25" customHeight="1"/>
    <row r="22249" customFormat="1" ht="17.25" customHeight="1"/>
    <row r="22250" customFormat="1" ht="17.25" customHeight="1"/>
    <row r="22251" customFormat="1" ht="17.25" customHeight="1"/>
    <row r="22252" customFormat="1" ht="17.25" customHeight="1"/>
    <row r="22253" customFormat="1" ht="17.25" customHeight="1"/>
    <row r="22254" customFormat="1" ht="17.25" customHeight="1"/>
    <row r="22255" customFormat="1" ht="17.25" customHeight="1"/>
    <row r="22256" customFormat="1" ht="17.25" customHeight="1"/>
    <row r="22257" customFormat="1" ht="17.25" customHeight="1"/>
    <row r="22258" customFormat="1" ht="17.25" customHeight="1"/>
    <row r="22259" customFormat="1" ht="17.25" customHeight="1"/>
    <row r="22260" customFormat="1" ht="17.25" customHeight="1"/>
    <row r="22261" customFormat="1" ht="17.25" customHeight="1"/>
    <row r="22262" customFormat="1" ht="17.25" customHeight="1"/>
    <row r="22263" customFormat="1" ht="17.25" customHeight="1"/>
    <row r="22264" customFormat="1" ht="17.25" customHeight="1"/>
    <row r="22265" customFormat="1" ht="17.25" customHeight="1"/>
    <row r="22266" customFormat="1" ht="17.25" customHeight="1"/>
    <row r="22267" customFormat="1" ht="17.25" customHeight="1"/>
    <row r="22268" customFormat="1" ht="17.25" customHeight="1"/>
    <row r="22269" customFormat="1" ht="17.25" customHeight="1"/>
    <row r="22270" customFormat="1" ht="17.25" customHeight="1"/>
    <row r="22271" customFormat="1" ht="17.25" customHeight="1"/>
    <row r="22272" customFormat="1" ht="17.25" customHeight="1"/>
    <row r="22273" customFormat="1" ht="17.25" customHeight="1"/>
    <row r="22274" customFormat="1" ht="17.25" customHeight="1"/>
    <row r="22275" customFormat="1" ht="17.25" customHeight="1"/>
    <row r="22276" customFormat="1" ht="17.25" customHeight="1"/>
    <row r="22277" customFormat="1" ht="17.25" customHeight="1"/>
    <row r="22278" customFormat="1" ht="17.25" customHeight="1"/>
    <row r="22279" customFormat="1" ht="17.25" customHeight="1"/>
    <row r="22280" customFormat="1" ht="17.25" customHeight="1"/>
    <row r="22281" customFormat="1" ht="17.25" customHeight="1"/>
    <row r="22282" customFormat="1" ht="17.25" customHeight="1"/>
    <row r="22283" customFormat="1" ht="17.25" customHeight="1"/>
    <row r="22284" customFormat="1" ht="17.25" customHeight="1"/>
    <row r="22285" customFormat="1" ht="17.25" customHeight="1"/>
    <row r="22286" customFormat="1" ht="17.25" customHeight="1"/>
    <row r="22287" customFormat="1" ht="17.25" customHeight="1"/>
    <row r="22288" customFormat="1" ht="17.25" customHeight="1"/>
    <row r="22289" customFormat="1" ht="17.25" customHeight="1"/>
    <row r="22290" customFormat="1" ht="17.25" customHeight="1"/>
    <row r="22291" customFormat="1" ht="17.25" customHeight="1"/>
    <row r="22292" customFormat="1" ht="17.25" customHeight="1"/>
    <row r="22293" customFormat="1" ht="17.25" customHeight="1"/>
    <row r="22294" customFormat="1" ht="17.25" customHeight="1"/>
    <row r="22295" customFormat="1" ht="17.25" customHeight="1"/>
    <row r="22296" customFormat="1" ht="17.25" customHeight="1"/>
    <row r="22297" customFormat="1" ht="17.25" customHeight="1"/>
    <row r="22298" customFormat="1" ht="17.25" customHeight="1"/>
    <row r="22299" customFormat="1" ht="17.25" customHeight="1"/>
    <row r="22300" customFormat="1" ht="17.25" customHeight="1"/>
    <row r="22301" customFormat="1" ht="17.25" customHeight="1"/>
    <row r="22302" customFormat="1" ht="17.25" customHeight="1"/>
    <row r="22303" customFormat="1" ht="17.25" customHeight="1"/>
    <row r="22304" customFormat="1" ht="17.25" customHeight="1"/>
    <row r="22305" customFormat="1" ht="17.25" customHeight="1"/>
    <row r="22306" customFormat="1" ht="17.25" customHeight="1"/>
    <row r="22307" customFormat="1" ht="17.25" customHeight="1"/>
    <row r="22308" customFormat="1" ht="17.25" customHeight="1"/>
    <row r="22309" customFormat="1" ht="17.25" customHeight="1"/>
    <row r="22310" customFormat="1" ht="17.25" customHeight="1"/>
    <row r="22311" customFormat="1" ht="17.25" customHeight="1"/>
    <row r="22312" customFormat="1" ht="17.25" customHeight="1"/>
    <row r="22313" customFormat="1" ht="17.25" customHeight="1"/>
    <row r="22314" customFormat="1" ht="17.25" customHeight="1"/>
    <row r="22315" customFormat="1" ht="17.25" customHeight="1"/>
    <row r="22316" customFormat="1" ht="17.25" customHeight="1"/>
    <row r="22317" customFormat="1" ht="17.25" customHeight="1"/>
    <row r="22318" customFormat="1" ht="17.25" customHeight="1"/>
    <row r="22319" customFormat="1" ht="17.25" customHeight="1"/>
    <row r="22320" customFormat="1" ht="17.25" customHeight="1"/>
    <row r="22321" customFormat="1" ht="17.25" customHeight="1"/>
    <row r="22322" customFormat="1" ht="17.25" customHeight="1"/>
    <row r="22323" customFormat="1" ht="17.25" customHeight="1"/>
    <row r="22324" customFormat="1" ht="17.25" customHeight="1"/>
    <row r="22325" customFormat="1" ht="17.25" customHeight="1"/>
    <row r="22326" customFormat="1" ht="17.25" customHeight="1"/>
    <row r="22327" customFormat="1" ht="17.25" customHeight="1"/>
    <row r="22328" customFormat="1" ht="17.25" customHeight="1"/>
    <row r="22329" customFormat="1" ht="17.25" customHeight="1"/>
    <row r="22330" customFormat="1" ht="17.25" customHeight="1"/>
    <row r="22331" customFormat="1" ht="17.25" customHeight="1"/>
    <row r="22332" customFormat="1" ht="17.25" customHeight="1"/>
    <row r="22333" customFormat="1" ht="17.25" customHeight="1"/>
    <row r="22334" customFormat="1" ht="17.25" customHeight="1"/>
    <row r="22335" customFormat="1" ht="17.25" customHeight="1"/>
    <row r="22336" customFormat="1" ht="17.25" customHeight="1"/>
    <row r="22337" customFormat="1" ht="17.25" customHeight="1"/>
    <row r="22338" customFormat="1" ht="17.25" customHeight="1"/>
    <row r="22339" customFormat="1" ht="17.25" customHeight="1"/>
    <row r="22340" customFormat="1" ht="17.25" customHeight="1"/>
    <row r="22341" customFormat="1" ht="17.25" customHeight="1"/>
    <row r="22342" customFormat="1" ht="17.25" customHeight="1"/>
    <row r="22343" customFormat="1" ht="17.25" customHeight="1"/>
    <row r="22344" customFormat="1" ht="17.25" customHeight="1"/>
    <row r="22345" customFormat="1" ht="17.25" customHeight="1"/>
    <row r="22346" customFormat="1" ht="17.25" customHeight="1"/>
    <row r="22347" customFormat="1" ht="17.25" customHeight="1"/>
    <row r="22348" customFormat="1" ht="17.25" customHeight="1"/>
    <row r="22349" customFormat="1" ht="17.25" customHeight="1"/>
    <row r="22350" customFormat="1" ht="17.25" customHeight="1"/>
    <row r="22351" customFormat="1" ht="17.25" customHeight="1"/>
    <row r="22352" customFormat="1" ht="17.25" customHeight="1"/>
    <row r="22353" customFormat="1" ht="17.25" customHeight="1"/>
    <row r="22354" customFormat="1" ht="17.25" customHeight="1"/>
    <row r="22355" customFormat="1" ht="17.25" customHeight="1"/>
    <row r="22356" customFormat="1" ht="17.25" customHeight="1"/>
    <row r="22357" customFormat="1" ht="17.25" customHeight="1"/>
    <row r="22358" customFormat="1" ht="17.25" customHeight="1"/>
    <row r="22359" customFormat="1" ht="17.25" customHeight="1"/>
    <row r="22360" customFormat="1" ht="17.25" customHeight="1"/>
    <row r="22361" customFormat="1" ht="17.25" customHeight="1"/>
    <row r="22362" customFormat="1" ht="17.25" customHeight="1"/>
    <row r="22363" customFormat="1" ht="17.25" customHeight="1"/>
    <row r="22364" customFormat="1" ht="17.25" customHeight="1"/>
    <row r="22365" customFormat="1" ht="17.25" customHeight="1"/>
    <row r="22366" customFormat="1" ht="17.25" customHeight="1"/>
    <row r="22367" customFormat="1" ht="17.25" customHeight="1"/>
    <row r="22368" customFormat="1" ht="17.25" customHeight="1"/>
    <row r="22369" customFormat="1" ht="17.25" customHeight="1"/>
    <row r="22370" customFormat="1" ht="17.25" customHeight="1"/>
    <row r="22371" customFormat="1" ht="17.25" customHeight="1"/>
    <row r="22372" customFormat="1" ht="17.25" customHeight="1"/>
    <row r="22373" customFormat="1" ht="17.25" customHeight="1"/>
    <row r="22374" customFormat="1" ht="17.25" customHeight="1"/>
    <row r="22375" customFormat="1" ht="17.25" customHeight="1"/>
    <row r="22376" customFormat="1" ht="17.25" customHeight="1"/>
    <row r="22377" customFormat="1" ht="17.25" customHeight="1"/>
    <row r="22378" customFormat="1" ht="17.25" customHeight="1"/>
    <row r="22379" customFormat="1" ht="17.25" customHeight="1"/>
    <row r="22380" customFormat="1" ht="17.25" customHeight="1"/>
    <row r="22381" customFormat="1" ht="17.25" customHeight="1"/>
    <row r="22382" customFormat="1" ht="17.25" customHeight="1"/>
    <row r="22383" customFormat="1" ht="17.25" customHeight="1"/>
    <row r="22384" customFormat="1" ht="17.25" customHeight="1"/>
    <row r="22385" customFormat="1" ht="17.25" customHeight="1"/>
    <row r="22386" customFormat="1" ht="17.25" customHeight="1"/>
    <row r="22387" customFormat="1" ht="17.25" customHeight="1"/>
    <row r="22388" customFormat="1" ht="17.25" customHeight="1"/>
    <row r="22389" customFormat="1" ht="17.25" customHeight="1"/>
    <row r="22390" customFormat="1" ht="17.25" customHeight="1"/>
    <row r="22391" customFormat="1" ht="17.25" customHeight="1"/>
    <row r="22392" customFormat="1" ht="17.25" customHeight="1"/>
    <row r="22393" customFormat="1" ht="17.25" customHeight="1"/>
    <row r="22394" customFormat="1" ht="17.25" customHeight="1"/>
    <row r="22395" customFormat="1" ht="17.25" customHeight="1"/>
    <row r="22396" customFormat="1" ht="17.25" customHeight="1"/>
    <row r="22397" customFormat="1" ht="17.25" customHeight="1"/>
    <row r="22398" customFormat="1" ht="17.25" customHeight="1"/>
    <row r="22399" customFormat="1" ht="17.25" customHeight="1"/>
    <row r="22400" customFormat="1" ht="17.25" customHeight="1"/>
    <row r="22401" customFormat="1" ht="17.25" customHeight="1"/>
    <row r="22402" customFormat="1" ht="17.25" customHeight="1"/>
    <row r="22403" customFormat="1" ht="17.25" customHeight="1"/>
    <row r="22404" customFormat="1" ht="17.25" customHeight="1"/>
    <row r="22405" customFormat="1" ht="17.25" customHeight="1"/>
    <row r="22406" customFormat="1" ht="17.25" customHeight="1"/>
    <row r="22407" customFormat="1" ht="17.25" customHeight="1"/>
    <row r="22408" customFormat="1" ht="17.25" customHeight="1"/>
    <row r="22409" customFormat="1" ht="17.25" customHeight="1"/>
    <row r="22410" customFormat="1" ht="17.25" customHeight="1"/>
    <row r="22411" customFormat="1" ht="17.25" customHeight="1"/>
    <row r="22412" customFormat="1" ht="17.25" customHeight="1"/>
    <row r="22413" customFormat="1" ht="17.25" customHeight="1"/>
    <row r="22414" customFormat="1" ht="17.25" customHeight="1"/>
    <row r="22415" customFormat="1" ht="17.25" customHeight="1"/>
    <row r="22416" customFormat="1" ht="17.25" customHeight="1"/>
    <row r="22417" customFormat="1" ht="17.25" customHeight="1"/>
    <row r="22418" customFormat="1" ht="17.25" customHeight="1"/>
    <row r="22419" customFormat="1" ht="17.25" customHeight="1"/>
    <row r="22420" customFormat="1" ht="17.25" customHeight="1"/>
    <row r="22421" customFormat="1" ht="17.25" customHeight="1"/>
    <row r="22422" customFormat="1" ht="17.25" customHeight="1"/>
    <row r="22423" customFormat="1" ht="17.25" customHeight="1"/>
    <row r="22424" customFormat="1" ht="17.25" customHeight="1"/>
    <row r="22425" customFormat="1" ht="17.25" customHeight="1"/>
    <row r="22426" customFormat="1" ht="17.25" customHeight="1"/>
    <row r="22427" customFormat="1" ht="17.25" customHeight="1"/>
    <row r="22428" customFormat="1" ht="17.25" customHeight="1"/>
    <row r="22429" customFormat="1" ht="17.25" customHeight="1"/>
    <row r="22430" customFormat="1" ht="17.25" customHeight="1"/>
    <row r="22431" customFormat="1" ht="17.25" customHeight="1"/>
    <row r="22432" customFormat="1" ht="17.25" customHeight="1"/>
    <row r="22433" customFormat="1" ht="17.25" customHeight="1"/>
    <row r="22434" customFormat="1" ht="17.25" customHeight="1"/>
    <row r="22435" customFormat="1" ht="17.25" customHeight="1"/>
    <row r="22436" customFormat="1" ht="17.25" customHeight="1"/>
    <row r="22437" customFormat="1" ht="17.25" customHeight="1"/>
    <row r="22438" customFormat="1" ht="17.25" customHeight="1"/>
    <row r="22439" customFormat="1" ht="17.25" customHeight="1"/>
    <row r="22440" customFormat="1" ht="17.25" customHeight="1"/>
    <row r="22441" customFormat="1" ht="17.25" customHeight="1"/>
    <row r="22442" customFormat="1" ht="17.25" customHeight="1"/>
    <row r="22443" customFormat="1" ht="17.25" customHeight="1"/>
    <row r="22444" customFormat="1" ht="17.25" customHeight="1"/>
    <row r="22445" customFormat="1" ht="17.25" customHeight="1"/>
    <row r="22446" customFormat="1" ht="17.25" customHeight="1"/>
    <row r="22447" customFormat="1" ht="17.25" customHeight="1"/>
    <row r="22448" customFormat="1" ht="17.25" customHeight="1"/>
    <row r="22449" customFormat="1" ht="17.25" customHeight="1"/>
    <row r="22450" customFormat="1" ht="17.25" customHeight="1"/>
    <row r="22451" customFormat="1" ht="17.25" customHeight="1"/>
    <row r="22452" customFormat="1" ht="17.25" customHeight="1"/>
    <row r="22453" customFormat="1" ht="17.25" customHeight="1"/>
    <row r="22454" customFormat="1" ht="17.25" customHeight="1"/>
    <row r="22455" customFormat="1" ht="17.25" customHeight="1"/>
    <row r="22456" customFormat="1" ht="17.25" customHeight="1"/>
    <row r="22457" customFormat="1" ht="17.25" customHeight="1"/>
    <row r="22458" customFormat="1" ht="17.25" customHeight="1"/>
    <row r="22459" customFormat="1" ht="17.25" customHeight="1"/>
    <row r="22460" customFormat="1" ht="17.25" customHeight="1"/>
    <row r="22461" customFormat="1" ht="17.25" customHeight="1"/>
    <row r="22462" customFormat="1" ht="17.25" customHeight="1"/>
    <row r="22463" customFormat="1" ht="17.25" customHeight="1"/>
    <row r="22464" customFormat="1" ht="17.25" customHeight="1"/>
    <row r="22465" customFormat="1" ht="17.25" customHeight="1"/>
    <row r="22466" customFormat="1" ht="17.25" customHeight="1"/>
    <row r="22467" customFormat="1" ht="17.25" customHeight="1"/>
    <row r="22468" customFormat="1" ht="17.25" customHeight="1"/>
    <row r="22469" customFormat="1" ht="17.25" customHeight="1"/>
    <row r="22470" customFormat="1" ht="17.25" customHeight="1"/>
    <row r="22471" customFormat="1" ht="17.25" customHeight="1"/>
    <row r="22472" customFormat="1" ht="17.25" customHeight="1"/>
    <row r="22473" customFormat="1" ht="17.25" customHeight="1"/>
    <row r="22474" customFormat="1" ht="17.25" customHeight="1"/>
    <row r="22475" customFormat="1" ht="17.25" customHeight="1"/>
    <row r="22476" customFormat="1" ht="17.25" customHeight="1"/>
    <row r="22477" customFormat="1" ht="17.25" customHeight="1"/>
    <row r="22478" customFormat="1" ht="17.25" customHeight="1"/>
    <row r="22479" customFormat="1" ht="17.25" customHeight="1"/>
    <row r="22480" customFormat="1" ht="17.25" customHeight="1"/>
    <row r="22481" customFormat="1" ht="17.25" customHeight="1"/>
    <row r="22482" customFormat="1" ht="17.25" customHeight="1"/>
    <row r="22483" customFormat="1" ht="17.25" customHeight="1"/>
    <row r="22484" customFormat="1" ht="17.25" customHeight="1"/>
    <row r="22485" customFormat="1" ht="17.25" customHeight="1"/>
    <row r="22486" customFormat="1" ht="17.25" customHeight="1"/>
    <row r="22487" customFormat="1" ht="17.25" customHeight="1"/>
    <row r="22488" customFormat="1" ht="17.25" customHeight="1"/>
    <row r="22489" customFormat="1" ht="17.25" customHeight="1"/>
    <row r="22490" customFormat="1" ht="17.25" customHeight="1"/>
    <row r="22491" customFormat="1" ht="17.25" customHeight="1"/>
    <row r="22492" customFormat="1" ht="17.25" customHeight="1"/>
    <row r="22493" customFormat="1" ht="17.25" customHeight="1"/>
    <row r="22494" customFormat="1" ht="17.25" customHeight="1"/>
    <row r="22495" customFormat="1" ht="17.25" customHeight="1"/>
    <row r="22496" customFormat="1" ht="17.25" customHeight="1"/>
    <row r="22497" customFormat="1" ht="17.25" customHeight="1"/>
    <row r="22498" customFormat="1" ht="17.25" customHeight="1"/>
    <row r="22499" customFormat="1" ht="17.25" customHeight="1"/>
    <row r="22500" customFormat="1" ht="17.25" customHeight="1"/>
    <row r="22501" customFormat="1" ht="17.25" customHeight="1"/>
    <row r="22502" customFormat="1" ht="17.25" customHeight="1"/>
    <row r="22503" customFormat="1" ht="17.25" customHeight="1"/>
    <row r="22504" customFormat="1" ht="17.25" customHeight="1"/>
    <row r="22505" customFormat="1" ht="17.25" customHeight="1"/>
    <row r="22506" customFormat="1" ht="17.25" customHeight="1"/>
    <row r="22507" customFormat="1" ht="17.25" customHeight="1"/>
    <row r="22508" customFormat="1" ht="17.25" customHeight="1"/>
    <row r="22509" customFormat="1" ht="17.25" customHeight="1"/>
    <row r="22510" customFormat="1" ht="17.25" customHeight="1"/>
    <row r="22511" customFormat="1" ht="17.25" customHeight="1"/>
    <row r="22512" customFormat="1" ht="17.25" customHeight="1"/>
    <row r="22513" customFormat="1" ht="17.25" customHeight="1"/>
    <row r="22514" customFormat="1" ht="17.25" customHeight="1"/>
    <row r="22515" customFormat="1" ht="17.25" customHeight="1"/>
    <row r="22516" customFormat="1" ht="17.25" customHeight="1"/>
    <row r="22517" customFormat="1" ht="17.25" customHeight="1"/>
    <row r="22518" customFormat="1" ht="17.25" customHeight="1"/>
    <row r="22519" customFormat="1" ht="17.25" customHeight="1"/>
    <row r="22520" customFormat="1" ht="17.25" customHeight="1"/>
    <row r="22521" customFormat="1" ht="17.25" customHeight="1"/>
    <row r="22522" customFormat="1" ht="17.25" customHeight="1"/>
    <row r="22523" customFormat="1" ht="17.25" customHeight="1"/>
    <row r="22524" customFormat="1" ht="17.25" customHeight="1"/>
    <row r="22525" customFormat="1" ht="17.25" customHeight="1"/>
    <row r="22526" customFormat="1" ht="17.25" customHeight="1"/>
    <row r="22527" customFormat="1" ht="17.25" customHeight="1"/>
    <row r="22528" customFormat="1" ht="17.25" customHeight="1"/>
    <row r="22529" customFormat="1" ht="17.25" customHeight="1"/>
    <row r="22530" customFormat="1" ht="17.25" customHeight="1"/>
    <row r="22531" customFormat="1" ht="17.25" customHeight="1"/>
    <row r="22532" customFormat="1" ht="17.25" customHeight="1"/>
    <row r="22533" customFormat="1" ht="17.25" customHeight="1"/>
    <row r="22534" customFormat="1" ht="17.25" customHeight="1"/>
    <row r="22535" customFormat="1" ht="17.25" customHeight="1"/>
    <row r="22536" customFormat="1" ht="17.25" customHeight="1"/>
    <row r="22537" customFormat="1" ht="17.25" customHeight="1"/>
    <row r="22538" customFormat="1" ht="17.25" customHeight="1"/>
    <row r="22539" customFormat="1" ht="17.25" customHeight="1"/>
    <row r="22540" customFormat="1" ht="17.25" customHeight="1"/>
    <row r="22541" customFormat="1" ht="17.25" customHeight="1"/>
    <row r="22542" customFormat="1" ht="17.25" customHeight="1"/>
    <row r="22543" customFormat="1" ht="17.25" customHeight="1"/>
    <row r="22544" customFormat="1" ht="17.25" customHeight="1"/>
    <row r="22545" customFormat="1" ht="17.25" customHeight="1"/>
    <row r="22546" customFormat="1" ht="17.25" customHeight="1"/>
    <row r="22547" customFormat="1" ht="17.25" customHeight="1"/>
    <row r="22548" customFormat="1" ht="17.25" customHeight="1"/>
    <row r="22549" customFormat="1" ht="17.25" customHeight="1"/>
    <row r="22550" customFormat="1" ht="17.25" customHeight="1"/>
    <row r="22551" customFormat="1" ht="17.25" customHeight="1"/>
    <row r="22552" customFormat="1" ht="17.25" customHeight="1"/>
    <row r="22553" customFormat="1" ht="17.25" customHeight="1"/>
    <row r="22554" customFormat="1" ht="17.25" customHeight="1"/>
    <row r="22555" customFormat="1" ht="17.25" customHeight="1"/>
    <row r="22556" customFormat="1" ht="17.25" customHeight="1"/>
    <row r="22557" customFormat="1" ht="17.25" customHeight="1"/>
    <row r="22558" customFormat="1" ht="17.25" customHeight="1"/>
    <row r="22559" customFormat="1" ht="17.25" customHeight="1"/>
    <row r="22560" customFormat="1" ht="17.25" customHeight="1"/>
    <row r="22561" customFormat="1" ht="17.25" customHeight="1"/>
    <row r="22562" customFormat="1" ht="17.25" customHeight="1"/>
    <row r="22563" customFormat="1" ht="17.25" customHeight="1"/>
    <row r="22564" customFormat="1" ht="17.25" customHeight="1"/>
    <row r="22565" customFormat="1" ht="17.25" customHeight="1"/>
    <row r="22566" customFormat="1" ht="17.25" customHeight="1"/>
    <row r="22567" customFormat="1" ht="17.25" customHeight="1"/>
    <row r="22568" customFormat="1" ht="17.25" customHeight="1"/>
    <row r="22569" customFormat="1" ht="17.25" customHeight="1"/>
    <row r="22570" customFormat="1" ht="17.25" customHeight="1"/>
    <row r="22571" customFormat="1" ht="17.25" customHeight="1"/>
    <row r="22572" customFormat="1" ht="17.25" customHeight="1"/>
    <row r="22573" customFormat="1" ht="17.25" customHeight="1"/>
    <row r="22574" customFormat="1" ht="17.25" customHeight="1"/>
    <row r="22575" customFormat="1" ht="17.25" customHeight="1"/>
    <row r="22576" customFormat="1" ht="17.25" customHeight="1"/>
    <row r="22577" customFormat="1" ht="17.25" customHeight="1"/>
    <row r="22578" customFormat="1" ht="17.25" customHeight="1"/>
    <row r="22579" customFormat="1" ht="17.25" customHeight="1"/>
    <row r="22580" customFormat="1" ht="17.25" customHeight="1"/>
    <row r="22581" customFormat="1" ht="17.25" customHeight="1"/>
    <row r="22582" customFormat="1" ht="17.25" customHeight="1"/>
    <row r="22583" customFormat="1" ht="17.25" customHeight="1"/>
    <row r="22584" customFormat="1" ht="17.25" customHeight="1"/>
    <row r="22585" customFormat="1" ht="17.25" customHeight="1"/>
    <row r="22586" customFormat="1" ht="17.25" customHeight="1"/>
    <row r="22587" customFormat="1" ht="17.25" customHeight="1"/>
    <row r="22588" customFormat="1" ht="17.25" customHeight="1"/>
    <row r="22589" customFormat="1" ht="17.25" customHeight="1"/>
    <row r="22590" customFormat="1" ht="17.25" customHeight="1"/>
    <row r="22591" customFormat="1" ht="17.25" customHeight="1"/>
    <row r="22592" customFormat="1" ht="17.25" customHeight="1"/>
    <row r="22593" customFormat="1" ht="17.25" customHeight="1"/>
    <row r="22594" customFormat="1" ht="17.25" customHeight="1"/>
    <row r="22595" customFormat="1" ht="17.25" customHeight="1"/>
    <row r="22596" customFormat="1" ht="17.25" customHeight="1"/>
    <row r="22597" customFormat="1" ht="17.25" customHeight="1"/>
    <row r="22598" customFormat="1" ht="17.25" customHeight="1"/>
    <row r="22599" customFormat="1" ht="17.25" customHeight="1"/>
    <row r="22600" customFormat="1" ht="17.25" customHeight="1"/>
    <row r="22601" customFormat="1" ht="17.25" customHeight="1"/>
    <row r="22602" customFormat="1" ht="17.25" customHeight="1"/>
    <row r="22603" customFormat="1" ht="17.25" customHeight="1"/>
    <row r="22604" customFormat="1" ht="17.25" customHeight="1"/>
    <row r="22605" customFormat="1" ht="17.25" customHeight="1"/>
    <row r="22606" customFormat="1" ht="17.25" customHeight="1"/>
    <row r="22607" customFormat="1" ht="17.25" customHeight="1"/>
    <row r="22608" customFormat="1" ht="17.25" customHeight="1"/>
    <row r="22609" customFormat="1" ht="17.25" customHeight="1"/>
    <row r="22610" customFormat="1" ht="17.25" customHeight="1"/>
    <row r="22611" customFormat="1" ht="17.25" customHeight="1"/>
    <row r="22612" customFormat="1" ht="17.25" customHeight="1"/>
    <row r="22613" customFormat="1" ht="17.25" customHeight="1"/>
    <row r="22614" customFormat="1" ht="17.25" customHeight="1"/>
    <row r="22615" customFormat="1" ht="17.25" customHeight="1"/>
    <row r="22616" customFormat="1" ht="17.25" customHeight="1"/>
    <row r="22617" customFormat="1" ht="17.25" customHeight="1"/>
    <row r="22618" customFormat="1" ht="17.25" customHeight="1"/>
    <row r="22619" customFormat="1" ht="17.25" customHeight="1"/>
    <row r="22620" customFormat="1" ht="17.25" customHeight="1"/>
    <row r="22621" customFormat="1" ht="17.25" customHeight="1"/>
    <row r="22622" customFormat="1" ht="17.25" customHeight="1"/>
    <row r="22623" customFormat="1" ht="17.25" customHeight="1"/>
    <row r="22624" customFormat="1" ht="17.25" customHeight="1"/>
    <row r="22625" customFormat="1" ht="17.25" customHeight="1"/>
    <row r="22626" customFormat="1" ht="17.25" customHeight="1"/>
    <row r="22627" customFormat="1" ht="17.25" customHeight="1"/>
    <row r="22628" customFormat="1" ht="17.25" customHeight="1"/>
    <row r="22629" customFormat="1" ht="17.25" customHeight="1"/>
    <row r="22630" customFormat="1" ht="17.25" customHeight="1"/>
    <row r="22631" customFormat="1" ht="17.25" customHeight="1"/>
    <row r="22632" customFormat="1" ht="17.25" customHeight="1"/>
    <row r="22633" customFormat="1" ht="17.25" customHeight="1"/>
    <row r="22634" customFormat="1" ht="17.25" customHeight="1"/>
    <row r="22635" customFormat="1" ht="17.25" customHeight="1"/>
    <row r="22636" customFormat="1" ht="17.25" customHeight="1"/>
    <row r="22637" customFormat="1" ht="17.25" customHeight="1"/>
    <row r="22638" customFormat="1" ht="17.25" customHeight="1"/>
    <row r="22639" customFormat="1" ht="17.25" customHeight="1"/>
    <row r="22640" customFormat="1" ht="17.25" customHeight="1"/>
    <row r="22641" customFormat="1" ht="17.25" customHeight="1"/>
    <row r="22642" customFormat="1" ht="17.25" customHeight="1"/>
    <row r="22643" customFormat="1" ht="17.25" customHeight="1"/>
    <row r="22644" customFormat="1" ht="17.25" customHeight="1"/>
    <row r="22645" customFormat="1" ht="17.25" customHeight="1"/>
    <row r="22646" customFormat="1" ht="17.25" customHeight="1"/>
    <row r="22647" customFormat="1" ht="17.25" customHeight="1"/>
    <row r="22648" customFormat="1" ht="17.25" customHeight="1"/>
    <row r="22649" customFormat="1" ht="17.25" customHeight="1"/>
    <row r="22650" customFormat="1" ht="17.25" customHeight="1"/>
    <row r="22651" customFormat="1" ht="17.25" customHeight="1"/>
    <row r="22652" customFormat="1" ht="17.25" customHeight="1"/>
    <row r="22653" customFormat="1" ht="17.25" customHeight="1"/>
    <row r="22654" customFormat="1" ht="17.25" customHeight="1"/>
    <row r="22655" customFormat="1" ht="17.25" customHeight="1"/>
    <row r="22656" customFormat="1" ht="17.25" customHeight="1"/>
    <row r="22657" customFormat="1" ht="17.25" customHeight="1"/>
    <row r="22658" customFormat="1" ht="17.25" customHeight="1"/>
    <row r="22659" customFormat="1" ht="17.25" customHeight="1"/>
    <row r="22660" customFormat="1" ht="17.25" customHeight="1"/>
    <row r="22661" customFormat="1" ht="17.25" customHeight="1"/>
    <row r="22662" customFormat="1" ht="17.25" customHeight="1"/>
    <row r="22663" customFormat="1" ht="17.25" customHeight="1"/>
    <row r="22664" customFormat="1" ht="17.25" customHeight="1"/>
    <row r="22665" customFormat="1" ht="17.25" customHeight="1"/>
    <row r="22666" customFormat="1" ht="17.25" customHeight="1"/>
    <row r="22667" customFormat="1" ht="17.25" customHeight="1"/>
    <row r="22668" customFormat="1" ht="17.25" customHeight="1"/>
    <row r="22669" customFormat="1" ht="17.25" customHeight="1"/>
    <row r="22670" customFormat="1" ht="17.25" customHeight="1"/>
    <row r="22671" customFormat="1" ht="17.25" customHeight="1"/>
    <row r="22672" customFormat="1" ht="17.25" customHeight="1"/>
    <row r="22673" customFormat="1" ht="17.25" customHeight="1"/>
    <row r="22674" customFormat="1" ht="17.25" customHeight="1"/>
    <row r="22675" customFormat="1" ht="17.25" customHeight="1"/>
    <row r="22676" customFormat="1" ht="17.25" customHeight="1"/>
    <row r="22677" customFormat="1" ht="17.25" customHeight="1"/>
    <row r="22678" customFormat="1" ht="17.25" customHeight="1"/>
    <row r="22679" customFormat="1" ht="17.25" customHeight="1"/>
    <row r="22680" customFormat="1" ht="17.25" customHeight="1"/>
    <row r="22681" customFormat="1" ht="17.25" customHeight="1"/>
    <row r="22682" customFormat="1" ht="17.25" customHeight="1"/>
    <row r="22683" customFormat="1" ht="17.25" customHeight="1"/>
    <row r="22684" customFormat="1" ht="17.25" customHeight="1"/>
    <row r="22685" customFormat="1" ht="17.25" customHeight="1"/>
    <row r="22686" customFormat="1" ht="17.25" customHeight="1"/>
    <row r="22687" customFormat="1" ht="17.25" customHeight="1"/>
    <row r="22688" customFormat="1" ht="17.25" customHeight="1"/>
    <row r="22689" customFormat="1" ht="17.25" customHeight="1"/>
    <row r="22690" customFormat="1" ht="17.25" customHeight="1"/>
    <row r="22691" customFormat="1" ht="17.25" customHeight="1"/>
    <row r="22692" customFormat="1" ht="17.25" customHeight="1"/>
    <row r="22693" customFormat="1" ht="17.25" customHeight="1"/>
    <row r="22694" customFormat="1" ht="17.25" customHeight="1"/>
    <row r="22695" customFormat="1" ht="17.25" customHeight="1"/>
    <row r="22696" customFormat="1" ht="17.25" customHeight="1"/>
    <row r="22697" customFormat="1" ht="17.25" customHeight="1"/>
    <row r="22698" customFormat="1" ht="17.25" customHeight="1"/>
    <row r="22699" customFormat="1" ht="17.25" customHeight="1"/>
    <row r="22700" customFormat="1" ht="17.25" customHeight="1"/>
    <row r="22701" customFormat="1" ht="17.25" customHeight="1"/>
    <row r="22702" customFormat="1" ht="17.25" customHeight="1"/>
    <row r="22703" customFormat="1" ht="17.25" customHeight="1"/>
    <row r="22704" customFormat="1" ht="17.25" customHeight="1"/>
    <row r="22705" customFormat="1" ht="17.25" customHeight="1"/>
    <row r="22706" customFormat="1" ht="17.25" customHeight="1"/>
    <row r="22707" customFormat="1" ht="17.25" customHeight="1"/>
    <row r="22708" customFormat="1" ht="17.25" customHeight="1"/>
    <row r="22709" customFormat="1" ht="17.25" customHeight="1"/>
    <row r="22710" customFormat="1" ht="17.25" customHeight="1"/>
    <row r="22711" customFormat="1" ht="17.25" customHeight="1"/>
    <row r="22712" customFormat="1" ht="17.25" customHeight="1"/>
    <row r="22713" customFormat="1" ht="17.25" customHeight="1"/>
    <row r="22714" customFormat="1" ht="17.25" customHeight="1"/>
    <row r="22715" customFormat="1" ht="17.25" customHeight="1"/>
    <row r="22716" customFormat="1" ht="17.25" customHeight="1"/>
    <row r="22717" customFormat="1" ht="17.25" customHeight="1"/>
    <row r="22718" customFormat="1" ht="17.25" customHeight="1"/>
    <row r="22719" customFormat="1" ht="17.25" customHeight="1"/>
    <row r="22720" customFormat="1" ht="17.25" customHeight="1"/>
    <row r="22721" customFormat="1" ht="17.25" customHeight="1"/>
    <row r="22722" customFormat="1" ht="17.25" customHeight="1"/>
    <row r="22723" customFormat="1" ht="17.25" customHeight="1"/>
    <row r="22724" customFormat="1" ht="17.25" customHeight="1"/>
    <row r="22725" customFormat="1" ht="17.25" customHeight="1"/>
    <row r="22726" customFormat="1" ht="17.25" customHeight="1"/>
    <row r="22727" customFormat="1" ht="17.25" customHeight="1"/>
    <row r="22728" customFormat="1" ht="17.25" customHeight="1"/>
    <row r="22729" customFormat="1" ht="17.25" customHeight="1"/>
    <row r="22730" customFormat="1" ht="17.25" customHeight="1"/>
    <row r="22731" customFormat="1" ht="17.25" customHeight="1"/>
    <row r="22732" customFormat="1" ht="17.25" customHeight="1"/>
    <row r="22733" customFormat="1" ht="17.25" customHeight="1"/>
    <row r="22734" customFormat="1" ht="17.25" customHeight="1"/>
    <row r="22735" customFormat="1" ht="17.25" customHeight="1"/>
    <row r="22736" customFormat="1" ht="17.25" customHeight="1"/>
    <row r="22737" customFormat="1" ht="17.25" customHeight="1"/>
    <row r="22738" customFormat="1" ht="17.25" customHeight="1"/>
    <row r="22739" customFormat="1" ht="17.25" customHeight="1"/>
    <row r="22740" customFormat="1" ht="17.25" customHeight="1"/>
    <row r="22741" customFormat="1" ht="17.25" customHeight="1"/>
    <row r="22742" customFormat="1" ht="17.25" customHeight="1"/>
    <row r="22743" customFormat="1" ht="17.25" customHeight="1"/>
    <row r="22744" customFormat="1" ht="17.25" customHeight="1"/>
    <row r="22745" customFormat="1" ht="17.25" customHeight="1"/>
    <row r="22746" customFormat="1" ht="17.25" customHeight="1"/>
    <row r="22747" customFormat="1" ht="17.25" customHeight="1"/>
    <row r="22748" customFormat="1" ht="17.25" customHeight="1"/>
    <row r="22749" customFormat="1" ht="17.25" customHeight="1"/>
    <row r="22750" customFormat="1" ht="17.25" customHeight="1"/>
    <row r="22751" customFormat="1" ht="17.25" customHeight="1"/>
    <row r="22752" customFormat="1" ht="17.25" customHeight="1"/>
    <row r="22753" customFormat="1" ht="17.25" customHeight="1"/>
    <row r="22754" customFormat="1" ht="17.25" customHeight="1"/>
    <row r="22755" customFormat="1" ht="17.25" customHeight="1"/>
    <row r="22756" customFormat="1" ht="17.25" customHeight="1"/>
    <row r="22757" customFormat="1" ht="17.25" customHeight="1"/>
    <row r="22758" customFormat="1" ht="17.25" customHeight="1"/>
    <row r="22759" customFormat="1" ht="17.25" customHeight="1"/>
    <row r="22760" customFormat="1" ht="17.25" customHeight="1"/>
    <row r="22761" customFormat="1" ht="17.25" customHeight="1"/>
    <row r="22762" customFormat="1" ht="17.25" customHeight="1"/>
    <row r="22763" customFormat="1" ht="17.25" customHeight="1"/>
    <row r="22764" customFormat="1" ht="17.25" customHeight="1"/>
    <row r="22765" customFormat="1" ht="17.25" customHeight="1"/>
    <row r="22766" customFormat="1" ht="17.25" customHeight="1"/>
    <row r="22767" customFormat="1" ht="17.25" customHeight="1"/>
    <row r="22768" customFormat="1" ht="17.25" customHeight="1"/>
    <row r="22769" customFormat="1" ht="17.25" customHeight="1"/>
    <row r="22770" customFormat="1" ht="17.25" customHeight="1"/>
    <row r="22771" customFormat="1" ht="17.25" customHeight="1"/>
    <row r="22772" customFormat="1" ht="17.25" customHeight="1"/>
    <row r="22773" customFormat="1" ht="17.25" customHeight="1"/>
    <row r="22774" customFormat="1" ht="17.25" customHeight="1"/>
    <row r="22775" customFormat="1" ht="17.25" customHeight="1"/>
    <row r="22776" customFormat="1" ht="17.25" customHeight="1"/>
    <row r="22777" customFormat="1" ht="17.25" customHeight="1"/>
    <row r="22778" customFormat="1" ht="17.25" customHeight="1"/>
    <row r="22779" customFormat="1" ht="17.25" customHeight="1"/>
    <row r="22780" customFormat="1" ht="17.25" customHeight="1"/>
    <row r="22781" customFormat="1" ht="17.25" customHeight="1"/>
    <row r="22782" customFormat="1" ht="17.25" customHeight="1"/>
    <row r="22783" customFormat="1" ht="17.25" customHeight="1"/>
    <row r="22784" customFormat="1" ht="17.25" customHeight="1"/>
    <row r="22785" customFormat="1" ht="17.25" customHeight="1"/>
    <row r="22786" customFormat="1" ht="17.25" customHeight="1"/>
    <row r="22787" customFormat="1" ht="17.25" customHeight="1"/>
    <row r="22788" customFormat="1" ht="17.25" customHeight="1"/>
    <row r="22789" customFormat="1" ht="17.25" customHeight="1"/>
    <row r="22790" customFormat="1" ht="17.25" customHeight="1"/>
    <row r="22791" customFormat="1" ht="17.25" customHeight="1"/>
    <row r="22792" customFormat="1" ht="17.25" customHeight="1"/>
    <row r="22793" customFormat="1" ht="17.25" customHeight="1"/>
    <row r="22794" customFormat="1" ht="17.25" customHeight="1"/>
    <row r="22795" customFormat="1" ht="17.25" customHeight="1"/>
    <row r="22796" customFormat="1" ht="17.25" customHeight="1"/>
    <row r="22797" customFormat="1" ht="17.25" customHeight="1"/>
    <row r="22798" customFormat="1" ht="17.25" customHeight="1"/>
    <row r="22799" customFormat="1" ht="17.25" customHeight="1"/>
    <row r="22800" customFormat="1" ht="17.25" customHeight="1"/>
    <row r="22801" customFormat="1" ht="17.25" customHeight="1"/>
    <row r="22802" customFormat="1" ht="17.25" customHeight="1"/>
    <row r="22803" customFormat="1" ht="17.25" customHeight="1"/>
    <row r="22804" customFormat="1" ht="17.25" customHeight="1"/>
    <row r="22805" customFormat="1" ht="17.25" customHeight="1"/>
    <row r="22806" customFormat="1" ht="17.25" customHeight="1"/>
    <row r="22807" customFormat="1" ht="17.25" customHeight="1"/>
    <row r="22808" customFormat="1" ht="17.25" customHeight="1"/>
    <row r="22809" customFormat="1" ht="17.25" customHeight="1"/>
    <row r="22810" customFormat="1" ht="17.25" customHeight="1"/>
    <row r="22811" customFormat="1" ht="17.25" customHeight="1"/>
    <row r="22812" customFormat="1" ht="17.25" customHeight="1"/>
    <row r="22813" customFormat="1" ht="17.25" customHeight="1"/>
    <row r="22814" customFormat="1" ht="17.25" customHeight="1"/>
    <row r="22815" customFormat="1" ht="17.25" customHeight="1"/>
    <row r="22816" customFormat="1" ht="17.25" customHeight="1"/>
    <row r="22817" customFormat="1" ht="17.25" customHeight="1"/>
    <row r="22818" customFormat="1" ht="17.25" customHeight="1"/>
    <row r="22819" customFormat="1" ht="17.25" customHeight="1"/>
    <row r="22820" customFormat="1" ht="17.25" customHeight="1"/>
    <row r="22821" customFormat="1" ht="17.25" customHeight="1"/>
    <row r="22822" customFormat="1" ht="17.25" customHeight="1"/>
    <row r="22823" customFormat="1" ht="17.25" customHeight="1"/>
    <row r="22824" customFormat="1" ht="17.25" customHeight="1"/>
    <row r="22825" customFormat="1" ht="17.25" customHeight="1"/>
    <row r="22826" customFormat="1" ht="17.25" customHeight="1"/>
    <row r="22827" customFormat="1" ht="17.25" customHeight="1"/>
    <row r="22828" customFormat="1" ht="17.25" customHeight="1"/>
    <row r="22829" customFormat="1" ht="17.25" customHeight="1"/>
    <row r="22830" customFormat="1" ht="17.25" customHeight="1"/>
    <row r="22831" customFormat="1" ht="17.25" customHeight="1"/>
    <row r="22832" customFormat="1" ht="17.25" customHeight="1"/>
    <row r="22833" customFormat="1" ht="17.25" customHeight="1"/>
    <row r="22834" customFormat="1" ht="17.25" customHeight="1"/>
    <row r="22835" customFormat="1" ht="17.25" customHeight="1"/>
    <row r="22836" customFormat="1" ht="17.25" customHeight="1"/>
    <row r="22837" customFormat="1" ht="17.25" customHeight="1"/>
    <row r="22838" customFormat="1" ht="17.25" customHeight="1"/>
    <row r="22839" customFormat="1" ht="17.25" customHeight="1"/>
    <row r="22840" customFormat="1" ht="17.25" customHeight="1"/>
    <row r="22841" customFormat="1" ht="17.25" customHeight="1"/>
    <row r="22842" customFormat="1" ht="17.25" customHeight="1"/>
    <row r="22843" customFormat="1" ht="17.25" customHeight="1"/>
    <row r="22844" customFormat="1" ht="17.25" customHeight="1"/>
    <row r="22845" customFormat="1" ht="17.25" customHeight="1"/>
    <row r="22846" customFormat="1" ht="17.25" customHeight="1"/>
    <row r="22847" customFormat="1" ht="17.25" customHeight="1"/>
    <row r="22848" customFormat="1" ht="17.25" customHeight="1"/>
    <row r="22849" customFormat="1" ht="17.25" customHeight="1"/>
    <row r="22850" customFormat="1" ht="17.25" customHeight="1"/>
    <row r="22851" customFormat="1" ht="17.25" customHeight="1"/>
    <row r="22852" customFormat="1" ht="17.25" customHeight="1"/>
    <row r="22853" customFormat="1" ht="17.25" customHeight="1"/>
    <row r="22854" customFormat="1" ht="17.25" customHeight="1"/>
    <row r="22855" customFormat="1" ht="17.25" customHeight="1"/>
    <row r="22856" customFormat="1" ht="17.25" customHeight="1"/>
    <row r="22857" customFormat="1" ht="17.25" customHeight="1"/>
    <row r="22858" customFormat="1" ht="17.25" customHeight="1"/>
    <row r="22859" customFormat="1" ht="17.25" customHeight="1"/>
    <row r="22860" customFormat="1" ht="17.25" customHeight="1"/>
    <row r="22861" customFormat="1" ht="17.25" customHeight="1"/>
    <row r="22862" customFormat="1" ht="17.25" customHeight="1"/>
    <row r="22863" customFormat="1" ht="17.25" customHeight="1"/>
    <row r="22864" customFormat="1" ht="17.25" customHeight="1"/>
    <row r="22865" customFormat="1" ht="17.25" customHeight="1"/>
    <row r="22866" customFormat="1" ht="17.25" customHeight="1"/>
    <row r="22867" customFormat="1" ht="17.25" customHeight="1"/>
    <row r="22868" customFormat="1" ht="17.25" customHeight="1"/>
    <row r="22869" customFormat="1" ht="17.25" customHeight="1"/>
    <row r="22870" customFormat="1" ht="17.25" customHeight="1"/>
    <row r="22871" customFormat="1" ht="17.25" customHeight="1"/>
    <row r="22872" customFormat="1" ht="17.25" customHeight="1"/>
    <row r="22873" customFormat="1" ht="17.25" customHeight="1"/>
    <row r="22874" customFormat="1" ht="17.25" customHeight="1"/>
    <row r="22875" customFormat="1" ht="17.25" customHeight="1"/>
    <row r="22876" customFormat="1" ht="17.25" customHeight="1"/>
    <row r="22877" customFormat="1" ht="17.25" customHeight="1"/>
    <row r="22878" customFormat="1" ht="17.25" customHeight="1"/>
    <row r="22879" customFormat="1" ht="17.25" customHeight="1"/>
    <row r="22880" customFormat="1" ht="17.25" customHeight="1"/>
    <row r="22881" customFormat="1" ht="17.25" customHeight="1"/>
    <row r="22882" customFormat="1" ht="17.25" customHeight="1"/>
    <row r="22883" customFormat="1" ht="17.25" customHeight="1"/>
    <row r="22884" customFormat="1" ht="17.25" customHeight="1"/>
    <row r="22885" customFormat="1" ht="17.25" customHeight="1"/>
    <row r="22886" customFormat="1" ht="17.25" customHeight="1"/>
    <row r="22887" customFormat="1" ht="17.25" customHeight="1"/>
    <row r="22888" customFormat="1" ht="17.25" customHeight="1"/>
    <row r="22889" customFormat="1" ht="17.25" customHeight="1"/>
    <row r="22890" customFormat="1" ht="17.25" customHeight="1"/>
    <row r="22891" customFormat="1" ht="17.25" customHeight="1"/>
    <row r="22892" customFormat="1" ht="17.25" customHeight="1"/>
    <row r="22893" customFormat="1" ht="17.25" customHeight="1"/>
    <row r="22894" customFormat="1" ht="17.25" customHeight="1"/>
    <row r="22895" customFormat="1" ht="17.25" customHeight="1"/>
    <row r="22896" customFormat="1" ht="17.25" customHeight="1"/>
    <row r="22897" customFormat="1" ht="17.25" customHeight="1"/>
    <row r="22898" customFormat="1" ht="17.25" customHeight="1"/>
    <row r="22899" customFormat="1" ht="17.25" customHeight="1"/>
    <row r="22900" customFormat="1" ht="17.25" customHeight="1"/>
    <row r="22901" customFormat="1" ht="17.25" customHeight="1"/>
    <row r="22902" customFormat="1" ht="17.25" customHeight="1"/>
    <row r="22903" customFormat="1" ht="17.25" customHeight="1"/>
    <row r="22904" customFormat="1" ht="17.25" customHeight="1"/>
    <row r="22905" customFormat="1" ht="17.25" customHeight="1"/>
    <row r="22906" customFormat="1" ht="17.25" customHeight="1"/>
    <row r="22907" customFormat="1" ht="17.25" customHeight="1"/>
    <row r="22908" customFormat="1" ht="17.25" customHeight="1"/>
    <row r="22909" customFormat="1" ht="17.25" customHeight="1"/>
    <row r="22910" customFormat="1" ht="17.25" customHeight="1"/>
    <row r="22911" customFormat="1" ht="17.25" customHeight="1"/>
    <row r="22912" customFormat="1" ht="17.25" customHeight="1"/>
    <row r="22913" customFormat="1" ht="17.25" customHeight="1"/>
    <row r="22914" customFormat="1" ht="17.25" customHeight="1"/>
    <row r="22915" customFormat="1" ht="17.25" customHeight="1"/>
    <row r="22916" customFormat="1" ht="17.25" customHeight="1"/>
    <row r="22917" customFormat="1" ht="17.25" customHeight="1"/>
    <row r="22918" customFormat="1" ht="17.25" customHeight="1"/>
    <row r="22919" customFormat="1" ht="17.25" customHeight="1"/>
    <row r="22920" customFormat="1" ht="17.25" customHeight="1"/>
    <row r="22921" customFormat="1" ht="17.25" customHeight="1"/>
    <row r="22922" customFormat="1" ht="17.25" customHeight="1"/>
    <row r="22923" customFormat="1" ht="17.25" customHeight="1"/>
    <row r="22924" customFormat="1" ht="17.25" customHeight="1"/>
    <row r="22925" customFormat="1" ht="17.25" customHeight="1"/>
    <row r="22926" customFormat="1" ht="17.25" customHeight="1"/>
    <row r="22927" customFormat="1" ht="17.25" customHeight="1"/>
    <row r="22928" customFormat="1" ht="17.25" customHeight="1"/>
    <row r="22929" customFormat="1" ht="17.25" customHeight="1"/>
    <row r="22930" customFormat="1" ht="17.25" customHeight="1"/>
    <row r="22931" customFormat="1" ht="17.25" customHeight="1"/>
    <row r="22932" customFormat="1" ht="17.25" customHeight="1"/>
    <row r="22933" customFormat="1" ht="17.25" customHeight="1"/>
    <row r="22934" customFormat="1" ht="17.25" customHeight="1"/>
    <row r="22935" customFormat="1" ht="17.25" customHeight="1"/>
    <row r="22936" customFormat="1" ht="17.25" customHeight="1"/>
    <row r="22937" customFormat="1" ht="17.25" customHeight="1"/>
    <row r="22938" customFormat="1" ht="17.25" customHeight="1"/>
    <row r="22939" customFormat="1" ht="17.25" customHeight="1"/>
    <row r="22940" customFormat="1" ht="17.25" customHeight="1"/>
    <row r="22941" customFormat="1" ht="17.25" customHeight="1"/>
    <row r="22942" customFormat="1" ht="17.25" customHeight="1"/>
    <row r="22943" customFormat="1" ht="17.25" customHeight="1"/>
    <row r="22944" customFormat="1" ht="17.25" customHeight="1"/>
    <row r="22945" customFormat="1" ht="17.25" customHeight="1"/>
    <row r="22946" customFormat="1" ht="17.25" customHeight="1"/>
    <row r="22947" customFormat="1" ht="17.25" customHeight="1"/>
    <row r="22948" customFormat="1" ht="17.25" customHeight="1"/>
    <row r="22949" customFormat="1" ht="17.25" customHeight="1"/>
    <row r="22950" customFormat="1" ht="17.25" customHeight="1"/>
    <row r="22951" customFormat="1" ht="17.25" customHeight="1"/>
    <row r="22952" customFormat="1" ht="17.25" customHeight="1"/>
    <row r="22953" customFormat="1" ht="17.25" customHeight="1"/>
    <row r="22954" customFormat="1" ht="17.25" customHeight="1"/>
    <row r="22955" customFormat="1" ht="17.25" customHeight="1"/>
    <row r="22956" customFormat="1" ht="17.25" customHeight="1"/>
    <row r="22957" customFormat="1" ht="17.25" customHeight="1"/>
    <row r="22958" customFormat="1" ht="17.25" customHeight="1"/>
    <row r="22959" customFormat="1" ht="17.25" customHeight="1"/>
    <row r="22960" customFormat="1" ht="17.25" customHeight="1"/>
    <row r="22961" customFormat="1" ht="17.25" customHeight="1"/>
    <row r="22962" customFormat="1" ht="17.25" customHeight="1"/>
    <row r="22963" customFormat="1" ht="17.25" customHeight="1"/>
    <row r="22964" customFormat="1" ht="17.25" customHeight="1"/>
    <row r="22965" customFormat="1" ht="17.25" customHeight="1"/>
    <row r="22966" customFormat="1" ht="17.25" customHeight="1"/>
    <row r="22967" customFormat="1" ht="17.25" customHeight="1"/>
    <row r="22968" customFormat="1" ht="17.25" customHeight="1"/>
    <row r="22969" customFormat="1" ht="17.25" customHeight="1"/>
    <row r="22970" customFormat="1" ht="17.25" customHeight="1"/>
    <row r="22971" customFormat="1" ht="17.25" customHeight="1"/>
    <row r="22972" customFormat="1" ht="17.25" customHeight="1"/>
    <row r="22973" customFormat="1" ht="17.25" customHeight="1"/>
    <row r="22974" customFormat="1" ht="17.25" customHeight="1"/>
    <row r="22975" customFormat="1" ht="17.25" customHeight="1"/>
    <row r="22976" customFormat="1" ht="17.25" customHeight="1"/>
    <row r="22977" customFormat="1" ht="17.25" customHeight="1"/>
    <row r="22978" customFormat="1" ht="17.25" customHeight="1"/>
    <row r="22979" customFormat="1" ht="17.25" customHeight="1"/>
    <row r="22980" customFormat="1" ht="17.25" customHeight="1"/>
    <row r="22981" customFormat="1" ht="17.25" customHeight="1"/>
    <row r="22982" customFormat="1" ht="17.25" customHeight="1"/>
    <row r="22983" customFormat="1" ht="17.25" customHeight="1"/>
    <row r="22984" customFormat="1" ht="17.25" customHeight="1"/>
    <row r="22985" customFormat="1" ht="17.25" customHeight="1"/>
    <row r="22986" customFormat="1" ht="17.25" customHeight="1"/>
    <row r="22987" customFormat="1" ht="17.25" customHeight="1"/>
    <row r="22988" customFormat="1" ht="17.25" customHeight="1"/>
    <row r="22989" customFormat="1" ht="17.25" customHeight="1"/>
    <row r="22990" customFormat="1" ht="17.25" customHeight="1"/>
    <row r="22991" customFormat="1" ht="17.25" customHeight="1"/>
    <row r="22992" customFormat="1" ht="17.25" customHeight="1"/>
    <row r="22993" customFormat="1" ht="17.25" customHeight="1"/>
    <row r="22994" customFormat="1" ht="17.25" customHeight="1"/>
    <row r="22995" customFormat="1" ht="17.25" customHeight="1"/>
    <row r="22996" customFormat="1" ht="17.25" customHeight="1"/>
    <row r="22997" customFormat="1" ht="17.25" customHeight="1"/>
    <row r="22998" customFormat="1" ht="17.25" customHeight="1"/>
    <row r="22999" customFormat="1" ht="17.25" customHeight="1"/>
    <row r="23000" customFormat="1" ht="17.25" customHeight="1"/>
    <row r="23001" customFormat="1" ht="17.25" customHeight="1"/>
    <row r="23002" customFormat="1" ht="17.25" customHeight="1"/>
    <row r="23003" customFormat="1" ht="17.25" customHeight="1"/>
    <row r="23004" customFormat="1" ht="17.25" customHeight="1"/>
    <row r="23005" customFormat="1" ht="17.25" customHeight="1"/>
    <row r="23006" customFormat="1" ht="17.25" customHeight="1"/>
    <row r="23007" customFormat="1" ht="17.25" customHeight="1"/>
    <row r="23008" customFormat="1" ht="17.25" customHeight="1"/>
    <row r="23009" customFormat="1" ht="17.25" customHeight="1"/>
    <row r="23010" customFormat="1" ht="17.25" customHeight="1"/>
    <row r="23011" customFormat="1" ht="17.25" customHeight="1"/>
    <row r="23012" customFormat="1" ht="17.25" customHeight="1"/>
    <row r="23013" customFormat="1" ht="17.25" customHeight="1"/>
    <row r="23014" customFormat="1" ht="17.25" customHeight="1"/>
    <row r="23015" customFormat="1" ht="17.25" customHeight="1"/>
    <row r="23016" customFormat="1" ht="17.25" customHeight="1"/>
    <row r="23017" customFormat="1" ht="17.25" customHeight="1"/>
    <row r="23018" customFormat="1" ht="17.25" customHeight="1"/>
    <row r="23019" customFormat="1" ht="17.25" customHeight="1"/>
    <row r="23020" customFormat="1" ht="17.25" customHeight="1"/>
    <row r="23021" customFormat="1" ht="17.25" customHeight="1"/>
    <row r="23022" customFormat="1" ht="17.25" customHeight="1"/>
    <row r="23023" customFormat="1" ht="17.25" customHeight="1"/>
    <row r="23024" customFormat="1" ht="17.25" customHeight="1"/>
    <row r="23025" customFormat="1" ht="17.25" customHeight="1"/>
    <row r="23026" customFormat="1" ht="17.25" customHeight="1"/>
    <row r="23027" customFormat="1" ht="17.25" customHeight="1"/>
    <row r="23028" customFormat="1" ht="17.25" customHeight="1"/>
    <row r="23029" customFormat="1" ht="17.25" customHeight="1"/>
    <row r="23030" customFormat="1" ht="17.25" customHeight="1"/>
    <row r="23031" customFormat="1" ht="17.25" customHeight="1"/>
    <row r="23032" customFormat="1" ht="17.25" customHeight="1"/>
    <row r="23033" customFormat="1" ht="17.25" customHeight="1"/>
    <row r="23034" customFormat="1" ht="17.25" customHeight="1"/>
    <row r="23035" customFormat="1" ht="17.25" customHeight="1"/>
    <row r="23036" customFormat="1" ht="17.25" customHeight="1"/>
    <row r="23037" customFormat="1" ht="17.25" customHeight="1"/>
    <row r="23038" customFormat="1" ht="17.25" customHeight="1"/>
    <row r="23039" customFormat="1" ht="17.25" customHeight="1"/>
    <row r="23040" customFormat="1" ht="17.25" customHeight="1"/>
    <row r="23041" customFormat="1" ht="17.25" customHeight="1"/>
    <row r="23042" customFormat="1" ht="17.25" customHeight="1"/>
    <row r="23043" customFormat="1" ht="17.25" customHeight="1"/>
    <row r="23044" customFormat="1" ht="17.25" customHeight="1"/>
    <row r="23045" customFormat="1" ht="17.25" customHeight="1"/>
    <row r="23046" customFormat="1" ht="17.25" customHeight="1"/>
    <row r="23047" customFormat="1" ht="17.25" customHeight="1"/>
    <row r="23048" customFormat="1" ht="17.25" customHeight="1"/>
    <row r="23049" customFormat="1" ht="17.25" customHeight="1"/>
    <row r="23050" customFormat="1" ht="17.25" customHeight="1"/>
    <row r="23051" customFormat="1" ht="17.25" customHeight="1"/>
    <row r="23052" customFormat="1" ht="17.25" customHeight="1"/>
    <row r="23053" customFormat="1" ht="17.25" customHeight="1"/>
    <row r="23054" customFormat="1" ht="17.25" customHeight="1"/>
    <row r="23055" customFormat="1" ht="17.25" customHeight="1"/>
    <row r="23056" customFormat="1" ht="17.25" customHeight="1"/>
    <row r="23057" customFormat="1" ht="17.25" customHeight="1"/>
    <row r="23058" customFormat="1" ht="17.25" customHeight="1"/>
    <row r="23059" customFormat="1" ht="17.25" customHeight="1"/>
    <row r="23060" customFormat="1" ht="17.25" customHeight="1"/>
    <row r="23061" customFormat="1" ht="17.25" customHeight="1"/>
    <row r="23062" customFormat="1" ht="17.25" customHeight="1"/>
    <row r="23063" customFormat="1" ht="17.25" customHeight="1"/>
    <row r="23064" customFormat="1" ht="17.25" customHeight="1"/>
    <row r="23065" customFormat="1" ht="17.25" customHeight="1"/>
    <row r="23066" customFormat="1" ht="17.25" customHeight="1"/>
    <row r="23067" customFormat="1" ht="17.25" customHeight="1"/>
    <row r="23068" customFormat="1" ht="17.25" customHeight="1"/>
    <row r="23069" customFormat="1" ht="17.25" customHeight="1"/>
    <row r="23070" customFormat="1" ht="17.25" customHeight="1"/>
    <row r="23071" customFormat="1" ht="17.25" customHeight="1"/>
    <row r="23072" customFormat="1" ht="17.25" customHeight="1"/>
    <row r="23073" customFormat="1" ht="17.25" customHeight="1"/>
    <row r="23074" customFormat="1" ht="17.25" customHeight="1"/>
    <row r="23075" customFormat="1" ht="17.25" customHeight="1"/>
    <row r="23076" customFormat="1" ht="17.25" customHeight="1"/>
    <row r="23077" customFormat="1" ht="17.25" customHeight="1"/>
    <row r="23078" customFormat="1" ht="17.25" customHeight="1"/>
    <row r="23079" customFormat="1" ht="17.25" customHeight="1"/>
    <row r="23080" customFormat="1" ht="17.25" customHeight="1"/>
    <row r="23081" customFormat="1" ht="17.25" customHeight="1"/>
    <row r="23082" customFormat="1" ht="17.25" customHeight="1"/>
    <row r="23083" customFormat="1" ht="17.25" customHeight="1"/>
    <row r="23084" customFormat="1" ht="17.25" customHeight="1"/>
    <row r="23085" customFormat="1" ht="17.25" customHeight="1"/>
    <row r="23086" customFormat="1" ht="17.25" customHeight="1"/>
    <row r="23087" customFormat="1" ht="17.25" customHeight="1"/>
    <row r="23088" customFormat="1" ht="17.25" customHeight="1"/>
    <row r="23089" customFormat="1" ht="17.25" customHeight="1"/>
    <row r="23090" customFormat="1" ht="17.25" customHeight="1"/>
    <row r="23091" customFormat="1" ht="17.25" customHeight="1"/>
    <row r="23092" customFormat="1" ht="17.25" customHeight="1"/>
    <row r="23093" customFormat="1" ht="17.25" customHeight="1"/>
    <row r="23094" customFormat="1" ht="17.25" customHeight="1"/>
    <row r="23095" customFormat="1" ht="17.25" customHeight="1"/>
    <row r="23096" customFormat="1" ht="17.25" customHeight="1"/>
    <row r="23097" customFormat="1" ht="17.25" customHeight="1"/>
    <row r="23098" customFormat="1" ht="17.25" customHeight="1"/>
    <row r="23099" customFormat="1" ht="17.25" customHeight="1"/>
    <row r="23100" customFormat="1" ht="17.25" customHeight="1"/>
    <row r="23101" customFormat="1" ht="17.25" customHeight="1"/>
    <row r="23102" customFormat="1" ht="17.25" customHeight="1"/>
    <row r="23103" customFormat="1" ht="17.25" customHeight="1"/>
    <row r="23104" customFormat="1" ht="17.25" customHeight="1"/>
    <row r="23105" customFormat="1" ht="17.25" customHeight="1"/>
    <row r="23106" customFormat="1" ht="17.25" customHeight="1"/>
    <row r="23107" customFormat="1" ht="17.25" customHeight="1"/>
    <row r="23108" customFormat="1" ht="17.25" customHeight="1"/>
    <row r="23109" customFormat="1" ht="17.25" customHeight="1"/>
    <row r="23110" customFormat="1" ht="17.25" customHeight="1"/>
    <row r="23111" customFormat="1" ht="17.25" customHeight="1"/>
    <row r="23112" customFormat="1" ht="17.25" customHeight="1"/>
    <row r="23113" customFormat="1" ht="17.25" customHeight="1"/>
    <row r="23114" customFormat="1" ht="17.25" customHeight="1"/>
    <row r="23115" customFormat="1" ht="17.25" customHeight="1"/>
    <row r="23116" customFormat="1" ht="17.25" customHeight="1"/>
    <row r="23117" customFormat="1" ht="17.25" customHeight="1"/>
    <row r="23118" customFormat="1" ht="17.25" customHeight="1"/>
    <row r="23119" customFormat="1" ht="17.25" customHeight="1"/>
    <row r="23120" customFormat="1" ht="17.25" customHeight="1"/>
    <row r="23121" customFormat="1" ht="17.25" customHeight="1"/>
    <row r="23122" customFormat="1" ht="17.25" customHeight="1"/>
    <row r="23123" customFormat="1" ht="17.25" customHeight="1"/>
    <row r="23124" customFormat="1" ht="17.25" customHeight="1"/>
    <row r="23125" customFormat="1" ht="17.25" customHeight="1"/>
    <row r="23126" customFormat="1" ht="17.25" customHeight="1"/>
    <row r="23127" customFormat="1" ht="17.25" customHeight="1"/>
    <row r="23128" customFormat="1" ht="17.25" customHeight="1"/>
    <row r="23129" customFormat="1" ht="17.25" customHeight="1"/>
    <row r="23130" customFormat="1" ht="17.25" customHeight="1"/>
    <row r="23131" customFormat="1" ht="17.25" customHeight="1"/>
    <row r="23132" customFormat="1" ht="17.25" customHeight="1"/>
    <row r="23133" customFormat="1" ht="17.25" customHeight="1"/>
    <row r="23134" customFormat="1" ht="17.25" customHeight="1"/>
    <row r="23135" customFormat="1" ht="17.25" customHeight="1"/>
    <row r="23136" customFormat="1" ht="17.25" customHeight="1"/>
    <row r="23137" customFormat="1" ht="17.25" customHeight="1"/>
    <row r="23138" customFormat="1" ht="17.25" customHeight="1"/>
    <row r="23139" customFormat="1" ht="17.25" customHeight="1"/>
    <row r="23140" customFormat="1" ht="17.25" customHeight="1"/>
    <row r="23141" customFormat="1" ht="17.25" customHeight="1"/>
    <row r="23142" customFormat="1" ht="17.25" customHeight="1"/>
    <row r="23143" customFormat="1" ht="17.25" customHeight="1"/>
    <row r="23144" customFormat="1" ht="17.25" customHeight="1"/>
    <row r="23145" customFormat="1" ht="17.25" customHeight="1"/>
    <row r="23146" customFormat="1" ht="17.25" customHeight="1"/>
    <row r="23147" customFormat="1" ht="17.25" customHeight="1"/>
    <row r="23148" customFormat="1" ht="17.25" customHeight="1"/>
    <row r="23149" customFormat="1" ht="17.25" customHeight="1"/>
    <row r="23150" customFormat="1" ht="17.25" customHeight="1"/>
    <row r="23151" customFormat="1" ht="17.25" customHeight="1"/>
    <row r="23152" customFormat="1" ht="17.25" customHeight="1"/>
    <row r="23153" customFormat="1" ht="17.25" customHeight="1"/>
    <row r="23154" customFormat="1" ht="17.25" customHeight="1"/>
    <row r="23155" customFormat="1" ht="17.25" customHeight="1"/>
    <row r="23156" customFormat="1" ht="17.25" customHeight="1"/>
    <row r="23157" customFormat="1" ht="17.25" customHeight="1"/>
    <row r="23158" customFormat="1" ht="17.25" customHeight="1"/>
    <row r="23159" customFormat="1" ht="17.25" customHeight="1"/>
    <row r="23160" customFormat="1" ht="17.25" customHeight="1"/>
    <row r="23161" customFormat="1" ht="17.25" customHeight="1"/>
    <row r="23162" customFormat="1" ht="17.25" customHeight="1"/>
    <row r="23163" customFormat="1" ht="17.25" customHeight="1"/>
    <row r="23164" customFormat="1" ht="17.25" customHeight="1"/>
    <row r="23165" customFormat="1" ht="17.25" customHeight="1"/>
    <row r="23166" customFormat="1" ht="17.25" customHeight="1"/>
    <row r="23167" customFormat="1" ht="17.25" customHeight="1"/>
    <row r="23168" customFormat="1" ht="17.25" customHeight="1"/>
    <row r="23169" customFormat="1" ht="17.25" customHeight="1"/>
    <row r="23170" customFormat="1" ht="17.25" customHeight="1"/>
    <row r="23171" customFormat="1" ht="17.25" customHeight="1"/>
    <row r="23172" customFormat="1" ht="17.25" customHeight="1"/>
    <row r="23173" customFormat="1" ht="17.25" customHeight="1"/>
    <row r="23174" customFormat="1" ht="17.25" customHeight="1"/>
    <row r="23175" customFormat="1" ht="17.25" customHeight="1"/>
    <row r="23176" customFormat="1" ht="17.25" customHeight="1"/>
    <row r="23177" customFormat="1" ht="17.25" customHeight="1"/>
    <row r="23178" customFormat="1" ht="17.25" customHeight="1"/>
    <row r="23179" customFormat="1" ht="17.25" customHeight="1"/>
    <row r="23180" customFormat="1" ht="17.25" customHeight="1"/>
    <row r="23181" customFormat="1" ht="17.25" customHeight="1"/>
    <row r="23182" customFormat="1" ht="17.25" customHeight="1"/>
    <row r="23183" customFormat="1" ht="17.25" customHeight="1"/>
    <row r="23184" customFormat="1" ht="17.25" customHeight="1"/>
    <row r="23185" customFormat="1" ht="17.25" customHeight="1"/>
    <row r="23186" customFormat="1" ht="17.25" customHeight="1"/>
    <row r="23187" customFormat="1" ht="17.25" customHeight="1"/>
    <row r="23188" customFormat="1" ht="17.25" customHeight="1"/>
    <row r="23189" customFormat="1" ht="17.25" customHeight="1"/>
    <row r="23190" customFormat="1" ht="17.25" customHeight="1"/>
    <row r="23191" customFormat="1" ht="17.25" customHeight="1"/>
    <row r="23192" customFormat="1" ht="17.25" customHeight="1"/>
    <row r="23193" customFormat="1" ht="17.25" customHeight="1"/>
    <row r="23194" customFormat="1" ht="17.25" customHeight="1"/>
    <row r="23195" customFormat="1" ht="17.25" customHeight="1"/>
    <row r="23196" customFormat="1" ht="17.25" customHeight="1"/>
    <row r="23197" customFormat="1" ht="17.25" customHeight="1"/>
    <row r="23198" customFormat="1" ht="17.25" customHeight="1"/>
    <row r="23199" customFormat="1" ht="17.25" customHeight="1"/>
    <row r="23200" customFormat="1" ht="17.25" customHeight="1"/>
    <row r="23201" customFormat="1" ht="17.25" customHeight="1"/>
    <row r="23202" customFormat="1" ht="17.25" customHeight="1"/>
    <row r="23203" customFormat="1" ht="17.25" customHeight="1"/>
    <row r="23204" customFormat="1" ht="17.25" customHeight="1"/>
    <row r="23205" customFormat="1" ht="17.25" customHeight="1"/>
    <row r="23206" customFormat="1" ht="17.25" customHeight="1"/>
    <row r="23207" customFormat="1" ht="17.25" customHeight="1"/>
    <row r="23208" customFormat="1" ht="17.25" customHeight="1"/>
    <row r="23209" customFormat="1" ht="17.25" customHeight="1"/>
    <row r="23210" customFormat="1" ht="17.25" customHeight="1"/>
    <row r="23211" customFormat="1" ht="17.25" customHeight="1"/>
    <row r="23212" customFormat="1" ht="17.25" customHeight="1"/>
    <row r="23213" customFormat="1" ht="17.25" customHeight="1"/>
    <row r="23214" customFormat="1" ht="17.25" customHeight="1"/>
    <row r="23215" customFormat="1" ht="17.25" customHeight="1"/>
    <row r="23216" customFormat="1" ht="17.25" customHeight="1"/>
    <row r="23217" customFormat="1" ht="17.25" customHeight="1"/>
    <row r="23218" customFormat="1" ht="17.25" customHeight="1"/>
    <row r="23219" customFormat="1" ht="17.25" customHeight="1"/>
    <row r="23220" customFormat="1" ht="17.25" customHeight="1"/>
    <row r="23221" customFormat="1" ht="17.25" customHeight="1"/>
    <row r="23222" customFormat="1" ht="17.25" customHeight="1"/>
    <row r="23223" customFormat="1" ht="17.25" customHeight="1"/>
    <row r="23224" customFormat="1" ht="17.25" customHeight="1"/>
    <row r="23225" customFormat="1" ht="17.25" customHeight="1"/>
    <row r="23226" customFormat="1" ht="17.25" customHeight="1"/>
    <row r="23227" customFormat="1" ht="17.25" customHeight="1"/>
    <row r="23228" customFormat="1" ht="17.25" customHeight="1"/>
    <row r="23229" customFormat="1" ht="17.25" customHeight="1"/>
    <row r="23230" customFormat="1" ht="17.25" customHeight="1"/>
    <row r="23231" customFormat="1" ht="17.25" customHeight="1"/>
    <row r="23232" customFormat="1" ht="17.25" customHeight="1"/>
    <row r="23233" customFormat="1" ht="17.25" customHeight="1"/>
    <row r="23234" customFormat="1" ht="17.25" customHeight="1"/>
    <row r="23235" customFormat="1" ht="17.25" customHeight="1"/>
    <row r="23236" customFormat="1" ht="17.25" customHeight="1"/>
    <row r="23237" customFormat="1" ht="17.25" customHeight="1"/>
    <row r="23238" customFormat="1" ht="17.25" customHeight="1"/>
    <row r="23239" customFormat="1" ht="17.25" customHeight="1"/>
    <row r="23240" customFormat="1" ht="17.25" customHeight="1"/>
    <row r="23241" customFormat="1" ht="17.25" customHeight="1"/>
    <row r="23242" customFormat="1" ht="17.25" customHeight="1"/>
    <row r="23243" customFormat="1" ht="17.25" customHeight="1"/>
    <row r="23244" customFormat="1" ht="17.25" customHeight="1"/>
    <row r="23245" customFormat="1" ht="17.25" customHeight="1"/>
    <row r="23246" customFormat="1" ht="17.25" customHeight="1"/>
    <row r="23247" customFormat="1" ht="17.25" customHeight="1"/>
    <row r="23248" customFormat="1" ht="17.25" customHeight="1"/>
    <row r="23249" customFormat="1" ht="17.25" customHeight="1"/>
    <row r="23250" customFormat="1" ht="17.25" customHeight="1"/>
    <row r="23251" customFormat="1" ht="17.25" customHeight="1"/>
    <row r="23252" customFormat="1" ht="17.25" customHeight="1"/>
    <row r="23253" customFormat="1" ht="17.25" customHeight="1"/>
    <row r="23254" customFormat="1" ht="17.25" customHeight="1"/>
    <row r="23255" customFormat="1" ht="17.25" customHeight="1"/>
    <row r="23256" customFormat="1" ht="17.25" customHeight="1"/>
    <row r="23257" customFormat="1" ht="17.25" customHeight="1"/>
    <row r="23258" customFormat="1" ht="17.25" customHeight="1"/>
    <row r="23259" customFormat="1" ht="17.25" customHeight="1"/>
    <row r="23260" customFormat="1" ht="17.25" customHeight="1"/>
    <row r="23261" customFormat="1" ht="17.25" customHeight="1"/>
    <row r="23262" customFormat="1" ht="17.25" customHeight="1"/>
    <row r="23263" customFormat="1" ht="17.25" customHeight="1"/>
    <row r="23264" customFormat="1" ht="17.25" customHeight="1"/>
    <row r="23265" customFormat="1" ht="17.25" customHeight="1"/>
    <row r="23266" customFormat="1" ht="17.25" customHeight="1"/>
    <row r="23267" customFormat="1" ht="17.25" customHeight="1"/>
    <row r="23268" customFormat="1" ht="17.25" customHeight="1"/>
    <row r="23269" customFormat="1" ht="17.25" customHeight="1"/>
    <row r="23270" customFormat="1" ht="17.25" customHeight="1"/>
    <row r="23271" customFormat="1" ht="17.25" customHeight="1"/>
    <row r="23272" customFormat="1" ht="17.25" customHeight="1"/>
    <row r="23273" customFormat="1" ht="17.25" customHeight="1"/>
    <row r="23274" customFormat="1" ht="17.25" customHeight="1"/>
    <row r="23275" customFormat="1" ht="17.25" customHeight="1"/>
    <row r="23276" customFormat="1" ht="17.25" customHeight="1"/>
    <row r="23277" customFormat="1" ht="17.25" customHeight="1"/>
    <row r="23278" customFormat="1" ht="17.25" customHeight="1"/>
    <row r="23279" customFormat="1" ht="17.25" customHeight="1"/>
    <row r="23280" customFormat="1" ht="17.25" customHeight="1"/>
    <row r="23281" customFormat="1" ht="17.25" customHeight="1"/>
    <row r="23282" customFormat="1" ht="17.25" customHeight="1"/>
    <row r="23283" customFormat="1" ht="17.25" customHeight="1"/>
    <row r="23284" customFormat="1" ht="17.25" customHeight="1"/>
    <row r="23285" customFormat="1" ht="17.25" customHeight="1"/>
    <row r="23286" customFormat="1" ht="17.25" customHeight="1"/>
    <row r="23287" customFormat="1" ht="17.25" customHeight="1"/>
    <row r="23288" customFormat="1" ht="17.25" customHeight="1"/>
    <row r="23289" customFormat="1" ht="17.25" customHeight="1"/>
    <row r="23290" customFormat="1" ht="17.25" customHeight="1"/>
    <row r="23291" customFormat="1" ht="17.25" customHeight="1"/>
    <row r="23292" customFormat="1" ht="17.25" customHeight="1"/>
    <row r="23293" customFormat="1" ht="17.25" customHeight="1"/>
    <row r="23294" customFormat="1" ht="17.25" customHeight="1"/>
    <row r="23295" customFormat="1" ht="17.25" customHeight="1"/>
    <row r="23296" customFormat="1" ht="17.25" customHeight="1"/>
    <row r="23297" customFormat="1" ht="17.25" customHeight="1"/>
    <row r="23298" customFormat="1" ht="17.25" customHeight="1"/>
    <row r="23299" customFormat="1" ht="17.25" customHeight="1"/>
    <row r="23300" customFormat="1" ht="17.25" customHeight="1"/>
    <row r="23301" customFormat="1" ht="17.25" customHeight="1"/>
    <row r="23302" customFormat="1" ht="17.25" customHeight="1"/>
    <row r="23303" customFormat="1" ht="17.25" customHeight="1"/>
    <row r="23304" customFormat="1" ht="17.25" customHeight="1"/>
    <row r="23305" customFormat="1" ht="17.25" customHeight="1"/>
    <row r="23306" customFormat="1" ht="17.25" customHeight="1"/>
    <row r="23307" customFormat="1" ht="17.25" customHeight="1"/>
    <row r="23308" customFormat="1" ht="17.25" customHeight="1"/>
    <row r="23309" customFormat="1" ht="17.25" customHeight="1"/>
    <row r="23310" customFormat="1" ht="17.25" customHeight="1"/>
    <row r="23311" customFormat="1" ht="17.25" customHeight="1"/>
    <row r="23312" customFormat="1" ht="17.25" customHeight="1"/>
    <row r="23313" customFormat="1" ht="17.25" customHeight="1"/>
    <row r="23314" customFormat="1" ht="17.25" customHeight="1"/>
    <row r="23315" customFormat="1" ht="17.25" customHeight="1"/>
    <row r="23316" customFormat="1" ht="17.25" customHeight="1"/>
    <row r="23317" customFormat="1" ht="17.25" customHeight="1"/>
    <row r="23318" customFormat="1" ht="17.25" customHeight="1"/>
    <row r="23319" customFormat="1" ht="17.25" customHeight="1"/>
    <row r="23320" customFormat="1" ht="17.25" customHeight="1"/>
    <row r="23321" customFormat="1" ht="17.25" customHeight="1"/>
    <row r="23322" customFormat="1" ht="17.25" customHeight="1"/>
    <row r="23323" customFormat="1" ht="17.25" customHeight="1"/>
    <row r="23324" customFormat="1" ht="17.25" customHeight="1"/>
    <row r="23325" customFormat="1" ht="17.25" customHeight="1"/>
    <row r="23326" customFormat="1" ht="17.25" customHeight="1"/>
    <row r="23327" customFormat="1" ht="17.25" customHeight="1"/>
    <row r="23328" customFormat="1" ht="17.25" customHeight="1"/>
    <row r="23329" customFormat="1" ht="17.25" customHeight="1"/>
    <row r="23330" customFormat="1" ht="17.25" customHeight="1"/>
    <row r="23331" customFormat="1" ht="17.25" customHeight="1"/>
    <row r="23332" customFormat="1" ht="17.25" customHeight="1"/>
    <row r="23333" customFormat="1" ht="17.25" customHeight="1"/>
    <row r="23334" customFormat="1" ht="17.25" customHeight="1"/>
    <row r="23335" customFormat="1" ht="17.25" customHeight="1"/>
    <row r="23336" customFormat="1" ht="17.25" customHeight="1"/>
    <row r="23337" customFormat="1" ht="17.25" customHeight="1"/>
    <row r="23338" customFormat="1" ht="17.25" customHeight="1"/>
    <row r="23339" customFormat="1" ht="17.25" customHeight="1"/>
    <row r="23340" customFormat="1" ht="17.25" customHeight="1"/>
    <row r="23341" customFormat="1" ht="17.25" customHeight="1"/>
    <row r="23342" customFormat="1" ht="17.25" customHeight="1"/>
    <row r="23343" customFormat="1" ht="17.25" customHeight="1"/>
    <row r="23344" customFormat="1" ht="17.25" customHeight="1"/>
    <row r="23345" customFormat="1" ht="17.25" customHeight="1"/>
    <row r="23346" customFormat="1" ht="17.25" customHeight="1"/>
    <row r="23347" customFormat="1" ht="17.25" customHeight="1"/>
    <row r="23348" customFormat="1" ht="17.25" customHeight="1"/>
    <row r="23349" customFormat="1" ht="17.25" customHeight="1"/>
    <row r="23350" customFormat="1" ht="17.25" customHeight="1"/>
    <row r="23351" customFormat="1" ht="17.25" customHeight="1"/>
    <row r="23352" customFormat="1" ht="17.25" customHeight="1"/>
    <row r="23353" customFormat="1" ht="17.25" customHeight="1"/>
    <row r="23354" customFormat="1" ht="17.25" customHeight="1"/>
    <row r="23355" customFormat="1" ht="17.25" customHeight="1"/>
    <row r="23356" customFormat="1" ht="17.25" customHeight="1"/>
    <row r="23357" customFormat="1" ht="17.25" customHeight="1"/>
    <row r="23358" customFormat="1" ht="17.25" customHeight="1"/>
    <row r="23359" customFormat="1" ht="17.25" customHeight="1"/>
    <row r="23360" customFormat="1" ht="17.25" customHeight="1"/>
    <row r="23361" customFormat="1" ht="17.25" customHeight="1"/>
    <row r="23362" customFormat="1" ht="17.25" customHeight="1"/>
    <row r="23363" customFormat="1" ht="17.25" customHeight="1"/>
    <row r="23364" customFormat="1" ht="17.25" customHeight="1"/>
    <row r="23365" customFormat="1" ht="17.25" customHeight="1"/>
    <row r="23366" customFormat="1" ht="17.25" customHeight="1"/>
    <row r="23367" customFormat="1" ht="17.25" customHeight="1"/>
    <row r="23368" customFormat="1" ht="17.25" customHeight="1"/>
    <row r="23369" customFormat="1" ht="17.25" customHeight="1"/>
    <row r="23370" customFormat="1" ht="17.25" customHeight="1"/>
    <row r="23371" customFormat="1" ht="17.25" customHeight="1"/>
    <row r="23372" customFormat="1" ht="17.25" customHeight="1"/>
    <row r="23373" customFormat="1" ht="17.25" customHeight="1"/>
    <row r="23374" customFormat="1" ht="17.25" customHeight="1"/>
    <row r="23375" customFormat="1" ht="17.25" customHeight="1"/>
    <row r="23376" customFormat="1" ht="17.25" customHeight="1"/>
    <row r="23377" customFormat="1" ht="17.25" customHeight="1"/>
    <row r="23378" customFormat="1" ht="17.25" customHeight="1"/>
    <row r="23379" customFormat="1" ht="17.25" customHeight="1"/>
    <row r="23380" customFormat="1" ht="17.25" customHeight="1"/>
    <row r="23381" customFormat="1" ht="17.25" customHeight="1"/>
    <row r="23382" customFormat="1" ht="17.25" customHeight="1"/>
    <row r="23383" customFormat="1" ht="17.25" customHeight="1"/>
    <row r="23384" customFormat="1" ht="17.25" customHeight="1"/>
    <row r="23385" customFormat="1" ht="17.25" customHeight="1"/>
    <row r="23386" customFormat="1" ht="17.25" customHeight="1"/>
    <row r="23387" customFormat="1" ht="17.25" customHeight="1"/>
    <row r="23388" customFormat="1" ht="17.25" customHeight="1"/>
    <row r="23389" customFormat="1" ht="17.25" customHeight="1"/>
    <row r="23390" customFormat="1" ht="17.25" customHeight="1"/>
    <row r="23391" customFormat="1" ht="17.25" customHeight="1"/>
    <row r="23392" customFormat="1" ht="17.25" customHeight="1"/>
    <row r="23393" customFormat="1" ht="17.25" customHeight="1"/>
    <row r="23394" customFormat="1" ht="17.25" customHeight="1"/>
    <row r="23395" customFormat="1" ht="17.25" customHeight="1"/>
    <row r="23396" customFormat="1" ht="17.25" customHeight="1"/>
    <row r="23397" customFormat="1" ht="17.25" customHeight="1"/>
    <row r="23398" customFormat="1" ht="17.25" customHeight="1"/>
    <row r="23399" customFormat="1" ht="17.25" customHeight="1"/>
    <row r="23400" customFormat="1" ht="17.25" customHeight="1"/>
    <row r="23401" customFormat="1" ht="17.25" customHeight="1"/>
    <row r="23402" customFormat="1" ht="17.25" customHeight="1"/>
    <row r="23403" customFormat="1" ht="17.25" customHeight="1"/>
    <row r="23404" customFormat="1" ht="17.25" customHeight="1"/>
    <row r="23405" customFormat="1" ht="17.25" customHeight="1"/>
    <row r="23406" customFormat="1" ht="17.25" customHeight="1"/>
    <row r="23407" customFormat="1" ht="17.25" customHeight="1"/>
    <row r="23408" customFormat="1" ht="17.25" customHeight="1"/>
    <row r="23409" customFormat="1" ht="17.25" customHeight="1"/>
    <row r="23410" customFormat="1" ht="17.25" customHeight="1"/>
    <row r="23411" customFormat="1" ht="17.25" customHeight="1"/>
    <row r="23412" customFormat="1" ht="17.25" customHeight="1"/>
    <row r="23413" customFormat="1" ht="17.25" customHeight="1"/>
    <row r="23414" customFormat="1" ht="17.25" customHeight="1"/>
    <row r="23415" customFormat="1" ht="17.25" customHeight="1"/>
    <row r="23416" customFormat="1" ht="17.25" customHeight="1"/>
    <row r="23417" customFormat="1" ht="17.25" customHeight="1"/>
    <row r="23418" customFormat="1" ht="17.25" customHeight="1"/>
    <row r="23419" customFormat="1" ht="17.25" customHeight="1"/>
    <row r="23420" customFormat="1" ht="17.25" customHeight="1"/>
    <row r="23421" customFormat="1" ht="17.25" customHeight="1"/>
    <row r="23422" customFormat="1" ht="17.25" customHeight="1"/>
    <row r="23423" customFormat="1" ht="17.25" customHeight="1"/>
    <row r="23424" customFormat="1" ht="17.25" customHeight="1"/>
    <row r="23425" customFormat="1" ht="17.25" customHeight="1"/>
    <row r="23426" customFormat="1" ht="17.25" customHeight="1"/>
    <row r="23427" customFormat="1" ht="17.25" customHeight="1"/>
    <row r="23428" customFormat="1" ht="17.25" customHeight="1"/>
    <row r="23429" customFormat="1" ht="17.25" customHeight="1"/>
    <row r="23430" customFormat="1" ht="17.25" customHeight="1"/>
    <row r="23431" customFormat="1" ht="17.25" customHeight="1"/>
    <row r="23432" customFormat="1" ht="17.25" customHeight="1"/>
    <row r="23433" customFormat="1" ht="17.25" customHeight="1"/>
    <row r="23434" customFormat="1" ht="17.25" customHeight="1"/>
    <row r="23435" customFormat="1" ht="17.25" customHeight="1"/>
    <row r="23436" customFormat="1" ht="17.25" customHeight="1"/>
    <row r="23437" customFormat="1" ht="17.25" customHeight="1"/>
    <row r="23438" customFormat="1" ht="17.25" customHeight="1"/>
    <row r="23439" customFormat="1" ht="17.25" customHeight="1"/>
    <row r="23440" customFormat="1" ht="17.25" customHeight="1"/>
    <row r="23441" customFormat="1" ht="17.25" customHeight="1"/>
    <row r="23442" customFormat="1" ht="17.25" customHeight="1"/>
    <row r="23443" customFormat="1" ht="17.25" customHeight="1"/>
    <row r="23444" customFormat="1" ht="17.25" customHeight="1"/>
    <row r="23445" customFormat="1" ht="17.25" customHeight="1"/>
    <row r="23446" customFormat="1" ht="17.25" customHeight="1"/>
    <row r="23447" customFormat="1" ht="17.25" customHeight="1"/>
    <row r="23448" customFormat="1" ht="17.25" customHeight="1"/>
    <row r="23449" customFormat="1" ht="17.25" customHeight="1"/>
    <row r="23450" customFormat="1" ht="17.25" customHeight="1"/>
    <row r="23451" customFormat="1" ht="17.25" customHeight="1"/>
    <row r="23452" customFormat="1" ht="17.25" customHeight="1"/>
    <row r="23453" customFormat="1" ht="17.25" customHeight="1"/>
    <row r="23454" customFormat="1" ht="17.25" customHeight="1"/>
    <row r="23455" customFormat="1" ht="17.25" customHeight="1"/>
    <row r="23456" customFormat="1" ht="17.25" customHeight="1"/>
    <row r="23457" customFormat="1" ht="17.25" customHeight="1"/>
    <row r="23458" customFormat="1" ht="17.25" customHeight="1"/>
    <row r="23459" customFormat="1" ht="17.25" customHeight="1"/>
    <row r="23460" customFormat="1" ht="17.25" customHeight="1"/>
    <row r="23461" customFormat="1" ht="17.25" customHeight="1"/>
    <row r="23462" customFormat="1" ht="17.25" customHeight="1"/>
    <row r="23463" customFormat="1" ht="17.25" customHeight="1"/>
    <row r="23464" customFormat="1" ht="17.25" customHeight="1"/>
    <row r="23465" customFormat="1" ht="17.25" customHeight="1"/>
    <row r="23466" customFormat="1" ht="17.25" customHeight="1"/>
    <row r="23467" customFormat="1" ht="17.25" customHeight="1"/>
    <row r="23468" customFormat="1" ht="17.25" customHeight="1"/>
    <row r="23469" customFormat="1" ht="17.25" customHeight="1"/>
    <row r="23470" customFormat="1" ht="17.25" customHeight="1"/>
    <row r="23471" customFormat="1" ht="17.25" customHeight="1"/>
    <row r="23472" customFormat="1" ht="17.25" customHeight="1"/>
    <row r="23473" customFormat="1" ht="17.25" customHeight="1"/>
    <row r="23474" customFormat="1" ht="17.25" customHeight="1"/>
    <row r="23475" customFormat="1" ht="17.25" customHeight="1"/>
    <row r="23476" customFormat="1" ht="17.25" customHeight="1"/>
    <row r="23477" customFormat="1" ht="17.25" customHeight="1"/>
    <row r="23478" customFormat="1" ht="17.25" customHeight="1"/>
    <row r="23479" customFormat="1" ht="17.25" customHeight="1"/>
    <row r="23480" customFormat="1" ht="17.25" customHeight="1"/>
    <row r="23481" customFormat="1" ht="17.25" customHeight="1"/>
    <row r="23482" customFormat="1" ht="17.25" customHeight="1"/>
    <row r="23483" customFormat="1" ht="17.25" customHeight="1"/>
    <row r="23484" customFormat="1" ht="17.25" customHeight="1"/>
    <row r="23485" customFormat="1" ht="17.25" customHeight="1"/>
    <row r="23486" customFormat="1" ht="17.25" customHeight="1"/>
    <row r="23487" customFormat="1" ht="17.25" customHeight="1"/>
    <row r="23488" customFormat="1" ht="17.25" customHeight="1"/>
    <row r="23489" customFormat="1" ht="17.25" customHeight="1"/>
    <row r="23490" customFormat="1" ht="17.25" customHeight="1"/>
    <row r="23491" customFormat="1" ht="17.25" customHeight="1"/>
    <row r="23492" customFormat="1" ht="17.25" customHeight="1"/>
    <row r="23493" customFormat="1" ht="17.25" customHeight="1"/>
    <row r="23494" customFormat="1" ht="17.25" customHeight="1"/>
    <row r="23495" customFormat="1" ht="17.25" customHeight="1"/>
    <row r="23496" customFormat="1" ht="17.25" customHeight="1"/>
    <row r="23497" customFormat="1" ht="17.25" customHeight="1"/>
    <row r="23498" customFormat="1" ht="17.25" customHeight="1"/>
    <row r="23499" customFormat="1" ht="17.25" customHeight="1"/>
    <row r="23500" customFormat="1" ht="17.25" customHeight="1"/>
    <row r="23501" customFormat="1" ht="17.25" customHeight="1"/>
    <row r="23502" customFormat="1" ht="17.25" customHeight="1"/>
    <row r="23503" customFormat="1" ht="17.25" customHeight="1"/>
    <row r="23504" customFormat="1" ht="17.25" customHeight="1"/>
    <row r="23505" customFormat="1" ht="17.25" customHeight="1"/>
    <row r="23506" customFormat="1" ht="17.25" customHeight="1"/>
    <row r="23507" customFormat="1" ht="17.25" customHeight="1"/>
    <row r="23508" customFormat="1" ht="17.25" customHeight="1"/>
    <row r="23509" customFormat="1" ht="17.25" customHeight="1"/>
    <row r="23510" customFormat="1" ht="17.25" customHeight="1"/>
    <row r="23511" customFormat="1" ht="17.25" customHeight="1"/>
    <row r="23512" customFormat="1" ht="17.25" customHeight="1"/>
    <row r="23513" customFormat="1" ht="17.25" customHeight="1"/>
    <row r="23514" customFormat="1" ht="17.25" customHeight="1"/>
    <row r="23515" customFormat="1" ht="17.25" customHeight="1"/>
    <row r="23516" customFormat="1" ht="17.25" customHeight="1"/>
    <row r="23517" customFormat="1" ht="17.25" customHeight="1"/>
    <row r="23518" customFormat="1" ht="17.25" customHeight="1"/>
    <row r="23519" customFormat="1" ht="17.25" customHeight="1"/>
    <row r="23520" customFormat="1" ht="17.25" customHeight="1"/>
    <row r="23521" customFormat="1" ht="17.25" customHeight="1"/>
    <row r="23522" customFormat="1" ht="17.25" customHeight="1"/>
    <row r="23523" customFormat="1" ht="17.25" customHeight="1"/>
    <row r="23524" customFormat="1" ht="17.25" customHeight="1"/>
    <row r="23525" customFormat="1" ht="17.25" customHeight="1"/>
    <row r="23526" customFormat="1" ht="17.25" customHeight="1"/>
    <row r="23527" customFormat="1" ht="17.25" customHeight="1"/>
    <row r="23528" customFormat="1" ht="17.25" customHeight="1"/>
    <row r="23529" customFormat="1" ht="17.25" customHeight="1"/>
    <row r="23530" customFormat="1" ht="17.25" customHeight="1"/>
    <row r="23531" customFormat="1" ht="17.25" customHeight="1"/>
    <row r="23532" customFormat="1" ht="17.25" customHeight="1"/>
    <row r="23533" customFormat="1" ht="17.25" customHeight="1"/>
    <row r="23534" customFormat="1" ht="17.25" customHeight="1"/>
    <row r="23535" customFormat="1" ht="17.25" customHeight="1"/>
    <row r="23536" customFormat="1" ht="17.25" customHeight="1"/>
    <row r="23537" customFormat="1" ht="17.25" customHeight="1"/>
    <row r="23538" customFormat="1" ht="17.25" customHeight="1"/>
    <row r="23539" customFormat="1" ht="17.25" customHeight="1"/>
    <row r="23540" customFormat="1" ht="17.25" customHeight="1"/>
    <row r="23541" customFormat="1" ht="17.25" customHeight="1"/>
    <row r="23542" customFormat="1" ht="17.25" customHeight="1"/>
    <row r="23543" customFormat="1" ht="17.25" customHeight="1"/>
    <row r="23544" customFormat="1" ht="17.25" customHeight="1"/>
    <row r="23545" customFormat="1" ht="17.25" customHeight="1"/>
    <row r="23546" customFormat="1" ht="17.25" customHeight="1"/>
    <row r="23547" customFormat="1" ht="17.25" customHeight="1"/>
    <row r="23548" customFormat="1" ht="17.25" customHeight="1"/>
    <row r="23549" customFormat="1" ht="17.25" customHeight="1"/>
    <row r="23550" customFormat="1" ht="17.25" customHeight="1"/>
    <row r="23551" customFormat="1" ht="17.25" customHeight="1"/>
    <row r="23552" customFormat="1" ht="17.25" customHeight="1"/>
    <row r="23553" customFormat="1" ht="17.25" customHeight="1"/>
    <row r="23554" customFormat="1" ht="17.25" customHeight="1"/>
    <row r="23555" customFormat="1" ht="17.25" customHeight="1"/>
    <row r="23556" customFormat="1" ht="17.25" customHeight="1"/>
    <row r="23557" customFormat="1" ht="17.25" customHeight="1"/>
    <row r="23558" customFormat="1" ht="17.25" customHeight="1"/>
    <row r="23559" customFormat="1" ht="17.25" customHeight="1"/>
    <row r="23560" customFormat="1" ht="17.25" customHeight="1"/>
    <row r="23561" customFormat="1" ht="17.25" customHeight="1"/>
    <row r="23562" customFormat="1" ht="17.25" customHeight="1"/>
    <row r="23563" customFormat="1" ht="17.25" customHeight="1"/>
    <row r="23564" customFormat="1" ht="17.25" customHeight="1"/>
    <row r="23565" customFormat="1" ht="17.25" customHeight="1"/>
    <row r="23566" customFormat="1" ht="17.25" customHeight="1"/>
    <row r="23567" customFormat="1" ht="17.25" customHeight="1"/>
    <row r="23568" customFormat="1" ht="17.25" customHeight="1"/>
    <row r="23569" customFormat="1" ht="17.25" customHeight="1"/>
    <row r="23570" customFormat="1" ht="17.25" customHeight="1"/>
    <row r="23571" customFormat="1" ht="17.25" customHeight="1"/>
    <row r="23572" customFormat="1" ht="17.25" customHeight="1"/>
    <row r="23573" customFormat="1" ht="17.25" customHeight="1"/>
    <row r="23574" customFormat="1" ht="17.25" customHeight="1"/>
    <row r="23575" customFormat="1" ht="17.25" customHeight="1"/>
    <row r="23576" customFormat="1" ht="17.25" customHeight="1"/>
    <row r="23577" customFormat="1" ht="17.25" customHeight="1"/>
    <row r="23578" customFormat="1" ht="17.25" customHeight="1"/>
    <row r="23579" customFormat="1" ht="17.25" customHeight="1"/>
    <row r="23580" customFormat="1" ht="17.25" customHeight="1"/>
    <row r="23581" customFormat="1" ht="17.25" customHeight="1"/>
    <row r="23582" customFormat="1" ht="17.25" customHeight="1"/>
    <row r="23583" customFormat="1" ht="17.25" customHeight="1"/>
    <row r="23584" customFormat="1" ht="17.25" customHeight="1"/>
    <row r="23585" customFormat="1" ht="17.25" customHeight="1"/>
    <row r="23586" customFormat="1" ht="17.25" customHeight="1"/>
    <row r="23587" customFormat="1" ht="17.25" customHeight="1"/>
    <row r="23588" customFormat="1" ht="17.25" customHeight="1"/>
    <row r="23589" customFormat="1" ht="17.25" customHeight="1"/>
    <row r="23590" customFormat="1" ht="17.25" customHeight="1"/>
    <row r="23591" customFormat="1" ht="17.25" customHeight="1"/>
    <row r="23592" customFormat="1" ht="17.25" customHeight="1"/>
    <row r="23593" customFormat="1" ht="17.25" customHeight="1"/>
    <row r="23594" customFormat="1" ht="17.25" customHeight="1"/>
    <row r="23595" customFormat="1" ht="17.25" customHeight="1"/>
    <row r="23596" customFormat="1" ht="17.25" customHeight="1"/>
    <row r="23597" customFormat="1" ht="17.25" customHeight="1"/>
    <row r="23598" customFormat="1" ht="17.25" customHeight="1"/>
    <row r="23599" customFormat="1" ht="17.25" customHeight="1"/>
    <row r="23600" customFormat="1" ht="17.25" customHeight="1"/>
    <row r="23601" customFormat="1" ht="17.25" customHeight="1"/>
    <row r="23602" customFormat="1" ht="17.25" customHeight="1"/>
    <row r="23603" customFormat="1" ht="17.25" customHeight="1"/>
    <row r="23604" customFormat="1" ht="17.25" customHeight="1"/>
    <row r="23605" customFormat="1" ht="17.25" customHeight="1"/>
    <row r="23606" customFormat="1" ht="17.25" customHeight="1"/>
    <row r="23607" customFormat="1" ht="17.25" customHeight="1"/>
    <row r="23608" customFormat="1" ht="17.25" customHeight="1"/>
    <row r="23609" customFormat="1" ht="17.25" customHeight="1"/>
    <row r="23610" customFormat="1" ht="17.25" customHeight="1"/>
    <row r="23611" customFormat="1" ht="17.25" customHeight="1"/>
    <row r="23612" customFormat="1" ht="17.25" customHeight="1"/>
    <row r="23613" customFormat="1" ht="17.25" customHeight="1"/>
    <row r="23614" customFormat="1" ht="17.25" customHeight="1"/>
    <row r="23615" customFormat="1" ht="17.25" customHeight="1"/>
    <row r="23616" customFormat="1" ht="17.25" customHeight="1"/>
    <row r="23617" customFormat="1" ht="17.25" customHeight="1"/>
    <row r="23618" customFormat="1" ht="17.25" customHeight="1"/>
    <row r="23619" customFormat="1" ht="17.25" customHeight="1"/>
    <row r="23620" customFormat="1" ht="17.25" customHeight="1"/>
    <row r="23621" customFormat="1" ht="17.25" customHeight="1"/>
    <row r="23622" customFormat="1" ht="17.25" customHeight="1"/>
    <row r="23623" customFormat="1" ht="17.25" customHeight="1"/>
    <row r="23624" customFormat="1" ht="17.25" customHeight="1"/>
    <row r="23625" customFormat="1" ht="17.25" customHeight="1"/>
    <row r="23626" customFormat="1" ht="17.25" customHeight="1"/>
    <row r="23627" customFormat="1" ht="17.25" customHeight="1"/>
    <row r="23628" customFormat="1" ht="17.25" customHeight="1"/>
    <row r="23629" customFormat="1" ht="17.25" customHeight="1"/>
    <row r="23630" customFormat="1" ht="17.25" customHeight="1"/>
    <row r="23631" customFormat="1" ht="17.25" customHeight="1"/>
    <row r="23632" customFormat="1" ht="17.25" customHeight="1"/>
    <row r="23633" customFormat="1" ht="17.25" customHeight="1"/>
    <row r="23634" customFormat="1" ht="17.25" customHeight="1"/>
    <row r="23635" customFormat="1" ht="17.25" customHeight="1"/>
    <row r="23636" customFormat="1" ht="17.25" customHeight="1"/>
    <row r="23637" customFormat="1" ht="17.25" customHeight="1"/>
    <row r="23638" customFormat="1" ht="17.25" customHeight="1"/>
    <row r="23639" customFormat="1" ht="17.25" customHeight="1"/>
    <row r="23640" customFormat="1" ht="17.25" customHeight="1"/>
    <row r="23641" customFormat="1" ht="17.25" customHeight="1"/>
    <row r="23642" customFormat="1" ht="17.25" customHeight="1"/>
    <row r="23643" customFormat="1" ht="17.25" customHeight="1"/>
    <row r="23644" customFormat="1" ht="17.25" customHeight="1"/>
    <row r="23645" customFormat="1" ht="17.25" customHeight="1"/>
    <row r="23646" customFormat="1" ht="17.25" customHeight="1"/>
    <row r="23647" customFormat="1" ht="17.25" customHeight="1"/>
    <row r="23648" customFormat="1" ht="17.25" customHeight="1"/>
    <row r="23649" customFormat="1" ht="17.25" customHeight="1"/>
    <row r="23650" customFormat="1" ht="17.25" customHeight="1"/>
    <row r="23651" customFormat="1" ht="17.25" customHeight="1"/>
    <row r="23652" customFormat="1" ht="17.25" customHeight="1"/>
    <row r="23653" customFormat="1" ht="17.25" customHeight="1"/>
    <row r="23654" customFormat="1" ht="17.25" customHeight="1"/>
    <row r="23655" customFormat="1" ht="17.25" customHeight="1"/>
    <row r="23656" customFormat="1" ht="17.25" customHeight="1"/>
    <row r="23657" customFormat="1" ht="17.25" customHeight="1"/>
    <row r="23658" customFormat="1" ht="17.25" customHeight="1"/>
    <row r="23659" customFormat="1" ht="17.25" customHeight="1"/>
    <row r="23660" customFormat="1" ht="17.25" customHeight="1"/>
    <row r="23661" customFormat="1" ht="17.25" customHeight="1"/>
    <row r="23662" customFormat="1" ht="17.25" customHeight="1"/>
    <row r="23663" customFormat="1" ht="17.25" customHeight="1"/>
    <row r="23664" customFormat="1" ht="17.25" customHeight="1"/>
    <row r="23665" customFormat="1" ht="17.25" customHeight="1"/>
    <row r="23666" customFormat="1" ht="17.25" customHeight="1"/>
    <row r="23667" customFormat="1" ht="17.25" customHeight="1"/>
    <row r="23668" customFormat="1" ht="17.25" customHeight="1"/>
    <row r="23669" customFormat="1" ht="17.25" customHeight="1"/>
    <row r="23670" customFormat="1" ht="17.25" customHeight="1"/>
    <row r="23671" customFormat="1" ht="17.25" customHeight="1"/>
    <row r="23672" customFormat="1" ht="17.25" customHeight="1"/>
    <row r="23673" customFormat="1" ht="17.25" customHeight="1"/>
    <row r="23674" customFormat="1" ht="17.25" customHeight="1"/>
    <row r="23675" customFormat="1" ht="17.25" customHeight="1"/>
    <row r="23676" customFormat="1" ht="17.25" customHeight="1"/>
    <row r="23677" customFormat="1" ht="17.25" customHeight="1"/>
    <row r="23678" customFormat="1" ht="17.25" customHeight="1"/>
    <row r="23679" customFormat="1" ht="17.25" customHeight="1"/>
    <row r="23680" customFormat="1" ht="17.25" customHeight="1"/>
    <row r="23681" customFormat="1" ht="17.25" customHeight="1"/>
    <row r="23682" customFormat="1" ht="17.25" customHeight="1"/>
    <row r="23683" customFormat="1" ht="17.25" customHeight="1"/>
    <row r="23684" customFormat="1" ht="17.25" customHeight="1"/>
    <row r="23685" customFormat="1" ht="17.25" customHeight="1"/>
    <row r="23686" customFormat="1" ht="17.25" customHeight="1"/>
    <row r="23687" customFormat="1" ht="17.25" customHeight="1"/>
    <row r="23688" customFormat="1" ht="17.25" customHeight="1"/>
    <row r="23689" customFormat="1" ht="17.25" customHeight="1"/>
    <row r="23690" customFormat="1" ht="17.25" customHeight="1"/>
    <row r="23691" customFormat="1" ht="17.25" customHeight="1"/>
    <row r="23692" customFormat="1" ht="17.25" customHeight="1"/>
    <row r="23693" customFormat="1" ht="17.25" customHeight="1"/>
    <row r="23694" customFormat="1" ht="17.25" customHeight="1"/>
    <row r="23695" customFormat="1" ht="17.25" customHeight="1"/>
    <row r="23696" customFormat="1" ht="17.25" customHeight="1"/>
    <row r="23697" customFormat="1" ht="17.25" customHeight="1"/>
    <row r="23698" customFormat="1" ht="17.25" customHeight="1"/>
    <row r="23699" customFormat="1" ht="17.25" customHeight="1"/>
    <row r="23700" customFormat="1" ht="17.25" customHeight="1"/>
    <row r="23701" customFormat="1" ht="17.25" customHeight="1"/>
    <row r="23702" customFormat="1" ht="17.25" customHeight="1"/>
    <row r="23703" customFormat="1" ht="17.25" customHeight="1"/>
    <row r="23704" customFormat="1" ht="17.25" customHeight="1"/>
    <row r="23705" customFormat="1" ht="17.25" customHeight="1"/>
    <row r="23706" customFormat="1" ht="17.25" customHeight="1"/>
    <row r="23707" customFormat="1" ht="17.25" customHeight="1"/>
    <row r="23708" customFormat="1" ht="17.25" customHeight="1"/>
    <row r="23709" customFormat="1" ht="17.25" customHeight="1"/>
    <row r="23710" customFormat="1" ht="17.25" customHeight="1"/>
    <row r="23711" customFormat="1" ht="17.25" customHeight="1"/>
    <row r="23712" customFormat="1" ht="17.25" customHeight="1"/>
    <row r="23713" customFormat="1" ht="17.25" customHeight="1"/>
    <row r="23714" customFormat="1" ht="17.25" customHeight="1"/>
    <row r="23715" customFormat="1" ht="17.25" customHeight="1"/>
    <row r="23716" customFormat="1" ht="17.25" customHeight="1"/>
    <row r="23717" customFormat="1" ht="17.25" customHeight="1"/>
    <row r="23718" customFormat="1" ht="17.25" customHeight="1"/>
    <row r="23719" customFormat="1" ht="17.25" customHeight="1"/>
    <row r="23720" customFormat="1" ht="17.25" customHeight="1"/>
    <row r="23721" customFormat="1" ht="17.25" customHeight="1"/>
    <row r="23722" customFormat="1" ht="17.25" customHeight="1"/>
    <row r="23723" customFormat="1" ht="17.25" customHeight="1"/>
    <row r="23724" customFormat="1" ht="17.25" customHeight="1"/>
    <row r="23725" customFormat="1" ht="17.25" customHeight="1"/>
    <row r="23726" customFormat="1" ht="17.25" customHeight="1"/>
    <row r="23727" customFormat="1" ht="17.25" customHeight="1"/>
    <row r="23728" customFormat="1" ht="17.25" customHeight="1"/>
    <row r="23729" customFormat="1" ht="17.25" customHeight="1"/>
    <row r="23730" customFormat="1" ht="17.25" customHeight="1"/>
    <row r="23731" customFormat="1" ht="17.25" customHeight="1"/>
    <row r="23732" customFormat="1" ht="17.25" customHeight="1"/>
    <row r="23733" customFormat="1" ht="17.25" customHeight="1"/>
    <row r="23734" customFormat="1" ht="17.25" customHeight="1"/>
    <row r="23735" customFormat="1" ht="17.25" customHeight="1"/>
    <row r="23736" customFormat="1" ht="17.25" customHeight="1"/>
    <row r="23737" customFormat="1" ht="17.25" customHeight="1"/>
    <row r="23738" customFormat="1" ht="17.25" customHeight="1"/>
    <row r="23739" customFormat="1" ht="17.25" customHeight="1"/>
    <row r="23740" customFormat="1" ht="17.25" customHeight="1"/>
    <row r="23741" customFormat="1" ht="17.25" customHeight="1"/>
    <row r="23742" customFormat="1" ht="17.25" customHeight="1"/>
    <row r="23743" customFormat="1" ht="17.25" customHeight="1"/>
    <row r="23744" customFormat="1" ht="17.25" customHeight="1"/>
    <row r="23745" customFormat="1" ht="17.25" customHeight="1"/>
    <row r="23746" customFormat="1" ht="17.25" customHeight="1"/>
    <row r="23747" customFormat="1" ht="17.25" customHeight="1"/>
    <row r="23748" customFormat="1" ht="17.25" customHeight="1"/>
    <row r="23749" customFormat="1" ht="17.25" customHeight="1"/>
    <row r="23750" customFormat="1" ht="17.25" customHeight="1"/>
    <row r="23751" customFormat="1" ht="17.25" customHeight="1"/>
    <row r="23752" customFormat="1" ht="17.25" customHeight="1"/>
    <row r="23753" customFormat="1" ht="17.25" customHeight="1"/>
    <row r="23754" customFormat="1" ht="17.25" customHeight="1"/>
    <row r="23755" customFormat="1" ht="17.25" customHeight="1"/>
    <row r="23756" customFormat="1" ht="17.25" customHeight="1"/>
    <row r="23757" customFormat="1" ht="17.25" customHeight="1"/>
    <row r="23758" customFormat="1" ht="17.25" customHeight="1"/>
    <row r="23759" customFormat="1" ht="17.25" customHeight="1"/>
    <row r="23760" customFormat="1" ht="17.25" customHeight="1"/>
    <row r="23761" customFormat="1" ht="17.25" customHeight="1"/>
    <row r="23762" customFormat="1" ht="17.25" customHeight="1"/>
    <row r="23763" customFormat="1" ht="17.25" customHeight="1"/>
    <row r="23764" customFormat="1" ht="17.25" customHeight="1"/>
    <row r="23765" customFormat="1" ht="17.25" customHeight="1"/>
    <row r="23766" customFormat="1" ht="17.25" customHeight="1"/>
    <row r="23767" customFormat="1" ht="17.25" customHeight="1"/>
    <row r="23768" customFormat="1" ht="17.25" customHeight="1"/>
    <row r="23769" customFormat="1" ht="17.25" customHeight="1"/>
    <row r="23770" customFormat="1" ht="17.25" customHeight="1"/>
    <row r="23771" customFormat="1" ht="17.25" customHeight="1"/>
    <row r="23772" customFormat="1" ht="17.25" customHeight="1"/>
    <row r="23773" customFormat="1" ht="17.25" customHeight="1"/>
    <row r="23774" customFormat="1" ht="17.25" customHeight="1"/>
    <row r="23775" customFormat="1" ht="17.25" customHeight="1"/>
    <row r="23776" customFormat="1" ht="17.25" customHeight="1"/>
    <row r="23777" customFormat="1" ht="17.25" customHeight="1"/>
    <row r="23778" customFormat="1" ht="17.25" customHeight="1"/>
    <row r="23779" customFormat="1" ht="17.25" customHeight="1"/>
    <row r="23780" customFormat="1" ht="17.25" customHeight="1"/>
    <row r="23781" customFormat="1" ht="17.25" customHeight="1"/>
    <row r="23782" customFormat="1" ht="17.25" customHeight="1"/>
    <row r="23783" customFormat="1" ht="17.25" customHeight="1"/>
    <row r="23784" customFormat="1" ht="17.25" customHeight="1"/>
    <row r="23785" customFormat="1" ht="17.25" customHeight="1"/>
    <row r="23786" customFormat="1" ht="17.25" customHeight="1"/>
    <row r="23787" customFormat="1" ht="17.25" customHeight="1"/>
    <row r="23788" customFormat="1" ht="17.25" customHeight="1"/>
    <row r="23789" customFormat="1" ht="17.25" customHeight="1"/>
    <row r="23790" customFormat="1" ht="17.25" customHeight="1"/>
    <row r="23791" customFormat="1" ht="17.25" customHeight="1"/>
    <row r="23792" customFormat="1" ht="17.25" customHeight="1"/>
    <row r="23793" customFormat="1" ht="17.25" customHeight="1"/>
    <row r="23794" customFormat="1" ht="17.25" customHeight="1"/>
    <row r="23795" customFormat="1" ht="17.25" customHeight="1"/>
    <row r="23796" customFormat="1" ht="17.25" customHeight="1"/>
    <row r="23797" customFormat="1" ht="17.25" customHeight="1"/>
    <row r="23798" customFormat="1" ht="17.25" customHeight="1"/>
    <row r="23799" customFormat="1" ht="17.25" customHeight="1"/>
    <row r="23800" customFormat="1" ht="17.25" customHeight="1"/>
    <row r="23801" customFormat="1" ht="17.25" customHeight="1"/>
    <row r="23802" customFormat="1" ht="17.25" customHeight="1"/>
    <row r="23803" customFormat="1" ht="17.25" customHeight="1"/>
    <row r="23804" customFormat="1" ht="17.25" customHeight="1"/>
    <row r="23805" customFormat="1" ht="17.25" customHeight="1"/>
    <row r="23806" customFormat="1" ht="17.25" customHeight="1"/>
    <row r="23807" customFormat="1" ht="17.25" customHeight="1"/>
    <row r="23808" customFormat="1" ht="17.25" customHeight="1"/>
    <row r="23809" customFormat="1" ht="17.25" customHeight="1"/>
    <row r="23810" customFormat="1" ht="17.25" customHeight="1"/>
    <row r="23811" customFormat="1" ht="17.25" customHeight="1"/>
    <row r="23812" customFormat="1" ht="17.25" customHeight="1"/>
    <row r="23813" customFormat="1" ht="17.25" customHeight="1"/>
    <row r="23814" customFormat="1" ht="17.25" customHeight="1"/>
    <row r="23815" customFormat="1" ht="17.25" customHeight="1"/>
    <row r="23816" customFormat="1" ht="17.25" customHeight="1"/>
    <row r="23817" customFormat="1" ht="17.25" customHeight="1"/>
    <row r="23818" customFormat="1" ht="17.25" customHeight="1"/>
    <row r="23819" customFormat="1" ht="17.25" customHeight="1"/>
    <row r="23820" customFormat="1" ht="17.25" customHeight="1"/>
    <row r="23821" customFormat="1" ht="17.25" customHeight="1"/>
    <row r="23822" customFormat="1" ht="17.25" customHeight="1"/>
    <row r="23823" customFormat="1" ht="17.25" customHeight="1"/>
    <row r="23824" customFormat="1" ht="17.25" customHeight="1"/>
    <row r="23825" customFormat="1" ht="17.25" customHeight="1"/>
    <row r="23826" customFormat="1" ht="17.25" customHeight="1"/>
    <row r="23827" customFormat="1" ht="17.25" customHeight="1"/>
    <row r="23828" customFormat="1" ht="17.25" customHeight="1"/>
    <row r="23829" customFormat="1" ht="17.25" customHeight="1"/>
    <row r="23830" customFormat="1" ht="17.25" customHeight="1"/>
    <row r="23831" customFormat="1" ht="17.25" customHeight="1"/>
    <row r="23832" customFormat="1" ht="17.25" customHeight="1"/>
    <row r="23833" customFormat="1" ht="17.25" customHeight="1"/>
    <row r="23834" customFormat="1" ht="17.25" customHeight="1"/>
    <row r="23835" customFormat="1" ht="17.25" customHeight="1"/>
    <row r="23836" customFormat="1" ht="17.25" customHeight="1"/>
    <row r="23837" customFormat="1" ht="17.25" customHeight="1"/>
    <row r="23838" customFormat="1" ht="17.25" customHeight="1"/>
    <row r="23839" customFormat="1" ht="17.25" customHeight="1"/>
    <row r="23840" customFormat="1" ht="17.25" customHeight="1"/>
    <row r="23841" customFormat="1" ht="17.25" customHeight="1"/>
    <row r="23842" customFormat="1" ht="17.25" customHeight="1"/>
    <row r="23843" customFormat="1" ht="17.25" customHeight="1"/>
    <row r="23844" customFormat="1" ht="17.25" customHeight="1"/>
    <row r="23845" customFormat="1" ht="17.25" customHeight="1"/>
    <row r="23846" customFormat="1" ht="17.25" customHeight="1"/>
    <row r="23847" customFormat="1" ht="17.25" customHeight="1"/>
    <row r="23848" customFormat="1" ht="17.25" customHeight="1"/>
    <row r="23849" customFormat="1" ht="17.25" customHeight="1"/>
    <row r="23850" customFormat="1" ht="17.25" customHeight="1"/>
    <row r="23851" customFormat="1" ht="17.25" customHeight="1"/>
    <row r="23852" customFormat="1" ht="17.25" customHeight="1"/>
    <row r="23853" customFormat="1" ht="17.25" customHeight="1"/>
    <row r="23854" customFormat="1" ht="17.25" customHeight="1"/>
    <row r="23855" customFormat="1" ht="17.25" customHeight="1"/>
    <row r="23856" customFormat="1" ht="17.25" customHeight="1"/>
    <row r="23857" customFormat="1" ht="17.25" customHeight="1"/>
    <row r="23858" customFormat="1" ht="17.25" customHeight="1"/>
    <row r="23859" customFormat="1" ht="17.25" customHeight="1"/>
    <row r="23860" customFormat="1" ht="17.25" customHeight="1"/>
    <row r="23861" customFormat="1" ht="17.25" customHeight="1"/>
    <row r="23862" customFormat="1" ht="17.25" customHeight="1"/>
    <row r="23863" customFormat="1" ht="17.25" customHeight="1"/>
    <row r="23864" customFormat="1" ht="17.25" customHeight="1"/>
    <row r="23865" customFormat="1" ht="17.25" customHeight="1"/>
    <row r="23866" customFormat="1" ht="17.25" customHeight="1"/>
    <row r="23867" customFormat="1" ht="17.25" customHeight="1"/>
    <row r="23868" customFormat="1" ht="17.25" customHeight="1"/>
    <row r="23869" customFormat="1" ht="17.25" customHeight="1"/>
    <row r="23870" customFormat="1" ht="17.25" customHeight="1"/>
    <row r="23871" customFormat="1" ht="17.25" customHeight="1"/>
    <row r="23872" customFormat="1" ht="17.25" customHeight="1"/>
    <row r="23873" customFormat="1" ht="17.25" customHeight="1"/>
    <row r="23874" customFormat="1" ht="17.25" customHeight="1"/>
    <row r="23875" customFormat="1" ht="17.25" customHeight="1"/>
    <row r="23876" customFormat="1" ht="17.25" customHeight="1"/>
    <row r="23877" customFormat="1" ht="17.25" customHeight="1"/>
    <row r="23878" customFormat="1" ht="17.25" customHeight="1"/>
    <row r="23879" customFormat="1" ht="17.25" customHeight="1"/>
    <row r="23880" customFormat="1" ht="17.25" customHeight="1"/>
    <row r="23881" customFormat="1" ht="17.25" customHeight="1"/>
    <row r="23882" customFormat="1" ht="17.25" customHeight="1"/>
    <row r="23883" customFormat="1" ht="17.25" customHeight="1"/>
    <row r="23884" customFormat="1" ht="17.25" customHeight="1"/>
    <row r="23885" customFormat="1" ht="17.25" customHeight="1"/>
    <row r="23886" customFormat="1" ht="17.25" customHeight="1"/>
    <row r="23887" customFormat="1" ht="17.25" customHeight="1"/>
    <row r="23888" customFormat="1" ht="17.25" customHeight="1"/>
    <row r="23889" customFormat="1" ht="17.25" customHeight="1"/>
    <row r="23890" customFormat="1" ht="17.25" customHeight="1"/>
    <row r="23891" customFormat="1" ht="17.25" customHeight="1"/>
    <row r="23892" customFormat="1" ht="17.25" customHeight="1"/>
    <row r="23893" customFormat="1" ht="17.25" customHeight="1"/>
    <row r="23894" customFormat="1" ht="17.25" customHeight="1"/>
    <row r="23895" customFormat="1" ht="17.25" customHeight="1"/>
    <row r="23896" customFormat="1" ht="17.25" customHeight="1"/>
    <row r="23897" customFormat="1" ht="17.25" customHeight="1"/>
    <row r="23898" customFormat="1" ht="17.25" customHeight="1"/>
    <row r="23899" customFormat="1" ht="17.25" customHeight="1"/>
    <row r="23900" customFormat="1" ht="17.25" customHeight="1"/>
    <row r="23901" customFormat="1" ht="17.25" customHeight="1"/>
    <row r="23902" customFormat="1" ht="17.25" customHeight="1"/>
    <row r="23903" customFormat="1" ht="17.25" customHeight="1"/>
    <row r="23904" customFormat="1" ht="17.25" customHeight="1"/>
    <row r="23905" customFormat="1" ht="17.25" customHeight="1"/>
    <row r="23906" customFormat="1" ht="17.25" customHeight="1"/>
    <row r="23907" customFormat="1" ht="17.25" customHeight="1"/>
    <row r="23908" customFormat="1" ht="17.25" customHeight="1"/>
    <row r="23909" customFormat="1" ht="17.25" customHeight="1"/>
    <row r="23910" customFormat="1" ht="17.25" customHeight="1"/>
    <row r="23911" customFormat="1" ht="17.25" customHeight="1"/>
    <row r="23912" customFormat="1" ht="17.25" customHeight="1"/>
    <row r="23913" customFormat="1" ht="17.25" customHeight="1"/>
    <row r="23914" customFormat="1" ht="17.25" customHeight="1"/>
    <row r="23915" customFormat="1" ht="17.25" customHeight="1"/>
    <row r="23916" customFormat="1" ht="17.25" customHeight="1"/>
    <row r="23917" customFormat="1" ht="17.25" customHeight="1"/>
    <row r="23918" customFormat="1" ht="17.25" customHeight="1"/>
    <row r="23919" customFormat="1" ht="17.25" customHeight="1"/>
    <row r="23920" customFormat="1" ht="17.25" customHeight="1"/>
    <row r="23921" customFormat="1" ht="17.25" customHeight="1"/>
    <row r="23922" customFormat="1" ht="17.25" customHeight="1"/>
    <row r="23923" customFormat="1" ht="17.25" customHeight="1"/>
    <row r="23924" customFormat="1" ht="17.25" customHeight="1"/>
    <row r="23925" customFormat="1" ht="17.25" customHeight="1"/>
    <row r="23926" customFormat="1" ht="17.25" customHeight="1"/>
    <row r="23927" customFormat="1" ht="17.25" customHeight="1"/>
    <row r="23928" customFormat="1" ht="17.25" customHeight="1"/>
    <row r="23929" customFormat="1" ht="17.25" customHeight="1"/>
    <row r="23930" customFormat="1" ht="17.25" customHeight="1"/>
    <row r="23931" customFormat="1" ht="17.25" customHeight="1"/>
    <row r="23932" customFormat="1" ht="17.25" customHeight="1"/>
    <row r="23933" customFormat="1" ht="17.25" customHeight="1"/>
    <row r="23934" customFormat="1" ht="17.25" customHeight="1"/>
    <row r="23935" customFormat="1" ht="17.25" customHeight="1"/>
    <row r="23936" customFormat="1" ht="17.25" customHeight="1"/>
    <row r="23937" customFormat="1" ht="17.25" customHeight="1"/>
    <row r="23938" customFormat="1" ht="17.25" customHeight="1"/>
    <row r="23939" customFormat="1" ht="17.25" customHeight="1"/>
    <row r="23940" customFormat="1" ht="17.25" customHeight="1"/>
    <row r="23941" customFormat="1" ht="17.25" customHeight="1"/>
    <row r="23942" customFormat="1" ht="17.25" customHeight="1"/>
    <row r="23943" customFormat="1" ht="17.25" customHeight="1"/>
    <row r="23944" customFormat="1" ht="17.25" customHeight="1"/>
    <row r="23945" customFormat="1" ht="17.25" customHeight="1"/>
    <row r="23946" customFormat="1" ht="17.25" customHeight="1"/>
    <row r="23947" customFormat="1" ht="17.25" customHeight="1"/>
    <row r="23948" customFormat="1" ht="17.25" customHeight="1"/>
    <row r="23949" customFormat="1" ht="17.25" customHeight="1"/>
    <row r="23950" customFormat="1" ht="17.25" customHeight="1"/>
    <row r="23951" customFormat="1" ht="17.25" customHeight="1"/>
    <row r="23952" customFormat="1" ht="17.25" customHeight="1"/>
    <row r="23953" customFormat="1" ht="17.25" customHeight="1"/>
    <row r="23954" customFormat="1" ht="17.25" customHeight="1"/>
    <row r="23955" customFormat="1" ht="17.25" customHeight="1"/>
    <row r="23956" customFormat="1" ht="17.25" customHeight="1"/>
    <row r="23957" customFormat="1" ht="17.25" customHeight="1"/>
    <row r="23958" customFormat="1" ht="17.25" customHeight="1"/>
    <row r="23959" customFormat="1" ht="17.25" customHeight="1"/>
    <row r="23960" customFormat="1" ht="17.25" customHeight="1"/>
    <row r="23961" customFormat="1" ht="17.25" customHeight="1"/>
    <row r="23962" customFormat="1" ht="17.25" customHeight="1"/>
    <row r="23963" customFormat="1" ht="17.25" customHeight="1"/>
    <row r="23964" customFormat="1" ht="17.25" customHeight="1"/>
    <row r="23965" customFormat="1" ht="17.25" customHeight="1"/>
    <row r="23966" customFormat="1" ht="17.25" customHeight="1"/>
    <row r="23967" customFormat="1" ht="17.25" customHeight="1"/>
    <row r="23968" customFormat="1" ht="17.25" customHeight="1"/>
    <row r="23969" customFormat="1" ht="17.25" customHeight="1"/>
    <row r="23970" customFormat="1" ht="17.25" customHeight="1"/>
    <row r="23971" customFormat="1" ht="17.25" customHeight="1"/>
    <row r="23972" customFormat="1" ht="17.25" customHeight="1"/>
    <row r="23973" customFormat="1" ht="17.25" customHeight="1"/>
    <row r="23974" customFormat="1" ht="17.25" customHeight="1"/>
    <row r="23975" customFormat="1" ht="17.25" customHeight="1"/>
    <row r="23976" customFormat="1" ht="17.25" customHeight="1"/>
    <row r="23977" customFormat="1" ht="17.25" customHeight="1"/>
    <row r="23978" customFormat="1" ht="17.25" customHeight="1"/>
    <row r="23979" customFormat="1" ht="17.25" customHeight="1"/>
    <row r="23980" customFormat="1" ht="17.25" customHeight="1"/>
    <row r="23981" customFormat="1" ht="17.25" customHeight="1"/>
    <row r="23982" customFormat="1" ht="17.25" customHeight="1"/>
    <row r="23983" customFormat="1" ht="17.25" customHeight="1"/>
    <row r="23984" customFormat="1" ht="17.25" customHeight="1"/>
    <row r="23985" customFormat="1" ht="17.25" customHeight="1"/>
    <row r="23986" customFormat="1" ht="17.25" customHeight="1"/>
    <row r="23987" customFormat="1" ht="17.25" customHeight="1"/>
    <row r="23988" customFormat="1" ht="17.25" customHeight="1"/>
    <row r="23989" customFormat="1" ht="17.25" customHeight="1"/>
    <row r="23990" customFormat="1" ht="17.25" customHeight="1"/>
    <row r="23991" customFormat="1" ht="17.25" customHeight="1"/>
    <row r="23992" customFormat="1" ht="17.25" customHeight="1"/>
    <row r="23993" customFormat="1" ht="17.25" customHeight="1"/>
    <row r="23994" customFormat="1" ht="17.25" customHeight="1"/>
    <row r="23995" customFormat="1" ht="17.25" customHeight="1"/>
    <row r="23996" customFormat="1" ht="17.25" customHeight="1"/>
    <row r="23997" customFormat="1" ht="17.25" customHeight="1"/>
    <row r="23998" customFormat="1" ht="17.25" customHeight="1"/>
    <row r="23999" customFormat="1" ht="17.25" customHeight="1"/>
    <row r="24000" customFormat="1" ht="17.25" customHeight="1"/>
    <row r="24001" customFormat="1" ht="17.25" customHeight="1"/>
    <row r="24002" customFormat="1" ht="17.25" customHeight="1"/>
    <row r="24003" customFormat="1" ht="17.25" customHeight="1"/>
    <row r="24004" customFormat="1" ht="17.25" customHeight="1"/>
    <row r="24005" customFormat="1" ht="17.25" customHeight="1"/>
    <row r="24006" customFormat="1" ht="17.25" customHeight="1"/>
    <row r="24007" customFormat="1" ht="17.25" customHeight="1"/>
    <row r="24008" customFormat="1" ht="17.25" customHeight="1"/>
    <row r="24009" customFormat="1" ht="17.25" customHeight="1"/>
    <row r="24010" customFormat="1" ht="17.25" customHeight="1"/>
    <row r="24011" customFormat="1" ht="17.25" customHeight="1"/>
    <row r="24012" customFormat="1" ht="17.25" customHeight="1"/>
    <row r="24013" customFormat="1" ht="17.25" customHeight="1"/>
    <row r="24014" customFormat="1" ht="17.25" customHeight="1"/>
    <row r="24015" customFormat="1" ht="17.25" customHeight="1"/>
    <row r="24016" customFormat="1" ht="17.25" customHeight="1"/>
    <row r="24017" customFormat="1" ht="17.25" customHeight="1"/>
    <row r="24018" customFormat="1" ht="17.25" customHeight="1"/>
    <row r="24019" customFormat="1" ht="17.25" customHeight="1"/>
    <row r="24020" customFormat="1" ht="17.25" customHeight="1"/>
    <row r="24021" customFormat="1" ht="17.25" customHeight="1"/>
    <row r="24022" customFormat="1" ht="17.25" customHeight="1"/>
    <row r="24023" customFormat="1" ht="17.25" customHeight="1"/>
    <row r="24024" customFormat="1" ht="17.25" customHeight="1"/>
    <row r="24025" customFormat="1" ht="17.25" customHeight="1"/>
    <row r="24026" customFormat="1" ht="17.25" customHeight="1"/>
    <row r="24027" customFormat="1" ht="17.25" customHeight="1"/>
    <row r="24028" customFormat="1" ht="17.25" customHeight="1"/>
    <row r="24029" customFormat="1" ht="17.25" customHeight="1"/>
    <row r="24030" customFormat="1" ht="17.25" customHeight="1"/>
    <row r="24031" customFormat="1" ht="17.25" customHeight="1"/>
    <row r="24032" customFormat="1" ht="17.25" customHeight="1"/>
    <row r="24033" customFormat="1" ht="17.25" customHeight="1"/>
    <row r="24034" customFormat="1" ht="17.25" customHeight="1"/>
    <row r="24035" customFormat="1" ht="17.25" customHeight="1"/>
    <row r="24036" customFormat="1" ht="17.25" customHeight="1"/>
    <row r="24037" customFormat="1" ht="17.25" customHeight="1"/>
    <row r="24038" customFormat="1" ht="17.25" customHeight="1"/>
    <row r="24039" customFormat="1" ht="17.25" customHeight="1"/>
    <row r="24040" customFormat="1" ht="17.25" customHeight="1"/>
    <row r="24041" customFormat="1" ht="17.25" customHeight="1"/>
    <row r="24042" customFormat="1" ht="17.25" customHeight="1"/>
    <row r="24043" customFormat="1" ht="17.25" customHeight="1"/>
    <row r="24044" customFormat="1" ht="17.25" customHeight="1"/>
    <row r="24045" customFormat="1" ht="17.25" customHeight="1"/>
    <row r="24046" customFormat="1" ht="17.25" customHeight="1"/>
    <row r="24047" customFormat="1" ht="17.25" customHeight="1"/>
    <row r="24048" customFormat="1" ht="17.25" customHeight="1"/>
    <row r="24049" customFormat="1" ht="17.25" customHeight="1"/>
    <row r="24050" customFormat="1" ht="17.25" customHeight="1"/>
    <row r="24051" customFormat="1" ht="17.25" customHeight="1"/>
    <row r="24052" customFormat="1" ht="17.25" customHeight="1"/>
    <row r="24053" customFormat="1" ht="17.25" customHeight="1"/>
    <row r="24054" customFormat="1" ht="17.25" customHeight="1"/>
    <row r="24055" customFormat="1" ht="17.25" customHeight="1"/>
    <row r="24056" customFormat="1" ht="17.25" customHeight="1"/>
    <row r="24057" customFormat="1" ht="17.25" customHeight="1"/>
    <row r="24058" customFormat="1" ht="17.25" customHeight="1"/>
    <row r="24059" customFormat="1" ht="17.25" customHeight="1"/>
    <row r="24060" customFormat="1" ht="17.25" customHeight="1"/>
    <row r="24061" customFormat="1" ht="17.25" customHeight="1"/>
    <row r="24062" customFormat="1" ht="17.25" customHeight="1"/>
    <row r="24063" customFormat="1" ht="17.25" customHeight="1"/>
    <row r="24064" customFormat="1" ht="17.25" customHeight="1"/>
    <row r="24065" customFormat="1" ht="17.25" customHeight="1"/>
    <row r="24066" customFormat="1" ht="17.25" customHeight="1"/>
    <row r="24067" customFormat="1" ht="17.25" customHeight="1"/>
    <row r="24068" customFormat="1" ht="17.25" customHeight="1"/>
    <row r="24069" customFormat="1" ht="17.25" customHeight="1"/>
    <row r="24070" customFormat="1" ht="17.25" customHeight="1"/>
    <row r="24071" customFormat="1" ht="17.25" customHeight="1"/>
    <row r="24072" customFormat="1" ht="17.25" customHeight="1"/>
    <row r="24073" customFormat="1" ht="17.25" customHeight="1"/>
    <row r="24074" customFormat="1" ht="17.25" customHeight="1"/>
    <row r="24075" customFormat="1" ht="17.25" customHeight="1"/>
    <row r="24076" customFormat="1" ht="17.25" customHeight="1"/>
    <row r="24077" customFormat="1" ht="17.25" customHeight="1"/>
    <row r="24078" customFormat="1" ht="17.25" customHeight="1"/>
    <row r="24079" customFormat="1" ht="17.25" customHeight="1"/>
    <row r="24080" customFormat="1" ht="17.25" customHeight="1"/>
    <row r="24081" customFormat="1" ht="17.25" customHeight="1"/>
    <row r="24082" customFormat="1" ht="17.25" customHeight="1"/>
    <row r="24083" customFormat="1" ht="17.25" customHeight="1"/>
    <row r="24084" customFormat="1" ht="17.25" customHeight="1"/>
    <row r="24085" customFormat="1" ht="17.25" customHeight="1"/>
    <row r="24086" customFormat="1" ht="17.25" customHeight="1"/>
    <row r="24087" customFormat="1" ht="17.25" customHeight="1"/>
    <row r="24088" customFormat="1" ht="17.25" customHeight="1"/>
    <row r="24089" customFormat="1" ht="17.25" customHeight="1"/>
    <row r="24090" customFormat="1" ht="17.25" customHeight="1"/>
    <row r="24091" customFormat="1" ht="17.25" customHeight="1"/>
    <row r="24092" customFormat="1" ht="17.25" customHeight="1"/>
    <row r="24093" customFormat="1" ht="17.25" customHeight="1"/>
    <row r="24094" customFormat="1" ht="17.25" customHeight="1"/>
    <row r="24095" customFormat="1" ht="17.25" customHeight="1"/>
    <row r="24096" customFormat="1" ht="17.25" customHeight="1"/>
    <row r="24097" customFormat="1" ht="17.25" customHeight="1"/>
    <row r="24098" customFormat="1" ht="17.25" customHeight="1"/>
    <row r="24099" customFormat="1" ht="17.25" customHeight="1"/>
    <row r="24100" customFormat="1" ht="17.25" customHeight="1"/>
    <row r="24101" customFormat="1" ht="17.25" customHeight="1"/>
    <row r="24102" customFormat="1" ht="17.25" customHeight="1"/>
    <row r="24103" customFormat="1" ht="17.25" customHeight="1"/>
    <row r="24104" customFormat="1" ht="17.25" customHeight="1"/>
    <row r="24105" customFormat="1" ht="17.25" customHeight="1"/>
    <row r="24106" customFormat="1" ht="17.25" customHeight="1"/>
    <row r="24107" customFormat="1" ht="17.25" customHeight="1"/>
    <row r="24108" customFormat="1" ht="17.25" customHeight="1"/>
    <row r="24109" customFormat="1" ht="17.25" customHeight="1"/>
    <row r="24110" customFormat="1" ht="17.25" customHeight="1"/>
    <row r="24111" customFormat="1" ht="17.25" customHeight="1"/>
    <row r="24112" customFormat="1" ht="17.25" customHeight="1"/>
    <row r="24113" customFormat="1" ht="17.25" customHeight="1"/>
    <row r="24114" customFormat="1" ht="17.25" customHeight="1"/>
    <row r="24115" customFormat="1" ht="17.25" customHeight="1"/>
    <row r="24116" customFormat="1" ht="17.25" customHeight="1"/>
    <row r="24117" customFormat="1" ht="17.25" customHeight="1"/>
    <row r="24118" customFormat="1" ht="17.25" customHeight="1"/>
    <row r="24119" customFormat="1" ht="17.25" customHeight="1"/>
    <row r="24120" customFormat="1" ht="17.25" customHeight="1"/>
    <row r="24121" customFormat="1" ht="17.25" customHeight="1"/>
    <row r="24122" customFormat="1" ht="17.25" customHeight="1"/>
    <row r="24123" customFormat="1" ht="17.25" customHeight="1"/>
    <row r="24124" customFormat="1" ht="17.25" customHeight="1"/>
    <row r="24125" customFormat="1" ht="17.25" customHeight="1"/>
    <row r="24126" customFormat="1" ht="17.25" customHeight="1"/>
    <row r="24127" customFormat="1" ht="17.25" customHeight="1"/>
    <row r="24128" customFormat="1" ht="17.25" customHeight="1"/>
    <row r="24129" customFormat="1" ht="17.25" customHeight="1"/>
    <row r="24130" customFormat="1" ht="17.25" customHeight="1"/>
    <row r="24131" customFormat="1" ht="17.25" customHeight="1"/>
    <row r="24132" customFormat="1" ht="17.25" customHeight="1"/>
    <row r="24133" customFormat="1" ht="17.25" customHeight="1"/>
    <row r="24134" customFormat="1" ht="17.25" customHeight="1"/>
    <row r="24135" customFormat="1" ht="17.25" customHeight="1"/>
    <row r="24136" customFormat="1" ht="17.25" customHeight="1"/>
    <row r="24137" customFormat="1" ht="17.25" customHeight="1"/>
    <row r="24138" customFormat="1" ht="17.25" customHeight="1"/>
    <row r="24139" customFormat="1" ht="17.25" customHeight="1"/>
    <row r="24140" customFormat="1" ht="17.25" customHeight="1"/>
    <row r="24141" customFormat="1" ht="17.25" customHeight="1"/>
    <row r="24142" customFormat="1" ht="17.25" customHeight="1"/>
    <row r="24143" customFormat="1" ht="17.25" customHeight="1"/>
    <row r="24144" customFormat="1" ht="17.25" customHeight="1"/>
    <row r="24145" customFormat="1" ht="17.25" customHeight="1"/>
    <row r="24146" customFormat="1" ht="17.25" customHeight="1"/>
    <row r="24147" customFormat="1" ht="17.25" customHeight="1"/>
    <row r="24148" customFormat="1" ht="17.25" customHeight="1"/>
    <row r="24149" customFormat="1" ht="17.25" customHeight="1"/>
    <row r="24150" customFormat="1" ht="17.25" customHeight="1"/>
    <row r="24151" customFormat="1" ht="17.25" customHeight="1"/>
    <row r="24152" customFormat="1" ht="17.25" customHeight="1"/>
    <row r="24153" customFormat="1" ht="17.25" customHeight="1"/>
    <row r="24154" customFormat="1" ht="17.25" customHeight="1"/>
    <row r="24155" customFormat="1" ht="17.25" customHeight="1"/>
    <row r="24156" customFormat="1" ht="17.25" customHeight="1"/>
    <row r="24157" customFormat="1" ht="17.25" customHeight="1"/>
    <row r="24158" customFormat="1" ht="17.25" customHeight="1"/>
    <row r="24159" customFormat="1" ht="17.25" customHeight="1"/>
    <row r="24160" customFormat="1" ht="17.25" customHeight="1"/>
    <row r="24161" customFormat="1" ht="17.25" customHeight="1"/>
    <row r="24162" customFormat="1" ht="17.25" customHeight="1"/>
    <row r="24163" customFormat="1" ht="17.25" customHeight="1"/>
    <row r="24164" customFormat="1" ht="17.25" customHeight="1"/>
    <row r="24165" customFormat="1" ht="17.25" customHeight="1"/>
    <row r="24166" customFormat="1" ht="17.25" customHeight="1"/>
    <row r="24167" customFormat="1" ht="17.25" customHeight="1"/>
    <row r="24168" customFormat="1" ht="17.25" customHeight="1"/>
    <row r="24169" customFormat="1" ht="17.25" customHeight="1"/>
    <row r="24170" customFormat="1" ht="17.25" customHeight="1"/>
    <row r="24171" customFormat="1" ht="17.25" customHeight="1"/>
    <row r="24172" customFormat="1" ht="17.25" customHeight="1"/>
    <row r="24173" customFormat="1" ht="17.25" customHeight="1"/>
    <row r="24174" customFormat="1" ht="17.25" customHeight="1"/>
    <row r="24175" customFormat="1" ht="17.25" customHeight="1"/>
    <row r="24176" customFormat="1" ht="17.25" customHeight="1"/>
    <row r="24177" customFormat="1" ht="17.25" customHeight="1"/>
    <row r="24178" customFormat="1" ht="17.25" customHeight="1"/>
    <row r="24179" customFormat="1" ht="17.25" customHeight="1"/>
    <row r="24180" customFormat="1" ht="17.25" customHeight="1"/>
    <row r="24181" customFormat="1" ht="17.25" customHeight="1"/>
    <row r="24182" customFormat="1" ht="17.25" customHeight="1"/>
    <row r="24183" customFormat="1" ht="17.25" customHeight="1"/>
    <row r="24184" customFormat="1" ht="17.25" customHeight="1"/>
    <row r="24185" customFormat="1" ht="17.25" customHeight="1"/>
    <row r="24186" customFormat="1" ht="17.25" customHeight="1"/>
    <row r="24187" customFormat="1" ht="17.25" customHeight="1"/>
    <row r="24188" customFormat="1" ht="17.25" customHeight="1"/>
    <row r="24189" customFormat="1" ht="17.25" customHeight="1"/>
    <row r="24190" customFormat="1" ht="17.25" customHeight="1"/>
    <row r="24191" customFormat="1" ht="17.25" customHeight="1"/>
    <row r="24192" customFormat="1" ht="17.25" customHeight="1"/>
    <row r="24193" customFormat="1" ht="17.25" customHeight="1"/>
    <row r="24194" customFormat="1" ht="17.25" customHeight="1"/>
    <row r="24195" customFormat="1" ht="17.25" customHeight="1"/>
    <row r="24196" customFormat="1" ht="17.25" customHeight="1"/>
    <row r="24197" customFormat="1" ht="17.25" customHeight="1"/>
    <row r="24198" customFormat="1" ht="17.25" customHeight="1"/>
    <row r="24199" customFormat="1" ht="17.25" customHeight="1"/>
    <row r="24200" customFormat="1" ht="17.25" customHeight="1"/>
    <row r="24201" customFormat="1" ht="17.25" customHeight="1"/>
    <row r="24202" customFormat="1" ht="17.25" customHeight="1"/>
    <row r="24203" customFormat="1" ht="17.25" customHeight="1"/>
    <row r="24204" customFormat="1" ht="17.25" customHeight="1"/>
    <row r="24205" customFormat="1" ht="17.25" customHeight="1"/>
    <row r="24206" customFormat="1" ht="17.25" customHeight="1"/>
    <row r="24207" customFormat="1" ht="17.25" customHeight="1"/>
    <row r="24208" customFormat="1" ht="17.25" customHeight="1"/>
    <row r="24209" customFormat="1" ht="17.25" customHeight="1"/>
    <row r="24210" customFormat="1" ht="17.25" customHeight="1"/>
    <row r="24211" customFormat="1" ht="17.25" customHeight="1"/>
    <row r="24212" customFormat="1" ht="17.25" customHeight="1"/>
    <row r="24213" customFormat="1" ht="17.25" customHeight="1"/>
    <row r="24214" customFormat="1" ht="17.25" customHeight="1"/>
    <row r="24215" customFormat="1" ht="17.25" customHeight="1"/>
    <row r="24216" customFormat="1" ht="17.25" customHeight="1"/>
    <row r="24217" customFormat="1" ht="17.25" customHeight="1"/>
    <row r="24218" customFormat="1" ht="17.25" customHeight="1"/>
    <row r="24219" customFormat="1" ht="17.25" customHeight="1"/>
    <row r="24220" customFormat="1" ht="17.25" customHeight="1"/>
    <row r="24221" customFormat="1" ht="17.25" customHeight="1"/>
    <row r="24222" customFormat="1" ht="17.25" customHeight="1"/>
    <row r="24223" customFormat="1" ht="17.25" customHeight="1"/>
    <row r="24224" customFormat="1" ht="17.25" customHeight="1"/>
    <row r="24225" customFormat="1" ht="17.25" customHeight="1"/>
    <row r="24226" customFormat="1" ht="17.25" customHeight="1"/>
    <row r="24227" customFormat="1" ht="17.25" customHeight="1"/>
    <row r="24228" customFormat="1" ht="17.25" customHeight="1"/>
    <row r="24229" customFormat="1" ht="17.25" customHeight="1"/>
    <row r="24230" customFormat="1" ht="17.25" customHeight="1"/>
    <row r="24231" customFormat="1" ht="17.25" customHeight="1"/>
    <row r="24232" customFormat="1" ht="17.25" customHeight="1"/>
    <row r="24233" customFormat="1" ht="17.25" customHeight="1"/>
    <row r="24234" customFormat="1" ht="17.25" customHeight="1"/>
    <row r="24235" customFormat="1" ht="17.25" customHeight="1"/>
    <row r="24236" customFormat="1" ht="17.25" customHeight="1"/>
    <row r="24237" customFormat="1" ht="17.25" customHeight="1"/>
    <row r="24238" customFormat="1" ht="17.25" customHeight="1"/>
    <row r="24239" customFormat="1" ht="17.25" customHeight="1"/>
    <row r="24240" customFormat="1" ht="17.25" customHeight="1"/>
    <row r="24241" customFormat="1" ht="17.25" customHeight="1"/>
    <row r="24242" customFormat="1" ht="17.25" customHeight="1"/>
    <row r="24243" customFormat="1" ht="17.25" customHeight="1"/>
    <row r="24244" customFormat="1" ht="17.25" customHeight="1"/>
    <row r="24245" customFormat="1" ht="17.25" customHeight="1"/>
    <row r="24246" customFormat="1" ht="17.25" customHeight="1"/>
    <row r="24247" customFormat="1" ht="17.25" customHeight="1"/>
    <row r="24248" customFormat="1" ht="17.25" customHeight="1"/>
    <row r="24249" customFormat="1" ht="17.25" customHeight="1"/>
    <row r="24250" customFormat="1" ht="17.25" customHeight="1"/>
    <row r="24251" customFormat="1" ht="17.25" customHeight="1"/>
    <row r="24252" customFormat="1" ht="17.25" customHeight="1"/>
    <row r="24253" customFormat="1" ht="17.25" customHeight="1"/>
    <row r="24254" customFormat="1" ht="17.25" customHeight="1"/>
    <row r="24255" customFormat="1" ht="17.25" customHeight="1"/>
    <row r="24256" customFormat="1" ht="17.25" customHeight="1"/>
    <row r="24257" customFormat="1" ht="17.25" customHeight="1"/>
    <row r="24258" customFormat="1" ht="17.25" customHeight="1"/>
    <row r="24259" customFormat="1" ht="17.25" customHeight="1"/>
    <row r="24260" customFormat="1" ht="17.25" customHeight="1"/>
    <row r="24261" customFormat="1" ht="17.25" customHeight="1"/>
    <row r="24262" customFormat="1" ht="17.25" customHeight="1"/>
    <row r="24263" customFormat="1" ht="17.25" customHeight="1"/>
    <row r="24264" customFormat="1" ht="17.25" customHeight="1"/>
    <row r="24265" customFormat="1" ht="17.25" customHeight="1"/>
    <row r="24266" customFormat="1" ht="17.25" customHeight="1"/>
    <row r="24267" customFormat="1" ht="17.25" customHeight="1"/>
    <row r="24268" customFormat="1" ht="17.25" customHeight="1"/>
    <row r="24269" customFormat="1" ht="17.25" customHeight="1"/>
    <row r="24270" customFormat="1" ht="17.25" customHeight="1"/>
    <row r="24271" customFormat="1" ht="17.25" customHeight="1"/>
    <row r="24272" customFormat="1" ht="17.25" customHeight="1"/>
    <row r="24273" customFormat="1" ht="17.25" customHeight="1"/>
    <row r="24274" customFormat="1" ht="17.25" customHeight="1"/>
    <row r="24275" customFormat="1" ht="17.25" customHeight="1"/>
    <row r="24276" customFormat="1" ht="17.25" customHeight="1"/>
    <row r="24277" customFormat="1" ht="17.25" customHeight="1"/>
    <row r="24278" customFormat="1" ht="17.25" customHeight="1"/>
    <row r="24279" customFormat="1" ht="17.25" customHeight="1"/>
    <row r="24280" customFormat="1" ht="17.25" customHeight="1"/>
    <row r="24281" customFormat="1" ht="17.25" customHeight="1"/>
    <row r="24282" customFormat="1" ht="17.25" customHeight="1"/>
    <row r="24283" customFormat="1" ht="17.25" customHeight="1"/>
    <row r="24284" customFormat="1" ht="17.25" customHeight="1"/>
    <row r="24285" customFormat="1" ht="17.25" customHeight="1"/>
    <row r="24286" customFormat="1" ht="17.25" customHeight="1"/>
    <row r="24287" customFormat="1" ht="17.25" customHeight="1"/>
    <row r="24288" customFormat="1" ht="17.25" customHeight="1"/>
    <row r="24289" customFormat="1" ht="17.25" customHeight="1"/>
    <row r="24290" customFormat="1" ht="17.25" customHeight="1"/>
    <row r="24291" customFormat="1" ht="17.25" customHeight="1"/>
    <row r="24292" customFormat="1" ht="17.25" customHeight="1"/>
    <row r="24293" customFormat="1" ht="17.25" customHeight="1"/>
    <row r="24294" customFormat="1" ht="17.25" customHeight="1"/>
    <row r="24295" customFormat="1" ht="17.25" customHeight="1"/>
    <row r="24296" customFormat="1" ht="17.25" customHeight="1"/>
    <row r="24297" customFormat="1" ht="17.25" customHeight="1"/>
    <row r="24298" customFormat="1" ht="17.25" customHeight="1"/>
    <row r="24299" customFormat="1" ht="17.25" customHeight="1"/>
    <row r="24300" customFormat="1" ht="17.25" customHeight="1"/>
    <row r="24301" customFormat="1" ht="17.25" customHeight="1"/>
    <row r="24302" customFormat="1" ht="17.25" customHeight="1"/>
    <row r="24303" customFormat="1" ht="17.25" customHeight="1"/>
    <row r="24304" customFormat="1" ht="17.25" customHeight="1"/>
    <row r="24305" customFormat="1" ht="17.25" customHeight="1"/>
    <row r="24306" customFormat="1" ht="17.25" customHeight="1"/>
    <row r="24307" customFormat="1" ht="17.25" customHeight="1"/>
    <row r="24308" customFormat="1" ht="17.25" customHeight="1"/>
    <row r="24309" customFormat="1" ht="17.25" customHeight="1"/>
    <row r="24310" customFormat="1" ht="17.25" customHeight="1"/>
    <row r="24311" customFormat="1" ht="17.25" customHeight="1"/>
    <row r="24312" customFormat="1" ht="17.25" customHeight="1"/>
    <row r="24313" customFormat="1" ht="17.25" customHeight="1"/>
    <row r="24314" customFormat="1" ht="17.25" customHeight="1"/>
    <row r="24315" customFormat="1" ht="17.25" customHeight="1"/>
    <row r="24316" customFormat="1" ht="17.25" customHeight="1"/>
    <row r="24317" customFormat="1" ht="17.25" customHeight="1"/>
    <row r="24318" customFormat="1" ht="17.25" customHeight="1"/>
    <row r="24319" customFormat="1" ht="17.25" customHeight="1"/>
    <row r="24320" customFormat="1" ht="17.25" customHeight="1"/>
    <row r="24321" customFormat="1" ht="17.25" customHeight="1"/>
    <row r="24322" customFormat="1" ht="17.25" customHeight="1"/>
    <row r="24323" customFormat="1" ht="17.25" customHeight="1"/>
    <row r="24324" customFormat="1" ht="17.25" customHeight="1"/>
    <row r="24325" customFormat="1" ht="17.25" customHeight="1"/>
    <row r="24326" customFormat="1" ht="17.25" customHeight="1"/>
    <row r="24327" customFormat="1" ht="17.25" customHeight="1"/>
    <row r="24328" customFormat="1" ht="17.25" customHeight="1"/>
    <row r="24329" customFormat="1" ht="17.25" customHeight="1"/>
    <row r="24330" customFormat="1" ht="17.25" customHeight="1"/>
    <row r="24331" customFormat="1" ht="17.25" customHeight="1"/>
    <row r="24332" customFormat="1" ht="17.25" customHeight="1"/>
    <row r="24333" customFormat="1" ht="17.25" customHeight="1"/>
    <row r="24334" customFormat="1" ht="17.25" customHeight="1"/>
    <row r="24335" customFormat="1" ht="17.25" customHeight="1"/>
    <row r="24336" customFormat="1" ht="17.25" customHeight="1"/>
    <row r="24337" customFormat="1" ht="17.25" customHeight="1"/>
    <row r="24338" customFormat="1" ht="17.25" customHeight="1"/>
    <row r="24339" customFormat="1" ht="17.25" customHeight="1"/>
    <row r="24340" customFormat="1" ht="17.25" customHeight="1"/>
    <row r="24341" customFormat="1" ht="17.25" customHeight="1"/>
    <row r="24342" customFormat="1" ht="17.25" customHeight="1"/>
    <row r="24343" customFormat="1" ht="17.25" customHeight="1"/>
    <row r="24344" customFormat="1" ht="17.25" customHeight="1"/>
    <row r="24345" customFormat="1" ht="17.25" customHeight="1"/>
    <row r="24346" customFormat="1" ht="17.25" customHeight="1"/>
    <row r="24347" customFormat="1" ht="17.25" customHeight="1"/>
    <row r="24348" customFormat="1" ht="17.25" customHeight="1"/>
    <row r="24349" customFormat="1" ht="17.25" customHeight="1"/>
    <row r="24350" customFormat="1" ht="17.25" customHeight="1"/>
    <row r="24351" customFormat="1" ht="17.25" customHeight="1"/>
    <row r="24352" customFormat="1" ht="17.25" customHeight="1"/>
    <row r="24353" customFormat="1" ht="17.25" customHeight="1"/>
    <row r="24354" customFormat="1" ht="17.25" customHeight="1"/>
    <row r="24355" customFormat="1" ht="17.25" customHeight="1"/>
    <row r="24356" customFormat="1" ht="17.25" customHeight="1"/>
    <row r="24357" customFormat="1" ht="17.25" customHeight="1"/>
    <row r="24358" customFormat="1" ht="17.25" customHeight="1"/>
    <row r="24359" customFormat="1" ht="17.25" customHeight="1"/>
    <row r="24360" customFormat="1" ht="17.25" customHeight="1"/>
    <row r="24361" customFormat="1" ht="17.25" customHeight="1"/>
    <row r="24362" customFormat="1" ht="17.25" customHeight="1"/>
    <row r="24363" customFormat="1" ht="17.25" customHeight="1"/>
    <row r="24364" customFormat="1" ht="17.25" customHeight="1"/>
    <row r="24365" customFormat="1" ht="17.25" customHeight="1"/>
    <row r="24366" customFormat="1" ht="17.25" customHeight="1"/>
    <row r="24367" customFormat="1" ht="17.25" customHeight="1"/>
    <row r="24368" customFormat="1" ht="17.25" customHeight="1"/>
    <row r="24369" customFormat="1" ht="17.25" customHeight="1"/>
    <row r="24370" customFormat="1" ht="17.25" customHeight="1"/>
    <row r="24371" customFormat="1" ht="17.25" customHeight="1"/>
    <row r="24372" customFormat="1" ht="17.25" customHeight="1"/>
    <row r="24373" customFormat="1" ht="17.25" customHeight="1"/>
    <row r="24374" customFormat="1" ht="17.25" customHeight="1"/>
    <row r="24375" customFormat="1" ht="17.25" customHeight="1"/>
    <row r="24376" customFormat="1" ht="17.25" customHeight="1"/>
    <row r="24377" customFormat="1" ht="17.25" customHeight="1"/>
    <row r="24378" customFormat="1" ht="17.25" customHeight="1"/>
    <row r="24379" customFormat="1" ht="17.25" customHeight="1"/>
    <row r="24380" customFormat="1" ht="17.25" customHeight="1"/>
    <row r="24381" customFormat="1" ht="17.25" customHeight="1"/>
    <row r="24382" customFormat="1" ht="17.25" customHeight="1"/>
    <row r="24383" customFormat="1" ht="17.25" customHeight="1"/>
    <row r="24384" customFormat="1" ht="17.25" customHeight="1"/>
    <row r="24385" customFormat="1" ht="17.25" customHeight="1"/>
    <row r="24386" customFormat="1" ht="17.25" customHeight="1"/>
    <row r="24387" customFormat="1" ht="17.25" customHeight="1"/>
    <row r="24388" customFormat="1" ht="17.25" customHeight="1"/>
    <row r="24389" customFormat="1" ht="17.25" customHeight="1"/>
    <row r="24390" customFormat="1" ht="17.25" customHeight="1"/>
    <row r="24391" customFormat="1" ht="17.25" customHeight="1"/>
    <row r="24392" customFormat="1" ht="17.25" customHeight="1"/>
    <row r="24393" customFormat="1" ht="17.25" customHeight="1"/>
    <row r="24394" customFormat="1" ht="17.25" customHeight="1"/>
    <row r="24395" customFormat="1" ht="17.25" customHeight="1"/>
    <row r="24396" customFormat="1" ht="17.25" customHeight="1"/>
    <row r="24397" customFormat="1" ht="17.25" customHeight="1"/>
    <row r="24398" customFormat="1" ht="17.25" customHeight="1"/>
    <row r="24399" customFormat="1" ht="17.25" customHeight="1"/>
    <row r="24400" customFormat="1" ht="17.25" customHeight="1"/>
    <row r="24401" customFormat="1" ht="17.25" customHeight="1"/>
    <row r="24402" customFormat="1" ht="17.25" customHeight="1"/>
    <row r="24403" customFormat="1" ht="17.25" customHeight="1"/>
    <row r="24404" customFormat="1" ht="17.25" customHeight="1"/>
    <row r="24405" customFormat="1" ht="17.25" customHeight="1"/>
    <row r="24406" customFormat="1" ht="17.25" customHeight="1"/>
    <row r="24407" customFormat="1" ht="17.25" customHeight="1"/>
    <row r="24408" customFormat="1" ht="17.25" customHeight="1"/>
    <row r="24409" customFormat="1" ht="17.25" customHeight="1"/>
    <row r="24410" customFormat="1" ht="17.25" customHeight="1"/>
    <row r="24411" customFormat="1" ht="17.25" customHeight="1"/>
    <row r="24412" customFormat="1" ht="17.25" customHeight="1"/>
    <row r="24413" customFormat="1" ht="17.25" customHeight="1"/>
    <row r="24414" customFormat="1" ht="17.25" customHeight="1"/>
    <row r="24415" customFormat="1" ht="17.25" customHeight="1"/>
    <row r="24416" customFormat="1" ht="17.25" customHeight="1"/>
    <row r="24417" customFormat="1" ht="17.25" customHeight="1"/>
    <row r="24418" customFormat="1" ht="17.25" customHeight="1"/>
    <row r="24419" customFormat="1" ht="17.25" customHeight="1"/>
    <row r="24420" customFormat="1" ht="17.25" customHeight="1"/>
    <row r="24421" customFormat="1" ht="17.25" customHeight="1"/>
    <row r="24422" customFormat="1" ht="17.25" customHeight="1"/>
    <row r="24423" customFormat="1" ht="17.25" customHeight="1"/>
    <row r="24424" customFormat="1" ht="17.25" customHeight="1"/>
    <row r="24425" customFormat="1" ht="17.25" customHeight="1"/>
    <row r="24426" customFormat="1" ht="17.25" customHeight="1"/>
    <row r="24427" customFormat="1" ht="17.25" customHeight="1"/>
    <row r="24428" customFormat="1" ht="17.25" customHeight="1"/>
    <row r="24429" customFormat="1" ht="17.25" customHeight="1"/>
    <row r="24430" customFormat="1" ht="17.25" customHeight="1"/>
    <row r="24431" customFormat="1" ht="17.25" customHeight="1"/>
    <row r="24432" customFormat="1" ht="17.25" customHeight="1"/>
    <row r="24433" customFormat="1" ht="17.25" customHeight="1"/>
    <row r="24434" customFormat="1" ht="17.25" customHeight="1"/>
    <row r="24435" customFormat="1" ht="17.25" customHeight="1"/>
    <row r="24436" customFormat="1" ht="17.25" customHeight="1"/>
    <row r="24437" customFormat="1" ht="17.25" customHeight="1"/>
    <row r="24438" customFormat="1" ht="17.25" customHeight="1"/>
    <row r="24439" customFormat="1" ht="17.25" customHeight="1"/>
    <row r="24440" customFormat="1" ht="17.25" customHeight="1"/>
    <row r="24441" customFormat="1" ht="17.25" customHeight="1"/>
    <row r="24442" customFormat="1" ht="17.25" customHeight="1"/>
    <row r="24443" customFormat="1" ht="17.25" customHeight="1"/>
    <row r="24444" customFormat="1" ht="17.25" customHeight="1"/>
    <row r="24445" customFormat="1" ht="17.25" customHeight="1"/>
    <row r="24446" customFormat="1" ht="17.25" customHeight="1"/>
    <row r="24447" customFormat="1" ht="17.25" customHeight="1"/>
    <row r="24448" customFormat="1" ht="17.25" customHeight="1"/>
    <row r="24449" customFormat="1" ht="17.25" customHeight="1"/>
    <row r="24450" customFormat="1" ht="17.25" customHeight="1"/>
    <row r="24451" customFormat="1" ht="17.25" customHeight="1"/>
    <row r="24452" customFormat="1" ht="17.25" customHeight="1"/>
    <row r="24453" customFormat="1" ht="17.25" customHeight="1"/>
    <row r="24454" customFormat="1" ht="17.25" customHeight="1"/>
    <row r="24455" customFormat="1" ht="17.25" customHeight="1"/>
    <row r="24456" customFormat="1" ht="17.25" customHeight="1"/>
    <row r="24457" customFormat="1" ht="17.25" customHeight="1"/>
    <row r="24458" customFormat="1" ht="17.25" customHeight="1"/>
    <row r="24459" customFormat="1" ht="17.25" customHeight="1"/>
    <row r="24460" customFormat="1" ht="17.25" customHeight="1"/>
    <row r="24461" customFormat="1" ht="17.25" customHeight="1"/>
    <row r="24462" customFormat="1" ht="17.25" customHeight="1"/>
    <row r="24463" customFormat="1" ht="17.25" customHeight="1"/>
    <row r="24464" customFormat="1" ht="17.25" customHeight="1"/>
    <row r="24465" customFormat="1" ht="17.25" customHeight="1"/>
    <row r="24466" customFormat="1" ht="17.25" customHeight="1"/>
    <row r="24467" customFormat="1" ht="17.25" customHeight="1"/>
    <row r="24468" customFormat="1" ht="17.25" customHeight="1"/>
    <row r="24469" customFormat="1" ht="17.25" customHeight="1"/>
    <row r="24470" customFormat="1" ht="17.25" customHeight="1"/>
    <row r="24471" customFormat="1" ht="17.25" customHeight="1"/>
    <row r="24472" customFormat="1" ht="17.25" customHeight="1"/>
    <row r="24473" customFormat="1" ht="17.25" customHeight="1"/>
    <row r="24474" customFormat="1" ht="17.25" customHeight="1"/>
    <row r="24475" customFormat="1" ht="17.25" customHeight="1"/>
    <row r="24476" customFormat="1" ht="17.25" customHeight="1"/>
    <row r="24477" customFormat="1" ht="17.25" customHeight="1"/>
    <row r="24478" customFormat="1" ht="17.25" customHeight="1"/>
    <row r="24479" customFormat="1" ht="17.25" customHeight="1"/>
    <row r="24480" customFormat="1" ht="17.25" customHeight="1"/>
    <row r="24481" customFormat="1" ht="17.25" customHeight="1"/>
    <row r="24482" customFormat="1" ht="17.25" customHeight="1"/>
    <row r="24483" customFormat="1" ht="17.25" customHeight="1"/>
    <row r="24484" customFormat="1" ht="17.25" customHeight="1"/>
    <row r="24485" customFormat="1" ht="17.25" customHeight="1"/>
    <row r="24486" customFormat="1" ht="17.25" customHeight="1"/>
    <row r="24487" customFormat="1" ht="17.25" customHeight="1"/>
    <row r="24488" customFormat="1" ht="17.25" customHeight="1"/>
    <row r="24489" customFormat="1" ht="17.25" customHeight="1"/>
    <row r="24490" customFormat="1" ht="17.25" customHeight="1"/>
    <row r="24491" customFormat="1" ht="17.25" customHeight="1"/>
    <row r="24492" customFormat="1" ht="17.25" customHeight="1"/>
    <row r="24493" customFormat="1" ht="17.25" customHeight="1"/>
    <row r="24494" customFormat="1" ht="17.25" customHeight="1"/>
    <row r="24495" customFormat="1" ht="17.25" customHeight="1"/>
    <row r="24496" customFormat="1" ht="17.25" customHeight="1"/>
    <row r="24497" customFormat="1" ht="17.25" customHeight="1"/>
    <row r="24498" customFormat="1" ht="17.25" customHeight="1"/>
    <row r="24499" customFormat="1" ht="17.25" customHeight="1"/>
    <row r="24500" customFormat="1" ht="17.25" customHeight="1"/>
    <row r="24501" customFormat="1" ht="17.25" customHeight="1"/>
    <row r="24502" customFormat="1" ht="17.25" customHeight="1"/>
    <row r="24503" customFormat="1" ht="17.25" customHeight="1"/>
    <row r="24504" customFormat="1" ht="17.25" customHeight="1"/>
    <row r="24505" customFormat="1" ht="17.25" customHeight="1"/>
    <row r="24506" customFormat="1" ht="17.25" customHeight="1"/>
    <row r="24507" customFormat="1" ht="17.25" customHeight="1"/>
    <row r="24508" customFormat="1" ht="17.25" customHeight="1"/>
    <row r="24509" customFormat="1" ht="17.25" customHeight="1"/>
    <row r="24510" customFormat="1" ht="17.25" customHeight="1"/>
    <row r="24511" customFormat="1" ht="17.25" customHeight="1"/>
    <row r="24512" customFormat="1" ht="17.25" customHeight="1"/>
    <row r="24513" customFormat="1" ht="17.25" customHeight="1"/>
    <row r="24514" customFormat="1" ht="17.25" customHeight="1"/>
    <row r="24515" customFormat="1" ht="17.25" customHeight="1"/>
    <row r="24516" customFormat="1" ht="17.25" customHeight="1"/>
    <row r="24517" customFormat="1" ht="17.25" customHeight="1"/>
    <row r="24518" customFormat="1" ht="17.25" customHeight="1"/>
    <row r="24519" customFormat="1" ht="17.25" customHeight="1"/>
    <row r="24520" customFormat="1" ht="17.25" customHeight="1"/>
    <row r="24521" customFormat="1" ht="17.25" customHeight="1"/>
    <row r="24522" customFormat="1" ht="17.25" customHeight="1"/>
    <row r="24523" customFormat="1" ht="17.25" customHeight="1"/>
    <row r="24524" customFormat="1" ht="17.25" customHeight="1"/>
    <row r="24525" customFormat="1" ht="17.25" customHeight="1"/>
    <row r="24526" customFormat="1" ht="17.25" customHeight="1"/>
    <row r="24527" customFormat="1" ht="17.25" customHeight="1"/>
    <row r="24528" customFormat="1" ht="17.25" customHeight="1"/>
    <row r="24529" customFormat="1" ht="17.25" customHeight="1"/>
    <row r="24530" customFormat="1" ht="17.25" customHeight="1"/>
    <row r="24531" customFormat="1" ht="17.25" customHeight="1"/>
    <row r="24532" customFormat="1" ht="17.25" customHeight="1"/>
    <row r="24533" customFormat="1" ht="17.25" customHeight="1"/>
    <row r="24534" customFormat="1" ht="17.25" customHeight="1"/>
    <row r="24535" customFormat="1" ht="17.25" customHeight="1"/>
    <row r="24536" customFormat="1" ht="17.25" customHeight="1"/>
    <row r="24537" customFormat="1" ht="17.25" customHeight="1"/>
    <row r="24538" customFormat="1" ht="17.25" customHeight="1"/>
    <row r="24539" customFormat="1" ht="17.25" customHeight="1"/>
    <row r="24540" customFormat="1" ht="17.25" customHeight="1"/>
    <row r="24541" customFormat="1" ht="17.25" customHeight="1"/>
    <row r="24542" customFormat="1" ht="17.25" customHeight="1"/>
    <row r="24543" customFormat="1" ht="17.25" customHeight="1"/>
    <row r="24544" customFormat="1" ht="17.25" customHeight="1"/>
    <row r="24545" customFormat="1" ht="17.25" customHeight="1"/>
    <row r="24546" customFormat="1" ht="17.25" customHeight="1"/>
    <row r="24547" customFormat="1" ht="17.25" customHeight="1"/>
    <row r="24548" customFormat="1" ht="17.25" customHeight="1"/>
    <row r="24549" customFormat="1" ht="17.25" customHeight="1"/>
    <row r="24550" customFormat="1" ht="17.25" customHeight="1"/>
    <row r="24551" customFormat="1" ht="17.25" customHeight="1"/>
    <row r="24552" customFormat="1" ht="17.25" customHeight="1"/>
    <row r="24553" customFormat="1" ht="17.25" customHeight="1"/>
    <row r="24554" customFormat="1" ht="17.25" customHeight="1"/>
    <row r="24555" customFormat="1" ht="17.25" customHeight="1"/>
    <row r="24556" customFormat="1" ht="17.25" customHeight="1"/>
    <row r="24557" customFormat="1" ht="17.25" customHeight="1"/>
    <row r="24558" customFormat="1" ht="17.25" customHeight="1"/>
    <row r="24559" customFormat="1" ht="17.25" customHeight="1"/>
    <row r="24560" customFormat="1" ht="17.25" customHeight="1"/>
    <row r="24561" customFormat="1" ht="17.25" customHeight="1"/>
    <row r="24562" customFormat="1" ht="17.25" customHeight="1"/>
    <row r="24563" customFormat="1" ht="17.25" customHeight="1"/>
    <row r="24564" customFormat="1" ht="17.25" customHeight="1"/>
    <row r="24565" customFormat="1" ht="17.25" customHeight="1"/>
    <row r="24566" customFormat="1" ht="17.25" customHeight="1"/>
    <row r="24567" customFormat="1" ht="17.25" customHeight="1"/>
    <row r="24568" customFormat="1" ht="17.25" customHeight="1"/>
    <row r="24569" customFormat="1" ht="17.25" customHeight="1"/>
    <row r="24570" customFormat="1" ht="17.25" customHeight="1"/>
    <row r="24571" customFormat="1" ht="17.25" customHeight="1"/>
    <row r="24572" customFormat="1" ht="17.25" customHeight="1"/>
    <row r="24573" customFormat="1" ht="17.25" customHeight="1"/>
    <row r="24574" customFormat="1" ht="17.25" customHeight="1"/>
    <row r="24575" customFormat="1" ht="17.25" customHeight="1"/>
    <row r="24576" customFormat="1" ht="17.25" customHeight="1"/>
    <row r="24577" customFormat="1" ht="17.25" customHeight="1"/>
    <row r="24578" customFormat="1" ht="17.25" customHeight="1"/>
    <row r="24579" customFormat="1" ht="17.25" customHeight="1"/>
    <row r="24580" customFormat="1" ht="17.25" customHeight="1"/>
    <row r="24581" customFormat="1" ht="17.25" customHeight="1"/>
    <row r="24582" customFormat="1" ht="17.25" customHeight="1"/>
    <row r="24583" customFormat="1" ht="17.25" customHeight="1"/>
    <row r="24584" customFormat="1" ht="17.25" customHeight="1"/>
    <row r="24585" customFormat="1" ht="17.25" customHeight="1"/>
    <row r="24586" customFormat="1" ht="17.25" customHeight="1"/>
    <row r="24587" customFormat="1" ht="17.25" customHeight="1"/>
    <row r="24588" customFormat="1" ht="17.25" customHeight="1"/>
    <row r="24589" customFormat="1" ht="17.25" customHeight="1"/>
    <row r="24590" customFormat="1" ht="17.25" customHeight="1"/>
    <row r="24591" customFormat="1" ht="17.25" customHeight="1"/>
    <row r="24592" customFormat="1" ht="17.25" customHeight="1"/>
    <row r="24593" customFormat="1" ht="17.25" customHeight="1"/>
    <row r="24594" customFormat="1" ht="17.25" customHeight="1"/>
    <row r="24595" customFormat="1" ht="17.25" customHeight="1"/>
    <row r="24596" customFormat="1" ht="17.25" customHeight="1"/>
    <row r="24597" customFormat="1" ht="17.25" customHeight="1"/>
    <row r="24598" customFormat="1" ht="17.25" customHeight="1"/>
    <row r="24599" customFormat="1" ht="17.25" customHeight="1"/>
    <row r="24600" customFormat="1" ht="17.25" customHeight="1"/>
    <row r="24601" customFormat="1" ht="17.25" customHeight="1"/>
    <row r="24602" customFormat="1" ht="17.25" customHeight="1"/>
    <row r="24603" customFormat="1" ht="17.25" customHeight="1"/>
    <row r="24604" customFormat="1" ht="17.25" customHeight="1"/>
    <row r="24605" customFormat="1" ht="17.25" customHeight="1"/>
    <row r="24606" customFormat="1" ht="17.25" customHeight="1"/>
    <row r="24607" customFormat="1" ht="17.25" customHeight="1"/>
    <row r="24608" customFormat="1" ht="17.25" customHeight="1"/>
    <row r="24609" customFormat="1" ht="17.25" customHeight="1"/>
    <row r="24610" customFormat="1" ht="17.25" customHeight="1"/>
    <row r="24611" customFormat="1" ht="17.25" customHeight="1"/>
    <row r="24612" customFormat="1" ht="17.25" customHeight="1"/>
    <row r="24613" customFormat="1" ht="17.25" customHeight="1"/>
    <row r="24614" customFormat="1" ht="17.25" customHeight="1"/>
    <row r="24615" customFormat="1" ht="17.25" customHeight="1"/>
    <row r="24616" customFormat="1" ht="17.25" customHeight="1"/>
    <row r="24617" customFormat="1" ht="17.25" customHeight="1"/>
    <row r="24618" customFormat="1" ht="17.25" customHeight="1"/>
    <row r="24619" customFormat="1" ht="17.25" customHeight="1"/>
    <row r="24620" customFormat="1" ht="17.25" customHeight="1"/>
    <row r="24621" customFormat="1" ht="17.25" customHeight="1"/>
    <row r="24622" customFormat="1" ht="17.25" customHeight="1"/>
    <row r="24623" customFormat="1" ht="17.25" customHeight="1"/>
    <row r="24624" customFormat="1" ht="17.25" customHeight="1"/>
    <row r="24625" customFormat="1" ht="17.25" customHeight="1"/>
    <row r="24626" customFormat="1" ht="17.25" customHeight="1"/>
    <row r="24627" customFormat="1" ht="17.25" customHeight="1"/>
    <row r="24628" customFormat="1" ht="17.25" customHeight="1"/>
    <row r="24629" customFormat="1" ht="17.25" customHeight="1"/>
    <row r="24630" customFormat="1" ht="17.25" customHeight="1"/>
    <row r="24631" customFormat="1" ht="17.25" customHeight="1"/>
    <row r="24632" customFormat="1" ht="17.25" customHeight="1"/>
    <row r="24633" customFormat="1" ht="17.25" customHeight="1"/>
    <row r="24634" customFormat="1" ht="17.25" customHeight="1"/>
    <row r="24635" customFormat="1" ht="17.25" customHeight="1"/>
    <row r="24636" customFormat="1" ht="17.25" customHeight="1"/>
    <row r="24637" customFormat="1" ht="17.25" customHeight="1"/>
    <row r="24638" customFormat="1" ht="17.25" customHeight="1"/>
    <row r="24639" customFormat="1" ht="17.25" customHeight="1"/>
    <row r="24640" customFormat="1" ht="17.25" customHeight="1"/>
    <row r="24641" customFormat="1" ht="17.25" customHeight="1"/>
    <row r="24642" customFormat="1" ht="17.25" customHeight="1"/>
    <row r="24643" customFormat="1" ht="17.25" customHeight="1"/>
    <row r="24644" customFormat="1" ht="17.25" customHeight="1"/>
    <row r="24645" customFormat="1" ht="17.25" customHeight="1"/>
    <row r="24646" customFormat="1" ht="17.25" customHeight="1"/>
    <row r="24647" customFormat="1" ht="17.25" customHeight="1"/>
    <row r="24648" customFormat="1" ht="17.25" customHeight="1"/>
    <row r="24649" customFormat="1" ht="17.25" customHeight="1"/>
    <row r="24650" customFormat="1" ht="17.25" customHeight="1"/>
    <row r="24651" customFormat="1" ht="17.25" customHeight="1"/>
    <row r="24652" customFormat="1" ht="17.25" customHeight="1"/>
    <row r="24653" customFormat="1" ht="17.25" customHeight="1"/>
    <row r="24654" customFormat="1" ht="17.25" customHeight="1"/>
    <row r="24655" customFormat="1" ht="17.25" customHeight="1"/>
    <row r="24656" customFormat="1" ht="17.25" customHeight="1"/>
    <row r="24657" customFormat="1" ht="17.25" customHeight="1"/>
    <row r="24658" customFormat="1" ht="17.25" customHeight="1"/>
    <row r="24659" customFormat="1" ht="17.25" customHeight="1"/>
    <row r="24660" customFormat="1" ht="17.25" customHeight="1"/>
    <row r="24661" customFormat="1" ht="17.25" customHeight="1"/>
    <row r="24662" customFormat="1" ht="17.25" customHeight="1"/>
    <row r="24663" customFormat="1" ht="17.25" customHeight="1"/>
    <row r="24664" customFormat="1" ht="17.25" customHeight="1"/>
    <row r="24665" customFormat="1" ht="17.25" customHeight="1"/>
    <row r="24666" customFormat="1" ht="17.25" customHeight="1"/>
    <row r="24667" customFormat="1" ht="17.25" customHeight="1"/>
    <row r="24668" customFormat="1" ht="17.25" customHeight="1"/>
    <row r="24669" customFormat="1" ht="17.25" customHeight="1"/>
    <row r="24670" customFormat="1" ht="17.25" customHeight="1"/>
    <row r="24671" customFormat="1" ht="17.25" customHeight="1"/>
    <row r="24672" customFormat="1" ht="17.25" customHeight="1"/>
    <row r="24673" customFormat="1" ht="17.25" customHeight="1"/>
    <row r="24674" customFormat="1" ht="17.25" customHeight="1"/>
    <row r="24675" customFormat="1" ht="17.25" customHeight="1"/>
    <row r="24676" customFormat="1" ht="17.25" customHeight="1"/>
    <row r="24677" customFormat="1" ht="17.25" customHeight="1"/>
    <row r="24678" customFormat="1" ht="17.25" customHeight="1"/>
    <row r="24679" customFormat="1" ht="17.25" customHeight="1"/>
    <row r="24680" customFormat="1" ht="17.25" customHeight="1"/>
    <row r="24681" customFormat="1" ht="17.25" customHeight="1"/>
    <row r="24682" customFormat="1" ht="17.25" customHeight="1"/>
    <row r="24683" customFormat="1" ht="17.25" customHeight="1"/>
    <row r="24684" customFormat="1" ht="17.25" customHeight="1"/>
    <row r="24685" customFormat="1" ht="17.25" customHeight="1"/>
    <row r="24686" customFormat="1" ht="17.25" customHeight="1"/>
    <row r="24687" customFormat="1" ht="17.25" customHeight="1"/>
    <row r="24688" customFormat="1" ht="17.25" customHeight="1"/>
    <row r="24689" customFormat="1" ht="17.25" customHeight="1"/>
    <row r="24690" customFormat="1" ht="17.25" customHeight="1"/>
    <row r="24691" customFormat="1" ht="17.25" customHeight="1"/>
    <row r="24692" customFormat="1" ht="17.25" customHeight="1"/>
    <row r="24693" customFormat="1" ht="17.25" customHeight="1"/>
    <row r="24694" customFormat="1" ht="17.25" customHeight="1"/>
    <row r="24695" customFormat="1" ht="17.25" customHeight="1"/>
    <row r="24696" customFormat="1" ht="17.25" customHeight="1"/>
    <row r="24697" customFormat="1" ht="17.25" customHeight="1"/>
    <row r="24698" customFormat="1" ht="17.25" customHeight="1"/>
    <row r="24699" customFormat="1" ht="17.25" customHeight="1"/>
    <row r="24700" customFormat="1" ht="17.25" customHeight="1"/>
    <row r="24701" customFormat="1" ht="17.25" customHeight="1"/>
    <row r="24702" customFormat="1" ht="17.25" customHeight="1"/>
    <row r="24703" customFormat="1" ht="17.25" customHeight="1"/>
    <row r="24704" customFormat="1" ht="17.25" customHeight="1"/>
    <row r="24705" customFormat="1" ht="17.25" customHeight="1"/>
    <row r="24706" customFormat="1" ht="17.25" customHeight="1"/>
    <row r="24707" customFormat="1" ht="17.25" customHeight="1"/>
    <row r="24708" customFormat="1" ht="17.25" customHeight="1"/>
    <row r="24709" customFormat="1" ht="17.25" customHeight="1"/>
    <row r="24710" customFormat="1" ht="17.25" customHeight="1"/>
    <row r="24711" customFormat="1" ht="17.25" customHeight="1"/>
    <row r="24712" customFormat="1" ht="17.25" customHeight="1"/>
    <row r="24713" customFormat="1" ht="17.25" customHeight="1"/>
    <row r="24714" customFormat="1" ht="17.25" customHeight="1"/>
    <row r="24715" customFormat="1" ht="17.25" customHeight="1"/>
    <row r="24716" customFormat="1" ht="17.25" customHeight="1"/>
    <row r="24717" customFormat="1" ht="17.25" customHeight="1"/>
    <row r="24718" customFormat="1" ht="17.25" customHeight="1"/>
    <row r="24719" customFormat="1" ht="17.25" customHeight="1"/>
    <row r="24720" customFormat="1" ht="17.25" customHeight="1"/>
    <row r="24721" customFormat="1" ht="17.25" customHeight="1"/>
    <row r="24722" customFormat="1" ht="17.25" customHeight="1"/>
    <row r="24723" customFormat="1" ht="17.25" customHeight="1"/>
    <row r="24724" customFormat="1" ht="17.25" customHeight="1"/>
    <row r="24725" customFormat="1" ht="17.25" customHeight="1"/>
    <row r="24726" customFormat="1" ht="17.25" customHeight="1"/>
    <row r="24727" customFormat="1" ht="17.25" customHeight="1"/>
    <row r="24728" customFormat="1" ht="17.25" customHeight="1"/>
    <row r="24729" customFormat="1" ht="17.25" customHeight="1"/>
    <row r="24730" customFormat="1" ht="17.25" customHeight="1"/>
    <row r="24731" customFormat="1" ht="17.25" customHeight="1"/>
    <row r="24732" customFormat="1" ht="17.25" customHeight="1"/>
    <row r="24733" customFormat="1" ht="17.25" customHeight="1"/>
    <row r="24734" customFormat="1" ht="17.25" customHeight="1"/>
    <row r="24735" customFormat="1" ht="17.25" customHeight="1"/>
    <row r="24736" customFormat="1" ht="17.25" customHeight="1"/>
    <row r="24737" customFormat="1" ht="17.25" customHeight="1"/>
    <row r="24738" customFormat="1" ht="17.25" customHeight="1"/>
    <row r="24739" customFormat="1" ht="17.25" customHeight="1"/>
    <row r="24740" customFormat="1" ht="17.25" customHeight="1"/>
    <row r="24741" customFormat="1" ht="17.25" customHeight="1"/>
    <row r="24742" customFormat="1" ht="17.25" customHeight="1"/>
    <row r="24743" customFormat="1" ht="17.25" customHeight="1"/>
    <row r="24744" customFormat="1" ht="17.25" customHeight="1"/>
    <row r="24745" customFormat="1" ht="17.25" customHeight="1"/>
    <row r="24746" customFormat="1" ht="17.25" customHeight="1"/>
    <row r="24747" customFormat="1" ht="17.25" customHeight="1"/>
    <row r="24748" customFormat="1" ht="17.25" customHeight="1"/>
    <row r="24749" customFormat="1" ht="17.25" customHeight="1"/>
    <row r="24750" customFormat="1" ht="17.25" customHeight="1"/>
    <row r="24751" customFormat="1" ht="17.25" customHeight="1"/>
    <row r="24752" customFormat="1" ht="17.25" customHeight="1"/>
    <row r="24753" customFormat="1" ht="17.25" customHeight="1"/>
    <row r="24754" customFormat="1" ht="17.25" customHeight="1"/>
    <row r="24755" customFormat="1" ht="17.25" customHeight="1"/>
    <row r="24756" customFormat="1" ht="17.25" customHeight="1"/>
    <row r="24757" customFormat="1" ht="17.25" customHeight="1"/>
    <row r="24758" customFormat="1" ht="17.25" customHeight="1"/>
    <row r="24759" customFormat="1" ht="17.25" customHeight="1"/>
    <row r="24760" customFormat="1" ht="17.25" customHeight="1"/>
    <row r="24761" customFormat="1" ht="17.25" customHeight="1"/>
    <row r="24762" customFormat="1" ht="17.25" customHeight="1"/>
    <row r="24763" customFormat="1" ht="17.25" customHeight="1"/>
    <row r="24764" customFormat="1" ht="17.25" customHeight="1"/>
    <row r="24765" customFormat="1" ht="17.25" customHeight="1"/>
    <row r="24766" customFormat="1" ht="17.25" customHeight="1"/>
    <row r="24767" customFormat="1" ht="17.25" customHeight="1"/>
    <row r="24768" customFormat="1" ht="17.25" customHeight="1"/>
    <row r="24769" customFormat="1" ht="17.25" customHeight="1"/>
    <row r="24770" customFormat="1" ht="17.25" customHeight="1"/>
    <row r="24771" customFormat="1" ht="17.25" customHeight="1"/>
    <row r="24772" customFormat="1" ht="17.25" customHeight="1"/>
    <row r="24773" customFormat="1" ht="17.25" customHeight="1"/>
    <row r="24774" customFormat="1" ht="17.25" customHeight="1"/>
    <row r="24775" customFormat="1" ht="17.25" customHeight="1"/>
    <row r="24776" customFormat="1" ht="17.25" customHeight="1"/>
    <row r="24777" customFormat="1" ht="17.25" customHeight="1"/>
    <row r="24778" customFormat="1" ht="17.25" customHeight="1"/>
    <row r="24779" customFormat="1" ht="17.25" customHeight="1"/>
    <row r="24780" customFormat="1" ht="17.25" customHeight="1"/>
    <row r="24781" customFormat="1" ht="17.25" customHeight="1"/>
    <row r="24782" customFormat="1" ht="17.25" customHeight="1"/>
    <row r="24783" customFormat="1" ht="17.25" customHeight="1"/>
    <row r="24784" customFormat="1" ht="17.25" customHeight="1"/>
    <row r="24785" customFormat="1" ht="17.25" customHeight="1"/>
    <row r="24786" customFormat="1" ht="17.25" customHeight="1"/>
    <row r="24787" customFormat="1" ht="17.25" customHeight="1"/>
    <row r="24788" customFormat="1" ht="17.25" customHeight="1"/>
    <row r="24789" customFormat="1" ht="17.25" customHeight="1"/>
    <row r="24790" customFormat="1" ht="17.25" customHeight="1"/>
    <row r="24791" customFormat="1" ht="17.25" customHeight="1"/>
    <row r="24792" customFormat="1" ht="17.25" customHeight="1"/>
    <row r="24793" customFormat="1" ht="17.25" customHeight="1"/>
    <row r="24794" customFormat="1" ht="17.25" customHeight="1"/>
    <row r="24795" customFormat="1" ht="17.25" customHeight="1"/>
    <row r="24796" customFormat="1" ht="17.25" customHeight="1"/>
    <row r="24797" customFormat="1" ht="17.25" customHeight="1"/>
    <row r="24798" customFormat="1" ht="17.25" customHeight="1"/>
    <row r="24799" customFormat="1" ht="17.25" customHeight="1"/>
    <row r="24800" customFormat="1" ht="17.25" customHeight="1"/>
    <row r="24801" customFormat="1" ht="17.25" customHeight="1"/>
    <row r="24802" customFormat="1" ht="17.25" customHeight="1"/>
    <row r="24803" customFormat="1" ht="17.25" customHeight="1"/>
    <row r="24804" customFormat="1" ht="17.25" customHeight="1"/>
    <row r="24805" customFormat="1" ht="17.25" customHeight="1"/>
    <row r="24806" customFormat="1" ht="17.25" customHeight="1"/>
    <row r="24807" customFormat="1" ht="17.25" customHeight="1"/>
    <row r="24808" customFormat="1" ht="17.25" customHeight="1"/>
    <row r="24809" customFormat="1" ht="17.25" customHeight="1"/>
    <row r="24810" customFormat="1" ht="17.25" customHeight="1"/>
    <row r="24811" customFormat="1" ht="17.25" customHeight="1"/>
    <row r="24812" customFormat="1" ht="17.25" customHeight="1"/>
    <row r="24813" customFormat="1" ht="17.25" customHeight="1"/>
    <row r="24814" customFormat="1" ht="17.25" customHeight="1"/>
    <row r="24815" customFormat="1" ht="17.25" customHeight="1"/>
    <row r="24816" customFormat="1" ht="17.25" customHeight="1"/>
    <row r="24817" customFormat="1" ht="17.25" customHeight="1"/>
    <row r="24818" customFormat="1" ht="17.25" customHeight="1"/>
    <row r="24819" customFormat="1" ht="17.25" customHeight="1"/>
    <row r="24820" customFormat="1" ht="17.25" customHeight="1"/>
    <row r="24821" customFormat="1" ht="17.25" customHeight="1"/>
    <row r="24822" customFormat="1" ht="17.25" customHeight="1"/>
    <row r="24823" customFormat="1" ht="17.25" customHeight="1"/>
    <row r="24824" customFormat="1" ht="17.25" customHeight="1"/>
    <row r="24825" customFormat="1" ht="17.25" customHeight="1"/>
    <row r="24826" customFormat="1" ht="17.25" customHeight="1"/>
    <row r="24827" customFormat="1" ht="17.25" customHeight="1"/>
    <row r="24828" customFormat="1" ht="17.25" customHeight="1"/>
    <row r="24829" customFormat="1" ht="17.25" customHeight="1"/>
    <row r="24830" customFormat="1" ht="17.25" customHeight="1"/>
    <row r="24831" customFormat="1" ht="17.25" customHeight="1"/>
    <row r="24832" customFormat="1" ht="17.25" customHeight="1"/>
    <row r="24833" customFormat="1" ht="17.25" customHeight="1"/>
    <row r="24834" customFormat="1" ht="17.25" customHeight="1"/>
    <row r="24835" customFormat="1" ht="17.25" customHeight="1"/>
    <row r="24836" customFormat="1" ht="17.25" customHeight="1"/>
    <row r="24837" customFormat="1" ht="17.25" customHeight="1"/>
    <row r="24838" customFormat="1" ht="17.25" customHeight="1"/>
    <row r="24839" customFormat="1" ht="17.25" customHeight="1"/>
    <row r="24840" customFormat="1" ht="17.25" customHeight="1"/>
    <row r="24841" customFormat="1" ht="17.25" customHeight="1"/>
    <row r="24842" customFormat="1" ht="17.25" customHeight="1"/>
    <row r="24843" customFormat="1" ht="17.25" customHeight="1"/>
    <row r="24844" customFormat="1" ht="17.25" customHeight="1"/>
    <row r="24845" customFormat="1" ht="17.25" customHeight="1"/>
    <row r="24846" customFormat="1" ht="17.25" customHeight="1"/>
    <row r="24847" customFormat="1" ht="17.25" customHeight="1"/>
    <row r="24848" customFormat="1" ht="17.25" customHeight="1"/>
    <row r="24849" customFormat="1" ht="17.25" customHeight="1"/>
    <row r="24850" customFormat="1" ht="17.25" customHeight="1"/>
    <row r="24851" customFormat="1" ht="17.25" customHeight="1"/>
    <row r="24852" customFormat="1" ht="17.25" customHeight="1"/>
    <row r="24853" customFormat="1" ht="17.25" customHeight="1"/>
    <row r="24854" customFormat="1" ht="17.25" customHeight="1"/>
    <row r="24855" customFormat="1" ht="17.25" customHeight="1"/>
    <row r="24856" customFormat="1" ht="17.25" customHeight="1"/>
    <row r="24857" customFormat="1" ht="17.25" customHeight="1"/>
    <row r="24858" customFormat="1" ht="17.25" customHeight="1"/>
    <row r="24859" customFormat="1" ht="17.25" customHeight="1"/>
    <row r="24860" customFormat="1" ht="17.25" customHeight="1"/>
    <row r="24861" customFormat="1" ht="17.25" customHeight="1"/>
    <row r="24862" customFormat="1" ht="17.25" customHeight="1"/>
    <row r="24863" customFormat="1" ht="17.25" customHeight="1"/>
    <row r="24864" customFormat="1" ht="17.25" customHeight="1"/>
    <row r="24865" customFormat="1" ht="17.25" customHeight="1"/>
    <row r="24866" customFormat="1" ht="17.25" customHeight="1"/>
    <row r="24867" customFormat="1" ht="17.25" customHeight="1"/>
    <row r="24868" customFormat="1" ht="17.25" customHeight="1"/>
    <row r="24869" customFormat="1" ht="17.25" customHeight="1"/>
    <row r="24870" customFormat="1" ht="17.25" customHeight="1"/>
    <row r="24871" customFormat="1" ht="17.25" customHeight="1"/>
    <row r="24872" customFormat="1" ht="17.25" customHeight="1"/>
    <row r="24873" customFormat="1" ht="17.25" customHeight="1"/>
    <row r="24874" customFormat="1" ht="17.25" customHeight="1"/>
    <row r="24875" customFormat="1" ht="17.25" customHeight="1"/>
    <row r="24876" customFormat="1" ht="17.25" customHeight="1"/>
    <row r="24877" customFormat="1" ht="17.25" customHeight="1"/>
    <row r="24878" customFormat="1" ht="17.25" customHeight="1"/>
    <row r="24879" customFormat="1" ht="17.25" customHeight="1"/>
    <row r="24880" customFormat="1" ht="17.25" customHeight="1"/>
    <row r="24881" customFormat="1" ht="17.25" customHeight="1"/>
    <row r="24882" customFormat="1" ht="17.25" customHeight="1"/>
    <row r="24883" customFormat="1" ht="17.25" customHeight="1"/>
    <row r="24884" customFormat="1" ht="17.25" customHeight="1"/>
    <row r="24885" customFormat="1" ht="17.25" customHeight="1"/>
    <row r="24886" customFormat="1" ht="17.25" customHeight="1"/>
    <row r="24887" customFormat="1" ht="17.25" customHeight="1"/>
    <row r="24888" customFormat="1" ht="17.25" customHeight="1"/>
    <row r="24889" customFormat="1" ht="17.25" customHeight="1"/>
    <row r="24890" customFormat="1" ht="17.25" customHeight="1"/>
    <row r="24891" customFormat="1" ht="17.25" customHeight="1"/>
    <row r="24892" customFormat="1" ht="17.25" customHeight="1"/>
    <row r="24893" customFormat="1" ht="17.25" customHeight="1"/>
    <row r="24894" customFormat="1" ht="17.25" customHeight="1"/>
    <row r="24895" customFormat="1" ht="17.25" customHeight="1"/>
    <row r="24896" customFormat="1" ht="17.25" customHeight="1"/>
    <row r="24897" customFormat="1" ht="17.25" customHeight="1"/>
    <row r="24898" customFormat="1" ht="17.25" customHeight="1"/>
    <row r="24899" customFormat="1" ht="17.25" customHeight="1"/>
    <row r="24900" customFormat="1" ht="17.25" customHeight="1"/>
    <row r="24901" customFormat="1" ht="17.25" customHeight="1"/>
    <row r="24902" customFormat="1" ht="17.25" customHeight="1"/>
    <row r="24903" customFormat="1" ht="17.25" customHeight="1"/>
    <row r="24904" customFormat="1" ht="17.25" customHeight="1"/>
    <row r="24905" customFormat="1" ht="17.25" customHeight="1"/>
    <row r="24906" customFormat="1" ht="17.25" customHeight="1"/>
    <row r="24907" customFormat="1" ht="17.25" customHeight="1"/>
    <row r="24908" customFormat="1" ht="17.25" customHeight="1"/>
    <row r="24909" customFormat="1" ht="17.25" customHeight="1"/>
    <row r="24910" customFormat="1" ht="17.25" customHeight="1"/>
    <row r="24911" customFormat="1" ht="17.25" customHeight="1"/>
    <row r="24912" customFormat="1" ht="17.25" customHeight="1"/>
    <row r="24913" customFormat="1" ht="17.25" customHeight="1"/>
    <row r="24914" customFormat="1" ht="17.25" customHeight="1"/>
    <row r="24915" customFormat="1" ht="17.25" customHeight="1"/>
    <row r="24916" customFormat="1" ht="17.25" customHeight="1"/>
    <row r="24917" customFormat="1" ht="17.25" customHeight="1"/>
    <row r="24918" customFormat="1" ht="17.25" customHeight="1"/>
    <row r="24919" customFormat="1" ht="17.25" customHeight="1"/>
    <row r="24920" customFormat="1" ht="17.25" customHeight="1"/>
    <row r="24921" customFormat="1" ht="17.25" customHeight="1"/>
    <row r="24922" customFormat="1" ht="17.25" customHeight="1"/>
    <row r="24923" customFormat="1" ht="17.25" customHeight="1"/>
    <row r="24924" customFormat="1" ht="17.25" customHeight="1"/>
    <row r="24925" customFormat="1" ht="17.25" customHeight="1"/>
    <row r="24926" customFormat="1" ht="17.25" customHeight="1"/>
    <row r="24927" customFormat="1" ht="17.25" customHeight="1"/>
    <row r="24928" customFormat="1" ht="17.25" customHeight="1"/>
    <row r="24929" customFormat="1" ht="17.25" customHeight="1"/>
    <row r="24930" customFormat="1" ht="17.25" customHeight="1"/>
    <row r="24931" customFormat="1" ht="17.25" customHeight="1"/>
    <row r="24932" customFormat="1" ht="17.25" customHeight="1"/>
    <row r="24933" customFormat="1" ht="17.25" customHeight="1"/>
    <row r="24934" customFormat="1" ht="17.25" customHeight="1"/>
    <row r="24935" customFormat="1" ht="17.25" customHeight="1"/>
    <row r="24936" customFormat="1" ht="17.25" customHeight="1"/>
    <row r="24937" customFormat="1" ht="17.25" customHeight="1"/>
    <row r="24938" customFormat="1" ht="17.25" customHeight="1"/>
    <row r="24939" customFormat="1" ht="17.25" customHeight="1"/>
    <row r="24940" customFormat="1" ht="17.25" customHeight="1"/>
    <row r="24941" customFormat="1" ht="17.25" customHeight="1"/>
    <row r="24942" customFormat="1" ht="17.25" customHeight="1"/>
    <row r="24943" customFormat="1" ht="17.25" customHeight="1"/>
    <row r="24944" customFormat="1" ht="17.25" customHeight="1"/>
    <row r="24945" customFormat="1" ht="17.25" customHeight="1"/>
    <row r="24946" customFormat="1" ht="17.25" customHeight="1"/>
    <row r="24947" customFormat="1" ht="17.25" customHeight="1"/>
    <row r="24948" customFormat="1" ht="17.25" customHeight="1"/>
    <row r="24949" customFormat="1" ht="17.25" customHeight="1"/>
    <row r="24950" customFormat="1" ht="17.25" customHeight="1"/>
    <row r="24951" customFormat="1" ht="17.25" customHeight="1"/>
    <row r="24952" customFormat="1" ht="17.25" customHeight="1"/>
    <row r="24953" customFormat="1" ht="17.25" customHeight="1"/>
    <row r="24954" customFormat="1" ht="17.25" customHeight="1"/>
    <row r="24955" customFormat="1" ht="17.25" customHeight="1"/>
    <row r="24956" customFormat="1" ht="17.25" customHeight="1"/>
    <row r="24957" customFormat="1" ht="17.25" customHeight="1"/>
    <row r="24958" customFormat="1" ht="17.25" customHeight="1"/>
    <row r="24959" customFormat="1" ht="17.25" customHeight="1"/>
    <row r="24960" customFormat="1" ht="17.25" customHeight="1"/>
    <row r="24961" customFormat="1" ht="17.25" customHeight="1"/>
    <row r="24962" customFormat="1" ht="17.25" customHeight="1"/>
    <row r="24963" customFormat="1" ht="17.25" customHeight="1"/>
    <row r="24964" customFormat="1" ht="17.25" customHeight="1"/>
    <row r="24965" customFormat="1" ht="17.25" customHeight="1"/>
    <row r="24966" customFormat="1" ht="17.25" customHeight="1"/>
    <row r="24967" customFormat="1" ht="17.25" customHeight="1"/>
    <row r="24968" customFormat="1" ht="17.25" customHeight="1"/>
    <row r="24969" customFormat="1" ht="17.25" customHeight="1"/>
    <row r="24970" customFormat="1" ht="17.25" customHeight="1"/>
    <row r="24971" customFormat="1" ht="17.25" customHeight="1"/>
    <row r="24972" customFormat="1" ht="17.25" customHeight="1"/>
    <row r="24973" customFormat="1" ht="17.25" customHeight="1"/>
    <row r="24974" customFormat="1" ht="17.25" customHeight="1"/>
    <row r="24975" customFormat="1" ht="17.25" customHeight="1"/>
    <row r="24976" customFormat="1" ht="17.25" customHeight="1"/>
    <row r="24977" customFormat="1" ht="17.25" customHeight="1"/>
    <row r="24978" customFormat="1" ht="17.25" customHeight="1"/>
    <row r="24979" customFormat="1" ht="17.25" customHeight="1"/>
    <row r="24980" customFormat="1" ht="17.25" customHeight="1"/>
    <row r="24981" customFormat="1" ht="17.25" customHeight="1"/>
    <row r="24982" customFormat="1" ht="17.25" customHeight="1"/>
    <row r="24983" customFormat="1" ht="17.25" customHeight="1"/>
    <row r="24984" customFormat="1" ht="17.25" customHeight="1"/>
    <row r="24985" customFormat="1" ht="17.25" customHeight="1"/>
    <row r="24986" customFormat="1" ht="17.25" customHeight="1"/>
    <row r="24987" customFormat="1" ht="17.25" customHeight="1"/>
    <row r="24988" customFormat="1" ht="17.25" customHeight="1"/>
    <row r="24989" customFormat="1" ht="17.25" customHeight="1"/>
    <row r="24990" customFormat="1" ht="17.25" customHeight="1"/>
    <row r="24991" customFormat="1" ht="17.25" customHeight="1"/>
    <row r="24992" customFormat="1" ht="17.25" customHeight="1"/>
    <row r="24993" customFormat="1" ht="17.25" customHeight="1"/>
    <row r="24994" customFormat="1" ht="17.25" customHeight="1"/>
    <row r="24995" customFormat="1" ht="17.25" customHeight="1"/>
    <row r="24996" customFormat="1" ht="17.25" customHeight="1"/>
    <row r="24997" customFormat="1" ht="17.25" customHeight="1"/>
    <row r="24998" customFormat="1" ht="17.25" customHeight="1"/>
    <row r="24999" customFormat="1" ht="17.25" customHeight="1"/>
    <row r="25000" customFormat="1" ht="17.25" customHeight="1"/>
    <row r="25001" customFormat="1" ht="17.25" customHeight="1"/>
    <row r="25002" customFormat="1" ht="17.25" customHeight="1"/>
    <row r="25003" customFormat="1" ht="17.25" customHeight="1"/>
    <row r="25004" customFormat="1" ht="17.25" customHeight="1"/>
    <row r="25005" customFormat="1" ht="17.25" customHeight="1"/>
    <row r="25006" customFormat="1" ht="17.25" customHeight="1"/>
    <row r="25007" customFormat="1" ht="17.25" customHeight="1"/>
    <row r="25008" customFormat="1" ht="17.25" customHeight="1"/>
    <row r="25009" customFormat="1" ht="17.25" customHeight="1"/>
    <row r="25010" customFormat="1" ht="17.25" customHeight="1"/>
    <row r="25011" customFormat="1" ht="17.25" customHeight="1"/>
    <row r="25012" customFormat="1" ht="17.25" customHeight="1"/>
    <row r="25013" customFormat="1" ht="17.25" customHeight="1"/>
    <row r="25014" customFormat="1" ht="17.25" customHeight="1"/>
    <row r="25015" customFormat="1" ht="17.25" customHeight="1"/>
    <row r="25016" customFormat="1" ht="17.25" customHeight="1"/>
    <row r="25017" customFormat="1" ht="17.25" customHeight="1"/>
    <row r="25018" customFormat="1" ht="17.25" customHeight="1"/>
    <row r="25019" customFormat="1" ht="17.25" customHeight="1"/>
    <row r="25020" customFormat="1" ht="17.25" customHeight="1"/>
    <row r="25021" customFormat="1" ht="17.25" customHeight="1"/>
    <row r="25022" customFormat="1" ht="17.25" customHeight="1"/>
    <row r="25023" customFormat="1" ht="17.25" customHeight="1"/>
    <row r="25024" customFormat="1" ht="17.25" customHeight="1"/>
    <row r="25025" customFormat="1" ht="17.25" customHeight="1"/>
    <row r="25026" customFormat="1" ht="17.25" customHeight="1"/>
    <row r="25027" customFormat="1" ht="17.25" customHeight="1"/>
    <row r="25028" customFormat="1" ht="17.25" customHeight="1"/>
    <row r="25029" customFormat="1" ht="17.25" customHeight="1"/>
    <row r="25030" customFormat="1" ht="17.25" customHeight="1"/>
    <row r="25031" customFormat="1" ht="17.25" customHeight="1"/>
    <row r="25032" customFormat="1" ht="17.25" customHeight="1"/>
    <row r="25033" customFormat="1" ht="17.25" customHeight="1"/>
    <row r="25034" customFormat="1" ht="17.25" customHeight="1"/>
    <row r="25035" customFormat="1" ht="17.25" customHeight="1"/>
    <row r="25036" customFormat="1" ht="17.25" customHeight="1"/>
    <row r="25037" customFormat="1" ht="17.25" customHeight="1"/>
    <row r="25038" customFormat="1" ht="17.25" customHeight="1"/>
    <row r="25039" customFormat="1" ht="17.25" customHeight="1"/>
    <row r="25040" customFormat="1" ht="17.25" customHeight="1"/>
    <row r="25041" customFormat="1" ht="17.25" customHeight="1"/>
    <row r="25042" customFormat="1" ht="17.25" customHeight="1"/>
    <row r="25043" customFormat="1" ht="17.25" customHeight="1"/>
    <row r="25044" customFormat="1" ht="17.25" customHeight="1"/>
    <row r="25045" customFormat="1" ht="17.25" customHeight="1"/>
    <row r="25046" customFormat="1" ht="17.25" customHeight="1"/>
    <row r="25047" customFormat="1" ht="17.25" customHeight="1"/>
    <row r="25048" customFormat="1" ht="17.25" customHeight="1"/>
    <row r="25049" customFormat="1" ht="17.25" customHeight="1"/>
    <row r="25050" customFormat="1" ht="17.25" customHeight="1"/>
    <row r="25051" customFormat="1" ht="17.25" customHeight="1"/>
    <row r="25052" customFormat="1" ht="17.25" customHeight="1"/>
    <row r="25053" customFormat="1" ht="17.25" customHeight="1"/>
    <row r="25054" customFormat="1" ht="17.25" customHeight="1"/>
    <row r="25055" customFormat="1" ht="17.25" customHeight="1"/>
    <row r="25056" customFormat="1" ht="17.25" customHeight="1"/>
    <row r="25057" customFormat="1" ht="17.25" customHeight="1"/>
    <row r="25058" customFormat="1" ht="17.25" customHeight="1"/>
    <row r="25059" customFormat="1" ht="17.25" customHeight="1"/>
    <row r="25060" customFormat="1" ht="17.25" customHeight="1"/>
    <row r="25061" customFormat="1" ht="17.25" customHeight="1"/>
    <row r="25062" customFormat="1" ht="17.25" customHeight="1"/>
    <row r="25063" customFormat="1" ht="17.25" customHeight="1"/>
    <row r="25064" customFormat="1" ht="17.25" customHeight="1"/>
    <row r="25065" customFormat="1" ht="17.25" customHeight="1"/>
    <row r="25066" customFormat="1" ht="17.25" customHeight="1"/>
    <row r="25067" customFormat="1" ht="17.25" customHeight="1"/>
    <row r="25068" customFormat="1" ht="17.25" customHeight="1"/>
    <row r="25069" customFormat="1" ht="17.25" customHeight="1"/>
    <row r="25070" customFormat="1" ht="17.25" customHeight="1"/>
    <row r="25071" customFormat="1" ht="17.25" customHeight="1"/>
    <row r="25072" customFormat="1" ht="17.25" customHeight="1"/>
    <row r="25073" customFormat="1" ht="17.25" customHeight="1"/>
    <row r="25074" customFormat="1" ht="17.25" customHeight="1"/>
    <row r="25075" customFormat="1" ht="17.25" customHeight="1"/>
    <row r="25076" customFormat="1" ht="17.25" customHeight="1"/>
    <row r="25077" customFormat="1" ht="17.25" customHeight="1"/>
    <row r="25078" customFormat="1" ht="17.25" customHeight="1"/>
    <row r="25079" customFormat="1" ht="17.25" customHeight="1"/>
    <row r="25080" customFormat="1" ht="17.25" customHeight="1"/>
    <row r="25081" customFormat="1" ht="17.25" customHeight="1"/>
    <row r="25082" customFormat="1" ht="17.25" customHeight="1"/>
    <row r="25083" customFormat="1" ht="17.25" customHeight="1"/>
    <row r="25084" customFormat="1" ht="17.25" customHeight="1"/>
    <row r="25085" customFormat="1" ht="17.25" customHeight="1"/>
    <row r="25086" customFormat="1" ht="17.25" customHeight="1"/>
    <row r="25087" customFormat="1" ht="17.25" customHeight="1"/>
    <row r="25088" customFormat="1" ht="17.25" customHeight="1"/>
    <row r="25089" customFormat="1" ht="17.25" customHeight="1"/>
    <row r="25090" customFormat="1" ht="17.25" customHeight="1"/>
    <row r="25091" customFormat="1" ht="17.25" customHeight="1"/>
    <row r="25092" customFormat="1" ht="17.25" customHeight="1"/>
    <row r="25093" customFormat="1" ht="17.25" customHeight="1"/>
    <row r="25094" customFormat="1" ht="17.25" customHeight="1"/>
    <row r="25095" customFormat="1" ht="17.25" customHeight="1"/>
    <row r="25096" customFormat="1" ht="17.25" customHeight="1"/>
    <row r="25097" customFormat="1" ht="17.25" customHeight="1"/>
    <row r="25098" customFormat="1" ht="17.25" customHeight="1"/>
    <row r="25099" customFormat="1" ht="17.25" customHeight="1"/>
    <row r="25100" customFormat="1" ht="17.25" customHeight="1"/>
    <row r="25101" customFormat="1" ht="17.25" customHeight="1"/>
    <row r="25102" customFormat="1" ht="17.25" customHeight="1"/>
    <row r="25103" customFormat="1" ht="17.25" customHeight="1"/>
    <row r="25104" customFormat="1" ht="17.25" customHeight="1"/>
    <row r="25105" customFormat="1" ht="17.25" customHeight="1"/>
    <row r="25106" customFormat="1" ht="17.25" customHeight="1"/>
    <row r="25107" customFormat="1" ht="17.25" customHeight="1"/>
    <row r="25108" customFormat="1" ht="17.25" customHeight="1"/>
    <row r="25109" customFormat="1" ht="17.25" customHeight="1"/>
    <row r="25110" customFormat="1" ht="17.25" customHeight="1"/>
    <row r="25111" customFormat="1" ht="17.25" customHeight="1"/>
    <row r="25112" customFormat="1" ht="17.25" customHeight="1"/>
    <row r="25113" customFormat="1" ht="17.25" customHeight="1"/>
    <row r="25114" customFormat="1" ht="17.25" customHeight="1"/>
    <row r="25115" customFormat="1" ht="17.25" customHeight="1"/>
    <row r="25116" customFormat="1" ht="17.25" customHeight="1"/>
    <row r="25117" customFormat="1" ht="17.25" customHeight="1"/>
    <row r="25118" customFormat="1" ht="17.25" customHeight="1"/>
    <row r="25119" customFormat="1" ht="17.25" customHeight="1"/>
    <row r="25120" customFormat="1" ht="17.25" customHeight="1"/>
    <row r="25121" customFormat="1" ht="17.25" customHeight="1"/>
    <row r="25122" customFormat="1" ht="17.25" customHeight="1"/>
    <row r="25123" customFormat="1" ht="17.25" customHeight="1"/>
    <row r="25124" customFormat="1" ht="17.25" customHeight="1"/>
    <row r="25125" customFormat="1" ht="17.25" customHeight="1"/>
    <row r="25126" customFormat="1" ht="17.25" customHeight="1"/>
    <row r="25127" customFormat="1" ht="17.25" customHeight="1"/>
    <row r="25128" customFormat="1" ht="17.25" customHeight="1"/>
    <row r="25129" customFormat="1" ht="17.25" customHeight="1"/>
    <row r="25130" customFormat="1" ht="17.25" customHeight="1"/>
    <row r="25131" customFormat="1" ht="17.25" customHeight="1"/>
    <row r="25132" customFormat="1" ht="17.25" customHeight="1"/>
    <row r="25133" customFormat="1" ht="17.25" customHeight="1"/>
    <row r="25134" customFormat="1" ht="17.25" customHeight="1"/>
    <row r="25135" customFormat="1" ht="17.25" customHeight="1"/>
    <row r="25136" customFormat="1" ht="17.25" customHeight="1"/>
    <row r="25137" customFormat="1" ht="17.25" customHeight="1"/>
    <row r="25138" customFormat="1" ht="17.25" customHeight="1"/>
    <row r="25139" customFormat="1" ht="17.25" customHeight="1"/>
    <row r="25140" customFormat="1" ht="17.25" customHeight="1"/>
    <row r="25141" customFormat="1" ht="17.25" customHeight="1"/>
    <row r="25142" customFormat="1" ht="17.25" customHeight="1"/>
    <row r="25143" customFormat="1" ht="17.25" customHeight="1"/>
    <row r="25144" customFormat="1" ht="17.25" customHeight="1"/>
    <row r="25145" customFormat="1" ht="17.25" customHeight="1"/>
    <row r="25146" customFormat="1" ht="17.25" customHeight="1"/>
    <row r="25147" customFormat="1" ht="17.25" customHeight="1"/>
    <row r="25148" customFormat="1" ht="17.25" customHeight="1"/>
    <row r="25149" customFormat="1" ht="17.25" customHeight="1"/>
    <row r="25150" customFormat="1" ht="17.25" customHeight="1"/>
    <row r="25151" customFormat="1" ht="17.25" customHeight="1"/>
    <row r="25152" customFormat="1" ht="17.25" customHeight="1"/>
    <row r="25153" customFormat="1" ht="17.25" customHeight="1"/>
    <row r="25154" customFormat="1" ht="17.25" customHeight="1"/>
    <row r="25155" customFormat="1" ht="17.25" customHeight="1"/>
    <row r="25156" customFormat="1" ht="17.25" customHeight="1"/>
    <row r="25157" customFormat="1" ht="17.25" customHeight="1"/>
    <row r="25158" customFormat="1" ht="17.25" customHeight="1"/>
    <row r="25159" customFormat="1" ht="17.25" customHeight="1"/>
    <row r="25160" customFormat="1" ht="17.25" customHeight="1"/>
    <row r="25161" customFormat="1" ht="17.25" customHeight="1"/>
    <row r="25162" customFormat="1" ht="17.25" customHeight="1"/>
    <row r="25163" customFormat="1" ht="17.25" customHeight="1"/>
    <row r="25164" customFormat="1" ht="17.25" customHeight="1"/>
    <row r="25165" customFormat="1" ht="17.25" customHeight="1"/>
    <row r="25166" customFormat="1" ht="17.25" customHeight="1"/>
    <row r="25167" customFormat="1" ht="17.25" customHeight="1"/>
    <row r="25168" customFormat="1" ht="17.25" customHeight="1"/>
    <row r="25169" customFormat="1" ht="17.25" customHeight="1"/>
    <row r="25170" customFormat="1" ht="17.25" customHeight="1"/>
    <row r="25171" customFormat="1" ht="17.25" customHeight="1"/>
    <row r="25172" customFormat="1" ht="17.25" customHeight="1"/>
    <row r="25173" customFormat="1" ht="17.25" customHeight="1"/>
    <row r="25174" customFormat="1" ht="17.25" customHeight="1"/>
    <row r="25175" customFormat="1" ht="17.25" customHeight="1"/>
    <row r="25176" customFormat="1" ht="17.25" customHeight="1"/>
    <row r="25177" customFormat="1" ht="17.25" customHeight="1"/>
    <row r="25178" customFormat="1" ht="17.25" customHeight="1"/>
    <row r="25179" customFormat="1" ht="17.25" customHeight="1"/>
    <row r="25180" customFormat="1" ht="17.25" customHeight="1"/>
    <row r="25181" customFormat="1" ht="17.25" customHeight="1"/>
    <row r="25182" customFormat="1" ht="17.25" customHeight="1"/>
    <row r="25183" customFormat="1" ht="17.25" customHeight="1"/>
    <row r="25184" customFormat="1" ht="17.25" customHeight="1"/>
    <row r="25185" customFormat="1" ht="17.25" customHeight="1"/>
    <row r="25186" customFormat="1" ht="17.25" customHeight="1"/>
    <row r="25187" customFormat="1" ht="17.25" customHeight="1"/>
    <row r="25188" customFormat="1" ht="17.25" customHeight="1"/>
    <row r="25189" customFormat="1" ht="17.25" customHeight="1"/>
    <row r="25190" customFormat="1" ht="17.25" customHeight="1"/>
    <row r="25191" customFormat="1" ht="17.25" customHeight="1"/>
    <row r="25192" customFormat="1" ht="17.25" customHeight="1"/>
    <row r="25193" customFormat="1" ht="17.25" customHeight="1"/>
    <row r="25194" customFormat="1" ht="17.25" customHeight="1"/>
    <row r="25195" customFormat="1" ht="17.25" customHeight="1"/>
    <row r="25196" customFormat="1" ht="17.25" customHeight="1"/>
    <row r="25197" customFormat="1" ht="17.25" customHeight="1"/>
    <row r="25198" customFormat="1" ht="17.25" customHeight="1"/>
    <row r="25199" customFormat="1" ht="17.25" customHeight="1"/>
    <row r="25200" customFormat="1" ht="17.25" customHeight="1"/>
    <row r="25201" customFormat="1" ht="17.25" customHeight="1"/>
    <row r="25202" customFormat="1" ht="17.25" customHeight="1"/>
    <row r="25203" customFormat="1" ht="17.25" customHeight="1"/>
    <row r="25204" customFormat="1" ht="17.25" customHeight="1"/>
    <row r="25205" customFormat="1" ht="17.25" customHeight="1"/>
    <row r="25206" customFormat="1" ht="17.25" customHeight="1"/>
    <row r="25207" customFormat="1" ht="17.25" customHeight="1"/>
    <row r="25208" customFormat="1" ht="17.25" customHeight="1"/>
    <row r="25209" customFormat="1" ht="17.25" customHeight="1"/>
    <row r="25210" customFormat="1" ht="17.25" customHeight="1"/>
    <row r="25211" customFormat="1" ht="17.25" customHeight="1"/>
    <row r="25212" customFormat="1" ht="17.25" customHeight="1"/>
    <row r="25213" customFormat="1" ht="17.25" customHeight="1"/>
    <row r="25214" customFormat="1" ht="17.25" customHeight="1"/>
    <row r="25215" customFormat="1" ht="17.25" customHeight="1"/>
    <row r="25216" customFormat="1" ht="17.25" customHeight="1"/>
    <row r="25217" customFormat="1" ht="17.25" customHeight="1"/>
    <row r="25218" customFormat="1" ht="17.25" customHeight="1"/>
    <row r="25219" customFormat="1" ht="17.25" customHeight="1"/>
    <row r="25220" customFormat="1" ht="17.25" customHeight="1"/>
    <row r="25221" customFormat="1" ht="17.25" customHeight="1"/>
    <row r="25222" customFormat="1" ht="17.25" customHeight="1"/>
    <row r="25223" customFormat="1" ht="17.25" customHeight="1"/>
    <row r="25224" customFormat="1" ht="17.25" customHeight="1"/>
    <row r="25225" customFormat="1" ht="17.25" customHeight="1"/>
    <row r="25226" customFormat="1" ht="17.25" customHeight="1"/>
    <row r="25227" customFormat="1" ht="17.25" customHeight="1"/>
    <row r="25228" customFormat="1" ht="17.25" customHeight="1"/>
    <row r="25229" customFormat="1" ht="17.25" customHeight="1"/>
    <row r="25230" customFormat="1" ht="17.25" customHeight="1"/>
    <row r="25231" customFormat="1" ht="17.25" customHeight="1"/>
    <row r="25232" customFormat="1" ht="17.25" customHeight="1"/>
    <row r="25233" customFormat="1" ht="17.25" customHeight="1"/>
    <row r="25234" customFormat="1" ht="17.25" customHeight="1"/>
    <row r="25235" customFormat="1" ht="17.25" customHeight="1"/>
    <row r="25236" customFormat="1" ht="17.25" customHeight="1"/>
    <row r="25237" customFormat="1" ht="17.25" customHeight="1"/>
    <row r="25238" customFormat="1" ht="17.25" customHeight="1"/>
    <row r="25239" customFormat="1" ht="17.25" customHeight="1"/>
    <row r="25240" customFormat="1" ht="17.25" customHeight="1"/>
    <row r="25241" customFormat="1" ht="17.25" customHeight="1"/>
    <row r="25242" customFormat="1" ht="17.25" customHeight="1"/>
    <row r="25243" customFormat="1" ht="17.25" customHeight="1"/>
    <row r="25244" customFormat="1" ht="17.25" customHeight="1"/>
    <row r="25245" customFormat="1" ht="17.25" customHeight="1"/>
    <row r="25246" customFormat="1" ht="17.25" customHeight="1"/>
    <row r="25247" customFormat="1" ht="17.25" customHeight="1"/>
    <row r="25248" customFormat="1" ht="17.25" customHeight="1"/>
    <row r="25249" customFormat="1" ht="17.25" customHeight="1"/>
    <row r="25250" customFormat="1" ht="17.25" customHeight="1"/>
    <row r="25251" customFormat="1" ht="17.25" customHeight="1"/>
    <row r="25252" customFormat="1" ht="17.25" customHeight="1"/>
    <row r="25253" customFormat="1" ht="17.25" customHeight="1"/>
    <row r="25254" customFormat="1" ht="17.25" customHeight="1"/>
    <row r="25255" customFormat="1" ht="17.25" customHeight="1"/>
    <row r="25256" customFormat="1" ht="17.25" customHeight="1"/>
    <row r="25257" customFormat="1" ht="17.25" customHeight="1"/>
    <row r="25258" customFormat="1" ht="17.25" customHeight="1"/>
    <row r="25259" customFormat="1" ht="17.25" customHeight="1"/>
    <row r="25260" customFormat="1" ht="17.25" customHeight="1"/>
    <row r="25261" customFormat="1" ht="17.25" customHeight="1"/>
    <row r="25262" customFormat="1" ht="17.25" customHeight="1"/>
    <row r="25263" customFormat="1" ht="17.25" customHeight="1"/>
    <row r="25264" customFormat="1" ht="17.25" customHeight="1"/>
    <row r="25265" customFormat="1" ht="17.25" customHeight="1"/>
    <row r="25266" customFormat="1" ht="17.25" customHeight="1"/>
    <row r="25267" customFormat="1" ht="17.25" customHeight="1"/>
    <row r="25268" customFormat="1" ht="17.25" customHeight="1"/>
    <row r="25269" customFormat="1" ht="17.25" customHeight="1"/>
    <row r="25270" customFormat="1" ht="17.25" customHeight="1"/>
    <row r="25271" customFormat="1" ht="17.25" customHeight="1"/>
    <row r="25272" customFormat="1" ht="17.25" customHeight="1"/>
    <row r="25273" customFormat="1" ht="17.25" customHeight="1"/>
    <row r="25274" customFormat="1" ht="17.25" customHeight="1"/>
    <row r="25275" customFormat="1" ht="17.25" customHeight="1"/>
    <row r="25276" customFormat="1" ht="17.25" customHeight="1"/>
    <row r="25277" customFormat="1" ht="17.25" customHeight="1"/>
    <row r="25278" customFormat="1" ht="17.25" customHeight="1"/>
    <row r="25279" customFormat="1" ht="17.25" customHeight="1"/>
    <row r="25280" customFormat="1" ht="17.25" customHeight="1"/>
    <row r="25281" customFormat="1" ht="17.25" customHeight="1"/>
    <row r="25282" customFormat="1" ht="17.25" customHeight="1"/>
    <row r="25283" customFormat="1" ht="17.25" customHeight="1"/>
    <row r="25284" customFormat="1" ht="17.25" customHeight="1"/>
    <row r="25285" customFormat="1" ht="17.25" customHeight="1"/>
    <row r="25286" customFormat="1" ht="17.25" customHeight="1"/>
    <row r="25287" customFormat="1" ht="17.25" customHeight="1"/>
    <row r="25288" customFormat="1" ht="17.25" customHeight="1"/>
    <row r="25289" customFormat="1" ht="17.25" customHeight="1"/>
    <row r="25290" customFormat="1" ht="17.25" customHeight="1"/>
    <row r="25291" customFormat="1" ht="17.25" customHeight="1"/>
    <row r="25292" customFormat="1" ht="17.25" customHeight="1"/>
    <row r="25293" customFormat="1" ht="17.25" customHeight="1"/>
    <row r="25294" customFormat="1" ht="17.25" customHeight="1"/>
    <row r="25295" customFormat="1" ht="17.25" customHeight="1"/>
    <row r="25296" customFormat="1" ht="17.25" customHeight="1"/>
    <row r="25297" customFormat="1" ht="17.25" customHeight="1"/>
    <row r="25298" customFormat="1" ht="17.25" customHeight="1"/>
    <row r="25299" customFormat="1" ht="17.25" customHeight="1"/>
    <row r="25300" customFormat="1" ht="17.25" customHeight="1"/>
    <row r="25301" customFormat="1" ht="17.25" customHeight="1"/>
    <row r="25302" customFormat="1" ht="17.25" customHeight="1"/>
    <row r="25303" customFormat="1" ht="17.25" customHeight="1"/>
    <row r="25304" customFormat="1" ht="17.25" customHeight="1"/>
    <row r="25305" customFormat="1" ht="17.25" customHeight="1"/>
    <row r="25306" customFormat="1" ht="17.25" customHeight="1"/>
    <row r="25307" customFormat="1" ht="17.25" customHeight="1"/>
    <row r="25308" customFormat="1" ht="17.25" customHeight="1"/>
    <row r="25309" customFormat="1" ht="17.25" customHeight="1"/>
    <row r="25310" customFormat="1" ht="17.25" customHeight="1"/>
    <row r="25311" customFormat="1" ht="17.25" customHeight="1"/>
    <row r="25312" customFormat="1" ht="17.25" customHeight="1"/>
    <row r="25313" customFormat="1" ht="17.25" customHeight="1"/>
    <row r="25314" customFormat="1" ht="17.25" customHeight="1"/>
    <row r="25315" customFormat="1" ht="17.25" customHeight="1"/>
    <row r="25316" customFormat="1" ht="17.25" customHeight="1"/>
    <row r="25317" customFormat="1" ht="17.25" customHeight="1"/>
    <row r="25318" customFormat="1" ht="17.25" customHeight="1"/>
    <row r="25319" customFormat="1" ht="17.25" customHeight="1"/>
    <row r="25320" customFormat="1" ht="17.25" customHeight="1"/>
    <row r="25321" customFormat="1" ht="17.25" customHeight="1"/>
    <row r="25322" customFormat="1" ht="17.25" customHeight="1"/>
    <row r="25323" customFormat="1" ht="17.25" customHeight="1"/>
    <row r="25324" customFormat="1" ht="17.25" customHeight="1"/>
    <row r="25325" customFormat="1" ht="17.25" customHeight="1"/>
    <row r="25326" customFormat="1" ht="17.25" customHeight="1"/>
    <row r="25327" customFormat="1" ht="17.25" customHeight="1"/>
    <row r="25328" customFormat="1" ht="17.25" customHeight="1"/>
    <row r="25329" customFormat="1" ht="17.25" customHeight="1"/>
    <row r="25330" customFormat="1" ht="17.25" customHeight="1"/>
    <row r="25331" customFormat="1" ht="17.25" customHeight="1"/>
    <row r="25332" customFormat="1" ht="17.25" customHeight="1"/>
    <row r="25333" customFormat="1" ht="17.25" customHeight="1"/>
    <row r="25334" customFormat="1" ht="17.25" customHeight="1"/>
    <row r="25335" customFormat="1" ht="17.25" customHeight="1"/>
    <row r="25336" customFormat="1" ht="17.25" customHeight="1"/>
    <row r="25337" customFormat="1" ht="17.25" customHeight="1"/>
    <row r="25338" customFormat="1" ht="17.25" customHeight="1"/>
    <row r="25339" customFormat="1" ht="17.25" customHeight="1"/>
    <row r="25340" customFormat="1" ht="17.25" customHeight="1"/>
    <row r="25341" customFormat="1" ht="17.25" customHeight="1"/>
    <row r="25342" customFormat="1" ht="17.25" customHeight="1"/>
    <row r="25343" customFormat="1" ht="17.25" customHeight="1"/>
    <row r="25344" customFormat="1" ht="17.25" customHeight="1"/>
    <row r="25345" customFormat="1" ht="17.25" customHeight="1"/>
    <row r="25346" customFormat="1" ht="17.25" customHeight="1"/>
    <row r="25347" customFormat="1" ht="17.25" customHeight="1"/>
    <row r="25348" customFormat="1" ht="17.25" customHeight="1"/>
    <row r="25349" customFormat="1" ht="17.25" customHeight="1"/>
    <row r="25350" customFormat="1" ht="17.25" customHeight="1"/>
    <row r="25351" customFormat="1" ht="17.25" customHeight="1"/>
    <row r="25352" customFormat="1" ht="17.25" customHeight="1"/>
    <row r="25353" customFormat="1" ht="17.25" customHeight="1"/>
    <row r="25354" customFormat="1" ht="17.25" customHeight="1"/>
    <row r="25355" customFormat="1" ht="17.25" customHeight="1"/>
    <row r="25356" customFormat="1" ht="17.25" customHeight="1"/>
    <row r="25357" customFormat="1" ht="17.25" customHeight="1"/>
    <row r="25358" customFormat="1" ht="17.25" customHeight="1"/>
    <row r="25359" customFormat="1" ht="17.25" customHeight="1"/>
    <row r="25360" customFormat="1" ht="17.25" customHeight="1"/>
    <row r="25361" customFormat="1" ht="17.25" customHeight="1"/>
    <row r="25362" customFormat="1" ht="17.25" customHeight="1"/>
    <row r="25363" customFormat="1" ht="17.25" customHeight="1"/>
    <row r="25364" customFormat="1" ht="17.25" customHeight="1"/>
    <row r="25365" customFormat="1" ht="17.25" customHeight="1"/>
    <row r="25366" customFormat="1" ht="17.25" customHeight="1"/>
    <row r="25367" customFormat="1" ht="17.25" customHeight="1"/>
    <row r="25368" customFormat="1" ht="17.25" customHeight="1"/>
    <row r="25369" customFormat="1" ht="17.25" customHeight="1"/>
    <row r="25370" customFormat="1" ht="17.25" customHeight="1"/>
    <row r="25371" customFormat="1" ht="17.25" customHeight="1"/>
    <row r="25372" customFormat="1" ht="17.25" customHeight="1"/>
    <row r="25373" customFormat="1" ht="17.25" customHeight="1"/>
    <row r="25374" customFormat="1" ht="17.25" customHeight="1"/>
    <row r="25375" customFormat="1" ht="17.25" customHeight="1"/>
    <row r="25376" customFormat="1" ht="17.25" customHeight="1"/>
    <row r="25377" customFormat="1" ht="17.25" customHeight="1"/>
    <row r="25378" customFormat="1" ht="17.25" customHeight="1"/>
    <row r="25379" customFormat="1" ht="17.25" customHeight="1"/>
    <row r="25380" customFormat="1" ht="17.25" customHeight="1"/>
    <row r="25381" customFormat="1" ht="17.25" customHeight="1"/>
    <row r="25382" customFormat="1" ht="17.25" customHeight="1"/>
    <row r="25383" customFormat="1" ht="17.25" customHeight="1"/>
    <row r="25384" customFormat="1" ht="17.25" customHeight="1"/>
    <row r="25385" customFormat="1" ht="17.25" customHeight="1"/>
    <row r="25386" customFormat="1" ht="17.25" customHeight="1"/>
    <row r="25387" customFormat="1" ht="17.25" customHeight="1"/>
    <row r="25388" customFormat="1" ht="17.25" customHeight="1"/>
    <row r="25389" customFormat="1" ht="17.25" customHeight="1"/>
    <row r="25390" customFormat="1" ht="17.25" customHeight="1"/>
    <row r="25391" customFormat="1" ht="17.25" customHeight="1"/>
    <row r="25392" customFormat="1" ht="17.25" customHeight="1"/>
    <row r="25393" customFormat="1" ht="17.25" customHeight="1"/>
    <row r="25394" customFormat="1" ht="17.25" customHeight="1"/>
    <row r="25395" customFormat="1" ht="17.25" customHeight="1"/>
    <row r="25396" customFormat="1" ht="17.25" customHeight="1"/>
    <row r="25397" customFormat="1" ht="17.25" customHeight="1"/>
    <row r="25398" customFormat="1" ht="17.25" customHeight="1"/>
    <row r="25399" customFormat="1" ht="17.25" customHeight="1"/>
    <row r="25400" customFormat="1" ht="17.25" customHeight="1"/>
    <row r="25401" customFormat="1" ht="17.25" customHeight="1"/>
    <row r="25402" customFormat="1" ht="17.25" customHeight="1"/>
    <row r="25403" customFormat="1" ht="17.25" customHeight="1"/>
    <row r="25404" customFormat="1" ht="17.25" customHeight="1"/>
    <row r="25405" customFormat="1" ht="17.25" customHeight="1"/>
    <row r="25406" customFormat="1" ht="17.25" customHeight="1"/>
    <row r="25407" customFormat="1" ht="17.25" customHeight="1"/>
    <row r="25408" customFormat="1" ht="17.25" customHeight="1"/>
    <row r="25409" customFormat="1" ht="17.25" customHeight="1"/>
    <row r="25410" customFormat="1" ht="17.25" customHeight="1"/>
    <row r="25411" customFormat="1" ht="17.25" customHeight="1"/>
    <row r="25412" customFormat="1" ht="17.25" customHeight="1"/>
    <row r="25413" customFormat="1" ht="17.25" customHeight="1"/>
    <row r="25414" customFormat="1" ht="17.25" customHeight="1"/>
    <row r="25415" customFormat="1" ht="17.25" customHeight="1"/>
    <row r="25416" customFormat="1" ht="17.25" customHeight="1"/>
    <row r="25417" customFormat="1" ht="17.25" customHeight="1"/>
    <row r="25418" customFormat="1" ht="17.25" customHeight="1"/>
    <row r="25419" customFormat="1" ht="17.25" customHeight="1"/>
    <row r="25420" customFormat="1" ht="17.25" customHeight="1"/>
    <row r="25421" customFormat="1" ht="17.25" customHeight="1"/>
    <row r="25422" customFormat="1" ht="17.25" customHeight="1"/>
    <row r="25423" customFormat="1" ht="17.25" customHeight="1"/>
    <row r="25424" customFormat="1" ht="17.25" customHeight="1"/>
    <row r="25425" customFormat="1" ht="17.25" customHeight="1"/>
    <row r="25426" customFormat="1" ht="17.25" customHeight="1"/>
    <row r="25427" customFormat="1" ht="17.25" customHeight="1"/>
    <row r="25428" customFormat="1" ht="17.25" customHeight="1"/>
    <row r="25429" customFormat="1" ht="17.25" customHeight="1"/>
    <row r="25430" customFormat="1" ht="17.25" customHeight="1"/>
    <row r="25431" customFormat="1" ht="17.25" customHeight="1"/>
    <row r="25432" customFormat="1" ht="17.25" customHeight="1"/>
    <row r="25433" customFormat="1" ht="17.25" customHeight="1"/>
    <row r="25434" customFormat="1" ht="17.25" customHeight="1"/>
    <row r="25435" customFormat="1" ht="17.25" customHeight="1"/>
    <row r="25436" customFormat="1" ht="17.25" customHeight="1"/>
    <row r="25437" customFormat="1" ht="17.25" customHeight="1"/>
    <row r="25438" customFormat="1" ht="17.25" customHeight="1"/>
    <row r="25439" customFormat="1" ht="17.25" customHeight="1"/>
    <row r="25440" customFormat="1" ht="17.25" customHeight="1"/>
    <row r="25441" customFormat="1" ht="17.25" customHeight="1"/>
    <row r="25442" customFormat="1" ht="17.25" customHeight="1"/>
    <row r="25443" customFormat="1" ht="17.25" customHeight="1"/>
    <row r="25444" customFormat="1" ht="17.25" customHeight="1"/>
    <row r="25445" customFormat="1" ht="17.25" customHeight="1"/>
    <row r="25446" customFormat="1" ht="17.25" customHeight="1"/>
    <row r="25447" customFormat="1" ht="17.25" customHeight="1"/>
    <row r="25448" customFormat="1" ht="17.25" customHeight="1"/>
    <row r="25449" customFormat="1" ht="17.25" customHeight="1"/>
    <row r="25450" customFormat="1" ht="17.25" customHeight="1"/>
    <row r="25451" customFormat="1" ht="17.25" customHeight="1"/>
    <row r="25452" customFormat="1" ht="17.25" customHeight="1"/>
    <row r="25453" customFormat="1" ht="17.25" customHeight="1"/>
    <row r="25454" customFormat="1" ht="17.25" customHeight="1"/>
    <row r="25455" customFormat="1" ht="17.25" customHeight="1"/>
    <row r="25456" customFormat="1" ht="17.25" customHeight="1"/>
    <row r="25457" customFormat="1" ht="17.25" customHeight="1"/>
    <row r="25458" customFormat="1" ht="17.25" customHeight="1"/>
    <row r="25459" customFormat="1" ht="17.25" customHeight="1"/>
    <row r="25460" customFormat="1" ht="17.25" customHeight="1"/>
    <row r="25461" customFormat="1" ht="17.25" customHeight="1"/>
    <row r="25462" customFormat="1" ht="17.25" customHeight="1"/>
    <row r="25463" customFormat="1" ht="17.25" customHeight="1"/>
    <row r="25464" customFormat="1" ht="17.25" customHeight="1"/>
    <row r="25465" customFormat="1" ht="17.25" customHeight="1"/>
    <row r="25466" customFormat="1" ht="17.25" customHeight="1"/>
    <row r="25467" customFormat="1" ht="17.25" customHeight="1"/>
    <row r="25468" customFormat="1" ht="17.25" customHeight="1"/>
    <row r="25469" customFormat="1" ht="17.25" customHeight="1"/>
    <row r="25470" customFormat="1" ht="17.25" customHeight="1"/>
    <row r="25471" customFormat="1" ht="17.25" customHeight="1"/>
    <row r="25472" customFormat="1" ht="17.25" customHeight="1"/>
    <row r="25473" customFormat="1" ht="17.25" customHeight="1"/>
    <row r="25474" customFormat="1" ht="17.25" customHeight="1"/>
    <row r="25475" customFormat="1" ht="17.25" customHeight="1"/>
    <row r="25476" customFormat="1" ht="17.25" customHeight="1"/>
    <row r="25477" customFormat="1" ht="17.25" customHeight="1"/>
    <row r="25478" customFormat="1" ht="17.25" customHeight="1"/>
    <row r="25479" customFormat="1" ht="17.25" customHeight="1"/>
    <row r="25480" customFormat="1" ht="17.25" customHeight="1"/>
    <row r="25481" customFormat="1" ht="17.25" customHeight="1"/>
    <row r="25482" customFormat="1" ht="17.25" customHeight="1"/>
    <row r="25483" customFormat="1" ht="17.25" customHeight="1"/>
    <row r="25484" customFormat="1" ht="17.25" customHeight="1"/>
    <row r="25485" customFormat="1" ht="17.25" customHeight="1"/>
    <row r="25486" customFormat="1" ht="17.25" customHeight="1"/>
    <row r="25487" customFormat="1" ht="17.25" customHeight="1"/>
    <row r="25488" customFormat="1" ht="17.25" customHeight="1"/>
    <row r="25489" customFormat="1" ht="17.25" customHeight="1"/>
    <row r="25490" customFormat="1" ht="17.25" customHeight="1"/>
    <row r="25491" customFormat="1" ht="17.25" customHeight="1"/>
    <row r="25492" customFormat="1" ht="17.25" customHeight="1"/>
    <row r="25493" customFormat="1" ht="17.25" customHeight="1"/>
    <row r="25494" customFormat="1" ht="17.25" customHeight="1"/>
    <row r="25495" customFormat="1" ht="17.25" customHeight="1"/>
    <row r="25496" customFormat="1" ht="17.25" customHeight="1"/>
    <row r="25497" customFormat="1" ht="17.25" customHeight="1"/>
    <row r="25498" customFormat="1" ht="17.25" customHeight="1"/>
    <row r="25499" customFormat="1" ht="17.25" customHeight="1"/>
    <row r="25500" customFormat="1" ht="17.25" customHeight="1"/>
    <row r="25501" customFormat="1" ht="17.25" customHeight="1"/>
    <row r="25502" customFormat="1" ht="17.25" customHeight="1"/>
    <row r="25503" customFormat="1" ht="17.25" customHeight="1"/>
    <row r="25504" customFormat="1" ht="17.25" customHeight="1"/>
    <row r="25505" customFormat="1" ht="17.25" customHeight="1"/>
    <row r="25506" customFormat="1" ht="17.25" customHeight="1"/>
    <row r="25507" customFormat="1" ht="17.25" customHeight="1"/>
    <row r="25508" customFormat="1" ht="17.25" customHeight="1"/>
    <row r="25509" customFormat="1" ht="17.25" customHeight="1"/>
    <row r="25510" customFormat="1" ht="17.25" customHeight="1"/>
    <row r="25511" customFormat="1" ht="17.25" customHeight="1"/>
    <row r="25512" customFormat="1" ht="17.25" customHeight="1"/>
    <row r="25513" customFormat="1" ht="17.25" customHeight="1"/>
    <row r="25514" customFormat="1" ht="17.25" customHeight="1"/>
    <row r="25515" customFormat="1" ht="17.25" customHeight="1"/>
    <row r="25516" customFormat="1" ht="17.25" customHeight="1"/>
    <row r="25517" customFormat="1" ht="17.25" customHeight="1"/>
    <row r="25518" customFormat="1" ht="17.25" customHeight="1"/>
    <row r="25519" customFormat="1" ht="17.25" customHeight="1"/>
    <row r="25520" customFormat="1" ht="17.25" customHeight="1"/>
    <row r="25521" customFormat="1" ht="17.25" customHeight="1"/>
    <row r="25522" customFormat="1" ht="17.25" customHeight="1"/>
    <row r="25523" customFormat="1" ht="17.25" customHeight="1"/>
    <row r="25524" customFormat="1" ht="17.25" customHeight="1"/>
    <row r="25525" customFormat="1" ht="17.25" customHeight="1"/>
    <row r="25526" customFormat="1" ht="17.25" customHeight="1"/>
    <row r="25527" customFormat="1" ht="17.25" customHeight="1"/>
    <row r="25528" customFormat="1" ht="17.25" customHeight="1"/>
    <row r="25529" customFormat="1" ht="17.25" customHeight="1"/>
    <row r="25530" customFormat="1" ht="17.25" customHeight="1"/>
    <row r="25531" customFormat="1" ht="17.25" customHeight="1"/>
    <row r="25532" customFormat="1" ht="17.25" customHeight="1"/>
    <row r="25533" customFormat="1" ht="17.25" customHeight="1"/>
    <row r="25534" customFormat="1" ht="17.25" customHeight="1"/>
    <row r="25535" customFormat="1" ht="17.25" customHeight="1"/>
    <row r="25536" customFormat="1" ht="17.25" customHeight="1"/>
    <row r="25537" customFormat="1" ht="17.25" customHeight="1"/>
    <row r="25538" customFormat="1" ht="17.25" customHeight="1"/>
    <row r="25539" customFormat="1" ht="17.25" customHeight="1"/>
    <row r="25540" customFormat="1" ht="17.25" customHeight="1"/>
    <row r="25541" customFormat="1" ht="17.25" customHeight="1"/>
    <row r="25542" customFormat="1" ht="17.25" customHeight="1"/>
    <row r="25543" customFormat="1" ht="17.25" customHeight="1"/>
    <row r="25544" customFormat="1" ht="17.25" customHeight="1"/>
    <row r="25545" customFormat="1" ht="17.25" customHeight="1"/>
    <row r="25546" customFormat="1" ht="17.25" customHeight="1"/>
    <row r="25547" customFormat="1" ht="17.25" customHeight="1"/>
    <row r="25548" customFormat="1" ht="17.25" customHeight="1"/>
    <row r="25549" customFormat="1" ht="17.25" customHeight="1"/>
    <row r="25550" customFormat="1" ht="17.25" customHeight="1"/>
    <row r="25551" customFormat="1" ht="17.25" customHeight="1"/>
    <row r="25552" customFormat="1" ht="17.25" customHeight="1"/>
    <row r="25553" customFormat="1" ht="17.25" customHeight="1"/>
    <row r="25554" customFormat="1" ht="17.25" customHeight="1"/>
    <row r="25555" customFormat="1" ht="17.25" customHeight="1"/>
    <row r="25556" customFormat="1" ht="17.25" customHeight="1"/>
    <row r="25557" customFormat="1" ht="17.25" customHeight="1"/>
    <row r="25558" customFormat="1" ht="17.25" customHeight="1"/>
    <row r="25559" customFormat="1" ht="17.25" customHeight="1"/>
    <row r="25560" customFormat="1" ht="17.25" customHeight="1"/>
    <row r="25561" customFormat="1" ht="17.25" customHeight="1"/>
    <row r="25562" customFormat="1" ht="17.25" customHeight="1"/>
    <row r="25563" customFormat="1" ht="17.25" customHeight="1"/>
    <row r="25564" customFormat="1" ht="17.25" customHeight="1"/>
    <row r="25565" customFormat="1" ht="17.25" customHeight="1"/>
    <row r="25566" customFormat="1" ht="17.25" customHeight="1"/>
    <row r="25567" customFormat="1" ht="17.25" customHeight="1"/>
    <row r="25568" customFormat="1" ht="17.25" customHeight="1"/>
    <row r="25569" customFormat="1" ht="17.25" customHeight="1"/>
    <row r="25570" customFormat="1" ht="17.25" customHeight="1"/>
    <row r="25571" customFormat="1" ht="17.25" customHeight="1"/>
    <row r="25572" customFormat="1" ht="17.25" customHeight="1"/>
    <row r="25573" customFormat="1" ht="17.25" customHeight="1"/>
    <row r="25574" customFormat="1" ht="17.25" customHeight="1"/>
    <row r="25575" customFormat="1" ht="17.25" customHeight="1"/>
    <row r="25576" customFormat="1" ht="17.25" customHeight="1"/>
    <row r="25577" customFormat="1" ht="17.25" customHeight="1"/>
    <row r="25578" customFormat="1" ht="17.25" customHeight="1"/>
    <row r="25579" customFormat="1" ht="17.25" customHeight="1"/>
    <row r="25580" customFormat="1" ht="17.25" customHeight="1"/>
    <row r="25581" customFormat="1" ht="17.25" customHeight="1"/>
    <row r="25582" customFormat="1" ht="17.25" customHeight="1"/>
    <row r="25583" customFormat="1" ht="17.25" customHeight="1"/>
    <row r="25584" customFormat="1" ht="17.25" customHeight="1"/>
    <row r="25585" customFormat="1" ht="17.25" customHeight="1"/>
    <row r="25586" customFormat="1" ht="17.25" customHeight="1"/>
    <row r="25587" customFormat="1" ht="17.25" customHeight="1"/>
    <row r="25588" customFormat="1" ht="17.25" customHeight="1"/>
    <row r="25589" customFormat="1" ht="17.25" customHeight="1"/>
    <row r="25590" customFormat="1" ht="17.25" customHeight="1"/>
    <row r="25591" customFormat="1" ht="17.25" customHeight="1"/>
    <row r="25592" customFormat="1" ht="17.25" customHeight="1"/>
    <row r="25593" customFormat="1" ht="17.25" customHeight="1"/>
    <row r="25594" customFormat="1" ht="17.25" customHeight="1"/>
    <row r="25595" customFormat="1" ht="17.25" customHeight="1"/>
    <row r="25596" customFormat="1" ht="17.25" customHeight="1"/>
    <row r="25597" customFormat="1" ht="17.25" customHeight="1"/>
    <row r="25598" customFormat="1" ht="17.25" customHeight="1"/>
    <row r="25599" customFormat="1" ht="17.25" customHeight="1"/>
    <row r="25600" customFormat="1" ht="17.25" customHeight="1"/>
    <row r="25601" customFormat="1" ht="17.25" customHeight="1"/>
    <row r="25602" customFormat="1" ht="17.25" customHeight="1"/>
    <row r="25603" customFormat="1" ht="17.25" customHeight="1"/>
    <row r="25604" customFormat="1" ht="17.25" customHeight="1"/>
    <row r="25605" customFormat="1" ht="17.25" customHeight="1"/>
    <row r="25606" customFormat="1" ht="17.25" customHeight="1"/>
    <row r="25607" customFormat="1" ht="17.25" customHeight="1"/>
    <row r="25608" customFormat="1" ht="17.25" customHeight="1"/>
    <row r="25609" customFormat="1" ht="17.25" customHeight="1"/>
    <row r="25610" customFormat="1" ht="17.25" customHeight="1"/>
    <row r="25611" customFormat="1" ht="17.25" customHeight="1"/>
    <row r="25612" customFormat="1" ht="17.25" customHeight="1"/>
    <row r="25613" customFormat="1" ht="17.25" customHeight="1"/>
    <row r="25614" customFormat="1" ht="17.25" customHeight="1"/>
    <row r="25615" customFormat="1" ht="17.25" customHeight="1"/>
    <row r="25616" customFormat="1" ht="17.25" customHeight="1"/>
    <row r="25617" customFormat="1" ht="17.25" customHeight="1"/>
    <row r="25618" customFormat="1" ht="17.25" customHeight="1"/>
    <row r="25619" customFormat="1" ht="17.25" customHeight="1"/>
    <row r="25620" customFormat="1" ht="17.25" customHeight="1"/>
    <row r="25621" customFormat="1" ht="17.25" customHeight="1"/>
    <row r="25622" customFormat="1" ht="17.25" customHeight="1"/>
    <row r="25623" customFormat="1" ht="17.25" customHeight="1"/>
    <row r="25624" customFormat="1" ht="17.25" customHeight="1"/>
    <row r="25625" customFormat="1" ht="17.25" customHeight="1"/>
    <row r="25626" customFormat="1" ht="17.25" customHeight="1"/>
    <row r="25627" customFormat="1" ht="17.25" customHeight="1"/>
    <row r="25628" customFormat="1" ht="17.25" customHeight="1"/>
    <row r="25629" customFormat="1" ht="17.25" customHeight="1"/>
    <row r="25630" customFormat="1" ht="17.25" customHeight="1"/>
    <row r="25631" customFormat="1" ht="17.25" customHeight="1"/>
    <row r="25632" customFormat="1" ht="17.25" customHeight="1"/>
    <row r="25633" customFormat="1" ht="17.25" customHeight="1"/>
    <row r="25634" customFormat="1" ht="17.25" customHeight="1"/>
    <row r="25635" customFormat="1" ht="17.25" customHeight="1"/>
    <row r="25636" customFormat="1" ht="17.25" customHeight="1"/>
    <row r="25637" customFormat="1" ht="17.25" customHeight="1"/>
    <row r="25638" customFormat="1" ht="17.25" customHeight="1"/>
    <row r="25639" customFormat="1" ht="17.25" customHeight="1"/>
    <row r="25640" customFormat="1" ht="17.25" customHeight="1"/>
    <row r="25641" customFormat="1" ht="17.25" customHeight="1"/>
    <row r="25642" customFormat="1" ht="17.25" customHeight="1"/>
    <row r="25643" customFormat="1" ht="17.25" customHeight="1"/>
    <row r="25644" customFormat="1" ht="17.25" customHeight="1"/>
    <row r="25645" customFormat="1" ht="17.25" customHeight="1"/>
    <row r="25646" customFormat="1" ht="17.25" customHeight="1"/>
    <row r="25647" customFormat="1" ht="17.25" customHeight="1"/>
    <row r="25648" customFormat="1" ht="17.25" customHeight="1"/>
    <row r="25649" customFormat="1" ht="17.25" customHeight="1"/>
    <row r="25650" customFormat="1" ht="17.25" customHeight="1"/>
    <row r="25651" customFormat="1" ht="17.25" customHeight="1"/>
    <row r="25652" customFormat="1" ht="17.25" customHeight="1"/>
    <row r="25653" customFormat="1" ht="17.25" customHeight="1"/>
    <row r="25654" customFormat="1" ht="17.25" customHeight="1"/>
    <row r="25655" customFormat="1" ht="17.25" customHeight="1"/>
    <row r="25656" customFormat="1" ht="17.25" customHeight="1"/>
    <row r="25657" customFormat="1" ht="17.25" customHeight="1"/>
    <row r="25658" customFormat="1" ht="17.25" customHeight="1"/>
    <row r="25659" customFormat="1" ht="17.25" customHeight="1"/>
    <row r="25660" customFormat="1" ht="17.25" customHeight="1"/>
    <row r="25661" customFormat="1" ht="17.25" customHeight="1"/>
    <row r="25662" customFormat="1" ht="17.25" customHeight="1"/>
    <row r="25663" customFormat="1" ht="17.25" customHeight="1"/>
    <row r="25664" customFormat="1" ht="17.25" customHeight="1"/>
    <row r="25665" customFormat="1" ht="17.25" customHeight="1"/>
    <row r="25666" customFormat="1" ht="17.25" customHeight="1"/>
    <row r="25667" customFormat="1" ht="17.25" customHeight="1"/>
    <row r="25668" customFormat="1" ht="17.25" customHeight="1"/>
    <row r="25669" customFormat="1" ht="17.25" customHeight="1"/>
    <row r="25670" customFormat="1" ht="17.25" customHeight="1"/>
    <row r="25671" customFormat="1" ht="17.25" customHeight="1"/>
    <row r="25672" customFormat="1" ht="17.25" customHeight="1"/>
    <row r="25673" customFormat="1" ht="17.25" customHeight="1"/>
    <row r="25674" customFormat="1" ht="17.25" customHeight="1"/>
    <row r="25675" customFormat="1" ht="17.25" customHeight="1"/>
    <row r="25676" customFormat="1" ht="17.25" customHeight="1"/>
    <row r="25677" customFormat="1" ht="17.25" customHeight="1"/>
    <row r="25678" customFormat="1" ht="17.25" customHeight="1"/>
    <row r="25679" customFormat="1" ht="17.25" customHeight="1"/>
    <row r="25680" customFormat="1" ht="17.25" customHeight="1"/>
    <row r="25681" customFormat="1" ht="17.25" customHeight="1"/>
    <row r="25682" customFormat="1" ht="17.25" customHeight="1"/>
    <row r="25683" customFormat="1" ht="17.25" customHeight="1"/>
    <row r="25684" customFormat="1" ht="17.25" customHeight="1"/>
    <row r="25685" customFormat="1" ht="17.25" customHeight="1"/>
    <row r="25686" customFormat="1" ht="17.25" customHeight="1"/>
    <row r="25687" customFormat="1" ht="17.25" customHeight="1"/>
    <row r="25688" customFormat="1" ht="17.25" customHeight="1"/>
    <row r="25689" customFormat="1" ht="17.25" customHeight="1"/>
    <row r="25690" customFormat="1" ht="17.25" customHeight="1"/>
    <row r="25691" customFormat="1" ht="17.25" customHeight="1"/>
    <row r="25692" customFormat="1" ht="17.25" customHeight="1"/>
    <row r="25693" customFormat="1" ht="17.25" customHeight="1"/>
    <row r="25694" customFormat="1" ht="17.25" customHeight="1"/>
    <row r="25695" customFormat="1" ht="17.25" customHeight="1"/>
    <row r="25696" customFormat="1" ht="17.25" customHeight="1"/>
    <row r="25697" customFormat="1" ht="17.25" customHeight="1"/>
    <row r="25698" customFormat="1" ht="17.25" customHeight="1"/>
    <row r="25699" customFormat="1" ht="17.25" customHeight="1"/>
    <row r="25700" customFormat="1" ht="17.25" customHeight="1"/>
    <row r="25701" customFormat="1" ht="17.25" customHeight="1"/>
    <row r="25702" customFormat="1" ht="17.25" customHeight="1"/>
    <row r="25703" customFormat="1" ht="17.25" customHeight="1"/>
    <row r="25704" customFormat="1" ht="17.25" customHeight="1"/>
    <row r="25705" customFormat="1" ht="17.25" customHeight="1"/>
    <row r="25706" customFormat="1" ht="17.25" customHeight="1"/>
    <row r="25707" customFormat="1" ht="17.25" customHeight="1"/>
    <row r="25708" customFormat="1" ht="17.25" customHeight="1"/>
    <row r="25709" customFormat="1" ht="17.25" customHeight="1"/>
    <row r="25710" customFormat="1" ht="17.25" customHeight="1"/>
    <row r="25711" customFormat="1" ht="17.25" customHeight="1"/>
    <row r="25712" customFormat="1" ht="17.25" customHeight="1"/>
    <row r="25713" customFormat="1" ht="17.25" customHeight="1"/>
    <row r="25714" customFormat="1" ht="17.25" customHeight="1"/>
    <row r="25715" customFormat="1" ht="17.25" customHeight="1"/>
    <row r="25716" customFormat="1" ht="17.25" customHeight="1"/>
    <row r="25717" customFormat="1" ht="17.25" customHeight="1"/>
    <row r="25718" customFormat="1" ht="17.25" customHeight="1"/>
    <row r="25719" customFormat="1" ht="17.25" customHeight="1"/>
    <row r="25720" customFormat="1" ht="17.25" customHeight="1"/>
    <row r="25721" customFormat="1" ht="17.25" customHeight="1"/>
    <row r="25722" customFormat="1" ht="17.25" customHeight="1"/>
    <row r="25723" customFormat="1" ht="17.25" customHeight="1"/>
    <row r="25724" customFormat="1" ht="17.25" customHeight="1"/>
    <row r="25725" customFormat="1" ht="17.25" customHeight="1"/>
    <row r="25726" customFormat="1" ht="17.25" customHeight="1"/>
    <row r="25727" customFormat="1" ht="17.25" customHeight="1"/>
    <row r="25728" customFormat="1" ht="17.25" customHeight="1"/>
    <row r="25729" customFormat="1" ht="17.25" customHeight="1"/>
    <row r="25730" customFormat="1" ht="17.25" customHeight="1"/>
    <row r="25731" customFormat="1" ht="17.25" customHeight="1"/>
    <row r="25732" customFormat="1" ht="17.25" customHeight="1"/>
    <row r="25733" customFormat="1" ht="17.25" customHeight="1"/>
    <row r="25734" customFormat="1" ht="17.25" customHeight="1"/>
    <row r="25735" customFormat="1" ht="17.25" customHeight="1"/>
    <row r="25736" customFormat="1" ht="17.25" customHeight="1"/>
    <row r="25737" customFormat="1" ht="17.25" customHeight="1"/>
    <row r="25738" customFormat="1" ht="17.25" customHeight="1"/>
    <row r="25739" customFormat="1" ht="17.25" customHeight="1"/>
    <row r="25740" customFormat="1" ht="17.25" customHeight="1"/>
    <row r="25741" customFormat="1" ht="17.25" customHeight="1"/>
    <row r="25742" customFormat="1" ht="17.25" customHeight="1"/>
    <row r="25743" customFormat="1" ht="17.25" customHeight="1"/>
    <row r="25744" customFormat="1" ht="17.25" customHeight="1"/>
    <row r="25745" customFormat="1" ht="17.25" customHeight="1"/>
    <row r="25746" customFormat="1" ht="17.25" customHeight="1"/>
    <row r="25747" customFormat="1" ht="17.25" customHeight="1"/>
    <row r="25748" customFormat="1" ht="17.25" customHeight="1"/>
    <row r="25749" customFormat="1" ht="17.25" customHeight="1"/>
    <row r="25750" customFormat="1" ht="17.25" customHeight="1"/>
    <row r="25751" customFormat="1" ht="17.25" customHeight="1"/>
    <row r="25752" customFormat="1" ht="17.25" customHeight="1"/>
    <row r="25753" customFormat="1" ht="17.25" customHeight="1"/>
    <row r="25754" customFormat="1" ht="17.25" customHeight="1"/>
    <row r="25755" customFormat="1" ht="17.25" customHeight="1"/>
    <row r="25756" customFormat="1" ht="17.25" customHeight="1"/>
    <row r="25757" customFormat="1" ht="17.25" customHeight="1"/>
    <row r="25758" customFormat="1" ht="17.25" customHeight="1"/>
    <row r="25759" customFormat="1" ht="17.25" customHeight="1"/>
    <row r="25760" customFormat="1" ht="17.25" customHeight="1"/>
    <row r="25761" customFormat="1" ht="17.25" customHeight="1"/>
    <row r="25762" customFormat="1" ht="17.25" customHeight="1"/>
    <row r="25763" customFormat="1" ht="17.25" customHeight="1"/>
    <row r="25764" customFormat="1" ht="17.25" customHeight="1"/>
    <row r="25765" customFormat="1" ht="17.25" customHeight="1"/>
    <row r="25766" customFormat="1" ht="17.25" customHeight="1"/>
    <row r="25767" customFormat="1" ht="17.25" customHeight="1"/>
    <row r="25768" customFormat="1" ht="17.25" customHeight="1"/>
    <row r="25769" customFormat="1" ht="17.25" customHeight="1"/>
    <row r="25770" customFormat="1" ht="17.25" customHeight="1"/>
    <row r="25771" customFormat="1" ht="17.25" customHeight="1"/>
    <row r="25772" customFormat="1" ht="17.25" customHeight="1"/>
    <row r="25773" customFormat="1" ht="17.25" customHeight="1"/>
    <row r="25774" customFormat="1" ht="17.25" customHeight="1"/>
    <row r="25775" customFormat="1" ht="17.25" customHeight="1"/>
    <row r="25776" customFormat="1" ht="17.25" customHeight="1"/>
    <row r="25777" customFormat="1" ht="17.25" customHeight="1"/>
    <row r="25778" customFormat="1" ht="17.25" customHeight="1"/>
    <row r="25779" customFormat="1" ht="17.25" customHeight="1"/>
    <row r="25780" customFormat="1" ht="17.25" customHeight="1"/>
    <row r="25781" customFormat="1" ht="17.25" customHeight="1"/>
    <row r="25782" customFormat="1" ht="17.25" customHeight="1"/>
    <row r="25783" customFormat="1" ht="17.25" customHeight="1"/>
    <row r="25784" customFormat="1" ht="17.25" customHeight="1"/>
    <row r="25785" customFormat="1" ht="17.25" customHeight="1"/>
    <row r="25786" customFormat="1" ht="17.25" customHeight="1"/>
    <row r="25787" customFormat="1" ht="17.25" customHeight="1"/>
    <row r="25788" customFormat="1" ht="17.25" customHeight="1"/>
    <row r="25789" customFormat="1" ht="17.25" customHeight="1"/>
    <row r="25790" customFormat="1" ht="17.25" customHeight="1"/>
    <row r="25791" customFormat="1" ht="17.25" customHeight="1"/>
    <row r="25792" customFormat="1" ht="17.25" customHeight="1"/>
    <row r="25793" customFormat="1" ht="17.25" customHeight="1"/>
    <row r="25794" customFormat="1" ht="17.25" customHeight="1"/>
    <row r="25795" customFormat="1" ht="17.25" customHeight="1"/>
    <row r="25796" customFormat="1" ht="17.25" customHeight="1"/>
    <row r="25797" customFormat="1" ht="17.25" customHeight="1"/>
    <row r="25798" customFormat="1" ht="17.25" customHeight="1"/>
    <row r="25799" customFormat="1" ht="17.25" customHeight="1"/>
    <row r="25800" customFormat="1" ht="17.25" customHeight="1"/>
    <row r="25801" customFormat="1" ht="17.25" customHeight="1"/>
    <row r="25802" customFormat="1" ht="17.25" customHeight="1"/>
    <row r="25803" customFormat="1" ht="17.25" customHeight="1"/>
    <row r="25804" customFormat="1" ht="17.25" customHeight="1"/>
    <row r="25805" customFormat="1" ht="17.25" customHeight="1"/>
    <row r="25806" customFormat="1" ht="17.25" customHeight="1"/>
    <row r="25807" customFormat="1" ht="17.25" customHeight="1"/>
    <row r="25808" customFormat="1" ht="17.25" customHeight="1"/>
    <row r="25809" customFormat="1" ht="17.25" customHeight="1"/>
    <row r="25810" customFormat="1" ht="17.25" customHeight="1"/>
    <row r="25811" customFormat="1" ht="17.25" customHeight="1"/>
    <row r="25812" customFormat="1" ht="17.25" customHeight="1"/>
    <row r="25813" customFormat="1" ht="17.25" customHeight="1"/>
    <row r="25814" customFormat="1" ht="17.25" customHeight="1"/>
    <row r="25815" customFormat="1" ht="17.25" customHeight="1"/>
    <row r="25816" customFormat="1" ht="17.25" customHeight="1"/>
    <row r="25817" customFormat="1" ht="17.25" customHeight="1"/>
    <row r="25818" customFormat="1" ht="17.25" customHeight="1"/>
    <row r="25819" customFormat="1" ht="17.25" customHeight="1"/>
    <row r="25820" customFormat="1" ht="17.25" customHeight="1"/>
    <row r="25821" customFormat="1" ht="17.25" customHeight="1"/>
    <row r="25822" customFormat="1" ht="17.25" customHeight="1"/>
    <row r="25823" customFormat="1" ht="17.25" customHeight="1"/>
    <row r="25824" customFormat="1" ht="17.25" customHeight="1"/>
    <row r="25825" customFormat="1" ht="17.25" customHeight="1"/>
    <row r="25826" customFormat="1" ht="17.25" customHeight="1"/>
    <row r="25827" customFormat="1" ht="17.25" customHeight="1"/>
    <row r="25828" customFormat="1" ht="17.25" customHeight="1"/>
    <row r="25829" customFormat="1" ht="17.25" customHeight="1"/>
    <row r="25830" customFormat="1" ht="17.25" customHeight="1"/>
    <row r="25831" customFormat="1" ht="17.25" customHeight="1"/>
    <row r="25832" customFormat="1" ht="17.25" customHeight="1"/>
    <row r="25833" customFormat="1" ht="17.25" customHeight="1"/>
    <row r="25834" customFormat="1" ht="17.25" customHeight="1"/>
    <row r="25835" customFormat="1" ht="17.25" customHeight="1"/>
    <row r="25836" customFormat="1" ht="17.25" customHeight="1"/>
    <row r="25837" customFormat="1" ht="17.25" customHeight="1"/>
    <row r="25838" customFormat="1" ht="17.25" customHeight="1"/>
    <row r="25839" customFormat="1" ht="17.25" customHeight="1"/>
    <row r="25840" customFormat="1" ht="17.25" customHeight="1"/>
    <row r="25841" customFormat="1" ht="17.25" customHeight="1"/>
    <row r="25842" customFormat="1" ht="17.25" customHeight="1"/>
    <row r="25843" customFormat="1" ht="17.25" customHeight="1"/>
    <row r="25844" customFormat="1" ht="17.25" customHeight="1"/>
    <row r="25845" customFormat="1" ht="17.25" customHeight="1"/>
    <row r="25846" customFormat="1" ht="17.25" customHeight="1"/>
    <row r="25847" customFormat="1" ht="17.25" customHeight="1"/>
    <row r="25848" customFormat="1" ht="17.25" customHeight="1"/>
    <row r="25849" customFormat="1" ht="17.25" customHeight="1"/>
    <row r="25850" customFormat="1" ht="17.25" customHeight="1"/>
    <row r="25851" customFormat="1" ht="17.25" customHeight="1"/>
    <row r="25852" customFormat="1" ht="17.25" customHeight="1"/>
    <row r="25853" customFormat="1" ht="17.25" customHeight="1"/>
    <row r="25854" customFormat="1" ht="17.25" customHeight="1"/>
    <row r="25855" customFormat="1" ht="17.25" customHeight="1"/>
    <row r="25856" customFormat="1" ht="17.25" customHeight="1"/>
    <row r="25857" customFormat="1" ht="17.25" customHeight="1"/>
    <row r="25858" customFormat="1" ht="17.25" customHeight="1"/>
    <row r="25859" customFormat="1" ht="17.25" customHeight="1"/>
    <row r="25860" customFormat="1" ht="17.25" customHeight="1"/>
    <row r="25861" customFormat="1" ht="17.25" customHeight="1"/>
    <row r="25862" customFormat="1" ht="17.25" customHeight="1"/>
    <row r="25863" customFormat="1" ht="17.25" customHeight="1"/>
    <row r="25864" customFormat="1" ht="17.25" customHeight="1"/>
    <row r="25865" customFormat="1" ht="17.25" customHeight="1"/>
    <row r="25866" customFormat="1" ht="17.25" customHeight="1"/>
    <row r="25867" customFormat="1" ht="17.25" customHeight="1"/>
    <row r="25868" customFormat="1" ht="17.25" customHeight="1"/>
    <row r="25869" customFormat="1" ht="17.25" customHeight="1"/>
    <row r="25870" customFormat="1" ht="17.25" customHeight="1"/>
    <row r="25871" customFormat="1" ht="17.25" customHeight="1"/>
    <row r="25872" customFormat="1" ht="17.25" customHeight="1"/>
    <row r="25873" customFormat="1" ht="17.25" customHeight="1"/>
    <row r="25874" customFormat="1" ht="17.25" customHeight="1"/>
    <row r="25875" customFormat="1" ht="17.25" customHeight="1"/>
    <row r="25876" customFormat="1" ht="17.25" customHeight="1"/>
    <row r="25877" customFormat="1" ht="17.25" customHeight="1"/>
    <row r="25878" customFormat="1" ht="17.25" customHeight="1"/>
    <row r="25879" customFormat="1" ht="17.25" customHeight="1"/>
    <row r="25880" customFormat="1" ht="17.25" customHeight="1"/>
    <row r="25881" customFormat="1" ht="17.25" customHeight="1"/>
    <row r="25882" customFormat="1" ht="17.25" customHeight="1"/>
    <row r="25883" customFormat="1" ht="17.25" customHeight="1"/>
    <row r="25884" customFormat="1" ht="17.25" customHeight="1"/>
    <row r="25885" customFormat="1" ht="17.25" customHeight="1"/>
    <row r="25886" customFormat="1" ht="17.25" customHeight="1"/>
    <row r="25887" customFormat="1" ht="17.25" customHeight="1"/>
    <row r="25888" customFormat="1" ht="17.25" customHeight="1"/>
    <row r="25889" customFormat="1" ht="17.25" customHeight="1"/>
    <row r="25890" customFormat="1" ht="17.25" customHeight="1"/>
    <row r="25891" customFormat="1" ht="17.25" customHeight="1"/>
    <row r="25892" customFormat="1" ht="17.25" customHeight="1"/>
    <row r="25893" customFormat="1" ht="17.25" customHeight="1"/>
    <row r="25894" customFormat="1" ht="17.25" customHeight="1"/>
    <row r="25895" customFormat="1" ht="17.25" customHeight="1"/>
    <row r="25896" customFormat="1" ht="17.25" customHeight="1"/>
    <row r="25897" customFormat="1" ht="17.25" customHeight="1"/>
    <row r="25898" customFormat="1" ht="17.25" customHeight="1"/>
    <row r="25899" customFormat="1" ht="17.25" customHeight="1"/>
    <row r="25900" customFormat="1" ht="17.25" customHeight="1"/>
    <row r="25901" customFormat="1" ht="17.25" customHeight="1"/>
    <row r="25902" customFormat="1" ht="17.25" customHeight="1"/>
    <row r="25903" customFormat="1" ht="17.25" customHeight="1"/>
    <row r="25904" customFormat="1" ht="17.25" customHeight="1"/>
    <row r="25905" customFormat="1" ht="17.25" customHeight="1"/>
    <row r="25906" customFormat="1" ht="17.25" customHeight="1"/>
    <row r="25907" customFormat="1" ht="17.25" customHeight="1"/>
    <row r="25908" customFormat="1" ht="17.25" customHeight="1"/>
    <row r="25909" customFormat="1" ht="17.25" customHeight="1"/>
    <row r="25910" customFormat="1" ht="17.25" customHeight="1"/>
    <row r="25911" customFormat="1" ht="17.25" customHeight="1"/>
    <row r="25912" customFormat="1" ht="17.25" customHeight="1"/>
    <row r="25913" customFormat="1" ht="17.25" customHeight="1"/>
    <row r="25914" customFormat="1" ht="17.25" customHeight="1"/>
    <row r="25915" customFormat="1" ht="17.25" customHeight="1"/>
    <row r="25916" customFormat="1" ht="17.25" customHeight="1"/>
    <row r="25917" customFormat="1" ht="17.25" customHeight="1"/>
    <row r="25918" customFormat="1" ht="17.25" customHeight="1"/>
    <row r="25919" customFormat="1" ht="17.25" customHeight="1"/>
    <row r="25920" customFormat="1" ht="17.25" customHeight="1"/>
    <row r="25921" customFormat="1" ht="17.25" customHeight="1"/>
    <row r="25922" customFormat="1" ht="17.25" customHeight="1"/>
    <row r="25923" customFormat="1" ht="17.25" customHeight="1"/>
    <row r="25924" customFormat="1" ht="17.25" customHeight="1"/>
    <row r="25925" customFormat="1" ht="17.25" customHeight="1"/>
    <row r="25926" customFormat="1" ht="17.25" customHeight="1"/>
    <row r="25927" customFormat="1" ht="17.25" customHeight="1"/>
    <row r="25928" customFormat="1" ht="17.25" customHeight="1"/>
    <row r="25929" customFormat="1" ht="17.25" customHeight="1"/>
    <row r="25930" customFormat="1" ht="17.25" customHeight="1"/>
    <row r="25931" customFormat="1" ht="17.25" customHeight="1"/>
    <row r="25932" customFormat="1" ht="17.25" customHeight="1"/>
    <row r="25933" customFormat="1" ht="17.25" customHeight="1"/>
    <row r="25934" customFormat="1" ht="17.25" customHeight="1"/>
    <row r="25935" customFormat="1" ht="17.25" customHeight="1"/>
    <row r="25936" customFormat="1" ht="17.25" customHeight="1"/>
    <row r="25937" customFormat="1" ht="17.25" customHeight="1"/>
    <row r="25938" customFormat="1" ht="17.25" customHeight="1"/>
    <row r="25939" customFormat="1" ht="17.25" customHeight="1"/>
    <row r="25940" customFormat="1" ht="17.25" customHeight="1"/>
    <row r="25941" customFormat="1" ht="17.25" customHeight="1"/>
    <row r="25942" customFormat="1" ht="17.25" customHeight="1"/>
    <row r="25943" customFormat="1" ht="17.25" customHeight="1"/>
    <row r="25944" customFormat="1" ht="17.25" customHeight="1"/>
    <row r="25945" customFormat="1" ht="17.25" customHeight="1"/>
    <row r="25946" customFormat="1" ht="17.25" customHeight="1"/>
    <row r="25947" customFormat="1" ht="17.25" customHeight="1"/>
    <row r="25948" customFormat="1" ht="17.25" customHeight="1"/>
    <row r="25949" customFormat="1" ht="17.25" customHeight="1"/>
    <row r="25950" customFormat="1" ht="17.25" customHeight="1"/>
    <row r="25951" customFormat="1" ht="17.25" customHeight="1"/>
    <row r="25952" customFormat="1" ht="17.25" customHeight="1"/>
    <row r="25953" customFormat="1" ht="17.25" customHeight="1"/>
    <row r="25954" customFormat="1" ht="17.25" customHeight="1"/>
    <row r="25955" customFormat="1" ht="17.25" customHeight="1"/>
    <row r="25956" customFormat="1" ht="17.25" customHeight="1"/>
    <row r="25957" customFormat="1" ht="17.25" customHeight="1"/>
    <row r="25958" customFormat="1" ht="17.25" customHeight="1"/>
    <row r="25959" customFormat="1" ht="17.25" customHeight="1"/>
    <row r="25960" customFormat="1" ht="17.25" customHeight="1"/>
    <row r="25961" customFormat="1" ht="17.25" customHeight="1"/>
    <row r="25962" customFormat="1" ht="17.25" customHeight="1"/>
    <row r="25963" customFormat="1" ht="17.25" customHeight="1"/>
    <row r="25964" customFormat="1" ht="17.25" customHeight="1"/>
    <row r="25965" customFormat="1" ht="17.25" customHeight="1"/>
    <row r="25966" customFormat="1" ht="17.25" customHeight="1"/>
    <row r="25967" customFormat="1" ht="17.25" customHeight="1"/>
    <row r="25968" customFormat="1" ht="17.25" customHeight="1"/>
    <row r="25969" customFormat="1" ht="17.25" customHeight="1"/>
    <row r="25970" customFormat="1" ht="17.25" customHeight="1"/>
    <row r="25971" customFormat="1" ht="17.25" customHeight="1"/>
    <row r="25972" customFormat="1" ht="17.25" customHeight="1"/>
    <row r="25973" customFormat="1" ht="17.25" customHeight="1"/>
    <row r="25974" customFormat="1" ht="17.25" customHeight="1"/>
    <row r="25975" customFormat="1" ht="17.25" customHeight="1"/>
    <row r="25976" customFormat="1" ht="17.25" customHeight="1"/>
    <row r="25977" customFormat="1" ht="17.25" customHeight="1"/>
    <row r="25978" customFormat="1" ht="17.25" customHeight="1"/>
    <row r="25979" customFormat="1" ht="17.25" customHeight="1"/>
    <row r="25980" customFormat="1" ht="17.25" customHeight="1"/>
    <row r="25981" customFormat="1" ht="17.25" customHeight="1"/>
    <row r="25982" customFormat="1" ht="17.25" customHeight="1"/>
    <row r="25983" customFormat="1" ht="17.25" customHeight="1"/>
    <row r="25984" customFormat="1" ht="17.25" customHeight="1"/>
    <row r="25985" customFormat="1" ht="17.25" customHeight="1"/>
    <row r="25986" customFormat="1" ht="17.25" customHeight="1"/>
    <row r="25987" customFormat="1" ht="17.25" customHeight="1"/>
    <row r="25988" customFormat="1" ht="17.25" customHeight="1"/>
    <row r="25989" customFormat="1" ht="17.25" customHeight="1"/>
    <row r="25990" customFormat="1" ht="17.25" customHeight="1"/>
    <row r="25991" customFormat="1" ht="17.25" customHeight="1"/>
    <row r="25992" customFormat="1" ht="17.25" customHeight="1"/>
    <row r="25993" customFormat="1" ht="17.25" customHeight="1"/>
    <row r="25994" customFormat="1" ht="17.25" customHeight="1"/>
    <row r="25995" customFormat="1" ht="17.25" customHeight="1"/>
    <row r="25996" customFormat="1" ht="17.25" customHeight="1"/>
    <row r="25997" customFormat="1" ht="17.25" customHeight="1"/>
    <row r="25998" customFormat="1" ht="17.25" customHeight="1"/>
    <row r="25999" customFormat="1" ht="17.25" customHeight="1"/>
    <row r="26000" customFormat="1" ht="17.25" customHeight="1"/>
    <row r="26001" customFormat="1" ht="17.25" customHeight="1"/>
    <row r="26002" customFormat="1" ht="17.25" customHeight="1"/>
    <row r="26003" customFormat="1" ht="17.25" customHeight="1"/>
    <row r="26004" customFormat="1" ht="17.25" customHeight="1"/>
    <row r="26005" customFormat="1" ht="17.25" customHeight="1"/>
    <row r="26006" customFormat="1" ht="17.25" customHeight="1"/>
    <row r="26007" customFormat="1" ht="17.25" customHeight="1"/>
    <row r="26008" customFormat="1" ht="17.25" customHeight="1"/>
    <row r="26009" customFormat="1" ht="17.25" customHeight="1"/>
    <row r="26010" customFormat="1" ht="17.25" customHeight="1"/>
    <row r="26011" customFormat="1" ht="17.25" customHeight="1"/>
    <row r="26012" customFormat="1" ht="17.25" customHeight="1"/>
    <row r="26013" customFormat="1" ht="17.25" customHeight="1"/>
    <row r="26014" customFormat="1" ht="17.25" customHeight="1"/>
    <row r="26015" customFormat="1" ht="17.25" customHeight="1"/>
    <row r="26016" customFormat="1" ht="17.25" customHeight="1"/>
    <row r="26017" customFormat="1" ht="17.25" customHeight="1"/>
    <row r="26018" customFormat="1" ht="17.25" customHeight="1"/>
    <row r="26019" customFormat="1" ht="17.25" customHeight="1"/>
    <row r="26020" customFormat="1" ht="17.25" customHeight="1"/>
    <row r="26021" customFormat="1" ht="17.25" customHeight="1"/>
    <row r="26022" customFormat="1" ht="17.25" customHeight="1"/>
    <row r="26023" customFormat="1" ht="17.25" customHeight="1"/>
    <row r="26024" customFormat="1" ht="17.25" customHeight="1"/>
    <row r="26025" customFormat="1" ht="17.25" customHeight="1"/>
    <row r="26026" customFormat="1" ht="17.25" customHeight="1"/>
    <row r="26027" customFormat="1" ht="17.25" customHeight="1"/>
    <row r="26028" customFormat="1" ht="17.25" customHeight="1"/>
    <row r="26029" customFormat="1" ht="17.25" customHeight="1"/>
    <row r="26030" customFormat="1" ht="17.25" customHeight="1"/>
    <row r="26031" customFormat="1" ht="17.25" customHeight="1"/>
    <row r="26032" customFormat="1" ht="17.25" customHeight="1"/>
    <row r="26033" customFormat="1" ht="17.25" customHeight="1"/>
    <row r="26034" customFormat="1" ht="17.25" customHeight="1"/>
    <row r="26035" customFormat="1" ht="17.25" customHeight="1"/>
    <row r="26036" customFormat="1" ht="17.25" customHeight="1"/>
    <row r="26037" customFormat="1" ht="17.25" customHeight="1"/>
    <row r="26038" customFormat="1" ht="17.25" customHeight="1"/>
    <row r="26039" customFormat="1" ht="17.25" customHeight="1"/>
    <row r="26040" customFormat="1" ht="17.25" customHeight="1"/>
    <row r="26041" customFormat="1" ht="17.25" customHeight="1"/>
    <row r="26042" customFormat="1" ht="17.25" customHeight="1"/>
    <row r="26043" customFormat="1" ht="17.25" customHeight="1"/>
    <row r="26044" customFormat="1" ht="17.25" customHeight="1"/>
    <row r="26045" customFormat="1" ht="17.25" customHeight="1"/>
    <row r="26046" customFormat="1" ht="17.25" customHeight="1"/>
    <row r="26047" customFormat="1" ht="17.25" customHeight="1"/>
    <row r="26048" customFormat="1" ht="17.25" customHeight="1"/>
    <row r="26049" customFormat="1" ht="17.25" customHeight="1"/>
    <row r="26050" customFormat="1" ht="17.25" customHeight="1"/>
    <row r="26051" customFormat="1" ht="17.25" customHeight="1"/>
    <row r="26052" customFormat="1" ht="17.25" customHeight="1"/>
    <row r="26053" customFormat="1" ht="17.25" customHeight="1"/>
    <row r="26054" customFormat="1" ht="17.25" customHeight="1"/>
    <row r="26055" customFormat="1" ht="17.25" customHeight="1"/>
    <row r="26056" customFormat="1" ht="17.25" customHeight="1"/>
    <row r="26057" customFormat="1" ht="17.25" customHeight="1"/>
    <row r="26058" customFormat="1" ht="17.25" customHeight="1"/>
    <row r="26059" customFormat="1" ht="17.25" customHeight="1"/>
    <row r="26060" customFormat="1" ht="17.25" customHeight="1"/>
    <row r="26061" customFormat="1" ht="17.25" customHeight="1"/>
    <row r="26062" customFormat="1" ht="17.25" customHeight="1"/>
    <row r="26063" customFormat="1" ht="17.25" customHeight="1"/>
    <row r="26064" customFormat="1" ht="17.25" customHeight="1"/>
    <row r="26065" customFormat="1" ht="17.25" customHeight="1"/>
    <row r="26066" customFormat="1" ht="17.25" customHeight="1"/>
    <row r="26067" customFormat="1" ht="17.25" customHeight="1"/>
    <row r="26068" customFormat="1" ht="17.25" customHeight="1"/>
    <row r="26069" customFormat="1" ht="17.25" customHeight="1"/>
    <row r="26070" customFormat="1" ht="17.25" customHeight="1"/>
    <row r="26071" customFormat="1" ht="17.25" customHeight="1"/>
    <row r="26072" customFormat="1" ht="17.25" customHeight="1"/>
    <row r="26073" customFormat="1" ht="17.25" customHeight="1"/>
    <row r="26074" customFormat="1" ht="17.25" customHeight="1"/>
    <row r="26075" customFormat="1" ht="17.25" customHeight="1"/>
    <row r="26076" customFormat="1" ht="17.25" customHeight="1"/>
    <row r="26077" customFormat="1" ht="17.25" customHeight="1"/>
    <row r="26078" customFormat="1" ht="17.25" customHeight="1"/>
    <row r="26079" customFormat="1" ht="17.25" customHeight="1"/>
    <row r="26080" customFormat="1" ht="17.25" customHeight="1"/>
    <row r="26081" customFormat="1" ht="17.25" customHeight="1"/>
    <row r="26082" customFormat="1" ht="17.25" customHeight="1"/>
    <row r="26083" customFormat="1" ht="17.25" customHeight="1"/>
    <row r="26084" customFormat="1" ht="17.25" customHeight="1"/>
    <row r="26085" customFormat="1" ht="17.25" customHeight="1"/>
    <row r="26086" customFormat="1" ht="17.25" customHeight="1"/>
    <row r="26087" customFormat="1" ht="17.25" customHeight="1"/>
    <row r="26088" customFormat="1" ht="17.25" customHeight="1"/>
    <row r="26089" customFormat="1" ht="17.25" customHeight="1"/>
    <row r="26090" customFormat="1" ht="17.25" customHeight="1"/>
    <row r="26091" customFormat="1" ht="17.25" customHeight="1"/>
    <row r="26092" customFormat="1" ht="17.25" customHeight="1"/>
    <row r="26093" customFormat="1" ht="17.25" customHeight="1"/>
    <row r="26094" customFormat="1" ht="17.25" customHeight="1"/>
    <row r="26095" customFormat="1" ht="17.25" customHeight="1"/>
    <row r="26096" customFormat="1" ht="17.25" customHeight="1"/>
    <row r="26097" customFormat="1" ht="17.25" customHeight="1"/>
    <row r="26098" customFormat="1" ht="17.25" customHeight="1"/>
    <row r="26099" customFormat="1" ht="17.25" customHeight="1"/>
    <row r="26100" customFormat="1" ht="17.25" customHeight="1"/>
    <row r="26101" customFormat="1" ht="17.25" customHeight="1"/>
    <row r="26102" customFormat="1" ht="17.25" customHeight="1"/>
    <row r="26103" customFormat="1" ht="17.25" customHeight="1"/>
    <row r="26104" customFormat="1" ht="17.25" customHeight="1"/>
    <row r="26105" customFormat="1" ht="17.25" customHeight="1"/>
    <row r="26106" customFormat="1" ht="17.25" customHeight="1"/>
    <row r="26107" customFormat="1" ht="17.25" customHeight="1"/>
    <row r="26108" customFormat="1" ht="17.25" customHeight="1"/>
    <row r="26109" customFormat="1" ht="17.25" customHeight="1"/>
    <row r="26110" customFormat="1" ht="17.25" customHeight="1"/>
    <row r="26111" customFormat="1" ht="17.25" customHeight="1"/>
    <row r="26112" customFormat="1" ht="17.25" customHeight="1"/>
    <row r="26113" customFormat="1" ht="17.25" customHeight="1"/>
    <row r="26114" customFormat="1" ht="17.25" customHeight="1"/>
    <row r="26115" customFormat="1" ht="17.25" customHeight="1"/>
    <row r="26116" customFormat="1" ht="17.25" customHeight="1"/>
    <row r="26117" customFormat="1" ht="17.25" customHeight="1"/>
    <row r="26118" customFormat="1" ht="17.25" customHeight="1"/>
    <row r="26119" customFormat="1" ht="17.25" customHeight="1"/>
    <row r="26120" customFormat="1" ht="17.25" customHeight="1"/>
    <row r="26121" customFormat="1" ht="17.25" customHeight="1"/>
    <row r="26122" customFormat="1" ht="17.25" customHeight="1"/>
    <row r="26123" customFormat="1" ht="17.25" customHeight="1"/>
    <row r="26124" customFormat="1" ht="17.25" customHeight="1"/>
    <row r="26125" customFormat="1" ht="17.25" customHeight="1"/>
    <row r="26126" customFormat="1" ht="17.25" customHeight="1"/>
    <row r="26127" customFormat="1" ht="17.25" customHeight="1"/>
    <row r="26128" customFormat="1" ht="17.25" customHeight="1"/>
    <row r="26129" customFormat="1" ht="17.25" customHeight="1"/>
    <row r="26130" customFormat="1" ht="17.25" customHeight="1"/>
    <row r="26131" customFormat="1" ht="17.25" customHeight="1"/>
    <row r="26132" customFormat="1" ht="17.25" customHeight="1"/>
    <row r="26133" customFormat="1" ht="17.25" customHeight="1"/>
    <row r="26134" customFormat="1" ht="17.25" customHeight="1"/>
    <row r="26135" customFormat="1" ht="17.25" customHeight="1"/>
    <row r="26136" customFormat="1" ht="17.25" customHeight="1"/>
    <row r="26137" customFormat="1" ht="17.25" customHeight="1"/>
    <row r="26138" customFormat="1" ht="17.25" customHeight="1"/>
    <row r="26139" customFormat="1" ht="17.25" customHeight="1"/>
    <row r="26140" customFormat="1" ht="17.25" customHeight="1"/>
    <row r="26141" customFormat="1" ht="17.25" customHeight="1"/>
    <row r="26142" customFormat="1" ht="17.25" customHeight="1"/>
    <row r="26143" customFormat="1" ht="17.25" customHeight="1"/>
    <row r="26144" customFormat="1" ht="17.25" customHeight="1"/>
    <row r="26145" customFormat="1" ht="17.25" customHeight="1"/>
    <row r="26146" customFormat="1" ht="17.25" customHeight="1"/>
    <row r="26147" customFormat="1" ht="17.25" customHeight="1"/>
    <row r="26148" customFormat="1" ht="17.25" customHeight="1"/>
    <row r="26149" customFormat="1" ht="17.25" customHeight="1"/>
    <row r="26150" customFormat="1" ht="17.25" customHeight="1"/>
    <row r="26151" customFormat="1" ht="17.25" customHeight="1"/>
    <row r="26152" customFormat="1" ht="17.25" customHeight="1"/>
    <row r="26153" customFormat="1" ht="17.25" customHeight="1"/>
    <row r="26154" customFormat="1" ht="17.25" customHeight="1"/>
    <row r="26155" customFormat="1" ht="17.25" customHeight="1"/>
    <row r="26156" customFormat="1" ht="17.25" customHeight="1"/>
    <row r="26157" customFormat="1" ht="17.25" customHeight="1"/>
    <row r="26158" customFormat="1" ht="17.25" customHeight="1"/>
    <row r="26159" customFormat="1" ht="17.25" customHeight="1"/>
    <row r="26160" customFormat="1" ht="17.25" customHeight="1"/>
    <row r="26161" customFormat="1" ht="17.25" customHeight="1"/>
    <row r="26162" customFormat="1" ht="17.25" customHeight="1"/>
    <row r="26163" customFormat="1" ht="17.25" customHeight="1"/>
    <row r="26164" customFormat="1" ht="17.25" customHeight="1"/>
    <row r="26165" customFormat="1" ht="17.25" customHeight="1"/>
    <row r="26166" customFormat="1" ht="17.25" customHeight="1"/>
    <row r="26167" customFormat="1" ht="17.25" customHeight="1"/>
    <row r="26168" customFormat="1" ht="17.25" customHeight="1"/>
    <row r="26169" customFormat="1" ht="17.25" customHeight="1"/>
    <row r="26170" customFormat="1" ht="17.25" customHeight="1"/>
    <row r="26171" customFormat="1" ht="17.25" customHeight="1"/>
    <row r="26172" customFormat="1" ht="17.25" customHeight="1"/>
    <row r="26173" customFormat="1" ht="17.25" customHeight="1"/>
    <row r="26174" customFormat="1" ht="17.25" customHeight="1"/>
    <row r="26175" customFormat="1" ht="17.25" customHeight="1"/>
    <row r="26176" customFormat="1" ht="17.25" customHeight="1"/>
    <row r="26177" customFormat="1" ht="17.25" customHeight="1"/>
    <row r="26178" customFormat="1" ht="17.25" customHeight="1"/>
    <row r="26179" customFormat="1" ht="17.25" customHeight="1"/>
    <row r="26180" customFormat="1" ht="17.25" customHeight="1"/>
    <row r="26181" customFormat="1" ht="17.25" customHeight="1"/>
    <row r="26182" customFormat="1" ht="17.25" customHeight="1"/>
    <row r="26183" customFormat="1" ht="17.25" customHeight="1"/>
    <row r="26184" customFormat="1" ht="17.25" customHeight="1"/>
    <row r="26185" customFormat="1" ht="17.25" customHeight="1"/>
    <row r="26186" customFormat="1" ht="17.25" customHeight="1"/>
    <row r="26187" customFormat="1" ht="17.25" customHeight="1"/>
    <row r="26188" customFormat="1" ht="17.25" customHeight="1"/>
    <row r="26189" customFormat="1" ht="17.25" customHeight="1"/>
    <row r="26190" customFormat="1" ht="17.25" customHeight="1"/>
    <row r="26191" customFormat="1" ht="17.25" customHeight="1"/>
    <row r="26192" customFormat="1" ht="17.25" customHeight="1"/>
    <row r="26193" customFormat="1" ht="17.25" customHeight="1"/>
    <row r="26194" customFormat="1" ht="17.25" customHeight="1"/>
    <row r="26195" customFormat="1" ht="17.25" customHeight="1"/>
    <row r="26196" customFormat="1" ht="17.25" customHeight="1"/>
    <row r="26197" customFormat="1" ht="17.25" customHeight="1"/>
    <row r="26198" customFormat="1" ht="17.25" customHeight="1"/>
    <row r="26199" customFormat="1" ht="17.25" customHeight="1"/>
    <row r="26200" customFormat="1" ht="17.25" customHeight="1"/>
    <row r="26201" customFormat="1" ht="17.25" customHeight="1"/>
    <row r="26202" customFormat="1" ht="17.25" customHeight="1"/>
    <row r="26203" customFormat="1" ht="17.25" customHeight="1"/>
    <row r="26204" customFormat="1" ht="17.25" customHeight="1"/>
    <row r="26205" customFormat="1" ht="17.25" customHeight="1"/>
    <row r="26206" customFormat="1" ht="17.25" customHeight="1"/>
    <row r="26207" customFormat="1" ht="17.25" customHeight="1"/>
    <row r="26208" customFormat="1" ht="17.25" customHeight="1"/>
    <row r="26209" customFormat="1" ht="17.25" customHeight="1"/>
    <row r="26210" customFormat="1" ht="17.25" customHeight="1"/>
    <row r="26211" customFormat="1" ht="17.25" customHeight="1"/>
    <row r="26212" customFormat="1" ht="17.25" customHeight="1"/>
    <row r="26213" customFormat="1" ht="17.25" customHeight="1"/>
    <row r="26214" customFormat="1" ht="17.25" customHeight="1"/>
    <row r="26215" customFormat="1" ht="17.25" customHeight="1"/>
    <row r="26216" customFormat="1" ht="17.25" customHeight="1"/>
    <row r="26217" customFormat="1" ht="17.25" customHeight="1"/>
    <row r="26218" customFormat="1" ht="17.25" customHeight="1"/>
    <row r="26219" customFormat="1" ht="17.25" customHeight="1"/>
    <row r="26220" customFormat="1" ht="17.25" customHeight="1"/>
    <row r="26221" customFormat="1" ht="17.25" customHeight="1"/>
    <row r="26222" customFormat="1" ht="17.25" customHeight="1"/>
    <row r="26223" customFormat="1" ht="17.25" customHeight="1"/>
    <row r="26224" customFormat="1" ht="17.25" customHeight="1"/>
    <row r="26225" customFormat="1" ht="17.25" customHeight="1"/>
    <row r="26226" customFormat="1" ht="17.25" customHeight="1"/>
    <row r="26227" customFormat="1" ht="17.25" customHeight="1"/>
    <row r="26228" customFormat="1" ht="17.25" customHeight="1"/>
    <row r="26229" customFormat="1" ht="17.25" customHeight="1"/>
    <row r="26230" customFormat="1" ht="17.25" customHeight="1"/>
    <row r="26231" customFormat="1" ht="17.25" customHeight="1"/>
    <row r="26232" customFormat="1" ht="17.25" customHeight="1"/>
    <row r="26233" customFormat="1" ht="17.25" customHeight="1"/>
    <row r="26234" customFormat="1" ht="17.25" customHeight="1"/>
    <row r="26235" customFormat="1" ht="17.25" customHeight="1"/>
    <row r="26236" customFormat="1" ht="17.25" customHeight="1"/>
    <row r="26237" customFormat="1" ht="17.25" customHeight="1"/>
    <row r="26238" customFormat="1" ht="17.25" customHeight="1"/>
    <row r="26239" customFormat="1" ht="17.25" customHeight="1"/>
    <row r="26240" customFormat="1" ht="17.25" customHeight="1"/>
    <row r="26241" customFormat="1" ht="17.25" customHeight="1"/>
    <row r="26242" customFormat="1" ht="17.25" customHeight="1"/>
    <row r="26243" customFormat="1" ht="17.25" customHeight="1"/>
    <row r="26244" customFormat="1" ht="17.25" customHeight="1"/>
    <row r="26245" customFormat="1" ht="17.25" customHeight="1"/>
    <row r="26246" customFormat="1" ht="17.25" customHeight="1"/>
    <row r="26247" customFormat="1" ht="17.25" customHeight="1"/>
    <row r="26248" customFormat="1" ht="17.25" customHeight="1"/>
    <row r="26249" customFormat="1" ht="17.25" customHeight="1"/>
    <row r="26250" customFormat="1" ht="17.25" customHeight="1"/>
    <row r="26251" customFormat="1" ht="17.25" customHeight="1"/>
    <row r="26252" customFormat="1" ht="17.25" customHeight="1"/>
    <row r="26253" customFormat="1" ht="17.25" customHeight="1"/>
    <row r="26254" customFormat="1" ht="17.25" customHeight="1"/>
    <row r="26255" customFormat="1" ht="17.25" customHeight="1"/>
    <row r="26256" customFormat="1" ht="17.25" customHeight="1"/>
    <row r="26257" customFormat="1" ht="17.25" customHeight="1"/>
    <row r="26258" customFormat="1" ht="17.25" customHeight="1"/>
    <row r="26259" customFormat="1" ht="17.25" customHeight="1"/>
    <row r="26260" customFormat="1" ht="17.25" customHeight="1"/>
    <row r="26261" customFormat="1" ht="17.25" customHeight="1"/>
    <row r="26262" customFormat="1" ht="17.25" customHeight="1"/>
    <row r="26263" customFormat="1" ht="17.25" customHeight="1"/>
    <row r="26264" customFormat="1" ht="17.25" customHeight="1"/>
    <row r="26265" customFormat="1" ht="17.25" customHeight="1"/>
    <row r="26266" customFormat="1" ht="17.25" customHeight="1"/>
    <row r="26267" customFormat="1" ht="17.25" customHeight="1"/>
    <row r="26268" customFormat="1" ht="17.25" customHeight="1"/>
    <row r="26269" customFormat="1" ht="17.25" customHeight="1"/>
    <row r="26270" customFormat="1" ht="17.25" customHeight="1"/>
    <row r="26271" customFormat="1" ht="17.25" customHeight="1"/>
    <row r="26272" customFormat="1" ht="17.25" customHeight="1"/>
    <row r="26273" customFormat="1" ht="17.25" customHeight="1"/>
    <row r="26274" customFormat="1" ht="17.25" customHeight="1"/>
    <row r="26275" customFormat="1" ht="17.25" customHeight="1"/>
    <row r="26276" customFormat="1" ht="17.25" customHeight="1"/>
    <row r="26277" customFormat="1" ht="17.25" customHeight="1"/>
    <row r="26278" customFormat="1" ht="17.25" customHeight="1"/>
    <row r="26279" customFormat="1" ht="17.25" customHeight="1"/>
    <row r="26280" customFormat="1" ht="17.25" customHeight="1"/>
    <row r="26281" customFormat="1" ht="17.25" customHeight="1"/>
    <row r="26282" customFormat="1" ht="17.25" customHeight="1"/>
    <row r="26283" customFormat="1" ht="17.25" customHeight="1"/>
    <row r="26284" customFormat="1" ht="17.25" customHeight="1"/>
    <row r="26285" customFormat="1" ht="17.25" customHeight="1"/>
    <row r="26286" customFormat="1" ht="17.25" customHeight="1"/>
    <row r="26287" customFormat="1" ht="17.25" customHeight="1"/>
    <row r="26288" customFormat="1" ht="17.25" customHeight="1"/>
    <row r="26289" customFormat="1" ht="17.25" customHeight="1"/>
    <row r="26290" customFormat="1" ht="17.25" customHeight="1"/>
    <row r="26291" customFormat="1" ht="17.25" customHeight="1"/>
    <row r="26292" customFormat="1" ht="17.25" customHeight="1"/>
    <row r="26293" customFormat="1" ht="17.25" customHeight="1"/>
    <row r="26294" customFormat="1" ht="17.25" customHeight="1"/>
    <row r="26295" customFormat="1" ht="17.25" customHeight="1"/>
    <row r="26296" customFormat="1" ht="17.25" customHeight="1"/>
    <row r="26297" customFormat="1" ht="17.25" customHeight="1"/>
    <row r="26298" customFormat="1" ht="17.25" customHeight="1"/>
    <row r="26299" customFormat="1" ht="17.25" customHeight="1"/>
    <row r="26300" customFormat="1" ht="17.25" customHeight="1"/>
    <row r="26301" customFormat="1" ht="17.25" customHeight="1"/>
    <row r="26302" customFormat="1" ht="17.25" customHeight="1"/>
    <row r="26303" customFormat="1" ht="17.25" customHeight="1"/>
    <row r="26304" customFormat="1" ht="17.25" customHeight="1"/>
    <row r="26305" customFormat="1" ht="17.25" customHeight="1"/>
    <row r="26306" customFormat="1" ht="17.25" customHeight="1"/>
    <row r="26307" customFormat="1" ht="17.25" customHeight="1"/>
    <row r="26308" customFormat="1" ht="17.25" customHeight="1"/>
    <row r="26309" customFormat="1" ht="17.25" customHeight="1"/>
    <row r="26310" customFormat="1" ht="17.25" customHeight="1"/>
    <row r="26311" customFormat="1" ht="17.25" customHeight="1"/>
    <row r="26312" customFormat="1" ht="17.25" customHeight="1"/>
    <row r="26313" customFormat="1" ht="17.25" customHeight="1"/>
    <row r="26314" customFormat="1" ht="17.25" customHeight="1"/>
    <row r="26315" customFormat="1" ht="17.25" customHeight="1"/>
    <row r="26316" customFormat="1" ht="17.25" customHeight="1"/>
    <row r="26317" customFormat="1" ht="17.25" customHeight="1"/>
    <row r="26318" customFormat="1" ht="17.25" customHeight="1"/>
    <row r="26319" customFormat="1" ht="17.25" customHeight="1"/>
    <row r="26320" customFormat="1" ht="17.25" customHeight="1"/>
    <row r="26321" customFormat="1" ht="17.25" customHeight="1"/>
    <row r="26322" customFormat="1" ht="17.25" customHeight="1"/>
    <row r="26323" customFormat="1" ht="17.25" customHeight="1"/>
    <row r="26324" customFormat="1" ht="17.25" customHeight="1"/>
    <row r="26325" customFormat="1" ht="17.25" customHeight="1"/>
    <row r="26326" customFormat="1" ht="17.25" customHeight="1"/>
    <row r="26327" customFormat="1" ht="17.25" customHeight="1"/>
    <row r="26328" customFormat="1" ht="17.25" customHeight="1"/>
    <row r="26329" customFormat="1" ht="17.25" customHeight="1"/>
    <row r="26330" customFormat="1" ht="17.25" customHeight="1"/>
    <row r="26331" customFormat="1" ht="17.25" customHeight="1"/>
    <row r="26332" customFormat="1" ht="17.25" customHeight="1"/>
    <row r="26333" customFormat="1" ht="17.25" customHeight="1"/>
    <row r="26334" customFormat="1" ht="17.25" customHeight="1"/>
    <row r="26335" customFormat="1" ht="17.25" customHeight="1"/>
    <row r="26336" customFormat="1" ht="17.25" customHeight="1"/>
    <row r="26337" customFormat="1" ht="17.25" customHeight="1"/>
    <row r="26338" customFormat="1" ht="17.25" customHeight="1"/>
    <row r="26339" customFormat="1" ht="17.25" customHeight="1"/>
    <row r="26340" customFormat="1" ht="17.25" customHeight="1"/>
    <row r="26341" customFormat="1" ht="17.25" customHeight="1"/>
    <row r="26342" customFormat="1" ht="17.25" customHeight="1"/>
    <row r="26343" customFormat="1" ht="17.25" customHeight="1"/>
    <row r="26344" customFormat="1" ht="17.25" customHeight="1"/>
    <row r="26345" customFormat="1" ht="17.25" customHeight="1"/>
    <row r="26346" customFormat="1" ht="17.25" customHeight="1"/>
    <row r="26347" customFormat="1" ht="17.25" customHeight="1"/>
    <row r="26348" customFormat="1" ht="17.25" customHeight="1"/>
    <row r="26349" customFormat="1" ht="17.25" customHeight="1"/>
    <row r="26350" customFormat="1" ht="17.25" customHeight="1"/>
    <row r="26351" customFormat="1" ht="17.25" customHeight="1"/>
    <row r="26352" customFormat="1" ht="17.25" customHeight="1"/>
    <row r="26353" customFormat="1" ht="17.25" customHeight="1"/>
    <row r="26354" customFormat="1" ht="17.25" customHeight="1"/>
    <row r="26355" customFormat="1" ht="17.25" customHeight="1"/>
    <row r="26356" customFormat="1" ht="17.25" customHeight="1"/>
    <row r="26357" customFormat="1" ht="17.25" customHeight="1"/>
    <row r="26358" customFormat="1" ht="17.25" customHeight="1"/>
    <row r="26359" customFormat="1" ht="17.25" customHeight="1"/>
    <row r="26360" customFormat="1" ht="17.25" customHeight="1"/>
    <row r="26361" customFormat="1" ht="17.25" customHeight="1"/>
    <row r="26362" customFormat="1" ht="17.25" customHeight="1"/>
    <row r="26363" customFormat="1" ht="17.25" customHeight="1"/>
    <row r="26364" customFormat="1" ht="17.25" customHeight="1"/>
    <row r="26365" customFormat="1" ht="17.25" customHeight="1"/>
    <row r="26366" customFormat="1" ht="17.25" customHeight="1"/>
    <row r="26367" customFormat="1" ht="17.25" customHeight="1"/>
    <row r="26368" customFormat="1" ht="17.25" customHeight="1"/>
    <row r="26369" customFormat="1" ht="17.25" customHeight="1"/>
    <row r="26370" customFormat="1" ht="17.25" customHeight="1"/>
    <row r="26371" customFormat="1" ht="17.25" customHeight="1"/>
    <row r="26372" customFormat="1" ht="17.25" customHeight="1"/>
    <row r="26373" customFormat="1" ht="17.25" customHeight="1"/>
    <row r="26374" customFormat="1" ht="17.25" customHeight="1"/>
    <row r="26375" customFormat="1" ht="17.25" customHeight="1"/>
    <row r="26376" customFormat="1" ht="17.25" customHeight="1"/>
    <row r="26377" customFormat="1" ht="17.25" customHeight="1"/>
    <row r="26378" customFormat="1" ht="17.25" customHeight="1"/>
    <row r="26379" customFormat="1" ht="17.25" customHeight="1"/>
    <row r="26380" customFormat="1" ht="17.25" customHeight="1"/>
    <row r="26381" customFormat="1" ht="17.25" customHeight="1"/>
    <row r="26382" customFormat="1" ht="17.25" customHeight="1"/>
    <row r="26383" customFormat="1" ht="17.25" customHeight="1"/>
    <row r="26384" customFormat="1" ht="17.25" customHeight="1"/>
    <row r="26385" customFormat="1" ht="17.25" customHeight="1"/>
    <row r="26386" customFormat="1" ht="17.25" customHeight="1"/>
    <row r="26387" customFormat="1" ht="17.25" customHeight="1"/>
    <row r="26388" customFormat="1" ht="17.25" customHeight="1"/>
    <row r="26389" customFormat="1" ht="17.25" customHeight="1"/>
    <row r="26390" customFormat="1" ht="17.25" customHeight="1"/>
    <row r="26391" customFormat="1" ht="17.25" customHeight="1"/>
    <row r="26392" customFormat="1" ht="17.25" customHeight="1"/>
    <row r="26393" customFormat="1" ht="17.25" customHeight="1"/>
    <row r="26394" customFormat="1" ht="17.25" customHeight="1"/>
    <row r="26395" customFormat="1" ht="17.25" customHeight="1"/>
    <row r="26396" customFormat="1" ht="17.25" customHeight="1"/>
    <row r="26397" customFormat="1" ht="17.25" customHeight="1"/>
    <row r="26398" customFormat="1" ht="17.25" customHeight="1"/>
    <row r="26399" customFormat="1" ht="17.25" customHeight="1"/>
    <row r="26400" customFormat="1" ht="17.25" customHeight="1"/>
    <row r="26401" customFormat="1" ht="17.25" customHeight="1"/>
    <row r="26402" customFormat="1" ht="17.25" customHeight="1"/>
    <row r="26403" customFormat="1" ht="17.25" customHeight="1"/>
    <row r="26404" customFormat="1" ht="17.25" customHeight="1"/>
    <row r="26405" customFormat="1" ht="17.25" customHeight="1"/>
    <row r="26406" customFormat="1" ht="17.25" customHeight="1"/>
    <row r="26407" customFormat="1" ht="17.25" customHeight="1"/>
    <row r="26408" customFormat="1" ht="17.25" customHeight="1"/>
    <row r="26409" customFormat="1" ht="17.25" customHeight="1"/>
    <row r="26410" customFormat="1" ht="17.25" customHeight="1"/>
    <row r="26411" customFormat="1" ht="17.25" customHeight="1"/>
    <row r="26412" customFormat="1" ht="17.25" customHeight="1"/>
    <row r="26413" customFormat="1" ht="17.25" customHeight="1"/>
    <row r="26414" customFormat="1" ht="17.25" customHeight="1"/>
    <row r="26415" customFormat="1" ht="17.25" customHeight="1"/>
    <row r="26416" customFormat="1" ht="17.25" customHeight="1"/>
    <row r="26417" customFormat="1" ht="17.25" customHeight="1"/>
    <row r="26418" customFormat="1" ht="17.25" customHeight="1"/>
    <row r="26419" customFormat="1" ht="17.25" customHeight="1"/>
    <row r="26420" customFormat="1" ht="17.25" customHeight="1"/>
    <row r="26421" customFormat="1" ht="17.25" customHeight="1"/>
    <row r="26422" customFormat="1" ht="17.25" customHeight="1"/>
    <row r="26423" customFormat="1" ht="17.25" customHeight="1"/>
    <row r="26424" customFormat="1" ht="17.25" customHeight="1"/>
    <row r="26425" customFormat="1" ht="17.25" customHeight="1"/>
    <row r="26426" customFormat="1" ht="17.25" customHeight="1"/>
    <row r="26427" customFormat="1" ht="17.25" customHeight="1"/>
    <row r="26428" customFormat="1" ht="17.25" customHeight="1"/>
    <row r="26429" customFormat="1" ht="17.25" customHeight="1"/>
    <row r="26430" customFormat="1" ht="17.25" customHeight="1"/>
    <row r="26431" customFormat="1" ht="17.25" customHeight="1"/>
    <row r="26432" customFormat="1" ht="17.25" customHeight="1"/>
    <row r="26433" customFormat="1" ht="17.25" customHeight="1"/>
    <row r="26434" customFormat="1" ht="17.25" customHeight="1"/>
    <row r="26435" customFormat="1" ht="17.25" customHeight="1"/>
    <row r="26436" customFormat="1" ht="17.25" customHeight="1"/>
    <row r="26437" customFormat="1" ht="17.25" customHeight="1"/>
    <row r="26438" customFormat="1" ht="17.25" customHeight="1"/>
    <row r="26439" customFormat="1" ht="17.25" customHeight="1"/>
    <row r="26440" customFormat="1" ht="17.25" customHeight="1"/>
    <row r="26441" customFormat="1" ht="17.25" customHeight="1"/>
    <row r="26442" customFormat="1" ht="17.25" customHeight="1"/>
    <row r="26443" customFormat="1" ht="17.25" customHeight="1"/>
    <row r="26444" customFormat="1" ht="17.25" customHeight="1"/>
    <row r="26445" customFormat="1" ht="17.25" customHeight="1"/>
    <row r="26446" customFormat="1" ht="17.25" customHeight="1"/>
    <row r="26447" customFormat="1" ht="17.25" customHeight="1"/>
    <row r="26448" customFormat="1" ht="17.25" customHeight="1"/>
    <row r="26449" customFormat="1" ht="17.25" customHeight="1"/>
    <row r="26450" customFormat="1" ht="17.25" customHeight="1"/>
    <row r="26451" customFormat="1" ht="17.25" customHeight="1"/>
    <row r="26452" customFormat="1" ht="17.25" customHeight="1"/>
    <row r="26453" customFormat="1" ht="17.25" customHeight="1"/>
    <row r="26454" customFormat="1" ht="17.25" customHeight="1"/>
    <row r="26455" customFormat="1" ht="17.25" customHeight="1"/>
    <row r="26456" customFormat="1" ht="17.25" customHeight="1"/>
    <row r="26457" customFormat="1" ht="17.25" customHeight="1"/>
    <row r="26458" customFormat="1" ht="17.25" customHeight="1"/>
    <row r="26459" customFormat="1" ht="17.25" customHeight="1"/>
    <row r="26460" customFormat="1" ht="17.25" customHeight="1"/>
    <row r="26461" customFormat="1" ht="17.25" customHeight="1"/>
    <row r="26462" customFormat="1" ht="17.25" customHeight="1"/>
    <row r="26463" customFormat="1" ht="17.25" customHeight="1"/>
    <row r="26464" customFormat="1" ht="17.25" customHeight="1"/>
    <row r="26465" customFormat="1" ht="17.25" customHeight="1"/>
    <row r="26466" customFormat="1" ht="17.25" customHeight="1"/>
    <row r="26467" customFormat="1" ht="17.25" customHeight="1"/>
    <row r="26468" customFormat="1" ht="17.25" customHeight="1"/>
    <row r="26469" customFormat="1" ht="17.25" customHeight="1"/>
    <row r="26470" customFormat="1" ht="17.25" customHeight="1"/>
    <row r="26471" customFormat="1" ht="17.25" customHeight="1"/>
    <row r="26472" customFormat="1" ht="17.25" customHeight="1"/>
    <row r="26473" customFormat="1" ht="17.25" customHeight="1"/>
    <row r="26474" customFormat="1" ht="17.25" customHeight="1"/>
    <row r="26475" customFormat="1" ht="17.25" customHeight="1"/>
    <row r="26476" customFormat="1" ht="17.25" customHeight="1"/>
    <row r="26477" customFormat="1" ht="17.25" customHeight="1"/>
    <row r="26478" customFormat="1" ht="17.25" customHeight="1"/>
    <row r="26479" customFormat="1" ht="17.25" customHeight="1"/>
    <row r="26480" customFormat="1" ht="17.25" customHeight="1"/>
    <row r="26481" customFormat="1" ht="17.25" customHeight="1"/>
    <row r="26482" customFormat="1" ht="17.25" customHeight="1"/>
    <row r="26483" customFormat="1" ht="17.25" customHeight="1"/>
    <row r="26484" customFormat="1" ht="17.25" customHeight="1"/>
    <row r="26485" customFormat="1" ht="17.25" customHeight="1"/>
    <row r="26486" customFormat="1" ht="17.25" customHeight="1"/>
    <row r="26487" customFormat="1" ht="17.25" customHeight="1"/>
    <row r="26488" customFormat="1" ht="17.25" customHeight="1"/>
    <row r="26489" customFormat="1" ht="17.25" customHeight="1"/>
    <row r="26490" customFormat="1" ht="17.25" customHeight="1"/>
    <row r="26491" customFormat="1" ht="17.25" customHeight="1"/>
    <row r="26492" customFormat="1" ht="17.25" customHeight="1"/>
    <row r="26493" customFormat="1" ht="17.25" customHeight="1"/>
    <row r="26494" customFormat="1" ht="17.25" customHeight="1"/>
    <row r="26495" customFormat="1" ht="17.25" customHeight="1"/>
    <row r="26496" customFormat="1" ht="17.25" customHeight="1"/>
    <row r="26497" customFormat="1" ht="17.25" customHeight="1"/>
    <row r="26498" customFormat="1" ht="17.25" customHeight="1"/>
    <row r="26499" customFormat="1" ht="17.25" customHeight="1"/>
    <row r="26500" customFormat="1" ht="17.25" customHeight="1"/>
    <row r="26501" customFormat="1" ht="17.25" customHeight="1"/>
    <row r="26502" customFormat="1" ht="17.25" customHeight="1"/>
    <row r="26503" customFormat="1" ht="17.25" customHeight="1"/>
    <row r="26504" customFormat="1" ht="17.25" customHeight="1"/>
    <row r="26505" customFormat="1" ht="17.25" customHeight="1"/>
    <row r="26506" customFormat="1" ht="17.25" customHeight="1"/>
    <row r="26507" customFormat="1" ht="17.25" customHeight="1"/>
    <row r="26508" customFormat="1" ht="17.25" customHeight="1"/>
    <row r="26509" customFormat="1" ht="17.25" customHeight="1"/>
    <row r="26510" customFormat="1" ht="17.25" customHeight="1"/>
    <row r="26511" customFormat="1" ht="17.25" customHeight="1"/>
    <row r="26512" customFormat="1" ht="17.25" customHeight="1"/>
    <row r="26513" customFormat="1" ht="17.25" customHeight="1"/>
    <row r="26514" customFormat="1" ht="17.25" customHeight="1"/>
    <row r="26515" customFormat="1" ht="17.25" customHeight="1"/>
    <row r="26516" customFormat="1" ht="17.25" customHeight="1"/>
    <row r="26517" customFormat="1" ht="17.25" customHeight="1"/>
    <row r="26518" customFormat="1" ht="17.25" customHeight="1"/>
    <row r="26519" customFormat="1" ht="17.25" customHeight="1"/>
    <row r="26520" customFormat="1" ht="17.25" customHeight="1"/>
    <row r="26521" customFormat="1" ht="17.25" customHeight="1"/>
    <row r="26522" customFormat="1" ht="17.25" customHeight="1"/>
    <row r="26523" customFormat="1" ht="17.25" customHeight="1"/>
    <row r="26524" customFormat="1" ht="17.25" customHeight="1"/>
    <row r="26525" customFormat="1" ht="17.25" customHeight="1"/>
    <row r="26526" customFormat="1" ht="17.25" customHeight="1"/>
    <row r="26527" customFormat="1" ht="17.25" customHeight="1"/>
    <row r="26528" customFormat="1" ht="17.25" customHeight="1"/>
    <row r="26529" customFormat="1" ht="17.25" customHeight="1"/>
    <row r="26530" customFormat="1" ht="17.25" customHeight="1"/>
    <row r="26531" customFormat="1" ht="17.25" customHeight="1"/>
    <row r="26532" customFormat="1" ht="17.25" customHeight="1"/>
    <row r="26533" customFormat="1" ht="17.25" customHeight="1"/>
    <row r="26534" customFormat="1" ht="17.25" customHeight="1"/>
    <row r="26535" customFormat="1" ht="17.25" customHeight="1"/>
    <row r="26536" customFormat="1" ht="17.25" customHeight="1"/>
    <row r="26537" customFormat="1" ht="17.25" customHeight="1"/>
    <row r="26538" customFormat="1" ht="17.25" customHeight="1"/>
    <row r="26539" customFormat="1" ht="17.25" customHeight="1"/>
    <row r="26540" customFormat="1" ht="17.25" customHeight="1"/>
    <row r="26541" customFormat="1" ht="17.25" customHeight="1"/>
    <row r="26542" customFormat="1" ht="17.25" customHeight="1"/>
    <row r="26543" customFormat="1" ht="17.25" customHeight="1"/>
    <row r="26544" customFormat="1" ht="17.25" customHeight="1"/>
    <row r="26545" customFormat="1" ht="17.25" customHeight="1"/>
    <row r="26546" customFormat="1" ht="17.25" customHeight="1"/>
    <row r="26547" customFormat="1" ht="17.25" customHeight="1"/>
    <row r="26548" customFormat="1" ht="17.25" customHeight="1"/>
    <row r="26549" customFormat="1" ht="17.25" customHeight="1"/>
    <row r="26550" customFormat="1" ht="17.25" customHeight="1"/>
    <row r="26551" customFormat="1" ht="17.25" customHeight="1"/>
    <row r="26552" customFormat="1" ht="17.25" customHeight="1"/>
    <row r="26553" customFormat="1" ht="17.25" customHeight="1"/>
    <row r="26554" customFormat="1" ht="17.25" customHeight="1"/>
    <row r="26555" customFormat="1" ht="17.25" customHeight="1"/>
    <row r="26556" customFormat="1" ht="17.25" customHeight="1"/>
    <row r="26557" customFormat="1" ht="17.25" customHeight="1"/>
    <row r="26558" customFormat="1" ht="17.25" customHeight="1"/>
    <row r="26559" customFormat="1" ht="17.25" customHeight="1"/>
    <row r="26560" customFormat="1" ht="17.25" customHeight="1"/>
    <row r="26561" customFormat="1" ht="17.25" customHeight="1"/>
    <row r="26562" customFormat="1" ht="17.25" customHeight="1"/>
    <row r="26563" customFormat="1" ht="17.25" customHeight="1"/>
    <row r="26564" customFormat="1" ht="17.25" customHeight="1"/>
    <row r="26565" customFormat="1" ht="17.25" customHeight="1"/>
    <row r="26566" customFormat="1" ht="17.25" customHeight="1"/>
    <row r="26567" customFormat="1" ht="17.25" customHeight="1"/>
    <row r="26568" customFormat="1" ht="17.25" customHeight="1"/>
    <row r="26569" customFormat="1" ht="17.25" customHeight="1"/>
    <row r="26570" customFormat="1" ht="17.25" customHeight="1"/>
    <row r="26571" customFormat="1" ht="17.25" customHeight="1"/>
    <row r="26572" customFormat="1" ht="17.25" customHeight="1"/>
    <row r="26573" customFormat="1" ht="17.25" customHeight="1"/>
    <row r="26574" customFormat="1" ht="17.25" customHeight="1"/>
    <row r="26575" customFormat="1" ht="17.25" customHeight="1"/>
    <row r="26576" customFormat="1" ht="17.25" customHeight="1"/>
    <row r="26577" customFormat="1" ht="17.25" customHeight="1"/>
    <row r="26578" customFormat="1" ht="17.25" customHeight="1"/>
    <row r="26579" customFormat="1" ht="17.25" customHeight="1"/>
    <row r="26580" customFormat="1" ht="17.25" customHeight="1"/>
    <row r="26581" customFormat="1" ht="17.25" customHeight="1"/>
    <row r="26582" customFormat="1" ht="17.25" customHeight="1"/>
    <row r="26583" customFormat="1" ht="17.25" customHeight="1"/>
    <row r="26584" customFormat="1" ht="17.25" customHeight="1"/>
    <row r="26585" customFormat="1" ht="17.25" customHeight="1"/>
    <row r="26586" customFormat="1" ht="17.25" customHeight="1"/>
    <row r="26587" customFormat="1" ht="17.25" customHeight="1"/>
    <row r="26588" customFormat="1" ht="17.25" customHeight="1"/>
    <row r="26589" customFormat="1" ht="17.25" customHeight="1"/>
    <row r="26590" customFormat="1" ht="17.25" customHeight="1"/>
    <row r="26591" customFormat="1" ht="17.25" customHeight="1"/>
    <row r="26592" customFormat="1" ht="17.25" customHeight="1"/>
    <row r="26593" customFormat="1" ht="17.25" customHeight="1"/>
    <row r="26594" customFormat="1" ht="17.25" customHeight="1"/>
    <row r="26595" customFormat="1" ht="17.25" customHeight="1"/>
    <row r="26596" customFormat="1" ht="17.25" customHeight="1"/>
    <row r="26597" customFormat="1" ht="17.25" customHeight="1"/>
    <row r="26598" customFormat="1" ht="17.25" customHeight="1"/>
    <row r="26599" customFormat="1" ht="17.25" customHeight="1"/>
    <row r="26600" customFormat="1" ht="17.25" customHeight="1"/>
    <row r="26601" customFormat="1" ht="17.25" customHeight="1"/>
    <row r="26602" customFormat="1" ht="17.25" customHeight="1"/>
    <row r="26603" customFormat="1" ht="17.25" customHeight="1"/>
    <row r="26604" customFormat="1" ht="17.25" customHeight="1"/>
    <row r="26605" customFormat="1" ht="17.25" customHeight="1"/>
    <row r="26606" customFormat="1" ht="17.25" customHeight="1"/>
    <row r="26607" customFormat="1" ht="17.25" customHeight="1"/>
    <row r="26608" customFormat="1" ht="17.25" customHeight="1"/>
    <row r="26609" customFormat="1" ht="17.25" customHeight="1"/>
    <row r="26610" customFormat="1" ht="17.25" customHeight="1"/>
    <row r="26611" customFormat="1" ht="17.25" customHeight="1"/>
    <row r="26612" customFormat="1" ht="17.25" customHeight="1"/>
    <row r="26613" customFormat="1" ht="17.25" customHeight="1"/>
    <row r="26614" customFormat="1" ht="17.25" customHeight="1"/>
    <row r="26615" customFormat="1" ht="17.25" customHeight="1"/>
    <row r="26616" customFormat="1" ht="17.25" customHeight="1"/>
    <row r="26617" customFormat="1" ht="17.25" customHeight="1"/>
    <row r="26618" customFormat="1" ht="17.25" customHeight="1"/>
    <row r="26619" customFormat="1" ht="17.25" customHeight="1"/>
    <row r="26620" customFormat="1" ht="17.25" customHeight="1"/>
    <row r="26621" customFormat="1" ht="17.25" customHeight="1"/>
    <row r="26622" customFormat="1" ht="17.25" customHeight="1"/>
    <row r="26623" customFormat="1" ht="17.25" customHeight="1"/>
    <row r="26624" customFormat="1" ht="17.25" customHeight="1"/>
    <row r="26625" customFormat="1" ht="17.25" customHeight="1"/>
    <row r="26626" customFormat="1" ht="17.25" customHeight="1"/>
    <row r="26627" customFormat="1" ht="17.25" customHeight="1"/>
    <row r="26628" customFormat="1" ht="17.25" customHeight="1"/>
    <row r="26629" customFormat="1" ht="17.25" customHeight="1"/>
    <row r="26630" customFormat="1" ht="17.25" customHeight="1"/>
    <row r="26631" customFormat="1" ht="17.25" customHeight="1"/>
    <row r="26632" customFormat="1" ht="17.25" customHeight="1"/>
    <row r="26633" customFormat="1" ht="17.25" customHeight="1"/>
    <row r="26634" customFormat="1" ht="17.25" customHeight="1"/>
    <row r="26635" customFormat="1" ht="17.25" customHeight="1"/>
    <row r="26636" customFormat="1" ht="17.25" customHeight="1"/>
    <row r="26637" customFormat="1" ht="17.25" customHeight="1"/>
    <row r="26638" customFormat="1" ht="17.25" customHeight="1"/>
    <row r="26639" customFormat="1" ht="17.25" customHeight="1"/>
    <row r="26640" customFormat="1" ht="17.25" customHeight="1"/>
    <row r="26641" customFormat="1" ht="17.25" customHeight="1"/>
    <row r="26642" customFormat="1" ht="17.25" customHeight="1"/>
    <row r="26643" customFormat="1" ht="17.25" customHeight="1"/>
    <row r="26644" customFormat="1" ht="17.25" customHeight="1"/>
    <row r="26645" customFormat="1" ht="17.25" customHeight="1"/>
    <row r="26646" customFormat="1" ht="17.25" customHeight="1"/>
    <row r="26647" customFormat="1" ht="17.25" customHeight="1"/>
    <row r="26648" customFormat="1" ht="17.25" customHeight="1"/>
    <row r="26649" customFormat="1" ht="17.25" customHeight="1"/>
    <row r="26650" customFormat="1" ht="17.25" customHeight="1"/>
    <row r="26651" customFormat="1" ht="17.25" customHeight="1"/>
    <row r="26652" customFormat="1" ht="17.25" customHeight="1"/>
    <row r="26653" customFormat="1" ht="17.25" customHeight="1"/>
    <row r="26654" customFormat="1" ht="17.25" customHeight="1"/>
    <row r="26655" customFormat="1" ht="17.25" customHeight="1"/>
    <row r="26656" customFormat="1" ht="17.25" customHeight="1"/>
    <row r="26657" customFormat="1" ht="17.25" customHeight="1"/>
    <row r="26658" customFormat="1" ht="17.25" customHeight="1"/>
    <row r="26659" customFormat="1" ht="17.25" customHeight="1"/>
    <row r="26660" customFormat="1" ht="17.25" customHeight="1"/>
    <row r="26661" customFormat="1" ht="17.25" customHeight="1"/>
    <row r="26662" customFormat="1" ht="17.25" customHeight="1"/>
    <row r="26663" customFormat="1" ht="17.25" customHeight="1"/>
    <row r="26664" customFormat="1" ht="17.25" customHeight="1"/>
    <row r="26665" customFormat="1" ht="17.25" customHeight="1"/>
    <row r="26666" customFormat="1" ht="17.25" customHeight="1"/>
    <row r="26667" customFormat="1" ht="17.25" customHeight="1"/>
    <row r="26668" customFormat="1" ht="17.25" customHeight="1"/>
    <row r="26669" customFormat="1" ht="17.25" customHeight="1"/>
    <row r="26670" customFormat="1" ht="17.25" customHeight="1"/>
    <row r="26671" customFormat="1" ht="17.25" customHeight="1"/>
    <row r="26672" customFormat="1" ht="17.25" customHeight="1"/>
    <row r="26673" customFormat="1" ht="17.25" customHeight="1"/>
    <row r="26674" customFormat="1" ht="17.25" customHeight="1"/>
    <row r="26675" customFormat="1" ht="17.25" customHeight="1"/>
    <row r="26676" customFormat="1" ht="17.25" customHeight="1"/>
    <row r="26677" customFormat="1" ht="17.25" customHeight="1"/>
    <row r="26678" customFormat="1" ht="17.25" customHeight="1"/>
    <row r="26679" customFormat="1" ht="17.25" customHeight="1"/>
    <row r="26680" customFormat="1" ht="17.25" customHeight="1"/>
    <row r="26681" customFormat="1" ht="17.25" customHeight="1"/>
    <row r="26682" customFormat="1" ht="17.25" customHeight="1"/>
    <row r="26683" customFormat="1" ht="17.25" customHeight="1"/>
    <row r="26684" customFormat="1" ht="17.25" customHeight="1"/>
    <row r="26685" customFormat="1" ht="17.25" customHeight="1"/>
    <row r="26686" customFormat="1" ht="17.25" customHeight="1"/>
    <row r="26687" customFormat="1" ht="17.25" customHeight="1"/>
    <row r="26688" customFormat="1" ht="17.25" customHeight="1"/>
    <row r="26689" customFormat="1" ht="17.25" customHeight="1"/>
    <row r="26690" customFormat="1" ht="17.25" customHeight="1"/>
    <row r="26691" customFormat="1" ht="17.25" customHeight="1"/>
    <row r="26692" customFormat="1" ht="17.25" customHeight="1"/>
    <row r="26693" customFormat="1" ht="17.25" customHeight="1"/>
    <row r="26694" customFormat="1" ht="17.25" customHeight="1"/>
    <row r="26695" customFormat="1" ht="17.25" customHeight="1"/>
    <row r="26696" customFormat="1" ht="17.25" customHeight="1"/>
    <row r="26697" customFormat="1" ht="17.25" customHeight="1"/>
    <row r="26698" customFormat="1" ht="17.25" customHeight="1"/>
    <row r="26699" customFormat="1" ht="17.25" customHeight="1"/>
    <row r="26700" customFormat="1" ht="17.25" customHeight="1"/>
    <row r="26701" customFormat="1" ht="17.25" customHeight="1"/>
    <row r="26702" customFormat="1" ht="17.25" customHeight="1"/>
    <row r="26703" customFormat="1" ht="17.25" customHeight="1"/>
    <row r="26704" customFormat="1" ht="17.25" customHeight="1"/>
    <row r="26705" customFormat="1" ht="17.25" customHeight="1"/>
    <row r="26706" customFormat="1" ht="17.25" customHeight="1"/>
    <row r="26707" customFormat="1" ht="17.25" customHeight="1"/>
    <row r="26708" customFormat="1" ht="17.25" customHeight="1"/>
    <row r="26709" customFormat="1" ht="17.25" customHeight="1"/>
    <row r="26710" customFormat="1" ht="17.25" customHeight="1"/>
    <row r="26711" customFormat="1" ht="17.25" customHeight="1"/>
    <row r="26712" customFormat="1" ht="17.25" customHeight="1"/>
    <row r="26713" customFormat="1" ht="17.25" customHeight="1"/>
    <row r="26714" customFormat="1" ht="17.25" customHeight="1"/>
    <row r="26715" customFormat="1" ht="17.25" customHeight="1"/>
    <row r="26716" customFormat="1" ht="17.25" customHeight="1"/>
    <row r="26717" customFormat="1" ht="17.25" customHeight="1"/>
    <row r="26718" customFormat="1" ht="17.25" customHeight="1"/>
    <row r="26719" customFormat="1" ht="17.25" customHeight="1"/>
    <row r="26720" customFormat="1" ht="17.25" customHeight="1"/>
    <row r="26721" customFormat="1" ht="17.25" customHeight="1"/>
    <row r="26722" customFormat="1" ht="17.25" customHeight="1"/>
    <row r="26723" customFormat="1" ht="17.25" customHeight="1"/>
    <row r="26724" customFormat="1" ht="17.25" customHeight="1"/>
    <row r="26725" customFormat="1" ht="17.25" customHeight="1"/>
    <row r="26726" customFormat="1" ht="17.25" customHeight="1"/>
    <row r="26727" customFormat="1" ht="17.25" customHeight="1"/>
    <row r="26728" customFormat="1" ht="17.25" customHeight="1"/>
    <row r="26729" customFormat="1" ht="17.25" customHeight="1"/>
    <row r="26730" customFormat="1" ht="17.25" customHeight="1"/>
    <row r="26731" customFormat="1" ht="17.25" customHeight="1"/>
    <row r="26732" customFormat="1" ht="17.25" customHeight="1"/>
    <row r="26733" customFormat="1" ht="17.25" customHeight="1"/>
    <row r="26734" customFormat="1" ht="17.25" customHeight="1"/>
    <row r="26735" customFormat="1" ht="17.25" customHeight="1"/>
    <row r="26736" customFormat="1" ht="17.25" customHeight="1"/>
    <row r="26737" customFormat="1" ht="17.25" customHeight="1"/>
    <row r="26738" customFormat="1" ht="17.25" customHeight="1"/>
    <row r="26739" customFormat="1" ht="17.25" customHeight="1"/>
    <row r="26740" customFormat="1" ht="17.25" customHeight="1"/>
    <row r="26741" customFormat="1" ht="17.25" customHeight="1"/>
    <row r="26742" customFormat="1" ht="17.25" customHeight="1"/>
    <row r="26743" customFormat="1" ht="17.25" customHeight="1"/>
    <row r="26744" customFormat="1" ht="17.25" customHeight="1"/>
    <row r="26745" customFormat="1" ht="17.25" customHeight="1"/>
    <row r="26746" customFormat="1" ht="17.25" customHeight="1"/>
    <row r="26747" customFormat="1" ht="17.25" customHeight="1"/>
    <row r="26748" customFormat="1" ht="17.25" customHeight="1"/>
    <row r="26749" customFormat="1" ht="17.25" customHeight="1"/>
    <row r="26750" customFormat="1" ht="17.25" customHeight="1"/>
    <row r="26751" customFormat="1" ht="17.25" customHeight="1"/>
    <row r="26752" customFormat="1" ht="17.25" customHeight="1"/>
    <row r="26753" customFormat="1" ht="17.25" customHeight="1"/>
    <row r="26754" customFormat="1" ht="17.25" customHeight="1"/>
    <row r="26755" customFormat="1" ht="17.25" customHeight="1"/>
    <row r="26756" customFormat="1" ht="17.25" customHeight="1"/>
    <row r="26757" customFormat="1" ht="17.25" customHeight="1"/>
    <row r="26758" customFormat="1" ht="17.25" customHeight="1"/>
    <row r="26759" customFormat="1" ht="17.25" customHeight="1"/>
    <row r="26760" customFormat="1" ht="17.25" customHeight="1"/>
    <row r="26761" customFormat="1" ht="17.25" customHeight="1"/>
    <row r="26762" customFormat="1" ht="17.25" customHeight="1"/>
    <row r="26763" customFormat="1" ht="17.25" customHeight="1"/>
    <row r="26764" customFormat="1" ht="17.25" customHeight="1"/>
    <row r="26765" customFormat="1" ht="17.25" customHeight="1"/>
    <row r="26766" customFormat="1" ht="17.25" customHeight="1"/>
    <row r="26767" customFormat="1" ht="17.25" customHeight="1"/>
    <row r="26768" customFormat="1" ht="17.25" customHeight="1"/>
    <row r="26769" customFormat="1" ht="17.25" customHeight="1"/>
    <row r="26770" customFormat="1" ht="17.25" customHeight="1"/>
    <row r="26771" customFormat="1" ht="17.25" customHeight="1"/>
    <row r="26772" customFormat="1" ht="17.25" customHeight="1"/>
    <row r="26773" customFormat="1" ht="17.25" customHeight="1"/>
    <row r="26774" customFormat="1" ht="17.25" customHeight="1"/>
    <row r="26775" customFormat="1" ht="17.25" customHeight="1"/>
    <row r="26776" customFormat="1" ht="17.25" customHeight="1"/>
    <row r="26777" customFormat="1" ht="17.25" customHeight="1"/>
    <row r="26778" customFormat="1" ht="17.25" customHeight="1"/>
    <row r="26779" customFormat="1" ht="17.25" customHeight="1"/>
    <row r="26780" customFormat="1" ht="17.25" customHeight="1"/>
    <row r="26781" customFormat="1" ht="17.25" customHeight="1"/>
    <row r="26782" customFormat="1" ht="17.25" customHeight="1"/>
    <row r="26783" customFormat="1" ht="17.25" customHeight="1"/>
    <row r="26784" customFormat="1" ht="17.25" customHeight="1"/>
    <row r="26785" customFormat="1" ht="17.25" customHeight="1"/>
    <row r="26786" customFormat="1" ht="17.25" customHeight="1"/>
    <row r="26787" customFormat="1" ht="17.25" customHeight="1"/>
    <row r="26788" customFormat="1" ht="17.25" customHeight="1"/>
    <row r="26789" customFormat="1" ht="17.25" customHeight="1"/>
    <row r="26790" customFormat="1" ht="17.25" customHeight="1"/>
    <row r="26791" customFormat="1" ht="17.25" customHeight="1"/>
    <row r="26792" customFormat="1" ht="17.25" customHeight="1"/>
    <row r="26793" customFormat="1" ht="17.25" customHeight="1"/>
    <row r="26794" customFormat="1" ht="17.25" customHeight="1"/>
    <row r="26795" customFormat="1" ht="17.25" customHeight="1"/>
    <row r="26796" customFormat="1" ht="17.25" customHeight="1"/>
    <row r="26797" customFormat="1" ht="17.25" customHeight="1"/>
    <row r="26798" customFormat="1" ht="17.25" customHeight="1"/>
    <row r="26799" customFormat="1" ht="17.25" customHeight="1"/>
    <row r="26800" customFormat="1" ht="17.25" customHeight="1"/>
    <row r="26801" customFormat="1" ht="17.25" customHeight="1"/>
    <row r="26802" customFormat="1" ht="17.25" customHeight="1"/>
    <row r="26803" customFormat="1" ht="17.25" customHeight="1"/>
    <row r="26804" customFormat="1" ht="17.25" customHeight="1"/>
    <row r="26805" customFormat="1" ht="17.25" customHeight="1"/>
    <row r="26806" customFormat="1" ht="17.25" customHeight="1"/>
    <row r="26807" customFormat="1" ht="17.25" customHeight="1"/>
    <row r="26808" customFormat="1" ht="17.25" customHeight="1"/>
    <row r="26809" customFormat="1" ht="17.25" customHeight="1"/>
    <row r="26810" customFormat="1" ht="17.25" customHeight="1"/>
    <row r="26811" customFormat="1" ht="17.25" customHeight="1"/>
    <row r="26812" customFormat="1" ht="17.25" customHeight="1"/>
    <row r="26813" customFormat="1" ht="17.25" customHeight="1"/>
    <row r="26814" customFormat="1" ht="17.25" customHeight="1"/>
    <row r="26815" customFormat="1" ht="17.25" customHeight="1"/>
    <row r="26816" customFormat="1" ht="17.25" customHeight="1"/>
    <row r="26817" customFormat="1" ht="17.25" customHeight="1"/>
    <row r="26818" customFormat="1" ht="17.25" customHeight="1"/>
    <row r="26819" customFormat="1" ht="17.25" customHeight="1"/>
    <row r="26820" customFormat="1" ht="17.25" customHeight="1"/>
    <row r="26821" customFormat="1" ht="17.25" customHeight="1"/>
    <row r="26822" customFormat="1" ht="17.25" customHeight="1"/>
    <row r="26823" customFormat="1" ht="17.25" customHeight="1"/>
    <row r="26824" customFormat="1" ht="17.25" customHeight="1"/>
    <row r="26825" customFormat="1" ht="17.25" customHeight="1"/>
    <row r="26826" customFormat="1" ht="17.25" customHeight="1"/>
    <row r="26827" customFormat="1" ht="17.25" customHeight="1"/>
    <row r="26828" customFormat="1" ht="17.25" customHeight="1"/>
    <row r="26829" customFormat="1" ht="17.25" customHeight="1"/>
    <row r="26830" customFormat="1" ht="17.25" customHeight="1"/>
    <row r="26831" customFormat="1" ht="17.25" customHeight="1"/>
    <row r="26832" customFormat="1" ht="17.25" customHeight="1"/>
    <row r="26833" customFormat="1" ht="17.25" customHeight="1"/>
    <row r="26834" customFormat="1" ht="17.25" customHeight="1"/>
    <row r="26835" customFormat="1" ht="17.25" customHeight="1"/>
    <row r="26836" customFormat="1" ht="17.25" customHeight="1"/>
    <row r="26837" customFormat="1" ht="17.25" customHeight="1"/>
    <row r="26838" customFormat="1" ht="17.25" customHeight="1"/>
    <row r="26839" customFormat="1" ht="17.25" customHeight="1"/>
    <row r="26840" customFormat="1" ht="17.25" customHeight="1"/>
    <row r="26841" customFormat="1" ht="17.25" customHeight="1"/>
    <row r="26842" customFormat="1" ht="17.25" customHeight="1"/>
    <row r="26843" customFormat="1" ht="17.25" customHeight="1"/>
    <row r="26844" customFormat="1" ht="17.25" customHeight="1"/>
    <row r="26845" customFormat="1" ht="17.25" customHeight="1"/>
    <row r="26846" customFormat="1" ht="17.25" customHeight="1"/>
    <row r="26847" customFormat="1" ht="17.25" customHeight="1"/>
    <row r="26848" customFormat="1" ht="17.25" customHeight="1"/>
    <row r="26849" customFormat="1" ht="17.25" customHeight="1"/>
    <row r="26850" customFormat="1" ht="17.25" customHeight="1"/>
    <row r="26851" customFormat="1" ht="17.25" customHeight="1"/>
    <row r="26852" customFormat="1" ht="17.25" customHeight="1"/>
    <row r="26853" customFormat="1" ht="17.25" customHeight="1"/>
    <row r="26854" customFormat="1" ht="17.25" customHeight="1"/>
    <row r="26855" customFormat="1" ht="17.25" customHeight="1"/>
    <row r="26856" customFormat="1" ht="17.25" customHeight="1"/>
    <row r="26857" customFormat="1" ht="17.25" customHeight="1"/>
    <row r="26858" customFormat="1" ht="17.25" customHeight="1"/>
    <row r="26859" customFormat="1" ht="17.25" customHeight="1"/>
    <row r="26860" customFormat="1" ht="17.25" customHeight="1"/>
    <row r="26861" customFormat="1" ht="17.25" customHeight="1"/>
    <row r="26862" customFormat="1" ht="17.25" customHeight="1"/>
    <row r="26863" customFormat="1" ht="17.25" customHeight="1"/>
    <row r="26864" customFormat="1" ht="17.25" customHeight="1"/>
    <row r="26865" customFormat="1" ht="17.25" customHeight="1"/>
    <row r="26866" customFormat="1" ht="17.25" customHeight="1"/>
    <row r="26867" customFormat="1" ht="17.25" customHeight="1"/>
    <row r="26868" customFormat="1" ht="17.25" customHeight="1"/>
    <row r="26869" customFormat="1" ht="17.25" customHeight="1"/>
    <row r="26870" customFormat="1" ht="17.25" customHeight="1"/>
    <row r="26871" customFormat="1" ht="17.25" customHeight="1"/>
    <row r="26872" customFormat="1" ht="17.25" customHeight="1"/>
    <row r="26873" customFormat="1" ht="17.25" customHeight="1"/>
    <row r="26874" customFormat="1" ht="17.25" customHeight="1"/>
    <row r="26875" customFormat="1" ht="17.25" customHeight="1"/>
    <row r="26876" customFormat="1" ht="17.25" customHeight="1"/>
    <row r="26877" customFormat="1" ht="17.25" customHeight="1"/>
    <row r="26878" customFormat="1" ht="17.25" customHeight="1"/>
    <row r="26879" customFormat="1" ht="17.25" customHeight="1"/>
    <row r="26880" customFormat="1" ht="17.25" customHeight="1"/>
    <row r="26881" customFormat="1" ht="17.25" customHeight="1"/>
    <row r="26882" customFormat="1" ht="17.25" customHeight="1"/>
    <row r="26883" customFormat="1" ht="17.25" customHeight="1"/>
    <row r="26884" customFormat="1" ht="17.25" customHeight="1"/>
    <row r="26885" customFormat="1" ht="17.25" customHeight="1"/>
    <row r="26886" customFormat="1" ht="17.25" customHeight="1"/>
    <row r="26887" customFormat="1" ht="17.25" customHeight="1"/>
    <row r="26888" customFormat="1" ht="17.25" customHeight="1"/>
    <row r="26889" customFormat="1" ht="17.25" customHeight="1"/>
    <row r="26890" customFormat="1" ht="17.25" customHeight="1"/>
    <row r="26891" customFormat="1" ht="17.25" customHeight="1"/>
    <row r="26892" customFormat="1" ht="17.25" customHeight="1"/>
    <row r="26893" customFormat="1" ht="17.25" customHeight="1"/>
    <row r="26894" customFormat="1" ht="17.25" customHeight="1"/>
    <row r="26895" customFormat="1" ht="17.25" customHeight="1"/>
    <row r="26896" customFormat="1" ht="17.25" customHeight="1"/>
    <row r="26897" customFormat="1" ht="17.25" customHeight="1"/>
    <row r="26898" customFormat="1" ht="17.25" customHeight="1"/>
    <row r="26899" customFormat="1" ht="17.25" customHeight="1"/>
    <row r="26900" customFormat="1" ht="17.25" customHeight="1"/>
    <row r="26901" customFormat="1" ht="17.25" customHeight="1"/>
    <row r="26902" customFormat="1" ht="17.25" customHeight="1"/>
    <row r="26903" customFormat="1" ht="17.25" customHeight="1"/>
    <row r="26904" customFormat="1" ht="17.25" customHeight="1"/>
    <row r="26905" customFormat="1" ht="17.25" customHeight="1"/>
    <row r="26906" customFormat="1" ht="17.25" customHeight="1"/>
    <row r="26907" customFormat="1" ht="17.25" customHeight="1"/>
    <row r="26908" customFormat="1" ht="17.25" customHeight="1"/>
    <row r="26909" customFormat="1" ht="17.25" customHeight="1"/>
    <row r="26910" customFormat="1" ht="17.25" customHeight="1"/>
    <row r="26911" customFormat="1" ht="17.25" customHeight="1"/>
    <row r="26912" customFormat="1" ht="17.25" customHeight="1"/>
    <row r="26913" customFormat="1" ht="17.25" customHeight="1"/>
    <row r="26914" customFormat="1" ht="17.25" customHeight="1"/>
    <row r="26915" customFormat="1" ht="17.25" customHeight="1"/>
    <row r="26916" customFormat="1" ht="17.25" customHeight="1"/>
    <row r="26917" customFormat="1" ht="17.25" customHeight="1"/>
    <row r="26918" customFormat="1" ht="17.25" customHeight="1"/>
    <row r="26919" customFormat="1" ht="17.25" customHeight="1"/>
    <row r="26920" customFormat="1" ht="17.25" customHeight="1"/>
    <row r="26921" customFormat="1" ht="17.25" customHeight="1"/>
    <row r="26922" customFormat="1" ht="17.25" customHeight="1"/>
    <row r="26923" customFormat="1" ht="17.25" customHeight="1"/>
    <row r="26924" customFormat="1" ht="17.25" customHeight="1"/>
    <row r="26925" customFormat="1" ht="17.25" customHeight="1"/>
    <row r="26926" customFormat="1" ht="17.25" customHeight="1"/>
    <row r="26927" customFormat="1" ht="17.25" customHeight="1"/>
    <row r="26928" customFormat="1" ht="17.25" customHeight="1"/>
    <row r="26929" customFormat="1" ht="17.25" customHeight="1"/>
    <row r="26930" customFormat="1" ht="17.25" customHeight="1"/>
    <row r="26931" customFormat="1" ht="17.25" customHeight="1"/>
    <row r="26932" customFormat="1" ht="17.25" customHeight="1"/>
    <row r="26933" customFormat="1" ht="17.25" customHeight="1"/>
    <row r="26934" customFormat="1" ht="17.25" customHeight="1"/>
    <row r="26935" customFormat="1" ht="17.25" customHeight="1"/>
    <row r="26936" customFormat="1" ht="17.25" customHeight="1"/>
    <row r="26937" customFormat="1" ht="17.25" customHeight="1"/>
    <row r="26938" customFormat="1" ht="17.25" customHeight="1"/>
    <row r="26939" customFormat="1" ht="17.25" customHeight="1"/>
    <row r="26940" customFormat="1" ht="17.25" customHeight="1"/>
    <row r="26941" customFormat="1" ht="17.25" customHeight="1"/>
    <row r="26942" customFormat="1" ht="17.25" customHeight="1"/>
    <row r="26943" customFormat="1" ht="17.25" customHeight="1"/>
    <row r="26944" customFormat="1" ht="17.25" customHeight="1"/>
    <row r="26945" customFormat="1" ht="17.25" customHeight="1"/>
    <row r="26946" customFormat="1" ht="17.25" customHeight="1"/>
    <row r="26947" customFormat="1" ht="17.25" customHeight="1"/>
    <row r="26948" customFormat="1" ht="17.25" customHeight="1"/>
    <row r="26949" customFormat="1" ht="17.25" customHeight="1"/>
    <row r="26950" customFormat="1" ht="17.25" customHeight="1"/>
    <row r="26951" customFormat="1" ht="17.25" customHeight="1"/>
    <row r="26952" customFormat="1" ht="17.25" customHeight="1"/>
    <row r="26953" customFormat="1" ht="17.25" customHeight="1"/>
    <row r="26954" customFormat="1" ht="17.25" customHeight="1"/>
    <row r="26955" customFormat="1" ht="17.25" customHeight="1"/>
    <row r="26956" customFormat="1" ht="17.25" customHeight="1"/>
    <row r="26957" customFormat="1" ht="17.25" customHeight="1"/>
    <row r="26958" customFormat="1" ht="17.25" customHeight="1"/>
    <row r="26959" customFormat="1" ht="17.25" customHeight="1"/>
    <row r="26960" customFormat="1" ht="17.25" customHeight="1"/>
    <row r="26961" customFormat="1" ht="17.25" customHeight="1"/>
    <row r="26962" customFormat="1" ht="17.25" customHeight="1"/>
    <row r="26963" customFormat="1" ht="17.25" customHeight="1"/>
    <row r="26964" customFormat="1" ht="17.25" customHeight="1"/>
    <row r="26965" customFormat="1" ht="17.25" customHeight="1"/>
    <row r="26966" customFormat="1" ht="17.25" customHeight="1"/>
    <row r="26967" customFormat="1" ht="17.25" customHeight="1"/>
    <row r="26968" customFormat="1" ht="17.25" customHeight="1"/>
    <row r="26969" customFormat="1" ht="17.25" customHeight="1"/>
    <row r="26970" customFormat="1" ht="17.25" customHeight="1"/>
    <row r="26971" customFormat="1" ht="17.25" customHeight="1"/>
    <row r="26972" customFormat="1" ht="17.25" customHeight="1"/>
    <row r="26973" customFormat="1" ht="17.25" customHeight="1"/>
    <row r="26974" customFormat="1" ht="17.25" customHeight="1"/>
    <row r="26975" customFormat="1" ht="17.25" customHeight="1"/>
    <row r="26976" customFormat="1" ht="17.25" customHeight="1"/>
    <row r="26977" customFormat="1" ht="17.25" customHeight="1"/>
    <row r="26978" customFormat="1" ht="17.25" customHeight="1"/>
    <row r="26979" customFormat="1" ht="17.25" customHeight="1"/>
    <row r="26980" customFormat="1" ht="17.25" customHeight="1"/>
    <row r="26981" customFormat="1" ht="17.25" customHeight="1"/>
    <row r="26982" customFormat="1" ht="17.25" customHeight="1"/>
    <row r="26983" customFormat="1" ht="17.25" customHeight="1"/>
    <row r="26984" customFormat="1" ht="17.25" customHeight="1"/>
    <row r="26985" customFormat="1" ht="17.25" customHeight="1"/>
    <row r="26986" customFormat="1" ht="17.25" customHeight="1"/>
    <row r="26987" customFormat="1" ht="17.25" customHeight="1"/>
    <row r="26988" customFormat="1" ht="17.25" customHeight="1"/>
    <row r="26989" customFormat="1" ht="17.25" customHeight="1"/>
    <row r="26990" customFormat="1" ht="17.25" customHeight="1"/>
    <row r="26991" customFormat="1" ht="17.25" customHeight="1"/>
    <row r="26992" customFormat="1" ht="17.25" customHeight="1"/>
    <row r="26993" customFormat="1" ht="17.25" customHeight="1"/>
    <row r="26994" customFormat="1" ht="17.25" customHeight="1"/>
    <row r="26995" customFormat="1" ht="17.25" customHeight="1"/>
    <row r="26996" customFormat="1" ht="17.25" customHeight="1"/>
    <row r="26997" customFormat="1" ht="17.25" customHeight="1"/>
    <row r="26998" customFormat="1" ht="17.25" customHeight="1"/>
    <row r="26999" customFormat="1" ht="17.25" customHeight="1"/>
    <row r="27000" customFormat="1" ht="17.25" customHeight="1"/>
    <row r="27001" customFormat="1" ht="17.25" customHeight="1"/>
    <row r="27002" customFormat="1" ht="17.25" customHeight="1"/>
    <row r="27003" customFormat="1" ht="17.25" customHeight="1"/>
    <row r="27004" customFormat="1" ht="17.25" customHeight="1"/>
    <row r="27005" customFormat="1" ht="17.25" customHeight="1"/>
    <row r="27006" customFormat="1" ht="17.25" customHeight="1"/>
    <row r="27007" customFormat="1" ht="17.25" customHeight="1"/>
    <row r="27008" customFormat="1" ht="17.25" customHeight="1"/>
    <row r="27009" customFormat="1" ht="17.25" customHeight="1"/>
    <row r="27010" customFormat="1" ht="17.25" customHeight="1"/>
    <row r="27011" customFormat="1" ht="17.25" customHeight="1"/>
    <row r="27012" customFormat="1" ht="17.25" customHeight="1"/>
    <row r="27013" customFormat="1" ht="17.25" customHeight="1"/>
    <row r="27014" customFormat="1" ht="17.25" customHeight="1"/>
    <row r="27015" customFormat="1" ht="17.25" customHeight="1"/>
    <row r="27016" customFormat="1" ht="17.25" customHeight="1"/>
    <row r="27017" customFormat="1" ht="17.25" customHeight="1"/>
    <row r="27018" customFormat="1" ht="17.25" customHeight="1"/>
    <row r="27019" customFormat="1" ht="17.25" customHeight="1"/>
    <row r="27020" customFormat="1" ht="17.25" customHeight="1"/>
    <row r="27021" customFormat="1" ht="17.25" customHeight="1"/>
    <row r="27022" customFormat="1" ht="17.25" customHeight="1"/>
    <row r="27023" customFormat="1" ht="17.25" customHeight="1"/>
    <row r="27024" customFormat="1" ht="17.25" customHeight="1"/>
    <row r="27025" customFormat="1" ht="17.25" customHeight="1"/>
    <row r="27026" customFormat="1" ht="17.25" customHeight="1"/>
    <row r="27027" customFormat="1" ht="17.25" customHeight="1"/>
    <row r="27028" customFormat="1" ht="17.25" customHeight="1"/>
    <row r="27029" customFormat="1" ht="17.25" customHeight="1"/>
    <row r="27030" customFormat="1" ht="17.25" customHeight="1"/>
    <row r="27031" customFormat="1" ht="17.25" customHeight="1"/>
    <row r="27032" customFormat="1" ht="17.25" customHeight="1"/>
    <row r="27033" customFormat="1" ht="17.25" customHeight="1"/>
    <row r="27034" customFormat="1" ht="17.25" customHeight="1"/>
    <row r="27035" customFormat="1" ht="17.25" customHeight="1"/>
    <row r="27036" customFormat="1" ht="17.25" customHeight="1"/>
    <row r="27037" customFormat="1" ht="17.25" customHeight="1"/>
    <row r="27038" customFormat="1" ht="17.25" customHeight="1"/>
    <row r="27039" customFormat="1" ht="17.25" customHeight="1"/>
    <row r="27040" customFormat="1" ht="17.25" customHeight="1"/>
    <row r="27041" customFormat="1" ht="17.25" customHeight="1"/>
    <row r="27042" customFormat="1" ht="17.25" customHeight="1"/>
    <row r="27043" customFormat="1" ht="17.25" customHeight="1"/>
    <row r="27044" customFormat="1" ht="17.25" customHeight="1"/>
    <row r="27045" customFormat="1" ht="17.25" customHeight="1"/>
    <row r="27046" customFormat="1" ht="17.25" customHeight="1"/>
    <row r="27047" customFormat="1" ht="17.25" customHeight="1"/>
    <row r="27048" customFormat="1" ht="17.25" customHeight="1"/>
    <row r="27049" customFormat="1" ht="17.25" customHeight="1"/>
    <row r="27050" customFormat="1" ht="17.25" customHeight="1"/>
    <row r="27051" customFormat="1" ht="17.25" customHeight="1"/>
    <row r="27052" customFormat="1" ht="17.25" customHeight="1"/>
    <row r="27053" customFormat="1" ht="17.25" customHeight="1"/>
    <row r="27054" customFormat="1" ht="17.25" customHeight="1"/>
    <row r="27055" customFormat="1" ht="17.25" customHeight="1"/>
    <row r="27056" customFormat="1" ht="17.25" customHeight="1"/>
    <row r="27057" customFormat="1" ht="17.25" customHeight="1"/>
    <row r="27058" customFormat="1" ht="17.25" customHeight="1"/>
    <row r="27059" customFormat="1" ht="17.25" customHeight="1"/>
    <row r="27060" customFormat="1" ht="17.25" customHeight="1"/>
    <row r="27061" customFormat="1" ht="17.25" customHeight="1"/>
    <row r="27062" customFormat="1" ht="17.25" customHeight="1"/>
    <row r="27063" customFormat="1" ht="17.25" customHeight="1"/>
    <row r="27064" customFormat="1" ht="17.25" customHeight="1"/>
    <row r="27065" customFormat="1" ht="17.25" customHeight="1"/>
    <row r="27066" customFormat="1" ht="17.25" customHeight="1"/>
    <row r="27067" customFormat="1" ht="17.25" customHeight="1"/>
    <row r="27068" customFormat="1" ht="17.25" customHeight="1"/>
    <row r="27069" customFormat="1" ht="17.25" customHeight="1"/>
    <row r="27070" customFormat="1" ht="17.25" customHeight="1"/>
    <row r="27071" customFormat="1" ht="17.25" customHeight="1"/>
    <row r="27072" customFormat="1" ht="17.25" customHeight="1"/>
    <row r="27073" customFormat="1" ht="17.25" customHeight="1"/>
    <row r="27074" customFormat="1" ht="17.25" customHeight="1"/>
    <row r="27075" customFormat="1" ht="17.25" customHeight="1"/>
    <row r="27076" customFormat="1" ht="17.25" customHeight="1"/>
    <row r="27077" customFormat="1" ht="17.25" customHeight="1"/>
    <row r="27078" customFormat="1" ht="17.25" customHeight="1"/>
    <row r="27079" customFormat="1" ht="17.25" customHeight="1"/>
    <row r="27080" customFormat="1" ht="17.25" customHeight="1"/>
    <row r="27081" customFormat="1" ht="17.25" customHeight="1"/>
    <row r="27082" customFormat="1" ht="17.25" customHeight="1"/>
    <row r="27083" customFormat="1" ht="17.25" customHeight="1"/>
    <row r="27084" customFormat="1" ht="17.25" customHeight="1"/>
    <row r="27085" customFormat="1" ht="17.25" customHeight="1"/>
    <row r="27086" customFormat="1" ht="17.25" customHeight="1"/>
    <row r="27087" customFormat="1" ht="17.25" customHeight="1"/>
    <row r="27088" customFormat="1" ht="17.25" customHeight="1"/>
    <row r="27089" customFormat="1" ht="17.25" customHeight="1"/>
    <row r="27090" customFormat="1" ht="17.25" customHeight="1"/>
    <row r="27091" customFormat="1" ht="17.25" customHeight="1"/>
    <row r="27092" customFormat="1" ht="17.25" customHeight="1"/>
    <row r="27093" customFormat="1" ht="17.25" customHeight="1"/>
    <row r="27094" customFormat="1" ht="17.25" customHeight="1"/>
    <row r="27095" customFormat="1" ht="17.25" customHeight="1"/>
    <row r="27096" customFormat="1" ht="17.25" customHeight="1"/>
    <row r="27097" customFormat="1" ht="17.25" customHeight="1"/>
    <row r="27098" customFormat="1" ht="17.25" customHeight="1"/>
    <row r="27099" customFormat="1" ht="17.25" customHeight="1"/>
    <row r="27100" customFormat="1" ht="17.25" customHeight="1"/>
    <row r="27101" customFormat="1" ht="17.25" customHeight="1"/>
    <row r="27102" customFormat="1" ht="17.25" customHeight="1"/>
    <row r="27103" customFormat="1" ht="17.25" customHeight="1"/>
    <row r="27104" customFormat="1" ht="17.25" customHeight="1"/>
    <row r="27105" customFormat="1" ht="17.25" customHeight="1"/>
    <row r="27106" customFormat="1" ht="17.25" customHeight="1"/>
    <row r="27107" customFormat="1" ht="17.25" customHeight="1"/>
    <row r="27108" customFormat="1" ht="17.25" customHeight="1"/>
    <row r="27109" customFormat="1" ht="17.25" customHeight="1"/>
    <row r="27110" customFormat="1" ht="17.25" customHeight="1"/>
    <row r="27111" customFormat="1" ht="17.25" customHeight="1"/>
    <row r="27112" customFormat="1" ht="17.25" customHeight="1"/>
    <row r="27113" customFormat="1" ht="17.25" customHeight="1"/>
    <row r="27114" customFormat="1" ht="17.25" customHeight="1"/>
    <row r="27115" customFormat="1" ht="17.25" customHeight="1"/>
    <row r="27116" customFormat="1" ht="17.25" customHeight="1"/>
    <row r="27117" customFormat="1" ht="17.25" customHeight="1"/>
    <row r="27118" customFormat="1" ht="17.25" customHeight="1"/>
    <row r="27119" customFormat="1" ht="17.25" customHeight="1"/>
    <row r="27120" customFormat="1" ht="17.25" customHeight="1"/>
    <row r="27121" customFormat="1" ht="17.25" customHeight="1"/>
    <row r="27122" customFormat="1" ht="17.25" customHeight="1"/>
    <row r="27123" customFormat="1" ht="17.25" customHeight="1"/>
    <row r="27124" customFormat="1" ht="17.25" customHeight="1"/>
    <row r="27125" customFormat="1" ht="17.25" customHeight="1"/>
    <row r="27126" customFormat="1" ht="17.25" customHeight="1"/>
    <row r="27127" customFormat="1" ht="17.25" customHeight="1"/>
    <row r="27128" customFormat="1" ht="17.25" customHeight="1"/>
    <row r="27129" customFormat="1" ht="17.25" customHeight="1"/>
    <row r="27130" customFormat="1" ht="17.25" customHeight="1"/>
    <row r="27131" customFormat="1" ht="17.25" customHeight="1"/>
    <row r="27132" customFormat="1" ht="17.25" customHeight="1"/>
    <row r="27133" customFormat="1" ht="17.25" customHeight="1"/>
    <row r="27134" customFormat="1" ht="17.25" customHeight="1"/>
    <row r="27135" customFormat="1" ht="17.25" customHeight="1"/>
    <row r="27136" customFormat="1" ht="17.25" customHeight="1"/>
    <row r="27137" customFormat="1" ht="17.25" customHeight="1"/>
    <row r="27138" customFormat="1" ht="17.25" customHeight="1"/>
    <row r="27139" customFormat="1" ht="17.25" customHeight="1"/>
    <row r="27140" customFormat="1" ht="17.25" customHeight="1"/>
    <row r="27141" customFormat="1" ht="17.25" customHeight="1"/>
    <row r="27142" customFormat="1" ht="17.25" customHeight="1"/>
    <row r="27143" customFormat="1" ht="17.25" customHeight="1"/>
    <row r="27144" customFormat="1" ht="17.25" customHeight="1"/>
    <row r="27145" customFormat="1" ht="17.25" customHeight="1"/>
    <row r="27146" customFormat="1" ht="17.25" customHeight="1"/>
    <row r="27147" customFormat="1" ht="17.25" customHeight="1"/>
    <row r="27148" customFormat="1" ht="17.25" customHeight="1"/>
    <row r="27149" customFormat="1" ht="17.25" customHeight="1"/>
    <row r="27150" customFormat="1" ht="17.25" customHeight="1"/>
    <row r="27151" customFormat="1" ht="17.25" customHeight="1"/>
    <row r="27152" customFormat="1" ht="17.25" customHeight="1"/>
    <row r="27153" customFormat="1" ht="17.25" customHeight="1"/>
    <row r="27154" customFormat="1" ht="17.25" customHeight="1"/>
    <row r="27155" customFormat="1" ht="17.25" customHeight="1"/>
    <row r="27156" customFormat="1" ht="17.25" customHeight="1"/>
    <row r="27157" customFormat="1" ht="17.25" customHeight="1"/>
    <row r="27158" customFormat="1" ht="17.25" customHeight="1"/>
    <row r="27159" customFormat="1" ht="17.25" customHeight="1"/>
    <row r="27160" customFormat="1" ht="17.25" customHeight="1"/>
    <row r="27161" customFormat="1" ht="17.25" customHeight="1"/>
    <row r="27162" customFormat="1" ht="17.25" customHeight="1"/>
    <row r="27163" customFormat="1" ht="17.25" customHeight="1"/>
    <row r="27164" customFormat="1" ht="17.25" customHeight="1"/>
    <row r="27165" customFormat="1" ht="17.25" customHeight="1"/>
    <row r="27166" customFormat="1" ht="17.25" customHeight="1"/>
    <row r="27167" customFormat="1" ht="17.25" customHeight="1"/>
    <row r="27168" customFormat="1" ht="17.25" customHeight="1"/>
    <row r="27169" customFormat="1" ht="17.25" customHeight="1"/>
    <row r="27170" customFormat="1" ht="17.25" customHeight="1"/>
    <row r="27171" customFormat="1" ht="17.25" customHeight="1"/>
    <row r="27172" customFormat="1" ht="17.25" customHeight="1"/>
    <row r="27173" customFormat="1" ht="17.25" customHeight="1"/>
    <row r="27174" customFormat="1" ht="17.25" customHeight="1"/>
    <row r="27175" customFormat="1" ht="17.25" customHeight="1"/>
    <row r="27176" customFormat="1" ht="17.25" customHeight="1"/>
    <row r="27177" customFormat="1" ht="17.25" customHeight="1"/>
    <row r="27178" customFormat="1" ht="17.25" customHeight="1"/>
    <row r="27179" customFormat="1" ht="17.25" customHeight="1"/>
    <row r="27180" customFormat="1" ht="17.25" customHeight="1"/>
    <row r="27181" customFormat="1" ht="17.25" customHeight="1"/>
    <row r="27182" customFormat="1" ht="17.25" customHeight="1"/>
    <row r="27183" customFormat="1" ht="17.25" customHeight="1"/>
    <row r="27184" customFormat="1" ht="17.25" customHeight="1"/>
    <row r="27185" customFormat="1" ht="17.25" customHeight="1"/>
    <row r="27186" customFormat="1" ht="17.25" customHeight="1"/>
    <row r="27187" customFormat="1" ht="17.25" customHeight="1"/>
    <row r="27188" customFormat="1" ht="17.25" customHeight="1"/>
    <row r="27189" customFormat="1" ht="17.25" customHeight="1"/>
    <row r="27190" customFormat="1" ht="17.25" customHeight="1"/>
    <row r="27191" customFormat="1" ht="17.25" customHeight="1"/>
    <row r="27192" customFormat="1" ht="17.25" customHeight="1"/>
    <row r="27193" customFormat="1" ht="17.25" customHeight="1"/>
    <row r="27194" customFormat="1" ht="17.25" customHeight="1"/>
    <row r="27195" customFormat="1" ht="17.25" customHeight="1"/>
    <row r="27196" customFormat="1" ht="17.25" customHeight="1"/>
    <row r="27197" customFormat="1" ht="17.25" customHeight="1"/>
    <row r="27198" customFormat="1" ht="17.25" customHeight="1"/>
    <row r="27199" customFormat="1" ht="17.25" customHeight="1"/>
    <row r="27200" customFormat="1" ht="17.25" customHeight="1"/>
    <row r="27201" customFormat="1" ht="17.25" customHeight="1"/>
    <row r="27202" customFormat="1" ht="17.25" customHeight="1"/>
    <row r="27203" customFormat="1" ht="17.25" customHeight="1"/>
    <row r="27204" customFormat="1" ht="17.25" customHeight="1"/>
    <row r="27205" customFormat="1" ht="17.25" customHeight="1"/>
    <row r="27206" customFormat="1" ht="17.25" customHeight="1"/>
    <row r="27207" customFormat="1" ht="17.25" customHeight="1"/>
    <row r="27208" customFormat="1" ht="17.25" customHeight="1"/>
    <row r="27209" customFormat="1" ht="17.25" customHeight="1"/>
    <row r="27210" customFormat="1" ht="17.25" customHeight="1"/>
    <row r="27211" customFormat="1" ht="17.25" customHeight="1"/>
    <row r="27212" customFormat="1" ht="17.25" customHeight="1"/>
    <row r="27213" customFormat="1" ht="17.25" customHeight="1"/>
    <row r="27214" customFormat="1" ht="17.25" customHeight="1"/>
    <row r="27215" customFormat="1" ht="17.25" customHeight="1"/>
    <row r="27216" customFormat="1" ht="17.25" customHeight="1"/>
    <row r="27217" customFormat="1" ht="17.25" customHeight="1"/>
    <row r="27218" customFormat="1" ht="17.25" customHeight="1"/>
    <row r="27219" customFormat="1" ht="17.25" customHeight="1"/>
    <row r="27220" customFormat="1" ht="17.25" customHeight="1"/>
    <row r="27221" customFormat="1" ht="17.25" customHeight="1"/>
    <row r="27222" customFormat="1" ht="17.25" customHeight="1"/>
    <row r="27223" customFormat="1" ht="17.25" customHeight="1"/>
    <row r="27224" customFormat="1" ht="17.25" customHeight="1"/>
    <row r="27225" customFormat="1" ht="17.25" customHeight="1"/>
    <row r="27226" customFormat="1" ht="17.25" customHeight="1"/>
    <row r="27227" customFormat="1" ht="17.25" customHeight="1"/>
    <row r="27228" customFormat="1" ht="17.25" customHeight="1"/>
    <row r="27229" customFormat="1" ht="17.25" customHeight="1"/>
    <row r="27230" customFormat="1" ht="17.25" customHeight="1"/>
    <row r="27231" customFormat="1" ht="17.25" customHeight="1"/>
    <row r="27232" customFormat="1" ht="17.25" customHeight="1"/>
    <row r="27233" customFormat="1" ht="17.25" customHeight="1"/>
    <row r="27234" customFormat="1" ht="17.25" customHeight="1"/>
    <row r="27235" customFormat="1" ht="17.25" customHeight="1"/>
    <row r="27236" customFormat="1" ht="17.25" customHeight="1"/>
    <row r="27237" customFormat="1" ht="17.25" customHeight="1"/>
    <row r="27238" customFormat="1" ht="17.25" customHeight="1"/>
    <row r="27239" customFormat="1" ht="17.25" customHeight="1"/>
    <row r="27240" customFormat="1" ht="17.25" customHeight="1"/>
    <row r="27241" customFormat="1" ht="17.25" customHeight="1"/>
    <row r="27242" customFormat="1" ht="17.25" customHeight="1"/>
    <row r="27243" customFormat="1" ht="17.25" customHeight="1"/>
    <row r="27244" customFormat="1" ht="17.25" customHeight="1"/>
    <row r="27245" customFormat="1" ht="17.25" customHeight="1"/>
    <row r="27246" customFormat="1" ht="17.25" customHeight="1"/>
    <row r="27247" customFormat="1" ht="17.25" customHeight="1"/>
    <row r="27248" customFormat="1" ht="17.25" customHeight="1"/>
    <row r="27249" customFormat="1" ht="17.25" customHeight="1"/>
    <row r="27250" customFormat="1" ht="17.25" customHeight="1"/>
    <row r="27251" customFormat="1" ht="17.25" customHeight="1"/>
    <row r="27252" customFormat="1" ht="17.25" customHeight="1"/>
    <row r="27253" customFormat="1" ht="17.25" customHeight="1"/>
    <row r="27254" customFormat="1" ht="17.25" customHeight="1"/>
    <row r="27255" customFormat="1" ht="17.25" customHeight="1"/>
    <row r="27256" customFormat="1" ht="17.25" customHeight="1"/>
    <row r="27257" customFormat="1" ht="17.25" customHeight="1"/>
    <row r="27258" customFormat="1" ht="17.25" customHeight="1"/>
    <row r="27259" customFormat="1" ht="17.25" customHeight="1"/>
    <row r="27260" customFormat="1" ht="17.25" customHeight="1"/>
    <row r="27261" customFormat="1" ht="17.25" customHeight="1"/>
    <row r="27262" customFormat="1" ht="17.25" customHeight="1"/>
    <row r="27263" customFormat="1" ht="17.25" customHeight="1"/>
    <row r="27264" customFormat="1" ht="17.25" customHeight="1"/>
    <row r="27265" customFormat="1" ht="17.25" customHeight="1"/>
    <row r="27266" customFormat="1" ht="17.25" customHeight="1"/>
    <row r="27267" customFormat="1" ht="17.25" customHeight="1"/>
    <row r="27268" customFormat="1" ht="17.25" customHeight="1"/>
    <row r="27269" customFormat="1" ht="17.25" customHeight="1"/>
    <row r="27270" customFormat="1" ht="17.25" customHeight="1"/>
    <row r="27271" customFormat="1" ht="17.25" customHeight="1"/>
    <row r="27272" customFormat="1" ht="17.25" customHeight="1"/>
    <row r="27273" customFormat="1" ht="17.25" customHeight="1"/>
    <row r="27274" customFormat="1" ht="17.25" customHeight="1"/>
    <row r="27275" customFormat="1" ht="17.25" customHeight="1"/>
    <row r="27276" customFormat="1" ht="17.25" customHeight="1"/>
    <row r="27277" customFormat="1" ht="17.25" customHeight="1"/>
    <row r="27278" customFormat="1" ht="17.25" customHeight="1"/>
    <row r="27279" customFormat="1" ht="17.25" customHeight="1"/>
    <row r="27280" customFormat="1" ht="17.25" customHeight="1"/>
    <row r="27281" customFormat="1" ht="17.25" customHeight="1"/>
    <row r="27282" customFormat="1" ht="17.25" customHeight="1"/>
    <row r="27283" customFormat="1" ht="17.25" customHeight="1"/>
    <row r="27284" customFormat="1" ht="17.25" customHeight="1"/>
    <row r="27285" customFormat="1" ht="17.25" customHeight="1"/>
    <row r="27286" customFormat="1" ht="17.25" customHeight="1"/>
    <row r="27287" customFormat="1" ht="17.25" customHeight="1"/>
    <row r="27288" customFormat="1" ht="17.25" customHeight="1"/>
    <row r="27289" customFormat="1" ht="17.25" customHeight="1"/>
    <row r="27290" customFormat="1" ht="17.25" customHeight="1"/>
    <row r="27291" customFormat="1" ht="17.25" customHeight="1"/>
    <row r="27292" customFormat="1" ht="17.25" customHeight="1"/>
    <row r="27293" customFormat="1" ht="17.25" customHeight="1"/>
    <row r="27294" customFormat="1" ht="17.25" customHeight="1"/>
    <row r="27295" customFormat="1" ht="17.25" customHeight="1"/>
    <row r="27296" customFormat="1" ht="17.25" customHeight="1"/>
    <row r="27297" customFormat="1" ht="17.25" customHeight="1"/>
    <row r="27298" customFormat="1" ht="17.25" customHeight="1"/>
    <row r="27299" customFormat="1" ht="17.25" customHeight="1"/>
    <row r="27300" customFormat="1" ht="17.25" customHeight="1"/>
    <row r="27301" customFormat="1" ht="17.25" customHeight="1"/>
    <row r="27302" customFormat="1" ht="17.25" customHeight="1"/>
    <row r="27303" customFormat="1" ht="17.25" customHeight="1"/>
    <row r="27304" customFormat="1" ht="17.25" customHeight="1"/>
    <row r="27305" customFormat="1" ht="17.25" customHeight="1"/>
    <row r="27306" customFormat="1" ht="17.25" customHeight="1"/>
    <row r="27307" customFormat="1" ht="17.25" customHeight="1"/>
    <row r="27308" customFormat="1" ht="17.25" customHeight="1"/>
    <row r="27309" customFormat="1" ht="17.25" customHeight="1"/>
    <row r="27310" customFormat="1" ht="17.25" customHeight="1"/>
    <row r="27311" customFormat="1" ht="17.25" customHeight="1"/>
    <row r="27312" customFormat="1" ht="17.25" customHeight="1"/>
    <row r="27313" customFormat="1" ht="17.25" customHeight="1"/>
    <row r="27314" customFormat="1" ht="17.25" customHeight="1"/>
    <row r="27315" customFormat="1" ht="17.25" customHeight="1"/>
    <row r="27316" customFormat="1" ht="17.25" customHeight="1"/>
    <row r="27317" customFormat="1" ht="17.25" customHeight="1"/>
    <row r="27318" customFormat="1" ht="17.25" customHeight="1"/>
    <row r="27319" customFormat="1" ht="17.25" customHeight="1"/>
    <row r="27320" customFormat="1" ht="17.25" customHeight="1"/>
    <row r="27321" customFormat="1" ht="17.25" customHeight="1"/>
    <row r="27322" customFormat="1" ht="17.25" customHeight="1"/>
    <row r="27323" customFormat="1" ht="17.25" customHeight="1"/>
    <row r="27324" customFormat="1" ht="17.25" customHeight="1"/>
    <row r="27325" customFormat="1" ht="17.25" customHeight="1"/>
    <row r="27326" customFormat="1" ht="17.25" customHeight="1"/>
    <row r="27327" customFormat="1" ht="17.25" customHeight="1"/>
    <row r="27328" customFormat="1" ht="17.25" customHeight="1"/>
    <row r="27329" customFormat="1" ht="17.25" customHeight="1"/>
    <row r="27330" customFormat="1" ht="17.25" customHeight="1"/>
    <row r="27331" customFormat="1" ht="17.25" customHeight="1"/>
    <row r="27332" customFormat="1" ht="17.25" customHeight="1"/>
    <row r="27333" customFormat="1" ht="17.25" customHeight="1"/>
    <row r="27334" customFormat="1" ht="17.25" customHeight="1"/>
    <row r="27335" customFormat="1" ht="17.25" customHeight="1"/>
    <row r="27336" customFormat="1" ht="17.25" customHeight="1"/>
    <row r="27337" customFormat="1" ht="17.25" customHeight="1"/>
    <row r="27338" customFormat="1" ht="17.25" customHeight="1"/>
    <row r="27339" customFormat="1" ht="17.25" customHeight="1"/>
    <row r="27340" customFormat="1" ht="17.25" customHeight="1"/>
    <row r="27341" customFormat="1" ht="17.25" customHeight="1"/>
    <row r="27342" customFormat="1" ht="17.25" customHeight="1"/>
    <row r="27343" customFormat="1" ht="17.25" customHeight="1"/>
    <row r="27344" customFormat="1" ht="17.25" customHeight="1"/>
    <row r="27345" customFormat="1" ht="17.25" customHeight="1"/>
    <row r="27346" customFormat="1" ht="17.25" customHeight="1"/>
    <row r="27347" customFormat="1" ht="17.25" customHeight="1"/>
    <row r="27348" customFormat="1" ht="17.25" customHeight="1"/>
    <row r="27349" customFormat="1" ht="17.25" customHeight="1"/>
    <row r="27350" customFormat="1" ht="17.25" customHeight="1"/>
    <row r="27351" customFormat="1" ht="17.25" customHeight="1"/>
    <row r="27352" customFormat="1" ht="17.25" customHeight="1"/>
    <row r="27353" customFormat="1" ht="17.25" customHeight="1"/>
    <row r="27354" customFormat="1" ht="17.25" customHeight="1"/>
    <row r="27355" customFormat="1" ht="17.25" customHeight="1"/>
    <row r="27356" customFormat="1" ht="17.25" customHeight="1"/>
    <row r="27357" customFormat="1" ht="17.25" customHeight="1"/>
    <row r="27358" customFormat="1" ht="17.25" customHeight="1"/>
    <row r="27359" customFormat="1" ht="17.25" customHeight="1"/>
    <row r="27360" customFormat="1" ht="17.25" customHeight="1"/>
    <row r="27361" customFormat="1" ht="17.25" customHeight="1"/>
    <row r="27362" customFormat="1" ht="17.25" customHeight="1"/>
    <row r="27363" customFormat="1" ht="17.25" customHeight="1"/>
    <row r="27364" customFormat="1" ht="17.25" customHeight="1"/>
    <row r="27365" customFormat="1" ht="17.25" customHeight="1"/>
    <row r="27366" customFormat="1" ht="17.25" customHeight="1"/>
    <row r="27367" customFormat="1" ht="17.25" customHeight="1"/>
    <row r="27368" customFormat="1" ht="17.25" customHeight="1"/>
    <row r="27369" customFormat="1" ht="17.25" customHeight="1"/>
    <row r="27370" customFormat="1" ht="17.25" customHeight="1"/>
    <row r="27371" customFormat="1" ht="17.25" customHeight="1"/>
    <row r="27372" customFormat="1" ht="17.25" customHeight="1"/>
    <row r="27373" customFormat="1" ht="17.25" customHeight="1"/>
    <row r="27374" customFormat="1" ht="17.25" customHeight="1"/>
    <row r="27375" customFormat="1" ht="17.25" customHeight="1"/>
    <row r="27376" customFormat="1" ht="17.25" customHeight="1"/>
    <row r="27377" customFormat="1" ht="17.25" customHeight="1"/>
    <row r="27378" customFormat="1" ht="17.25" customHeight="1"/>
    <row r="27379" customFormat="1" ht="17.25" customHeight="1"/>
    <row r="27380" customFormat="1" ht="17.25" customHeight="1"/>
    <row r="27381" customFormat="1" ht="17.25" customHeight="1"/>
    <row r="27382" customFormat="1" ht="17.25" customHeight="1"/>
    <row r="27383" customFormat="1" ht="17.25" customHeight="1"/>
    <row r="27384" customFormat="1" ht="17.25" customHeight="1"/>
    <row r="27385" customFormat="1" ht="17.25" customHeight="1"/>
    <row r="27386" customFormat="1" ht="17.25" customHeight="1"/>
    <row r="27387" customFormat="1" ht="17.25" customHeight="1"/>
    <row r="27388" customFormat="1" ht="17.25" customHeight="1"/>
    <row r="27389" customFormat="1" ht="17.25" customHeight="1"/>
    <row r="27390" customFormat="1" ht="17.25" customHeight="1"/>
    <row r="27391" customFormat="1" ht="17.25" customHeight="1"/>
    <row r="27392" customFormat="1" ht="17.25" customHeight="1"/>
    <row r="27393" customFormat="1" ht="17.25" customHeight="1"/>
    <row r="27394" customFormat="1" ht="17.25" customHeight="1"/>
    <row r="27395" customFormat="1" ht="17.25" customHeight="1"/>
    <row r="27396" customFormat="1" ht="17.25" customHeight="1"/>
    <row r="27397" customFormat="1" ht="17.25" customHeight="1"/>
    <row r="27398" customFormat="1" ht="17.25" customHeight="1"/>
    <row r="27399" customFormat="1" ht="17.25" customHeight="1"/>
    <row r="27400" customFormat="1" ht="17.25" customHeight="1"/>
    <row r="27401" customFormat="1" ht="17.25" customHeight="1"/>
    <row r="27402" customFormat="1" ht="17.25" customHeight="1"/>
    <row r="27403" customFormat="1" ht="17.25" customHeight="1"/>
    <row r="27404" customFormat="1" ht="17.25" customHeight="1"/>
    <row r="27405" customFormat="1" ht="17.25" customHeight="1"/>
    <row r="27406" customFormat="1" ht="17.25" customHeight="1"/>
    <row r="27407" customFormat="1" ht="17.25" customHeight="1"/>
    <row r="27408" customFormat="1" ht="17.25" customHeight="1"/>
    <row r="27409" customFormat="1" ht="17.25" customHeight="1"/>
    <row r="27410" customFormat="1" ht="17.25" customHeight="1"/>
    <row r="27411" customFormat="1" ht="17.25" customHeight="1"/>
    <row r="27412" customFormat="1" ht="17.25" customHeight="1"/>
    <row r="27413" customFormat="1" ht="17.25" customHeight="1"/>
    <row r="27414" customFormat="1" ht="17.25" customHeight="1"/>
    <row r="27415" customFormat="1" ht="17.25" customHeight="1"/>
    <row r="27416" customFormat="1" ht="17.25" customHeight="1"/>
    <row r="27417" customFormat="1" ht="17.25" customHeight="1"/>
    <row r="27418" customFormat="1" ht="17.25" customHeight="1"/>
    <row r="27419" customFormat="1" ht="17.25" customHeight="1"/>
    <row r="27420" customFormat="1" ht="17.25" customHeight="1"/>
    <row r="27421" customFormat="1" ht="17.25" customHeight="1"/>
    <row r="27422" customFormat="1" ht="17.25" customHeight="1"/>
    <row r="27423" customFormat="1" ht="17.25" customHeight="1"/>
    <row r="27424" customFormat="1" ht="17.25" customHeight="1"/>
    <row r="27425" customFormat="1" ht="17.25" customHeight="1"/>
    <row r="27426" customFormat="1" ht="17.25" customHeight="1"/>
    <row r="27427" customFormat="1" ht="17.25" customHeight="1"/>
    <row r="27428" customFormat="1" ht="17.25" customHeight="1"/>
    <row r="27429" customFormat="1" ht="17.25" customHeight="1"/>
    <row r="27430" customFormat="1" ht="17.25" customHeight="1"/>
    <row r="27431" customFormat="1" ht="17.25" customHeight="1"/>
    <row r="27432" customFormat="1" ht="17.25" customHeight="1"/>
    <row r="27433" customFormat="1" ht="17.25" customHeight="1"/>
    <row r="27434" customFormat="1" ht="17.25" customHeight="1"/>
    <row r="27435" customFormat="1" ht="17.25" customHeight="1"/>
    <row r="27436" customFormat="1" ht="17.25" customHeight="1"/>
    <row r="27437" customFormat="1" ht="17.25" customHeight="1"/>
    <row r="27438" customFormat="1" ht="17.25" customHeight="1"/>
    <row r="27439" customFormat="1" ht="17.25" customHeight="1"/>
    <row r="27440" customFormat="1" ht="17.25" customHeight="1"/>
    <row r="27441" customFormat="1" ht="17.25" customHeight="1"/>
    <row r="27442" customFormat="1" ht="17.25" customHeight="1"/>
    <row r="27443" customFormat="1" ht="17.25" customHeight="1"/>
    <row r="27444" customFormat="1" ht="17.25" customHeight="1"/>
    <row r="27445" customFormat="1" ht="17.25" customHeight="1"/>
    <row r="27446" customFormat="1" ht="17.25" customHeight="1"/>
    <row r="27447" customFormat="1" ht="17.25" customHeight="1"/>
    <row r="27448" customFormat="1" ht="17.25" customHeight="1"/>
    <row r="27449" customFormat="1" ht="17.25" customHeight="1"/>
    <row r="27450" customFormat="1" ht="17.25" customHeight="1"/>
    <row r="27451" customFormat="1" ht="17.25" customHeight="1"/>
    <row r="27452" customFormat="1" ht="17.25" customHeight="1"/>
    <row r="27453" customFormat="1" ht="17.25" customHeight="1"/>
    <row r="27454" customFormat="1" ht="17.25" customHeight="1"/>
    <row r="27455" customFormat="1" ht="17.25" customHeight="1"/>
    <row r="27456" customFormat="1" ht="17.25" customHeight="1"/>
    <row r="27457" customFormat="1" ht="17.25" customHeight="1"/>
    <row r="27458" customFormat="1" ht="17.25" customHeight="1"/>
    <row r="27459" customFormat="1" ht="17.25" customHeight="1"/>
    <row r="27460" customFormat="1" ht="17.25" customHeight="1"/>
    <row r="27461" customFormat="1" ht="17.25" customHeight="1"/>
    <row r="27462" customFormat="1" ht="17.25" customHeight="1"/>
    <row r="27463" customFormat="1" ht="17.25" customHeight="1"/>
    <row r="27464" customFormat="1" ht="17.25" customHeight="1"/>
    <row r="27465" customFormat="1" ht="17.25" customHeight="1"/>
    <row r="27466" customFormat="1" ht="17.25" customHeight="1"/>
    <row r="27467" customFormat="1" ht="17.25" customHeight="1"/>
    <row r="27468" customFormat="1" ht="17.25" customHeight="1"/>
    <row r="27469" customFormat="1" ht="17.25" customHeight="1"/>
    <row r="27470" customFormat="1" ht="17.25" customHeight="1"/>
    <row r="27471" customFormat="1" ht="17.25" customHeight="1"/>
    <row r="27472" customFormat="1" ht="17.25" customHeight="1"/>
    <row r="27473" customFormat="1" ht="17.25" customHeight="1"/>
    <row r="27474" customFormat="1" ht="17.25" customHeight="1"/>
    <row r="27475" customFormat="1" ht="17.25" customHeight="1"/>
    <row r="27476" customFormat="1" ht="17.25" customHeight="1"/>
    <row r="27477" customFormat="1" ht="17.25" customHeight="1"/>
    <row r="27478" customFormat="1" ht="17.25" customHeight="1"/>
    <row r="27479" customFormat="1" ht="17.25" customHeight="1"/>
    <row r="27480" customFormat="1" ht="17.25" customHeight="1"/>
    <row r="27481" customFormat="1" ht="17.25" customHeight="1"/>
    <row r="27482" customFormat="1" ht="17.25" customHeight="1"/>
    <row r="27483" customFormat="1" ht="17.25" customHeight="1"/>
    <row r="27484" customFormat="1" ht="17.25" customHeight="1"/>
    <row r="27485" customFormat="1" ht="17.25" customHeight="1"/>
    <row r="27486" customFormat="1" ht="17.25" customHeight="1"/>
    <row r="27487" customFormat="1" ht="17.25" customHeight="1"/>
    <row r="27488" customFormat="1" ht="17.25" customHeight="1"/>
    <row r="27489" customFormat="1" ht="17.25" customHeight="1"/>
    <row r="27490" customFormat="1" ht="17.25" customHeight="1"/>
    <row r="27491" customFormat="1" ht="17.25" customHeight="1"/>
    <row r="27492" customFormat="1" ht="17.25" customHeight="1"/>
    <row r="27493" customFormat="1" ht="17.25" customHeight="1"/>
    <row r="27494" customFormat="1" ht="17.25" customHeight="1"/>
    <row r="27495" customFormat="1" ht="17.25" customHeight="1"/>
    <row r="27496" customFormat="1" ht="17.25" customHeight="1"/>
    <row r="27497" customFormat="1" ht="17.25" customHeight="1"/>
    <row r="27498" customFormat="1" ht="17.25" customHeight="1"/>
    <row r="27499" customFormat="1" ht="17.25" customHeight="1"/>
    <row r="27500" customFormat="1" ht="17.25" customHeight="1"/>
    <row r="27501" customFormat="1" ht="17.25" customHeight="1"/>
    <row r="27502" customFormat="1" ht="17.25" customHeight="1"/>
    <row r="27503" customFormat="1" ht="17.25" customHeight="1"/>
    <row r="27504" customFormat="1" ht="17.25" customHeight="1"/>
    <row r="27505" customFormat="1" ht="17.25" customHeight="1"/>
    <row r="27506" customFormat="1" ht="17.25" customHeight="1"/>
    <row r="27507" customFormat="1" ht="17.25" customHeight="1"/>
    <row r="27508" customFormat="1" ht="17.25" customHeight="1"/>
    <row r="27509" customFormat="1" ht="17.25" customHeight="1"/>
    <row r="27510" customFormat="1" ht="17.25" customHeight="1"/>
    <row r="27511" customFormat="1" ht="17.25" customHeight="1"/>
    <row r="27512" customFormat="1" ht="17.25" customHeight="1"/>
    <row r="27513" customFormat="1" ht="17.25" customHeight="1"/>
    <row r="27514" customFormat="1" ht="17.25" customHeight="1"/>
    <row r="27515" customFormat="1" ht="17.25" customHeight="1"/>
    <row r="27516" customFormat="1" ht="17.25" customHeight="1"/>
    <row r="27517" customFormat="1" ht="17.25" customHeight="1"/>
    <row r="27518" customFormat="1" ht="17.25" customHeight="1"/>
    <row r="27519" customFormat="1" ht="17.25" customHeight="1"/>
    <row r="27520" customFormat="1" ht="17.25" customHeight="1"/>
    <row r="27521" customFormat="1" ht="17.25" customHeight="1"/>
    <row r="27522" customFormat="1" ht="17.25" customHeight="1"/>
    <row r="27523" customFormat="1" ht="17.25" customHeight="1"/>
    <row r="27524" customFormat="1" ht="17.25" customHeight="1"/>
    <row r="27525" customFormat="1" ht="17.25" customHeight="1"/>
    <row r="27526" customFormat="1" ht="17.25" customHeight="1"/>
    <row r="27527" customFormat="1" ht="17.25" customHeight="1"/>
    <row r="27528" customFormat="1" ht="17.25" customHeight="1"/>
    <row r="27529" customFormat="1" ht="17.25" customHeight="1"/>
    <row r="27530" customFormat="1" ht="17.25" customHeight="1"/>
    <row r="27531" customFormat="1" ht="17.25" customHeight="1"/>
    <row r="27532" customFormat="1" ht="17.25" customHeight="1"/>
    <row r="27533" customFormat="1" ht="17.25" customHeight="1"/>
    <row r="27534" customFormat="1" ht="17.25" customHeight="1"/>
    <row r="27535" customFormat="1" ht="17.25" customHeight="1"/>
    <row r="27536" customFormat="1" ht="17.25" customHeight="1"/>
    <row r="27537" customFormat="1" ht="17.25" customHeight="1"/>
    <row r="27538" customFormat="1" ht="17.25" customHeight="1"/>
    <row r="27539" customFormat="1" ht="17.25" customHeight="1"/>
    <row r="27540" customFormat="1" ht="17.25" customHeight="1"/>
    <row r="27541" customFormat="1" ht="17.25" customHeight="1"/>
    <row r="27542" customFormat="1" ht="17.25" customHeight="1"/>
    <row r="27543" customFormat="1" ht="17.25" customHeight="1"/>
    <row r="27544" customFormat="1" ht="17.25" customHeight="1"/>
    <row r="27545" customFormat="1" ht="17.25" customHeight="1"/>
    <row r="27546" customFormat="1" ht="17.25" customHeight="1"/>
    <row r="27547" customFormat="1" ht="17.25" customHeight="1"/>
    <row r="27548" customFormat="1" ht="17.25" customHeight="1"/>
    <row r="27549" customFormat="1" ht="17.25" customHeight="1"/>
    <row r="27550" customFormat="1" ht="17.25" customHeight="1"/>
    <row r="27551" customFormat="1" ht="17.25" customHeight="1"/>
    <row r="27552" customFormat="1" ht="17.25" customHeight="1"/>
    <row r="27553" customFormat="1" ht="17.25" customHeight="1"/>
    <row r="27554" customFormat="1" ht="17.25" customHeight="1"/>
    <row r="27555" customFormat="1" ht="17.25" customHeight="1"/>
    <row r="27556" customFormat="1" ht="17.25" customHeight="1"/>
    <row r="27557" customFormat="1" ht="17.25" customHeight="1"/>
    <row r="27558" customFormat="1" ht="17.25" customHeight="1"/>
    <row r="27559" customFormat="1" ht="17.25" customHeight="1"/>
    <row r="27560" customFormat="1" ht="17.25" customHeight="1"/>
    <row r="27561" customFormat="1" ht="17.25" customHeight="1"/>
    <row r="27562" customFormat="1" ht="17.25" customHeight="1"/>
    <row r="27563" customFormat="1" ht="17.25" customHeight="1"/>
    <row r="27564" customFormat="1" ht="17.25" customHeight="1"/>
    <row r="27565" customFormat="1" ht="17.25" customHeight="1"/>
    <row r="27566" customFormat="1" ht="17.25" customHeight="1"/>
    <row r="27567" customFormat="1" ht="17.25" customHeight="1"/>
    <row r="27568" customFormat="1" ht="17.25" customHeight="1"/>
    <row r="27569" customFormat="1" ht="17.25" customHeight="1"/>
    <row r="27570" customFormat="1" ht="17.25" customHeight="1"/>
    <row r="27571" customFormat="1" ht="17.25" customHeight="1"/>
    <row r="27572" customFormat="1" ht="17.25" customHeight="1"/>
    <row r="27573" customFormat="1" ht="17.25" customHeight="1"/>
    <row r="27574" customFormat="1" ht="17.25" customHeight="1"/>
    <row r="27575" customFormat="1" ht="17.25" customHeight="1"/>
    <row r="27576" customFormat="1" ht="17.25" customHeight="1"/>
    <row r="27577" customFormat="1" ht="17.25" customHeight="1"/>
    <row r="27578" customFormat="1" ht="17.25" customHeight="1"/>
    <row r="27579" customFormat="1" ht="17.25" customHeight="1"/>
    <row r="27580" customFormat="1" ht="17.25" customHeight="1"/>
    <row r="27581" customFormat="1" ht="17.25" customHeight="1"/>
    <row r="27582" customFormat="1" ht="17.25" customHeight="1"/>
    <row r="27583" customFormat="1" ht="17.25" customHeight="1"/>
    <row r="27584" customFormat="1" ht="17.25" customHeight="1"/>
    <row r="27585" customFormat="1" ht="17.25" customHeight="1"/>
    <row r="27586" customFormat="1" ht="17.25" customHeight="1"/>
    <row r="27587" customFormat="1" ht="17.25" customHeight="1"/>
    <row r="27588" customFormat="1" ht="17.25" customHeight="1"/>
    <row r="27589" customFormat="1" ht="17.25" customHeight="1"/>
    <row r="27590" customFormat="1" ht="17.25" customHeight="1"/>
    <row r="27591" customFormat="1" ht="17.25" customHeight="1"/>
    <row r="27592" customFormat="1" ht="17.25" customHeight="1"/>
    <row r="27593" customFormat="1" ht="17.25" customHeight="1"/>
    <row r="27594" customFormat="1" ht="17.25" customHeight="1"/>
    <row r="27595" customFormat="1" ht="17.25" customHeight="1"/>
    <row r="27596" customFormat="1" ht="17.25" customHeight="1"/>
    <row r="27597" customFormat="1" ht="17.25" customHeight="1"/>
    <row r="27598" customFormat="1" ht="17.25" customHeight="1"/>
    <row r="27599" customFormat="1" ht="17.25" customHeight="1"/>
    <row r="27600" customFormat="1" ht="17.25" customHeight="1"/>
    <row r="27601" customFormat="1" ht="17.25" customHeight="1"/>
    <row r="27602" customFormat="1" ht="17.25" customHeight="1"/>
    <row r="27603" customFormat="1" ht="17.25" customHeight="1"/>
    <row r="27604" customFormat="1" ht="17.25" customHeight="1"/>
    <row r="27605" customFormat="1" ht="17.25" customHeight="1"/>
    <row r="27606" customFormat="1" ht="17.25" customHeight="1"/>
    <row r="27607" customFormat="1" ht="17.25" customHeight="1"/>
    <row r="27608" customFormat="1" ht="17.25" customHeight="1"/>
    <row r="27609" customFormat="1" ht="17.25" customHeight="1"/>
    <row r="27610" customFormat="1" ht="17.25" customHeight="1"/>
    <row r="27611" customFormat="1" ht="17.25" customHeight="1"/>
    <row r="27612" customFormat="1" ht="17.25" customHeight="1"/>
    <row r="27613" customFormat="1" ht="17.25" customHeight="1"/>
    <row r="27614" customFormat="1" ht="17.25" customHeight="1"/>
    <row r="27615" customFormat="1" ht="17.25" customHeight="1"/>
    <row r="27616" customFormat="1" ht="17.25" customHeight="1"/>
    <row r="27617" customFormat="1" ht="17.25" customHeight="1"/>
    <row r="27618" customFormat="1" ht="17.25" customHeight="1"/>
    <row r="27619" customFormat="1" ht="17.25" customHeight="1"/>
    <row r="27620" customFormat="1" ht="17.25" customHeight="1"/>
    <row r="27621" customFormat="1" ht="17.25" customHeight="1"/>
    <row r="27622" customFormat="1" ht="17.25" customHeight="1"/>
    <row r="27623" customFormat="1" ht="17.25" customHeight="1"/>
    <row r="27624" customFormat="1" ht="17.25" customHeight="1"/>
    <row r="27625" customFormat="1" ht="17.25" customHeight="1"/>
    <row r="27626" customFormat="1" ht="17.25" customHeight="1"/>
    <row r="27627" customFormat="1" ht="17.25" customHeight="1"/>
    <row r="27628" customFormat="1" ht="17.25" customHeight="1"/>
    <row r="27629" customFormat="1" ht="17.25" customHeight="1"/>
    <row r="27630" customFormat="1" ht="17.25" customHeight="1"/>
    <row r="27631" customFormat="1" ht="17.25" customHeight="1"/>
    <row r="27632" customFormat="1" ht="17.25" customHeight="1"/>
    <row r="27633" customFormat="1" ht="17.25" customHeight="1"/>
    <row r="27634" customFormat="1" ht="17.25" customHeight="1"/>
    <row r="27635" customFormat="1" ht="17.25" customHeight="1"/>
    <row r="27636" customFormat="1" ht="17.25" customHeight="1"/>
    <row r="27637" customFormat="1" ht="17.25" customHeight="1"/>
    <row r="27638" customFormat="1" ht="17.25" customHeight="1"/>
    <row r="27639" customFormat="1" ht="17.25" customHeight="1"/>
    <row r="27640" customFormat="1" ht="17.25" customHeight="1"/>
    <row r="27641" customFormat="1" ht="17.25" customHeight="1"/>
    <row r="27642" customFormat="1" ht="17.25" customHeight="1"/>
    <row r="27643" customFormat="1" ht="17.25" customHeight="1"/>
    <row r="27644" customFormat="1" ht="17.25" customHeight="1"/>
    <row r="27645" customFormat="1" ht="17.25" customHeight="1"/>
    <row r="27646" customFormat="1" ht="17.25" customHeight="1"/>
    <row r="27647" customFormat="1" ht="17.25" customHeight="1"/>
    <row r="27648" customFormat="1" ht="17.25" customHeight="1"/>
    <row r="27649" customFormat="1" ht="17.25" customHeight="1"/>
    <row r="27650" customFormat="1" ht="17.25" customHeight="1"/>
    <row r="27651" customFormat="1" ht="17.25" customHeight="1"/>
    <row r="27652" customFormat="1" ht="17.25" customHeight="1"/>
    <row r="27653" customFormat="1" ht="17.25" customHeight="1"/>
    <row r="27654" customFormat="1" ht="17.25" customHeight="1"/>
    <row r="27655" customFormat="1" ht="17.25" customHeight="1"/>
    <row r="27656" customFormat="1" ht="17.25" customHeight="1"/>
    <row r="27657" customFormat="1" ht="17.25" customHeight="1"/>
    <row r="27658" customFormat="1" ht="17.25" customHeight="1"/>
    <row r="27659" customFormat="1" ht="17.25" customHeight="1"/>
    <row r="27660" customFormat="1" ht="17.25" customHeight="1"/>
    <row r="27661" customFormat="1" ht="17.25" customHeight="1"/>
    <row r="27662" customFormat="1" ht="17.25" customHeight="1"/>
    <row r="27663" customFormat="1" ht="17.25" customHeight="1"/>
    <row r="27664" customFormat="1" ht="17.25" customHeight="1"/>
    <row r="27665" customFormat="1" ht="17.25" customHeight="1"/>
    <row r="27666" customFormat="1" ht="17.25" customHeight="1"/>
    <row r="27667" customFormat="1" ht="17.25" customHeight="1"/>
    <row r="27668" customFormat="1" ht="17.25" customHeight="1"/>
    <row r="27669" customFormat="1" ht="17.25" customHeight="1"/>
    <row r="27670" customFormat="1" ht="17.25" customHeight="1"/>
    <row r="27671" customFormat="1" ht="17.25" customHeight="1"/>
    <row r="27672" customFormat="1" ht="17.25" customHeight="1"/>
    <row r="27673" customFormat="1" ht="17.25" customHeight="1"/>
    <row r="27674" customFormat="1" ht="17.25" customHeight="1"/>
    <row r="27675" customFormat="1" ht="17.25" customHeight="1"/>
    <row r="27676" customFormat="1" ht="17.25" customHeight="1"/>
    <row r="27677" customFormat="1" ht="17.25" customHeight="1"/>
    <row r="27678" customFormat="1" ht="17.25" customHeight="1"/>
    <row r="27679" customFormat="1" ht="17.25" customHeight="1"/>
    <row r="27680" customFormat="1" ht="17.25" customHeight="1"/>
    <row r="27681" customFormat="1" ht="17.25" customHeight="1"/>
    <row r="27682" customFormat="1" ht="17.25" customHeight="1"/>
    <row r="27683" customFormat="1" ht="17.25" customHeight="1"/>
    <row r="27684" customFormat="1" ht="17.25" customHeight="1"/>
    <row r="27685" customFormat="1" ht="17.25" customHeight="1"/>
    <row r="27686" customFormat="1" ht="17.25" customHeight="1"/>
    <row r="27687" customFormat="1" ht="17.25" customHeight="1"/>
    <row r="27688" customFormat="1" ht="17.25" customHeight="1"/>
    <row r="27689" customFormat="1" ht="17.25" customHeight="1"/>
    <row r="27690" customFormat="1" ht="17.25" customHeight="1"/>
    <row r="27691" customFormat="1" ht="17.25" customHeight="1"/>
    <row r="27692" customFormat="1" ht="17.25" customHeight="1"/>
    <row r="27693" customFormat="1" ht="17.25" customHeight="1"/>
    <row r="27694" customFormat="1" ht="17.25" customHeight="1"/>
    <row r="27695" customFormat="1" ht="17.25" customHeight="1"/>
    <row r="27696" customFormat="1" ht="17.25" customHeight="1"/>
    <row r="27697" customFormat="1" ht="17.25" customHeight="1"/>
    <row r="27698" customFormat="1" ht="17.25" customHeight="1"/>
    <row r="27699" customFormat="1" ht="17.25" customHeight="1"/>
    <row r="27700" customFormat="1" ht="17.25" customHeight="1"/>
    <row r="27701" customFormat="1" ht="17.25" customHeight="1"/>
    <row r="27702" customFormat="1" ht="17.25" customHeight="1"/>
    <row r="27703" customFormat="1" ht="17.25" customHeight="1"/>
    <row r="27704" customFormat="1" ht="17.25" customHeight="1"/>
    <row r="27705" customFormat="1" ht="17.25" customHeight="1"/>
    <row r="27706" customFormat="1" ht="17.25" customHeight="1"/>
    <row r="27707" customFormat="1" ht="17.25" customHeight="1"/>
    <row r="27708" customFormat="1" ht="17.25" customHeight="1"/>
    <row r="27709" customFormat="1" ht="17.25" customHeight="1"/>
    <row r="27710" customFormat="1" ht="17.25" customHeight="1"/>
    <row r="27711" customFormat="1" ht="17.25" customHeight="1"/>
    <row r="27712" customFormat="1" ht="17.25" customHeight="1"/>
    <row r="27713" customFormat="1" ht="17.25" customHeight="1"/>
    <row r="27714" customFormat="1" ht="17.25" customHeight="1"/>
    <row r="27715" customFormat="1" ht="17.25" customHeight="1"/>
    <row r="27716" customFormat="1" ht="17.25" customHeight="1"/>
    <row r="27717" customFormat="1" ht="17.25" customHeight="1"/>
    <row r="27718" customFormat="1" ht="17.25" customHeight="1"/>
    <row r="27719" customFormat="1" ht="17.25" customHeight="1"/>
    <row r="27720" customFormat="1" ht="17.25" customHeight="1"/>
    <row r="27721" customFormat="1" ht="17.25" customHeight="1"/>
    <row r="27722" customFormat="1" ht="17.25" customHeight="1"/>
    <row r="27723" customFormat="1" ht="17.25" customHeight="1"/>
    <row r="27724" customFormat="1" ht="17.25" customHeight="1"/>
    <row r="27725" customFormat="1" ht="17.25" customHeight="1"/>
    <row r="27726" customFormat="1" ht="17.25" customHeight="1"/>
    <row r="27727" customFormat="1" ht="17.25" customHeight="1"/>
    <row r="27728" customFormat="1" ht="17.25" customHeight="1"/>
    <row r="27729" customFormat="1" ht="17.25" customHeight="1"/>
    <row r="27730" customFormat="1" ht="17.25" customHeight="1"/>
    <row r="27731" customFormat="1" ht="17.25" customHeight="1"/>
    <row r="27732" customFormat="1" ht="17.25" customHeight="1"/>
    <row r="27733" customFormat="1" ht="17.25" customHeight="1"/>
    <row r="27734" customFormat="1" ht="17.25" customHeight="1"/>
    <row r="27735" customFormat="1" ht="17.25" customHeight="1"/>
    <row r="27736" customFormat="1" ht="17.25" customHeight="1"/>
    <row r="27737" customFormat="1" ht="17.25" customHeight="1"/>
    <row r="27738" customFormat="1" ht="17.25" customHeight="1"/>
    <row r="27739" customFormat="1" ht="17.25" customHeight="1"/>
    <row r="27740" customFormat="1" ht="17.25" customHeight="1"/>
    <row r="27741" customFormat="1" ht="17.25" customHeight="1"/>
    <row r="27742" customFormat="1" ht="17.25" customHeight="1"/>
    <row r="27743" customFormat="1" ht="17.25" customHeight="1"/>
    <row r="27744" customFormat="1" ht="17.25" customHeight="1"/>
    <row r="27745" customFormat="1" ht="17.25" customHeight="1"/>
    <row r="27746" customFormat="1" ht="17.25" customHeight="1"/>
    <row r="27747" customFormat="1" ht="17.25" customHeight="1"/>
    <row r="27748" customFormat="1" ht="17.25" customHeight="1"/>
    <row r="27749" customFormat="1" ht="17.25" customHeight="1"/>
    <row r="27750" customFormat="1" ht="17.25" customHeight="1"/>
    <row r="27751" customFormat="1" ht="17.25" customHeight="1"/>
    <row r="27752" customFormat="1" ht="17.25" customHeight="1"/>
    <row r="27753" customFormat="1" ht="17.25" customHeight="1"/>
    <row r="27754" customFormat="1" ht="17.25" customHeight="1"/>
    <row r="27755" customFormat="1" ht="17.25" customHeight="1"/>
    <row r="27756" customFormat="1" ht="17.25" customHeight="1"/>
    <row r="27757" customFormat="1" ht="17.25" customHeight="1"/>
    <row r="27758" customFormat="1" ht="17.25" customHeight="1"/>
    <row r="27759" customFormat="1" ht="17.25" customHeight="1"/>
    <row r="27760" customFormat="1" ht="17.25" customHeight="1"/>
    <row r="27761" customFormat="1" ht="17.25" customHeight="1"/>
    <row r="27762" customFormat="1" ht="17.25" customHeight="1"/>
    <row r="27763" customFormat="1" ht="17.25" customHeight="1"/>
    <row r="27764" customFormat="1" ht="17.25" customHeight="1"/>
    <row r="27765" customFormat="1" ht="17.25" customHeight="1"/>
    <row r="27766" customFormat="1" ht="17.25" customHeight="1"/>
    <row r="27767" customFormat="1" ht="17.25" customHeight="1"/>
    <row r="27768" customFormat="1" ht="17.25" customHeight="1"/>
    <row r="27769" customFormat="1" ht="17.25" customHeight="1"/>
    <row r="27770" customFormat="1" ht="17.25" customHeight="1"/>
    <row r="27771" customFormat="1" ht="17.25" customHeight="1"/>
    <row r="27772" customFormat="1" ht="17.25" customHeight="1"/>
    <row r="27773" customFormat="1" ht="17.25" customHeight="1"/>
    <row r="27774" customFormat="1" ht="17.25" customHeight="1"/>
    <row r="27775" customFormat="1" ht="17.25" customHeight="1"/>
    <row r="27776" customFormat="1" ht="17.25" customHeight="1"/>
    <row r="27777" customFormat="1" ht="17.25" customHeight="1"/>
    <row r="27778" customFormat="1" ht="17.25" customHeight="1"/>
    <row r="27779" customFormat="1" ht="17.25" customHeight="1"/>
    <row r="27780" customFormat="1" ht="17.25" customHeight="1"/>
    <row r="27781" customFormat="1" ht="17.25" customHeight="1"/>
    <row r="27782" customFormat="1" ht="17.25" customHeight="1"/>
    <row r="27783" customFormat="1" ht="17.25" customHeight="1"/>
    <row r="27784" customFormat="1" ht="17.25" customHeight="1"/>
    <row r="27785" customFormat="1" ht="17.25" customHeight="1"/>
    <row r="27786" customFormat="1" ht="17.25" customHeight="1"/>
    <row r="27787" customFormat="1" ht="17.25" customHeight="1"/>
    <row r="27788" customFormat="1" ht="17.25" customHeight="1"/>
    <row r="27789" customFormat="1" ht="17.25" customHeight="1"/>
    <row r="27790" customFormat="1" ht="17.25" customHeight="1"/>
    <row r="27791" customFormat="1" ht="17.25" customHeight="1"/>
    <row r="27792" customFormat="1" ht="17.25" customHeight="1"/>
    <row r="27793" customFormat="1" ht="17.25" customHeight="1"/>
    <row r="27794" customFormat="1" ht="17.25" customHeight="1"/>
    <row r="27795" customFormat="1" ht="17.25" customHeight="1"/>
    <row r="27796" customFormat="1" ht="17.25" customHeight="1"/>
    <row r="27797" customFormat="1" ht="17.25" customHeight="1"/>
    <row r="27798" customFormat="1" ht="17.25" customHeight="1"/>
    <row r="27799" customFormat="1" ht="17.25" customHeight="1"/>
    <row r="27800" customFormat="1" ht="17.25" customHeight="1"/>
    <row r="27801" customFormat="1" ht="17.25" customHeight="1"/>
    <row r="27802" customFormat="1" ht="17.25" customHeight="1"/>
    <row r="27803" customFormat="1" ht="17.25" customHeight="1"/>
    <row r="27804" customFormat="1" ht="17.25" customHeight="1"/>
    <row r="27805" customFormat="1" ht="17.25" customHeight="1"/>
    <row r="27806" customFormat="1" ht="17.25" customHeight="1"/>
    <row r="27807" customFormat="1" ht="17.25" customHeight="1"/>
    <row r="27808" customFormat="1" ht="17.25" customHeight="1"/>
    <row r="27809" customFormat="1" ht="17.25" customHeight="1"/>
    <row r="27810" customFormat="1" ht="17.25" customHeight="1"/>
    <row r="27811" customFormat="1" ht="17.25" customHeight="1"/>
    <row r="27812" customFormat="1" ht="17.25" customHeight="1"/>
    <row r="27813" customFormat="1" ht="17.25" customHeight="1"/>
    <row r="27814" customFormat="1" ht="17.25" customHeight="1"/>
    <row r="27815" customFormat="1" ht="17.25" customHeight="1"/>
    <row r="27816" customFormat="1" ht="17.25" customHeight="1"/>
    <row r="27817" customFormat="1" ht="17.25" customHeight="1"/>
    <row r="27818" customFormat="1" ht="17.25" customHeight="1"/>
    <row r="27819" customFormat="1" ht="17.25" customHeight="1"/>
    <row r="27820" customFormat="1" ht="17.25" customHeight="1"/>
    <row r="27821" customFormat="1" ht="17.25" customHeight="1"/>
    <row r="27822" customFormat="1" ht="17.25" customHeight="1"/>
    <row r="27823" customFormat="1" ht="17.25" customHeight="1"/>
    <row r="27824" customFormat="1" ht="17.25" customHeight="1"/>
    <row r="27825" customFormat="1" ht="17.25" customHeight="1"/>
    <row r="27826" customFormat="1" ht="17.25" customHeight="1"/>
    <row r="27827" customFormat="1" ht="17.25" customHeight="1"/>
    <row r="27828" customFormat="1" ht="17.25" customHeight="1"/>
    <row r="27829" customFormat="1" ht="17.25" customHeight="1"/>
    <row r="27830" customFormat="1" ht="17.25" customHeight="1"/>
    <row r="27831" customFormat="1" ht="17.25" customHeight="1"/>
    <row r="27832" customFormat="1" ht="17.25" customHeight="1"/>
    <row r="27833" customFormat="1" ht="17.25" customHeight="1"/>
    <row r="27834" customFormat="1" ht="17.25" customHeight="1"/>
    <row r="27835" customFormat="1" ht="17.25" customHeight="1"/>
    <row r="27836" customFormat="1" ht="17.25" customHeight="1"/>
    <row r="27837" customFormat="1" ht="17.25" customHeight="1"/>
    <row r="27838" customFormat="1" ht="17.25" customHeight="1"/>
    <row r="27839" customFormat="1" ht="17.25" customHeight="1"/>
    <row r="27840" customFormat="1" ht="17.25" customHeight="1"/>
    <row r="27841" customFormat="1" ht="17.25" customHeight="1"/>
    <row r="27842" customFormat="1" ht="17.25" customHeight="1"/>
    <row r="27843" customFormat="1" ht="17.25" customHeight="1"/>
    <row r="27844" customFormat="1" ht="17.25" customHeight="1"/>
    <row r="27845" customFormat="1" ht="17.25" customHeight="1"/>
    <row r="27846" customFormat="1" ht="17.25" customHeight="1"/>
    <row r="27847" customFormat="1" ht="17.25" customHeight="1"/>
    <row r="27848" customFormat="1" ht="17.25" customHeight="1"/>
    <row r="27849" customFormat="1" ht="17.25" customHeight="1"/>
    <row r="27850" customFormat="1" ht="17.25" customHeight="1"/>
    <row r="27851" customFormat="1" ht="17.25" customHeight="1"/>
    <row r="27852" customFormat="1" ht="17.25" customHeight="1"/>
    <row r="27853" customFormat="1" ht="17.25" customHeight="1"/>
    <row r="27854" customFormat="1" ht="17.25" customHeight="1"/>
    <row r="27855" customFormat="1" ht="17.25" customHeight="1"/>
    <row r="27856" customFormat="1" ht="17.25" customHeight="1"/>
    <row r="27857" customFormat="1" ht="17.25" customHeight="1"/>
    <row r="27858" customFormat="1" ht="17.25" customHeight="1"/>
    <row r="27859" customFormat="1" ht="17.25" customHeight="1"/>
    <row r="27860" customFormat="1" ht="17.25" customHeight="1"/>
    <row r="27861" customFormat="1" ht="17.25" customHeight="1"/>
    <row r="27862" customFormat="1" ht="17.25" customHeight="1"/>
    <row r="27863" customFormat="1" ht="17.25" customHeight="1"/>
    <row r="27864" customFormat="1" ht="17.25" customHeight="1"/>
    <row r="27865" customFormat="1" ht="17.25" customHeight="1"/>
    <row r="27866" customFormat="1" ht="17.25" customHeight="1"/>
    <row r="27867" customFormat="1" ht="17.25" customHeight="1"/>
    <row r="27868" customFormat="1" ht="17.25" customHeight="1"/>
    <row r="27869" customFormat="1" ht="17.25" customHeight="1"/>
    <row r="27870" customFormat="1" ht="17.25" customHeight="1"/>
    <row r="27871" customFormat="1" ht="17.25" customHeight="1"/>
    <row r="27872" customFormat="1" ht="17.25" customHeight="1"/>
    <row r="27873" customFormat="1" ht="17.25" customHeight="1"/>
    <row r="27874" customFormat="1" ht="17.25" customHeight="1"/>
    <row r="27875" customFormat="1" ht="17.25" customHeight="1"/>
    <row r="27876" customFormat="1" ht="17.25" customHeight="1"/>
    <row r="27877" customFormat="1" ht="17.25" customHeight="1"/>
    <row r="27878" customFormat="1" ht="17.25" customHeight="1"/>
    <row r="27879" customFormat="1" ht="17.25" customHeight="1"/>
    <row r="27880" customFormat="1" ht="17.25" customHeight="1"/>
    <row r="27881" customFormat="1" ht="17.25" customHeight="1"/>
    <row r="27882" customFormat="1" ht="17.25" customHeight="1"/>
    <row r="27883" customFormat="1" ht="17.25" customHeight="1"/>
    <row r="27884" customFormat="1" ht="17.25" customHeight="1"/>
    <row r="27885" customFormat="1" ht="17.25" customHeight="1"/>
    <row r="27886" customFormat="1" ht="17.25" customHeight="1"/>
    <row r="27887" customFormat="1" ht="17.25" customHeight="1"/>
    <row r="27888" customFormat="1" ht="17.25" customHeight="1"/>
    <row r="27889" customFormat="1" ht="17.25" customHeight="1"/>
    <row r="27890" customFormat="1" ht="17.25" customHeight="1"/>
    <row r="27891" customFormat="1" ht="17.25" customHeight="1"/>
    <row r="27892" customFormat="1" ht="17.25" customHeight="1"/>
    <row r="27893" customFormat="1" ht="17.25" customHeight="1"/>
    <row r="27894" customFormat="1" ht="17.25" customHeight="1"/>
    <row r="27895" customFormat="1" ht="17.25" customHeight="1"/>
    <row r="27896" customFormat="1" ht="17.25" customHeight="1"/>
    <row r="27897" customFormat="1" ht="17.25" customHeight="1"/>
    <row r="27898" customFormat="1" ht="17.25" customHeight="1"/>
    <row r="27899" customFormat="1" ht="17.25" customHeight="1"/>
    <row r="27900" customFormat="1" ht="17.25" customHeight="1"/>
    <row r="27901" customFormat="1" ht="17.25" customHeight="1"/>
    <row r="27902" customFormat="1" ht="17.25" customHeight="1"/>
    <row r="27903" customFormat="1" ht="17.25" customHeight="1"/>
    <row r="27904" customFormat="1" ht="17.25" customHeight="1"/>
    <row r="27905" customFormat="1" ht="17.25" customHeight="1"/>
    <row r="27906" customFormat="1" ht="17.25" customHeight="1"/>
    <row r="27907" customFormat="1" ht="17.25" customHeight="1"/>
    <row r="27908" customFormat="1" ht="17.25" customHeight="1"/>
    <row r="27909" customFormat="1" ht="17.25" customHeight="1"/>
    <row r="27910" customFormat="1" ht="17.25" customHeight="1"/>
    <row r="27911" customFormat="1" ht="17.25" customHeight="1"/>
    <row r="27912" customFormat="1" ht="17.25" customHeight="1"/>
    <row r="27913" customFormat="1" ht="17.25" customHeight="1"/>
    <row r="27914" customFormat="1" ht="17.25" customHeight="1"/>
    <row r="27915" customFormat="1" ht="17.25" customHeight="1"/>
    <row r="27916" customFormat="1" ht="17.25" customHeight="1"/>
    <row r="27917" customFormat="1" ht="17.25" customHeight="1"/>
    <row r="27918" customFormat="1" ht="17.25" customHeight="1"/>
    <row r="27919" customFormat="1" ht="17.25" customHeight="1"/>
    <row r="27920" customFormat="1" ht="17.25" customHeight="1"/>
    <row r="27921" customFormat="1" ht="17.25" customHeight="1"/>
    <row r="27922" customFormat="1" ht="17.25" customHeight="1"/>
    <row r="27923" customFormat="1" ht="17.25" customHeight="1"/>
    <row r="27924" customFormat="1" ht="17.25" customHeight="1"/>
    <row r="27925" customFormat="1" ht="17.25" customHeight="1"/>
    <row r="27926" customFormat="1" ht="17.25" customHeight="1"/>
    <row r="27927" customFormat="1" ht="17.25" customHeight="1"/>
    <row r="27928" customFormat="1" ht="17.25" customHeight="1"/>
    <row r="27929" customFormat="1" ht="17.25" customHeight="1"/>
    <row r="27930" customFormat="1" ht="17.25" customHeight="1"/>
    <row r="27931" customFormat="1" ht="17.25" customHeight="1"/>
    <row r="27932" customFormat="1" ht="17.25" customHeight="1"/>
    <row r="27933" customFormat="1" ht="17.25" customHeight="1"/>
    <row r="27934" customFormat="1" ht="17.25" customHeight="1"/>
    <row r="27935" customFormat="1" ht="17.25" customHeight="1"/>
    <row r="27936" customFormat="1" ht="17.25" customHeight="1"/>
    <row r="27937" customFormat="1" ht="17.25" customHeight="1"/>
    <row r="27938" customFormat="1" ht="17.25" customHeight="1"/>
    <row r="27939" customFormat="1" ht="17.25" customHeight="1"/>
    <row r="27940" customFormat="1" ht="17.25" customHeight="1"/>
    <row r="27941" customFormat="1" ht="17.25" customHeight="1"/>
    <row r="27942" customFormat="1" ht="17.25" customHeight="1"/>
    <row r="27943" customFormat="1" ht="17.25" customHeight="1"/>
    <row r="27944" customFormat="1" ht="17.25" customHeight="1"/>
    <row r="27945" customFormat="1" ht="17.25" customHeight="1"/>
    <row r="27946" customFormat="1" ht="17.25" customHeight="1"/>
    <row r="27947" customFormat="1" ht="17.25" customHeight="1"/>
    <row r="27948" customFormat="1" ht="17.25" customHeight="1"/>
    <row r="27949" customFormat="1" ht="17.25" customHeight="1"/>
    <row r="27950" customFormat="1" ht="17.25" customHeight="1"/>
    <row r="27951" customFormat="1" ht="17.25" customHeight="1"/>
    <row r="27952" customFormat="1" ht="17.25" customHeight="1"/>
    <row r="27953" customFormat="1" ht="17.25" customHeight="1"/>
    <row r="27954" customFormat="1" ht="17.25" customHeight="1"/>
    <row r="27955" customFormat="1" ht="17.25" customHeight="1"/>
    <row r="27956" customFormat="1" ht="17.25" customHeight="1"/>
    <row r="27957" customFormat="1" ht="17.25" customHeight="1"/>
    <row r="27958" customFormat="1" ht="17.25" customHeight="1"/>
    <row r="27959" customFormat="1" ht="17.25" customHeight="1"/>
    <row r="27960" customFormat="1" ht="17.25" customHeight="1"/>
    <row r="27961" customFormat="1" ht="17.25" customHeight="1"/>
    <row r="27962" customFormat="1" ht="17.25" customHeight="1"/>
    <row r="27963" customFormat="1" ht="17.25" customHeight="1"/>
    <row r="27964" customFormat="1" ht="17.25" customHeight="1"/>
    <row r="27965" customFormat="1" ht="17.25" customHeight="1"/>
    <row r="27966" customFormat="1" ht="17.25" customHeight="1"/>
    <row r="27967" customFormat="1" ht="17.25" customHeight="1"/>
    <row r="27968" customFormat="1" ht="17.25" customHeight="1"/>
    <row r="27969" customFormat="1" ht="17.25" customHeight="1"/>
    <row r="27970" customFormat="1" ht="17.25" customHeight="1"/>
    <row r="27971" customFormat="1" ht="17.25" customHeight="1"/>
    <row r="27972" customFormat="1" ht="17.25" customHeight="1"/>
    <row r="27973" customFormat="1" ht="17.25" customHeight="1"/>
    <row r="27974" customFormat="1" ht="17.25" customHeight="1"/>
    <row r="27975" customFormat="1" ht="17.25" customHeight="1"/>
    <row r="27976" customFormat="1" ht="17.25" customHeight="1"/>
    <row r="27977" customFormat="1" ht="17.25" customHeight="1"/>
    <row r="27978" customFormat="1" ht="17.25" customHeight="1"/>
    <row r="27979" customFormat="1" ht="17.25" customHeight="1"/>
    <row r="27980" customFormat="1" ht="17.25" customHeight="1"/>
    <row r="27981" customFormat="1" ht="17.25" customHeight="1"/>
    <row r="27982" customFormat="1" ht="17.25" customHeight="1"/>
    <row r="27983" customFormat="1" ht="17.25" customHeight="1"/>
    <row r="27984" customFormat="1" ht="17.25" customHeight="1"/>
    <row r="27985" customFormat="1" ht="17.25" customHeight="1"/>
    <row r="27986" customFormat="1" ht="17.25" customHeight="1"/>
    <row r="27987" customFormat="1" ht="17.25" customHeight="1"/>
    <row r="27988" customFormat="1" ht="17.25" customHeight="1"/>
    <row r="27989" customFormat="1" ht="17.25" customHeight="1"/>
    <row r="27990" customFormat="1" ht="17.25" customHeight="1"/>
    <row r="27991" customFormat="1" ht="17.25" customHeight="1"/>
    <row r="27992" customFormat="1" ht="17.25" customHeight="1"/>
    <row r="27993" customFormat="1" ht="17.25" customHeight="1"/>
    <row r="27994" customFormat="1" ht="17.25" customHeight="1"/>
    <row r="27995" customFormat="1" ht="17.25" customHeight="1"/>
    <row r="27996" customFormat="1" ht="17.25" customHeight="1"/>
    <row r="27997" customFormat="1" ht="17.25" customHeight="1"/>
    <row r="27998" customFormat="1" ht="17.25" customHeight="1"/>
    <row r="27999" customFormat="1" ht="17.25" customHeight="1"/>
    <row r="28000" customFormat="1" ht="17.25" customHeight="1"/>
    <row r="28001" customFormat="1" ht="17.25" customHeight="1"/>
    <row r="28002" customFormat="1" ht="17.25" customHeight="1"/>
    <row r="28003" customFormat="1" ht="17.25" customHeight="1"/>
    <row r="28004" customFormat="1" ht="17.25" customHeight="1"/>
    <row r="28005" customFormat="1" ht="17.25" customHeight="1"/>
    <row r="28006" customFormat="1" ht="17.25" customHeight="1"/>
    <row r="28007" customFormat="1" ht="17.25" customHeight="1"/>
    <row r="28008" customFormat="1" ht="17.25" customHeight="1"/>
    <row r="28009" customFormat="1" ht="17.25" customHeight="1"/>
    <row r="28010" customFormat="1" ht="17.25" customHeight="1"/>
    <row r="28011" customFormat="1" ht="17.25" customHeight="1"/>
    <row r="28012" customFormat="1" ht="17.25" customHeight="1"/>
    <row r="28013" customFormat="1" ht="17.25" customHeight="1"/>
    <row r="28014" customFormat="1" ht="17.25" customHeight="1"/>
    <row r="28015" customFormat="1" ht="17.25" customHeight="1"/>
    <row r="28016" customFormat="1" ht="17.25" customHeight="1"/>
    <row r="28017" customFormat="1" ht="17.25" customHeight="1"/>
    <row r="28018" customFormat="1" ht="17.25" customHeight="1"/>
    <row r="28019" customFormat="1" ht="17.25" customHeight="1"/>
    <row r="28020" customFormat="1" ht="17.25" customHeight="1"/>
    <row r="28021" customFormat="1" ht="17.25" customHeight="1"/>
    <row r="28022" customFormat="1" ht="17.25" customHeight="1"/>
    <row r="28023" customFormat="1" ht="17.25" customHeight="1"/>
    <row r="28024" customFormat="1" ht="17.25" customHeight="1"/>
    <row r="28025" customFormat="1" ht="17.25" customHeight="1"/>
    <row r="28026" customFormat="1" ht="17.25" customHeight="1"/>
    <row r="28027" customFormat="1" ht="17.25" customHeight="1"/>
    <row r="28028" customFormat="1" ht="17.25" customHeight="1"/>
    <row r="28029" customFormat="1" ht="17.25" customHeight="1"/>
    <row r="28030" customFormat="1" ht="17.25" customHeight="1"/>
    <row r="28031" customFormat="1" ht="17.25" customHeight="1"/>
    <row r="28032" customFormat="1" ht="17.25" customHeight="1"/>
    <row r="28033" customFormat="1" ht="17.25" customHeight="1"/>
    <row r="28034" customFormat="1" ht="17.25" customHeight="1"/>
    <row r="28035" customFormat="1" ht="17.25" customHeight="1"/>
    <row r="28036" customFormat="1" ht="17.25" customHeight="1"/>
    <row r="28037" customFormat="1" ht="17.25" customHeight="1"/>
    <row r="28038" customFormat="1" ht="17.25" customHeight="1"/>
    <row r="28039" customFormat="1" ht="17.25" customHeight="1"/>
    <row r="28040" customFormat="1" ht="17.25" customHeight="1"/>
    <row r="28041" customFormat="1" ht="17.25" customHeight="1"/>
    <row r="28042" customFormat="1" ht="17.25" customHeight="1"/>
    <row r="28043" customFormat="1" ht="17.25" customHeight="1"/>
    <row r="28044" customFormat="1" ht="17.25" customHeight="1"/>
    <row r="28045" customFormat="1" ht="17.25" customHeight="1"/>
    <row r="28046" customFormat="1" ht="17.25" customHeight="1"/>
    <row r="28047" customFormat="1" ht="17.25" customHeight="1"/>
    <row r="28048" customFormat="1" ht="17.25" customHeight="1"/>
    <row r="28049" customFormat="1" ht="17.25" customHeight="1"/>
    <row r="28050" customFormat="1" ht="17.25" customHeight="1"/>
    <row r="28051" customFormat="1" ht="17.25" customHeight="1"/>
    <row r="28052" customFormat="1" ht="17.25" customHeight="1"/>
    <row r="28053" customFormat="1" ht="17.25" customHeight="1"/>
    <row r="28054" customFormat="1" ht="17.25" customHeight="1"/>
    <row r="28055" customFormat="1" ht="17.25" customHeight="1"/>
    <row r="28056" customFormat="1" ht="17.25" customHeight="1"/>
    <row r="28057" customFormat="1" ht="17.25" customHeight="1"/>
    <row r="28058" customFormat="1" ht="17.25" customHeight="1"/>
    <row r="28059" customFormat="1" ht="17.25" customHeight="1"/>
    <row r="28060" customFormat="1" ht="17.25" customHeight="1"/>
    <row r="28061" customFormat="1" ht="17.25" customHeight="1"/>
    <row r="28062" customFormat="1" ht="17.25" customHeight="1"/>
    <row r="28063" customFormat="1" ht="17.25" customHeight="1"/>
    <row r="28064" customFormat="1" ht="17.25" customHeight="1"/>
    <row r="28065" customFormat="1" ht="17.25" customHeight="1"/>
    <row r="28066" customFormat="1" ht="17.25" customHeight="1"/>
    <row r="28067" customFormat="1" ht="17.25" customHeight="1"/>
    <row r="28068" customFormat="1" ht="17.25" customHeight="1"/>
    <row r="28069" customFormat="1" ht="17.25" customHeight="1"/>
    <row r="28070" customFormat="1" ht="17.25" customHeight="1"/>
    <row r="28071" customFormat="1" ht="17.25" customHeight="1"/>
    <row r="28072" customFormat="1" ht="17.25" customHeight="1"/>
    <row r="28073" customFormat="1" ht="17.25" customHeight="1"/>
    <row r="28074" customFormat="1" ht="17.25" customHeight="1"/>
    <row r="28075" customFormat="1" ht="17.25" customHeight="1"/>
    <row r="28076" customFormat="1" ht="17.25" customHeight="1"/>
    <row r="28077" customFormat="1" ht="17.25" customHeight="1"/>
    <row r="28078" customFormat="1" ht="17.25" customHeight="1"/>
    <row r="28079" customFormat="1" ht="17.25" customHeight="1"/>
    <row r="28080" customFormat="1" ht="17.25" customHeight="1"/>
    <row r="28081" customFormat="1" ht="17.25" customHeight="1"/>
    <row r="28082" customFormat="1" ht="17.25" customHeight="1"/>
    <row r="28083" customFormat="1" ht="17.25" customHeight="1"/>
    <row r="28084" customFormat="1" ht="17.25" customHeight="1"/>
    <row r="28085" customFormat="1" ht="17.25" customHeight="1"/>
    <row r="28086" customFormat="1" ht="17.25" customHeight="1"/>
    <row r="28087" customFormat="1" ht="17.25" customHeight="1"/>
    <row r="28088" customFormat="1" ht="17.25" customHeight="1"/>
    <row r="28089" customFormat="1" ht="17.25" customHeight="1"/>
    <row r="28090" customFormat="1" ht="17.25" customHeight="1"/>
    <row r="28091" customFormat="1" ht="17.25" customHeight="1"/>
    <row r="28092" customFormat="1" ht="17.25" customHeight="1"/>
    <row r="28093" customFormat="1" ht="17.25" customHeight="1"/>
    <row r="28094" customFormat="1" ht="17.25" customHeight="1"/>
    <row r="28095" customFormat="1" ht="17.25" customHeight="1"/>
    <row r="28096" customFormat="1" ht="17.25" customHeight="1"/>
    <row r="28097" customFormat="1" ht="17.25" customHeight="1"/>
    <row r="28098" customFormat="1" ht="17.25" customHeight="1"/>
    <row r="28099" customFormat="1" ht="17.25" customHeight="1"/>
    <row r="28100" customFormat="1" ht="17.25" customHeight="1"/>
    <row r="28101" customFormat="1" ht="17.25" customHeight="1"/>
    <row r="28102" customFormat="1" ht="17.25" customHeight="1"/>
    <row r="28103" customFormat="1" ht="17.25" customHeight="1"/>
    <row r="28104" customFormat="1" ht="17.25" customHeight="1"/>
    <row r="28105" customFormat="1" ht="17.25" customHeight="1"/>
    <row r="28106" customFormat="1" ht="17.25" customHeight="1"/>
    <row r="28107" customFormat="1" ht="17.25" customHeight="1"/>
    <row r="28108" customFormat="1" ht="17.25" customHeight="1"/>
    <row r="28109" customFormat="1" ht="17.25" customHeight="1"/>
    <row r="28110" customFormat="1" ht="17.25" customHeight="1"/>
    <row r="28111" customFormat="1" ht="17.25" customHeight="1"/>
    <row r="28112" customFormat="1" ht="17.25" customHeight="1"/>
    <row r="28113" customFormat="1" ht="17.25" customHeight="1"/>
    <row r="28114" customFormat="1" ht="17.25" customHeight="1"/>
    <row r="28115" customFormat="1" ht="17.25" customHeight="1"/>
    <row r="28116" customFormat="1" ht="17.25" customHeight="1"/>
    <row r="28117" customFormat="1" ht="17.25" customHeight="1"/>
    <row r="28118" customFormat="1" ht="17.25" customHeight="1"/>
    <row r="28119" customFormat="1" ht="17.25" customHeight="1"/>
    <row r="28120" customFormat="1" ht="17.25" customHeight="1"/>
    <row r="28121" customFormat="1" ht="17.25" customHeight="1"/>
    <row r="28122" customFormat="1" ht="17.25" customHeight="1"/>
    <row r="28123" customFormat="1" ht="17.25" customHeight="1"/>
    <row r="28124" customFormat="1" ht="17.25" customHeight="1"/>
    <row r="28125" customFormat="1" ht="17.25" customHeight="1"/>
    <row r="28126" customFormat="1" ht="17.25" customHeight="1"/>
    <row r="28127" customFormat="1" ht="17.25" customHeight="1"/>
    <row r="28128" customFormat="1" ht="17.25" customHeight="1"/>
    <row r="28129" customFormat="1" ht="17.25" customHeight="1"/>
    <row r="28130" customFormat="1" ht="17.25" customHeight="1"/>
    <row r="28131" customFormat="1" ht="17.25" customHeight="1"/>
    <row r="28132" customFormat="1" ht="17.25" customHeight="1"/>
    <row r="28133" customFormat="1" ht="17.25" customHeight="1"/>
    <row r="28134" customFormat="1" ht="17.25" customHeight="1"/>
    <row r="28135" customFormat="1" ht="17.25" customHeight="1"/>
    <row r="28136" customFormat="1" ht="17.25" customHeight="1"/>
    <row r="28137" customFormat="1" ht="17.25" customHeight="1"/>
    <row r="28138" customFormat="1" ht="17.25" customHeight="1"/>
    <row r="28139" customFormat="1" ht="17.25" customHeight="1"/>
    <row r="28140" customFormat="1" ht="17.25" customHeight="1"/>
    <row r="28141" customFormat="1" ht="17.25" customHeight="1"/>
    <row r="28142" customFormat="1" ht="17.25" customHeight="1"/>
    <row r="28143" customFormat="1" ht="17.25" customHeight="1"/>
    <row r="28144" customFormat="1" ht="17.25" customHeight="1"/>
    <row r="28145" customFormat="1" ht="17.25" customHeight="1"/>
    <row r="28146" customFormat="1" ht="17.25" customHeight="1"/>
    <row r="28147" customFormat="1" ht="17.25" customHeight="1"/>
    <row r="28148" customFormat="1" ht="17.25" customHeight="1"/>
    <row r="28149" customFormat="1" ht="17.25" customHeight="1"/>
    <row r="28150" customFormat="1" ht="17.25" customHeight="1"/>
    <row r="28151" customFormat="1" ht="17.25" customHeight="1"/>
    <row r="28152" customFormat="1" ht="17.25" customHeight="1"/>
    <row r="28153" customFormat="1" ht="17.25" customHeight="1"/>
    <row r="28154" customFormat="1" ht="17.25" customHeight="1"/>
    <row r="28155" customFormat="1" ht="17.25" customHeight="1"/>
    <row r="28156" customFormat="1" ht="17.25" customHeight="1"/>
    <row r="28157" customFormat="1" ht="17.25" customHeight="1"/>
    <row r="28158" customFormat="1" ht="17.25" customHeight="1"/>
    <row r="28159" customFormat="1" ht="17.25" customHeight="1"/>
    <row r="28160" customFormat="1" ht="17.25" customHeight="1"/>
    <row r="28161" customFormat="1" ht="17.25" customHeight="1"/>
    <row r="28162" customFormat="1" ht="17.25" customHeight="1"/>
    <row r="28163" customFormat="1" ht="17.25" customHeight="1"/>
    <row r="28164" customFormat="1" ht="17.25" customHeight="1"/>
    <row r="28165" customFormat="1" ht="17.25" customHeight="1"/>
    <row r="28166" customFormat="1" ht="17.25" customHeight="1"/>
    <row r="28167" customFormat="1" ht="17.25" customHeight="1"/>
    <row r="28168" customFormat="1" ht="17.25" customHeight="1"/>
    <row r="28169" customFormat="1" ht="17.25" customHeight="1"/>
    <row r="28170" customFormat="1" ht="17.25" customHeight="1"/>
    <row r="28171" customFormat="1" ht="17.25" customHeight="1"/>
    <row r="28172" customFormat="1" ht="17.25" customHeight="1"/>
    <row r="28173" customFormat="1" ht="17.25" customHeight="1"/>
    <row r="28174" customFormat="1" ht="17.25" customHeight="1"/>
    <row r="28175" customFormat="1" ht="17.25" customHeight="1"/>
    <row r="28176" customFormat="1" ht="17.25" customHeight="1"/>
    <row r="28177" customFormat="1" ht="17.25" customHeight="1"/>
    <row r="28178" customFormat="1" ht="17.25" customHeight="1"/>
    <row r="28179" customFormat="1" ht="17.25" customHeight="1"/>
    <row r="28180" customFormat="1" ht="17.25" customHeight="1"/>
    <row r="28181" customFormat="1" ht="17.25" customHeight="1"/>
    <row r="28182" customFormat="1" ht="17.25" customHeight="1"/>
    <row r="28183" customFormat="1" ht="17.25" customHeight="1"/>
    <row r="28184" customFormat="1" ht="17.25" customHeight="1"/>
    <row r="28185" customFormat="1" ht="17.25" customHeight="1"/>
    <row r="28186" customFormat="1" ht="17.25" customHeight="1"/>
    <row r="28187" customFormat="1" ht="17.25" customHeight="1"/>
    <row r="28188" customFormat="1" ht="17.25" customHeight="1"/>
    <row r="28189" customFormat="1" ht="17.25" customHeight="1"/>
    <row r="28190" customFormat="1" ht="17.25" customHeight="1"/>
    <row r="28191" customFormat="1" ht="17.25" customHeight="1"/>
    <row r="28192" customFormat="1" ht="17.25" customHeight="1"/>
    <row r="28193" customFormat="1" ht="17.25" customHeight="1"/>
    <row r="28194" customFormat="1" ht="17.25" customHeight="1"/>
    <row r="28195" customFormat="1" ht="17.25" customHeight="1"/>
    <row r="28196" customFormat="1" ht="17.25" customHeight="1"/>
    <row r="28197" customFormat="1" ht="17.25" customHeight="1"/>
    <row r="28198" customFormat="1" ht="17.25" customHeight="1"/>
    <row r="28199" customFormat="1" ht="17.25" customHeight="1"/>
    <row r="28200" customFormat="1" ht="17.25" customHeight="1"/>
    <row r="28201" customFormat="1" ht="17.25" customHeight="1"/>
    <row r="28202" customFormat="1" ht="17.25" customHeight="1"/>
    <row r="28203" customFormat="1" ht="17.25" customHeight="1"/>
    <row r="28204" customFormat="1" ht="17.25" customHeight="1"/>
    <row r="28205" customFormat="1" ht="17.25" customHeight="1"/>
    <row r="28206" customFormat="1" ht="17.25" customHeight="1"/>
    <row r="28207" customFormat="1" ht="17.25" customHeight="1"/>
    <row r="28208" customFormat="1" ht="17.25" customHeight="1"/>
    <row r="28209" customFormat="1" ht="17.25" customHeight="1"/>
    <row r="28210" customFormat="1" ht="17.25" customHeight="1"/>
    <row r="28211" customFormat="1" ht="17.25" customHeight="1"/>
    <row r="28212" customFormat="1" ht="17.25" customHeight="1"/>
    <row r="28213" customFormat="1" ht="17.25" customHeight="1"/>
    <row r="28214" customFormat="1" ht="17.25" customHeight="1"/>
    <row r="28215" customFormat="1" ht="17.25" customHeight="1"/>
    <row r="28216" customFormat="1" ht="17.25" customHeight="1"/>
    <row r="28217" customFormat="1" ht="17.25" customHeight="1"/>
    <row r="28218" customFormat="1" ht="17.25" customHeight="1"/>
    <row r="28219" customFormat="1" ht="17.25" customHeight="1"/>
    <row r="28220" customFormat="1" ht="17.25" customHeight="1"/>
    <row r="28221" customFormat="1" ht="17.25" customHeight="1"/>
    <row r="28222" customFormat="1" ht="17.25" customHeight="1"/>
    <row r="28223" customFormat="1" ht="17.25" customHeight="1"/>
    <row r="28224" customFormat="1" ht="17.25" customHeight="1"/>
    <row r="28225" customFormat="1" ht="17.25" customHeight="1"/>
    <row r="28226" customFormat="1" ht="17.25" customHeight="1"/>
    <row r="28227" customFormat="1" ht="17.25" customHeight="1"/>
    <row r="28228" customFormat="1" ht="17.25" customHeight="1"/>
    <row r="28229" customFormat="1" ht="17.25" customHeight="1"/>
    <row r="28230" customFormat="1" ht="17.25" customHeight="1"/>
    <row r="28231" customFormat="1" ht="17.25" customHeight="1"/>
    <row r="28232" customFormat="1" ht="17.25" customHeight="1"/>
    <row r="28233" customFormat="1" ht="17.25" customHeight="1"/>
    <row r="28234" customFormat="1" ht="17.25" customHeight="1"/>
    <row r="28235" customFormat="1" ht="17.25" customHeight="1"/>
    <row r="28236" customFormat="1" ht="17.25" customHeight="1"/>
    <row r="28237" customFormat="1" ht="17.25" customHeight="1"/>
    <row r="28238" customFormat="1" ht="17.25" customHeight="1"/>
    <row r="28239" customFormat="1" ht="17.25" customHeight="1"/>
    <row r="28240" customFormat="1" ht="17.25" customHeight="1"/>
    <row r="28241" customFormat="1" ht="17.25" customHeight="1"/>
    <row r="28242" customFormat="1" ht="17.25" customHeight="1"/>
    <row r="28243" customFormat="1" ht="17.25" customHeight="1"/>
    <row r="28244" customFormat="1" ht="17.25" customHeight="1"/>
    <row r="28245" customFormat="1" ht="17.25" customHeight="1"/>
    <row r="28246" customFormat="1" ht="17.25" customHeight="1"/>
    <row r="28247" customFormat="1" ht="17.25" customHeight="1"/>
    <row r="28248" customFormat="1" ht="17.25" customHeight="1"/>
    <row r="28249" customFormat="1" ht="17.25" customHeight="1"/>
    <row r="28250" customFormat="1" ht="17.25" customHeight="1"/>
    <row r="28251" customFormat="1" ht="17.25" customHeight="1"/>
    <row r="28252" customFormat="1" ht="17.25" customHeight="1"/>
    <row r="28253" customFormat="1" ht="17.25" customHeight="1"/>
    <row r="28254" customFormat="1" ht="17.25" customHeight="1"/>
    <row r="28255" customFormat="1" ht="17.25" customHeight="1"/>
    <row r="28256" customFormat="1" ht="17.25" customHeight="1"/>
    <row r="28257" customFormat="1" ht="17.25" customHeight="1"/>
    <row r="28258" customFormat="1" ht="17.25" customHeight="1"/>
    <row r="28259" customFormat="1" ht="17.25" customHeight="1"/>
    <row r="28260" customFormat="1" ht="17.25" customHeight="1"/>
    <row r="28261" customFormat="1" ht="17.25" customHeight="1"/>
    <row r="28262" customFormat="1" ht="17.25" customHeight="1"/>
    <row r="28263" customFormat="1" ht="17.25" customHeight="1"/>
    <row r="28264" customFormat="1" ht="17.25" customHeight="1"/>
    <row r="28265" customFormat="1" ht="17.25" customHeight="1"/>
    <row r="28266" customFormat="1" ht="17.25" customHeight="1"/>
    <row r="28267" customFormat="1" ht="17.25" customHeight="1"/>
    <row r="28268" customFormat="1" ht="17.25" customHeight="1"/>
    <row r="28269" customFormat="1" ht="17.25" customHeight="1"/>
    <row r="28270" customFormat="1" ht="17.25" customHeight="1"/>
    <row r="28271" customFormat="1" ht="17.25" customHeight="1"/>
    <row r="28272" customFormat="1" ht="17.25" customHeight="1"/>
    <row r="28273" customFormat="1" ht="17.25" customHeight="1"/>
    <row r="28274" customFormat="1" ht="17.25" customHeight="1"/>
    <row r="28275" customFormat="1" ht="17.25" customHeight="1"/>
    <row r="28276" customFormat="1" ht="17.25" customHeight="1"/>
    <row r="28277" customFormat="1" ht="17.25" customHeight="1"/>
    <row r="28278" customFormat="1" ht="17.25" customHeight="1"/>
    <row r="28279" customFormat="1" ht="17.25" customHeight="1"/>
    <row r="28280" customFormat="1" ht="17.25" customHeight="1"/>
    <row r="28281" customFormat="1" ht="17.25" customHeight="1"/>
    <row r="28282" customFormat="1" ht="17.25" customHeight="1"/>
    <row r="28283" customFormat="1" ht="17.25" customHeight="1"/>
    <row r="28284" customFormat="1" ht="17.25" customHeight="1"/>
    <row r="28285" customFormat="1" ht="17.25" customHeight="1"/>
    <row r="28286" customFormat="1" ht="17.25" customHeight="1"/>
    <row r="28287" customFormat="1" ht="17.25" customHeight="1"/>
    <row r="28288" customFormat="1" ht="17.25" customHeight="1"/>
    <row r="28289" customFormat="1" ht="17.25" customHeight="1"/>
    <row r="28290" customFormat="1" ht="17.25" customHeight="1"/>
    <row r="28291" customFormat="1" ht="17.25" customHeight="1"/>
    <row r="28292" customFormat="1" ht="17.25" customHeight="1"/>
    <row r="28293" customFormat="1" ht="17.25" customHeight="1"/>
    <row r="28294" customFormat="1" ht="17.25" customHeight="1"/>
    <row r="28295" customFormat="1" ht="17.25" customHeight="1"/>
    <row r="28296" customFormat="1" ht="17.25" customHeight="1"/>
    <row r="28297" customFormat="1" ht="17.25" customHeight="1"/>
    <row r="28298" customFormat="1" ht="17.25" customHeight="1"/>
    <row r="28299" customFormat="1" ht="17.25" customHeight="1"/>
    <row r="28300" customFormat="1" ht="17.25" customHeight="1"/>
    <row r="28301" customFormat="1" ht="17.25" customHeight="1"/>
    <row r="28302" customFormat="1" ht="17.25" customHeight="1"/>
    <row r="28303" customFormat="1" ht="17.25" customHeight="1"/>
    <row r="28304" customFormat="1" ht="17.25" customHeight="1"/>
    <row r="28305" customFormat="1" ht="17.25" customHeight="1"/>
    <row r="28306" customFormat="1" ht="17.25" customHeight="1"/>
    <row r="28307" customFormat="1" ht="17.25" customHeight="1"/>
    <row r="28308" customFormat="1" ht="17.25" customHeight="1"/>
    <row r="28309" customFormat="1" ht="17.25" customHeight="1"/>
    <row r="28310" customFormat="1" ht="17.25" customHeight="1"/>
    <row r="28311" customFormat="1" ht="17.25" customHeight="1"/>
    <row r="28312" customFormat="1" ht="17.25" customHeight="1"/>
    <row r="28313" customFormat="1" ht="17.25" customHeight="1"/>
    <row r="28314" customFormat="1" ht="17.25" customHeight="1"/>
    <row r="28315" customFormat="1" ht="17.25" customHeight="1"/>
    <row r="28316" customFormat="1" ht="17.25" customHeight="1"/>
    <row r="28317" customFormat="1" ht="17.25" customHeight="1"/>
    <row r="28318" customFormat="1" ht="17.25" customHeight="1"/>
    <row r="28319" customFormat="1" ht="17.25" customHeight="1"/>
    <row r="28320" customFormat="1" ht="17.25" customHeight="1"/>
    <row r="28321" customFormat="1" ht="17.25" customHeight="1"/>
    <row r="28322" customFormat="1" ht="17.25" customHeight="1"/>
    <row r="28323" customFormat="1" ht="17.25" customHeight="1"/>
    <row r="28324" customFormat="1" ht="17.25" customHeight="1"/>
    <row r="28325" customFormat="1" ht="17.25" customHeight="1"/>
    <row r="28326" customFormat="1" ht="17.25" customHeight="1"/>
    <row r="28327" customFormat="1" ht="17.25" customHeight="1"/>
    <row r="28328" customFormat="1" ht="17.25" customHeight="1"/>
    <row r="28329" customFormat="1" ht="17.25" customHeight="1"/>
    <row r="28330" customFormat="1" ht="17.25" customHeight="1"/>
    <row r="28331" customFormat="1" ht="17.25" customHeight="1"/>
    <row r="28332" customFormat="1" ht="17.25" customHeight="1"/>
    <row r="28333" customFormat="1" ht="17.25" customHeight="1"/>
    <row r="28334" customFormat="1" ht="17.25" customHeight="1"/>
    <row r="28335" customFormat="1" ht="17.25" customHeight="1"/>
    <row r="28336" customFormat="1" ht="17.25" customHeight="1"/>
    <row r="28337" customFormat="1" ht="17.25" customHeight="1"/>
    <row r="28338" customFormat="1" ht="17.25" customHeight="1"/>
    <row r="28339" customFormat="1" ht="17.25" customHeight="1"/>
    <row r="28340" customFormat="1" ht="17.25" customHeight="1"/>
    <row r="28341" customFormat="1" ht="17.25" customHeight="1"/>
    <row r="28342" customFormat="1" ht="17.25" customHeight="1"/>
    <row r="28343" customFormat="1" ht="17.25" customHeight="1"/>
    <row r="28344" customFormat="1" ht="17.25" customHeight="1"/>
    <row r="28345" customFormat="1" ht="17.25" customHeight="1"/>
    <row r="28346" customFormat="1" ht="17.25" customHeight="1"/>
    <row r="28347" customFormat="1" ht="17.25" customHeight="1"/>
    <row r="28348" customFormat="1" ht="17.25" customHeight="1"/>
    <row r="28349" customFormat="1" ht="17.25" customHeight="1"/>
    <row r="28350" customFormat="1" ht="17.25" customHeight="1"/>
    <row r="28351" customFormat="1" ht="17.25" customHeight="1"/>
    <row r="28352" customFormat="1" ht="17.25" customHeight="1"/>
    <row r="28353" customFormat="1" ht="17.25" customHeight="1"/>
    <row r="28354" customFormat="1" ht="17.25" customHeight="1"/>
    <row r="28355" customFormat="1" ht="17.25" customHeight="1"/>
    <row r="28356" customFormat="1" ht="17.25" customHeight="1"/>
    <row r="28357" customFormat="1" ht="17.25" customHeight="1"/>
    <row r="28358" customFormat="1" ht="17.25" customHeight="1"/>
    <row r="28359" customFormat="1" ht="17.25" customHeight="1"/>
    <row r="28360" customFormat="1" ht="17.25" customHeight="1"/>
    <row r="28361" customFormat="1" ht="17.25" customHeight="1"/>
    <row r="28362" customFormat="1" ht="17.25" customHeight="1"/>
    <row r="28363" customFormat="1" ht="17.25" customHeight="1"/>
    <row r="28364" customFormat="1" ht="17.25" customHeight="1"/>
    <row r="28365" customFormat="1" ht="17.25" customHeight="1"/>
    <row r="28366" customFormat="1" ht="17.25" customHeight="1"/>
    <row r="28367" customFormat="1" ht="17.25" customHeight="1"/>
    <row r="28368" customFormat="1" ht="17.25" customHeight="1"/>
    <row r="28369" customFormat="1" ht="17.25" customHeight="1"/>
    <row r="28370" customFormat="1" ht="17.25" customHeight="1"/>
    <row r="28371" customFormat="1" ht="17.25" customHeight="1"/>
    <row r="28372" customFormat="1" ht="17.25" customHeight="1"/>
    <row r="28373" customFormat="1" ht="17.25" customHeight="1"/>
    <row r="28374" customFormat="1" ht="17.25" customHeight="1"/>
    <row r="28375" customFormat="1" ht="17.25" customHeight="1"/>
    <row r="28376" customFormat="1" ht="17.25" customHeight="1"/>
    <row r="28377" customFormat="1" ht="17.25" customHeight="1"/>
    <row r="28378" customFormat="1" ht="17.25" customHeight="1"/>
    <row r="28379" customFormat="1" ht="17.25" customHeight="1"/>
    <row r="28380" customFormat="1" ht="17.25" customHeight="1"/>
    <row r="28381" customFormat="1" ht="17.25" customHeight="1"/>
    <row r="28382" customFormat="1" ht="17.25" customHeight="1"/>
    <row r="28383" customFormat="1" ht="17.25" customHeight="1"/>
    <row r="28384" customFormat="1" ht="17.25" customHeight="1"/>
    <row r="28385" customFormat="1" ht="17.25" customHeight="1"/>
    <row r="28386" customFormat="1" ht="17.25" customHeight="1"/>
    <row r="28387" customFormat="1" ht="17.25" customHeight="1"/>
    <row r="28388" customFormat="1" ht="17.25" customHeight="1"/>
    <row r="28389" customFormat="1" ht="17.25" customHeight="1"/>
    <row r="28390" customFormat="1" ht="17.25" customHeight="1"/>
    <row r="28391" customFormat="1" ht="17.25" customHeight="1"/>
    <row r="28392" customFormat="1" ht="17.25" customHeight="1"/>
    <row r="28393" customFormat="1" ht="17.25" customHeight="1"/>
    <row r="28394" customFormat="1" ht="17.25" customHeight="1"/>
    <row r="28395" customFormat="1" ht="17.25" customHeight="1"/>
    <row r="28396" customFormat="1" ht="17.25" customHeight="1"/>
    <row r="28397" customFormat="1" ht="17.25" customHeight="1"/>
    <row r="28398" customFormat="1" ht="17.25" customHeight="1"/>
    <row r="28399" customFormat="1" ht="17.25" customHeight="1"/>
    <row r="28400" customFormat="1" ht="17.25" customHeight="1"/>
    <row r="28401" customFormat="1" ht="17.25" customHeight="1"/>
    <row r="28402" customFormat="1" ht="17.25" customHeight="1"/>
    <row r="28403" customFormat="1" ht="17.25" customHeight="1"/>
    <row r="28404" customFormat="1" ht="17.25" customHeight="1"/>
    <row r="28405" customFormat="1" ht="17.25" customHeight="1"/>
    <row r="28406" customFormat="1" ht="17.25" customHeight="1"/>
    <row r="28407" customFormat="1" ht="17.25" customHeight="1"/>
    <row r="28408" customFormat="1" ht="17.25" customHeight="1"/>
    <row r="28409" customFormat="1" ht="17.25" customHeight="1"/>
    <row r="28410" customFormat="1" ht="17.25" customHeight="1"/>
    <row r="28411" customFormat="1" ht="17.25" customHeight="1"/>
    <row r="28412" customFormat="1" ht="17.25" customHeight="1"/>
    <row r="28413" customFormat="1" ht="17.25" customHeight="1"/>
    <row r="28414" customFormat="1" ht="17.25" customHeight="1"/>
    <row r="28415" customFormat="1" ht="17.25" customHeight="1"/>
    <row r="28416" customFormat="1" ht="17.25" customHeight="1"/>
    <row r="28417" customFormat="1" ht="17.25" customHeight="1"/>
    <row r="28418" customFormat="1" ht="17.25" customHeight="1"/>
    <row r="28419" customFormat="1" ht="17.25" customHeight="1"/>
    <row r="28420" customFormat="1" ht="17.25" customHeight="1"/>
    <row r="28421" customFormat="1" ht="17.25" customHeight="1"/>
    <row r="28422" customFormat="1" ht="17.25" customHeight="1"/>
    <row r="28423" customFormat="1" ht="17.25" customHeight="1"/>
    <row r="28424" customFormat="1" ht="17.25" customHeight="1"/>
    <row r="28425" customFormat="1" ht="17.25" customHeight="1"/>
    <row r="28426" customFormat="1" ht="17.25" customHeight="1"/>
    <row r="28427" customFormat="1" ht="17.25" customHeight="1"/>
    <row r="28428" customFormat="1" ht="17.25" customHeight="1"/>
    <row r="28429" customFormat="1" ht="17.25" customHeight="1"/>
    <row r="28430" customFormat="1" ht="17.25" customHeight="1"/>
    <row r="28431" customFormat="1" ht="17.25" customHeight="1"/>
    <row r="28432" customFormat="1" ht="17.25" customHeight="1"/>
    <row r="28433" customFormat="1" ht="17.25" customHeight="1"/>
    <row r="28434" customFormat="1" ht="17.25" customHeight="1"/>
    <row r="28435" customFormat="1" ht="17.25" customHeight="1"/>
    <row r="28436" customFormat="1" ht="17.25" customHeight="1"/>
    <row r="28437" customFormat="1" ht="17.25" customHeight="1"/>
    <row r="28438" customFormat="1" ht="17.25" customHeight="1"/>
    <row r="28439" customFormat="1" ht="17.25" customHeight="1"/>
    <row r="28440" customFormat="1" ht="17.25" customHeight="1"/>
    <row r="28441" customFormat="1" ht="17.25" customHeight="1"/>
    <row r="28442" customFormat="1" ht="17.25" customHeight="1"/>
    <row r="28443" customFormat="1" ht="17.25" customHeight="1"/>
    <row r="28444" customFormat="1" ht="17.25" customHeight="1"/>
    <row r="28445" customFormat="1" ht="17.25" customHeight="1"/>
    <row r="28446" customFormat="1" ht="17.25" customHeight="1"/>
    <row r="28447" customFormat="1" ht="17.25" customHeight="1"/>
    <row r="28448" customFormat="1" ht="17.25" customHeight="1"/>
    <row r="28449" customFormat="1" ht="17.25" customHeight="1"/>
    <row r="28450" customFormat="1" ht="17.25" customHeight="1"/>
    <row r="28451" customFormat="1" ht="17.25" customHeight="1"/>
    <row r="28452" customFormat="1" ht="17.25" customHeight="1"/>
    <row r="28453" customFormat="1" ht="17.25" customHeight="1"/>
    <row r="28454" customFormat="1" ht="17.25" customHeight="1"/>
    <row r="28455" customFormat="1" ht="17.25" customHeight="1"/>
    <row r="28456" customFormat="1" ht="17.25" customHeight="1"/>
    <row r="28457" customFormat="1" ht="17.25" customHeight="1"/>
    <row r="28458" customFormat="1" ht="17.25" customHeight="1"/>
    <row r="28459" customFormat="1" ht="17.25" customHeight="1"/>
    <row r="28460" customFormat="1" ht="17.25" customHeight="1"/>
    <row r="28461" customFormat="1" ht="17.25" customHeight="1"/>
    <row r="28462" customFormat="1" ht="17.25" customHeight="1"/>
    <row r="28463" customFormat="1" ht="17.25" customHeight="1"/>
    <row r="28464" customFormat="1" ht="17.25" customHeight="1"/>
    <row r="28465" customFormat="1" ht="17.25" customHeight="1"/>
    <row r="28466" customFormat="1" ht="17.25" customHeight="1"/>
    <row r="28467" customFormat="1" ht="17.25" customHeight="1"/>
    <row r="28468" customFormat="1" ht="17.25" customHeight="1"/>
    <row r="28469" customFormat="1" ht="17.25" customHeight="1"/>
    <row r="28470" customFormat="1" ht="17.25" customHeight="1"/>
    <row r="28471" customFormat="1" ht="17.25" customHeight="1"/>
    <row r="28472" customFormat="1" ht="17.25" customHeight="1"/>
    <row r="28473" customFormat="1" ht="17.25" customHeight="1"/>
    <row r="28474" customFormat="1" ht="17.25" customHeight="1"/>
    <row r="28475" customFormat="1" ht="17.25" customHeight="1"/>
    <row r="28476" customFormat="1" ht="17.25" customHeight="1"/>
    <row r="28477" customFormat="1" ht="17.25" customHeight="1"/>
    <row r="28478" customFormat="1" ht="17.25" customHeight="1"/>
    <row r="28479" customFormat="1" ht="17.25" customHeight="1"/>
    <row r="28480" customFormat="1" ht="17.25" customHeight="1"/>
    <row r="28481" customFormat="1" ht="17.25" customHeight="1"/>
    <row r="28482" customFormat="1" ht="17.25" customHeight="1"/>
    <row r="28483" customFormat="1" ht="17.25" customHeight="1"/>
    <row r="28484" customFormat="1" ht="17.25" customHeight="1"/>
    <row r="28485" customFormat="1" ht="17.25" customHeight="1"/>
    <row r="28486" customFormat="1" ht="17.25" customHeight="1"/>
    <row r="28487" customFormat="1" ht="17.25" customHeight="1"/>
    <row r="28488" customFormat="1" ht="17.25" customHeight="1"/>
    <row r="28489" customFormat="1" ht="17.25" customHeight="1"/>
    <row r="28490" customFormat="1" ht="17.25" customHeight="1"/>
    <row r="28491" customFormat="1" ht="17.25" customHeight="1"/>
    <row r="28492" customFormat="1" ht="17.25" customHeight="1"/>
    <row r="28493" customFormat="1" ht="17.25" customHeight="1"/>
    <row r="28494" customFormat="1" ht="17.25" customHeight="1"/>
    <row r="28495" customFormat="1" ht="17.25" customHeight="1"/>
    <row r="28496" customFormat="1" ht="17.25" customHeight="1"/>
    <row r="28497" customFormat="1" ht="17.25" customHeight="1"/>
    <row r="28498" customFormat="1" ht="17.25" customHeight="1"/>
    <row r="28499" customFormat="1" ht="17.25" customHeight="1"/>
    <row r="28500" customFormat="1" ht="17.25" customHeight="1"/>
    <row r="28501" customFormat="1" ht="17.25" customHeight="1"/>
    <row r="28502" customFormat="1" ht="17.25" customHeight="1"/>
    <row r="28503" customFormat="1" ht="17.25" customHeight="1"/>
    <row r="28504" customFormat="1" ht="17.25" customHeight="1"/>
    <row r="28505" customFormat="1" ht="17.25" customHeight="1"/>
    <row r="28506" customFormat="1" ht="17.25" customHeight="1"/>
    <row r="28507" customFormat="1" ht="17.25" customHeight="1"/>
    <row r="28508" customFormat="1" ht="17.25" customHeight="1"/>
    <row r="28509" customFormat="1" ht="17.25" customHeight="1"/>
    <row r="28510" customFormat="1" ht="17.25" customHeight="1"/>
    <row r="28511" customFormat="1" ht="17.25" customHeight="1"/>
    <row r="28512" customFormat="1" ht="17.25" customHeight="1"/>
    <row r="28513" customFormat="1" ht="17.25" customHeight="1"/>
    <row r="28514" customFormat="1" ht="17.25" customHeight="1"/>
    <row r="28515" customFormat="1" ht="17.25" customHeight="1"/>
    <row r="28516" customFormat="1" ht="17.25" customHeight="1"/>
    <row r="28517" customFormat="1" ht="17.25" customHeight="1"/>
    <row r="28518" customFormat="1" ht="17.25" customHeight="1"/>
    <row r="28519" customFormat="1" ht="17.25" customHeight="1"/>
    <row r="28520" customFormat="1" ht="17.25" customHeight="1"/>
    <row r="28521" customFormat="1" ht="17.25" customHeight="1"/>
    <row r="28522" customFormat="1" ht="17.25" customHeight="1"/>
    <row r="28523" customFormat="1" ht="17.25" customHeight="1"/>
    <row r="28524" customFormat="1" ht="17.25" customHeight="1"/>
    <row r="28525" customFormat="1" ht="17.25" customHeight="1"/>
    <row r="28526" customFormat="1" ht="17.25" customHeight="1"/>
    <row r="28527" customFormat="1" ht="17.25" customHeight="1"/>
    <row r="28528" customFormat="1" ht="17.25" customHeight="1"/>
    <row r="28529" customFormat="1" ht="17.25" customHeight="1"/>
    <row r="28530" customFormat="1" ht="17.25" customHeight="1"/>
    <row r="28531" customFormat="1" ht="17.25" customHeight="1"/>
    <row r="28532" customFormat="1" ht="17.25" customHeight="1"/>
    <row r="28533" customFormat="1" ht="17.25" customHeight="1"/>
    <row r="28534" customFormat="1" ht="17.25" customHeight="1"/>
    <row r="28535" customFormat="1" ht="17.25" customHeight="1"/>
    <row r="28536" customFormat="1" ht="17.25" customHeight="1"/>
    <row r="28537" customFormat="1" ht="17.25" customHeight="1"/>
    <row r="28538" customFormat="1" ht="17.25" customHeight="1"/>
    <row r="28539" customFormat="1" ht="17.25" customHeight="1"/>
    <row r="28540" customFormat="1" ht="17.25" customHeight="1"/>
    <row r="28541" customFormat="1" ht="17.25" customHeight="1"/>
    <row r="28542" customFormat="1" ht="17.25" customHeight="1"/>
    <row r="28543" customFormat="1" ht="17.25" customHeight="1"/>
    <row r="28544" customFormat="1" ht="17.25" customHeight="1"/>
    <row r="28545" customFormat="1" ht="17.25" customHeight="1"/>
    <row r="28546" customFormat="1" ht="17.25" customHeight="1"/>
    <row r="28547" customFormat="1" ht="17.25" customHeight="1"/>
    <row r="28548" customFormat="1" ht="17.25" customHeight="1"/>
    <row r="28549" customFormat="1" ht="17.25" customHeight="1"/>
    <row r="28550" customFormat="1" ht="17.25" customHeight="1"/>
    <row r="28551" customFormat="1" ht="17.25" customHeight="1"/>
    <row r="28552" customFormat="1" ht="17.25" customHeight="1"/>
    <row r="28553" customFormat="1" ht="17.25" customHeight="1"/>
    <row r="28554" customFormat="1" ht="17.25" customHeight="1"/>
    <row r="28555" customFormat="1" ht="17.25" customHeight="1"/>
    <row r="28556" customFormat="1" ht="17.25" customHeight="1"/>
    <row r="28557" customFormat="1" ht="17.25" customHeight="1"/>
    <row r="28558" customFormat="1" ht="17.25" customHeight="1"/>
    <row r="28559" customFormat="1" ht="17.25" customHeight="1"/>
    <row r="28560" customFormat="1" ht="17.25" customHeight="1"/>
    <row r="28561" customFormat="1" ht="17.25" customHeight="1"/>
    <row r="28562" customFormat="1" ht="17.25" customHeight="1"/>
    <row r="28563" customFormat="1" ht="17.25" customHeight="1"/>
    <row r="28564" customFormat="1" ht="17.25" customHeight="1"/>
    <row r="28565" customFormat="1" ht="17.25" customHeight="1"/>
    <row r="28566" customFormat="1" ht="17.25" customHeight="1"/>
    <row r="28567" customFormat="1" ht="17.25" customHeight="1"/>
    <row r="28568" customFormat="1" ht="17.25" customHeight="1"/>
    <row r="28569" customFormat="1" ht="17.25" customHeight="1"/>
    <row r="28570" customFormat="1" ht="17.25" customHeight="1"/>
    <row r="28571" customFormat="1" ht="17.25" customHeight="1"/>
    <row r="28572" customFormat="1" ht="17.25" customHeight="1"/>
    <row r="28573" customFormat="1" ht="17.25" customHeight="1"/>
    <row r="28574" customFormat="1" ht="17.25" customHeight="1"/>
    <row r="28575" customFormat="1" ht="17.25" customHeight="1"/>
    <row r="28576" customFormat="1" ht="17.25" customHeight="1"/>
    <row r="28577" customFormat="1" ht="17.25" customHeight="1"/>
    <row r="28578" customFormat="1" ht="17.25" customHeight="1"/>
    <row r="28579" customFormat="1" ht="17.25" customHeight="1"/>
    <row r="28580" customFormat="1" ht="17.25" customHeight="1"/>
    <row r="28581" customFormat="1" ht="17.25" customHeight="1"/>
    <row r="28582" customFormat="1" ht="17.25" customHeight="1"/>
    <row r="28583" customFormat="1" ht="17.25" customHeight="1"/>
    <row r="28584" customFormat="1" ht="17.25" customHeight="1"/>
    <row r="28585" customFormat="1" ht="17.25" customHeight="1"/>
    <row r="28586" customFormat="1" ht="17.25" customHeight="1"/>
    <row r="28587" customFormat="1" ht="17.25" customHeight="1"/>
    <row r="28588" customFormat="1" ht="17.25" customHeight="1"/>
    <row r="28589" customFormat="1" ht="17.25" customHeight="1"/>
    <row r="28590" customFormat="1" ht="17.25" customHeight="1"/>
    <row r="28591" customFormat="1" ht="17.25" customHeight="1"/>
    <row r="28592" customFormat="1" ht="17.25" customHeight="1"/>
    <row r="28593" customFormat="1" ht="17.25" customHeight="1"/>
    <row r="28594" customFormat="1" ht="17.25" customHeight="1"/>
    <row r="28595" customFormat="1" ht="17.25" customHeight="1"/>
    <row r="28596" customFormat="1" ht="17.25" customHeight="1"/>
    <row r="28597" customFormat="1" ht="17.25" customHeight="1"/>
    <row r="28598" customFormat="1" ht="17.25" customHeight="1"/>
    <row r="28599" customFormat="1" ht="17.25" customHeight="1"/>
    <row r="28600" customFormat="1" ht="17.25" customHeight="1"/>
    <row r="28601" customFormat="1" ht="17.25" customHeight="1"/>
    <row r="28602" customFormat="1" ht="17.25" customHeight="1"/>
    <row r="28603" customFormat="1" ht="17.25" customHeight="1"/>
    <row r="28604" customFormat="1" ht="17.25" customHeight="1"/>
    <row r="28605" customFormat="1" ht="17.25" customHeight="1"/>
    <row r="28606" customFormat="1" ht="17.25" customHeight="1"/>
    <row r="28607" customFormat="1" ht="17.25" customHeight="1"/>
    <row r="28608" customFormat="1" ht="17.25" customHeight="1"/>
    <row r="28609" customFormat="1" ht="17.25" customHeight="1"/>
    <row r="28610" customFormat="1" ht="17.25" customHeight="1"/>
    <row r="28611" customFormat="1" ht="17.25" customHeight="1"/>
    <row r="28612" customFormat="1" ht="17.25" customHeight="1"/>
    <row r="28613" customFormat="1" ht="17.25" customHeight="1"/>
    <row r="28614" customFormat="1" ht="17.25" customHeight="1"/>
    <row r="28615" customFormat="1" ht="17.25" customHeight="1"/>
    <row r="28616" customFormat="1" ht="17.25" customHeight="1"/>
    <row r="28617" customFormat="1" ht="17.25" customHeight="1"/>
    <row r="28618" customFormat="1" ht="17.25" customHeight="1"/>
    <row r="28619" customFormat="1" ht="17.25" customHeight="1"/>
    <row r="28620" customFormat="1" ht="17.25" customHeight="1"/>
    <row r="28621" customFormat="1" ht="17.25" customHeight="1"/>
    <row r="28622" customFormat="1" ht="17.25" customHeight="1"/>
    <row r="28623" customFormat="1" ht="17.25" customHeight="1"/>
    <row r="28624" customFormat="1" ht="17.25" customHeight="1"/>
    <row r="28625" customFormat="1" ht="17.25" customHeight="1"/>
    <row r="28626" customFormat="1" ht="17.25" customHeight="1"/>
    <row r="28627" customFormat="1" ht="17.25" customHeight="1"/>
    <row r="28628" customFormat="1" ht="17.25" customHeight="1"/>
    <row r="28629" customFormat="1" ht="17.25" customHeight="1"/>
    <row r="28630" customFormat="1" ht="17.25" customHeight="1"/>
    <row r="28631" customFormat="1" ht="17.25" customHeight="1"/>
    <row r="28632" customFormat="1" ht="17.25" customHeight="1"/>
    <row r="28633" customFormat="1" ht="17.25" customHeight="1"/>
    <row r="28634" customFormat="1" ht="17.25" customHeight="1"/>
    <row r="28635" customFormat="1" ht="17.25" customHeight="1"/>
    <row r="28636" customFormat="1" ht="17.25" customHeight="1"/>
    <row r="28637" customFormat="1" ht="17.25" customHeight="1"/>
    <row r="28638" customFormat="1" ht="17.25" customHeight="1"/>
    <row r="28639" customFormat="1" ht="17.25" customHeight="1"/>
    <row r="28640" customFormat="1" ht="17.25" customHeight="1"/>
    <row r="28641" customFormat="1" ht="17.25" customHeight="1"/>
    <row r="28642" customFormat="1" ht="17.25" customHeight="1"/>
    <row r="28643" customFormat="1" ht="17.25" customHeight="1"/>
    <row r="28644" customFormat="1" ht="17.25" customHeight="1"/>
    <row r="28645" customFormat="1" ht="17.25" customHeight="1"/>
    <row r="28646" customFormat="1" ht="17.25" customHeight="1"/>
    <row r="28647" customFormat="1" ht="17.25" customHeight="1"/>
    <row r="28648" customFormat="1" ht="17.25" customHeight="1"/>
    <row r="28649" customFormat="1" ht="17.25" customHeight="1"/>
    <row r="28650" customFormat="1" ht="17.25" customHeight="1"/>
    <row r="28651" customFormat="1" ht="17.25" customHeight="1"/>
    <row r="28652" customFormat="1" ht="17.25" customHeight="1"/>
    <row r="28653" customFormat="1" ht="17.25" customHeight="1"/>
    <row r="28654" customFormat="1" ht="17.25" customHeight="1"/>
    <row r="28655" customFormat="1" ht="17.25" customHeight="1"/>
    <row r="28656" customFormat="1" ht="17.25" customHeight="1"/>
    <row r="28657" customFormat="1" ht="17.25" customHeight="1"/>
    <row r="28658" customFormat="1" ht="17.25" customHeight="1"/>
    <row r="28659" customFormat="1" ht="17.25" customHeight="1"/>
    <row r="28660" customFormat="1" ht="17.25" customHeight="1"/>
    <row r="28661" customFormat="1" ht="17.25" customHeight="1"/>
    <row r="28662" customFormat="1" ht="17.25" customHeight="1"/>
    <row r="28663" customFormat="1" ht="17.25" customHeight="1"/>
    <row r="28664" customFormat="1" ht="17.25" customHeight="1"/>
    <row r="28665" customFormat="1" ht="17.25" customHeight="1"/>
    <row r="28666" customFormat="1" ht="17.25" customHeight="1"/>
    <row r="28667" customFormat="1" ht="17.25" customHeight="1"/>
    <row r="28668" customFormat="1" ht="17.25" customHeight="1"/>
    <row r="28669" customFormat="1" ht="17.25" customHeight="1"/>
    <row r="28670" customFormat="1" ht="17.25" customHeight="1"/>
    <row r="28671" customFormat="1" ht="17.25" customHeight="1"/>
    <row r="28672" customFormat="1" ht="17.25" customHeight="1"/>
    <row r="28673" customFormat="1" ht="17.25" customHeight="1"/>
    <row r="28674" customFormat="1" ht="17.25" customHeight="1"/>
    <row r="28675" customFormat="1" ht="17.25" customHeight="1"/>
    <row r="28676" customFormat="1" ht="17.25" customHeight="1"/>
    <row r="28677" customFormat="1" ht="17.25" customHeight="1"/>
    <row r="28678" customFormat="1" ht="17.25" customHeight="1"/>
    <row r="28679" customFormat="1" ht="17.25" customHeight="1"/>
    <row r="28680" customFormat="1" ht="17.25" customHeight="1"/>
    <row r="28681" customFormat="1" ht="17.25" customHeight="1"/>
    <row r="28682" customFormat="1" ht="17.25" customHeight="1"/>
    <row r="28683" customFormat="1" ht="17.25" customHeight="1"/>
    <row r="28684" customFormat="1" ht="17.25" customHeight="1"/>
    <row r="28685" customFormat="1" ht="17.25" customHeight="1"/>
    <row r="28686" customFormat="1" ht="17.25" customHeight="1"/>
    <row r="28687" customFormat="1" ht="17.25" customHeight="1"/>
    <row r="28688" customFormat="1" ht="17.25" customHeight="1"/>
    <row r="28689" customFormat="1" ht="17.25" customHeight="1"/>
    <row r="28690" customFormat="1" ht="17.25" customHeight="1"/>
    <row r="28691" customFormat="1" ht="17.25" customHeight="1"/>
    <row r="28692" customFormat="1" ht="17.25" customHeight="1"/>
    <row r="28693" customFormat="1" ht="17.25" customHeight="1"/>
    <row r="28694" customFormat="1" ht="17.25" customHeight="1"/>
    <row r="28695" customFormat="1" ht="17.25" customHeight="1"/>
    <row r="28696" customFormat="1" ht="17.25" customHeight="1"/>
    <row r="28697" customFormat="1" ht="17.25" customHeight="1"/>
    <row r="28698" customFormat="1" ht="17.25" customHeight="1"/>
    <row r="28699" customFormat="1" ht="17.25" customHeight="1"/>
    <row r="28700" customFormat="1" ht="17.25" customHeight="1"/>
    <row r="28701" customFormat="1" ht="17.25" customHeight="1"/>
    <row r="28702" customFormat="1" ht="17.25" customHeight="1"/>
    <row r="28703" customFormat="1" ht="17.25" customHeight="1"/>
    <row r="28704" customFormat="1" ht="17.25" customHeight="1"/>
    <row r="28705" customFormat="1" ht="17.25" customHeight="1"/>
    <row r="28706" customFormat="1" ht="17.25" customHeight="1"/>
    <row r="28707" customFormat="1" ht="17.25" customHeight="1"/>
    <row r="28708" customFormat="1" ht="17.25" customHeight="1"/>
    <row r="28709" customFormat="1" ht="17.25" customHeight="1"/>
    <row r="28710" customFormat="1" ht="17.25" customHeight="1"/>
    <row r="28711" customFormat="1" ht="17.25" customHeight="1"/>
    <row r="28712" customFormat="1" ht="17.25" customHeight="1"/>
    <row r="28713" customFormat="1" ht="17.25" customHeight="1"/>
    <row r="28714" customFormat="1" ht="17.25" customHeight="1"/>
    <row r="28715" customFormat="1" ht="17.25" customHeight="1"/>
    <row r="28716" customFormat="1" ht="17.25" customHeight="1"/>
    <row r="28717" customFormat="1" ht="17.25" customHeight="1"/>
    <row r="28718" customFormat="1" ht="17.25" customHeight="1"/>
    <row r="28719" customFormat="1" ht="17.25" customHeight="1"/>
    <row r="28720" customFormat="1" ht="17.25" customHeight="1"/>
    <row r="28721" customFormat="1" ht="17.25" customHeight="1"/>
    <row r="28722" customFormat="1" ht="17.25" customHeight="1"/>
    <row r="28723" customFormat="1" ht="17.25" customHeight="1"/>
    <row r="28724" customFormat="1" ht="17.25" customHeight="1"/>
    <row r="28725" customFormat="1" ht="17.25" customHeight="1"/>
    <row r="28726" customFormat="1" ht="17.25" customHeight="1"/>
    <row r="28727" customFormat="1" ht="17.25" customHeight="1"/>
    <row r="28728" customFormat="1" ht="17.25" customHeight="1"/>
    <row r="28729" customFormat="1" ht="17.25" customHeight="1"/>
    <row r="28730" customFormat="1" ht="17.25" customHeight="1"/>
    <row r="28731" customFormat="1" ht="17.25" customHeight="1"/>
    <row r="28732" customFormat="1" ht="17.25" customHeight="1"/>
    <row r="28733" customFormat="1" ht="17.25" customHeight="1"/>
    <row r="28734" customFormat="1" ht="17.25" customHeight="1"/>
    <row r="28735" customFormat="1" ht="17.25" customHeight="1"/>
    <row r="28736" customFormat="1" ht="17.25" customHeight="1"/>
    <row r="28737" customFormat="1" ht="17.25" customHeight="1"/>
    <row r="28738" customFormat="1" ht="17.25" customHeight="1"/>
    <row r="28739" customFormat="1" ht="17.25" customHeight="1"/>
    <row r="28740" customFormat="1" ht="17.25" customHeight="1"/>
    <row r="28741" customFormat="1" ht="17.25" customHeight="1"/>
    <row r="28742" customFormat="1" ht="17.25" customHeight="1"/>
    <row r="28743" customFormat="1" ht="17.25" customHeight="1"/>
    <row r="28744" customFormat="1" ht="17.25" customHeight="1"/>
    <row r="28745" customFormat="1" ht="17.25" customHeight="1"/>
    <row r="28746" customFormat="1" ht="17.25" customHeight="1"/>
    <row r="28747" customFormat="1" ht="17.25" customHeight="1"/>
    <row r="28748" customFormat="1" ht="17.25" customHeight="1"/>
    <row r="28749" customFormat="1" ht="17.25" customHeight="1"/>
    <row r="28750" customFormat="1" ht="17.25" customHeight="1"/>
    <row r="28751" customFormat="1" ht="17.25" customHeight="1"/>
    <row r="28752" customFormat="1" ht="17.25" customHeight="1"/>
    <row r="28753" customFormat="1" ht="17.25" customHeight="1"/>
    <row r="28754" customFormat="1" ht="17.25" customHeight="1"/>
    <row r="28755" customFormat="1" ht="17.25" customHeight="1"/>
    <row r="28756" customFormat="1" ht="17.25" customHeight="1"/>
    <row r="28757" customFormat="1" ht="17.25" customHeight="1"/>
    <row r="28758" customFormat="1" ht="17.25" customHeight="1"/>
    <row r="28759" customFormat="1" ht="17.25" customHeight="1"/>
    <row r="28760" customFormat="1" ht="17.25" customHeight="1"/>
    <row r="28761" customFormat="1" ht="17.25" customHeight="1"/>
    <row r="28762" customFormat="1" ht="17.25" customHeight="1"/>
    <row r="28763" customFormat="1" ht="17.25" customHeight="1"/>
    <row r="28764" customFormat="1" ht="17.25" customHeight="1"/>
    <row r="28765" customFormat="1" ht="17.25" customHeight="1"/>
    <row r="28766" customFormat="1" ht="17.25" customHeight="1"/>
    <row r="28767" customFormat="1" ht="17.25" customHeight="1"/>
    <row r="28768" customFormat="1" ht="17.25" customHeight="1"/>
    <row r="28769" customFormat="1" ht="17.25" customHeight="1"/>
    <row r="28770" customFormat="1" ht="17.25" customHeight="1"/>
    <row r="28771" customFormat="1" ht="17.25" customHeight="1"/>
    <row r="28772" customFormat="1" ht="17.25" customHeight="1"/>
    <row r="28773" customFormat="1" ht="17.25" customHeight="1"/>
    <row r="28774" customFormat="1" ht="17.25" customHeight="1"/>
    <row r="28775" customFormat="1" ht="17.25" customHeight="1"/>
    <row r="28776" customFormat="1" ht="17.25" customHeight="1"/>
    <row r="28777" customFormat="1" ht="17.25" customHeight="1"/>
    <row r="28778" customFormat="1" ht="17.25" customHeight="1"/>
    <row r="28779" customFormat="1" ht="17.25" customHeight="1"/>
    <row r="28780" customFormat="1" ht="17.25" customHeight="1"/>
    <row r="28781" customFormat="1" ht="17.25" customHeight="1"/>
    <row r="28782" customFormat="1" ht="17.25" customHeight="1"/>
    <row r="28783" customFormat="1" ht="17.25" customHeight="1"/>
    <row r="28784" customFormat="1" ht="17.25" customHeight="1"/>
    <row r="28785" customFormat="1" ht="17.25" customHeight="1"/>
    <row r="28786" customFormat="1" ht="17.25" customHeight="1"/>
    <row r="28787" customFormat="1" ht="17.25" customHeight="1"/>
    <row r="28788" customFormat="1" ht="17.25" customHeight="1"/>
    <row r="28789" customFormat="1" ht="17.25" customHeight="1"/>
    <row r="28790" customFormat="1" ht="17.25" customHeight="1"/>
    <row r="28791" customFormat="1" ht="17.25" customHeight="1"/>
    <row r="28792" customFormat="1" ht="17.25" customHeight="1"/>
    <row r="28793" customFormat="1" ht="17.25" customHeight="1"/>
    <row r="28794" customFormat="1" ht="17.25" customHeight="1"/>
    <row r="28795" customFormat="1" ht="17.25" customHeight="1"/>
    <row r="28796" customFormat="1" ht="17.25" customHeight="1"/>
    <row r="28797" customFormat="1" ht="17.25" customHeight="1"/>
    <row r="28798" customFormat="1" ht="17.25" customHeight="1"/>
    <row r="28799" customFormat="1" ht="17.25" customHeight="1"/>
    <row r="28800" customFormat="1" ht="17.25" customHeight="1"/>
    <row r="28801" customFormat="1" ht="17.25" customHeight="1"/>
    <row r="28802" customFormat="1" ht="17.25" customHeight="1"/>
    <row r="28803" customFormat="1" ht="17.25" customHeight="1"/>
    <row r="28804" customFormat="1" ht="17.25" customHeight="1"/>
    <row r="28805" customFormat="1" ht="17.25" customHeight="1"/>
    <row r="28806" customFormat="1" ht="17.25" customHeight="1"/>
    <row r="28807" customFormat="1" ht="17.25" customHeight="1"/>
    <row r="28808" customFormat="1" ht="17.25" customHeight="1"/>
    <row r="28809" customFormat="1" ht="17.25" customHeight="1"/>
    <row r="28810" customFormat="1" ht="17.25" customHeight="1"/>
    <row r="28811" customFormat="1" ht="17.25" customHeight="1"/>
    <row r="28812" customFormat="1" ht="17.25" customHeight="1"/>
    <row r="28813" customFormat="1" ht="17.25" customHeight="1"/>
    <row r="28814" customFormat="1" ht="17.25" customHeight="1"/>
    <row r="28815" customFormat="1" ht="17.25" customHeight="1"/>
    <row r="28816" customFormat="1" ht="17.25" customHeight="1"/>
    <row r="28817" customFormat="1" ht="17.25" customHeight="1"/>
    <row r="28818" customFormat="1" ht="17.25" customHeight="1"/>
    <row r="28819" customFormat="1" ht="17.25" customHeight="1"/>
    <row r="28820" customFormat="1" ht="17.25" customHeight="1"/>
    <row r="28821" customFormat="1" ht="17.25" customHeight="1"/>
    <row r="28822" customFormat="1" ht="17.25" customHeight="1"/>
    <row r="28823" customFormat="1" ht="17.25" customHeight="1"/>
    <row r="28824" customFormat="1" ht="17.25" customHeight="1"/>
    <row r="28825" customFormat="1" ht="17.25" customHeight="1"/>
    <row r="28826" customFormat="1" ht="17.25" customHeight="1"/>
    <row r="28827" customFormat="1" ht="17.25" customHeight="1"/>
    <row r="28828" customFormat="1" ht="17.25" customHeight="1"/>
    <row r="28829" customFormat="1" ht="17.25" customHeight="1"/>
    <row r="28830" customFormat="1" ht="17.25" customHeight="1"/>
    <row r="28831" customFormat="1" ht="17.25" customHeight="1"/>
    <row r="28832" customFormat="1" ht="17.25" customHeight="1"/>
    <row r="28833" customFormat="1" ht="17.25" customHeight="1"/>
    <row r="28834" customFormat="1" ht="17.25" customHeight="1"/>
    <row r="28835" customFormat="1" ht="17.25" customHeight="1"/>
    <row r="28836" customFormat="1" ht="17.25" customHeight="1"/>
    <row r="28837" customFormat="1" ht="17.25" customHeight="1"/>
    <row r="28838" customFormat="1" ht="17.25" customHeight="1"/>
    <row r="28839" customFormat="1" ht="17.25" customHeight="1"/>
    <row r="28840" customFormat="1" ht="17.25" customHeight="1"/>
    <row r="28841" customFormat="1" ht="17.25" customHeight="1"/>
    <row r="28842" customFormat="1" ht="17.25" customHeight="1"/>
    <row r="28843" customFormat="1" ht="17.25" customHeight="1"/>
    <row r="28844" customFormat="1" ht="17.25" customHeight="1"/>
    <row r="28845" customFormat="1" ht="17.25" customHeight="1"/>
    <row r="28846" customFormat="1" ht="17.25" customHeight="1"/>
    <row r="28847" customFormat="1" ht="17.25" customHeight="1"/>
    <row r="28848" customFormat="1" ht="17.25" customHeight="1"/>
    <row r="28849" customFormat="1" ht="17.25" customHeight="1"/>
    <row r="28850" customFormat="1" ht="17.25" customHeight="1"/>
    <row r="28851" customFormat="1" ht="17.25" customHeight="1"/>
    <row r="28852" customFormat="1" ht="17.25" customHeight="1"/>
    <row r="28853" customFormat="1" ht="17.25" customHeight="1"/>
    <row r="28854" customFormat="1" ht="17.25" customHeight="1"/>
    <row r="28855" customFormat="1" ht="17.25" customHeight="1"/>
    <row r="28856" customFormat="1" ht="17.25" customHeight="1"/>
    <row r="28857" customFormat="1" ht="17.25" customHeight="1"/>
    <row r="28858" customFormat="1" ht="17.25" customHeight="1"/>
    <row r="28859" customFormat="1" ht="17.25" customHeight="1"/>
    <row r="28860" customFormat="1" ht="17.25" customHeight="1"/>
    <row r="28861" customFormat="1" ht="17.25" customHeight="1"/>
    <row r="28862" customFormat="1" ht="17.25" customHeight="1"/>
    <row r="28863" customFormat="1" ht="17.25" customHeight="1"/>
    <row r="28864" customFormat="1" ht="17.25" customHeight="1"/>
    <row r="28865" customFormat="1" ht="17.25" customHeight="1"/>
    <row r="28866" customFormat="1" ht="17.25" customHeight="1"/>
    <row r="28867" customFormat="1" ht="17.25" customHeight="1"/>
    <row r="28868" customFormat="1" ht="17.25" customHeight="1"/>
    <row r="28869" customFormat="1" ht="17.25" customHeight="1"/>
    <row r="28870" customFormat="1" ht="17.25" customHeight="1"/>
    <row r="28871" customFormat="1" ht="17.25" customHeight="1"/>
    <row r="28872" customFormat="1" ht="17.25" customHeight="1"/>
    <row r="28873" customFormat="1" ht="17.25" customHeight="1"/>
    <row r="28874" customFormat="1" ht="17.25" customHeight="1"/>
    <row r="28875" customFormat="1" ht="17.25" customHeight="1"/>
    <row r="28876" customFormat="1" ht="17.25" customHeight="1"/>
    <row r="28877" customFormat="1" ht="17.25" customHeight="1"/>
    <row r="28878" customFormat="1" ht="17.25" customHeight="1"/>
    <row r="28879" customFormat="1" ht="17.25" customHeight="1"/>
    <row r="28880" customFormat="1" ht="17.25" customHeight="1"/>
    <row r="28881" customFormat="1" ht="17.25" customHeight="1"/>
    <row r="28882" customFormat="1" ht="17.25" customHeight="1"/>
    <row r="28883" customFormat="1" ht="17.25" customHeight="1"/>
    <row r="28884" customFormat="1" ht="17.25" customHeight="1"/>
    <row r="28885" customFormat="1" ht="17.25" customHeight="1"/>
    <row r="28886" customFormat="1" ht="17.25" customHeight="1"/>
    <row r="28887" customFormat="1" ht="17.25" customHeight="1"/>
    <row r="28888" customFormat="1" ht="17.25" customHeight="1"/>
    <row r="28889" customFormat="1" ht="17.25" customHeight="1"/>
    <row r="28890" customFormat="1" ht="17.25" customHeight="1"/>
    <row r="28891" customFormat="1" ht="17.25" customHeight="1"/>
    <row r="28892" customFormat="1" ht="17.25" customHeight="1"/>
    <row r="28893" customFormat="1" ht="17.25" customHeight="1"/>
    <row r="28894" customFormat="1" ht="17.25" customHeight="1"/>
    <row r="28895" customFormat="1" ht="17.25" customHeight="1"/>
    <row r="28896" customFormat="1" ht="17.25" customHeight="1"/>
    <row r="28897" customFormat="1" ht="17.25" customHeight="1"/>
    <row r="28898" customFormat="1" ht="17.25" customHeight="1"/>
    <row r="28899" customFormat="1" ht="17.25" customHeight="1"/>
    <row r="28900" customFormat="1" ht="17.25" customHeight="1"/>
    <row r="28901" customFormat="1" ht="17.25" customHeight="1"/>
    <row r="28902" customFormat="1" ht="17.25" customHeight="1"/>
    <row r="28903" customFormat="1" ht="17.25" customHeight="1"/>
    <row r="28904" customFormat="1" ht="17.25" customHeight="1"/>
    <row r="28905" customFormat="1" ht="17.25" customHeight="1"/>
    <row r="28906" customFormat="1" ht="17.25" customHeight="1"/>
    <row r="28907" customFormat="1" ht="17.25" customHeight="1"/>
    <row r="28908" customFormat="1" ht="17.25" customHeight="1"/>
    <row r="28909" customFormat="1" ht="17.25" customHeight="1"/>
    <row r="28910" customFormat="1" ht="17.25" customHeight="1"/>
    <row r="28911" customFormat="1" ht="17.25" customHeight="1"/>
    <row r="28912" customFormat="1" ht="17.25" customHeight="1"/>
    <row r="28913" customFormat="1" ht="17.25" customHeight="1"/>
    <row r="28914" customFormat="1" ht="17.25" customHeight="1"/>
    <row r="28915" customFormat="1" ht="17.25" customHeight="1"/>
    <row r="28916" customFormat="1" ht="17.25" customHeight="1"/>
    <row r="28917" customFormat="1" ht="17.25" customHeight="1"/>
    <row r="28918" customFormat="1" ht="17.25" customHeight="1"/>
    <row r="28919" customFormat="1" ht="17.25" customHeight="1"/>
    <row r="28920" customFormat="1" ht="17.25" customHeight="1"/>
    <row r="28921" customFormat="1" ht="17.25" customHeight="1"/>
    <row r="28922" customFormat="1" ht="17.25" customHeight="1"/>
    <row r="28923" customFormat="1" ht="17.25" customHeight="1"/>
    <row r="28924" customFormat="1" ht="17.25" customHeight="1"/>
    <row r="28925" customFormat="1" ht="17.25" customHeight="1"/>
    <row r="28926" customFormat="1" ht="17.25" customHeight="1"/>
    <row r="28927" customFormat="1" ht="17.25" customHeight="1"/>
    <row r="28928" customFormat="1" ht="17.25" customHeight="1"/>
    <row r="28929" customFormat="1" ht="17.25" customHeight="1"/>
    <row r="28930" customFormat="1" ht="17.25" customHeight="1"/>
    <row r="28931" customFormat="1" ht="17.25" customHeight="1"/>
    <row r="28932" customFormat="1" ht="17.25" customHeight="1"/>
    <row r="28933" customFormat="1" ht="17.25" customHeight="1"/>
    <row r="28934" customFormat="1" ht="17.25" customHeight="1"/>
    <row r="28935" customFormat="1" ht="17.25" customHeight="1"/>
    <row r="28936" customFormat="1" ht="17.25" customHeight="1"/>
    <row r="28937" customFormat="1" ht="17.25" customHeight="1"/>
    <row r="28938" customFormat="1" ht="17.25" customHeight="1"/>
    <row r="28939" customFormat="1" ht="17.25" customHeight="1"/>
    <row r="28940" customFormat="1" ht="17.25" customHeight="1"/>
    <row r="28941" customFormat="1" ht="17.25" customHeight="1"/>
    <row r="28942" customFormat="1" ht="17.25" customHeight="1"/>
    <row r="28943" customFormat="1" ht="17.25" customHeight="1"/>
    <row r="28944" customFormat="1" ht="17.25" customHeight="1"/>
    <row r="28945" customFormat="1" ht="17.25" customHeight="1"/>
    <row r="28946" customFormat="1" ht="17.25" customHeight="1"/>
    <row r="28947" customFormat="1" ht="17.25" customHeight="1"/>
    <row r="28948" customFormat="1" ht="17.25" customHeight="1"/>
    <row r="28949" customFormat="1" ht="17.25" customHeight="1"/>
    <row r="28950" customFormat="1" ht="17.25" customHeight="1"/>
    <row r="28951" customFormat="1" ht="17.25" customHeight="1"/>
    <row r="28952" customFormat="1" ht="17.25" customHeight="1"/>
    <row r="28953" customFormat="1" ht="17.25" customHeight="1"/>
    <row r="28954" customFormat="1" ht="17.25" customHeight="1"/>
    <row r="28955" customFormat="1" ht="17.25" customHeight="1"/>
    <row r="28956" customFormat="1" ht="17.25" customHeight="1"/>
    <row r="28957" customFormat="1" ht="17.25" customHeight="1"/>
    <row r="28958" customFormat="1" ht="17.25" customHeight="1"/>
    <row r="28959" customFormat="1" ht="17.25" customHeight="1"/>
    <row r="28960" customFormat="1" ht="17.25" customHeight="1"/>
    <row r="28961" customFormat="1" ht="17.25" customHeight="1"/>
    <row r="28962" customFormat="1" ht="17.25" customHeight="1"/>
    <row r="28963" customFormat="1" ht="17.25" customHeight="1"/>
    <row r="28964" customFormat="1" ht="17.25" customHeight="1"/>
    <row r="28965" customFormat="1" ht="17.25" customHeight="1"/>
    <row r="28966" customFormat="1" ht="17.25" customHeight="1"/>
    <row r="28967" customFormat="1" ht="17.25" customHeight="1"/>
    <row r="28968" customFormat="1" ht="17.25" customHeight="1"/>
    <row r="28969" customFormat="1" ht="17.25" customHeight="1"/>
    <row r="28970" customFormat="1" ht="17.25" customHeight="1"/>
    <row r="28971" customFormat="1" ht="17.25" customHeight="1"/>
    <row r="28972" customFormat="1" ht="17.25" customHeight="1"/>
    <row r="28973" customFormat="1" ht="17.25" customHeight="1"/>
    <row r="28974" customFormat="1" ht="17.25" customHeight="1"/>
    <row r="28975" customFormat="1" ht="17.25" customHeight="1"/>
    <row r="28976" customFormat="1" ht="17.25" customHeight="1"/>
    <row r="28977" customFormat="1" ht="17.25" customHeight="1"/>
    <row r="28978" customFormat="1" ht="17.25" customHeight="1"/>
    <row r="28979" customFormat="1" ht="17.25" customHeight="1"/>
    <row r="28980" customFormat="1" ht="17.25" customHeight="1"/>
    <row r="28981" customFormat="1" ht="17.25" customHeight="1"/>
    <row r="28982" customFormat="1" ht="17.25" customHeight="1"/>
    <row r="28983" customFormat="1" ht="17.25" customHeight="1"/>
    <row r="28984" customFormat="1" ht="17.25" customHeight="1"/>
    <row r="28985" customFormat="1" ht="17.25" customHeight="1"/>
    <row r="28986" customFormat="1" ht="17.25" customHeight="1"/>
    <row r="28987" customFormat="1" ht="17.25" customHeight="1"/>
    <row r="28988" customFormat="1" ht="17.25" customHeight="1"/>
    <row r="28989" customFormat="1" ht="17.25" customHeight="1"/>
    <row r="28990" customFormat="1" ht="17.25" customHeight="1"/>
    <row r="28991" customFormat="1" ht="17.25" customHeight="1"/>
    <row r="28992" customFormat="1" ht="17.25" customHeight="1"/>
    <row r="28993" customFormat="1" ht="17.25" customHeight="1"/>
    <row r="28994" customFormat="1" ht="17.25" customHeight="1"/>
    <row r="28995" customFormat="1" ht="17.25" customHeight="1"/>
    <row r="28996" customFormat="1" ht="17.25" customHeight="1"/>
    <row r="28997" customFormat="1" ht="17.25" customHeight="1"/>
    <row r="28998" customFormat="1" ht="17.25" customHeight="1"/>
    <row r="28999" customFormat="1" ht="17.25" customHeight="1"/>
    <row r="29000" customFormat="1" ht="17.25" customHeight="1"/>
    <row r="29001" customFormat="1" ht="17.25" customHeight="1"/>
    <row r="29002" customFormat="1" ht="17.25" customHeight="1"/>
    <row r="29003" customFormat="1" ht="17.25" customHeight="1"/>
    <row r="29004" customFormat="1" ht="17.25" customHeight="1"/>
    <row r="29005" customFormat="1" ht="17.25" customHeight="1"/>
    <row r="29006" customFormat="1" ht="17.25" customHeight="1"/>
    <row r="29007" customFormat="1" ht="17.25" customHeight="1"/>
    <row r="29008" customFormat="1" ht="17.25" customHeight="1"/>
    <row r="29009" customFormat="1" ht="17.25" customHeight="1"/>
    <row r="29010" customFormat="1" ht="17.25" customHeight="1"/>
    <row r="29011" customFormat="1" ht="17.25" customHeight="1"/>
    <row r="29012" customFormat="1" ht="17.25" customHeight="1"/>
    <row r="29013" customFormat="1" ht="17.25" customHeight="1"/>
    <row r="29014" customFormat="1" ht="17.25" customHeight="1"/>
    <row r="29015" customFormat="1" ht="17.25" customHeight="1"/>
    <row r="29016" customFormat="1" ht="17.25" customHeight="1"/>
    <row r="29017" customFormat="1" ht="17.25" customHeight="1"/>
    <row r="29018" customFormat="1" ht="17.25" customHeight="1"/>
    <row r="29019" customFormat="1" ht="17.25" customHeight="1"/>
    <row r="29020" customFormat="1" ht="17.25" customHeight="1"/>
    <row r="29021" customFormat="1" ht="17.25" customHeight="1"/>
    <row r="29022" customFormat="1" ht="17.25" customHeight="1"/>
    <row r="29023" customFormat="1" ht="17.25" customHeight="1"/>
    <row r="29024" customFormat="1" ht="17.25" customHeight="1"/>
    <row r="29025" customFormat="1" ht="17.25" customHeight="1"/>
    <row r="29026" customFormat="1" ht="17.25" customHeight="1"/>
    <row r="29027" customFormat="1" ht="17.25" customHeight="1"/>
    <row r="29028" customFormat="1" ht="17.25" customHeight="1"/>
    <row r="29029" customFormat="1" ht="17.25" customHeight="1"/>
    <row r="29030" customFormat="1" ht="17.25" customHeight="1"/>
    <row r="29031" customFormat="1" ht="17.25" customHeight="1"/>
    <row r="29032" customFormat="1" ht="17.25" customHeight="1"/>
    <row r="29033" customFormat="1" ht="17.25" customHeight="1"/>
    <row r="29034" customFormat="1" ht="17.25" customHeight="1"/>
    <row r="29035" customFormat="1" ht="17.25" customHeight="1"/>
    <row r="29036" customFormat="1" ht="17.25" customHeight="1"/>
    <row r="29037" customFormat="1" ht="17.25" customHeight="1"/>
    <row r="29038" customFormat="1" ht="17.25" customHeight="1"/>
    <row r="29039" customFormat="1" ht="17.25" customHeight="1"/>
    <row r="29040" customFormat="1" ht="17.25" customHeight="1"/>
    <row r="29041" customFormat="1" ht="17.25" customHeight="1"/>
    <row r="29042" customFormat="1" ht="17.25" customHeight="1"/>
    <row r="29043" customFormat="1" ht="17.25" customHeight="1"/>
    <row r="29044" customFormat="1" ht="17.25" customHeight="1"/>
    <row r="29045" customFormat="1" ht="17.25" customHeight="1"/>
    <row r="29046" customFormat="1" ht="17.25" customHeight="1"/>
    <row r="29047" customFormat="1" ht="17.25" customHeight="1"/>
    <row r="29048" customFormat="1" ht="17.25" customHeight="1"/>
    <row r="29049" customFormat="1" ht="17.25" customHeight="1"/>
    <row r="29050" customFormat="1" ht="17.25" customHeight="1"/>
    <row r="29051" customFormat="1" ht="17.25" customHeight="1"/>
    <row r="29052" customFormat="1" ht="17.25" customHeight="1"/>
    <row r="29053" customFormat="1" ht="17.25" customHeight="1"/>
    <row r="29054" customFormat="1" ht="17.25" customHeight="1"/>
    <row r="29055" customFormat="1" ht="17.25" customHeight="1"/>
    <row r="29056" customFormat="1" ht="17.25" customHeight="1"/>
    <row r="29057" customFormat="1" ht="17.25" customHeight="1"/>
    <row r="29058" customFormat="1" ht="17.25" customHeight="1"/>
    <row r="29059" customFormat="1" ht="17.25" customHeight="1"/>
    <row r="29060" customFormat="1" ht="17.25" customHeight="1"/>
    <row r="29061" customFormat="1" ht="17.25" customHeight="1"/>
    <row r="29062" customFormat="1" ht="17.25" customHeight="1"/>
    <row r="29063" customFormat="1" ht="17.25" customHeight="1"/>
    <row r="29064" customFormat="1" ht="17.25" customHeight="1"/>
    <row r="29065" customFormat="1" ht="17.25" customHeight="1"/>
    <row r="29066" customFormat="1" ht="17.25" customHeight="1"/>
    <row r="29067" customFormat="1" ht="17.25" customHeight="1"/>
    <row r="29068" customFormat="1" ht="17.25" customHeight="1"/>
    <row r="29069" customFormat="1" ht="17.25" customHeight="1"/>
    <row r="29070" customFormat="1" ht="17.25" customHeight="1"/>
    <row r="29071" customFormat="1" ht="17.25" customHeight="1"/>
    <row r="29072" customFormat="1" ht="17.25" customHeight="1"/>
    <row r="29073" customFormat="1" ht="17.25" customHeight="1"/>
    <row r="29074" customFormat="1" ht="17.25" customHeight="1"/>
    <row r="29075" customFormat="1" ht="17.25" customHeight="1"/>
    <row r="29076" customFormat="1" ht="17.25" customHeight="1"/>
    <row r="29077" customFormat="1" ht="17.25" customHeight="1"/>
    <row r="29078" customFormat="1" ht="17.25" customHeight="1"/>
    <row r="29079" customFormat="1" ht="17.25" customHeight="1"/>
    <row r="29080" customFormat="1" ht="17.25" customHeight="1"/>
    <row r="29081" customFormat="1" ht="17.25" customHeight="1"/>
    <row r="29082" customFormat="1" ht="17.25" customHeight="1"/>
    <row r="29083" customFormat="1" ht="17.25" customHeight="1"/>
    <row r="29084" customFormat="1" ht="17.25" customHeight="1"/>
    <row r="29085" customFormat="1" ht="17.25" customHeight="1"/>
    <row r="29086" customFormat="1" ht="17.25" customHeight="1"/>
    <row r="29087" customFormat="1" ht="17.25" customHeight="1"/>
    <row r="29088" customFormat="1" ht="17.25" customHeight="1"/>
    <row r="29089" customFormat="1" ht="17.25" customHeight="1"/>
    <row r="29090" customFormat="1" ht="17.25" customHeight="1"/>
    <row r="29091" customFormat="1" ht="17.25" customHeight="1"/>
    <row r="29092" customFormat="1" ht="17.25" customHeight="1"/>
    <row r="29093" customFormat="1" ht="17.25" customHeight="1"/>
    <row r="29094" customFormat="1" ht="17.25" customHeight="1"/>
    <row r="29095" customFormat="1" ht="17.25" customHeight="1"/>
    <row r="29096" customFormat="1" ht="17.25" customHeight="1"/>
    <row r="29097" customFormat="1" ht="17.25" customHeight="1"/>
    <row r="29098" customFormat="1" ht="17.25" customHeight="1"/>
    <row r="29099" customFormat="1" ht="17.25" customHeight="1"/>
    <row r="29100" customFormat="1" ht="17.25" customHeight="1"/>
    <row r="29101" customFormat="1" ht="17.25" customHeight="1"/>
    <row r="29102" customFormat="1" ht="17.25" customHeight="1"/>
    <row r="29103" customFormat="1" ht="17.25" customHeight="1"/>
    <row r="29104" customFormat="1" ht="17.25" customHeight="1"/>
    <row r="29105" customFormat="1" ht="17.25" customHeight="1"/>
    <row r="29106" customFormat="1" ht="17.25" customHeight="1"/>
    <row r="29107" customFormat="1" ht="17.25" customHeight="1"/>
    <row r="29108" customFormat="1" ht="17.25" customHeight="1"/>
    <row r="29109" customFormat="1" ht="17.25" customHeight="1"/>
    <row r="29110" customFormat="1" ht="17.25" customHeight="1"/>
    <row r="29111" customFormat="1" ht="17.25" customHeight="1"/>
    <row r="29112" customFormat="1" ht="17.25" customHeight="1"/>
    <row r="29113" customFormat="1" ht="17.25" customHeight="1"/>
    <row r="29114" customFormat="1" ht="17.25" customHeight="1"/>
    <row r="29115" customFormat="1" ht="17.25" customHeight="1"/>
    <row r="29116" customFormat="1" ht="17.25" customHeight="1"/>
    <row r="29117" customFormat="1" ht="17.25" customHeight="1"/>
    <row r="29118" customFormat="1" ht="17.25" customHeight="1"/>
    <row r="29119" customFormat="1" ht="17.25" customHeight="1"/>
    <row r="29120" customFormat="1" ht="17.25" customHeight="1"/>
    <row r="29121" customFormat="1" ht="17.25" customHeight="1"/>
    <row r="29122" customFormat="1" ht="17.25" customHeight="1"/>
    <row r="29123" customFormat="1" ht="17.25" customHeight="1"/>
    <row r="29124" customFormat="1" ht="17.25" customHeight="1"/>
    <row r="29125" customFormat="1" ht="17.25" customHeight="1"/>
    <row r="29126" customFormat="1" ht="17.25" customHeight="1"/>
    <row r="29127" customFormat="1" ht="17.25" customHeight="1"/>
    <row r="29128" customFormat="1" ht="17.25" customHeight="1"/>
    <row r="29129" customFormat="1" ht="17.25" customHeight="1"/>
    <row r="29130" customFormat="1" ht="17.25" customHeight="1"/>
    <row r="29131" customFormat="1" ht="17.25" customHeight="1"/>
    <row r="29132" customFormat="1" ht="17.25" customHeight="1"/>
    <row r="29133" customFormat="1" ht="17.25" customHeight="1"/>
    <row r="29134" customFormat="1" ht="17.25" customHeight="1"/>
    <row r="29135" customFormat="1" ht="17.25" customHeight="1"/>
    <row r="29136" customFormat="1" ht="17.25" customHeight="1"/>
    <row r="29137" customFormat="1" ht="17.25" customHeight="1"/>
    <row r="29138" customFormat="1" ht="17.25" customHeight="1"/>
    <row r="29139" customFormat="1" ht="17.25" customHeight="1"/>
    <row r="29140" customFormat="1" ht="17.25" customHeight="1"/>
    <row r="29141" customFormat="1" ht="17.25" customHeight="1"/>
    <row r="29142" customFormat="1" ht="17.25" customHeight="1"/>
    <row r="29143" customFormat="1" ht="17.25" customHeight="1"/>
    <row r="29144" customFormat="1" ht="17.25" customHeight="1"/>
    <row r="29145" customFormat="1" ht="17.25" customHeight="1"/>
    <row r="29146" customFormat="1" ht="17.25" customHeight="1"/>
    <row r="29147" customFormat="1" ht="17.25" customHeight="1"/>
    <row r="29148" customFormat="1" ht="17.25" customHeight="1"/>
    <row r="29149" customFormat="1" ht="17.25" customHeight="1"/>
    <row r="29150" customFormat="1" ht="17.25" customHeight="1"/>
    <row r="29151" customFormat="1" ht="17.25" customHeight="1"/>
    <row r="29152" customFormat="1" ht="17.25" customHeight="1"/>
    <row r="29153" customFormat="1" ht="17.25" customHeight="1"/>
    <row r="29154" customFormat="1" ht="17.25" customHeight="1"/>
    <row r="29155" customFormat="1" ht="17.25" customHeight="1"/>
    <row r="29156" customFormat="1" ht="17.25" customHeight="1"/>
    <row r="29157" customFormat="1" ht="17.25" customHeight="1"/>
    <row r="29158" customFormat="1" ht="17.25" customHeight="1"/>
    <row r="29159" customFormat="1" ht="17.25" customHeight="1"/>
    <row r="29160" customFormat="1" ht="17.25" customHeight="1"/>
    <row r="29161" customFormat="1" ht="17.25" customHeight="1"/>
    <row r="29162" customFormat="1" ht="17.25" customHeight="1"/>
    <row r="29163" customFormat="1" ht="17.25" customHeight="1"/>
    <row r="29164" customFormat="1" ht="17.25" customHeight="1"/>
    <row r="29165" customFormat="1" ht="17.25" customHeight="1"/>
    <row r="29166" customFormat="1" ht="17.25" customHeight="1"/>
    <row r="29167" customFormat="1" ht="17.25" customHeight="1"/>
    <row r="29168" customFormat="1" ht="17.25" customHeight="1"/>
    <row r="29169" customFormat="1" ht="17.25" customHeight="1"/>
    <row r="29170" customFormat="1" ht="17.25" customHeight="1"/>
    <row r="29171" customFormat="1" ht="17.25" customHeight="1"/>
    <row r="29172" customFormat="1" ht="17.25" customHeight="1"/>
    <row r="29173" customFormat="1" ht="17.25" customHeight="1"/>
    <row r="29174" customFormat="1" ht="17.25" customHeight="1"/>
    <row r="29175" customFormat="1" ht="17.25" customHeight="1"/>
    <row r="29176" customFormat="1" ht="17.25" customHeight="1"/>
    <row r="29177" customFormat="1" ht="17.25" customHeight="1"/>
    <row r="29178" customFormat="1" ht="17.25" customHeight="1"/>
    <row r="29179" customFormat="1" ht="17.25" customHeight="1"/>
    <row r="29180" customFormat="1" ht="17.25" customHeight="1"/>
    <row r="29181" customFormat="1" ht="17.25" customHeight="1"/>
    <row r="29182" customFormat="1" ht="17.25" customHeight="1"/>
    <row r="29183" customFormat="1" ht="17.25" customHeight="1"/>
    <row r="29184" customFormat="1" ht="17.25" customHeight="1"/>
    <row r="29185" customFormat="1" ht="17.25" customHeight="1"/>
    <row r="29186" customFormat="1" ht="17.25" customHeight="1"/>
    <row r="29187" customFormat="1" ht="17.25" customHeight="1"/>
    <row r="29188" customFormat="1" ht="17.25" customHeight="1"/>
    <row r="29189" customFormat="1" ht="17.25" customHeight="1"/>
    <row r="29190" customFormat="1" ht="17.25" customHeight="1"/>
    <row r="29191" customFormat="1" ht="17.25" customHeight="1"/>
    <row r="29192" customFormat="1" ht="17.25" customHeight="1"/>
    <row r="29193" customFormat="1" ht="17.25" customHeight="1"/>
    <row r="29194" customFormat="1" ht="17.25" customHeight="1"/>
    <row r="29195" customFormat="1" ht="17.25" customHeight="1"/>
    <row r="29196" customFormat="1" ht="17.25" customHeight="1"/>
    <row r="29197" customFormat="1" ht="17.25" customHeight="1"/>
    <row r="29198" customFormat="1" ht="17.25" customHeight="1"/>
    <row r="29199" customFormat="1" ht="17.25" customHeight="1"/>
    <row r="29200" customFormat="1" ht="17.25" customHeight="1"/>
    <row r="29201" customFormat="1" ht="17.25" customHeight="1"/>
    <row r="29202" customFormat="1" ht="17.25" customHeight="1"/>
    <row r="29203" customFormat="1" ht="17.25" customHeight="1"/>
    <row r="29204" customFormat="1" ht="17.25" customHeight="1"/>
    <row r="29205" customFormat="1" ht="17.25" customHeight="1"/>
    <row r="29206" customFormat="1" ht="17.25" customHeight="1"/>
    <row r="29207" customFormat="1" ht="17.25" customHeight="1"/>
    <row r="29208" customFormat="1" ht="17.25" customHeight="1"/>
    <row r="29209" customFormat="1" ht="17.25" customHeight="1"/>
    <row r="29210" customFormat="1" ht="17.25" customHeight="1"/>
    <row r="29211" customFormat="1" ht="17.25" customHeight="1"/>
    <row r="29212" customFormat="1" ht="17.25" customHeight="1"/>
    <row r="29213" customFormat="1" ht="17.25" customHeight="1"/>
    <row r="29214" customFormat="1" ht="17.25" customHeight="1"/>
    <row r="29215" customFormat="1" ht="17.25" customHeight="1"/>
    <row r="29216" customFormat="1" ht="17.25" customHeight="1"/>
    <row r="29217" customFormat="1" ht="17.25" customHeight="1"/>
    <row r="29218" customFormat="1" ht="17.25" customHeight="1"/>
    <row r="29219" customFormat="1" ht="17.25" customHeight="1"/>
    <row r="29220" customFormat="1" ht="17.25" customHeight="1"/>
    <row r="29221" customFormat="1" ht="17.25" customHeight="1"/>
    <row r="29222" customFormat="1" ht="17.25" customHeight="1"/>
    <row r="29223" customFormat="1" ht="17.25" customHeight="1"/>
    <row r="29224" customFormat="1" ht="17.25" customHeight="1"/>
    <row r="29225" customFormat="1" ht="17.25" customHeight="1"/>
    <row r="29226" customFormat="1" ht="17.25" customHeight="1"/>
    <row r="29227" customFormat="1" ht="17.25" customHeight="1"/>
    <row r="29228" customFormat="1" ht="17.25" customHeight="1"/>
    <row r="29229" customFormat="1" ht="17.25" customHeight="1"/>
    <row r="29230" customFormat="1" ht="17.25" customHeight="1"/>
    <row r="29231" customFormat="1" ht="17.25" customHeight="1"/>
    <row r="29232" customFormat="1" ht="17.25" customHeight="1"/>
    <row r="29233" customFormat="1" ht="17.25" customHeight="1"/>
    <row r="29234" customFormat="1" ht="17.25" customHeight="1"/>
    <row r="29235" customFormat="1" ht="17.25" customHeight="1"/>
    <row r="29236" customFormat="1" ht="17.25" customHeight="1"/>
    <row r="29237" customFormat="1" ht="17.25" customHeight="1"/>
    <row r="29238" customFormat="1" ht="17.25" customHeight="1"/>
    <row r="29239" customFormat="1" ht="17.25" customHeight="1"/>
    <row r="29240" customFormat="1" ht="17.25" customHeight="1"/>
    <row r="29241" customFormat="1" ht="17.25" customHeight="1"/>
    <row r="29242" customFormat="1" ht="17.25" customHeight="1"/>
    <row r="29243" customFormat="1" ht="17.25" customHeight="1"/>
    <row r="29244" customFormat="1" ht="17.25" customHeight="1"/>
    <row r="29245" customFormat="1" ht="17.25" customHeight="1"/>
    <row r="29246" customFormat="1" ht="17.25" customHeight="1"/>
    <row r="29247" customFormat="1" ht="17.25" customHeight="1"/>
    <row r="29248" customFormat="1" ht="17.25" customHeight="1"/>
    <row r="29249" customFormat="1" ht="17.25" customHeight="1"/>
    <row r="29250" customFormat="1" ht="17.25" customHeight="1"/>
    <row r="29251" customFormat="1" ht="17.25" customHeight="1"/>
    <row r="29252" customFormat="1" ht="17.25" customHeight="1"/>
    <row r="29253" customFormat="1" ht="17.25" customHeight="1"/>
    <row r="29254" customFormat="1" ht="17.25" customHeight="1"/>
    <row r="29255" customFormat="1" ht="17.25" customHeight="1"/>
    <row r="29256" customFormat="1" ht="17.25" customHeight="1"/>
    <row r="29257" customFormat="1" ht="17.25" customHeight="1"/>
    <row r="29258" customFormat="1" ht="17.25" customHeight="1"/>
    <row r="29259" customFormat="1" ht="17.25" customHeight="1"/>
    <row r="29260" customFormat="1" ht="17.25" customHeight="1"/>
    <row r="29261" customFormat="1" ht="17.25" customHeight="1"/>
    <row r="29262" customFormat="1" ht="17.25" customHeight="1"/>
    <row r="29263" customFormat="1" ht="17.25" customHeight="1"/>
    <row r="29264" customFormat="1" ht="17.25" customHeight="1"/>
    <row r="29265" customFormat="1" ht="17.25" customHeight="1"/>
    <row r="29266" customFormat="1" ht="17.25" customHeight="1"/>
    <row r="29267" customFormat="1" ht="17.25" customHeight="1"/>
    <row r="29268" customFormat="1" ht="17.25" customHeight="1"/>
    <row r="29269" customFormat="1" ht="17.25" customHeight="1"/>
    <row r="29270" customFormat="1" ht="17.25" customHeight="1"/>
    <row r="29271" customFormat="1" ht="17.25" customHeight="1"/>
    <row r="29272" customFormat="1" ht="17.25" customHeight="1"/>
    <row r="29273" customFormat="1" ht="17.25" customHeight="1"/>
    <row r="29274" customFormat="1" ht="17.25" customHeight="1"/>
    <row r="29275" customFormat="1" ht="17.25" customHeight="1"/>
    <row r="29276" customFormat="1" ht="17.25" customHeight="1"/>
    <row r="29277" customFormat="1" ht="17.25" customHeight="1"/>
    <row r="29278" customFormat="1" ht="17.25" customHeight="1"/>
    <row r="29279" customFormat="1" ht="17.25" customHeight="1"/>
    <row r="29280" customFormat="1" ht="17.25" customHeight="1"/>
    <row r="29281" customFormat="1" ht="17.25" customHeight="1"/>
    <row r="29282" customFormat="1" ht="17.25" customHeight="1"/>
    <row r="29283" customFormat="1" ht="17.25" customHeight="1"/>
    <row r="29284" customFormat="1" ht="17.25" customHeight="1"/>
    <row r="29285" customFormat="1" ht="17.25" customHeight="1"/>
    <row r="29286" customFormat="1" ht="17.25" customHeight="1"/>
    <row r="29287" customFormat="1" ht="17.25" customHeight="1"/>
    <row r="29288" customFormat="1" ht="17.25" customHeight="1"/>
    <row r="29289" customFormat="1" ht="17.25" customHeight="1"/>
    <row r="29290" customFormat="1" ht="17.25" customHeight="1"/>
    <row r="29291" customFormat="1" ht="17.25" customHeight="1"/>
    <row r="29292" customFormat="1" ht="17.25" customHeight="1"/>
    <row r="29293" customFormat="1" ht="17.25" customHeight="1"/>
    <row r="29294" customFormat="1" ht="17.25" customHeight="1"/>
    <row r="29295" customFormat="1" ht="17.25" customHeight="1"/>
    <row r="29296" customFormat="1" ht="17.25" customHeight="1"/>
    <row r="29297" customFormat="1" ht="17.25" customHeight="1"/>
    <row r="29298" customFormat="1" ht="17.25" customHeight="1"/>
    <row r="29299" customFormat="1" ht="17.25" customHeight="1"/>
    <row r="29300" customFormat="1" ht="17.25" customHeight="1"/>
    <row r="29301" customFormat="1" ht="17.25" customHeight="1"/>
    <row r="29302" customFormat="1" ht="17.25" customHeight="1"/>
    <row r="29303" customFormat="1" ht="17.25" customHeight="1"/>
    <row r="29304" customFormat="1" ht="17.25" customHeight="1"/>
    <row r="29305" customFormat="1" ht="17.25" customHeight="1"/>
    <row r="29306" customFormat="1" ht="17.25" customHeight="1"/>
    <row r="29307" customFormat="1" ht="17.25" customHeight="1"/>
    <row r="29308" customFormat="1" ht="17.25" customHeight="1"/>
    <row r="29309" customFormat="1" ht="17.25" customHeight="1"/>
    <row r="29310" customFormat="1" ht="17.25" customHeight="1"/>
    <row r="29311" customFormat="1" ht="17.25" customHeight="1"/>
    <row r="29312" customFormat="1" ht="17.25" customHeight="1"/>
    <row r="29313" customFormat="1" ht="17.25" customHeight="1"/>
    <row r="29314" customFormat="1" ht="17.25" customHeight="1"/>
    <row r="29315" customFormat="1" ht="17.25" customHeight="1"/>
    <row r="29316" customFormat="1" ht="17.25" customHeight="1"/>
    <row r="29317" customFormat="1" ht="17.25" customHeight="1"/>
    <row r="29318" customFormat="1" ht="17.25" customHeight="1"/>
    <row r="29319" customFormat="1" ht="17.25" customHeight="1"/>
    <row r="29320" customFormat="1" ht="17.25" customHeight="1"/>
    <row r="29321" customFormat="1" ht="17.25" customHeight="1"/>
    <row r="29322" customFormat="1" ht="17.25" customHeight="1"/>
    <row r="29323" customFormat="1" ht="17.25" customHeight="1"/>
    <row r="29324" customFormat="1" ht="17.25" customHeight="1"/>
    <row r="29325" customFormat="1" ht="17.25" customHeight="1"/>
    <row r="29326" customFormat="1" ht="17.25" customHeight="1"/>
    <row r="29327" customFormat="1" ht="17.25" customHeight="1"/>
    <row r="29328" customFormat="1" ht="17.25" customHeight="1"/>
    <row r="29329" customFormat="1" ht="17.25" customHeight="1"/>
    <row r="29330" customFormat="1" ht="17.25" customHeight="1"/>
    <row r="29331" customFormat="1" ht="17.25" customHeight="1"/>
    <row r="29332" customFormat="1" ht="17.25" customHeight="1"/>
    <row r="29333" customFormat="1" ht="17.25" customHeight="1"/>
    <row r="29334" customFormat="1" ht="17.25" customHeight="1"/>
    <row r="29335" customFormat="1" ht="17.25" customHeight="1"/>
    <row r="29336" customFormat="1" ht="17.25" customHeight="1"/>
    <row r="29337" customFormat="1" ht="17.25" customHeight="1"/>
    <row r="29338" customFormat="1" ht="17.25" customHeight="1"/>
    <row r="29339" customFormat="1" ht="17.25" customHeight="1"/>
    <row r="29340" customFormat="1" ht="17.25" customHeight="1"/>
    <row r="29341" customFormat="1" ht="17.25" customHeight="1"/>
    <row r="29342" customFormat="1" ht="17.25" customHeight="1"/>
    <row r="29343" customFormat="1" ht="17.25" customHeight="1"/>
    <row r="29344" customFormat="1" ht="17.25" customHeight="1"/>
    <row r="29345" customFormat="1" ht="17.25" customHeight="1"/>
    <row r="29346" customFormat="1" ht="17.25" customHeight="1"/>
    <row r="29347" customFormat="1" ht="17.25" customHeight="1"/>
    <row r="29348" customFormat="1" ht="17.25" customHeight="1"/>
    <row r="29349" customFormat="1" ht="17.25" customHeight="1"/>
    <row r="29350" customFormat="1" ht="17.25" customHeight="1"/>
    <row r="29351" customFormat="1" ht="17.25" customHeight="1"/>
    <row r="29352" customFormat="1" ht="17.25" customHeight="1"/>
    <row r="29353" customFormat="1" ht="17.25" customHeight="1"/>
    <row r="29354" customFormat="1" ht="17.25" customHeight="1"/>
    <row r="29355" customFormat="1" ht="17.25" customHeight="1"/>
    <row r="29356" customFormat="1" ht="17.25" customHeight="1"/>
    <row r="29357" customFormat="1" ht="17.25" customHeight="1"/>
    <row r="29358" customFormat="1" ht="17.25" customHeight="1"/>
    <row r="29359" customFormat="1" ht="17.25" customHeight="1"/>
    <row r="29360" customFormat="1" ht="17.25" customHeight="1"/>
    <row r="29361" customFormat="1" ht="17.25" customHeight="1"/>
    <row r="29362" customFormat="1" ht="17.25" customHeight="1"/>
    <row r="29363" customFormat="1" ht="17.25" customHeight="1"/>
    <row r="29364" customFormat="1" ht="17.25" customHeight="1"/>
    <row r="29365" customFormat="1" ht="17.25" customHeight="1"/>
    <row r="29366" customFormat="1" ht="17.25" customHeight="1"/>
    <row r="29367" customFormat="1" ht="17.25" customHeight="1"/>
    <row r="29368" customFormat="1" ht="17.25" customHeight="1"/>
    <row r="29369" customFormat="1" ht="17.25" customHeight="1"/>
    <row r="29370" customFormat="1" ht="17.25" customHeight="1"/>
    <row r="29371" customFormat="1" ht="17.25" customHeight="1"/>
    <row r="29372" customFormat="1" ht="17.25" customHeight="1"/>
    <row r="29373" customFormat="1" ht="17.25" customHeight="1"/>
    <row r="29374" customFormat="1" ht="17.25" customHeight="1"/>
    <row r="29375" customFormat="1" ht="17.25" customHeight="1"/>
    <row r="29376" customFormat="1" ht="17.25" customHeight="1"/>
    <row r="29377" customFormat="1" ht="17.25" customHeight="1"/>
    <row r="29378" customFormat="1" ht="17.25" customHeight="1"/>
    <row r="29379" customFormat="1" ht="17.25" customHeight="1"/>
    <row r="29380" customFormat="1" ht="17.25" customHeight="1"/>
    <row r="29381" customFormat="1" ht="17.25" customHeight="1"/>
    <row r="29382" customFormat="1" ht="17.25" customHeight="1"/>
    <row r="29383" customFormat="1" ht="17.25" customHeight="1"/>
    <row r="29384" customFormat="1" ht="17.25" customHeight="1"/>
    <row r="29385" customFormat="1" ht="17.25" customHeight="1"/>
    <row r="29386" customFormat="1" ht="17.25" customHeight="1"/>
    <row r="29387" customFormat="1" ht="17.25" customHeight="1"/>
    <row r="29388" customFormat="1" ht="17.25" customHeight="1"/>
    <row r="29389" customFormat="1" ht="17.25" customHeight="1"/>
    <row r="29390" customFormat="1" ht="17.25" customHeight="1"/>
    <row r="29391" customFormat="1" ht="17.25" customHeight="1"/>
    <row r="29392" customFormat="1" ht="17.25" customHeight="1"/>
    <row r="29393" customFormat="1" ht="17.25" customHeight="1"/>
    <row r="29394" customFormat="1" ht="17.25" customHeight="1"/>
    <row r="29395" customFormat="1" ht="17.25" customHeight="1"/>
    <row r="29396" customFormat="1" ht="17.25" customHeight="1"/>
    <row r="29397" customFormat="1" ht="17.25" customHeight="1"/>
    <row r="29398" customFormat="1" ht="17.25" customHeight="1"/>
    <row r="29399" customFormat="1" ht="17.25" customHeight="1"/>
    <row r="29400" customFormat="1" ht="17.25" customHeight="1"/>
    <row r="29401" customFormat="1" ht="17.25" customHeight="1"/>
    <row r="29402" customFormat="1" ht="17.25" customHeight="1"/>
    <row r="29403" customFormat="1" ht="17.25" customHeight="1"/>
    <row r="29404" customFormat="1" ht="17.25" customHeight="1"/>
    <row r="29405" customFormat="1" ht="17.25" customHeight="1"/>
    <row r="29406" customFormat="1" ht="17.25" customHeight="1"/>
    <row r="29407" customFormat="1" ht="17.25" customHeight="1"/>
    <row r="29408" customFormat="1" ht="17.25" customHeight="1"/>
    <row r="29409" customFormat="1" ht="17.25" customHeight="1"/>
    <row r="29410" customFormat="1" ht="17.25" customHeight="1"/>
    <row r="29411" customFormat="1" ht="17.25" customHeight="1"/>
    <row r="29412" customFormat="1" ht="17.25" customHeight="1"/>
    <row r="29413" customFormat="1" ht="17.25" customHeight="1"/>
    <row r="29414" customFormat="1" ht="17.25" customHeight="1"/>
    <row r="29415" customFormat="1" ht="17.25" customHeight="1"/>
    <row r="29416" customFormat="1" ht="17.25" customHeight="1"/>
    <row r="29417" customFormat="1" ht="17.25" customHeight="1"/>
    <row r="29418" customFormat="1" ht="17.25" customHeight="1"/>
    <row r="29419" customFormat="1" ht="17.25" customHeight="1"/>
    <row r="29420" customFormat="1" ht="17.25" customHeight="1"/>
    <row r="29421" customFormat="1" ht="17.25" customHeight="1"/>
    <row r="29422" customFormat="1" ht="17.25" customHeight="1"/>
    <row r="29423" customFormat="1" ht="17.25" customHeight="1"/>
    <row r="29424" customFormat="1" ht="17.25" customHeight="1"/>
    <row r="29425" customFormat="1" ht="17.25" customHeight="1"/>
    <row r="29426" customFormat="1" ht="17.25" customHeight="1"/>
    <row r="29427" customFormat="1" ht="17.25" customHeight="1"/>
    <row r="29428" customFormat="1" ht="17.25" customHeight="1"/>
    <row r="29429" customFormat="1" ht="17.25" customHeight="1"/>
    <row r="29430" customFormat="1" ht="17.25" customHeight="1"/>
    <row r="29431" customFormat="1" ht="17.25" customHeight="1"/>
    <row r="29432" customFormat="1" ht="17.25" customHeight="1"/>
    <row r="29433" customFormat="1" ht="17.25" customHeight="1"/>
    <row r="29434" customFormat="1" ht="17.25" customHeight="1"/>
    <row r="29435" customFormat="1" ht="17.25" customHeight="1"/>
    <row r="29436" customFormat="1" ht="17.25" customHeight="1"/>
    <row r="29437" customFormat="1" ht="17.25" customHeight="1"/>
    <row r="29438" customFormat="1" ht="17.25" customHeight="1"/>
    <row r="29439" customFormat="1" ht="17.25" customHeight="1"/>
    <row r="29440" customFormat="1" ht="17.25" customHeight="1"/>
    <row r="29441" customFormat="1" ht="17.25" customHeight="1"/>
    <row r="29442" customFormat="1" ht="17.25" customHeight="1"/>
    <row r="29443" customFormat="1" ht="17.25" customHeight="1"/>
    <row r="29444" customFormat="1" ht="17.25" customHeight="1"/>
    <row r="29445" customFormat="1" ht="17.25" customHeight="1"/>
    <row r="29446" customFormat="1" ht="17.25" customHeight="1"/>
    <row r="29447" customFormat="1" ht="17.25" customHeight="1"/>
    <row r="29448" customFormat="1" ht="17.25" customHeight="1"/>
    <row r="29449" customFormat="1" ht="17.25" customHeight="1"/>
    <row r="29450" customFormat="1" ht="17.25" customHeight="1"/>
    <row r="29451" customFormat="1" ht="17.25" customHeight="1"/>
    <row r="29452" customFormat="1" ht="17.25" customHeight="1"/>
    <row r="29453" customFormat="1" ht="17.25" customHeight="1"/>
    <row r="29454" customFormat="1" ht="17.25" customHeight="1"/>
    <row r="29455" customFormat="1" ht="17.25" customHeight="1"/>
    <row r="29456" customFormat="1" ht="17.25" customHeight="1"/>
    <row r="29457" customFormat="1" ht="17.25" customHeight="1"/>
    <row r="29458" customFormat="1" ht="17.25" customHeight="1"/>
    <row r="29459" customFormat="1" ht="17.25" customHeight="1"/>
    <row r="29460" customFormat="1" ht="17.25" customHeight="1"/>
    <row r="29461" customFormat="1" ht="17.25" customHeight="1"/>
    <row r="29462" customFormat="1" ht="17.25" customHeight="1"/>
    <row r="29463" customFormat="1" ht="17.25" customHeight="1"/>
    <row r="29464" customFormat="1" ht="17.25" customHeight="1"/>
    <row r="29465" customFormat="1" ht="17.25" customHeight="1"/>
    <row r="29466" customFormat="1" ht="17.25" customHeight="1"/>
    <row r="29467" customFormat="1" ht="17.25" customHeight="1"/>
    <row r="29468" customFormat="1" ht="17.25" customHeight="1"/>
    <row r="29469" customFormat="1" ht="17.25" customHeight="1"/>
    <row r="29470" customFormat="1" ht="17.25" customHeight="1"/>
    <row r="29471" customFormat="1" ht="17.25" customHeight="1"/>
    <row r="29472" customFormat="1" ht="17.25" customHeight="1"/>
    <row r="29473" customFormat="1" ht="17.25" customHeight="1"/>
    <row r="29474" customFormat="1" ht="17.25" customHeight="1"/>
    <row r="29475" customFormat="1" ht="17.25" customHeight="1"/>
    <row r="29476" customFormat="1" ht="17.25" customHeight="1"/>
    <row r="29477" customFormat="1" ht="17.25" customHeight="1"/>
    <row r="29478" customFormat="1" ht="17.25" customHeight="1"/>
    <row r="29479" customFormat="1" ht="17.25" customHeight="1"/>
    <row r="29480" customFormat="1" ht="17.25" customHeight="1"/>
    <row r="29481" customFormat="1" ht="17.25" customHeight="1"/>
    <row r="29482" customFormat="1" ht="17.25" customHeight="1"/>
    <row r="29483" customFormat="1" ht="17.25" customHeight="1"/>
    <row r="29484" customFormat="1" ht="17.25" customHeight="1"/>
    <row r="29485" customFormat="1" ht="17.25" customHeight="1"/>
    <row r="29486" customFormat="1" ht="17.25" customHeight="1"/>
    <row r="29487" customFormat="1" ht="17.25" customHeight="1"/>
    <row r="29488" customFormat="1" ht="17.25" customHeight="1"/>
    <row r="29489" customFormat="1" ht="17.25" customHeight="1"/>
    <row r="29490" customFormat="1" ht="17.25" customHeight="1"/>
    <row r="29491" customFormat="1" ht="17.25" customHeight="1"/>
    <row r="29492" customFormat="1" ht="17.25" customHeight="1"/>
    <row r="29493" customFormat="1" ht="17.25" customHeight="1"/>
    <row r="29494" customFormat="1" ht="17.25" customHeight="1"/>
    <row r="29495" customFormat="1" ht="17.25" customHeight="1"/>
    <row r="29496" customFormat="1" ht="17.25" customHeight="1"/>
    <row r="29497" customFormat="1" ht="17.25" customHeight="1"/>
    <row r="29498" customFormat="1" ht="17.25" customHeight="1"/>
    <row r="29499" customFormat="1" ht="17.25" customHeight="1"/>
    <row r="29500" customFormat="1" ht="17.25" customHeight="1"/>
    <row r="29501" customFormat="1" ht="17.25" customHeight="1"/>
    <row r="29502" customFormat="1" ht="17.25" customHeight="1"/>
    <row r="29503" customFormat="1" ht="17.25" customHeight="1"/>
    <row r="29504" customFormat="1" ht="17.25" customHeight="1"/>
    <row r="29505" customFormat="1" ht="17.25" customHeight="1"/>
    <row r="29506" customFormat="1" ht="17.25" customHeight="1"/>
    <row r="29507" customFormat="1" ht="17.25" customHeight="1"/>
    <row r="29508" customFormat="1" ht="17.25" customHeight="1"/>
    <row r="29509" customFormat="1" ht="17.25" customHeight="1"/>
    <row r="29510" customFormat="1" ht="17.25" customHeight="1"/>
    <row r="29511" customFormat="1" ht="17.25" customHeight="1"/>
    <row r="29512" customFormat="1" ht="17.25" customHeight="1"/>
    <row r="29513" customFormat="1" ht="17.25" customHeight="1"/>
    <row r="29514" customFormat="1" ht="17.25" customHeight="1"/>
    <row r="29515" customFormat="1" ht="17.25" customHeight="1"/>
    <row r="29516" customFormat="1" ht="17.25" customHeight="1"/>
    <row r="29517" customFormat="1" ht="17.25" customHeight="1"/>
    <row r="29518" customFormat="1" ht="17.25" customHeight="1"/>
    <row r="29519" customFormat="1" ht="17.25" customHeight="1"/>
    <row r="29520" customFormat="1" ht="17.25" customHeight="1"/>
    <row r="29521" customFormat="1" ht="17.25" customHeight="1"/>
    <row r="29522" customFormat="1" ht="17.25" customHeight="1"/>
    <row r="29523" customFormat="1" ht="17.25" customHeight="1"/>
    <row r="29524" customFormat="1" ht="17.25" customHeight="1"/>
    <row r="29525" customFormat="1" ht="17.25" customHeight="1"/>
    <row r="29526" customFormat="1" ht="17.25" customHeight="1"/>
    <row r="29527" customFormat="1" ht="17.25" customHeight="1"/>
    <row r="29528" customFormat="1" ht="17.25" customHeight="1"/>
    <row r="29529" customFormat="1" ht="17.25" customHeight="1"/>
    <row r="29530" customFormat="1" ht="17.25" customHeight="1"/>
    <row r="29531" customFormat="1" ht="17.25" customHeight="1"/>
    <row r="29532" customFormat="1" ht="17.25" customHeight="1"/>
    <row r="29533" customFormat="1" ht="17.25" customHeight="1"/>
    <row r="29534" customFormat="1" ht="17.25" customHeight="1"/>
    <row r="29535" customFormat="1" ht="17.25" customHeight="1"/>
    <row r="29536" customFormat="1" ht="17.25" customHeight="1"/>
    <row r="29537" customFormat="1" ht="17.25" customHeight="1"/>
    <row r="29538" customFormat="1" ht="17.25" customHeight="1"/>
    <row r="29539" customFormat="1" ht="17.25" customHeight="1"/>
    <row r="29540" customFormat="1" ht="17.25" customHeight="1"/>
    <row r="29541" customFormat="1" ht="17.25" customHeight="1"/>
    <row r="29542" customFormat="1" ht="17.25" customHeight="1"/>
    <row r="29543" customFormat="1" ht="17.25" customHeight="1"/>
    <row r="29544" customFormat="1" ht="17.25" customHeight="1"/>
    <row r="29545" customFormat="1" ht="17.25" customHeight="1"/>
    <row r="29546" customFormat="1" ht="17.25" customHeight="1"/>
    <row r="29547" customFormat="1" ht="17.25" customHeight="1"/>
    <row r="29548" customFormat="1" ht="17.25" customHeight="1"/>
    <row r="29549" customFormat="1" ht="17.25" customHeight="1"/>
    <row r="29550" customFormat="1" ht="17.25" customHeight="1"/>
    <row r="29551" customFormat="1" ht="17.25" customHeight="1"/>
    <row r="29552" customFormat="1" ht="17.25" customHeight="1"/>
    <row r="29553" customFormat="1" ht="17.25" customHeight="1"/>
    <row r="29554" customFormat="1" ht="17.25" customHeight="1"/>
    <row r="29555" customFormat="1" ht="17.25" customHeight="1"/>
    <row r="29556" customFormat="1" ht="17.25" customHeight="1"/>
    <row r="29557" customFormat="1" ht="17.25" customHeight="1"/>
    <row r="29558" customFormat="1" ht="17.25" customHeight="1"/>
    <row r="29559" customFormat="1" ht="17.25" customHeight="1"/>
    <row r="29560" customFormat="1" ht="17.25" customHeight="1"/>
    <row r="29561" customFormat="1" ht="17.25" customHeight="1"/>
    <row r="29562" customFormat="1" ht="17.25" customHeight="1"/>
    <row r="29563" customFormat="1" ht="17.25" customHeight="1"/>
    <row r="29564" customFormat="1" ht="17.25" customHeight="1"/>
    <row r="29565" customFormat="1" ht="17.25" customHeight="1"/>
    <row r="29566" customFormat="1" ht="17.25" customHeight="1"/>
    <row r="29567" customFormat="1" ht="17.25" customHeight="1"/>
    <row r="29568" customFormat="1" ht="17.25" customHeight="1"/>
    <row r="29569" customFormat="1" ht="17.25" customHeight="1"/>
    <row r="29570" customFormat="1" ht="17.25" customHeight="1"/>
    <row r="29571" customFormat="1" ht="17.25" customHeight="1"/>
    <row r="29572" customFormat="1" ht="17.25" customHeight="1"/>
    <row r="29573" customFormat="1" ht="17.25" customHeight="1"/>
    <row r="29574" customFormat="1" ht="17.25" customHeight="1"/>
    <row r="29575" customFormat="1" ht="17.25" customHeight="1"/>
    <row r="29576" customFormat="1" ht="17.25" customHeight="1"/>
    <row r="29577" customFormat="1" ht="17.25" customHeight="1"/>
    <row r="29578" customFormat="1" ht="17.25" customHeight="1"/>
    <row r="29579" customFormat="1" ht="17.25" customHeight="1"/>
    <row r="29580" customFormat="1" ht="17.25" customHeight="1"/>
    <row r="29581" customFormat="1" ht="17.25" customHeight="1"/>
    <row r="29582" customFormat="1" ht="17.25" customHeight="1"/>
    <row r="29583" customFormat="1" ht="17.25" customHeight="1"/>
    <row r="29584" customFormat="1" ht="17.25" customHeight="1"/>
    <row r="29585" customFormat="1" ht="17.25" customHeight="1"/>
    <row r="29586" customFormat="1" ht="17.25" customHeight="1"/>
    <row r="29587" customFormat="1" ht="17.25" customHeight="1"/>
    <row r="29588" customFormat="1" ht="17.25" customHeight="1"/>
    <row r="29589" customFormat="1" ht="17.25" customHeight="1"/>
    <row r="29590" customFormat="1" ht="17.25" customHeight="1"/>
    <row r="29591" customFormat="1" ht="17.25" customHeight="1"/>
    <row r="29592" customFormat="1" ht="17.25" customHeight="1"/>
    <row r="29593" customFormat="1" ht="17.25" customHeight="1"/>
    <row r="29594" customFormat="1" ht="17.25" customHeight="1"/>
    <row r="29595" customFormat="1" ht="17.25" customHeight="1"/>
    <row r="29596" customFormat="1" ht="17.25" customHeight="1"/>
    <row r="29597" customFormat="1" ht="17.25" customHeight="1"/>
    <row r="29598" customFormat="1" ht="17.25" customHeight="1"/>
    <row r="29599" customFormat="1" ht="17.25" customHeight="1"/>
    <row r="29600" customFormat="1" ht="17.25" customHeight="1"/>
    <row r="29601" customFormat="1" ht="17.25" customHeight="1"/>
    <row r="29602" customFormat="1" ht="17.25" customHeight="1"/>
    <row r="29603" customFormat="1" ht="17.25" customHeight="1"/>
    <row r="29604" customFormat="1" ht="17.25" customHeight="1"/>
    <row r="29605" customFormat="1" ht="17.25" customHeight="1"/>
    <row r="29606" customFormat="1" ht="17.25" customHeight="1"/>
    <row r="29607" customFormat="1" ht="17.25" customHeight="1"/>
    <row r="29608" customFormat="1" ht="17.25" customHeight="1"/>
    <row r="29609" customFormat="1" ht="17.25" customHeight="1"/>
    <row r="29610" customFormat="1" ht="17.25" customHeight="1"/>
    <row r="29611" customFormat="1" ht="17.25" customHeight="1"/>
    <row r="29612" customFormat="1" ht="17.25" customHeight="1"/>
    <row r="29613" customFormat="1" ht="17.25" customHeight="1"/>
    <row r="29614" customFormat="1" ht="17.25" customHeight="1"/>
    <row r="29615" customFormat="1" ht="17.25" customHeight="1"/>
    <row r="29616" customFormat="1" ht="17.25" customHeight="1"/>
    <row r="29617" customFormat="1" ht="17.25" customHeight="1"/>
    <row r="29618" customFormat="1" ht="17.25" customHeight="1"/>
    <row r="29619" customFormat="1" ht="17.25" customHeight="1"/>
    <row r="29620" customFormat="1" ht="17.25" customHeight="1"/>
    <row r="29621" customFormat="1" ht="17.25" customHeight="1"/>
    <row r="29622" customFormat="1" ht="17.25" customHeight="1"/>
    <row r="29623" customFormat="1" ht="17.25" customHeight="1"/>
    <row r="29624" customFormat="1" ht="17.25" customHeight="1"/>
    <row r="29625" customFormat="1" ht="17.25" customHeight="1"/>
    <row r="29626" customFormat="1" ht="17.25" customHeight="1"/>
    <row r="29627" customFormat="1" ht="17.25" customHeight="1"/>
    <row r="29628" customFormat="1" ht="17.25" customHeight="1"/>
    <row r="29629" customFormat="1" ht="17.25" customHeight="1"/>
    <row r="29630" customFormat="1" ht="17.25" customHeight="1"/>
    <row r="29631" customFormat="1" ht="17.25" customHeight="1"/>
    <row r="29632" customFormat="1" ht="17.25" customHeight="1"/>
    <row r="29633" customFormat="1" ht="17.25" customHeight="1"/>
    <row r="29634" customFormat="1" ht="17.25" customHeight="1"/>
    <row r="29635" customFormat="1" ht="17.25" customHeight="1"/>
    <row r="29636" customFormat="1" ht="17.25" customHeight="1"/>
    <row r="29637" customFormat="1" ht="17.25" customHeight="1"/>
    <row r="29638" customFormat="1" ht="17.25" customHeight="1"/>
    <row r="29639" customFormat="1" ht="17.25" customHeight="1"/>
    <row r="29640" customFormat="1" ht="17.25" customHeight="1"/>
    <row r="29641" customFormat="1" ht="17.25" customHeight="1"/>
    <row r="29642" customFormat="1" ht="17.25" customHeight="1"/>
    <row r="29643" customFormat="1" ht="17.25" customHeight="1"/>
    <row r="29644" customFormat="1" ht="17.25" customHeight="1"/>
    <row r="29645" customFormat="1" ht="17.25" customHeight="1"/>
    <row r="29646" customFormat="1" ht="17.25" customHeight="1"/>
    <row r="29647" customFormat="1" ht="17.25" customHeight="1"/>
    <row r="29648" customFormat="1" ht="17.25" customHeight="1"/>
    <row r="29649" customFormat="1" ht="17.25" customHeight="1"/>
    <row r="29650" customFormat="1" ht="17.25" customHeight="1"/>
    <row r="29651" customFormat="1" ht="17.25" customHeight="1"/>
    <row r="29652" customFormat="1" ht="17.25" customHeight="1"/>
    <row r="29653" customFormat="1" ht="17.25" customHeight="1"/>
    <row r="29654" customFormat="1" ht="17.25" customHeight="1"/>
    <row r="29655" customFormat="1" ht="17.25" customHeight="1"/>
    <row r="29656" customFormat="1" ht="17.25" customHeight="1"/>
    <row r="29657" customFormat="1" ht="17.25" customHeight="1"/>
    <row r="29658" customFormat="1" ht="17.25" customHeight="1"/>
    <row r="29659" customFormat="1" ht="17.25" customHeight="1"/>
    <row r="29660" customFormat="1" ht="17.25" customHeight="1"/>
    <row r="29661" customFormat="1" ht="17.25" customHeight="1"/>
    <row r="29662" customFormat="1" ht="17.25" customHeight="1"/>
    <row r="29663" customFormat="1" ht="17.25" customHeight="1"/>
    <row r="29664" customFormat="1" ht="17.25" customHeight="1"/>
    <row r="29665" customFormat="1" ht="17.25" customHeight="1"/>
    <row r="29666" customFormat="1" ht="17.25" customHeight="1"/>
    <row r="29667" customFormat="1" ht="17.25" customHeight="1"/>
    <row r="29668" customFormat="1" ht="17.25" customHeight="1"/>
    <row r="29669" customFormat="1" ht="17.25" customHeight="1"/>
    <row r="29670" customFormat="1" ht="17.25" customHeight="1"/>
    <row r="29671" customFormat="1" ht="17.25" customHeight="1"/>
    <row r="29672" customFormat="1" ht="17.25" customHeight="1"/>
    <row r="29673" customFormat="1" ht="17.25" customHeight="1"/>
    <row r="29674" customFormat="1" ht="17.25" customHeight="1"/>
    <row r="29675" customFormat="1" ht="17.25" customHeight="1"/>
    <row r="29676" customFormat="1" ht="17.25" customHeight="1"/>
    <row r="29677" customFormat="1" ht="17.25" customHeight="1"/>
    <row r="29678" customFormat="1" ht="17.25" customHeight="1"/>
    <row r="29679" customFormat="1" ht="17.25" customHeight="1"/>
    <row r="29680" customFormat="1" ht="17.25" customHeight="1"/>
    <row r="29681" customFormat="1" ht="17.25" customHeight="1"/>
    <row r="29682" customFormat="1" ht="17.25" customHeight="1"/>
    <row r="29683" customFormat="1" ht="17.25" customHeight="1"/>
    <row r="29684" customFormat="1" ht="17.25" customHeight="1"/>
    <row r="29685" customFormat="1" ht="17.25" customHeight="1"/>
    <row r="29686" customFormat="1" ht="17.25" customHeight="1"/>
    <row r="29687" customFormat="1" ht="17.25" customHeight="1"/>
    <row r="29688" customFormat="1" ht="17.25" customHeight="1"/>
    <row r="29689" customFormat="1" ht="17.25" customHeight="1"/>
    <row r="29690" customFormat="1" ht="17.25" customHeight="1"/>
    <row r="29691" customFormat="1" ht="17.25" customHeight="1"/>
    <row r="29692" customFormat="1" ht="17.25" customHeight="1"/>
    <row r="29693" customFormat="1" ht="17.25" customHeight="1"/>
    <row r="29694" customFormat="1" ht="17.25" customHeight="1"/>
    <row r="29695" customFormat="1" ht="17.25" customHeight="1"/>
    <row r="29696" customFormat="1" ht="17.25" customHeight="1"/>
    <row r="29697" customFormat="1" ht="17.25" customHeight="1"/>
    <row r="29698" customFormat="1" ht="17.25" customHeight="1"/>
    <row r="29699" customFormat="1" ht="17.25" customHeight="1"/>
    <row r="29700" customFormat="1" ht="17.25" customHeight="1"/>
    <row r="29701" customFormat="1" ht="17.25" customHeight="1"/>
    <row r="29702" customFormat="1" ht="17.25" customHeight="1"/>
    <row r="29703" customFormat="1" ht="17.25" customHeight="1"/>
    <row r="29704" customFormat="1" ht="17.25" customHeight="1"/>
    <row r="29705" customFormat="1" ht="17.25" customHeight="1"/>
    <row r="29706" customFormat="1" ht="17.25" customHeight="1"/>
    <row r="29707" customFormat="1" ht="17.25" customHeight="1"/>
    <row r="29708" customFormat="1" ht="17.25" customHeight="1"/>
    <row r="29709" customFormat="1" ht="17.25" customHeight="1"/>
    <row r="29710" customFormat="1" ht="17.25" customHeight="1"/>
    <row r="29711" customFormat="1" ht="17.25" customHeight="1"/>
    <row r="29712" customFormat="1" ht="17.25" customHeight="1"/>
    <row r="29713" customFormat="1" ht="17.25" customHeight="1"/>
    <row r="29714" customFormat="1" ht="17.25" customHeight="1"/>
    <row r="29715" customFormat="1" ht="17.25" customHeight="1"/>
    <row r="29716" customFormat="1" ht="17.25" customHeight="1"/>
    <row r="29717" customFormat="1" ht="17.25" customHeight="1"/>
    <row r="29718" customFormat="1" ht="17.25" customHeight="1"/>
    <row r="29719" customFormat="1" ht="17.25" customHeight="1"/>
    <row r="29720" customFormat="1" ht="17.25" customHeight="1"/>
    <row r="29721" customFormat="1" ht="17.25" customHeight="1"/>
    <row r="29722" customFormat="1" ht="17.25" customHeight="1"/>
    <row r="29723" customFormat="1" ht="17.25" customHeight="1"/>
    <row r="29724" customFormat="1" ht="17.25" customHeight="1"/>
    <row r="29725" customFormat="1" ht="17.25" customHeight="1"/>
    <row r="29726" customFormat="1" ht="17.25" customHeight="1"/>
    <row r="29727" customFormat="1" ht="17.25" customHeight="1"/>
    <row r="29728" customFormat="1" ht="17.25" customHeight="1"/>
    <row r="29729" customFormat="1" ht="17.25" customHeight="1"/>
    <row r="29730" customFormat="1" ht="17.25" customHeight="1"/>
    <row r="29731" customFormat="1" ht="17.25" customHeight="1"/>
    <row r="29732" customFormat="1" ht="17.25" customHeight="1"/>
    <row r="29733" customFormat="1" ht="17.25" customHeight="1"/>
    <row r="29734" customFormat="1" ht="17.25" customHeight="1"/>
    <row r="29735" customFormat="1" ht="17.25" customHeight="1"/>
    <row r="29736" customFormat="1" ht="17.25" customHeight="1"/>
    <row r="29737" customFormat="1" ht="17.25" customHeight="1"/>
    <row r="29738" customFormat="1" ht="17.25" customHeight="1"/>
    <row r="29739" customFormat="1" ht="17.25" customHeight="1"/>
    <row r="29740" customFormat="1" ht="17.25" customHeight="1"/>
    <row r="29741" customFormat="1" ht="17.25" customHeight="1"/>
    <row r="29742" customFormat="1" ht="17.25" customHeight="1"/>
    <row r="29743" customFormat="1" ht="17.25" customHeight="1"/>
    <row r="29744" customFormat="1" ht="17.25" customHeight="1"/>
    <row r="29745" customFormat="1" ht="17.25" customHeight="1"/>
    <row r="29746" customFormat="1" ht="17.25" customHeight="1"/>
    <row r="29747" customFormat="1" ht="17.25" customHeight="1"/>
    <row r="29748" customFormat="1" ht="17.25" customHeight="1"/>
    <row r="29749" customFormat="1" ht="17.25" customHeight="1"/>
    <row r="29750" customFormat="1" ht="17.25" customHeight="1"/>
    <row r="29751" customFormat="1" ht="17.25" customHeight="1"/>
    <row r="29752" customFormat="1" ht="17.25" customHeight="1"/>
    <row r="29753" customFormat="1" ht="17.25" customHeight="1"/>
    <row r="29754" customFormat="1" ht="17.25" customHeight="1"/>
    <row r="29755" customFormat="1" ht="17.25" customHeight="1"/>
    <row r="29756" customFormat="1" ht="17.25" customHeight="1"/>
    <row r="29757" customFormat="1" ht="17.25" customHeight="1"/>
    <row r="29758" customFormat="1" ht="17.25" customHeight="1"/>
    <row r="29759" customFormat="1" ht="17.25" customHeight="1"/>
    <row r="29760" customFormat="1" ht="17.25" customHeight="1"/>
    <row r="29761" customFormat="1" ht="17.25" customHeight="1"/>
    <row r="29762" customFormat="1" ht="17.25" customHeight="1"/>
    <row r="29763" customFormat="1" ht="17.25" customHeight="1"/>
    <row r="29764" customFormat="1" ht="17.25" customHeight="1"/>
    <row r="29765" customFormat="1" ht="17.25" customHeight="1"/>
    <row r="29766" customFormat="1" ht="17.25" customHeight="1"/>
    <row r="29767" customFormat="1" ht="17.25" customHeight="1"/>
    <row r="29768" customFormat="1" ht="17.25" customHeight="1"/>
    <row r="29769" customFormat="1" ht="17.25" customHeight="1"/>
    <row r="29770" customFormat="1" ht="17.25" customHeight="1"/>
    <row r="29771" customFormat="1" ht="17.25" customHeight="1"/>
    <row r="29772" customFormat="1" ht="17.25" customHeight="1"/>
    <row r="29773" customFormat="1" ht="17.25" customHeight="1"/>
    <row r="29774" customFormat="1" ht="17.25" customHeight="1"/>
    <row r="29775" customFormat="1" ht="17.25" customHeight="1"/>
    <row r="29776" customFormat="1" ht="17.25" customHeight="1"/>
    <row r="29777" customFormat="1" ht="17.25" customHeight="1"/>
    <row r="29778" customFormat="1" ht="17.25" customHeight="1"/>
    <row r="29779" customFormat="1" ht="17.25" customHeight="1"/>
    <row r="29780" customFormat="1" ht="17.25" customHeight="1"/>
    <row r="29781" customFormat="1" ht="17.25" customHeight="1"/>
    <row r="29782" customFormat="1" ht="17.25" customHeight="1"/>
    <row r="29783" customFormat="1" ht="17.25" customHeight="1"/>
    <row r="29784" customFormat="1" ht="17.25" customHeight="1"/>
    <row r="29785" customFormat="1" ht="17.25" customHeight="1"/>
    <row r="29786" customFormat="1" ht="17.25" customHeight="1"/>
    <row r="29787" customFormat="1" ht="17.25" customHeight="1"/>
    <row r="29788" customFormat="1" ht="17.25" customHeight="1"/>
    <row r="29789" customFormat="1" ht="17.25" customHeight="1"/>
    <row r="29790" customFormat="1" ht="17.25" customHeight="1"/>
    <row r="29791" customFormat="1" ht="17.25" customHeight="1"/>
    <row r="29792" customFormat="1" ht="17.25" customHeight="1"/>
    <row r="29793" customFormat="1" ht="17.25" customHeight="1"/>
    <row r="29794" customFormat="1" ht="17.25" customHeight="1"/>
    <row r="29795" customFormat="1" ht="17.25" customHeight="1"/>
    <row r="29796" customFormat="1" ht="17.25" customHeight="1"/>
    <row r="29797" customFormat="1" ht="17.25" customHeight="1"/>
    <row r="29798" customFormat="1" ht="17.25" customHeight="1"/>
    <row r="29799" customFormat="1" ht="17.25" customHeight="1"/>
    <row r="29800" customFormat="1" ht="17.25" customHeight="1"/>
    <row r="29801" customFormat="1" ht="17.25" customHeight="1"/>
    <row r="29802" customFormat="1" ht="17.25" customHeight="1"/>
    <row r="29803" customFormat="1" ht="17.25" customHeight="1"/>
    <row r="29804" customFormat="1" ht="17.25" customHeight="1"/>
    <row r="29805" customFormat="1" ht="17.25" customHeight="1"/>
    <row r="29806" customFormat="1" ht="17.25" customHeight="1"/>
    <row r="29807" customFormat="1" ht="17.25" customHeight="1"/>
    <row r="29808" customFormat="1" ht="17.25" customHeight="1"/>
    <row r="29809" customFormat="1" ht="17.25" customHeight="1"/>
    <row r="29810" customFormat="1" ht="17.25" customHeight="1"/>
    <row r="29811" customFormat="1" ht="17.25" customHeight="1"/>
    <row r="29812" customFormat="1" ht="17.25" customHeight="1"/>
    <row r="29813" customFormat="1" ht="17.25" customHeight="1"/>
    <row r="29814" customFormat="1" ht="17.25" customHeight="1"/>
    <row r="29815" customFormat="1" ht="17.25" customHeight="1"/>
    <row r="29816" customFormat="1" ht="17.25" customHeight="1"/>
    <row r="29817" customFormat="1" ht="17.25" customHeight="1"/>
    <row r="29818" customFormat="1" ht="17.25" customHeight="1"/>
    <row r="29819" customFormat="1" ht="17.25" customHeight="1"/>
    <row r="29820" customFormat="1" ht="17.25" customHeight="1"/>
    <row r="29821" customFormat="1" ht="17.25" customHeight="1"/>
    <row r="29822" customFormat="1" ht="17.25" customHeight="1"/>
    <row r="29823" customFormat="1" ht="17.25" customHeight="1"/>
    <row r="29824" customFormat="1" ht="17.25" customHeight="1"/>
    <row r="29825" customFormat="1" ht="17.25" customHeight="1"/>
    <row r="29826" customFormat="1" ht="17.25" customHeight="1"/>
    <row r="29827" customFormat="1" ht="17.25" customHeight="1"/>
    <row r="29828" customFormat="1" ht="17.25" customHeight="1"/>
    <row r="29829" customFormat="1" ht="17.25" customHeight="1"/>
    <row r="29830" customFormat="1" ht="17.25" customHeight="1"/>
    <row r="29831" customFormat="1" ht="17.25" customHeight="1"/>
    <row r="29832" customFormat="1" ht="17.25" customHeight="1"/>
    <row r="29833" customFormat="1" ht="17.25" customHeight="1"/>
    <row r="29834" customFormat="1" ht="17.25" customHeight="1"/>
    <row r="29835" customFormat="1" ht="17.25" customHeight="1"/>
    <row r="29836" customFormat="1" ht="17.25" customHeight="1"/>
    <row r="29837" customFormat="1" ht="17.25" customHeight="1"/>
    <row r="29838" customFormat="1" ht="17.25" customHeight="1"/>
    <row r="29839" customFormat="1" ht="17.25" customHeight="1"/>
    <row r="29840" customFormat="1" ht="17.25" customHeight="1"/>
    <row r="29841" customFormat="1" ht="17.25" customHeight="1"/>
    <row r="29842" customFormat="1" ht="17.25" customHeight="1"/>
    <row r="29843" customFormat="1" ht="17.25" customHeight="1"/>
    <row r="29844" customFormat="1" ht="17.25" customHeight="1"/>
    <row r="29845" customFormat="1" ht="17.25" customHeight="1"/>
    <row r="29846" customFormat="1" ht="17.25" customHeight="1"/>
    <row r="29847" customFormat="1" ht="17.25" customHeight="1"/>
    <row r="29848" customFormat="1" ht="17.25" customHeight="1"/>
    <row r="29849" customFormat="1" ht="17.25" customHeight="1"/>
    <row r="29850" customFormat="1" ht="17.25" customHeight="1"/>
    <row r="29851" customFormat="1" ht="17.25" customHeight="1"/>
    <row r="29852" customFormat="1" ht="17.25" customHeight="1"/>
    <row r="29853" customFormat="1" ht="17.25" customHeight="1"/>
    <row r="29854" customFormat="1" ht="17.25" customHeight="1"/>
    <row r="29855" customFormat="1" ht="17.25" customHeight="1"/>
    <row r="29856" customFormat="1" ht="17.25" customHeight="1"/>
    <row r="29857" customFormat="1" ht="17.25" customHeight="1"/>
    <row r="29858" customFormat="1" ht="17.25" customHeight="1"/>
    <row r="29859" customFormat="1" ht="17.25" customHeight="1"/>
    <row r="29860" customFormat="1" ht="17.25" customHeight="1"/>
    <row r="29861" customFormat="1" ht="17.25" customHeight="1"/>
    <row r="29862" customFormat="1" ht="17.25" customHeight="1"/>
    <row r="29863" customFormat="1" ht="17.25" customHeight="1"/>
    <row r="29864" customFormat="1" ht="17.25" customHeight="1"/>
    <row r="29865" customFormat="1" ht="17.25" customHeight="1"/>
    <row r="29866" customFormat="1" ht="17.25" customHeight="1"/>
    <row r="29867" customFormat="1" ht="17.25" customHeight="1"/>
    <row r="29868" customFormat="1" ht="17.25" customHeight="1"/>
    <row r="29869" customFormat="1" ht="17.25" customHeight="1"/>
    <row r="29870" customFormat="1" ht="17.25" customHeight="1"/>
    <row r="29871" customFormat="1" ht="17.25" customHeight="1"/>
    <row r="29872" customFormat="1" ht="17.25" customHeight="1"/>
    <row r="29873" customFormat="1" ht="17.25" customHeight="1"/>
    <row r="29874" customFormat="1" ht="17.25" customHeight="1"/>
    <row r="29875" customFormat="1" ht="17.25" customHeight="1"/>
    <row r="29876" customFormat="1" ht="17.25" customHeight="1"/>
    <row r="29877" customFormat="1" ht="17.25" customHeight="1"/>
    <row r="29878" customFormat="1" ht="17.25" customHeight="1"/>
    <row r="29879" customFormat="1" ht="17.25" customHeight="1"/>
    <row r="29880" customFormat="1" ht="17.25" customHeight="1"/>
    <row r="29881" customFormat="1" ht="17.25" customHeight="1"/>
    <row r="29882" customFormat="1" ht="17.25" customHeight="1"/>
    <row r="29883" customFormat="1" ht="17.25" customHeight="1"/>
    <row r="29884" customFormat="1" ht="17.25" customHeight="1"/>
    <row r="29885" customFormat="1" ht="17.25" customHeight="1"/>
    <row r="29886" customFormat="1" ht="17.25" customHeight="1"/>
    <row r="29887" customFormat="1" ht="17.25" customHeight="1"/>
    <row r="29888" customFormat="1" ht="17.25" customHeight="1"/>
    <row r="29889" customFormat="1" ht="17.25" customHeight="1"/>
    <row r="29890" customFormat="1" ht="17.25" customHeight="1"/>
    <row r="29891" customFormat="1" ht="17.25" customHeight="1"/>
    <row r="29892" customFormat="1" ht="17.25" customHeight="1"/>
    <row r="29893" customFormat="1" ht="17.25" customHeight="1"/>
    <row r="29894" customFormat="1" ht="17.25" customHeight="1"/>
    <row r="29895" customFormat="1" ht="17.25" customHeight="1"/>
    <row r="29896" customFormat="1" ht="17.25" customHeight="1"/>
    <row r="29897" customFormat="1" ht="17.25" customHeight="1"/>
    <row r="29898" customFormat="1" ht="17.25" customHeight="1"/>
    <row r="29899" customFormat="1" ht="17.25" customHeight="1"/>
    <row r="29900" customFormat="1" ht="17.25" customHeight="1"/>
    <row r="29901" customFormat="1" ht="17.25" customHeight="1"/>
    <row r="29902" customFormat="1" ht="17.25" customHeight="1"/>
    <row r="29903" customFormat="1" ht="17.25" customHeight="1"/>
    <row r="29904" customFormat="1" ht="17.25" customHeight="1"/>
    <row r="29905" customFormat="1" ht="17.25" customHeight="1"/>
    <row r="29906" customFormat="1" ht="17.25" customHeight="1"/>
    <row r="29907" customFormat="1" ht="17.25" customHeight="1"/>
    <row r="29908" customFormat="1" ht="17.25" customHeight="1"/>
    <row r="29909" customFormat="1" ht="17.25" customHeight="1"/>
    <row r="29910" customFormat="1" ht="17.25" customHeight="1"/>
    <row r="29911" customFormat="1" ht="17.25" customHeight="1"/>
    <row r="29912" customFormat="1" ht="17.25" customHeight="1"/>
    <row r="29913" customFormat="1" ht="17.25" customHeight="1"/>
    <row r="29914" customFormat="1" ht="17.25" customHeight="1"/>
    <row r="29915" customFormat="1" ht="17.25" customHeight="1"/>
    <row r="29916" customFormat="1" ht="17.25" customHeight="1"/>
    <row r="29917" customFormat="1" ht="17.25" customHeight="1"/>
    <row r="29918" customFormat="1" ht="17.25" customHeight="1"/>
    <row r="29919" customFormat="1" ht="17.25" customHeight="1"/>
    <row r="29920" customFormat="1" ht="17.25" customHeight="1"/>
    <row r="29921" customFormat="1" ht="17.25" customHeight="1"/>
    <row r="29922" customFormat="1" ht="17.25" customHeight="1"/>
    <row r="29923" customFormat="1" ht="17.25" customHeight="1"/>
    <row r="29924" customFormat="1" ht="17.25" customHeight="1"/>
    <row r="29925" customFormat="1" ht="17.25" customHeight="1"/>
    <row r="29926" customFormat="1" ht="17.25" customHeight="1"/>
    <row r="29927" customFormat="1" ht="17.25" customHeight="1"/>
    <row r="29928" customFormat="1" ht="17.25" customHeight="1"/>
    <row r="29929" customFormat="1" ht="17.25" customHeight="1"/>
    <row r="29930" customFormat="1" ht="17.25" customHeight="1"/>
    <row r="29931" customFormat="1" ht="17.25" customHeight="1"/>
    <row r="29932" customFormat="1" ht="17.25" customHeight="1"/>
    <row r="29933" customFormat="1" ht="17.25" customHeight="1"/>
    <row r="29934" customFormat="1" ht="17.25" customHeight="1"/>
    <row r="29935" customFormat="1" ht="17.25" customHeight="1"/>
    <row r="29936" customFormat="1" ht="17.25" customHeight="1"/>
    <row r="29937" customFormat="1" ht="17.25" customHeight="1"/>
    <row r="29938" customFormat="1" ht="17.25" customHeight="1"/>
    <row r="29939" customFormat="1" ht="17.25" customHeight="1"/>
    <row r="29940" customFormat="1" ht="17.25" customHeight="1"/>
    <row r="29941" customFormat="1" ht="17.25" customHeight="1"/>
    <row r="29942" customFormat="1" ht="17.25" customHeight="1"/>
    <row r="29943" customFormat="1" ht="17.25" customHeight="1"/>
    <row r="29944" customFormat="1" ht="17.25" customHeight="1"/>
    <row r="29945" customFormat="1" ht="17.25" customHeight="1"/>
    <row r="29946" customFormat="1" ht="17.25" customHeight="1"/>
    <row r="29947" customFormat="1" ht="17.25" customHeight="1"/>
    <row r="29948" customFormat="1" ht="17.25" customHeight="1"/>
    <row r="29949" customFormat="1" ht="17.25" customHeight="1"/>
    <row r="29950" customFormat="1" ht="17.25" customHeight="1"/>
    <row r="29951" customFormat="1" ht="17.25" customHeight="1"/>
    <row r="29952" customFormat="1" ht="17.25" customHeight="1"/>
    <row r="29953" customFormat="1" ht="17.25" customHeight="1"/>
    <row r="29954" customFormat="1" ht="17.25" customHeight="1"/>
    <row r="29955" customFormat="1" ht="17.25" customHeight="1"/>
    <row r="29956" customFormat="1" ht="17.25" customHeight="1"/>
    <row r="29957" customFormat="1" ht="17.25" customHeight="1"/>
    <row r="29958" customFormat="1" ht="17.25" customHeight="1"/>
    <row r="29959" customFormat="1" ht="17.25" customHeight="1"/>
    <row r="29960" customFormat="1" ht="17.25" customHeight="1"/>
    <row r="29961" customFormat="1" ht="17.25" customHeight="1"/>
    <row r="29962" customFormat="1" ht="17.25" customHeight="1"/>
    <row r="29963" customFormat="1" ht="17.25" customHeight="1"/>
    <row r="29964" customFormat="1" ht="17.25" customHeight="1"/>
    <row r="29965" customFormat="1" ht="17.25" customHeight="1"/>
    <row r="29966" customFormat="1" ht="17.25" customHeight="1"/>
    <row r="29967" customFormat="1" ht="17.25" customHeight="1"/>
    <row r="29968" customFormat="1" ht="17.25" customHeight="1"/>
    <row r="29969" customFormat="1" ht="17.25" customHeight="1"/>
    <row r="29970" customFormat="1" ht="17.25" customHeight="1"/>
    <row r="29971" customFormat="1" ht="17.25" customHeight="1"/>
    <row r="29972" customFormat="1" ht="17.25" customHeight="1"/>
    <row r="29973" customFormat="1" ht="17.25" customHeight="1"/>
    <row r="29974" customFormat="1" ht="17.25" customHeight="1"/>
    <row r="29975" customFormat="1" ht="17.25" customHeight="1"/>
    <row r="29976" customFormat="1" ht="17.25" customHeight="1"/>
    <row r="29977" customFormat="1" ht="17.25" customHeight="1"/>
    <row r="29978" customFormat="1" ht="17.25" customHeight="1"/>
    <row r="29979" customFormat="1" ht="17.25" customHeight="1"/>
    <row r="29980" customFormat="1" ht="17.25" customHeight="1"/>
    <row r="29981" customFormat="1" ht="17.25" customHeight="1"/>
    <row r="29982" customFormat="1" ht="17.25" customHeight="1"/>
    <row r="29983" customFormat="1" ht="17.25" customHeight="1"/>
    <row r="29984" customFormat="1" ht="17.25" customHeight="1"/>
    <row r="29985" customFormat="1" ht="17.25" customHeight="1"/>
    <row r="29986" customFormat="1" ht="17.25" customHeight="1"/>
    <row r="29987" customFormat="1" ht="17.25" customHeight="1"/>
    <row r="29988" customFormat="1" ht="17.25" customHeight="1"/>
    <row r="29989" customFormat="1" ht="17.25" customHeight="1"/>
    <row r="29990" customFormat="1" ht="17.25" customHeight="1"/>
    <row r="29991" customFormat="1" ht="17.25" customHeight="1"/>
    <row r="29992" customFormat="1" ht="17.25" customHeight="1"/>
    <row r="29993" customFormat="1" ht="17.25" customHeight="1"/>
    <row r="29994" customFormat="1" ht="17.25" customHeight="1"/>
    <row r="29995" customFormat="1" ht="17.25" customHeight="1"/>
    <row r="29996" customFormat="1" ht="17.25" customHeight="1"/>
    <row r="29997" customFormat="1" ht="17.25" customHeight="1"/>
    <row r="29998" customFormat="1" ht="17.25" customHeight="1"/>
    <row r="29999" customFormat="1" ht="17.25" customHeight="1"/>
    <row r="30000" customFormat="1" ht="17.25" customHeight="1"/>
    <row r="30001" customFormat="1" ht="17.25" customHeight="1"/>
    <row r="30002" customFormat="1" ht="17.25" customHeight="1"/>
    <row r="30003" customFormat="1" ht="17.25" customHeight="1"/>
    <row r="30004" customFormat="1" ht="17.25" customHeight="1"/>
    <row r="30005" customFormat="1" ht="17.25" customHeight="1"/>
    <row r="30006" customFormat="1" ht="17.25" customHeight="1"/>
    <row r="30007" customFormat="1" ht="17.25" customHeight="1"/>
    <row r="30008" customFormat="1" ht="17.25" customHeight="1"/>
    <row r="30009" customFormat="1" ht="17.25" customHeight="1"/>
    <row r="30010" customFormat="1" ht="17.25" customHeight="1"/>
    <row r="30011" customFormat="1" ht="17.25" customHeight="1"/>
    <row r="30012" customFormat="1" ht="17.25" customHeight="1"/>
    <row r="30013" customFormat="1" ht="17.25" customHeight="1"/>
    <row r="30014" customFormat="1" ht="17.25" customHeight="1"/>
    <row r="30015" customFormat="1" ht="17.25" customHeight="1"/>
    <row r="30016" customFormat="1" ht="17.25" customHeight="1"/>
    <row r="30017" customFormat="1" ht="17.25" customHeight="1"/>
    <row r="30018" customFormat="1" ht="17.25" customHeight="1"/>
    <row r="30019" customFormat="1" ht="17.25" customHeight="1"/>
    <row r="30020" customFormat="1" ht="17.25" customHeight="1"/>
    <row r="30021" customFormat="1" ht="17.25" customHeight="1"/>
    <row r="30022" customFormat="1" ht="17.25" customHeight="1"/>
    <row r="30023" customFormat="1" ht="17.25" customHeight="1"/>
    <row r="30024" customFormat="1" ht="17.25" customHeight="1"/>
    <row r="30025" customFormat="1" ht="17.25" customHeight="1"/>
    <row r="30026" customFormat="1" ht="17.25" customHeight="1"/>
    <row r="30027" customFormat="1" ht="17.25" customHeight="1"/>
    <row r="30028" customFormat="1" ht="17.25" customHeight="1"/>
    <row r="30029" customFormat="1" ht="17.25" customHeight="1"/>
    <row r="30030" customFormat="1" ht="17.25" customHeight="1"/>
    <row r="30031" customFormat="1" ht="17.25" customHeight="1"/>
    <row r="30032" customFormat="1" ht="17.25" customHeight="1"/>
    <row r="30033" customFormat="1" ht="17.25" customHeight="1"/>
    <row r="30034" customFormat="1" ht="17.25" customHeight="1"/>
    <row r="30035" customFormat="1" ht="17.25" customHeight="1"/>
    <row r="30036" customFormat="1" ht="17.25" customHeight="1"/>
    <row r="30037" customFormat="1" ht="17.25" customHeight="1"/>
    <row r="30038" customFormat="1" ht="17.25" customHeight="1"/>
    <row r="30039" customFormat="1" ht="17.25" customHeight="1"/>
    <row r="30040" customFormat="1" ht="17.25" customHeight="1"/>
    <row r="30041" customFormat="1" ht="17.25" customHeight="1"/>
    <row r="30042" customFormat="1" ht="17.25" customHeight="1"/>
    <row r="30043" customFormat="1" ht="17.25" customHeight="1"/>
    <row r="30044" customFormat="1" ht="17.25" customHeight="1"/>
    <row r="30045" customFormat="1" ht="17.25" customHeight="1"/>
    <row r="30046" customFormat="1" ht="17.25" customHeight="1"/>
    <row r="30047" customFormat="1" ht="17.25" customHeight="1"/>
    <row r="30048" customFormat="1" ht="17.25" customHeight="1"/>
    <row r="30049" customFormat="1" ht="17.25" customHeight="1"/>
    <row r="30050" customFormat="1" ht="17.25" customHeight="1"/>
    <row r="30051" customFormat="1" ht="17.25" customHeight="1"/>
    <row r="30052" customFormat="1" ht="17.25" customHeight="1"/>
    <row r="30053" customFormat="1" ht="17.25" customHeight="1"/>
    <row r="30054" customFormat="1" ht="17.25" customHeight="1"/>
    <row r="30055" customFormat="1" ht="17.25" customHeight="1"/>
    <row r="30056" customFormat="1" ht="17.25" customHeight="1"/>
    <row r="30057" customFormat="1" ht="17.25" customHeight="1"/>
    <row r="30058" customFormat="1" ht="17.25" customHeight="1"/>
    <row r="30059" customFormat="1" ht="17.25" customHeight="1"/>
    <row r="30060" customFormat="1" ht="17.25" customHeight="1"/>
    <row r="30061" customFormat="1" ht="17.25" customHeight="1"/>
    <row r="30062" customFormat="1" ht="17.25" customHeight="1"/>
    <row r="30063" customFormat="1" ht="17.25" customHeight="1"/>
    <row r="30064" customFormat="1" ht="17.25" customHeight="1"/>
    <row r="30065" customFormat="1" ht="17.25" customHeight="1"/>
    <row r="30066" customFormat="1" ht="17.25" customHeight="1"/>
    <row r="30067" customFormat="1" ht="17.25" customHeight="1"/>
    <row r="30068" customFormat="1" ht="17.25" customHeight="1"/>
    <row r="30069" customFormat="1" ht="17.25" customHeight="1"/>
    <row r="30070" customFormat="1" ht="17.25" customHeight="1"/>
    <row r="30071" customFormat="1" ht="17.25" customHeight="1"/>
    <row r="30072" customFormat="1" ht="17.25" customHeight="1"/>
    <row r="30073" customFormat="1" ht="17.25" customHeight="1"/>
    <row r="30074" customFormat="1" ht="17.25" customHeight="1"/>
    <row r="30075" customFormat="1" ht="17.25" customHeight="1"/>
    <row r="30076" customFormat="1" ht="17.25" customHeight="1"/>
    <row r="30077" customFormat="1" ht="17.25" customHeight="1"/>
    <row r="30078" customFormat="1" ht="17.25" customHeight="1"/>
    <row r="30079" customFormat="1" ht="17.25" customHeight="1"/>
    <row r="30080" customFormat="1" ht="17.25" customHeight="1"/>
    <row r="30081" customFormat="1" ht="17.25" customHeight="1"/>
    <row r="30082" customFormat="1" ht="17.25" customHeight="1"/>
    <row r="30083" customFormat="1" ht="17.25" customHeight="1"/>
    <row r="30084" customFormat="1" ht="17.25" customHeight="1"/>
    <row r="30085" customFormat="1" ht="17.25" customHeight="1"/>
    <row r="30086" customFormat="1" ht="17.25" customHeight="1"/>
    <row r="30087" customFormat="1" ht="17.25" customHeight="1"/>
    <row r="30088" customFormat="1" ht="17.25" customHeight="1"/>
    <row r="30089" customFormat="1" ht="17.25" customHeight="1"/>
    <row r="30090" customFormat="1" ht="17.25" customHeight="1"/>
    <row r="30091" customFormat="1" ht="17.25" customHeight="1"/>
    <row r="30092" customFormat="1" ht="17.25" customHeight="1"/>
    <row r="30093" customFormat="1" ht="17.25" customHeight="1"/>
    <row r="30094" customFormat="1" ht="17.25" customHeight="1"/>
    <row r="30095" customFormat="1" ht="17.25" customHeight="1"/>
    <row r="30096" customFormat="1" ht="17.25" customHeight="1"/>
    <row r="30097" customFormat="1" ht="17.25" customHeight="1"/>
    <row r="30098" customFormat="1" ht="17.25" customHeight="1"/>
    <row r="30099" customFormat="1" ht="17.25" customHeight="1"/>
    <row r="30100" customFormat="1" ht="17.25" customHeight="1"/>
    <row r="30101" customFormat="1" ht="17.25" customHeight="1"/>
    <row r="30102" customFormat="1" ht="17.25" customHeight="1"/>
    <row r="30103" customFormat="1" ht="17.25" customHeight="1"/>
    <row r="30104" customFormat="1" ht="17.25" customHeight="1"/>
    <row r="30105" customFormat="1" ht="17.25" customHeight="1"/>
    <row r="30106" customFormat="1" ht="17.25" customHeight="1"/>
    <row r="30107" customFormat="1" ht="17.25" customHeight="1"/>
    <row r="30108" customFormat="1" ht="17.25" customHeight="1"/>
    <row r="30109" customFormat="1" ht="17.25" customHeight="1"/>
    <row r="30110" customFormat="1" ht="17.25" customHeight="1"/>
    <row r="30111" customFormat="1" ht="17.25" customHeight="1"/>
    <row r="30112" customFormat="1" ht="17.25" customHeight="1"/>
    <row r="30113" customFormat="1" ht="17.25" customHeight="1"/>
    <row r="30114" customFormat="1" ht="17.25" customHeight="1"/>
    <row r="30115" customFormat="1" ht="17.25" customHeight="1"/>
    <row r="30116" customFormat="1" ht="17.25" customHeight="1"/>
    <row r="30117" customFormat="1" ht="17.25" customHeight="1"/>
    <row r="30118" customFormat="1" ht="17.25" customHeight="1"/>
    <row r="30119" customFormat="1" ht="17.25" customHeight="1"/>
    <row r="30120" customFormat="1" ht="17.25" customHeight="1"/>
    <row r="30121" customFormat="1" ht="17.25" customHeight="1"/>
    <row r="30122" customFormat="1" ht="17.25" customHeight="1"/>
    <row r="30123" customFormat="1" ht="17.25" customHeight="1"/>
    <row r="30124" customFormat="1" ht="17.25" customHeight="1"/>
    <row r="30125" customFormat="1" ht="17.25" customHeight="1"/>
    <row r="30126" customFormat="1" ht="17.25" customHeight="1"/>
    <row r="30127" customFormat="1" ht="17.25" customHeight="1"/>
    <row r="30128" customFormat="1" ht="17.25" customHeight="1"/>
    <row r="30129" customFormat="1" ht="17.25" customHeight="1"/>
    <row r="30130" customFormat="1" ht="17.25" customHeight="1"/>
    <row r="30131" customFormat="1" ht="17.25" customHeight="1"/>
    <row r="30132" customFormat="1" ht="17.25" customHeight="1"/>
    <row r="30133" customFormat="1" ht="17.25" customHeight="1"/>
    <row r="30134" customFormat="1" ht="17.25" customHeight="1"/>
    <row r="30135" customFormat="1" ht="17.25" customHeight="1"/>
    <row r="30136" customFormat="1" ht="17.25" customHeight="1"/>
    <row r="30137" customFormat="1" ht="17.25" customHeight="1"/>
    <row r="30138" customFormat="1" ht="17.25" customHeight="1"/>
    <row r="30139" customFormat="1" ht="17.25" customHeight="1"/>
    <row r="30140" customFormat="1" ht="17.25" customHeight="1"/>
    <row r="30141" customFormat="1" ht="17.25" customHeight="1"/>
    <row r="30142" customFormat="1" ht="17.25" customHeight="1"/>
    <row r="30143" customFormat="1" ht="17.25" customHeight="1"/>
    <row r="30144" customFormat="1" ht="17.25" customHeight="1"/>
    <row r="30145" customFormat="1" ht="17.25" customHeight="1"/>
    <row r="30146" customFormat="1" ht="17.25" customHeight="1"/>
    <row r="30147" customFormat="1" ht="17.25" customHeight="1"/>
    <row r="30148" customFormat="1" ht="17.25" customHeight="1"/>
    <row r="30149" customFormat="1" ht="17.25" customHeight="1"/>
    <row r="30150" customFormat="1" ht="17.25" customHeight="1"/>
    <row r="30151" customFormat="1" ht="17.25" customHeight="1"/>
    <row r="30152" customFormat="1" ht="17.25" customHeight="1"/>
    <row r="30153" customFormat="1" ht="17.25" customHeight="1"/>
    <row r="30154" customFormat="1" ht="17.25" customHeight="1"/>
    <row r="30155" customFormat="1" ht="17.25" customHeight="1"/>
    <row r="30156" customFormat="1" ht="17.25" customHeight="1"/>
    <row r="30157" customFormat="1" ht="17.25" customHeight="1"/>
    <row r="30158" customFormat="1" ht="17.25" customHeight="1"/>
    <row r="30159" customFormat="1" ht="17.25" customHeight="1"/>
    <row r="30160" customFormat="1" ht="17.25" customHeight="1"/>
    <row r="30161" customFormat="1" ht="17.25" customHeight="1"/>
    <row r="30162" customFormat="1" ht="17.25" customHeight="1"/>
    <row r="30163" customFormat="1" ht="17.25" customHeight="1"/>
    <row r="30164" customFormat="1" ht="17.25" customHeight="1"/>
    <row r="30165" customFormat="1" ht="17.25" customHeight="1"/>
    <row r="30166" customFormat="1" ht="17.25" customHeight="1"/>
    <row r="30167" customFormat="1" ht="17.25" customHeight="1"/>
    <row r="30168" customFormat="1" ht="17.25" customHeight="1"/>
    <row r="30169" customFormat="1" ht="17.25" customHeight="1"/>
    <row r="30170" customFormat="1" ht="17.25" customHeight="1"/>
    <row r="30171" customFormat="1" ht="17.25" customHeight="1"/>
    <row r="30172" customFormat="1" ht="17.25" customHeight="1"/>
    <row r="30173" customFormat="1" ht="17.25" customHeight="1"/>
    <row r="30174" customFormat="1" ht="17.25" customHeight="1"/>
    <row r="30175" customFormat="1" ht="17.25" customHeight="1"/>
    <row r="30176" customFormat="1" ht="17.25" customHeight="1"/>
    <row r="30177" customFormat="1" ht="17.25" customHeight="1"/>
    <row r="30178" customFormat="1" ht="17.25" customHeight="1"/>
    <row r="30179" customFormat="1" ht="17.25" customHeight="1"/>
    <row r="30180" customFormat="1" ht="17.25" customHeight="1"/>
    <row r="30181" customFormat="1" ht="17.25" customHeight="1"/>
    <row r="30182" customFormat="1" ht="17.25" customHeight="1"/>
    <row r="30183" customFormat="1" ht="17.25" customHeight="1"/>
    <row r="30184" customFormat="1" ht="17.25" customHeight="1"/>
    <row r="30185" customFormat="1" ht="17.25" customHeight="1"/>
    <row r="30186" customFormat="1" ht="17.25" customHeight="1"/>
    <row r="30187" customFormat="1" ht="17.25" customHeight="1"/>
    <row r="30188" customFormat="1" ht="17.25" customHeight="1"/>
    <row r="30189" customFormat="1" ht="17.25" customHeight="1"/>
    <row r="30190" customFormat="1" ht="17.25" customHeight="1"/>
    <row r="30191" customFormat="1" ht="17.25" customHeight="1"/>
    <row r="30192" customFormat="1" ht="17.25" customHeight="1"/>
    <row r="30193" customFormat="1" ht="17.25" customHeight="1"/>
    <row r="30194" customFormat="1" ht="17.25" customHeight="1"/>
    <row r="30195" customFormat="1" ht="17.25" customHeight="1"/>
    <row r="30196" customFormat="1" ht="17.25" customHeight="1"/>
    <row r="30197" customFormat="1" ht="17.25" customHeight="1"/>
    <row r="30198" customFormat="1" ht="17.25" customHeight="1"/>
    <row r="30199" customFormat="1" ht="17.25" customHeight="1"/>
    <row r="30200" customFormat="1" ht="17.25" customHeight="1"/>
    <row r="30201" customFormat="1" ht="17.25" customHeight="1"/>
    <row r="30202" customFormat="1" ht="17.25" customHeight="1"/>
    <row r="30203" customFormat="1" ht="17.25" customHeight="1"/>
    <row r="30204" customFormat="1" ht="17.25" customHeight="1"/>
    <row r="30205" customFormat="1" ht="17.25" customHeight="1"/>
    <row r="30206" customFormat="1" ht="17.25" customHeight="1"/>
    <row r="30207" customFormat="1" ht="17.25" customHeight="1"/>
    <row r="30208" customFormat="1" ht="17.25" customHeight="1"/>
    <row r="30209" customFormat="1" ht="17.25" customHeight="1"/>
    <row r="30210" customFormat="1" ht="17.25" customHeight="1"/>
    <row r="30211" customFormat="1" ht="17.25" customHeight="1"/>
    <row r="30212" customFormat="1" ht="17.25" customHeight="1"/>
    <row r="30213" customFormat="1" ht="17.25" customHeight="1"/>
    <row r="30214" customFormat="1" ht="17.25" customHeight="1"/>
    <row r="30215" customFormat="1" ht="17.25" customHeight="1"/>
    <row r="30216" customFormat="1" ht="17.25" customHeight="1"/>
    <row r="30217" customFormat="1" ht="17.25" customHeight="1"/>
    <row r="30218" customFormat="1" ht="17.25" customHeight="1"/>
    <row r="30219" customFormat="1" ht="17.25" customHeight="1"/>
    <row r="30220" customFormat="1" ht="17.25" customHeight="1"/>
    <row r="30221" customFormat="1" ht="17.25" customHeight="1"/>
    <row r="30222" customFormat="1" ht="17.25" customHeight="1"/>
    <row r="30223" customFormat="1" ht="17.25" customHeight="1"/>
    <row r="30224" customFormat="1" ht="17.25" customHeight="1"/>
    <row r="30225" customFormat="1" ht="17.25" customHeight="1"/>
    <row r="30226" customFormat="1" ht="17.25" customHeight="1"/>
    <row r="30227" customFormat="1" ht="17.25" customHeight="1"/>
    <row r="30228" customFormat="1" ht="17.25" customHeight="1"/>
    <row r="30229" customFormat="1" ht="17.25" customHeight="1"/>
    <row r="30230" customFormat="1" ht="17.25" customHeight="1"/>
    <row r="30231" customFormat="1" ht="17.25" customHeight="1"/>
    <row r="30232" customFormat="1" ht="17.25" customHeight="1"/>
    <row r="30233" customFormat="1" ht="17.25" customHeight="1"/>
    <row r="30234" customFormat="1" ht="17.25" customHeight="1"/>
    <row r="30235" customFormat="1" ht="17.25" customHeight="1"/>
    <row r="30236" customFormat="1" ht="17.25" customHeight="1"/>
    <row r="30237" customFormat="1" ht="17.25" customHeight="1"/>
    <row r="30238" customFormat="1" ht="17.25" customHeight="1"/>
    <row r="30239" customFormat="1" ht="17.25" customHeight="1"/>
    <row r="30240" customFormat="1" ht="17.25" customHeight="1"/>
    <row r="30241" customFormat="1" ht="17.25" customHeight="1"/>
    <row r="30242" customFormat="1" ht="17.25" customHeight="1"/>
    <row r="30243" customFormat="1" ht="17.25" customHeight="1"/>
    <row r="30244" customFormat="1" ht="17.25" customHeight="1"/>
    <row r="30245" customFormat="1" ht="17.25" customHeight="1"/>
    <row r="30246" customFormat="1" ht="17.25" customHeight="1"/>
    <row r="30247" customFormat="1" ht="17.25" customHeight="1"/>
    <row r="30248" customFormat="1" ht="17.25" customHeight="1"/>
    <row r="30249" customFormat="1" ht="17.25" customHeight="1"/>
    <row r="30250" customFormat="1" ht="17.25" customHeight="1"/>
    <row r="30251" customFormat="1" ht="17.25" customHeight="1"/>
    <row r="30252" customFormat="1" ht="17.25" customHeight="1"/>
    <row r="30253" customFormat="1" ht="17.25" customHeight="1"/>
    <row r="30254" customFormat="1" ht="17.25" customHeight="1"/>
    <row r="30255" customFormat="1" ht="17.25" customHeight="1"/>
    <row r="30256" customFormat="1" ht="17.25" customHeight="1"/>
    <row r="30257" customFormat="1" ht="17.25" customHeight="1"/>
    <row r="30258" customFormat="1" ht="17.25" customHeight="1"/>
    <row r="30259" customFormat="1" ht="17.25" customHeight="1"/>
    <row r="30260" customFormat="1" ht="17.25" customHeight="1"/>
    <row r="30261" customFormat="1" ht="17.25" customHeight="1"/>
    <row r="30262" customFormat="1" ht="17.25" customHeight="1"/>
    <row r="30263" customFormat="1" ht="17.25" customHeight="1"/>
    <row r="30264" customFormat="1" ht="17.25" customHeight="1"/>
    <row r="30265" customFormat="1" ht="17.25" customHeight="1"/>
    <row r="30266" customFormat="1" ht="17.25" customHeight="1"/>
    <row r="30267" customFormat="1" ht="17.25" customHeight="1"/>
    <row r="30268" customFormat="1" ht="17.25" customHeight="1"/>
    <row r="30269" customFormat="1" ht="17.25" customHeight="1"/>
    <row r="30270" customFormat="1" ht="17.25" customHeight="1"/>
    <row r="30271" customFormat="1" ht="17.25" customHeight="1"/>
    <row r="30272" customFormat="1" ht="17.25" customHeight="1"/>
    <row r="30273" customFormat="1" ht="17.25" customHeight="1"/>
    <row r="30274" customFormat="1" ht="17.25" customHeight="1"/>
    <row r="30275" customFormat="1" ht="17.25" customHeight="1"/>
    <row r="30276" customFormat="1" ht="17.25" customHeight="1"/>
    <row r="30277" customFormat="1" ht="17.25" customHeight="1"/>
    <row r="30278" customFormat="1" ht="17.25" customHeight="1"/>
    <row r="30279" customFormat="1" ht="17.25" customHeight="1"/>
    <row r="30280" customFormat="1" ht="17.25" customHeight="1"/>
    <row r="30281" customFormat="1" ht="17.25" customHeight="1"/>
    <row r="30282" customFormat="1" ht="17.25" customHeight="1"/>
    <row r="30283" customFormat="1" ht="17.25" customHeight="1"/>
    <row r="30284" customFormat="1" ht="17.25" customHeight="1"/>
    <row r="30285" customFormat="1" ht="17.25" customHeight="1"/>
    <row r="30286" customFormat="1" ht="17.25" customHeight="1"/>
    <row r="30287" customFormat="1" ht="17.25" customHeight="1"/>
    <row r="30288" customFormat="1" ht="17.25" customHeight="1"/>
    <row r="30289" customFormat="1" ht="17.25" customHeight="1"/>
    <row r="30290" customFormat="1" ht="17.25" customHeight="1"/>
    <row r="30291" customFormat="1" ht="17.25" customHeight="1"/>
    <row r="30292" customFormat="1" ht="17.25" customHeight="1"/>
    <row r="30293" customFormat="1" ht="17.25" customHeight="1"/>
    <row r="30294" customFormat="1" ht="17.25" customHeight="1"/>
    <row r="30295" customFormat="1" ht="17.25" customHeight="1"/>
    <row r="30296" customFormat="1" ht="17.25" customHeight="1"/>
    <row r="30297" customFormat="1" ht="17.25" customHeight="1"/>
    <row r="30298" customFormat="1" ht="17.25" customHeight="1"/>
    <row r="30299" customFormat="1" ht="17.25" customHeight="1"/>
    <row r="30300" customFormat="1" ht="17.25" customHeight="1"/>
    <row r="30301" customFormat="1" ht="17.25" customHeight="1"/>
    <row r="30302" customFormat="1" ht="17.25" customHeight="1"/>
    <row r="30303" customFormat="1" ht="17.25" customHeight="1"/>
    <row r="30304" customFormat="1" ht="17.25" customHeight="1"/>
    <row r="30305" customFormat="1" ht="17.25" customHeight="1"/>
    <row r="30306" customFormat="1" ht="17.25" customHeight="1"/>
    <row r="30307" customFormat="1" ht="17.25" customHeight="1"/>
    <row r="30308" customFormat="1" ht="17.25" customHeight="1"/>
    <row r="30309" customFormat="1" ht="17.25" customHeight="1"/>
    <row r="30310" customFormat="1" ht="17.25" customHeight="1"/>
    <row r="30311" customFormat="1" ht="17.25" customHeight="1"/>
    <row r="30312" customFormat="1" ht="17.25" customHeight="1"/>
    <row r="30313" customFormat="1" ht="17.25" customHeight="1"/>
    <row r="30314" customFormat="1" ht="17.25" customHeight="1"/>
    <row r="30315" customFormat="1" ht="17.25" customHeight="1"/>
    <row r="30316" customFormat="1" ht="17.25" customHeight="1"/>
    <row r="30317" customFormat="1" ht="17.25" customHeight="1"/>
    <row r="30318" customFormat="1" ht="17.25" customHeight="1"/>
    <row r="30319" customFormat="1" ht="17.25" customHeight="1"/>
    <row r="30320" customFormat="1" ht="17.25" customHeight="1"/>
    <row r="30321" customFormat="1" ht="17.25" customHeight="1"/>
    <row r="30322" customFormat="1" ht="17.25" customHeight="1"/>
    <row r="30323" customFormat="1" ht="17.25" customHeight="1"/>
    <row r="30324" customFormat="1" ht="17.25" customHeight="1"/>
    <row r="30325" customFormat="1" ht="17.25" customHeight="1"/>
    <row r="30326" customFormat="1" ht="17.25" customHeight="1"/>
    <row r="30327" customFormat="1" ht="17.25" customHeight="1"/>
    <row r="30328" customFormat="1" ht="17.25" customHeight="1"/>
    <row r="30329" customFormat="1" ht="17.25" customHeight="1"/>
    <row r="30330" customFormat="1" ht="17.25" customHeight="1"/>
    <row r="30331" customFormat="1" ht="17.25" customHeight="1"/>
    <row r="30332" customFormat="1" ht="17.25" customHeight="1"/>
    <row r="30333" customFormat="1" ht="17.25" customHeight="1"/>
    <row r="30334" customFormat="1" ht="17.25" customHeight="1"/>
    <row r="30335" customFormat="1" ht="17.25" customHeight="1"/>
    <row r="30336" customFormat="1" ht="17.25" customHeight="1"/>
    <row r="30337" customFormat="1" ht="17.25" customHeight="1"/>
    <row r="30338" customFormat="1" ht="17.25" customHeight="1"/>
    <row r="30339" customFormat="1" ht="17.25" customHeight="1"/>
    <row r="30340" customFormat="1" ht="17.25" customHeight="1"/>
    <row r="30341" customFormat="1" ht="17.25" customHeight="1"/>
    <row r="30342" customFormat="1" ht="17.25" customHeight="1"/>
    <row r="30343" customFormat="1" ht="17.25" customHeight="1"/>
    <row r="30344" customFormat="1" ht="17.25" customHeight="1"/>
    <row r="30345" customFormat="1" ht="17.25" customHeight="1"/>
    <row r="30346" customFormat="1" ht="17.25" customHeight="1"/>
    <row r="30347" customFormat="1" ht="17.25" customHeight="1"/>
    <row r="30348" customFormat="1" ht="17.25" customHeight="1"/>
    <row r="30349" customFormat="1" ht="17.25" customHeight="1"/>
    <row r="30350" customFormat="1" ht="17.25" customHeight="1"/>
    <row r="30351" customFormat="1" ht="17.25" customHeight="1"/>
    <row r="30352" customFormat="1" ht="17.25" customHeight="1"/>
    <row r="30353" customFormat="1" ht="17.25" customHeight="1"/>
    <row r="30354" customFormat="1" ht="17.25" customHeight="1"/>
    <row r="30355" customFormat="1" ht="17.25" customHeight="1"/>
    <row r="30356" customFormat="1" ht="17.25" customHeight="1"/>
    <row r="30357" customFormat="1" ht="17.25" customHeight="1"/>
    <row r="30358" customFormat="1" ht="17.25" customHeight="1"/>
    <row r="30359" customFormat="1" ht="17.25" customHeight="1"/>
    <row r="30360" customFormat="1" ht="17.25" customHeight="1"/>
    <row r="30361" customFormat="1" ht="17.25" customHeight="1"/>
    <row r="30362" customFormat="1" ht="17.25" customHeight="1"/>
    <row r="30363" customFormat="1" ht="17.25" customHeight="1"/>
    <row r="30364" customFormat="1" ht="17.25" customHeight="1"/>
    <row r="30365" customFormat="1" ht="17.25" customHeight="1"/>
    <row r="30366" customFormat="1" ht="17.25" customHeight="1"/>
    <row r="30367" customFormat="1" ht="17.25" customHeight="1"/>
    <row r="30368" customFormat="1" ht="17.25" customHeight="1"/>
    <row r="30369" customFormat="1" ht="17.25" customHeight="1"/>
    <row r="30370" customFormat="1" ht="17.25" customHeight="1"/>
    <row r="30371" customFormat="1" ht="17.25" customHeight="1"/>
    <row r="30372" customFormat="1" ht="17.25" customHeight="1"/>
    <row r="30373" customFormat="1" ht="17.25" customHeight="1"/>
    <row r="30374" customFormat="1" ht="17.25" customHeight="1"/>
    <row r="30375" customFormat="1" ht="17.25" customHeight="1"/>
    <row r="30376" customFormat="1" ht="17.25" customHeight="1"/>
    <row r="30377" customFormat="1" ht="17.25" customHeight="1"/>
    <row r="30378" customFormat="1" ht="17.25" customHeight="1"/>
    <row r="30379" customFormat="1" ht="17.25" customHeight="1"/>
    <row r="30380" customFormat="1" ht="17.25" customHeight="1"/>
    <row r="30381" customFormat="1" ht="17.25" customHeight="1"/>
    <row r="30382" customFormat="1" ht="17.25" customHeight="1"/>
    <row r="30383" customFormat="1" ht="17.25" customHeight="1"/>
    <row r="30384" customFormat="1" ht="17.25" customHeight="1"/>
    <row r="30385" customFormat="1" ht="17.25" customHeight="1"/>
    <row r="30386" customFormat="1" ht="17.25" customHeight="1"/>
    <row r="30387" customFormat="1" ht="17.25" customHeight="1"/>
    <row r="30388" customFormat="1" ht="17.25" customHeight="1"/>
    <row r="30389" customFormat="1" ht="17.25" customHeight="1"/>
    <row r="30390" customFormat="1" ht="17.25" customHeight="1"/>
    <row r="30391" customFormat="1" ht="17.25" customHeight="1"/>
    <row r="30392" customFormat="1" ht="17.25" customHeight="1"/>
    <row r="30393" customFormat="1" ht="17.25" customHeight="1"/>
    <row r="30394" customFormat="1" ht="17.25" customHeight="1"/>
    <row r="30395" customFormat="1" ht="17.25" customHeight="1"/>
    <row r="30396" customFormat="1" ht="17.25" customHeight="1"/>
    <row r="30397" customFormat="1" ht="17.25" customHeight="1"/>
    <row r="30398" customFormat="1" ht="17.25" customHeight="1"/>
    <row r="30399" customFormat="1" ht="17.25" customHeight="1"/>
    <row r="30400" customFormat="1" ht="17.25" customHeight="1"/>
    <row r="30401" customFormat="1" ht="17.25" customHeight="1"/>
    <row r="30402" customFormat="1" ht="17.25" customHeight="1"/>
    <row r="30403" customFormat="1" ht="17.25" customHeight="1"/>
    <row r="30404" customFormat="1" ht="17.25" customHeight="1"/>
    <row r="30405" customFormat="1" ht="17.25" customHeight="1"/>
    <row r="30406" customFormat="1" ht="17.25" customHeight="1"/>
    <row r="30407" customFormat="1" ht="17.25" customHeight="1"/>
    <row r="30408" customFormat="1" ht="17.25" customHeight="1"/>
    <row r="30409" customFormat="1" ht="17.25" customHeight="1"/>
    <row r="30410" customFormat="1" ht="17.25" customHeight="1"/>
    <row r="30411" customFormat="1" ht="17.25" customHeight="1"/>
    <row r="30412" customFormat="1" ht="17.25" customHeight="1"/>
    <row r="30413" customFormat="1" ht="17.25" customHeight="1"/>
    <row r="30414" customFormat="1" ht="17.25" customHeight="1"/>
    <row r="30415" customFormat="1" ht="17.25" customHeight="1"/>
    <row r="30416" customFormat="1" ht="17.25" customHeight="1"/>
    <row r="30417" customFormat="1" ht="17.25" customHeight="1"/>
    <row r="30418" customFormat="1" ht="17.25" customHeight="1"/>
    <row r="30419" customFormat="1" ht="17.25" customHeight="1"/>
    <row r="30420" customFormat="1" ht="17.25" customHeight="1"/>
    <row r="30421" customFormat="1" ht="17.25" customHeight="1"/>
    <row r="30422" customFormat="1" ht="17.25" customHeight="1"/>
    <row r="30423" customFormat="1" ht="17.25" customHeight="1"/>
    <row r="30424" customFormat="1" ht="17.25" customHeight="1"/>
    <row r="30425" customFormat="1" ht="17.25" customHeight="1"/>
    <row r="30426" customFormat="1" ht="17.25" customHeight="1"/>
    <row r="30427" customFormat="1" ht="17.25" customHeight="1"/>
    <row r="30428" customFormat="1" ht="17.25" customHeight="1"/>
    <row r="30429" customFormat="1" ht="17.25" customHeight="1"/>
    <row r="30430" customFormat="1" ht="17.25" customHeight="1"/>
    <row r="30431" customFormat="1" ht="17.25" customHeight="1"/>
    <row r="30432" customFormat="1" ht="17.25" customHeight="1"/>
    <row r="30433" customFormat="1" ht="17.25" customHeight="1"/>
    <row r="30434" customFormat="1" ht="17.25" customHeight="1"/>
    <row r="30435" customFormat="1" ht="17.25" customHeight="1"/>
    <row r="30436" customFormat="1" ht="17.25" customHeight="1"/>
    <row r="30437" customFormat="1" ht="17.25" customHeight="1"/>
    <row r="30438" customFormat="1" ht="17.25" customHeight="1"/>
    <row r="30439" customFormat="1" ht="17.25" customHeight="1"/>
    <row r="30440" customFormat="1" ht="17.25" customHeight="1"/>
    <row r="30441" customFormat="1" ht="17.25" customHeight="1"/>
    <row r="30442" customFormat="1" ht="17.25" customHeight="1"/>
    <row r="30443" customFormat="1" ht="17.25" customHeight="1"/>
    <row r="30444" customFormat="1" ht="17.25" customHeight="1"/>
    <row r="30445" customFormat="1" ht="17.25" customHeight="1"/>
    <row r="30446" customFormat="1" ht="17.25" customHeight="1"/>
    <row r="30447" customFormat="1" ht="17.25" customHeight="1"/>
    <row r="30448" customFormat="1" ht="17.25" customHeight="1"/>
    <row r="30449" customFormat="1" ht="17.25" customHeight="1"/>
    <row r="30450" customFormat="1" ht="17.25" customHeight="1"/>
    <row r="30451" customFormat="1" ht="17.25" customHeight="1"/>
    <row r="30452" customFormat="1" ht="17.25" customHeight="1"/>
    <row r="30453" customFormat="1" ht="17.25" customHeight="1"/>
    <row r="30454" customFormat="1" ht="17.25" customHeight="1"/>
    <row r="30455" customFormat="1" ht="17.25" customHeight="1"/>
    <row r="30456" customFormat="1" ht="17.25" customHeight="1"/>
    <row r="30457" customFormat="1" ht="17.25" customHeight="1"/>
    <row r="30458" customFormat="1" ht="17.25" customHeight="1"/>
    <row r="30459" customFormat="1" ht="17.25" customHeight="1"/>
    <row r="30460" customFormat="1" ht="17.25" customHeight="1"/>
    <row r="30461" customFormat="1" ht="17.25" customHeight="1"/>
    <row r="30462" customFormat="1" ht="17.25" customHeight="1"/>
    <row r="30463" customFormat="1" ht="17.25" customHeight="1"/>
    <row r="30464" customFormat="1" ht="17.25" customHeight="1"/>
    <row r="30465" customFormat="1" ht="17.25" customHeight="1"/>
    <row r="30466" customFormat="1" ht="17.25" customHeight="1"/>
    <row r="30467" customFormat="1" ht="17.25" customHeight="1"/>
    <row r="30468" customFormat="1" ht="17.25" customHeight="1"/>
    <row r="30469" customFormat="1" ht="17.25" customHeight="1"/>
    <row r="30470" customFormat="1" ht="17.25" customHeight="1"/>
    <row r="30471" customFormat="1" ht="17.25" customHeight="1"/>
    <row r="30472" customFormat="1" ht="17.25" customHeight="1"/>
    <row r="30473" customFormat="1" ht="17.25" customHeight="1"/>
    <row r="30474" customFormat="1" ht="17.25" customHeight="1"/>
    <row r="30475" customFormat="1" ht="17.25" customHeight="1"/>
    <row r="30476" customFormat="1" ht="17.25" customHeight="1"/>
    <row r="30477" customFormat="1" ht="17.25" customHeight="1"/>
    <row r="30478" customFormat="1" ht="17.25" customHeight="1"/>
    <row r="30479" customFormat="1" ht="17.25" customHeight="1"/>
    <row r="30480" customFormat="1" ht="17.25" customHeight="1"/>
    <row r="30481" customFormat="1" ht="17.25" customHeight="1"/>
    <row r="30482" customFormat="1" ht="17.25" customHeight="1"/>
    <row r="30483" customFormat="1" ht="17.25" customHeight="1"/>
    <row r="30484" customFormat="1" ht="17.25" customHeight="1"/>
    <row r="30485" customFormat="1" ht="17.25" customHeight="1"/>
    <row r="30486" customFormat="1" ht="17.25" customHeight="1"/>
    <row r="30487" customFormat="1" ht="17.25" customHeight="1"/>
    <row r="30488" customFormat="1" ht="17.25" customHeight="1"/>
    <row r="30489" customFormat="1" ht="17.25" customHeight="1"/>
    <row r="30490" customFormat="1" ht="17.25" customHeight="1"/>
    <row r="30491" customFormat="1" ht="17.25" customHeight="1"/>
    <row r="30492" customFormat="1" ht="17.25" customHeight="1"/>
    <row r="30493" customFormat="1" ht="17.25" customHeight="1"/>
    <row r="30494" customFormat="1" ht="17.25" customHeight="1"/>
    <row r="30495" customFormat="1" ht="17.25" customHeight="1"/>
    <row r="30496" customFormat="1" ht="17.25" customHeight="1"/>
    <row r="30497" customFormat="1" ht="17.25" customHeight="1"/>
    <row r="30498" customFormat="1" ht="17.25" customHeight="1"/>
    <row r="30499" customFormat="1" ht="17.25" customHeight="1"/>
    <row r="30500" customFormat="1" ht="17.25" customHeight="1"/>
    <row r="30501" customFormat="1" ht="17.25" customHeight="1"/>
    <row r="30502" customFormat="1" ht="17.25" customHeight="1"/>
    <row r="30503" customFormat="1" ht="17.25" customHeight="1"/>
    <row r="30504" customFormat="1" ht="17.25" customHeight="1"/>
    <row r="30505" customFormat="1" ht="17.25" customHeight="1"/>
    <row r="30506" customFormat="1" ht="17.25" customHeight="1"/>
    <row r="30507" customFormat="1" ht="17.25" customHeight="1"/>
    <row r="30508" customFormat="1" ht="17.25" customHeight="1"/>
    <row r="30509" customFormat="1" ht="17.25" customHeight="1"/>
    <row r="30510" customFormat="1" ht="17.25" customHeight="1"/>
    <row r="30511" customFormat="1" ht="17.25" customHeight="1"/>
    <row r="30512" customFormat="1" ht="17.25" customHeight="1"/>
    <row r="30513" customFormat="1" ht="17.25" customHeight="1"/>
    <row r="30514" customFormat="1" ht="17.25" customHeight="1"/>
    <row r="30515" customFormat="1" ht="17.25" customHeight="1"/>
    <row r="30516" customFormat="1" ht="17.25" customHeight="1"/>
    <row r="30517" customFormat="1" ht="17.25" customHeight="1"/>
    <row r="30518" customFormat="1" ht="17.25" customHeight="1"/>
    <row r="30519" customFormat="1" ht="17.25" customHeight="1"/>
    <row r="30520" customFormat="1" ht="17.25" customHeight="1"/>
    <row r="30521" customFormat="1" ht="17.25" customHeight="1"/>
    <row r="30522" customFormat="1" ht="17.25" customHeight="1"/>
    <row r="30523" customFormat="1" ht="17.25" customHeight="1"/>
    <row r="30524" customFormat="1" ht="17.25" customHeight="1"/>
    <row r="30525" customFormat="1" ht="17.25" customHeight="1"/>
    <row r="30526" customFormat="1" ht="17.25" customHeight="1"/>
    <row r="30527" customFormat="1" ht="17.25" customHeight="1"/>
    <row r="30528" customFormat="1" ht="17.25" customHeight="1"/>
    <row r="30529" customFormat="1" ht="17.25" customHeight="1"/>
    <row r="30530" customFormat="1" ht="17.25" customHeight="1"/>
    <row r="30531" customFormat="1" ht="17.25" customHeight="1"/>
    <row r="30532" customFormat="1" ht="17.25" customHeight="1"/>
    <row r="30533" customFormat="1" ht="17.25" customHeight="1"/>
    <row r="30534" customFormat="1" ht="17.25" customHeight="1"/>
    <row r="30535" customFormat="1" ht="17.25" customHeight="1"/>
    <row r="30536" customFormat="1" ht="17.25" customHeight="1"/>
    <row r="30537" customFormat="1" ht="17.25" customHeight="1"/>
    <row r="30538" customFormat="1" ht="17.25" customHeight="1"/>
    <row r="30539" customFormat="1" ht="17.25" customHeight="1"/>
    <row r="30540" customFormat="1" ht="17.25" customHeight="1"/>
    <row r="30541" customFormat="1" ht="17.25" customHeight="1"/>
    <row r="30542" customFormat="1" ht="17.25" customHeight="1"/>
    <row r="30543" customFormat="1" ht="17.25" customHeight="1"/>
    <row r="30544" customFormat="1" ht="17.25" customHeight="1"/>
    <row r="30545" customFormat="1" ht="17.25" customHeight="1"/>
    <row r="30546" customFormat="1" ht="17.25" customHeight="1"/>
    <row r="30547" customFormat="1" ht="17.25" customHeight="1"/>
    <row r="30548" customFormat="1" ht="17.25" customHeight="1"/>
    <row r="30549" customFormat="1" ht="17.25" customHeight="1"/>
    <row r="30550" customFormat="1" ht="17.25" customHeight="1"/>
    <row r="30551" customFormat="1" ht="17.25" customHeight="1"/>
    <row r="30552" customFormat="1" ht="17.25" customHeight="1"/>
    <row r="30553" customFormat="1" ht="17.25" customHeight="1"/>
    <row r="30554" customFormat="1" ht="17.25" customHeight="1"/>
    <row r="30555" customFormat="1" ht="17.25" customHeight="1"/>
    <row r="30556" customFormat="1" ht="17.25" customHeight="1"/>
    <row r="30557" customFormat="1" ht="17.25" customHeight="1"/>
    <row r="30558" customFormat="1" ht="17.25" customHeight="1"/>
    <row r="30559" customFormat="1" ht="17.25" customHeight="1"/>
    <row r="30560" customFormat="1" ht="17.25" customHeight="1"/>
    <row r="30561" customFormat="1" ht="17.25" customHeight="1"/>
    <row r="30562" customFormat="1" ht="17.25" customHeight="1"/>
    <row r="30563" customFormat="1" ht="17.25" customHeight="1"/>
    <row r="30564" customFormat="1" ht="17.25" customHeight="1"/>
    <row r="30565" customFormat="1" ht="17.25" customHeight="1"/>
    <row r="30566" customFormat="1" ht="17.25" customHeight="1"/>
    <row r="30567" customFormat="1" ht="17.25" customHeight="1"/>
    <row r="30568" customFormat="1" ht="17.25" customHeight="1"/>
    <row r="30569" customFormat="1" ht="17.25" customHeight="1"/>
    <row r="30570" customFormat="1" ht="17.25" customHeight="1"/>
    <row r="30571" customFormat="1" ht="17.25" customHeight="1"/>
    <row r="30572" customFormat="1" ht="17.25" customHeight="1"/>
    <row r="30573" customFormat="1" ht="17.25" customHeight="1"/>
    <row r="30574" customFormat="1" ht="17.25" customHeight="1"/>
    <row r="30575" customFormat="1" ht="17.25" customHeight="1"/>
    <row r="30576" customFormat="1" ht="17.25" customHeight="1"/>
    <row r="30577" customFormat="1" ht="17.25" customHeight="1"/>
    <row r="30578" customFormat="1" ht="17.25" customHeight="1"/>
    <row r="30579" customFormat="1" ht="17.25" customHeight="1"/>
    <row r="30580" customFormat="1" ht="17.25" customHeight="1"/>
    <row r="30581" customFormat="1" ht="17.25" customHeight="1"/>
    <row r="30582" customFormat="1" ht="17.25" customHeight="1"/>
    <row r="30583" customFormat="1" ht="17.25" customHeight="1"/>
    <row r="30584" customFormat="1" ht="17.25" customHeight="1"/>
    <row r="30585" customFormat="1" ht="17.25" customHeight="1"/>
    <row r="30586" customFormat="1" ht="17.25" customHeight="1"/>
    <row r="30587" customFormat="1" ht="17.25" customHeight="1"/>
    <row r="30588" customFormat="1" ht="17.25" customHeight="1"/>
    <row r="30589" customFormat="1" ht="17.25" customHeight="1"/>
    <row r="30590" customFormat="1" ht="17.25" customHeight="1"/>
    <row r="30591" customFormat="1" ht="17.25" customHeight="1"/>
    <row r="30592" customFormat="1" ht="17.25" customHeight="1"/>
    <row r="30593" customFormat="1" ht="17.25" customHeight="1"/>
    <row r="30594" customFormat="1" ht="17.25" customHeight="1"/>
    <row r="30595" customFormat="1" ht="17.25" customHeight="1"/>
    <row r="30596" customFormat="1" ht="17.25" customHeight="1"/>
    <row r="30597" customFormat="1" ht="17.25" customHeight="1"/>
    <row r="30598" customFormat="1" ht="17.25" customHeight="1"/>
    <row r="30599" customFormat="1" ht="17.25" customHeight="1"/>
    <row r="30600" customFormat="1" ht="17.25" customHeight="1"/>
    <row r="30601" customFormat="1" ht="17.25" customHeight="1"/>
    <row r="30602" customFormat="1" ht="17.25" customHeight="1"/>
    <row r="30603" customFormat="1" ht="17.25" customHeight="1"/>
    <row r="30604" customFormat="1" ht="17.25" customHeight="1"/>
    <row r="30605" customFormat="1" ht="17.25" customHeight="1"/>
    <row r="30606" customFormat="1" ht="17.25" customHeight="1"/>
    <row r="30607" customFormat="1" ht="17.25" customHeight="1"/>
    <row r="30608" customFormat="1" ht="17.25" customHeight="1"/>
    <row r="30609" customFormat="1" ht="17.25" customHeight="1"/>
    <row r="30610" customFormat="1" ht="17.25" customHeight="1"/>
    <row r="30611" customFormat="1" ht="17.25" customHeight="1"/>
    <row r="30612" customFormat="1" ht="17.25" customHeight="1"/>
    <row r="30613" customFormat="1" ht="17.25" customHeight="1"/>
    <row r="30614" customFormat="1" ht="17.25" customHeight="1"/>
    <row r="30615" customFormat="1" ht="17.25" customHeight="1"/>
    <row r="30616" customFormat="1" ht="17.25" customHeight="1"/>
    <row r="30617" customFormat="1" ht="17.25" customHeight="1"/>
    <row r="30618" customFormat="1" ht="17.25" customHeight="1"/>
    <row r="30619" customFormat="1" ht="17.25" customHeight="1"/>
    <row r="30620" customFormat="1" ht="17.25" customHeight="1"/>
    <row r="30621" customFormat="1" ht="17.25" customHeight="1"/>
    <row r="30622" customFormat="1" ht="17.25" customHeight="1"/>
    <row r="30623" customFormat="1" ht="17.25" customHeight="1"/>
    <row r="30624" customFormat="1" ht="17.25" customHeight="1"/>
    <row r="30625" customFormat="1" ht="17.25" customHeight="1"/>
    <row r="30626" customFormat="1" ht="17.25" customHeight="1"/>
    <row r="30627" customFormat="1" ht="17.25" customHeight="1"/>
    <row r="30628" customFormat="1" ht="17.25" customHeight="1"/>
    <row r="30629" customFormat="1" ht="17.25" customHeight="1"/>
    <row r="30630" customFormat="1" ht="17.25" customHeight="1"/>
    <row r="30631" customFormat="1" ht="17.25" customHeight="1"/>
    <row r="30632" customFormat="1" ht="17.25" customHeight="1"/>
    <row r="30633" customFormat="1" ht="17.25" customHeight="1"/>
    <row r="30634" customFormat="1" ht="17.25" customHeight="1"/>
    <row r="30635" customFormat="1" ht="17.25" customHeight="1"/>
    <row r="30636" customFormat="1" ht="17.25" customHeight="1"/>
    <row r="30637" customFormat="1" ht="17.25" customHeight="1"/>
    <row r="30638" customFormat="1" ht="17.25" customHeight="1"/>
    <row r="30639" customFormat="1" ht="17.25" customHeight="1"/>
    <row r="30640" customFormat="1" ht="17.25" customHeight="1"/>
    <row r="30641" customFormat="1" ht="17.25" customHeight="1"/>
    <row r="30642" customFormat="1" ht="17.25" customHeight="1"/>
    <row r="30643" customFormat="1" ht="17.25" customHeight="1"/>
    <row r="30644" customFormat="1" ht="17.25" customHeight="1"/>
    <row r="30645" customFormat="1" ht="17.25" customHeight="1"/>
    <row r="30646" customFormat="1" ht="17.25" customHeight="1"/>
    <row r="30647" customFormat="1" ht="17.25" customHeight="1"/>
    <row r="30648" customFormat="1" ht="17.25" customHeight="1"/>
    <row r="30649" customFormat="1" ht="17.25" customHeight="1"/>
    <row r="30650" customFormat="1" ht="17.25" customHeight="1"/>
    <row r="30651" customFormat="1" ht="17.25" customHeight="1"/>
    <row r="30652" customFormat="1" ht="17.25" customHeight="1"/>
    <row r="30653" customFormat="1" ht="17.25" customHeight="1"/>
    <row r="30654" customFormat="1" ht="17.25" customHeight="1"/>
    <row r="30655" customFormat="1" ht="17.25" customHeight="1"/>
    <row r="30656" customFormat="1" ht="17.25" customHeight="1"/>
    <row r="30657" customFormat="1" ht="17.25" customHeight="1"/>
    <row r="30658" customFormat="1" ht="17.25" customHeight="1"/>
    <row r="30659" customFormat="1" ht="17.25" customHeight="1"/>
    <row r="30660" customFormat="1" ht="17.25" customHeight="1"/>
    <row r="30661" customFormat="1" ht="17.25" customHeight="1"/>
    <row r="30662" customFormat="1" ht="17.25" customHeight="1"/>
    <row r="30663" customFormat="1" ht="17.25" customHeight="1"/>
    <row r="30664" customFormat="1" ht="17.25" customHeight="1"/>
    <row r="30665" customFormat="1" ht="17.25" customHeight="1"/>
    <row r="30666" customFormat="1" ht="17.25" customHeight="1"/>
    <row r="30667" customFormat="1" ht="17.25" customHeight="1"/>
    <row r="30668" customFormat="1" ht="17.25" customHeight="1"/>
    <row r="30669" customFormat="1" ht="17.25" customHeight="1"/>
    <row r="30670" customFormat="1" ht="17.25" customHeight="1"/>
    <row r="30671" customFormat="1" ht="17.25" customHeight="1"/>
    <row r="30672" customFormat="1" ht="17.25" customHeight="1"/>
    <row r="30673" customFormat="1" ht="17.25" customHeight="1"/>
    <row r="30674" customFormat="1" ht="17.25" customHeight="1"/>
    <row r="30675" customFormat="1" ht="17.25" customHeight="1"/>
    <row r="30676" customFormat="1" ht="17.25" customHeight="1"/>
    <row r="30677" customFormat="1" ht="17.25" customHeight="1"/>
    <row r="30678" customFormat="1" ht="17.25" customHeight="1"/>
    <row r="30679" customFormat="1" ht="17.25" customHeight="1"/>
    <row r="30680" customFormat="1" ht="17.25" customHeight="1"/>
    <row r="30681" customFormat="1" ht="17.25" customHeight="1"/>
    <row r="30682" customFormat="1" ht="17.25" customHeight="1"/>
    <row r="30683" customFormat="1" ht="17.25" customHeight="1"/>
    <row r="30684" customFormat="1" ht="17.25" customHeight="1"/>
    <row r="30685" customFormat="1" ht="17.25" customHeight="1"/>
    <row r="30686" customFormat="1" ht="17.25" customHeight="1"/>
    <row r="30687" customFormat="1" ht="17.25" customHeight="1"/>
    <row r="30688" customFormat="1" ht="17.25" customHeight="1"/>
    <row r="30689" customFormat="1" ht="17.25" customHeight="1"/>
    <row r="30690" customFormat="1" ht="17.25" customHeight="1"/>
    <row r="30691" customFormat="1" ht="17.25" customHeight="1"/>
    <row r="30692" customFormat="1" ht="17.25" customHeight="1"/>
    <row r="30693" customFormat="1" ht="17.25" customHeight="1"/>
    <row r="30694" customFormat="1" ht="17.25" customHeight="1"/>
    <row r="30695" customFormat="1" ht="17.25" customHeight="1"/>
    <row r="30696" customFormat="1" ht="17.25" customHeight="1"/>
    <row r="30697" customFormat="1" ht="17.25" customHeight="1"/>
    <row r="30698" customFormat="1" ht="17.25" customHeight="1"/>
    <row r="30699" customFormat="1" ht="17.25" customHeight="1"/>
    <row r="30700" customFormat="1" ht="17.25" customHeight="1"/>
    <row r="30701" customFormat="1" ht="17.25" customHeight="1"/>
    <row r="30702" customFormat="1" ht="17.25" customHeight="1"/>
    <row r="30703" customFormat="1" ht="17.25" customHeight="1"/>
    <row r="30704" customFormat="1" ht="17.25" customHeight="1"/>
    <row r="30705" customFormat="1" ht="17.25" customHeight="1"/>
    <row r="30706" customFormat="1" ht="17.25" customHeight="1"/>
    <row r="30707" customFormat="1" ht="17.25" customHeight="1"/>
    <row r="30708" customFormat="1" ht="17.25" customHeight="1"/>
    <row r="30709" customFormat="1" ht="17.25" customHeight="1"/>
    <row r="30710" customFormat="1" ht="17.25" customHeight="1"/>
    <row r="30711" customFormat="1" ht="17.25" customHeight="1"/>
    <row r="30712" customFormat="1" ht="17.25" customHeight="1"/>
    <row r="30713" customFormat="1" ht="17.25" customHeight="1"/>
    <row r="30714" customFormat="1" ht="17.25" customHeight="1"/>
    <row r="30715" customFormat="1" ht="17.25" customHeight="1"/>
    <row r="30716" customFormat="1" ht="17.25" customHeight="1"/>
    <row r="30717" customFormat="1" ht="17.25" customHeight="1"/>
    <row r="30718" customFormat="1" ht="17.25" customHeight="1"/>
    <row r="30719" customFormat="1" ht="17.25" customHeight="1"/>
    <row r="30720" customFormat="1" ht="17.25" customHeight="1"/>
    <row r="30721" customFormat="1" ht="17.25" customHeight="1"/>
    <row r="30722" customFormat="1" ht="17.25" customHeight="1"/>
    <row r="30723" customFormat="1" ht="17.25" customHeight="1"/>
    <row r="30724" customFormat="1" ht="17.25" customHeight="1"/>
    <row r="30725" customFormat="1" ht="17.25" customHeight="1"/>
    <row r="30726" customFormat="1" ht="17.25" customHeight="1"/>
    <row r="30727" customFormat="1" ht="17.25" customHeight="1"/>
    <row r="30728" customFormat="1" ht="17.25" customHeight="1"/>
    <row r="30729" customFormat="1" ht="17.25" customHeight="1"/>
    <row r="30730" customFormat="1" ht="17.25" customHeight="1"/>
    <row r="30731" customFormat="1" ht="17.25" customHeight="1"/>
    <row r="30732" customFormat="1" ht="17.25" customHeight="1"/>
    <row r="30733" customFormat="1" ht="17.25" customHeight="1"/>
    <row r="30734" customFormat="1" ht="17.25" customHeight="1"/>
    <row r="30735" customFormat="1" ht="17.25" customHeight="1"/>
    <row r="30736" customFormat="1" ht="17.25" customHeight="1"/>
    <row r="30737" customFormat="1" ht="17.25" customHeight="1"/>
    <row r="30738" customFormat="1" ht="17.25" customHeight="1"/>
    <row r="30739" customFormat="1" ht="17.25" customHeight="1"/>
    <row r="30740" customFormat="1" ht="17.25" customHeight="1"/>
    <row r="30741" customFormat="1" ht="17.25" customHeight="1"/>
    <row r="30742" customFormat="1" ht="17.25" customHeight="1"/>
    <row r="30743" customFormat="1" ht="17.25" customHeight="1"/>
    <row r="30744" customFormat="1" ht="17.25" customHeight="1"/>
    <row r="30745" customFormat="1" ht="17.25" customHeight="1"/>
    <row r="30746" customFormat="1" ht="17.25" customHeight="1"/>
    <row r="30747" customFormat="1" ht="17.25" customHeight="1"/>
    <row r="30748" customFormat="1" ht="17.25" customHeight="1"/>
    <row r="30749" customFormat="1" ht="17.25" customHeight="1"/>
    <row r="30750" customFormat="1" ht="17.25" customHeight="1"/>
    <row r="30751" customFormat="1" ht="17.25" customHeight="1"/>
    <row r="30752" customFormat="1" ht="17.25" customHeight="1"/>
    <row r="30753" customFormat="1" ht="17.25" customHeight="1"/>
    <row r="30754" customFormat="1" ht="17.25" customHeight="1"/>
    <row r="30755" customFormat="1" ht="17.25" customHeight="1"/>
    <row r="30756" customFormat="1" ht="17.25" customHeight="1"/>
    <row r="30757" customFormat="1" ht="17.25" customHeight="1"/>
    <row r="30758" customFormat="1" ht="17.25" customHeight="1"/>
    <row r="30759" customFormat="1" ht="17.25" customHeight="1"/>
    <row r="30760" customFormat="1" ht="17.25" customHeight="1"/>
    <row r="30761" customFormat="1" ht="17.25" customHeight="1"/>
    <row r="30762" customFormat="1" ht="17.25" customHeight="1"/>
    <row r="30763" customFormat="1" ht="17.25" customHeight="1"/>
    <row r="30764" customFormat="1" ht="17.25" customHeight="1"/>
    <row r="30765" customFormat="1" ht="17.25" customHeight="1"/>
    <row r="30766" customFormat="1" ht="17.25" customHeight="1"/>
    <row r="30767" customFormat="1" ht="17.25" customHeight="1"/>
    <row r="30768" customFormat="1" ht="17.25" customHeight="1"/>
    <row r="30769" customFormat="1" ht="17.25" customHeight="1"/>
    <row r="30770" customFormat="1" ht="17.25" customHeight="1"/>
    <row r="30771" customFormat="1" ht="17.25" customHeight="1"/>
    <row r="30772" customFormat="1" ht="17.25" customHeight="1"/>
    <row r="30773" customFormat="1" ht="17.25" customHeight="1"/>
    <row r="30774" customFormat="1" ht="17.25" customHeight="1"/>
    <row r="30775" customFormat="1" ht="17.25" customHeight="1"/>
    <row r="30776" customFormat="1" ht="17.25" customHeight="1"/>
    <row r="30777" customFormat="1" ht="17.25" customHeight="1"/>
    <row r="30778" customFormat="1" ht="17.25" customHeight="1"/>
    <row r="30779" customFormat="1" ht="17.25" customHeight="1"/>
    <row r="30780" customFormat="1" ht="17.25" customHeight="1"/>
    <row r="30781" customFormat="1" ht="17.25" customHeight="1"/>
    <row r="30782" customFormat="1" ht="17.25" customHeight="1"/>
    <row r="30783" customFormat="1" ht="17.25" customHeight="1"/>
    <row r="30784" customFormat="1" ht="17.25" customHeight="1"/>
    <row r="30785" customFormat="1" ht="17.25" customHeight="1"/>
    <row r="30786" customFormat="1" ht="17.25" customHeight="1"/>
    <row r="30787" customFormat="1" ht="17.25" customHeight="1"/>
    <row r="30788" customFormat="1" ht="17.25" customHeight="1"/>
    <row r="30789" customFormat="1" ht="17.25" customHeight="1"/>
    <row r="30790" customFormat="1" ht="17.25" customHeight="1"/>
    <row r="30791" customFormat="1" ht="17.25" customHeight="1"/>
    <row r="30792" customFormat="1" ht="17.25" customHeight="1"/>
    <row r="30793" customFormat="1" ht="17.25" customHeight="1"/>
    <row r="30794" customFormat="1" ht="17.25" customHeight="1"/>
    <row r="30795" customFormat="1" ht="17.25" customHeight="1"/>
    <row r="30796" customFormat="1" ht="17.25" customHeight="1"/>
    <row r="30797" customFormat="1" ht="17.25" customHeight="1"/>
    <row r="30798" customFormat="1" ht="17.25" customHeight="1"/>
    <row r="30799" customFormat="1" ht="17.25" customHeight="1"/>
    <row r="30800" customFormat="1" ht="17.25" customHeight="1"/>
    <row r="30801" customFormat="1" ht="17.25" customHeight="1"/>
    <row r="30802" customFormat="1" ht="17.25" customHeight="1"/>
    <row r="30803" customFormat="1" ht="17.25" customHeight="1"/>
    <row r="30804" customFormat="1" ht="17.25" customHeight="1"/>
    <row r="30805" customFormat="1" ht="17.25" customHeight="1"/>
    <row r="30806" customFormat="1" ht="17.25" customHeight="1"/>
    <row r="30807" customFormat="1" ht="17.25" customHeight="1"/>
    <row r="30808" customFormat="1" ht="17.25" customHeight="1"/>
    <row r="30809" customFormat="1" ht="17.25" customHeight="1"/>
    <row r="30810" customFormat="1" ht="17.25" customHeight="1"/>
    <row r="30811" customFormat="1" ht="17.25" customHeight="1"/>
    <row r="30812" customFormat="1" ht="17.25" customHeight="1"/>
    <row r="30813" customFormat="1" ht="17.25" customHeight="1"/>
    <row r="30814" customFormat="1" ht="17.25" customHeight="1"/>
    <row r="30815" customFormat="1" ht="17.25" customHeight="1"/>
    <row r="30816" customFormat="1" ht="17.25" customHeight="1"/>
    <row r="30817" customFormat="1" ht="17.25" customHeight="1"/>
    <row r="30818" customFormat="1" ht="17.25" customHeight="1"/>
    <row r="30819" customFormat="1" ht="17.25" customHeight="1"/>
    <row r="30820" customFormat="1" ht="17.25" customHeight="1"/>
    <row r="30821" customFormat="1" ht="17.25" customHeight="1"/>
    <row r="30822" customFormat="1" ht="17.25" customHeight="1"/>
    <row r="30823" customFormat="1" ht="17.25" customHeight="1"/>
    <row r="30824" customFormat="1" ht="17.25" customHeight="1"/>
    <row r="30825" customFormat="1" ht="17.25" customHeight="1"/>
    <row r="30826" customFormat="1" ht="17.25" customHeight="1"/>
    <row r="30827" customFormat="1" ht="17.25" customHeight="1"/>
    <row r="30828" customFormat="1" ht="17.25" customHeight="1"/>
    <row r="30829" customFormat="1" ht="17.25" customHeight="1"/>
    <row r="30830" customFormat="1" ht="17.25" customHeight="1"/>
    <row r="30831" customFormat="1" ht="17.25" customHeight="1"/>
    <row r="30832" customFormat="1" ht="17.25" customHeight="1"/>
    <row r="30833" customFormat="1" ht="17.25" customHeight="1"/>
    <row r="30834" customFormat="1" ht="17.25" customHeight="1"/>
    <row r="30835" customFormat="1" ht="17.25" customHeight="1"/>
    <row r="30836" customFormat="1" ht="17.25" customHeight="1"/>
    <row r="30837" customFormat="1" ht="17.25" customHeight="1"/>
    <row r="30838" customFormat="1" ht="17.25" customHeight="1"/>
    <row r="30839" customFormat="1" ht="17.25" customHeight="1"/>
    <row r="30840" customFormat="1" ht="17.25" customHeight="1"/>
    <row r="30841" customFormat="1" ht="17.25" customHeight="1"/>
    <row r="30842" customFormat="1" ht="17.25" customHeight="1"/>
    <row r="30843" customFormat="1" ht="17.25" customHeight="1"/>
    <row r="30844" customFormat="1" ht="17.25" customHeight="1"/>
    <row r="30845" customFormat="1" ht="17.25" customHeight="1"/>
    <row r="30846" customFormat="1" ht="17.25" customHeight="1"/>
    <row r="30847" customFormat="1" ht="17.25" customHeight="1"/>
    <row r="30848" customFormat="1" ht="17.25" customHeight="1"/>
    <row r="30849" customFormat="1" ht="17.25" customHeight="1"/>
    <row r="30850" customFormat="1" ht="17.25" customHeight="1"/>
    <row r="30851" customFormat="1" ht="17.25" customHeight="1"/>
    <row r="30852" customFormat="1" ht="17.25" customHeight="1"/>
    <row r="30853" customFormat="1" ht="17.25" customHeight="1"/>
    <row r="30854" customFormat="1" ht="17.25" customHeight="1"/>
    <row r="30855" customFormat="1" ht="17.25" customHeight="1"/>
    <row r="30856" customFormat="1" ht="17.25" customHeight="1"/>
    <row r="30857" customFormat="1" ht="17.25" customHeight="1"/>
    <row r="30858" customFormat="1" ht="17.25" customHeight="1"/>
    <row r="30859" customFormat="1" ht="17.25" customHeight="1"/>
    <row r="30860" customFormat="1" ht="17.25" customHeight="1"/>
    <row r="30861" customFormat="1" ht="17.25" customHeight="1"/>
    <row r="30862" customFormat="1" ht="17.25" customHeight="1"/>
    <row r="30863" customFormat="1" ht="17.25" customHeight="1"/>
    <row r="30864" customFormat="1" ht="17.25" customHeight="1"/>
    <row r="30865" customFormat="1" ht="17.25" customHeight="1"/>
    <row r="30866" customFormat="1" ht="17.25" customHeight="1"/>
    <row r="30867" customFormat="1" ht="17.25" customHeight="1"/>
    <row r="30868" customFormat="1" ht="17.25" customHeight="1"/>
    <row r="30869" customFormat="1" ht="17.25" customHeight="1"/>
    <row r="30870" customFormat="1" ht="17.25" customHeight="1"/>
    <row r="30871" customFormat="1" ht="17.25" customHeight="1"/>
    <row r="30872" customFormat="1" ht="17.25" customHeight="1"/>
    <row r="30873" customFormat="1" ht="17.25" customHeight="1"/>
    <row r="30874" customFormat="1" ht="17.25" customHeight="1"/>
    <row r="30875" customFormat="1" ht="17.25" customHeight="1"/>
    <row r="30876" customFormat="1" ht="17.25" customHeight="1"/>
    <row r="30877" customFormat="1" ht="17.25" customHeight="1"/>
    <row r="30878" customFormat="1" ht="17.25" customHeight="1"/>
    <row r="30879" customFormat="1" ht="17.25" customHeight="1"/>
    <row r="30880" customFormat="1" ht="17.25" customHeight="1"/>
    <row r="30881" customFormat="1" ht="17.25" customHeight="1"/>
    <row r="30882" customFormat="1" ht="17.25" customHeight="1"/>
    <row r="30883" customFormat="1" ht="17.25" customHeight="1"/>
    <row r="30884" customFormat="1" ht="17.25" customHeight="1"/>
    <row r="30885" customFormat="1" ht="17.25" customHeight="1"/>
    <row r="30886" customFormat="1" ht="17.25" customHeight="1"/>
    <row r="30887" customFormat="1" ht="17.25" customHeight="1"/>
    <row r="30888" customFormat="1" ht="17.25" customHeight="1"/>
    <row r="30889" customFormat="1" ht="17.25" customHeight="1"/>
    <row r="30890" customFormat="1" ht="17.25" customHeight="1"/>
    <row r="30891" customFormat="1" ht="17.25" customHeight="1"/>
    <row r="30892" customFormat="1" ht="17.25" customHeight="1"/>
    <row r="30893" customFormat="1" ht="17.25" customHeight="1"/>
    <row r="30894" customFormat="1" ht="17.25" customHeight="1"/>
    <row r="30895" customFormat="1" ht="17.25" customHeight="1"/>
    <row r="30896" customFormat="1" ht="17.25" customHeight="1"/>
    <row r="30897" customFormat="1" ht="17.25" customHeight="1"/>
    <row r="30898" customFormat="1" ht="17.25" customHeight="1"/>
    <row r="30899" customFormat="1" ht="17.25" customHeight="1"/>
    <row r="30900" customFormat="1" ht="17.25" customHeight="1"/>
    <row r="30901" customFormat="1" ht="17.25" customHeight="1"/>
    <row r="30902" customFormat="1" ht="17.25" customHeight="1"/>
    <row r="30903" customFormat="1" ht="17.25" customHeight="1"/>
    <row r="30904" customFormat="1" ht="17.25" customHeight="1"/>
    <row r="30905" customFormat="1" ht="17.25" customHeight="1"/>
    <row r="30906" customFormat="1" ht="17.25" customHeight="1"/>
    <row r="30907" customFormat="1" ht="17.25" customHeight="1"/>
    <row r="30908" customFormat="1" ht="17.25" customHeight="1"/>
    <row r="30909" customFormat="1" ht="17.25" customHeight="1"/>
    <row r="30910" customFormat="1" ht="17.25" customHeight="1"/>
    <row r="30911" customFormat="1" ht="17.25" customHeight="1"/>
    <row r="30912" customFormat="1" ht="17.25" customHeight="1"/>
    <row r="30913" customFormat="1" ht="17.25" customHeight="1"/>
    <row r="30914" customFormat="1" ht="17.25" customHeight="1"/>
    <row r="30915" customFormat="1" ht="17.25" customHeight="1"/>
    <row r="30916" customFormat="1" ht="17.25" customHeight="1"/>
    <row r="30917" customFormat="1" ht="17.25" customHeight="1"/>
    <row r="30918" customFormat="1" ht="17.25" customHeight="1"/>
    <row r="30919" customFormat="1" ht="17.25" customHeight="1"/>
    <row r="30920" customFormat="1" ht="17.25" customHeight="1"/>
    <row r="30921" customFormat="1" ht="17.25" customHeight="1"/>
    <row r="30922" customFormat="1" ht="17.25" customHeight="1"/>
    <row r="30923" customFormat="1" ht="17.25" customHeight="1"/>
    <row r="30924" customFormat="1" ht="17.25" customHeight="1"/>
    <row r="30925" customFormat="1" ht="17.25" customHeight="1"/>
    <row r="30926" customFormat="1" ht="17.25" customHeight="1"/>
    <row r="30927" customFormat="1" ht="17.25" customHeight="1"/>
    <row r="30928" customFormat="1" ht="17.25" customHeight="1"/>
    <row r="30929" customFormat="1" ht="17.25" customHeight="1"/>
    <row r="30930" customFormat="1" ht="17.25" customHeight="1"/>
    <row r="30931" customFormat="1" ht="17.25" customHeight="1"/>
    <row r="30932" customFormat="1" ht="17.25" customHeight="1"/>
    <row r="30933" customFormat="1" ht="17.25" customHeight="1"/>
    <row r="30934" customFormat="1" ht="17.25" customHeight="1"/>
    <row r="30935" customFormat="1" ht="17.25" customHeight="1"/>
    <row r="30936" customFormat="1" ht="17.25" customHeight="1"/>
    <row r="30937" customFormat="1" ht="17.25" customHeight="1"/>
    <row r="30938" customFormat="1" ht="17.25" customHeight="1"/>
    <row r="30939" customFormat="1" ht="17.25" customHeight="1"/>
    <row r="30940" customFormat="1" ht="17.25" customHeight="1"/>
    <row r="30941" customFormat="1" ht="17.25" customHeight="1"/>
    <row r="30942" customFormat="1" ht="17.25" customHeight="1"/>
    <row r="30943" customFormat="1" ht="17.25" customHeight="1"/>
    <row r="30944" customFormat="1" ht="17.25" customHeight="1"/>
    <row r="30945" customFormat="1" ht="17.25" customHeight="1"/>
    <row r="30946" customFormat="1" ht="17.25" customHeight="1"/>
    <row r="30947" customFormat="1" ht="17.25" customHeight="1"/>
    <row r="30948" customFormat="1" ht="17.25" customHeight="1"/>
    <row r="30949" customFormat="1" ht="17.25" customHeight="1"/>
    <row r="30950" customFormat="1" ht="17.25" customHeight="1"/>
    <row r="30951" customFormat="1" ht="17.25" customHeight="1"/>
    <row r="30952" customFormat="1" ht="17.25" customHeight="1"/>
    <row r="30953" customFormat="1" ht="17.25" customHeight="1"/>
    <row r="30954" customFormat="1" ht="17.25" customHeight="1"/>
    <row r="30955" customFormat="1" ht="17.25" customHeight="1"/>
    <row r="30956" customFormat="1" ht="17.25" customHeight="1"/>
    <row r="30957" customFormat="1" ht="17.25" customHeight="1"/>
    <row r="30958" customFormat="1" ht="17.25" customHeight="1"/>
    <row r="30959" customFormat="1" ht="17.25" customHeight="1"/>
    <row r="30960" customFormat="1" ht="17.25" customHeight="1"/>
    <row r="30961" customFormat="1" ht="17.25" customHeight="1"/>
    <row r="30962" customFormat="1" ht="17.25" customHeight="1"/>
    <row r="30963" customFormat="1" ht="17.25" customHeight="1"/>
    <row r="30964" customFormat="1" ht="17.25" customHeight="1"/>
    <row r="30965" customFormat="1" ht="17.25" customHeight="1"/>
    <row r="30966" customFormat="1" ht="17.25" customHeight="1"/>
    <row r="30967" customFormat="1" ht="17.25" customHeight="1"/>
    <row r="30968" customFormat="1" ht="17.25" customHeight="1"/>
    <row r="30969" customFormat="1" ht="17.25" customHeight="1"/>
    <row r="30970" customFormat="1" ht="17.25" customHeight="1"/>
    <row r="30971" customFormat="1" ht="17.25" customHeight="1"/>
    <row r="30972" customFormat="1" ht="17.25" customHeight="1"/>
    <row r="30973" customFormat="1" ht="17.25" customHeight="1"/>
    <row r="30974" customFormat="1" ht="17.25" customHeight="1"/>
    <row r="30975" customFormat="1" ht="17.25" customHeight="1"/>
    <row r="30976" customFormat="1" ht="17.25" customHeight="1"/>
    <row r="30977" customFormat="1" ht="17.25" customHeight="1"/>
    <row r="30978" customFormat="1" ht="17.25" customHeight="1"/>
    <row r="30979" customFormat="1" ht="17.25" customHeight="1"/>
    <row r="30980" customFormat="1" ht="17.25" customHeight="1"/>
    <row r="30981" customFormat="1" ht="17.25" customHeight="1"/>
    <row r="30982" customFormat="1" ht="17.25" customHeight="1"/>
    <row r="30983" customFormat="1" ht="17.25" customHeight="1"/>
    <row r="30984" customFormat="1" ht="17.25" customHeight="1"/>
    <row r="30985" customFormat="1" ht="17.25" customHeight="1"/>
    <row r="30986" customFormat="1" ht="17.25" customHeight="1"/>
    <row r="30987" customFormat="1" ht="17.25" customHeight="1"/>
    <row r="30988" customFormat="1" ht="17.25" customHeight="1"/>
    <row r="30989" customFormat="1" ht="17.25" customHeight="1"/>
    <row r="30990" customFormat="1" ht="17.25" customHeight="1"/>
    <row r="30991" customFormat="1" ht="17.25" customHeight="1"/>
    <row r="30992" customFormat="1" ht="17.25" customHeight="1"/>
    <row r="30993" customFormat="1" ht="17.25" customHeight="1"/>
    <row r="30994" customFormat="1" ht="17.25" customHeight="1"/>
    <row r="30995" customFormat="1" ht="17.25" customHeight="1"/>
    <row r="30996" customFormat="1" ht="17.25" customHeight="1"/>
    <row r="30997" customFormat="1" ht="17.25" customHeight="1"/>
    <row r="30998" customFormat="1" ht="17.25" customHeight="1"/>
    <row r="30999" customFormat="1" ht="17.25" customHeight="1"/>
    <row r="31000" customFormat="1" ht="17.25" customHeight="1"/>
    <row r="31001" customFormat="1" ht="17.25" customHeight="1"/>
    <row r="31002" customFormat="1" ht="17.25" customHeight="1"/>
    <row r="31003" customFormat="1" ht="17.25" customHeight="1"/>
    <row r="31004" customFormat="1" ht="17.25" customHeight="1"/>
    <row r="31005" customFormat="1" ht="17.25" customHeight="1"/>
    <row r="31006" customFormat="1" ht="17.25" customHeight="1"/>
    <row r="31007" customFormat="1" ht="17.25" customHeight="1"/>
    <row r="31008" customFormat="1" ht="17.25" customHeight="1"/>
    <row r="31009" customFormat="1" ht="17.25" customHeight="1"/>
    <row r="31010" customFormat="1" ht="17.25" customHeight="1"/>
    <row r="31011" customFormat="1" ht="17.25" customHeight="1"/>
    <row r="31012" customFormat="1" ht="17.25" customHeight="1"/>
    <row r="31013" customFormat="1" ht="17.25" customHeight="1"/>
    <row r="31014" customFormat="1" ht="17.25" customHeight="1"/>
    <row r="31015" customFormat="1" ht="17.25" customHeight="1"/>
    <row r="31016" customFormat="1" ht="17.25" customHeight="1"/>
    <row r="31017" customFormat="1" ht="17.25" customHeight="1"/>
    <row r="31018" customFormat="1" ht="17.25" customHeight="1"/>
    <row r="31019" customFormat="1" ht="17.25" customHeight="1"/>
    <row r="31020" customFormat="1" ht="17.25" customHeight="1"/>
    <row r="31021" customFormat="1" ht="17.25" customHeight="1"/>
    <row r="31022" customFormat="1" ht="17.25" customHeight="1"/>
    <row r="31023" customFormat="1" ht="17.25" customHeight="1"/>
    <row r="31024" customFormat="1" ht="17.25" customHeight="1"/>
    <row r="31025" customFormat="1" ht="17.25" customHeight="1"/>
    <row r="31026" customFormat="1" ht="17.25" customHeight="1"/>
    <row r="31027" customFormat="1" ht="17.25" customHeight="1"/>
    <row r="31028" customFormat="1" ht="17.25" customHeight="1"/>
    <row r="31029" customFormat="1" ht="17.25" customHeight="1"/>
    <row r="31030" customFormat="1" ht="17.25" customHeight="1"/>
    <row r="31031" customFormat="1" ht="17.25" customHeight="1"/>
    <row r="31032" customFormat="1" ht="17.25" customHeight="1"/>
    <row r="31033" customFormat="1" ht="17.25" customHeight="1"/>
    <row r="31034" customFormat="1" ht="17.25" customHeight="1"/>
    <row r="31035" customFormat="1" ht="17.25" customHeight="1"/>
    <row r="31036" customFormat="1" ht="17.25" customHeight="1"/>
    <row r="31037" customFormat="1" ht="17.25" customHeight="1"/>
    <row r="31038" customFormat="1" ht="17.25" customHeight="1"/>
    <row r="31039" customFormat="1" ht="17.25" customHeight="1"/>
    <row r="31040" customFormat="1" ht="17.25" customHeight="1"/>
    <row r="31041" customFormat="1" ht="17.25" customHeight="1"/>
    <row r="31042" customFormat="1" ht="17.25" customHeight="1"/>
    <row r="31043" customFormat="1" ht="17.25" customHeight="1"/>
    <row r="31044" customFormat="1" ht="17.25" customHeight="1"/>
    <row r="31045" customFormat="1" ht="17.25" customHeight="1"/>
    <row r="31046" customFormat="1" ht="17.25" customHeight="1"/>
    <row r="31047" customFormat="1" ht="17.25" customHeight="1"/>
    <row r="31048" customFormat="1" ht="17.25" customHeight="1"/>
    <row r="31049" customFormat="1" ht="17.25" customHeight="1"/>
    <row r="31050" customFormat="1" ht="17.25" customHeight="1"/>
    <row r="31051" customFormat="1" ht="17.25" customHeight="1"/>
    <row r="31052" customFormat="1" ht="17.25" customHeight="1"/>
    <row r="31053" customFormat="1" ht="17.25" customHeight="1"/>
    <row r="31054" customFormat="1" ht="17.25" customHeight="1"/>
    <row r="31055" customFormat="1" ht="17.25" customHeight="1"/>
    <row r="31056" customFormat="1" ht="17.25" customHeight="1"/>
    <row r="31057" customFormat="1" ht="17.25" customHeight="1"/>
    <row r="31058" customFormat="1" ht="17.25" customHeight="1"/>
    <row r="31059" customFormat="1" ht="17.25" customHeight="1"/>
    <row r="31060" customFormat="1" ht="17.25" customHeight="1"/>
    <row r="31061" customFormat="1" ht="17.25" customHeight="1"/>
    <row r="31062" customFormat="1" ht="17.25" customHeight="1"/>
    <row r="31063" customFormat="1" ht="17.25" customHeight="1"/>
    <row r="31064" customFormat="1" ht="17.25" customHeight="1"/>
    <row r="31065" customFormat="1" ht="17.25" customHeight="1"/>
    <row r="31066" customFormat="1" ht="17.25" customHeight="1"/>
    <row r="31067" customFormat="1" ht="17.25" customHeight="1"/>
    <row r="31068" customFormat="1" ht="17.25" customHeight="1"/>
    <row r="31069" customFormat="1" ht="17.25" customHeight="1"/>
    <row r="31070" customFormat="1" ht="17.25" customHeight="1"/>
    <row r="31071" customFormat="1" ht="17.25" customHeight="1"/>
    <row r="31072" customFormat="1" ht="17.25" customHeight="1"/>
    <row r="31073" customFormat="1" ht="17.25" customHeight="1"/>
    <row r="31074" customFormat="1" ht="17.25" customHeight="1"/>
    <row r="31075" customFormat="1" ht="17.25" customHeight="1"/>
    <row r="31076" customFormat="1" ht="17.25" customHeight="1"/>
    <row r="31077" customFormat="1" ht="17.25" customHeight="1"/>
    <row r="31078" customFormat="1" ht="17.25" customHeight="1"/>
    <row r="31079" customFormat="1" ht="17.25" customHeight="1"/>
    <row r="31080" customFormat="1" ht="17.25" customHeight="1"/>
    <row r="31081" customFormat="1" ht="17.25" customHeight="1"/>
    <row r="31082" customFormat="1" ht="17.25" customHeight="1"/>
    <row r="31083" customFormat="1" ht="17.25" customHeight="1"/>
    <row r="31084" customFormat="1" ht="17.25" customHeight="1"/>
    <row r="31085" customFormat="1" ht="17.25" customHeight="1"/>
    <row r="31086" customFormat="1" ht="17.25" customHeight="1"/>
    <row r="31087" customFormat="1" ht="17.25" customHeight="1"/>
    <row r="31088" customFormat="1" ht="17.25" customHeight="1"/>
    <row r="31089" customFormat="1" ht="17.25" customHeight="1"/>
    <row r="31090" customFormat="1" ht="17.25" customHeight="1"/>
    <row r="31091" customFormat="1" ht="17.25" customHeight="1"/>
    <row r="31092" customFormat="1" ht="17.25" customHeight="1"/>
    <row r="31093" customFormat="1" ht="17.25" customHeight="1"/>
    <row r="31094" customFormat="1" ht="17.25" customHeight="1"/>
    <row r="31095" customFormat="1" ht="17.25" customHeight="1"/>
    <row r="31096" customFormat="1" ht="17.25" customHeight="1"/>
    <row r="31097" customFormat="1" ht="17.25" customHeight="1"/>
    <row r="31098" customFormat="1" ht="17.25" customHeight="1"/>
    <row r="31099" customFormat="1" ht="17.25" customHeight="1"/>
    <row r="31100" customFormat="1" ht="17.25" customHeight="1"/>
    <row r="31101" customFormat="1" ht="17.25" customHeight="1"/>
    <row r="31102" customFormat="1" ht="17.25" customHeight="1"/>
    <row r="31103" customFormat="1" ht="17.25" customHeight="1"/>
    <row r="31104" customFormat="1" ht="17.25" customHeight="1"/>
    <row r="31105" customFormat="1" ht="17.25" customHeight="1"/>
    <row r="31106" customFormat="1" ht="17.25" customHeight="1"/>
    <row r="31107" customFormat="1" ht="17.25" customHeight="1"/>
    <row r="31108" customFormat="1" ht="17.25" customHeight="1"/>
    <row r="31109" customFormat="1" ht="17.25" customHeight="1"/>
    <row r="31110" customFormat="1" ht="17.25" customHeight="1"/>
    <row r="31111" customFormat="1" ht="17.25" customHeight="1"/>
    <row r="31112" customFormat="1" ht="17.25" customHeight="1"/>
    <row r="31113" customFormat="1" ht="17.25" customHeight="1"/>
    <row r="31114" customFormat="1" ht="17.25" customHeight="1"/>
    <row r="31115" customFormat="1" ht="17.25" customHeight="1"/>
    <row r="31116" customFormat="1" ht="17.25" customHeight="1"/>
    <row r="31117" customFormat="1" ht="17.25" customHeight="1"/>
    <row r="31118" customFormat="1" ht="17.25" customHeight="1"/>
    <row r="31119" customFormat="1" ht="17.25" customHeight="1"/>
    <row r="31120" customFormat="1" ht="17.25" customHeight="1"/>
    <row r="31121" customFormat="1" ht="17.25" customHeight="1"/>
    <row r="31122" customFormat="1" ht="17.25" customHeight="1"/>
    <row r="31123" customFormat="1" ht="17.25" customHeight="1"/>
    <row r="31124" customFormat="1" ht="17.25" customHeight="1"/>
    <row r="31125" customFormat="1" ht="17.25" customHeight="1"/>
    <row r="31126" customFormat="1" ht="17.25" customHeight="1"/>
    <row r="31127" customFormat="1" ht="17.25" customHeight="1"/>
    <row r="31128" customFormat="1" ht="17.25" customHeight="1"/>
    <row r="31129" customFormat="1" ht="17.25" customHeight="1"/>
    <row r="31130" customFormat="1" ht="17.25" customHeight="1"/>
    <row r="31131" customFormat="1" ht="17.25" customHeight="1"/>
    <row r="31132" customFormat="1" ht="17.25" customHeight="1"/>
    <row r="31133" customFormat="1" ht="17.25" customHeight="1"/>
    <row r="31134" customFormat="1" ht="17.25" customHeight="1"/>
    <row r="31135" customFormat="1" ht="17.25" customHeight="1"/>
    <row r="31136" customFormat="1" ht="17.25" customHeight="1"/>
    <row r="31137" customFormat="1" ht="17.25" customHeight="1"/>
    <row r="31138" customFormat="1" ht="17.25" customHeight="1"/>
    <row r="31139" customFormat="1" ht="17.25" customHeight="1"/>
    <row r="31140" customFormat="1" ht="17.25" customHeight="1"/>
    <row r="31141" customFormat="1" ht="17.25" customHeight="1"/>
    <row r="31142" customFormat="1" ht="17.25" customHeight="1"/>
    <row r="31143" customFormat="1" ht="17.25" customHeight="1"/>
    <row r="31144" customFormat="1" ht="17.25" customHeight="1"/>
    <row r="31145" customFormat="1" ht="17.25" customHeight="1"/>
    <row r="31146" customFormat="1" ht="17.25" customHeight="1"/>
    <row r="31147" customFormat="1" ht="17.25" customHeight="1"/>
    <row r="31148" customFormat="1" ht="17.25" customHeight="1"/>
    <row r="31149" customFormat="1" ht="17.25" customHeight="1"/>
    <row r="31150" customFormat="1" ht="17.25" customHeight="1"/>
    <row r="31151" customFormat="1" ht="17.25" customHeight="1"/>
    <row r="31152" customFormat="1" ht="17.25" customHeight="1"/>
    <row r="31153" customFormat="1" ht="17.25" customHeight="1"/>
    <row r="31154" customFormat="1" ht="17.25" customHeight="1"/>
    <row r="31155" customFormat="1" ht="17.25" customHeight="1"/>
    <row r="31156" customFormat="1" ht="17.25" customHeight="1"/>
    <row r="31157" customFormat="1" ht="17.25" customHeight="1"/>
    <row r="31158" customFormat="1" ht="17.25" customHeight="1"/>
    <row r="31159" customFormat="1" ht="17.25" customHeight="1"/>
    <row r="31160" customFormat="1" ht="17.25" customHeight="1"/>
    <row r="31161" customFormat="1" ht="17.25" customHeight="1"/>
    <row r="31162" customFormat="1" ht="17.25" customHeight="1"/>
    <row r="31163" customFormat="1" ht="17.25" customHeight="1"/>
    <row r="31164" customFormat="1" ht="17.25" customHeight="1"/>
    <row r="31165" customFormat="1" ht="17.25" customHeight="1"/>
    <row r="31166" customFormat="1" ht="17.25" customHeight="1"/>
    <row r="31167" customFormat="1" ht="17.25" customHeight="1"/>
    <row r="31168" customFormat="1" ht="17.25" customHeight="1"/>
    <row r="31169" customFormat="1" ht="17.25" customHeight="1"/>
    <row r="31170" customFormat="1" ht="17.25" customHeight="1"/>
    <row r="31171" customFormat="1" ht="17.25" customHeight="1"/>
    <row r="31172" customFormat="1" ht="17.25" customHeight="1"/>
    <row r="31173" customFormat="1" ht="17.25" customHeight="1"/>
    <row r="31174" customFormat="1" ht="17.25" customHeight="1"/>
    <row r="31175" customFormat="1" ht="17.25" customHeight="1"/>
    <row r="31176" customFormat="1" ht="17.25" customHeight="1"/>
    <row r="31177" customFormat="1" ht="17.25" customHeight="1"/>
    <row r="31178" customFormat="1" ht="17.25" customHeight="1"/>
    <row r="31179" customFormat="1" ht="17.25" customHeight="1"/>
    <row r="31180" customFormat="1" ht="17.25" customHeight="1"/>
    <row r="31181" customFormat="1" ht="17.25" customHeight="1"/>
    <row r="31182" customFormat="1" ht="17.25" customHeight="1"/>
    <row r="31183" customFormat="1" ht="17.25" customHeight="1"/>
    <row r="31184" customFormat="1" ht="17.25" customHeight="1"/>
    <row r="31185" customFormat="1" ht="17.25" customHeight="1"/>
    <row r="31186" customFormat="1" ht="17.25" customHeight="1"/>
    <row r="31187" customFormat="1" ht="17.25" customHeight="1"/>
    <row r="31188" customFormat="1" ht="17.25" customHeight="1"/>
    <row r="31189" customFormat="1" ht="17.25" customHeight="1"/>
    <row r="31190" customFormat="1" ht="17.25" customHeight="1"/>
    <row r="31191" customFormat="1" ht="17.25" customHeight="1"/>
    <row r="31192" customFormat="1" ht="17.25" customHeight="1"/>
    <row r="31193" customFormat="1" ht="17.25" customHeight="1"/>
    <row r="31194" customFormat="1" ht="17.25" customHeight="1"/>
    <row r="31195" customFormat="1" ht="17.25" customHeight="1"/>
    <row r="31196" customFormat="1" ht="17.25" customHeight="1"/>
    <row r="31197" customFormat="1" ht="17.25" customHeight="1"/>
    <row r="31198" customFormat="1" ht="17.25" customHeight="1"/>
    <row r="31199" customFormat="1" ht="17.25" customHeight="1"/>
    <row r="31200" customFormat="1" ht="17.25" customHeight="1"/>
    <row r="31201" customFormat="1" ht="17.25" customHeight="1"/>
    <row r="31202" customFormat="1" ht="17.25" customHeight="1"/>
    <row r="31203" customFormat="1" ht="17.25" customHeight="1"/>
    <row r="31204" customFormat="1" ht="17.25" customHeight="1"/>
    <row r="31205" customFormat="1" ht="17.25" customHeight="1"/>
    <row r="31206" customFormat="1" ht="17.25" customHeight="1"/>
    <row r="31207" customFormat="1" ht="17.25" customHeight="1"/>
    <row r="31208" customFormat="1" ht="17.25" customHeight="1"/>
    <row r="31209" customFormat="1" ht="17.25" customHeight="1"/>
    <row r="31210" customFormat="1" ht="17.25" customHeight="1"/>
    <row r="31211" customFormat="1" ht="17.25" customHeight="1"/>
    <row r="31212" customFormat="1" ht="17.25" customHeight="1"/>
    <row r="31213" customFormat="1" ht="17.25" customHeight="1"/>
    <row r="31214" customFormat="1" ht="17.25" customHeight="1"/>
    <row r="31215" customFormat="1" ht="17.25" customHeight="1"/>
    <row r="31216" customFormat="1" ht="17.25" customHeight="1"/>
    <row r="31217" customFormat="1" ht="17.25" customHeight="1"/>
    <row r="31218" customFormat="1" ht="17.25" customHeight="1"/>
    <row r="31219" customFormat="1" ht="17.25" customHeight="1"/>
    <row r="31220" customFormat="1" ht="17.25" customHeight="1"/>
    <row r="31221" customFormat="1" ht="17.25" customHeight="1"/>
    <row r="31222" customFormat="1" ht="17.25" customHeight="1"/>
    <row r="31223" customFormat="1" ht="17.25" customHeight="1"/>
    <row r="31224" customFormat="1" ht="17.25" customHeight="1"/>
    <row r="31225" customFormat="1" ht="17.25" customHeight="1"/>
    <row r="31226" customFormat="1" ht="17.25" customHeight="1"/>
    <row r="31227" customFormat="1" ht="17.25" customHeight="1"/>
    <row r="31228" customFormat="1" ht="17.25" customHeight="1"/>
    <row r="31229" customFormat="1" ht="17.25" customHeight="1"/>
    <row r="31230" customFormat="1" ht="17.25" customHeight="1"/>
    <row r="31231" customFormat="1" ht="17.25" customHeight="1"/>
    <row r="31232" customFormat="1" ht="17.25" customHeight="1"/>
    <row r="31233" customFormat="1" ht="17.25" customHeight="1"/>
    <row r="31234" customFormat="1" ht="17.25" customHeight="1"/>
    <row r="31235" customFormat="1" ht="17.25" customHeight="1"/>
    <row r="31236" customFormat="1" ht="17.25" customHeight="1"/>
    <row r="31237" customFormat="1" ht="17.25" customHeight="1"/>
    <row r="31238" customFormat="1" ht="17.25" customHeight="1"/>
    <row r="31239" customFormat="1" ht="17.25" customHeight="1"/>
    <row r="31240" customFormat="1" ht="17.25" customHeight="1"/>
    <row r="31241" customFormat="1" ht="17.25" customHeight="1"/>
    <row r="31242" customFormat="1" ht="17.25" customHeight="1"/>
    <row r="31243" customFormat="1" ht="17.25" customHeight="1"/>
    <row r="31244" customFormat="1" ht="17.25" customHeight="1"/>
    <row r="31245" customFormat="1" ht="17.25" customHeight="1"/>
    <row r="31246" customFormat="1" ht="17.25" customHeight="1"/>
    <row r="31247" customFormat="1" ht="17.25" customHeight="1"/>
    <row r="31248" customFormat="1" ht="17.25" customHeight="1"/>
    <row r="31249" customFormat="1" ht="17.25" customHeight="1"/>
    <row r="31250" customFormat="1" ht="17.25" customHeight="1"/>
    <row r="31251" customFormat="1" ht="17.25" customHeight="1"/>
    <row r="31252" customFormat="1" ht="17.25" customHeight="1"/>
    <row r="31253" customFormat="1" ht="17.25" customHeight="1"/>
    <row r="31254" customFormat="1" ht="17.25" customHeight="1"/>
    <row r="31255" customFormat="1" ht="17.25" customHeight="1"/>
    <row r="31256" customFormat="1" ht="17.25" customHeight="1"/>
    <row r="31257" customFormat="1" ht="17.25" customHeight="1"/>
    <row r="31258" customFormat="1" ht="17.25" customHeight="1"/>
    <row r="31259" customFormat="1" ht="17.25" customHeight="1"/>
    <row r="31260" customFormat="1" ht="17.25" customHeight="1"/>
    <row r="31261" customFormat="1" ht="17.25" customHeight="1"/>
    <row r="31262" customFormat="1" ht="17.25" customHeight="1"/>
    <row r="31263" customFormat="1" ht="17.25" customHeight="1"/>
    <row r="31264" customFormat="1" ht="17.25" customHeight="1"/>
    <row r="31265" customFormat="1" ht="17.25" customHeight="1"/>
    <row r="31266" customFormat="1" ht="17.25" customHeight="1"/>
    <row r="31267" customFormat="1" ht="17.25" customHeight="1"/>
    <row r="31268" customFormat="1" ht="17.25" customHeight="1"/>
    <row r="31269" customFormat="1" ht="17.25" customHeight="1"/>
    <row r="31270" customFormat="1" ht="17.25" customHeight="1"/>
    <row r="31271" customFormat="1" ht="17.25" customHeight="1"/>
    <row r="31272" customFormat="1" ht="17.25" customHeight="1"/>
    <row r="31273" customFormat="1" ht="17.25" customHeight="1"/>
    <row r="31274" customFormat="1" ht="17.25" customHeight="1"/>
    <row r="31275" customFormat="1" ht="17.25" customHeight="1"/>
    <row r="31276" customFormat="1" ht="17.25" customHeight="1"/>
    <row r="31277" customFormat="1" ht="17.25" customHeight="1"/>
    <row r="31278" customFormat="1" ht="17.25" customHeight="1"/>
    <row r="31279" customFormat="1" ht="17.25" customHeight="1"/>
    <row r="31280" customFormat="1" ht="17.25" customHeight="1"/>
    <row r="31281" customFormat="1" ht="17.25" customHeight="1"/>
    <row r="31282" customFormat="1" ht="17.25" customHeight="1"/>
    <row r="31283" customFormat="1" ht="17.25" customHeight="1"/>
    <row r="31284" customFormat="1" ht="17.25" customHeight="1"/>
    <row r="31285" customFormat="1" ht="17.25" customHeight="1"/>
    <row r="31286" customFormat="1" ht="17.25" customHeight="1"/>
    <row r="31287" customFormat="1" ht="17.25" customHeight="1"/>
    <row r="31288" customFormat="1" ht="17.25" customHeight="1"/>
    <row r="31289" customFormat="1" ht="17.25" customHeight="1"/>
    <row r="31290" customFormat="1" ht="17.25" customHeight="1"/>
    <row r="31291" customFormat="1" ht="17.25" customHeight="1"/>
    <row r="31292" customFormat="1" ht="17.25" customHeight="1"/>
    <row r="31293" customFormat="1" ht="17.25" customHeight="1"/>
    <row r="31294" customFormat="1" ht="17.25" customHeight="1"/>
    <row r="31295" customFormat="1" ht="17.25" customHeight="1"/>
    <row r="31296" customFormat="1" ht="17.25" customHeight="1"/>
    <row r="31297" customFormat="1" ht="17.25" customHeight="1"/>
    <row r="31298" customFormat="1" ht="17.25" customHeight="1"/>
    <row r="31299" customFormat="1" ht="17.25" customHeight="1"/>
    <row r="31300" customFormat="1" ht="17.25" customHeight="1"/>
    <row r="31301" customFormat="1" ht="17.25" customHeight="1"/>
    <row r="31302" customFormat="1" ht="17.25" customHeight="1"/>
    <row r="31303" customFormat="1" ht="17.25" customHeight="1"/>
    <row r="31304" customFormat="1" ht="17.25" customHeight="1"/>
    <row r="31305" customFormat="1" ht="17.25" customHeight="1"/>
    <row r="31306" customFormat="1" ht="17.25" customHeight="1"/>
    <row r="31307" customFormat="1" ht="17.25" customHeight="1"/>
    <row r="31308" customFormat="1" ht="17.25" customHeight="1"/>
    <row r="31309" customFormat="1" ht="17.25" customHeight="1"/>
    <row r="31310" customFormat="1" ht="17.25" customHeight="1"/>
    <row r="31311" customFormat="1" ht="17.25" customHeight="1"/>
    <row r="31312" customFormat="1" ht="17.25" customHeight="1"/>
    <row r="31313" customFormat="1" ht="17.25" customHeight="1"/>
    <row r="31314" customFormat="1" ht="17.25" customHeight="1"/>
    <row r="31315" customFormat="1" ht="17.25" customHeight="1"/>
    <row r="31316" customFormat="1" ht="17.25" customHeight="1"/>
    <row r="31317" customFormat="1" ht="17.25" customHeight="1"/>
    <row r="31318" customFormat="1" ht="17.25" customHeight="1"/>
    <row r="31319" customFormat="1" ht="17.25" customHeight="1"/>
    <row r="31320" customFormat="1" ht="17.25" customHeight="1"/>
    <row r="31321" customFormat="1" ht="17.25" customHeight="1"/>
    <row r="31322" customFormat="1" ht="17.25" customHeight="1"/>
    <row r="31323" customFormat="1" ht="17.25" customHeight="1"/>
    <row r="31324" customFormat="1" ht="17.25" customHeight="1"/>
    <row r="31325" customFormat="1" ht="17.25" customHeight="1"/>
    <row r="31326" customFormat="1" ht="17.25" customHeight="1"/>
    <row r="31327" customFormat="1" ht="17.25" customHeight="1"/>
    <row r="31328" customFormat="1" ht="17.25" customHeight="1"/>
    <row r="31329" customFormat="1" ht="17.25" customHeight="1"/>
    <row r="31330" customFormat="1" ht="17.25" customHeight="1"/>
    <row r="31331" customFormat="1" ht="17.25" customHeight="1"/>
    <row r="31332" customFormat="1" ht="17.25" customHeight="1"/>
    <row r="31333" customFormat="1" ht="17.25" customHeight="1"/>
    <row r="31334" customFormat="1" ht="17.25" customHeight="1"/>
    <row r="31335" customFormat="1" ht="17.25" customHeight="1"/>
    <row r="31336" customFormat="1" ht="17.25" customHeight="1"/>
    <row r="31337" customFormat="1" ht="17.25" customHeight="1"/>
    <row r="31338" customFormat="1" ht="17.25" customHeight="1"/>
    <row r="31339" customFormat="1" ht="17.25" customHeight="1"/>
    <row r="31340" customFormat="1" ht="17.25" customHeight="1"/>
    <row r="31341" customFormat="1" ht="17.25" customHeight="1"/>
    <row r="31342" customFormat="1" ht="17.25" customHeight="1"/>
    <row r="31343" customFormat="1" ht="17.25" customHeight="1"/>
    <row r="31344" customFormat="1" ht="17.25" customHeight="1"/>
    <row r="31345" customFormat="1" ht="17.25" customHeight="1"/>
    <row r="31346" customFormat="1" ht="17.25" customHeight="1"/>
    <row r="31347" customFormat="1" ht="17.25" customHeight="1"/>
    <row r="31348" customFormat="1" ht="17.25" customHeight="1"/>
    <row r="31349" customFormat="1" ht="17.25" customHeight="1"/>
    <row r="31350" customFormat="1" ht="17.25" customHeight="1"/>
    <row r="31351" customFormat="1" ht="17.25" customHeight="1"/>
    <row r="31352" customFormat="1" ht="17.25" customHeight="1"/>
    <row r="31353" customFormat="1" ht="17.25" customHeight="1"/>
    <row r="31354" customFormat="1" ht="17.25" customHeight="1"/>
    <row r="31355" customFormat="1" ht="17.25" customHeight="1"/>
    <row r="31356" customFormat="1" ht="17.25" customHeight="1"/>
    <row r="31357" customFormat="1" ht="17.25" customHeight="1"/>
    <row r="31358" customFormat="1" ht="17.25" customHeight="1"/>
    <row r="31359" customFormat="1" ht="17.25" customHeight="1"/>
    <row r="31360" customFormat="1" ht="17.25" customHeight="1"/>
    <row r="31361" customFormat="1" ht="17.25" customHeight="1"/>
    <row r="31362" customFormat="1" ht="17.25" customHeight="1"/>
    <row r="31363" customFormat="1" ht="17.25" customHeight="1"/>
    <row r="31364" customFormat="1" ht="17.25" customHeight="1"/>
    <row r="31365" customFormat="1" ht="17.25" customHeight="1"/>
    <row r="31366" customFormat="1" ht="17.25" customHeight="1"/>
    <row r="31367" customFormat="1" ht="17.25" customHeight="1"/>
    <row r="31368" customFormat="1" ht="17.25" customHeight="1"/>
    <row r="31369" customFormat="1" ht="17.25" customHeight="1"/>
    <row r="31370" customFormat="1" ht="17.25" customHeight="1"/>
    <row r="31371" customFormat="1" ht="17.25" customHeight="1"/>
    <row r="31372" customFormat="1" ht="17.25" customHeight="1"/>
    <row r="31373" customFormat="1" ht="17.25" customHeight="1"/>
    <row r="31374" customFormat="1" ht="17.25" customHeight="1"/>
    <row r="31375" customFormat="1" ht="17.25" customHeight="1"/>
    <row r="31376" customFormat="1" ht="17.25" customHeight="1"/>
    <row r="31377" customFormat="1" ht="17.25" customHeight="1"/>
    <row r="31378" customFormat="1" ht="17.25" customHeight="1"/>
    <row r="31379" customFormat="1" ht="17.25" customHeight="1"/>
    <row r="31380" customFormat="1" ht="17.25" customHeight="1"/>
    <row r="31381" customFormat="1" ht="17.25" customHeight="1"/>
    <row r="31382" customFormat="1" ht="17.25" customHeight="1"/>
    <row r="31383" customFormat="1" ht="17.25" customHeight="1"/>
    <row r="31384" customFormat="1" ht="17.25" customHeight="1"/>
    <row r="31385" customFormat="1" ht="17.25" customHeight="1"/>
    <row r="31386" customFormat="1" ht="17.25" customHeight="1"/>
    <row r="31387" customFormat="1" ht="17.25" customHeight="1"/>
    <row r="31388" customFormat="1" ht="17.25" customHeight="1"/>
    <row r="31389" customFormat="1" ht="17.25" customHeight="1"/>
    <row r="31390" customFormat="1" ht="17.25" customHeight="1"/>
    <row r="31391" customFormat="1" ht="17.25" customHeight="1"/>
    <row r="31392" customFormat="1" ht="17.25" customHeight="1"/>
    <row r="31393" customFormat="1" ht="17.25" customHeight="1"/>
    <row r="31394" customFormat="1" ht="17.25" customHeight="1"/>
    <row r="31395" customFormat="1" ht="17.25" customHeight="1"/>
    <row r="31396" customFormat="1" ht="17.25" customHeight="1"/>
    <row r="31397" customFormat="1" ht="17.25" customHeight="1"/>
    <row r="31398" customFormat="1" ht="17.25" customHeight="1"/>
    <row r="31399" customFormat="1" ht="17.25" customHeight="1"/>
    <row r="31400" customFormat="1" ht="17.25" customHeight="1"/>
    <row r="31401" customFormat="1" ht="17.25" customHeight="1"/>
    <row r="31402" customFormat="1" ht="17.25" customHeight="1"/>
    <row r="31403" customFormat="1" ht="17.25" customHeight="1"/>
    <row r="31404" customFormat="1" ht="17.25" customHeight="1"/>
    <row r="31405" customFormat="1" ht="17.25" customHeight="1"/>
    <row r="31406" customFormat="1" ht="17.25" customHeight="1"/>
    <row r="31407" customFormat="1" ht="17.25" customHeight="1"/>
    <row r="31408" customFormat="1" ht="17.25" customHeight="1"/>
    <row r="31409" customFormat="1" ht="17.25" customHeight="1"/>
    <row r="31410" customFormat="1" ht="17.25" customHeight="1"/>
    <row r="31411" customFormat="1" ht="17.25" customHeight="1"/>
    <row r="31412" customFormat="1" ht="17.25" customHeight="1"/>
    <row r="31413" customFormat="1" ht="17.25" customHeight="1"/>
    <row r="31414" customFormat="1" ht="17.25" customHeight="1"/>
    <row r="31415" customFormat="1" ht="17.25" customHeight="1"/>
    <row r="31416" customFormat="1" ht="17.25" customHeight="1"/>
    <row r="31417" customFormat="1" ht="17.25" customHeight="1"/>
    <row r="31418" customFormat="1" ht="17.25" customHeight="1"/>
    <row r="31419" customFormat="1" ht="17.25" customHeight="1"/>
    <row r="31420" customFormat="1" ht="17.25" customHeight="1"/>
    <row r="31421" customFormat="1" ht="17.25" customHeight="1"/>
    <row r="31422" customFormat="1" ht="17.25" customHeight="1"/>
    <row r="31423" customFormat="1" ht="17.25" customHeight="1"/>
    <row r="31424" customFormat="1" ht="17.25" customHeight="1"/>
    <row r="31425" customFormat="1" ht="17.25" customHeight="1"/>
    <row r="31426" customFormat="1" ht="17.25" customHeight="1"/>
    <row r="31427" customFormat="1" ht="17.25" customHeight="1"/>
    <row r="31428" customFormat="1" ht="17.25" customHeight="1"/>
    <row r="31429" customFormat="1" ht="17.25" customHeight="1"/>
    <row r="31430" customFormat="1" ht="17.25" customHeight="1"/>
    <row r="31431" customFormat="1" ht="17.25" customHeight="1"/>
    <row r="31432" customFormat="1" ht="17.25" customHeight="1"/>
    <row r="31433" customFormat="1" ht="17.25" customHeight="1"/>
    <row r="31434" customFormat="1" ht="17.25" customHeight="1"/>
    <row r="31435" customFormat="1" ht="17.25" customHeight="1"/>
    <row r="31436" customFormat="1" ht="17.25" customHeight="1"/>
    <row r="31437" customFormat="1" ht="17.25" customHeight="1"/>
    <row r="31438" customFormat="1" ht="17.25" customHeight="1"/>
    <row r="31439" customFormat="1" ht="17.25" customHeight="1"/>
    <row r="31440" customFormat="1" ht="17.25" customHeight="1"/>
    <row r="31441" customFormat="1" ht="17.25" customHeight="1"/>
    <row r="31442" customFormat="1" ht="17.25" customHeight="1"/>
    <row r="31443" customFormat="1" ht="17.25" customHeight="1"/>
    <row r="31444" customFormat="1" ht="17.25" customHeight="1"/>
    <row r="31445" customFormat="1" ht="17.25" customHeight="1"/>
    <row r="31446" customFormat="1" ht="17.25" customHeight="1"/>
    <row r="31447" customFormat="1" ht="17.25" customHeight="1"/>
    <row r="31448" customFormat="1" ht="17.25" customHeight="1"/>
    <row r="31449" customFormat="1" ht="17.25" customHeight="1"/>
    <row r="31450" customFormat="1" ht="17.25" customHeight="1"/>
    <row r="31451" customFormat="1" ht="17.25" customHeight="1"/>
    <row r="31452" customFormat="1" ht="17.25" customHeight="1"/>
    <row r="31453" customFormat="1" ht="17.25" customHeight="1"/>
    <row r="31454" customFormat="1" ht="17.25" customHeight="1"/>
    <row r="31455" customFormat="1" ht="17.25" customHeight="1"/>
    <row r="31456" customFormat="1" ht="17.25" customHeight="1"/>
    <row r="31457" customFormat="1" ht="17.25" customHeight="1"/>
    <row r="31458" customFormat="1" ht="17.25" customHeight="1"/>
    <row r="31459" customFormat="1" ht="17.25" customHeight="1"/>
    <row r="31460" customFormat="1" ht="17.25" customHeight="1"/>
    <row r="31461" customFormat="1" ht="17.25" customHeight="1"/>
    <row r="31462" customFormat="1" ht="17.25" customHeight="1"/>
    <row r="31463" customFormat="1" ht="17.25" customHeight="1"/>
    <row r="31464" customFormat="1" ht="17.25" customHeight="1"/>
    <row r="31465" customFormat="1" ht="17.25" customHeight="1"/>
    <row r="31466" customFormat="1" ht="17.25" customHeight="1"/>
    <row r="31467" customFormat="1" ht="17.25" customHeight="1"/>
    <row r="31468" customFormat="1" ht="17.25" customHeight="1"/>
    <row r="31469" customFormat="1" ht="17.25" customHeight="1"/>
    <row r="31470" customFormat="1" ht="17.25" customHeight="1"/>
    <row r="31471" customFormat="1" ht="17.25" customHeight="1"/>
    <row r="31472" customFormat="1" ht="17.25" customHeight="1"/>
    <row r="31473" customFormat="1" ht="17.25" customHeight="1"/>
    <row r="31474" customFormat="1" ht="17.25" customHeight="1"/>
    <row r="31475" customFormat="1" ht="17.25" customHeight="1"/>
    <row r="31476" customFormat="1" ht="17.25" customHeight="1"/>
    <row r="31477" customFormat="1" ht="17.25" customHeight="1"/>
    <row r="31478" customFormat="1" ht="17.25" customHeight="1"/>
    <row r="31479" customFormat="1" ht="17.25" customHeight="1"/>
    <row r="31480" customFormat="1" ht="17.25" customHeight="1"/>
    <row r="31481" customFormat="1" ht="17.25" customHeight="1"/>
    <row r="31482" customFormat="1" ht="17.25" customHeight="1"/>
    <row r="31483" customFormat="1" ht="17.25" customHeight="1"/>
    <row r="31484" customFormat="1" ht="17.25" customHeight="1"/>
    <row r="31485" customFormat="1" ht="17.25" customHeight="1"/>
    <row r="31486" customFormat="1" ht="17.25" customHeight="1"/>
    <row r="31487" customFormat="1" ht="17.25" customHeight="1"/>
    <row r="31488" customFormat="1" ht="17.25" customHeight="1"/>
    <row r="31489" customFormat="1" ht="17.25" customHeight="1"/>
    <row r="31490" customFormat="1" ht="17.25" customHeight="1"/>
    <row r="31491" customFormat="1" ht="17.25" customHeight="1"/>
    <row r="31492" customFormat="1" ht="17.25" customHeight="1"/>
    <row r="31493" customFormat="1" ht="17.25" customHeight="1"/>
    <row r="31494" customFormat="1" ht="17.25" customHeight="1"/>
    <row r="31495" customFormat="1" ht="17.25" customHeight="1"/>
    <row r="31496" customFormat="1" ht="17.25" customHeight="1"/>
    <row r="31497" customFormat="1" ht="17.25" customHeight="1"/>
    <row r="31498" customFormat="1" ht="17.25" customHeight="1"/>
    <row r="31499" customFormat="1" ht="17.25" customHeight="1"/>
    <row r="31500" customFormat="1" ht="17.25" customHeight="1"/>
    <row r="31501" customFormat="1" ht="17.25" customHeight="1"/>
    <row r="31502" customFormat="1" ht="17.25" customHeight="1"/>
    <row r="31503" customFormat="1" ht="17.25" customHeight="1"/>
    <row r="31504" customFormat="1" ht="17.25" customHeight="1"/>
    <row r="31505" customFormat="1" ht="17.25" customHeight="1"/>
    <row r="31506" customFormat="1" ht="17.25" customHeight="1"/>
    <row r="31507" customFormat="1" ht="17.25" customHeight="1"/>
    <row r="31508" customFormat="1" ht="17.25" customHeight="1"/>
    <row r="31509" customFormat="1" ht="17.25" customHeight="1"/>
    <row r="31510" customFormat="1" ht="17.25" customHeight="1"/>
    <row r="31511" customFormat="1" ht="17.25" customHeight="1"/>
    <row r="31512" customFormat="1" ht="17.25" customHeight="1"/>
    <row r="31513" customFormat="1" ht="17.25" customHeight="1"/>
    <row r="31514" customFormat="1" ht="17.25" customHeight="1"/>
    <row r="31515" customFormat="1" ht="17.25" customHeight="1"/>
    <row r="31516" customFormat="1" ht="17.25" customHeight="1"/>
    <row r="31517" customFormat="1" ht="17.25" customHeight="1"/>
    <row r="31518" customFormat="1" ht="17.25" customHeight="1"/>
    <row r="31519" customFormat="1" ht="17.25" customHeight="1"/>
    <row r="31520" customFormat="1" ht="17.25" customHeight="1"/>
    <row r="31521" customFormat="1" ht="17.25" customHeight="1"/>
    <row r="31522" customFormat="1" ht="17.25" customHeight="1"/>
    <row r="31523" customFormat="1" ht="17.25" customHeight="1"/>
    <row r="31524" customFormat="1" ht="17.25" customHeight="1"/>
    <row r="31525" customFormat="1" ht="17.25" customHeight="1"/>
    <row r="31526" customFormat="1" ht="17.25" customHeight="1"/>
    <row r="31527" customFormat="1" ht="17.25" customHeight="1"/>
    <row r="31528" customFormat="1" ht="17.25" customHeight="1"/>
    <row r="31529" customFormat="1" ht="17.25" customHeight="1"/>
    <row r="31530" customFormat="1" ht="17.25" customHeight="1"/>
    <row r="31531" customFormat="1" ht="17.25" customHeight="1"/>
    <row r="31532" customFormat="1" ht="17.25" customHeight="1"/>
    <row r="31533" customFormat="1" ht="17.25" customHeight="1"/>
    <row r="31534" customFormat="1" ht="17.25" customHeight="1"/>
    <row r="31535" customFormat="1" ht="17.25" customHeight="1"/>
    <row r="31536" customFormat="1" ht="17.25" customHeight="1"/>
    <row r="31537" customFormat="1" ht="17.25" customHeight="1"/>
    <row r="31538" customFormat="1" ht="17.25" customHeight="1"/>
    <row r="31539" customFormat="1" ht="17.25" customHeight="1"/>
    <row r="31540" customFormat="1" ht="17.25" customHeight="1"/>
    <row r="31541" customFormat="1" ht="17.25" customHeight="1"/>
    <row r="31542" customFormat="1" ht="17.25" customHeight="1"/>
    <row r="31543" customFormat="1" ht="17.25" customHeight="1"/>
    <row r="31544" customFormat="1" ht="17.25" customHeight="1"/>
    <row r="31545" customFormat="1" ht="17.25" customHeight="1"/>
    <row r="31546" customFormat="1" ht="17.25" customHeight="1"/>
    <row r="31547" customFormat="1" ht="17.25" customHeight="1"/>
    <row r="31548" customFormat="1" ht="17.25" customHeight="1"/>
    <row r="31549" customFormat="1" ht="17.25" customHeight="1"/>
    <row r="31550" customFormat="1" ht="17.25" customHeight="1"/>
    <row r="31551" customFormat="1" ht="17.25" customHeight="1"/>
    <row r="31552" customFormat="1" ht="17.25" customHeight="1"/>
    <row r="31553" customFormat="1" ht="17.25" customHeight="1"/>
    <row r="31554" customFormat="1" ht="17.25" customHeight="1"/>
    <row r="31555" customFormat="1" ht="17.25" customHeight="1"/>
    <row r="31556" customFormat="1" ht="17.25" customHeight="1"/>
    <row r="31557" customFormat="1" ht="17.25" customHeight="1"/>
    <row r="31558" customFormat="1" ht="17.25" customHeight="1"/>
    <row r="31559" customFormat="1" ht="17.25" customHeight="1"/>
    <row r="31560" customFormat="1" ht="17.25" customHeight="1"/>
    <row r="31561" customFormat="1" ht="17.25" customHeight="1"/>
    <row r="31562" customFormat="1" ht="17.25" customHeight="1"/>
    <row r="31563" customFormat="1" ht="17.25" customHeight="1"/>
    <row r="31564" customFormat="1" ht="17.25" customHeight="1"/>
    <row r="31565" customFormat="1" ht="17.25" customHeight="1"/>
    <row r="31566" customFormat="1" ht="17.25" customHeight="1"/>
    <row r="31567" customFormat="1" ht="17.25" customHeight="1"/>
    <row r="31568" customFormat="1" ht="17.25" customHeight="1"/>
    <row r="31569" customFormat="1" ht="17.25" customHeight="1"/>
    <row r="31570" customFormat="1" ht="17.25" customHeight="1"/>
    <row r="31571" customFormat="1" ht="17.25" customHeight="1"/>
    <row r="31572" customFormat="1" ht="17.25" customHeight="1"/>
    <row r="31573" customFormat="1" ht="17.25" customHeight="1"/>
    <row r="31574" customFormat="1" ht="17.25" customHeight="1"/>
    <row r="31575" customFormat="1" ht="17.25" customHeight="1"/>
    <row r="31576" customFormat="1" ht="17.25" customHeight="1"/>
    <row r="31577" customFormat="1" ht="17.25" customHeight="1"/>
    <row r="31578" customFormat="1" ht="17.25" customHeight="1"/>
    <row r="31579" customFormat="1" ht="17.25" customHeight="1"/>
    <row r="31580" customFormat="1" ht="17.25" customHeight="1"/>
    <row r="31581" customFormat="1" ht="17.25" customHeight="1"/>
    <row r="31582" customFormat="1" ht="17.25" customHeight="1"/>
    <row r="31583" customFormat="1" ht="17.25" customHeight="1"/>
    <row r="31584" customFormat="1" ht="17.25" customHeight="1"/>
    <row r="31585" customFormat="1" ht="17.25" customHeight="1"/>
    <row r="31586" customFormat="1" ht="17.25" customHeight="1"/>
    <row r="31587" customFormat="1" ht="17.25" customHeight="1"/>
    <row r="31588" customFormat="1" ht="17.25" customHeight="1"/>
    <row r="31589" customFormat="1" ht="17.25" customHeight="1"/>
    <row r="31590" customFormat="1" ht="17.25" customHeight="1"/>
    <row r="31591" customFormat="1" ht="17.25" customHeight="1"/>
    <row r="31592" customFormat="1" ht="17.25" customHeight="1"/>
    <row r="31593" customFormat="1" ht="17.25" customHeight="1"/>
    <row r="31594" customFormat="1" ht="17.25" customHeight="1"/>
    <row r="31595" customFormat="1" ht="17.25" customHeight="1"/>
    <row r="31596" customFormat="1" ht="17.25" customHeight="1"/>
    <row r="31597" customFormat="1" ht="17.25" customHeight="1"/>
    <row r="31598" customFormat="1" ht="17.25" customHeight="1"/>
    <row r="31599" customFormat="1" ht="17.25" customHeight="1"/>
    <row r="31600" customFormat="1" ht="17.25" customHeight="1"/>
    <row r="31601" customFormat="1" ht="17.25" customHeight="1"/>
    <row r="31602" customFormat="1" ht="17.25" customHeight="1"/>
    <row r="31603" customFormat="1" ht="17.25" customHeight="1"/>
    <row r="31604" customFormat="1" ht="17.25" customHeight="1"/>
    <row r="31605" customFormat="1" ht="17.25" customHeight="1"/>
    <row r="31606" customFormat="1" ht="17.25" customHeight="1"/>
    <row r="31607" customFormat="1" ht="17.25" customHeight="1"/>
    <row r="31608" customFormat="1" ht="17.25" customHeight="1"/>
    <row r="31609" customFormat="1" ht="17.25" customHeight="1"/>
    <row r="31610" customFormat="1" ht="17.25" customHeight="1"/>
    <row r="31611" customFormat="1" ht="17.25" customHeight="1"/>
    <row r="31612" customFormat="1" ht="17.25" customHeight="1"/>
    <row r="31613" customFormat="1" ht="17.25" customHeight="1"/>
    <row r="31614" customFormat="1" ht="17.25" customHeight="1"/>
    <row r="31615" customFormat="1" ht="17.25" customHeight="1"/>
    <row r="31616" customFormat="1" ht="17.25" customHeight="1"/>
    <row r="31617" customFormat="1" ht="17.25" customHeight="1"/>
    <row r="31618" customFormat="1" ht="17.25" customHeight="1"/>
    <row r="31619" customFormat="1" ht="17.25" customHeight="1"/>
    <row r="31620" customFormat="1" ht="17.25" customHeight="1"/>
    <row r="31621" customFormat="1" ht="17.25" customHeight="1"/>
    <row r="31622" customFormat="1" ht="17.25" customHeight="1"/>
    <row r="31623" customFormat="1" ht="17.25" customHeight="1"/>
    <row r="31624" customFormat="1" ht="17.25" customHeight="1"/>
    <row r="31625" customFormat="1" ht="17.25" customHeight="1"/>
    <row r="31626" customFormat="1" ht="17.25" customHeight="1"/>
    <row r="31627" customFormat="1" ht="17.25" customHeight="1"/>
    <row r="31628" customFormat="1" ht="17.25" customHeight="1"/>
    <row r="31629" customFormat="1" ht="17.25" customHeight="1"/>
    <row r="31630" customFormat="1" ht="17.25" customHeight="1"/>
    <row r="31631" customFormat="1" ht="17.25" customHeight="1"/>
    <row r="31632" customFormat="1" ht="17.25" customHeight="1"/>
    <row r="31633" customFormat="1" ht="17.25" customHeight="1"/>
    <row r="31634" customFormat="1" ht="17.25" customHeight="1"/>
    <row r="31635" customFormat="1" ht="17.25" customHeight="1"/>
    <row r="31636" customFormat="1" ht="17.25" customHeight="1"/>
    <row r="31637" customFormat="1" ht="17.25" customHeight="1"/>
    <row r="31638" customFormat="1" ht="17.25" customHeight="1"/>
    <row r="31639" customFormat="1" ht="17.25" customHeight="1"/>
    <row r="31640" customFormat="1" ht="17.25" customHeight="1"/>
    <row r="31641" customFormat="1" ht="17.25" customHeight="1"/>
    <row r="31642" customFormat="1" ht="17.25" customHeight="1"/>
    <row r="31643" customFormat="1" ht="17.25" customHeight="1"/>
    <row r="31644" customFormat="1" ht="17.25" customHeight="1"/>
    <row r="31645" customFormat="1" ht="17.25" customHeight="1"/>
    <row r="31646" customFormat="1" ht="17.25" customHeight="1"/>
    <row r="31647" customFormat="1" ht="17.25" customHeight="1"/>
    <row r="31648" customFormat="1" ht="17.25" customHeight="1"/>
    <row r="31649" customFormat="1" ht="17.25" customHeight="1"/>
    <row r="31650" customFormat="1" ht="17.25" customHeight="1"/>
    <row r="31651" customFormat="1" ht="17.25" customHeight="1"/>
    <row r="31652" customFormat="1" ht="17.25" customHeight="1"/>
    <row r="31653" customFormat="1" ht="17.25" customHeight="1"/>
    <row r="31654" customFormat="1" ht="17.25" customHeight="1"/>
    <row r="31655" customFormat="1" ht="17.25" customHeight="1"/>
    <row r="31656" customFormat="1" ht="17.25" customHeight="1"/>
    <row r="31657" customFormat="1" ht="17.25" customHeight="1"/>
    <row r="31658" customFormat="1" ht="17.25" customHeight="1"/>
    <row r="31659" customFormat="1" ht="17.25" customHeight="1"/>
    <row r="31660" customFormat="1" ht="17.25" customHeight="1"/>
    <row r="31661" customFormat="1" ht="17.25" customHeight="1"/>
    <row r="31662" customFormat="1" ht="17.25" customHeight="1"/>
    <row r="31663" customFormat="1" ht="17.25" customHeight="1"/>
    <row r="31664" customFormat="1" ht="17.25" customHeight="1"/>
    <row r="31665" customFormat="1" ht="17.25" customHeight="1"/>
    <row r="31666" customFormat="1" ht="17.25" customHeight="1"/>
    <row r="31667" customFormat="1" ht="17.25" customHeight="1"/>
    <row r="31668" customFormat="1" ht="17.25" customHeight="1"/>
    <row r="31669" customFormat="1" ht="17.25" customHeight="1"/>
    <row r="31670" customFormat="1" ht="17.25" customHeight="1"/>
    <row r="31671" customFormat="1" ht="17.25" customHeight="1"/>
    <row r="31672" customFormat="1" ht="17.25" customHeight="1"/>
    <row r="31673" customFormat="1" ht="17.25" customHeight="1"/>
    <row r="31674" customFormat="1" ht="17.25" customHeight="1"/>
    <row r="31675" customFormat="1" ht="17.25" customHeight="1"/>
    <row r="31676" customFormat="1" ht="17.25" customHeight="1"/>
    <row r="31677" customFormat="1" ht="17.25" customHeight="1"/>
    <row r="31678" customFormat="1" ht="17.25" customHeight="1"/>
    <row r="31679" customFormat="1" ht="17.25" customHeight="1"/>
    <row r="31680" customFormat="1" ht="17.25" customHeight="1"/>
    <row r="31681" customFormat="1" ht="17.25" customHeight="1"/>
    <row r="31682" customFormat="1" ht="17.25" customHeight="1"/>
    <row r="31683" customFormat="1" ht="17.25" customHeight="1"/>
    <row r="31684" customFormat="1" ht="17.25" customHeight="1"/>
    <row r="31685" customFormat="1" ht="17.25" customHeight="1"/>
    <row r="31686" customFormat="1" ht="17.25" customHeight="1"/>
    <row r="31687" customFormat="1" ht="17.25" customHeight="1"/>
    <row r="31688" customFormat="1" ht="17.25" customHeight="1"/>
    <row r="31689" customFormat="1" ht="17.25" customHeight="1"/>
    <row r="31690" customFormat="1" ht="17.25" customHeight="1"/>
    <row r="31691" customFormat="1" ht="17.25" customHeight="1"/>
    <row r="31692" customFormat="1" ht="17.25" customHeight="1"/>
    <row r="31693" customFormat="1" ht="17.25" customHeight="1"/>
    <row r="31694" customFormat="1" ht="17.25" customHeight="1"/>
    <row r="31695" customFormat="1" ht="17.25" customHeight="1"/>
    <row r="31696" customFormat="1" ht="17.25" customHeight="1"/>
    <row r="31697" customFormat="1" ht="17.25" customHeight="1"/>
    <row r="31698" customFormat="1" ht="17.25" customHeight="1"/>
    <row r="31699" customFormat="1" ht="17.25" customHeight="1"/>
    <row r="31700" customFormat="1" ht="17.25" customHeight="1"/>
    <row r="31701" customFormat="1" ht="17.25" customHeight="1"/>
    <row r="31702" customFormat="1" ht="17.25" customHeight="1"/>
    <row r="31703" customFormat="1" ht="17.25" customHeight="1"/>
    <row r="31704" customFormat="1" ht="17.25" customHeight="1"/>
    <row r="31705" customFormat="1" ht="17.25" customHeight="1"/>
    <row r="31706" customFormat="1" ht="17.25" customHeight="1"/>
    <row r="31707" customFormat="1" ht="17.25" customHeight="1"/>
    <row r="31708" customFormat="1" ht="17.25" customHeight="1"/>
    <row r="31709" customFormat="1" ht="17.25" customHeight="1"/>
    <row r="31710" customFormat="1" ht="17.25" customHeight="1"/>
    <row r="31711" customFormat="1" ht="17.25" customHeight="1"/>
    <row r="31712" customFormat="1" ht="17.25" customHeight="1"/>
    <row r="31713" customFormat="1" ht="17.25" customHeight="1"/>
    <row r="31714" customFormat="1" ht="17.25" customHeight="1"/>
    <row r="31715" customFormat="1" ht="17.25" customHeight="1"/>
    <row r="31716" customFormat="1" ht="17.25" customHeight="1"/>
    <row r="31717" customFormat="1" ht="17.25" customHeight="1"/>
    <row r="31718" customFormat="1" ht="17.25" customHeight="1"/>
    <row r="31719" customFormat="1" ht="17.25" customHeight="1"/>
    <row r="31720" customFormat="1" ht="17.25" customHeight="1"/>
    <row r="31721" customFormat="1" ht="17.25" customHeight="1"/>
    <row r="31722" customFormat="1" ht="17.25" customHeight="1"/>
    <row r="31723" customFormat="1" ht="17.25" customHeight="1"/>
    <row r="31724" customFormat="1" ht="17.25" customHeight="1"/>
    <row r="31725" customFormat="1" ht="17.25" customHeight="1"/>
    <row r="31726" customFormat="1" ht="17.25" customHeight="1"/>
    <row r="31727" customFormat="1" ht="17.25" customHeight="1"/>
    <row r="31728" customFormat="1" ht="17.25" customHeight="1"/>
    <row r="31729" customFormat="1" ht="17.25" customHeight="1"/>
    <row r="31730" customFormat="1" ht="17.25" customHeight="1"/>
    <row r="31731" customFormat="1" ht="17.25" customHeight="1"/>
    <row r="31732" customFormat="1" ht="17.25" customHeight="1"/>
    <row r="31733" customFormat="1" ht="17.25" customHeight="1"/>
    <row r="31734" customFormat="1" ht="17.25" customHeight="1"/>
    <row r="31735" customFormat="1" ht="17.25" customHeight="1"/>
    <row r="31736" customFormat="1" ht="17.25" customHeight="1"/>
    <row r="31737" customFormat="1" ht="17.25" customHeight="1"/>
    <row r="31738" customFormat="1" ht="17.25" customHeight="1"/>
    <row r="31739" customFormat="1" ht="17.25" customHeight="1"/>
    <row r="31740" customFormat="1" ht="17.25" customHeight="1"/>
    <row r="31741" customFormat="1" ht="17.25" customHeight="1"/>
    <row r="31742" customFormat="1" ht="17.25" customHeight="1"/>
    <row r="31743" customFormat="1" ht="17.25" customHeight="1"/>
    <row r="31744" customFormat="1" ht="17.25" customHeight="1"/>
    <row r="31745" customFormat="1" ht="17.25" customHeight="1"/>
    <row r="31746" customFormat="1" ht="17.25" customHeight="1"/>
    <row r="31747" customFormat="1" ht="17.25" customHeight="1"/>
    <row r="31748" customFormat="1" ht="17.25" customHeight="1"/>
    <row r="31749" customFormat="1" ht="17.25" customHeight="1"/>
    <row r="31750" customFormat="1" ht="17.25" customHeight="1"/>
    <row r="31751" customFormat="1" ht="17.25" customHeight="1"/>
    <row r="31752" customFormat="1" ht="17.25" customHeight="1"/>
    <row r="31753" customFormat="1" ht="17.25" customHeight="1"/>
    <row r="31754" customFormat="1" ht="17.25" customHeight="1"/>
    <row r="31755" customFormat="1" ht="17.25" customHeight="1"/>
    <row r="31756" customFormat="1" ht="17.25" customHeight="1"/>
    <row r="31757" customFormat="1" ht="17.25" customHeight="1"/>
    <row r="31758" customFormat="1" ht="17.25" customHeight="1"/>
    <row r="31759" customFormat="1" ht="17.25" customHeight="1"/>
    <row r="31760" customFormat="1" ht="17.25" customHeight="1"/>
    <row r="31761" customFormat="1" ht="17.25" customHeight="1"/>
    <row r="31762" customFormat="1" ht="17.25" customHeight="1"/>
    <row r="31763" customFormat="1" ht="17.25" customHeight="1"/>
    <row r="31764" customFormat="1" ht="17.25" customHeight="1"/>
    <row r="31765" customFormat="1" ht="17.25" customHeight="1"/>
    <row r="31766" customFormat="1" ht="17.25" customHeight="1"/>
    <row r="31767" customFormat="1" ht="17.25" customHeight="1"/>
    <row r="31768" customFormat="1" ht="17.25" customHeight="1"/>
    <row r="31769" customFormat="1" ht="17.25" customHeight="1"/>
    <row r="31770" customFormat="1" ht="17.25" customHeight="1"/>
    <row r="31771" customFormat="1" ht="17.25" customHeight="1"/>
    <row r="31772" customFormat="1" ht="17.25" customHeight="1"/>
    <row r="31773" customFormat="1" ht="17.25" customHeight="1"/>
    <row r="31774" customFormat="1" ht="17.25" customHeight="1"/>
    <row r="31775" customFormat="1" ht="17.25" customHeight="1"/>
    <row r="31776" customFormat="1" ht="17.25" customHeight="1"/>
    <row r="31777" customFormat="1" ht="17.25" customHeight="1"/>
    <row r="31778" customFormat="1" ht="17.25" customHeight="1"/>
    <row r="31779" customFormat="1" ht="17.25" customHeight="1"/>
    <row r="31780" customFormat="1" ht="17.25" customHeight="1"/>
    <row r="31781" customFormat="1" ht="17.25" customHeight="1"/>
    <row r="31782" customFormat="1" ht="17.25" customHeight="1"/>
    <row r="31783" customFormat="1" ht="17.25" customHeight="1"/>
    <row r="31784" customFormat="1" ht="17.25" customHeight="1"/>
    <row r="31785" customFormat="1" ht="17.25" customHeight="1"/>
    <row r="31786" customFormat="1" ht="17.25" customHeight="1"/>
    <row r="31787" customFormat="1" ht="17.25" customHeight="1"/>
    <row r="31788" customFormat="1" ht="17.25" customHeight="1"/>
    <row r="31789" customFormat="1" ht="17.25" customHeight="1"/>
    <row r="31790" customFormat="1" ht="17.25" customHeight="1"/>
    <row r="31791" customFormat="1" ht="17.25" customHeight="1"/>
    <row r="31792" customFormat="1" ht="17.25" customHeight="1"/>
    <row r="31793" customFormat="1" ht="17.25" customHeight="1"/>
    <row r="31794" customFormat="1" ht="17.25" customHeight="1"/>
    <row r="31795" customFormat="1" ht="17.25" customHeight="1"/>
    <row r="31796" customFormat="1" ht="17.25" customHeight="1"/>
    <row r="31797" customFormat="1" ht="17.25" customHeight="1"/>
    <row r="31798" customFormat="1" ht="17.25" customHeight="1"/>
    <row r="31799" customFormat="1" ht="17.25" customHeight="1"/>
    <row r="31800" customFormat="1" ht="17.25" customHeight="1"/>
    <row r="31801" customFormat="1" ht="17.25" customHeight="1"/>
    <row r="31802" customFormat="1" ht="17.25" customHeight="1"/>
    <row r="31803" customFormat="1" ht="17.25" customHeight="1"/>
    <row r="31804" customFormat="1" ht="17.25" customHeight="1"/>
    <row r="31805" customFormat="1" ht="17.25" customHeight="1"/>
    <row r="31806" customFormat="1" ht="17.25" customHeight="1"/>
    <row r="31807" customFormat="1" ht="17.25" customHeight="1"/>
    <row r="31808" customFormat="1" ht="17.25" customHeight="1"/>
    <row r="31809" customFormat="1" ht="17.25" customHeight="1"/>
    <row r="31810" customFormat="1" ht="17.25" customHeight="1"/>
    <row r="31811" customFormat="1" ht="17.25" customHeight="1"/>
    <row r="31812" customFormat="1" ht="17.25" customHeight="1"/>
    <row r="31813" customFormat="1" ht="17.25" customHeight="1"/>
    <row r="31814" customFormat="1" ht="17.25" customHeight="1"/>
    <row r="31815" customFormat="1" ht="17.25" customHeight="1"/>
    <row r="31816" customFormat="1" ht="17.25" customHeight="1"/>
    <row r="31817" customFormat="1" ht="17.25" customHeight="1"/>
    <row r="31818" customFormat="1" ht="17.25" customHeight="1"/>
    <row r="31819" customFormat="1" ht="17.25" customHeight="1"/>
    <row r="31820" customFormat="1" ht="17.25" customHeight="1"/>
    <row r="31821" customFormat="1" ht="17.25" customHeight="1"/>
    <row r="31822" customFormat="1" ht="17.25" customHeight="1"/>
    <row r="31823" customFormat="1" ht="17.25" customHeight="1"/>
    <row r="31824" customFormat="1" ht="17.25" customHeight="1"/>
    <row r="31825" customFormat="1" ht="17.25" customHeight="1"/>
    <row r="31826" customFormat="1" ht="17.25" customHeight="1"/>
    <row r="31827" customFormat="1" ht="17.25" customHeight="1"/>
    <row r="31828" customFormat="1" ht="17.25" customHeight="1"/>
    <row r="31829" customFormat="1" ht="17.25" customHeight="1"/>
    <row r="31830" customFormat="1" ht="17.25" customHeight="1"/>
    <row r="31831" customFormat="1" ht="17.25" customHeight="1"/>
    <row r="31832" customFormat="1" ht="17.25" customHeight="1"/>
    <row r="31833" customFormat="1" ht="17.25" customHeight="1"/>
    <row r="31834" customFormat="1" ht="17.25" customHeight="1"/>
    <row r="31835" customFormat="1" ht="17.25" customHeight="1"/>
    <row r="31836" customFormat="1" ht="17.25" customHeight="1"/>
    <row r="31837" customFormat="1" ht="17.25" customHeight="1"/>
    <row r="31838" customFormat="1" ht="17.25" customHeight="1"/>
    <row r="31839" customFormat="1" ht="17.25" customHeight="1"/>
    <row r="31840" customFormat="1" ht="17.25" customHeight="1"/>
    <row r="31841" customFormat="1" ht="17.25" customHeight="1"/>
    <row r="31842" customFormat="1" ht="17.25" customHeight="1"/>
    <row r="31843" customFormat="1" ht="17.25" customHeight="1"/>
    <row r="31844" customFormat="1" ht="17.25" customHeight="1"/>
    <row r="31845" customFormat="1" ht="17.25" customHeight="1"/>
    <row r="31846" customFormat="1" ht="17.25" customHeight="1"/>
    <row r="31847" customFormat="1" ht="17.25" customHeight="1"/>
    <row r="31848" customFormat="1" ht="17.25" customHeight="1"/>
    <row r="31849" customFormat="1" ht="17.25" customHeight="1"/>
    <row r="31850" customFormat="1" ht="17.25" customHeight="1"/>
    <row r="31851" customFormat="1" ht="17.25" customHeight="1"/>
    <row r="31852" customFormat="1" ht="17.25" customHeight="1"/>
    <row r="31853" customFormat="1" ht="17.25" customHeight="1"/>
    <row r="31854" customFormat="1" ht="17.25" customHeight="1"/>
    <row r="31855" customFormat="1" ht="17.25" customHeight="1"/>
    <row r="31856" customFormat="1" ht="17.25" customHeight="1"/>
    <row r="31857" customFormat="1" ht="17.25" customHeight="1"/>
    <row r="31858" customFormat="1" ht="17.25" customHeight="1"/>
    <row r="31859" customFormat="1" ht="17.25" customHeight="1"/>
    <row r="31860" customFormat="1" ht="17.25" customHeight="1"/>
    <row r="31861" customFormat="1" ht="17.25" customHeight="1"/>
    <row r="31862" customFormat="1" ht="17.25" customHeight="1"/>
    <row r="31863" customFormat="1" ht="17.25" customHeight="1"/>
    <row r="31864" customFormat="1" ht="17.25" customHeight="1"/>
    <row r="31865" customFormat="1" ht="17.25" customHeight="1"/>
    <row r="31866" customFormat="1" ht="17.25" customHeight="1"/>
    <row r="31867" customFormat="1" ht="17.25" customHeight="1"/>
    <row r="31868" customFormat="1" ht="17.25" customHeight="1"/>
    <row r="31869" customFormat="1" ht="17.25" customHeight="1"/>
    <row r="31870" customFormat="1" ht="17.25" customHeight="1"/>
    <row r="31871" customFormat="1" ht="17.25" customHeight="1"/>
    <row r="31872" customFormat="1" ht="17.25" customHeight="1"/>
    <row r="31873" customFormat="1" ht="17.25" customHeight="1"/>
    <row r="31874" customFormat="1" ht="17.25" customHeight="1"/>
    <row r="31875" customFormat="1" ht="17.25" customHeight="1"/>
    <row r="31876" customFormat="1" ht="17.25" customHeight="1"/>
    <row r="31877" customFormat="1" ht="17.25" customHeight="1"/>
    <row r="31878" customFormat="1" ht="17.25" customHeight="1"/>
    <row r="31879" customFormat="1" ht="17.25" customHeight="1"/>
    <row r="31880" customFormat="1" ht="17.25" customHeight="1"/>
    <row r="31881" customFormat="1" ht="17.25" customHeight="1"/>
    <row r="31882" customFormat="1" ht="17.25" customHeight="1"/>
    <row r="31883" customFormat="1" ht="17.25" customHeight="1"/>
    <row r="31884" customFormat="1" ht="17.25" customHeight="1"/>
    <row r="31885" customFormat="1" ht="17.25" customHeight="1"/>
    <row r="31886" customFormat="1" ht="17.25" customHeight="1"/>
    <row r="31887" customFormat="1" ht="17.25" customHeight="1"/>
    <row r="31888" customFormat="1" ht="17.25" customHeight="1"/>
    <row r="31889" customFormat="1" ht="17.25" customHeight="1"/>
    <row r="31890" customFormat="1" ht="17.25" customHeight="1"/>
    <row r="31891" customFormat="1" ht="17.25" customHeight="1"/>
    <row r="31892" customFormat="1" ht="17.25" customHeight="1"/>
    <row r="31893" customFormat="1" ht="17.25" customHeight="1"/>
    <row r="31894" customFormat="1" ht="17.25" customHeight="1"/>
    <row r="31895" customFormat="1" ht="17.25" customHeight="1"/>
    <row r="31896" customFormat="1" ht="17.25" customHeight="1"/>
    <row r="31897" customFormat="1" ht="17.25" customHeight="1"/>
    <row r="31898" customFormat="1" ht="17.25" customHeight="1"/>
    <row r="31899" customFormat="1" ht="17.25" customHeight="1"/>
    <row r="31900" customFormat="1" ht="17.25" customHeight="1"/>
    <row r="31901" customFormat="1" ht="17.25" customHeight="1"/>
    <row r="31902" customFormat="1" ht="17.25" customHeight="1"/>
    <row r="31903" customFormat="1" ht="17.25" customHeight="1"/>
    <row r="31904" customFormat="1" ht="17.25" customHeight="1"/>
    <row r="31905" customFormat="1" ht="17.25" customHeight="1"/>
    <row r="31906" customFormat="1" ht="17.25" customHeight="1"/>
    <row r="31907" customFormat="1" ht="17.25" customHeight="1"/>
    <row r="31908" customFormat="1" ht="17.25" customHeight="1"/>
    <row r="31909" customFormat="1" ht="17.25" customHeight="1"/>
    <row r="31910" customFormat="1" ht="17.25" customHeight="1"/>
    <row r="31911" customFormat="1" ht="17.25" customHeight="1"/>
    <row r="31912" customFormat="1" ht="17.25" customHeight="1"/>
    <row r="31913" customFormat="1" ht="17.25" customHeight="1"/>
    <row r="31914" customFormat="1" ht="17.25" customHeight="1"/>
    <row r="31915" customFormat="1" ht="17.25" customHeight="1"/>
    <row r="31916" customFormat="1" ht="17.25" customHeight="1"/>
    <row r="31917" customFormat="1" ht="17.25" customHeight="1"/>
    <row r="31918" customFormat="1" ht="17.25" customHeight="1"/>
    <row r="31919" customFormat="1" ht="17.25" customHeight="1"/>
    <row r="31920" customFormat="1" ht="17.25" customHeight="1"/>
    <row r="31921" customFormat="1" ht="17.25" customHeight="1"/>
    <row r="31922" customFormat="1" ht="17.25" customHeight="1"/>
    <row r="31923" customFormat="1" ht="17.25" customHeight="1"/>
    <row r="31924" customFormat="1" ht="17.25" customHeight="1"/>
    <row r="31925" customFormat="1" ht="17.25" customHeight="1"/>
    <row r="31926" customFormat="1" ht="17.25" customHeight="1"/>
    <row r="31927" customFormat="1" ht="17.25" customHeight="1"/>
    <row r="31928" customFormat="1" ht="17.25" customHeight="1"/>
    <row r="31929" customFormat="1" ht="17.25" customHeight="1"/>
    <row r="31930" customFormat="1" ht="17.25" customHeight="1"/>
    <row r="31931" customFormat="1" ht="17.25" customHeight="1"/>
    <row r="31932" customFormat="1" ht="17.25" customHeight="1"/>
    <row r="31933" customFormat="1" ht="17.25" customHeight="1"/>
    <row r="31934" customFormat="1" ht="17.25" customHeight="1"/>
    <row r="31935" customFormat="1" ht="17.25" customHeight="1"/>
    <row r="31936" customFormat="1" ht="17.25" customHeight="1"/>
    <row r="31937" customFormat="1" ht="17.25" customHeight="1"/>
    <row r="31938" customFormat="1" ht="17.25" customHeight="1"/>
    <row r="31939" customFormat="1" ht="17.25" customHeight="1"/>
    <row r="31940" customFormat="1" ht="17.25" customHeight="1"/>
    <row r="31941" customFormat="1" ht="17.25" customHeight="1"/>
    <row r="31942" customFormat="1" ht="17.25" customHeight="1"/>
    <row r="31943" customFormat="1" ht="17.25" customHeight="1"/>
    <row r="31944" customFormat="1" ht="17.25" customHeight="1"/>
    <row r="31945" customFormat="1" ht="17.25" customHeight="1"/>
    <row r="31946" customFormat="1" ht="17.25" customHeight="1"/>
    <row r="31947" customFormat="1" ht="17.25" customHeight="1"/>
    <row r="31948" customFormat="1" ht="17.25" customHeight="1"/>
    <row r="31949" customFormat="1" ht="17.25" customHeight="1"/>
    <row r="31950" customFormat="1" ht="17.25" customHeight="1"/>
    <row r="31951" customFormat="1" ht="17.25" customHeight="1"/>
    <row r="31952" customFormat="1" ht="17.25" customHeight="1"/>
    <row r="31953" customFormat="1" ht="17.25" customHeight="1"/>
    <row r="31954" customFormat="1" ht="17.25" customHeight="1"/>
    <row r="31955" customFormat="1" ht="17.25" customHeight="1"/>
    <row r="31956" customFormat="1" ht="17.25" customHeight="1"/>
    <row r="31957" customFormat="1" ht="17.25" customHeight="1"/>
    <row r="31958" customFormat="1" ht="17.25" customHeight="1"/>
    <row r="31959" customFormat="1" ht="17.25" customHeight="1"/>
    <row r="31960" customFormat="1" ht="17.25" customHeight="1"/>
    <row r="31961" customFormat="1" ht="17.25" customHeight="1"/>
    <row r="31962" customFormat="1" ht="17.25" customHeight="1"/>
    <row r="31963" customFormat="1" ht="17.25" customHeight="1"/>
    <row r="31964" customFormat="1" ht="17.25" customHeight="1"/>
    <row r="31965" customFormat="1" ht="17.25" customHeight="1"/>
    <row r="31966" customFormat="1" ht="17.25" customHeight="1"/>
    <row r="31967" customFormat="1" ht="17.25" customHeight="1"/>
    <row r="31968" customFormat="1" ht="17.25" customHeight="1"/>
    <row r="31969" customFormat="1" ht="17.25" customHeight="1"/>
    <row r="31970" customFormat="1" ht="17.25" customHeight="1"/>
    <row r="31971" customFormat="1" ht="17.25" customHeight="1"/>
    <row r="31972" customFormat="1" ht="17.25" customHeight="1"/>
    <row r="31973" customFormat="1" ht="17.25" customHeight="1"/>
    <row r="31974" customFormat="1" ht="17.25" customHeight="1"/>
    <row r="31975" customFormat="1" ht="17.25" customHeight="1"/>
    <row r="31976" customFormat="1" ht="17.25" customHeight="1"/>
    <row r="31977" customFormat="1" ht="17.25" customHeight="1"/>
    <row r="31978" customFormat="1" ht="17.25" customHeight="1"/>
    <row r="31979" customFormat="1" ht="17.25" customHeight="1"/>
    <row r="31980" customFormat="1" ht="17.25" customHeight="1"/>
    <row r="31981" customFormat="1" ht="17.25" customHeight="1"/>
    <row r="31982" customFormat="1" ht="17.25" customHeight="1"/>
    <row r="31983" customFormat="1" ht="17.25" customHeight="1"/>
    <row r="31984" customFormat="1" ht="17.25" customHeight="1"/>
    <row r="31985" customFormat="1" ht="17.25" customHeight="1"/>
    <row r="31986" customFormat="1" ht="17.25" customHeight="1"/>
    <row r="31987" customFormat="1" ht="17.25" customHeight="1"/>
    <row r="31988" customFormat="1" ht="17.25" customHeight="1"/>
    <row r="31989" customFormat="1" ht="17.25" customHeight="1"/>
    <row r="31990" customFormat="1" ht="17.25" customHeight="1"/>
    <row r="31991" customFormat="1" ht="17.25" customHeight="1"/>
    <row r="31992" customFormat="1" ht="17.25" customHeight="1"/>
    <row r="31993" customFormat="1" ht="17.25" customHeight="1"/>
    <row r="31994" customFormat="1" ht="17.25" customHeight="1"/>
    <row r="31995" customFormat="1" ht="17.25" customHeight="1"/>
    <row r="31996" customFormat="1" ht="17.25" customHeight="1"/>
    <row r="31997" customFormat="1" ht="17.25" customHeight="1"/>
    <row r="31998" customFormat="1" ht="17.25" customHeight="1"/>
    <row r="31999" customFormat="1" ht="17.25" customHeight="1"/>
    <row r="32000" customFormat="1" ht="17.25" customHeight="1"/>
    <row r="32001" customFormat="1" ht="17.25" customHeight="1"/>
    <row r="32002" customFormat="1" ht="17.25" customHeight="1"/>
    <row r="32003" customFormat="1" ht="17.25" customHeight="1"/>
    <row r="32004" customFormat="1" ht="17.25" customHeight="1"/>
    <row r="32005" customFormat="1" ht="17.25" customHeight="1"/>
    <row r="32006" customFormat="1" ht="17.25" customHeight="1"/>
    <row r="32007" customFormat="1" ht="17.25" customHeight="1"/>
    <row r="32008" customFormat="1" ht="17.25" customHeight="1"/>
    <row r="32009" customFormat="1" ht="17.25" customHeight="1"/>
    <row r="32010" customFormat="1" ht="17.25" customHeight="1"/>
    <row r="32011" customFormat="1" ht="17.25" customHeight="1"/>
    <row r="32012" customFormat="1" ht="17.25" customHeight="1"/>
    <row r="32013" customFormat="1" ht="17.25" customHeight="1"/>
    <row r="32014" customFormat="1" ht="17.25" customHeight="1"/>
    <row r="32015" customFormat="1" ht="17.25" customHeight="1"/>
    <row r="32016" customFormat="1" ht="17.25" customHeight="1"/>
    <row r="32017" customFormat="1" ht="17.25" customHeight="1"/>
    <row r="32018" customFormat="1" ht="17.25" customHeight="1"/>
    <row r="32019" customFormat="1" ht="17.25" customHeight="1"/>
    <row r="32020" customFormat="1" ht="17.25" customHeight="1"/>
    <row r="32021" customFormat="1" ht="17.25" customHeight="1"/>
    <row r="32022" customFormat="1" ht="17.25" customHeight="1"/>
    <row r="32023" customFormat="1" ht="17.25" customHeight="1"/>
    <row r="32024" customFormat="1" ht="17.25" customHeight="1"/>
    <row r="32025" customFormat="1" ht="17.25" customHeight="1"/>
    <row r="32026" customFormat="1" ht="17.25" customHeight="1"/>
    <row r="32027" customFormat="1" ht="17.25" customHeight="1"/>
    <row r="32028" customFormat="1" ht="17.25" customHeight="1"/>
    <row r="32029" customFormat="1" ht="17.25" customHeight="1"/>
    <row r="32030" customFormat="1" ht="17.25" customHeight="1"/>
    <row r="32031" customFormat="1" ht="17.25" customHeight="1"/>
    <row r="32032" customFormat="1" ht="17.25" customHeight="1"/>
    <row r="32033" customFormat="1" ht="17.25" customHeight="1"/>
    <row r="32034" customFormat="1" ht="17.25" customHeight="1"/>
    <row r="32035" customFormat="1" ht="17.25" customHeight="1"/>
    <row r="32036" customFormat="1" ht="17.25" customHeight="1"/>
    <row r="32037" customFormat="1" ht="17.25" customHeight="1"/>
    <row r="32038" customFormat="1" ht="17.25" customHeight="1"/>
    <row r="32039" customFormat="1" ht="17.25" customHeight="1"/>
    <row r="32040" customFormat="1" ht="17.25" customHeight="1"/>
    <row r="32041" customFormat="1" ht="17.25" customHeight="1"/>
    <row r="32042" customFormat="1" ht="17.25" customHeight="1"/>
    <row r="32043" customFormat="1" ht="17.25" customHeight="1"/>
    <row r="32044" customFormat="1" ht="17.25" customHeight="1"/>
    <row r="32045" customFormat="1" ht="17.25" customHeight="1"/>
    <row r="32046" customFormat="1" ht="17.25" customHeight="1"/>
    <row r="32047" customFormat="1" ht="17.25" customHeight="1"/>
    <row r="32048" customFormat="1" ht="17.25" customHeight="1"/>
    <row r="32049" customFormat="1" ht="17.25" customHeight="1"/>
    <row r="32050" customFormat="1" ht="17.25" customHeight="1"/>
    <row r="32051" customFormat="1" ht="17.25" customHeight="1"/>
    <row r="32052" customFormat="1" ht="17.25" customHeight="1"/>
    <row r="32053" customFormat="1" ht="17.25" customHeight="1"/>
    <row r="32054" customFormat="1" ht="17.25" customHeight="1"/>
    <row r="32055" customFormat="1" ht="17.25" customHeight="1"/>
    <row r="32056" customFormat="1" ht="17.25" customHeight="1"/>
    <row r="32057" customFormat="1" ht="17.25" customHeight="1"/>
    <row r="32058" customFormat="1" ht="17.25" customHeight="1"/>
    <row r="32059" customFormat="1" ht="17.25" customHeight="1"/>
    <row r="32060" customFormat="1" ht="17.25" customHeight="1"/>
    <row r="32061" customFormat="1" ht="17.25" customHeight="1"/>
    <row r="32062" customFormat="1" ht="17.25" customHeight="1"/>
    <row r="32063" customFormat="1" ht="17.25" customHeight="1"/>
    <row r="32064" customFormat="1" ht="17.25" customHeight="1"/>
    <row r="32065" customFormat="1" ht="17.25" customHeight="1"/>
    <row r="32066" customFormat="1" ht="17.25" customHeight="1"/>
    <row r="32067" customFormat="1" ht="17.25" customHeight="1"/>
    <row r="32068" customFormat="1" ht="17.25" customHeight="1"/>
    <row r="32069" customFormat="1" ht="17.25" customHeight="1"/>
    <row r="32070" customFormat="1" ht="17.25" customHeight="1"/>
    <row r="32071" customFormat="1" ht="17.25" customHeight="1"/>
    <row r="32072" customFormat="1" ht="17.25" customHeight="1"/>
    <row r="32073" customFormat="1" ht="17.25" customHeight="1"/>
    <row r="32074" customFormat="1" ht="17.25" customHeight="1"/>
    <row r="32075" customFormat="1" ht="17.25" customHeight="1"/>
    <row r="32076" customFormat="1" ht="17.25" customHeight="1"/>
    <row r="32077" customFormat="1" ht="17.25" customHeight="1"/>
    <row r="32078" customFormat="1" ht="17.25" customHeight="1"/>
    <row r="32079" customFormat="1" ht="17.25" customHeight="1"/>
    <row r="32080" customFormat="1" ht="17.25" customHeight="1"/>
    <row r="32081" customFormat="1" ht="17.25" customHeight="1"/>
    <row r="32082" customFormat="1" ht="17.25" customHeight="1"/>
    <row r="32083" customFormat="1" ht="17.25" customHeight="1"/>
    <row r="32084" customFormat="1" ht="17.25" customHeight="1"/>
    <row r="32085" customFormat="1" ht="17.25" customHeight="1"/>
    <row r="32086" customFormat="1" ht="17.25" customHeight="1"/>
    <row r="32087" customFormat="1" ht="17.25" customHeight="1"/>
    <row r="32088" customFormat="1" ht="17.25" customHeight="1"/>
    <row r="32089" customFormat="1" ht="17.25" customHeight="1"/>
    <row r="32090" customFormat="1" ht="17.25" customHeight="1"/>
    <row r="32091" customFormat="1" ht="17.25" customHeight="1"/>
    <row r="32092" customFormat="1" ht="17.25" customHeight="1"/>
    <row r="32093" customFormat="1" ht="17.25" customHeight="1"/>
    <row r="32094" customFormat="1" ht="17.25" customHeight="1"/>
    <row r="32095" customFormat="1" ht="17.25" customHeight="1"/>
    <row r="32096" customFormat="1" ht="17.25" customHeight="1"/>
    <row r="32097" customFormat="1" ht="17.25" customHeight="1"/>
    <row r="32098" customFormat="1" ht="17.25" customHeight="1"/>
    <row r="32099" customFormat="1" ht="17.25" customHeight="1"/>
    <row r="32100" customFormat="1" ht="17.25" customHeight="1"/>
    <row r="32101" customFormat="1" ht="17.25" customHeight="1"/>
    <row r="32102" customFormat="1" ht="17.25" customHeight="1"/>
    <row r="32103" customFormat="1" ht="17.25" customHeight="1"/>
    <row r="32104" customFormat="1" ht="17.25" customHeight="1"/>
    <row r="32105" customFormat="1" ht="17.25" customHeight="1"/>
    <row r="32106" customFormat="1" ht="17.25" customHeight="1"/>
    <row r="32107" customFormat="1" ht="17.25" customHeight="1"/>
    <row r="32108" customFormat="1" ht="17.25" customHeight="1"/>
    <row r="32109" customFormat="1" ht="17.25" customHeight="1"/>
    <row r="32110" customFormat="1" ht="17.25" customHeight="1"/>
    <row r="32111" customFormat="1" ht="17.25" customHeight="1"/>
    <row r="32112" customFormat="1" ht="17.25" customHeight="1"/>
    <row r="32113" customFormat="1" ht="17.25" customHeight="1"/>
    <row r="32114" customFormat="1" ht="17.25" customHeight="1"/>
    <row r="32115" customFormat="1" ht="17.25" customHeight="1"/>
    <row r="32116" customFormat="1" ht="17.25" customHeight="1"/>
    <row r="32117" customFormat="1" ht="17.25" customHeight="1"/>
    <row r="32118" customFormat="1" ht="17.25" customHeight="1"/>
    <row r="32119" customFormat="1" ht="17.25" customHeight="1"/>
    <row r="32120" customFormat="1" ht="17.25" customHeight="1"/>
    <row r="32121" customFormat="1" ht="17.25" customHeight="1"/>
    <row r="32122" customFormat="1" ht="17.25" customHeight="1"/>
    <row r="32123" customFormat="1" ht="17.25" customHeight="1"/>
    <row r="32124" customFormat="1" ht="17.25" customHeight="1"/>
    <row r="32125" customFormat="1" ht="17.25" customHeight="1"/>
    <row r="32126" customFormat="1" ht="17.25" customHeight="1"/>
    <row r="32127" customFormat="1" ht="17.25" customHeight="1"/>
    <row r="32128" customFormat="1" ht="17.25" customHeight="1"/>
    <row r="32129" customFormat="1" ht="17.25" customHeight="1"/>
    <row r="32130" customFormat="1" ht="17.25" customHeight="1"/>
    <row r="32131" customFormat="1" ht="17.25" customHeight="1"/>
    <row r="32132" customFormat="1" ht="17.25" customHeight="1"/>
    <row r="32133" customFormat="1" ht="17.25" customHeight="1"/>
    <row r="32134" customFormat="1" ht="17.25" customHeight="1"/>
    <row r="32135" customFormat="1" ht="17.25" customHeight="1"/>
    <row r="32136" customFormat="1" ht="17.25" customHeight="1"/>
    <row r="32137" customFormat="1" ht="17.25" customHeight="1"/>
    <row r="32138" customFormat="1" ht="17.25" customHeight="1"/>
    <row r="32139" customFormat="1" ht="17.25" customHeight="1"/>
    <row r="32140" customFormat="1" ht="17.25" customHeight="1"/>
    <row r="32141" customFormat="1" ht="17.25" customHeight="1"/>
    <row r="32142" customFormat="1" ht="17.25" customHeight="1"/>
    <row r="32143" customFormat="1" ht="17.25" customHeight="1"/>
    <row r="32144" customFormat="1" ht="17.25" customHeight="1"/>
    <row r="32145" customFormat="1" ht="17.25" customHeight="1"/>
    <row r="32146" customFormat="1" ht="17.25" customHeight="1"/>
    <row r="32147" customFormat="1" ht="17.25" customHeight="1"/>
    <row r="32148" customFormat="1" ht="17.25" customHeight="1"/>
    <row r="32149" customFormat="1" ht="17.25" customHeight="1"/>
    <row r="32150" customFormat="1" ht="17.25" customHeight="1"/>
    <row r="32151" customFormat="1" ht="17.25" customHeight="1"/>
    <row r="32152" customFormat="1" ht="17.25" customHeight="1"/>
    <row r="32153" customFormat="1" ht="17.25" customHeight="1"/>
    <row r="32154" customFormat="1" ht="17.25" customHeight="1"/>
    <row r="32155" customFormat="1" ht="17.25" customHeight="1"/>
    <row r="32156" customFormat="1" ht="17.25" customHeight="1"/>
    <row r="32157" customFormat="1" ht="17.25" customHeight="1"/>
    <row r="32158" customFormat="1" ht="17.25" customHeight="1"/>
    <row r="32159" customFormat="1" ht="17.25" customHeight="1"/>
    <row r="32160" customFormat="1" ht="17.25" customHeight="1"/>
    <row r="32161" customFormat="1" ht="17.25" customHeight="1"/>
    <row r="32162" customFormat="1" ht="17.25" customHeight="1"/>
    <row r="32163" customFormat="1" ht="17.25" customHeight="1"/>
    <row r="32164" customFormat="1" ht="17.25" customHeight="1"/>
    <row r="32165" customFormat="1" ht="17.25" customHeight="1"/>
    <row r="32166" customFormat="1" ht="17.25" customHeight="1"/>
    <row r="32167" customFormat="1" ht="17.25" customHeight="1"/>
    <row r="32168" customFormat="1" ht="17.25" customHeight="1"/>
    <row r="32169" customFormat="1" ht="17.25" customHeight="1"/>
    <row r="32170" customFormat="1" ht="17.25" customHeight="1"/>
    <row r="32171" customFormat="1" ht="17.25" customHeight="1"/>
    <row r="32172" customFormat="1" ht="17.25" customHeight="1"/>
    <row r="32173" customFormat="1" ht="17.25" customHeight="1"/>
    <row r="32174" customFormat="1" ht="17.25" customHeight="1"/>
    <row r="32175" customFormat="1" ht="17.25" customHeight="1"/>
    <row r="32176" customFormat="1" ht="17.25" customHeight="1"/>
    <row r="32177" customFormat="1" ht="17.25" customHeight="1"/>
    <row r="32178" customFormat="1" ht="17.25" customHeight="1"/>
    <row r="32179" customFormat="1" ht="17.25" customHeight="1"/>
    <row r="32180" customFormat="1" ht="17.25" customHeight="1"/>
    <row r="32181" customFormat="1" ht="17.25" customHeight="1"/>
    <row r="32182" customFormat="1" ht="17.25" customHeight="1"/>
    <row r="32183" customFormat="1" ht="17.25" customHeight="1"/>
    <row r="32184" customFormat="1" ht="17.25" customHeight="1"/>
    <row r="32185" customFormat="1" ht="17.25" customHeight="1"/>
    <row r="32186" customFormat="1" ht="17.25" customHeight="1"/>
    <row r="32187" customFormat="1" ht="17.25" customHeight="1"/>
    <row r="32188" customFormat="1" ht="17.25" customHeight="1"/>
    <row r="32189" customFormat="1" ht="17.25" customHeight="1"/>
    <row r="32190" customFormat="1" ht="17.25" customHeight="1"/>
    <row r="32191" customFormat="1" ht="17.25" customHeight="1"/>
    <row r="32192" customFormat="1" ht="17.25" customHeight="1"/>
    <row r="32193" customFormat="1" ht="17.25" customHeight="1"/>
    <row r="32194" customFormat="1" ht="17.25" customHeight="1"/>
    <row r="32195" customFormat="1" ht="17.25" customHeight="1"/>
    <row r="32196" customFormat="1" ht="17.25" customHeight="1"/>
    <row r="32197" customFormat="1" ht="17.25" customHeight="1"/>
    <row r="32198" customFormat="1" ht="17.25" customHeight="1"/>
    <row r="32199" customFormat="1" ht="17.25" customHeight="1"/>
    <row r="32200" customFormat="1" ht="17.25" customHeight="1"/>
    <row r="32201" customFormat="1" ht="17.25" customHeight="1"/>
    <row r="32202" customFormat="1" ht="17.25" customHeight="1"/>
    <row r="32203" customFormat="1" ht="17.25" customHeight="1"/>
    <row r="32204" customFormat="1" ht="17.25" customHeight="1"/>
    <row r="32205" customFormat="1" ht="17.25" customHeight="1"/>
    <row r="32206" customFormat="1" ht="17.25" customHeight="1"/>
    <row r="32207" customFormat="1" ht="17.25" customHeight="1"/>
    <row r="32208" customFormat="1" ht="17.25" customHeight="1"/>
    <row r="32209" customFormat="1" ht="17.25" customHeight="1"/>
    <row r="32210" customFormat="1" ht="17.25" customHeight="1"/>
    <row r="32211" customFormat="1" ht="17.25" customHeight="1"/>
    <row r="32212" customFormat="1" ht="17.25" customHeight="1"/>
    <row r="32213" customFormat="1" ht="17.25" customHeight="1"/>
    <row r="32214" customFormat="1" ht="17.25" customHeight="1"/>
    <row r="32215" customFormat="1" ht="17.25" customHeight="1"/>
    <row r="32216" customFormat="1" ht="17.25" customHeight="1"/>
    <row r="32217" customFormat="1" ht="17.25" customHeight="1"/>
    <row r="32218" customFormat="1" ht="17.25" customHeight="1"/>
    <row r="32219" customFormat="1" ht="17.25" customHeight="1"/>
    <row r="32220" customFormat="1" ht="17.25" customHeight="1"/>
    <row r="32221" customFormat="1" ht="17.25" customHeight="1"/>
    <row r="32222" customFormat="1" ht="17.25" customHeight="1"/>
    <row r="32223" customFormat="1" ht="17.25" customHeight="1"/>
    <row r="32224" customFormat="1" ht="17.25" customHeight="1"/>
    <row r="32225" customFormat="1" ht="17.25" customHeight="1"/>
    <row r="32226" customFormat="1" ht="17.25" customHeight="1"/>
    <row r="32227" customFormat="1" ht="17.25" customHeight="1"/>
    <row r="32228" customFormat="1" ht="17.25" customHeight="1"/>
    <row r="32229" customFormat="1" ht="17.25" customHeight="1"/>
    <row r="32230" customFormat="1" ht="17.25" customHeight="1"/>
    <row r="32231" customFormat="1" ht="17.25" customHeight="1"/>
    <row r="32232" customFormat="1" ht="17.25" customHeight="1"/>
    <row r="32233" customFormat="1" ht="17.25" customHeight="1"/>
    <row r="32234" customFormat="1" ht="17.25" customHeight="1"/>
    <row r="32235" customFormat="1" ht="17.25" customHeight="1"/>
    <row r="32236" customFormat="1" ht="17.25" customHeight="1"/>
    <row r="32237" customFormat="1" ht="17.25" customHeight="1"/>
    <row r="32238" customFormat="1" ht="17.25" customHeight="1"/>
    <row r="32239" customFormat="1" ht="17.25" customHeight="1"/>
    <row r="32240" customFormat="1" ht="17.25" customHeight="1"/>
    <row r="32241" customFormat="1" ht="17.25" customHeight="1"/>
    <row r="32242" customFormat="1" ht="17.25" customHeight="1"/>
    <row r="32243" customFormat="1" ht="17.25" customHeight="1"/>
    <row r="32244" customFormat="1" ht="17.25" customHeight="1"/>
    <row r="32245" customFormat="1" ht="17.25" customHeight="1"/>
    <row r="32246" customFormat="1" ht="17.25" customHeight="1"/>
    <row r="32247" customFormat="1" ht="17.25" customHeight="1"/>
    <row r="32248" customFormat="1" ht="17.25" customHeight="1"/>
    <row r="32249" customFormat="1" ht="17.25" customHeight="1"/>
    <row r="32250" customFormat="1" ht="17.25" customHeight="1"/>
    <row r="32251" customFormat="1" ht="17.25" customHeight="1"/>
    <row r="32252" customFormat="1" ht="17.25" customHeight="1"/>
    <row r="32253" customFormat="1" ht="17.25" customHeight="1"/>
    <row r="32254" customFormat="1" ht="17.25" customHeight="1"/>
    <row r="32255" customFormat="1" ht="17.25" customHeight="1"/>
    <row r="32256" customFormat="1" ht="17.25" customHeight="1"/>
    <row r="32257" customFormat="1" ht="17.25" customHeight="1"/>
    <row r="32258" customFormat="1" ht="17.25" customHeight="1"/>
    <row r="32259" customFormat="1" ht="17.25" customHeight="1"/>
    <row r="32260" customFormat="1" ht="17.25" customHeight="1"/>
    <row r="32261" customFormat="1" ht="17.25" customHeight="1"/>
    <row r="32262" customFormat="1" ht="17.25" customHeight="1"/>
    <row r="32263" customFormat="1" ht="17.25" customHeight="1"/>
    <row r="32264" customFormat="1" ht="17.25" customHeight="1"/>
    <row r="32265" customFormat="1" ht="17.25" customHeight="1"/>
    <row r="32266" customFormat="1" ht="17.25" customHeight="1"/>
    <row r="32267" customFormat="1" ht="17.25" customHeight="1"/>
    <row r="32268" customFormat="1" ht="17.25" customHeight="1"/>
    <row r="32269" customFormat="1" ht="17.25" customHeight="1"/>
    <row r="32270" customFormat="1" ht="17.25" customHeight="1"/>
    <row r="32271" customFormat="1" ht="17.25" customHeight="1"/>
    <row r="32272" customFormat="1" ht="17.25" customHeight="1"/>
    <row r="32273" customFormat="1" ht="17.25" customHeight="1"/>
    <row r="32274" customFormat="1" ht="17.25" customHeight="1"/>
    <row r="32275" customFormat="1" ht="17.25" customHeight="1"/>
    <row r="32276" customFormat="1" ht="17.25" customHeight="1"/>
    <row r="32277" customFormat="1" ht="17.25" customHeight="1"/>
    <row r="32278" customFormat="1" ht="17.25" customHeight="1"/>
    <row r="32279" customFormat="1" ht="17.25" customHeight="1"/>
    <row r="32280" customFormat="1" ht="17.25" customHeight="1"/>
    <row r="32281" customFormat="1" ht="17.25" customHeight="1"/>
    <row r="32282" customFormat="1" ht="17.25" customHeight="1"/>
    <row r="32283" customFormat="1" ht="17.25" customHeight="1"/>
    <row r="32284" customFormat="1" ht="17.25" customHeight="1"/>
    <row r="32285" customFormat="1" ht="17.25" customHeight="1"/>
    <row r="32286" customFormat="1" ht="17.25" customHeight="1"/>
    <row r="32287" customFormat="1" ht="17.25" customHeight="1"/>
    <row r="32288" customFormat="1" ht="17.25" customHeight="1"/>
    <row r="32289" customFormat="1" ht="17.25" customHeight="1"/>
    <row r="32290" customFormat="1" ht="17.25" customHeight="1"/>
    <row r="32291" customFormat="1" ht="17.25" customHeight="1"/>
    <row r="32292" customFormat="1" ht="17.25" customHeight="1"/>
    <row r="32293" customFormat="1" ht="17.25" customHeight="1"/>
    <row r="32294" customFormat="1" ht="17.25" customHeight="1"/>
    <row r="32295" customFormat="1" ht="17.25" customHeight="1"/>
    <row r="32296" customFormat="1" ht="17.25" customHeight="1"/>
    <row r="32297" customFormat="1" ht="17.25" customHeight="1"/>
    <row r="32298" customFormat="1" ht="17.25" customHeight="1"/>
    <row r="32299" customFormat="1" ht="17.25" customHeight="1"/>
    <row r="32300" customFormat="1" ht="17.25" customHeight="1"/>
    <row r="32301" customFormat="1" ht="17.25" customHeight="1"/>
    <row r="32302" customFormat="1" ht="17.25" customHeight="1"/>
    <row r="32303" customFormat="1" ht="17.25" customHeight="1"/>
    <row r="32304" customFormat="1" ht="17.25" customHeight="1"/>
    <row r="32305" customFormat="1" ht="17.25" customHeight="1"/>
    <row r="32306" customFormat="1" ht="17.25" customHeight="1"/>
    <row r="32307" customFormat="1" ht="17.25" customHeight="1"/>
    <row r="32308" customFormat="1" ht="17.25" customHeight="1"/>
    <row r="32309" customFormat="1" ht="17.25" customHeight="1"/>
    <row r="32310" customFormat="1" ht="17.25" customHeight="1"/>
    <row r="32311" customFormat="1" ht="17.25" customHeight="1"/>
    <row r="32312" customFormat="1" ht="17.25" customHeight="1"/>
    <row r="32313" customFormat="1" ht="17.25" customHeight="1"/>
    <row r="32314" customFormat="1" ht="17.25" customHeight="1"/>
    <row r="32315" customFormat="1" ht="17.25" customHeight="1"/>
    <row r="32316" customFormat="1" ht="17.25" customHeight="1"/>
    <row r="32317" customFormat="1" ht="17.25" customHeight="1"/>
    <row r="32318" customFormat="1" ht="17.25" customHeight="1"/>
    <row r="32319" customFormat="1" ht="17.25" customHeight="1"/>
    <row r="32320" customFormat="1" ht="17.25" customHeight="1"/>
    <row r="32321" customFormat="1" ht="17.25" customHeight="1"/>
    <row r="32322" customFormat="1" ht="17.25" customHeight="1"/>
    <row r="32323" customFormat="1" ht="17.25" customHeight="1"/>
    <row r="32324" customFormat="1" ht="17.25" customHeight="1"/>
    <row r="32325" customFormat="1" ht="17.25" customHeight="1"/>
    <row r="32326" customFormat="1" ht="17.25" customHeight="1"/>
    <row r="32327" customFormat="1" ht="17.25" customHeight="1"/>
    <row r="32328" customFormat="1" ht="17.25" customHeight="1"/>
    <row r="32329" customFormat="1" ht="17.25" customHeight="1"/>
    <row r="32330" customFormat="1" ht="17.25" customHeight="1"/>
    <row r="32331" customFormat="1" ht="17.25" customHeight="1"/>
    <row r="32332" customFormat="1" ht="17.25" customHeight="1"/>
    <row r="32333" customFormat="1" ht="17.25" customHeight="1"/>
    <row r="32334" customFormat="1" ht="17.25" customHeight="1"/>
    <row r="32335" customFormat="1" ht="17.25" customHeight="1"/>
    <row r="32336" customFormat="1" ht="17.25" customHeight="1"/>
    <row r="32337" customFormat="1" ht="17.25" customHeight="1"/>
    <row r="32338" customFormat="1" ht="17.25" customHeight="1"/>
    <row r="32339" customFormat="1" ht="17.25" customHeight="1"/>
    <row r="32340" customFormat="1" ht="17.25" customHeight="1"/>
    <row r="32341" customFormat="1" ht="17.25" customHeight="1"/>
    <row r="32342" customFormat="1" ht="17.25" customHeight="1"/>
    <row r="32343" customFormat="1" ht="17.25" customHeight="1"/>
    <row r="32344" customFormat="1" ht="17.25" customHeight="1"/>
    <row r="32345" customFormat="1" ht="17.25" customHeight="1"/>
    <row r="32346" customFormat="1" ht="17.25" customHeight="1"/>
    <row r="32347" customFormat="1" ht="17.25" customHeight="1"/>
    <row r="32348" customFormat="1" ht="17.25" customHeight="1"/>
    <row r="32349" customFormat="1" ht="17.25" customHeight="1"/>
    <row r="32350" customFormat="1" ht="17.25" customHeight="1"/>
    <row r="32351" customFormat="1" ht="17.25" customHeight="1"/>
    <row r="32352" customFormat="1" ht="17.25" customHeight="1"/>
    <row r="32353" customFormat="1" ht="17.25" customHeight="1"/>
    <row r="32354" customFormat="1" ht="17.25" customHeight="1"/>
    <row r="32355" customFormat="1" ht="17.25" customHeight="1"/>
    <row r="32356" customFormat="1" ht="17.25" customHeight="1"/>
    <row r="32357" customFormat="1" ht="17.25" customHeight="1"/>
    <row r="32358" customFormat="1" ht="17.25" customHeight="1"/>
    <row r="32359" customFormat="1" ht="17.25" customHeight="1"/>
    <row r="32360" customFormat="1" ht="17.25" customHeight="1"/>
    <row r="32361" customFormat="1" ht="17.25" customHeight="1"/>
    <row r="32362" customFormat="1" ht="17.25" customHeight="1"/>
    <row r="32363" customFormat="1" ht="17.25" customHeight="1"/>
    <row r="32364" customFormat="1" ht="17.25" customHeight="1"/>
    <row r="32365" customFormat="1" ht="17.25" customHeight="1"/>
    <row r="32366" customFormat="1" ht="17.25" customHeight="1"/>
    <row r="32367" customFormat="1" ht="17.25" customHeight="1"/>
    <row r="32368" customFormat="1" ht="17.25" customHeight="1"/>
    <row r="32369" customFormat="1" ht="17.25" customHeight="1"/>
    <row r="32370" customFormat="1" ht="17.25" customHeight="1"/>
    <row r="32371" customFormat="1" ht="17.25" customHeight="1"/>
    <row r="32372" customFormat="1" ht="17.25" customHeight="1"/>
    <row r="32373" customFormat="1" ht="17.25" customHeight="1"/>
    <row r="32374" customFormat="1" ht="17.25" customHeight="1"/>
    <row r="32375" customFormat="1" ht="17.25" customHeight="1"/>
    <row r="32376" customFormat="1" ht="17.25" customHeight="1"/>
    <row r="32377" customFormat="1" ht="17.25" customHeight="1"/>
    <row r="32378" customFormat="1" ht="17.25" customHeight="1"/>
    <row r="32379" customFormat="1" ht="17.25" customHeight="1"/>
    <row r="32380" customFormat="1" ht="17.25" customHeight="1"/>
    <row r="32381" customFormat="1" ht="17.25" customHeight="1"/>
    <row r="32382" customFormat="1" ht="17.25" customHeight="1"/>
    <row r="32383" customFormat="1" ht="17.25" customHeight="1"/>
    <row r="32384" customFormat="1" ht="17.25" customHeight="1"/>
    <row r="32385" customFormat="1" ht="17.25" customHeight="1"/>
    <row r="32386" customFormat="1" ht="17.25" customHeight="1"/>
    <row r="32387" customFormat="1" ht="17.25" customHeight="1"/>
    <row r="32388" customFormat="1" ht="17.25" customHeight="1"/>
    <row r="32389" customFormat="1" ht="17.25" customHeight="1"/>
    <row r="32390" customFormat="1" ht="17.25" customHeight="1"/>
    <row r="32391" customFormat="1" ht="17.25" customHeight="1"/>
    <row r="32392" customFormat="1" ht="17.25" customHeight="1"/>
    <row r="32393" customFormat="1" ht="17.25" customHeight="1"/>
    <row r="32394" customFormat="1" ht="17.25" customHeight="1"/>
    <row r="32395" customFormat="1" ht="17.25" customHeight="1"/>
    <row r="32396" customFormat="1" ht="17.25" customHeight="1"/>
    <row r="32397" customFormat="1" ht="17.25" customHeight="1"/>
    <row r="32398" customFormat="1" ht="17.25" customHeight="1"/>
    <row r="32399" customFormat="1" ht="17.25" customHeight="1"/>
    <row r="32400" customFormat="1" ht="17.25" customHeight="1"/>
    <row r="32401" customFormat="1" ht="17.25" customHeight="1"/>
    <row r="32402" customFormat="1" ht="17.25" customHeight="1"/>
    <row r="32403" customFormat="1" ht="17.25" customHeight="1"/>
    <row r="32404" customFormat="1" ht="17.25" customHeight="1"/>
    <row r="32405" customFormat="1" ht="17.25" customHeight="1"/>
    <row r="32406" customFormat="1" ht="17.25" customHeight="1"/>
    <row r="32407" customFormat="1" ht="17.25" customHeight="1"/>
    <row r="32408" customFormat="1" ht="17.25" customHeight="1"/>
    <row r="32409" customFormat="1" ht="17.25" customHeight="1"/>
    <row r="32410" customFormat="1" ht="17.25" customHeight="1"/>
    <row r="32411" customFormat="1" ht="17.25" customHeight="1"/>
    <row r="32412" customFormat="1" ht="17.25" customHeight="1"/>
    <row r="32413" customFormat="1" ht="17.25" customHeight="1"/>
    <row r="32414" customFormat="1" ht="17.25" customHeight="1"/>
    <row r="32415" customFormat="1" ht="17.25" customHeight="1"/>
    <row r="32416" customFormat="1" ht="17.25" customHeight="1"/>
    <row r="32417" customFormat="1" ht="17.25" customHeight="1"/>
    <row r="32418" customFormat="1" ht="17.25" customHeight="1"/>
    <row r="32419" customFormat="1" ht="17.25" customHeight="1"/>
    <row r="32420" customFormat="1" ht="17.25" customHeight="1"/>
    <row r="32421" customFormat="1" ht="17.25" customHeight="1"/>
    <row r="32422" customFormat="1" ht="17.25" customHeight="1"/>
    <row r="32423" customFormat="1" ht="17.25" customHeight="1"/>
    <row r="32424" customFormat="1" ht="17.25" customHeight="1"/>
    <row r="32425" customFormat="1" ht="17.25" customHeight="1"/>
    <row r="32426" customFormat="1" ht="17.25" customHeight="1"/>
    <row r="32427" customFormat="1" ht="17.25" customHeight="1"/>
    <row r="32428" customFormat="1" ht="17.25" customHeight="1"/>
    <row r="32429" customFormat="1" ht="17.25" customHeight="1"/>
    <row r="32430" customFormat="1" ht="17.25" customHeight="1"/>
    <row r="32431" customFormat="1" ht="17.25" customHeight="1"/>
    <row r="32432" customFormat="1" ht="17.25" customHeight="1"/>
    <row r="32433" customFormat="1" ht="17.25" customHeight="1"/>
    <row r="32434" customFormat="1" ht="17.25" customHeight="1"/>
    <row r="32435" customFormat="1" ht="17.25" customHeight="1"/>
    <row r="32436" customFormat="1" ht="17.25" customHeight="1"/>
    <row r="32437" customFormat="1" ht="17.25" customHeight="1"/>
    <row r="32438" customFormat="1" ht="17.25" customHeight="1"/>
    <row r="32439" customFormat="1" ht="17.25" customHeight="1"/>
    <row r="32440" customFormat="1" ht="17.25" customHeight="1"/>
    <row r="32441" customFormat="1" ht="17.25" customHeight="1"/>
    <row r="32442" customFormat="1" ht="17.25" customHeight="1"/>
    <row r="32443" customFormat="1" ht="17.25" customHeight="1"/>
    <row r="32444" customFormat="1" ht="17.25" customHeight="1"/>
    <row r="32445" customFormat="1" ht="17.25" customHeight="1"/>
    <row r="32446" customFormat="1" ht="17.25" customHeight="1"/>
    <row r="32447" customFormat="1" ht="17.25" customHeight="1"/>
    <row r="32448" customFormat="1" ht="17.25" customHeight="1"/>
    <row r="32449" customFormat="1" ht="17.25" customHeight="1"/>
    <row r="32450" customFormat="1" ht="17.25" customHeight="1"/>
    <row r="32451" customFormat="1" ht="17.25" customHeight="1"/>
    <row r="32452" customFormat="1" ht="17.25" customHeight="1"/>
    <row r="32453" customFormat="1" ht="17.25" customHeight="1"/>
    <row r="32454" customFormat="1" ht="17.25" customHeight="1"/>
    <row r="32455" customFormat="1" ht="17.25" customHeight="1"/>
    <row r="32456" customFormat="1" ht="17.25" customHeight="1"/>
    <row r="32457" customFormat="1" ht="17.25" customHeight="1"/>
    <row r="32458" customFormat="1" ht="17.25" customHeight="1"/>
    <row r="32459" customFormat="1" ht="17.25" customHeight="1"/>
    <row r="32460" customFormat="1" ht="17.25" customHeight="1"/>
    <row r="32461" customFormat="1" ht="17.25" customHeight="1"/>
    <row r="32462" customFormat="1" ht="17.25" customHeight="1"/>
    <row r="32463" customFormat="1" ht="17.25" customHeight="1"/>
    <row r="32464" customFormat="1" ht="17.25" customHeight="1"/>
    <row r="32465" customFormat="1" ht="17.25" customHeight="1"/>
    <row r="32466" customFormat="1" ht="17.25" customHeight="1"/>
    <row r="32467" customFormat="1" ht="17.25" customHeight="1"/>
    <row r="32468" customFormat="1" ht="17.25" customHeight="1"/>
    <row r="32469" customFormat="1" ht="17.25" customHeight="1"/>
    <row r="32470" customFormat="1" ht="17.25" customHeight="1"/>
    <row r="32471" customFormat="1" ht="17.25" customHeight="1"/>
    <row r="32472" customFormat="1" ht="17.25" customHeight="1"/>
    <row r="32473" customFormat="1" ht="17.25" customHeight="1"/>
    <row r="32474" customFormat="1" ht="17.25" customHeight="1"/>
    <row r="32475" customFormat="1" ht="17.25" customHeight="1"/>
    <row r="32476" customFormat="1" ht="17.25" customHeight="1"/>
    <row r="32477" customFormat="1" ht="17.25" customHeight="1"/>
    <row r="32478" customFormat="1" ht="17.25" customHeight="1"/>
    <row r="32479" customFormat="1" ht="17.25" customHeight="1"/>
    <row r="32480" customFormat="1" ht="17.25" customHeight="1"/>
    <row r="32481" customFormat="1" ht="17.25" customHeight="1"/>
    <row r="32482" customFormat="1" ht="17.25" customHeight="1"/>
    <row r="32483" customFormat="1" ht="17.25" customHeight="1"/>
    <row r="32484" customFormat="1" ht="17.25" customHeight="1"/>
    <row r="32485" customFormat="1" ht="17.25" customHeight="1"/>
    <row r="32486" customFormat="1" ht="17.25" customHeight="1"/>
    <row r="32487" customFormat="1" ht="17.25" customHeight="1"/>
    <row r="32488" customFormat="1" ht="17.25" customHeight="1"/>
    <row r="32489" customFormat="1" ht="17.25" customHeight="1"/>
    <row r="32490" customFormat="1" ht="17.25" customHeight="1"/>
    <row r="32491" customFormat="1" ht="17.25" customHeight="1"/>
    <row r="32492" customFormat="1" ht="17.25" customHeight="1"/>
    <row r="32493" customFormat="1" ht="17.25" customHeight="1"/>
    <row r="32494" customFormat="1" ht="17.25" customHeight="1"/>
    <row r="32495" customFormat="1" ht="17.25" customHeight="1"/>
    <row r="32496" customFormat="1" ht="17.25" customHeight="1"/>
    <row r="32497" customFormat="1" ht="17.25" customHeight="1"/>
    <row r="32498" customFormat="1" ht="17.25" customHeight="1"/>
    <row r="32499" customFormat="1" ht="17.25" customHeight="1"/>
    <row r="32500" customFormat="1" ht="17.25" customHeight="1"/>
    <row r="32501" customFormat="1" ht="17.25" customHeight="1"/>
    <row r="32502" customFormat="1" ht="17.25" customHeight="1"/>
    <row r="32503" customFormat="1" ht="17.25" customHeight="1"/>
    <row r="32504" customFormat="1" ht="17.25" customHeight="1"/>
    <row r="32505" customFormat="1" ht="17.25" customHeight="1"/>
    <row r="32506" customFormat="1" ht="17.25" customHeight="1"/>
    <row r="32507" customFormat="1" ht="17.25" customHeight="1"/>
    <row r="32508" customFormat="1" ht="17.25" customHeight="1"/>
    <row r="32509" customFormat="1" ht="17.25" customHeight="1"/>
    <row r="32510" customFormat="1" ht="17.25" customHeight="1"/>
    <row r="32511" customFormat="1" ht="17.25" customHeight="1"/>
    <row r="32512" customFormat="1" ht="17.25" customHeight="1"/>
    <row r="32513" customFormat="1" ht="17.25" customHeight="1"/>
    <row r="32514" customFormat="1" ht="17.25" customHeight="1"/>
    <row r="32515" customFormat="1" ht="17.25" customHeight="1"/>
    <row r="32516" customFormat="1" ht="17.25" customHeight="1"/>
    <row r="32517" customFormat="1" ht="17.25" customHeight="1"/>
    <row r="32518" customFormat="1" ht="17.25" customHeight="1"/>
    <row r="32519" customFormat="1" ht="17.25" customHeight="1"/>
    <row r="32520" customFormat="1" ht="17.25" customHeight="1"/>
    <row r="32521" customFormat="1" ht="17.25" customHeight="1"/>
    <row r="32522" customFormat="1" ht="17.25" customHeight="1"/>
    <row r="32523" customFormat="1" ht="17.25" customHeight="1"/>
    <row r="32524" customFormat="1" ht="17.25" customHeight="1"/>
    <row r="32525" customFormat="1" ht="17.25" customHeight="1"/>
    <row r="32526" customFormat="1" ht="17.25" customHeight="1"/>
    <row r="32527" customFormat="1" ht="17.25" customHeight="1"/>
    <row r="32528" customFormat="1" ht="17.25" customHeight="1"/>
    <row r="32529" customFormat="1" ht="17.25" customHeight="1"/>
    <row r="32530" customFormat="1" ht="17.25" customHeight="1"/>
    <row r="32531" customFormat="1" ht="17.25" customHeight="1"/>
    <row r="32532" customFormat="1" ht="17.25" customHeight="1"/>
    <row r="32533" customFormat="1" ht="17.25" customHeight="1"/>
    <row r="32534" customFormat="1" ht="17.25" customHeight="1"/>
    <row r="32535" customFormat="1" ht="17.25" customHeight="1"/>
    <row r="32536" customFormat="1" ht="17.25" customHeight="1"/>
    <row r="32537" customFormat="1" ht="17.25" customHeight="1"/>
    <row r="32538" customFormat="1" ht="17.25" customHeight="1"/>
    <row r="32539" customFormat="1" ht="17.25" customHeight="1"/>
    <row r="32540" customFormat="1" ht="17.25" customHeight="1"/>
    <row r="32541" customFormat="1" ht="17.25" customHeight="1"/>
    <row r="32542" customFormat="1" ht="17.25" customHeight="1"/>
    <row r="32543" customFormat="1" ht="17.25" customHeight="1"/>
    <row r="32544" customFormat="1" ht="17.25" customHeight="1"/>
    <row r="32545" customFormat="1" ht="17.25" customHeight="1"/>
    <row r="32546" customFormat="1" ht="17.25" customHeight="1"/>
    <row r="32547" customFormat="1" ht="17.25" customHeight="1"/>
    <row r="32548" customFormat="1" ht="17.25" customHeight="1"/>
    <row r="32549" customFormat="1" ht="17.25" customHeight="1"/>
    <row r="32550" customFormat="1" ht="17.25" customHeight="1"/>
    <row r="32551" customFormat="1" ht="17.25" customHeight="1"/>
    <row r="32552" customFormat="1" ht="17.25" customHeight="1"/>
    <row r="32553" customFormat="1" ht="17.25" customHeight="1"/>
    <row r="32554" customFormat="1" ht="17.25" customHeight="1"/>
    <row r="32555" customFormat="1" ht="17.25" customHeight="1"/>
    <row r="32556" customFormat="1" ht="17.25" customHeight="1"/>
    <row r="32557" customFormat="1" ht="17.25" customHeight="1"/>
    <row r="32558" customFormat="1" ht="17.25" customHeight="1"/>
    <row r="32559" customFormat="1" ht="17.25" customHeight="1"/>
    <row r="32560" customFormat="1" ht="17.25" customHeight="1"/>
    <row r="32561" customFormat="1" ht="17.25" customHeight="1"/>
    <row r="32562" customFormat="1" ht="17.25" customHeight="1"/>
    <row r="32563" customFormat="1" ht="17.25" customHeight="1"/>
    <row r="32564" customFormat="1" ht="17.25" customHeight="1"/>
    <row r="32565" customFormat="1" ht="17.25" customHeight="1"/>
    <row r="32566" customFormat="1" ht="17.25" customHeight="1"/>
    <row r="32567" customFormat="1" ht="17.25" customHeight="1"/>
    <row r="32568" customFormat="1" ht="17.25" customHeight="1"/>
    <row r="32569" customFormat="1" ht="17.25" customHeight="1"/>
    <row r="32570" customFormat="1" ht="17.25" customHeight="1"/>
    <row r="32571" customFormat="1" ht="17.25" customHeight="1"/>
    <row r="32572" customFormat="1" ht="17.25" customHeight="1"/>
    <row r="32573" customFormat="1" ht="17.25" customHeight="1"/>
    <row r="32574" customFormat="1" ht="17.25" customHeight="1"/>
    <row r="32575" customFormat="1" ht="17.25" customHeight="1"/>
    <row r="32576" customFormat="1" ht="17.25" customHeight="1"/>
    <row r="32577" customFormat="1" ht="17.25" customHeight="1"/>
    <row r="32578" customFormat="1" ht="17.25" customHeight="1"/>
    <row r="32579" customFormat="1" ht="17.25" customHeight="1"/>
    <row r="32580" customFormat="1" ht="17.25" customHeight="1"/>
    <row r="32581" customFormat="1" ht="17.25" customHeight="1"/>
    <row r="32582" customFormat="1" ht="17.25" customHeight="1"/>
    <row r="32583" customFormat="1" ht="17.25" customHeight="1"/>
    <row r="32584" customFormat="1" ht="17.25" customHeight="1"/>
    <row r="32585" customFormat="1" ht="17.25" customHeight="1"/>
    <row r="32586" customFormat="1" ht="17.25" customHeight="1"/>
    <row r="32587" customFormat="1" ht="17.25" customHeight="1"/>
    <row r="32588" customFormat="1" ht="17.25" customHeight="1"/>
    <row r="32589" customFormat="1" ht="17.25" customHeight="1"/>
    <row r="32590" customFormat="1" ht="17.25" customHeight="1"/>
    <row r="32591" customFormat="1" ht="17.25" customHeight="1"/>
    <row r="32592" customFormat="1" ht="17.25" customHeight="1"/>
    <row r="32593" customFormat="1" ht="17.25" customHeight="1"/>
    <row r="32594" customFormat="1" ht="17.25" customHeight="1"/>
    <row r="32595" customFormat="1" ht="17.25" customHeight="1"/>
    <row r="32596" customFormat="1" ht="17.25" customHeight="1"/>
    <row r="32597" customFormat="1" ht="17.25" customHeight="1"/>
    <row r="32598" customFormat="1" ht="17.25" customHeight="1"/>
    <row r="32599" customFormat="1" ht="17.25" customHeight="1"/>
    <row r="32600" customFormat="1" ht="17.25" customHeight="1"/>
    <row r="32601" customFormat="1" ht="17.25" customHeight="1"/>
    <row r="32602" customFormat="1" ht="17.25" customHeight="1"/>
    <row r="32603" customFormat="1" ht="17.25" customHeight="1"/>
    <row r="32604" customFormat="1" ht="17.25" customHeight="1"/>
    <row r="32605" customFormat="1" ht="17.25" customHeight="1"/>
    <row r="32606" customFormat="1" ht="17.25" customHeight="1"/>
    <row r="32607" customFormat="1" ht="17.25" customHeight="1"/>
    <row r="32608" customFormat="1" ht="17.25" customHeight="1"/>
    <row r="32609" customFormat="1" ht="17.25" customHeight="1"/>
    <row r="32610" customFormat="1" ht="17.25" customHeight="1"/>
    <row r="32611" customFormat="1" ht="17.25" customHeight="1"/>
    <row r="32612" customFormat="1" ht="17.25" customHeight="1"/>
    <row r="32613" customFormat="1" ht="17.25" customHeight="1"/>
    <row r="32614" customFormat="1" ht="17.25" customHeight="1"/>
    <row r="32615" customFormat="1" ht="17.25" customHeight="1"/>
    <row r="32616" customFormat="1" ht="17.25" customHeight="1"/>
    <row r="32617" customFormat="1" ht="17.25" customHeight="1"/>
    <row r="32618" customFormat="1" ht="17.25" customHeight="1"/>
    <row r="32619" customFormat="1" ht="17.25" customHeight="1"/>
    <row r="32620" customFormat="1" ht="17.25" customHeight="1"/>
    <row r="32621" customFormat="1" ht="17.25" customHeight="1"/>
    <row r="32622" customFormat="1" ht="17.25" customHeight="1"/>
    <row r="32623" customFormat="1" ht="17.25" customHeight="1"/>
    <row r="32624" customFormat="1" ht="17.25" customHeight="1"/>
    <row r="32625" customFormat="1" ht="17.25" customHeight="1"/>
    <row r="32626" customFormat="1" ht="17.25" customHeight="1"/>
    <row r="32627" customFormat="1" ht="17.25" customHeight="1"/>
    <row r="32628" customFormat="1" ht="17.25" customHeight="1"/>
    <row r="32629" customFormat="1" ht="17.25" customHeight="1"/>
    <row r="32630" customFormat="1" ht="17.25" customHeight="1"/>
    <row r="32631" customFormat="1" ht="17.25" customHeight="1"/>
    <row r="32632" customFormat="1" ht="17.25" customHeight="1"/>
    <row r="32633" customFormat="1" ht="17.25" customHeight="1"/>
    <row r="32634" customFormat="1" ht="17.25" customHeight="1"/>
    <row r="32635" customFormat="1" ht="17.25" customHeight="1"/>
    <row r="32636" customFormat="1" ht="17.25" customHeight="1"/>
    <row r="32637" customFormat="1" ht="17.25" customHeight="1"/>
    <row r="32638" customFormat="1" ht="17.25" customHeight="1"/>
    <row r="32639" customFormat="1" ht="17.25" customHeight="1"/>
    <row r="32640" customFormat="1" ht="17.25" customHeight="1"/>
    <row r="32641" customFormat="1" ht="17.25" customHeight="1"/>
    <row r="32642" customFormat="1" ht="17.25" customHeight="1"/>
    <row r="32643" customFormat="1" ht="17.25" customHeight="1"/>
    <row r="32644" customFormat="1" ht="17.25" customHeight="1"/>
    <row r="32645" customFormat="1" ht="17.25" customHeight="1"/>
    <row r="32646" customFormat="1" ht="17.25" customHeight="1"/>
    <row r="32647" customFormat="1" ht="17.25" customHeight="1"/>
    <row r="32648" customFormat="1" ht="17.25" customHeight="1"/>
    <row r="32649" customFormat="1" ht="17.25" customHeight="1"/>
    <row r="32650" customFormat="1" ht="17.25" customHeight="1"/>
    <row r="32651" customFormat="1" ht="17.25" customHeight="1"/>
    <row r="32652" customFormat="1" ht="17.25" customHeight="1"/>
    <row r="32653" customFormat="1" ht="17.25" customHeight="1"/>
    <row r="32654" customFormat="1" ht="17.25" customHeight="1"/>
    <row r="32655" customFormat="1" ht="17.25" customHeight="1"/>
    <row r="32656" customFormat="1" ht="17.25" customHeight="1"/>
    <row r="32657" customFormat="1" ht="17.25" customHeight="1"/>
    <row r="32658" customFormat="1" ht="17.25" customHeight="1"/>
    <row r="32659" customFormat="1" ht="17.25" customHeight="1"/>
    <row r="32660" customFormat="1" ht="17.25" customHeight="1"/>
    <row r="32661" customFormat="1" ht="17.25" customHeight="1"/>
    <row r="32662" customFormat="1" ht="17.25" customHeight="1"/>
    <row r="32663" customFormat="1" ht="17.25" customHeight="1"/>
    <row r="32664" customFormat="1" ht="17.25" customHeight="1"/>
    <row r="32665" customFormat="1" ht="17.25" customHeight="1"/>
    <row r="32666" customFormat="1" ht="17.25" customHeight="1"/>
    <row r="32667" customFormat="1" ht="17.25" customHeight="1"/>
    <row r="32668" customFormat="1" ht="17.25" customHeight="1"/>
    <row r="32669" customFormat="1" ht="17.25" customHeight="1"/>
    <row r="32670" customFormat="1" ht="17.25" customHeight="1"/>
    <row r="32671" customFormat="1" ht="17.25" customHeight="1"/>
    <row r="32672" customFormat="1" ht="17.25" customHeight="1"/>
    <row r="32673" customFormat="1" ht="17.25" customHeight="1"/>
    <row r="32674" customFormat="1" ht="17.25" customHeight="1"/>
    <row r="32675" customFormat="1" ht="17.25" customHeight="1"/>
    <row r="32676" customFormat="1" ht="17.25" customHeight="1"/>
    <row r="32677" customFormat="1" ht="17.25" customHeight="1"/>
    <row r="32678" customFormat="1" ht="17.25" customHeight="1"/>
    <row r="32679" customFormat="1" ht="17.25" customHeight="1"/>
    <row r="32680" customFormat="1" ht="17.25" customHeight="1"/>
    <row r="32681" customFormat="1" ht="17.25" customHeight="1"/>
    <row r="32682" customFormat="1" ht="17.25" customHeight="1"/>
    <row r="32683" customFormat="1" ht="17.25" customHeight="1"/>
    <row r="32684" customFormat="1" ht="17.25" customHeight="1"/>
    <row r="32685" customFormat="1" ht="17.25" customHeight="1"/>
    <row r="32686" customFormat="1" ht="17.25" customHeight="1"/>
    <row r="32687" customFormat="1" ht="17.25" customHeight="1"/>
    <row r="32688" customFormat="1" ht="17.25" customHeight="1"/>
    <row r="32689" customFormat="1" ht="17.25" customHeight="1"/>
    <row r="32690" customFormat="1" ht="17.25" customHeight="1"/>
    <row r="32691" customFormat="1" ht="17.25" customHeight="1"/>
    <row r="32692" customFormat="1" ht="17.25" customHeight="1"/>
    <row r="32693" customFormat="1" ht="17.25" customHeight="1"/>
    <row r="32694" customFormat="1" ht="17.25" customHeight="1"/>
    <row r="32695" customFormat="1" ht="17.25" customHeight="1"/>
    <row r="32696" customFormat="1" ht="17.25" customHeight="1"/>
    <row r="32697" customFormat="1" ht="17.25" customHeight="1"/>
    <row r="32698" customFormat="1" ht="17.25" customHeight="1"/>
    <row r="32699" customFormat="1" ht="17.25" customHeight="1"/>
    <row r="32700" customFormat="1" ht="17.25" customHeight="1"/>
    <row r="32701" customFormat="1" ht="17.25" customHeight="1"/>
    <row r="32702" customFormat="1" ht="17.25" customHeight="1"/>
    <row r="32703" customFormat="1" ht="17.25" customHeight="1"/>
    <row r="32704" customFormat="1" ht="17.25" customHeight="1"/>
    <row r="32705" customFormat="1" ht="17.25" customHeight="1"/>
    <row r="32706" customFormat="1" ht="17.25" customHeight="1"/>
    <row r="32707" customFormat="1" ht="17.25" customHeight="1"/>
    <row r="32708" customFormat="1" ht="17.25" customHeight="1"/>
    <row r="32709" customFormat="1" ht="17.25" customHeight="1"/>
    <row r="32710" customFormat="1" ht="17.25" customHeight="1"/>
    <row r="32711" customFormat="1" ht="17.25" customHeight="1"/>
    <row r="32712" customFormat="1" ht="17.25" customHeight="1"/>
    <row r="32713" customFormat="1" ht="17.25" customHeight="1"/>
    <row r="32714" customFormat="1" ht="17.25" customHeight="1"/>
    <row r="32715" customFormat="1" ht="17.25" customHeight="1"/>
    <row r="32716" customFormat="1" ht="17.25" customHeight="1"/>
    <row r="32717" customFormat="1" ht="17.25" customHeight="1"/>
    <row r="32718" customFormat="1" ht="17.25" customHeight="1"/>
    <row r="32719" customFormat="1" ht="17.25" customHeight="1"/>
    <row r="32720" customFormat="1" ht="17.25" customHeight="1"/>
    <row r="32721" customFormat="1" ht="17.25" customHeight="1"/>
    <row r="32722" customFormat="1" ht="17.25" customHeight="1"/>
    <row r="32723" customFormat="1" ht="17.25" customHeight="1"/>
    <row r="32724" customFormat="1" ht="17.25" customHeight="1"/>
    <row r="32725" customFormat="1" ht="17.25" customHeight="1"/>
    <row r="32726" customFormat="1" ht="17.25" customHeight="1"/>
    <row r="32727" customFormat="1" ht="17.25" customHeight="1"/>
    <row r="32728" customFormat="1" ht="17.25" customHeight="1"/>
    <row r="32729" customFormat="1" ht="17.25" customHeight="1"/>
    <row r="32730" customFormat="1" ht="17.25" customHeight="1"/>
    <row r="32731" customFormat="1" ht="17.25" customHeight="1"/>
    <row r="32732" customFormat="1" ht="17.25" customHeight="1"/>
    <row r="32733" customFormat="1" ht="17.25" customHeight="1"/>
    <row r="32734" customFormat="1" ht="17.25" customHeight="1"/>
    <row r="32735" customFormat="1" ht="17.25" customHeight="1"/>
    <row r="32736" customFormat="1" ht="17.25" customHeight="1"/>
    <row r="32737" customFormat="1" ht="17.25" customHeight="1"/>
    <row r="32738" customFormat="1" ht="17.25" customHeight="1"/>
    <row r="32739" customFormat="1" ht="17.25" customHeight="1"/>
    <row r="32740" customFormat="1" ht="17.25" customHeight="1"/>
    <row r="32741" customFormat="1" ht="17.25" customHeight="1"/>
    <row r="32742" customFormat="1" ht="17.25" customHeight="1"/>
    <row r="32743" customFormat="1" ht="17.25" customHeight="1"/>
    <row r="32744" customFormat="1" ht="17.25" customHeight="1"/>
    <row r="32745" customFormat="1" ht="17.25" customHeight="1"/>
    <row r="32746" customFormat="1" ht="17.25" customHeight="1"/>
    <row r="32747" customFormat="1" ht="17.25" customHeight="1"/>
    <row r="32748" customFormat="1" ht="17.25" customHeight="1"/>
    <row r="32749" customFormat="1" ht="17.25" customHeight="1"/>
    <row r="32750" customFormat="1" ht="17.25" customHeight="1"/>
    <row r="32751" customFormat="1" ht="17.25" customHeight="1"/>
    <row r="32752" customFormat="1" ht="17.25" customHeight="1"/>
    <row r="32753" customFormat="1" ht="17.25" customHeight="1"/>
    <row r="32754" customFormat="1" ht="17.25" customHeight="1"/>
    <row r="32755" customFormat="1" ht="17.25" customHeight="1"/>
    <row r="32756" customFormat="1" ht="17.25" customHeight="1"/>
    <row r="32757" customFormat="1" ht="17.25" customHeight="1"/>
    <row r="32758" customFormat="1" ht="17.25" customHeight="1"/>
    <row r="32759" customFormat="1" ht="17.25" customHeight="1"/>
    <row r="32760" customFormat="1" ht="17.25" customHeight="1"/>
    <row r="32761" customFormat="1" ht="17.25" customHeight="1"/>
    <row r="32762" customFormat="1" ht="17.25" customHeight="1"/>
    <row r="32763" customFormat="1" ht="17.25" customHeight="1"/>
    <row r="32764" customFormat="1" ht="17.25" customHeight="1"/>
    <row r="32765" customFormat="1" ht="17.25" customHeight="1"/>
    <row r="32766" customFormat="1" ht="17.25" customHeight="1"/>
    <row r="32767" customFormat="1" ht="17.25" customHeight="1"/>
    <row r="32768" customFormat="1" ht="17.25" customHeight="1"/>
    <row r="32769" customFormat="1" ht="17.25" customHeight="1"/>
    <row r="32770" customFormat="1" ht="17.25" customHeight="1"/>
    <row r="32771" customFormat="1" ht="17.25" customHeight="1"/>
    <row r="32772" customFormat="1" ht="17.25" customHeight="1"/>
    <row r="32773" customFormat="1" ht="17.25" customHeight="1"/>
    <row r="32774" customFormat="1" ht="17.25" customHeight="1"/>
    <row r="32775" customFormat="1" ht="17.25" customHeight="1"/>
    <row r="32776" customFormat="1" ht="17.25" customHeight="1"/>
    <row r="32777" customFormat="1" ht="17.25" customHeight="1"/>
    <row r="32778" customFormat="1" ht="17.25" customHeight="1"/>
    <row r="32779" customFormat="1" ht="17.25" customHeight="1"/>
    <row r="32780" customFormat="1" ht="17.25" customHeight="1"/>
    <row r="32781" customFormat="1" ht="17.25" customHeight="1"/>
    <row r="32782" customFormat="1" ht="17.25" customHeight="1"/>
    <row r="32783" customFormat="1" ht="17.25" customHeight="1"/>
    <row r="32784" customFormat="1" ht="17.25" customHeight="1"/>
    <row r="32785" customFormat="1" ht="17.25" customHeight="1"/>
    <row r="32786" customFormat="1" ht="17.25" customHeight="1"/>
    <row r="32787" customFormat="1" ht="17.25" customHeight="1"/>
    <row r="32788" customFormat="1" ht="17.25" customHeight="1"/>
    <row r="32789" customFormat="1" ht="17.25" customHeight="1"/>
    <row r="32790" customFormat="1" ht="17.25" customHeight="1"/>
    <row r="32791" customFormat="1" ht="17.25" customHeight="1"/>
    <row r="32792" customFormat="1" ht="17.25" customHeight="1"/>
    <row r="32793" customFormat="1" ht="17.25" customHeight="1"/>
    <row r="32794" customFormat="1" ht="17.25" customHeight="1"/>
    <row r="32795" customFormat="1" ht="17.25" customHeight="1"/>
    <row r="32796" customFormat="1" ht="17.25" customHeight="1"/>
    <row r="32797" customFormat="1" ht="17.25" customHeight="1"/>
    <row r="32798" customFormat="1" ht="17.25" customHeight="1"/>
    <row r="32799" customFormat="1" ht="17.25" customHeight="1"/>
    <row r="32800" customFormat="1" ht="17.25" customHeight="1"/>
    <row r="32801" customFormat="1" ht="17.25" customHeight="1"/>
    <row r="32802" customFormat="1" ht="17.25" customHeight="1"/>
    <row r="32803" customFormat="1" ht="17.25" customHeight="1"/>
    <row r="32804" customFormat="1" ht="17.25" customHeight="1"/>
    <row r="32805" customFormat="1" ht="17.25" customHeight="1"/>
    <row r="32806" customFormat="1" ht="17.25" customHeight="1"/>
    <row r="32807" customFormat="1" ht="17.25" customHeight="1"/>
    <row r="32808" customFormat="1" ht="17.25" customHeight="1"/>
    <row r="32809" customFormat="1" ht="17.25" customHeight="1"/>
    <row r="32810" customFormat="1" ht="17.25" customHeight="1"/>
    <row r="32811" customFormat="1" ht="17.25" customHeight="1"/>
    <row r="32812" customFormat="1" ht="17.25" customHeight="1"/>
    <row r="32813" customFormat="1" ht="17.25" customHeight="1"/>
    <row r="32814" customFormat="1" ht="17.25" customHeight="1"/>
    <row r="32815" customFormat="1" ht="17.25" customHeight="1"/>
    <row r="32816" customFormat="1" ht="17.25" customHeight="1"/>
    <row r="32817" customFormat="1" ht="17.25" customHeight="1"/>
    <row r="32818" customFormat="1" ht="17.25" customHeight="1"/>
    <row r="32819" customFormat="1" ht="17.25" customHeight="1"/>
    <row r="32820" customFormat="1" ht="17.25" customHeight="1"/>
    <row r="32821" customFormat="1" ht="17.25" customHeight="1"/>
    <row r="32822" customFormat="1" ht="17.25" customHeight="1"/>
    <row r="32823" customFormat="1" ht="17.25" customHeight="1"/>
    <row r="32824" customFormat="1" ht="17.25" customHeight="1"/>
    <row r="32825" customFormat="1" ht="17.25" customHeight="1"/>
    <row r="32826" customFormat="1" ht="17.25" customHeight="1"/>
    <row r="32827" customFormat="1" ht="17.25" customHeight="1"/>
    <row r="32828" customFormat="1" ht="17.25" customHeight="1"/>
    <row r="32829" customFormat="1" ht="17.25" customHeight="1"/>
    <row r="32830" customFormat="1" ht="17.25" customHeight="1"/>
    <row r="32831" customFormat="1" ht="17.25" customHeight="1"/>
    <row r="32832" customFormat="1" ht="17.25" customHeight="1"/>
    <row r="32833" customFormat="1" ht="17.25" customHeight="1"/>
    <row r="32834" customFormat="1" ht="17.25" customHeight="1"/>
    <row r="32835" customFormat="1" ht="17.25" customHeight="1"/>
    <row r="32836" customFormat="1" ht="17.25" customHeight="1"/>
    <row r="32837" customFormat="1" ht="17.25" customHeight="1"/>
    <row r="32838" customFormat="1" ht="17.25" customHeight="1"/>
    <row r="32839" customFormat="1" ht="17.25" customHeight="1"/>
    <row r="32840" customFormat="1" ht="17.25" customHeight="1"/>
    <row r="32841" customFormat="1" ht="17.25" customHeight="1"/>
    <row r="32842" customFormat="1" ht="17.25" customHeight="1"/>
    <row r="32843" customFormat="1" ht="17.25" customHeight="1"/>
    <row r="32844" customFormat="1" ht="17.25" customHeight="1"/>
    <row r="32845" customFormat="1" ht="17.25" customHeight="1"/>
    <row r="32846" customFormat="1" ht="17.25" customHeight="1"/>
    <row r="32847" customFormat="1" ht="17.25" customHeight="1"/>
    <row r="32848" customFormat="1" ht="17.25" customHeight="1"/>
    <row r="32849" customFormat="1" ht="17.25" customHeight="1"/>
    <row r="32850" customFormat="1" ht="17.25" customHeight="1"/>
    <row r="32851" customFormat="1" ht="17.25" customHeight="1"/>
    <row r="32852" customFormat="1" ht="17.25" customHeight="1"/>
    <row r="32853" customFormat="1" ht="17.25" customHeight="1"/>
    <row r="32854" customFormat="1" ht="17.25" customHeight="1"/>
    <row r="32855" customFormat="1" ht="17.25" customHeight="1"/>
    <row r="32856" customFormat="1" ht="17.25" customHeight="1"/>
    <row r="32857" customFormat="1" ht="17.25" customHeight="1"/>
    <row r="32858" customFormat="1" ht="17.25" customHeight="1"/>
    <row r="32859" customFormat="1" ht="17.25" customHeight="1"/>
    <row r="32860" customFormat="1" ht="17.25" customHeight="1"/>
    <row r="32861" customFormat="1" ht="17.25" customHeight="1"/>
    <row r="32862" customFormat="1" ht="17.25" customHeight="1"/>
    <row r="32863" customFormat="1" ht="17.25" customHeight="1"/>
    <row r="32864" customFormat="1" ht="17.25" customHeight="1"/>
    <row r="32865" customFormat="1" ht="17.25" customHeight="1"/>
    <row r="32866" customFormat="1" ht="17.25" customHeight="1"/>
    <row r="32867" customFormat="1" ht="17.25" customHeight="1"/>
    <row r="32868" customFormat="1" ht="17.25" customHeight="1"/>
    <row r="32869" customFormat="1" ht="17.25" customHeight="1"/>
    <row r="32870" customFormat="1" ht="17.25" customHeight="1"/>
    <row r="32871" customFormat="1" ht="17.25" customHeight="1"/>
    <row r="32872" customFormat="1" ht="17.25" customHeight="1"/>
    <row r="32873" customFormat="1" ht="17.25" customHeight="1"/>
    <row r="32874" customFormat="1" ht="17.25" customHeight="1"/>
    <row r="32875" customFormat="1" ht="17.25" customHeight="1"/>
    <row r="32876" customFormat="1" ht="17.25" customHeight="1"/>
    <row r="32877" customFormat="1" ht="17.25" customHeight="1"/>
    <row r="32878" customFormat="1" ht="17.25" customHeight="1"/>
    <row r="32879" customFormat="1" ht="17.25" customHeight="1"/>
    <row r="32880" customFormat="1" ht="17.25" customHeight="1"/>
    <row r="32881" customFormat="1" ht="17.25" customHeight="1"/>
    <row r="32882" customFormat="1" ht="17.25" customHeight="1"/>
    <row r="32883" customFormat="1" ht="17.25" customHeight="1"/>
    <row r="32884" customFormat="1" ht="17.25" customHeight="1"/>
    <row r="32885" customFormat="1" ht="17.25" customHeight="1"/>
    <row r="32886" customFormat="1" ht="17.25" customHeight="1"/>
    <row r="32887" customFormat="1" ht="17.25" customHeight="1"/>
    <row r="32888" customFormat="1" ht="17.25" customHeight="1"/>
    <row r="32889" customFormat="1" ht="17.25" customHeight="1"/>
    <row r="32890" customFormat="1" ht="17.25" customHeight="1"/>
    <row r="32891" customFormat="1" ht="17.25" customHeight="1"/>
    <row r="32892" customFormat="1" ht="17.25" customHeight="1"/>
    <row r="32893" customFormat="1" ht="17.25" customHeight="1"/>
    <row r="32894" customFormat="1" ht="17.25" customHeight="1"/>
    <row r="32895" customFormat="1" ht="17.25" customHeight="1"/>
    <row r="32896" customFormat="1" ht="17.25" customHeight="1"/>
    <row r="32897" customFormat="1" ht="17.25" customHeight="1"/>
    <row r="32898" customFormat="1" ht="17.25" customHeight="1"/>
    <row r="32899" customFormat="1" ht="17.25" customHeight="1"/>
    <row r="32900" customFormat="1" ht="17.25" customHeight="1"/>
    <row r="32901" customFormat="1" ht="17.25" customHeight="1"/>
    <row r="32902" customFormat="1" ht="17.25" customHeight="1"/>
    <row r="32903" customFormat="1" ht="17.25" customHeight="1"/>
    <row r="32904" customFormat="1" ht="17.25" customHeight="1"/>
    <row r="32905" customFormat="1" ht="17.25" customHeight="1"/>
    <row r="32906" customFormat="1" ht="17.25" customHeight="1"/>
    <row r="32907" customFormat="1" ht="17.25" customHeight="1"/>
    <row r="32908" customFormat="1" ht="17.25" customHeight="1"/>
    <row r="32909" customFormat="1" ht="17.25" customHeight="1"/>
    <row r="32910" customFormat="1" ht="17.25" customHeight="1"/>
    <row r="32911" customFormat="1" ht="17.25" customHeight="1"/>
    <row r="32912" customFormat="1" ht="17.25" customHeight="1"/>
    <row r="32913" customFormat="1" ht="17.25" customHeight="1"/>
    <row r="32914" customFormat="1" ht="17.25" customHeight="1"/>
    <row r="32915" customFormat="1" ht="17.25" customHeight="1"/>
    <row r="32916" customFormat="1" ht="17.25" customHeight="1"/>
    <row r="32917" customFormat="1" ht="17.25" customHeight="1"/>
    <row r="32918" customFormat="1" ht="17.25" customHeight="1"/>
    <row r="32919" customFormat="1" ht="17.25" customHeight="1"/>
    <row r="32920" customFormat="1" ht="17.25" customHeight="1"/>
    <row r="32921" customFormat="1" ht="17.25" customHeight="1"/>
    <row r="32922" customFormat="1" ht="17.25" customHeight="1"/>
    <row r="32923" customFormat="1" ht="17.25" customHeight="1"/>
    <row r="32924" customFormat="1" ht="17.25" customHeight="1"/>
    <row r="32925" customFormat="1" ht="17.25" customHeight="1"/>
    <row r="32926" customFormat="1" ht="17.25" customHeight="1"/>
    <row r="32927" customFormat="1" ht="17.25" customHeight="1"/>
    <row r="32928" customFormat="1" ht="17.25" customHeight="1"/>
    <row r="32929" customFormat="1" ht="17.25" customHeight="1"/>
    <row r="32930" customFormat="1" ht="17.25" customHeight="1"/>
    <row r="32931" customFormat="1" ht="17.25" customHeight="1"/>
    <row r="32932" customFormat="1" ht="17.25" customHeight="1"/>
    <row r="32933" customFormat="1" ht="17.25" customHeight="1"/>
    <row r="32934" customFormat="1" ht="17.25" customHeight="1"/>
    <row r="32935" customFormat="1" ht="17.25" customHeight="1"/>
    <row r="32936" customFormat="1" ht="17.25" customHeight="1"/>
    <row r="32937" customFormat="1" ht="17.25" customHeight="1"/>
    <row r="32938" customFormat="1" ht="17.25" customHeight="1"/>
    <row r="32939" customFormat="1" ht="17.25" customHeight="1"/>
    <row r="32940" customFormat="1" ht="17.25" customHeight="1"/>
    <row r="32941" customFormat="1" ht="17.25" customHeight="1"/>
    <row r="32942" customFormat="1" ht="17.25" customHeight="1"/>
    <row r="32943" customFormat="1" ht="17.25" customHeight="1"/>
    <row r="32944" customFormat="1" ht="17.25" customHeight="1"/>
    <row r="32945" customFormat="1" ht="17.25" customHeight="1"/>
    <row r="32946" customFormat="1" ht="17.25" customHeight="1"/>
    <row r="32947" customFormat="1" ht="17.25" customHeight="1"/>
    <row r="32948" customFormat="1" ht="17.25" customHeight="1"/>
    <row r="32949" customFormat="1" ht="17.25" customHeight="1"/>
    <row r="32950" customFormat="1" ht="17.25" customHeight="1"/>
    <row r="32951" customFormat="1" ht="17.25" customHeight="1"/>
    <row r="32952" customFormat="1" ht="17.25" customHeight="1"/>
    <row r="32953" customFormat="1" ht="17.25" customHeight="1"/>
    <row r="32954" customFormat="1" ht="17.25" customHeight="1"/>
    <row r="32955" customFormat="1" ht="17.25" customHeight="1"/>
    <row r="32956" customFormat="1" ht="17.25" customHeight="1"/>
    <row r="32957" customFormat="1" ht="17.25" customHeight="1"/>
    <row r="32958" customFormat="1" ht="17.25" customHeight="1"/>
    <row r="32959" customFormat="1" ht="17.25" customHeight="1"/>
    <row r="32960" customFormat="1" ht="17.25" customHeight="1"/>
    <row r="32961" customFormat="1" ht="17.25" customHeight="1"/>
    <row r="32962" customFormat="1" ht="17.25" customHeight="1"/>
    <row r="32963" customFormat="1" ht="17.25" customHeight="1"/>
    <row r="32964" customFormat="1" ht="17.25" customHeight="1"/>
    <row r="32965" customFormat="1" ht="17.25" customHeight="1"/>
    <row r="32966" customFormat="1" ht="17.25" customHeight="1"/>
    <row r="32967" customFormat="1" ht="17.25" customHeight="1"/>
    <row r="32968" customFormat="1" ht="17.25" customHeight="1"/>
    <row r="32969" customFormat="1" ht="17.25" customHeight="1"/>
    <row r="32970" customFormat="1" ht="17.25" customHeight="1"/>
    <row r="32971" customFormat="1" ht="17.25" customHeight="1"/>
    <row r="32972" customFormat="1" ht="17.25" customHeight="1"/>
    <row r="32973" customFormat="1" ht="17.25" customHeight="1"/>
    <row r="32974" customFormat="1" ht="17.25" customHeight="1"/>
    <row r="32975" customFormat="1" ht="17.25" customHeight="1"/>
    <row r="32976" customFormat="1" ht="17.25" customHeight="1"/>
    <row r="32977" customFormat="1" ht="17.25" customHeight="1"/>
    <row r="32978" customFormat="1" ht="17.25" customHeight="1"/>
    <row r="32979" customFormat="1" ht="17.25" customHeight="1"/>
    <row r="32980" customFormat="1" ht="17.25" customHeight="1"/>
    <row r="32981" customFormat="1" ht="17.25" customHeight="1"/>
    <row r="32982" customFormat="1" ht="17.25" customHeight="1"/>
    <row r="32983" customFormat="1" ht="17.25" customHeight="1"/>
    <row r="32984" customFormat="1" ht="17.25" customHeight="1"/>
    <row r="32985" customFormat="1" ht="17.25" customHeight="1"/>
    <row r="32986" customFormat="1" ht="17.25" customHeight="1"/>
    <row r="32987" customFormat="1" ht="17.25" customHeight="1"/>
    <row r="32988" customFormat="1" ht="17.25" customHeight="1"/>
    <row r="32989" customFormat="1" ht="17.25" customHeight="1"/>
    <row r="32990" customFormat="1" ht="17.25" customHeight="1"/>
    <row r="32991" customFormat="1" ht="17.25" customHeight="1"/>
    <row r="32992" customFormat="1" ht="17.25" customHeight="1"/>
    <row r="32993" customFormat="1" ht="17.25" customHeight="1"/>
    <row r="32994" customFormat="1" ht="17.25" customHeight="1"/>
    <row r="32995" customFormat="1" ht="17.25" customHeight="1"/>
    <row r="32996" customFormat="1" ht="17.25" customHeight="1"/>
    <row r="32997" customFormat="1" ht="17.25" customHeight="1"/>
    <row r="32998" customFormat="1" ht="17.25" customHeight="1"/>
    <row r="32999" customFormat="1" ht="17.25" customHeight="1"/>
    <row r="33000" customFormat="1" ht="17.25" customHeight="1"/>
    <row r="33001" customFormat="1" ht="17.25" customHeight="1"/>
    <row r="33002" customFormat="1" ht="17.25" customHeight="1"/>
    <row r="33003" customFormat="1" ht="17.25" customHeight="1"/>
    <row r="33004" customFormat="1" ht="17.25" customHeight="1"/>
    <row r="33005" customFormat="1" ht="17.25" customHeight="1"/>
    <row r="33006" customFormat="1" ht="17.25" customHeight="1"/>
    <row r="33007" customFormat="1" ht="17.25" customHeight="1"/>
    <row r="33008" customFormat="1" ht="17.25" customHeight="1"/>
    <row r="33009" customFormat="1" ht="17.25" customHeight="1"/>
    <row r="33010" customFormat="1" ht="17.25" customHeight="1"/>
    <row r="33011" customFormat="1" ht="17.25" customHeight="1"/>
    <row r="33012" customFormat="1" ht="17.25" customHeight="1"/>
    <row r="33013" customFormat="1" ht="17.25" customHeight="1"/>
    <row r="33014" customFormat="1" ht="17.25" customHeight="1"/>
    <row r="33015" customFormat="1" ht="17.25" customHeight="1"/>
    <row r="33016" customFormat="1" ht="17.25" customHeight="1"/>
    <row r="33017" customFormat="1" ht="17.25" customHeight="1"/>
    <row r="33018" customFormat="1" ht="17.25" customHeight="1"/>
    <row r="33019" customFormat="1" ht="17.25" customHeight="1"/>
    <row r="33020" customFormat="1" ht="17.25" customHeight="1"/>
    <row r="33021" customFormat="1" ht="17.25" customHeight="1"/>
    <row r="33022" customFormat="1" ht="17.25" customHeight="1"/>
    <row r="33023" customFormat="1" ht="17.25" customHeight="1"/>
    <row r="33024" customFormat="1" ht="17.25" customHeight="1"/>
    <row r="33025" customFormat="1" ht="17.25" customHeight="1"/>
    <row r="33026" customFormat="1" ht="17.25" customHeight="1"/>
    <row r="33027" customFormat="1" ht="17.25" customHeight="1"/>
    <row r="33028" customFormat="1" ht="17.25" customHeight="1"/>
    <row r="33029" customFormat="1" ht="17.25" customHeight="1"/>
    <row r="33030" customFormat="1" ht="17.25" customHeight="1"/>
    <row r="33031" customFormat="1" ht="17.25" customHeight="1"/>
    <row r="33032" customFormat="1" ht="17.25" customHeight="1"/>
    <row r="33033" customFormat="1" ht="17.25" customHeight="1"/>
    <row r="33034" customFormat="1" ht="17.25" customHeight="1"/>
    <row r="33035" customFormat="1" ht="17.25" customHeight="1"/>
    <row r="33036" customFormat="1" ht="17.25" customHeight="1"/>
    <row r="33037" customFormat="1" ht="17.25" customHeight="1"/>
    <row r="33038" customFormat="1" ht="17.25" customHeight="1"/>
    <row r="33039" customFormat="1" ht="17.25" customHeight="1"/>
    <row r="33040" customFormat="1" ht="17.25" customHeight="1"/>
    <row r="33041" customFormat="1" ht="17.25" customHeight="1"/>
    <row r="33042" customFormat="1" ht="17.25" customHeight="1"/>
    <row r="33043" customFormat="1" ht="17.25" customHeight="1"/>
    <row r="33044" customFormat="1" ht="17.25" customHeight="1"/>
    <row r="33045" customFormat="1" ht="17.25" customHeight="1"/>
    <row r="33046" customFormat="1" ht="17.25" customHeight="1"/>
    <row r="33047" customFormat="1" ht="17.25" customHeight="1"/>
    <row r="33048" customFormat="1" ht="17.25" customHeight="1"/>
    <row r="33049" customFormat="1" ht="17.25" customHeight="1"/>
    <row r="33050" customFormat="1" ht="17.25" customHeight="1"/>
    <row r="33051" customFormat="1" ht="17.25" customHeight="1"/>
    <row r="33052" customFormat="1" ht="17.25" customHeight="1"/>
    <row r="33053" customFormat="1" ht="17.25" customHeight="1"/>
    <row r="33054" customFormat="1" ht="17.25" customHeight="1"/>
    <row r="33055" customFormat="1" ht="17.25" customHeight="1"/>
    <row r="33056" customFormat="1" ht="17.25" customHeight="1"/>
    <row r="33057" customFormat="1" ht="17.25" customHeight="1"/>
    <row r="33058" customFormat="1" ht="17.25" customHeight="1"/>
    <row r="33059" customFormat="1" ht="17.25" customHeight="1"/>
    <row r="33060" customFormat="1" ht="17.25" customHeight="1"/>
    <row r="33061" customFormat="1" ht="17.25" customHeight="1"/>
    <row r="33062" customFormat="1" ht="17.25" customHeight="1"/>
    <row r="33063" customFormat="1" ht="17.25" customHeight="1"/>
    <row r="33064" customFormat="1" ht="17.25" customHeight="1"/>
    <row r="33065" customFormat="1" ht="17.25" customHeight="1"/>
    <row r="33066" customFormat="1" ht="17.25" customHeight="1"/>
    <row r="33067" customFormat="1" ht="17.25" customHeight="1"/>
    <row r="33068" customFormat="1" ht="17.25" customHeight="1"/>
    <row r="33069" customFormat="1" ht="17.25" customHeight="1"/>
    <row r="33070" customFormat="1" ht="17.25" customHeight="1"/>
    <row r="33071" customFormat="1" ht="17.25" customHeight="1"/>
    <row r="33072" customFormat="1" ht="17.25" customHeight="1"/>
    <row r="33073" customFormat="1" ht="17.25" customHeight="1"/>
    <row r="33074" customFormat="1" ht="17.25" customHeight="1"/>
    <row r="33075" customFormat="1" ht="17.25" customHeight="1"/>
    <row r="33076" customFormat="1" ht="17.25" customHeight="1"/>
    <row r="33077" customFormat="1" ht="17.25" customHeight="1"/>
    <row r="33078" customFormat="1" ht="17.25" customHeight="1"/>
    <row r="33079" customFormat="1" ht="17.25" customHeight="1"/>
    <row r="33080" customFormat="1" ht="17.25" customHeight="1"/>
    <row r="33081" customFormat="1" ht="17.25" customHeight="1"/>
    <row r="33082" customFormat="1" ht="17.25" customHeight="1"/>
    <row r="33083" customFormat="1" ht="17.25" customHeight="1"/>
    <row r="33084" customFormat="1" ht="17.25" customHeight="1"/>
    <row r="33085" customFormat="1" ht="17.25" customHeight="1"/>
    <row r="33086" customFormat="1" ht="17.25" customHeight="1"/>
    <row r="33087" customFormat="1" ht="17.25" customHeight="1"/>
    <row r="33088" customFormat="1" ht="17.25" customHeight="1"/>
    <row r="33089" customFormat="1" ht="17.25" customHeight="1"/>
    <row r="33090" customFormat="1" ht="17.25" customHeight="1"/>
    <row r="33091" customFormat="1" ht="17.25" customHeight="1"/>
    <row r="33092" customFormat="1" ht="17.25" customHeight="1"/>
    <row r="33093" customFormat="1" ht="17.25" customHeight="1"/>
    <row r="33094" customFormat="1" ht="17.25" customHeight="1"/>
    <row r="33095" customFormat="1" ht="17.25" customHeight="1"/>
    <row r="33096" customFormat="1" ht="17.25" customHeight="1"/>
    <row r="33097" customFormat="1" ht="17.25" customHeight="1"/>
    <row r="33098" customFormat="1" ht="17.25" customHeight="1"/>
    <row r="33099" customFormat="1" ht="17.25" customHeight="1"/>
    <row r="33100" customFormat="1" ht="17.25" customHeight="1"/>
    <row r="33101" customFormat="1" ht="17.25" customHeight="1"/>
    <row r="33102" customFormat="1" ht="17.25" customHeight="1"/>
    <row r="33103" customFormat="1" ht="17.25" customHeight="1"/>
    <row r="33104" customFormat="1" ht="17.25" customHeight="1"/>
    <row r="33105" customFormat="1" ht="17.25" customHeight="1"/>
    <row r="33106" customFormat="1" ht="17.25" customHeight="1"/>
    <row r="33107" customFormat="1" ht="17.25" customHeight="1"/>
    <row r="33108" customFormat="1" ht="17.25" customHeight="1"/>
    <row r="33109" customFormat="1" ht="17.25" customHeight="1"/>
    <row r="33110" customFormat="1" ht="17.25" customHeight="1"/>
    <row r="33111" customFormat="1" ht="17.25" customHeight="1"/>
    <row r="33112" customFormat="1" ht="17.25" customHeight="1"/>
    <row r="33113" customFormat="1" ht="17.25" customHeight="1"/>
    <row r="33114" customFormat="1" ht="17.25" customHeight="1"/>
    <row r="33115" customFormat="1" ht="17.25" customHeight="1"/>
    <row r="33116" customFormat="1" ht="17.25" customHeight="1"/>
    <row r="33117" customFormat="1" ht="17.25" customHeight="1"/>
    <row r="33118" customFormat="1" ht="17.25" customHeight="1"/>
    <row r="33119" customFormat="1" ht="17.25" customHeight="1"/>
    <row r="33120" customFormat="1" ht="17.25" customHeight="1"/>
    <row r="33121" customFormat="1" ht="17.25" customHeight="1"/>
    <row r="33122" customFormat="1" ht="17.25" customHeight="1"/>
    <row r="33123" customFormat="1" ht="17.25" customHeight="1"/>
    <row r="33124" customFormat="1" ht="17.25" customHeight="1"/>
    <row r="33125" customFormat="1" ht="17.25" customHeight="1"/>
    <row r="33126" customFormat="1" ht="17.25" customHeight="1"/>
    <row r="33127" customFormat="1" ht="17.25" customHeight="1"/>
    <row r="33128" customFormat="1" ht="17.25" customHeight="1"/>
    <row r="33129" customFormat="1" ht="17.25" customHeight="1"/>
    <row r="33130" customFormat="1" ht="17.25" customHeight="1"/>
    <row r="33131" customFormat="1" ht="17.25" customHeight="1"/>
    <row r="33132" customFormat="1" ht="17.25" customHeight="1"/>
    <row r="33133" customFormat="1" ht="17.25" customHeight="1"/>
    <row r="33134" customFormat="1" ht="17.25" customHeight="1"/>
    <row r="33135" customFormat="1" ht="17.25" customHeight="1"/>
    <row r="33136" customFormat="1" ht="17.25" customHeight="1"/>
    <row r="33137" customFormat="1" ht="17.25" customHeight="1"/>
    <row r="33138" customFormat="1" ht="17.25" customHeight="1"/>
    <row r="33139" customFormat="1" ht="17.25" customHeight="1"/>
    <row r="33140" customFormat="1" ht="17.25" customHeight="1"/>
    <row r="33141" customFormat="1" ht="17.25" customHeight="1"/>
    <row r="33142" customFormat="1" ht="17.25" customHeight="1"/>
    <row r="33143" customFormat="1" ht="17.25" customHeight="1"/>
    <row r="33144" customFormat="1" ht="17.25" customHeight="1"/>
    <row r="33145" customFormat="1" ht="17.25" customHeight="1"/>
    <row r="33146" customFormat="1" ht="17.25" customHeight="1"/>
    <row r="33147" customFormat="1" ht="17.25" customHeight="1"/>
    <row r="33148" customFormat="1" ht="17.25" customHeight="1"/>
    <row r="33149" customFormat="1" ht="17.25" customHeight="1"/>
    <row r="33150" customFormat="1" ht="17.25" customHeight="1"/>
    <row r="33151" customFormat="1" ht="17.25" customHeight="1"/>
    <row r="33152" customFormat="1" ht="17.25" customHeight="1"/>
    <row r="33153" customFormat="1" ht="17.25" customHeight="1"/>
    <row r="33154" customFormat="1" ht="17.25" customHeight="1"/>
    <row r="33155" customFormat="1" ht="17.25" customHeight="1"/>
    <row r="33156" customFormat="1" ht="17.25" customHeight="1"/>
    <row r="33157" customFormat="1" ht="17.25" customHeight="1"/>
    <row r="33158" customFormat="1" ht="17.25" customHeight="1"/>
    <row r="33159" customFormat="1" ht="17.25" customHeight="1"/>
    <row r="33160" customFormat="1" ht="17.25" customHeight="1"/>
    <row r="33161" customFormat="1" ht="17.25" customHeight="1"/>
    <row r="33162" customFormat="1" ht="17.25" customHeight="1"/>
    <row r="33163" customFormat="1" ht="17.25" customHeight="1"/>
    <row r="33164" customFormat="1" ht="17.25" customHeight="1"/>
    <row r="33165" customFormat="1" ht="17.25" customHeight="1"/>
    <row r="33166" customFormat="1" ht="17.25" customHeight="1"/>
    <row r="33167" customFormat="1" ht="17.25" customHeight="1"/>
    <row r="33168" customFormat="1" ht="17.25" customHeight="1"/>
    <row r="33169" customFormat="1" ht="17.25" customHeight="1"/>
    <row r="33170" customFormat="1" ht="17.25" customHeight="1"/>
    <row r="33171" customFormat="1" ht="17.25" customHeight="1"/>
    <row r="33172" customFormat="1" ht="17.25" customHeight="1"/>
    <row r="33173" customFormat="1" ht="17.25" customHeight="1"/>
    <row r="33174" customFormat="1" ht="17.25" customHeight="1"/>
    <row r="33175" customFormat="1" ht="17.25" customHeight="1"/>
    <row r="33176" customFormat="1" ht="17.25" customHeight="1"/>
    <row r="33177" customFormat="1" ht="17.25" customHeight="1"/>
    <row r="33178" customFormat="1" ht="17.25" customHeight="1"/>
    <row r="33179" customFormat="1" ht="17.25" customHeight="1"/>
    <row r="33180" customFormat="1" ht="17.25" customHeight="1"/>
    <row r="33181" customFormat="1" ht="17.25" customHeight="1"/>
    <row r="33182" customFormat="1" ht="17.25" customHeight="1"/>
    <row r="33183" customFormat="1" ht="17.25" customHeight="1"/>
    <row r="33184" customFormat="1" ht="17.25" customHeight="1"/>
    <row r="33185" customFormat="1" ht="17.25" customHeight="1"/>
    <row r="33186" customFormat="1" ht="17.25" customHeight="1"/>
    <row r="33187" customFormat="1" ht="17.25" customHeight="1"/>
    <row r="33188" customFormat="1" ht="17.25" customHeight="1"/>
    <row r="33189" customFormat="1" ht="17.25" customHeight="1"/>
    <row r="33190" customFormat="1" ht="17.25" customHeight="1"/>
    <row r="33191" customFormat="1" ht="17.25" customHeight="1"/>
    <row r="33192" customFormat="1" ht="17.25" customHeight="1"/>
    <row r="33193" customFormat="1" ht="17.25" customHeight="1"/>
    <row r="33194" customFormat="1" ht="17.25" customHeight="1"/>
    <row r="33195" customFormat="1" ht="17.25" customHeight="1"/>
    <row r="33196" customFormat="1" ht="17.25" customHeight="1"/>
    <row r="33197" customFormat="1" ht="17.25" customHeight="1"/>
    <row r="33198" customFormat="1" ht="17.25" customHeight="1"/>
    <row r="33199" customFormat="1" ht="17.25" customHeight="1"/>
    <row r="33200" customFormat="1" ht="17.25" customHeight="1"/>
    <row r="33201" customFormat="1" ht="17.25" customHeight="1"/>
    <row r="33202" customFormat="1" ht="17.25" customHeight="1"/>
    <row r="33203" customFormat="1" ht="17.25" customHeight="1"/>
    <row r="33204" customFormat="1" ht="17.25" customHeight="1"/>
    <row r="33205" customFormat="1" ht="17.25" customHeight="1"/>
    <row r="33206" customFormat="1" ht="17.25" customHeight="1"/>
    <row r="33207" customFormat="1" ht="17.25" customHeight="1"/>
    <row r="33208" customFormat="1" ht="17.25" customHeight="1"/>
    <row r="33209" customFormat="1" ht="17.25" customHeight="1"/>
    <row r="33210" customFormat="1" ht="17.25" customHeight="1"/>
    <row r="33211" customFormat="1" ht="17.25" customHeight="1"/>
    <row r="33212" customFormat="1" ht="17.25" customHeight="1"/>
    <row r="33213" customFormat="1" ht="17.25" customHeight="1"/>
    <row r="33214" customFormat="1" ht="17.25" customHeight="1"/>
    <row r="33215" customFormat="1" ht="17.25" customHeight="1"/>
    <row r="33216" customFormat="1" ht="17.25" customHeight="1"/>
    <row r="33217" customFormat="1" ht="17.25" customHeight="1"/>
    <row r="33218" customFormat="1" ht="17.25" customHeight="1"/>
    <row r="33219" customFormat="1" ht="17.25" customHeight="1"/>
    <row r="33220" customFormat="1" ht="17.25" customHeight="1"/>
    <row r="33221" customFormat="1" ht="17.25" customHeight="1"/>
    <row r="33222" customFormat="1" ht="17.25" customHeight="1"/>
    <row r="33223" customFormat="1" ht="17.25" customHeight="1"/>
    <row r="33224" customFormat="1" ht="17.25" customHeight="1"/>
    <row r="33225" customFormat="1" ht="17.25" customHeight="1"/>
    <row r="33226" customFormat="1" ht="17.25" customHeight="1"/>
    <row r="33227" customFormat="1" ht="17.25" customHeight="1"/>
    <row r="33228" customFormat="1" ht="17.25" customHeight="1"/>
    <row r="33229" customFormat="1" ht="17.25" customHeight="1"/>
    <row r="33230" customFormat="1" ht="17.25" customHeight="1"/>
    <row r="33231" customFormat="1" ht="17.25" customHeight="1"/>
    <row r="33232" customFormat="1" ht="17.25" customHeight="1"/>
    <row r="33233" customFormat="1" ht="17.25" customHeight="1"/>
    <row r="33234" customFormat="1" ht="17.25" customHeight="1"/>
    <row r="33235" customFormat="1" ht="17.25" customHeight="1"/>
    <row r="33236" customFormat="1" ht="17.25" customHeight="1"/>
    <row r="33237" customFormat="1" ht="17.25" customHeight="1"/>
    <row r="33238" customFormat="1" ht="17.25" customHeight="1"/>
    <row r="33239" customFormat="1" ht="17.25" customHeight="1"/>
    <row r="33240" customFormat="1" ht="17.25" customHeight="1"/>
    <row r="33241" customFormat="1" ht="17.25" customHeight="1"/>
    <row r="33242" customFormat="1" ht="17.25" customHeight="1"/>
    <row r="33243" customFormat="1" ht="17.25" customHeight="1"/>
    <row r="33244" customFormat="1" ht="17.25" customHeight="1"/>
    <row r="33245" customFormat="1" ht="17.25" customHeight="1"/>
    <row r="33246" customFormat="1" ht="17.25" customHeight="1"/>
    <row r="33247" customFormat="1" ht="17.25" customHeight="1"/>
    <row r="33248" customFormat="1" ht="17.25" customHeight="1"/>
    <row r="33249" customFormat="1" ht="17.25" customHeight="1"/>
    <row r="33250" customFormat="1" ht="17.25" customHeight="1"/>
    <row r="33251" customFormat="1" ht="17.25" customHeight="1"/>
    <row r="33252" customFormat="1" ht="17.25" customHeight="1"/>
    <row r="33253" customFormat="1" ht="17.25" customHeight="1"/>
    <row r="33254" customFormat="1" ht="17.25" customHeight="1"/>
    <row r="33255" customFormat="1" ht="17.25" customHeight="1"/>
    <row r="33256" customFormat="1" ht="17.25" customHeight="1"/>
    <row r="33257" customFormat="1" ht="17.25" customHeight="1"/>
    <row r="33258" customFormat="1" ht="17.25" customHeight="1"/>
    <row r="33259" customFormat="1" ht="17.25" customHeight="1"/>
    <row r="33260" customFormat="1" ht="17.25" customHeight="1"/>
    <row r="33261" customFormat="1" ht="17.25" customHeight="1"/>
    <row r="33262" customFormat="1" ht="17.25" customHeight="1"/>
    <row r="33263" customFormat="1" ht="17.25" customHeight="1"/>
    <row r="33264" customFormat="1" ht="17.25" customHeight="1"/>
    <row r="33265" customFormat="1" ht="17.25" customHeight="1"/>
    <row r="33266" customFormat="1" ht="17.25" customHeight="1"/>
    <row r="33267" customFormat="1" ht="17.25" customHeight="1"/>
    <row r="33268" customFormat="1" ht="17.25" customHeight="1"/>
    <row r="33269" customFormat="1" ht="17.25" customHeight="1"/>
    <row r="33270" customFormat="1" ht="17.25" customHeight="1"/>
    <row r="33271" customFormat="1" ht="17.25" customHeight="1"/>
    <row r="33272" customFormat="1" ht="17.25" customHeight="1"/>
    <row r="33273" customFormat="1" ht="17.25" customHeight="1"/>
    <row r="33274" customFormat="1" ht="17.25" customHeight="1"/>
    <row r="33275" customFormat="1" ht="17.25" customHeight="1"/>
    <row r="33276" customFormat="1" ht="17.25" customHeight="1"/>
    <row r="33277" customFormat="1" ht="17.25" customHeight="1"/>
    <row r="33278" customFormat="1" ht="17.25" customHeight="1"/>
    <row r="33279" customFormat="1" ht="17.25" customHeight="1"/>
    <row r="33280" customFormat="1" ht="17.25" customHeight="1"/>
    <row r="33281" customFormat="1" ht="17.25" customHeight="1"/>
    <row r="33282" customFormat="1" ht="17.25" customHeight="1"/>
    <row r="33283" customFormat="1" ht="17.25" customHeight="1"/>
    <row r="33284" customFormat="1" ht="17.25" customHeight="1"/>
    <row r="33285" customFormat="1" ht="17.25" customHeight="1"/>
    <row r="33286" customFormat="1" ht="17.25" customHeight="1"/>
    <row r="33287" customFormat="1" ht="17.25" customHeight="1"/>
    <row r="33288" customFormat="1" ht="17.25" customHeight="1"/>
    <row r="33289" customFormat="1" ht="17.25" customHeight="1"/>
    <row r="33290" customFormat="1" ht="17.25" customHeight="1"/>
    <row r="33291" customFormat="1" ht="17.25" customHeight="1"/>
    <row r="33292" customFormat="1" ht="17.25" customHeight="1"/>
    <row r="33293" customFormat="1" ht="17.25" customHeight="1"/>
    <row r="33294" customFormat="1" ht="17.25" customHeight="1"/>
    <row r="33295" customFormat="1" ht="17.25" customHeight="1"/>
    <row r="33296" customFormat="1" ht="17.25" customHeight="1"/>
    <row r="33297" customFormat="1" ht="17.25" customHeight="1"/>
    <row r="33298" customFormat="1" ht="17.25" customHeight="1"/>
    <row r="33299" customFormat="1" ht="17.25" customHeight="1"/>
    <row r="33300" customFormat="1" ht="17.25" customHeight="1"/>
    <row r="33301" customFormat="1" ht="17.25" customHeight="1"/>
    <row r="33302" customFormat="1" ht="17.25" customHeight="1"/>
    <row r="33303" customFormat="1" ht="17.25" customHeight="1"/>
    <row r="33304" customFormat="1" ht="17.25" customHeight="1"/>
    <row r="33305" customFormat="1" ht="17.25" customHeight="1"/>
    <row r="33306" customFormat="1" ht="17.25" customHeight="1"/>
    <row r="33307" customFormat="1" ht="17.25" customHeight="1"/>
    <row r="33308" customFormat="1" ht="17.25" customHeight="1"/>
    <row r="33309" customFormat="1" ht="17.25" customHeight="1"/>
    <row r="33310" customFormat="1" ht="17.25" customHeight="1"/>
    <row r="33311" customFormat="1" ht="17.25" customHeight="1"/>
    <row r="33312" customFormat="1" ht="17.25" customHeight="1"/>
    <row r="33313" customFormat="1" ht="17.25" customHeight="1"/>
    <row r="33314" customFormat="1" ht="17.25" customHeight="1"/>
    <row r="33315" customFormat="1" ht="17.25" customHeight="1"/>
    <row r="33316" customFormat="1" ht="17.25" customHeight="1"/>
    <row r="33317" customFormat="1" ht="17.25" customHeight="1"/>
    <row r="33318" customFormat="1" ht="17.25" customHeight="1"/>
    <row r="33319" customFormat="1" ht="17.25" customHeight="1"/>
    <row r="33320" customFormat="1" ht="17.25" customHeight="1"/>
    <row r="33321" customFormat="1" ht="17.25" customHeight="1"/>
    <row r="33322" customFormat="1" ht="17.25" customHeight="1"/>
    <row r="33323" customFormat="1" ht="17.25" customHeight="1"/>
    <row r="33324" customFormat="1" ht="17.25" customHeight="1"/>
    <row r="33325" customFormat="1" ht="17.25" customHeight="1"/>
    <row r="33326" customFormat="1" ht="17.25" customHeight="1"/>
    <row r="33327" customFormat="1" ht="17.25" customHeight="1"/>
    <row r="33328" customFormat="1" ht="17.25" customHeight="1"/>
    <row r="33329" customFormat="1" ht="17.25" customHeight="1"/>
    <row r="33330" customFormat="1" ht="17.25" customHeight="1"/>
    <row r="33331" customFormat="1" ht="17.25" customHeight="1"/>
    <row r="33332" customFormat="1" ht="17.25" customHeight="1"/>
    <row r="33333" customFormat="1" ht="17.25" customHeight="1"/>
    <row r="33334" customFormat="1" ht="17.25" customHeight="1"/>
    <row r="33335" customFormat="1" ht="17.25" customHeight="1"/>
    <row r="33336" customFormat="1" ht="17.25" customHeight="1"/>
    <row r="33337" customFormat="1" ht="17.25" customHeight="1"/>
    <row r="33338" customFormat="1" ht="17.25" customHeight="1"/>
    <row r="33339" customFormat="1" ht="17.25" customHeight="1"/>
    <row r="33340" customFormat="1" ht="17.25" customHeight="1"/>
    <row r="33341" customFormat="1" ht="17.25" customHeight="1"/>
    <row r="33342" customFormat="1" ht="17.25" customHeight="1"/>
    <row r="33343" customFormat="1" ht="17.25" customHeight="1"/>
    <row r="33344" customFormat="1" ht="17.25" customHeight="1"/>
    <row r="33345" customFormat="1" ht="17.25" customHeight="1"/>
    <row r="33346" customFormat="1" ht="17.25" customHeight="1"/>
    <row r="33347" customFormat="1" ht="17.25" customHeight="1"/>
    <row r="33348" customFormat="1" ht="17.25" customHeight="1"/>
    <row r="33349" customFormat="1" ht="17.25" customHeight="1"/>
    <row r="33350" customFormat="1" ht="17.25" customHeight="1"/>
    <row r="33351" customFormat="1" ht="17.25" customHeight="1"/>
    <row r="33352" customFormat="1" ht="17.25" customHeight="1"/>
    <row r="33353" customFormat="1" ht="17.25" customHeight="1"/>
    <row r="33354" customFormat="1" ht="17.25" customHeight="1"/>
    <row r="33355" customFormat="1" ht="17.25" customHeight="1"/>
    <row r="33356" customFormat="1" ht="17.25" customHeight="1"/>
    <row r="33357" customFormat="1" ht="17.25" customHeight="1"/>
    <row r="33358" customFormat="1" ht="17.25" customHeight="1"/>
    <row r="33359" customFormat="1" ht="17.25" customHeight="1"/>
    <row r="33360" customFormat="1" ht="17.25" customHeight="1"/>
    <row r="33361" customFormat="1" ht="17.25" customHeight="1"/>
    <row r="33362" customFormat="1" ht="17.25" customHeight="1"/>
    <row r="33363" customFormat="1" ht="17.25" customHeight="1"/>
    <row r="33364" customFormat="1" ht="17.25" customHeight="1"/>
    <row r="33365" customFormat="1" ht="17.25" customHeight="1"/>
    <row r="33366" customFormat="1" ht="17.25" customHeight="1"/>
    <row r="33367" customFormat="1" ht="17.25" customHeight="1"/>
    <row r="33368" customFormat="1" ht="17.25" customHeight="1"/>
    <row r="33369" customFormat="1" ht="17.25" customHeight="1"/>
    <row r="33370" customFormat="1" ht="17.25" customHeight="1"/>
    <row r="33371" customFormat="1" ht="17.25" customHeight="1"/>
    <row r="33372" customFormat="1" ht="17.25" customHeight="1"/>
    <row r="33373" customFormat="1" ht="17.25" customHeight="1"/>
    <row r="33374" customFormat="1" ht="17.25" customHeight="1"/>
    <row r="33375" customFormat="1" ht="17.25" customHeight="1"/>
    <row r="33376" customFormat="1" ht="17.25" customHeight="1"/>
    <row r="33377" customFormat="1" ht="17.25" customHeight="1"/>
    <row r="33378" customFormat="1" ht="17.25" customHeight="1"/>
    <row r="33379" customFormat="1" ht="17.25" customHeight="1"/>
    <row r="33380" customFormat="1" ht="17.25" customHeight="1"/>
    <row r="33381" customFormat="1" ht="17.25" customHeight="1"/>
    <row r="33382" customFormat="1" ht="17.25" customHeight="1"/>
    <row r="33383" customFormat="1" ht="17.25" customHeight="1"/>
    <row r="33384" customFormat="1" ht="17.25" customHeight="1"/>
    <row r="33385" customFormat="1" ht="17.25" customHeight="1"/>
    <row r="33386" customFormat="1" ht="17.25" customHeight="1"/>
    <row r="33387" customFormat="1" ht="17.25" customHeight="1"/>
    <row r="33388" customFormat="1" ht="17.25" customHeight="1"/>
    <row r="33389" customFormat="1" ht="17.25" customHeight="1"/>
    <row r="33390" customFormat="1" ht="17.25" customHeight="1"/>
    <row r="33391" customFormat="1" ht="17.25" customHeight="1"/>
    <row r="33392" customFormat="1" ht="17.25" customHeight="1"/>
    <row r="33393" customFormat="1" ht="17.25" customHeight="1"/>
    <row r="33394" customFormat="1" ht="17.25" customHeight="1"/>
    <row r="33395" customFormat="1" ht="17.25" customHeight="1"/>
    <row r="33396" customFormat="1" ht="17.25" customHeight="1"/>
    <row r="33397" customFormat="1" ht="17.25" customHeight="1"/>
    <row r="33398" customFormat="1" ht="17.25" customHeight="1"/>
    <row r="33399" customFormat="1" ht="17.25" customHeight="1"/>
    <row r="33400" customFormat="1" ht="17.25" customHeight="1"/>
    <row r="33401" customFormat="1" ht="17.25" customHeight="1"/>
    <row r="33402" customFormat="1" ht="17.25" customHeight="1"/>
    <row r="33403" customFormat="1" ht="17.25" customHeight="1"/>
    <row r="33404" customFormat="1" ht="17.25" customHeight="1"/>
    <row r="33405" customFormat="1" ht="17.25" customHeight="1"/>
    <row r="33406" customFormat="1" ht="17.25" customHeight="1"/>
    <row r="33407" customFormat="1" ht="17.25" customHeight="1"/>
    <row r="33408" customFormat="1" ht="17.25" customHeight="1"/>
    <row r="33409" customFormat="1" ht="17.25" customHeight="1"/>
    <row r="33410" customFormat="1" ht="17.25" customHeight="1"/>
    <row r="33411" customFormat="1" ht="17.25" customHeight="1"/>
    <row r="33412" customFormat="1" ht="17.25" customHeight="1"/>
    <row r="33413" customFormat="1" ht="17.25" customHeight="1"/>
    <row r="33414" customFormat="1" ht="17.25" customHeight="1"/>
    <row r="33415" customFormat="1" ht="17.25" customHeight="1"/>
    <row r="33416" customFormat="1" ht="17.25" customHeight="1"/>
    <row r="33417" customFormat="1" ht="17.25" customHeight="1"/>
    <row r="33418" customFormat="1" ht="17.25" customHeight="1"/>
    <row r="33419" customFormat="1" ht="17.25" customHeight="1"/>
    <row r="33420" customFormat="1" ht="17.25" customHeight="1"/>
    <row r="33421" customFormat="1" ht="17.25" customHeight="1"/>
    <row r="33422" customFormat="1" ht="17.25" customHeight="1"/>
    <row r="33423" customFormat="1" ht="17.25" customHeight="1"/>
    <row r="33424" customFormat="1" ht="17.25" customHeight="1"/>
    <row r="33425" customFormat="1" ht="17.25" customHeight="1"/>
    <row r="33426" customFormat="1" ht="17.25" customHeight="1"/>
    <row r="33427" customFormat="1" ht="17.25" customHeight="1"/>
    <row r="33428" customFormat="1" ht="17.25" customHeight="1"/>
    <row r="33429" customFormat="1" ht="17.25" customHeight="1"/>
    <row r="33430" customFormat="1" ht="17.25" customHeight="1"/>
    <row r="33431" customFormat="1" ht="17.25" customHeight="1"/>
    <row r="33432" customFormat="1" ht="17.25" customHeight="1"/>
    <row r="33433" customFormat="1" ht="17.25" customHeight="1"/>
    <row r="33434" customFormat="1" ht="17.25" customHeight="1"/>
    <row r="33435" customFormat="1" ht="17.25" customHeight="1"/>
    <row r="33436" customFormat="1" ht="17.25" customHeight="1"/>
    <row r="33437" customFormat="1" ht="17.25" customHeight="1"/>
    <row r="33438" customFormat="1" ht="17.25" customHeight="1"/>
    <row r="33439" customFormat="1" ht="17.25" customHeight="1"/>
    <row r="33440" customFormat="1" ht="17.25" customHeight="1"/>
    <row r="33441" customFormat="1" ht="17.25" customHeight="1"/>
    <row r="33442" customFormat="1" ht="17.25" customHeight="1"/>
    <row r="33443" customFormat="1" ht="17.25" customHeight="1"/>
    <row r="33444" customFormat="1" ht="17.25" customHeight="1"/>
    <row r="33445" customFormat="1" ht="17.25" customHeight="1"/>
    <row r="33446" customFormat="1" ht="17.25" customHeight="1"/>
    <row r="33447" customFormat="1" ht="17.25" customHeight="1"/>
    <row r="33448" customFormat="1" ht="17.25" customHeight="1"/>
    <row r="33449" customFormat="1" ht="17.25" customHeight="1"/>
    <row r="33450" customFormat="1" ht="17.25" customHeight="1"/>
    <row r="33451" customFormat="1" ht="17.25" customHeight="1"/>
    <row r="33452" customFormat="1" ht="17.25" customHeight="1"/>
    <row r="33453" customFormat="1" ht="17.25" customHeight="1"/>
    <row r="33454" customFormat="1" ht="17.25" customHeight="1"/>
    <row r="33455" customFormat="1" ht="17.25" customHeight="1"/>
    <row r="33456" customFormat="1" ht="17.25" customHeight="1"/>
    <row r="33457" customFormat="1" ht="17.25" customHeight="1"/>
    <row r="33458" customFormat="1" ht="17.25" customHeight="1"/>
    <row r="33459" customFormat="1" ht="17.25" customHeight="1"/>
    <row r="33460" customFormat="1" ht="17.25" customHeight="1"/>
    <row r="33461" customFormat="1" ht="17.25" customHeight="1"/>
    <row r="33462" customFormat="1" ht="17.25" customHeight="1"/>
    <row r="33463" customFormat="1" ht="17.25" customHeight="1"/>
    <row r="33464" customFormat="1" ht="17.25" customHeight="1"/>
    <row r="33465" customFormat="1" ht="17.25" customHeight="1"/>
    <row r="33466" customFormat="1" ht="17.25" customHeight="1"/>
    <row r="33467" customFormat="1" ht="17.25" customHeight="1"/>
    <row r="33468" customFormat="1" ht="17.25" customHeight="1"/>
    <row r="33469" customFormat="1" ht="17.25" customHeight="1"/>
    <row r="33470" customFormat="1" ht="17.25" customHeight="1"/>
    <row r="33471" customFormat="1" ht="17.25" customHeight="1"/>
    <row r="33472" customFormat="1" ht="17.25" customHeight="1"/>
    <row r="33473" customFormat="1" ht="17.25" customHeight="1"/>
    <row r="33474" customFormat="1" ht="17.25" customHeight="1"/>
    <row r="33475" customFormat="1" ht="17.25" customHeight="1"/>
    <row r="33476" customFormat="1" ht="17.25" customHeight="1"/>
    <row r="33477" customFormat="1" ht="17.25" customHeight="1"/>
    <row r="33478" customFormat="1" ht="17.25" customHeight="1"/>
    <row r="33479" customFormat="1" ht="17.25" customHeight="1"/>
    <row r="33480" customFormat="1" ht="17.25" customHeight="1"/>
    <row r="33481" customFormat="1" ht="17.25" customHeight="1"/>
    <row r="33482" customFormat="1" ht="17.25" customHeight="1"/>
    <row r="33483" customFormat="1" ht="17.25" customHeight="1"/>
    <row r="33484" customFormat="1" ht="17.25" customHeight="1"/>
    <row r="33485" customFormat="1" ht="17.25" customHeight="1"/>
    <row r="33486" customFormat="1" ht="17.25" customHeight="1"/>
    <row r="33487" customFormat="1" ht="17.25" customHeight="1"/>
    <row r="33488" customFormat="1" ht="17.25" customHeight="1"/>
    <row r="33489" customFormat="1" ht="17.25" customHeight="1"/>
    <row r="33490" customFormat="1" ht="17.25" customHeight="1"/>
    <row r="33491" customFormat="1" ht="17.25" customHeight="1"/>
    <row r="33492" customFormat="1" ht="17.25" customHeight="1"/>
    <row r="33493" customFormat="1" ht="17.25" customHeight="1"/>
    <row r="33494" customFormat="1" ht="17.25" customHeight="1"/>
    <row r="33495" customFormat="1" ht="17.25" customHeight="1"/>
    <row r="33496" customFormat="1" ht="17.25" customHeight="1"/>
    <row r="33497" customFormat="1" ht="17.25" customHeight="1"/>
    <row r="33498" customFormat="1" ht="17.25" customHeight="1"/>
    <row r="33499" customFormat="1" ht="17.25" customHeight="1"/>
    <row r="33500" customFormat="1" ht="17.25" customHeight="1"/>
    <row r="33501" customFormat="1" ht="17.25" customHeight="1"/>
    <row r="33502" customFormat="1" ht="17.25" customHeight="1"/>
    <row r="33503" customFormat="1" ht="17.25" customHeight="1"/>
    <row r="33504" customFormat="1" ht="17.25" customHeight="1"/>
    <row r="33505" customFormat="1" ht="17.25" customHeight="1"/>
    <row r="33506" customFormat="1" ht="17.25" customHeight="1"/>
    <row r="33507" customFormat="1" ht="17.25" customHeight="1"/>
    <row r="33508" customFormat="1" ht="17.25" customHeight="1"/>
    <row r="33509" customFormat="1" ht="17.25" customHeight="1"/>
    <row r="33510" customFormat="1" ht="17.25" customHeight="1"/>
    <row r="33511" customFormat="1" ht="17.25" customHeight="1"/>
    <row r="33512" customFormat="1" ht="17.25" customHeight="1"/>
    <row r="33513" customFormat="1" ht="17.25" customHeight="1"/>
    <row r="33514" customFormat="1" ht="17.25" customHeight="1"/>
    <row r="33515" customFormat="1" ht="17.25" customHeight="1"/>
    <row r="33516" customFormat="1" ht="17.25" customHeight="1"/>
    <row r="33517" customFormat="1" ht="17.25" customHeight="1"/>
    <row r="33518" customFormat="1" ht="17.25" customHeight="1"/>
    <row r="33519" customFormat="1" ht="17.25" customHeight="1"/>
    <row r="33520" customFormat="1" ht="17.25" customHeight="1"/>
    <row r="33521" customFormat="1" ht="17.25" customHeight="1"/>
    <row r="33522" customFormat="1" ht="17.25" customHeight="1"/>
    <row r="33523" customFormat="1" ht="17.25" customHeight="1"/>
    <row r="33524" customFormat="1" ht="17.25" customHeight="1"/>
    <row r="33525" customFormat="1" ht="17.25" customHeight="1"/>
    <row r="33526" customFormat="1" ht="17.25" customHeight="1"/>
    <row r="33527" customFormat="1" ht="17.25" customHeight="1"/>
    <row r="33528" customFormat="1" ht="17.25" customHeight="1"/>
    <row r="33529" customFormat="1" ht="17.25" customHeight="1"/>
    <row r="33530" customFormat="1" ht="17.25" customHeight="1"/>
    <row r="33531" customFormat="1" ht="17.25" customHeight="1"/>
    <row r="33532" customFormat="1" ht="17.25" customHeight="1"/>
    <row r="33533" customFormat="1" ht="17.25" customHeight="1"/>
    <row r="33534" customFormat="1" ht="17.25" customHeight="1"/>
    <row r="33535" customFormat="1" ht="17.25" customHeight="1"/>
    <row r="33536" customFormat="1" ht="17.25" customHeight="1"/>
    <row r="33537" customFormat="1" ht="17.25" customHeight="1"/>
    <row r="33538" customFormat="1" ht="17.25" customHeight="1"/>
    <row r="33539" customFormat="1" ht="17.25" customHeight="1"/>
    <row r="33540" customFormat="1" ht="17.25" customHeight="1"/>
    <row r="33541" customFormat="1" ht="17.25" customHeight="1"/>
    <row r="33542" customFormat="1" ht="17.25" customHeight="1"/>
    <row r="33543" customFormat="1" ht="17.25" customHeight="1"/>
    <row r="33544" customFormat="1" ht="17.25" customHeight="1"/>
    <row r="33545" customFormat="1" ht="17.25" customHeight="1"/>
    <row r="33546" customFormat="1" ht="17.25" customHeight="1"/>
    <row r="33547" customFormat="1" ht="17.25" customHeight="1"/>
    <row r="33548" customFormat="1" ht="17.25" customHeight="1"/>
    <row r="33549" customFormat="1" ht="17.25" customHeight="1"/>
    <row r="33550" customFormat="1" ht="17.25" customHeight="1"/>
    <row r="33551" customFormat="1" ht="17.25" customHeight="1"/>
    <row r="33552" customFormat="1" ht="17.25" customHeight="1"/>
    <row r="33553" customFormat="1" ht="17.25" customHeight="1"/>
    <row r="33554" customFormat="1" ht="17.25" customHeight="1"/>
    <row r="33555" customFormat="1" ht="17.25" customHeight="1"/>
    <row r="33556" customFormat="1" ht="17.25" customHeight="1"/>
    <row r="33557" customFormat="1" ht="17.25" customHeight="1"/>
    <row r="33558" customFormat="1" ht="17.25" customHeight="1"/>
    <row r="33559" customFormat="1" ht="17.25" customHeight="1"/>
    <row r="33560" customFormat="1" ht="17.25" customHeight="1"/>
    <row r="33561" customFormat="1" ht="17.25" customHeight="1"/>
    <row r="33562" customFormat="1" ht="17.25" customHeight="1"/>
    <row r="33563" customFormat="1" ht="17.25" customHeight="1"/>
    <row r="33564" customFormat="1" ht="17.25" customHeight="1"/>
    <row r="33565" customFormat="1" ht="17.25" customHeight="1"/>
    <row r="33566" customFormat="1" ht="17.25" customHeight="1"/>
    <row r="33567" customFormat="1" ht="17.25" customHeight="1"/>
    <row r="33568" customFormat="1" ht="17.25" customHeight="1"/>
    <row r="33569" customFormat="1" ht="17.25" customHeight="1"/>
    <row r="33570" customFormat="1" ht="17.25" customHeight="1"/>
    <row r="33571" customFormat="1" ht="17.25" customHeight="1"/>
    <row r="33572" customFormat="1" ht="17.25" customHeight="1"/>
    <row r="33573" customFormat="1" ht="17.25" customHeight="1"/>
    <row r="33574" customFormat="1" ht="17.25" customHeight="1"/>
    <row r="33575" customFormat="1" ht="17.25" customHeight="1"/>
    <row r="33576" customFormat="1" ht="17.25" customHeight="1"/>
    <row r="33577" customFormat="1" ht="17.25" customHeight="1"/>
    <row r="33578" customFormat="1" ht="17.25" customHeight="1"/>
    <row r="33579" customFormat="1" ht="17.25" customHeight="1"/>
    <row r="33580" customFormat="1" ht="17.25" customHeight="1"/>
    <row r="33581" customFormat="1" ht="17.25" customHeight="1"/>
    <row r="33582" customFormat="1" ht="17.25" customHeight="1"/>
    <row r="33583" customFormat="1" ht="17.25" customHeight="1"/>
    <row r="33584" customFormat="1" ht="17.25" customHeight="1"/>
    <row r="33585" customFormat="1" ht="17.25" customHeight="1"/>
    <row r="33586" customFormat="1" ht="17.25" customHeight="1"/>
    <row r="33587" customFormat="1" ht="17.25" customHeight="1"/>
    <row r="33588" customFormat="1" ht="17.25" customHeight="1"/>
    <row r="33589" customFormat="1" ht="17.25" customHeight="1"/>
    <row r="33590" customFormat="1" ht="17.25" customHeight="1"/>
    <row r="33591" customFormat="1" ht="17.25" customHeight="1"/>
    <row r="33592" customFormat="1" ht="17.25" customHeight="1"/>
    <row r="33593" customFormat="1" ht="17.25" customHeight="1"/>
    <row r="33594" customFormat="1" ht="17.25" customHeight="1"/>
    <row r="33595" customFormat="1" ht="17.25" customHeight="1"/>
    <row r="33596" customFormat="1" ht="17.25" customHeight="1"/>
    <row r="33597" customFormat="1" ht="17.25" customHeight="1"/>
    <row r="33598" customFormat="1" ht="17.25" customHeight="1"/>
    <row r="33599" customFormat="1" ht="17.25" customHeight="1"/>
    <row r="33600" customFormat="1" ht="17.25" customHeight="1"/>
    <row r="33601" customFormat="1" ht="17.25" customHeight="1"/>
    <row r="33602" customFormat="1" ht="17.25" customHeight="1"/>
    <row r="33603" customFormat="1" ht="17.25" customHeight="1"/>
    <row r="33604" customFormat="1" ht="17.25" customHeight="1"/>
    <row r="33605" customFormat="1" ht="17.25" customHeight="1"/>
    <row r="33606" customFormat="1" ht="17.25" customHeight="1"/>
    <row r="33607" customFormat="1" ht="17.25" customHeight="1"/>
    <row r="33608" customFormat="1" ht="17.25" customHeight="1"/>
    <row r="33609" customFormat="1" ht="17.25" customHeight="1"/>
    <row r="33610" customFormat="1" ht="17.25" customHeight="1"/>
    <row r="33611" customFormat="1" ht="17.25" customHeight="1"/>
    <row r="33612" customFormat="1" ht="17.25" customHeight="1"/>
    <row r="33613" customFormat="1" ht="17.25" customHeight="1"/>
    <row r="33614" customFormat="1" ht="17.25" customHeight="1"/>
    <row r="33615" customFormat="1" ht="17.25" customHeight="1"/>
    <row r="33616" customFormat="1" ht="17.25" customHeight="1"/>
    <row r="33617" customFormat="1" ht="17.25" customHeight="1"/>
    <row r="33618" customFormat="1" ht="17.25" customHeight="1"/>
    <row r="33619" customFormat="1" ht="17.25" customHeight="1"/>
    <row r="33620" customFormat="1" ht="17.25" customHeight="1"/>
    <row r="33621" customFormat="1" ht="17.25" customHeight="1"/>
    <row r="33622" customFormat="1" ht="17.25" customHeight="1"/>
    <row r="33623" customFormat="1" ht="17.25" customHeight="1"/>
    <row r="33624" customFormat="1" ht="17.25" customHeight="1"/>
    <row r="33625" customFormat="1" ht="17.25" customHeight="1"/>
    <row r="33626" customFormat="1" ht="17.25" customHeight="1"/>
    <row r="33627" customFormat="1" ht="17.25" customHeight="1"/>
    <row r="33628" customFormat="1" ht="17.25" customHeight="1"/>
    <row r="33629" customFormat="1" ht="17.25" customHeight="1"/>
    <row r="33630" customFormat="1" ht="17.25" customHeight="1"/>
    <row r="33631" customFormat="1" ht="17.25" customHeight="1"/>
    <row r="33632" customFormat="1" ht="17.25" customHeight="1"/>
    <row r="33633" customFormat="1" ht="17.25" customHeight="1"/>
    <row r="33634" customFormat="1" ht="17.25" customHeight="1"/>
    <row r="33635" customFormat="1" ht="17.25" customHeight="1"/>
    <row r="33636" customFormat="1" ht="17.25" customHeight="1"/>
    <row r="33637" customFormat="1" ht="17.25" customHeight="1"/>
    <row r="33638" customFormat="1" ht="17.25" customHeight="1"/>
    <row r="33639" customFormat="1" ht="17.25" customHeight="1"/>
    <row r="33640" customFormat="1" ht="17.25" customHeight="1"/>
    <row r="33641" customFormat="1" ht="17.25" customHeight="1"/>
    <row r="33642" customFormat="1" ht="17.25" customHeight="1"/>
    <row r="33643" customFormat="1" ht="17.25" customHeight="1"/>
    <row r="33644" customFormat="1" ht="17.25" customHeight="1"/>
    <row r="33645" customFormat="1" ht="17.25" customHeight="1"/>
    <row r="33646" customFormat="1" ht="17.25" customHeight="1"/>
    <row r="33647" customFormat="1" ht="17.25" customHeight="1"/>
    <row r="33648" customFormat="1" ht="17.25" customHeight="1"/>
    <row r="33649" customFormat="1" ht="17.25" customHeight="1"/>
    <row r="33650" customFormat="1" ht="17.25" customHeight="1"/>
    <row r="33651" customFormat="1" ht="17.25" customHeight="1"/>
    <row r="33652" customFormat="1" ht="17.25" customHeight="1"/>
    <row r="33653" customFormat="1" ht="17.25" customHeight="1"/>
    <row r="33654" customFormat="1" ht="17.25" customHeight="1"/>
    <row r="33655" customFormat="1" ht="17.25" customHeight="1"/>
    <row r="33656" customFormat="1" ht="17.25" customHeight="1"/>
    <row r="33657" customFormat="1" ht="17.25" customHeight="1"/>
    <row r="33658" customFormat="1" ht="17.25" customHeight="1"/>
    <row r="33659" customFormat="1" ht="17.25" customHeight="1"/>
    <row r="33660" customFormat="1" ht="17.25" customHeight="1"/>
    <row r="33661" customFormat="1" ht="17.25" customHeight="1"/>
    <row r="33662" customFormat="1" ht="17.25" customHeight="1"/>
    <row r="33663" customFormat="1" ht="17.25" customHeight="1"/>
    <row r="33664" customFormat="1" ht="17.25" customHeight="1"/>
    <row r="33665" customFormat="1" ht="17.25" customHeight="1"/>
    <row r="33666" customFormat="1" ht="17.25" customHeight="1"/>
    <row r="33667" customFormat="1" ht="17.25" customHeight="1"/>
    <row r="33668" customFormat="1" ht="17.25" customHeight="1"/>
    <row r="33669" customFormat="1" ht="17.25" customHeight="1"/>
    <row r="33670" customFormat="1" ht="17.25" customHeight="1"/>
    <row r="33671" customFormat="1" ht="17.25" customHeight="1"/>
    <row r="33672" customFormat="1" ht="17.25" customHeight="1"/>
    <row r="33673" customFormat="1" ht="17.25" customHeight="1"/>
    <row r="33674" customFormat="1" ht="17.25" customHeight="1"/>
    <row r="33675" customFormat="1" ht="17.25" customHeight="1"/>
    <row r="33676" customFormat="1" ht="17.25" customHeight="1"/>
    <row r="33677" customFormat="1" ht="17.25" customHeight="1"/>
    <row r="33678" customFormat="1" ht="17.25" customHeight="1"/>
    <row r="33679" customFormat="1" ht="17.25" customHeight="1"/>
    <row r="33680" customFormat="1" ht="17.25" customHeight="1"/>
    <row r="33681" customFormat="1" ht="17.25" customHeight="1"/>
    <row r="33682" customFormat="1" ht="17.25" customHeight="1"/>
    <row r="33683" customFormat="1" ht="17.25" customHeight="1"/>
    <row r="33684" customFormat="1" ht="17.25" customHeight="1"/>
    <row r="33685" customFormat="1" ht="17.25" customHeight="1"/>
    <row r="33686" customFormat="1" ht="17.25" customHeight="1"/>
    <row r="33687" customFormat="1" ht="17.25" customHeight="1"/>
    <row r="33688" customFormat="1" ht="17.25" customHeight="1"/>
    <row r="33689" customFormat="1" ht="17.25" customHeight="1"/>
    <row r="33690" customFormat="1" ht="17.25" customHeight="1"/>
    <row r="33691" customFormat="1" ht="17.25" customHeight="1"/>
    <row r="33692" customFormat="1" ht="17.25" customHeight="1"/>
    <row r="33693" customFormat="1" ht="17.25" customHeight="1"/>
    <row r="33694" customFormat="1" ht="17.25" customHeight="1"/>
    <row r="33695" customFormat="1" ht="17.25" customHeight="1"/>
    <row r="33696" customFormat="1" ht="17.25" customHeight="1"/>
    <row r="33697" customFormat="1" ht="17.25" customHeight="1"/>
    <row r="33698" customFormat="1" ht="17.25" customHeight="1"/>
    <row r="33699" customFormat="1" ht="17.25" customHeight="1"/>
    <row r="33700" customFormat="1" ht="17.25" customHeight="1"/>
    <row r="33701" customFormat="1" ht="17.25" customHeight="1"/>
    <row r="33702" customFormat="1" ht="17.25" customHeight="1"/>
    <row r="33703" customFormat="1" ht="17.25" customHeight="1"/>
    <row r="33704" customFormat="1" ht="17.25" customHeight="1"/>
    <row r="33705" customFormat="1" ht="17.25" customHeight="1"/>
    <row r="33706" customFormat="1" ht="17.25" customHeight="1"/>
    <row r="33707" customFormat="1" ht="17.25" customHeight="1"/>
    <row r="33708" customFormat="1" ht="17.25" customHeight="1"/>
    <row r="33709" customFormat="1" ht="17.25" customHeight="1"/>
    <row r="33710" customFormat="1" ht="17.25" customHeight="1"/>
    <row r="33711" customFormat="1" ht="17.25" customHeight="1"/>
    <row r="33712" customFormat="1" ht="17.25" customHeight="1"/>
    <row r="33713" customFormat="1" ht="17.25" customHeight="1"/>
    <row r="33714" customFormat="1" ht="17.25" customHeight="1"/>
    <row r="33715" customFormat="1" ht="17.25" customHeight="1"/>
    <row r="33716" customFormat="1" ht="17.25" customHeight="1"/>
    <row r="33717" customFormat="1" ht="17.25" customHeight="1"/>
    <row r="33718" customFormat="1" ht="17.25" customHeight="1"/>
    <row r="33719" customFormat="1" ht="17.25" customHeight="1"/>
    <row r="33720" customFormat="1" ht="17.25" customHeight="1"/>
    <row r="33721" customFormat="1" ht="17.25" customHeight="1"/>
    <row r="33722" customFormat="1" ht="17.25" customHeight="1"/>
    <row r="33723" customFormat="1" ht="17.25" customHeight="1"/>
    <row r="33724" customFormat="1" ht="17.25" customHeight="1"/>
    <row r="33725" customFormat="1" ht="17.25" customHeight="1"/>
    <row r="33726" customFormat="1" ht="17.25" customHeight="1"/>
    <row r="33727" customFormat="1" ht="17.25" customHeight="1"/>
    <row r="33728" customFormat="1" ht="17.25" customHeight="1"/>
    <row r="33729" customFormat="1" ht="17.25" customHeight="1"/>
    <row r="33730" customFormat="1" ht="17.25" customHeight="1"/>
    <row r="33731" customFormat="1" ht="17.25" customHeight="1"/>
    <row r="33732" customFormat="1" ht="17.25" customHeight="1"/>
    <row r="33733" customFormat="1" ht="17.25" customHeight="1"/>
    <row r="33734" customFormat="1" ht="17.25" customHeight="1"/>
    <row r="33735" customFormat="1" ht="17.25" customHeight="1"/>
    <row r="33736" customFormat="1" ht="17.25" customHeight="1"/>
    <row r="33737" customFormat="1" ht="17.25" customHeight="1"/>
    <row r="33738" customFormat="1" ht="17.25" customHeight="1"/>
    <row r="33739" customFormat="1" ht="17.25" customHeight="1"/>
    <row r="33740" customFormat="1" ht="17.25" customHeight="1"/>
    <row r="33741" customFormat="1" ht="17.25" customHeight="1"/>
    <row r="33742" customFormat="1" ht="17.25" customHeight="1"/>
    <row r="33743" customFormat="1" ht="17.25" customHeight="1"/>
    <row r="33744" customFormat="1" ht="17.25" customHeight="1"/>
    <row r="33745" customFormat="1" ht="17.25" customHeight="1"/>
    <row r="33746" customFormat="1" ht="17.25" customHeight="1"/>
    <row r="33747" customFormat="1" ht="17.25" customHeight="1"/>
    <row r="33748" customFormat="1" ht="17.25" customHeight="1"/>
    <row r="33749" customFormat="1" ht="17.25" customHeight="1"/>
    <row r="33750" customFormat="1" ht="17.25" customHeight="1"/>
    <row r="33751" customFormat="1" ht="17.25" customHeight="1"/>
    <row r="33752" customFormat="1" ht="17.25" customHeight="1"/>
    <row r="33753" customFormat="1" ht="17.25" customHeight="1"/>
    <row r="33754" customFormat="1" ht="17.25" customHeight="1"/>
    <row r="33755" customFormat="1" ht="17.25" customHeight="1"/>
    <row r="33756" customFormat="1" ht="17.25" customHeight="1"/>
    <row r="33757" customFormat="1" ht="17.25" customHeight="1"/>
    <row r="33758" customFormat="1" ht="17.25" customHeight="1"/>
    <row r="33759" customFormat="1" ht="17.25" customHeight="1"/>
    <row r="33760" customFormat="1" ht="17.25" customHeight="1"/>
    <row r="33761" customFormat="1" ht="17.25" customHeight="1"/>
    <row r="33762" customFormat="1" ht="17.25" customHeight="1"/>
    <row r="33763" customFormat="1" ht="17.25" customHeight="1"/>
    <row r="33764" customFormat="1" ht="17.25" customHeight="1"/>
    <row r="33765" customFormat="1" ht="17.25" customHeight="1"/>
    <row r="33766" customFormat="1" ht="17.25" customHeight="1"/>
    <row r="33767" customFormat="1" ht="17.25" customHeight="1"/>
    <row r="33768" customFormat="1" ht="17.25" customHeight="1"/>
    <row r="33769" customFormat="1" ht="17.25" customHeight="1"/>
    <row r="33770" customFormat="1" ht="17.25" customHeight="1"/>
    <row r="33771" customFormat="1" ht="17.25" customHeight="1"/>
    <row r="33772" customFormat="1" ht="17.25" customHeight="1"/>
    <row r="33773" customFormat="1" ht="17.25" customHeight="1"/>
    <row r="33774" customFormat="1" ht="17.25" customHeight="1"/>
    <row r="33775" customFormat="1" ht="17.25" customHeight="1"/>
    <row r="33776" customFormat="1" ht="17.25" customHeight="1"/>
    <row r="33777" customFormat="1" ht="17.25" customHeight="1"/>
    <row r="33778" customFormat="1" ht="17.25" customHeight="1"/>
    <row r="33779" customFormat="1" ht="17.25" customHeight="1"/>
    <row r="33780" customFormat="1" ht="17.25" customHeight="1"/>
    <row r="33781" customFormat="1" ht="17.25" customHeight="1"/>
    <row r="33782" customFormat="1" ht="17.25" customHeight="1"/>
    <row r="33783" customFormat="1" ht="17.25" customHeight="1"/>
    <row r="33784" customFormat="1" ht="17.25" customHeight="1"/>
    <row r="33785" customFormat="1" ht="17.25" customHeight="1"/>
    <row r="33786" customFormat="1" ht="17.25" customHeight="1"/>
    <row r="33787" customFormat="1" ht="17.25" customHeight="1"/>
    <row r="33788" customFormat="1" ht="17.25" customHeight="1"/>
    <row r="33789" customFormat="1" ht="17.25" customHeight="1"/>
    <row r="33790" customFormat="1" ht="17.25" customHeight="1"/>
    <row r="33791" customFormat="1" ht="17.25" customHeight="1"/>
    <row r="33792" customFormat="1" ht="17.25" customHeight="1"/>
    <row r="33793" customFormat="1" ht="17.25" customHeight="1"/>
    <row r="33794" customFormat="1" ht="17.25" customHeight="1"/>
    <row r="33795" customFormat="1" ht="17.25" customHeight="1"/>
    <row r="33796" customFormat="1" ht="17.25" customHeight="1"/>
    <row r="33797" customFormat="1" ht="17.25" customHeight="1"/>
    <row r="33798" customFormat="1" ht="17.25" customHeight="1"/>
    <row r="33799" customFormat="1" ht="17.25" customHeight="1"/>
    <row r="33800" customFormat="1" ht="17.25" customHeight="1"/>
    <row r="33801" customFormat="1" ht="17.25" customHeight="1"/>
    <row r="33802" customFormat="1" ht="17.25" customHeight="1"/>
    <row r="33803" customFormat="1" ht="17.25" customHeight="1"/>
    <row r="33804" customFormat="1" ht="17.25" customHeight="1"/>
    <row r="33805" customFormat="1" ht="17.25" customHeight="1"/>
    <row r="33806" customFormat="1" ht="17.25" customHeight="1"/>
    <row r="33807" customFormat="1" ht="17.25" customHeight="1"/>
    <row r="33808" customFormat="1" ht="17.25" customHeight="1"/>
    <row r="33809" customFormat="1" ht="17.25" customHeight="1"/>
    <row r="33810" customFormat="1" ht="17.25" customHeight="1"/>
    <row r="33811" customFormat="1" ht="17.25" customHeight="1"/>
    <row r="33812" customFormat="1" ht="17.25" customHeight="1"/>
    <row r="33813" customFormat="1" ht="17.25" customHeight="1"/>
    <row r="33814" customFormat="1" ht="17.25" customHeight="1"/>
    <row r="33815" customFormat="1" ht="17.25" customHeight="1"/>
    <row r="33816" customFormat="1" ht="17.25" customHeight="1"/>
    <row r="33817" customFormat="1" ht="17.25" customHeight="1"/>
    <row r="33818" customFormat="1" ht="17.25" customHeight="1"/>
    <row r="33819" customFormat="1" ht="17.25" customHeight="1"/>
    <row r="33820" customFormat="1" ht="17.25" customHeight="1"/>
    <row r="33821" customFormat="1" ht="17.25" customHeight="1"/>
    <row r="33822" customFormat="1" ht="17.25" customHeight="1"/>
    <row r="33823" customFormat="1" ht="17.25" customHeight="1"/>
    <row r="33824" customFormat="1" ht="17.25" customHeight="1"/>
    <row r="33825" customFormat="1" ht="17.25" customHeight="1"/>
    <row r="33826" customFormat="1" ht="17.25" customHeight="1"/>
    <row r="33827" customFormat="1" ht="17.25" customHeight="1"/>
    <row r="33828" customFormat="1" ht="17.25" customHeight="1"/>
    <row r="33829" customFormat="1" ht="17.25" customHeight="1"/>
    <row r="33830" customFormat="1" ht="17.25" customHeight="1"/>
    <row r="33831" customFormat="1" ht="17.25" customHeight="1"/>
    <row r="33832" customFormat="1" ht="17.25" customHeight="1"/>
    <row r="33833" customFormat="1" ht="17.25" customHeight="1"/>
    <row r="33834" customFormat="1" ht="17.25" customHeight="1"/>
    <row r="33835" customFormat="1" ht="17.25" customHeight="1"/>
    <row r="33836" customFormat="1" ht="17.25" customHeight="1"/>
    <row r="33837" customFormat="1" ht="17.25" customHeight="1"/>
    <row r="33838" customFormat="1" ht="17.25" customHeight="1"/>
    <row r="33839" customFormat="1" ht="17.25" customHeight="1"/>
    <row r="33840" customFormat="1" ht="17.25" customHeight="1"/>
    <row r="33841" customFormat="1" ht="17.25" customHeight="1"/>
    <row r="33842" customFormat="1" ht="17.25" customHeight="1"/>
    <row r="33843" customFormat="1" ht="17.25" customHeight="1"/>
    <row r="33844" customFormat="1" ht="17.25" customHeight="1"/>
    <row r="33845" customFormat="1" ht="17.25" customHeight="1"/>
    <row r="33846" customFormat="1" ht="17.25" customHeight="1"/>
    <row r="33847" customFormat="1" ht="17.25" customHeight="1"/>
    <row r="33848" customFormat="1" ht="17.25" customHeight="1"/>
    <row r="33849" customFormat="1" ht="17.25" customHeight="1"/>
    <row r="33850" customFormat="1" ht="17.25" customHeight="1"/>
    <row r="33851" customFormat="1" ht="17.25" customHeight="1"/>
    <row r="33852" customFormat="1" ht="17.25" customHeight="1"/>
    <row r="33853" customFormat="1" ht="17.25" customHeight="1"/>
    <row r="33854" customFormat="1" ht="17.25" customHeight="1"/>
    <row r="33855" customFormat="1" ht="17.25" customHeight="1"/>
    <row r="33856" customFormat="1" ht="17.25" customHeight="1"/>
    <row r="33857" customFormat="1" ht="17.25" customHeight="1"/>
    <row r="33858" customFormat="1" ht="17.25" customHeight="1"/>
    <row r="33859" customFormat="1" ht="17.25" customHeight="1"/>
    <row r="33860" customFormat="1" ht="17.25" customHeight="1"/>
    <row r="33861" customFormat="1" ht="17.25" customHeight="1"/>
    <row r="33862" customFormat="1" ht="17.25" customHeight="1"/>
    <row r="33863" customFormat="1" ht="17.25" customHeight="1"/>
    <row r="33864" customFormat="1" ht="17.25" customHeight="1"/>
    <row r="33865" customFormat="1" ht="17.25" customHeight="1"/>
    <row r="33866" customFormat="1" ht="17.25" customHeight="1"/>
    <row r="33867" customFormat="1" ht="17.25" customHeight="1"/>
    <row r="33868" customFormat="1" ht="17.25" customHeight="1"/>
    <row r="33869" customFormat="1" ht="17.25" customHeight="1"/>
    <row r="33870" customFormat="1" ht="17.25" customHeight="1"/>
    <row r="33871" customFormat="1" ht="17.25" customHeight="1"/>
    <row r="33872" customFormat="1" ht="17.25" customHeight="1"/>
    <row r="33873" customFormat="1" ht="17.25" customHeight="1"/>
    <row r="33874" customFormat="1" ht="17.25" customHeight="1"/>
    <row r="33875" customFormat="1" ht="17.25" customHeight="1"/>
    <row r="33876" customFormat="1" ht="17.25" customHeight="1"/>
    <row r="33877" customFormat="1" ht="17.25" customHeight="1"/>
    <row r="33878" customFormat="1" ht="17.25" customHeight="1"/>
    <row r="33879" customFormat="1" ht="17.25" customHeight="1"/>
    <row r="33880" customFormat="1" ht="17.25" customHeight="1"/>
    <row r="33881" customFormat="1" ht="17.25" customHeight="1"/>
    <row r="33882" customFormat="1" ht="17.25" customHeight="1"/>
    <row r="33883" customFormat="1" ht="17.25" customHeight="1"/>
    <row r="33884" customFormat="1" ht="17.25" customHeight="1"/>
    <row r="33885" customFormat="1" ht="17.25" customHeight="1"/>
    <row r="33886" customFormat="1" ht="17.25" customHeight="1"/>
    <row r="33887" customFormat="1" ht="17.25" customHeight="1"/>
    <row r="33888" customFormat="1" ht="17.25" customHeight="1"/>
    <row r="33889" customFormat="1" ht="17.25" customHeight="1"/>
    <row r="33890" customFormat="1" ht="17.25" customHeight="1"/>
    <row r="33891" customFormat="1" ht="17.25" customHeight="1"/>
    <row r="33892" customFormat="1" ht="17.25" customHeight="1"/>
    <row r="33893" customFormat="1" ht="17.25" customHeight="1"/>
    <row r="33894" customFormat="1" ht="17.25" customHeight="1"/>
    <row r="33895" customFormat="1" ht="17.25" customHeight="1"/>
    <row r="33896" customFormat="1" ht="17.25" customHeight="1"/>
    <row r="33897" customFormat="1" ht="17.25" customHeight="1"/>
    <row r="33898" customFormat="1" ht="17.25" customHeight="1"/>
    <row r="33899" customFormat="1" ht="17.25" customHeight="1"/>
    <row r="33900" customFormat="1" ht="17.25" customHeight="1"/>
    <row r="33901" customFormat="1" ht="17.25" customHeight="1"/>
    <row r="33902" customFormat="1" ht="17.25" customHeight="1"/>
    <row r="33903" customFormat="1" ht="17.25" customHeight="1"/>
    <row r="33904" customFormat="1" ht="17.25" customHeight="1"/>
    <row r="33905" customFormat="1" ht="17.25" customHeight="1"/>
    <row r="33906" customFormat="1" ht="17.25" customHeight="1"/>
    <row r="33907" customFormat="1" ht="17.25" customHeight="1"/>
    <row r="33908" customFormat="1" ht="17.25" customHeight="1"/>
    <row r="33909" customFormat="1" ht="17.25" customHeight="1"/>
    <row r="33910" customFormat="1" ht="17.25" customHeight="1"/>
    <row r="33911" customFormat="1" ht="17.25" customHeight="1"/>
    <row r="33912" customFormat="1" ht="17.25" customHeight="1"/>
    <row r="33913" customFormat="1" ht="17.25" customHeight="1"/>
    <row r="33914" customFormat="1" ht="17.25" customHeight="1"/>
    <row r="33915" customFormat="1" ht="17.25" customHeight="1"/>
    <row r="33916" customFormat="1" ht="17.25" customHeight="1"/>
    <row r="33917" customFormat="1" ht="17.25" customHeight="1"/>
    <row r="33918" customFormat="1" ht="17.25" customHeight="1"/>
    <row r="33919" customFormat="1" ht="17.25" customHeight="1"/>
    <row r="33920" customFormat="1" ht="17.25" customHeight="1"/>
    <row r="33921" customFormat="1" ht="17.25" customHeight="1"/>
    <row r="33922" customFormat="1" ht="17.25" customHeight="1"/>
    <row r="33923" customFormat="1" ht="17.25" customHeight="1"/>
    <row r="33924" customFormat="1" ht="17.25" customHeight="1"/>
    <row r="33925" customFormat="1" ht="17.25" customHeight="1"/>
    <row r="33926" customFormat="1" ht="17.25" customHeight="1"/>
    <row r="33927" customFormat="1" ht="17.25" customHeight="1"/>
    <row r="33928" customFormat="1" ht="17.25" customHeight="1"/>
    <row r="33929" customFormat="1" ht="17.25" customHeight="1"/>
    <row r="33930" customFormat="1" ht="17.25" customHeight="1"/>
    <row r="33931" customFormat="1" ht="17.25" customHeight="1"/>
    <row r="33932" customFormat="1" ht="17.25" customHeight="1"/>
    <row r="33933" customFormat="1" ht="17.25" customHeight="1"/>
    <row r="33934" customFormat="1" ht="17.25" customHeight="1"/>
    <row r="33935" customFormat="1" ht="17.25" customHeight="1"/>
    <row r="33936" customFormat="1" ht="17.25" customHeight="1"/>
    <row r="33937" customFormat="1" ht="17.25" customHeight="1"/>
    <row r="33938" customFormat="1" ht="17.25" customHeight="1"/>
    <row r="33939" customFormat="1" ht="17.25" customHeight="1"/>
    <row r="33940" customFormat="1" ht="17.25" customHeight="1"/>
    <row r="33941" customFormat="1" ht="17.25" customHeight="1"/>
    <row r="33942" customFormat="1" ht="17.25" customHeight="1"/>
    <row r="33943" customFormat="1" ht="17.25" customHeight="1"/>
    <row r="33944" customFormat="1" ht="17.25" customHeight="1"/>
    <row r="33945" customFormat="1" ht="17.25" customHeight="1"/>
    <row r="33946" customFormat="1" ht="17.25" customHeight="1"/>
    <row r="33947" customFormat="1" ht="17.25" customHeight="1"/>
    <row r="33948" customFormat="1" ht="17.25" customHeight="1"/>
    <row r="33949" customFormat="1" ht="17.25" customHeight="1"/>
    <row r="33950" customFormat="1" ht="17.25" customHeight="1"/>
    <row r="33951" customFormat="1" ht="17.25" customHeight="1"/>
    <row r="33952" customFormat="1" ht="17.25" customHeight="1"/>
    <row r="33953" customFormat="1" ht="17.25" customHeight="1"/>
    <row r="33954" customFormat="1" ht="17.25" customHeight="1"/>
    <row r="33955" customFormat="1" ht="17.25" customHeight="1"/>
    <row r="33956" customFormat="1" ht="17.25" customHeight="1"/>
    <row r="33957" customFormat="1" ht="17.25" customHeight="1"/>
    <row r="33958" customFormat="1" ht="17.25" customHeight="1"/>
    <row r="33959" customFormat="1" ht="17.25" customHeight="1"/>
    <row r="33960" customFormat="1" ht="17.25" customHeight="1"/>
    <row r="33961" customFormat="1" ht="17.25" customHeight="1"/>
    <row r="33962" customFormat="1" ht="17.25" customHeight="1"/>
    <row r="33963" customFormat="1" ht="17.25" customHeight="1"/>
    <row r="33964" customFormat="1" ht="17.25" customHeight="1"/>
    <row r="33965" customFormat="1" ht="17.25" customHeight="1"/>
    <row r="33966" customFormat="1" ht="17.25" customHeight="1"/>
    <row r="33967" customFormat="1" ht="17.25" customHeight="1"/>
    <row r="33968" customFormat="1" ht="17.25" customHeight="1"/>
    <row r="33969" customFormat="1" ht="17.25" customHeight="1"/>
    <row r="33970" customFormat="1" ht="17.25" customHeight="1"/>
    <row r="33971" customFormat="1" ht="17.25" customHeight="1"/>
    <row r="33972" customFormat="1" ht="17.25" customHeight="1"/>
    <row r="33973" customFormat="1" ht="17.25" customHeight="1"/>
    <row r="33974" customFormat="1" ht="17.25" customHeight="1"/>
    <row r="33975" customFormat="1" ht="17.25" customHeight="1"/>
    <row r="33976" customFormat="1" ht="17.25" customHeight="1"/>
    <row r="33977" customFormat="1" ht="17.25" customHeight="1"/>
    <row r="33978" customFormat="1" ht="17.25" customHeight="1"/>
    <row r="33979" customFormat="1" ht="17.25" customHeight="1"/>
    <row r="33980" customFormat="1" ht="17.25" customHeight="1"/>
    <row r="33981" customFormat="1" ht="17.25" customHeight="1"/>
    <row r="33982" customFormat="1" ht="17.25" customHeight="1"/>
    <row r="33983" customFormat="1" ht="17.25" customHeight="1"/>
    <row r="33984" customFormat="1" ht="17.25" customHeight="1"/>
    <row r="33985" customFormat="1" ht="17.25" customHeight="1"/>
    <row r="33986" customFormat="1" ht="17.25" customHeight="1"/>
    <row r="33987" customFormat="1" ht="17.25" customHeight="1"/>
    <row r="33988" customFormat="1" ht="17.25" customHeight="1"/>
    <row r="33989" customFormat="1" ht="17.25" customHeight="1"/>
    <row r="33990" customFormat="1" ht="17.25" customHeight="1"/>
    <row r="33991" customFormat="1" ht="17.25" customHeight="1"/>
    <row r="33992" customFormat="1" ht="17.25" customHeight="1"/>
    <row r="33993" customFormat="1" ht="17.25" customHeight="1"/>
    <row r="33994" customFormat="1" ht="17.25" customHeight="1"/>
    <row r="33995" customFormat="1" ht="17.25" customHeight="1"/>
    <row r="33996" customFormat="1" ht="17.25" customHeight="1"/>
    <row r="33997" customFormat="1" ht="17.25" customHeight="1"/>
    <row r="33998" customFormat="1" ht="17.25" customHeight="1"/>
    <row r="33999" customFormat="1" ht="17.25" customHeight="1"/>
    <row r="34000" customFormat="1" ht="17.25" customHeight="1"/>
    <row r="34001" customFormat="1" ht="17.25" customHeight="1"/>
    <row r="34002" customFormat="1" ht="17.25" customHeight="1"/>
    <row r="34003" customFormat="1" ht="17.25" customHeight="1"/>
    <row r="34004" customFormat="1" ht="17.25" customHeight="1"/>
    <row r="34005" customFormat="1" ht="17.25" customHeight="1"/>
    <row r="34006" customFormat="1" ht="17.25" customHeight="1"/>
    <row r="34007" customFormat="1" ht="17.25" customHeight="1"/>
    <row r="34008" customFormat="1" ht="17.25" customHeight="1"/>
    <row r="34009" customFormat="1" ht="17.25" customHeight="1"/>
    <row r="34010" customFormat="1" ht="17.25" customHeight="1"/>
    <row r="34011" customFormat="1" ht="17.25" customHeight="1"/>
    <row r="34012" customFormat="1" ht="17.25" customHeight="1"/>
    <row r="34013" customFormat="1" ht="17.25" customHeight="1"/>
    <row r="34014" customFormat="1" ht="17.25" customHeight="1"/>
    <row r="34015" customFormat="1" ht="17.25" customHeight="1"/>
    <row r="34016" customFormat="1" ht="17.25" customHeight="1"/>
    <row r="34017" customFormat="1" ht="17.25" customHeight="1"/>
    <row r="34018" customFormat="1" ht="17.25" customHeight="1"/>
    <row r="34019" customFormat="1" ht="17.25" customHeight="1"/>
    <row r="34020" customFormat="1" ht="17.25" customHeight="1"/>
    <row r="34021" customFormat="1" ht="17.25" customHeight="1"/>
    <row r="34022" customFormat="1" ht="17.25" customHeight="1"/>
    <row r="34023" customFormat="1" ht="17.25" customHeight="1"/>
    <row r="34024" customFormat="1" ht="17.25" customHeight="1"/>
    <row r="34025" customFormat="1" ht="17.25" customHeight="1"/>
    <row r="34026" customFormat="1" ht="17.25" customHeight="1"/>
    <row r="34027" customFormat="1" ht="17.25" customHeight="1"/>
    <row r="34028" customFormat="1" ht="17.25" customHeight="1"/>
    <row r="34029" customFormat="1" ht="17.25" customHeight="1"/>
    <row r="34030" customFormat="1" ht="17.25" customHeight="1"/>
    <row r="34031" customFormat="1" ht="17.25" customHeight="1"/>
    <row r="34032" customFormat="1" ht="17.25" customHeight="1"/>
    <row r="34033" customFormat="1" ht="17.25" customHeight="1"/>
    <row r="34034" customFormat="1" ht="17.25" customHeight="1"/>
    <row r="34035" customFormat="1" ht="17.25" customHeight="1"/>
    <row r="34036" customFormat="1" ht="17.25" customHeight="1"/>
    <row r="34037" customFormat="1" ht="17.25" customHeight="1"/>
    <row r="34038" customFormat="1" ht="17.25" customHeight="1"/>
    <row r="34039" customFormat="1" ht="17.25" customHeight="1"/>
    <row r="34040" customFormat="1" ht="17.25" customHeight="1"/>
    <row r="34041" customFormat="1" ht="17.25" customHeight="1"/>
    <row r="34042" customFormat="1" ht="17.25" customHeight="1"/>
    <row r="34043" customFormat="1" ht="17.25" customHeight="1"/>
    <row r="34044" customFormat="1" ht="17.25" customHeight="1"/>
    <row r="34045" customFormat="1" ht="17.25" customHeight="1"/>
    <row r="34046" customFormat="1" ht="17.25" customHeight="1"/>
    <row r="34047" customFormat="1" ht="17.25" customHeight="1"/>
    <row r="34048" customFormat="1" ht="17.25" customHeight="1"/>
    <row r="34049" customFormat="1" ht="17.25" customHeight="1"/>
    <row r="34050" customFormat="1" ht="17.25" customHeight="1"/>
    <row r="34051" customFormat="1" ht="17.25" customHeight="1"/>
    <row r="34052" customFormat="1" ht="17.25" customHeight="1"/>
    <row r="34053" customFormat="1" ht="17.25" customHeight="1"/>
    <row r="34054" customFormat="1" ht="17.25" customHeight="1"/>
    <row r="34055" customFormat="1" ht="17.25" customHeight="1"/>
    <row r="34056" customFormat="1" ht="17.25" customHeight="1"/>
    <row r="34057" customFormat="1" ht="17.25" customHeight="1"/>
    <row r="34058" customFormat="1" ht="17.25" customHeight="1"/>
    <row r="34059" customFormat="1" ht="17.25" customHeight="1"/>
    <row r="34060" customFormat="1" ht="17.25" customHeight="1"/>
    <row r="34061" customFormat="1" ht="17.25" customHeight="1"/>
    <row r="34062" customFormat="1" ht="17.25" customHeight="1"/>
    <row r="34063" customFormat="1" ht="17.25" customHeight="1"/>
    <row r="34064" customFormat="1" ht="17.25" customHeight="1"/>
    <row r="34065" customFormat="1" ht="17.25" customHeight="1"/>
    <row r="34066" customFormat="1" ht="17.25" customHeight="1"/>
    <row r="34067" customFormat="1" ht="17.25" customHeight="1"/>
    <row r="34068" customFormat="1" ht="17.25" customHeight="1"/>
    <row r="34069" customFormat="1" ht="17.25" customHeight="1"/>
    <row r="34070" customFormat="1" ht="17.25" customHeight="1"/>
    <row r="34071" customFormat="1" ht="17.25" customHeight="1"/>
    <row r="34072" customFormat="1" ht="17.25" customHeight="1"/>
    <row r="34073" customFormat="1" ht="17.25" customHeight="1"/>
    <row r="34074" customFormat="1" ht="17.25" customHeight="1"/>
    <row r="34075" customFormat="1" ht="17.25" customHeight="1"/>
    <row r="34076" customFormat="1" ht="17.25" customHeight="1"/>
    <row r="34077" customFormat="1" ht="17.25" customHeight="1"/>
    <row r="34078" customFormat="1" ht="17.25" customHeight="1"/>
    <row r="34079" customFormat="1" ht="17.25" customHeight="1"/>
    <row r="34080" customFormat="1" ht="17.25" customHeight="1"/>
    <row r="34081" customFormat="1" ht="17.25" customHeight="1"/>
    <row r="34082" customFormat="1" ht="17.25" customHeight="1"/>
    <row r="34083" customFormat="1" ht="17.25" customHeight="1"/>
    <row r="34084" customFormat="1" ht="17.25" customHeight="1"/>
    <row r="34085" customFormat="1" ht="17.25" customHeight="1"/>
    <row r="34086" customFormat="1" ht="17.25" customHeight="1"/>
    <row r="34087" customFormat="1" ht="17.25" customHeight="1"/>
    <row r="34088" customFormat="1" ht="17.25" customHeight="1"/>
    <row r="34089" customFormat="1" ht="17.25" customHeight="1"/>
    <row r="34090" customFormat="1" ht="17.25" customHeight="1"/>
    <row r="34091" customFormat="1" ht="17.25" customHeight="1"/>
    <row r="34092" customFormat="1" ht="17.25" customHeight="1"/>
    <row r="34093" customFormat="1" ht="17.25" customHeight="1"/>
    <row r="34094" customFormat="1" ht="17.25" customHeight="1"/>
    <row r="34095" customFormat="1" ht="17.25" customHeight="1"/>
    <row r="34096" customFormat="1" ht="17.25" customHeight="1"/>
    <row r="34097" customFormat="1" ht="17.25" customHeight="1"/>
    <row r="34098" customFormat="1" ht="17.25" customHeight="1"/>
    <row r="34099" customFormat="1" ht="17.25" customHeight="1"/>
    <row r="34100" customFormat="1" ht="17.25" customHeight="1"/>
    <row r="34101" customFormat="1" ht="17.25" customHeight="1"/>
    <row r="34102" customFormat="1" ht="17.25" customHeight="1"/>
    <row r="34103" customFormat="1" ht="17.25" customHeight="1"/>
    <row r="34104" customFormat="1" ht="17.25" customHeight="1"/>
    <row r="34105" customFormat="1" ht="17.25" customHeight="1"/>
    <row r="34106" customFormat="1" ht="17.25" customHeight="1"/>
    <row r="34107" customFormat="1" ht="17.25" customHeight="1"/>
    <row r="34108" customFormat="1" ht="17.25" customHeight="1"/>
    <row r="34109" customFormat="1" ht="17.25" customHeight="1"/>
    <row r="34110" customFormat="1" ht="17.25" customHeight="1"/>
    <row r="34111" customFormat="1" ht="17.25" customHeight="1"/>
    <row r="34112" customFormat="1" ht="17.25" customHeight="1"/>
    <row r="34113" customFormat="1" ht="17.25" customHeight="1"/>
    <row r="34114" customFormat="1" ht="17.25" customHeight="1"/>
    <row r="34115" customFormat="1" ht="17.25" customHeight="1"/>
    <row r="34116" customFormat="1" ht="17.25" customHeight="1"/>
    <row r="34117" customFormat="1" ht="17.25" customHeight="1"/>
    <row r="34118" customFormat="1" ht="17.25" customHeight="1"/>
    <row r="34119" customFormat="1" ht="17.25" customHeight="1"/>
    <row r="34120" customFormat="1" ht="17.25" customHeight="1"/>
    <row r="34121" customFormat="1" ht="17.25" customHeight="1"/>
    <row r="34122" customFormat="1" ht="17.25" customHeight="1"/>
    <row r="34123" customFormat="1" ht="17.25" customHeight="1"/>
    <row r="34124" customFormat="1" ht="17.25" customHeight="1"/>
    <row r="34125" customFormat="1" ht="17.25" customHeight="1"/>
    <row r="34126" customFormat="1" ht="17.25" customHeight="1"/>
    <row r="34127" customFormat="1" ht="17.25" customHeight="1"/>
    <row r="34128" customFormat="1" ht="17.25" customHeight="1"/>
    <row r="34129" customFormat="1" ht="17.25" customHeight="1"/>
    <row r="34130" customFormat="1" ht="17.25" customHeight="1"/>
    <row r="34131" customFormat="1" ht="17.25" customHeight="1"/>
    <row r="34132" customFormat="1" ht="17.25" customHeight="1"/>
    <row r="34133" customFormat="1" ht="17.25" customHeight="1"/>
    <row r="34134" customFormat="1" ht="17.25" customHeight="1"/>
    <row r="34135" customFormat="1" ht="17.25" customHeight="1"/>
    <row r="34136" customFormat="1" ht="17.25" customHeight="1"/>
    <row r="34137" customFormat="1" ht="17.25" customHeight="1"/>
    <row r="34138" customFormat="1" ht="17.25" customHeight="1"/>
    <row r="34139" customFormat="1" ht="17.25" customHeight="1"/>
    <row r="34140" customFormat="1" ht="17.25" customHeight="1"/>
    <row r="34141" customFormat="1" ht="17.25" customHeight="1"/>
    <row r="34142" customFormat="1" ht="17.25" customHeight="1"/>
    <row r="34143" customFormat="1" ht="17.25" customHeight="1"/>
    <row r="34144" customFormat="1" ht="17.25" customHeight="1"/>
    <row r="34145" customFormat="1" ht="17.25" customHeight="1"/>
    <row r="34146" customFormat="1" ht="17.25" customHeight="1"/>
    <row r="34147" customFormat="1" ht="17.25" customHeight="1"/>
    <row r="34148" customFormat="1" ht="17.25" customHeight="1"/>
    <row r="34149" customFormat="1" ht="17.25" customHeight="1"/>
    <row r="34150" customFormat="1" ht="17.25" customHeight="1"/>
    <row r="34151" customFormat="1" ht="17.25" customHeight="1"/>
    <row r="34152" customFormat="1" ht="17.25" customHeight="1"/>
    <row r="34153" customFormat="1" ht="17.25" customHeight="1"/>
    <row r="34154" customFormat="1" ht="17.25" customHeight="1"/>
    <row r="34155" customFormat="1" ht="17.25" customHeight="1"/>
    <row r="34156" customFormat="1" ht="17.25" customHeight="1"/>
    <row r="34157" customFormat="1" ht="17.25" customHeight="1"/>
    <row r="34158" customFormat="1" ht="17.25" customHeight="1"/>
    <row r="34159" customFormat="1" ht="17.25" customHeight="1"/>
    <row r="34160" customFormat="1" ht="17.25" customHeight="1"/>
    <row r="34161" customFormat="1" ht="17.25" customHeight="1"/>
    <row r="34162" customFormat="1" ht="17.25" customHeight="1"/>
    <row r="34163" customFormat="1" ht="17.25" customHeight="1"/>
    <row r="34164" customFormat="1" ht="17.25" customHeight="1"/>
    <row r="34165" customFormat="1" ht="17.25" customHeight="1"/>
    <row r="34166" customFormat="1" ht="17.25" customHeight="1"/>
    <row r="34167" customFormat="1" ht="17.25" customHeight="1"/>
    <row r="34168" customFormat="1" ht="17.25" customHeight="1"/>
    <row r="34169" customFormat="1" ht="17.25" customHeight="1"/>
    <row r="34170" customFormat="1" ht="17.25" customHeight="1"/>
    <row r="34171" customFormat="1" ht="17.25" customHeight="1"/>
    <row r="34172" customFormat="1" ht="17.25" customHeight="1"/>
    <row r="34173" customFormat="1" ht="17.25" customHeight="1"/>
    <row r="34174" customFormat="1" ht="17.25" customHeight="1"/>
    <row r="34175" customFormat="1" ht="17.25" customHeight="1"/>
    <row r="34176" customFormat="1" ht="17.25" customHeight="1"/>
    <row r="34177" customFormat="1" ht="17.25" customHeight="1"/>
    <row r="34178" customFormat="1" ht="17.25" customHeight="1"/>
    <row r="34179" customFormat="1" ht="17.25" customHeight="1"/>
    <row r="34180" customFormat="1" ht="17.25" customHeight="1"/>
    <row r="34181" customFormat="1" ht="17.25" customHeight="1"/>
    <row r="34182" customFormat="1" ht="17.25" customHeight="1"/>
    <row r="34183" customFormat="1" ht="17.25" customHeight="1"/>
    <row r="34184" customFormat="1" ht="17.25" customHeight="1"/>
    <row r="34185" customFormat="1" ht="17.25" customHeight="1"/>
    <row r="34186" customFormat="1" ht="17.25" customHeight="1"/>
    <row r="34187" customFormat="1" ht="17.25" customHeight="1"/>
    <row r="34188" customFormat="1" ht="17.25" customHeight="1"/>
    <row r="34189" customFormat="1" ht="17.25" customHeight="1"/>
    <row r="34190" customFormat="1" ht="17.25" customHeight="1"/>
    <row r="34191" customFormat="1" ht="17.25" customHeight="1"/>
    <row r="34192" customFormat="1" ht="17.25" customHeight="1"/>
    <row r="34193" customFormat="1" ht="17.25" customHeight="1"/>
    <row r="34194" customFormat="1" ht="17.25" customHeight="1"/>
    <row r="34195" customFormat="1" ht="17.25" customHeight="1"/>
    <row r="34196" customFormat="1" ht="17.25" customHeight="1"/>
    <row r="34197" customFormat="1" ht="17.25" customHeight="1"/>
    <row r="34198" customFormat="1" ht="17.25" customHeight="1"/>
    <row r="34199" customFormat="1" ht="17.25" customHeight="1"/>
    <row r="34200" customFormat="1" ht="17.25" customHeight="1"/>
    <row r="34201" customFormat="1" ht="17.25" customHeight="1"/>
    <row r="34202" customFormat="1" ht="17.25" customHeight="1"/>
    <row r="34203" customFormat="1" ht="17.25" customHeight="1"/>
    <row r="34204" customFormat="1" ht="17.25" customHeight="1"/>
    <row r="34205" customFormat="1" ht="17.25" customHeight="1"/>
    <row r="34206" customFormat="1" ht="17.25" customHeight="1"/>
    <row r="34207" customFormat="1" ht="17.25" customHeight="1"/>
    <row r="34208" customFormat="1" ht="17.25" customHeight="1"/>
    <row r="34209" customFormat="1" ht="17.25" customHeight="1"/>
    <row r="34210" customFormat="1" ht="17.25" customHeight="1"/>
    <row r="34211" customFormat="1" ht="17.25" customHeight="1"/>
    <row r="34212" customFormat="1" ht="17.25" customHeight="1"/>
    <row r="34213" customFormat="1" ht="17.25" customHeight="1"/>
    <row r="34214" customFormat="1" ht="17.25" customHeight="1"/>
    <row r="34215" customFormat="1" ht="17.25" customHeight="1"/>
    <row r="34216" customFormat="1" ht="17.25" customHeight="1"/>
    <row r="34217" customFormat="1" ht="17.25" customHeight="1"/>
    <row r="34218" customFormat="1" ht="17.25" customHeight="1"/>
    <row r="34219" customFormat="1" ht="17.25" customHeight="1"/>
    <row r="34220" customFormat="1" ht="17.25" customHeight="1"/>
    <row r="34221" customFormat="1" ht="17.25" customHeight="1"/>
    <row r="34222" customFormat="1" ht="17.25" customHeight="1"/>
    <row r="34223" customFormat="1" ht="17.25" customHeight="1"/>
    <row r="34224" customFormat="1" ht="17.25" customHeight="1"/>
    <row r="34225" customFormat="1" ht="17.25" customHeight="1"/>
    <row r="34226" customFormat="1" ht="17.25" customHeight="1"/>
    <row r="34227" customFormat="1" ht="17.25" customHeight="1"/>
    <row r="34228" customFormat="1" ht="17.25" customHeight="1"/>
    <row r="34229" customFormat="1" ht="17.25" customHeight="1"/>
    <row r="34230" customFormat="1" ht="17.25" customHeight="1"/>
    <row r="34231" customFormat="1" ht="17.25" customHeight="1"/>
    <row r="34232" customFormat="1" ht="17.25" customHeight="1"/>
    <row r="34233" customFormat="1" ht="17.25" customHeight="1"/>
    <row r="34234" customFormat="1" ht="17.25" customHeight="1"/>
    <row r="34235" customFormat="1" ht="17.25" customHeight="1"/>
    <row r="34236" customFormat="1" ht="17.25" customHeight="1"/>
    <row r="34237" customFormat="1" ht="17.25" customHeight="1"/>
    <row r="34238" customFormat="1" ht="17.25" customHeight="1"/>
    <row r="34239" customFormat="1" ht="17.25" customHeight="1"/>
    <row r="34240" customFormat="1" ht="17.25" customHeight="1"/>
    <row r="34241" customFormat="1" ht="17.25" customHeight="1"/>
    <row r="34242" customFormat="1" ht="17.25" customHeight="1"/>
    <row r="34243" customFormat="1" ht="17.25" customHeight="1"/>
    <row r="34244" customFormat="1" ht="17.25" customHeight="1"/>
    <row r="34245" customFormat="1" ht="17.25" customHeight="1"/>
    <row r="34246" customFormat="1" ht="17.25" customHeight="1"/>
    <row r="34247" customFormat="1" ht="17.25" customHeight="1"/>
    <row r="34248" customFormat="1" ht="17.25" customHeight="1"/>
    <row r="34249" customFormat="1" ht="17.25" customHeight="1"/>
    <row r="34250" customFormat="1" ht="17.25" customHeight="1"/>
    <row r="34251" customFormat="1" ht="17.25" customHeight="1"/>
    <row r="34252" customFormat="1" ht="17.25" customHeight="1"/>
    <row r="34253" customFormat="1" ht="17.25" customHeight="1"/>
    <row r="34254" customFormat="1" ht="17.25" customHeight="1"/>
    <row r="34255" customFormat="1" ht="17.25" customHeight="1"/>
    <row r="34256" customFormat="1" ht="17.25" customHeight="1"/>
    <row r="34257" customFormat="1" ht="17.25" customHeight="1"/>
    <row r="34258" customFormat="1" ht="17.25" customHeight="1"/>
    <row r="34259" customFormat="1" ht="17.25" customHeight="1"/>
    <row r="34260" customFormat="1" ht="17.25" customHeight="1"/>
    <row r="34261" customFormat="1" ht="17.25" customHeight="1"/>
    <row r="34262" customFormat="1" ht="17.25" customHeight="1"/>
    <row r="34263" customFormat="1" ht="17.25" customHeight="1"/>
    <row r="34264" customFormat="1" ht="17.25" customHeight="1"/>
    <row r="34265" customFormat="1" ht="17.25" customHeight="1"/>
    <row r="34266" customFormat="1" ht="17.25" customHeight="1"/>
    <row r="34267" customFormat="1" ht="17.25" customHeight="1"/>
    <row r="34268" customFormat="1" ht="17.25" customHeight="1"/>
    <row r="34269" customFormat="1" ht="17.25" customHeight="1"/>
    <row r="34270" customFormat="1" ht="17.25" customHeight="1"/>
    <row r="34271" customFormat="1" ht="17.25" customHeight="1"/>
    <row r="34272" customFormat="1" ht="17.25" customHeight="1"/>
    <row r="34273" customFormat="1" ht="17.25" customHeight="1"/>
    <row r="34274" customFormat="1" ht="17.25" customHeight="1"/>
    <row r="34275" customFormat="1" ht="17.25" customHeight="1"/>
    <row r="34276" customFormat="1" ht="17.25" customHeight="1"/>
    <row r="34277" customFormat="1" ht="17.25" customHeight="1"/>
    <row r="34278" customFormat="1" ht="17.25" customHeight="1"/>
    <row r="34279" customFormat="1" ht="17.25" customHeight="1"/>
    <row r="34280" customFormat="1" ht="17.25" customHeight="1"/>
    <row r="34281" customFormat="1" ht="17.25" customHeight="1"/>
    <row r="34282" customFormat="1" ht="17.25" customHeight="1"/>
    <row r="34283" customFormat="1" ht="17.25" customHeight="1"/>
    <row r="34284" customFormat="1" ht="17.25" customHeight="1"/>
    <row r="34285" customFormat="1" ht="17.25" customHeight="1"/>
    <row r="34286" customFormat="1" ht="17.25" customHeight="1"/>
    <row r="34287" customFormat="1" ht="17.25" customHeight="1"/>
    <row r="34288" customFormat="1" ht="17.25" customHeight="1"/>
    <row r="34289" customFormat="1" ht="17.25" customHeight="1"/>
    <row r="34290" customFormat="1" ht="17.25" customHeight="1"/>
    <row r="34291" customFormat="1" ht="17.25" customHeight="1"/>
    <row r="34292" customFormat="1" ht="17.25" customHeight="1"/>
    <row r="34293" customFormat="1" ht="17.25" customHeight="1"/>
    <row r="34294" customFormat="1" ht="17.25" customHeight="1"/>
    <row r="34295" customFormat="1" ht="17.25" customHeight="1"/>
    <row r="34296" customFormat="1" ht="17.25" customHeight="1"/>
    <row r="34297" customFormat="1" ht="17.25" customHeight="1"/>
    <row r="34298" customFormat="1" ht="17.25" customHeight="1"/>
    <row r="34299" customFormat="1" ht="17.25" customHeight="1"/>
    <row r="34300" customFormat="1" ht="17.25" customHeight="1"/>
    <row r="34301" customFormat="1" ht="17.25" customHeight="1"/>
    <row r="34302" customFormat="1" ht="17.25" customHeight="1"/>
    <row r="34303" customFormat="1" ht="17.25" customHeight="1"/>
    <row r="34304" customFormat="1" ht="17.25" customHeight="1"/>
    <row r="34305" customFormat="1" ht="17.25" customHeight="1"/>
    <row r="34306" customFormat="1" ht="17.25" customHeight="1"/>
    <row r="34307" customFormat="1" ht="17.25" customHeight="1"/>
    <row r="34308" customFormat="1" ht="17.25" customHeight="1"/>
    <row r="34309" customFormat="1" ht="17.25" customHeight="1"/>
    <row r="34310" customFormat="1" ht="17.25" customHeight="1"/>
    <row r="34311" customFormat="1" ht="17.25" customHeight="1"/>
    <row r="34312" customFormat="1" ht="17.25" customHeight="1"/>
    <row r="34313" customFormat="1" ht="17.25" customHeight="1"/>
    <row r="34314" customFormat="1" ht="17.25" customHeight="1"/>
    <row r="34315" customFormat="1" ht="17.25" customHeight="1"/>
    <row r="34316" customFormat="1" ht="17.25" customHeight="1"/>
    <row r="34317" customFormat="1" ht="17.25" customHeight="1"/>
    <row r="34318" customFormat="1" ht="17.25" customHeight="1"/>
    <row r="34319" customFormat="1" ht="17.25" customHeight="1"/>
    <row r="34320" customFormat="1" ht="17.25" customHeight="1"/>
    <row r="34321" customFormat="1" ht="17.25" customHeight="1"/>
    <row r="34322" customFormat="1" ht="17.25" customHeight="1"/>
    <row r="34323" customFormat="1" ht="17.25" customHeight="1"/>
    <row r="34324" customFormat="1" ht="17.25" customHeight="1"/>
    <row r="34325" customFormat="1" ht="17.25" customHeight="1"/>
    <row r="34326" customFormat="1" ht="17.25" customHeight="1"/>
    <row r="34327" customFormat="1" ht="17.25" customHeight="1"/>
    <row r="34328" customFormat="1" ht="17.25" customHeight="1"/>
    <row r="34329" customFormat="1" ht="17.25" customHeight="1"/>
    <row r="34330" customFormat="1" ht="17.25" customHeight="1"/>
    <row r="34331" customFormat="1" ht="17.25" customHeight="1"/>
    <row r="34332" customFormat="1" ht="17.25" customHeight="1"/>
    <row r="34333" customFormat="1" ht="17.25" customHeight="1"/>
    <row r="34334" customFormat="1" ht="17.25" customHeight="1"/>
    <row r="34335" customFormat="1" ht="17.25" customHeight="1"/>
    <row r="34336" customFormat="1" ht="17.25" customHeight="1"/>
    <row r="34337" customFormat="1" ht="17.25" customHeight="1"/>
    <row r="34338" customFormat="1" ht="17.25" customHeight="1"/>
    <row r="34339" customFormat="1" ht="17.25" customHeight="1"/>
    <row r="34340" customFormat="1" ht="17.25" customHeight="1"/>
    <row r="34341" customFormat="1" ht="17.25" customHeight="1"/>
    <row r="34342" customFormat="1" ht="17.25" customHeight="1"/>
    <row r="34343" customFormat="1" ht="17.25" customHeight="1"/>
    <row r="34344" customFormat="1" ht="17.25" customHeight="1"/>
    <row r="34345" customFormat="1" ht="17.25" customHeight="1"/>
    <row r="34346" customFormat="1" ht="17.25" customHeight="1"/>
    <row r="34347" customFormat="1" ht="17.25" customHeight="1"/>
    <row r="34348" customFormat="1" ht="17.25" customHeight="1"/>
    <row r="34349" customFormat="1" ht="17.25" customHeight="1"/>
    <row r="34350" customFormat="1" ht="17.25" customHeight="1"/>
    <row r="34351" customFormat="1" ht="17.25" customHeight="1"/>
    <row r="34352" customFormat="1" ht="17.25" customHeight="1"/>
    <row r="34353" customFormat="1" ht="17.25" customHeight="1"/>
    <row r="34354" customFormat="1" ht="17.25" customHeight="1"/>
    <row r="34355" customFormat="1" ht="17.25" customHeight="1"/>
    <row r="34356" customFormat="1" ht="17.25" customHeight="1"/>
    <row r="34357" customFormat="1" ht="17.25" customHeight="1"/>
    <row r="34358" customFormat="1" ht="17.25" customHeight="1"/>
    <row r="34359" customFormat="1" ht="17.25" customHeight="1"/>
    <row r="34360" customFormat="1" ht="17.25" customHeight="1"/>
    <row r="34361" customFormat="1" ht="17.25" customHeight="1"/>
    <row r="34362" customFormat="1" ht="17.25" customHeight="1"/>
    <row r="34363" customFormat="1" ht="17.25" customHeight="1"/>
    <row r="34364" customFormat="1" ht="17.25" customHeight="1"/>
    <row r="34365" customFormat="1" ht="17.25" customHeight="1"/>
    <row r="34366" customFormat="1" ht="17.25" customHeight="1"/>
    <row r="34367" customFormat="1" ht="17.25" customHeight="1"/>
    <row r="34368" customFormat="1" ht="17.25" customHeight="1"/>
    <row r="34369" customFormat="1" ht="17.25" customHeight="1"/>
    <row r="34370" customFormat="1" ht="17.25" customHeight="1"/>
    <row r="34371" customFormat="1" ht="17.25" customHeight="1"/>
    <row r="34372" customFormat="1" ht="17.25" customHeight="1"/>
    <row r="34373" customFormat="1" ht="17.25" customHeight="1"/>
    <row r="34374" customFormat="1" ht="17.25" customHeight="1"/>
    <row r="34375" customFormat="1" ht="17.25" customHeight="1"/>
    <row r="34376" customFormat="1" ht="17.25" customHeight="1"/>
    <row r="34377" customFormat="1" ht="17.25" customHeight="1"/>
    <row r="34378" customFormat="1" ht="17.25" customHeight="1"/>
    <row r="34379" customFormat="1" ht="17.25" customHeight="1"/>
    <row r="34380" customFormat="1" ht="17.25" customHeight="1"/>
    <row r="34381" customFormat="1" ht="17.25" customHeight="1"/>
    <row r="34382" customFormat="1" ht="17.25" customHeight="1"/>
    <row r="34383" customFormat="1" ht="17.25" customHeight="1"/>
    <row r="34384" customFormat="1" ht="17.25" customHeight="1"/>
    <row r="34385" customFormat="1" ht="17.25" customHeight="1"/>
    <row r="34386" customFormat="1" ht="17.25" customHeight="1"/>
    <row r="34387" customFormat="1" ht="17.25" customHeight="1"/>
    <row r="34388" customFormat="1" ht="17.25" customHeight="1"/>
    <row r="34389" customFormat="1" ht="17.25" customHeight="1"/>
    <row r="34390" customFormat="1" ht="17.25" customHeight="1"/>
    <row r="34391" customFormat="1" ht="17.25" customHeight="1"/>
    <row r="34392" customFormat="1" ht="17.25" customHeight="1"/>
    <row r="34393" customFormat="1" ht="17.25" customHeight="1"/>
    <row r="34394" customFormat="1" ht="17.25" customHeight="1"/>
    <row r="34395" customFormat="1" ht="17.25" customHeight="1"/>
    <row r="34396" customFormat="1" ht="17.25" customHeight="1"/>
    <row r="34397" customFormat="1" ht="17.25" customHeight="1"/>
    <row r="34398" customFormat="1" ht="17.25" customHeight="1"/>
    <row r="34399" customFormat="1" ht="17.25" customHeight="1"/>
    <row r="34400" customFormat="1" ht="17.25" customHeight="1"/>
    <row r="34401" customFormat="1" ht="17.25" customHeight="1"/>
    <row r="34402" customFormat="1" ht="17.25" customHeight="1"/>
    <row r="34403" customFormat="1" ht="17.25" customHeight="1"/>
    <row r="34404" customFormat="1" ht="17.25" customHeight="1"/>
    <row r="34405" customFormat="1" ht="17.25" customHeight="1"/>
    <row r="34406" customFormat="1" ht="17.25" customHeight="1"/>
    <row r="34407" customFormat="1" ht="17.25" customHeight="1"/>
    <row r="34408" customFormat="1" ht="17.25" customHeight="1"/>
    <row r="34409" customFormat="1" ht="17.25" customHeight="1"/>
    <row r="34410" customFormat="1" ht="17.25" customHeight="1"/>
    <row r="34411" customFormat="1" ht="17.25" customHeight="1"/>
    <row r="34412" customFormat="1" ht="17.25" customHeight="1"/>
    <row r="34413" customFormat="1" ht="17.25" customHeight="1"/>
    <row r="34414" customFormat="1" ht="17.25" customHeight="1"/>
    <row r="34415" customFormat="1" ht="17.25" customHeight="1"/>
    <row r="34416" customFormat="1" ht="17.25" customHeight="1"/>
    <row r="34417" customFormat="1" ht="17.25" customHeight="1"/>
    <row r="34418" customFormat="1" ht="17.25" customHeight="1"/>
    <row r="34419" customFormat="1" ht="17.25" customHeight="1"/>
    <row r="34420" customFormat="1" ht="17.25" customHeight="1"/>
    <row r="34421" customFormat="1" ht="17.25" customHeight="1"/>
    <row r="34422" customFormat="1" ht="17.25" customHeight="1"/>
    <row r="34423" customFormat="1" ht="17.25" customHeight="1"/>
    <row r="34424" customFormat="1" ht="17.25" customHeight="1"/>
    <row r="34425" customFormat="1" ht="17.25" customHeight="1"/>
    <row r="34426" customFormat="1" ht="17.25" customHeight="1"/>
    <row r="34427" customFormat="1" ht="17.25" customHeight="1"/>
    <row r="34428" customFormat="1" ht="17.25" customHeight="1"/>
    <row r="34429" customFormat="1" ht="17.25" customHeight="1"/>
    <row r="34430" customFormat="1" ht="17.25" customHeight="1"/>
    <row r="34431" customFormat="1" ht="17.25" customHeight="1"/>
    <row r="34432" customFormat="1" ht="17.25" customHeight="1"/>
    <row r="34433" customFormat="1" ht="17.25" customHeight="1"/>
    <row r="34434" customFormat="1" ht="17.25" customHeight="1"/>
    <row r="34435" customFormat="1" ht="17.25" customHeight="1"/>
    <row r="34436" customFormat="1" ht="17.25" customHeight="1"/>
    <row r="34437" customFormat="1" ht="17.25" customHeight="1"/>
    <row r="34438" customFormat="1" ht="17.25" customHeight="1"/>
    <row r="34439" customFormat="1" ht="17.25" customHeight="1"/>
    <row r="34440" customFormat="1" ht="17.25" customHeight="1"/>
    <row r="34441" customFormat="1" ht="17.25" customHeight="1"/>
    <row r="34442" customFormat="1" ht="17.25" customHeight="1"/>
    <row r="34443" customFormat="1" ht="17.25" customHeight="1"/>
    <row r="34444" customFormat="1" ht="17.25" customHeight="1"/>
    <row r="34445" customFormat="1" ht="17.25" customHeight="1"/>
    <row r="34446" customFormat="1" ht="17.25" customHeight="1"/>
    <row r="34447" customFormat="1" ht="17.25" customHeight="1"/>
    <row r="34448" customFormat="1" ht="17.25" customHeight="1"/>
    <row r="34449" customFormat="1" ht="17.25" customHeight="1"/>
    <row r="34450" customFormat="1" ht="17.25" customHeight="1"/>
    <row r="34451" customFormat="1" ht="17.25" customHeight="1"/>
    <row r="34452" customFormat="1" ht="17.25" customHeight="1"/>
    <row r="34453" customFormat="1" ht="17.25" customHeight="1"/>
    <row r="34454" customFormat="1" ht="17.25" customHeight="1"/>
    <row r="34455" customFormat="1" ht="17.25" customHeight="1"/>
    <row r="34456" customFormat="1" ht="17.25" customHeight="1"/>
    <row r="34457" customFormat="1" ht="17.25" customHeight="1"/>
    <row r="34458" customFormat="1" ht="17.25" customHeight="1"/>
    <row r="34459" customFormat="1" ht="17.25" customHeight="1"/>
    <row r="34460" customFormat="1" ht="17.25" customHeight="1"/>
    <row r="34461" customFormat="1" ht="17.25" customHeight="1"/>
    <row r="34462" customFormat="1" ht="17.25" customHeight="1"/>
    <row r="34463" customFormat="1" ht="17.25" customHeight="1"/>
    <row r="34464" customFormat="1" ht="17.25" customHeight="1"/>
    <row r="34465" customFormat="1" ht="17.25" customHeight="1"/>
    <row r="34466" customFormat="1" ht="17.25" customHeight="1"/>
    <row r="34467" customFormat="1" ht="17.25" customHeight="1"/>
    <row r="34468" customFormat="1" ht="17.25" customHeight="1"/>
    <row r="34469" customFormat="1" ht="17.25" customHeight="1"/>
    <row r="34470" customFormat="1" ht="17.25" customHeight="1"/>
    <row r="34471" customFormat="1" ht="17.25" customHeight="1"/>
    <row r="34472" customFormat="1" ht="17.25" customHeight="1"/>
    <row r="34473" customFormat="1" ht="17.25" customHeight="1"/>
    <row r="34474" customFormat="1" ht="17.25" customHeight="1"/>
    <row r="34475" customFormat="1" ht="17.25" customHeight="1"/>
    <row r="34476" customFormat="1" ht="17.25" customHeight="1"/>
    <row r="34477" customFormat="1" ht="17.25" customHeight="1"/>
    <row r="34478" customFormat="1" ht="17.25" customHeight="1"/>
    <row r="34479" customFormat="1" ht="17.25" customHeight="1"/>
    <row r="34480" customFormat="1" ht="17.25" customHeight="1"/>
    <row r="34481" customFormat="1" ht="17.25" customHeight="1"/>
    <row r="34482" customFormat="1" ht="17.25" customHeight="1"/>
    <row r="34483" customFormat="1" ht="17.25" customHeight="1"/>
    <row r="34484" customFormat="1" ht="17.25" customHeight="1"/>
    <row r="34485" customFormat="1" ht="17.25" customHeight="1"/>
    <row r="34486" customFormat="1" ht="17.25" customHeight="1"/>
    <row r="34487" customFormat="1" ht="17.25" customHeight="1"/>
    <row r="34488" customFormat="1" ht="17.25" customHeight="1"/>
    <row r="34489" customFormat="1" ht="17.25" customHeight="1"/>
    <row r="34490" customFormat="1" ht="17.25" customHeight="1"/>
    <row r="34491" customFormat="1" ht="17.25" customHeight="1"/>
    <row r="34492" customFormat="1" ht="17.25" customHeight="1"/>
    <row r="34493" customFormat="1" ht="17.25" customHeight="1"/>
    <row r="34494" customFormat="1" ht="17.25" customHeight="1"/>
    <row r="34495" customFormat="1" ht="17.25" customHeight="1"/>
    <row r="34496" customFormat="1" ht="17.25" customHeight="1"/>
    <row r="34497" customFormat="1" ht="17.25" customHeight="1"/>
    <row r="34498" customFormat="1" ht="17.25" customHeight="1"/>
    <row r="34499" customFormat="1" ht="17.25" customHeight="1"/>
    <row r="34500" customFormat="1" ht="17.25" customHeight="1"/>
    <row r="34501" customFormat="1" ht="17.25" customHeight="1"/>
    <row r="34502" customFormat="1" ht="17.25" customHeight="1"/>
    <row r="34503" customFormat="1" ht="17.25" customHeight="1"/>
    <row r="34504" customFormat="1" ht="17.25" customHeight="1"/>
    <row r="34505" customFormat="1" ht="17.25" customHeight="1"/>
    <row r="34506" customFormat="1" ht="17.25" customHeight="1"/>
    <row r="34507" customFormat="1" ht="17.25" customHeight="1"/>
    <row r="34508" customFormat="1" ht="17.25" customHeight="1"/>
    <row r="34509" customFormat="1" ht="17.25" customHeight="1"/>
    <row r="34510" customFormat="1" ht="17.25" customHeight="1"/>
    <row r="34511" customFormat="1" ht="17.25" customHeight="1"/>
    <row r="34512" customFormat="1" ht="17.25" customHeight="1"/>
    <row r="34513" customFormat="1" ht="17.25" customHeight="1"/>
    <row r="34514" customFormat="1" ht="17.25" customHeight="1"/>
    <row r="34515" customFormat="1" ht="17.25" customHeight="1"/>
    <row r="34516" customFormat="1" ht="17.25" customHeight="1"/>
    <row r="34517" customFormat="1" ht="17.25" customHeight="1"/>
    <row r="34518" customFormat="1" ht="17.25" customHeight="1"/>
    <row r="34519" customFormat="1" ht="17.25" customHeight="1"/>
    <row r="34520" customFormat="1" ht="17.25" customHeight="1"/>
    <row r="34521" customFormat="1" ht="17.25" customHeight="1"/>
    <row r="34522" customFormat="1" ht="17.25" customHeight="1"/>
    <row r="34523" customFormat="1" ht="17.25" customHeight="1"/>
    <row r="34524" customFormat="1" ht="17.25" customHeight="1"/>
    <row r="34525" customFormat="1" ht="17.25" customHeight="1"/>
    <row r="34526" customFormat="1" ht="17.25" customHeight="1"/>
    <row r="34527" customFormat="1" ht="17.25" customHeight="1"/>
    <row r="34528" customFormat="1" ht="17.25" customHeight="1"/>
    <row r="34529" customFormat="1" ht="17.25" customHeight="1"/>
    <row r="34530" customFormat="1" ht="17.25" customHeight="1"/>
    <row r="34531" customFormat="1" ht="17.25" customHeight="1"/>
    <row r="34532" customFormat="1" ht="17.25" customHeight="1"/>
    <row r="34533" customFormat="1" ht="17.25" customHeight="1"/>
    <row r="34534" customFormat="1" ht="17.25" customHeight="1"/>
    <row r="34535" customFormat="1" ht="17.25" customHeight="1"/>
    <row r="34536" customFormat="1" ht="17.25" customHeight="1"/>
    <row r="34537" customFormat="1" ht="17.25" customHeight="1"/>
    <row r="34538" customFormat="1" ht="17.25" customHeight="1"/>
    <row r="34539" customFormat="1" ht="17.25" customHeight="1"/>
    <row r="34540" customFormat="1" ht="17.25" customHeight="1"/>
    <row r="34541" customFormat="1" ht="17.25" customHeight="1"/>
    <row r="34542" customFormat="1" ht="17.25" customHeight="1"/>
    <row r="34543" customFormat="1" ht="17.25" customHeight="1"/>
    <row r="34544" customFormat="1" ht="17.25" customHeight="1"/>
    <row r="34545" customFormat="1" ht="17.25" customHeight="1"/>
    <row r="34546" customFormat="1" ht="17.25" customHeight="1"/>
    <row r="34547" customFormat="1" ht="17.25" customHeight="1"/>
    <row r="34548" customFormat="1" ht="17.25" customHeight="1"/>
    <row r="34549" customFormat="1" ht="17.25" customHeight="1"/>
    <row r="34550" customFormat="1" ht="17.25" customHeight="1"/>
    <row r="34551" customFormat="1" ht="17.25" customHeight="1"/>
    <row r="34552" customFormat="1" ht="17.25" customHeight="1"/>
    <row r="34553" customFormat="1" ht="17.25" customHeight="1"/>
    <row r="34554" customFormat="1" ht="17.25" customHeight="1"/>
    <row r="34555" customFormat="1" ht="17.25" customHeight="1"/>
    <row r="34556" customFormat="1" ht="17.25" customHeight="1"/>
    <row r="34557" customFormat="1" ht="17.25" customHeight="1"/>
    <row r="34558" customFormat="1" ht="17.25" customHeight="1"/>
    <row r="34559" customFormat="1" ht="17.25" customHeight="1"/>
    <row r="34560" customFormat="1" ht="17.25" customHeight="1"/>
    <row r="34561" customFormat="1" ht="17.25" customHeight="1"/>
    <row r="34562" customFormat="1" ht="17.25" customHeight="1"/>
    <row r="34563" customFormat="1" ht="17.25" customHeight="1"/>
    <row r="34564" customFormat="1" ht="17.25" customHeight="1"/>
    <row r="34565" customFormat="1" ht="17.25" customHeight="1"/>
    <row r="34566" customFormat="1" ht="17.25" customHeight="1"/>
    <row r="34567" customFormat="1" ht="17.25" customHeight="1"/>
    <row r="34568" customFormat="1" ht="17.25" customHeight="1"/>
    <row r="34569" customFormat="1" ht="17.25" customHeight="1"/>
    <row r="34570" customFormat="1" ht="17.25" customHeight="1"/>
    <row r="34571" customFormat="1" ht="17.25" customHeight="1"/>
    <row r="34572" customFormat="1" ht="17.25" customHeight="1"/>
    <row r="34573" customFormat="1" ht="17.25" customHeight="1"/>
    <row r="34574" customFormat="1" ht="17.25" customHeight="1"/>
    <row r="34575" customFormat="1" ht="17.25" customHeight="1"/>
    <row r="34576" customFormat="1" ht="17.25" customHeight="1"/>
    <row r="34577" customFormat="1" ht="17.25" customHeight="1"/>
    <row r="34578" customFormat="1" ht="17.25" customHeight="1"/>
    <row r="34579" customFormat="1" ht="17.25" customHeight="1"/>
    <row r="34580" customFormat="1" ht="17.25" customHeight="1"/>
    <row r="34581" customFormat="1" ht="17.25" customHeight="1"/>
    <row r="34582" customFormat="1" ht="17.25" customHeight="1"/>
    <row r="34583" customFormat="1" ht="17.25" customHeight="1"/>
    <row r="34584" customFormat="1" ht="17.25" customHeight="1"/>
    <row r="34585" customFormat="1" ht="17.25" customHeight="1"/>
    <row r="34586" customFormat="1" ht="17.25" customHeight="1"/>
    <row r="34587" customFormat="1" ht="17.25" customHeight="1"/>
    <row r="34588" customFormat="1" ht="17.25" customHeight="1"/>
    <row r="34589" customFormat="1" ht="17.25" customHeight="1"/>
    <row r="34590" customFormat="1" ht="17.25" customHeight="1"/>
    <row r="34591" customFormat="1" ht="17.25" customHeight="1"/>
    <row r="34592" customFormat="1" ht="17.25" customHeight="1"/>
    <row r="34593" customFormat="1" ht="17.25" customHeight="1"/>
    <row r="34594" customFormat="1" ht="17.25" customHeight="1"/>
    <row r="34595" customFormat="1" ht="17.25" customHeight="1"/>
    <row r="34596" customFormat="1" ht="17.25" customHeight="1"/>
    <row r="34597" customFormat="1" ht="17.25" customHeight="1"/>
    <row r="34598" customFormat="1" ht="17.25" customHeight="1"/>
    <row r="34599" customFormat="1" ht="17.25" customHeight="1"/>
    <row r="34600" customFormat="1" ht="17.25" customHeight="1"/>
    <row r="34601" customFormat="1" ht="17.25" customHeight="1"/>
    <row r="34602" customFormat="1" ht="17.25" customHeight="1"/>
    <row r="34603" customFormat="1" ht="17.25" customHeight="1"/>
    <row r="34604" customFormat="1" ht="17.25" customHeight="1"/>
    <row r="34605" customFormat="1" ht="17.25" customHeight="1"/>
    <row r="34606" customFormat="1" ht="17.25" customHeight="1"/>
    <row r="34607" customFormat="1" ht="17.25" customHeight="1"/>
    <row r="34608" customFormat="1" ht="17.25" customHeight="1"/>
    <row r="34609" customFormat="1" ht="17.25" customHeight="1"/>
    <row r="34610" customFormat="1" ht="17.25" customHeight="1"/>
    <row r="34611" customFormat="1" ht="17.25" customHeight="1"/>
    <row r="34612" customFormat="1" ht="17.25" customHeight="1"/>
    <row r="34613" customFormat="1" ht="17.25" customHeight="1"/>
    <row r="34614" customFormat="1" ht="17.25" customHeight="1"/>
    <row r="34615" customFormat="1" ht="17.25" customHeight="1"/>
    <row r="34616" customFormat="1" ht="17.25" customHeight="1"/>
    <row r="34617" customFormat="1" ht="17.25" customHeight="1"/>
    <row r="34618" customFormat="1" ht="17.25" customHeight="1"/>
    <row r="34619" customFormat="1" ht="17.25" customHeight="1"/>
    <row r="34620" customFormat="1" ht="17.25" customHeight="1"/>
    <row r="34621" customFormat="1" ht="17.25" customHeight="1"/>
    <row r="34622" customFormat="1" ht="17.25" customHeight="1"/>
    <row r="34623" customFormat="1" ht="17.25" customHeight="1"/>
    <row r="34624" customFormat="1" ht="17.25" customHeight="1"/>
    <row r="34625" customFormat="1" ht="17.25" customHeight="1"/>
    <row r="34626" customFormat="1" ht="17.25" customHeight="1"/>
    <row r="34627" customFormat="1" ht="17.25" customHeight="1"/>
    <row r="34628" customFormat="1" ht="17.25" customHeight="1"/>
    <row r="34629" customFormat="1" ht="17.25" customHeight="1"/>
    <row r="34630" customFormat="1" ht="17.25" customHeight="1"/>
    <row r="34631" customFormat="1" ht="17.25" customHeight="1"/>
    <row r="34632" customFormat="1" ht="17.25" customHeight="1"/>
    <row r="34633" customFormat="1" ht="17.25" customHeight="1"/>
    <row r="34634" customFormat="1" ht="17.25" customHeight="1"/>
    <row r="34635" customFormat="1" ht="17.25" customHeight="1"/>
    <row r="34636" customFormat="1" ht="17.25" customHeight="1"/>
    <row r="34637" customFormat="1" ht="17.25" customHeight="1"/>
    <row r="34638" customFormat="1" ht="17.25" customHeight="1"/>
    <row r="34639" customFormat="1" ht="17.25" customHeight="1"/>
    <row r="34640" customFormat="1" ht="17.25" customHeight="1"/>
    <row r="34641" customFormat="1" ht="17.25" customHeight="1"/>
    <row r="34642" customFormat="1" ht="17.25" customHeight="1"/>
    <row r="34643" customFormat="1" ht="17.25" customHeight="1"/>
    <row r="34644" customFormat="1" ht="17.25" customHeight="1"/>
    <row r="34645" customFormat="1" ht="17.25" customHeight="1"/>
    <row r="34646" customFormat="1" ht="17.25" customHeight="1"/>
    <row r="34647" customFormat="1" ht="17.25" customHeight="1"/>
    <row r="34648" customFormat="1" ht="17.25" customHeight="1"/>
    <row r="34649" customFormat="1" ht="17.25" customHeight="1"/>
    <row r="34650" customFormat="1" ht="17.25" customHeight="1"/>
    <row r="34651" customFormat="1" ht="17.25" customHeight="1"/>
    <row r="34652" customFormat="1" ht="17.25" customHeight="1"/>
    <row r="34653" customFormat="1" ht="17.25" customHeight="1"/>
    <row r="34654" customFormat="1" ht="17.25" customHeight="1"/>
    <row r="34655" customFormat="1" ht="17.25" customHeight="1"/>
    <row r="34656" customFormat="1" ht="17.25" customHeight="1"/>
    <row r="34657" customFormat="1" ht="17.25" customHeight="1"/>
    <row r="34658" customFormat="1" ht="17.25" customHeight="1"/>
    <row r="34659" customFormat="1" ht="17.25" customHeight="1"/>
    <row r="34660" customFormat="1" ht="17.25" customHeight="1"/>
    <row r="34661" customFormat="1" ht="17.25" customHeight="1"/>
    <row r="34662" customFormat="1" ht="17.25" customHeight="1"/>
    <row r="34663" customFormat="1" ht="17.25" customHeight="1"/>
    <row r="34664" customFormat="1" ht="17.25" customHeight="1"/>
    <row r="34665" customFormat="1" ht="17.25" customHeight="1"/>
    <row r="34666" customFormat="1" ht="17.25" customHeight="1"/>
    <row r="34667" customFormat="1" ht="17.25" customHeight="1"/>
    <row r="34668" customFormat="1" ht="17.25" customHeight="1"/>
    <row r="34669" customFormat="1" ht="17.25" customHeight="1"/>
    <row r="34670" customFormat="1" ht="17.25" customHeight="1"/>
    <row r="34671" customFormat="1" ht="17.25" customHeight="1"/>
    <row r="34672" customFormat="1" ht="17.25" customHeight="1"/>
    <row r="34673" customFormat="1" ht="17.25" customHeight="1"/>
    <row r="34674" customFormat="1" ht="17.25" customHeight="1"/>
    <row r="34675" customFormat="1" ht="17.25" customHeight="1"/>
    <row r="34676" customFormat="1" ht="17.25" customHeight="1"/>
    <row r="34677" customFormat="1" ht="17.25" customHeight="1"/>
    <row r="34678" customFormat="1" ht="17.25" customHeight="1"/>
    <row r="34679" customFormat="1" ht="17.25" customHeight="1"/>
    <row r="34680" customFormat="1" ht="17.25" customHeight="1"/>
    <row r="34681" customFormat="1" ht="17.25" customHeight="1"/>
    <row r="34682" customFormat="1" ht="17.25" customHeight="1"/>
    <row r="34683" customFormat="1" ht="17.25" customHeight="1"/>
    <row r="34684" customFormat="1" ht="17.25" customHeight="1"/>
    <row r="34685" customFormat="1" ht="17.25" customHeight="1"/>
    <row r="34686" customFormat="1" ht="17.25" customHeight="1"/>
    <row r="34687" customFormat="1" ht="17.25" customHeight="1"/>
    <row r="34688" customFormat="1" ht="17.25" customHeight="1"/>
    <row r="34689" customFormat="1" ht="17.25" customHeight="1"/>
    <row r="34690" customFormat="1" ht="17.25" customHeight="1"/>
    <row r="34691" customFormat="1" ht="17.25" customHeight="1"/>
    <row r="34692" customFormat="1" ht="17.25" customHeight="1"/>
    <row r="34693" customFormat="1" ht="17.25" customHeight="1"/>
    <row r="34694" customFormat="1" ht="17.25" customHeight="1"/>
    <row r="34695" customFormat="1" ht="17.25" customHeight="1"/>
    <row r="34696" customFormat="1" ht="17.25" customHeight="1"/>
    <row r="34697" customFormat="1" ht="17.25" customHeight="1"/>
    <row r="34698" customFormat="1" ht="17.25" customHeight="1"/>
    <row r="34699" customFormat="1" ht="17.25" customHeight="1"/>
    <row r="34700" customFormat="1" ht="17.25" customHeight="1"/>
    <row r="34701" customFormat="1" ht="17.25" customHeight="1"/>
    <row r="34702" customFormat="1" ht="17.25" customHeight="1"/>
    <row r="34703" customFormat="1" ht="17.25" customHeight="1"/>
    <row r="34704" customFormat="1" ht="17.25" customHeight="1"/>
    <row r="34705" customFormat="1" ht="17.25" customHeight="1"/>
    <row r="34706" customFormat="1" ht="17.25" customHeight="1"/>
    <row r="34707" customFormat="1" ht="17.25" customHeight="1"/>
    <row r="34708" customFormat="1" ht="17.25" customHeight="1"/>
    <row r="34709" customFormat="1" ht="17.25" customHeight="1"/>
    <row r="34710" customFormat="1" ht="17.25" customHeight="1"/>
    <row r="34711" customFormat="1" ht="17.25" customHeight="1"/>
    <row r="34712" customFormat="1" ht="17.25" customHeight="1"/>
    <row r="34713" customFormat="1" ht="17.25" customHeight="1"/>
    <row r="34714" customFormat="1" ht="17.25" customHeight="1"/>
    <row r="34715" customFormat="1" ht="17.25" customHeight="1"/>
    <row r="34716" customFormat="1" ht="17.25" customHeight="1"/>
    <row r="34717" customFormat="1" ht="17.25" customHeight="1"/>
    <row r="34718" customFormat="1" ht="17.25" customHeight="1"/>
    <row r="34719" customFormat="1" ht="17.25" customHeight="1"/>
    <row r="34720" customFormat="1" ht="17.25" customHeight="1"/>
    <row r="34721" customFormat="1" ht="17.25" customHeight="1"/>
    <row r="34722" customFormat="1" ht="17.25" customHeight="1"/>
    <row r="34723" customFormat="1" ht="17.25" customHeight="1"/>
    <row r="34724" customFormat="1" ht="17.25" customHeight="1"/>
    <row r="34725" customFormat="1" ht="17.25" customHeight="1"/>
    <row r="34726" customFormat="1" ht="17.25" customHeight="1"/>
    <row r="34727" customFormat="1" ht="17.25" customHeight="1"/>
    <row r="34728" customFormat="1" ht="17.25" customHeight="1"/>
    <row r="34729" customFormat="1" ht="17.25" customHeight="1"/>
    <row r="34730" customFormat="1" ht="17.25" customHeight="1"/>
    <row r="34731" customFormat="1" ht="17.25" customHeight="1"/>
    <row r="34732" customFormat="1" ht="17.25" customHeight="1"/>
    <row r="34733" customFormat="1" ht="17.25" customHeight="1"/>
    <row r="34734" customFormat="1" ht="17.25" customHeight="1"/>
    <row r="34735" customFormat="1" ht="17.25" customHeight="1"/>
    <row r="34736" customFormat="1" ht="17.25" customHeight="1"/>
    <row r="34737" customFormat="1" ht="17.25" customHeight="1"/>
    <row r="34738" customFormat="1" ht="17.25" customHeight="1"/>
    <row r="34739" customFormat="1" ht="17.25" customHeight="1"/>
    <row r="34740" customFormat="1" ht="17.25" customHeight="1"/>
    <row r="34741" customFormat="1" ht="17.25" customHeight="1"/>
    <row r="34742" customFormat="1" ht="17.25" customHeight="1"/>
    <row r="34743" customFormat="1" ht="17.25" customHeight="1"/>
    <row r="34744" customFormat="1" ht="17.25" customHeight="1"/>
    <row r="34745" customFormat="1" ht="17.25" customHeight="1"/>
    <row r="34746" customFormat="1" ht="17.25" customHeight="1"/>
    <row r="34747" customFormat="1" ht="17.25" customHeight="1"/>
    <row r="34748" customFormat="1" ht="17.25" customHeight="1"/>
    <row r="34749" customFormat="1" ht="17.25" customHeight="1"/>
    <row r="34750" customFormat="1" ht="17.25" customHeight="1"/>
    <row r="34751" customFormat="1" ht="17.25" customHeight="1"/>
    <row r="34752" customFormat="1" ht="17.25" customHeight="1"/>
    <row r="34753" customFormat="1" ht="17.25" customHeight="1"/>
    <row r="34754" customFormat="1" ht="17.25" customHeight="1"/>
    <row r="34755" customFormat="1" ht="17.25" customHeight="1"/>
    <row r="34756" customFormat="1" ht="17.25" customHeight="1"/>
    <row r="34757" customFormat="1" ht="17.25" customHeight="1"/>
    <row r="34758" customFormat="1" ht="17.25" customHeight="1"/>
    <row r="34759" customFormat="1" ht="17.25" customHeight="1"/>
    <row r="34760" customFormat="1" ht="17.25" customHeight="1"/>
    <row r="34761" customFormat="1" ht="17.25" customHeight="1"/>
    <row r="34762" customFormat="1" ht="17.25" customHeight="1"/>
    <row r="34763" customFormat="1" ht="17.25" customHeight="1"/>
    <row r="34764" customFormat="1" ht="17.25" customHeight="1"/>
    <row r="34765" customFormat="1" ht="17.25" customHeight="1"/>
    <row r="34766" customFormat="1" ht="17.25" customHeight="1"/>
    <row r="34767" customFormat="1" ht="17.25" customHeight="1"/>
    <row r="34768" customFormat="1" ht="17.25" customHeight="1"/>
    <row r="34769" customFormat="1" ht="17.25" customHeight="1"/>
    <row r="34770" customFormat="1" ht="17.25" customHeight="1"/>
    <row r="34771" customFormat="1" ht="17.25" customHeight="1"/>
    <row r="34772" customFormat="1" ht="17.25" customHeight="1"/>
    <row r="34773" customFormat="1" ht="17.25" customHeight="1"/>
    <row r="34774" customFormat="1" ht="17.25" customHeight="1"/>
    <row r="34775" customFormat="1" ht="17.25" customHeight="1"/>
    <row r="34776" customFormat="1" ht="17.25" customHeight="1"/>
    <row r="34777" customFormat="1" ht="17.25" customHeight="1"/>
    <row r="34778" customFormat="1" ht="17.25" customHeight="1"/>
    <row r="34779" customFormat="1" ht="17.25" customHeight="1"/>
    <row r="34780" customFormat="1" ht="17.25" customHeight="1"/>
    <row r="34781" customFormat="1" ht="17.25" customHeight="1"/>
    <row r="34782" customFormat="1" ht="17.25" customHeight="1"/>
    <row r="34783" customFormat="1" ht="17.25" customHeight="1"/>
    <row r="34784" customFormat="1" ht="17.25" customHeight="1"/>
    <row r="34785" customFormat="1" ht="17.25" customHeight="1"/>
    <row r="34786" customFormat="1" ht="17.25" customHeight="1"/>
    <row r="34787" customFormat="1" ht="17.25" customHeight="1"/>
    <row r="34788" customFormat="1" ht="17.25" customHeight="1"/>
    <row r="34789" customFormat="1" ht="17.25" customHeight="1"/>
    <row r="34790" customFormat="1" ht="17.25" customHeight="1"/>
    <row r="34791" customFormat="1" ht="17.25" customHeight="1"/>
    <row r="34792" customFormat="1" ht="17.25" customHeight="1"/>
    <row r="34793" customFormat="1" ht="17.25" customHeight="1"/>
    <row r="34794" customFormat="1" ht="17.25" customHeight="1"/>
    <row r="34795" customFormat="1" ht="17.25" customHeight="1"/>
    <row r="34796" customFormat="1" ht="17.25" customHeight="1"/>
    <row r="34797" customFormat="1" ht="17.25" customHeight="1"/>
    <row r="34798" customFormat="1" ht="17.25" customHeight="1"/>
    <row r="34799" customFormat="1" ht="17.25" customHeight="1"/>
    <row r="34800" customFormat="1" ht="17.25" customHeight="1"/>
    <row r="34801" customFormat="1" ht="17.25" customHeight="1"/>
    <row r="34802" customFormat="1" ht="17.25" customHeight="1"/>
    <row r="34803" customFormat="1" ht="17.25" customHeight="1"/>
    <row r="34804" customFormat="1" ht="17.25" customHeight="1"/>
    <row r="34805" customFormat="1" ht="17.25" customHeight="1"/>
    <row r="34806" customFormat="1" ht="17.25" customHeight="1"/>
    <row r="34807" customFormat="1" ht="17.25" customHeight="1"/>
    <row r="34808" customFormat="1" ht="17.25" customHeight="1"/>
    <row r="34809" customFormat="1" ht="17.25" customHeight="1"/>
    <row r="34810" customFormat="1" ht="17.25" customHeight="1"/>
    <row r="34811" customFormat="1" ht="17.25" customHeight="1"/>
    <row r="34812" customFormat="1" ht="17.25" customHeight="1"/>
    <row r="34813" customFormat="1" ht="17.25" customHeight="1"/>
    <row r="34814" customFormat="1" ht="17.25" customHeight="1"/>
    <row r="34815" customFormat="1" ht="17.25" customHeight="1"/>
    <row r="34816" customFormat="1" ht="17.25" customHeight="1"/>
    <row r="34817" customFormat="1" ht="17.25" customHeight="1"/>
    <row r="34818" customFormat="1" ht="17.25" customHeight="1"/>
    <row r="34819" customFormat="1" ht="17.25" customHeight="1"/>
    <row r="34820" customFormat="1" ht="17.25" customHeight="1"/>
    <row r="34821" customFormat="1" ht="17.25" customHeight="1"/>
    <row r="34822" customFormat="1" ht="17.25" customHeight="1"/>
    <row r="34823" customFormat="1" ht="17.25" customHeight="1"/>
    <row r="34824" customFormat="1" ht="17.25" customHeight="1"/>
    <row r="34825" customFormat="1" ht="17.25" customHeight="1"/>
    <row r="34826" customFormat="1" ht="17.25" customHeight="1"/>
    <row r="34827" customFormat="1" ht="17.25" customHeight="1"/>
    <row r="34828" customFormat="1" ht="17.25" customHeight="1"/>
    <row r="34829" customFormat="1" ht="17.25" customHeight="1"/>
    <row r="34830" customFormat="1" ht="17.25" customHeight="1"/>
    <row r="34831" customFormat="1" ht="17.25" customHeight="1"/>
    <row r="34832" customFormat="1" ht="17.25" customHeight="1"/>
    <row r="34833" customFormat="1" ht="17.25" customHeight="1"/>
    <row r="34834" customFormat="1" ht="17.25" customHeight="1"/>
    <row r="34835" customFormat="1" ht="17.25" customHeight="1"/>
    <row r="34836" customFormat="1" ht="17.25" customHeight="1"/>
    <row r="34837" customFormat="1" ht="17.25" customHeight="1"/>
    <row r="34838" customFormat="1" ht="17.25" customHeight="1"/>
    <row r="34839" customFormat="1" ht="17.25" customHeight="1"/>
    <row r="34840" customFormat="1" ht="17.25" customHeight="1"/>
    <row r="34841" customFormat="1" ht="17.25" customHeight="1"/>
    <row r="34842" customFormat="1" ht="17.25" customHeight="1"/>
    <row r="34843" customFormat="1" ht="17.25" customHeight="1"/>
    <row r="34844" customFormat="1" ht="17.25" customHeight="1"/>
    <row r="34845" customFormat="1" ht="17.25" customHeight="1"/>
    <row r="34846" customFormat="1" ht="17.25" customHeight="1"/>
    <row r="34847" customFormat="1" ht="17.25" customHeight="1"/>
    <row r="34848" customFormat="1" ht="17.25" customHeight="1"/>
    <row r="34849" customFormat="1" ht="17.25" customHeight="1"/>
    <row r="34850" customFormat="1" ht="17.25" customHeight="1"/>
    <row r="34851" customFormat="1" ht="17.25" customHeight="1"/>
    <row r="34852" customFormat="1" ht="17.25" customHeight="1"/>
    <row r="34853" customFormat="1" ht="17.25" customHeight="1"/>
    <row r="34854" customFormat="1" ht="17.25" customHeight="1"/>
    <row r="34855" customFormat="1" ht="17.25" customHeight="1"/>
    <row r="34856" customFormat="1" ht="17.25" customHeight="1"/>
    <row r="34857" customFormat="1" ht="17.25" customHeight="1"/>
    <row r="34858" customFormat="1" ht="17.25" customHeight="1"/>
    <row r="34859" customFormat="1" ht="17.25" customHeight="1"/>
    <row r="34860" customFormat="1" ht="17.25" customHeight="1"/>
    <row r="34861" customFormat="1" ht="17.25" customHeight="1"/>
    <row r="34862" customFormat="1" ht="17.25" customHeight="1"/>
    <row r="34863" customFormat="1" ht="17.25" customHeight="1"/>
    <row r="34864" customFormat="1" ht="17.25" customHeight="1"/>
    <row r="34865" customFormat="1" ht="17.25" customHeight="1"/>
    <row r="34866" customFormat="1" ht="17.25" customHeight="1"/>
    <row r="34867" customFormat="1" ht="17.25" customHeight="1"/>
    <row r="34868" customFormat="1" ht="17.25" customHeight="1"/>
    <row r="34869" customFormat="1" ht="17.25" customHeight="1"/>
    <row r="34870" customFormat="1" ht="17.25" customHeight="1"/>
    <row r="34871" customFormat="1" ht="17.25" customHeight="1"/>
    <row r="34872" customFormat="1" ht="17.25" customHeight="1"/>
    <row r="34873" customFormat="1" ht="17.25" customHeight="1"/>
    <row r="34874" customFormat="1" ht="17.25" customHeight="1"/>
    <row r="34875" customFormat="1" ht="17.25" customHeight="1"/>
    <row r="34876" customFormat="1" ht="17.25" customHeight="1"/>
    <row r="34877" customFormat="1" ht="17.25" customHeight="1"/>
    <row r="34878" customFormat="1" ht="17.25" customHeight="1"/>
    <row r="34879" customFormat="1" ht="17.25" customHeight="1"/>
    <row r="34880" customFormat="1" ht="17.25" customHeight="1"/>
    <row r="34881" customFormat="1" ht="17.25" customHeight="1"/>
    <row r="34882" customFormat="1" ht="17.25" customHeight="1"/>
    <row r="34883" customFormat="1" ht="17.25" customHeight="1"/>
    <row r="34884" customFormat="1" ht="17.25" customHeight="1"/>
    <row r="34885" customFormat="1" ht="17.25" customHeight="1"/>
    <row r="34886" customFormat="1" ht="17.25" customHeight="1"/>
    <row r="34887" customFormat="1" ht="17.25" customHeight="1"/>
    <row r="34888" customFormat="1" ht="17.25" customHeight="1"/>
    <row r="34889" customFormat="1" ht="17.25" customHeight="1"/>
    <row r="34890" customFormat="1" ht="17.25" customHeight="1"/>
    <row r="34891" customFormat="1" ht="17.25" customHeight="1"/>
    <row r="34892" customFormat="1" ht="17.25" customHeight="1"/>
    <row r="34893" customFormat="1" ht="17.25" customHeight="1"/>
    <row r="34894" customFormat="1" ht="17.25" customHeight="1"/>
    <row r="34895" customFormat="1" ht="17.25" customHeight="1"/>
    <row r="34896" customFormat="1" ht="17.25" customHeight="1"/>
    <row r="34897" customFormat="1" ht="17.25" customHeight="1"/>
    <row r="34898" customFormat="1" ht="17.25" customHeight="1"/>
    <row r="34899" customFormat="1" ht="17.25" customHeight="1"/>
    <row r="34900" customFormat="1" ht="17.25" customHeight="1"/>
    <row r="34901" customFormat="1" ht="17.25" customHeight="1"/>
    <row r="34902" customFormat="1" ht="17.25" customHeight="1"/>
    <row r="34903" customFormat="1" ht="17.25" customHeight="1"/>
    <row r="34904" customFormat="1" ht="17.25" customHeight="1"/>
    <row r="34905" customFormat="1" ht="17.25" customHeight="1"/>
    <row r="34906" customFormat="1" ht="17.25" customHeight="1"/>
    <row r="34907" customFormat="1" ht="17.25" customHeight="1"/>
    <row r="34908" customFormat="1" ht="17.25" customHeight="1"/>
    <row r="34909" customFormat="1" ht="17.25" customHeight="1"/>
    <row r="34910" customFormat="1" ht="17.25" customHeight="1"/>
    <row r="34911" customFormat="1" ht="17.25" customHeight="1"/>
    <row r="34912" customFormat="1" ht="17.25" customHeight="1"/>
    <row r="34913" customFormat="1" ht="17.25" customHeight="1"/>
    <row r="34914" customFormat="1" ht="17.25" customHeight="1"/>
    <row r="34915" customFormat="1" ht="17.25" customHeight="1"/>
    <row r="34916" customFormat="1" ht="17.25" customHeight="1"/>
    <row r="34917" customFormat="1" ht="17.25" customHeight="1"/>
    <row r="34918" customFormat="1" ht="17.25" customHeight="1"/>
    <row r="34919" customFormat="1" ht="17.25" customHeight="1"/>
    <row r="34920" customFormat="1" ht="17.25" customHeight="1"/>
    <row r="34921" customFormat="1" ht="17.25" customHeight="1"/>
    <row r="34922" customFormat="1" ht="17.25" customHeight="1"/>
    <row r="34923" customFormat="1" ht="17.25" customHeight="1"/>
    <row r="34924" customFormat="1" ht="17.25" customHeight="1"/>
    <row r="34925" customFormat="1" ht="17.25" customHeight="1"/>
    <row r="34926" customFormat="1" ht="17.25" customHeight="1"/>
    <row r="34927" customFormat="1" ht="17.25" customHeight="1"/>
    <row r="34928" customFormat="1" ht="17.25" customHeight="1"/>
    <row r="34929" customFormat="1" ht="17.25" customHeight="1"/>
    <row r="34930" customFormat="1" ht="17.25" customHeight="1"/>
    <row r="34931" customFormat="1" ht="17.25" customHeight="1"/>
    <row r="34932" customFormat="1" ht="17.25" customHeight="1"/>
    <row r="34933" customFormat="1" ht="17.25" customHeight="1"/>
    <row r="34934" customFormat="1" ht="17.25" customHeight="1"/>
    <row r="34935" customFormat="1" ht="17.25" customHeight="1"/>
    <row r="34936" customFormat="1" ht="17.25" customHeight="1"/>
    <row r="34937" customFormat="1" ht="17.25" customHeight="1"/>
    <row r="34938" customFormat="1" ht="17.25" customHeight="1"/>
    <row r="34939" customFormat="1" ht="17.25" customHeight="1"/>
    <row r="34940" customFormat="1" ht="17.25" customHeight="1"/>
    <row r="34941" customFormat="1" ht="17.25" customHeight="1"/>
    <row r="34942" customFormat="1" ht="17.25" customHeight="1"/>
    <row r="34943" customFormat="1" ht="17.25" customHeight="1"/>
    <row r="34944" customFormat="1" ht="17.25" customHeight="1"/>
    <row r="34945" customFormat="1" ht="17.25" customHeight="1"/>
    <row r="34946" customFormat="1" ht="17.25" customHeight="1"/>
    <row r="34947" customFormat="1" ht="17.25" customHeight="1"/>
    <row r="34948" customFormat="1" ht="17.25" customHeight="1"/>
    <row r="34949" customFormat="1" ht="17.25" customHeight="1"/>
    <row r="34950" customFormat="1" ht="17.25" customHeight="1"/>
    <row r="34951" customFormat="1" ht="17.25" customHeight="1"/>
    <row r="34952" customFormat="1" ht="17.25" customHeight="1"/>
    <row r="34953" customFormat="1" ht="17.25" customHeight="1"/>
    <row r="34954" customFormat="1" ht="17.25" customHeight="1"/>
    <row r="34955" customFormat="1" ht="17.25" customHeight="1"/>
    <row r="34956" customFormat="1" ht="17.25" customHeight="1"/>
    <row r="34957" customFormat="1" ht="17.25" customHeight="1"/>
    <row r="34958" customFormat="1" ht="17.25" customHeight="1"/>
    <row r="34959" customFormat="1" ht="17.25" customHeight="1"/>
    <row r="34960" customFormat="1" ht="17.25" customHeight="1"/>
    <row r="34961" customFormat="1" ht="17.25" customHeight="1"/>
    <row r="34962" customFormat="1" ht="17.25" customHeight="1"/>
    <row r="34963" customFormat="1" ht="17.25" customHeight="1"/>
    <row r="34964" customFormat="1" ht="17.25" customHeight="1"/>
    <row r="34965" customFormat="1" ht="17.25" customHeight="1"/>
    <row r="34966" customFormat="1" ht="17.25" customHeight="1"/>
    <row r="34967" customFormat="1" ht="17.25" customHeight="1"/>
    <row r="34968" customFormat="1" ht="17.25" customHeight="1"/>
    <row r="34969" customFormat="1" ht="17.25" customHeight="1"/>
    <row r="34970" customFormat="1" ht="17.25" customHeight="1"/>
    <row r="34971" customFormat="1" ht="17.25" customHeight="1"/>
    <row r="34972" customFormat="1" ht="17.25" customHeight="1"/>
    <row r="34973" customFormat="1" ht="17.25" customHeight="1"/>
    <row r="34974" customFormat="1" ht="17.25" customHeight="1"/>
    <row r="34975" customFormat="1" ht="17.25" customHeight="1"/>
    <row r="34976" customFormat="1" ht="17.25" customHeight="1"/>
    <row r="34977" customFormat="1" ht="17.25" customHeight="1"/>
    <row r="34978" customFormat="1" ht="17.25" customHeight="1"/>
    <row r="34979" customFormat="1" ht="17.25" customHeight="1"/>
    <row r="34980" customFormat="1" ht="17.25" customHeight="1"/>
    <row r="34981" customFormat="1" ht="17.25" customHeight="1"/>
    <row r="34982" customFormat="1" ht="17.25" customHeight="1"/>
    <row r="34983" customFormat="1" ht="17.25" customHeight="1"/>
    <row r="34984" customFormat="1" ht="17.25" customHeight="1"/>
    <row r="34985" customFormat="1" ht="17.25" customHeight="1"/>
    <row r="34986" customFormat="1" ht="17.25" customHeight="1"/>
    <row r="34987" customFormat="1" ht="17.25" customHeight="1"/>
    <row r="34988" customFormat="1" ht="17.25" customHeight="1"/>
    <row r="34989" customFormat="1" ht="17.25" customHeight="1"/>
    <row r="34990" customFormat="1" ht="17.25" customHeight="1"/>
    <row r="34991" customFormat="1" ht="17.25" customHeight="1"/>
    <row r="34992" customFormat="1" ht="17.25" customHeight="1"/>
    <row r="34993" customFormat="1" ht="17.25" customHeight="1"/>
    <row r="34994" customFormat="1" ht="17.25" customHeight="1"/>
    <row r="34995" customFormat="1" ht="17.25" customHeight="1"/>
    <row r="34996" customFormat="1" ht="17.25" customHeight="1"/>
    <row r="34997" customFormat="1" ht="17.25" customHeight="1"/>
    <row r="34998" customFormat="1" ht="17.25" customHeight="1"/>
    <row r="34999" customFormat="1" ht="17.25" customHeight="1"/>
    <row r="35000" customFormat="1" ht="17.25" customHeight="1"/>
    <row r="35001" customFormat="1" ht="17.25" customHeight="1"/>
    <row r="35002" customFormat="1" ht="17.25" customHeight="1"/>
    <row r="35003" customFormat="1" ht="17.25" customHeight="1"/>
    <row r="35004" customFormat="1" ht="17.25" customHeight="1"/>
    <row r="35005" customFormat="1" ht="17.25" customHeight="1"/>
    <row r="35006" customFormat="1" ht="17.25" customHeight="1"/>
    <row r="35007" customFormat="1" ht="17.25" customHeight="1"/>
    <row r="35008" customFormat="1" ht="17.25" customHeight="1"/>
    <row r="35009" customFormat="1" ht="17.25" customHeight="1"/>
    <row r="35010" customFormat="1" ht="17.25" customHeight="1"/>
    <row r="35011" customFormat="1" ht="17.25" customHeight="1"/>
    <row r="35012" customFormat="1" ht="17.25" customHeight="1"/>
    <row r="35013" customFormat="1" ht="17.25" customHeight="1"/>
    <row r="35014" customFormat="1" ht="17.25" customHeight="1"/>
    <row r="35015" customFormat="1" ht="17.25" customHeight="1"/>
    <row r="35016" customFormat="1" ht="17.25" customHeight="1"/>
    <row r="35017" customFormat="1" ht="17.25" customHeight="1"/>
    <row r="35018" customFormat="1" ht="17.25" customHeight="1"/>
    <row r="35019" customFormat="1" ht="17.25" customHeight="1"/>
    <row r="35020" customFormat="1" ht="17.25" customHeight="1"/>
    <row r="35021" customFormat="1" ht="17.25" customHeight="1"/>
    <row r="35022" customFormat="1" ht="17.25" customHeight="1"/>
    <row r="35023" customFormat="1" ht="17.25" customHeight="1"/>
    <row r="35024" customFormat="1" ht="17.25" customHeight="1"/>
    <row r="35025" customFormat="1" ht="17.25" customHeight="1"/>
    <row r="35026" customFormat="1" ht="17.25" customHeight="1"/>
    <row r="35027" customFormat="1" ht="17.25" customHeight="1"/>
    <row r="35028" customFormat="1" ht="17.25" customHeight="1"/>
    <row r="35029" customFormat="1" ht="17.25" customHeight="1"/>
    <row r="35030" customFormat="1" ht="17.25" customHeight="1"/>
    <row r="35031" customFormat="1" ht="17.25" customHeight="1"/>
    <row r="35032" customFormat="1" ht="17.25" customHeight="1"/>
    <row r="35033" customFormat="1" ht="17.25" customHeight="1"/>
    <row r="35034" customFormat="1" ht="17.25" customHeight="1"/>
    <row r="35035" customFormat="1" ht="17.25" customHeight="1"/>
    <row r="35036" customFormat="1" ht="17.25" customHeight="1"/>
    <row r="35037" customFormat="1" ht="17.25" customHeight="1"/>
    <row r="35038" customFormat="1" ht="17.25" customHeight="1"/>
    <row r="35039" customFormat="1" ht="17.25" customHeight="1"/>
    <row r="35040" customFormat="1" ht="17.25" customHeight="1"/>
    <row r="35041" customFormat="1" ht="17.25" customHeight="1"/>
    <row r="35042" customFormat="1" ht="17.25" customHeight="1"/>
    <row r="35043" customFormat="1" ht="17.25" customHeight="1"/>
    <row r="35044" customFormat="1" ht="17.25" customHeight="1"/>
    <row r="35045" customFormat="1" ht="17.25" customHeight="1"/>
    <row r="35046" customFormat="1" ht="17.25" customHeight="1"/>
    <row r="35047" customFormat="1" ht="17.25" customHeight="1"/>
    <row r="35048" customFormat="1" ht="17.25" customHeight="1"/>
    <row r="35049" customFormat="1" ht="17.25" customHeight="1"/>
    <row r="35050" customFormat="1" ht="17.25" customHeight="1"/>
    <row r="35051" customFormat="1" ht="17.25" customHeight="1"/>
    <row r="35052" customFormat="1" ht="17.25" customHeight="1"/>
    <row r="35053" customFormat="1" ht="17.25" customHeight="1"/>
    <row r="35054" customFormat="1" ht="17.25" customHeight="1"/>
    <row r="35055" customFormat="1" ht="17.25" customHeight="1"/>
    <row r="35056" customFormat="1" ht="17.25" customHeight="1"/>
    <row r="35057" customFormat="1" ht="17.25" customHeight="1"/>
    <row r="35058" customFormat="1" ht="17.25" customHeight="1"/>
    <row r="35059" customFormat="1" ht="17.25" customHeight="1"/>
    <row r="35060" customFormat="1" ht="17.25" customHeight="1"/>
    <row r="35061" customFormat="1" ht="17.25" customHeight="1"/>
    <row r="35062" customFormat="1" ht="17.25" customHeight="1"/>
    <row r="35063" customFormat="1" ht="17.25" customHeight="1"/>
    <row r="35064" customFormat="1" ht="17.25" customHeight="1"/>
    <row r="35065" customFormat="1" ht="17.25" customHeight="1"/>
    <row r="35066" customFormat="1" ht="17.25" customHeight="1"/>
    <row r="35067" customFormat="1" ht="17.25" customHeight="1"/>
    <row r="35068" customFormat="1" ht="17.25" customHeight="1"/>
    <row r="35069" customFormat="1" ht="17.25" customHeight="1"/>
    <row r="35070" customFormat="1" ht="17.25" customHeight="1"/>
    <row r="35071" customFormat="1" ht="17.25" customHeight="1"/>
    <row r="35072" customFormat="1" ht="17.25" customHeight="1"/>
    <row r="35073" customFormat="1" ht="17.25" customHeight="1"/>
    <row r="35074" customFormat="1" ht="17.25" customHeight="1"/>
    <row r="35075" customFormat="1" ht="17.25" customHeight="1"/>
    <row r="35076" customFormat="1" ht="17.25" customHeight="1"/>
    <row r="35077" customFormat="1" ht="17.25" customHeight="1"/>
    <row r="35078" customFormat="1" ht="17.25" customHeight="1"/>
    <row r="35079" customFormat="1" ht="17.25" customHeight="1"/>
    <row r="35080" customFormat="1" ht="17.25" customHeight="1"/>
    <row r="35081" customFormat="1" ht="17.25" customHeight="1"/>
    <row r="35082" customFormat="1" ht="17.25" customHeight="1"/>
    <row r="35083" customFormat="1" ht="17.25" customHeight="1"/>
    <row r="35084" customFormat="1" ht="17.25" customHeight="1"/>
    <row r="35085" customFormat="1" ht="17.25" customHeight="1"/>
    <row r="35086" customFormat="1" ht="17.25" customHeight="1"/>
    <row r="35087" customFormat="1" ht="17.25" customHeight="1"/>
    <row r="35088" customFormat="1" ht="17.25" customHeight="1"/>
    <row r="35089" customFormat="1" ht="17.25" customHeight="1"/>
    <row r="35090" customFormat="1" ht="17.25" customHeight="1"/>
    <row r="35091" customFormat="1" ht="17.25" customHeight="1"/>
    <row r="35092" customFormat="1" ht="17.25" customHeight="1"/>
    <row r="35093" customFormat="1" ht="17.25" customHeight="1"/>
    <row r="35094" customFormat="1" ht="17.25" customHeight="1"/>
    <row r="35095" customFormat="1" ht="17.25" customHeight="1"/>
    <row r="35096" customFormat="1" ht="17.25" customHeight="1"/>
    <row r="35097" customFormat="1" ht="17.25" customHeight="1"/>
    <row r="35098" customFormat="1" ht="17.25" customHeight="1"/>
    <row r="35099" customFormat="1" ht="17.25" customHeight="1"/>
    <row r="35100" customFormat="1" ht="17.25" customHeight="1"/>
    <row r="35101" customFormat="1" ht="17.25" customHeight="1"/>
    <row r="35102" customFormat="1" ht="17.25" customHeight="1"/>
    <row r="35103" customFormat="1" ht="17.25" customHeight="1"/>
    <row r="35104" customFormat="1" ht="17.25" customHeight="1"/>
    <row r="35105" customFormat="1" ht="17.25" customHeight="1"/>
    <row r="35106" customFormat="1" ht="17.25" customHeight="1"/>
    <row r="35107" customFormat="1" ht="17.25" customHeight="1"/>
    <row r="35108" customFormat="1" ht="17.25" customHeight="1"/>
    <row r="35109" customFormat="1" ht="17.25" customHeight="1"/>
    <row r="35110" customFormat="1" ht="17.25" customHeight="1"/>
    <row r="35111" customFormat="1" ht="17.25" customHeight="1"/>
    <row r="35112" customFormat="1" ht="17.25" customHeight="1"/>
    <row r="35113" customFormat="1" ht="17.25" customHeight="1"/>
    <row r="35114" customFormat="1" ht="17.25" customHeight="1"/>
    <row r="35115" customFormat="1" ht="17.25" customHeight="1"/>
    <row r="35116" customFormat="1" ht="17.25" customHeight="1"/>
    <row r="35117" customFormat="1" ht="17.25" customHeight="1"/>
    <row r="35118" customFormat="1" ht="17.25" customHeight="1"/>
    <row r="35119" customFormat="1" ht="17.25" customHeight="1"/>
    <row r="35120" customFormat="1" ht="17.25" customHeight="1"/>
    <row r="35121" customFormat="1" ht="17.25" customHeight="1"/>
    <row r="35122" customFormat="1" ht="17.25" customHeight="1"/>
    <row r="35123" customFormat="1" ht="17.25" customHeight="1"/>
    <row r="35124" customFormat="1" ht="17.25" customHeight="1"/>
    <row r="35125" customFormat="1" ht="17.25" customHeight="1"/>
    <row r="35126" customFormat="1" ht="17.25" customHeight="1"/>
    <row r="35127" customFormat="1" ht="17.25" customHeight="1"/>
    <row r="35128" customFormat="1" ht="17.25" customHeight="1"/>
    <row r="35129" customFormat="1" ht="17.25" customHeight="1"/>
    <row r="35130" customFormat="1" ht="17.25" customHeight="1"/>
    <row r="35131" customFormat="1" ht="17.25" customHeight="1"/>
    <row r="35132" customFormat="1" ht="17.25" customHeight="1"/>
    <row r="35133" customFormat="1" ht="17.25" customHeight="1"/>
    <row r="35134" customFormat="1" ht="17.25" customHeight="1"/>
    <row r="35135" customFormat="1" ht="17.25" customHeight="1"/>
    <row r="35136" customFormat="1" ht="17.25" customHeight="1"/>
    <row r="35137" customFormat="1" ht="17.25" customHeight="1"/>
    <row r="35138" customFormat="1" ht="17.25" customHeight="1"/>
    <row r="35139" customFormat="1" ht="17.25" customHeight="1"/>
    <row r="35140" customFormat="1" ht="17.25" customHeight="1"/>
    <row r="35141" customFormat="1" ht="17.25" customHeight="1"/>
    <row r="35142" customFormat="1" ht="17.25" customHeight="1"/>
    <row r="35143" customFormat="1" ht="17.25" customHeight="1"/>
    <row r="35144" customFormat="1" ht="17.25" customHeight="1"/>
    <row r="35145" customFormat="1" ht="17.25" customHeight="1"/>
    <row r="35146" customFormat="1" ht="17.25" customHeight="1"/>
    <row r="35147" customFormat="1" ht="17.25" customHeight="1"/>
    <row r="35148" customFormat="1" ht="17.25" customHeight="1"/>
    <row r="35149" customFormat="1" ht="17.25" customHeight="1"/>
    <row r="35150" customFormat="1" ht="17.25" customHeight="1"/>
    <row r="35151" customFormat="1" ht="17.25" customHeight="1"/>
    <row r="35152" customFormat="1" ht="17.25" customHeight="1"/>
    <row r="35153" customFormat="1" ht="17.25" customHeight="1"/>
    <row r="35154" customFormat="1" ht="17.25" customHeight="1"/>
    <row r="35155" customFormat="1" ht="17.25" customHeight="1"/>
    <row r="35156" customFormat="1" ht="17.25" customHeight="1"/>
    <row r="35157" customFormat="1" ht="17.25" customHeight="1"/>
    <row r="35158" customFormat="1" ht="17.25" customHeight="1"/>
    <row r="35159" customFormat="1" ht="17.25" customHeight="1"/>
    <row r="35160" customFormat="1" ht="17.25" customHeight="1"/>
    <row r="35161" customFormat="1" ht="17.25" customHeight="1"/>
    <row r="35162" customFormat="1" ht="17.25" customHeight="1"/>
    <row r="35163" customFormat="1" ht="17.25" customHeight="1"/>
    <row r="35164" customFormat="1" ht="17.25" customHeight="1"/>
    <row r="35165" customFormat="1" ht="17.25" customHeight="1"/>
    <row r="35166" customFormat="1" ht="17.25" customHeight="1"/>
    <row r="35167" customFormat="1" ht="17.25" customHeight="1"/>
    <row r="35168" customFormat="1" ht="17.25" customHeight="1"/>
    <row r="35169" customFormat="1" ht="17.25" customHeight="1"/>
    <row r="35170" customFormat="1" ht="17.25" customHeight="1"/>
    <row r="35171" customFormat="1" ht="17.25" customHeight="1"/>
    <row r="35172" customFormat="1" ht="17.25" customHeight="1"/>
    <row r="35173" customFormat="1" ht="17.25" customHeight="1"/>
    <row r="35174" customFormat="1" ht="17.25" customHeight="1"/>
    <row r="35175" customFormat="1" ht="17.25" customHeight="1"/>
    <row r="35176" customFormat="1" ht="17.25" customHeight="1"/>
    <row r="35177" customFormat="1" ht="17.25" customHeight="1"/>
    <row r="35178" customFormat="1" ht="17.25" customHeight="1"/>
    <row r="35179" customFormat="1" ht="17.25" customHeight="1"/>
    <row r="35180" customFormat="1" ht="17.25" customHeight="1"/>
    <row r="35181" customFormat="1" ht="17.25" customHeight="1"/>
    <row r="35182" customFormat="1" ht="17.25" customHeight="1"/>
    <row r="35183" customFormat="1" ht="17.25" customHeight="1"/>
    <row r="35184" customFormat="1" ht="17.25" customHeight="1"/>
    <row r="35185" customFormat="1" ht="17.25" customHeight="1"/>
    <row r="35186" customFormat="1" ht="17.25" customHeight="1"/>
    <row r="35187" customFormat="1" ht="17.25" customHeight="1"/>
    <row r="35188" customFormat="1" ht="17.25" customHeight="1"/>
    <row r="35189" customFormat="1" ht="17.25" customHeight="1"/>
    <row r="35190" customFormat="1" ht="17.25" customHeight="1"/>
    <row r="35191" customFormat="1" ht="17.25" customHeight="1"/>
    <row r="35192" customFormat="1" ht="17.25" customHeight="1"/>
    <row r="35193" customFormat="1" ht="17.25" customHeight="1"/>
    <row r="35194" customFormat="1" ht="17.25" customHeight="1"/>
    <row r="35195" customFormat="1" ht="17.25" customHeight="1"/>
    <row r="35196" customFormat="1" ht="17.25" customHeight="1"/>
    <row r="35197" customFormat="1" ht="17.25" customHeight="1"/>
    <row r="35198" customFormat="1" ht="17.25" customHeight="1"/>
    <row r="35199" customFormat="1" ht="17.25" customHeight="1"/>
    <row r="35200" customFormat="1" ht="17.25" customHeight="1"/>
    <row r="35201" customFormat="1" ht="17.25" customHeight="1"/>
    <row r="35202" customFormat="1" ht="17.25" customHeight="1"/>
    <row r="35203" customFormat="1" ht="17.25" customHeight="1"/>
    <row r="35204" customFormat="1" ht="17.25" customHeight="1"/>
    <row r="35205" customFormat="1" ht="17.25" customHeight="1"/>
    <row r="35206" customFormat="1" ht="17.25" customHeight="1"/>
    <row r="35207" customFormat="1" ht="17.25" customHeight="1"/>
    <row r="35208" customFormat="1" ht="17.25" customHeight="1"/>
    <row r="35209" customFormat="1" ht="17.25" customHeight="1"/>
    <row r="35210" customFormat="1" ht="17.25" customHeight="1"/>
    <row r="35211" customFormat="1" ht="17.25" customHeight="1"/>
    <row r="35212" customFormat="1" ht="17.25" customHeight="1"/>
    <row r="35213" customFormat="1" ht="17.25" customHeight="1"/>
    <row r="35214" customFormat="1" ht="17.25" customHeight="1"/>
    <row r="35215" customFormat="1" ht="17.25" customHeight="1"/>
    <row r="35216" customFormat="1" ht="17.25" customHeight="1"/>
    <row r="35217" customFormat="1" ht="17.25" customHeight="1"/>
    <row r="35218" customFormat="1" ht="17.25" customHeight="1"/>
    <row r="35219" customFormat="1" ht="17.25" customHeight="1"/>
    <row r="35220" customFormat="1" ht="17.25" customHeight="1"/>
    <row r="35221" customFormat="1" ht="17.25" customHeight="1"/>
    <row r="35222" customFormat="1" ht="17.25" customHeight="1"/>
    <row r="35223" customFormat="1" ht="17.25" customHeight="1"/>
    <row r="35224" customFormat="1" ht="17.25" customHeight="1"/>
    <row r="35225" customFormat="1" ht="17.25" customHeight="1"/>
    <row r="35226" customFormat="1" ht="17.25" customHeight="1"/>
    <row r="35227" customFormat="1" ht="17.25" customHeight="1"/>
    <row r="35228" customFormat="1" ht="17.25" customHeight="1"/>
    <row r="35229" customFormat="1" ht="17.25" customHeight="1"/>
    <row r="35230" customFormat="1" ht="17.25" customHeight="1"/>
    <row r="35231" customFormat="1" ht="17.25" customHeight="1"/>
    <row r="35232" customFormat="1" ht="17.25" customHeight="1"/>
    <row r="35233" customFormat="1" ht="17.25" customHeight="1"/>
    <row r="35234" customFormat="1" ht="17.25" customHeight="1"/>
    <row r="35235" customFormat="1" ht="17.25" customHeight="1"/>
    <row r="35236" customFormat="1" ht="17.25" customHeight="1"/>
    <row r="35237" customFormat="1" ht="17.25" customHeight="1"/>
    <row r="35238" customFormat="1" ht="17.25" customHeight="1"/>
    <row r="35239" customFormat="1" ht="17.25" customHeight="1"/>
    <row r="35240" customFormat="1" ht="17.25" customHeight="1"/>
    <row r="35241" customFormat="1" ht="17.25" customHeight="1"/>
    <row r="35242" customFormat="1" ht="17.25" customHeight="1"/>
    <row r="35243" customFormat="1" ht="17.25" customHeight="1"/>
    <row r="35244" customFormat="1" ht="17.25" customHeight="1"/>
    <row r="35245" customFormat="1" ht="17.25" customHeight="1"/>
    <row r="35246" customFormat="1" ht="17.25" customHeight="1"/>
    <row r="35247" customFormat="1" ht="17.25" customHeight="1"/>
    <row r="35248" customFormat="1" ht="17.25" customHeight="1"/>
    <row r="35249" customFormat="1" ht="17.25" customHeight="1"/>
    <row r="35250" customFormat="1" ht="17.25" customHeight="1"/>
    <row r="35251" customFormat="1" ht="17.25" customHeight="1"/>
    <row r="35252" customFormat="1" ht="17.25" customHeight="1"/>
    <row r="35253" customFormat="1" ht="17.25" customHeight="1"/>
    <row r="35254" customFormat="1" ht="17.25" customHeight="1"/>
    <row r="35255" customFormat="1" ht="17.25" customHeight="1"/>
    <row r="35256" customFormat="1" ht="17.25" customHeight="1"/>
    <row r="35257" customFormat="1" ht="17.25" customHeight="1"/>
    <row r="35258" customFormat="1" ht="17.25" customHeight="1"/>
    <row r="35259" customFormat="1" ht="17.25" customHeight="1"/>
    <row r="35260" customFormat="1" ht="17.25" customHeight="1"/>
    <row r="35261" customFormat="1" ht="17.25" customHeight="1"/>
    <row r="35262" customFormat="1" ht="17.25" customHeight="1"/>
    <row r="35263" customFormat="1" ht="17.25" customHeight="1"/>
    <row r="35264" customFormat="1" ht="17.25" customHeight="1"/>
    <row r="35265" customFormat="1" ht="17.25" customHeight="1"/>
    <row r="35266" customFormat="1" ht="17.25" customHeight="1"/>
    <row r="35267" customFormat="1" ht="17.25" customHeight="1"/>
    <row r="35268" customFormat="1" ht="17.25" customHeight="1"/>
    <row r="35269" customFormat="1" ht="17.25" customHeight="1"/>
    <row r="35270" customFormat="1" ht="17.25" customHeight="1"/>
    <row r="35271" customFormat="1" ht="17.25" customHeight="1"/>
    <row r="35272" customFormat="1" ht="17.25" customHeight="1"/>
    <row r="35273" customFormat="1" ht="17.25" customHeight="1"/>
    <row r="35274" customFormat="1" ht="17.25" customHeight="1"/>
    <row r="35275" customFormat="1" ht="17.25" customHeight="1"/>
    <row r="35276" customFormat="1" ht="17.25" customHeight="1"/>
    <row r="35277" customFormat="1" ht="17.25" customHeight="1"/>
    <row r="35278" customFormat="1" ht="17.25" customHeight="1"/>
    <row r="35279" customFormat="1" ht="17.25" customHeight="1"/>
    <row r="35280" customFormat="1" ht="17.25" customHeight="1"/>
    <row r="35281" customFormat="1" ht="17.25" customHeight="1"/>
    <row r="35282" customFormat="1" ht="17.25" customHeight="1"/>
    <row r="35283" customFormat="1" ht="17.25" customHeight="1"/>
    <row r="35284" customFormat="1" ht="17.25" customHeight="1"/>
    <row r="35285" customFormat="1" ht="17.25" customHeight="1"/>
    <row r="35286" customFormat="1" ht="17.25" customHeight="1"/>
    <row r="35287" customFormat="1" ht="17.25" customHeight="1"/>
    <row r="35288" customFormat="1" ht="17.25" customHeight="1"/>
    <row r="35289" customFormat="1" ht="17.25" customHeight="1"/>
    <row r="35290" customFormat="1" ht="17.25" customHeight="1"/>
    <row r="35291" customFormat="1" ht="17.25" customHeight="1"/>
    <row r="35292" customFormat="1" ht="17.25" customHeight="1"/>
    <row r="35293" customFormat="1" ht="17.25" customHeight="1"/>
    <row r="35294" customFormat="1" ht="17.25" customHeight="1"/>
    <row r="35295" customFormat="1" ht="17.25" customHeight="1"/>
    <row r="35296" customFormat="1" ht="17.25" customHeight="1"/>
    <row r="35297" customFormat="1" ht="17.25" customHeight="1"/>
    <row r="35298" customFormat="1" ht="17.25" customHeight="1"/>
    <row r="35299" customFormat="1" ht="17.25" customHeight="1"/>
    <row r="35300" customFormat="1" ht="17.25" customHeight="1"/>
    <row r="35301" customFormat="1" ht="17.25" customHeight="1"/>
    <row r="35302" customFormat="1" ht="17.25" customHeight="1"/>
    <row r="35303" customFormat="1" ht="17.25" customHeight="1"/>
    <row r="35304" customFormat="1" ht="17.25" customHeight="1"/>
    <row r="35305" customFormat="1" ht="17.25" customHeight="1"/>
    <row r="35306" customFormat="1" ht="17.25" customHeight="1"/>
    <row r="35307" customFormat="1" ht="17.25" customHeight="1"/>
    <row r="35308" customFormat="1" ht="17.25" customHeight="1"/>
    <row r="35309" customFormat="1" ht="17.25" customHeight="1"/>
    <row r="35310" customFormat="1" ht="17.25" customHeight="1"/>
    <row r="35311" customFormat="1" ht="17.25" customHeight="1"/>
    <row r="35312" customFormat="1" ht="17.25" customHeight="1"/>
    <row r="35313" customFormat="1" ht="17.25" customHeight="1"/>
    <row r="35314" customFormat="1" ht="17.25" customHeight="1"/>
    <row r="35315" customFormat="1" ht="17.25" customHeight="1"/>
    <row r="35316" customFormat="1" ht="17.25" customHeight="1"/>
    <row r="35317" customFormat="1" ht="17.25" customHeight="1"/>
    <row r="35318" customFormat="1" ht="17.25" customHeight="1"/>
    <row r="35319" customFormat="1" ht="17.25" customHeight="1"/>
    <row r="35320" customFormat="1" ht="17.25" customHeight="1"/>
    <row r="35321" customFormat="1" ht="17.25" customHeight="1"/>
    <row r="35322" customFormat="1" ht="17.25" customHeight="1"/>
    <row r="35323" customFormat="1" ht="17.25" customHeight="1"/>
    <row r="35324" customFormat="1" ht="17.25" customHeight="1"/>
    <row r="35325" customFormat="1" ht="17.25" customHeight="1"/>
    <row r="35326" customFormat="1" ht="17.25" customHeight="1"/>
    <row r="35327" customFormat="1" ht="17.25" customHeight="1"/>
    <row r="35328" customFormat="1" ht="17.25" customHeight="1"/>
    <row r="35329" customFormat="1" ht="17.25" customHeight="1"/>
    <row r="35330" customFormat="1" ht="17.25" customHeight="1"/>
    <row r="35331" customFormat="1" ht="17.25" customHeight="1"/>
    <row r="35332" customFormat="1" ht="17.25" customHeight="1"/>
    <row r="35333" customFormat="1" ht="17.25" customHeight="1"/>
    <row r="35334" customFormat="1" ht="17.25" customHeight="1"/>
    <row r="35335" customFormat="1" ht="17.25" customHeight="1"/>
    <row r="35336" customFormat="1" ht="17.25" customHeight="1"/>
    <row r="35337" customFormat="1" ht="17.25" customHeight="1"/>
    <row r="35338" customFormat="1" ht="17.25" customHeight="1"/>
    <row r="35339" customFormat="1" ht="17.25" customHeight="1"/>
    <row r="35340" customFormat="1" ht="17.25" customHeight="1"/>
    <row r="35341" customFormat="1" ht="17.25" customHeight="1"/>
    <row r="35342" customFormat="1" ht="17.25" customHeight="1"/>
    <row r="35343" customFormat="1" ht="17.25" customHeight="1"/>
    <row r="35344" customFormat="1" ht="17.25" customHeight="1"/>
    <row r="35345" customFormat="1" ht="17.25" customHeight="1"/>
    <row r="35346" customFormat="1" ht="17.25" customHeight="1"/>
    <row r="35347" customFormat="1" ht="17.25" customHeight="1"/>
    <row r="35348" customFormat="1" ht="17.25" customHeight="1"/>
    <row r="35349" customFormat="1" ht="17.25" customHeight="1"/>
    <row r="35350" customFormat="1" ht="17.25" customHeight="1"/>
    <row r="35351" customFormat="1" ht="17.25" customHeight="1"/>
    <row r="35352" customFormat="1" ht="17.25" customHeight="1"/>
    <row r="35353" customFormat="1" ht="17.25" customHeight="1"/>
    <row r="35354" customFormat="1" ht="17.25" customHeight="1"/>
    <row r="35355" customFormat="1" ht="17.25" customHeight="1"/>
    <row r="35356" customFormat="1" ht="17.25" customHeight="1"/>
    <row r="35357" customFormat="1" ht="17.25" customHeight="1"/>
    <row r="35358" customFormat="1" ht="17.25" customHeight="1"/>
    <row r="35359" customFormat="1" ht="17.25" customHeight="1"/>
    <row r="35360" customFormat="1" ht="17.25" customHeight="1"/>
    <row r="35361" customFormat="1" ht="17.25" customHeight="1"/>
    <row r="35362" customFormat="1" ht="17.25" customHeight="1"/>
    <row r="35363" customFormat="1" ht="17.25" customHeight="1"/>
    <row r="35364" customFormat="1" ht="17.25" customHeight="1"/>
    <row r="35365" customFormat="1" ht="17.25" customHeight="1"/>
    <row r="35366" customFormat="1" ht="17.25" customHeight="1"/>
    <row r="35367" customFormat="1" ht="17.25" customHeight="1"/>
    <row r="35368" customFormat="1" ht="17.25" customHeight="1"/>
    <row r="35369" customFormat="1" ht="17.25" customHeight="1"/>
    <row r="35370" customFormat="1" ht="17.25" customHeight="1"/>
    <row r="35371" customFormat="1" ht="17.25" customHeight="1"/>
    <row r="35372" customFormat="1" ht="17.25" customHeight="1"/>
    <row r="35373" customFormat="1" ht="17.25" customHeight="1"/>
    <row r="35374" customFormat="1" ht="17.25" customHeight="1"/>
    <row r="35375" customFormat="1" ht="17.25" customHeight="1"/>
    <row r="35376" customFormat="1" ht="17.25" customHeight="1"/>
    <row r="35377" customFormat="1" ht="17.25" customHeight="1"/>
    <row r="35378" customFormat="1" ht="17.25" customHeight="1"/>
    <row r="35379" customFormat="1" ht="17.25" customHeight="1"/>
    <row r="35380" customFormat="1" ht="17.25" customHeight="1"/>
    <row r="35381" customFormat="1" ht="17.25" customHeight="1"/>
    <row r="35382" customFormat="1" ht="17.25" customHeight="1"/>
    <row r="35383" customFormat="1" ht="17.25" customHeight="1"/>
    <row r="35384" customFormat="1" ht="17.25" customHeight="1"/>
    <row r="35385" customFormat="1" ht="17.25" customHeight="1"/>
    <row r="35386" customFormat="1" ht="17.25" customHeight="1"/>
    <row r="35387" customFormat="1" ht="17.25" customHeight="1"/>
    <row r="35388" customFormat="1" ht="17.25" customHeight="1"/>
    <row r="35389" customFormat="1" ht="17.25" customHeight="1"/>
    <row r="35390" customFormat="1" ht="17.25" customHeight="1"/>
    <row r="35391" customFormat="1" ht="17.25" customHeight="1"/>
    <row r="35392" customFormat="1" ht="17.25" customHeight="1"/>
    <row r="35393" customFormat="1" ht="17.25" customHeight="1"/>
    <row r="35394" customFormat="1" ht="17.25" customHeight="1"/>
    <row r="35395" customFormat="1" ht="17.25" customHeight="1"/>
    <row r="35396" customFormat="1" ht="17.25" customHeight="1"/>
    <row r="35397" customFormat="1" ht="17.25" customHeight="1"/>
    <row r="35398" customFormat="1" ht="17.25" customHeight="1"/>
    <row r="35399" customFormat="1" ht="17.25" customHeight="1"/>
    <row r="35400" customFormat="1" ht="17.25" customHeight="1"/>
    <row r="35401" customFormat="1" ht="17.25" customHeight="1"/>
    <row r="35402" customFormat="1" ht="17.25" customHeight="1"/>
    <row r="35403" customFormat="1" ht="17.25" customHeight="1"/>
    <row r="35404" customFormat="1" ht="17.25" customHeight="1"/>
    <row r="35405" customFormat="1" ht="17.25" customHeight="1"/>
    <row r="35406" customFormat="1" ht="17.25" customHeight="1"/>
    <row r="35407" customFormat="1" ht="17.25" customHeight="1"/>
    <row r="35408" customFormat="1" ht="17.25" customHeight="1"/>
    <row r="35409" customFormat="1" ht="17.25" customHeight="1"/>
    <row r="35410" customFormat="1" ht="17.25" customHeight="1"/>
    <row r="35411" customFormat="1" ht="17.25" customHeight="1"/>
    <row r="35412" customFormat="1" ht="17.25" customHeight="1"/>
    <row r="35413" customFormat="1" ht="17.25" customHeight="1"/>
    <row r="35414" customFormat="1" ht="17.25" customHeight="1"/>
    <row r="35415" customFormat="1" ht="17.25" customHeight="1"/>
    <row r="35416" customFormat="1" ht="17.25" customHeight="1"/>
    <row r="35417" customFormat="1" ht="17.25" customHeight="1"/>
    <row r="35418" customFormat="1" ht="17.25" customHeight="1"/>
    <row r="35419" customFormat="1" ht="17.25" customHeight="1"/>
    <row r="35420" customFormat="1" ht="17.25" customHeight="1"/>
    <row r="35421" customFormat="1" ht="17.25" customHeight="1"/>
    <row r="35422" customFormat="1" ht="17.25" customHeight="1"/>
    <row r="35423" customFormat="1" ht="17.25" customHeight="1"/>
    <row r="35424" customFormat="1" ht="17.25" customHeight="1"/>
    <row r="35425" customFormat="1" ht="17.25" customHeight="1"/>
    <row r="35426" customFormat="1" ht="17.25" customHeight="1"/>
    <row r="35427" customFormat="1" ht="17.25" customHeight="1"/>
    <row r="35428" customFormat="1" ht="17.25" customHeight="1"/>
    <row r="35429" customFormat="1" ht="17.25" customHeight="1"/>
    <row r="35430" customFormat="1" ht="17.25" customHeight="1"/>
    <row r="35431" customFormat="1" ht="17.25" customHeight="1"/>
    <row r="35432" customFormat="1" ht="17.25" customHeight="1"/>
    <row r="35433" customFormat="1" ht="17.25" customHeight="1"/>
    <row r="35434" customFormat="1" ht="17.25" customHeight="1"/>
    <row r="35435" customFormat="1" ht="17.25" customHeight="1"/>
    <row r="35436" customFormat="1" ht="17.25" customHeight="1"/>
    <row r="35437" customFormat="1" ht="17.25" customHeight="1"/>
    <row r="35438" customFormat="1" ht="17.25" customHeight="1"/>
    <row r="35439" customFormat="1" ht="17.25" customHeight="1"/>
    <row r="35440" customFormat="1" ht="17.25" customHeight="1"/>
    <row r="35441" customFormat="1" ht="17.25" customHeight="1"/>
    <row r="35442" customFormat="1" ht="17.25" customHeight="1"/>
    <row r="35443" customFormat="1" ht="17.25" customHeight="1"/>
    <row r="35444" customFormat="1" ht="17.25" customHeight="1"/>
    <row r="35445" customFormat="1" ht="17.25" customHeight="1"/>
    <row r="35446" customFormat="1" ht="17.25" customHeight="1"/>
    <row r="35447" customFormat="1" ht="17.25" customHeight="1"/>
    <row r="35448" customFormat="1" ht="17.25" customHeight="1"/>
    <row r="35449" customFormat="1" ht="17.25" customHeight="1"/>
    <row r="35450" customFormat="1" ht="17.25" customHeight="1"/>
    <row r="35451" customFormat="1" ht="17.25" customHeight="1"/>
    <row r="35452" customFormat="1" ht="17.25" customHeight="1"/>
    <row r="35453" customFormat="1" ht="17.25" customHeight="1"/>
    <row r="35454" customFormat="1" ht="17.25" customHeight="1"/>
    <row r="35455" customFormat="1" ht="17.25" customHeight="1"/>
    <row r="35456" customFormat="1" ht="17.25" customHeight="1"/>
    <row r="35457" customFormat="1" ht="17.25" customHeight="1"/>
    <row r="35458" customFormat="1" ht="17.25" customHeight="1"/>
    <row r="35459" customFormat="1" ht="17.25" customHeight="1"/>
    <row r="35460" customFormat="1" ht="17.25" customHeight="1"/>
    <row r="35461" customFormat="1" ht="17.25" customHeight="1"/>
    <row r="35462" customFormat="1" ht="17.25" customHeight="1"/>
    <row r="35463" customFormat="1" ht="17.25" customHeight="1"/>
    <row r="35464" customFormat="1" ht="17.25" customHeight="1"/>
    <row r="35465" customFormat="1" ht="17.25" customHeight="1"/>
    <row r="35466" customFormat="1" ht="17.25" customHeight="1"/>
    <row r="35467" customFormat="1" ht="17.25" customHeight="1"/>
    <row r="35468" customFormat="1" ht="17.25" customHeight="1"/>
    <row r="35469" customFormat="1" ht="17.25" customHeight="1"/>
    <row r="35470" customFormat="1" ht="17.25" customHeight="1"/>
    <row r="35471" customFormat="1" ht="17.25" customHeight="1"/>
    <row r="35472" customFormat="1" ht="17.25" customHeight="1"/>
    <row r="35473" customFormat="1" ht="17.25" customHeight="1"/>
    <row r="35474" customFormat="1" ht="17.25" customHeight="1"/>
    <row r="35475" customFormat="1" ht="17.25" customHeight="1"/>
    <row r="35476" customFormat="1" ht="17.25" customHeight="1"/>
    <row r="35477" customFormat="1" ht="17.25" customHeight="1"/>
    <row r="35478" customFormat="1" ht="17.25" customHeight="1"/>
    <row r="35479" customFormat="1" ht="17.25" customHeight="1"/>
    <row r="35480" customFormat="1" ht="17.25" customHeight="1"/>
    <row r="35481" customFormat="1" ht="17.25" customHeight="1"/>
    <row r="35482" customFormat="1" ht="17.25" customHeight="1"/>
    <row r="35483" customFormat="1" ht="17.25" customHeight="1"/>
    <row r="35484" customFormat="1" ht="17.25" customHeight="1"/>
    <row r="35485" customFormat="1" ht="17.25" customHeight="1"/>
    <row r="35486" customFormat="1" ht="17.25" customHeight="1"/>
    <row r="35487" customFormat="1" ht="17.25" customHeight="1"/>
    <row r="35488" customFormat="1" ht="17.25" customHeight="1"/>
    <row r="35489" customFormat="1" ht="17.25" customHeight="1"/>
    <row r="35490" customFormat="1" ht="17.25" customHeight="1"/>
    <row r="35491" customFormat="1" ht="17.25" customHeight="1"/>
    <row r="35492" customFormat="1" ht="17.25" customHeight="1"/>
    <row r="35493" customFormat="1" ht="17.25" customHeight="1"/>
    <row r="35494" customFormat="1" ht="17.25" customHeight="1"/>
    <row r="35495" customFormat="1" ht="17.25" customHeight="1"/>
    <row r="35496" customFormat="1" ht="17.25" customHeight="1"/>
    <row r="35497" customFormat="1" ht="17.25" customHeight="1"/>
    <row r="35498" customFormat="1" ht="17.25" customHeight="1"/>
    <row r="35499" customFormat="1" ht="17.25" customHeight="1"/>
    <row r="35500" customFormat="1" ht="17.25" customHeight="1"/>
    <row r="35501" customFormat="1" ht="17.25" customHeight="1"/>
    <row r="35502" customFormat="1" ht="17.25" customHeight="1"/>
    <row r="35503" customFormat="1" ht="17.25" customHeight="1"/>
    <row r="35504" customFormat="1" ht="17.25" customHeight="1"/>
    <row r="35505" customFormat="1" ht="17.25" customHeight="1"/>
    <row r="35506" customFormat="1" ht="17.25" customHeight="1"/>
    <row r="35507" customFormat="1" ht="17.25" customHeight="1"/>
    <row r="35508" customFormat="1" ht="17.25" customHeight="1"/>
    <row r="35509" customFormat="1" ht="17.25" customHeight="1"/>
    <row r="35510" customFormat="1" ht="17.25" customHeight="1"/>
    <row r="35511" customFormat="1" ht="17.25" customHeight="1"/>
    <row r="35512" customFormat="1" ht="17.25" customHeight="1"/>
    <row r="35513" customFormat="1" ht="17.25" customHeight="1"/>
    <row r="35514" customFormat="1" ht="17.25" customHeight="1"/>
    <row r="35515" customFormat="1" ht="17.25" customHeight="1"/>
    <row r="35516" customFormat="1" ht="17.25" customHeight="1"/>
    <row r="35517" customFormat="1" ht="17.25" customHeight="1"/>
    <row r="35518" customFormat="1" ht="17.25" customHeight="1"/>
    <row r="35519" customFormat="1" ht="17.25" customHeight="1"/>
    <row r="35520" customFormat="1" ht="17.25" customHeight="1"/>
    <row r="35521" customFormat="1" ht="17.25" customHeight="1"/>
    <row r="35522" customFormat="1" ht="17.25" customHeight="1"/>
    <row r="35523" customFormat="1" ht="17.25" customHeight="1"/>
    <row r="35524" customFormat="1" ht="17.25" customHeight="1"/>
    <row r="35525" customFormat="1" ht="17.25" customHeight="1"/>
    <row r="35526" customFormat="1" ht="17.25" customHeight="1"/>
    <row r="35527" customFormat="1" ht="17.25" customHeight="1"/>
    <row r="35528" customFormat="1" ht="17.25" customHeight="1"/>
    <row r="35529" customFormat="1" ht="17.25" customHeight="1"/>
    <row r="35530" customFormat="1" ht="17.25" customHeight="1"/>
    <row r="35531" customFormat="1" ht="17.25" customHeight="1"/>
    <row r="35532" customFormat="1" ht="17.25" customHeight="1"/>
    <row r="35533" customFormat="1" ht="17.25" customHeight="1"/>
    <row r="35534" customFormat="1" ht="17.25" customHeight="1"/>
    <row r="35535" customFormat="1" ht="17.25" customHeight="1"/>
    <row r="35536" customFormat="1" ht="17.25" customHeight="1"/>
    <row r="35537" customFormat="1" ht="17.25" customHeight="1"/>
    <row r="35538" customFormat="1" ht="17.25" customHeight="1"/>
    <row r="35539" customFormat="1" ht="17.25" customHeight="1"/>
    <row r="35540" customFormat="1" ht="17.25" customHeight="1"/>
    <row r="35541" customFormat="1" ht="17.25" customHeight="1"/>
    <row r="35542" customFormat="1" ht="17.25" customHeight="1"/>
    <row r="35543" customFormat="1" ht="17.25" customHeight="1"/>
    <row r="35544" customFormat="1" ht="17.25" customHeight="1"/>
    <row r="35545" customFormat="1" ht="17.25" customHeight="1"/>
    <row r="35546" customFormat="1" ht="17.25" customHeight="1"/>
    <row r="35547" customFormat="1" ht="17.25" customHeight="1"/>
    <row r="35548" customFormat="1" ht="17.25" customHeight="1"/>
    <row r="35549" customFormat="1" ht="17.25" customHeight="1"/>
    <row r="35550" customFormat="1" ht="17.25" customHeight="1"/>
    <row r="35551" customFormat="1" ht="17.25" customHeight="1"/>
    <row r="35552" customFormat="1" ht="17.25" customHeight="1"/>
    <row r="35553" customFormat="1" ht="17.25" customHeight="1"/>
    <row r="35554" customFormat="1" ht="17.25" customHeight="1"/>
    <row r="35555" customFormat="1" ht="17.25" customHeight="1"/>
    <row r="35556" customFormat="1" ht="17.25" customHeight="1"/>
    <row r="35557" customFormat="1" ht="17.25" customHeight="1"/>
    <row r="35558" customFormat="1" ht="17.25" customHeight="1"/>
    <row r="35559" customFormat="1" ht="17.25" customHeight="1"/>
    <row r="35560" customFormat="1" ht="17.25" customHeight="1"/>
    <row r="35561" customFormat="1" ht="17.25" customHeight="1"/>
    <row r="35562" customFormat="1" ht="17.25" customHeight="1"/>
    <row r="35563" customFormat="1" ht="17.25" customHeight="1"/>
    <row r="35564" customFormat="1" ht="17.25" customHeight="1"/>
    <row r="35565" customFormat="1" ht="17.25" customHeight="1"/>
    <row r="35566" customFormat="1" ht="17.25" customHeight="1"/>
    <row r="35567" customFormat="1" ht="17.25" customHeight="1"/>
    <row r="35568" customFormat="1" ht="17.25" customHeight="1"/>
    <row r="35569" customFormat="1" ht="17.25" customHeight="1"/>
    <row r="35570" customFormat="1" ht="17.25" customHeight="1"/>
    <row r="35571" customFormat="1" ht="17.25" customHeight="1"/>
    <row r="35572" customFormat="1" ht="17.25" customHeight="1"/>
    <row r="35573" customFormat="1" ht="17.25" customHeight="1"/>
    <row r="35574" customFormat="1" ht="17.25" customHeight="1"/>
    <row r="35575" customFormat="1" ht="17.25" customHeight="1"/>
    <row r="35576" customFormat="1" ht="17.25" customHeight="1"/>
    <row r="35577" customFormat="1" ht="17.25" customHeight="1"/>
    <row r="35578" customFormat="1" ht="17.25" customHeight="1"/>
    <row r="35579" customFormat="1" ht="17.25" customHeight="1"/>
    <row r="35580" customFormat="1" ht="17.25" customHeight="1"/>
    <row r="35581" customFormat="1" ht="17.25" customHeight="1"/>
    <row r="35582" customFormat="1" ht="17.25" customHeight="1"/>
    <row r="35583" customFormat="1" ht="17.25" customHeight="1"/>
    <row r="35584" customFormat="1" ht="17.25" customHeight="1"/>
    <row r="35585" customFormat="1" ht="17.25" customHeight="1"/>
    <row r="35586" customFormat="1" ht="17.25" customHeight="1"/>
    <row r="35587" customFormat="1" ht="17.25" customHeight="1"/>
    <row r="35588" customFormat="1" ht="17.25" customHeight="1"/>
    <row r="35589" customFormat="1" ht="17.25" customHeight="1"/>
    <row r="35590" customFormat="1" ht="17.25" customHeight="1"/>
    <row r="35591" customFormat="1" ht="17.25" customHeight="1"/>
    <row r="35592" customFormat="1" ht="17.25" customHeight="1"/>
    <row r="35593" customFormat="1" ht="17.25" customHeight="1"/>
    <row r="35594" customFormat="1" ht="17.25" customHeight="1"/>
    <row r="35595" customFormat="1" ht="17.25" customHeight="1"/>
    <row r="35596" customFormat="1" ht="17.25" customHeight="1"/>
    <row r="35597" customFormat="1" ht="17.25" customHeight="1"/>
    <row r="35598" customFormat="1" ht="17.25" customHeight="1"/>
    <row r="35599" customFormat="1" ht="17.25" customHeight="1"/>
    <row r="35600" customFormat="1" ht="17.25" customHeight="1"/>
    <row r="35601" customFormat="1" ht="17.25" customHeight="1"/>
    <row r="35602" customFormat="1" ht="17.25" customHeight="1"/>
    <row r="35603" customFormat="1" ht="17.25" customHeight="1"/>
    <row r="35604" customFormat="1" ht="17.25" customHeight="1"/>
    <row r="35605" customFormat="1" ht="17.25" customHeight="1"/>
    <row r="35606" customFormat="1" ht="17.25" customHeight="1"/>
    <row r="35607" customFormat="1" ht="17.25" customHeight="1"/>
    <row r="35608" customFormat="1" ht="17.25" customHeight="1"/>
    <row r="35609" customFormat="1" ht="17.25" customHeight="1"/>
    <row r="35610" customFormat="1" ht="17.25" customHeight="1"/>
    <row r="35611" customFormat="1" ht="17.25" customHeight="1"/>
    <row r="35612" customFormat="1" ht="17.25" customHeight="1"/>
    <row r="35613" customFormat="1" ht="17.25" customHeight="1"/>
    <row r="35614" customFormat="1" ht="17.25" customHeight="1"/>
    <row r="35615" customFormat="1" ht="17.25" customHeight="1"/>
    <row r="35616" customFormat="1" ht="17.25" customHeight="1"/>
    <row r="35617" customFormat="1" ht="17.25" customHeight="1"/>
    <row r="35618" customFormat="1" ht="17.25" customHeight="1"/>
    <row r="35619" customFormat="1" ht="17.25" customHeight="1"/>
    <row r="35620" customFormat="1" ht="17.25" customHeight="1"/>
    <row r="35621" customFormat="1" ht="17.25" customHeight="1"/>
    <row r="35622" customFormat="1" ht="17.25" customHeight="1"/>
    <row r="35623" customFormat="1" ht="17.25" customHeight="1"/>
    <row r="35624" customFormat="1" ht="17.25" customHeight="1"/>
    <row r="35625" customFormat="1" ht="17.25" customHeight="1"/>
    <row r="35626" customFormat="1" ht="17.25" customHeight="1"/>
    <row r="35627" customFormat="1" ht="17.25" customHeight="1"/>
    <row r="35628" customFormat="1" ht="17.25" customHeight="1"/>
    <row r="35629" customFormat="1" ht="17.25" customHeight="1"/>
    <row r="35630" customFormat="1" ht="17.25" customHeight="1"/>
    <row r="35631" customFormat="1" ht="17.25" customHeight="1"/>
    <row r="35632" customFormat="1" ht="17.25" customHeight="1"/>
    <row r="35633" customFormat="1" ht="17.25" customHeight="1"/>
    <row r="35634" customFormat="1" ht="17.25" customHeight="1"/>
    <row r="35635" customFormat="1" ht="17.25" customHeight="1"/>
    <row r="35636" customFormat="1" ht="17.25" customHeight="1"/>
    <row r="35637" customFormat="1" ht="17.25" customHeight="1"/>
    <row r="35638" customFormat="1" ht="17.25" customHeight="1"/>
    <row r="35639" customFormat="1" ht="17.25" customHeight="1"/>
    <row r="35640" customFormat="1" ht="17.25" customHeight="1"/>
    <row r="35641" customFormat="1" ht="17.25" customHeight="1"/>
    <row r="35642" customFormat="1" ht="17.25" customHeight="1"/>
    <row r="35643" customFormat="1" ht="17.25" customHeight="1"/>
    <row r="35644" customFormat="1" ht="17.25" customHeight="1"/>
    <row r="35645" customFormat="1" ht="17.25" customHeight="1"/>
    <row r="35646" customFormat="1" ht="17.25" customHeight="1"/>
    <row r="35647" customFormat="1" ht="17.25" customHeight="1"/>
    <row r="35648" customFormat="1" ht="17.25" customHeight="1"/>
    <row r="35649" customFormat="1" ht="17.25" customHeight="1"/>
    <row r="35650" customFormat="1" ht="17.25" customHeight="1"/>
    <row r="35651" customFormat="1" ht="17.25" customHeight="1"/>
    <row r="35652" customFormat="1" ht="17.25" customHeight="1"/>
    <row r="35653" customFormat="1" ht="17.25" customHeight="1"/>
    <row r="35654" customFormat="1" ht="17.25" customHeight="1"/>
    <row r="35655" customFormat="1" ht="17.25" customHeight="1"/>
    <row r="35656" customFormat="1" ht="17.25" customHeight="1"/>
    <row r="35657" customFormat="1" ht="17.25" customHeight="1"/>
    <row r="35658" customFormat="1" ht="17.25" customHeight="1"/>
    <row r="35659" customFormat="1" ht="17.25" customHeight="1"/>
    <row r="35660" customFormat="1" ht="17.25" customHeight="1"/>
    <row r="35661" customFormat="1" ht="17.25" customHeight="1"/>
    <row r="35662" customFormat="1" ht="17.25" customHeight="1"/>
    <row r="35663" customFormat="1" ht="17.25" customHeight="1"/>
    <row r="35664" customFormat="1" ht="17.25" customHeight="1"/>
    <row r="35665" customFormat="1" ht="17.25" customHeight="1"/>
    <row r="35666" customFormat="1" ht="17.25" customHeight="1"/>
    <row r="35667" customFormat="1" ht="17.25" customHeight="1"/>
    <row r="35668" customFormat="1" ht="17.25" customHeight="1"/>
    <row r="35669" customFormat="1" ht="17.25" customHeight="1"/>
    <row r="35670" customFormat="1" ht="17.25" customHeight="1"/>
    <row r="35671" customFormat="1" ht="17.25" customHeight="1"/>
    <row r="35672" customFormat="1" ht="17.25" customHeight="1"/>
    <row r="35673" customFormat="1" ht="17.25" customHeight="1"/>
    <row r="35674" customFormat="1" ht="17.25" customHeight="1"/>
    <row r="35675" customFormat="1" ht="17.25" customHeight="1"/>
    <row r="35676" customFormat="1" ht="17.25" customHeight="1"/>
    <row r="35677" customFormat="1" ht="17.25" customHeight="1"/>
    <row r="35678" customFormat="1" ht="17.25" customHeight="1"/>
    <row r="35679" customFormat="1" ht="17.25" customHeight="1"/>
    <row r="35680" customFormat="1" ht="17.25" customHeight="1"/>
    <row r="35681" customFormat="1" ht="17.25" customHeight="1"/>
    <row r="35682" customFormat="1" ht="17.25" customHeight="1"/>
    <row r="35683" customFormat="1" ht="17.25" customHeight="1"/>
    <row r="35684" customFormat="1" ht="17.25" customHeight="1"/>
    <row r="35685" customFormat="1" ht="17.25" customHeight="1"/>
    <row r="35686" customFormat="1" ht="17.25" customHeight="1"/>
    <row r="35687" customFormat="1" ht="17.25" customHeight="1"/>
    <row r="35688" customFormat="1" ht="17.25" customHeight="1"/>
    <row r="35689" customFormat="1" ht="17.25" customHeight="1"/>
    <row r="35690" customFormat="1" ht="17.25" customHeight="1"/>
    <row r="35691" customFormat="1" ht="17.25" customHeight="1"/>
    <row r="35692" customFormat="1" ht="17.25" customHeight="1"/>
    <row r="35693" customFormat="1" ht="17.25" customHeight="1"/>
    <row r="35694" customFormat="1" ht="17.25" customHeight="1"/>
    <row r="35695" customFormat="1" ht="17.25" customHeight="1"/>
    <row r="35696" customFormat="1" ht="17.25" customHeight="1"/>
    <row r="35697" customFormat="1" ht="17.25" customHeight="1"/>
    <row r="35698" customFormat="1" ht="17.25" customHeight="1"/>
    <row r="35699" customFormat="1" ht="17.25" customHeight="1"/>
    <row r="35700" customFormat="1" ht="17.25" customHeight="1"/>
    <row r="35701" customFormat="1" ht="17.25" customHeight="1"/>
    <row r="35702" customFormat="1" ht="17.25" customHeight="1"/>
    <row r="35703" customFormat="1" ht="17.25" customHeight="1"/>
    <row r="35704" customFormat="1" ht="17.25" customHeight="1"/>
    <row r="35705" customFormat="1" ht="17.25" customHeight="1"/>
    <row r="35706" customFormat="1" ht="17.25" customHeight="1"/>
    <row r="35707" customFormat="1" ht="17.25" customHeight="1"/>
    <row r="35708" customFormat="1" ht="17.25" customHeight="1"/>
    <row r="35709" customFormat="1" ht="17.25" customHeight="1"/>
    <row r="35710" customFormat="1" ht="17.25" customHeight="1"/>
    <row r="35711" customFormat="1" ht="17.25" customHeight="1"/>
    <row r="35712" customFormat="1" ht="17.25" customHeight="1"/>
    <row r="35713" customFormat="1" ht="17.25" customHeight="1"/>
    <row r="35714" customFormat="1" ht="17.25" customHeight="1"/>
    <row r="35715" customFormat="1" ht="17.25" customHeight="1"/>
    <row r="35716" customFormat="1" ht="17.25" customHeight="1"/>
    <row r="35717" customFormat="1" ht="17.25" customHeight="1"/>
    <row r="35718" customFormat="1" ht="17.25" customHeight="1"/>
    <row r="35719" customFormat="1" ht="17.25" customHeight="1"/>
    <row r="35720" customFormat="1" ht="17.25" customHeight="1"/>
    <row r="35721" customFormat="1" ht="17.25" customHeight="1"/>
    <row r="35722" customFormat="1" ht="17.25" customHeight="1"/>
    <row r="35723" customFormat="1" ht="17.25" customHeight="1"/>
    <row r="35724" customFormat="1" ht="17.25" customHeight="1"/>
    <row r="35725" customFormat="1" ht="17.25" customHeight="1"/>
    <row r="35726" customFormat="1" ht="17.25" customHeight="1"/>
    <row r="35727" customFormat="1" ht="17.25" customHeight="1"/>
    <row r="35728" customFormat="1" ht="17.25" customHeight="1"/>
    <row r="35729" customFormat="1" ht="17.25" customHeight="1"/>
    <row r="35730" customFormat="1" ht="17.25" customHeight="1"/>
    <row r="35731" customFormat="1" ht="17.25" customHeight="1"/>
    <row r="35732" customFormat="1" ht="17.25" customHeight="1"/>
    <row r="35733" customFormat="1" ht="17.25" customHeight="1"/>
    <row r="35734" customFormat="1" ht="17.25" customHeight="1"/>
    <row r="35735" customFormat="1" ht="17.25" customHeight="1"/>
    <row r="35736" customFormat="1" ht="17.25" customHeight="1"/>
    <row r="35737" customFormat="1" ht="17.25" customHeight="1"/>
    <row r="35738" customFormat="1" ht="17.25" customHeight="1"/>
    <row r="35739" customFormat="1" ht="17.25" customHeight="1"/>
    <row r="35740" customFormat="1" ht="17.25" customHeight="1"/>
    <row r="35741" customFormat="1" ht="17.25" customHeight="1"/>
    <row r="35742" customFormat="1" ht="17.25" customHeight="1"/>
    <row r="35743" customFormat="1" ht="17.25" customHeight="1"/>
    <row r="35744" customFormat="1" ht="17.25" customHeight="1"/>
    <row r="35745" customFormat="1" ht="17.25" customHeight="1"/>
    <row r="35746" customFormat="1" ht="17.25" customHeight="1"/>
    <row r="35747" customFormat="1" ht="17.25" customHeight="1"/>
    <row r="35748" customFormat="1" ht="17.25" customHeight="1"/>
    <row r="35749" customFormat="1" ht="17.25" customHeight="1"/>
    <row r="35750" customFormat="1" ht="17.25" customHeight="1"/>
    <row r="35751" customFormat="1" ht="17.25" customHeight="1"/>
    <row r="35752" customFormat="1" ht="17.25" customHeight="1"/>
    <row r="35753" customFormat="1" ht="17.25" customHeight="1"/>
    <row r="35754" customFormat="1" ht="17.25" customHeight="1"/>
    <row r="35755" customFormat="1" ht="17.25" customHeight="1"/>
    <row r="35756" customFormat="1" ht="17.25" customHeight="1"/>
    <row r="35757" customFormat="1" ht="17.25" customHeight="1"/>
    <row r="35758" customFormat="1" ht="17.25" customHeight="1"/>
    <row r="35759" customFormat="1" ht="17.25" customHeight="1"/>
    <row r="35760" customFormat="1" ht="17.25" customHeight="1"/>
    <row r="35761" customFormat="1" ht="17.25" customHeight="1"/>
    <row r="35762" customFormat="1" ht="17.25" customHeight="1"/>
    <row r="35763" customFormat="1" ht="17.25" customHeight="1"/>
    <row r="35764" customFormat="1" ht="17.25" customHeight="1"/>
    <row r="35765" customFormat="1" ht="17.25" customHeight="1"/>
    <row r="35766" customFormat="1" ht="17.25" customHeight="1"/>
    <row r="35767" customFormat="1" ht="17.25" customHeight="1"/>
    <row r="35768" customFormat="1" ht="17.25" customHeight="1"/>
    <row r="35769" customFormat="1" ht="17.25" customHeight="1"/>
    <row r="35770" customFormat="1" ht="17.25" customHeight="1"/>
    <row r="35771" customFormat="1" ht="17.25" customHeight="1"/>
    <row r="35772" customFormat="1" ht="17.25" customHeight="1"/>
    <row r="35773" customFormat="1" ht="17.25" customHeight="1"/>
    <row r="35774" customFormat="1" ht="17.25" customHeight="1"/>
    <row r="35775" customFormat="1" ht="17.25" customHeight="1"/>
    <row r="35776" customFormat="1" ht="17.25" customHeight="1"/>
    <row r="35777" customFormat="1" ht="17.25" customHeight="1"/>
    <row r="35778" customFormat="1" ht="17.25" customHeight="1"/>
    <row r="35779" customFormat="1" ht="17.25" customHeight="1"/>
    <row r="35780" customFormat="1" ht="17.25" customHeight="1"/>
    <row r="35781" customFormat="1" ht="17.25" customHeight="1"/>
    <row r="35782" customFormat="1" ht="17.25" customHeight="1"/>
    <row r="35783" customFormat="1" ht="17.25" customHeight="1"/>
    <row r="35784" customFormat="1" ht="17.25" customHeight="1"/>
    <row r="35785" customFormat="1" ht="17.25" customHeight="1"/>
    <row r="35786" customFormat="1" ht="17.25" customHeight="1"/>
    <row r="35787" customFormat="1" ht="17.25" customHeight="1"/>
    <row r="35788" customFormat="1" ht="17.25" customHeight="1"/>
    <row r="35789" customFormat="1" ht="17.25" customHeight="1"/>
    <row r="35790" customFormat="1" ht="17.25" customHeight="1"/>
    <row r="35791" customFormat="1" ht="17.25" customHeight="1"/>
    <row r="35792" customFormat="1" ht="17.25" customHeight="1"/>
    <row r="35793" customFormat="1" ht="17.25" customHeight="1"/>
    <row r="35794" customFormat="1" ht="17.25" customHeight="1"/>
    <row r="35795" customFormat="1" ht="17.25" customHeight="1"/>
    <row r="35796" customFormat="1" ht="17.25" customHeight="1"/>
    <row r="35797" customFormat="1" ht="17.25" customHeight="1"/>
    <row r="35798" customFormat="1" ht="17.25" customHeight="1"/>
    <row r="35799" customFormat="1" ht="17.25" customHeight="1"/>
    <row r="35800" customFormat="1" ht="17.25" customHeight="1"/>
    <row r="35801" customFormat="1" ht="17.25" customHeight="1"/>
    <row r="35802" customFormat="1" ht="17.25" customHeight="1"/>
    <row r="35803" customFormat="1" ht="17.25" customHeight="1"/>
    <row r="35804" customFormat="1" ht="17.25" customHeight="1"/>
    <row r="35805" customFormat="1" ht="17.25" customHeight="1"/>
    <row r="35806" customFormat="1" ht="17.25" customHeight="1"/>
    <row r="35807" customFormat="1" ht="17.25" customHeight="1"/>
    <row r="35808" customFormat="1" ht="17.25" customHeight="1"/>
    <row r="35809" customFormat="1" ht="17.25" customHeight="1"/>
    <row r="35810" customFormat="1" ht="17.25" customHeight="1"/>
    <row r="35811" customFormat="1" ht="17.25" customHeight="1"/>
    <row r="35812" customFormat="1" ht="17.25" customHeight="1"/>
    <row r="35813" customFormat="1" ht="17.25" customHeight="1"/>
    <row r="35814" customFormat="1" ht="17.25" customHeight="1"/>
    <row r="35815" customFormat="1" ht="17.25" customHeight="1"/>
    <row r="35816" customFormat="1" ht="17.25" customHeight="1"/>
    <row r="35817" customFormat="1" ht="17.25" customHeight="1"/>
    <row r="35818" customFormat="1" ht="17.25" customHeight="1"/>
    <row r="35819" customFormat="1" ht="17.25" customHeight="1"/>
    <row r="35820" customFormat="1" ht="17.25" customHeight="1"/>
    <row r="35821" customFormat="1" ht="17.25" customHeight="1"/>
    <row r="35822" customFormat="1" ht="17.25" customHeight="1"/>
    <row r="35823" customFormat="1" ht="17.25" customHeight="1"/>
    <row r="35824" customFormat="1" ht="17.25" customHeight="1"/>
    <row r="35825" customFormat="1" ht="17.25" customHeight="1"/>
    <row r="35826" customFormat="1" ht="17.25" customHeight="1"/>
    <row r="35827" customFormat="1" ht="17.25" customHeight="1"/>
    <row r="35828" customFormat="1" ht="17.25" customHeight="1"/>
    <row r="35829" customFormat="1" ht="17.25" customHeight="1"/>
    <row r="35830" customFormat="1" ht="17.25" customHeight="1"/>
    <row r="35831" customFormat="1" ht="17.25" customHeight="1"/>
    <row r="35832" customFormat="1" ht="17.25" customHeight="1"/>
    <row r="35833" customFormat="1" ht="17.25" customHeight="1"/>
    <row r="35834" customFormat="1" ht="17.25" customHeight="1"/>
    <row r="35835" customFormat="1" ht="17.25" customHeight="1"/>
    <row r="35836" customFormat="1" ht="17.25" customHeight="1"/>
    <row r="35837" customFormat="1" ht="17.25" customHeight="1"/>
    <row r="35838" customFormat="1" ht="17.25" customHeight="1"/>
    <row r="35839" customFormat="1" ht="17.25" customHeight="1"/>
    <row r="35840" customFormat="1" ht="17.25" customHeight="1"/>
    <row r="35841" customFormat="1" ht="17.25" customHeight="1"/>
    <row r="35842" customFormat="1" ht="17.25" customHeight="1"/>
    <row r="35843" customFormat="1" ht="17.25" customHeight="1"/>
    <row r="35844" customFormat="1" ht="17.25" customHeight="1"/>
    <row r="35845" customFormat="1" ht="17.25" customHeight="1"/>
    <row r="35846" customFormat="1" ht="17.25" customHeight="1"/>
    <row r="35847" customFormat="1" ht="17.25" customHeight="1"/>
    <row r="35848" customFormat="1" ht="17.25" customHeight="1"/>
    <row r="35849" customFormat="1" ht="17.25" customHeight="1"/>
    <row r="35850" customFormat="1" ht="17.25" customHeight="1"/>
    <row r="35851" customFormat="1" ht="17.25" customHeight="1"/>
    <row r="35852" customFormat="1" ht="17.25" customHeight="1"/>
    <row r="35853" customFormat="1" ht="17.25" customHeight="1"/>
    <row r="35854" customFormat="1" ht="17.25" customHeight="1"/>
    <row r="35855" customFormat="1" ht="17.25" customHeight="1"/>
    <row r="35856" customFormat="1" ht="17.25" customHeight="1"/>
    <row r="35857" customFormat="1" ht="17.25" customHeight="1"/>
    <row r="35858" customFormat="1" ht="17.25" customHeight="1"/>
    <row r="35859" customFormat="1" ht="17.25" customHeight="1"/>
    <row r="35860" customFormat="1" ht="17.25" customHeight="1"/>
    <row r="35861" customFormat="1" ht="17.25" customHeight="1"/>
    <row r="35862" customFormat="1" ht="17.25" customHeight="1"/>
    <row r="35863" customFormat="1" ht="17.25" customHeight="1"/>
    <row r="35864" customFormat="1" ht="17.25" customHeight="1"/>
    <row r="35865" customFormat="1" ht="17.25" customHeight="1"/>
    <row r="35866" customFormat="1" ht="17.25" customHeight="1"/>
    <row r="35867" customFormat="1" ht="17.25" customHeight="1"/>
    <row r="35868" customFormat="1" ht="17.25" customHeight="1"/>
    <row r="35869" customFormat="1" ht="17.25" customHeight="1"/>
    <row r="35870" customFormat="1" ht="17.25" customHeight="1"/>
    <row r="35871" customFormat="1" ht="17.25" customHeight="1"/>
    <row r="35872" customFormat="1" ht="17.25" customHeight="1"/>
    <row r="35873" customFormat="1" ht="17.25" customHeight="1"/>
    <row r="35874" customFormat="1" ht="17.25" customHeight="1"/>
    <row r="35875" customFormat="1" ht="17.25" customHeight="1"/>
    <row r="35876" customFormat="1" ht="17.25" customHeight="1"/>
    <row r="35877" customFormat="1" ht="17.25" customHeight="1"/>
    <row r="35878" customFormat="1" ht="17.25" customHeight="1"/>
    <row r="35879" customFormat="1" ht="17.25" customHeight="1"/>
    <row r="35880" customFormat="1" ht="17.25" customHeight="1"/>
    <row r="35881" customFormat="1" ht="17.25" customHeight="1"/>
    <row r="35882" customFormat="1" ht="17.25" customHeight="1"/>
    <row r="35883" customFormat="1" ht="17.25" customHeight="1"/>
    <row r="35884" customFormat="1" ht="17.25" customHeight="1"/>
    <row r="35885" customFormat="1" ht="17.25" customHeight="1"/>
    <row r="35886" customFormat="1" ht="17.25" customHeight="1"/>
    <row r="35887" customFormat="1" ht="17.25" customHeight="1"/>
    <row r="35888" customFormat="1" ht="17.25" customHeight="1"/>
    <row r="35889" customFormat="1" ht="17.25" customHeight="1"/>
    <row r="35890" customFormat="1" ht="17.25" customHeight="1"/>
    <row r="35891" customFormat="1" ht="17.25" customHeight="1"/>
    <row r="35892" customFormat="1" ht="17.25" customHeight="1"/>
    <row r="35893" customFormat="1" ht="17.25" customHeight="1"/>
    <row r="35894" customFormat="1" ht="17.25" customHeight="1"/>
    <row r="35895" customFormat="1" ht="17.25" customHeight="1"/>
    <row r="35896" customFormat="1" ht="17.25" customHeight="1"/>
    <row r="35897" customFormat="1" ht="17.25" customHeight="1"/>
    <row r="35898" customFormat="1" ht="17.25" customHeight="1"/>
    <row r="35899" customFormat="1" ht="17.25" customHeight="1"/>
    <row r="35900" customFormat="1" ht="17.25" customHeight="1"/>
    <row r="35901" customFormat="1" ht="17.25" customHeight="1"/>
    <row r="35902" customFormat="1" ht="17.25" customHeight="1"/>
    <row r="35903" customFormat="1" ht="17.25" customHeight="1"/>
    <row r="35904" customFormat="1" ht="17.25" customHeight="1"/>
    <row r="35905" customFormat="1" ht="17.25" customHeight="1"/>
    <row r="35906" customFormat="1" ht="17.25" customHeight="1"/>
    <row r="35907" customFormat="1" ht="17.25" customHeight="1"/>
    <row r="35908" customFormat="1" ht="17.25" customHeight="1"/>
    <row r="35909" customFormat="1" ht="17.25" customHeight="1"/>
    <row r="35910" customFormat="1" ht="17.25" customHeight="1"/>
    <row r="35911" customFormat="1" ht="17.25" customHeight="1"/>
    <row r="35912" customFormat="1" ht="17.25" customHeight="1"/>
    <row r="35913" customFormat="1" ht="17.25" customHeight="1"/>
    <row r="35914" customFormat="1" ht="17.25" customHeight="1"/>
    <row r="35915" customFormat="1" ht="17.25" customHeight="1"/>
    <row r="35916" customFormat="1" ht="17.25" customHeight="1"/>
    <row r="35917" customFormat="1" ht="17.25" customHeight="1"/>
    <row r="35918" customFormat="1" ht="17.25" customHeight="1"/>
    <row r="35919" customFormat="1" ht="17.25" customHeight="1"/>
    <row r="35920" customFormat="1" ht="17.25" customHeight="1"/>
    <row r="35921" customFormat="1" ht="17.25" customHeight="1"/>
    <row r="35922" customFormat="1" ht="17.25" customHeight="1"/>
    <row r="35923" customFormat="1" ht="17.25" customHeight="1"/>
    <row r="35924" customFormat="1" ht="17.25" customHeight="1"/>
    <row r="35925" customFormat="1" ht="17.25" customHeight="1"/>
    <row r="35926" customFormat="1" ht="17.25" customHeight="1"/>
    <row r="35927" customFormat="1" ht="17.25" customHeight="1"/>
    <row r="35928" customFormat="1" ht="17.25" customHeight="1"/>
    <row r="35929" customFormat="1" ht="17.25" customHeight="1"/>
    <row r="35930" customFormat="1" ht="17.25" customHeight="1"/>
    <row r="35931" customFormat="1" ht="17.25" customHeight="1"/>
    <row r="35932" customFormat="1" ht="17.25" customHeight="1"/>
    <row r="35933" customFormat="1" ht="17.25" customHeight="1"/>
    <row r="35934" customFormat="1" ht="17.25" customHeight="1"/>
    <row r="35935" customFormat="1" ht="17.25" customHeight="1"/>
    <row r="35936" customFormat="1" ht="17.25" customHeight="1"/>
    <row r="35937" customFormat="1" ht="17.25" customHeight="1"/>
    <row r="35938" customFormat="1" ht="17.25" customHeight="1"/>
    <row r="35939" customFormat="1" ht="17.25" customHeight="1"/>
    <row r="35940" customFormat="1" ht="17.25" customHeight="1"/>
    <row r="35941" customFormat="1" ht="17.25" customHeight="1"/>
    <row r="35942" customFormat="1" ht="17.25" customHeight="1"/>
    <row r="35943" customFormat="1" ht="17.25" customHeight="1"/>
    <row r="35944" customFormat="1" ht="17.25" customHeight="1"/>
    <row r="35945" customFormat="1" ht="17.25" customHeight="1"/>
    <row r="35946" customFormat="1" ht="17.25" customHeight="1"/>
    <row r="35947" customFormat="1" ht="17.25" customHeight="1"/>
    <row r="35948" customFormat="1" ht="17.25" customHeight="1"/>
    <row r="35949" customFormat="1" ht="17.25" customHeight="1"/>
    <row r="35950" customFormat="1" ht="17.25" customHeight="1"/>
    <row r="35951" customFormat="1" ht="17.25" customHeight="1"/>
    <row r="35952" customFormat="1" ht="17.25" customHeight="1"/>
    <row r="35953" customFormat="1" ht="17.25" customHeight="1"/>
    <row r="35954" customFormat="1" ht="17.25" customHeight="1"/>
    <row r="35955" customFormat="1" ht="17.25" customHeight="1"/>
    <row r="35956" customFormat="1" ht="17.25" customHeight="1"/>
    <row r="35957" customFormat="1" ht="17.25" customHeight="1"/>
    <row r="35958" customFormat="1" ht="17.25" customHeight="1"/>
    <row r="35959" customFormat="1" ht="17.25" customHeight="1"/>
    <row r="35960" customFormat="1" ht="17.25" customHeight="1"/>
    <row r="35961" customFormat="1" ht="17.25" customHeight="1"/>
    <row r="35962" customFormat="1" ht="17.25" customHeight="1"/>
    <row r="35963" customFormat="1" ht="17.25" customHeight="1"/>
    <row r="35964" customFormat="1" ht="17.25" customHeight="1"/>
    <row r="35965" customFormat="1" ht="17.25" customHeight="1"/>
    <row r="35966" customFormat="1" ht="17.25" customHeight="1"/>
    <row r="35967" customFormat="1" ht="17.25" customHeight="1"/>
    <row r="35968" customFormat="1" ht="17.25" customHeight="1"/>
    <row r="35969" customFormat="1" ht="17.25" customHeight="1"/>
    <row r="35970" customFormat="1" ht="17.25" customHeight="1"/>
    <row r="35971" customFormat="1" ht="17.25" customHeight="1"/>
    <row r="35972" customFormat="1" ht="17.25" customHeight="1"/>
    <row r="35973" customFormat="1" ht="17.25" customHeight="1"/>
    <row r="35974" customFormat="1" ht="17.25" customHeight="1"/>
    <row r="35975" customFormat="1" ht="17.25" customHeight="1"/>
    <row r="35976" customFormat="1" ht="17.25" customHeight="1"/>
    <row r="35977" customFormat="1" ht="17.25" customHeight="1"/>
    <row r="35978" customFormat="1" ht="17.25" customHeight="1"/>
    <row r="35979" customFormat="1" ht="17.25" customHeight="1"/>
    <row r="35980" customFormat="1" ht="17.25" customHeight="1"/>
    <row r="35981" customFormat="1" ht="17.25" customHeight="1"/>
    <row r="35982" customFormat="1" ht="17.25" customHeight="1"/>
    <row r="35983" customFormat="1" ht="17.25" customHeight="1"/>
    <row r="35984" customFormat="1" ht="17.25" customHeight="1"/>
    <row r="35985" customFormat="1" ht="17.25" customHeight="1"/>
    <row r="35986" customFormat="1" ht="17.25" customHeight="1"/>
    <row r="35987" customFormat="1" ht="17.25" customHeight="1"/>
    <row r="35988" customFormat="1" ht="17.25" customHeight="1"/>
    <row r="35989" customFormat="1" ht="17.25" customHeight="1"/>
    <row r="35990" customFormat="1" ht="17.25" customHeight="1"/>
    <row r="35991" customFormat="1" ht="17.25" customHeight="1"/>
    <row r="35992" customFormat="1" ht="17.25" customHeight="1"/>
    <row r="35993" customFormat="1" ht="17.25" customHeight="1"/>
    <row r="35994" customFormat="1" ht="17.25" customHeight="1"/>
    <row r="35995" customFormat="1" ht="17.25" customHeight="1"/>
    <row r="35996" customFormat="1" ht="17.25" customHeight="1"/>
    <row r="35997" customFormat="1" ht="17.25" customHeight="1"/>
    <row r="35998" customFormat="1" ht="17.25" customHeight="1"/>
    <row r="35999" customFormat="1" ht="17.25" customHeight="1"/>
    <row r="36000" customFormat="1" ht="17.25" customHeight="1"/>
    <row r="36001" customFormat="1" ht="17.25" customHeight="1"/>
    <row r="36002" customFormat="1" ht="17.25" customHeight="1"/>
    <row r="36003" customFormat="1" ht="17.25" customHeight="1"/>
    <row r="36004" customFormat="1" ht="17.25" customHeight="1"/>
    <row r="36005" customFormat="1" ht="17.25" customHeight="1"/>
    <row r="36006" customFormat="1" ht="17.25" customHeight="1"/>
    <row r="36007" customFormat="1" ht="17.25" customHeight="1"/>
    <row r="36008" customFormat="1" ht="17.25" customHeight="1"/>
    <row r="36009" customFormat="1" ht="17.25" customHeight="1"/>
    <row r="36010" customFormat="1" ht="17.25" customHeight="1"/>
    <row r="36011" customFormat="1" ht="17.25" customHeight="1"/>
    <row r="36012" customFormat="1" ht="17.25" customHeight="1"/>
    <row r="36013" customFormat="1" ht="17.25" customHeight="1"/>
    <row r="36014" customFormat="1" ht="17.25" customHeight="1"/>
    <row r="36015" customFormat="1" ht="17.25" customHeight="1"/>
    <row r="36016" customFormat="1" ht="17.25" customHeight="1"/>
    <row r="36017" customFormat="1" ht="17.25" customHeight="1"/>
    <row r="36018" customFormat="1" ht="17.25" customHeight="1"/>
    <row r="36019" customFormat="1" ht="17.25" customHeight="1"/>
    <row r="36020" customFormat="1" ht="17.25" customHeight="1"/>
    <row r="36021" customFormat="1" ht="17.25" customHeight="1"/>
    <row r="36022" customFormat="1" ht="17.25" customHeight="1"/>
    <row r="36023" customFormat="1" ht="17.25" customHeight="1"/>
    <row r="36024" customFormat="1" ht="17.25" customHeight="1"/>
    <row r="36025" customFormat="1" ht="17.25" customHeight="1"/>
    <row r="36026" customFormat="1" ht="17.25" customHeight="1"/>
    <row r="36027" customFormat="1" ht="17.25" customHeight="1"/>
    <row r="36028" customFormat="1" ht="17.25" customHeight="1"/>
    <row r="36029" customFormat="1" ht="17.25" customHeight="1"/>
    <row r="36030" customFormat="1" ht="17.25" customHeight="1"/>
    <row r="36031" customFormat="1" ht="17.25" customHeight="1"/>
    <row r="36032" customFormat="1" ht="17.25" customHeight="1"/>
    <row r="36033" customFormat="1" ht="17.25" customHeight="1"/>
    <row r="36034" customFormat="1" ht="17.25" customHeight="1"/>
    <row r="36035" customFormat="1" ht="17.25" customHeight="1"/>
    <row r="36036" customFormat="1" ht="17.25" customHeight="1"/>
    <row r="36037" customFormat="1" ht="17.25" customHeight="1"/>
    <row r="36038" customFormat="1" ht="17.25" customHeight="1"/>
    <row r="36039" customFormat="1" ht="17.25" customHeight="1"/>
    <row r="36040" customFormat="1" ht="17.25" customHeight="1"/>
    <row r="36041" customFormat="1" ht="17.25" customHeight="1"/>
    <row r="36042" customFormat="1" ht="17.25" customHeight="1"/>
    <row r="36043" customFormat="1" ht="17.25" customHeight="1"/>
    <row r="36044" customFormat="1" ht="17.25" customHeight="1"/>
    <row r="36045" customFormat="1" ht="17.25" customHeight="1"/>
    <row r="36046" customFormat="1" ht="17.25" customHeight="1"/>
    <row r="36047" customFormat="1" ht="17.25" customHeight="1"/>
    <row r="36048" customFormat="1" ht="17.25" customHeight="1"/>
    <row r="36049" customFormat="1" ht="17.25" customHeight="1"/>
    <row r="36050" customFormat="1" ht="17.25" customHeight="1"/>
    <row r="36051" customFormat="1" ht="17.25" customHeight="1"/>
    <row r="36052" customFormat="1" ht="17.25" customHeight="1"/>
    <row r="36053" customFormat="1" ht="17.25" customHeight="1"/>
    <row r="36054" customFormat="1" ht="17.25" customHeight="1"/>
    <row r="36055" customFormat="1" ht="17.25" customHeight="1"/>
    <row r="36056" customFormat="1" ht="17.25" customHeight="1"/>
    <row r="36057" customFormat="1" ht="17.25" customHeight="1"/>
    <row r="36058" customFormat="1" ht="17.25" customHeight="1"/>
    <row r="36059" customFormat="1" ht="17.25" customHeight="1"/>
    <row r="36060" customFormat="1" ht="17.25" customHeight="1"/>
    <row r="36061" customFormat="1" ht="17.25" customHeight="1"/>
    <row r="36062" customFormat="1" ht="17.25" customHeight="1"/>
    <row r="36063" customFormat="1" ht="17.25" customHeight="1"/>
    <row r="36064" customFormat="1" ht="17.25" customHeight="1"/>
    <row r="36065" customFormat="1" ht="17.25" customHeight="1"/>
    <row r="36066" customFormat="1" ht="17.25" customHeight="1"/>
    <row r="36067" customFormat="1" ht="17.25" customHeight="1"/>
    <row r="36068" customFormat="1" ht="17.25" customHeight="1"/>
    <row r="36069" customFormat="1" ht="17.25" customHeight="1"/>
    <row r="36070" customFormat="1" ht="17.25" customHeight="1"/>
    <row r="36071" customFormat="1" ht="17.25" customHeight="1"/>
    <row r="36072" customFormat="1" ht="17.25" customHeight="1"/>
    <row r="36073" customFormat="1" ht="17.25" customHeight="1"/>
    <row r="36074" customFormat="1" ht="17.25" customHeight="1"/>
    <row r="36075" customFormat="1" ht="17.25" customHeight="1"/>
    <row r="36076" customFormat="1" ht="17.25" customHeight="1"/>
    <row r="36077" customFormat="1" ht="17.25" customHeight="1"/>
    <row r="36078" customFormat="1" ht="17.25" customHeight="1"/>
    <row r="36079" customFormat="1" ht="17.25" customHeight="1"/>
    <row r="36080" customFormat="1" ht="17.25" customHeight="1"/>
    <row r="36081" customFormat="1" ht="17.25" customHeight="1"/>
    <row r="36082" customFormat="1" ht="17.25" customHeight="1"/>
    <row r="36083" customFormat="1" ht="17.25" customHeight="1"/>
    <row r="36084" customFormat="1" ht="17.25" customHeight="1"/>
    <row r="36085" customFormat="1" ht="17.25" customHeight="1"/>
    <row r="36086" customFormat="1" ht="17.25" customHeight="1"/>
    <row r="36087" customFormat="1" ht="17.25" customHeight="1"/>
    <row r="36088" customFormat="1" ht="17.25" customHeight="1"/>
    <row r="36089" customFormat="1" ht="17.25" customHeight="1"/>
    <row r="36090" customFormat="1" ht="17.25" customHeight="1"/>
    <row r="36091" customFormat="1" ht="17.25" customHeight="1"/>
    <row r="36092" customFormat="1" ht="17.25" customHeight="1"/>
    <row r="36093" customFormat="1" ht="17.25" customHeight="1"/>
    <row r="36094" customFormat="1" ht="17.25" customHeight="1"/>
    <row r="36095" customFormat="1" ht="17.25" customHeight="1"/>
    <row r="36096" customFormat="1" ht="17.25" customHeight="1"/>
    <row r="36097" customFormat="1" ht="17.25" customHeight="1"/>
    <row r="36098" customFormat="1" ht="17.25" customHeight="1"/>
    <row r="36099" customFormat="1" ht="17.25" customHeight="1"/>
    <row r="36100" customFormat="1" ht="17.25" customHeight="1"/>
    <row r="36101" customFormat="1" ht="17.25" customHeight="1"/>
    <row r="36102" customFormat="1" ht="17.25" customHeight="1"/>
    <row r="36103" customFormat="1" ht="17.25" customHeight="1"/>
    <row r="36104" customFormat="1" ht="17.25" customHeight="1"/>
    <row r="36105" customFormat="1" ht="17.25" customHeight="1"/>
    <row r="36106" customFormat="1" ht="17.25" customHeight="1"/>
    <row r="36107" customFormat="1" ht="17.25" customHeight="1"/>
    <row r="36108" customFormat="1" ht="17.25" customHeight="1"/>
    <row r="36109" customFormat="1" ht="17.25" customHeight="1"/>
    <row r="36110" customFormat="1" ht="17.25" customHeight="1"/>
    <row r="36111" customFormat="1" ht="17.25" customHeight="1"/>
    <row r="36112" customFormat="1" ht="17.25" customHeight="1"/>
    <row r="36113" customFormat="1" ht="17.25" customHeight="1"/>
    <row r="36114" customFormat="1" ht="17.25" customHeight="1"/>
    <row r="36115" customFormat="1" ht="17.25" customHeight="1"/>
    <row r="36116" customFormat="1" ht="17.25" customHeight="1"/>
    <row r="36117" customFormat="1" ht="17.25" customHeight="1"/>
    <row r="36118" customFormat="1" ht="17.25" customHeight="1"/>
    <row r="36119" customFormat="1" ht="17.25" customHeight="1"/>
    <row r="36120" customFormat="1" ht="17.25" customHeight="1"/>
    <row r="36121" customFormat="1" ht="17.25" customHeight="1"/>
    <row r="36122" customFormat="1" ht="17.25" customHeight="1"/>
    <row r="36123" customFormat="1" ht="17.25" customHeight="1"/>
    <row r="36124" customFormat="1" ht="17.25" customHeight="1"/>
    <row r="36125" customFormat="1" ht="17.25" customHeight="1"/>
    <row r="36126" customFormat="1" ht="17.25" customHeight="1"/>
    <row r="36127" customFormat="1" ht="17.25" customHeight="1"/>
    <row r="36128" customFormat="1" ht="17.25" customHeight="1"/>
    <row r="36129" customFormat="1" ht="17.25" customHeight="1"/>
    <row r="36130" customFormat="1" ht="17.25" customHeight="1"/>
    <row r="36131" customFormat="1" ht="17.25" customHeight="1"/>
    <row r="36132" customFormat="1" ht="17.25" customHeight="1"/>
    <row r="36133" customFormat="1" ht="17.25" customHeight="1"/>
    <row r="36134" customFormat="1" ht="17.25" customHeight="1"/>
    <row r="36135" customFormat="1" ht="17.25" customHeight="1"/>
    <row r="36136" customFormat="1" ht="17.25" customHeight="1"/>
    <row r="36137" customFormat="1" ht="17.25" customHeight="1"/>
    <row r="36138" customFormat="1" ht="17.25" customHeight="1"/>
    <row r="36139" customFormat="1" ht="17.25" customHeight="1"/>
    <row r="36140" customFormat="1" ht="17.25" customHeight="1"/>
    <row r="36141" customFormat="1" ht="17.25" customHeight="1"/>
    <row r="36142" customFormat="1" ht="17.25" customHeight="1"/>
    <row r="36143" customFormat="1" ht="17.25" customHeight="1"/>
    <row r="36144" customFormat="1" ht="17.25" customHeight="1"/>
    <row r="36145" customFormat="1" ht="17.25" customHeight="1"/>
    <row r="36146" customFormat="1" ht="17.25" customHeight="1"/>
    <row r="36147" customFormat="1" ht="17.25" customHeight="1"/>
    <row r="36148" customFormat="1" ht="17.25" customHeight="1"/>
    <row r="36149" customFormat="1" ht="17.25" customHeight="1"/>
    <row r="36150" customFormat="1" ht="17.25" customHeight="1"/>
    <row r="36151" customFormat="1" ht="17.25" customHeight="1"/>
    <row r="36152" customFormat="1" ht="17.25" customHeight="1"/>
    <row r="36153" customFormat="1" ht="17.25" customHeight="1"/>
    <row r="36154" customFormat="1" ht="17.25" customHeight="1"/>
    <row r="36155" customFormat="1" ht="17.25" customHeight="1"/>
    <row r="36156" customFormat="1" ht="17.25" customHeight="1"/>
    <row r="36157" customFormat="1" ht="17.25" customHeight="1"/>
    <row r="36158" customFormat="1" ht="17.25" customHeight="1"/>
    <row r="36159" customFormat="1" ht="17.25" customHeight="1"/>
    <row r="36160" customFormat="1" ht="17.25" customHeight="1"/>
    <row r="36161" customFormat="1" ht="17.25" customHeight="1"/>
    <row r="36162" customFormat="1" ht="17.25" customHeight="1"/>
    <row r="36163" customFormat="1" ht="17.25" customHeight="1"/>
    <row r="36164" customFormat="1" ht="17.25" customHeight="1"/>
    <row r="36165" customFormat="1" ht="17.25" customHeight="1"/>
    <row r="36166" customFormat="1" ht="17.25" customHeight="1"/>
    <row r="36167" customFormat="1" ht="17.25" customHeight="1"/>
    <row r="36168" customFormat="1" ht="17.25" customHeight="1"/>
    <row r="36169" customFormat="1" ht="17.25" customHeight="1"/>
    <row r="36170" customFormat="1" ht="17.25" customHeight="1"/>
    <row r="36171" customFormat="1" ht="17.25" customHeight="1"/>
    <row r="36172" customFormat="1" ht="17.25" customHeight="1"/>
    <row r="36173" customFormat="1" ht="17.25" customHeight="1"/>
    <row r="36174" customFormat="1" ht="17.25" customHeight="1"/>
    <row r="36175" customFormat="1" ht="17.25" customHeight="1"/>
    <row r="36176" customFormat="1" ht="17.25" customHeight="1"/>
    <row r="36177" customFormat="1" ht="17.25" customHeight="1"/>
    <row r="36178" customFormat="1" ht="17.25" customHeight="1"/>
    <row r="36179" customFormat="1" ht="17.25" customHeight="1"/>
    <row r="36180" customFormat="1" ht="17.25" customHeight="1"/>
    <row r="36181" customFormat="1" ht="17.25" customHeight="1"/>
    <row r="36182" customFormat="1" ht="17.25" customHeight="1"/>
    <row r="36183" customFormat="1" ht="17.25" customHeight="1"/>
    <row r="36184" customFormat="1" ht="17.25" customHeight="1"/>
    <row r="36185" customFormat="1" ht="17.25" customHeight="1"/>
    <row r="36186" customFormat="1" ht="17.25" customHeight="1"/>
    <row r="36187" customFormat="1" ht="17.25" customHeight="1"/>
    <row r="36188" customFormat="1" ht="17.25" customHeight="1"/>
    <row r="36189" customFormat="1" ht="17.25" customHeight="1"/>
    <row r="36190" customFormat="1" ht="17.25" customHeight="1"/>
    <row r="36191" customFormat="1" ht="17.25" customHeight="1"/>
    <row r="36192" customFormat="1" ht="17.25" customHeight="1"/>
    <row r="36193" customFormat="1" ht="17.25" customHeight="1"/>
    <row r="36194" customFormat="1" ht="17.25" customHeight="1"/>
    <row r="36195" customFormat="1" ht="17.25" customHeight="1"/>
    <row r="36196" customFormat="1" ht="17.25" customHeight="1"/>
    <row r="36197" customFormat="1" ht="17.25" customHeight="1"/>
    <row r="36198" customFormat="1" ht="17.25" customHeight="1"/>
    <row r="36199" customFormat="1" ht="17.25" customHeight="1"/>
    <row r="36200" customFormat="1" ht="17.25" customHeight="1"/>
    <row r="36201" customFormat="1" ht="17.25" customHeight="1"/>
    <row r="36202" customFormat="1" ht="17.25" customHeight="1"/>
    <row r="36203" customFormat="1" ht="17.25" customHeight="1"/>
    <row r="36204" customFormat="1" ht="17.25" customHeight="1"/>
    <row r="36205" customFormat="1" ht="17.25" customHeight="1"/>
    <row r="36206" customFormat="1" ht="17.25" customHeight="1"/>
    <row r="36207" customFormat="1" ht="17.25" customHeight="1"/>
    <row r="36208" customFormat="1" ht="17.25" customHeight="1"/>
    <row r="36209" customFormat="1" ht="17.25" customHeight="1"/>
    <row r="36210" customFormat="1" ht="17.25" customHeight="1"/>
    <row r="36211" customFormat="1" ht="17.25" customHeight="1"/>
    <row r="36212" customFormat="1" ht="17.25" customHeight="1"/>
    <row r="36213" customFormat="1" ht="17.25" customHeight="1"/>
    <row r="36214" customFormat="1" ht="17.25" customHeight="1"/>
    <row r="36215" customFormat="1" ht="17.25" customHeight="1"/>
    <row r="36216" customFormat="1" ht="17.25" customHeight="1"/>
    <row r="36217" customFormat="1" ht="17.25" customHeight="1"/>
    <row r="36218" customFormat="1" ht="17.25" customHeight="1"/>
    <row r="36219" customFormat="1" ht="17.25" customHeight="1"/>
    <row r="36220" customFormat="1" ht="17.25" customHeight="1"/>
    <row r="36221" customFormat="1" ht="17.25" customHeight="1"/>
    <row r="36222" customFormat="1" ht="17.25" customHeight="1"/>
    <row r="36223" customFormat="1" ht="17.25" customHeight="1"/>
    <row r="36224" customFormat="1" ht="17.25" customHeight="1"/>
    <row r="36225" customFormat="1" ht="17.25" customHeight="1"/>
    <row r="36226" customFormat="1" ht="17.25" customHeight="1"/>
    <row r="36227" customFormat="1" ht="17.25" customHeight="1"/>
    <row r="36228" customFormat="1" ht="17.25" customHeight="1"/>
    <row r="36229" customFormat="1" ht="17.25" customHeight="1"/>
    <row r="36230" customFormat="1" ht="17.25" customHeight="1"/>
    <row r="36231" customFormat="1" ht="17.25" customHeight="1"/>
    <row r="36232" customFormat="1" ht="17.25" customHeight="1"/>
    <row r="36233" customFormat="1" ht="17.25" customHeight="1"/>
    <row r="36234" customFormat="1" ht="17.25" customHeight="1"/>
    <row r="36235" customFormat="1" ht="17.25" customHeight="1"/>
    <row r="36236" customFormat="1" ht="17.25" customHeight="1"/>
    <row r="36237" customFormat="1" ht="17.25" customHeight="1"/>
    <row r="36238" customFormat="1" ht="17.25" customHeight="1"/>
    <row r="36239" customFormat="1" ht="17.25" customHeight="1"/>
    <row r="36240" customFormat="1" ht="17.25" customHeight="1"/>
    <row r="36241" customFormat="1" ht="17.25" customHeight="1"/>
    <row r="36242" customFormat="1" ht="17.25" customHeight="1"/>
    <row r="36243" customFormat="1" ht="17.25" customHeight="1"/>
    <row r="36244" customFormat="1" ht="17.25" customHeight="1"/>
    <row r="36245" customFormat="1" ht="17.25" customHeight="1"/>
    <row r="36246" customFormat="1" ht="17.25" customHeight="1"/>
    <row r="36247" customFormat="1" ht="17.25" customHeight="1"/>
    <row r="36248" customFormat="1" ht="17.25" customHeight="1"/>
    <row r="36249" customFormat="1" ht="17.25" customHeight="1"/>
    <row r="36250" customFormat="1" ht="17.25" customHeight="1"/>
    <row r="36251" customFormat="1" ht="17.25" customHeight="1"/>
    <row r="36252" customFormat="1" ht="17.25" customHeight="1"/>
    <row r="36253" customFormat="1" ht="17.25" customHeight="1"/>
    <row r="36254" customFormat="1" ht="17.25" customHeight="1"/>
    <row r="36255" customFormat="1" ht="17.25" customHeight="1"/>
    <row r="36256" customFormat="1" ht="17.25" customHeight="1"/>
    <row r="36257" customFormat="1" ht="17.25" customHeight="1"/>
    <row r="36258" customFormat="1" ht="17.25" customHeight="1"/>
    <row r="36259" customFormat="1" ht="17.25" customHeight="1"/>
    <row r="36260" customFormat="1" ht="17.25" customHeight="1"/>
    <row r="36261" customFormat="1" ht="17.25" customHeight="1"/>
    <row r="36262" customFormat="1" ht="17.25" customHeight="1"/>
    <row r="36263" customFormat="1" ht="17.25" customHeight="1"/>
    <row r="36264" customFormat="1" ht="17.25" customHeight="1"/>
    <row r="36265" customFormat="1" ht="17.25" customHeight="1"/>
    <row r="36266" customFormat="1" ht="17.25" customHeight="1"/>
    <row r="36267" customFormat="1" ht="17.25" customHeight="1"/>
    <row r="36268" customFormat="1" ht="17.25" customHeight="1"/>
    <row r="36269" customFormat="1" ht="17.25" customHeight="1"/>
    <row r="36270" customFormat="1" ht="17.25" customHeight="1"/>
    <row r="36271" customFormat="1" ht="17.25" customHeight="1"/>
    <row r="36272" customFormat="1" ht="17.25" customHeight="1"/>
    <row r="36273" customFormat="1" ht="17.25" customHeight="1"/>
    <row r="36274" customFormat="1" ht="17.25" customHeight="1"/>
    <row r="36275" customFormat="1" ht="17.25" customHeight="1"/>
    <row r="36276" customFormat="1" ht="17.25" customHeight="1"/>
    <row r="36277" customFormat="1" ht="17.25" customHeight="1"/>
    <row r="36278" customFormat="1" ht="17.25" customHeight="1"/>
    <row r="36279" customFormat="1" ht="17.25" customHeight="1"/>
    <row r="36280" customFormat="1" ht="17.25" customHeight="1"/>
    <row r="36281" customFormat="1" ht="17.25" customHeight="1"/>
    <row r="36282" customFormat="1" ht="17.25" customHeight="1"/>
    <row r="36283" customFormat="1" ht="17.25" customHeight="1"/>
    <row r="36284" customFormat="1" ht="17.25" customHeight="1"/>
    <row r="36285" customFormat="1" ht="17.25" customHeight="1"/>
    <row r="36286" customFormat="1" ht="17.25" customHeight="1"/>
    <row r="36287" customFormat="1" ht="17.25" customHeight="1"/>
    <row r="36288" customFormat="1" ht="17.25" customHeight="1"/>
    <row r="36289" customFormat="1" ht="17.25" customHeight="1"/>
    <row r="36290" customFormat="1" ht="17.25" customHeight="1"/>
    <row r="36291" customFormat="1" ht="17.25" customHeight="1"/>
    <row r="36292" customFormat="1" ht="17.25" customHeight="1"/>
    <row r="36293" customFormat="1" ht="17.25" customHeight="1"/>
    <row r="36294" customFormat="1" ht="17.25" customHeight="1"/>
    <row r="36295" customFormat="1" ht="17.25" customHeight="1"/>
    <row r="36296" customFormat="1" ht="17.25" customHeight="1"/>
    <row r="36297" customFormat="1" ht="17.25" customHeight="1"/>
    <row r="36298" customFormat="1" ht="17.25" customHeight="1"/>
    <row r="36299" customFormat="1" ht="17.25" customHeight="1"/>
    <row r="36300" customFormat="1" ht="17.25" customHeight="1"/>
    <row r="36301" customFormat="1" ht="17.25" customHeight="1"/>
    <row r="36302" customFormat="1" ht="17.25" customHeight="1"/>
    <row r="36303" customFormat="1" ht="17.25" customHeight="1"/>
    <row r="36304" customFormat="1" ht="17.25" customHeight="1"/>
    <row r="36305" customFormat="1" ht="17.25" customHeight="1"/>
    <row r="36306" customFormat="1" ht="17.25" customHeight="1"/>
    <row r="36307" customFormat="1" ht="17.25" customHeight="1"/>
    <row r="36308" customFormat="1" ht="17.25" customHeight="1"/>
    <row r="36309" customFormat="1" ht="17.25" customHeight="1"/>
    <row r="36310" customFormat="1" ht="17.25" customHeight="1"/>
    <row r="36311" customFormat="1" ht="17.25" customHeight="1"/>
    <row r="36312" customFormat="1" ht="17.25" customHeight="1"/>
    <row r="36313" customFormat="1" ht="17.25" customHeight="1"/>
    <row r="36314" customFormat="1" ht="17.25" customHeight="1"/>
    <row r="36315" customFormat="1" ht="17.25" customHeight="1"/>
    <row r="36316" customFormat="1" ht="17.25" customHeight="1"/>
    <row r="36317" customFormat="1" ht="17.25" customHeight="1"/>
    <row r="36318" customFormat="1" ht="17.25" customHeight="1"/>
    <row r="36319" customFormat="1" ht="17.25" customHeight="1"/>
    <row r="36320" customFormat="1" ht="17.25" customHeight="1"/>
    <row r="36321" customFormat="1" ht="17.25" customHeight="1"/>
    <row r="36322" customFormat="1" ht="17.25" customHeight="1"/>
    <row r="36323" customFormat="1" ht="17.25" customHeight="1"/>
    <row r="36324" customFormat="1" ht="17.25" customHeight="1"/>
    <row r="36325" customFormat="1" ht="17.25" customHeight="1"/>
    <row r="36326" customFormat="1" ht="17.25" customHeight="1"/>
    <row r="36327" customFormat="1" ht="17.25" customHeight="1"/>
    <row r="36328" customFormat="1" ht="17.25" customHeight="1"/>
    <row r="36329" customFormat="1" ht="17.25" customHeight="1"/>
    <row r="36330" customFormat="1" ht="17.25" customHeight="1"/>
    <row r="36331" customFormat="1" ht="17.25" customHeight="1"/>
    <row r="36332" customFormat="1" ht="17.25" customHeight="1"/>
    <row r="36333" customFormat="1" ht="17.25" customHeight="1"/>
    <row r="36334" customFormat="1" ht="17.25" customHeight="1"/>
    <row r="36335" customFormat="1" ht="17.25" customHeight="1"/>
    <row r="36336" customFormat="1" ht="17.25" customHeight="1"/>
    <row r="36337" customFormat="1" ht="17.25" customHeight="1"/>
    <row r="36338" customFormat="1" ht="17.25" customHeight="1"/>
    <row r="36339" customFormat="1" ht="17.25" customHeight="1"/>
    <row r="36340" customFormat="1" ht="17.25" customHeight="1"/>
    <row r="36341" customFormat="1" ht="17.25" customHeight="1"/>
    <row r="36342" customFormat="1" ht="17.25" customHeight="1"/>
    <row r="36343" customFormat="1" ht="17.25" customHeight="1"/>
    <row r="36344" customFormat="1" ht="17.25" customHeight="1"/>
    <row r="36345" customFormat="1" ht="17.25" customHeight="1"/>
    <row r="36346" customFormat="1" ht="17.25" customHeight="1"/>
    <row r="36347" customFormat="1" ht="17.25" customHeight="1"/>
    <row r="36348" customFormat="1" ht="17.25" customHeight="1"/>
    <row r="36349" customFormat="1" ht="17.25" customHeight="1"/>
    <row r="36350" customFormat="1" ht="17.25" customHeight="1"/>
    <row r="36351" customFormat="1" ht="17.25" customHeight="1"/>
    <row r="36352" customFormat="1" ht="17.25" customHeight="1"/>
    <row r="36353" customFormat="1" ht="17.25" customHeight="1"/>
    <row r="36354" customFormat="1" ht="17.25" customHeight="1"/>
    <row r="36355" customFormat="1" ht="17.25" customHeight="1"/>
    <row r="36356" customFormat="1" ht="17.25" customHeight="1"/>
    <row r="36357" customFormat="1" ht="17.25" customHeight="1"/>
    <row r="36358" customFormat="1" ht="17.25" customHeight="1"/>
    <row r="36359" customFormat="1" ht="17.25" customHeight="1"/>
    <row r="36360" customFormat="1" ht="17.25" customHeight="1"/>
    <row r="36361" customFormat="1" ht="17.25" customHeight="1"/>
    <row r="36362" customFormat="1" ht="17.25" customHeight="1"/>
    <row r="36363" customFormat="1" ht="17.25" customHeight="1"/>
    <row r="36364" customFormat="1" ht="17.25" customHeight="1"/>
    <row r="36365" customFormat="1" ht="17.25" customHeight="1"/>
    <row r="36366" customFormat="1" ht="17.25" customHeight="1"/>
    <row r="36367" customFormat="1" ht="17.25" customHeight="1"/>
    <row r="36368" customFormat="1" ht="17.25" customHeight="1"/>
    <row r="36369" customFormat="1" ht="17.25" customHeight="1"/>
    <row r="36370" customFormat="1" ht="17.25" customHeight="1"/>
    <row r="36371" customFormat="1" ht="17.25" customHeight="1"/>
    <row r="36372" customFormat="1" ht="17.25" customHeight="1"/>
    <row r="36373" customFormat="1" ht="17.25" customHeight="1"/>
    <row r="36374" customFormat="1" ht="17.25" customHeight="1"/>
    <row r="36375" customFormat="1" ht="17.25" customHeight="1"/>
    <row r="36376" customFormat="1" ht="17.25" customHeight="1"/>
    <row r="36377" customFormat="1" ht="17.25" customHeight="1"/>
    <row r="36378" customFormat="1" ht="17.25" customHeight="1"/>
    <row r="36379" customFormat="1" ht="17.25" customHeight="1"/>
    <row r="36380" customFormat="1" ht="17.25" customHeight="1"/>
    <row r="36381" customFormat="1" ht="17.25" customHeight="1"/>
    <row r="36382" customFormat="1" ht="17.25" customHeight="1"/>
    <row r="36383" customFormat="1" ht="17.25" customHeight="1"/>
    <row r="36384" customFormat="1" ht="17.25" customHeight="1"/>
    <row r="36385" customFormat="1" ht="17.25" customHeight="1"/>
    <row r="36386" customFormat="1" ht="17.25" customHeight="1"/>
    <row r="36387" customFormat="1" ht="17.25" customHeight="1"/>
    <row r="36388" customFormat="1" ht="17.25" customHeight="1"/>
    <row r="36389" customFormat="1" ht="17.25" customHeight="1"/>
    <row r="36390" customFormat="1" ht="17.25" customHeight="1"/>
    <row r="36391" customFormat="1" ht="17.25" customHeight="1"/>
    <row r="36392" customFormat="1" ht="17.25" customHeight="1"/>
    <row r="36393" customFormat="1" ht="17.25" customHeight="1"/>
    <row r="36394" customFormat="1" ht="17.25" customHeight="1"/>
    <row r="36395" customFormat="1" ht="17.25" customHeight="1"/>
    <row r="36396" customFormat="1" ht="17.25" customHeight="1"/>
    <row r="36397" customFormat="1" ht="17.25" customHeight="1"/>
    <row r="36398" customFormat="1" ht="17.25" customHeight="1"/>
    <row r="36399" customFormat="1" ht="17.25" customHeight="1"/>
    <row r="36400" customFormat="1" ht="17.25" customHeight="1"/>
    <row r="36401" customFormat="1" ht="17.25" customHeight="1"/>
    <row r="36402" customFormat="1" ht="17.25" customHeight="1"/>
    <row r="36403" customFormat="1" ht="17.25" customHeight="1"/>
    <row r="36404" customFormat="1" ht="17.25" customHeight="1"/>
    <row r="36405" customFormat="1" ht="17.25" customHeight="1"/>
    <row r="36406" customFormat="1" ht="17.25" customHeight="1"/>
    <row r="36407" customFormat="1" ht="17.25" customHeight="1"/>
    <row r="36408" customFormat="1" ht="17.25" customHeight="1"/>
    <row r="36409" customFormat="1" ht="17.25" customHeight="1"/>
    <row r="36410" customFormat="1" ht="17.25" customHeight="1"/>
    <row r="36411" customFormat="1" ht="17.25" customHeight="1"/>
    <row r="36412" customFormat="1" ht="17.25" customHeight="1"/>
    <row r="36413" customFormat="1" ht="17.25" customHeight="1"/>
    <row r="36414" customFormat="1" ht="17.25" customHeight="1"/>
    <row r="36415" customFormat="1" ht="17.25" customHeight="1"/>
    <row r="36416" customFormat="1" ht="17.25" customHeight="1"/>
    <row r="36417" customFormat="1" ht="17.25" customHeight="1"/>
    <row r="36418" customFormat="1" ht="17.25" customHeight="1"/>
    <row r="36419" customFormat="1" ht="17.25" customHeight="1"/>
    <row r="36420" customFormat="1" ht="17.25" customHeight="1"/>
    <row r="36421" customFormat="1" ht="17.25" customHeight="1"/>
    <row r="36422" customFormat="1" ht="17.25" customHeight="1"/>
    <row r="36423" customFormat="1" ht="17.25" customHeight="1"/>
    <row r="36424" customFormat="1" ht="17.25" customHeight="1"/>
    <row r="36425" customFormat="1" ht="17.25" customHeight="1"/>
    <row r="36426" customFormat="1" ht="17.25" customHeight="1"/>
    <row r="36427" customFormat="1" ht="17.25" customHeight="1"/>
    <row r="36428" customFormat="1" ht="17.25" customHeight="1"/>
    <row r="36429" customFormat="1" ht="17.25" customHeight="1"/>
    <row r="36430" customFormat="1" ht="17.25" customHeight="1"/>
    <row r="36431" customFormat="1" ht="17.25" customHeight="1"/>
    <row r="36432" customFormat="1" ht="17.25" customHeight="1"/>
    <row r="36433" customFormat="1" ht="17.25" customHeight="1"/>
    <row r="36434" customFormat="1" ht="17.25" customHeight="1"/>
    <row r="36435" customFormat="1" ht="17.25" customHeight="1"/>
    <row r="36436" customFormat="1" ht="17.25" customHeight="1"/>
    <row r="36437" customFormat="1" ht="17.25" customHeight="1"/>
    <row r="36438" customFormat="1" ht="17.25" customHeight="1"/>
    <row r="36439" customFormat="1" ht="17.25" customHeight="1"/>
    <row r="36440" customFormat="1" ht="17.25" customHeight="1"/>
    <row r="36441" customFormat="1" ht="17.25" customHeight="1"/>
    <row r="36442" customFormat="1" ht="17.25" customHeight="1"/>
    <row r="36443" customFormat="1" ht="17.25" customHeight="1"/>
    <row r="36444" customFormat="1" ht="17.25" customHeight="1"/>
    <row r="36445" customFormat="1" ht="17.25" customHeight="1"/>
    <row r="36446" customFormat="1" ht="17.25" customHeight="1"/>
    <row r="36447" customFormat="1" ht="17.25" customHeight="1"/>
    <row r="36448" customFormat="1" ht="17.25" customHeight="1"/>
    <row r="36449" customFormat="1" ht="17.25" customHeight="1"/>
    <row r="36450" customFormat="1" ht="17.25" customHeight="1"/>
    <row r="36451" customFormat="1" ht="17.25" customHeight="1"/>
    <row r="36452" customFormat="1" ht="17.25" customHeight="1"/>
    <row r="36453" customFormat="1" ht="17.25" customHeight="1"/>
    <row r="36454" customFormat="1" ht="17.25" customHeight="1"/>
    <row r="36455" customFormat="1" ht="17.25" customHeight="1"/>
    <row r="36456" customFormat="1" ht="17.25" customHeight="1"/>
    <row r="36457" customFormat="1" ht="17.25" customHeight="1"/>
    <row r="36458" customFormat="1" ht="17.25" customHeight="1"/>
    <row r="36459" customFormat="1" ht="17.25" customHeight="1"/>
    <row r="36460" customFormat="1" ht="17.25" customHeight="1"/>
    <row r="36461" customFormat="1" ht="17.25" customHeight="1"/>
    <row r="36462" customFormat="1" ht="17.25" customHeight="1"/>
    <row r="36463" customFormat="1" ht="17.25" customHeight="1"/>
    <row r="36464" customFormat="1" ht="17.25" customHeight="1"/>
    <row r="36465" customFormat="1" ht="17.25" customHeight="1"/>
    <row r="36466" customFormat="1" ht="17.25" customHeight="1"/>
    <row r="36467" customFormat="1" ht="17.25" customHeight="1"/>
    <row r="36468" customFormat="1" ht="17.25" customHeight="1"/>
    <row r="36469" customFormat="1" ht="17.25" customHeight="1"/>
    <row r="36470" customFormat="1" ht="17.25" customHeight="1"/>
    <row r="36471" customFormat="1" ht="17.25" customHeight="1"/>
    <row r="36472" customFormat="1" ht="17.25" customHeight="1"/>
    <row r="36473" customFormat="1" ht="17.25" customHeight="1"/>
    <row r="36474" customFormat="1" ht="17.25" customHeight="1"/>
    <row r="36475" customFormat="1" ht="17.25" customHeight="1"/>
    <row r="36476" customFormat="1" ht="17.25" customHeight="1"/>
    <row r="36477" customFormat="1" ht="17.25" customHeight="1"/>
    <row r="36478" customFormat="1" ht="17.25" customHeight="1"/>
    <row r="36479" customFormat="1" ht="17.25" customHeight="1"/>
    <row r="36480" customFormat="1" ht="17.25" customHeight="1"/>
    <row r="36481" customFormat="1" ht="17.25" customHeight="1"/>
    <row r="36482" customFormat="1" ht="17.25" customHeight="1"/>
    <row r="36483" customFormat="1" ht="17.25" customHeight="1"/>
    <row r="36484" customFormat="1" ht="17.25" customHeight="1"/>
    <row r="36485" customFormat="1" ht="17.25" customHeight="1"/>
    <row r="36486" customFormat="1" ht="17.25" customHeight="1"/>
    <row r="36487" customFormat="1" ht="17.25" customHeight="1"/>
    <row r="36488" customFormat="1" ht="17.25" customHeight="1"/>
    <row r="36489" customFormat="1" ht="17.25" customHeight="1"/>
    <row r="36490" customFormat="1" ht="17.25" customHeight="1"/>
    <row r="36491" customFormat="1" ht="17.25" customHeight="1"/>
    <row r="36492" customFormat="1" ht="17.25" customHeight="1"/>
    <row r="36493" customFormat="1" ht="17.25" customHeight="1"/>
    <row r="36494" customFormat="1" ht="17.25" customHeight="1"/>
    <row r="36495" customFormat="1" ht="17.25" customHeight="1"/>
    <row r="36496" customFormat="1" ht="17.25" customHeight="1"/>
    <row r="36497" customFormat="1" ht="17.25" customHeight="1"/>
    <row r="36498" customFormat="1" ht="17.25" customHeight="1"/>
    <row r="36499" customFormat="1" ht="17.25" customHeight="1"/>
    <row r="36500" customFormat="1" ht="17.25" customHeight="1"/>
    <row r="36501" customFormat="1" ht="17.25" customHeight="1"/>
    <row r="36502" customFormat="1" ht="17.25" customHeight="1"/>
    <row r="36503" customFormat="1" ht="17.25" customHeight="1"/>
    <row r="36504" customFormat="1" ht="17.25" customHeight="1"/>
    <row r="36505" customFormat="1" ht="17.25" customHeight="1"/>
    <row r="36506" customFormat="1" ht="17.25" customHeight="1"/>
    <row r="36507" customFormat="1" ht="17.25" customHeight="1"/>
    <row r="36508" customFormat="1" ht="17.25" customHeight="1"/>
    <row r="36509" customFormat="1" ht="17.25" customHeight="1"/>
    <row r="36510" customFormat="1" ht="17.25" customHeight="1"/>
    <row r="36511" customFormat="1" ht="17.25" customHeight="1"/>
    <row r="36512" customFormat="1" ht="17.25" customHeight="1"/>
    <row r="36513" customFormat="1" ht="17.25" customHeight="1"/>
    <row r="36514" customFormat="1" ht="17.25" customHeight="1"/>
    <row r="36515" customFormat="1" ht="17.25" customHeight="1"/>
    <row r="36516" customFormat="1" ht="17.25" customHeight="1"/>
    <row r="36517" customFormat="1" ht="17.25" customHeight="1"/>
    <row r="36518" customFormat="1" ht="17.25" customHeight="1"/>
    <row r="36519" customFormat="1" ht="17.25" customHeight="1"/>
    <row r="36520" customFormat="1" ht="17.25" customHeight="1"/>
    <row r="36521" customFormat="1" ht="17.25" customHeight="1"/>
    <row r="36522" customFormat="1" ht="17.25" customHeight="1"/>
    <row r="36523" customFormat="1" ht="17.25" customHeight="1"/>
    <row r="36524" customFormat="1" ht="17.25" customHeight="1"/>
    <row r="36525" customFormat="1" ht="17.25" customHeight="1"/>
    <row r="36526" customFormat="1" ht="17.25" customHeight="1"/>
    <row r="36527" customFormat="1" ht="17.25" customHeight="1"/>
    <row r="36528" customFormat="1" ht="17.25" customHeight="1"/>
    <row r="36529" customFormat="1" ht="17.25" customHeight="1"/>
    <row r="36530" customFormat="1" ht="17.25" customHeight="1"/>
    <row r="36531" customFormat="1" ht="17.25" customHeight="1"/>
    <row r="36532" customFormat="1" ht="17.25" customHeight="1"/>
    <row r="36533" customFormat="1" ht="17.25" customHeight="1"/>
    <row r="36534" customFormat="1" ht="17.25" customHeight="1"/>
    <row r="36535" customFormat="1" ht="17.25" customHeight="1"/>
    <row r="36536" customFormat="1" ht="17.25" customHeight="1"/>
    <row r="36537" customFormat="1" ht="17.25" customHeight="1"/>
    <row r="36538" customFormat="1" ht="17.25" customHeight="1"/>
    <row r="36539" customFormat="1" ht="17.25" customHeight="1"/>
    <row r="36540" customFormat="1" ht="17.25" customHeight="1"/>
    <row r="36541" customFormat="1" ht="17.25" customHeight="1"/>
    <row r="36542" customFormat="1" ht="17.25" customHeight="1"/>
    <row r="36543" customFormat="1" ht="17.25" customHeight="1"/>
    <row r="36544" customFormat="1" ht="17.25" customHeight="1"/>
    <row r="36545" customFormat="1" ht="17.25" customHeight="1"/>
    <row r="36546" customFormat="1" ht="17.25" customHeight="1"/>
    <row r="36547" customFormat="1" ht="17.25" customHeight="1"/>
    <row r="36548" customFormat="1" ht="17.25" customHeight="1"/>
    <row r="36549" customFormat="1" ht="17.25" customHeight="1"/>
    <row r="36550" customFormat="1" ht="17.25" customHeight="1"/>
    <row r="36551" customFormat="1" ht="17.25" customHeight="1"/>
    <row r="36552" customFormat="1" ht="17.25" customHeight="1"/>
    <row r="36553" customFormat="1" ht="17.25" customHeight="1"/>
    <row r="36554" customFormat="1" ht="17.25" customHeight="1"/>
    <row r="36555" customFormat="1" ht="17.25" customHeight="1"/>
    <row r="36556" customFormat="1" ht="17.25" customHeight="1"/>
    <row r="36557" customFormat="1" ht="17.25" customHeight="1"/>
    <row r="36558" customFormat="1" ht="17.25" customHeight="1"/>
    <row r="36559" customFormat="1" ht="17.25" customHeight="1"/>
    <row r="36560" customFormat="1" ht="17.25" customHeight="1"/>
    <row r="36561" customFormat="1" ht="17.25" customHeight="1"/>
    <row r="36562" customFormat="1" ht="17.25" customHeight="1"/>
    <row r="36563" customFormat="1" ht="17.25" customHeight="1"/>
    <row r="36564" customFormat="1" ht="17.25" customHeight="1"/>
    <row r="36565" customFormat="1" ht="17.25" customHeight="1"/>
    <row r="36566" customFormat="1" ht="17.25" customHeight="1"/>
    <row r="36567" customFormat="1" ht="17.25" customHeight="1"/>
    <row r="36568" customFormat="1" ht="17.25" customHeight="1"/>
    <row r="36569" customFormat="1" ht="17.25" customHeight="1"/>
    <row r="36570" customFormat="1" ht="17.25" customHeight="1"/>
    <row r="36571" customFormat="1" ht="17.25" customHeight="1"/>
    <row r="36572" customFormat="1" ht="17.25" customHeight="1"/>
    <row r="36573" customFormat="1" ht="17.25" customHeight="1"/>
    <row r="36574" customFormat="1" ht="17.25" customHeight="1"/>
    <row r="36575" customFormat="1" ht="17.25" customHeight="1"/>
    <row r="36576" customFormat="1" ht="17.25" customHeight="1"/>
    <row r="36577" customFormat="1" ht="17.25" customHeight="1"/>
    <row r="36578" customFormat="1" ht="17.25" customHeight="1"/>
    <row r="36579" customFormat="1" ht="17.25" customHeight="1"/>
    <row r="36580" customFormat="1" ht="17.25" customHeight="1"/>
    <row r="36581" customFormat="1" ht="17.25" customHeight="1"/>
    <row r="36582" customFormat="1" ht="17.25" customHeight="1"/>
    <row r="36583" customFormat="1" ht="17.25" customHeight="1"/>
    <row r="36584" customFormat="1" ht="17.25" customHeight="1"/>
    <row r="36585" customFormat="1" ht="17.25" customHeight="1"/>
    <row r="36586" customFormat="1" ht="17.25" customHeight="1"/>
    <row r="36587" customFormat="1" ht="17.25" customHeight="1"/>
    <row r="36588" customFormat="1" ht="17.25" customHeight="1"/>
    <row r="36589" customFormat="1" ht="17.25" customHeight="1"/>
    <row r="36590" customFormat="1" ht="17.25" customHeight="1"/>
    <row r="36591" customFormat="1" ht="17.25" customHeight="1"/>
    <row r="36592" customFormat="1" ht="17.25" customHeight="1"/>
    <row r="36593" customFormat="1" ht="17.25" customHeight="1"/>
    <row r="36594" customFormat="1" ht="17.25" customHeight="1"/>
    <row r="36595" customFormat="1" ht="17.25" customHeight="1"/>
    <row r="36596" customFormat="1" ht="17.25" customHeight="1"/>
    <row r="36597" customFormat="1" ht="17.25" customHeight="1"/>
    <row r="36598" customFormat="1" ht="17.25" customHeight="1"/>
    <row r="36599" customFormat="1" ht="17.25" customHeight="1"/>
    <row r="36600" customFormat="1" ht="17.25" customHeight="1"/>
    <row r="36601" customFormat="1" ht="17.25" customHeight="1"/>
    <row r="36602" customFormat="1" ht="17.25" customHeight="1"/>
    <row r="36603" customFormat="1" ht="17.25" customHeight="1"/>
    <row r="36604" customFormat="1" ht="17.25" customHeight="1"/>
    <row r="36605" customFormat="1" ht="17.25" customHeight="1"/>
    <row r="36606" customFormat="1" ht="17.25" customHeight="1"/>
    <row r="36607" customFormat="1" ht="17.25" customHeight="1"/>
    <row r="36608" customFormat="1" ht="17.25" customHeight="1"/>
    <row r="36609" customFormat="1" ht="17.25" customHeight="1"/>
    <row r="36610" customFormat="1" ht="17.25" customHeight="1"/>
    <row r="36611" customFormat="1" ht="17.25" customHeight="1"/>
    <row r="36612" customFormat="1" ht="17.25" customHeight="1"/>
    <row r="36613" customFormat="1" ht="17.25" customHeight="1"/>
    <row r="36614" customFormat="1" ht="17.25" customHeight="1"/>
    <row r="36615" customFormat="1" ht="17.25" customHeight="1"/>
    <row r="36616" customFormat="1" ht="17.25" customHeight="1"/>
    <row r="36617" customFormat="1" ht="17.25" customHeight="1"/>
    <row r="36618" customFormat="1" ht="17.25" customHeight="1"/>
    <row r="36619" customFormat="1" ht="17.25" customHeight="1"/>
    <row r="36620" customFormat="1" ht="17.25" customHeight="1"/>
    <row r="36621" customFormat="1" ht="17.25" customHeight="1"/>
    <row r="36622" customFormat="1" ht="17.25" customHeight="1"/>
    <row r="36623" customFormat="1" ht="17.25" customHeight="1"/>
    <row r="36624" customFormat="1" ht="17.25" customHeight="1"/>
    <row r="36625" customFormat="1" ht="17.25" customHeight="1"/>
    <row r="36626" customFormat="1" ht="17.25" customHeight="1"/>
    <row r="36627" customFormat="1" ht="17.25" customHeight="1"/>
    <row r="36628" customFormat="1" ht="17.25" customHeight="1"/>
    <row r="36629" customFormat="1" ht="17.25" customHeight="1"/>
    <row r="36630" customFormat="1" ht="17.25" customHeight="1"/>
    <row r="36631" customFormat="1" ht="17.25" customHeight="1"/>
    <row r="36632" customFormat="1" ht="17.25" customHeight="1"/>
    <row r="36633" customFormat="1" ht="17.25" customHeight="1"/>
    <row r="36634" customFormat="1" ht="17.25" customHeight="1"/>
    <row r="36635" customFormat="1" ht="17.25" customHeight="1"/>
    <row r="36636" customFormat="1" ht="17.25" customHeight="1"/>
    <row r="36637" customFormat="1" ht="17.25" customHeight="1"/>
    <row r="36638" customFormat="1" ht="17.25" customHeight="1"/>
    <row r="36639" customFormat="1" ht="17.25" customHeight="1"/>
    <row r="36640" customFormat="1" ht="17.25" customHeight="1"/>
    <row r="36641" customFormat="1" ht="17.25" customHeight="1"/>
    <row r="36642" customFormat="1" ht="17.25" customHeight="1"/>
    <row r="36643" customFormat="1" ht="17.25" customHeight="1"/>
    <row r="36644" customFormat="1" ht="17.25" customHeight="1"/>
    <row r="36645" customFormat="1" ht="17.25" customHeight="1"/>
    <row r="36646" customFormat="1" ht="17.25" customHeight="1"/>
    <row r="36647" customFormat="1" ht="17.25" customHeight="1"/>
    <row r="36648" customFormat="1" ht="17.25" customHeight="1"/>
    <row r="36649" customFormat="1" ht="17.25" customHeight="1"/>
    <row r="36650" customFormat="1" ht="17.25" customHeight="1"/>
    <row r="36651" customFormat="1" ht="17.25" customHeight="1"/>
    <row r="36652" customFormat="1" ht="17.25" customHeight="1"/>
    <row r="36653" customFormat="1" ht="17.25" customHeight="1"/>
    <row r="36654" customFormat="1" ht="17.25" customHeight="1"/>
    <row r="36655" customFormat="1" ht="17.25" customHeight="1"/>
    <row r="36656" customFormat="1" ht="17.25" customHeight="1"/>
    <row r="36657" customFormat="1" ht="17.25" customHeight="1"/>
    <row r="36658" customFormat="1" ht="17.25" customHeight="1"/>
    <row r="36659" customFormat="1" ht="17.25" customHeight="1"/>
    <row r="36660" customFormat="1" ht="17.25" customHeight="1"/>
    <row r="36661" customFormat="1" ht="17.25" customHeight="1"/>
    <row r="36662" customFormat="1" ht="17.25" customHeight="1"/>
    <row r="36663" customFormat="1" ht="17.25" customHeight="1"/>
    <row r="36664" customFormat="1" ht="17.25" customHeight="1"/>
    <row r="36665" customFormat="1" ht="17.25" customHeight="1"/>
    <row r="36666" customFormat="1" ht="17.25" customHeight="1"/>
    <row r="36667" customFormat="1" ht="17.25" customHeight="1"/>
    <row r="36668" customFormat="1" ht="17.25" customHeight="1"/>
    <row r="36669" customFormat="1" ht="17.25" customHeight="1"/>
    <row r="36670" customFormat="1" ht="17.25" customHeight="1"/>
    <row r="36671" customFormat="1" ht="17.25" customHeight="1"/>
    <row r="36672" customFormat="1" ht="17.25" customHeight="1"/>
    <row r="36673" customFormat="1" ht="17.25" customHeight="1"/>
    <row r="36674" customFormat="1" ht="17.25" customHeight="1"/>
    <row r="36675" customFormat="1" ht="17.25" customHeight="1"/>
    <row r="36676" customFormat="1" ht="17.25" customHeight="1"/>
    <row r="36677" customFormat="1" ht="17.25" customHeight="1"/>
    <row r="36678" customFormat="1" ht="17.25" customHeight="1"/>
    <row r="36679" customFormat="1" ht="17.25" customHeight="1"/>
    <row r="36680" customFormat="1" ht="17.25" customHeight="1"/>
    <row r="36681" customFormat="1" ht="17.25" customHeight="1"/>
    <row r="36682" customFormat="1" ht="17.25" customHeight="1"/>
    <row r="36683" customFormat="1" ht="17.25" customHeight="1"/>
    <row r="36684" customFormat="1" ht="17.25" customHeight="1"/>
    <row r="36685" customFormat="1" ht="17.25" customHeight="1"/>
    <row r="36686" customFormat="1" ht="17.25" customHeight="1"/>
    <row r="36687" customFormat="1" ht="17.25" customHeight="1"/>
    <row r="36688" customFormat="1" ht="17.25" customHeight="1"/>
    <row r="36689" customFormat="1" ht="17.25" customHeight="1"/>
    <row r="36690" customFormat="1" ht="17.25" customHeight="1"/>
    <row r="36691" customFormat="1" ht="17.25" customHeight="1"/>
    <row r="36692" customFormat="1" ht="17.25" customHeight="1"/>
    <row r="36693" customFormat="1" ht="17.25" customHeight="1"/>
    <row r="36694" customFormat="1" ht="17.25" customHeight="1"/>
    <row r="36695" customFormat="1" ht="17.25" customHeight="1"/>
    <row r="36696" customFormat="1" ht="17.25" customHeight="1"/>
    <row r="36697" customFormat="1" ht="17.25" customHeight="1"/>
    <row r="36698" customFormat="1" ht="17.25" customHeight="1"/>
    <row r="36699" customFormat="1" ht="17.25" customHeight="1"/>
    <row r="36700" customFormat="1" ht="17.25" customHeight="1"/>
    <row r="36701" customFormat="1" ht="17.25" customHeight="1"/>
    <row r="36702" customFormat="1" ht="17.25" customHeight="1"/>
    <row r="36703" customFormat="1" ht="17.25" customHeight="1"/>
    <row r="36704" customFormat="1" ht="17.25" customHeight="1"/>
    <row r="36705" customFormat="1" ht="17.25" customHeight="1"/>
    <row r="36706" customFormat="1" ht="17.25" customHeight="1"/>
    <row r="36707" customFormat="1" ht="17.25" customHeight="1"/>
    <row r="36708" customFormat="1" ht="17.25" customHeight="1"/>
    <row r="36709" customFormat="1" ht="17.25" customHeight="1"/>
    <row r="36710" customFormat="1" ht="17.25" customHeight="1"/>
    <row r="36711" customFormat="1" ht="17.25" customHeight="1"/>
    <row r="36712" customFormat="1" ht="17.25" customHeight="1"/>
    <row r="36713" customFormat="1" ht="17.25" customHeight="1"/>
    <row r="36714" customFormat="1" ht="17.25" customHeight="1"/>
    <row r="36715" customFormat="1" ht="17.25" customHeight="1"/>
    <row r="36716" customFormat="1" ht="17.25" customHeight="1"/>
    <row r="36717" customFormat="1" ht="17.25" customHeight="1"/>
    <row r="36718" customFormat="1" ht="17.25" customHeight="1"/>
    <row r="36719" customFormat="1" ht="17.25" customHeight="1"/>
    <row r="36720" customFormat="1" ht="17.25" customHeight="1"/>
    <row r="36721" customFormat="1" ht="17.25" customHeight="1"/>
    <row r="36722" customFormat="1" ht="17.25" customHeight="1"/>
    <row r="36723" customFormat="1" ht="17.25" customHeight="1"/>
    <row r="36724" customFormat="1" ht="17.25" customHeight="1"/>
    <row r="36725" customFormat="1" ht="17.25" customHeight="1"/>
    <row r="36726" customFormat="1" ht="17.25" customHeight="1"/>
    <row r="36727" customFormat="1" ht="17.25" customHeight="1"/>
    <row r="36728" customFormat="1" ht="17.25" customHeight="1"/>
    <row r="36729" customFormat="1" ht="17.25" customHeight="1"/>
    <row r="36730" customFormat="1" ht="17.25" customHeight="1"/>
    <row r="36731" customFormat="1" ht="17.25" customHeight="1"/>
    <row r="36732" customFormat="1" ht="17.25" customHeight="1"/>
    <row r="36733" customFormat="1" ht="17.25" customHeight="1"/>
    <row r="36734" customFormat="1" ht="17.25" customHeight="1"/>
    <row r="36735" customFormat="1" ht="17.25" customHeight="1"/>
    <row r="36736" customFormat="1" ht="17.25" customHeight="1"/>
    <row r="36737" customFormat="1" ht="17.25" customHeight="1"/>
    <row r="36738" customFormat="1" ht="17.25" customHeight="1"/>
    <row r="36739" customFormat="1" ht="17.25" customHeight="1"/>
    <row r="36740" customFormat="1" ht="17.25" customHeight="1"/>
    <row r="36741" customFormat="1" ht="17.25" customHeight="1"/>
    <row r="36742" customFormat="1" ht="17.25" customHeight="1"/>
    <row r="36743" customFormat="1" ht="17.25" customHeight="1"/>
    <row r="36744" customFormat="1" ht="17.25" customHeight="1"/>
    <row r="36745" customFormat="1" ht="17.25" customHeight="1"/>
    <row r="36746" customFormat="1" ht="17.25" customHeight="1"/>
    <row r="36747" customFormat="1" ht="17.25" customHeight="1"/>
    <row r="36748" customFormat="1" ht="17.25" customHeight="1"/>
    <row r="36749" customFormat="1" ht="17.25" customHeight="1"/>
    <row r="36750" customFormat="1" ht="17.25" customHeight="1"/>
    <row r="36751" customFormat="1" ht="17.25" customHeight="1"/>
    <row r="36752" customFormat="1" ht="17.25" customHeight="1"/>
    <row r="36753" customFormat="1" ht="17.25" customHeight="1"/>
    <row r="36754" customFormat="1" ht="17.25" customHeight="1"/>
    <row r="36755" customFormat="1" ht="17.25" customHeight="1"/>
    <row r="36756" customFormat="1" ht="17.25" customHeight="1"/>
    <row r="36757" customFormat="1" ht="17.25" customHeight="1"/>
    <row r="36758" customFormat="1" ht="17.25" customHeight="1"/>
    <row r="36759" customFormat="1" ht="17.25" customHeight="1"/>
    <row r="36760" customFormat="1" ht="17.25" customHeight="1"/>
    <row r="36761" customFormat="1" ht="17.25" customHeight="1"/>
    <row r="36762" customFormat="1" ht="17.25" customHeight="1"/>
    <row r="36763" customFormat="1" ht="17.25" customHeight="1"/>
    <row r="36764" customFormat="1" ht="17.25" customHeight="1"/>
    <row r="36765" customFormat="1" ht="17.25" customHeight="1"/>
    <row r="36766" customFormat="1" ht="17.25" customHeight="1"/>
    <row r="36767" customFormat="1" ht="17.25" customHeight="1"/>
    <row r="36768" customFormat="1" ht="17.25" customHeight="1"/>
    <row r="36769" customFormat="1" ht="17.25" customHeight="1"/>
    <row r="36770" customFormat="1" ht="17.25" customHeight="1"/>
    <row r="36771" customFormat="1" ht="17.25" customHeight="1"/>
    <row r="36772" customFormat="1" ht="17.25" customHeight="1"/>
    <row r="36773" customFormat="1" ht="17.25" customHeight="1"/>
    <row r="36774" customFormat="1" ht="17.25" customHeight="1"/>
    <row r="36775" customFormat="1" ht="17.25" customHeight="1"/>
    <row r="36776" customFormat="1" ht="17.25" customHeight="1"/>
    <row r="36777" customFormat="1" ht="17.25" customHeight="1"/>
    <row r="36778" customFormat="1" ht="17.25" customHeight="1"/>
    <row r="36779" customFormat="1" ht="17.25" customHeight="1"/>
    <row r="36780" customFormat="1" ht="17.25" customHeight="1"/>
    <row r="36781" customFormat="1" ht="17.25" customHeight="1"/>
    <row r="36782" customFormat="1" ht="17.25" customHeight="1"/>
    <row r="36783" customFormat="1" ht="17.25" customHeight="1"/>
    <row r="36784" customFormat="1" ht="17.25" customHeight="1"/>
    <row r="36785" customFormat="1" ht="17.25" customHeight="1"/>
    <row r="36786" customFormat="1" ht="17.25" customHeight="1"/>
    <row r="36787" customFormat="1" ht="17.25" customHeight="1"/>
    <row r="36788" customFormat="1" ht="17.25" customHeight="1"/>
    <row r="36789" customFormat="1" ht="17.25" customHeight="1"/>
    <row r="36790" customFormat="1" ht="17.25" customHeight="1"/>
    <row r="36791" customFormat="1" ht="17.25" customHeight="1"/>
    <row r="36792" customFormat="1" ht="17.25" customHeight="1"/>
    <row r="36793" customFormat="1" ht="17.25" customHeight="1"/>
    <row r="36794" customFormat="1" ht="17.25" customHeight="1"/>
    <row r="36795" customFormat="1" ht="17.25" customHeight="1"/>
    <row r="36796" customFormat="1" ht="17.25" customHeight="1"/>
    <row r="36797" customFormat="1" ht="17.25" customHeight="1"/>
    <row r="36798" customFormat="1" ht="17.25" customHeight="1"/>
    <row r="36799" customFormat="1" ht="17.25" customHeight="1"/>
    <row r="36800" customFormat="1" ht="17.25" customHeight="1"/>
    <row r="36801" customFormat="1" ht="17.25" customHeight="1"/>
    <row r="36802" customFormat="1" ht="17.25" customHeight="1"/>
    <row r="36803" customFormat="1" ht="17.25" customHeight="1"/>
    <row r="36804" customFormat="1" ht="17.25" customHeight="1"/>
    <row r="36805" customFormat="1" ht="17.25" customHeight="1"/>
    <row r="36806" customFormat="1" ht="17.25" customHeight="1"/>
    <row r="36807" customFormat="1" ht="17.25" customHeight="1"/>
    <row r="36808" customFormat="1" ht="17.25" customHeight="1"/>
    <row r="36809" customFormat="1" ht="17.25" customHeight="1"/>
    <row r="36810" customFormat="1" ht="17.25" customHeight="1"/>
    <row r="36811" customFormat="1" ht="17.25" customHeight="1"/>
    <row r="36812" customFormat="1" ht="17.25" customHeight="1"/>
    <row r="36813" customFormat="1" ht="17.25" customHeight="1"/>
    <row r="36814" customFormat="1" ht="17.25" customHeight="1"/>
    <row r="36815" customFormat="1" ht="17.25" customHeight="1"/>
    <row r="36816" customFormat="1" ht="17.25" customHeight="1"/>
    <row r="36817" customFormat="1" ht="17.25" customHeight="1"/>
    <row r="36818" customFormat="1" ht="17.25" customHeight="1"/>
    <row r="36819" customFormat="1" ht="17.25" customHeight="1"/>
    <row r="36820" customFormat="1" ht="17.25" customHeight="1"/>
    <row r="36821" customFormat="1" ht="17.25" customHeight="1"/>
    <row r="36822" customFormat="1" ht="17.25" customHeight="1"/>
    <row r="36823" customFormat="1" ht="17.25" customHeight="1"/>
    <row r="36824" customFormat="1" ht="17.25" customHeight="1"/>
    <row r="36825" customFormat="1" ht="17.25" customHeight="1"/>
    <row r="36826" customFormat="1" ht="17.25" customHeight="1"/>
    <row r="36827" customFormat="1" ht="17.25" customHeight="1"/>
    <row r="36828" customFormat="1" ht="17.25" customHeight="1"/>
    <row r="36829" customFormat="1" ht="17.25" customHeight="1"/>
    <row r="36830" customFormat="1" ht="17.25" customHeight="1"/>
    <row r="36831" customFormat="1" ht="17.25" customHeight="1"/>
    <row r="36832" customFormat="1" ht="17.25" customHeight="1"/>
    <row r="36833" customFormat="1" ht="17.25" customHeight="1"/>
    <row r="36834" customFormat="1" ht="17.25" customHeight="1"/>
    <row r="36835" customFormat="1" ht="17.25" customHeight="1"/>
    <row r="36836" customFormat="1" ht="17.25" customHeight="1"/>
    <row r="36837" customFormat="1" ht="17.25" customHeight="1"/>
    <row r="36838" customFormat="1" ht="17.25" customHeight="1"/>
    <row r="36839" customFormat="1" ht="17.25" customHeight="1"/>
    <row r="36840" customFormat="1" ht="17.25" customHeight="1"/>
    <row r="36841" customFormat="1" ht="17.25" customHeight="1"/>
    <row r="36842" customFormat="1" ht="17.25" customHeight="1"/>
    <row r="36843" customFormat="1" ht="17.25" customHeight="1"/>
    <row r="36844" customFormat="1" ht="17.25" customHeight="1"/>
    <row r="36845" customFormat="1" ht="17.25" customHeight="1"/>
    <row r="36846" customFormat="1" ht="17.25" customHeight="1"/>
    <row r="36847" customFormat="1" ht="17.25" customHeight="1"/>
    <row r="36848" customFormat="1" ht="17.25" customHeight="1"/>
    <row r="36849" customFormat="1" ht="17.25" customHeight="1"/>
    <row r="36850" customFormat="1" ht="17.25" customHeight="1"/>
    <row r="36851" customFormat="1" ht="17.25" customHeight="1"/>
    <row r="36852" customFormat="1" ht="17.25" customHeight="1"/>
    <row r="36853" customFormat="1" ht="17.25" customHeight="1"/>
    <row r="36854" customFormat="1" ht="17.25" customHeight="1"/>
    <row r="36855" customFormat="1" ht="17.25" customHeight="1"/>
    <row r="36856" customFormat="1" ht="17.25" customHeight="1"/>
    <row r="36857" customFormat="1" ht="17.25" customHeight="1"/>
    <row r="36858" customFormat="1" ht="17.25" customHeight="1"/>
    <row r="36859" customFormat="1" ht="17.25" customHeight="1"/>
    <row r="36860" customFormat="1" ht="17.25" customHeight="1"/>
    <row r="36861" customFormat="1" ht="17.25" customHeight="1"/>
    <row r="36862" customFormat="1" ht="17.25" customHeight="1"/>
    <row r="36863" customFormat="1" ht="17.25" customHeight="1"/>
    <row r="36864" customFormat="1" ht="17.25" customHeight="1"/>
    <row r="36865" customFormat="1" ht="17.25" customHeight="1"/>
    <row r="36866" customFormat="1" ht="17.25" customHeight="1"/>
    <row r="36867" customFormat="1" ht="17.25" customHeight="1"/>
    <row r="36868" customFormat="1" ht="17.25" customHeight="1"/>
    <row r="36869" customFormat="1" ht="17.25" customHeight="1"/>
    <row r="36870" customFormat="1" ht="17.25" customHeight="1"/>
    <row r="36871" customFormat="1" ht="17.25" customHeight="1"/>
    <row r="36872" customFormat="1" ht="17.25" customHeight="1"/>
    <row r="36873" customFormat="1" ht="17.25" customHeight="1"/>
    <row r="36874" customFormat="1" ht="17.25" customHeight="1"/>
    <row r="36875" customFormat="1" ht="17.25" customHeight="1"/>
    <row r="36876" customFormat="1" ht="17.25" customHeight="1"/>
    <row r="36877" customFormat="1" ht="17.25" customHeight="1"/>
    <row r="36878" customFormat="1" ht="17.25" customHeight="1"/>
    <row r="36879" customFormat="1" ht="17.25" customHeight="1"/>
    <row r="36880" customFormat="1" ht="17.25" customHeight="1"/>
    <row r="36881" customFormat="1" ht="17.25" customHeight="1"/>
    <row r="36882" customFormat="1" ht="17.25" customHeight="1"/>
    <row r="36883" customFormat="1" ht="17.25" customHeight="1"/>
    <row r="36884" customFormat="1" ht="17.25" customHeight="1"/>
    <row r="36885" customFormat="1" ht="17.25" customHeight="1"/>
    <row r="36886" customFormat="1" ht="17.25" customHeight="1"/>
    <row r="36887" customFormat="1" ht="17.25" customHeight="1"/>
    <row r="36888" customFormat="1" ht="17.25" customHeight="1"/>
    <row r="36889" customFormat="1" ht="17.25" customHeight="1"/>
    <row r="36890" customFormat="1" ht="17.25" customHeight="1"/>
    <row r="36891" customFormat="1" ht="17.25" customHeight="1"/>
    <row r="36892" customFormat="1" ht="17.25" customHeight="1"/>
    <row r="36893" customFormat="1" ht="17.25" customHeight="1"/>
    <row r="36894" customFormat="1" ht="17.25" customHeight="1"/>
    <row r="36895" customFormat="1" ht="17.25" customHeight="1"/>
    <row r="36896" customFormat="1" ht="17.25" customHeight="1"/>
    <row r="36897" customFormat="1" ht="17.25" customHeight="1"/>
    <row r="36898" customFormat="1" ht="17.25" customHeight="1"/>
    <row r="36899" customFormat="1" ht="17.25" customHeight="1"/>
    <row r="36900" customFormat="1" ht="17.25" customHeight="1"/>
    <row r="36901" customFormat="1" ht="17.25" customHeight="1"/>
    <row r="36902" customFormat="1" ht="17.25" customHeight="1"/>
    <row r="36903" customFormat="1" ht="17.25" customHeight="1"/>
    <row r="36904" customFormat="1" ht="17.25" customHeight="1"/>
    <row r="36905" customFormat="1" ht="17.25" customHeight="1"/>
    <row r="36906" customFormat="1" ht="17.25" customHeight="1"/>
    <row r="36907" customFormat="1" ht="17.25" customHeight="1"/>
    <row r="36908" customFormat="1" ht="17.25" customHeight="1"/>
    <row r="36909" customFormat="1" ht="17.25" customHeight="1"/>
    <row r="36910" customFormat="1" ht="17.25" customHeight="1"/>
    <row r="36911" customFormat="1" ht="17.25" customHeight="1"/>
    <row r="36912" customFormat="1" ht="17.25" customHeight="1"/>
    <row r="36913" customFormat="1" ht="17.25" customHeight="1"/>
    <row r="36914" customFormat="1" ht="17.25" customHeight="1"/>
    <row r="36915" customFormat="1" ht="17.25" customHeight="1"/>
    <row r="36916" customFormat="1" ht="17.25" customHeight="1"/>
    <row r="36917" customFormat="1" ht="17.25" customHeight="1"/>
    <row r="36918" customFormat="1" ht="17.25" customHeight="1"/>
    <row r="36919" customFormat="1" ht="17.25" customHeight="1"/>
    <row r="36920" customFormat="1" ht="17.25" customHeight="1"/>
    <row r="36921" customFormat="1" ht="17.25" customHeight="1"/>
    <row r="36922" customFormat="1" ht="17.25" customHeight="1"/>
    <row r="36923" customFormat="1" ht="17.25" customHeight="1"/>
    <row r="36924" customFormat="1" ht="17.25" customHeight="1"/>
    <row r="36925" customFormat="1" ht="17.25" customHeight="1"/>
    <row r="36926" customFormat="1" ht="17.25" customHeight="1"/>
    <row r="36927" customFormat="1" ht="17.25" customHeight="1"/>
    <row r="36928" customFormat="1" ht="17.25" customHeight="1"/>
    <row r="36929" customFormat="1" ht="17.25" customHeight="1"/>
    <row r="36930" customFormat="1" ht="17.25" customHeight="1"/>
    <row r="36931" customFormat="1" ht="17.25" customHeight="1"/>
    <row r="36932" customFormat="1" ht="17.25" customHeight="1"/>
    <row r="36933" customFormat="1" ht="17.25" customHeight="1"/>
    <row r="36934" customFormat="1" ht="17.25" customHeight="1"/>
    <row r="36935" customFormat="1" ht="17.25" customHeight="1"/>
    <row r="36936" customFormat="1" ht="17.25" customHeight="1"/>
    <row r="36937" customFormat="1" ht="17.25" customHeight="1"/>
    <row r="36938" customFormat="1" ht="17.25" customHeight="1"/>
    <row r="36939" customFormat="1" ht="17.25" customHeight="1"/>
    <row r="36940" customFormat="1" ht="17.25" customHeight="1"/>
    <row r="36941" customFormat="1" ht="17.25" customHeight="1"/>
    <row r="36942" customFormat="1" ht="17.25" customHeight="1"/>
    <row r="36943" customFormat="1" ht="17.25" customHeight="1"/>
    <row r="36944" customFormat="1" ht="17.25" customHeight="1"/>
    <row r="36945" customFormat="1" ht="17.25" customHeight="1"/>
    <row r="36946" customFormat="1" ht="17.25" customHeight="1"/>
    <row r="36947" customFormat="1" ht="17.25" customHeight="1"/>
    <row r="36948" customFormat="1" ht="17.25" customHeight="1"/>
    <row r="36949" customFormat="1" ht="17.25" customHeight="1"/>
    <row r="36950" customFormat="1" ht="17.25" customHeight="1"/>
    <row r="36951" customFormat="1" ht="17.25" customHeight="1"/>
    <row r="36952" customFormat="1" ht="17.25" customHeight="1"/>
    <row r="36953" customFormat="1" ht="17.25" customHeight="1"/>
    <row r="36954" customFormat="1" ht="17.25" customHeight="1"/>
    <row r="36955" customFormat="1" ht="17.25" customHeight="1"/>
    <row r="36956" customFormat="1" ht="17.25" customHeight="1"/>
    <row r="36957" customFormat="1" ht="17.25" customHeight="1"/>
    <row r="36958" customFormat="1" ht="17.25" customHeight="1"/>
    <row r="36959" customFormat="1" ht="17.25" customHeight="1"/>
    <row r="36960" customFormat="1" ht="17.25" customHeight="1"/>
    <row r="36961" customFormat="1" ht="17.25" customHeight="1"/>
    <row r="36962" customFormat="1" ht="17.25" customHeight="1"/>
    <row r="36963" customFormat="1" ht="17.25" customHeight="1"/>
    <row r="36964" customFormat="1" ht="17.25" customHeight="1"/>
    <row r="36965" customFormat="1" ht="17.25" customHeight="1"/>
    <row r="36966" customFormat="1" ht="17.25" customHeight="1"/>
    <row r="36967" customFormat="1" ht="17.25" customHeight="1"/>
    <row r="36968" customFormat="1" ht="17.25" customHeight="1"/>
    <row r="36969" customFormat="1" ht="17.25" customHeight="1"/>
    <row r="36970" customFormat="1" ht="17.25" customHeight="1"/>
    <row r="36971" customFormat="1" ht="17.25" customHeight="1"/>
    <row r="36972" customFormat="1" ht="17.25" customHeight="1"/>
    <row r="36973" customFormat="1" ht="17.25" customHeight="1"/>
    <row r="36974" customFormat="1" ht="17.25" customHeight="1"/>
    <row r="36975" customFormat="1" ht="17.25" customHeight="1"/>
    <row r="36976" customFormat="1" ht="17.25" customHeight="1"/>
    <row r="36977" customFormat="1" ht="17.25" customHeight="1"/>
    <row r="36978" customFormat="1" ht="17.25" customHeight="1"/>
    <row r="36979" customFormat="1" ht="17.25" customHeight="1"/>
    <row r="36980" customFormat="1" ht="17.25" customHeight="1"/>
    <row r="36981" customFormat="1" ht="17.25" customHeight="1"/>
    <row r="36982" customFormat="1" ht="17.25" customHeight="1"/>
    <row r="36983" customFormat="1" ht="17.25" customHeight="1"/>
    <row r="36984" customFormat="1" ht="17.25" customHeight="1"/>
    <row r="36985" customFormat="1" ht="17.25" customHeight="1"/>
    <row r="36986" customFormat="1" ht="17.25" customHeight="1"/>
    <row r="36987" customFormat="1" ht="17.25" customHeight="1"/>
    <row r="36988" customFormat="1" ht="17.25" customHeight="1"/>
    <row r="36989" customFormat="1" ht="17.25" customHeight="1"/>
    <row r="36990" customFormat="1" ht="17.25" customHeight="1"/>
    <row r="36991" customFormat="1" ht="17.25" customHeight="1"/>
    <row r="36992" customFormat="1" ht="17.25" customHeight="1"/>
    <row r="36993" customFormat="1" ht="17.25" customHeight="1"/>
    <row r="36994" customFormat="1" ht="17.25" customHeight="1"/>
    <row r="36995" customFormat="1" ht="17.25" customHeight="1"/>
    <row r="36996" customFormat="1" ht="17.25" customHeight="1"/>
    <row r="36997" customFormat="1" ht="17.25" customHeight="1"/>
    <row r="36998" customFormat="1" ht="17.25" customHeight="1"/>
    <row r="36999" customFormat="1" ht="17.25" customHeight="1"/>
    <row r="37000" customFormat="1" ht="17.25" customHeight="1"/>
    <row r="37001" customFormat="1" ht="17.25" customHeight="1"/>
    <row r="37002" customFormat="1" ht="17.25" customHeight="1"/>
    <row r="37003" customFormat="1" ht="17.25" customHeight="1"/>
    <row r="37004" customFormat="1" ht="17.25" customHeight="1"/>
    <row r="37005" customFormat="1" ht="17.25" customHeight="1"/>
    <row r="37006" customFormat="1" ht="17.25" customHeight="1"/>
    <row r="37007" customFormat="1" ht="17.25" customHeight="1"/>
    <row r="37008" customFormat="1" ht="17.25" customHeight="1"/>
    <row r="37009" customFormat="1" ht="17.25" customHeight="1"/>
    <row r="37010" customFormat="1" ht="17.25" customHeight="1"/>
    <row r="37011" customFormat="1" ht="17.25" customHeight="1"/>
    <row r="37012" customFormat="1" ht="17.25" customHeight="1"/>
    <row r="37013" customFormat="1" ht="17.25" customHeight="1"/>
    <row r="37014" customFormat="1" ht="17.25" customHeight="1"/>
    <row r="37015" customFormat="1" ht="17.25" customHeight="1"/>
    <row r="37016" customFormat="1" ht="17.25" customHeight="1"/>
    <row r="37017" customFormat="1" ht="17.25" customHeight="1"/>
    <row r="37018" customFormat="1" ht="17.25" customHeight="1"/>
    <row r="37019" customFormat="1" ht="17.25" customHeight="1"/>
    <row r="37020" customFormat="1" ht="17.25" customHeight="1"/>
    <row r="37021" customFormat="1" ht="17.25" customHeight="1"/>
    <row r="37022" customFormat="1" ht="17.25" customHeight="1"/>
    <row r="37023" customFormat="1" ht="17.25" customHeight="1"/>
    <row r="37024" customFormat="1" ht="17.25" customHeight="1"/>
    <row r="37025" customFormat="1" ht="17.25" customHeight="1"/>
    <row r="37026" customFormat="1" ht="17.25" customHeight="1"/>
    <row r="37027" customFormat="1" ht="17.25" customHeight="1"/>
    <row r="37028" customFormat="1" ht="17.25" customHeight="1"/>
    <row r="37029" customFormat="1" ht="17.25" customHeight="1"/>
    <row r="37030" customFormat="1" ht="17.25" customHeight="1"/>
    <row r="37031" customFormat="1" ht="17.25" customHeight="1"/>
    <row r="37032" customFormat="1" ht="17.25" customHeight="1"/>
    <row r="37033" customFormat="1" ht="17.25" customHeight="1"/>
    <row r="37034" customFormat="1" ht="17.25" customHeight="1"/>
    <row r="37035" customFormat="1" ht="17.25" customHeight="1"/>
    <row r="37036" customFormat="1" ht="17.25" customHeight="1"/>
    <row r="37037" customFormat="1" ht="17.25" customHeight="1"/>
    <row r="37038" customFormat="1" ht="17.25" customHeight="1"/>
    <row r="37039" customFormat="1" ht="17.25" customHeight="1"/>
    <row r="37040" customFormat="1" ht="17.25" customHeight="1"/>
    <row r="37041" customFormat="1" ht="17.25" customHeight="1"/>
    <row r="37042" customFormat="1" ht="17.25" customHeight="1"/>
    <row r="37043" customFormat="1" ht="17.25" customHeight="1"/>
    <row r="37044" customFormat="1" ht="17.25" customHeight="1"/>
    <row r="37045" customFormat="1" ht="17.25" customHeight="1"/>
    <row r="37046" customFormat="1" ht="17.25" customHeight="1"/>
    <row r="37047" customFormat="1" ht="17.25" customHeight="1"/>
    <row r="37048" customFormat="1" ht="17.25" customHeight="1"/>
    <row r="37049" customFormat="1" ht="17.25" customHeight="1"/>
    <row r="37050" customFormat="1" ht="17.25" customHeight="1"/>
    <row r="37051" customFormat="1" ht="17.25" customHeight="1"/>
    <row r="37052" customFormat="1" ht="17.25" customHeight="1"/>
    <row r="37053" customFormat="1" ht="17.25" customHeight="1"/>
    <row r="37054" customFormat="1" ht="17.25" customHeight="1"/>
    <row r="37055" customFormat="1" ht="17.25" customHeight="1"/>
    <row r="37056" customFormat="1" ht="17.25" customHeight="1"/>
    <row r="37057" customFormat="1" ht="17.25" customHeight="1"/>
    <row r="37058" customFormat="1" ht="17.25" customHeight="1"/>
    <row r="37059" customFormat="1" ht="17.25" customHeight="1"/>
    <row r="37060" customFormat="1" ht="17.25" customHeight="1"/>
    <row r="37061" customFormat="1" ht="17.25" customHeight="1"/>
    <row r="37062" customFormat="1" ht="17.25" customHeight="1"/>
    <row r="37063" customFormat="1" ht="17.25" customHeight="1"/>
    <row r="37064" customFormat="1" ht="17.25" customHeight="1"/>
    <row r="37065" customFormat="1" ht="17.25" customHeight="1"/>
    <row r="37066" customFormat="1" ht="17.25" customHeight="1"/>
    <row r="37067" customFormat="1" ht="17.25" customHeight="1"/>
    <row r="37068" customFormat="1" ht="17.25" customHeight="1"/>
    <row r="37069" customFormat="1" ht="17.25" customHeight="1"/>
    <row r="37070" customFormat="1" ht="17.25" customHeight="1"/>
    <row r="37071" customFormat="1" ht="17.25" customHeight="1"/>
    <row r="37072" customFormat="1" ht="17.25" customHeight="1"/>
    <row r="37073" customFormat="1" ht="17.25" customHeight="1"/>
    <row r="37074" customFormat="1" ht="17.25" customHeight="1"/>
    <row r="37075" customFormat="1" ht="17.25" customHeight="1"/>
    <row r="37076" customFormat="1" ht="17.25" customHeight="1"/>
    <row r="37077" customFormat="1" ht="17.25" customHeight="1"/>
    <row r="37078" customFormat="1" ht="17.25" customHeight="1"/>
    <row r="37079" customFormat="1" ht="17.25" customHeight="1"/>
    <row r="37080" customFormat="1" ht="17.25" customHeight="1"/>
    <row r="37081" customFormat="1" ht="17.25" customHeight="1"/>
    <row r="37082" customFormat="1" ht="17.25" customHeight="1"/>
    <row r="37083" customFormat="1" ht="17.25" customHeight="1"/>
    <row r="37084" customFormat="1" ht="17.25" customHeight="1"/>
    <row r="37085" customFormat="1" ht="17.25" customHeight="1"/>
    <row r="37086" customFormat="1" ht="17.25" customHeight="1"/>
    <row r="37087" customFormat="1" ht="17.25" customHeight="1"/>
    <row r="37088" customFormat="1" ht="17.25" customHeight="1"/>
    <row r="37089" customFormat="1" ht="17.25" customHeight="1"/>
    <row r="37090" customFormat="1" ht="17.25" customHeight="1"/>
    <row r="37091" customFormat="1" ht="17.25" customHeight="1"/>
    <row r="37092" customFormat="1" ht="17.25" customHeight="1"/>
    <row r="37093" customFormat="1" ht="17.25" customHeight="1"/>
    <row r="37094" customFormat="1" ht="17.25" customHeight="1"/>
    <row r="37095" customFormat="1" ht="17.25" customHeight="1"/>
    <row r="37096" customFormat="1" ht="17.25" customHeight="1"/>
    <row r="37097" customFormat="1" ht="17.25" customHeight="1"/>
    <row r="37098" customFormat="1" ht="17.25" customHeight="1"/>
    <row r="37099" customFormat="1" ht="17.25" customHeight="1"/>
    <row r="37100" customFormat="1" ht="17.25" customHeight="1"/>
    <row r="37101" customFormat="1" ht="17.25" customHeight="1"/>
    <row r="37102" customFormat="1" ht="17.25" customHeight="1"/>
    <row r="37103" customFormat="1" ht="17.25" customHeight="1"/>
    <row r="37104" customFormat="1" ht="17.25" customHeight="1"/>
    <row r="37105" customFormat="1" ht="17.25" customHeight="1"/>
    <row r="37106" customFormat="1" ht="17.25" customHeight="1"/>
    <row r="37107" customFormat="1" ht="17.25" customHeight="1"/>
    <row r="37108" customFormat="1" ht="17.25" customHeight="1"/>
    <row r="37109" customFormat="1" ht="17.25" customHeight="1"/>
    <row r="37110" customFormat="1" ht="17.25" customHeight="1"/>
    <row r="37111" customFormat="1" ht="17.25" customHeight="1"/>
    <row r="37112" customFormat="1" ht="17.25" customHeight="1"/>
    <row r="37113" customFormat="1" ht="17.25" customHeight="1"/>
    <row r="37114" customFormat="1" ht="17.25" customHeight="1"/>
    <row r="37115" customFormat="1" ht="17.25" customHeight="1"/>
    <row r="37116" customFormat="1" ht="17.25" customHeight="1"/>
    <row r="37117" customFormat="1" ht="17.25" customHeight="1"/>
    <row r="37118" customFormat="1" ht="17.25" customHeight="1"/>
    <row r="37119" customFormat="1" ht="17.25" customHeight="1"/>
    <row r="37120" customFormat="1" ht="17.25" customHeight="1"/>
    <row r="37121" customFormat="1" ht="17.25" customHeight="1"/>
    <row r="37122" customFormat="1" ht="17.25" customHeight="1"/>
    <row r="37123" customFormat="1" ht="17.25" customHeight="1"/>
    <row r="37124" customFormat="1" ht="17.25" customHeight="1"/>
    <row r="37125" customFormat="1" ht="17.25" customHeight="1"/>
    <row r="37126" customFormat="1" ht="17.25" customHeight="1"/>
    <row r="37127" customFormat="1" ht="17.25" customHeight="1"/>
    <row r="37128" customFormat="1" ht="17.25" customHeight="1"/>
    <row r="37129" customFormat="1" ht="17.25" customHeight="1"/>
    <row r="37130" customFormat="1" ht="17.25" customHeight="1"/>
    <row r="37131" customFormat="1" ht="17.25" customHeight="1"/>
    <row r="37132" customFormat="1" ht="17.25" customHeight="1"/>
    <row r="37133" customFormat="1" ht="17.25" customHeight="1"/>
    <row r="37134" customFormat="1" ht="17.25" customHeight="1"/>
    <row r="37135" customFormat="1" ht="17.25" customHeight="1"/>
    <row r="37136" customFormat="1" ht="17.25" customHeight="1"/>
    <row r="37137" customFormat="1" ht="17.25" customHeight="1"/>
    <row r="37138" customFormat="1" ht="17.25" customHeight="1"/>
    <row r="37139" customFormat="1" ht="17.25" customHeight="1"/>
    <row r="37140" customFormat="1" ht="17.25" customHeight="1"/>
    <row r="37141" customFormat="1" ht="17.25" customHeight="1"/>
    <row r="37142" customFormat="1" ht="17.25" customHeight="1"/>
    <row r="37143" customFormat="1" ht="17.25" customHeight="1"/>
    <row r="37144" customFormat="1" ht="17.25" customHeight="1"/>
    <row r="37145" customFormat="1" ht="17.25" customHeight="1"/>
    <row r="37146" customFormat="1" ht="17.25" customHeight="1"/>
    <row r="37147" customFormat="1" ht="17.25" customHeight="1"/>
    <row r="37148" customFormat="1" ht="17.25" customHeight="1"/>
    <row r="37149" customFormat="1" ht="17.25" customHeight="1"/>
    <row r="37150" customFormat="1" ht="17.25" customHeight="1"/>
    <row r="37151" customFormat="1" ht="17.25" customHeight="1"/>
    <row r="37152" customFormat="1" ht="17.25" customHeight="1"/>
    <row r="37153" customFormat="1" ht="17.25" customHeight="1"/>
    <row r="37154" customFormat="1" ht="17.25" customHeight="1"/>
    <row r="37155" customFormat="1" ht="17.25" customHeight="1"/>
    <row r="37156" customFormat="1" ht="17.25" customHeight="1"/>
    <row r="37157" customFormat="1" ht="17.25" customHeight="1"/>
    <row r="37158" customFormat="1" ht="17.25" customHeight="1"/>
    <row r="37159" customFormat="1" ht="17.25" customHeight="1"/>
    <row r="37160" customFormat="1" ht="17.25" customHeight="1"/>
    <row r="37161" customFormat="1" ht="17.25" customHeight="1"/>
    <row r="37162" customFormat="1" ht="17.25" customHeight="1"/>
    <row r="37163" customFormat="1" ht="17.25" customHeight="1"/>
    <row r="37164" customFormat="1" ht="17.25" customHeight="1"/>
    <row r="37165" customFormat="1" ht="17.25" customHeight="1"/>
    <row r="37166" customFormat="1" ht="17.25" customHeight="1"/>
    <row r="37167" customFormat="1" ht="17.25" customHeight="1"/>
    <row r="37168" customFormat="1" ht="17.25" customHeight="1"/>
    <row r="37169" customFormat="1" ht="17.25" customHeight="1"/>
    <row r="37170" customFormat="1" ht="17.25" customHeight="1"/>
    <row r="37171" customFormat="1" ht="17.25" customHeight="1"/>
    <row r="37172" customFormat="1" ht="17.25" customHeight="1"/>
    <row r="37173" customFormat="1" ht="17.25" customHeight="1"/>
    <row r="37174" customFormat="1" ht="17.25" customHeight="1"/>
    <row r="37175" customFormat="1" ht="17.25" customHeight="1"/>
    <row r="37176" customFormat="1" ht="17.25" customHeight="1"/>
    <row r="37177" customFormat="1" ht="17.25" customHeight="1"/>
    <row r="37178" customFormat="1" ht="17.25" customHeight="1"/>
    <row r="37179" customFormat="1" ht="17.25" customHeight="1"/>
    <row r="37180" customFormat="1" ht="17.25" customHeight="1"/>
    <row r="37181" customFormat="1" ht="17.25" customHeight="1"/>
    <row r="37182" customFormat="1" ht="17.25" customHeight="1"/>
    <row r="37183" customFormat="1" ht="17.25" customHeight="1"/>
    <row r="37184" customFormat="1" ht="17.25" customHeight="1"/>
    <row r="37185" customFormat="1" ht="17.25" customHeight="1"/>
    <row r="37186" customFormat="1" ht="17.25" customHeight="1"/>
    <row r="37187" customFormat="1" ht="17.25" customHeight="1"/>
    <row r="37188" customFormat="1" ht="17.25" customHeight="1"/>
    <row r="37189" customFormat="1" ht="17.25" customHeight="1"/>
    <row r="37190" customFormat="1" ht="17.25" customHeight="1"/>
    <row r="37191" customFormat="1" ht="17.25" customHeight="1"/>
    <row r="37192" customFormat="1" ht="17.25" customHeight="1"/>
    <row r="37193" customFormat="1" ht="17.25" customHeight="1"/>
    <row r="37194" customFormat="1" ht="17.25" customHeight="1"/>
    <row r="37195" customFormat="1" ht="17.25" customHeight="1"/>
    <row r="37196" customFormat="1" ht="17.25" customHeight="1"/>
    <row r="37197" customFormat="1" ht="17.25" customHeight="1"/>
    <row r="37198" customFormat="1" ht="17.25" customHeight="1"/>
    <row r="37199" customFormat="1" ht="17.25" customHeight="1"/>
    <row r="37200" customFormat="1" ht="17.25" customHeight="1"/>
    <row r="37201" customFormat="1" ht="17.25" customHeight="1"/>
    <row r="37202" customFormat="1" ht="17.25" customHeight="1"/>
    <row r="37203" customFormat="1" ht="17.25" customHeight="1"/>
    <row r="37204" customFormat="1" ht="17.25" customHeight="1"/>
    <row r="37205" customFormat="1" ht="17.25" customHeight="1"/>
    <row r="37206" customFormat="1" ht="17.25" customHeight="1"/>
    <row r="37207" customFormat="1" ht="17.25" customHeight="1"/>
    <row r="37208" customFormat="1" ht="17.25" customHeight="1"/>
    <row r="37209" customFormat="1" ht="17.25" customHeight="1"/>
    <row r="37210" customFormat="1" ht="17.25" customHeight="1"/>
    <row r="37211" customFormat="1" ht="17.25" customHeight="1"/>
    <row r="37212" customFormat="1" ht="17.25" customHeight="1"/>
    <row r="37213" customFormat="1" ht="17.25" customHeight="1"/>
    <row r="37214" customFormat="1" ht="17.25" customHeight="1"/>
    <row r="37215" customFormat="1" ht="17.25" customHeight="1"/>
    <row r="37216" customFormat="1" ht="17.25" customHeight="1"/>
    <row r="37217" customFormat="1" ht="17.25" customHeight="1"/>
    <row r="37218" customFormat="1" ht="17.25" customHeight="1"/>
    <row r="37219" customFormat="1" ht="17.25" customHeight="1"/>
    <row r="37220" customFormat="1" ht="17.25" customHeight="1"/>
    <row r="37221" customFormat="1" ht="17.25" customHeight="1"/>
    <row r="37222" customFormat="1" ht="17.25" customHeight="1"/>
    <row r="37223" customFormat="1" ht="17.25" customHeight="1"/>
    <row r="37224" customFormat="1" ht="17.25" customHeight="1"/>
    <row r="37225" customFormat="1" ht="17.25" customHeight="1"/>
    <row r="37226" customFormat="1" ht="17.25" customHeight="1"/>
    <row r="37227" customFormat="1" ht="17.25" customHeight="1"/>
    <row r="37228" customFormat="1" ht="17.25" customHeight="1"/>
    <row r="37229" customFormat="1" ht="17.25" customHeight="1"/>
    <row r="37230" customFormat="1" ht="17.25" customHeight="1"/>
    <row r="37231" customFormat="1" ht="17.25" customHeight="1"/>
    <row r="37232" customFormat="1" ht="17.25" customHeight="1"/>
    <row r="37233" customFormat="1" ht="17.25" customHeight="1"/>
    <row r="37234" customFormat="1" ht="17.25" customHeight="1"/>
    <row r="37235" customFormat="1" ht="17.25" customHeight="1"/>
    <row r="37236" customFormat="1" ht="17.25" customHeight="1"/>
    <row r="37237" customFormat="1" ht="17.25" customHeight="1"/>
    <row r="37238" customFormat="1" ht="17.25" customHeight="1"/>
    <row r="37239" customFormat="1" ht="17.25" customHeight="1"/>
    <row r="37240" customFormat="1" ht="17.25" customHeight="1"/>
    <row r="37241" customFormat="1" ht="17.25" customHeight="1"/>
    <row r="37242" customFormat="1" ht="17.25" customHeight="1"/>
    <row r="37243" customFormat="1" ht="17.25" customHeight="1"/>
    <row r="37244" customFormat="1" ht="17.25" customHeight="1"/>
    <row r="37245" customFormat="1" ht="17.25" customHeight="1"/>
    <row r="37246" customFormat="1" ht="17.25" customHeight="1"/>
    <row r="37247" customFormat="1" ht="17.25" customHeight="1"/>
    <row r="37248" customFormat="1" ht="17.25" customHeight="1"/>
    <row r="37249" customFormat="1" ht="17.25" customHeight="1"/>
    <row r="37250" customFormat="1" ht="17.25" customHeight="1"/>
    <row r="37251" customFormat="1" ht="17.25" customHeight="1"/>
    <row r="37252" customFormat="1" ht="17.25" customHeight="1"/>
    <row r="37253" customFormat="1" ht="17.25" customHeight="1"/>
    <row r="37254" customFormat="1" ht="17.25" customHeight="1"/>
    <row r="37255" customFormat="1" ht="17.25" customHeight="1"/>
    <row r="37256" customFormat="1" ht="17.25" customHeight="1"/>
    <row r="37257" customFormat="1" ht="17.25" customHeight="1"/>
    <row r="37258" customFormat="1" ht="17.25" customHeight="1"/>
    <row r="37259" customFormat="1" ht="17.25" customHeight="1"/>
    <row r="37260" customFormat="1" ht="17.25" customHeight="1"/>
    <row r="37261" customFormat="1" ht="17.25" customHeight="1"/>
    <row r="37262" customFormat="1" ht="17.25" customHeight="1"/>
    <row r="37263" customFormat="1" ht="17.25" customHeight="1"/>
    <row r="37264" customFormat="1" ht="17.25" customHeight="1"/>
    <row r="37265" customFormat="1" ht="17.25" customHeight="1"/>
    <row r="37266" customFormat="1" ht="17.25" customHeight="1"/>
    <row r="37267" customFormat="1" ht="17.25" customHeight="1"/>
    <row r="37268" customFormat="1" ht="17.25" customHeight="1"/>
    <row r="37269" customFormat="1" ht="17.25" customHeight="1"/>
    <row r="37270" customFormat="1" ht="17.25" customHeight="1"/>
    <row r="37271" customFormat="1" ht="17.25" customHeight="1"/>
    <row r="37272" customFormat="1" ht="17.25" customHeight="1"/>
    <row r="37273" customFormat="1" ht="17.25" customHeight="1"/>
    <row r="37274" customFormat="1" ht="17.25" customHeight="1"/>
    <row r="37275" customFormat="1" ht="17.25" customHeight="1"/>
    <row r="37276" customFormat="1" ht="17.25" customHeight="1"/>
    <row r="37277" customFormat="1" ht="17.25" customHeight="1"/>
    <row r="37278" customFormat="1" ht="17.25" customHeight="1"/>
    <row r="37279" customFormat="1" ht="17.25" customHeight="1"/>
    <row r="37280" customFormat="1" ht="17.25" customHeight="1"/>
    <row r="37281" customFormat="1" ht="17.25" customHeight="1"/>
    <row r="37282" customFormat="1" ht="17.25" customHeight="1"/>
    <row r="37283" customFormat="1" ht="17.25" customHeight="1"/>
    <row r="37284" customFormat="1" ht="17.25" customHeight="1"/>
    <row r="37285" customFormat="1" ht="17.25" customHeight="1"/>
    <row r="37286" customFormat="1" ht="17.25" customHeight="1"/>
    <row r="37287" customFormat="1" ht="17.25" customHeight="1"/>
    <row r="37288" customFormat="1" ht="17.25" customHeight="1"/>
    <row r="37289" customFormat="1" ht="17.25" customHeight="1"/>
    <row r="37290" customFormat="1" ht="17.25" customHeight="1"/>
    <row r="37291" customFormat="1" ht="17.25" customHeight="1"/>
    <row r="37292" customFormat="1" ht="17.25" customHeight="1"/>
    <row r="37293" customFormat="1" ht="17.25" customHeight="1"/>
    <row r="37294" customFormat="1" ht="17.25" customHeight="1"/>
    <row r="37295" customFormat="1" ht="17.25" customHeight="1"/>
    <row r="37296" customFormat="1" ht="17.25" customHeight="1"/>
    <row r="37297" customFormat="1" ht="17.25" customHeight="1"/>
    <row r="37298" customFormat="1" ht="17.25" customHeight="1"/>
    <row r="37299" customFormat="1" ht="17.25" customHeight="1"/>
    <row r="37300" customFormat="1" ht="17.25" customHeight="1"/>
    <row r="37301" customFormat="1" ht="17.25" customHeight="1"/>
    <row r="37302" customFormat="1" ht="17.25" customHeight="1"/>
    <row r="37303" customFormat="1" ht="17.25" customHeight="1"/>
    <row r="37304" customFormat="1" ht="17.25" customHeight="1"/>
    <row r="37305" customFormat="1" ht="17.25" customHeight="1"/>
    <row r="37306" customFormat="1" ht="17.25" customHeight="1"/>
    <row r="37307" customFormat="1" ht="17.25" customHeight="1"/>
    <row r="37308" customFormat="1" ht="17.25" customHeight="1"/>
    <row r="37309" customFormat="1" ht="17.25" customHeight="1"/>
    <row r="37310" customFormat="1" ht="17.25" customHeight="1"/>
    <row r="37311" customFormat="1" ht="17.25" customHeight="1"/>
    <row r="37312" customFormat="1" ht="17.25" customHeight="1"/>
    <row r="37313" customFormat="1" ht="17.25" customHeight="1"/>
    <row r="37314" customFormat="1" ht="17.25" customHeight="1"/>
    <row r="37315" customFormat="1" ht="17.25" customHeight="1"/>
    <row r="37316" customFormat="1" ht="17.25" customHeight="1"/>
    <row r="37317" customFormat="1" ht="17.25" customHeight="1"/>
    <row r="37318" customFormat="1" ht="17.25" customHeight="1"/>
    <row r="37319" customFormat="1" ht="17.25" customHeight="1"/>
    <row r="37320" customFormat="1" ht="17.25" customHeight="1"/>
    <row r="37321" customFormat="1" ht="17.25" customHeight="1"/>
    <row r="37322" customFormat="1" ht="17.25" customHeight="1"/>
    <row r="37323" customFormat="1" ht="17.25" customHeight="1"/>
    <row r="37324" customFormat="1" ht="17.25" customHeight="1"/>
    <row r="37325" customFormat="1" ht="17.25" customHeight="1"/>
    <row r="37326" customFormat="1" ht="17.25" customHeight="1"/>
    <row r="37327" customFormat="1" ht="17.25" customHeight="1"/>
    <row r="37328" customFormat="1" ht="17.25" customHeight="1"/>
    <row r="37329" customFormat="1" ht="17.25" customHeight="1"/>
    <row r="37330" customFormat="1" ht="17.25" customHeight="1"/>
    <row r="37331" customFormat="1" ht="17.25" customHeight="1"/>
    <row r="37332" customFormat="1" ht="17.25" customHeight="1"/>
    <row r="37333" customFormat="1" ht="17.25" customHeight="1"/>
    <row r="37334" customFormat="1" ht="17.25" customHeight="1"/>
    <row r="37335" customFormat="1" ht="17.25" customHeight="1"/>
    <row r="37336" customFormat="1" ht="17.25" customHeight="1"/>
    <row r="37337" customFormat="1" ht="17.25" customHeight="1"/>
    <row r="37338" customFormat="1" ht="17.25" customHeight="1"/>
    <row r="37339" customFormat="1" ht="17.25" customHeight="1"/>
    <row r="37340" customFormat="1" ht="17.25" customHeight="1"/>
    <row r="37341" customFormat="1" ht="17.25" customHeight="1"/>
    <row r="37342" customFormat="1" ht="17.25" customHeight="1"/>
    <row r="37343" customFormat="1" ht="17.25" customHeight="1"/>
    <row r="37344" customFormat="1" ht="17.25" customHeight="1"/>
    <row r="37345" customFormat="1" ht="17.25" customHeight="1"/>
    <row r="37346" customFormat="1" ht="17.25" customHeight="1"/>
    <row r="37347" customFormat="1" ht="17.25" customHeight="1"/>
    <row r="37348" customFormat="1" ht="17.25" customHeight="1"/>
    <row r="37349" customFormat="1" ht="17.25" customHeight="1"/>
    <row r="37350" customFormat="1" ht="17.25" customHeight="1"/>
    <row r="37351" customFormat="1" ht="17.25" customHeight="1"/>
    <row r="37352" customFormat="1" ht="17.25" customHeight="1"/>
    <row r="37353" customFormat="1" ht="17.25" customHeight="1"/>
    <row r="37354" customFormat="1" ht="17.25" customHeight="1"/>
    <row r="37355" customFormat="1" ht="17.25" customHeight="1"/>
    <row r="37356" customFormat="1" ht="17.25" customHeight="1"/>
    <row r="37357" customFormat="1" ht="17.25" customHeight="1"/>
    <row r="37358" customFormat="1" ht="17.25" customHeight="1"/>
    <row r="37359" customFormat="1" ht="17.25" customHeight="1"/>
    <row r="37360" customFormat="1" ht="17.25" customHeight="1"/>
    <row r="37361" customFormat="1" ht="17.25" customHeight="1"/>
    <row r="37362" customFormat="1" ht="17.25" customHeight="1"/>
    <row r="37363" customFormat="1" ht="17.25" customHeight="1"/>
    <row r="37364" customFormat="1" ht="17.25" customHeight="1"/>
    <row r="37365" customFormat="1" ht="17.25" customHeight="1"/>
    <row r="37366" customFormat="1" ht="17.25" customHeight="1"/>
    <row r="37367" customFormat="1" ht="17.25" customHeight="1"/>
    <row r="37368" customFormat="1" ht="17.25" customHeight="1"/>
    <row r="37369" customFormat="1" ht="17.25" customHeight="1"/>
    <row r="37370" customFormat="1" ht="17.25" customHeight="1"/>
    <row r="37371" customFormat="1" ht="17.25" customHeight="1"/>
    <row r="37372" customFormat="1" ht="17.25" customHeight="1"/>
    <row r="37373" customFormat="1" ht="17.25" customHeight="1"/>
    <row r="37374" customFormat="1" ht="17.25" customHeight="1"/>
    <row r="37375" customFormat="1" ht="17.25" customHeight="1"/>
    <row r="37376" customFormat="1" ht="17.25" customHeight="1"/>
    <row r="37377" customFormat="1" ht="17.25" customHeight="1"/>
    <row r="37378" customFormat="1" ht="17.25" customHeight="1"/>
    <row r="37379" customFormat="1" ht="17.25" customHeight="1"/>
    <row r="37380" customFormat="1" ht="17.25" customHeight="1"/>
    <row r="37381" customFormat="1" ht="17.25" customHeight="1"/>
    <row r="37382" customFormat="1" ht="17.25" customHeight="1"/>
    <row r="37383" customFormat="1" ht="17.25" customHeight="1"/>
    <row r="37384" customFormat="1" ht="17.25" customHeight="1"/>
    <row r="37385" customFormat="1" ht="17.25" customHeight="1"/>
    <row r="37386" customFormat="1" ht="17.25" customHeight="1"/>
    <row r="37387" customFormat="1" ht="17.25" customHeight="1"/>
    <row r="37388" customFormat="1" ht="17.25" customHeight="1"/>
    <row r="37389" customFormat="1" ht="17.25" customHeight="1"/>
    <row r="37390" customFormat="1" ht="17.25" customHeight="1"/>
    <row r="37391" customFormat="1" ht="17.25" customHeight="1"/>
    <row r="37392" customFormat="1" ht="17.25" customHeight="1"/>
    <row r="37393" customFormat="1" ht="17.25" customHeight="1"/>
    <row r="37394" customFormat="1" ht="17.25" customHeight="1"/>
    <row r="37395" customFormat="1" ht="17.25" customHeight="1"/>
    <row r="37396" customFormat="1" ht="17.25" customHeight="1"/>
    <row r="37397" customFormat="1" ht="17.25" customHeight="1"/>
    <row r="37398" customFormat="1" ht="17.25" customHeight="1"/>
    <row r="37399" customFormat="1" ht="17.25" customHeight="1"/>
    <row r="37400" customFormat="1" ht="17.25" customHeight="1"/>
    <row r="37401" customFormat="1" ht="17.25" customHeight="1"/>
    <row r="37402" customFormat="1" ht="17.25" customHeight="1"/>
    <row r="37403" customFormat="1" ht="17.25" customHeight="1"/>
    <row r="37404" customFormat="1" ht="17.25" customHeight="1"/>
    <row r="37405" customFormat="1" ht="17.25" customHeight="1"/>
    <row r="37406" customFormat="1" ht="17.25" customHeight="1"/>
    <row r="37407" customFormat="1" ht="17.25" customHeight="1"/>
    <row r="37408" customFormat="1" ht="17.25" customHeight="1"/>
    <row r="37409" customFormat="1" ht="17.25" customHeight="1"/>
    <row r="37410" customFormat="1" ht="17.25" customHeight="1"/>
    <row r="37411" customFormat="1" ht="17.25" customHeight="1"/>
    <row r="37412" customFormat="1" ht="17.25" customHeight="1"/>
    <row r="37413" customFormat="1" ht="17.25" customHeight="1"/>
    <row r="37414" customFormat="1" ht="17.25" customHeight="1"/>
    <row r="37415" customFormat="1" ht="17.25" customHeight="1"/>
    <row r="37416" customFormat="1" ht="17.25" customHeight="1"/>
    <row r="37417" customFormat="1" ht="17.25" customHeight="1"/>
    <row r="37418" customFormat="1" ht="17.25" customHeight="1"/>
    <row r="37419" customFormat="1" ht="17.25" customHeight="1"/>
    <row r="37420" customFormat="1" ht="17.25" customHeight="1"/>
    <row r="37421" customFormat="1" ht="17.25" customHeight="1"/>
    <row r="37422" customFormat="1" ht="17.25" customHeight="1"/>
    <row r="37423" customFormat="1" ht="17.25" customHeight="1"/>
    <row r="37424" customFormat="1" ht="17.25" customHeight="1"/>
    <row r="37425" customFormat="1" ht="17.25" customHeight="1"/>
    <row r="37426" customFormat="1" ht="17.25" customHeight="1"/>
    <row r="37427" customFormat="1" ht="17.25" customHeight="1"/>
    <row r="37428" customFormat="1" ht="17.25" customHeight="1"/>
    <row r="37429" customFormat="1" ht="17.25" customHeight="1"/>
    <row r="37430" customFormat="1" ht="17.25" customHeight="1"/>
    <row r="37431" customFormat="1" ht="17.25" customHeight="1"/>
    <row r="37432" customFormat="1" ht="17.25" customHeight="1"/>
    <row r="37433" customFormat="1" ht="17.25" customHeight="1"/>
    <row r="37434" customFormat="1" ht="17.25" customHeight="1"/>
    <row r="37435" customFormat="1" ht="17.25" customHeight="1"/>
    <row r="37436" customFormat="1" ht="17.25" customHeight="1"/>
    <row r="37437" customFormat="1" ht="17.25" customHeight="1"/>
    <row r="37438" customFormat="1" ht="17.25" customHeight="1"/>
    <row r="37439" customFormat="1" ht="17.25" customHeight="1"/>
    <row r="37440" customFormat="1" ht="17.25" customHeight="1"/>
    <row r="37441" customFormat="1" ht="17.25" customHeight="1"/>
    <row r="37442" customFormat="1" ht="17.25" customHeight="1"/>
    <row r="37443" customFormat="1" ht="17.25" customHeight="1"/>
    <row r="37444" customFormat="1" ht="17.25" customHeight="1"/>
    <row r="37445" customFormat="1" ht="17.25" customHeight="1"/>
    <row r="37446" customFormat="1" ht="17.25" customHeight="1"/>
    <row r="37447" customFormat="1" ht="17.25" customHeight="1"/>
    <row r="37448" customFormat="1" ht="17.25" customHeight="1"/>
    <row r="37449" customFormat="1" ht="17.25" customHeight="1"/>
    <row r="37450" customFormat="1" ht="17.25" customHeight="1"/>
    <row r="37451" customFormat="1" ht="17.25" customHeight="1"/>
    <row r="37452" customFormat="1" ht="17.25" customHeight="1"/>
    <row r="37453" customFormat="1" ht="17.25" customHeight="1"/>
    <row r="37454" customFormat="1" ht="17.25" customHeight="1"/>
    <row r="37455" customFormat="1" ht="17.25" customHeight="1"/>
    <row r="37456" customFormat="1" ht="17.25" customHeight="1"/>
    <row r="37457" customFormat="1" ht="17.25" customHeight="1"/>
    <row r="37458" customFormat="1" ht="17.25" customHeight="1"/>
    <row r="37459" customFormat="1" ht="17.25" customHeight="1"/>
    <row r="37460" customFormat="1" ht="17.25" customHeight="1"/>
    <row r="37461" customFormat="1" ht="17.25" customHeight="1"/>
    <row r="37462" customFormat="1" ht="17.25" customHeight="1"/>
    <row r="37463" customFormat="1" ht="17.25" customHeight="1"/>
    <row r="37464" customFormat="1" ht="17.25" customHeight="1"/>
    <row r="37465" customFormat="1" ht="17.25" customHeight="1"/>
    <row r="37466" customFormat="1" ht="17.25" customHeight="1"/>
    <row r="37467" customFormat="1" ht="17.25" customHeight="1"/>
    <row r="37468" customFormat="1" ht="17.25" customHeight="1"/>
    <row r="37469" customFormat="1" ht="17.25" customHeight="1"/>
    <row r="37470" customFormat="1" ht="17.25" customHeight="1"/>
    <row r="37471" customFormat="1" ht="17.25" customHeight="1"/>
    <row r="37472" customFormat="1" ht="17.25" customHeight="1"/>
    <row r="37473" customFormat="1" ht="17.25" customHeight="1"/>
    <row r="37474" customFormat="1" ht="17.25" customHeight="1"/>
    <row r="37475" customFormat="1" ht="17.25" customHeight="1"/>
    <row r="37476" customFormat="1" ht="17.25" customHeight="1"/>
    <row r="37477" customFormat="1" ht="17.25" customHeight="1"/>
    <row r="37478" customFormat="1" ht="17.25" customHeight="1"/>
    <row r="37479" customFormat="1" ht="17.25" customHeight="1"/>
    <row r="37480" customFormat="1" ht="17.25" customHeight="1"/>
    <row r="37481" customFormat="1" ht="17.25" customHeight="1"/>
    <row r="37482" customFormat="1" ht="17.25" customHeight="1"/>
    <row r="37483" customFormat="1" ht="17.25" customHeight="1"/>
    <row r="37484" customFormat="1" ht="17.25" customHeight="1"/>
    <row r="37485" customFormat="1" ht="17.25" customHeight="1"/>
    <row r="37486" customFormat="1" ht="17.25" customHeight="1"/>
    <row r="37487" customFormat="1" ht="17.25" customHeight="1"/>
    <row r="37488" customFormat="1" ht="17.25" customHeight="1"/>
    <row r="37489" customFormat="1" ht="17.25" customHeight="1"/>
    <row r="37490" customFormat="1" ht="17.25" customHeight="1"/>
    <row r="37491" customFormat="1" ht="17.25" customHeight="1"/>
    <row r="37492" customFormat="1" ht="17.25" customHeight="1"/>
    <row r="37493" customFormat="1" ht="17.25" customHeight="1"/>
    <row r="37494" customFormat="1" ht="17.25" customHeight="1"/>
    <row r="37495" customFormat="1" ht="17.25" customHeight="1"/>
    <row r="37496" customFormat="1" ht="17.25" customHeight="1"/>
    <row r="37497" customFormat="1" ht="17.25" customHeight="1"/>
    <row r="37498" customFormat="1" ht="17.25" customHeight="1"/>
    <row r="37499" customFormat="1" ht="17.25" customHeight="1"/>
    <row r="37500" customFormat="1" ht="17.25" customHeight="1"/>
    <row r="37501" customFormat="1" ht="17.25" customHeight="1"/>
    <row r="37502" customFormat="1" ht="17.25" customHeight="1"/>
    <row r="37503" customFormat="1" ht="17.25" customHeight="1"/>
    <row r="37504" customFormat="1" ht="17.25" customHeight="1"/>
    <row r="37505" customFormat="1" ht="17.25" customHeight="1"/>
    <row r="37506" customFormat="1" ht="17.25" customHeight="1"/>
    <row r="37507" customFormat="1" ht="17.25" customHeight="1"/>
    <row r="37508" customFormat="1" ht="17.25" customHeight="1"/>
    <row r="37509" customFormat="1" ht="17.25" customHeight="1"/>
    <row r="37510" customFormat="1" ht="17.25" customHeight="1"/>
    <row r="37511" customFormat="1" ht="17.25" customHeight="1"/>
    <row r="37512" customFormat="1" ht="17.25" customHeight="1"/>
    <row r="37513" customFormat="1" ht="17.25" customHeight="1"/>
    <row r="37514" customFormat="1" ht="17.25" customHeight="1"/>
    <row r="37515" customFormat="1" ht="17.25" customHeight="1"/>
    <row r="37516" customFormat="1" ht="17.25" customHeight="1"/>
    <row r="37517" customFormat="1" ht="17.25" customHeight="1"/>
    <row r="37518" customFormat="1" ht="17.25" customHeight="1"/>
    <row r="37519" customFormat="1" ht="17.25" customHeight="1"/>
    <row r="37520" customFormat="1" ht="17.25" customHeight="1"/>
    <row r="37521" customFormat="1" ht="17.25" customHeight="1"/>
    <row r="37522" customFormat="1" ht="17.25" customHeight="1"/>
    <row r="37523" customFormat="1" ht="17.25" customHeight="1"/>
    <row r="37524" customFormat="1" ht="17.25" customHeight="1"/>
    <row r="37525" customFormat="1" ht="17.25" customHeight="1"/>
    <row r="37526" customFormat="1" ht="17.25" customHeight="1"/>
    <row r="37527" customFormat="1" ht="17.25" customHeight="1"/>
    <row r="37528" customFormat="1" ht="17.25" customHeight="1"/>
    <row r="37529" customFormat="1" ht="17.25" customHeight="1"/>
    <row r="37530" customFormat="1" ht="17.25" customHeight="1"/>
    <row r="37531" customFormat="1" ht="17.25" customHeight="1"/>
    <row r="37532" customFormat="1" ht="17.25" customHeight="1"/>
    <row r="37533" customFormat="1" ht="17.25" customHeight="1"/>
    <row r="37534" customFormat="1" ht="17.25" customHeight="1"/>
    <row r="37535" customFormat="1" ht="17.25" customHeight="1"/>
    <row r="37536" customFormat="1" ht="17.25" customHeight="1"/>
    <row r="37537" customFormat="1" ht="17.25" customHeight="1"/>
    <row r="37538" customFormat="1" ht="17.25" customHeight="1"/>
    <row r="37539" customFormat="1" ht="17.25" customHeight="1"/>
    <row r="37540" customFormat="1" ht="17.25" customHeight="1"/>
    <row r="37541" customFormat="1" ht="17.25" customHeight="1"/>
    <row r="37542" customFormat="1" ht="17.25" customHeight="1"/>
    <row r="37543" customFormat="1" ht="17.25" customHeight="1"/>
    <row r="37544" customFormat="1" ht="17.25" customHeight="1"/>
    <row r="37545" customFormat="1" ht="17.25" customHeight="1"/>
    <row r="37546" customFormat="1" ht="17.25" customHeight="1"/>
    <row r="37547" customFormat="1" ht="17.25" customHeight="1"/>
    <row r="37548" customFormat="1" ht="17.25" customHeight="1"/>
    <row r="37549" customFormat="1" ht="17.25" customHeight="1"/>
    <row r="37550" customFormat="1" ht="17.25" customHeight="1"/>
    <row r="37551" customFormat="1" ht="17.25" customHeight="1"/>
    <row r="37552" customFormat="1" ht="17.25" customHeight="1"/>
    <row r="37553" customFormat="1" ht="17.25" customHeight="1"/>
    <row r="37554" customFormat="1" ht="17.25" customHeight="1"/>
    <row r="37555" customFormat="1" ht="17.25" customHeight="1"/>
    <row r="37556" customFormat="1" ht="17.25" customHeight="1"/>
    <row r="37557" customFormat="1" ht="17.25" customHeight="1"/>
    <row r="37558" customFormat="1" ht="17.25" customHeight="1"/>
    <row r="37559" customFormat="1" ht="17.25" customHeight="1"/>
    <row r="37560" customFormat="1" ht="17.25" customHeight="1"/>
    <row r="37561" customFormat="1" ht="17.25" customHeight="1"/>
    <row r="37562" customFormat="1" ht="17.25" customHeight="1"/>
    <row r="37563" customFormat="1" ht="17.25" customHeight="1"/>
    <row r="37564" customFormat="1" ht="17.25" customHeight="1"/>
    <row r="37565" customFormat="1" ht="17.25" customHeight="1"/>
    <row r="37566" customFormat="1" ht="17.25" customHeight="1"/>
    <row r="37567" customFormat="1" ht="17.25" customHeight="1"/>
    <row r="37568" customFormat="1" ht="17.25" customHeight="1"/>
    <row r="37569" customFormat="1" ht="17.25" customHeight="1"/>
    <row r="37570" customFormat="1" ht="17.25" customHeight="1"/>
    <row r="37571" customFormat="1" ht="17.25" customHeight="1"/>
    <row r="37572" customFormat="1" ht="17.25" customHeight="1"/>
    <row r="37573" customFormat="1" ht="17.25" customHeight="1"/>
    <row r="37574" customFormat="1" ht="17.25" customHeight="1"/>
    <row r="37575" customFormat="1" ht="17.25" customHeight="1"/>
    <row r="37576" customFormat="1" ht="17.25" customHeight="1"/>
    <row r="37577" customFormat="1" ht="17.25" customHeight="1"/>
    <row r="37578" customFormat="1" ht="17.25" customHeight="1"/>
    <row r="37579" customFormat="1" ht="17.25" customHeight="1"/>
    <row r="37580" customFormat="1" ht="17.25" customHeight="1"/>
    <row r="37581" customFormat="1" ht="17.25" customHeight="1"/>
    <row r="37582" customFormat="1" ht="17.25" customHeight="1"/>
    <row r="37583" customFormat="1" ht="17.25" customHeight="1"/>
    <row r="37584" customFormat="1" ht="17.25" customHeight="1"/>
    <row r="37585" customFormat="1" ht="17.25" customHeight="1"/>
    <row r="37586" customFormat="1" ht="17.25" customHeight="1"/>
    <row r="37587" customFormat="1" ht="17.25" customHeight="1"/>
    <row r="37588" customFormat="1" ht="17.25" customHeight="1"/>
    <row r="37589" customFormat="1" ht="17.25" customHeight="1"/>
    <row r="37590" customFormat="1" ht="17.25" customHeight="1"/>
    <row r="37591" customFormat="1" ht="17.25" customHeight="1"/>
    <row r="37592" customFormat="1" ht="17.25" customHeight="1"/>
    <row r="37593" customFormat="1" ht="17.25" customHeight="1"/>
    <row r="37594" customFormat="1" ht="17.25" customHeight="1"/>
    <row r="37595" customFormat="1" ht="17.25" customHeight="1"/>
    <row r="37596" customFormat="1" ht="17.25" customHeight="1"/>
    <row r="37597" customFormat="1" ht="17.25" customHeight="1"/>
    <row r="37598" customFormat="1" ht="17.25" customHeight="1"/>
    <row r="37599" customFormat="1" ht="17.25" customHeight="1"/>
    <row r="37600" customFormat="1" ht="17.25" customHeight="1"/>
    <row r="37601" customFormat="1" ht="17.25" customHeight="1"/>
    <row r="37602" customFormat="1" ht="17.25" customHeight="1"/>
    <row r="37603" customFormat="1" ht="17.25" customHeight="1"/>
    <row r="37604" customFormat="1" ht="17.25" customHeight="1"/>
    <row r="37605" customFormat="1" ht="17.25" customHeight="1"/>
    <row r="37606" customFormat="1" ht="17.25" customHeight="1"/>
    <row r="37607" customFormat="1" ht="17.25" customHeight="1"/>
    <row r="37608" customFormat="1" ht="17.25" customHeight="1"/>
    <row r="37609" customFormat="1" ht="17.25" customHeight="1"/>
    <row r="37610" customFormat="1" ht="17.25" customHeight="1"/>
    <row r="37611" customFormat="1" ht="17.25" customHeight="1"/>
    <row r="37612" customFormat="1" ht="17.25" customHeight="1"/>
    <row r="37613" customFormat="1" ht="17.25" customHeight="1"/>
    <row r="37614" customFormat="1" ht="17.25" customHeight="1"/>
    <row r="37615" customFormat="1" ht="17.25" customHeight="1"/>
    <row r="37616" customFormat="1" ht="17.25" customHeight="1"/>
    <row r="37617" customFormat="1" ht="17.25" customHeight="1"/>
    <row r="37618" customFormat="1" ht="17.25" customHeight="1"/>
    <row r="37619" customFormat="1" ht="17.25" customHeight="1"/>
    <row r="37620" customFormat="1" ht="17.25" customHeight="1"/>
    <row r="37621" customFormat="1" ht="17.25" customHeight="1"/>
    <row r="37622" customFormat="1" ht="17.25" customHeight="1"/>
    <row r="37623" customFormat="1" ht="17.25" customHeight="1"/>
    <row r="37624" customFormat="1" ht="17.25" customHeight="1"/>
    <row r="37625" customFormat="1" ht="17.25" customHeight="1"/>
    <row r="37626" customFormat="1" ht="17.25" customHeight="1"/>
    <row r="37627" customFormat="1" ht="17.25" customHeight="1"/>
    <row r="37628" customFormat="1" ht="17.25" customHeight="1"/>
    <row r="37629" customFormat="1" ht="17.25" customHeight="1"/>
    <row r="37630" customFormat="1" ht="17.25" customHeight="1"/>
    <row r="37631" customFormat="1" ht="17.25" customHeight="1"/>
    <row r="37632" customFormat="1" ht="17.25" customHeight="1"/>
    <row r="37633" customFormat="1" ht="17.25" customHeight="1"/>
    <row r="37634" customFormat="1" ht="17.25" customHeight="1"/>
    <row r="37635" customFormat="1" ht="17.25" customHeight="1"/>
    <row r="37636" customFormat="1" ht="17.25" customHeight="1"/>
    <row r="37637" customFormat="1" ht="17.25" customHeight="1"/>
    <row r="37638" customFormat="1" ht="17.25" customHeight="1"/>
    <row r="37639" customFormat="1" ht="17.25" customHeight="1"/>
    <row r="37640" customFormat="1" ht="17.25" customHeight="1"/>
    <row r="37641" customFormat="1" ht="17.25" customHeight="1"/>
    <row r="37642" customFormat="1" ht="17.25" customHeight="1"/>
    <row r="37643" customFormat="1" ht="17.25" customHeight="1"/>
    <row r="37644" customFormat="1" ht="17.25" customHeight="1"/>
    <row r="37645" customFormat="1" ht="17.25" customHeight="1"/>
    <row r="37646" customFormat="1" ht="17.25" customHeight="1"/>
    <row r="37647" customFormat="1" ht="17.25" customHeight="1"/>
    <row r="37648" customFormat="1" ht="17.25" customHeight="1"/>
    <row r="37649" customFormat="1" ht="17.25" customHeight="1"/>
    <row r="37650" customFormat="1" ht="17.25" customHeight="1"/>
    <row r="37651" customFormat="1" ht="17.25" customHeight="1"/>
    <row r="37652" customFormat="1" ht="17.25" customHeight="1"/>
    <row r="37653" customFormat="1" ht="17.25" customHeight="1"/>
    <row r="37654" customFormat="1" ht="17.25" customHeight="1"/>
    <row r="37655" customFormat="1" ht="17.25" customHeight="1"/>
    <row r="37656" customFormat="1" ht="17.25" customHeight="1"/>
    <row r="37657" customFormat="1" ht="17.25" customHeight="1"/>
    <row r="37658" customFormat="1" ht="17.25" customHeight="1"/>
    <row r="37659" customFormat="1" ht="17.25" customHeight="1"/>
    <row r="37660" customFormat="1" ht="17.25" customHeight="1"/>
    <row r="37661" customFormat="1" ht="17.25" customHeight="1"/>
    <row r="37662" customFormat="1" ht="17.25" customHeight="1"/>
    <row r="37663" customFormat="1" ht="17.25" customHeight="1"/>
    <row r="37664" customFormat="1" ht="17.25" customHeight="1"/>
    <row r="37665" customFormat="1" ht="17.25" customHeight="1"/>
    <row r="37666" customFormat="1" ht="17.25" customHeight="1"/>
    <row r="37667" customFormat="1" ht="17.25" customHeight="1"/>
    <row r="37668" customFormat="1" ht="17.25" customHeight="1"/>
    <row r="37669" customFormat="1" ht="17.25" customHeight="1"/>
    <row r="37670" customFormat="1" ht="17.25" customHeight="1"/>
    <row r="37671" customFormat="1" ht="17.25" customHeight="1"/>
    <row r="37672" customFormat="1" ht="17.25" customHeight="1"/>
    <row r="37673" customFormat="1" ht="17.25" customHeight="1"/>
    <row r="37674" customFormat="1" ht="17.25" customHeight="1"/>
    <row r="37675" customFormat="1" ht="17.25" customHeight="1"/>
    <row r="37676" customFormat="1" ht="17.25" customHeight="1"/>
    <row r="37677" customFormat="1" ht="17.25" customHeight="1"/>
    <row r="37678" customFormat="1" ht="17.25" customHeight="1"/>
    <row r="37679" customFormat="1" ht="17.25" customHeight="1"/>
    <row r="37680" customFormat="1" ht="17.25" customHeight="1"/>
    <row r="37681" customFormat="1" ht="17.25" customHeight="1"/>
    <row r="37682" customFormat="1" ht="17.25" customHeight="1"/>
    <row r="37683" customFormat="1" ht="17.25" customHeight="1"/>
    <row r="37684" customFormat="1" ht="17.25" customHeight="1"/>
    <row r="37685" customFormat="1" ht="17.25" customHeight="1"/>
    <row r="37686" customFormat="1" ht="17.25" customHeight="1"/>
    <row r="37687" customFormat="1" ht="17.25" customHeight="1"/>
    <row r="37688" customFormat="1" ht="17.25" customHeight="1"/>
    <row r="37689" customFormat="1" ht="17.25" customHeight="1"/>
    <row r="37690" customFormat="1" ht="17.25" customHeight="1"/>
    <row r="37691" customFormat="1" ht="17.25" customHeight="1"/>
    <row r="37692" customFormat="1" ht="17.25" customHeight="1"/>
    <row r="37693" customFormat="1" ht="17.25" customHeight="1"/>
    <row r="37694" customFormat="1" ht="17.25" customHeight="1"/>
    <row r="37695" customFormat="1" ht="17.25" customHeight="1"/>
    <row r="37696" customFormat="1" ht="17.25" customHeight="1"/>
    <row r="37697" customFormat="1" ht="17.25" customHeight="1"/>
    <row r="37698" customFormat="1" ht="17.25" customHeight="1"/>
    <row r="37699" customFormat="1" ht="17.25" customHeight="1"/>
    <row r="37700" customFormat="1" ht="17.25" customHeight="1"/>
    <row r="37701" customFormat="1" ht="17.25" customHeight="1"/>
    <row r="37702" customFormat="1" ht="17.25" customHeight="1"/>
    <row r="37703" customFormat="1" ht="17.25" customHeight="1"/>
    <row r="37704" customFormat="1" ht="17.25" customHeight="1"/>
    <row r="37705" customFormat="1" ht="17.25" customHeight="1"/>
    <row r="37706" customFormat="1" ht="17.25" customHeight="1"/>
    <row r="37707" customFormat="1" ht="17.25" customHeight="1"/>
    <row r="37708" customFormat="1" ht="17.25" customHeight="1"/>
    <row r="37709" customFormat="1" ht="17.25" customHeight="1"/>
    <row r="37710" customFormat="1" ht="17.25" customHeight="1"/>
    <row r="37711" customFormat="1" ht="17.25" customHeight="1"/>
    <row r="37712" customFormat="1" ht="17.25" customHeight="1"/>
    <row r="37713" customFormat="1" ht="17.25" customHeight="1"/>
    <row r="37714" customFormat="1" ht="17.25" customHeight="1"/>
    <row r="37715" customFormat="1" ht="17.25" customHeight="1"/>
    <row r="37716" customFormat="1" ht="17.25" customHeight="1"/>
    <row r="37717" customFormat="1" ht="17.25" customHeight="1"/>
    <row r="37718" customFormat="1" ht="17.25" customHeight="1"/>
    <row r="37719" customFormat="1" ht="17.25" customHeight="1"/>
    <row r="37720" customFormat="1" ht="17.25" customHeight="1"/>
    <row r="37721" customFormat="1" ht="17.25" customHeight="1"/>
    <row r="37722" customFormat="1" ht="17.25" customHeight="1"/>
    <row r="37723" customFormat="1" ht="17.25" customHeight="1"/>
    <row r="37724" customFormat="1" ht="17.25" customHeight="1"/>
    <row r="37725" customFormat="1" ht="17.25" customHeight="1"/>
    <row r="37726" customFormat="1" ht="17.25" customHeight="1"/>
    <row r="37727" customFormat="1" ht="17.25" customHeight="1"/>
    <row r="37728" customFormat="1" ht="17.25" customHeight="1"/>
    <row r="37729" customFormat="1" ht="17.25" customHeight="1"/>
    <row r="37730" customFormat="1" ht="17.25" customHeight="1"/>
    <row r="37731" customFormat="1" ht="17.25" customHeight="1"/>
    <row r="37732" customFormat="1" ht="17.25" customHeight="1"/>
    <row r="37733" customFormat="1" ht="17.25" customHeight="1"/>
    <row r="37734" customFormat="1" ht="17.25" customHeight="1"/>
    <row r="37735" customFormat="1" ht="17.25" customHeight="1"/>
    <row r="37736" customFormat="1" ht="17.25" customHeight="1"/>
    <row r="37737" customFormat="1" ht="17.25" customHeight="1"/>
    <row r="37738" customFormat="1" ht="17.25" customHeight="1"/>
    <row r="37739" customFormat="1" ht="17.25" customHeight="1"/>
    <row r="37740" customFormat="1" ht="17.25" customHeight="1"/>
    <row r="37741" customFormat="1" ht="17.25" customHeight="1"/>
    <row r="37742" customFormat="1" ht="17.25" customHeight="1"/>
    <row r="37743" customFormat="1" ht="17.25" customHeight="1"/>
    <row r="37744" customFormat="1" ht="17.25" customHeight="1"/>
    <row r="37745" customFormat="1" ht="17.25" customHeight="1"/>
    <row r="37746" customFormat="1" ht="17.25" customHeight="1"/>
    <row r="37747" customFormat="1" ht="17.25" customHeight="1"/>
    <row r="37748" customFormat="1" ht="17.25" customHeight="1"/>
    <row r="37749" customFormat="1" ht="17.25" customHeight="1"/>
    <row r="37750" customFormat="1" ht="17.25" customHeight="1"/>
    <row r="37751" customFormat="1" ht="17.25" customHeight="1"/>
    <row r="37752" customFormat="1" ht="17.25" customHeight="1"/>
    <row r="37753" customFormat="1" ht="17.25" customHeight="1"/>
    <row r="37754" customFormat="1" ht="17.25" customHeight="1"/>
    <row r="37755" customFormat="1" ht="17.25" customHeight="1"/>
    <row r="37756" customFormat="1" ht="17.25" customHeight="1"/>
    <row r="37757" customFormat="1" ht="17.25" customHeight="1"/>
    <row r="37758" customFormat="1" ht="17.25" customHeight="1"/>
    <row r="37759" customFormat="1" ht="17.25" customHeight="1"/>
    <row r="37760" customFormat="1" ht="17.25" customHeight="1"/>
    <row r="37761" customFormat="1" ht="17.25" customHeight="1"/>
    <row r="37762" customFormat="1" ht="17.25" customHeight="1"/>
    <row r="37763" customFormat="1" ht="17.25" customHeight="1"/>
    <row r="37764" customFormat="1" ht="17.25" customHeight="1"/>
    <row r="37765" customFormat="1" ht="17.25" customHeight="1"/>
    <row r="37766" customFormat="1" ht="17.25" customHeight="1"/>
    <row r="37767" customFormat="1" ht="17.25" customHeight="1"/>
    <row r="37768" customFormat="1" ht="17.25" customHeight="1"/>
    <row r="37769" customFormat="1" ht="17.25" customHeight="1"/>
    <row r="37770" customFormat="1" ht="17.25" customHeight="1"/>
    <row r="37771" customFormat="1" ht="17.25" customHeight="1"/>
    <row r="37772" customFormat="1" ht="17.25" customHeight="1"/>
    <row r="37773" customFormat="1" ht="17.25" customHeight="1"/>
    <row r="37774" customFormat="1" ht="17.25" customHeight="1"/>
    <row r="37775" customFormat="1" ht="17.25" customHeight="1"/>
    <row r="37776" customFormat="1" ht="17.25" customHeight="1"/>
    <row r="37777" customFormat="1" ht="17.25" customHeight="1"/>
    <row r="37778" customFormat="1" ht="17.25" customHeight="1"/>
    <row r="37779" customFormat="1" ht="17.25" customHeight="1"/>
    <row r="37780" customFormat="1" ht="17.25" customHeight="1"/>
    <row r="37781" customFormat="1" ht="17.25" customHeight="1"/>
    <row r="37782" customFormat="1" ht="17.25" customHeight="1"/>
    <row r="37783" customFormat="1" ht="17.25" customHeight="1"/>
    <row r="37784" customFormat="1" ht="17.25" customHeight="1"/>
    <row r="37785" customFormat="1" ht="17.25" customHeight="1"/>
    <row r="37786" customFormat="1" ht="17.25" customHeight="1"/>
    <row r="37787" customFormat="1" ht="17.25" customHeight="1"/>
    <row r="37788" customFormat="1" ht="17.25" customHeight="1"/>
    <row r="37789" customFormat="1" ht="17.25" customHeight="1"/>
    <row r="37790" customFormat="1" ht="17.25" customHeight="1"/>
    <row r="37791" customFormat="1" ht="17.25" customHeight="1"/>
    <row r="37792" customFormat="1" ht="17.25" customHeight="1"/>
    <row r="37793" customFormat="1" ht="17.25" customHeight="1"/>
    <row r="37794" customFormat="1" ht="17.25" customHeight="1"/>
    <row r="37795" customFormat="1" ht="17.25" customHeight="1"/>
    <row r="37796" customFormat="1" ht="17.25" customHeight="1"/>
    <row r="37797" customFormat="1" ht="17.25" customHeight="1"/>
    <row r="37798" customFormat="1" ht="17.25" customHeight="1"/>
    <row r="37799" customFormat="1" ht="17.25" customHeight="1"/>
    <row r="37800" customFormat="1" ht="17.25" customHeight="1"/>
    <row r="37801" customFormat="1" ht="17.25" customHeight="1"/>
    <row r="37802" customFormat="1" ht="17.25" customHeight="1"/>
    <row r="37803" customFormat="1" ht="17.25" customHeight="1"/>
    <row r="37804" customFormat="1" ht="17.25" customHeight="1"/>
    <row r="37805" customFormat="1" ht="17.25" customHeight="1"/>
    <row r="37806" customFormat="1" ht="17.25" customHeight="1"/>
    <row r="37807" customFormat="1" ht="17.25" customHeight="1"/>
    <row r="37808" customFormat="1" ht="17.25" customHeight="1"/>
    <row r="37809" customFormat="1" ht="17.25" customHeight="1"/>
    <row r="37810" customFormat="1" ht="17.25" customHeight="1"/>
    <row r="37811" customFormat="1" ht="17.25" customHeight="1"/>
    <row r="37812" customFormat="1" ht="17.25" customHeight="1"/>
    <row r="37813" customFormat="1" ht="17.25" customHeight="1"/>
    <row r="37814" customFormat="1" ht="17.25" customHeight="1"/>
    <row r="37815" customFormat="1" ht="17.25" customHeight="1"/>
    <row r="37816" customFormat="1" ht="17.25" customHeight="1"/>
    <row r="37817" customFormat="1" ht="17.25" customHeight="1"/>
    <row r="37818" customFormat="1" ht="17.25" customHeight="1"/>
    <row r="37819" customFormat="1" ht="17.25" customHeight="1"/>
    <row r="37820" customFormat="1" ht="17.25" customHeight="1"/>
    <row r="37821" customFormat="1" ht="17.25" customHeight="1"/>
    <row r="37822" customFormat="1" ht="17.25" customHeight="1"/>
    <row r="37823" customFormat="1" ht="17.25" customHeight="1"/>
    <row r="37824" customFormat="1" ht="17.25" customHeight="1"/>
    <row r="37825" customFormat="1" ht="17.25" customHeight="1"/>
    <row r="37826" customFormat="1" ht="17.25" customHeight="1"/>
    <row r="37827" customFormat="1" ht="17.25" customHeight="1"/>
    <row r="37828" customFormat="1" ht="17.25" customHeight="1"/>
    <row r="37829" customFormat="1" ht="17.25" customHeight="1"/>
    <row r="37830" customFormat="1" ht="17.25" customHeight="1"/>
    <row r="37831" customFormat="1" ht="17.25" customHeight="1"/>
    <row r="37832" customFormat="1" ht="17.25" customHeight="1"/>
    <row r="37833" customFormat="1" ht="17.25" customHeight="1"/>
    <row r="37834" customFormat="1" ht="17.25" customHeight="1"/>
    <row r="37835" customFormat="1" ht="17.25" customHeight="1"/>
    <row r="37836" customFormat="1" ht="17.25" customHeight="1"/>
    <row r="37837" customFormat="1" ht="17.25" customHeight="1"/>
    <row r="37838" customFormat="1" ht="17.25" customHeight="1"/>
    <row r="37839" customFormat="1" ht="17.25" customHeight="1"/>
    <row r="37840" customFormat="1" ht="17.25" customHeight="1"/>
    <row r="37841" customFormat="1" ht="17.25" customHeight="1"/>
    <row r="37842" customFormat="1" ht="17.25" customHeight="1"/>
    <row r="37843" customFormat="1" ht="17.25" customHeight="1"/>
    <row r="37844" customFormat="1" ht="17.25" customHeight="1"/>
    <row r="37845" customFormat="1" ht="17.25" customHeight="1"/>
    <row r="37846" customFormat="1" ht="17.25" customHeight="1"/>
    <row r="37847" customFormat="1" ht="17.25" customHeight="1"/>
    <row r="37848" customFormat="1" ht="17.25" customHeight="1"/>
    <row r="37849" customFormat="1" ht="17.25" customHeight="1"/>
    <row r="37850" customFormat="1" ht="17.25" customHeight="1"/>
    <row r="37851" customFormat="1" ht="17.25" customHeight="1"/>
    <row r="37852" customFormat="1" ht="17.25" customHeight="1"/>
    <row r="37853" customFormat="1" ht="17.25" customHeight="1"/>
    <row r="37854" customFormat="1" ht="17.25" customHeight="1"/>
    <row r="37855" customFormat="1" ht="17.25" customHeight="1"/>
    <row r="37856" customFormat="1" ht="17.25" customHeight="1"/>
    <row r="37857" customFormat="1" ht="17.25" customHeight="1"/>
    <row r="37858" customFormat="1" ht="17.25" customHeight="1"/>
    <row r="37859" customFormat="1" ht="17.25" customHeight="1"/>
    <row r="37860" customFormat="1" ht="17.25" customHeight="1"/>
    <row r="37861" customFormat="1" ht="17.25" customHeight="1"/>
    <row r="37862" customFormat="1" ht="17.25" customHeight="1"/>
    <row r="37863" customFormat="1" ht="17.25" customHeight="1"/>
    <row r="37864" customFormat="1" ht="17.25" customHeight="1"/>
    <row r="37865" customFormat="1" ht="17.25" customHeight="1"/>
    <row r="37866" customFormat="1" ht="17.25" customHeight="1"/>
    <row r="37867" customFormat="1" ht="17.25" customHeight="1"/>
    <row r="37868" customFormat="1" ht="17.25" customHeight="1"/>
    <row r="37869" customFormat="1" ht="17.25" customHeight="1"/>
    <row r="37870" customFormat="1" ht="17.25" customHeight="1"/>
    <row r="37871" customFormat="1" ht="17.25" customHeight="1"/>
    <row r="37872" customFormat="1" ht="17.25" customHeight="1"/>
    <row r="37873" customFormat="1" ht="17.25" customHeight="1"/>
    <row r="37874" customFormat="1" ht="17.25" customHeight="1"/>
    <row r="37875" customFormat="1" ht="17.25" customHeight="1"/>
    <row r="37876" customFormat="1" ht="17.25" customHeight="1"/>
    <row r="37877" customFormat="1" ht="17.25" customHeight="1"/>
    <row r="37878" customFormat="1" ht="17.25" customHeight="1"/>
    <row r="37879" customFormat="1" ht="17.25" customHeight="1"/>
    <row r="37880" customFormat="1" ht="17.25" customHeight="1"/>
    <row r="37881" customFormat="1" ht="17.25" customHeight="1"/>
    <row r="37882" customFormat="1" ht="17.25" customHeight="1"/>
    <row r="37883" customFormat="1" ht="17.25" customHeight="1"/>
    <row r="37884" customFormat="1" ht="17.25" customHeight="1"/>
    <row r="37885" customFormat="1" ht="17.25" customHeight="1"/>
    <row r="37886" customFormat="1" ht="17.25" customHeight="1"/>
    <row r="37887" customFormat="1" ht="17.25" customHeight="1"/>
    <row r="37888" customFormat="1" ht="17.25" customHeight="1"/>
    <row r="37889" customFormat="1" ht="17.25" customHeight="1"/>
    <row r="37890" customFormat="1" ht="17.25" customHeight="1"/>
    <row r="37891" customFormat="1" ht="17.25" customHeight="1"/>
    <row r="37892" customFormat="1" ht="17.25" customHeight="1"/>
    <row r="37893" customFormat="1" ht="17.25" customHeight="1"/>
    <row r="37894" customFormat="1" ht="17.25" customHeight="1"/>
    <row r="37895" customFormat="1" ht="17.25" customHeight="1"/>
    <row r="37896" customFormat="1" ht="17.25" customHeight="1"/>
    <row r="37897" customFormat="1" ht="17.25" customHeight="1"/>
    <row r="37898" customFormat="1" ht="17.25" customHeight="1"/>
    <row r="37899" customFormat="1" ht="17.25" customHeight="1"/>
    <row r="37900" customFormat="1" ht="17.25" customHeight="1"/>
    <row r="37901" customFormat="1" ht="17.25" customHeight="1"/>
    <row r="37902" customFormat="1" ht="17.25" customHeight="1"/>
    <row r="37903" customFormat="1" ht="17.25" customHeight="1"/>
    <row r="37904" customFormat="1" ht="17.25" customHeight="1"/>
    <row r="37905" customFormat="1" ht="17.25" customHeight="1"/>
    <row r="37906" customFormat="1" ht="17.25" customHeight="1"/>
    <row r="37907" customFormat="1" ht="17.25" customHeight="1"/>
    <row r="37908" customFormat="1" ht="17.25" customHeight="1"/>
    <row r="37909" customFormat="1" ht="17.25" customHeight="1"/>
    <row r="37910" customFormat="1" ht="17.25" customHeight="1"/>
    <row r="37911" customFormat="1" ht="17.25" customHeight="1"/>
    <row r="37912" customFormat="1" ht="17.25" customHeight="1"/>
    <row r="37913" customFormat="1" ht="17.25" customHeight="1"/>
    <row r="37914" customFormat="1" ht="17.25" customHeight="1"/>
    <row r="37915" customFormat="1" ht="17.25" customHeight="1"/>
    <row r="37916" customFormat="1" ht="17.25" customHeight="1"/>
    <row r="37917" customFormat="1" ht="17.25" customHeight="1"/>
    <row r="37918" customFormat="1" ht="17.25" customHeight="1"/>
    <row r="37919" customFormat="1" ht="17.25" customHeight="1"/>
    <row r="37920" customFormat="1" ht="17.25" customHeight="1"/>
    <row r="37921" customFormat="1" ht="17.25" customHeight="1"/>
    <row r="37922" customFormat="1" ht="17.25" customHeight="1"/>
    <row r="37923" customFormat="1" ht="17.25" customHeight="1"/>
    <row r="37924" customFormat="1" ht="17.25" customHeight="1"/>
    <row r="37925" customFormat="1" ht="17.25" customHeight="1"/>
    <row r="37926" customFormat="1" ht="17.25" customHeight="1"/>
    <row r="37927" customFormat="1" ht="17.25" customHeight="1"/>
    <row r="37928" customFormat="1" ht="17.25" customHeight="1"/>
    <row r="37929" customFormat="1" ht="17.25" customHeight="1"/>
    <row r="37930" customFormat="1" ht="17.25" customHeight="1"/>
    <row r="37931" customFormat="1" ht="17.25" customHeight="1"/>
    <row r="37932" customFormat="1" ht="17.25" customHeight="1"/>
    <row r="37933" customFormat="1" ht="17.25" customHeight="1"/>
    <row r="37934" customFormat="1" ht="17.25" customHeight="1"/>
    <row r="37935" customFormat="1" ht="17.25" customHeight="1"/>
    <row r="37936" customFormat="1" ht="17.25" customHeight="1"/>
    <row r="37937" customFormat="1" ht="17.25" customHeight="1"/>
    <row r="37938" customFormat="1" ht="17.25" customHeight="1"/>
    <row r="37939" customFormat="1" ht="17.25" customHeight="1"/>
    <row r="37940" customFormat="1" ht="17.25" customHeight="1"/>
    <row r="37941" customFormat="1" ht="17.25" customHeight="1"/>
    <row r="37942" customFormat="1" ht="17.25" customHeight="1"/>
    <row r="37943" customFormat="1" ht="17.25" customHeight="1"/>
    <row r="37944" customFormat="1" ht="17.25" customHeight="1"/>
    <row r="37945" customFormat="1" ht="17.25" customHeight="1"/>
    <row r="37946" customFormat="1" ht="17.25" customHeight="1"/>
    <row r="37947" customFormat="1" ht="17.25" customHeight="1"/>
    <row r="37948" customFormat="1" ht="17.25" customHeight="1"/>
    <row r="37949" customFormat="1" ht="17.25" customHeight="1"/>
    <row r="37950" customFormat="1" ht="17.25" customHeight="1"/>
    <row r="37951" customFormat="1" ht="17.25" customHeight="1"/>
    <row r="37952" customFormat="1" ht="17.25" customHeight="1"/>
    <row r="37953" customFormat="1" ht="17.25" customHeight="1"/>
    <row r="37954" customFormat="1" ht="17.25" customHeight="1"/>
    <row r="37955" customFormat="1" ht="17.25" customHeight="1"/>
    <row r="37956" customFormat="1" ht="17.25" customHeight="1"/>
    <row r="37957" customFormat="1" ht="17.25" customHeight="1"/>
    <row r="37958" customFormat="1" ht="17.25" customHeight="1"/>
    <row r="37959" customFormat="1" ht="17.25" customHeight="1"/>
    <row r="37960" customFormat="1" ht="17.25" customHeight="1"/>
    <row r="37961" customFormat="1" ht="17.25" customHeight="1"/>
    <row r="37962" customFormat="1" ht="17.25" customHeight="1"/>
    <row r="37963" customFormat="1" ht="17.25" customHeight="1"/>
    <row r="37964" customFormat="1" ht="17.25" customHeight="1"/>
    <row r="37965" customFormat="1" ht="17.25" customHeight="1"/>
    <row r="37966" customFormat="1" ht="17.25" customHeight="1"/>
    <row r="37967" customFormat="1" ht="17.25" customHeight="1"/>
    <row r="37968" customFormat="1" ht="17.25" customHeight="1"/>
    <row r="37969" customFormat="1" ht="17.25" customHeight="1"/>
    <row r="37970" customFormat="1" ht="17.25" customHeight="1"/>
    <row r="37971" customFormat="1" ht="17.25" customHeight="1"/>
    <row r="37972" customFormat="1" ht="17.25" customHeight="1"/>
    <row r="37973" customFormat="1" ht="17.25" customHeight="1"/>
    <row r="37974" customFormat="1" ht="17.25" customHeight="1"/>
    <row r="37975" customFormat="1" ht="17.25" customHeight="1"/>
    <row r="37976" customFormat="1" ht="17.25" customHeight="1"/>
    <row r="37977" customFormat="1" ht="17.25" customHeight="1"/>
    <row r="37978" customFormat="1" ht="17.25" customHeight="1"/>
    <row r="37979" customFormat="1" ht="17.25" customHeight="1"/>
    <row r="37980" customFormat="1" ht="17.25" customHeight="1"/>
    <row r="37981" customFormat="1" ht="17.25" customHeight="1"/>
    <row r="37982" customFormat="1" ht="17.25" customHeight="1"/>
    <row r="37983" customFormat="1" ht="17.25" customHeight="1"/>
    <row r="37984" customFormat="1" ht="17.25" customHeight="1"/>
    <row r="37985" customFormat="1" ht="17.25" customHeight="1"/>
    <row r="37986" customFormat="1" ht="17.25" customHeight="1"/>
    <row r="37987" customFormat="1" ht="17.25" customHeight="1"/>
    <row r="37988" customFormat="1" ht="17.25" customHeight="1"/>
    <row r="37989" customFormat="1" ht="17.25" customHeight="1"/>
    <row r="37990" customFormat="1" ht="17.25" customHeight="1"/>
    <row r="37991" customFormat="1" ht="17.25" customHeight="1"/>
    <row r="37992" customFormat="1" ht="17.25" customHeight="1"/>
    <row r="37993" customFormat="1" ht="17.25" customHeight="1"/>
    <row r="37994" customFormat="1" ht="17.25" customHeight="1"/>
    <row r="37995" customFormat="1" ht="17.25" customHeight="1"/>
    <row r="37996" customFormat="1" ht="17.25" customHeight="1"/>
    <row r="37997" customFormat="1" ht="17.25" customHeight="1"/>
    <row r="37998" customFormat="1" ht="17.25" customHeight="1"/>
    <row r="37999" customFormat="1" ht="17.25" customHeight="1"/>
    <row r="38000" customFormat="1" ht="17.25" customHeight="1"/>
    <row r="38001" customFormat="1" ht="17.25" customHeight="1"/>
    <row r="38002" customFormat="1" ht="17.25" customHeight="1"/>
    <row r="38003" customFormat="1" ht="17.25" customHeight="1"/>
    <row r="38004" customFormat="1" ht="17.25" customHeight="1"/>
    <row r="38005" customFormat="1" ht="17.25" customHeight="1"/>
    <row r="38006" customFormat="1" ht="17.25" customHeight="1"/>
    <row r="38007" customFormat="1" ht="17.25" customHeight="1"/>
    <row r="38008" customFormat="1" ht="17.25" customHeight="1"/>
    <row r="38009" customFormat="1" ht="17.25" customHeight="1"/>
    <row r="38010" customFormat="1" ht="17.25" customHeight="1"/>
    <row r="38011" customFormat="1" ht="17.25" customHeight="1"/>
    <row r="38012" customFormat="1" ht="17.25" customHeight="1"/>
    <row r="38013" customFormat="1" ht="17.25" customHeight="1"/>
    <row r="38014" customFormat="1" ht="17.25" customHeight="1"/>
    <row r="38015" customFormat="1" ht="17.25" customHeight="1"/>
    <row r="38016" customFormat="1" ht="17.25" customHeight="1"/>
    <row r="38017" customFormat="1" ht="17.25" customHeight="1"/>
    <row r="38018" customFormat="1" ht="17.25" customHeight="1"/>
    <row r="38019" customFormat="1" ht="17.25" customHeight="1"/>
    <row r="38020" customFormat="1" ht="17.25" customHeight="1"/>
    <row r="38021" customFormat="1" ht="17.25" customHeight="1"/>
    <row r="38022" customFormat="1" ht="17.25" customHeight="1"/>
    <row r="38023" customFormat="1" ht="17.25" customHeight="1"/>
    <row r="38024" customFormat="1" ht="17.25" customHeight="1"/>
    <row r="38025" customFormat="1" ht="17.25" customHeight="1"/>
    <row r="38026" customFormat="1" ht="17.25" customHeight="1"/>
    <row r="38027" customFormat="1" ht="17.25" customHeight="1"/>
    <row r="38028" customFormat="1" ht="17.25" customHeight="1"/>
    <row r="38029" customFormat="1" ht="17.25" customHeight="1"/>
    <row r="38030" customFormat="1" ht="17.25" customHeight="1"/>
    <row r="38031" customFormat="1" ht="17.25" customHeight="1"/>
    <row r="38032" customFormat="1" ht="17.25" customHeight="1"/>
    <row r="38033" customFormat="1" ht="17.25" customHeight="1"/>
    <row r="38034" customFormat="1" ht="17.25" customHeight="1"/>
    <row r="38035" customFormat="1" ht="17.25" customHeight="1"/>
    <row r="38036" customFormat="1" ht="17.25" customHeight="1"/>
    <row r="38037" customFormat="1" ht="17.25" customHeight="1"/>
    <row r="38038" customFormat="1" ht="17.25" customHeight="1"/>
    <row r="38039" customFormat="1" ht="17.25" customHeight="1"/>
    <row r="38040" customFormat="1" ht="17.25" customHeight="1"/>
    <row r="38041" customFormat="1" ht="17.25" customHeight="1"/>
    <row r="38042" customFormat="1" ht="17.25" customHeight="1"/>
    <row r="38043" customFormat="1" ht="17.25" customHeight="1"/>
    <row r="38044" customFormat="1" ht="17.25" customHeight="1"/>
    <row r="38045" customFormat="1" ht="17.25" customHeight="1"/>
    <row r="38046" customFormat="1" ht="17.25" customHeight="1"/>
    <row r="38047" customFormat="1" ht="17.25" customHeight="1"/>
    <row r="38048" customFormat="1" ht="17.25" customHeight="1"/>
    <row r="38049" customFormat="1" ht="17.25" customHeight="1"/>
    <row r="38050" customFormat="1" ht="17.25" customHeight="1"/>
    <row r="38051" customFormat="1" ht="17.25" customHeight="1"/>
    <row r="38052" customFormat="1" ht="17.25" customHeight="1"/>
    <row r="38053" customFormat="1" ht="17.25" customHeight="1"/>
    <row r="38054" customFormat="1" ht="17.25" customHeight="1"/>
    <row r="38055" customFormat="1" ht="17.25" customHeight="1"/>
    <row r="38056" customFormat="1" ht="17.25" customHeight="1"/>
    <row r="38057" customFormat="1" ht="17.25" customHeight="1"/>
    <row r="38058" customFormat="1" ht="17.25" customHeight="1"/>
    <row r="38059" customFormat="1" ht="17.25" customHeight="1"/>
    <row r="38060" customFormat="1" ht="17.25" customHeight="1"/>
    <row r="38061" customFormat="1" ht="17.25" customHeight="1"/>
    <row r="38062" customFormat="1" ht="17.25" customHeight="1"/>
    <row r="38063" customFormat="1" ht="17.25" customHeight="1"/>
    <row r="38064" customFormat="1" ht="17.25" customHeight="1"/>
    <row r="38065" customFormat="1" ht="17.25" customHeight="1"/>
    <row r="38066" customFormat="1" ht="17.25" customHeight="1"/>
    <row r="38067" customFormat="1" ht="17.25" customHeight="1"/>
    <row r="38068" customFormat="1" ht="17.25" customHeight="1"/>
    <row r="38069" customFormat="1" ht="17.25" customHeight="1"/>
    <row r="38070" customFormat="1" ht="17.25" customHeight="1"/>
    <row r="38071" customFormat="1" ht="17.25" customHeight="1"/>
    <row r="38072" customFormat="1" ht="17.25" customHeight="1"/>
    <row r="38073" customFormat="1" ht="17.25" customHeight="1"/>
    <row r="38074" customFormat="1" ht="17.25" customHeight="1"/>
    <row r="38075" customFormat="1" ht="17.25" customHeight="1"/>
    <row r="38076" customFormat="1" ht="17.25" customHeight="1"/>
    <row r="38077" customFormat="1" ht="17.25" customHeight="1"/>
    <row r="38078" customFormat="1" ht="17.25" customHeight="1"/>
    <row r="38079" customFormat="1" ht="17.25" customHeight="1"/>
    <row r="38080" customFormat="1" ht="17.25" customHeight="1"/>
    <row r="38081" customFormat="1" ht="17.25" customHeight="1"/>
    <row r="38082" customFormat="1" ht="17.25" customHeight="1"/>
    <row r="38083" customFormat="1" ht="17.25" customHeight="1"/>
    <row r="38084" customFormat="1" ht="17.25" customHeight="1"/>
    <row r="38085" customFormat="1" ht="17.25" customHeight="1"/>
    <row r="38086" customFormat="1" ht="17.25" customHeight="1"/>
    <row r="38087" customFormat="1" ht="17.25" customHeight="1"/>
    <row r="38088" customFormat="1" ht="17.25" customHeight="1"/>
    <row r="38089" customFormat="1" ht="17.25" customHeight="1"/>
    <row r="38090" customFormat="1" ht="17.25" customHeight="1"/>
    <row r="38091" customFormat="1" ht="17.25" customHeight="1"/>
    <row r="38092" customFormat="1" ht="17.25" customHeight="1"/>
    <row r="38093" customFormat="1" ht="17.25" customHeight="1"/>
    <row r="38094" customFormat="1" ht="17.25" customHeight="1"/>
    <row r="38095" customFormat="1" ht="17.25" customHeight="1"/>
    <row r="38096" customFormat="1" ht="17.25" customHeight="1"/>
    <row r="38097" customFormat="1" ht="17.25" customHeight="1"/>
    <row r="38098" customFormat="1" ht="17.25" customHeight="1"/>
    <row r="38099" customFormat="1" ht="17.25" customHeight="1"/>
    <row r="38100" customFormat="1" ht="17.25" customHeight="1"/>
    <row r="38101" customFormat="1" ht="17.25" customHeight="1"/>
    <row r="38102" customFormat="1" ht="17.25" customHeight="1"/>
    <row r="38103" customFormat="1" ht="17.25" customHeight="1"/>
    <row r="38104" customFormat="1" ht="17.25" customHeight="1"/>
    <row r="38105" customFormat="1" ht="17.25" customHeight="1"/>
    <row r="38106" customFormat="1" ht="17.25" customHeight="1"/>
    <row r="38107" customFormat="1" ht="17.25" customHeight="1"/>
    <row r="38108" customFormat="1" ht="17.25" customHeight="1"/>
    <row r="38109" customFormat="1" ht="17.25" customHeight="1"/>
    <row r="38110" customFormat="1" ht="17.25" customHeight="1"/>
    <row r="38111" customFormat="1" ht="17.25" customHeight="1"/>
    <row r="38112" customFormat="1" ht="17.25" customHeight="1"/>
    <row r="38113" customFormat="1" ht="17.25" customHeight="1"/>
    <row r="38114" customFormat="1" ht="17.25" customHeight="1"/>
    <row r="38115" customFormat="1" ht="17.25" customHeight="1"/>
    <row r="38116" customFormat="1" ht="17.25" customHeight="1"/>
    <row r="38117" customFormat="1" ht="17.25" customHeight="1"/>
    <row r="38118" customFormat="1" ht="17.25" customHeight="1"/>
    <row r="38119" customFormat="1" ht="17.25" customHeight="1"/>
    <row r="38120" customFormat="1" ht="17.25" customHeight="1"/>
    <row r="38121" customFormat="1" ht="17.25" customHeight="1"/>
    <row r="38122" customFormat="1" ht="17.25" customHeight="1"/>
    <row r="38123" customFormat="1" ht="17.25" customHeight="1"/>
    <row r="38124" customFormat="1" ht="17.25" customHeight="1"/>
    <row r="38125" customFormat="1" ht="17.25" customHeight="1"/>
    <row r="38126" customFormat="1" ht="17.25" customHeight="1"/>
    <row r="38127" customFormat="1" ht="17.25" customHeight="1"/>
    <row r="38128" customFormat="1" ht="17.25" customHeight="1"/>
    <row r="38129" customFormat="1" ht="17.25" customHeight="1"/>
    <row r="38130" customFormat="1" ht="17.25" customHeight="1"/>
    <row r="38131" customFormat="1" ht="17.25" customHeight="1"/>
    <row r="38132" customFormat="1" ht="17.25" customHeight="1"/>
    <row r="38133" customFormat="1" ht="17.25" customHeight="1"/>
    <row r="38134" customFormat="1" ht="17.25" customHeight="1"/>
    <row r="38135" customFormat="1" ht="17.25" customHeight="1"/>
    <row r="38136" customFormat="1" ht="17.25" customHeight="1"/>
    <row r="38137" customFormat="1" ht="17.25" customHeight="1"/>
    <row r="38138" customFormat="1" ht="17.25" customHeight="1"/>
    <row r="38139" customFormat="1" ht="17.25" customHeight="1"/>
    <row r="38140" customFormat="1" ht="17.25" customHeight="1"/>
    <row r="38141" customFormat="1" ht="17.25" customHeight="1"/>
    <row r="38142" customFormat="1" ht="17.25" customHeight="1"/>
    <row r="38143" customFormat="1" ht="17.25" customHeight="1"/>
    <row r="38144" customFormat="1" ht="17.25" customHeight="1"/>
    <row r="38145" customFormat="1" ht="17.25" customHeight="1"/>
    <row r="38146" customFormat="1" ht="17.25" customHeight="1"/>
    <row r="38147" customFormat="1" ht="17.25" customHeight="1"/>
    <row r="38148" customFormat="1" ht="17.25" customHeight="1"/>
    <row r="38149" customFormat="1" ht="17.25" customHeight="1"/>
    <row r="38150" customFormat="1" ht="17.25" customHeight="1"/>
    <row r="38151" customFormat="1" ht="17.25" customHeight="1"/>
    <row r="38152" customFormat="1" ht="17.25" customHeight="1"/>
    <row r="38153" customFormat="1" ht="17.25" customHeight="1"/>
    <row r="38154" customFormat="1" ht="17.25" customHeight="1"/>
    <row r="38155" customFormat="1" ht="17.25" customHeight="1"/>
    <row r="38156" customFormat="1" ht="17.25" customHeight="1"/>
    <row r="38157" customFormat="1" ht="17.25" customHeight="1"/>
    <row r="38158" customFormat="1" ht="17.25" customHeight="1"/>
    <row r="38159" customFormat="1" ht="17.25" customHeight="1"/>
    <row r="38160" customFormat="1" ht="17.25" customHeight="1"/>
    <row r="38161" customFormat="1" ht="17.25" customHeight="1"/>
    <row r="38162" customFormat="1" ht="17.25" customHeight="1"/>
    <row r="38163" customFormat="1" ht="17.25" customHeight="1"/>
    <row r="38164" customFormat="1" ht="17.25" customHeight="1"/>
    <row r="38165" customFormat="1" ht="17.25" customHeight="1"/>
    <row r="38166" customFormat="1" ht="17.25" customHeight="1"/>
    <row r="38167" customFormat="1" ht="17.25" customHeight="1"/>
    <row r="38168" customFormat="1" ht="17.25" customHeight="1"/>
    <row r="38169" customFormat="1" ht="17.25" customHeight="1"/>
    <row r="38170" customFormat="1" ht="17.25" customHeight="1"/>
    <row r="38171" customFormat="1" ht="17.25" customHeight="1"/>
    <row r="38172" customFormat="1" ht="17.25" customHeight="1"/>
    <row r="38173" customFormat="1" ht="17.25" customHeight="1"/>
    <row r="38174" customFormat="1" ht="17.25" customHeight="1"/>
    <row r="38175" customFormat="1" ht="17.25" customHeight="1"/>
    <row r="38176" customFormat="1" ht="17.25" customHeight="1"/>
    <row r="38177" customFormat="1" ht="17.25" customHeight="1"/>
    <row r="38178" customFormat="1" ht="17.25" customHeight="1"/>
    <row r="38179" customFormat="1" ht="17.25" customHeight="1"/>
    <row r="38180" customFormat="1" ht="17.25" customHeight="1"/>
    <row r="38181" customFormat="1" ht="17.25" customHeight="1"/>
    <row r="38182" customFormat="1" ht="17.25" customHeight="1"/>
    <row r="38183" customFormat="1" ht="17.25" customHeight="1"/>
    <row r="38184" customFormat="1" ht="17.25" customHeight="1"/>
    <row r="38185" customFormat="1" ht="17.25" customHeight="1"/>
    <row r="38186" customFormat="1" ht="17.25" customHeight="1"/>
    <row r="38187" customFormat="1" ht="17.25" customHeight="1"/>
    <row r="38188" customFormat="1" ht="17.25" customHeight="1"/>
    <row r="38189" customFormat="1" ht="17.25" customHeight="1"/>
    <row r="38190" customFormat="1" ht="17.25" customHeight="1"/>
    <row r="38191" customFormat="1" ht="17.25" customHeight="1"/>
    <row r="38192" customFormat="1" ht="17.25" customHeight="1"/>
    <row r="38193" customFormat="1" ht="17.25" customHeight="1"/>
    <row r="38194" customFormat="1" ht="17.25" customHeight="1"/>
    <row r="38195" customFormat="1" ht="17.25" customHeight="1"/>
    <row r="38196" customFormat="1" ht="17.25" customHeight="1"/>
    <row r="38197" customFormat="1" ht="17.25" customHeight="1"/>
    <row r="38198" customFormat="1" ht="17.25" customHeight="1"/>
    <row r="38199" customFormat="1" ht="17.25" customHeight="1"/>
    <row r="38200" customFormat="1" ht="17.25" customHeight="1"/>
    <row r="38201" customFormat="1" ht="17.25" customHeight="1"/>
    <row r="38202" customFormat="1" ht="17.25" customHeight="1"/>
    <row r="38203" customFormat="1" ht="17.25" customHeight="1"/>
    <row r="38204" customFormat="1" ht="17.25" customHeight="1"/>
    <row r="38205" customFormat="1" ht="17.25" customHeight="1"/>
    <row r="38206" customFormat="1" ht="17.25" customHeight="1"/>
    <row r="38207" customFormat="1" ht="17.25" customHeight="1"/>
    <row r="38208" customFormat="1" ht="17.25" customHeight="1"/>
    <row r="38209" customFormat="1" ht="17.25" customHeight="1"/>
    <row r="38210" customFormat="1" ht="17.25" customHeight="1"/>
    <row r="38211" customFormat="1" ht="17.25" customHeight="1"/>
    <row r="38212" customFormat="1" ht="17.25" customHeight="1"/>
    <row r="38213" customFormat="1" ht="17.25" customHeight="1"/>
    <row r="38214" customFormat="1" ht="17.25" customHeight="1"/>
    <row r="38215" customFormat="1" ht="17.25" customHeight="1"/>
    <row r="38216" customFormat="1" ht="17.25" customHeight="1"/>
    <row r="38217" customFormat="1" ht="17.25" customHeight="1"/>
    <row r="38218" customFormat="1" ht="17.25" customHeight="1"/>
    <row r="38219" customFormat="1" ht="17.25" customHeight="1"/>
    <row r="38220" customFormat="1" ht="17.25" customHeight="1"/>
    <row r="38221" customFormat="1" ht="17.25" customHeight="1"/>
    <row r="38222" customFormat="1" ht="17.25" customHeight="1"/>
    <row r="38223" customFormat="1" ht="17.25" customHeight="1"/>
    <row r="38224" customFormat="1" ht="17.25" customHeight="1"/>
    <row r="38225" customFormat="1" ht="17.25" customHeight="1"/>
    <row r="38226" customFormat="1" ht="17.25" customHeight="1"/>
    <row r="38227" customFormat="1" ht="17.25" customHeight="1"/>
    <row r="38228" customFormat="1" ht="17.25" customHeight="1"/>
    <row r="38229" customFormat="1" ht="17.25" customHeight="1"/>
    <row r="38230" customFormat="1" ht="17.25" customHeight="1"/>
    <row r="38231" customFormat="1" ht="17.25" customHeight="1"/>
    <row r="38232" customFormat="1" ht="17.25" customHeight="1"/>
    <row r="38233" customFormat="1" ht="17.25" customHeight="1"/>
    <row r="38234" customFormat="1" ht="17.25" customHeight="1"/>
    <row r="38235" customFormat="1" ht="17.25" customHeight="1"/>
    <row r="38236" customFormat="1" ht="17.25" customHeight="1"/>
    <row r="38237" customFormat="1" ht="17.25" customHeight="1"/>
    <row r="38238" customFormat="1" ht="17.25" customHeight="1"/>
    <row r="38239" customFormat="1" ht="17.25" customHeight="1"/>
    <row r="38240" customFormat="1" ht="17.25" customHeight="1"/>
    <row r="38241" customFormat="1" ht="17.25" customHeight="1"/>
    <row r="38242" customFormat="1" ht="17.25" customHeight="1"/>
    <row r="38243" customFormat="1" ht="17.25" customHeight="1"/>
    <row r="38244" customFormat="1" ht="17.25" customHeight="1"/>
    <row r="38245" customFormat="1" ht="17.25" customHeight="1"/>
    <row r="38246" customFormat="1" ht="17.25" customHeight="1"/>
    <row r="38247" customFormat="1" ht="17.25" customHeight="1"/>
    <row r="38248" customFormat="1" ht="17.25" customHeight="1"/>
    <row r="38249" customFormat="1" ht="17.25" customHeight="1"/>
    <row r="38250" customFormat="1" ht="17.25" customHeight="1"/>
    <row r="38251" customFormat="1" ht="17.25" customHeight="1"/>
    <row r="38252" customFormat="1" ht="17.25" customHeight="1"/>
    <row r="38253" customFormat="1" ht="17.25" customHeight="1"/>
    <row r="38254" customFormat="1" ht="17.25" customHeight="1"/>
    <row r="38255" customFormat="1" ht="17.25" customHeight="1"/>
    <row r="38256" customFormat="1" ht="17.25" customHeight="1"/>
    <row r="38257" customFormat="1" ht="17.25" customHeight="1"/>
    <row r="38258" customFormat="1" ht="17.25" customHeight="1"/>
    <row r="38259" customFormat="1" ht="17.25" customHeight="1"/>
    <row r="38260" customFormat="1" ht="17.25" customHeight="1"/>
    <row r="38261" customFormat="1" ht="17.25" customHeight="1"/>
    <row r="38262" customFormat="1" ht="17.25" customHeight="1"/>
    <row r="38263" customFormat="1" ht="17.25" customHeight="1"/>
    <row r="38264" customFormat="1" ht="17.25" customHeight="1"/>
    <row r="38265" customFormat="1" ht="17.25" customHeight="1"/>
    <row r="38266" customFormat="1" ht="17.25" customHeight="1"/>
    <row r="38267" customFormat="1" ht="17.25" customHeight="1"/>
    <row r="38268" customFormat="1" ht="17.25" customHeight="1"/>
    <row r="38269" customFormat="1" ht="17.25" customHeight="1"/>
    <row r="38270" customFormat="1" ht="17.25" customHeight="1"/>
    <row r="38271" customFormat="1" ht="17.25" customHeight="1"/>
    <row r="38272" customFormat="1" ht="17.25" customHeight="1"/>
    <row r="38273" customFormat="1" ht="17.25" customHeight="1"/>
    <row r="38274" customFormat="1" ht="17.25" customHeight="1"/>
    <row r="38275" customFormat="1" ht="17.25" customHeight="1"/>
    <row r="38276" customFormat="1" ht="17.25" customHeight="1"/>
    <row r="38277" customFormat="1" ht="17.25" customHeight="1"/>
    <row r="38278" customFormat="1" ht="17.25" customHeight="1"/>
    <row r="38279" customFormat="1" ht="17.25" customHeight="1"/>
    <row r="38280" customFormat="1" ht="17.25" customHeight="1"/>
    <row r="38281" customFormat="1" ht="17.25" customHeight="1"/>
    <row r="38282" customFormat="1" ht="17.25" customHeight="1"/>
    <row r="38283" customFormat="1" ht="17.25" customHeight="1"/>
    <row r="38284" customFormat="1" ht="17.25" customHeight="1"/>
    <row r="38285" customFormat="1" ht="17.25" customHeight="1"/>
    <row r="38286" customFormat="1" ht="17.25" customHeight="1"/>
    <row r="38287" customFormat="1" ht="17.25" customHeight="1"/>
    <row r="38288" customFormat="1" ht="17.25" customHeight="1"/>
    <row r="38289" customFormat="1" ht="17.25" customHeight="1"/>
    <row r="38290" customFormat="1" ht="17.25" customHeight="1"/>
    <row r="38291" customFormat="1" ht="17.25" customHeight="1"/>
    <row r="38292" customFormat="1" ht="17.25" customHeight="1"/>
    <row r="38293" customFormat="1" ht="17.25" customHeight="1"/>
    <row r="38294" customFormat="1" ht="17.25" customHeight="1"/>
    <row r="38295" customFormat="1" ht="17.25" customHeight="1"/>
    <row r="38296" customFormat="1" ht="17.25" customHeight="1"/>
    <row r="38297" customFormat="1" ht="17.25" customHeight="1"/>
    <row r="38298" customFormat="1" ht="17.25" customHeight="1"/>
    <row r="38299" customFormat="1" ht="17.25" customHeight="1"/>
    <row r="38300" customFormat="1" ht="17.25" customHeight="1"/>
    <row r="38301" customFormat="1" ht="17.25" customHeight="1"/>
    <row r="38302" customFormat="1" ht="17.25" customHeight="1"/>
    <row r="38303" customFormat="1" ht="17.25" customHeight="1"/>
    <row r="38304" customFormat="1" ht="17.25" customHeight="1"/>
    <row r="38305" customFormat="1" ht="17.25" customHeight="1"/>
    <row r="38306" customFormat="1" ht="17.25" customHeight="1"/>
    <row r="38307" customFormat="1" ht="17.25" customHeight="1"/>
    <row r="38308" customFormat="1" ht="17.25" customHeight="1"/>
    <row r="38309" customFormat="1" ht="17.25" customHeight="1"/>
    <row r="38310" customFormat="1" ht="17.25" customHeight="1"/>
    <row r="38311" customFormat="1" ht="17.25" customHeight="1"/>
    <row r="38312" customFormat="1" ht="17.25" customHeight="1"/>
    <row r="38313" customFormat="1" ht="17.25" customHeight="1"/>
    <row r="38314" customFormat="1" ht="17.25" customHeight="1"/>
    <row r="38315" customFormat="1" ht="17.25" customHeight="1"/>
    <row r="38316" customFormat="1" ht="17.25" customHeight="1"/>
    <row r="38317" customFormat="1" ht="17.25" customHeight="1"/>
    <row r="38318" customFormat="1" ht="17.25" customHeight="1"/>
    <row r="38319" customFormat="1" ht="17.25" customHeight="1"/>
    <row r="38320" customFormat="1" ht="17.25" customHeight="1"/>
    <row r="38321" customFormat="1" ht="17.25" customHeight="1"/>
    <row r="38322" customFormat="1" ht="17.25" customHeight="1"/>
    <row r="38323" customFormat="1" ht="17.25" customHeight="1"/>
    <row r="38324" customFormat="1" ht="17.25" customHeight="1"/>
    <row r="38325" customFormat="1" ht="17.25" customHeight="1"/>
    <row r="38326" customFormat="1" ht="17.25" customHeight="1"/>
    <row r="38327" customFormat="1" ht="17.25" customHeight="1"/>
    <row r="38328" customFormat="1" ht="17.25" customHeight="1"/>
    <row r="38329" customFormat="1" ht="17.25" customHeight="1"/>
    <row r="38330" customFormat="1" ht="17.25" customHeight="1"/>
    <row r="38331" customFormat="1" ht="17.25" customHeight="1"/>
    <row r="38332" customFormat="1" ht="17.25" customHeight="1"/>
    <row r="38333" customFormat="1" ht="17.25" customHeight="1"/>
    <row r="38334" customFormat="1" ht="17.25" customHeight="1"/>
    <row r="38335" customFormat="1" ht="17.25" customHeight="1"/>
    <row r="38336" customFormat="1" ht="17.25" customHeight="1"/>
    <row r="38337" customFormat="1" ht="17.25" customHeight="1"/>
    <row r="38338" customFormat="1" ht="17.25" customHeight="1"/>
    <row r="38339" customFormat="1" ht="17.25" customHeight="1"/>
    <row r="38340" customFormat="1" ht="17.25" customHeight="1"/>
    <row r="38341" customFormat="1" ht="17.25" customHeight="1"/>
    <row r="38342" customFormat="1" ht="17.25" customHeight="1"/>
    <row r="38343" customFormat="1" ht="17.25" customHeight="1"/>
    <row r="38344" customFormat="1" ht="17.25" customHeight="1"/>
    <row r="38345" customFormat="1" ht="17.25" customHeight="1"/>
    <row r="38346" customFormat="1" ht="17.25" customHeight="1"/>
    <row r="38347" customFormat="1" ht="17.25" customHeight="1"/>
    <row r="38348" customFormat="1" ht="17.25" customHeight="1"/>
    <row r="38349" customFormat="1" ht="17.25" customHeight="1"/>
    <row r="38350" customFormat="1" ht="17.25" customHeight="1"/>
    <row r="38351" customFormat="1" ht="17.25" customHeight="1"/>
    <row r="38352" customFormat="1" ht="17.25" customHeight="1"/>
    <row r="38353" customFormat="1" ht="17.25" customHeight="1"/>
    <row r="38354" customFormat="1" ht="17.25" customHeight="1"/>
    <row r="38355" customFormat="1" ht="17.25" customHeight="1"/>
    <row r="38356" customFormat="1" ht="17.25" customHeight="1"/>
    <row r="38357" customFormat="1" ht="17.25" customHeight="1"/>
    <row r="38358" customFormat="1" ht="17.25" customHeight="1"/>
    <row r="38359" customFormat="1" ht="17.25" customHeight="1"/>
    <row r="38360" customFormat="1" ht="17.25" customHeight="1"/>
    <row r="38361" customFormat="1" ht="17.25" customHeight="1"/>
    <row r="38362" customFormat="1" ht="17.25" customHeight="1"/>
    <row r="38363" customFormat="1" ht="17.25" customHeight="1"/>
    <row r="38364" customFormat="1" ht="17.25" customHeight="1"/>
    <row r="38365" customFormat="1" ht="17.25" customHeight="1"/>
    <row r="38366" customFormat="1" ht="17.25" customHeight="1"/>
    <row r="38367" customFormat="1" ht="17.25" customHeight="1"/>
    <row r="38368" customFormat="1" ht="17.25" customHeight="1"/>
    <row r="38369" customFormat="1" ht="17.25" customHeight="1"/>
    <row r="38370" customFormat="1" ht="17.25" customHeight="1"/>
    <row r="38371" customFormat="1" ht="17.25" customHeight="1"/>
    <row r="38372" customFormat="1" ht="17.25" customHeight="1"/>
    <row r="38373" customFormat="1" ht="17.25" customHeight="1"/>
    <row r="38374" customFormat="1" ht="17.25" customHeight="1"/>
    <row r="38375" customFormat="1" ht="17.25" customHeight="1"/>
    <row r="38376" customFormat="1" ht="17.25" customHeight="1"/>
    <row r="38377" customFormat="1" ht="17.25" customHeight="1"/>
    <row r="38378" customFormat="1" ht="17.25" customHeight="1"/>
    <row r="38379" customFormat="1" ht="17.25" customHeight="1"/>
    <row r="38380" customFormat="1" ht="17.25" customHeight="1"/>
    <row r="38381" customFormat="1" ht="17.25" customHeight="1"/>
    <row r="38382" customFormat="1" ht="17.25" customHeight="1"/>
    <row r="38383" customFormat="1" ht="17.25" customHeight="1"/>
    <row r="38384" customFormat="1" ht="17.25" customHeight="1"/>
    <row r="38385" customFormat="1" ht="17.25" customHeight="1"/>
    <row r="38386" customFormat="1" ht="17.25" customHeight="1"/>
    <row r="38387" customFormat="1" ht="17.25" customHeight="1"/>
    <row r="38388" customFormat="1" ht="17.25" customHeight="1"/>
    <row r="38389" customFormat="1" ht="17.25" customHeight="1"/>
    <row r="38390" customFormat="1" ht="17.25" customHeight="1"/>
    <row r="38391" customFormat="1" ht="17.25" customHeight="1"/>
    <row r="38392" customFormat="1" ht="17.25" customHeight="1"/>
    <row r="38393" customFormat="1" ht="17.25" customHeight="1"/>
    <row r="38394" customFormat="1" ht="17.25" customHeight="1"/>
    <row r="38395" customFormat="1" ht="17.25" customHeight="1"/>
    <row r="38396" customFormat="1" ht="17.25" customHeight="1"/>
    <row r="38397" customFormat="1" ht="17.25" customHeight="1"/>
    <row r="38398" customFormat="1" ht="17.25" customHeight="1"/>
    <row r="38399" customFormat="1" ht="17.25" customHeight="1"/>
    <row r="38400" customFormat="1" ht="17.25" customHeight="1"/>
    <row r="38401" customFormat="1" ht="17.25" customHeight="1"/>
    <row r="38402" customFormat="1" ht="17.25" customHeight="1"/>
    <row r="38403" customFormat="1" ht="17.25" customHeight="1"/>
    <row r="38404" customFormat="1" ht="17.25" customHeight="1"/>
    <row r="38405" customFormat="1" ht="17.25" customHeight="1"/>
    <row r="38406" customFormat="1" ht="17.25" customHeight="1"/>
    <row r="38407" customFormat="1" ht="17.25" customHeight="1"/>
    <row r="38408" customFormat="1" ht="17.25" customHeight="1"/>
    <row r="38409" customFormat="1" ht="17.25" customHeight="1"/>
    <row r="38410" customFormat="1" ht="17.25" customHeight="1"/>
    <row r="38411" customFormat="1" ht="17.25" customHeight="1"/>
    <row r="38412" customFormat="1" ht="17.25" customHeight="1"/>
    <row r="38413" customFormat="1" ht="17.25" customHeight="1"/>
    <row r="38414" customFormat="1" ht="17.25" customHeight="1"/>
    <row r="38415" customFormat="1" ht="17.25" customHeight="1"/>
    <row r="38416" customFormat="1" ht="17.25" customHeight="1"/>
    <row r="38417" customFormat="1" ht="17.25" customHeight="1"/>
    <row r="38418" customFormat="1" ht="17.25" customHeight="1"/>
    <row r="38419" customFormat="1" ht="17.25" customHeight="1"/>
    <row r="38420" customFormat="1" ht="17.25" customHeight="1"/>
    <row r="38421" customFormat="1" ht="17.25" customHeight="1"/>
    <row r="38422" customFormat="1" ht="17.25" customHeight="1"/>
    <row r="38423" customFormat="1" ht="17.25" customHeight="1"/>
    <row r="38424" customFormat="1" ht="17.25" customHeight="1"/>
    <row r="38425" customFormat="1" ht="17.25" customHeight="1"/>
    <row r="38426" customFormat="1" ht="17.25" customHeight="1"/>
    <row r="38427" customFormat="1" ht="17.25" customHeight="1"/>
    <row r="38428" customFormat="1" ht="17.25" customHeight="1"/>
    <row r="38429" customFormat="1" ht="17.25" customHeight="1"/>
    <row r="38430" customFormat="1" ht="17.25" customHeight="1"/>
    <row r="38431" customFormat="1" ht="17.25" customHeight="1"/>
    <row r="38432" customFormat="1" ht="17.25" customHeight="1"/>
    <row r="38433" customFormat="1" ht="17.25" customHeight="1"/>
    <row r="38434" customFormat="1" ht="17.25" customHeight="1"/>
    <row r="38435" customFormat="1" ht="17.25" customHeight="1"/>
    <row r="38436" customFormat="1" ht="17.25" customHeight="1"/>
    <row r="38437" customFormat="1" ht="17.25" customHeight="1"/>
    <row r="38438" customFormat="1" ht="17.25" customHeight="1"/>
    <row r="38439" customFormat="1" ht="17.25" customHeight="1"/>
    <row r="38440" customFormat="1" ht="17.25" customHeight="1"/>
    <row r="38441" customFormat="1" ht="17.25" customHeight="1"/>
    <row r="38442" customFormat="1" ht="17.25" customHeight="1"/>
    <row r="38443" customFormat="1" ht="17.25" customHeight="1"/>
    <row r="38444" customFormat="1" ht="17.25" customHeight="1"/>
    <row r="38445" customFormat="1" ht="17.25" customHeight="1"/>
    <row r="38446" customFormat="1" ht="17.25" customHeight="1"/>
    <row r="38447" customFormat="1" ht="17.25" customHeight="1"/>
    <row r="38448" customFormat="1" ht="17.25" customHeight="1"/>
    <row r="38449" customFormat="1" ht="17.25" customHeight="1"/>
    <row r="38450" customFormat="1" ht="17.25" customHeight="1"/>
    <row r="38451" customFormat="1" ht="17.25" customHeight="1"/>
    <row r="38452" customFormat="1" ht="17.25" customHeight="1"/>
    <row r="38453" customFormat="1" ht="17.25" customHeight="1"/>
    <row r="38454" customFormat="1" ht="17.25" customHeight="1"/>
    <row r="38455" customFormat="1" ht="17.25" customHeight="1"/>
    <row r="38456" customFormat="1" ht="17.25" customHeight="1"/>
    <row r="38457" customFormat="1" ht="17.25" customHeight="1"/>
    <row r="38458" customFormat="1" ht="17.25" customHeight="1"/>
    <row r="38459" customFormat="1" ht="17.25" customHeight="1"/>
    <row r="38460" customFormat="1" ht="17.25" customHeight="1"/>
    <row r="38461" customFormat="1" ht="17.25" customHeight="1"/>
    <row r="38462" customFormat="1" ht="17.25" customHeight="1"/>
    <row r="38463" customFormat="1" ht="17.25" customHeight="1"/>
    <row r="38464" customFormat="1" ht="17.25" customHeight="1"/>
    <row r="38465" customFormat="1" ht="17.25" customHeight="1"/>
    <row r="38466" customFormat="1" ht="17.25" customHeight="1"/>
    <row r="38467" customFormat="1" ht="17.25" customHeight="1"/>
    <row r="38468" customFormat="1" ht="17.25" customHeight="1"/>
    <row r="38469" customFormat="1" ht="17.25" customHeight="1"/>
    <row r="38470" customFormat="1" ht="17.25" customHeight="1"/>
    <row r="38471" customFormat="1" ht="17.25" customHeight="1"/>
    <row r="38472" customFormat="1" ht="17.25" customHeight="1"/>
    <row r="38473" customFormat="1" ht="17.25" customHeight="1"/>
    <row r="38474" customFormat="1" ht="17.25" customHeight="1"/>
    <row r="38475" customFormat="1" ht="17.25" customHeight="1"/>
    <row r="38476" customFormat="1" ht="17.25" customHeight="1"/>
    <row r="38477" customFormat="1" ht="17.25" customHeight="1"/>
    <row r="38478" customFormat="1" ht="17.25" customHeight="1"/>
    <row r="38479" customFormat="1" ht="17.25" customHeight="1"/>
    <row r="38480" customFormat="1" ht="17.25" customHeight="1"/>
    <row r="38481" customFormat="1" ht="17.25" customHeight="1"/>
    <row r="38482" customFormat="1" ht="17.25" customHeight="1"/>
    <row r="38483" customFormat="1" ht="17.25" customHeight="1"/>
    <row r="38484" customFormat="1" ht="17.25" customHeight="1"/>
    <row r="38485" customFormat="1" ht="17.25" customHeight="1"/>
    <row r="38486" customFormat="1" ht="17.25" customHeight="1"/>
    <row r="38487" customFormat="1" ht="17.25" customHeight="1"/>
    <row r="38488" customFormat="1" ht="17.25" customHeight="1"/>
    <row r="38489" customFormat="1" ht="17.25" customHeight="1"/>
    <row r="38490" customFormat="1" ht="17.25" customHeight="1"/>
    <row r="38491" customFormat="1" ht="17.25" customHeight="1"/>
    <row r="38492" customFormat="1" ht="17.25" customHeight="1"/>
    <row r="38493" customFormat="1" ht="17.25" customHeight="1"/>
    <row r="38494" customFormat="1" ht="17.25" customHeight="1"/>
    <row r="38495" customFormat="1" ht="17.25" customHeight="1"/>
    <row r="38496" customFormat="1" ht="17.25" customHeight="1"/>
    <row r="38497" customFormat="1" ht="17.25" customHeight="1"/>
    <row r="38498" customFormat="1" ht="17.25" customHeight="1"/>
    <row r="38499" customFormat="1" ht="17.25" customHeight="1"/>
    <row r="38500" customFormat="1" ht="17.25" customHeight="1"/>
    <row r="38501" customFormat="1" ht="17.25" customHeight="1"/>
    <row r="38502" customFormat="1" ht="17.25" customHeight="1"/>
    <row r="38503" customFormat="1" ht="17.25" customHeight="1"/>
    <row r="38504" customFormat="1" ht="17.25" customHeight="1"/>
    <row r="38505" customFormat="1" ht="17.25" customHeight="1"/>
    <row r="38506" customFormat="1" ht="17.25" customHeight="1"/>
    <row r="38507" customFormat="1" ht="17.25" customHeight="1"/>
    <row r="38508" customFormat="1" ht="17.25" customHeight="1"/>
    <row r="38509" customFormat="1" ht="17.25" customHeight="1"/>
    <row r="38510" customFormat="1" ht="17.25" customHeight="1"/>
    <row r="38511" customFormat="1" ht="17.25" customHeight="1"/>
    <row r="38512" customFormat="1" ht="17.25" customHeight="1"/>
    <row r="38513" customFormat="1" ht="17.25" customHeight="1"/>
    <row r="38514" customFormat="1" ht="17.25" customHeight="1"/>
    <row r="38515" customFormat="1" ht="17.25" customHeight="1"/>
    <row r="38516" customFormat="1" ht="17.25" customHeight="1"/>
    <row r="38517" customFormat="1" ht="17.25" customHeight="1"/>
    <row r="38518" customFormat="1" ht="17.25" customHeight="1"/>
    <row r="38519" customFormat="1" ht="17.25" customHeight="1"/>
    <row r="38520" customFormat="1" ht="17.25" customHeight="1"/>
    <row r="38521" customFormat="1" ht="17.25" customHeight="1"/>
    <row r="38522" customFormat="1" ht="17.25" customHeight="1"/>
    <row r="38523" customFormat="1" ht="17.25" customHeight="1"/>
    <row r="38524" customFormat="1" ht="17.25" customHeight="1"/>
    <row r="38525" customFormat="1" ht="17.25" customHeight="1"/>
    <row r="38526" customFormat="1" ht="17.25" customHeight="1"/>
    <row r="38527" customFormat="1" ht="17.25" customHeight="1"/>
    <row r="38528" customFormat="1" ht="17.25" customHeight="1"/>
    <row r="38529" customFormat="1" ht="17.25" customHeight="1"/>
    <row r="38530" customFormat="1" ht="17.25" customHeight="1"/>
    <row r="38531" customFormat="1" ht="17.25" customHeight="1"/>
    <row r="38532" customFormat="1" ht="17.25" customHeight="1"/>
    <row r="38533" customFormat="1" ht="17.25" customHeight="1"/>
    <row r="38534" customFormat="1" ht="17.25" customHeight="1"/>
    <row r="38535" customFormat="1" ht="17.25" customHeight="1"/>
    <row r="38536" customFormat="1" ht="17.25" customHeight="1"/>
    <row r="38537" customFormat="1" ht="17.25" customHeight="1"/>
    <row r="38538" customFormat="1" ht="17.25" customHeight="1"/>
    <row r="38539" customFormat="1" ht="17.25" customHeight="1"/>
    <row r="38540" customFormat="1" ht="17.25" customHeight="1"/>
    <row r="38541" customFormat="1" ht="17.25" customHeight="1"/>
    <row r="38542" customFormat="1" ht="17.25" customHeight="1"/>
    <row r="38543" customFormat="1" ht="17.25" customHeight="1"/>
    <row r="38544" customFormat="1" ht="17.25" customHeight="1"/>
    <row r="38545" customFormat="1" ht="17.25" customHeight="1"/>
    <row r="38546" customFormat="1" ht="17.25" customHeight="1"/>
    <row r="38547" customFormat="1" ht="17.25" customHeight="1"/>
    <row r="38548" customFormat="1" ht="17.25" customHeight="1"/>
    <row r="38549" customFormat="1" ht="17.25" customHeight="1"/>
    <row r="38550" customFormat="1" ht="17.25" customHeight="1"/>
    <row r="38551" customFormat="1" ht="17.25" customHeight="1"/>
    <row r="38552" customFormat="1" ht="17.25" customHeight="1"/>
    <row r="38553" customFormat="1" ht="17.25" customHeight="1"/>
    <row r="38554" customFormat="1" ht="17.25" customHeight="1"/>
    <row r="38555" customFormat="1" ht="17.25" customHeight="1"/>
    <row r="38556" customFormat="1" ht="17.25" customHeight="1"/>
    <row r="38557" customFormat="1" ht="17.25" customHeight="1"/>
    <row r="38558" customFormat="1" ht="17.25" customHeight="1"/>
    <row r="38559" customFormat="1" ht="17.25" customHeight="1"/>
    <row r="38560" customFormat="1" ht="17.25" customHeight="1"/>
    <row r="38561" customFormat="1" ht="17.25" customHeight="1"/>
    <row r="38562" customFormat="1" ht="17.25" customHeight="1"/>
    <row r="38563" customFormat="1" ht="17.25" customHeight="1"/>
    <row r="38564" customFormat="1" ht="17.25" customHeight="1"/>
    <row r="38565" customFormat="1" ht="17.25" customHeight="1"/>
    <row r="38566" customFormat="1" ht="17.25" customHeight="1"/>
    <row r="38567" customFormat="1" ht="17.25" customHeight="1"/>
    <row r="38568" customFormat="1" ht="17.25" customHeight="1"/>
    <row r="38569" customFormat="1" ht="17.25" customHeight="1"/>
    <row r="38570" customFormat="1" ht="17.25" customHeight="1"/>
    <row r="38571" customFormat="1" ht="17.25" customHeight="1"/>
    <row r="38572" customFormat="1" ht="17.25" customHeight="1"/>
    <row r="38573" customFormat="1" ht="17.25" customHeight="1"/>
    <row r="38574" customFormat="1" ht="17.25" customHeight="1"/>
    <row r="38575" customFormat="1" ht="17.25" customHeight="1"/>
    <row r="38576" customFormat="1" ht="17.25" customHeight="1"/>
    <row r="38577" customFormat="1" ht="17.25" customHeight="1"/>
    <row r="38578" customFormat="1" ht="17.25" customHeight="1"/>
    <row r="38579" customFormat="1" ht="17.25" customHeight="1"/>
    <row r="38580" customFormat="1" ht="17.25" customHeight="1"/>
    <row r="38581" customFormat="1" ht="17.25" customHeight="1"/>
    <row r="38582" customFormat="1" ht="17.25" customHeight="1"/>
    <row r="38583" customFormat="1" ht="17.25" customHeight="1"/>
    <row r="38584" customFormat="1" ht="17.25" customHeight="1"/>
    <row r="38585" customFormat="1" ht="17.25" customHeight="1"/>
    <row r="38586" customFormat="1" ht="17.25" customHeight="1"/>
    <row r="38587" customFormat="1" ht="17.25" customHeight="1"/>
    <row r="38588" customFormat="1" ht="17.25" customHeight="1"/>
    <row r="38589" customFormat="1" ht="17.25" customHeight="1"/>
    <row r="38590" customFormat="1" ht="17.25" customHeight="1"/>
    <row r="38591" customFormat="1" ht="17.25" customHeight="1"/>
    <row r="38592" customFormat="1" ht="17.25" customHeight="1"/>
    <row r="38593" customFormat="1" ht="17.25" customHeight="1"/>
    <row r="38594" customFormat="1" ht="17.25" customHeight="1"/>
    <row r="38595" customFormat="1" ht="17.25" customHeight="1"/>
    <row r="38596" customFormat="1" ht="17.25" customHeight="1"/>
    <row r="38597" customFormat="1" ht="17.25" customHeight="1"/>
    <row r="38598" customFormat="1" ht="17.25" customHeight="1"/>
    <row r="38599" customFormat="1" ht="17.25" customHeight="1"/>
    <row r="38600" customFormat="1" ht="17.25" customHeight="1"/>
    <row r="38601" customFormat="1" ht="17.25" customHeight="1"/>
    <row r="38602" customFormat="1" ht="17.25" customHeight="1"/>
    <row r="38603" customFormat="1" ht="17.25" customHeight="1"/>
    <row r="38604" customFormat="1" ht="17.25" customHeight="1"/>
    <row r="38605" customFormat="1" ht="17.25" customHeight="1"/>
    <row r="38606" customFormat="1" ht="17.25" customHeight="1"/>
    <row r="38607" customFormat="1" ht="17.25" customHeight="1"/>
    <row r="38608" customFormat="1" ht="17.25" customHeight="1"/>
    <row r="38609" customFormat="1" ht="17.25" customHeight="1"/>
    <row r="38610" customFormat="1" ht="17.25" customHeight="1"/>
    <row r="38611" customFormat="1" ht="17.25" customHeight="1"/>
    <row r="38612" customFormat="1" ht="17.25" customHeight="1"/>
    <row r="38613" customFormat="1" ht="17.25" customHeight="1"/>
    <row r="38614" customFormat="1" ht="17.25" customHeight="1"/>
    <row r="38615" customFormat="1" ht="17.25" customHeight="1"/>
    <row r="38616" customFormat="1" ht="17.25" customHeight="1"/>
    <row r="38617" customFormat="1" ht="17.25" customHeight="1"/>
    <row r="38618" customFormat="1" ht="17.25" customHeight="1"/>
    <row r="38619" customFormat="1" ht="17.25" customHeight="1"/>
    <row r="38620" customFormat="1" ht="17.25" customHeight="1"/>
    <row r="38621" customFormat="1" ht="17.25" customHeight="1"/>
    <row r="38622" customFormat="1" ht="17.25" customHeight="1"/>
    <row r="38623" customFormat="1" ht="17.25" customHeight="1"/>
    <row r="38624" customFormat="1" ht="17.25" customHeight="1"/>
    <row r="38625" customFormat="1" ht="17.25" customHeight="1"/>
    <row r="38626" customFormat="1" ht="17.25" customHeight="1"/>
    <row r="38627" customFormat="1" ht="17.25" customHeight="1"/>
    <row r="38628" customFormat="1" ht="17.25" customHeight="1"/>
    <row r="38629" customFormat="1" ht="17.25" customHeight="1"/>
    <row r="38630" customFormat="1" ht="17.25" customHeight="1"/>
    <row r="38631" customFormat="1" ht="17.25" customHeight="1"/>
    <row r="38632" customFormat="1" ht="17.25" customHeight="1"/>
    <row r="38633" customFormat="1" ht="17.25" customHeight="1"/>
    <row r="38634" customFormat="1" ht="17.25" customHeight="1"/>
    <row r="38635" customFormat="1" ht="17.25" customHeight="1"/>
    <row r="38636" customFormat="1" ht="17.25" customHeight="1"/>
    <row r="38637" customFormat="1" ht="17.25" customHeight="1"/>
    <row r="38638" customFormat="1" ht="17.25" customHeight="1"/>
    <row r="38639" customFormat="1" ht="17.25" customHeight="1"/>
    <row r="38640" customFormat="1" ht="17.25" customHeight="1"/>
    <row r="38641" customFormat="1" ht="17.25" customHeight="1"/>
    <row r="38642" customFormat="1" ht="17.25" customHeight="1"/>
    <row r="38643" customFormat="1" ht="17.25" customHeight="1"/>
    <row r="38644" customFormat="1" ht="17.25" customHeight="1"/>
    <row r="38645" customFormat="1" ht="17.25" customHeight="1"/>
    <row r="38646" customFormat="1" ht="17.25" customHeight="1"/>
    <row r="38647" customFormat="1" ht="17.25" customHeight="1"/>
    <row r="38648" customFormat="1" ht="17.25" customHeight="1"/>
    <row r="38649" customFormat="1" ht="17.25" customHeight="1"/>
    <row r="38650" customFormat="1" ht="17.25" customHeight="1"/>
    <row r="38651" customFormat="1" ht="17.25" customHeight="1"/>
    <row r="38652" customFormat="1" ht="17.25" customHeight="1"/>
    <row r="38653" customFormat="1" ht="17.25" customHeight="1"/>
    <row r="38654" customFormat="1" ht="17.25" customHeight="1"/>
    <row r="38655" customFormat="1" ht="17.25" customHeight="1"/>
    <row r="38656" customFormat="1" ht="17.25" customHeight="1"/>
    <row r="38657" customFormat="1" ht="17.25" customHeight="1"/>
    <row r="38658" customFormat="1" ht="17.25" customHeight="1"/>
    <row r="38659" customFormat="1" ht="17.25" customHeight="1"/>
    <row r="38660" customFormat="1" ht="17.25" customHeight="1"/>
    <row r="38661" customFormat="1" ht="17.25" customHeight="1"/>
    <row r="38662" customFormat="1" ht="17.25" customHeight="1"/>
    <row r="38663" customFormat="1" ht="17.25" customHeight="1"/>
    <row r="38664" customFormat="1" ht="17.25" customHeight="1"/>
    <row r="38665" customFormat="1" ht="17.25" customHeight="1"/>
    <row r="38666" customFormat="1" ht="17.25" customHeight="1"/>
    <row r="38667" customFormat="1" ht="17.25" customHeight="1"/>
    <row r="38668" customFormat="1" ht="17.25" customHeight="1"/>
    <row r="38669" customFormat="1" ht="17.25" customHeight="1"/>
    <row r="38670" customFormat="1" ht="17.25" customHeight="1"/>
    <row r="38671" customFormat="1" ht="17.25" customHeight="1"/>
    <row r="38672" customFormat="1" ht="17.25" customHeight="1"/>
    <row r="38673" customFormat="1" ht="17.25" customHeight="1"/>
    <row r="38674" customFormat="1" ht="17.25" customHeight="1"/>
    <row r="38675" customFormat="1" ht="17.25" customHeight="1"/>
    <row r="38676" customFormat="1" ht="17.25" customHeight="1"/>
    <row r="38677" customFormat="1" ht="17.25" customHeight="1"/>
    <row r="38678" customFormat="1" ht="17.25" customHeight="1"/>
    <row r="38679" customFormat="1" ht="17.25" customHeight="1"/>
    <row r="38680" customFormat="1" ht="17.25" customHeight="1"/>
    <row r="38681" customFormat="1" ht="17.25" customHeight="1"/>
    <row r="38682" customFormat="1" ht="17.25" customHeight="1"/>
    <row r="38683" customFormat="1" ht="17.25" customHeight="1"/>
    <row r="38684" customFormat="1" ht="17.25" customHeight="1"/>
    <row r="38685" customFormat="1" ht="17.25" customHeight="1"/>
    <row r="38686" customFormat="1" ht="17.25" customHeight="1"/>
    <row r="38687" customFormat="1" ht="17.25" customHeight="1"/>
    <row r="38688" customFormat="1" ht="17.25" customHeight="1"/>
    <row r="38689" customFormat="1" ht="17.25" customHeight="1"/>
    <row r="38690" customFormat="1" ht="17.25" customHeight="1"/>
    <row r="38691" customFormat="1" ht="17.25" customHeight="1"/>
    <row r="38692" customFormat="1" ht="17.25" customHeight="1"/>
    <row r="38693" customFormat="1" ht="17.25" customHeight="1"/>
    <row r="38694" customFormat="1" ht="17.25" customHeight="1"/>
    <row r="38695" customFormat="1" ht="17.25" customHeight="1"/>
    <row r="38696" customFormat="1" ht="17.25" customHeight="1"/>
    <row r="38697" customFormat="1" ht="17.25" customHeight="1"/>
    <row r="38698" customFormat="1" ht="17.25" customHeight="1"/>
    <row r="38699" customFormat="1" ht="17.25" customHeight="1"/>
    <row r="38700" customFormat="1" ht="17.25" customHeight="1"/>
    <row r="38701" customFormat="1" ht="17.25" customHeight="1"/>
    <row r="38702" customFormat="1" ht="17.25" customHeight="1"/>
    <row r="38703" customFormat="1" ht="17.25" customHeight="1"/>
    <row r="38704" customFormat="1" ht="17.25" customHeight="1"/>
    <row r="38705" customFormat="1" ht="17.25" customHeight="1"/>
    <row r="38706" customFormat="1" ht="17.25" customHeight="1"/>
    <row r="38707" customFormat="1" ht="17.25" customHeight="1"/>
    <row r="38708" customFormat="1" ht="17.25" customHeight="1"/>
    <row r="38709" customFormat="1" ht="17.25" customHeight="1"/>
    <row r="38710" customFormat="1" ht="17.25" customHeight="1"/>
    <row r="38711" customFormat="1" ht="17.25" customHeight="1"/>
    <row r="38712" customFormat="1" ht="17.25" customHeight="1"/>
    <row r="38713" customFormat="1" ht="17.25" customHeight="1"/>
    <row r="38714" customFormat="1" ht="17.25" customHeight="1"/>
    <row r="38715" customFormat="1" ht="17.25" customHeight="1"/>
    <row r="38716" customFormat="1" ht="17.25" customHeight="1"/>
    <row r="38717" customFormat="1" ht="17.25" customHeight="1"/>
    <row r="38718" customFormat="1" ht="17.25" customHeight="1"/>
    <row r="38719" customFormat="1" ht="17.25" customHeight="1"/>
    <row r="38720" customFormat="1" ht="17.25" customHeight="1"/>
    <row r="38721" customFormat="1" ht="17.25" customHeight="1"/>
    <row r="38722" customFormat="1" ht="17.25" customHeight="1"/>
    <row r="38723" customFormat="1" ht="17.25" customHeight="1"/>
    <row r="38724" customFormat="1" ht="17.25" customHeight="1"/>
    <row r="38725" customFormat="1" ht="17.25" customHeight="1"/>
    <row r="38726" customFormat="1" ht="17.25" customHeight="1"/>
    <row r="38727" customFormat="1" ht="17.25" customHeight="1"/>
    <row r="38728" customFormat="1" ht="17.25" customHeight="1"/>
    <row r="38729" customFormat="1" ht="17.25" customHeight="1"/>
    <row r="38730" customFormat="1" ht="17.25" customHeight="1"/>
    <row r="38731" customFormat="1" ht="17.25" customHeight="1"/>
    <row r="38732" customFormat="1" ht="17.25" customHeight="1"/>
    <row r="38733" customFormat="1" ht="17.25" customHeight="1"/>
    <row r="38734" customFormat="1" ht="17.25" customHeight="1"/>
    <row r="38735" customFormat="1" ht="17.25" customHeight="1"/>
    <row r="38736" customFormat="1" ht="17.25" customHeight="1"/>
    <row r="38737" customFormat="1" ht="17.25" customHeight="1"/>
    <row r="38738" customFormat="1" ht="17.25" customHeight="1"/>
    <row r="38739" customFormat="1" ht="17.25" customHeight="1"/>
    <row r="38740" customFormat="1" ht="17.25" customHeight="1"/>
    <row r="38741" customFormat="1" ht="17.25" customHeight="1"/>
    <row r="38742" customFormat="1" ht="17.25" customHeight="1"/>
    <row r="38743" customFormat="1" ht="17.25" customHeight="1"/>
    <row r="38744" customFormat="1" ht="17.25" customHeight="1"/>
    <row r="38745" customFormat="1" ht="17.25" customHeight="1"/>
    <row r="38746" customFormat="1" ht="17.25" customHeight="1"/>
    <row r="38747" customFormat="1" ht="17.25" customHeight="1"/>
    <row r="38748" customFormat="1" ht="17.25" customHeight="1"/>
    <row r="38749" customFormat="1" ht="17.25" customHeight="1"/>
    <row r="38750" customFormat="1" ht="17.25" customHeight="1"/>
    <row r="38751" customFormat="1" ht="17.25" customHeight="1"/>
    <row r="38752" customFormat="1" ht="17.25" customHeight="1"/>
    <row r="38753" customFormat="1" ht="17.25" customHeight="1"/>
    <row r="38754" customFormat="1" ht="17.25" customHeight="1"/>
    <row r="38755" customFormat="1" ht="17.25" customHeight="1"/>
    <row r="38756" customFormat="1" ht="17.25" customHeight="1"/>
    <row r="38757" customFormat="1" ht="17.25" customHeight="1"/>
    <row r="38758" customFormat="1" ht="17.25" customHeight="1"/>
    <row r="38759" customFormat="1" ht="17.25" customHeight="1"/>
    <row r="38760" customFormat="1" ht="17.25" customHeight="1"/>
    <row r="38761" customFormat="1" ht="17.25" customHeight="1"/>
    <row r="38762" customFormat="1" ht="17.25" customHeight="1"/>
    <row r="38763" customFormat="1" ht="17.25" customHeight="1"/>
    <row r="38764" customFormat="1" ht="17.25" customHeight="1"/>
    <row r="38765" customFormat="1" ht="17.25" customHeight="1"/>
    <row r="38766" customFormat="1" ht="17.25" customHeight="1"/>
    <row r="38767" customFormat="1" ht="17.25" customHeight="1"/>
    <row r="38768" customFormat="1" ht="17.25" customHeight="1"/>
    <row r="38769" customFormat="1" ht="17.25" customHeight="1"/>
    <row r="38770" customFormat="1" ht="17.25" customHeight="1"/>
    <row r="38771" customFormat="1" ht="17.25" customHeight="1"/>
    <row r="38772" customFormat="1" ht="17.25" customHeight="1"/>
    <row r="38773" customFormat="1" ht="17.25" customHeight="1"/>
    <row r="38774" customFormat="1" ht="17.25" customHeight="1"/>
    <row r="38775" customFormat="1" ht="17.25" customHeight="1"/>
    <row r="38776" customFormat="1" ht="17.25" customHeight="1"/>
    <row r="38777" customFormat="1" ht="17.25" customHeight="1"/>
    <row r="38778" customFormat="1" ht="17.25" customHeight="1"/>
    <row r="38779" customFormat="1" ht="17.25" customHeight="1"/>
    <row r="38780" customFormat="1" ht="17.25" customHeight="1"/>
    <row r="38781" customFormat="1" ht="17.25" customHeight="1"/>
    <row r="38782" customFormat="1" ht="17.25" customHeight="1"/>
    <row r="38783" customFormat="1" ht="17.25" customHeight="1"/>
    <row r="38784" customFormat="1" ht="17.25" customHeight="1"/>
    <row r="38785" customFormat="1" ht="17.25" customHeight="1"/>
    <row r="38786" customFormat="1" ht="17.25" customHeight="1"/>
    <row r="38787" customFormat="1" ht="17.25" customHeight="1"/>
    <row r="38788" customFormat="1" ht="17.25" customHeight="1"/>
    <row r="38789" customFormat="1" ht="17.25" customHeight="1"/>
    <row r="38790" customFormat="1" ht="17.25" customHeight="1"/>
    <row r="38791" customFormat="1" ht="17.25" customHeight="1"/>
    <row r="38792" customFormat="1" ht="17.25" customHeight="1"/>
    <row r="38793" customFormat="1" ht="17.25" customHeight="1"/>
    <row r="38794" customFormat="1" ht="17.25" customHeight="1"/>
    <row r="38795" customFormat="1" ht="17.25" customHeight="1"/>
    <row r="38796" customFormat="1" ht="17.25" customHeight="1"/>
    <row r="38797" customFormat="1" ht="17.25" customHeight="1"/>
    <row r="38798" customFormat="1" ht="17.25" customHeight="1"/>
    <row r="38799" customFormat="1" ht="17.25" customHeight="1"/>
    <row r="38800" customFormat="1" ht="17.25" customHeight="1"/>
    <row r="38801" customFormat="1" ht="17.25" customHeight="1"/>
    <row r="38802" customFormat="1" ht="17.25" customHeight="1"/>
    <row r="38803" customFormat="1" ht="17.25" customHeight="1"/>
    <row r="38804" customFormat="1" ht="17.25" customHeight="1"/>
    <row r="38805" customFormat="1" ht="17.25" customHeight="1"/>
    <row r="38806" customFormat="1" ht="17.25" customHeight="1"/>
    <row r="38807" customFormat="1" ht="17.25" customHeight="1"/>
    <row r="38808" customFormat="1" ht="17.25" customHeight="1"/>
    <row r="38809" customFormat="1" ht="17.25" customHeight="1"/>
    <row r="38810" customFormat="1" ht="17.25" customHeight="1"/>
    <row r="38811" customFormat="1" ht="17.25" customHeight="1"/>
    <row r="38812" customFormat="1" ht="17.25" customHeight="1"/>
    <row r="38813" customFormat="1" ht="17.25" customHeight="1"/>
    <row r="38814" customFormat="1" ht="17.25" customHeight="1"/>
    <row r="38815" customFormat="1" ht="17.25" customHeight="1"/>
    <row r="38816" customFormat="1" ht="17.25" customHeight="1"/>
    <row r="38817" customFormat="1" ht="17.25" customHeight="1"/>
    <row r="38818" customFormat="1" ht="17.25" customHeight="1"/>
    <row r="38819" customFormat="1" ht="17.25" customHeight="1"/>
    <row r="38820" customFormat="1" ht="17.25" customHeight="1"/>
    <row r="38821" customFormat="1" ht="17.25" customHeight="1"/>
    <row r="38822" customFormat="1" ht="17.25" customHeight="1"/>
    <row r="38823" customFormat="1" ht="17.25" customHeight="1"/>
    <row r="38824" customFormat="1" ht="17.25" customHeight="1"/>
    <row r="38825" customFormat="1" ht="17.25" customHeight="1"/>
    <row r="38826" customFormat="1" ht="17.25" customHeight="1"/>
    <row r="38827" customFormat="1" ht="17.25" customHeight="1"/>
    <row r="38828" customFormat="1" ht="17.25" customHeight="1"/>
    <row r="38829" customFormat="1" ht="17.25" customHeight="1"/>
    <row r="38830" customFormat="1" ht="17.25" customHeight="1"/>
    <row r="38831" customFormat="1" ht="17.25" customHeight="1"/>
    <row r="38832" customFormat="1" ht="17.25" customHeight="1"/>
    <row r="38833" customFormat="1" ht="17.25" customHeight="1"/>
    <row r="38834" customFormat="1" ht="17.25" customHeight="1"/>
    <row r="38835" customFormat="1" ht="17.25" customHeight="1"/>
    <row r="38836" customFormat="1" ht="17.25" customHeight="1"/>
    <row r="38837" customFormat="1" ht="17.25" customHeight="1"/>
    <row r="38838" customFormat="1" ht="17.25" customHeight="1"/>
    <row r="38839" customFormat="1" ht="17.25" customHeight="1"/>
    <row r="38840" customFormat="1" ht="17.25" customHeight="1"/>
    <row r="38841" customFormat="1" ht="17.25" customHeight="1"/>
    <row r="38842" customFormat="1" ht="17.25" customHeight="1"/>
    <row r="38843" customFormat="1" ht="17.25" customHeight="1"/>
    <row r="38844" customFormat="1" ht="17.25" customHeight="1"/>
    <row r="38845" customFormat="1" ht="17.25" customHeight="1"/>
    <row r="38846" customFormat="1" ht="17.25" customHeight="1"/>
    <row r="38847" customFormat="1" ht="17.25" customHeight="1"/>
    <row r="38848" customFormat="1" ht="17.25" customHeight="1"/>
    <row r="38849" customFormat="1" ht="17.25" customHeight="1"/>
    <row r="38850" customFormat="1" ht="17.25" customHeight="1"/>
    <row r="38851" customFormat="1" ht="17.25" customHeight="1"/>
    <row r="38852" customFormat="1" ht="17.25" customHeight="1"/>
    <row r="38853" customFormat="1" ht="17.25" customHeight="1"/>
    <row r="38854" customFormat="1" ht="17.25" customHeight="1"/>
    <row r="38855" customFormat="1" ht="17.25" customHeight="1"/>
    <row r="38856" customFormat="1" ht="17.25" customHeight="1"/>
    <row r="38857" customFormat="1" ht="17.25" customHeight="1"/>
    <row r="38858" customFormat="1" ht="17.25" customHeight="1"/>
    <row r="38859" customFormat="1" ht="17.25" customHeight="1"/>
    <row r="38860" customFormat="1" ht="17.25" customHeight="1"/>
    <row r="38861" customFormat="1" ht="17.25" customHeight="1"/>
    <row r="38862" customFormat="1" ht="17.25" customHeight="1"/>
    <row r="38863" customFormat="1" ht="17.25" customHeight="1"/>
    <row r="38864" customFormat="1" ht="17.25" customHeight="1"/>
    <row r="38865" customFormat="1" ht="17.25" customHeight="1"/>
    <row r="38866" customFormat="1" ht="17.25" customHeight="1"/>
    <row r="38867" customFormat="1" ht="17.25" customHeight="1"/>
    <row r="38868" customFormat="1" ht="17.25" customHeight="1"/>
    <row r="38869" customFormat="1" ht="17.25" customHeight="1"/>
    <row r="38870" customFormat="1" ht="17.25" customHeight="1"/>
    <row r="38871" customFormat="1" ht="17.25" customHeight="1"/>
    <row r="38872" customFormat="1" ht="17.25" customHeight="1"/>
    <row r="38873" customFormat="1" ht="17.25" customHeight="1"/>
    <row r="38874" customFormat="1" ht="17.25" customHeight="1"/>
    <row r="38875" customFormat="1" ht="17.25" customHeight="1"/>
    <row r="38876" customFormat="1" ht="17.25" customHeight="1"/>
    <row r="38877" customFormat="1" ht="17.25" customHeight="1"/>
    <row r="38878" customFormat="1" ht="17.25" customHeight="1"/>
    <row r="38879" customFormat="1" ht="17.25" customHeight="1"/>
    <row r="38880" customFormat="1" ht="17.25" customHeight="1"/>
    <row r="38881" customFormat="1" ht="17.25" customHeight="1"/>
    <row r="38882" customFormat="1" ht="17.25" customHeight="1"/>
    <row r="38883" customFormat="1" ht="17.25" customHeight="1"/>
    <row r="38884" customFormat="1" ht="17.25" customHeight="1"/>
    <row r="38885" customFormat="1" ht="17.25" customHeight="1"/>
    <row r="38886" customFormat="1" ht="17.25" customHeight="1"/>
    <row r="38887" customFormat="1" ht="17.25" customHeight="1"/>
    <row r="38888" customFormat="1" ht="17.25" customHeight="1"/>
    <row r="38889" customFormat="1" ht="17.25" customHeight="1"/>
    <row r="38890" customFormat="1" ht="17.25" customHeight="1"/>
    <row r="38891" customFormat="1" ht="17.25" customHeight="1"/>
    <row r="38892" customFormat="1" ht="17.25" customHeight="1"/>
    <row r="38893" customFormat="1" ht="17.25" customHeight="1"/>
    <row r="38894" customFormat="1" ht="17.25" customHeight="1"/>
    <row r="38895" customFormat="1" ht="17.25" customHeight="1"/>
    <row r="38896" customFormat="1" ht="17.25" customHeight="1"/>
    <row r="38897" customFormat="1" ht="17.25" customHeight="1"/>
    <row r="38898" customFormat="1" ht="17.25" customHeight="1"/>
    <row r="38899" customFormat="1" ht="17.25" customHeight="1"/>
    <row r="38900" customFormat="1" ht="17.25" customHeight="1"/>
    <row r="38901" customFormat="1" ht="17.25" customHeight="1"/>
    <row r="38902" customFormat="1" ht="17.25" customHeight="1"/>
    <row r="38903" customFormat="1" ht="17.25" customHeight="1"/>
    <row r="38904" customFormat="1" ht="17.25" customHeight="1"/>
    <row r="38905" customFormat="1" ht="17.25" customHeight="1"/>
    <row r="38906" customFormat="1" ht="17.25" customHeight="1"/>
    <row r="38907" customFormat="1" ht="17.25" customHeight="1"/>
    <row r="38908" customFormat="1" ht="17.25" customHeight="1"/>
    <row r="38909" customFormat="1" ht="17.25" customHeight="1"/>
    <row r="38910" customFormat="1" ht="17.25" customHeight="1"/>
    <row r="38911" customFormat="1" ht="17.25" customHeight="1"/>
    <row r="38912" customFormat="1" ht="17.25" customHeight="1"/>
    <row r="38913" customFormat="1" ht="17.25" customHeight="1"/>
    <row r="38914" customFormat="1" ht="17.25" customHeight="1"/>
    <row r="38915" customFormat="1" ht="17.25" customHeight="1"/>
    <row r="38916" customFormat="1" ht="17.25" customHeight="1"/>
    <row r="38917" customFormat="1" ht="17.25" customHeight="1"/>
    <row r="38918" customFormat="1" ht="17.25" customHeight="1"/>
    <row r="38919" customFormat="1" ht="17.25" customHeight="1"/>
    <row r="38920" customFormat="1" ht="17.25" customHeight="1"/>
    <row r="38921" customFormat="1" ht="17.25" customHeight="1"/>
    <row r="38922" customFormat="1" ht="17.25" customHeight="1"/>
    <row r="38923" customFormat="1" ht="17.25" customHeight="1"/>
    <row r="38924" customFormat="1" ht="17.25" customHeight="1"/>
    <row r="38925" customFormat="1" ht="17.25" customHeight="1"/>
    <row r="38926" customFormat="1" ht="17.25" customHeight="1"/>
    <row r="38927" customFormat="1" ht="17.25" customHeight="1"/>
    <row r="38928" customFormat="1" ht="17.25" customHeight="1"/>
    <row r="38929" customFormat="1" ht="17.25" customHeight="1"/>
    <row r="38930" customFormat="1" ht="17.25" customHeight="1"/>
    <row r="38931" customFormat="1" ht="17.25" customHeight="1"/>
    <row r="38932" customFormat="1" ht="17.25" customHeight="1"/>
    <row r="38933" customFormat="1" ht="17.25" customHeight="1"/>
    <row r="38934" customFormat="1" ht="17.25" customHeight="1"/>
    <row r="38935" customFormat="1" ht="17.25" customHeight="1"/>
    <row r="38936" customFormat="1" ht="17.25" customHeight="1"/>
    <row r="38937" customFormat="1" ht="17.25" customHeight="1"/>
    <row r="38938" customFormat="1" ht="17.25" customHeight="1"/>
    <row r="38939" customFormat="1" ht="17.25" customHeight="1"/>
    <row r="38940" customFormat="1" ht="17.25" customHeight="1"/>
    <row r="38941" customFormat="1" ht="17.25" customHeight="1"/>
    <row r="38942" customFormat="1" ht="17.25" customHeight="1"/>
    <row r="38943" customFormat="1" ht="17.25" customHeight="1"/>
    <row r="38944" customFormat="1" ht="17.25" customHeight="1"/>
    <row r="38945" customFormat="1" ht="17.25" customHeight="1"/>
    <row r="38946" customFormat="1" ht="17.25" customHeight="1"/>
    <row r="38947" customFormat="1" ht="17.25" customHeight="1"/>
    <row r="38948" customFormat="1" ht="17.25" customHeight="1"/>
    <row r="38949" customFormat="1" ht="17.25" customHeight="1"/>
    <row r="38950" customFormat="1" ht="17.25" customHeight="1"/>
    <row r="38951" customFormat="1" ht="17.25" customHeight="1"/>
    <row r="38952" customFormat="1" ht="17.25" customHeight="1"/>
    <row r="38953" customFormat="1" ht="17.25" customHeight="1"/>
    <row r="38954" customFormat="1" ht="17.25" customHeight="1"/>
    <row r="38955" customFormat="1" ht="17.25" customHeight="1"/>
    <row r="38956" customFormat="1" ht="17.25" customHeight="1"/>
    <row r="38957" customFormat="1" ht="17.25" customHeight="1"/>
    <row r="38958" customFormat="1" ht="17.25" customHeight="1"/>
    <row r="38959" customFormat="1" ht="17.25" customHeight="1"/>
    <row r="38960" customFormat="1" ht="17.25" customHeight="1"/>
    <row r="38961" customFormat="1" ht="17.25" customHeight="1"/>
    <row r="38962" customFormat="1" ht="17.25" customHeight="1"/>
    <row r="38963" customFormat="1" ht="17.25" customHeight="1"/>
    <row r="38964" customFormat="1" ht="17.25" customHeight="1"/>
    <row r="38965" customFormat="1" ht="17.25" customHeight="1"/>
    <row r="38966" customFormat="1" ht="17.25" customHeight="1"/>
    <row r="38967" customFormat="1" ht="17.25" customHeight="1"/>
    <row r="38968" customFormat="1" ht="17.25" customHeight="1"/>
    <row r="38969" customFormat="1" ht="17.25" customHeight="1"/>
    <row r="38970" customFormat="1" ht="17.25" customHeight="1"/>
    <row r="38971" customFormat="1" ht="17.25" customHeight="1"/>
    <row r="38972" customFormat="1" ht="17.25" customHeight="1"/>
    <row r="38973" customFormat="1" ht="17.25" customHeight="1"/>
    <row r="38974" customFormat="1" ht="17.25" customHeight="1"/>
    <row r="38975" customFormat="1" ht="17.25" customHeight="1"/>
    <row r="38976" customFormat="1" ht="17.25" customHeight="1"/>
    <row r="38977" customFormat="1" ht="17.25" customHeight="1"/>
    <row r="38978" customFormat="1" ht="17.25" customHeight="1"/>
    <row r="38979" customFormat="1" ht="17.25" customHeight="1"/>
    <row r="38980" customFormat="1" ht="17.25" customHeight="1"/>
    <row r="38981" customFormat="1" ht="17.25" customHeight="1"/>
    <row r="38982" customFormat="1" ht="17.25" customHeight="1"/>
    <row r="38983" customFormat="1" ht="17.25" customHeight="1"/>
    <row r="38984" customFormat="1" ht="17.25" customHeight="1"/>
    <row r="38985" customFormat="1" ht="17.25" customHeight="1"/>
    <row r="38986" customFormat="1" ht="17.25" customHeight="1"/>
    <row r="38987" customFormat="1" ht="17.25" customHeight="1"/>
    <row r="38988" customFormat="1" ht="17.25" customHeight="1"/>
    <row r="38989" customFormat="1" ht="17.25" customHeight="1"/>
    <row r="38990" customFormat="1" ht="17.25" customHeight="1"/>
    <row r="38991" customFormat="1" ht="17.25" customHeight="1"/>
    <row r="38992" customFormat="1" ht="17.25" customHeight="1"/>
    <row r="38993" customFormat="1" ht="17.25" customHeight="1"/>
    <row r="38994" customFormat="1" ht="17.25" customHeight="1"/>
    <row r="38995" customFormat="1" ht="17.25" customHeight="1"/>
    <row r="38996" customFormat="1" ht="17.25" customHeight="1"/>
    <row r="38997" customFormat="1" ht="17.25" customHeight="1"/>
    <row r="38998" customFormat="1" ht="17.25" customHeight="1"/>
    <row r="38999" customFormat="1" ht="17.25" customHeight="1"/>
    <row r="39000" customFormat="1" ht="17.25" customHeight="1"/>
    <row r="39001" customFormat="1" ht="17.25" customHeight="1"/>
    <row r="39002" customFormat="1" ht="17.25" customHeight="1"/>
    <row r="39003" customFormat="1" ht="17.25" customHeight="1"/>
    <row r="39004" customFormat="1" ht="17.25" customHeight="1"/>
    <row r="39005" customFormat="1" ht="17.25" customHeight="1"/>
    <row r="39006" customFormat="1" ht="17.25" customHeight="1"/>
    <row r="39007" customFormat="1" ht="17.25" customHeight="1"/>
    <row r="39008" customFormat="1" ht="17.25" customHeight="1"/>
    <row r="39009" customFormat="1" ht="17.25" customHeight="1"/>
    <row r="39010" customFormat="1" ht="17.25" customHeight="1"/>
    <row r="39011" customFormat="1" ht="17.25" customHeight="1"/>
    <row r="39012" customFormat="1" ht="17.25" customHeight="1"/>
    <row r="39013" customFormat="1" ht="17.25" customHeight="1"/>
    <row r="39014" customFormat="1" ht="17.25" customHeight="1"/>
    <row r="39015" customFormat="1" ht="17.25" customHeight="1"/>
    <row r="39016" customFormat="1" ht="17.25" customHeight="1"/>
    <row r="39017" customFormat="1" ht="17.25" customHeight="1"/>
    <row r="39018" customFormat="1" ht="17.25" customHeight="1"/>
    <row r="39019" customFormat="1" ht="17.25" customHeight="1"/>
    <row r="39020" customFormat="1" ht="17.25" customHeight="1"/>
    <row r="39021" customFormat="1" ht="17.25" customHeight="1"/>
    <row r="39022" customFormat="1" ht="17.25" customHeight="1"/>
    <row r="39023" customFormat="1" ht="17.25" customHeight="1"/>
    <row r="39024" customFormat="1" ht="17.25" customHeight="1"/>
    <row r="39025" customFormat="1" ht="17.25" customHeight="1"/>
    <row r="39026" customFormat="1" ht="17.25" customHeight="1"/>
    <row r="39027" customFormat="1" ht="17.25" customHeight="1"/>
    <row r="39028" customFormat="1" ht="17.25" customHeight="1"/>
    <row r="39029" customFormat="1" ht="17.25" customHeight="1"/>
    <row r="39030" customFormat="1" ht="17.25" customHeight="1"/>
    <row r="39031" customFormat="1" ht="17.25" customHeight="1"/>
    <row r="39032" customFormat="1" ht="17.25" customHeight="1"/>
    <row r="39033" customFormat="1" ht="17.25" customHeight="1"/>
    <row r="39034" customFormat="1" ht="17.25" customHeight="1"/>
    <row r="39035" customFormat="1" ht="17.25" customHeight="1"/>
    <row r="39036" customFormat="1" ht="17.25" customHeight="1"/>
    <row r="39037" customFormat="1" ht="17.25" customHeight="1"/>
    <row r="39038" customFormat="1" ht="17.25" customHeight="1"/>
    <row r="39039" customFormat="1" ht="17.25" customHeight="1"/>
    <row r="39040" customFormat="1" ht="17.25" customHeight="1"/>
    <row r="39041" customFormat="1" ht="17.25" customHeight="1"/>
    <row r="39042" customFormat="1" ht="17.25" customHeight="1"/>
    <row r="39043" customFormat="1" ht="17.25" customHeight="1"/>
    <row r="39044" customFormat="1" ht="17.25" customHeight="1"/>
    <row r="39045" customFormat="1" ht="17.25" customHeight="1"/>
    <row r="39046" customFormat="1" ht="17.25" customHeight="1"/>
    <row r="39047" customFormat="1" ht="17.25" customHeight="1"/>
    <row r="39048" customFormat="1" ht="17.25" customHeight="1"/>
    <row r="39049" customFormat="1" ht="17.25" customHeight="1"/>
    <row r="39050" customFormat="1" ht="17.25" customHeight="1"/>
    <row r="39051" customFormat="1" ht="17.25" customHeight="1"/>
    <row r="39052" customFormat="1" ht="17.25" customHeight="1"/>
    <row r="39053" customFormat="1" ht="17.25" customHeight="1"/>
    <row r="39054" customFormat="1" ht="17.25" customHeight="1"/>
    <row r="39055" customFormat="1" ht="17.25" customHeight="1"/>
    <row r="39056" customFormat="1" ht="17.25" customHeight="1"/>
    <row r="39057" customFormat="1" ht="17.25" customHeight="1"/>
    <row r="39058" customFormat="1" ht="17.25" customHeight="1"/>
    <row r="39059" customFormat="1" ht="17.25" customHeight="1"/>
    <row r="39060" customFormat="1" ht="17.25" customHeight="1"/>
    <row r="39061" customFormat="1" ht="17.25" customHeight="1"/>
    <row r="39062" customFormat="1" ht="17.25" customHeight="1"/>
    <row r="39063" customFormat="1" ht="17.25" customHeight="1"/>
    <row r="39064" customFormat="1" ht="17.25" customHeight="1"/>
    <row r="39065" customFormat="1" ht="17.25" customHeight="1"/>
    <row r="39066" customFormat="1" ht="17.25" customHeight="1"/>
    <row r="39067" customFormat="1" ht="17.25" customHeight="1"/>
    <row r="39068" customFormat="1" ht="17.25" customHeight="1"/>
    <row r="39069" customFormat="1" ht="17.25" customHeight="1"/>
    <row r="39070" customFormat="1" ht="17.25" customHeight="1"/>
    <row r="39071" customFormat="1" ht="17.25" customHeight="1"/>
    <row r="39072" customFormat="1" ht="17.25" customHeight="1"/>
    <row r="39073" customFormat="1" ht="17.25" customHeight="1"/>
    <row r="39074" customFormat="1" ht="17.25" customHeight="1"/>
    <row r="39075" customFormat="1" ht="17.25" customHeight="1"/>
    <row r="39076" customFormat="1" ht="17.25" customHeight="1"/>
    <row r="39077" customFormat="1" ht="17.25" customHeight="1"/>
    <row r="39078" customFormat="1" ht="17.25" customHeight="1"/>
    <row r="39079" customFormat="1" ht="17.25" customHeight="1"/>
    <row r="39080" customFormat="1" ht="17.25" customHeight="1"/>
    <row r="39081" customFormat="1" ht="17.25" customHeight="1"/>
    <row r="39082" customFormat="1" ht="17.25" customHeight="1"/>
    <row r="39083" customFormat="1" ht="17.25" customHeight="1"/>
    <row r="39084" customFormat="1" ht="17.25" customHeight="1"/>
    <row r="39085" customFormat="1" ht="17.25" customHeight="1"/>
    <row r="39086" customFormat="1" ht="17.25" customHeight="1"/>
    <row r="39087" customFormat="1" ht="17.25" customHeight="1"/>
    <row r="39088" customFormat="1" ht="17.25" customHeight="1"/>
    <row r="39089" customFormat="1" ht="17.25" customHeight="1"/>
    <row r="39090" customFormat="1" ht="17.25" customHeight="1"/>
    <row r="39091" customFormat="1" ht="17.25" customHeight="1"/>
    <row r="39092" customFormat="1" ht="17.25" customHeight="1"/>
    <row r="39093" customFormat="1" ht="17.25" customHeight="1"/>
    <row r="39094" customFormat="1" ht="17.25" customHeight="1"/>
    <row r="39095" customFormat="1" ht="17.25" customHeight="1"/>
    <row r="39096" customFormat="1" ht="17.25" customHeight="1"/>
    <row r="39097" customFormat="1" ht="17.25" customHeight="1"/>
    <row r="39098" customFormat="1" ht="17.25" customHeight="1"/>
    <row r="39099" customFormat="1" ht="17.25" customHeight="1"/>
    <row r="39100" customFormat="1" ht="17.25" customHeight="1"/>
    <row r="39101" customFormat="1" ht="17.25" customHeight="1"/>
    <row r="39102" customFormat="1" ht="17.25" customHeight="1"/>
    <row r="39103" customFormat="1" ht="17.25" customHeight="1"/>
    <row r="39104" customFormat="1" ht="17.25" customHeight="1"/>
    <row r="39105" customFormat="1" ht="17.25" customHeight="1"/>
    <row r="39106" customFormat="1" ht="17.25" customHeight="1"/>
    <row r="39107" customFormat="1" ht="17.25" customHeight="1"/>
    <row r="39108" customFormat="1" ht="17.25" customHeight="1"/>
    <row r="39109" customFormat="1" ht="17.25" customHeight="1"/>
    <row r="39110" customFormat="1" ht="17.25" customHeight="1"/>
    <row r="39111" customFormat="1" ht="17.25" customHeight="1"/>
    <row r="39112" customFormat="1" ht="17.25" customHeight="1"/>
    <row r="39113" customFormat="1" ht="17.25" customHeight="1"/>
    <row r="39114" customFormat="1" ht="17.25" customHeight="1"/>
    <row r="39115" customFormat="1" ht="17.25" customHeight="1"/>
    <row r="39116" customFormat="1" ht="17.25" customHeight="1"/>
    <row r="39117" customFormat="1" ht="17.25" customHeight="1"/>
    <row r="39118" customFormat="1" ht="17.25" customHeight="1"/>
    <row r="39119" customFormat="1" ht="17.25" customHeight="1"/>
    <row r="39120" customFormat="1" ht="17.25" customHeight="1"/>
    <row r="39121" customFormat="1" ht="17.25" customHeight="1"/>
    <row r="39122" customFormat="1" ht="17.25" customHeight="1"/>
    <row r="39123" customFormat="1" ht="17.25" customHeight="1"/>
    <row r="39124" customFormat="1" ht="17.25" customHeight="1"/>
    <row r="39125" customFormat="1" ht="17.25" customHeight="1"/>
    <row r="39126" customFormat="1" ht="17.25" customHeight="1"/>
    <row r="39127" customFormat="1" ht="17.25" customHeight="1"/>
    <row r="39128" customFormat="1" ht="17.25" customHeight="1"/>
    <row r="39129" customFormat="1" ht="17.25" customHeight="1"/>
    <row r="39130" customFormat="1" ht="17.25" customHeight="1"/>
    <row r="39131" customFormat="1" ht="17.25" customHeight="1"/>
    <row r="39132" customFormat="1" ht="17.25" customHeight="1"/>
    <row r="39133" customFormat="1" ht="17.25" customHeight="1"/>
    <row r="39134" customFormat="1" ht="17.25" customHeight="1"/>
    <row r="39135" customFormat="1" ht="17.25" customHeight="1"/>
    <row r="39136" customFormat="1" ht="17.25" customHeight="1"/>
    <row r="39137" customFormat="1" ht="17.25" customHeight="1"/>
    <row r="39138" customFormat="1" ht="17.25" customHeight="1"/>
    <row r="39139" customFormat="1" ht="17.25" customHeight="1"/>
    <row r="39140" customFormat="1" ht="17.25" customHeight="1"/>
    <row r="39141" customFormat="1" ht="17.25" customHeight="1"/>
    <row r="39142" customFormat="1" ht="17.25" customHeight="1"/>
    <row r="39143" customFormat="1" ht="17.25" customHeight="1"/>
    <row r="39144" customFormat="1" ht="17.25" customHeight="1"/>
    <row r="39145" customFormat="1" ht="17.25" customHeight="1"/>
    <row r="39146" customFormat="1" ht="17.25" customHeight="1"/>
    <row r="39147" customFormat="1" ht="17.25" customHeight="1"/>
    <row r="39148" customFormat="1" ht="17.25" customHeight="1"/>
    <row r="39149" customFormat="1" ht="17.25" customHeight="1"/>
    <row r="39150" customFormat="1" ht="17.25" customHeight="1"/>
    <row r="39151" customFormat="1" ht="17.25" customHeight="1"/>
    <row r="39152" customFormat="1" ht="17.25" customHeight="1"/>
    <row r="39153" customFormat="1" ht="17.25" customHeight="1"/>
    <row r="39154" customFormat="1" ht="17.25" customHeight="1"/>
    <row r="39155" customFormat="1" ht="17.25" customHeight="1"/>
    <row r="39156" customFormat="1" ht="17.25" customHeight="1"/>
    <row r="39157" customFormat="1" ht="17.25" customHeight="1"/>
    <row r="39158" customFormat="1" ht="17.25" customHeight="1"/>
    <row r="39159" customFormat="1" ht="17.25" customHeight="1"/>
    <row r="39160" customFormat="1" ht="17.25" customHeight="1"/>
    <row r="39161" customFormat="1" ht="17.25" customHeight="1"/>
    <row r="39162" customFormat="1" ht="17.25" customHeight="1"/>
    <row r="39163" customFormat="1" ht="17.25" customHeight="1"/>
    <row r="39164" customFormat="1" ht="17.25" customHeight="1"/>
    <row r="39165" customFormat="1" ht="17.25" customHeight="1"/>
    <row r="39166" customFormat="1" ht="17.25" customHeight="1"/>
    <row r="39167" customFormat="1" ht="17.25" customHeight="1"/>
    <row r="39168" customFormat="1" ht="17.25" customHeight="1"/>
    <row r="39169" customFormat="1" ht="17.25" customHeight="1"/>
    <row r="39170" customFormat="1" ht="17.25" customHeight="1"/>
    <row r="39171" customFormat="1" ht="17.25" customHeight="1"/>
    <row r="39172" customFormat="1" ht="17.25" customHeight="1"/>
    <row r="39173" customFormat="1" ht="17.25" customHeight="1"/>
    <row r="39174" customFormat="1" ht="17.25" customHeight="1"/>
    <row r="39175" customFormat="1" ht="17.25" customHeight="1"/>
    <row r="39176" customFormat="1" ht="17.25" customHeight="1"/>
    <row r="39177" customFormat="1" ht="17.25" customHeight="1"/>
    <row r="39178" customFormat="1" ht="17.25" customHeight="1"/>
    <row r="39179" customFormat="1" ht="17.25" customHeight="1"/>
    <row r="39180" customFormat="1" ht="17.25" customHeight="1"/>
    <row r="39181" customFormat="1" ht="17.25" customHeight="1"/>
    <row r="39182" customFormat="1" ht="17.25" customHeight="1"/>
    <row r="39183" customFormat="1" ht="17.25" customHeight="1"/>
    <row r="39184" customFormat="1" ht="17.25" customHeight="1"/>
    <row r="39185" customFormat="1" ht="17.25" customHeight="1"/>
    <row r="39186" customFormat="1" ht="17.25" customHeight="1"/>
    <row r="39187" customFormat="1" ht="17.25" customHeight="1"/>
    <row r="39188" customFormat="1" ht="17.25" customHeight="1"/>
    <row r="39189" customFormat="1" ht="17.25" customHeight="1"/>
    <row r="39190" customFormat="1" ht="17.25" customHeight="1"/>
    <row r="39191" customFormat="1" ht="17.25" customHeight="1"/>
    <row r="39192" customFormat="1" ht="17.25" customHeight="1"/>
    <row r="39193" customFormat="1" ht="17.25" customHeight="1"/>
    <row r="39194" customFormat="1" ht="17.25" customHeight="1"/>
    <row r="39195" customFormat="1" ht="17.25" customHeight="1"/>
    <row r="39196" customFormat="1" ht="17.25" customHeight="1"/>
    <row r="39197" customFormat="1" ht="17.25" customHeight="1"/>
    <row r="39198" customFormat="1" ht="17.25" customHeight="1"/>
    <row r="39199" customFormat="1" ht="17.25" customHeight="1"/>
    <row r="39200" customFormat="1" ht="17.25" customHeight="1"/>
    <row r="39201" customFormat="1" ht="17.25" customHeight="1"/>
    <row r="39202" customFormat="1" ht="17.25" customHeight="1"/>
    <row r="39203" customFormat="1" ht="17.25" customHeight="1"/>
    <row r="39204" customFormat="1" ht="17.25" customHeight="1"/>
    <row r="39205" customFormat="1" ht="17.25" customHeight="1"/>
    <row r="39206" customFormat="1" ht="17.25" customHeight="1"/>
    <row r="39207" customFormat="1" ht="17.25" customHeight="1"/>
    <row r="39208" customFormat="1" ht="17.25" customHeight="1"/>
    <row r="39209" customFormat="1" ht="17.25" customHeight="1"/>
    <row r="39210" customFormat="1" ht="17.25" customHeight="1"/>
    <row r="39211" customFormat="1" ht="17.25" customHeight="1"/>
    <row r="39212" customFormat="1" ht="17.25" customHeight="1"/>
    <row r="39213" customFormat="1" ht="17.25" customHeight="1"/>
    <row r="39214" customFormat="1" ht="17.25" customHeight="1"/>
    <row r="39215" customFormat="1" ht="17.25" customHeight="1"/>
    <row r="39216" customFormat="1" ht="17.25" customHeight="1"/>
    <row r="39217" customFormat="1" ht="17.25" customHeight="1"/>
    <row r="39218" customFormat="1" ht="17.25" customHeight="1"/>
    <row r="39219" customFormat="1" ht="17.25" customHeight="1"/>
    <row r="39220" customFormat="1" ht="17.25" customHeight="1"/>
    <row r="39221" customFormat="1" ht="17.25" customHeight="1"/>
    <row r="39222" customFormat="1" ht="17.25" customHeight="1"/>
    <row r="39223" customFormat="1" ht="17.25" customHeight="1"/>
    <row r="39224" customFormat="1" ht="17.25" customHeight="1"/>
    <row r="39225" customFormat="1" ht="17.25" customHeight="1"/>
    <row r="39226" customFormat="1" ht="17.25" customHeight="1"/>
    <row r="39227" customFormat="1" ht="17.25" customHeight="1"/>
    <row r="39228" customFormat="1" ht="17.25" customHeight="1"/>
    <row r="39229" customFormat="1" ht="17.25" customHeight="1"/>
    <row r="39230" customFormat="1" ht="17.25" customHeight="1"/>
    <row r="39231" customFormat="1" ht="17.25" customHeight="1"/>
    <row r="39232" customFormat="1" ht="17.25" customHeight="1"/>
    <row r="39233" customFormat="1" ht="17.25" customHeight="1"/>
    <row r="39234" customFormat="1" ht="17.25" customHeight="1"/>
    <row r="39235" customFormat="1" ht="17.25" customHeight="1"/>
    <row r="39236" customFormat="1" ht="17.25" customHeight="1"/>
    <row r="39237" customFormat="1" ht="17.25" customHeight="1"/>
    <row r="39238" customFormat="1" ht="17.25" customHeight="1"/>
    <row r="39239" customFormat="1" ht="17.25" customHeight="1"/>
    <row r="39240" customFormat="1" ht="17.25" customHeight="1"/>
    <row r="39241" customFormat="1" ht="17.25" customHeight="1"/>
    <row r="39242" customFormat="1" ht="17.25" customHeight="1"/>
    <row r="39243" customFormat="1" ht="17.25" customHeight="1"/>
    <row r="39244" customFormat="1" ht="17.25" customHeight="1"/>
    <row r="39245" customFormat="1" ht="17.25" customHeight="1"/>
    <row r="39246" customFormat="1" ht="17.25" customHeight="1"/>
    <row r="39247" customFormat="1" ht="17.25" customHeight="1"/>
    <row r="39248" customFormat="1" ht="17.25" customHeight="1"/>
    <row r="39249" customFormat="1" ht="17.25" customHeight="1"/>
    <row r="39250" customFormat="1" ht="17.25" customHeight="1"/>
    <row r="39251" customFormat="1" ht="17.25" customHeight="1"/>
    <row r="39252" customFormat="1" ht="17.25" customHeight="1"/>
    <row r="39253" customFormat="1" ht="17.25" customHeight="1"/>
    <row r="39254" customFormat="1" ht="17.25" customHeight="1"/>
    <row r="39255" customFormat="1" ht="17.25" customHeight="1"/>
    <row r="39256" customFormat="1" ht="17.25" customHeight="1"/>
    <row r="39257" customFormat="1" ht="17.25" customHeight="1"/>
    <row r="39258" customFormat="1" ht="17.25" customHeight="1"/>
    <row r="39259" customFormat="1" ht="17.25" customHeight="1"/>
    <row r="39260" customFormat="1" ht="17.25" customHeight="1"/>
    <row r="39261" customFormat="1" ht="17.25" customHeight="1"/>
    <row r="39262" customFormat="1" ht="17.25" customHeight="1"/>
    <row r="39263" customFormat="1" ht="17.25" customHeight="1"/>
    <row r="39264" customFormat="1" ht="17.25" customHeight="1"/>
    <row r="39265" customFormat="1" ht="17.25" customHeight="1"/>
    <row r="39266" customFormat="1" ht="17.25" customHeight="1"/>
    <row r="39267" customFormat="1" ht="17.25" customHeight="1"/>
    <row r="39268" customFormat="1" ht="17.25" customHeight="1"/>
    <row r="39269" customFormat="1" ht="17.25" customHeight="1"/>
    <row r="39270" customFormat="1" ht="17.25" customHeight="1"/>
    <row r="39271" customFormat="1" ht="17.25" customHeight="1"/>
    <row r="39272" customFormat="1" ht="17.25" customHeight="1"/>
    <row r="39273" customFormat="1" ht="17.25" customHeight="1"/>
    <row r="39274" customFormat="1" ht="17.25" customHeight="1"/>
    <row r="39275" customFormat="1" ht="17.25" customHeight="1"/>
    <row r="39276" customFormat="1" ht="17.25" customHeight="1"/>
    <row r="39277" customFormat="1" ht="17.25" customHeight="1"/>
    <row r="39278" customFormat="1" ht="17.25" customHeight="1"/>
    <row r="39279" customFormat="1" ht="17.25" customHeight="1"/>
    <row r="39280" customFormat="1" ht="17.25" customHeight="1"/>
    <row r="39281" customFormat="1" ht="17.25" customHeight="1"/>
    <row r="39282" customFormat="1" ht="17.25" customHeight="1"/>
    <row r="39283" customFormat="1" ht="17.25" customHeight="1"/>
    <row r="39284" customFormat="1" ht="17.25" customHeight="1"/>
    <row r="39285" customFormat="1" ht="17.25" customHeight="1"/>
    <row r="39286" customFormat="1" ht="17.25" customHeight="1"/>
    <row r="39287" customFormat="1" ht="17.25" customHeight="1"/>
    <row r="39288" customFormat="1" ht="17.25" customHeight="1"/>
    <row r="39289" customFormat="1" ht="17.25" customHeight="1"/>
    <row r="39290" customFormat="1" ht="17.25" customHeight="1"/>
    <row r="39291" customFormat="1" ht="17.25" customHeight="1"/>
    <row r="39292" customFormat="1" ht="17.25" customHeight="1"/>
    <row r="39293" customFormat="1" ht="17.25" customHeight="1"/>
    <row r="39294" customFormat="1" ht="17.25" customHeight="1"/>
    <row r="39295" customFormat="1" ht="17.25" customHeight="1"/>
    <row r="39296" customFormat="1" ht="17.25" customHeight="1"/>
    <row r="39297" customFormat="1" ht="17.25" customHeight="1"/>
    <row r="39298" customFormat="1" ht="17.25" customHeight="1"/>
    <row r="39299" customFormat="1" ht="17.25" customHeight="1"/>
    <row r="39300" customFormat="1" ht="17.25" customHeight="1"/>
    <row r="39301" customFormat="1" ht="17.25" customHeight="1"/>
    <row r="39302" customFormat="1" ht="17.25" customHeight="1"/>
    <row r="39303" customFormat="1" ht="17.25" customHeight="1"/>
    <row r="39304" customFormat="1" ht="17.25" customHeight="1"/>
    <row r="39305" customFormat="1" ht="17.25" customHeight="1"/>
    <row r="39306" customFormat="1" ht="17.25" customHeight="1"/>
    <row r="39307" customFormat="1" ht="17.25" customHeight="1"/>
    <row r="39308" customFormat="1" ht="17.25" customHeight="1"/>
    <row r="39309" customFormat="1" ht="17.25" customHeight="1"/>
    <row r="39310" customFormat="1" ht="17.25" customHeight="1"/>
    <row r="39311" customFormat="1" ht="17.25" customHeight="1"/>
    <row r="39312" customFormat="1" ht="17.25" customHeight="1"/>
    <row r="39313" customFormat="1" ht="17.25" customHeight="1"/>
    <row r="39314" customFormat="1" ht="17.25" customHeight="1"/>
    <row r="39315" customFormat="1" ht="17.25" customHeight="1"/>
    <row r="39316" customFormat="1" ht="17.25" customHeight="1"/>
    <row r="39317" customFormat="1" ht="17.25" customHeight="1"/>
    <row r="39318" customFormat="1" ht="17.25" customHeight="1"/>
    <row r="39319" customFormat="1" ht="17.25" customHeight="1"/>
    <row r="39320" customFormat="1" ht="17.25" customHeight="1"/>
    <row r="39321" customFormat="1" ht="17.25" customHeight="1"/>
    <row r="39322" customFormat="1" ht="17.25" customHeight="1"/>
    <row r="39323" customFormat="1" ht="17.25" customHeight="1"/>
    <row r="39324" customFormat="1" ht="17.25" customHeight="1"/>
    <row r="39325" customFormat="1" ht="17.25" customHeight="1"/>
    <row r="39326" customFormat="1" ht="17.25" customHeight="1"/>
    <row r="39327" customFormat="1" ht="17.25" customHeight="1"/>
    <row r="39328" customFormat="1" ht="17.25" customHeight="1"/>
    <row r="39329" customFormat="1" ht="17.25" customHeight="1"/>
    <row r="39330" customFormat="1" ht="17.25" customHeight="1"/>
    <row r="39331" customFormat="1" ht="17.25" customHeight="1"/>
    <row r="39332" customFormat="1" ht="17.25" customHeight="1"/>
    <row r="39333" customFormat="1" ht="17.25" customHeight="1"/>
    <row r="39334" customFormat="1" ht="17.25" customHeight="1"/>
    <row r="39335" customFormat="1" ht="17.25" customHeight="1"/>
    <row r="39336" customFormat="1" ht="17.25" customHeight="1"/>
    <row r="39337" customFormat="1" ht="17.25" customHeight="1"/>
    <row r="39338" customFormat="1" ht="17.25" customHeight="1"/>
    <row r="39339" customFormat="1" ht="17.25" customHeight="1"/>
    <row r="39340" customFormat="1" ht="17.25" customHeight="1"/>
    <row r="39341" customFormat="1" ht="17.25" customHeight="1"/>
    <row r="39342" customFormat="1" ht="17.25" customHeight="1"/>
    <row r="39343" customFormat="1" ht="17.25" customHeight="1"/>
    <row r="39344" customFormat="1" ht="17.25" customHeight="1"/>
    <row r="39345" customFormat="1" ht="17.25" customHeight="1"/>
    <row r="39346" customFormat="1" ht="17.25" customHeight="1"/>
    <row r="39347" customFormat="1" ht="17.25" customHeight="1"/>
    <row r="39348" customFormat="1" ht="17.25" customHeight="1"/>
    <row r="39349" customFormat="1" ht="17.25" customHeight="1"/>
    <row r="39350" customFormat="1" ht="17.25" customHeight="1"/>
    <row r="39351" customFormat="1" ht="17.25" customHeight="1"/>
    <row r="39352" customFormat="1" ht="17.25" customHeight="1"/>
    <row r="39353" customFormat="1" ht="17.25" customHeight="1"/>
    <row r="39354" customFormat="1" ht="17.25" customHeight="1"/>
    <row r="39355" customFormat="1" ht="17.25" customHeight="1"/>
    <row r="39356" customFormat="1" ht="17.25" customHeight="1"/>
    <row r="39357" customFormat="1" ht="17.25" customHeight="1"/>
    <row r="39358" customFormat="1" ht="17.25" customHeight="1"/>
    <row r="39359" customFormat="1" ht="17.25" customHeight="1"/>
    <row r="39360" customFormat="1" ht="17.25" customHeight="1"/>
    <row r="39361" customFormat="1" ht="17.25" customHeight="1"/>
    <row r="39362" customFormat="1" ht="17.25" customHeight="1"/>
    <row r="39363" customFormat="1" ht="17.25" customHeight="1"/>
    <row r="39364" customFormat="1" ht="17.25" customHeight="1"/>
    <row r="39365" customFormat="1" ht="17.25" customHeight="1"/>
    <row r="39366" customFormat="1" ht="17.25" customHeight="1"/>
    <row r="39367" customFormat="1" ht="17.25" customHeight="1"/>
    <row r="39368" customFormat="1" ht="17.25" customHeight="1"/>
    <row r="39369" customFormat="1" ht="17.25" customHeight="1"/>
    <row r="39370" customFormat="1" ht="17.25" customHeight="1"/>
    <row r="39371" customFormat="1" ht="17.25" customHeight="1"/>
    <row r="39372" customFormat="1" ht="17.25" customHeight="1"/>
    <row r="39373" customFormat="1" ht="17.25" customHeight="1"/>
    <row r="39374" customFormat="1" ht="17.25" customHeight="1"/>
    <row r="39375" customFormat="1" ht="17.25" customHeight="1"/>
    <row r="39376" customFormat="1" ht="17.25" customHeight="1"/>
    <row r="39377" customFormat="1" ht="17.25" customHeight="1"/>
    <row r="39378" customFormat="1" ht="17.25" customHeight="1"/>
    <row r="39379" customFormat="1" ht="17.25" customHeight="1"/>
    <row r="39380" customFormat="1" ht="17.25" customHeight="1"/>
    <row r="39381" customFormat="1" ht="17.25" customHeight="1"/>
    <row r="39382" customFormat="1" ht="17.25" customHeight="1"/>
    <row r="39383" customFormat="1" ht="17.25" customHeight="1"/>
    <row r="39384" customFormat="1" ht="17.25" customHeight="1"/>
    <row r="39385" customFormat="1" ht="17.25" customHeight="1"/>
    <row r="39386" customFormat="1" ht="17.25" customHeight="1"/>
    <row r="39387" customFormat="1" ht="17.25" customHeight="1"/>
    <row r="39388" customFormat="1" ht="17.25" customHeight="1"/>
    <row r="39389" customFormat="1" ht="17.25" customHeight="1"/>
    <row r="39390" customFormat="1" ht="17.25" customHeight="1"/>
    <row r="39391" customFormat="1" ht="17.25" customHeight="1"/>
    <row r="39392" customFormat="1" ht="17.25" customHeight="1"/>
    <row r="39393" customFormat="1" ht="17.25" customHeight="1"/>
    <row r="39394" customFormat="1" ht="17.25" customHeight="1"/>
    <row r="39395" customFormat="1" ht="17.25" customHeight="1"/>
    <row r="39396" customFormat="1" ht="17.25" customHeight="1"/>
    <row r="39397" customFormat="1" ht="17.25" customHeight="1"/>
    <row r="39398" customFormat="1" ht="17.25" customHeight="1"/>
    <row r="39399" customFormat="1" ht="17.25" customHeight="1"/>
    <row r="39400" customFormat="1" ht="17.25" customHeight="1"/>
    <row r="39401" customFormat="1" ht="17.25" customHeight="1"/>
    <row r="39402" customFormat="1" ht="17.25" customHeight="1"/>
    <row r="39403" customFormat="1" ht="17.25" customHeight="1"/>
    <row r="39404" customFormat="1" ht="17.25" customHeight="1"/>
    <row r="39405" customFormat="1" ht="17.25" customHeight="1"/>
    <row r="39406" customFormat="1" ht="17.25" customHeight="1"/>
    <row r="39407" customFormat="1" ht="17.25" customHeight="1"/>
    <row r="39408" customFormat="1" ht="17.25" customHeight="1"/>
    <row r="39409" customFormat="1" ht="17.25" customHeight="1"/>
    <row r="39410" customFormat="1" ht="17.25" customHeight="1"/>
    <row r="39411" customFormat="1" ht="17.25" customHeight="1"/>
    <row r="39412" customFormat="1" ht="17.25" customHeight="1"/>
    <row r="39413" customFormat="1" ht="17.25" customHeight="1"/>
    <row r="39414" customFormat="1" ht="17.25" customHeight="1"/>
    <row r="39415" customFormat="1" ht="17.25" customHeight="1"/>
    <row r="39416" customFormat="1" ht="17.25" customHeight="1"/>
    <row r="39417" customFormat="1" ht="17.25" customHeight="1"/>
    <row r="39418" customFormat="1" ht="17.25" customHeight="1"/>
    <row r="39419" customFormat="1" ht="17.25" customHeight="1"/>
    <row r="39420" customFormat="1" ht="17.25" customHeight="1"/>
    <row r="39421" customFormat="1" ht="17.25" customHeight="1"/>
    <row r="39422" customFormat="1" ht="17.25" customHeight="1"/>
    <row r="39423" customFormat="1" ht="17.25" customHeight="1"/>
    <row r="39424" customFormat="1" ht="17.25" customHeight="1"/>
    <row r="39425" customFormat="1" ht="17.25" customHeight="1"/>
    <row r="39426" customFormat="1" ht="17.25" customHeight="1"/>
    <row r="39427" customFormat="1" ht="17.25" customHeight="1"/>
    <row r="39428" customFormat="1" ht="17.25" customHeight="1"/>
    <row r="39429" customFormat="1" ht="17.25" customHeight="1"/>
    <row r="39430" customFormat="1" ht="17.25" customHeight="1"/>
    <row r="39431" customFormat="1" ht="17.25" customHeight="1"/>
    <row r="39432" customFormat="1" ht="17.25" customHeight="1"/>
    <row r="39433" customFormat="1" ht="17.25" customHeight="1"/>
    <row r="39434" customFormat="1" ht="17.25" customHeight="1"/>
    <row r="39435" customFormat="1" ht="17.25" customHeight="1"/>
    <row r="39436" customFormat="1" ht="17.25" customHeight="1"/>
    <row r="39437" customFormat="1" ht="17.25" customHeight="1"/>
    <row r="39438" customFormat="1" ht="17.25" customHeight="1"/>
    <row r="39439" customFormat="1" ht="17.25" customHeight="1"/>
    <row r="39440" customFormat="1" ht="17.25" customHeight="1"/>
    <row r="39441" customFormat="1" ht="17.25" customHeight="1"/>
    <row r="39442" customFormat="1" ht="17.25" customHeight="1"/>
    <row r="39443" customFormat="1" ht="17.25" customHeight="1"/>
    <row r="39444" customFormat="1" ht="17.25" customHeight="1"/>
    <row r="39445" customFormat="1" ht="17.25" customHeight="1"/>
    <row r="39446" customFormat="1" ht="17.25" customHeight="1"/>
    <row r="39447" customFormat="1" ht="17.25" customHeight="1"/>
    <row r="39448" customFormat="1" ht="17.25" customHeight="1"/>
    <row r="39449" customFormat="1" ht="17.25" customHeight="1"/>
    <row r="39450" customFormat="1" ht="17.25" customHeight="1"/>
    <row r="39451" customFormat="1" ht="17.25" customHeight="1"/>
    <row r="39452" customFormat="1" ht="17.25" customHeight="1"/>
    <row r="39453" customFormat="1" ht="17.25" customHeight="1"/>
    <row r="39454" customFormat="1" ht="17.25" customHeight="1"/>
    <row r="39455" customFormat="1" ht="17.25" customHeight="1"/>
    <row r="39456" customFormat="1" ht="17.25" customHeight="1"/>
    <row r="39457" customFormat="1" ht="17.25" customHeight="1"/>
    <row r="39458" customFormat="1" ht="17.25" customHeight="1"/>
    <row r="39459" customFormat="1" ht="17.25" customHeight="1"/>
    <row r="39460" customFormat="1" ht="17.25" customHeight="1"/>
    <row r="39461" customFormat="1" ht="17.25" customHeight="1"/>
    <row r="39462" customFormat="1" ht="17.25" customHeight="1"/>
    <row r="39463" customFormat="1" ht="17.25" customHeight="1"/>
    <row r="39464" customFormat="1" ht="17.25" customHeight="1"/>
    <row r="39465" customFormat="1" ht="17.25" customHeight="1"/>
    <row r="39466" customFormat="1" ht="17.25" customHeight="1"/>
    <row r="39467" customFormat="1" ht="17.25" customHeight="1"/>
    <row r="39468" customFormat="1" ht="17.25" customHeight="1"/>
    <row r="39469" customFormat="1" ht="17.25" customHeight="1"/>
    <row r="39470" customFormat="1" ht="17.25" customHeight="1"/>
    <row r="39471" customFormat="1" ht="17.25" customHeight="1"/>
    <row r="39472" customFormat="1" ht="17.25" customHeight="1"/>
    <row r="39473" customFormat="1" ht="17.25" customHeight="1"/>
    <row r="39474" customFormat="1" ht="17.25" customHeight="1"/>
    <row r="39475" customFormat="1" ht="17.25" customHeight="1"/>
    <row r="39476" customFormat="1" ht="17.25" customHeight="1"/>
    <row r="39477" customFormat="1" ht="17.25" customHeight="1"/>
    <row r="39478" customFormat="1" ht="17.25" customHeight="1"/>
    <row r="39479" customFormat="1" ht="17.25" customHeight="1"/>
    <row r="39480" customFormat="1" ht="17.25" customHeight="1"/>
    <row r="39481" customFormat="1" ht="17.25" customHeight="1"/>
    <row r="39482" customFormat="1" ht="17.25" customHeight="1"/>
    <row r="39483" customFormat="1" ht="17.25" customHeight="1"/>
    <row r="39484" customFormat="1" ht="17.25" customHeight="1"/>
    <row r="39485" customFormat="1" ht="17.25" customHeight="1"/>
    <row r="39486" customFormat="1" ht="17.25" customHeight="1"/>
    <row r="39487" customFormat="1" ht="17.25" customHeight="1"/>
    <row r="39488" customFormat="1" ht="17.25" customHeight="1"/>
    <row r="39489" customFormat="1" ht="17.25" customHeight="1"/>
    <row r="39490" customFormat="1" ht="17.25" customHeight="1"/>
    <row r="39491" customFormat="1" ht="17.25" customHeight="1"/>
    <row r="39492" customFormat="1" ht="17.25" customHeight="1"/>
    <row r="39493" customFormat="1" ht="17.25" customHeight="1"/>
    <row r="39494" customFormat="1" ht="17.25" customHeight="1"/>
    <row r="39495" customFormat="1" ht="17.25" customHeight="1"/>
    <row r="39496" customFormat="1" ht="17.25" customHeight="1"/>
    <row r="39497" customFormat="1" ht="17.25" customHeight="1"/>
    <row r="39498" customFormat="1" ht="17.25" customHeight="1"/>
    <row r="39499" customFormat="1" ht="17.25" customHeight="1"/>
    <row r="39500" customFormat="1" ht="17.25" customHeight="1"/>
    <row r="39501" customFormat="1" ht="17.25" customHeight="1"/>
    <row r="39502" customFormat="1" ht="17.25" customHeight="1"/>
    <row r="39503" customFormat="1" ht="17.25" customHeight="1"/>
    <row r="39504" customFormat="1" ht="17.25" customHeight="1"/>
    <row r="39505" customFormat="1" ht="17.25" customHeight="1"/>
    <row r="39506" customFormat="1" ht="17.25" customHeight="1"/>
    <row r="39507" customFormat="1" ht="17.25" customHeight="1"/>
    <row r="39508" customFormat="1" ht="17.25" customHeight="1"/>
    <row r="39509" customFormat="1" ht="17.25" customHeight="1"/>
    <row r="39510" customFormat="1" ht="17.25" customHeight="1"/>
    <row r="39511" customFormat="1" ht="17.25" customHeight="1"/>
    <row r="39512" customFormat="1" ht="17.25" customHeight="1"/>
    <row r="39513" customFormat="1" ht="17.25" customHeight="1"/>
    <row r="39514" customFormat="1" ht="17.25" customHeight="1"/>
    <row r="39515" customFormat="1" ht="17.25" customHeight="1"/>
    <row r="39516" customFormat="1" ht="17.25" customHeight="1"/>
    <row r="39517" customFormat="1" ht="17.25" customHeight="1"/>
    <row r="39518" customFormat="1" ht="17.25" customHeight="1"/>
    <row r="39519" customFormat="1" ht="17.25" customHeight="1"/>
    <row r="39520" customFormat="1" ht="17.25" customHeight="1"/>
    <row r="39521" customFormat="1" ht="17.25" customHeight="1"/>
    <row r="39522" customFormat="1" ht="17.25" customHeight="1"/>
    <row r="39523" customFormat="1" ht="17.25" customHeight="1"/>
    <row r="39524" customFormat="1" ht="17.25" customHeight="1"/>
    <row r="39525" customFormat="1" ht="17.25" customHeight="1"/>
    <row r="39526" customFormat="1" ht="17.25" customHeight="1"/>
    <row r="39527" customFormat="1" ht="17.25" customHeight="1"/>
    <row r="39528" customFormat="1" ht="17.25" customHeight="1"/>
    <row r="39529" customFormat="1" ht="17.25" customHeight="1"/>
    <row r="39530" customFormat="1" ht="17.25" customHeight="1"/>
    <row r="39531" customFormat="1" ht="17.25" customHeight="1"/>
    <row r="39532" customFormat="1" ht="17.25" customHeight="1"/>
    <row r="39533" customFormat="1" ht="17.25" customHeight="1"/>
    <row r="39534" customFormat="1" ht="17.25" customHeight="1"/>
    <row r="39535" customFormat="1" ht="17.25" customHeight="1"/>
    <row r="39536" customFormat="1" ht="17.25" customHeight="1"/>
    <row r="39537" customFormat="1" ht="17.25" customHeight="1"/>
    <row r="39538" customFormat="1" ht="17.25" customHeight="1"/>
    <row r="39539" customFormat="1" ht="17.25" customHeight="1"/>
    <row r="39540" customFormat="1" ht="17.25" customHeight="1"/>
    <row r="39541" customFormat="1" ht="17.25" customHeight="1"/>
    <row r="39542" customFormat="1" ht="17.25" customHeight="1"/>
    <row r="39543" customFormat="1" ht="17.25" customHeight="1"/>
    <row r="39544" customFormat="1" ht="17.25" customHeight="1"/>
    <row r="39545" customFormat="1" ht="17.25" customHeight="1"/>
    <row r="39546" customFormat="1" ht="17.25" customHeight="1"/>
    <row r="39547" customFormat="1" ht="17.25" customHeight="1"/>
    <row r="39548" customFormat="1" ht="17.25" customHeight="1"/>
    <row r="39549" customFormat="1" ht="17.25" customHeight="1"/>
    <row r="39550" customFormat="1" ht="17.25" customHeight="1"/>
    <row r="39551" customFormat="1" ht="17.25" customHeight="1"/>
    <row r="39552" customFormat="1" ht="17.25" customHeight="1"/>
    <row r="39553" customFormat="1" ht="17.25" customHeight="1"/>
    <row r="39554" customFormat="1" ht="17.25" customHeight="1"/>
    <row r="39555" customFormat="1" ht="17.25" customHeight="1"/>
    <row r="39556" customFormat="1" ht="17.25" customHeight="1"/>
    <row r="39557" customFormat="1" ht="17.25" customHeight="1"/>
    <row r="39558" customFormat="1" ht="17.25" customHeight="1"/>
    <row r="39559" customFormat="1" ht="17.25" customHeight="1"/>
    <row r="39560" customFormat="1" ht="17.25" customHeight="1"/>
    <row r="39561" customFormat="1" ht="17.25" customHeight="1"/>
    <row r="39562" customFormat="1" ht="17.25" customHeight="1"/>
    <row r="39563" customFormat="1" ht="17.25" customHeight="1"/>
    <row r="39564" customFormat="1" ht="17.25" customHeight="1"/>
    <row r="39565" customFormat="1" ht="17.25" customHeight="1"/>
    <row r="39566" customFormat="1" ht="17.25" customHeight="1"/>
    <row r="39567" customFormat="1" ht="17.25" customHeight="1"/>
    <row r="39568" customFormat="1" ht="17.25" customHeight="1"/>
    <row r="39569" customFormat="1" ht="17.25" customHeight="1"/>
    <row r="39570" customFormat="1" ht="17.25" customHeight="1"/>
    <row r="39571" customFormat="1" ht="17.25" customHeight="1"/>
    <row r="39572" customFormat="1" ht="17.25" customHeight="1"/>
    <row r="39573" customFormat="1" ht="17.25" customHeight="1"/>
    <row r="39574" customFormat="1" ht="17.25" customHeight="1"/>
    <row r="39575" customFormat="1" ht="17.25" customHeight="1"/>
    <row r="39576" customFormat="1" ht="17.25" customHeight="1"/>
    <row r="39577" customFormat="1" ht="17.25" customHeight="1"/>
    <row r="39578" customFormat="1" ht="17.25" customHeight="1"/>
    <row r="39579" customFormat="1" ht="17.25" customHeight="1"/>
    <row r="39580" customFormat="1" ht="17.25" customHeight="1"/>
    <row r="39581" customFormat="1" ht="17.25" customHeight="1"/>
    <row r="39582" customFormat="1" ht="17.25" customHeight="1"/>
    <row r="39583" customFormat="1" ht="17.25" customHeight="1"/>
    <row r="39584" customFormat="1" ht="17.25" customHeight="1"/>
    <row r="39585" customFormat="1" ht="17.25" customHeight="1"/>
    <row r="39586" customFormat="1" ht="17.25" customHeight="1"/>
    <row r="39587" customFormat="1" ht="17.25" customHeight="1"/>
    <row r="39588" customFormat="1" ht="17.25" customHeight="1"/>
    <row r="39589" customFormat="1" ht="17.25" customHeight="1"/>
    <row r="39590" customFormat="1" ht="17.25" customHeight="1"/>
    <row r="39591" customFormat="1" ht="17.25" customHeight="1"/>
    <row r="39592" customFormat="1" ht="17.25" customHeight="1"/>
    <row r="39593" customFormat="1" ht="17.25" customHeight="1"/>
    <row r="39594" customFormat="1" ht="17.25" customHeight="1"/>
    <row r="39595" customFormat="1" ht="17.25" customHeight="1"/>
    <row r="39596" customFormat="1" ht="17.25" customHeight="1"/>
    <row r="39597" customFormat="1" ht="17.25" customHeight="1"/>
    <row r="39598" customFormat="1" ht="17.25" customHeight="1"/>
    <row r="39599" customFormat="1" ht="17.25" customHeight="1"/>
    <row r="39600" customFormat="1" ht="17.25" customHeight="1"/>
    <row r="39601" customFormat="1" ht="17.25" customHeight="1"/>
    <row r="39602" customFormat="1" ht="17.25" customHeight="1"/>
    <row r="39603" customFormat="1" ht="17.25" customHeight="1"/>
    <row r="39604" customFormat="1" ht="17.25" customHeight="1"/>
    <row r="39605" customFormat="1" ht="17.25" customHeight="1"/>
    <row r="39606" customFormat="1" ht="17.25" customHeight="1"/>
    <row r="39607" customFormat="1" ht="17.25" customHeight="1"/>
    <row r="39608" customFormat="1" ht="17.25" customHeight="1"/>
    <row r="39609" customFormat="1" ht="17.25" customHeight="1"/>
    <row r="39610" customFormat="1" ht="17.25" customHeight="1"/>
    <row r="39611" customFormat="1" ht="17.25" customHeight="1"/>
    <row r="39612" customFormat="1" ht="17.25" customHeight="1"/>
    <row r="39613" customFormat="1" ht="17.25" customHeight="1"/>
    <row r="39614" customFormat="1" ht="17.25" customHeight="1"/>
    <row r="39615" customFormat="1" ht="17.25" customHeight="1"/>
    <row r="39616" customFormat="1" ht="17.25" customHeight="1"/>
    <row r="39617" customFormat="1" ht="17.25" customHeight="1"/>
    <row r="39618" customFormat="1" ht="17.25" customHeight="1"/>
    <row r="39619" customFormat="1" ht="17.25" customHeight="1"/>
    <row r="39620" customFormat="1" ht="17.25" customHeight="1"/>
    <row r="39621" customFormat="1" ht="17.25" customHeight="1"/>
    <row r="39622" customFormat="1" ht="17.25" customHeight="1"/>
    <row r="39623" customFormat="1" ht="17.25" customHeight="1"/>
    <row r="39624" customFormat="1" ht="17.25" customHeight="1"/>
    <row r="39625" customFormat="1" ht="17.25" customHeight="1"/>
    <row r="39626" customFormat="1" ht="17.25" customHeight="1"/>
    <row r="39627" customFormat="1" ht="17.25" customHeight="1"/>
    <row r="39628" customFormat="1" ht="17.25" customHeight="1"/>
    <row r="39629" customFormat="1" ht="17.25" customHeight="1"/>
    <row r="39630" customFormat="1" ht="17.25" customHeight="1"/>
    <row r="39631" customFormat="1" ht="17.25" customHeight="1"/>
    <row r="39632" customFormat="1" ht="17.25" customHeight="1"/>
    <row r="39633" customFormat="1" ht="17.25" customHeight="1"/>
    <row r="39634" customFormat="1" ht="17.25" customHeight="1"/>
    <row r="39635" customFormat="1" ht="17.25" customHeight="1"/>
    <row r="39636" customFormat="1" ht="17.25" customHeight="1"/>
    <row r="39637" customFormat="1" ht="17.25" customHeight="1"/>
    <row r="39638" customFormat="1" ht="17.25" customHeight="1"/>
    <row r="39639" customFormat="1" ht="17.25" customHeight="1"/>
    <row r="39640" customFormat="1" ht="17.25" customHeight="1"/>
    <row r="39641" customFormat="1" ht="17.25" customHeight="1"/>
    <row r="39642" customFormat="1" ht="17.25" customHeight="1"/>
    <row r="39643" customFormat="1" ht="17.25" customHeight="1"/>
    <row r="39644" customFormat="1" ht="17.25" customHeight="1"/>
    <row r="39645" customFormat="1" ht="17.25" customHeight="1"/>
    <row r="39646" customFormat="1" ht="17.25" customHeight="1"/>
    <row r="39647" customFormat="1" ht="17.25" customHeight="1"/>
    <row r="39648" customFormat="1" ht="17.25" customHeight="1"/>
    <row r="39649" customFormat="1" ht="17.25" customHeight="1"/>
    <row r="39650" customFormat="1" ht="17.25" customHeight="1"/>
    <row r="39651" customFormat="1" ht="17.25" customHeight="1"/>
    <row r="39652" customFormat="1" ht="17.25" customHeight="1"/>
    <row r="39653" customFormat="1" ht="17.25" customHeight="1"/>
    <row r="39654" customFormat="1" ht="17.25" customHeight="1"/>
    <row r="39655" customFormat="1" ht="17.25" customHeight="1"/>
    <row r="39656" customFormat="1" ht="17.25" customHeight="1"/>
    <row r="39657" customFormat="1" ht="17.25" customHeight="1"/>
    <row r="39658" customFormat="1" ht="17.25" customHeight="1"/>
    <row r="39659" customFormat="1" ht="17.25" customHeight="1"/>
    <row r="39660" customFormat="1" ht="17.25" customHeight="1"/>
    <row r="39661" customFormat="1" ht="17.25" customHeight="1"/>
    <row r="39662" customFormat="1" ht="17.25" customHeight="1"/>
    <row r="39663" customFormat="1" ht="17.25" customHeight="1"/>
    <row r="39664" customFormat="1" ht="17.25" customHeight="1"/>
    <row r="39665" customFormat="1" ht="17.25" customHeight="1"/>
    <row r="39666" customFormat="1" ht="17.25" customHeight="1"/>
    <row r="39667" customFormat="1" ht="17.25" customHeight="1"/>
    <row r="39668" customFormat="1" ht="17.25" customHeight="1"/>
    <row r="39669" customFormat="1" ht="17.25" customHeight="1"/>
    <row r="39670" customFormat="1" ht="17.25" customHeight="1"/>
    <row r="39671" customFormat="1" ht="17.25" customHeight="1"/>
    <row r="39672" customFormat="1" ht="17.25" customHeight="1"/>
    <row r="39673" customFormat="1" ht="17.25" customHeight="1"/>
    <row r="39674" customFormat="1" ht="17.25" customHeight="1"/>
    <row r="39675" customFormat="1" ht="17.25" customHeight="1"/>
    <row r="39676" customFormat="1" ht="17.25" customHeight="1"/>
    <row r="39677" customFormat="1" ht="17.25" customHeight="1"/>
    <row r="39678" customFormat="1" ht="17.25" customHeight="1"/>
    <row r="39679" customFormat="1" ht="17.25" customHeight="1"/>
    <row r="39680" customFormat="1" ht="17.25" customHeight="1"/>
    <row r="39681" customFormat="1" ht="17.25" customHeight="1"/>
    <row r="39682" customFormat="1" ht="17.25" customHeight="1"/>
    <row r="39683" customFormat="1" ht="17.25" customHeight="1"/>
    <row r="39684" customFormat="1" ht="17.25" customHeight="1"/>
    <row r="39685" customFormat="1" ht="17.25" customHeight="1"/>
    <row r="39686" customFormat="1" ht="17.25" customHeight="1"/>
    <row r="39687" customFormat="1" ht="17.25" customHeight="1"/>
    <row r="39688" customFormat="1" ht="17.25" customHeight="1"/>
    <row r="39689" customFormat="1" ht="17.25" customHeight="1"/>
    <row r="39690" customFormat="1" ht="17.25" customHeight="1"/>
    <row r="39691" customFormat="1" ht="17.25" customHeight="1"/>
    <row r="39692" customFormat="1" ht="17.25" customHeight="1"/>
    <row r="39693" customFormat="1" ht="17.25" customHeight="1"/>
    <row r="39694" customFormat="1" ht="17.25" customHeight="1"/>
    <row r="39695" customFormat="1" ht="17.25" customHeight="1"/>
    <row r="39696" customFormat="1" ht="17.25" customHeight="1"/>
    <row r="39697" customFormat="1" ht="17.25" customHeight="1"/>
    <row r="39698" customFormat="1" ht="17.25" customHeight="1"/>
    <row r="39699" customFormat="1" ht="17.25" customHeight="1"/>
    <row r="39700" customFormat="1" ht="17.25" customHeight="1"/>
    <row r="39701" customFormat="1" ht="17.25" customHeight="1"/>
    <row r="39702" customFormat="1" ht="17.25" customHeight="1"/>
    <row r="39703" customFormat="1" ht="17.25" customHeight="1"/>
    <row r="39704" customFormat="1" ht="17.25" customHeight="1"/>
    <row r="39705" customFormat="1" ht="17.25" customHeight="1"/>
    <row r="39706" customFormat="1" ht="17.25" customHeight="1"/>
    <row r="39707" customFormat="1" ht="17.25" customHeight="1"/>
    <row r="39708" customFormat="1" ht="17.25" customHeight="1"/>
    <row r="39709" customFormat="1" ht="17.25" customHeight="1"/>
    <row r="39710" customFormat="1" ht="17.25" customHeight="1"/>
    <row r="39711" customFormat="1" ht="17.25" customHeight="1"/>
    <row r="39712" customFormat="1" ht="17.25" customHeight="1"/>
    <row r="39713" customFormat="1" ht="17.25" customHeight="1"/>
    <row r="39714" customFormat="1" ht="17.25" customHeight="1"/>
    <row r="39715" customFormat="1" ht="17.25" customHeight="1"/>
    <row r="39716" customFormat="1" ht="17.25" customHeight="1"/>
    <row r="39717" customFormat="1" ht="17.25" customHeight="1"/>
    <row r="39718" customFormat="1" ht="17.25" customHeight="1"/>
    <row r="39719" customFormat="1" ht="17.25" customHeight="1"/>
    <row r="39720" customFormat="1" ht="17.25" customHeight="1"/>
    <row r="39721" customFormat="1" ht="17.25" customHeight="1"/>
    <row r="39722" customFormat="1" ht="17.25" customHeight="1"/>
    <row r="39723" customFormat="1" ht="17.25" customHeight="1"/>
    <row r="39724" customFormat="1" ht="17.25" customHeight="1"/>
    <row r="39725" customFormat="1" ht="17.25" customHeight="1"/>
    <row r="39726" customFormat="1" ht="17.25" customHeight="1"/>
    <row r="39727" customFormat="1" ht="17.25" customHeight="1"/>
    <row r="39728" customFormat="1" ht="17.25" customHeight="1"/>
    <row r="39729" customFormat="1" ht="17.25" customHeight="1"/>
    <row r="39730" customFormat="1" ht="17.25" customHeight="1"/>
    <row r="39731" customFormat="1" ht="17.25" customHeight="1"/>
    <row r="39732" customFormat="1" ht="17.25" customHeight="1"/>
    <row r="39733" customFormat="1" ht="17.25" customHeight="1"/>
    <row r="39734" customFormat="1" ht="17.25" customHeight="1"/>
    <row r="39735" customFormat="1" ht="17.25" customHeight="1"/>
    <row r="39736" customFormat="1" ht="17.25" customHeight="1"/>
    <row r="39737" customFormat="1" ht="17.25" customHeight="1"/>
    <row r="39738" customFormat="1" ht="17.25" customHeight="1"/>
    <row r="39739" customFormat="1" ht="17.25" customHeight="1"/>
    <row r="39740" customFormat="1" ht="17.25" customHeight="1"/>
    <row r="39741" customFormat="1" ht="17.25" customHeight="1"/>
    <row r="39742" customFormat="1" ht="17.25" customHeight="1"/>
    <row r="39743" customFormat="1" ht="17.25" customHeight="1"/>
    <row r="39744" customFormat="1" ht="17.25" customHeight="1"/>
    <row r="39745" customFormat="1" ht="17.25" customHeight="1"/>
    <row r="39746" customFormat="1" ht="17.25" customHeight="1"/>
    <row r="39747" customFormat="1" ht="17.25" customHeight="1"/>
    <row r="39748" customFormat="1" ht="17.25" customHeight="1"/>
    <row r="39749" customFormat="1" ht="17.25" customHeight="1"/>
    <row r="39750" customFormat="1" ht="17.25" customHeight="1"/>
    <row r="39751" customFormat="1" ht="17.25" customHeight="1"/>
    <row r="39752" customFormat="1" ht="17.25" customHeight="1"/>
    <row r="39753" customFormat="1" ht="17.25" customHeight="1"/>
    <row r="39754" customFormat="1" ht="17.25" customHeight="1"/>
    <row r="39755" customFormat="1" ht="17.25" customHeight="1"/>
    <row r="39756" customFormat="1" ht="17.25" customHeight="1"/>
    <row r="39757" customFormat="1" ht="17.25" customHeight="1"/>
    <row r="39758" customFormat="1" ht="17.25" customHeight="1"/>
    <row r="39759" customFormat="1" ht="17.25" customHeight="1"/>
    <row r="39760" customFormat="1" ht="17.25" customHeight="1"/>
    <row r="39761" customFormat="1" ht="17.25" customHeight="1"/>
    <row r="39762" customFormat="1" ht="17.25" customHeight="1"/>
    <row r="39763" customFormat="1" ht="17.25" customHeight="1"/>
    <row r="39764" customFormat="1" ht="17.25" customHeight="1"/>
    <row r="39765" customFormat="1" ht="17.25" customHeight="1"/>
    <row r="39766" customFormat="1" ht="17.25" customHeight="1"/>
    <row r="39767" customFormat="1" ht="17.25" customHeight="1"/>
    <row r="39768" customFormat="1" ht="17.25" customHeight="1"/>
    <row r="39769" customFormat="1" ht="17.25" customHeight="1"/>
    <row r="39770" customFormat="1" ht="17.25" customHeight="1"/>
    <row r="39771" customFormat="1" ht="17.25" customHeight="1"/>
    <row r="39772" customFormat="1" ht="17.25" customHeight="1"/>
    <row r="39773" customFormat="1" ht="17.25" customHeight="1"/>
    <row r="39774" customFormat="1" ht="17.25" customHeight="1"/>
    <row r="39775" customFormat="1" ht="17.25" customHeight="1"/>
    <row r="39776" customFormat="1" ht="17.25" customHeight="1"/>
    <row r="39777" customFormat="1" ht="17.25" customHeight="1"/>
    <row r="39778" customFormat="1" ht="17.25" customHeight="1"/>
    <row r="39779" customFormat="1" ht="17.25" customHeight="1"/>
    <row r="39780" customFormat="1" ht="17.25" customHeight="1"/>
    <row r="39781" customFormat="1" ht="17.25" customHeight="1"/>
    <row r="39782" customFormat="1" ht="17.25" customHeight="1"/>
    <row r="39783" customFormat="1" ht="17.25" customHeight="1"/>
    <row r="39784" customFormat="1" ht="17.25" customHeight="1"/>
    <row r="39785" customFormat="1" ht="17.25" customHeight="1"/>
    <row r="39786" customFormat="1" ht="17.25" customHeight="1"/>
    <row r="39787" customFormat="1" ht="17.25" customHeight="1"/>
    <row r="39788" customFormat="1" ht="17.25" customHeight="1"/>
    <row r="39789" customFormat="1" ht="17.25" customHeight="1"/>
    <row r="39790" customFormat="1" ht="17.25" customHeight="1"/>
    <row r="39791" customFormat="1" ht="17.25" customHeight="1"/>
    <row r="39792" customFormat="1" ht="17.25" customHeight="1"/>
    <row r="39793" customFormat="1" ht="17.25" customHeight="1"/>
    <row r="39794" customFormat="1" ht="17.25" customHeight="1"/>
    <row r="39795" customFormat="1" ht="17.25" customHeight="1"/>
    <row r="39796" customFormat="1" ht="17.25" customHeight="1"/>
    <row r="39797" customFormat="1" ht="17.25" customHeight="1"/>
    <row r="39798" customFormat="1" ht="17.25" customHeight="1"/>
    <row r="39799" customFormat="1" ht="17.25" customHeight="1"/>
    <row r="39800" customFormat="1" ht="17.25" customHeight="1"/>
    <row r="39801" customFormat="1" ht="17.25" customHeight="1"/>
    <row r="39802" customFormat="1" ht="17.25" customHeight="1"/>
    <row r="39803" customFormat="1" ht="17.25" customHeight="1"/>
    <row r="39804" customFormat="1" ht="17.25" customHeight="1"/>
    <row r="39805" customFormat="1" ht="17.25" customHeight="1"/>
    <row r="39806" customFormat="1" ht="17.25" customHeight="1"/>
    <row r="39807" customFormat="1" ht="17.25" customHeight="1"/>
    <row r="39808" customFormat="1" ht="17.25" customHeight="1"/>
    <row r="39809" customFormat="1" ht="17.25" customHeight="1"/>
    <row r="39810" customFormat="1" ht="17.25" customHeight="1"/>
    <row r="39811" customFormat="1" ht="17.25" customHeight="1"/>
    <row r="39812" customFormat="1" ht="17.25" customHeight="1"/>
    <row r="39813" customFormat="1" ht="17.25" customHeight="1"/>
    <row r="39814" customFormat="1" ht="17.25" customHeight="1"/>
    <row r="39815" customFormat="1" ht="17.25" customHeight="1"/>
    <row r="39816" customFormat="1" ht="17.25" customHeight="1"/>
    <row r="39817" customFormat="1" ht="17.25" customHeight="1"/>
    <row r="39818" customFormat="1" ht="17.25" customHeight="1"/>
    <row r="39819" customFormat="1" ht="17.25" customHeight="1"/>
    <row r="39820" customFormat="1" ht="17.25" customHeight="1"/>
    <row r="39821" customFormat="1" ht="17.25" customHeight="1"/>
    <row r="39822" customFormat="1" ht="17.25" customHeight="1"/>
    <row r="39823" customFormat="1" ht="17.25" customHeight="1"/>
    <row r="39824" customFormat="1" ht="17.25" customHeight="1"/>
    <row r="39825" customFormat="1" ht="17.25" customHeight="1"/>
    <row r="39826" customFormat="1" ht="17.25" customHeight="1"/>
    <row r="39827" customFormat="1" ht="17.25" customHeight="1"/>
    <row r="39828" customFormat="1" ht="17.25" customHeight="1"/>
    <row r="39829" customFormat="1" ht="17.25" customHeight="1"/>
    <row r="39830" customFormat="1" ht="17.25" customHeight="1"/>
    <row r="39831" customFormat="1" ht="17.25" customHeight="1"/>
    <row r="39832" customFormat="1" ht="17.25" customHeight="1"/>
    <row r="39833" customFormat="1" ht="17.25" customHeight="1"/>
    <row r="39834" customFormat="1" ht="17.25" customHeight="1"/>
    <row r="39835" customFormat="1" ht="17.25" customHeight="1"/>
    <row r="39836" customFormat="1" ht="17.25" customHeight="1"/>
    <row r="39837" customFormat="1" ht="17.25" customHeight="1"/>
    <row r="39838" customFormat="1" ht="17.25" customHeight="1"/>
    <row r="39839" customFormat="1" ht="17.25" customHeight="1"/>
    <row r="39840" customFormat="1" ht="17.25" customHeight="1"/>
    <row r="39841" customFormat="1" ht="17.25" customHeight="1"/>
    <row r="39842" customFormat="1" ht="17.25" customHeight="1"/>
    <row r="39843" customFormat="1" ht="17.25" customHeight="1"/>
    <row r="39844" customFormat="1" ht="17.25" customHeight="1"/>
    <row r="39845" customFormat="1" ht="17.25" customHeight="1"/>
    <row r="39846" customFormat="1" ht="17.25" customHeight="1"/>
    <row r="39847" customFormat="1" ht="17.25" customHeight="1"/>
    <row r="39848" customFormat="1" ht="17.25" customHeight="1"/>
    <row r="39849" customFormat="1" ht="17.25" customHeight="1"/>
    <row r="39850" customFormat="1" ht="17.25" customHeight="1"/>
    <row r="39851" customFormat="1" ht="17.25" customHeight="1"/>
    <row r="39852" customFormat="1" ht="17.25" customHeight="1"/>
    <row r="39853" customFormat="1" ht="17.25" customHeight="1"/>
    <row r="39854" customFormat="1" ht="17.25" customHeight="1"/>
    <row r="39855" customFormat="1" ht="17.25" customHeight="1"/>
    <row r="39856" customFormat="1" ht="17.25" customHeight="1"/>
    <row r="39857" customFormat="1" ht="17.25" customHeight="1"/>
    <row r="39858" customFormat="1" ht="17.25" customHeight="1"/>
    <row r="39859" customFormat="1" ht="17.25" customHeight="1"/>
    <row r="39860" customFormat="1" ht="17.25" customHeight="1"/>
    <row r="39861" customFormat="1" ht="17.25" customHeight="1"/>
    <row r="39862" customFormat="1" ht="17.25" customHeight="1"/>
    <row r="39863" customFormat="1" ht="17.25" customHeight="1"/>
    <row r="39864" customFormat="1" ht="17.25" customHeight="1"/>
    <row r="39865" customFormat="1" ht="17.25" customHeight="1"/>
    <row r="39866" customFormat="1" ht="17.25" customHeight="1"/>
    <row r="39867" customFormat="1" ht="17.25" customHeight="1"/>
    <row r="39868" customFormat="1" ht="17.25" customHeight="1"/>
    <row r="39869" customFormat="1" ht="17.25" customHeight="1"/>
    <row r="39870" customFormat="1" ht="17.25" customHeight="1"/>
    <row r="39871" customFormat="1" ht="17.25" customHeight="1"/>
    <row r="39872" customFormat="1" ht="17.25" customHeight="1"/>
    <row r="39873" customFormat="1" ht="17.25" customHeight="1"/>
    <row r="39874" customFormat="1" ht="17.25" customHeight="1"/>
    <row r="39875" customFormat="1" ht="17.25" customHeight="1"/>
    <row r="39876" customFormat="1" ht="17.25" customHeight="1"/>
    <row r="39877" customFormat="1" ht="17.25" customHeight="1"/>
    <row r="39878" customFormat="1" ht="17.25" customHeight="1"/>
    <row r="39879" customFormat="1" ht="17.25" customHeight="1"/>
    <row r="39880" customFormat="1" ht="17.25" customHeight="1"/>
    <row r="39881" customFormat="1" ht="17.25" customHeight="1"/>
    <row r="39882" customFormat="1" ht="17.25" customHeight="1"/>
    <row r="39883" customFormat="1" ht="17.25" customHeight="1"/>
    <row r="39884" customFormat="1" ht="17.25" customHeight="1"/>
    <row r="39885" customFormat="1" ht="17.25" customHeight="1"/>
    <row r="39886" customFormat="1" ht="17.25" customHeight="1"/>
    <row r="39887" customFormat="1" ht="17.25" customHeight="1"/>
    <row r="39888" customFormat="1" ht="17.25" customHeight="1"/>
    <row r="39889" customFormat="1" ht="17.25" customHeight="1"/>
    <row r="39890" customFormat="1" ht="17.25" customHeight="1"/>
    <row r="39891" customFormat="1" ht="17.25" customHeight="1"/>
    <row r="39892" customFormat="1" ht="17.25" customHeight="1"/>
    <row r="39893" customFormat="1" ht="17.25" customHeight="1"/>
    <row r="39894" customFormat="1" ht="17.25" customHeight="1"/>
    <row r="39895" customFormat="1" ht="17.25" customHeight="1"/>
    <row r="39896" customFormat="1" ht="17.25" customHeight="1"/>
    <row r="39897" customFormat="1" ht="17.25" customHeight="1"/>
    <row r="39898" customFormat="1" ht="17.25" customHeight="1"/>
    <row r="39899" customFormat="1" ht="17.25" customHeight="1"/>
    <row r="39900" customFormat="1" ht="17.25" customHeight="1"/>
    <row r="39901" customFormat="1" ht="17.25" customHeight="1"/>
    <row r="39902" customFormat="1" ht="17.25" customHeight="1"/>
    <row r="39903" customFormat="1" ht="17.25" customHeight="1"/>
    <row r="39904" customFormat="1" ht="17.25" customHeight="1"/>
    <row r="39905" customFormat="1" ht="17.25" customHeight="1"/>
    <row r="39906" customFormat="1" ht="17.25" customHeight="1"/>
    <row r="39907" customFormat="1" ht="17.25" customHeight="1"/>
    <row r="39908" customFormat="1" ht="17.25" customHeight="1"/>
    <row r="39909" customFormat="1" ht="17.25" customHeight="1"/>
    <row r="39910" customFormat="1" ht="17.25" customHeight="1"/>
    <row r="39911" customFormat="1" ht="17.25" customHeight="1"/>
    <row r="39912" customFormat="1" ht="17.25" customHeight="1"/>
    <row r="39913" customFormat="1" ht="17.25" customHeight="1"/>
    <row r="39914" customFormat="1" ht="17.25" customHeight="1"/>
    <row r="39915" customFormat="1" ht="17.25" customHeight="1"/>
    <row r="39916" customFormat="1" ht="17.25" customHeight="1"/>
    <row r="39917" customFormat="1" ht="17.25" customHeight="1"/>
    <row r="39918" customFormat="1" ht="17.25" customHeight="1"/>
    <row r="39919" customFormat="1" ht="17.25" customHeight="1"/>
    <row r="39920" customFormat="1" ht="17.25" customHeight="1"/>
    <row r="39921" customFormat="1" ht="17.25" customHeight="1"/>
    <row r="39922" customFormat="1" ht="17.25" customHeight="1"/>
    <row r="39923" customFormat="1" ht="17.25" customHeight="1"/>
    <row r="39924" customFormat="1" ht="17.25" customHeight="1"/>
    <row r="39925" customFormat="1" ht="17.25" customHeight="1"/>
    <row r="39926" customFormat="1" ht="17.25" customHeight="1"/>
    <row r="39927" customFormat="1" ht="17.25" customHeight="1"/>
    <row r="39928" customFormat="1" ht="17.25" customHeight="1"/>
    <row r="39929" customFormat="1" ht="17.25" customHeight="1"/>
    <row r="39930" customFormat="1" ht="17.25" customHeight="1"/>
    <row r="39931" customFormat="1" ht="17.25" customHeight="1"/>
    <row r="39932" customFormat="1" ht="17.25" customHeight="1"/>
    <row r="39933" customFormat="1" ht="17.25" customHeight="1"/>
    <row r="39934" customFormat="1" ht="17.25" customHeight="1"/>
    <row r="39935" customFormat="1" ht="17.25" customHeight="1"/>
    <row r="39936" customFormat="1" ht="17.25" customHeight="1"/>
    <row r="39937" customFormat="1" ht="17.25" customHeight="1"/>
    <row r="39938" customFormat="1" ht="17.25" customHeight="1"/>
    <row r="39939" customFormat="1" ht="17.25" customHeight="1"/>
    <row r="39940" customFormat="1" ht="17.25" customHeight="1"/>
    <row r="39941" customFormat="1" ht="17.25" customHeight="1"/>
    <row r="39942" customFormat="1" ht="17.25" customHeight="1"/>
    <row r="39943" customFormat="1" ht="17.25" customHeight="1"/>
    <row r="39944" customFormat="1" ht="17.25" customHeight="1"/>
    <row r="39945" customFormat="1" ht="17.25" customHeight="1"/>
    <row r="39946" customFormat="1" ht="17.25" customHeight="1"/>
    <row r="39947" customFormat="1" ht="17.25" customHeight="1"/>
    <row r="39948" customFormat="1" ht="17.25" customHeight="1"/>
    <row r="39949" customFormat="1" ht="17.25" customHeight="1"/>
    <row r="39950" customFormat="1" ht="17.25" customHeight="1"/>
    <row r="39951" customFormat="1" ht="17.25" customHeight="1"/>
    <row r="39952" customFormat="1" ht="17.25" customHeight="1"/>
    <row r="39953" customFormat="1" ht="17.25" customHeight="1"/>
    <row r="39954" customFormat="1" ht="17.25" customHeight="1"/>
    <row r="39955" customFormat="1" ht="17.25" customHeight="1"/>
    <row r="39956" customFormat="1" ht="17.25" customHeight="1"/>
    <row r="39957" customFormat="1" ht="17.25" customHeight="1"/>
    <row r="39958" customFormat="1" ht="17.25" customHeight="1"/>
    <row r="39959" customFormat="1" ht="17.25" customHeight="1"/>
    <row r="39960" customFormat="1" ht="17.25" customHeight="1"/>
    <row r="39961" customFormat="1" ht="17.25" customHeight="1"/>
    <row r="39962" customFormat="1" ht="17.25" customHeight="1"/>
    <row r="39963" customFormat="1" ht="17.25" customHeight="1"/>
    <row r="39964" customFormat="1" ht="17.25" customHeight="1"/>
    <row r="39965" customFormat="1" ht="17.25" customHeight="1"/>
    <row r="39966" customFormat="1" ht="17.25" customHeight="1"/>
    <row r="39967" customFormat="1" ht="17.25" customHeight="1"/>
    <row r="39968" customFormat="1" ht="17.25" customHeight="1"/>
    <row r="39969" customFormat="1" ht="17.25" customHeight="1"/>
    <row r="39970" customFormat="1" ht="17.25" customHeight="1"/>
    <row r="39971" customFormat="1" ht="17.25" customHeight="1"/>
    <row r="39972" customFormat="1" ht="17.25" customHeight="1"/>
    <row r="39973" customFormat="1" ht="17.25" customHeight="1"/>
    <row r="39974" customFormat="1" ht="17.25" customHeight="1"/>
    <row r="39975" customFormat="1" ht="17.25" customHeight="1"/>
    <row r="39976" customFormat="1" ht="17.25" customHeight="1"/>
    <row r="39977" customFormat="1" ht="17.25" customHeight="1"/>
    <row r="39978" customFormat="1" ht="17.25" customHeight="1"/>
    <row r="39979" customFormat="1" ht="17.25" customHeight="1"/>
    <row r="39980" customFormat="1" ht="17.25" customHeight="1"/>
    <row r="39981" customFormat="1" ht="17.25" customHeight="1"/>
    <row r="39982" customFormat="1" ht="17.25" customHeight="1"/>
    <row r="39983" customFormat="1" ht="17.25" customHeight="1"/>
    <row r="39984" customFormat="1" ht="17.25" customHeight="1"/>
    <row r="39985" customFormat="1" ht="17.25" customHeight="1"/>
    <row r="39986" customFormat="1" ht="17.25" customHeight="1"/>
    <row r="39987" customFormat="1" ht="17.25" customHeight="1"/>
    <row r="39988" customFormat="1" ht="17.25" customHeight="1"/>
    <row r="39989" customFormat="1" ht="17.25" customHeight="1"/>
    <row r="39990" customFormat="1" ht="17.25" customHeight="1"/>
    <row r="39991" customFormat="1" ht="17.25" customHeight="1"/>
    <row r="39992" customFormat="1" ht="17.25" customHeight="1"/>
    <row r="39993" customFormat="1" ht="17.25" customHeight="1"/>
    <row r="39994" customFormat="1" ht="17.25" customHeight="1"/>
    <row r="39995" customFormat="1" ht="17.25" customHeight="1"/>
    <row r="39996" customFormat="1" ht="17.25" customHeight="1"/>
    <row r="39997" customFormat="1" ht="17.25" customHeight="1"/>
    <row r="39998" customFormat="1" ht="17.25" customHeight="1"/>
    <row r="39999" customFormat="1" ht="17.25" customHeight="1"/>
    <row r="40000" customFormat="1" ht="17.25" customHeight="1"/>
    <row r="40001" customFormat="1" ht="17.25" customHeight="1"/>
    <row r="40002" customFormat="1" ht="17.25" customHeight="1"/>
    <row r="40003" customFormat="1" ht="17.25" customHeight="1"/>
    <row r="40004" customFormat="1" ht="17.25" customHeight="1"/>
    <row r="40005" customFormat="1" ht="17.25" customHeight="1"/>
    <row r="40006" customFormat="1" ht="17.25" customHeight="1"/>
    <row r="40007" customFormat="1" ht="17.25" customHeight="1"/>
    <row r="40008" customFormat="1" ht="17.25" customHeight="1"/>
    <row r="40009" customFormat="1" ht="17.25" customHeight="1"/>
    <row r="40010" customFormat="1" ht="17.25" customHeight="1"/>
    <row r="40011" customFormat="1" ht="17.25" customHeight="1"/>
    <row r="40012" customFormat="1" ht="17.25" customHeight="1"/>
    <row r="40013" customFormat="1" ht="17.25" customHeight="1"/>
    <row r="40014" customFormat="1" ht="17.25" customHeight="1"/>
    <row r="40015" customFormat="1" ht="17.25" customHeight="1"/>
    <row r="40016" customFormat="1" ht="17.25" customHeight="1"/>
    <row r="40017" customFormat="1" ht="17.25" customHeight="1"/>
    <row r="40018" customFormat="1" ht="17.25" customHeight="1"/>
    <row r="40019" customFormat="1" ht="17.25" customHeight="1"/>
    <row r="40020" customFormat="1" ht="17.25" customHeight="1"/>
    <row r="40021" customFormat="1" ht="17.25" customHeight="1"/>
    <row r="40022" customFormat="1" ht="17.25" customHeight="1"/>
    <row r="40023" customFormat="1" ht="17.25" customHeight="1"/>
    <row r="40024" customFormat="1" ht="17.25" customHeight="1"/>
    <row r="40025" customFormat="1" ht="17.25" customHeight="1"/>
    <row r="40026" customFormat="1" ht="17.25" customHeight="1"/>
    <row r="40027" customFormat="1" ht="17.25" customHeight="1"/>
    <row r="40028" customFormat="1" ht="17.25" customHeight="1"/>
    <row r="40029" customFormat="1" ht="17.25" customHeight="1"/>
    <row r="40030" customFormat="1" ht="17.25" customHeight="1"/>
    <row r="40031" customFormat="1" ht="17.25" customHeight="1"/>
    <row r="40032" customFormat="1" ht="17.25" customHeight="1"/>
    <row r="40033" customFormat="1" ht="17.25" customHeight="1"/>
    <row r="40034" customFormat="1" ht="17.25" customHeight="1"/>
    <row r="40035" customFormat="1" ht="17.25" customHeight="1"/>
    <row r="40036" customFormat="1" ht="17.25" customHeight="1"/>
    <row r="40037" customFormat="1" ht="17.25" customHeight="1"/>
    <row r="40038" customFormat="1" ht="17.25" customHeight="1"/>
    <row r="40039" customFormat="1" ht="17.25" customHeight="1"/>
    <row r="40040" customFormat="1" ht="17.25" customHeight="1"/>
    <row r="40041" customFormat="1" ht="17.25" customHeight="1"/>
    <row r="40042" customFormat="1" ht="17.25" customHeight="1"/>
    <row r="40043" customFormat="1" ht="17.25" customHeight="1"/>
    <row r="40044" customFormat="1" ht="17.25" customHeight="1"/>
    <row r="40045" customFormat="1" ht="17.25" customHeight="1"/>
    <row r="40046" customFormat="1" ht="17.25" customHeight="1"/>
    <row r="40047" customFormat="1" ht="17.25" customHeight="1"/>
    <row r="40048" customFormat="1" ht="17.25" customHeight="1"/>
    <row r="40049" customFormat="1" ht="17.25" customHeight="1"/>
    <row r="40050" customFormat="1" ht="17.25" customHeight="1"/>
    <row r="40051" customFormat="1" ht="17.25" customHeight="1"/>
    <row r="40052" customFormat="1" ht="17.25" customHeight="1"/>
    <row r="40053" customFormat="1" ht="17.25" customHeight="1"/>
    <row r="40054" customFormat="1" ht="17.25" customHeight="1"/>
    <row r="40055" customFormat="1" ht="17.25" customHeight="1"/>
    <row r="40056" customFormat="1" ht="17.25" customHeight="1"/>
    <row r="40057" customFormat="1" ht="17.25" customHeight="1"/>
    <row r="40058" customFormat="1" ht="17.25" customHeight="1"/>
    <row r="40059" customFormat="1" ht="17.25" customHeight="1"/>
    <row r="40060" customFormat="1" ht="17.25" customHeight="1"/>
    <row r="40061" customFormat="1" ht="17.25" customHeight="1"/>
    <row r="40062" customFormat="1" ht="17.25" customHeight="1"/>
    <row r="40063" customFormat="1" ht="17.25" customHeight="1"/>
    <row r="40064" customFormat="1" ht="17.25" customHeight="1"/>
    <row r="40065" customFormat="1" ht="17.25" customHeight="1"/>
    <row r="40066" customFormat="1" ht="17.25" customHeight="1"/>
    <row r="40067" customFormat="1" ht="17.25" customHeight="1"/>
    <row r="40068" customFormat="1" ht="17.25" customHeight="1"/>
    <row r="40069" customFormat="1" ht="17.25" customHeight="1"/>
    <row r="40070" customFormat="1" ht="17.25" customHeight="1"/>
    <row r="40071" customFormat="1" ht="17.25" customHeight="1"/>
    <row r="40072" customFormat="1" ht="17.25" customHeight="1"/>
    <row r="40073" customFormat="1" ht="17.25" customHeight="1"/>
    <row r="40074" customFormat="1" ht="17.25" customHeight="1"/>
    <row r="40075" customFormat="1" ht="17.25" customHeight="1"/>
    <row r="40076" customFormat="1" ht="17.25" customHeight="1"/>
    <row r="40077" customFormat="1" ht="17.25" customHeight="1"/>
    <row r="40078" customFormat="1" ht="17.25" customHeight="1"/>
    <row r="40079" customFormat="1" ht="17.25" customHeight="1"/>
    <row r="40080" customFormat="1" ht="17.25" customHeight="1"/>
    <row r="40081" customFormat="1" ht="17.25" customHeight="1"/>
    <row r="40082" customFormat="1" ht="17.25" customHeight="1"/>
    <row r="40083" customFormat="1" ht="17.25" customHeight="1"/>
    <row r="40084" customFormat="1" ht="17.25" customHeight="1"/>
    <row r="40085" customFormat="1" ht="17.25" customHeight="1"/>
    <row r="40086" customFormat="1" ht="17.25" customHeight="1"/>
    <row r="40087" customFormat="1" ht="17.25" customHeight="1"/>
    <row r="40088" customFormat="1" ht="17.25" customHeight="1"/>
    <row r="40089" customFormat="1" ht="17.25" customHeight="1"/>
    <row r="40090" customFormat="1" ht="17.25" customHeight="1"/>
    <row r="40091" customFormat="1" ht="17.25" customHeight="1"/>
    <row r="40092" customFormat="1" ht="17.25" customHeight="1"/>
    <row r="40093" customFormat="1" ht="17.25" customHeight="1"/>
    <row r="40094" customFormat="1" ht="17.25" customHeight="1"/>
    <row r="40095" customFormat="1" ht="17.25" customHeight="1"/>
    <row r="40096" customFormat="1" ht="17.25" customHeight="1"/>
    <row r="40097" customFormat="1" ht="17.25" customHeight="1"/>
    <row r="40098" customFormat="1" ht="17.25" customHeight="1"/>
    <row r="40099" customFormat="1" ht="17.25" customHeight="1"/>
    <row r="40100" customFormat="1" ht="17.25" customHeight="1"/>
    <row r="40101" customFormat="1" ht="17.25" customHeight="1"/>
    <row r="40102" customFormat="1" ht="17.25" customHeight="1"/>
    <row r="40103" customFormat="1" ht="17.25" customHeight="1"/>
    <row r="40104" customFormat="1" ht="17.25" customHeight="1"/>
    <row r="40105" customFormat="1" ht="17.25" customHeight="1"/>
    <row r="40106" customFormat="1" ht="17.25" customHeight="1"/>
    <row r="40107" customFormat="1" ht="17.25" customHeight="1"/>
    <row r="40108" customFormat="1" ht="17.25" customHeight="1"/>
    <row r="40109" customFormat="1" ht="17.25" customHeight="1"/>
    <row r="40110" customFormat="1" ht="17.25" customHeight="1"/>
    <row r="40111" customFormat="1" ht="17.25" customHeight="1"/>
    <row r="40112" customFormat="1" ht="17.25" customHeight="1"/>
    <row r="40113" customFormat="1" ht="17.25" customHeight="1"/>
    <row r="40114" customFormat="1" ht="17.25" customHeight="1"/>
    <row r="40115" customFormat="1" ht="17.25" customHeight="1"/>
    <row r="40116" customFormat="1" ht="17.25" customHeight="1"/>
    <row r="40117" customFormat="1" ht="17.25" customHeight="1"/>
    <row r="40118" customFormat="1" ht="17.25" customHeight="1"/>
    <row r="40119" customFormat="1" ht="17.25" customHeight="1"/>
    <row r="40120" customFormat="1" ht="17.25" customHeight="1"/>
    <row r="40121" customFormat="1" ht="17.25" customHeight="1"/>
    <row r="40122" customFormat="1" ht="17.25" customHeight="1"/>
    <row r="40123" customFormat="1" ht="17.25" customHeight="1"/>
    <row r="40124" customFormat="1" ht="17.25" customHeight="1"/>
    <row r="40125" customFormat="1" ht="17.25" customHeight="1"/>
    <row r="40126" customFormat="1" ht="17.25" customHeight="1"/>
    <row r="40127" customFormat="1" ht="17.25" customHeight="1"/>
    <row r="40128" customFormat="1" ht="17.25" customHeight="1"/>
    <row r="40129" customFormat="1" ht="17.25" customHeight="1"/>
    <row r="40130" customFormat="1" ht="17.25" customHeight="1"/>
    <row r="40131" customFormat="1" ht="17.25" customHeight="1"/>
    <row r="40132" customFormat="1" ht="17.25" customHeight="1"/>
    <row r="40133" customFormat="1" ht="17.25" customHeight="1"/>
    <row r="40134" customFormat="1" ht="17.25" customHeight="1"/>
    <row r="40135" customFormat="1" ht="17.25" customHeight="1"/>
    <row r="40136" customFormat="1" ht="17.25" customHeight="1"/>
    <row r="40137" customFormat="1" ht="17.25" customHeight="1"/>
    <row r="40138" customFormat="1" ht="17.25" customHeight="1"/>
    <row r="40139" customFormat="1" ht="17.25" customHeight="1"/>
    <row r="40140" customFormat="1" ht="17.25" customHeight="1"/>
    <row r="40141" customFormat="1" ht="17.25" customHeight="1"/>
    <row r="40142" customFormat="1" ht="17.25" customHeight="1"/>
    <row r="40143" customFormat="1" ht="17.25" customHeight="1"/>
    <row r="40144" customFormat="1" ht="17.25" customHeight="1"/>
    <row r="40145" customFormat="1" ht="17.25" customHeight="1"/>
    <row r="40146" customFormat="1" ht="17.25" customHeight="1"/>
    <row r="40147" customFormat="1" ht="17.25" customHeight="1"/>
    <row r="40148" customFormat="1" ht="17.25" customHeight="1"/>
    <row r="40149" customFormat="1" ht="17.25" customHeight="1"/>
    <row r="40150" customFormat="1" ht="17.25" customHeight="1"/>
    <row r="40151" customFormat="1" ht="17.25" customHeight="1"/>
    <row r="40152" customFormat="1" ht="17.25" customHeight="1"/>
    <row r="40153" customFormat="1" ht="17.25" customHeight="1"/>
    <row r="40154" customFormat="1" ht="17.25" customHeight="1"/>
    <row r="40155" customFormat="1" ht="17.25" customHeight="1"/>
    <row r="40156" customFormat="1" ht="17.25" customHeight="1"/>
    <row r="40157" customFormat="1" ht="17.25" customHeight="1"/>
    <row r="40158" customFormat="1" ht="17.25" customHeight="1"/>
    <row r="40159" customFormat="1" ht="17.25" customHeight="1"/>
    <row r="40160" customFormat="1" ht="17.25" customHeight="1"/>
    <row r="40161" customFormat="1" ht="17.25" customHeight="1"/>
    <row r="40162" customFormat="1" ht="17.25" customHeight="1"/>
    <row r="40163" customFormat="1" ht="17.25" customHeight="1"/>
    <row r="40164" customFormat="1" ht="17.25" customHeight="1"/>
    <row r="40165" customFormat="1" ht="17.25" customHeight="1"/>
    <row r="40166" customFormat="1" ht="17.25" customHeight="1"/>
    <row r="40167" customFormat="1" ht="17.25" customHeight="1"/>
    <row r="40168" customFormat="1" ht="17.25" customHeight="1"/>
    <row r="40169" customFormat="1" ht="17.25" customHeight="1"/>
    <row r="40170" customFormat="1" ht="17.25" customHeight="1"/>
    <row r="40171" customFormat="1" ht="17.25" customHeight="1"/>
    <row r="40172" customFormat="1" ht="17.25" customHeight="1"/>
    <row r="40173" customFormat="1" ht="17.25" customHeight="1"/>
    <row r="40174" customFormat="1" ht="17.25" customHeight="1"/>
    <row r="40175" customFormat="1" ht="17.25" customHeight="1"/>
    <row r="40176" customFormat="1" ht="17.25" customHeight="1"/>
    <row r="40177" customFormat="1" ht="17.25" customHeight="1"/>
    <row r="40178" customFormat="1" ht="17.25" customHeight="1"/>
    <row r="40179" customFormat="1" ht="17.25" customHeight="1"/>
    <row r="40180" customFormat="1" ht="17.25" customHeight="1"/>
    <row r="40181" customFormat="1" ht="17.25" customHeight="1"/>
    <row r="40182" customFormat="1" ht="17.25" customHeight="1"/>
    <row r="40183" customFormat="1" ht="17.25" customHeight="1"/>
    <row r="40184" customFormat="1" ht="17.25" customHeight="1"/>
    <row r="40185" customFormat="1" ht="17.25" customHeight="1"/>
    <row r="40186" customFormat="1" ht="17.25" customHeight="1"/>
    <row r="40187" customFormat="1" ht="17.25" customHeight="1"/>
    <row r="40188" customFormat="1" ht="17.25" customHeight="1"/>
    <row r="40189" customFormat="1" ht="17.25" customHeight="1"/>
    <row r="40190" customFormat="1" ht="17.25" customHeight="1"/>
    <row r="40191" customFormat="1" ht="17.25" customHeight="1"/>
    <row r="40192" customFormat="1" ht="17.25" customHeight="1"/>
    <row r="40193" customFormat="1" ht="17.25" customHeight="1"/>
    <row r="40194" customFormat="1" ht="17.25" customHeight="1"/>
    <row r="40195" customFormat="1" ht="17.25" customHeight="1"/>
    <row r="40196" customFormat="1" ht="17.25" customHeight="1"/>
    <row r="40197" customFormat="1" ht="17.25" customHeight="1"/>
    <row r="40198" customFormat="1" ht="17.25" customHeight="1"/>
    <row r="40199" customFormat="1" ht="17.25" customHeight="1"/>
    <row r="40200" customFormat="1" ht="17.25" customHeight="1"/>
    <row r="40201" customFormat="1" ht="17.25" customHeight="1"/>
    <row r="40202" customFormat="1" ht="17.25" customHeight="1"/>
    <row r="40203" customFormat="1" ht="17.25" customHeight="1"/>
    <row r="40204" customFormat="1" ht="17.25" customHeight="1"/>
    <row r="40205" customFormat="1" ht="17.25" customHeight="1"/>
    <row r="40206" customFormat="1" ht="17.25" customHeight="1"/>
    <row r="40207" customFormat="1" ht="17.25" customHeight="1"/>
    <row r="40208" customFormat="1" ht="17.25" customHeight="1"/>
    <row r="40209" customFormat="1" ht="17.25" customHeight="1"/>
    <row r="40210" customFormat="1" ht="17.25" customHeight="1"/>
    <row r="40211" customFormat="1" ht="17.25" customHeight="1"/>
    <row r="40212" customFormat="1" ht="17.25" customHeight="1"/>
    <row r="40213" customFormat="1" ht="17.25" customHeight="1"/>
    <row r="40214" customFormat="1" ht="17.25" customHeight="1"/>
    <row r="40215" customFormat="1" ht="17.25" customHeight="1"/>
    <row r="40216" customFormat="1" ht="17.25" customHeight="1"/>
    <row r="40217" customFormat="1" ht="17.25" customHeight="1"/>
    <row r="40218" customFormat="1" ht="17.25" customHeight="1"/>
    <row r="40219" customFormat="1" ht="17.25" customHeight="1"/>
    <row r="40220" customFormat="1" ht="17.25" customHeight="1"/>
    <row r="40221" customFormat="1" ht="17.25" customHeight="1"/>
    <row r="40222" customFormat="1" ht="17.25" customHeight="1"/>
    <row r="40223" customFormat="1" ht="17.25" customHeight="1"/>
    <row r="40224" customFormat="1" ht="17.25" customHeight="1"/>
    <row r="40225" customFormat="1" ht="17.25" customHeight="1"/>
    <row r="40226" customFormat="1" ht="17.25" customHeight="1"/>
    <row r="40227" customFormat="1" ht="17.25" customHeight="1"/>
    <row r="40228" customFormat="1" ht="17.25" customHeight="1"/>
    <row r="40229" customFormat="1" ht="17.25" customHeight="1"/>
    <row r="40230" customFormat="1" ht="17.25" customHeight="1"/>
    <row r="40231" customFormat="1" ht="17.25" customHeight="1"/>
    <row r="40232" customFormat="1" ht="17.25" customHeight="1"/>
    <row r="40233" customFormat="1" ht="17.25" customHeight="1"/>
    <row r="40234" customFormat="1" ht="17.25" customHeight="1"/>
    <row r="40235" customFormat="1" ht="17.25" customHeight="1"/>
    <row r="40236" customFormat="1" ht="17.25" customHeight="1"/>
    <row r="40237" customFormat="1" ht="17.25" customHeight="1"/>
    <row r="40238" customFormat="1" ht="17.25" customHeight="1"/>
    <row r="40239" customFormat="1" ht="17.25" customHeight="1"/>
    <row r="40240" customFormat="1" ht="17.25" customHeight="1"/>
    <row r="40241" customFormat="1" ht="17.25" customHeight="1"/>
    <row r="40242" customFormat="1" ht="17.25" customHeight="1"/>
    <row r="40243" customFormat="1" ht="17.25" customHeight="1"/>
    <row r="40244" customFormat="1" ht="17.25" customHeight="1"/>
    <row r="40245" customFormat="1" ht="17.25" customHeight="1"/>
    <row r="40246" customFormat="1" ht="17.25" customHeight="1"/>
    <row r="40247" customFormat="1" ht="17.25" customHeight="1"/>
    <row r="40248" customFormat="1" ht="17.25" customHeight="1"/>
    <row r="40249" customFormat="1" ht="17.25" customHeight="1"/>
    <row r="40250" customFormat="1" ht="17.25" customHeight="1"/>
    <row r="40251" customFormat="1" ht="17.25" customHeight="1"/>
    <row r="40252" customFormat="1" ht="17.25" customHeight="1"/>
    <row r="40253" customFormat="1" ht="17.25" customHeight="1"/>
    <row r="40254" customFormat="1" ht="17.25" customHeight="1"/>
    <row r="40255" customFormat="1" ht="17.25" customHeight="1"/>
    <row r="40256" customFormat="1" ht="17.25" customHeight="1"/>
    <row r="40257" customFormat="1" ht="17.25" customHeight="1"/>
    <row r="40258" customFormat="1" ht="17.25" customHeight="1"/>
    <row r="40259" customFormat="1" ht="17.25" customHeight="1"/>
    <row r="40260" customFormat="1" ht="17.25" customHeight="1"/>
    <row r="40261" customFormat="1" ht="17.25" customHeight="1"/>
    <row r="40262" customFormat="1" ht="17.25" customHeight="1"/>
    <row r="40263" customFormat="1" ht="17.25" customHeight="1"/>
    <row r="40264" customFormat="1" ht="17.25" customHeight="1"/>
    <row r="40265" customFormat="1" ht="17.25" customHeight="1"/>
    <row r="40266" customFormat="1" ht="17.25" customHeight="1"/>
    <row r="40267" customFormat="1" ht="17.25" customHeight="1"/>
    <row r="40268" customFormat="1" ht="17.25" customHeight="1"/>
    <row r="40269" customFormat="1" ht="17.25" customHeight="1"/>
    <row r="40270" customFormat="1" ht="17.25" customHeight="1"/>
    <row r="40271" customFormat="1" ht="17.25" customHeight="1"/>
    <row r="40272" customFormat="1" ht="17.25" customHeight="1"/>
    <row r="40273" customFormat="1" ht="17.25" customHeight="1"/>
    <row r="40274" customFormat="1" ht="17.25" customHeight="1"/>
    <row r="40275" customFormat="1" ht="17.25" customHeight="1"/>
    <row r="40276" customFormat="1" ht="17.25" customHeight="1"/>
    <row r="40277" customFormat="1" ht="17.25" customHeight="1"/>
    <row r="40278" customFormat="1" ht="17.25" customHeight="1"/>
    <row r="40279" customFormat="1" ht="17.25" customHeight="1"/>
    <row r="40280" customFormat="1" ht="17.25" customHeight="1"/>
    <row r="40281" customFormat="1" ht="17.25" customHeight="1"/>
    <row r="40282" customFormat="1" ht="17.25" customHeight="1"/>
    <row r="40283" customFormat="1" ht="17.25" customHeight="1"/>
    <row r="40284" customFormat="1" ht="17.25" customHeight="1"/>
    <row r="40285" customFormat="1" ht="17.25" customHeight="1"/>
    <row r="40286" customFormat="1" ht="17.25" customHeight="1"/>
    <row r="40287" customFormat="1" ht="17.25" customHeight="1"/>
    <row r="40288" customFormat="1" ht="17.25" customHeight="1"/>
    <row r="40289" customFormat="1" ht="17.25" customHeight="1"/>
    <row r="40290" customFormat="1" ht="17.25" customHeight="1"/>
    <row r="40291" customFormat="1" ht="17.25" customHeight="1"/>
    <row r="40292" customFormat="1" ht="17.25" customHeight="1"/>
    <row r="40293" customFormat="1" ht="17.25" customHeight="1"/>
    <row r="40294" customFormat="1" ht="17.25" customHeight="1"/>
    <row r="40295" customFormat="1" ht="17.25" customHeight="1"/>
    <row r="40296" customFormat="1" ht="17.25" customHeight="1"/>
    <row r="40297" customFormat="1" ht="17.25" customHeight="1"/>
    <row r="40298" customFormat="1" ht="17.25" customHeight="1"/>
    <row r="40299" customFormat="1" ht="17.25" customHeight="1"/>
    <row r="40300" customFormat="1" ht="17.25" customHeight="1"/>
    <row r="40301" customFormat="1" ht="17.25" customHeight="1"/>
    <row r="40302" customFormat="1" ht="17.25" customHeight="1"/>
    <row r="40303" customFormat="1" ht="17.25" customHeight="1"/>
    <row r="40304" customFormat="1" ht="17.25" customHeight="1"/>
    <row r="40305" customFormat="1" ht="17.25" customHeight="1"/>
    <row r="40306" customFormat="1" ht="17.25" customHeight="1"/>
    <row r="40307" customFormat="1" ht="17.25" customHeight="1"/>
    <row r="40308" customFormat="1" ht="17.25" customHeight="1"/>
    <row r="40309" customFormat="1" ht="17.25" customHeight="1"/>
    <row r="40310" customFormat="1" ht="17.25" customHeight="1"/>
    <row r="40311" customFormat="1" ht="17.25" customHeight="1"/>
    <row r="40312" customFormat="1" ht="17.25" customHeight="1"/>
    <row r="40313" customFormat="1" ht="17.25" customHeight="1"/>
    <row r="40314" customFormat="1" ht="17.25" customHeight="1"/>
    <row r="40315" customFormat="1" ht="17.25" customHeight="1"/>
    <row r="40316" customFormat="1" ht="17.25" customHeight="1"/>
    <row r="40317" customFormat="1" ht="17.25" customHeight="1"/>
    <row r="40318" customFormat="1" ht="17.25" customHeight="1"/>
    <row r="40319" customFormat="1" ht="17.25" customHeight="1"/>
    <row r="40320" customFormat="1" ht="17.25" customHeight="1"/>
    <row r="40321" customFormat="1" ht="17.25" customHeight="1"/>
    <row r="40322" customFormat="1" ht="17.25" customHeight="1"/>
    <row r="40323" customFormat="1" ht="17.25" customHeight="1"/>
    <row r="40324" customFormat="1" ht="17.25" customHeight="1"/>
    <row r="40325" customFormat="1" ht="17.25" customHeight="1"/>
    <row r="40326" customFormat="1" ht="17.25" customHeight="1"/>
    <row r="40327" customFormat="1" ht="17.25" customHeight="1"/>
    <row r="40328" customFormat="1" ht="17.25" customHeight="1"/>
    <row r="40329" customFormat="1" ht="17.25" customHeight="1"/>
    <row r="40330" customFormat="1" ht="17.25" customHeight="1"/>
    <row r="40331" customFormat="1" ht="17.25" customHeight="1"/>
    <row r="40332" customFormat="1" ht="17.25" customHeight="1"/>
    <row r="40333" customFormat="1" ht="17.25" customHeight="1"/>
    <row r="40334" customFormat="1" ht="17.25" customHeight="1"/>
    <row r="40335" customFormat="1" ht="17.25" customHeight="1"/>
    <row r="40336" customFormat="1" ht="17.25" customHeight="1"/>
    <row r="40337" customFormat="1" ht="17.25" customHeight="1"/>
    <row r="40338" customFormat="1" ht="17.25" customHeight="1"/>
    <row r="40339" customFormat="1" ht="17.25" customHeight="1"/>
    <row r="40340" customFormat="1" ht="17.25" customHeight="1"/>
    <row r="40341" customFormat="1" ht="17.25" customHeight="1"/>
    <row r="40342" customFormat="1" ht="17.25" customHeight="1"/>
    <row r="40343" customFormat="1" ht="17.25" customHeight="1"/>
    <row r="40344" customFormat="1" ht="17.25" customHeight="1"/>
    <row r="40345" customFormat="1" ht="17.25" customHeight="1"/>
    <row r="40346" customFormat="1" ht="17.25" customHeight="1"/>
    <row r="40347" customFormat="1" ht="17.25" customHeight="1"/>
    <row r="40348" customFormat="1" ht="17.25" customHeight="1"/>
    <row r="40349" customFormat="1" ht="17.25" customHeight="1"/>
    <row r="40350" customFormat="1" ht="17.25" customHeight="1"/>
    <row r="40351" customFormat="1" ht="17.25" customHeight="1"/>
    <row r="40352" customFormat="1" ht="17.25" customHeight="1"/>
    <row r="40353" customFormat="1" ht="17.25" customHeight="1"/>
    <row r="40354" customFormat="1" ht="17.25" customHeight="1"/>
    <row r="40355" customFormat="1" ht="17.25" customHeight="1"/>
    <row r="40356" customFormat="1" ht="17.25" customHeight="1"/>
    <row r="40357" customFormat="1" ht="17.25" customHeight="1"/>
    <row r="40358" customFormat="1" ht="17.25" customHeight="1"/>
    <row r="40359" customFormat="1" ht="17.25" customHeight="1"/>
    <row r="40360" customFormat="1" ht="17.25" customHeight="1"/>
    <row r="40361" customFormat="1" ht="17.25" customHeight="1"/>
    <row r="40362" customFormat="1" ht="17.25" customHeight="1"/>
    <row r="40363" customFormat="1" ht="17.25" customHeight="1"/>
    <row r="40364" customFormat="1" ht="17.25" customHeight="1"/>
    <row r="40365" customFormat="1" ht="17.25" customHeight="1"/>
    <row r="40366" customFormat="1" ht="17.25" customHeight="1"/>
    <row r="40367" customFormat="1" ht="17.25" customHeight="1"/>
    <row r="40368" customFormat="1" ht="17.25" customHeight="1"/>
    <row r="40369" customFormat="1" ht="17.25" customHeight="1"/>
    <row r="40370" customFormat="1" ht="17.25" customHeight="1"/>
    <row r="40371" customFormat="1" ht="17.25" customHeight="1"/>
    <row r="40372" customFormat="1" ht="17.25" customHeight="1"/>
    <row r="40373" customFormat="1" ht="17.25" customHeight="1"/>
    <row r="40374" customFormat="1" ht="17.25" customHeight="1"/>
    <row r="40375" customFormat="1" ht="17.25" customHeight="1"/>
    <row r="40376" customFormat="1" ht="17.25" customHeight="1"/>
    <row r="40377" customFormat="1" ht="17.25" customHeight="1"/>
    <row r="40378" customFormat="1" ht="17.25" customHeight="1"/>
    <row r="40379" customFormat="1" ht="17.25" customHeight="1"/>
    <row r="40380" customFormat="1" ht="17.25" customHeight="1"/>
    <row r="40381" customFormat="1" ht="17.25" customHeight="1"/>
    <row r="40382" customFormat="1" ht="17.25" customHeight="1"/>
    <row r="40383" customFormat="1" ht="17.25" customHeight="1"/>
    <row r="40384" customFormat="1" ht="17.25" customHeight="1"/>
    <row r="40385" customFormat="1" ht="17.25" customHeight="1"/>
    <row r="40386" customFormat="1" ht="17.25" customHeight="1"/>
    <row r="40387" customFormat="1" ht="17.25" customHeight="1"/>
    <row r="40388" customFormat="1" ht="17.25" customHeight="1"/>
    <row r="40389" customFormat="1" ht="17.25" customHeight="1"/>
    <row r="40390" customFormat="1" ht="17.25" customHeight="1"/>
    <row r="40391" customFormat="1" ht="17.25" customHeight="1"/>
    <row r="40392" customFormat="1" ht="17.25" customHeight="1"/>
    <row r="40393" customFormat="1" ht="17.25" customHeight="1"/>
    <row r="40394" customFormat="1" ht="17.25" customHeight="1"/>
    <row r="40395" customFormat="1" ht="17.25" customHeight="1"/>
    <row r="40396" customFormat="1" ht="17.25" customHeight="1"/>
    <row r="40397" customFormat="1" ht="17.25" customHeight="1"/>
    <row r="40398" customFormat="1" ht="17.25" customHeight="1"/>
    <row r="40399" customFormat="1" ht="17.25" customHeight="1"/>
    <row r="40400" customFormat="1" ht="17.25" customHeight="1"/>
    <row r="40401" customFormat="1" ht="17.25" customHeight="1"/>
    <row r="40402" customFormat="1" ht="17.25" customHeight="1"/>
    <row r="40403" customFormat="1" ht="17.25" customHeight="1"/>
    <row r="40404" customFormat="1" ht="17.25" customHeight="1"/>
    <row r="40405" customFormat="1" ht="17.25" customHeight="1"/>
    <row r="40406" customFormat="1" ht="17.25" customHeight="1"/>
    <row r="40407" customFormat="1" ht="17.25" customHeight="1"/>
    <row r="40408" customFormat="1" ht="17.25" customHeight="1"/>
    <row r="40409" customFormat="1" ht="17.25" customHeight="1"/>
    <row r="40410" customFormat="1" ht="17.25" customHeight="1"/>
    <row r="40411" customFormat="1" ht="17.25" customHeight="1"/>
    <row r="40412" customFormat="1" ht="17.25" customHeight="1"/>
    <row r="40413" customFormat="1" ht="17.25" customHeight="1"/>
    <row r="40414" customFormat="1" ht="17.25" customHeight="1"/>
    <row r="40415" customFormat="1" ht="17.25" customHeight="1"/>
    <row r="40416" customFormat="1" ht="17.25" customHeight="1"/>
    <row r="40417" customFormat="1" ht="17.25" customHeight="1"/>
    <row r="40418" customFormat="1" ht="17.25" customHeight="1"/>
    <row r="40419" customFormat="1" ht="17.25" customHeight="1"/>
    <row r="40420" customFormat="1" ht="17.25" customHeight="1"/>
    <row r="40421" customFormat="1" ht="17.25" customHeight="1"/>
    <row r="40422" customFormat="1" ht="17.25" customHeight="1"/>
    <row r="40423" customFormat="1" ht="17.25" customHeight="1"/>
    <row r="40424" customFormat="1" ht="17.25" customHeight="1"/>
    <row r="40425" customFormat="1" ht="17.25" customHeight="1"/>
    <row r="40426" customFormat="1" ht="17.25" customHeight="1"/>
    <row r="40427" customFormat="1" ht="17.25" customHeight="1"/>
    <row r="40428" customFormat="1" ht="17.25" customHeight="1"/>
    <row r="40429" customFormat="1" ht="17.25" customHeight="1"/>
    <row r="40430" customFormat="1" ht="17.25" customHeight="1"/>
    <row r="40431" customFormat="1" ht="17.25" customHeight="1"/>
    <row r="40432" customFormat="1" ht="17.25" customHeight="1"/>
    <row r="40433" customFormat="1" ht="17.25" customHeight="1"/>
    <row r="40434" customFormat="1" ht="17.25" customHeight="1"/>
    <row r="40435" customFormat="1" ht="17.25" customHeight="1"/>
    <row r="40436" customFormat="1" ht="17.25" customHeight="1"/>
    <row r="40437" customFormat="1" ht="17.25" customHeight="1"/>
    <row r="40438" customFormat="1" ht="17.25" customHeight="1"/>
    <row r="40439" customFormat="1" ht="17.25" customHeight="1"/>
    <row r="40440" customFormat="1" ht="17.25" customHeight="1"/>
    <row r="40441" customFormat="1" ht="17.25" customHeight="1"/>
    <row r="40442" customFormat="1" ht="17.25" customHeight="1"/>
    <row r="40443" customFormat="1" ht="17.25" customHeight="1"/>
    <row r="40444" customFormat="1" ht="17.25" customHeight="1"/>
    <row r="40445" customFormat="1" ht="17.25" customHeight="1"/>
    <row r="40446" customFormat="1" ht="17.25" customHeight="1"/>
    <row r="40447" customFormat="1" ht="17.25" customHeight="1"/>
    <row r="40448" customFormat="1" ht="17.25" customHeight="1"/>
    <row r="40449" customFormat="1" ht="17.25" customHeight="1"/>
    <row r="40450" customFormat="1" ht="17.25" customHeight="1"/>
    <row r="40451" customFormat="1" ht="17.25" customHeight="1"/>
    <row r="40452" customFormat="1" ht="17.25" customHeight="1"/>
    <row r="40453" customFormat="1" ht="17.25" customHeight="1"/>
    <row r="40454" customFormat="1" ht="17.25" customHeight="1"/>
    <row r="40455" customFormat="1" ht="17.25" customHeight="1"/>
    <row r="40456" customFormat="1" ht="17.25" customHeight="1"/>
    <row r="40457" customFormat="1" ht="17.25" customHeight="1"/>
    <row r="40458" customFormat="1" ht="17.25" customHeight="1"/>
    <row r="40459" customFormat="1" ht="17.25" customHeight="1"/>
    <row r="40460" customFormat="1" ht="17.25" customHeight="1"/>
    <row r="40461" customFormat="1" ht="17.25" customHeight="1"/>
    <row r="40462" customFormat="1" ht="17.25" customHeight="1"/>
    <row r="40463" customFormat="1" ht="17.25" customHeight="1"/>
    <row r="40464" customFormat="1" ht="17.25" customHeight="1"/>
    <row r="40465" customFormat="1" ht="17.25" customHeight="1"/>
    <row r="40466" customFormat="1" ht="17.25" customHeight="1"/>
    <row r="40467" customFormat="1" ht="17.25" customHeight="1"/>
    <row r="40468" customFormat="1" ht="17.25" customHeight="1"/>
    <row r="40469" customFormat="1" ht="17.25" customHeight="1"/>
    <row r="40470" customFormat="1" ht="17.25" customHeight="1"/>
    <row r="40471" customFormat="1" ht="17.25" customHeight="1"/>
    <row r="40472" customFormat="1" ht="17.25" customHeight="1"/>
    <row r="40473" customFormat="1" ht="17.25" customHeight="1"/>
    <row r="40474" customFormat="1" ht="17.25" customHeight="1"/>
    <row r="40475" customFormat="1" ht="17.25" customHeight="1"/>
    <row r="40476" customFormat="1" ht="17.25" customHeight="1"/>
    <row r="40477" customFormat="1" ht="17.25" customHeight="1"/>
    <row r="40478" customFormat="1" ht="17.25" customHeight="1"/>
    <row r="40479" customFormat="1" ht="17.25" customHeight="1"/>
    <row r="40480" customFormat="1" ht="17.25" customHeight="1"/>
    <row r="40481" customFormat="1" ht="17.25" customHeight="1"/>
    <row r="40482" customFormat="1" ht="17.25" customHeight="1"/>
    <row r="40483" customFormat="1" ht="17.25" customHeight="1"/>
    <row r="40484" customFormat="1" ht="17.25" customHeight="1"/>
    <row r="40485" customFormat="1" ht="17.25" customHeight="1"/>
    <row r="40486" customFormat="1" ht="17.25" customHeight="1"/>
    <row r="40487" customFormat="1" ht="17.25" customHeight="1"/>
    <row r="40488" customFormat="1" ht="17.25" customHeight="1"/>
    <row r="40489" customFormat="1" ht="17.25" customHeight="1"/>
    <row r="40490" customFormat="1" ht="17.25" customHeight="1"/>
    <row r="40491" customFormat="1" ht="17.25" customHeight="1"/>
    <row r="40492" customFormat="1" ht="17.25" customHeight="1"/>
    <row r="40493" customFormat="1" ht="17.25" customHeight="1"/>
    <row r="40494" customFormat="1" ht="17.25" customHeight="1"/>
    <row r="40495" customFormat="1" ht="17.25" customHeight="1"/>
    <row r="40496" customFormat="1" ht="17.25" customHeight="1"/>
    <row r="40497" customFormat="1" ht="17.25" customHeight="1"/>
    <row r="40498" customFormat="1" ht="17.25" customHeight="1"/>
    <row r="40499" customFormat="1" ht="17.25" customHeight="1"/>
    <row r="40500" customFormat="1" ht="17.25" customHeight="1"/>
    <row r="40501" customFormat="1" ht="17.25" customHeight="1"/>
    <row r="40502" customFormat="1" ht="17.25" customHeight="1"/>
    <row r="40503" customFormat="1" ht="17.25" customHeight="1"/>
    <row r="40504" customFormat="1" ht="17.25" customHeight="1"/>
    <row r="40505" customFormat="1" ht="17.25" customHeight="1"/>
    <row r="40506" customFormat="1" ht="17.25" customHeight="1"/>
    <row r="40507" customFormat="1" ht="17.25" customHeight="1"/>
    <row r="40508" customFormat="1" ht="17.25" customHeight="1"/>
    <row r="40509" customFormat="1" ht="17.25" customHeight="1"/>
    <row r="40510" customFormat="1" ht="17.25" customHeight="1"/>
    <row r="40511" customFormat="1" ht="17.25" customHeight="1"/>
    <row r="40512" customFormat="1" ht="17.25" customHeight="1"/>
    <row r="40513" customFormat="1" ht="17.25" customHeight="1"/>
    <row r="40514" customFormat="1" ht="17.25" customHeight="1"/>
    <row r="40515" customFormat="1" ht="17.25" customHeight="1"/>
    <row r="40516" customFormat="1" ht="17.25" customHeight="1"/>
    <row r="40517" customFormat="1" ht="17.25" customHeight="1"/>
    <row r="40518" customFormat="1" ht="17.25" customHeight="1"/>
    <row r="40519" customFormat="1" ht="17.25" customHeight="1"/>
    <row r="40520" customFormat="1" ht="17.25" customHeight="1"/>
    <row r="40521" customFormat="1" ht="17.25" customHeight="1"/>
    <row r="40522" customFormat="1" ht="17.25" customHeight="1"/>
    <row r="40523" customFormat="1" ht="17.25" customHeight="1"/>
    <row r="40524" customFormat="1" ht="17.25" customHeight="1"/>
    <row r="40525" customFormat="1" ht="17.25" customHeight="1"/>
    <row r="40526" customFormat="1" ht="17.25" customHeight="1"/>
    <row r="40527" customFormat="1" ht="17.25" customHeight="1"/>
    <row r="40528" customFormat="1" ht="17.25" customHeight="1"/>
    <row r="40529" customFormat="1" ht="17.25" customHeight="1"/>
    <row r="40530" customFormat="1" ht="17.25" customHeight="1"/>
    <row r="40531" customFormat="1" ht="17.25" customHeight="1"/>
    <row r="40532" customFormat="1" ht="17.25" customHeight="1"/>
    <row r="40533" customFormat="1" ht="17.25" customHeight="1"/>
    <row r="40534" customFormat="1" ht="17.25" customHeight="1"/>
    <row r="40535" customFormat="1" ht="17.25" customHeight="1"/>
    <row r="40536" customFormat="1" ht="17.25" customHeight="1"/>
    <row r="40537" customFormat="1" ht="17.25" customHeight="1"/>
    <row r="40538" customFormat="1" ht="17.25" customHeight="1"/>
    <row r="40539" customFormat="1" ht="17.25" customHeight="1"/>
    <row r="40540" customFormat="1" ht="17.25" customHeight="1"/>
    <row r="40541" customFormat="1" ht="17.25" customHeight="1"/>
    <row r="40542" customFormat="1" ht="17.25" customHeight="1"/>
    <row r="40543" customFormat="1" ht="17.25" customHeight="1"/>
    <row r="40544" customFormat="1" ht="17.25" customHeight="1"/>
    <row r="40545" customFormat="1" ht="17.25" customHeight="1"/>
    <row r="40546" customFormat="1" ht="17.25" customHeight="1"/>
    <row r="40547" customFormat="1" ht="17.25" customHeight="1"/>
    <row r="40548" customFormat="1" ht="17.25" customHeight="1"/>
    <row r="40549" customFormat="1" ht="17.25" customHeight="1"/>
    <row r="40550" customFormat="1" ht="17.25" customHeight="1"/>
    <row r="40551" customFormat="1" ht="17.25" customHeight="1"/>
    <row r="40552" customFormat="1" ht="17.25" customHeight="1"/>
    <row r="40553" customFormat="1" ht="17.25" customHeight="1"/>
    <row r="40554" customFormat="1" ht="17.25" customHeight="1"/>
    <row r="40555" customFormat="1" ht="17.25" customHeight="1"/>
    <row r="40556" customFormat="1" ht="17.25" customHeight="1"/>
    <row r="40557" customFormat="1" ht="17.25" customHeight="1"/>
    <row r="40558" customFormat="1" ht="17.25" customHeight="1"/>
    <row r="40559" customFormat="1" ht="17.25" customHeight="1"/>
    <row r="40560" customFormat="1" ht="17.25" customHeight="1"/>
    <row r="40561" customFormat="1" ht="17.25" customHeight="1"/>
    <row r="40562" customFormat="1" ht="17.25" customHeight="1"/>
    <row r="40563" customFormat="1" ht="17.25" customHeight="1"/>
    <row r="40564" customFormat="1" ht="17.25" customHeight="1"/>
    <row r="40565" customFormat="1" ht="17.25" customHeight="1"/>
    <row r="40566" customFormat="1" ht="17.25" customHeight="1"/>
    <row r="40567" customFormat="1" ht="17.25" customHeight="1"/>
    <row r="40568" customFormat="1" ht="17.25" customHeight="1"/>
    <row r="40569" customFormat="1" ht="17.25" customHeight="1"/>
    <row r="40570" customFormat="1" ht="17.25" customHeight="1"/>
    <row r="40571" customFormat="1" ht="17.25" customHeight="1"/>
    <row r="40572" customFormat="1" ht="17.25" customHeight="1"/>
    <row r="40573" customFormat="1" ht="17.25" customHeight="1"/>
    <row r="40574" customFormat="1" ht="17.25" customHeight="1"/>
    <row r="40575" customFormat="1" ht="17.25" customHeight="1"/>
    <row r="40576" customFormat="1" ht="17.25" customHeight="1"/>
    <row r="40577" customFormat="1" ht="17.25" customHeight="1"/>
    <row r="40578" customFormat="1" ht="17.25" customHeight="1"/>
    <row r="40579" customFormat="1" ht="17.25" customHeight="1"/>
    <row r="40580" customFormat="1" ht="17.25" customHeight="1"/>
    <row r="40581" customFormat="1" ht="17.25" customHeight="1"/>
    <row r="40582" customFormat="1" ht="17.25" customHeight="1"/>
    <row r="40583" customFormat="1" ht="17.25" customHeight="1"/>
    <row r="40584" customFormat="1" ht="17.25" customHeight="1"/>
    <row r="40585" customFormat="1" ht="17.25" customHeight="1"/>
    <row r="40586" customFormat="1" ht="17.25" customHeight="1"/>
    <row r="40587" customFormat="1" ht="17.25" customHeight="1"/>
    <row r="40588" customFormat="1" ht="17.25" customHeight="1"/>
    <row r="40589" customFormat="1" ht="17.25" customHeight="1"/>
    <row r="40590" customFormat="1" ht="17.25" customHeight="1"/>
    <row r="40591" customFormat="1" ht="17.25" customHeight="1"/>
    <row r="40592" customFormat="1" ht="17.25" customHeight="1"/>
    <row r="40593" customFormat="1" ht="17.25" customHeight="1"/>
    <row r="40594" customFormat="1" ht="17.25" customHeight="1"/>
    <row r="40595" customFormat="1" ht="17.25" customHeight="1"/>
    <row r="40596" customFormat="1" ht="17.25" customHeight="1"/>
    <row r="40597" customFormat="1" ht="17.25" customHeight="1"/>
    <row r="40598" customFormat="1" ht="17.25" customHeight="1"/>
    <row r="40599" customFormat="1" ht="17.25" customHeight="1"/>
    <row r="40600" customFormat="1" ht="17.25" customHeight="1"/>
    <row r="40601" customFormat="1" ht="17.25" customHeight="1"/>
    <row r="40602" customFormat="1" ht="17.25" customHeight="1"/>
    <row r="40603" customFormat="1" ht="17.25" customHeight="1"/>
    <row r="40604" customFormat="1" ht="17.25" customHeight="1"/>
    <row r="40605" customFormat="1" ht="17.25" customHeight="1"/>
    <row r="40606" customFormat="1" ht="17.25" customHeight="1"/>
    <row r="40607" customFormat="1" ht="17.25" customHeight="1"/>
    <row r="40608" customFormat="1" ht="17.25" customHeight="1"/>
    <row r="40609" customFormat="1" ht="17.25" customHeight="1"/>
    <row r="40610" customFormat="1" ht="17.25" customHeight="1"/>
    <row r="40611" customFormat="1" ht="17.25" customHeight="1"/>
    <row r="40612" customFormat="1" ht="17.25" customHeight="1"/>
    <row r="40613" customFormat="1" ht="17.25" customHeight="1"/>
    <row r="40614" customFormat="1" ht="17.25" customHeight="1"/>
    <row r="40615" customFormat="1" ht="17.25" customHeight="1"/>
    <row r="40616" customFormat="1" ht="17.25" customHeight="1"/>
    <row r="40617" customFormat="1" ht="17.25" customHeight="1"/>
    <row r="40618" customFormat="1" ht="17.25" customHeight="1"/>
    <row r="40619" customFormat="1" ht="17.25" customHeight="1"/>
    <row r="40620" customFormat="1" ht="17.25" customHeight="1"/>
    <row r="40621" customFormat="1" ht="17.25" customHeight="1"/>
    <row r="40622" customFormat="1" ht="17.25" customHeight="1"/>
    <row r="40623" customFormat="1" ht="17.25" customHeight="1"/>
    <row r="40624" customFormat="1" ht="17.25" customHeight="1"/>
    <row r="40625" customFormat="1" ht="17.25" customHeight="1"/>
    <row r="40626" customFormat="1" ht="17.25" customHeight="1"/>
    <row r="40627" customFormat="1" ht="17.25" customHeight="1"/>
    <row r="40628" customFormat="1" ht="17.25" customHeight="1"/>
    <row r="40629" customFormat="1" ht="17.25" customHeight="1"/>
    <row r="40630" customFormat="1" ht="17.25" customHeight="1"/>
    <row r="40631" customFormat="1" ht="17.25" customHeight="1"/>
    <row r="40632" customFormat="1" ht="17.25" customHeight="1"/>
    <row r="40633" customFormat="1" ht="17.25" customHeight="1"/>
    <row r="40634" customFormat="1" ht="17.25" customHeight="1"/>
    <row r="40635" customFormat="1" ht="17.25" customHeight="1"/>
    <row r="40636" customFormat="1" ht="17.25" customHeight="1"/>
    <row r="40637" customFormat="1" ht="17.25" customHeight="1"/>
    <row r="40638" customFormat="1" ht="17.25" customHeight="1"/>
    <row r="40639" customFormat="1" ht="17.25" customHeight="1"/>
    <row r="40640" customFormat="1" ht="17.25" customHeight="1"/>
    <row r="40641" customFormat="1" ht="17.25" customHeight="1"/>
    <row r="40642" customFormat="1" ht="17.25" customHeight="1"/>
    <row r="40643" customFormat="1" ht="17.25" customHeight="1"/>
    <row r="40644" customFormat="1" ht="17.25" customHeight="1"/>
    <row r="40645" customFormat="1" ht="17.25" customHeight="1"/>
    <row r="40646" customFormat="1" ht="17.25" customHeight="1"/>
    <row r="40647" customFormat="1" ht="17.25" customHeight="1"/>
    <row r="40648" customFormat="1" ht="17.25" customHeight="1"/>
    <row r="40649" customFormat="1" ht="17.25" customHeight="1"/>
    <row r="40650" customFormat="1" ht="17.25" customHeight="1"/>
    <row r="40651" customFormat="1" ht="17.25" customHeight="1"/>
    <row r="40652" customFormat="1" ht="17.25" customHeight="1"/>
    <row r="40653" customFormat="1" ht="17.25" customHeight="1"/>
    <row r="40654" customFormat="1" ht="17.25" customHeight="1"/>
    <row r="40655" customFormat="1" ht="17.25" customHeight="1"/>
    <row r="40656" customFormat="1" ht="17.25" customHeight="1"/>
    <row r="40657" customFormat="1" ht="17.25" customHeight="1"/>
    <row r="40658" customFormat="1" ht="17.25" customHeight="1"/>
    <row r="40659" customFormat="1" ht="17.25" customHeight="1"/>
    <row r="40660" customFormat="1" ht="17.25" customHeight="1"/>
    <row r="40661" customFormat="1" ht="17.25" customHeight="1"/>
    <row r="40662" customFormat="1" ht="17.25" customHeight="1"/>
    <row r="40663" customFormat="1" ht="17.25" customHeight="1"/>
    <row r="40664" customFormat="1" ht="17.25" customHeight="1"/>
    <row r="40665" customFormat="1" ht="17.25" customHeight="1"/>
    <row r="40666" customFormat="1" ht="17.25" customHeight="1"/>
    <row r="40667" customFormat="1" ht="17.25" customHeight="1"/>
    <row r="40668" customFormat="1" ht="17.25" customHeight="1"/>
    <row r="40669" customFormat="1" ht="17.25" customHeight="1"/>
    <row r="40670" customFormat="1" ht="17.25" customHeight="1"/>
    <row r="40671" customFormat="1" ht="17.25" customHeight="1"/>
    <row r="40672" customFormat="1" ht="17.25" customHeight="1"/>
    <row r="40673" customFormat="1" ht="17.25" customHeight="1"/>
    <row r="40674" customFormat="1" ht="17.25" customHeight="1"/>
    <row r="40675" customFormat="1" ht="17.25" customHeight="1"/>
    <row r="40676" customFormat="1" ht="17.25" customHeight="1"/>
    <row r="40677" customFormat="1" ht="17.25" customHeight="1"/>
    <row r="40678" customFormat="1" ht="17.25" customHeight="1"/>
    <row r="40679" customFormat="1" ht="17.25" customHeight="1"/>
    <row r="40680" customFormat="1" ht="17.25" customHeight="1"/>
    <row r="40681" customFormat="1" ht="17.25" customHeight="1"/>
    <row r="40682" customFormat="1" ht="17.25" customHeight="1"/>
    <row r="40683" customFormat="1" ht="17.25" customHeight="1"/>
    <row r="40684" customFormat="1" ht="17.25" customHeight="1"/>
    <row r="40685" customFormat="1" ht="17.25" customHeight="1"/>
    <row r="40686" customFormat="1" ht="17.25" customHeight="1"/>
    <row r="40687" customFormat="1" ht="17.25" customHeight="1"/>
    <row r="40688" customFormat="1" ht="17.25" customHeight="1"/>
    <row r="40689" customFormat="1" ht="17.25" customHeight="1"/>
    <row r="40690" customFormat="1" ht="17.25" customHeight="1"/>
    <row r="40691" customFormat="1" ht="17.25" customHeight="1"/>
    <row r="40692" customFormat="1" ht="17.25" customHeight="1"/>
    <row r="40693" customFormat="1" ht="17.25" customHeight="1"/>
    <row r="40694" customFormat="1" ht="17.25" customHeight="1"/>
    <row r="40695" customFormat="1" ht="17.25" customHeight="1"/>
    <row r="40696" customFormat="1" ht="17.25" customHeight="1"/>
    <row r="40697" customFormat="1" ht="17.25" customHeight="1"/>
    <row r="40698" customFormat="1" ht="17.25" customHeight="1"/>
    <row r="40699" customFormat="1" ht="17.25" customHeight="1"/>
    <row r="40700" customFormat="1" ht="17.25" customHeight="1"/>
    <row r="40701" customFormat="1" ht="17.25" customHeight="1"/>
    <row r="40702" customFormat="1" ht="17.25" customHeight="1"/>
    <row r="40703" customFormat="1" ht="17.25" customHeight="1"/>
    <row r="40704" customFormat="1" ht="17.25" customHeight="1"/>
    <row r="40705" customFormat="1" ht="17.25" customHeight="1"/>
    <row r="40706" customFormat="1" ht="17.25" customHeight="1"/>
    <row r="40707" customFormat="1" ht="17.25" customHeight="1"/>
    <row r="40708" customFormat="1" ht="17.25" customHeight="1"/>
    <row r="40709" customFormat="1" ht="17.25" customHeight="1"/>
    <row r="40710" customFormat="1" ht="17.25" customHeight="1"/>
    <row r="40711" customFormat="1" ht="17.25" customHeight="1"/>
    <row r="40712" customFormat="1" ht="17.25" customHeight="1"/>
    <row r="40713" customFormat="1" ht="17.25" customHeight="1"/>
    <row r="40714" customFormat="1" ht="17.25" customHeight="1"/>
    <row r="40715" customFormat="1" ht="17.25" customHeight="1"/>
    <row r="40716" customFormat="1" ht="17.25" customHeight="1"/>
    <row r="40717" customFormat="1" ht="17.25" customHeight="1"/>
    <row r="40718" customFormat="1" ht="17.25" customHeight="1"/>
    <row r="40719" customFormat="1" ht="17.25" customHeight="1"/>
    <row r="40720" customFormat="1" ht="17.25" customHeight="1"/>
    <row r="40721" customFormat="1" ht="17.25" customHeight="1"/>
    <row r="40722" customFormat="1" ht="17.25" customHeight="1"/>
    <row r="40723" customFormat="1" ht="17.25" customHeight="1"/>
    <row r="40724" customFormat="1" ht="17.25" customHeight="1"/>
    <row r="40725" customFormat="1" ht="17.25" customHeight="1"/>
    <row r="40726" customFormat="1" ht="17.25" customHeight="1"/>
    <row r="40727" customFormat="1" ht="17.25" customHeight="1"/>
    <row r="40728" customFormat="1" ht="17.25" customHeight="1"/>
    <row r="40729" customFormat="1" ht="17.25" customHeight="1"/>
    <row r="40730" customFormat="1" ht="17.25" customHeight="1"/>
    <row r="40731" customFormat="1" ht="17.25" customHeight="1"/>
    <row r="40732" customFormat="1" ht="17.25" customHeight="1"/>
    <row r="40733" customFormat="1" ht="17.25" customHeight="1"/>
    <row r="40734" customFormat="1" ht="17.25" customHeight="1"/>
    <row r="40735" customFormat="1" ht="17.25" customHeight="1"/>
    <row r="40736" customFormat="1" ht="17.25" customHeight="1"/>
    <row r="40737" customFormat="1" ht="17.25" customHeight="1"/>
    <row r="40738" customFormat="1" ht="17.25" customHeight="1"/>
    <row r="40739" customFormat="1" ht="17.25" customHeight="1"/>
    <row r="40740" customFormat="1" ht="17.25" customHeight="1"/>
    <row r="40741" customFormat="1" ht="17.25" customHeight="1"/>
    <row r="40742" customFormat="1" ht="17.25" customHeight="1"/>
    <row r="40743" customFormat="1" ht="17.25" customHeight="1"/>
    <row r="40744" customFormat="1" ht="17.25" customHeight="1"/>
    <row r="40745" customFormat="1" ht="17.25" customHeight="1"/>
    <row r="40746" customFormat="1" ht="17.25" customHeight="1"/>
    <row r="40747" customFormat="1" ht="17.25" customHeight="1"/>
    <row r="40748" customFormat="1" ht="17.25" customHeight="1"/>
    <row r="40749" customFormat="1" ht="17.25" customHeight="1"/>
    <row r="40750" customFormat="1" ht="17.25" customHeight="1"/>
    <row r="40751" customFormat="1" ht="17.25" customHeight="1"/>
    <row r="40752" customFormat="1" ht="17.25" customHeight="1"/>
    <row r="40753" customFormat="1" ht="17.25" customHeight="1"/>
    <row r="40754" customFormat="1" ht="17.25" customHeight="1"/>
    <row r="40755" customFormat="1" ht="17.25" customHeight="1"/>
    <row r="40756" customFormat="1" ht="17.25" customHeight="1"/>
    <row r="40757" customFormat="1" ht="17.25" customHeight="1"/>
    <row r="40758" customFormat="1" ht="17.25" customHeight="1"/>
    <row r="40759" customFormat="1" ht="17.25" customHeight="1"/>
    <row r="40760" customFormat="1" ht="17.25" customHeight="1"/>
    <row r="40761" customFormat="1" ht="17.25" customHeight="1"/>
    <row r="40762" customFormat="1" ht="17.25" customHeight="1"/>
    <row r="40763" customFormat="1" ht="17.25" customHeight="1"/>
    <row r="40764" customFormat="1" ht="17.25" customHeight="1"/>
    <row r="40765" customFormat="1" ht="17.25" customHeight="1"/>
    <row r="40766" customFormat="1" ht="17.25" customHeight="1"/>
    <row r="40767" customFormat="1" ht="17.25" customHeight="1"/>
    <row r="40768" customFormat="1" ht="17.25" customHeight="1"/>
    <row r="40769" customFormat="1" ht="17.25" customHeight="1"/>
    <row r="40770" customFormat="1" ht="17.25" customHeight="1"/>
    <row r="40771" customFormat="1" ht="17.25" customHeight="1"/>
    <row r="40772" customFormat="1" ht="17.25" customHeight="1"/>
    <row r="40773" customFormat="1" ht="17.25" customHeight="1"/>
    <row r="40774" customFormat="1" ht="17.25" customHeight="1"/>
    <row r="40775" customFormat="1" ht="17.25" customHeight="1"/>
    <row r="40776" customFormat="1" ht="17.25" customHeight="1"/>
    <row r="40777" customFormat="1" ht="17.25" customHeight="1"/>
    <row r="40778" customFormat="1" ht="17.25" customHeight="1"/>
    <row r="40779" customFormat="1" ht="17.25" customHeight="1"/>
    <row r="40780" customFormat="1" ht="17.25" customHeight="1"/>
    <row r="40781" customFormat="1" ht="17.25" customHeight="1"/>
    <row r="40782" customFormat="1" ht="17.25" customHeight="1"/>
    <row r="40783" customFormat="1" ht="17.25" customHeight="1"/>
    <row r="40784" customFormat="1" ht="17.25" customHeight="1"/>
    <row r="40785" customFormat="1" ht="17.25" customHeight="1"/>
    <row r="40786" customFormat="1" ht="17.25" customHeight="1"/>
    <row r="40787" customFormat="1" ht="17.25" customHeight="1"/>
    <row r="40788" customFormat="1" ht="17.25" customHeight="1"/>
    <row r="40789" customFormat="1" ht="17.25" customHeight="1"/>
    <row r="40790" customFormat="1" ht="17.25" customHeight="1"/>
    <row r="40791" customFormat="1" ht="17.25" customHeight="1"/>
    <row r="40792" customFormat="1" ht="17.25" customHeight="1"/>
    <row r="40793" customFormat="1" ht="17.25" customHeight="1"/>
    <row r="40794" customFormat="1" ht="17.25" customHeight="1"/>
    <row r="40795" customFormat="1" ht="17.25" customHeight="1"/>
    <row r="40796" customFormat="1" ht="17.25" customHeight="1"/>
    <row r="40797" customFormat="1" ht="17.25" customHeight="1"/>
    <row r="40798" customFormat="1" ht="17.25" customHeight="1"/>
    <row r="40799" customFormat="1" ht="17.25" customHeight="1"/>
    <row r="40800" customFormat="1" ht="17.25" customHeight="1"/>
    <row r="40801" customFormat="1" ht="17.25" customHeight="1"/>
    <row r="40802" customFormat="1" ht="17.25" customHeight="1"/>
    <row r="40803" customFormat="1" ht="17.25" customHeight="1"/>
    <row r="40804" customFormat="1" ht="17.25" customHeight="1"/>
    <row r="40805" customFormat="1" ht="17.25" customHeight="1"/>
    <row r="40806" customFormat="1" ht="17.25" customHeight="1"/>
    <row r="40807" customFormat="1" ht="17.25" customHeight="1"/>
    <row r="40808" customFormat="1" ht="17.25" customHeight="1"/>
    <row r="40809" customFormat="1" ht="17.25" customHeight="1"/>
    <row r="40810" customFormat="1" ht="17.25" customHeight="1"/>
    <row r="40811" customFormat="1" ht="17.25" customHeight="1"/>
    <row r="40812" customFormat="1" ht="17.25" customHeight="1"/>
    <row r="40813" customFormat="1" ht="17.25" customHeight="1"/>
    <row r="40814" customFormat="1" ht="17.25" customHeight="1"/>
    <row r="40815" customFormat="1" ht="17.25" customHeight="1"/>
    <row r="40816" customFormat="1" ht="17.25" customHeight="1"/>
    <row r="40817" customFormat="1" ht="17.25" customHeight="1"/>
    <row r="40818" customFormat="1" ht="17.25" customHeight="1"/>
    <row r="40819" customFormat="1" ht="17.25" customHeight="1"/>
    <row r="40820" customFormat="1" ht="17.25" customHeight="1"/>
    <row r="40821" customFormat="1" ht="17.25" customHeight="1"/>
    <row r="40822" customFormat="1" ht="17.25" customHeight="1"/>
    <row r="40823" customFormat="1" ht="17.25" customHeight="1"/>
    <row r="40824" customFormat="1" ht="17.25" customHeight="1"/>
    <row r="40825" customFormat="1" ht="17.25" customHeight="1"/>
    <row r="40826" customFormat="1" ht="17.25" customHeight="1"/>
    <row r="40827" customFormat="1" ht="17.25" customHeight="1"/>
    <row r="40828" customFormat="1" ht="17.25" customHeight="1"/>
    <row r="40829" customFormat="1" ht="17.25" customHeight="1"/>
    <row r="40830" customFormat="1" ht="17.25" customHeight="1"/>
    <row r="40831" customFormat="1" ht="17.25" customHeight="1"/>
    <row r="40832" customFormat="1" ht="17.25" customHeight="1"/>
    <row r="40833" customFormat="1" ht="17.25" customHeight="1"/>
    <row r="40834" customFormat="1" ht="17.25" customHeight="1"/>
    <row r="40835" customFormat="1" ht="17.25" customHeight="1"/>
    <row r="40836" customFormat="1" ht="17.25" customHeight="1"/>
    <row r="40837" customFormat="1" ht="17.25" customHeight="1"/>
    <row r="40838" customFormat="1" ht="17.25" customHeight="1"/>
    <row r="40839" customFormat="1" ht="17.25" customHeight="1"/>
    <row r="40840" customFormat="1" ht="17.25" customHeight="1"/>
    <row r="40841" customFormat="1" ht="17.25" customHeight="1"/>
    <row r="40842" customFormat="1" ht="17.25" customHeight="1"/>
    <row r="40843" customFormat="1" ht="17.25" customHeight="1"/>
    <row r="40844" customFormat="1" ht="17.25" customHeight="1"/>
    <row r="40845" customFormat="1" ht="17.25" customHeight="1"/>
    <row r="40846" customFormat="1" ht="17.25" customHeight="1"/>
    <row r="40847" customFormat="1" ht="17.25" customHeight="1"/>
    <row r="40848" customFormat="1" ht="17.25" customHeight="1"/>
    <row r="40849" customFormat="1" ht="17.25" customHeight="1"/>
    <row r="40850" customFormat="1" ht="17.25" customHeight="1"/>
    <row r="40851" customFormat="1" ht="17.25" customHeight="1"/>
    <row r="40852" customFormat="1" ht="17.25" customHeight="1"/>
    <row r="40853" customFormat="1" ht="17.25" customHeight="1"/>
    <row r="40854" customFormat="1" ht="17.25" customHeight="1"/>
    <row r="40855" customFormat="1" ht="17.25" customHeight="1"/>
    <row r="40856" customFormat="1" ht="17.25" customHeight="1"/>
    <row r="40857" customFormat="1" ht="17.25" customHeight="1"/>
    <row r="40858" customFormat="1" ht="17.25" customHeight="1"/>
    <row r="40859" customFormat="1" ht="17.25" customHeight="1"/>
    <row r="40860" customFormat="1" ht="17.25" customHeight="1"/>
    <row r="40861" customFormat="1" ht="17.25" customHeight="1"/>
    <row r="40862" customFormat="1" ht="17.25" customHeight="1"/>
    <row r="40863" customFormat="1" ht="17.25" customHeight="1"/>
    <row r="40864" customFormat="1" ht="17.25" customHeight="1"/>
    <row r="40865" customFormat="1" ht="17.25" customHeight="1"/>
    <row r="40866" customFormat="1" ht="17.25" customHeight="1"/>
    <row r="40867" customFormat="1" ht="17.25" customHeight="1"/>
    <row r="40868" customFormat="1" ht="17.25" customHeight="1"/>
    <row r="40869" customFormat="1" ht="17.25" customHeight="1"/>
    <row r="40870" customFormat="1" ht="17.25" customHeight="1"/>
    <row r="40871" customFormat="1" ht="17.25" customHeight="1"/>
    <row r="40872" customFormat="1" ht="17.25" customHeight="1"/>
    <row r="40873" customFormat="1" ht="17.25" customHeight="1"/>
    <row r="40874" customFormat="1" ht="17.25" customHeight="1"/>
    <row r="40875" customFormat="1" ht="17.25" customHeight="1"/>
    <row r="40876" customFormat="1" ht="17.25" customHeight="1"/>
    <row r="40877" customFormat="1" ht="17.25" customHeight="1"/>
    <row r="40878" customFormat="1" ht="17.25" customHeight="1"/>
    <row r="40879" customFormat="1" ht="17.25" customHeight="1"/>
    <row r="40880" customFormat="1" ht="17.25" customHeight="1"/>
    <row r="40881" customFormat="1" ht="17.25" customHeight="1"/>
    <row r="40882" customFormat="1" ht="17.25" customHeight="1"/>
    <row r="40883" customFormat="1" ht="17.25" customHeight="1"/>
    <row r="40884" customFormat="1" ht="17.25" customHeight="1"/>
    <row r="40885" customFormat="1" ht="17.25" customHeight="1"/>
    <row r="40886" customFormat="1" ht="17.25" customHeight="1"/>
    <row r="40887" customFormat="1" ht="17.25" customHeight="1"/>
    <row r="40888" customFormat="1" ht="17.25" customHeight="1"/>
    <row r="40889" customFormat="1" ht="17.25" customHeight="1"/>
    <row r="40890" customFormat="1" ht="17.25" customHeight="1"/>
    <row r="40891" customFormat="1" ht="17.25" customHeight="1"/>
    <row r="40892" customFormat="1" ht="17.25" customHeight="1"/>
    <row r="40893" customFormat="1" ht="17.25" customHeight="1"/>
    <row r="40894" customFormat="1" ht="17.25" customHeight="1"/>
    <row r="40895" customFormat="1" ht="17.25" customHeight="1"/>
    <row r="40896" customFormat="1" ht="17.25" customHeight="1"/>
    <row r="40897" customFormat="1" ht="17.25" customHeight="1"/>
    <row r="40898" customFormat="1" ht="17.25" customHeight="1"/>
    <row r="40899" customFormat="1" ht="17.25" customHeight="1"/>
    <row r="40900" customFormat="1" ht="17.25" customHeight="1"/>
    <row r="40901" customFormat="1" ht="17.25" customHeight="1"/>
    <row r="40902" customFormat="1" ht="17.25" customHeight="1"/>
    <row r="40903" customFormat="1" ht="17.25" customHeight="1"/>
    <row r="40904" customFormat="1" ht="17.25" customHeight="1"/>
    <row r="40905" customFormat="1" ht="17.25" customHeight="1"/>
    <row r="40906" customFormat="1" ht="17.25" customHeight="1"/>
    <row r="40907" customFormat="1" ht="17.25" customHeight="1"/>
    <row r="40908" customFormat="1" ht="17.25" customHeight="1"/>
    <row r="40909" customFormat="1" ht="17.25" customHeight="1"/>
    <row r="40910" customFormat="1" ht="17.25" customHeight="1"/>
    <row r="40911" customFormat="1" ht="17.25" customHeight="1"/>
    <row r="40912" customFormat="1" ht="17.25" customHeight="1"/>
    <row r="40913" customFormat="1" ht="17.25" customHeight="1"/>
    <row r="40914" customFormat="1" ht="17.25" customHeight="1"/>
    <row r="40915" customFormat="1" ht="17.25" customHeight="1"/>
    <row r="40916" customFormat="1" ht="17.25" customHeight="1"/>
    <row r="40917" customFormat="1" ht="17.25" customHeight="1"/>
    <row r="40918" customFormat="1" ht="17.25" customHeight="1"/>
    <row r="40919" customFormat="1" ht="17.25" customHeight="1"/>
    <row r="40920" customFormat="1" ht="17.25" customHeight="1"/>
    <row r="40921" customFormat="1" ht="17.25" customHeight="1"/>
    <row r="40922" customFormat="1" ht="17.25" customHeight="1"/>
    <row r="40923" customFormat="1" ht="17.25" customHeight="1"/>
    <row r="40924" customFormat="1" ht="17.25" customHeight="1"/>
    <row r="40925" customFormat="1" ht="17.25" customHeight="1"/>
    <row r="40926" customFormat="1" ht="17.25" customHeight="1"/>
    <row r="40927" customFormat="1" ht="17.25" customHeight="1"/>
    <row r="40928" customFormat="1" ht="17.25" customHeight="1"/>
    <row r="40929" customFormat="1" ht="17.25" customHeight="1"/>
    <row r="40930" customFormat="1" ht="17.25" customHeight="1"/>
    <row r="40931" customFormat="1" ht="17.25" customHeight="1"/>
    <row r="40932" customFormat="1" ht="17.25" customHeight="1"/>
    <row r="40933" customFormat="1" ht="17.25" customHeight="1"/>
    <row r="40934" customFormat="1" ht="17.25" customHeight="1"/>
    <row r="40935" customFormat="1" ht="17.25" customHeight="1"/>
    <row r="40936" customFormat="1" ht="17.25" customHeight="1"/>
    <row r="40937" customFormat="1" ht="17.25" customHeight="1"/>
    <row r="40938" customFormat="1" ht="17.25" customHeight="1"/>
    <row r="40939" customFormat="1" ht="17.25" customHeight="1"/>
    <row r="40940" customFormat="1" ht="17.25" customHeight="1"/>
    <row r="40941" customFormat="1" ht="17.25" customHeight="1"/>
    <row r="40942" customFormat="1" ht="17.25" customHeight="1"/>
    <row r="40943" customFormat="1" ht="17.25" customHeight="1"/>
    <row r="40944" customFormat="1" ht="17.25" customHeight="1"/>
    <row r="40945" customFormat="1" ht="17.25" customHeight="1"/>
    <row r="40946" customFormat="1" ht="17.25" customHeight="1"/>
    <row r="40947" customFormat="1" ht="17.25" customHeight="1"/>
    <row r="40948" customFormat="1" ht="17.25" customHeight="1"/>
    <row r="40949" customFormat="1" ht="17.25" customHeight="1"/>
    <row r="40950" customFormat="1" ht="17.25" customHeight="1"/>
    <row r="40951" customFormat="1" ht="17.25" customHeight="1"/>
    <row r="40952" customFormat="1" ht="17.25" customHeight="1"/>
    <row r="40953" customFormat="1" ht="17.25" customHeight="1"/>
    <row r="40954" customFormat="1" ht="17.25" customHeight="1"/>
    <row r="40955" customFormat="1" ht="17.25" customHeight="1"/>
    <row r="40956" customFormat="1" ht="17.25" customHeight="1"/>
    <row r="40957" customFormat="1" ht="17.25" customHeight="1"/>
    <row r="40958" customFormat="1" ht="17.25" customHeight="1"/>
    <row r="40959" customFormat="1" ht="17.25" customHeight="1"/>
    <row r="40960" customFormat="1" ht="17.25" customHeight="1"/>
    <row r="40961" customFormat="1" ht="17.25" customHeight="1"/>
    <row r="40962" customFormat="1" ht="17.25" customHeight="1"/>
    <row r="40963" customFormat="1" ht="17.25" customHeight="1"/>
    <row r="40964" customFormat="1" ht="17.25" customHeight="1"/>
    <row r="40965" customFormat="1" ht="17.25" customHeight="1"/>
    <row r="40966" customFormat="1" ht="17.25" customHeight="1"/>
    <row r="40967" customFormat="1" ht="17.25" customHeight="1"/>
    <row r="40968" customFormat="1" ht="17.25" customHeight="1"/>
    <row r="40969" customFormat="1" ht="17.25" customHeight="1"/>
    <row r="40970" customFormat="1" ht="17.25" customHeight="1"/>
    <row r="40971" customFormat="1" ht="17.25" customHeight="1"/>
    <row r="40972" customFormat="1" ht="17.25" customHeight="1"/>
    <row r="40973" customFormat="1" ht="17.25" customHeight="1"/>
    <row r="40974" customFormat="1" ht="17.25" customHeight="1"/>
    <row r="40975" customFormat="1" ht="17.25" customHeight="1"/>
    <row r="40976" customFormat="1" ht="17.25" customHeight="1"/>
    <row r="40977" customFormat="1" ht="17.25" customHeight="1"/>
    <row r="40978" customFormat="1" ht="17.25" customHeight="1"/>
    <row r="40979" customFormat="1" ht="17.25" customHeight="1"/>
    <row r="40980" customFormat="1" ht="17.25" customHeight="1"/>
    <row r="40981" customFormat="1" ht="17.25" customHeight="1"/>
    <row r="40982" customFormat="1" ht="17.25" customHeight="1"/>
    <row r="40983" customFormat="1" ht="17.25" customHeight="1"/>
    <row r="40984" customFormat="1" ht="17.25" customHeight="1"/>
    <row r="40985" customFormat="1" ht="17.25" customHeight="1"/>
    <row r="40986" customFormat="1" ht="17.25" customHeight="1"/>
    <row r="40987" customFormat="1" ht="17.25" customHeight="1"/>
    <row r="40988" customFormat="1" ht="17.25" customHeight="1"/>
    <row r="40989" customFormat="1" ht="17.25" customHeight="1"/>
    <row r="40990" customFormat="1" ht="17.25" customHeight="1"/>
    <row r="40991" customFormat="1" ht="17.25" customHeight="1"/>
    <row r="40992" customFormat="1" ht="17.25" customHeight="1"/>
    <row r="40993" customFormat="1" ht="17.25" customHeight="1"/>
    <row r="40994" customFormat="1" ht="17.25" customHeight="1"/>
    <row r="40995" customFormat="1" ht="17.25" customHeight="1"/>
    <row r="40996" customFormat="1" ht="17.25" customHeight="1"/>
    <row r="40997" customFormat="1" ht="17.25" customHeight="1"/>
    <row r="40998" customFormat="1" ht="17.25" customHeight="1"/>
    <row r="40999" customFormat="1" ht="17.25" customHeight="1"/>
    <row r="41000" customFormat="1" ht="17.25" customHeight="1"/>
    <row r="41001" customFormat="1" ht="17.25" customHeight="1"/>
    <row r="41002" customFormat="1" ht="17.25" customHeight="1"/>
    <row r="41003" customFormat="1" ht="17.25" customHeight="1"/>
    <row r="41004" customFormat="1" ht="17.25" customHeight="1"/>
    <row r="41005" customFormat="1" ht="17.25" customHeight="1"/>
    <row r="41006" customFormat="1" ht="17.25" customHeight="1"/>
    <row r="41007" customFormat="1" ht="17.25" customHeight="1"/>
    <row r="41008" customFormat="1" ht="17.25" customHeight="1"/>
    <row r="41009" customFormat="1" ht="17.25" customHeight="1"/>
    <row r="41010" customFormat="1" ht="17.25" customHeight="1"/>
    <row r="41011" customFormat="1" ht="17.25" customHeight="1"/>
    <row r="41012" customFormat="1" ht="17.25" customHeight="1"/>
    <row r="41013" customFormat="1" ht="17.25" customHeight="1"/>
    <row r="41014" customFormat="1" ht="17.25" customHeight="1"/>
    <row r="41015" customFormat="1" ht="17.25" customHeight="1"/>
    <row r="41016" customFormat="1" ht="17.25" customHeight="1"/>
    <row r="41017" customFormat="1" ht="17.25" customHeight="1"/>
    <row r="41018" customFormat="1" ht="17.25" customHeight="1"/>
    <row r="41019" customFormat="1" ht="17.25" customHeight="1"/>
    <row r="41020" customFormat="1" ht="17.25" customHeight="1"/>
    <row r="41021" customFormat="1" ht="17.25" customHeight="1"/>
    <row r="41022" customFormat="1" ht="17.25" customHeight="1"/>
    <row r="41023" customFormat="1" ht="17.25" customHeight="1"/>
    <row r="41024" customFormat="1" ht="17.25" customHeight="1"/>
    <row r="41025" customFormat="1" ht="17.25" customHeight="1"/>
    <row r="41026" customFormat="1" ht="17.25" customHeight="1"/>
    <row r="41027" customFormat="1" ht="17.25" customHeight="1"/>
    <row r="41028" customFormat="1" ht="17.25" customHeight="1"/>
    <row r="41029" customFormat="1" ht="17.25" customHeight="1"/>
    <row r="41030" customFormat="1" ht="17.25" customHeight="1"/>
    <row r="41031" customFormat="1" ht="17.25" customHeight="1"/>
    <row r="41032" customFormat="1" ht="17.25" customHeight="1"/>
    <row r="41033" customFormat="1" ht="17.25" customHeight="1"/>
    <row r="41034" customFormat="1" ht="17.25" customHeight="1"/>
    <row r="41035" customFormat="1" ht="17.25" customHeight="1"/>
    <row r="41036" customFormat="1" ht="17.25" customHeight="1"/>
    <row r="41037" customFormat="1" ht="17.25" customHeight="1"/>
    <row r="41038" customFormat="1" ht="17.25" customHeight="1"/>
    <row r="41039" customFormat="1" ht="17.25" customHeight="1"/>
    <row r="41040" customFormat="1" ht="17.25" customHeight="1"/>
    <row r="41041" customFormat="1" ht="17.25" customHeight="1"/>
    <row r="41042" customFormat="1" ht="17.25" customHeight="1"/>
    <row r="41043" customFormat="1" ht="17.25" customHeight="1"/>
    <row r="41044" customFormat="1" ht="17.25" customHeight="1"/>
    <row r="41045" customFormat="1" ht="17.25" customHeight="1"/>
    <row r="41046" customFormat="1" ht="17.25" customHeight="1"/>
    <row r="41047" customFormat="1" ht="17.25" customHeight="1"/>
    <row r="41048" customFormat="1" ht="17.25" customHeight="1"/>
    <row r="41049" customFormat="1" ht="17.25" customHeight="1"/>
    <row r="41050" customFormat="1" ht="17.25" customHeight="1"/>
    <row r="41051" customFormat="1" ht="17.25" customHeight="1"/>
    <row r="41052" customFormat="1" ht="17.25" customHeight="1"/>
    <row r="41053" customFormat="1" ht="17.25" customHeight="1"/>
    <row r="41054" customFormat="1" ht="17.25" customHeight="1"/>
    <row r="41055" customFormat="1" ht="17.25" customHeight="1"/>
    <row r="41056" customFormat="1" ht="17.25" customHeight="1"/>
    <row r="41057" customFormat="1" ht="17.25" customHeight="1"/>
    <row r="41058" customFormat="1" ht="17.25" customHeight="1"/>
    <row r="41059" customFormat="1" ht="17.25" customHeight="1"/>
    <row r="41060" customFormat="1" ht="17.25" customHeight="1"/>
    <row r="41061" customFormat="1" ht="17.25" customHeight="1"/>
    <row r="41062" customFormat="1" ht="17.25" customHeight="1"/>
    <row r="41063" customFormat="1" ht="17.25" customHeight="1"/>
    <row r="41064" customFormat="1" ht="17.25" customHeight="1"/>
    <row r="41065" customFormat="1" ht="17.25" customHeight="1"/>
    <row r="41066" customFormat="1" ht="17.25" customHeight="1"/>
    <row r="41067" customFormat="1" ht="17.25" customHeight="1"/>
    <row r="41068" customFormat="1" ht="17.25" customHeight="1"/>
    <row r="41069" customFormat="1" ht="17.25" customHeight="1"/>
    <row r="41070" customFormat="1" ht="17.25" customHeight="1"/>
    <row r="41071" customFormat="1" ht="17.25" customHeight="1"/>
    <row r="41072" customFormat="1" ht="17.25" customHeight="1"/>
    <row r="41073" customFormat="1" ht="17.25" customHeight="1"/>
    <row r="41074" customFormat="1" ht="17.25" customHeight="1"/>
    <row r="41075" customFormat="1" ht="17.25" customHeight="1"/>
    <row r="41076" customFormat="1" ht="17.25" customHeight="1"/>
    <row r="41077" customFormat="1" ht="17.25" customHeight="1"/>
    <row r="41078" customFormat="1" ht="17.25" customHeight="1"/>
    <row r="41079" customFormat="1" ht="17.25" customHeight="1"/>
    <row r="41080" customFormat="1" ht="17.25" customHeight="1"/>
    <row r="41081" customFormat="1" ht="17.25" customHeight="1"/>
    <row r="41082" customFormat="1" ht="17.25" customHeight="1"/>
    <row r="41083" customFormat="1" ht="17.25" customHeight="1"/>
    <row r="41084" customFormat="1" ht="17.25" customHeight="1"/>
    <row r="41085" customFormat="1" ht="17.25" customHeight="1"/>
    <row r="41086" customFormat="1" ht="17.25" customHeight="1"/>
    <row r="41087" customFormat="1" ht="17.25" customHeight="1"/>
    <row r="41088" customFormat="1" ht="17.25" customHeight="1"/>
    <row r="41089" customFormat="1" ht="17.25" customHeight="1"/>
    <row r="41090" customFormat="1" ht="17.25" customHeight="1"/>
    <row r="41091" customFormat="1" ht="17.25" customHeight="1"/>
    <row r="41092" customFormat="1" ht="17.25" customHeight="1"/>
    <row r="41093" customFormat="1" ht="17.25" customHeight="1"/>
    <row r="41094" customFormat="1" ht="17.25" customHeight="1"/>
    <row r="41095" customFormat="1" ht="17.25" customHeight="1"/>
    <row r="41096" customFormat="1" ht="17.25" customHeight="1"/>
    <row r="41097" customFormat="1" ht="17.25" customHeight="1"/>
    <row r="41098" customFormat="1" ht="17.25" customHeight="1"/>
    <row r="41099" customFormat="1" ht="17.25" customHeight="1"/>
    <row r="41100" customFormat="1" ht="17.25" customHeight="1"/>
    <row r="41101" customFormat="1" ht="17.25" customHeight="1"/>
    <row r="41102" customFormat="1" ht="17.25" customHeight="1"/>
    <row r="41103" customFormat="1" ht="17.25" customHeight="1"/>
    <row r="41104" customFormat="1" ht="17.25" customHeight="1"/>
    <row r="41105" customFormat="1" ht="17.25" customHeight="1"/>
    <row r="41106" customFormat="1" ht="17.25" customHeight="1"/>
    <row r="41107" customFormat="1" ht="17.25" customHeight="1"/>
    <row r="41108" customFormat="1" ht="17.25" customHeight="1"/>
    <row r="41109" customFormat="1" ht="17.25" customHeight="1"/>
    <row r="41110" customFormat="1" ht="17.25" customHeight="1"/>
    <row r="41111" customFormat="1" ht="17.25" customHeight="1"/>
    <row r="41112" customFormat="1" ht="17.25" customHeight="1"/>
    <row r="41113" customFormat="1" ht="17.25" customHeight="1"/>
    <row r="41114" customFormat="1" ht="17.25" customHeight="1"/>
    <row r="41115" customFormat="1" ht="17.25" customHeight="1"/>
    <row r="41116" customFormat="1" ht="17.25" customHeight="1"/>
    <row r="41117" customFormat="1" ht="17.25" customHeight="1"/>
    <row r="41118" customFormat="1" ht="17.25" customHeight="1"/>
    <row r="41119" customFormat="1" ht="17.25" customHeight="1"/>
    <row r="41120" customFormat="1" ht="17.25" customHeight="1"/>
    <row r="41121" customFormat="1" ht="17.25" customHeight="1"/>
    <row r="41122" customFormat="1" ht="17.25" customHeight="1"/>
    <row r="41123" customFormat="1" ht="17.25" customHeight="1"/>
    <row r="41124" customFormat="1" ht="17.25" customHeight="1"/>
    <row r="41125" customFormat="1" ht="17.25" customHeight="1"/>
    <row r="41126" customFormat="1" ht="17.25" customHeight="1"/>
    <row r="41127" customFormat="1" ht="17.25" customHeight="1"/>
    <row r="41128" customFormat="1" ht="17.25" customHeight="1"/>
    <row r="41129" customFormat="1" ht="17.25" customHeight="1"/>
    <row r="41130" customFormat="1" ht="17.25" customHeight="1"/>
    <row r="41131" customFormat="1" ht="17.25" customHeight="1"/>
    <row r="41132" customFormat="1" ht="17.25" customHeight="1"/>
    <row r="41133" customFormat="1" ht="17.25" customHeight="1"/>
    <row r="41134" customFormat="1" ht="17.25" customHeight="1"/>
    <row r="41135" customFormat="1" ht="17.25" customHeight="1"/>
    <row r="41136" customFormat="1" ht="17.25" customHeight="1"/>
    <row r="41137" customFormat="1" ht="17.25" customHeight="1"/>
    <row r="41138" customFormat="1" ht="17.25" customHeight="1"/>
    <row r="41139" customFormat="1" ht="17.25" customHeight="1"/>
    <row r="41140" customFormat="1" ht="17.25" customHeight="1"/>
    <row r="41141" customFormat="1" ht="17.25" customHeight="1"/>
    <row r="41142" customFormat="1" ht="17.25" customHeight="1"/>
    <row r="41143" customFormat="1" ht="17.25" customHeight="1"/>
    <row r="41144" customFormat="1" ht="17.25" customHeight="1"/>
    <row r="41145" customFormat="1" ht="17.25" customHeight="1"/>
    <row r="41146" customFormat="1" ht="17.25" customHeight="1"/>
    <row r="41147" customFormat="1" ht="17.25" customHeight="1"/>
    <row r="41148" customFormat="1" ht="17.25" customHeight="1"/>
    <row r="41149" customFormat="1" ht="17.25" customHeight="1"/>
    <row r="41150" customFormat="1" ht="17.25" customHeight="1"/>
    <row r="41151" customFormat="1" ht="17.25" customHeight="1"/>
    <row r="41152" customFormat="1" ht="17.25" customHeight="1"/>
    <row r="41153" customFormat="1" ht="17.25" customHeight="1"/>
    <row r="41154" customFormat="1" ht="17.25" customHeight="1"/>
    <row r="41155" customFormat="1" ht="17.25" customHeight="1"/>
    <row r="41156" customFormat="1" ht="17.25" customHeight="1"/>
    <row r="41157" customFormat="1" ht="17.25" customHeight="1"/>
    <row r="41158" customFormat="1" ht="17.25" customHeight="1"/>
    <row r="41159" customFormat="1" ht="17.25" customHeight="1"/>
    <row r="41160" customFormat="1" ht="17.25" customHeight="1"/>
    <row r="41161" customFormat="1" ht="17.25" customHeight="1"/>
    <row r="41162" customFormat="1" ht="17.25" customHeight="1"/>
    <row r="41163" customFormat="1" ht="17.25" customHeight="1"/>
    <row r="41164" customFormat="1" ht="17.25" customHeight="1"/>
    <row r="41165" customFormat="1" ht="17.25" customHeight="1"/>
    <row r="41166" customFormat="1" ht="17.25" customHeight="1"/>
    <row r="41167" customFormat="1" ht="17.25" customHeight="1"/>
    <row r="41168" customFormat="1" ht="17.25" customHeight="1"/>
    <row r="41169" customFormat="1" ht="17.25" customHeight="1"/>
    <row r="41170" customFormat="1" ht="17.25" customHeight="1"/>
    <row r="41171" customFormat="1" ht="17.25" customHeight="1"/>
    <row r="41172" customFormat="1" ht="17.25" customHeight="1"/>
    <row r="41173" customFormat="1" ht="17.25" customHeight="1"/>
    <row r="41174" customFormat="1" ht="17.25" customHeight="1"/>
    <row r="41175" customFormat="1" ht="17.25" customHeight="1"/>
    <row r="41176" customFormat="1" ht="17.25" customHeight="1"/>
    <row r="41177" customFormat="1" ht="17.25" customHeight="1"/>
    <row r="41178" customFormat="1" ht="17.25" customHeight="1"/>
    <row r="41179" customFormat="1" ht="17.25" customHeight="1"/>
    <row r="41180" customFormat="1" ht="17.25" customHeight="1"/>
    <row r="41181" customFormat="1" ht="17.25" customHeight="1"/>
    <row r="41182" customFormat="1" ht="17.25" customHeight="1"/>
    <row r="41183" customFormat="1" ht="17.25" customHeight="1"/>
    <row r="41184" customFormat="1" ht="17.25" customHeight="1"/>
    <row r="41185" customFormat="1" ht="17.25" customHeight="1"/>
    <row r="41186" customFormat="1" ht="17.25" customHeight="1"/>
    <row r="41187" customFormat="1" ht="17.25" customHeight="1"/>
    <row r="41188" customFormat="1" ht="17.25" customHeight="1"/>
    <row r="41189" customFormat="1" ht="17.25" customHeight="1"/>
    <row r="41190" customFormat="1" ht="17.25" customHeight="1"/>
    <row r="41191" customFormat="1" ht="17.25" customHeight="1"/>
    <row r="41192" customFormat="1" ht="17.25" customHeight="1"/>
    <row r="41193" customFormat="1" ht="17.25" customHeight="1"/>
    <row r="41194" customFormat="1" ht="17.25" customHeight="1"/>
    <row r="41195" customFormat="1" ht="17.25" customHeight="1"/>
    <row r="41196" customFormat="1" ht="17.25" customHeight="1"/>
    <row r="41197" customFormat="1" ht="17.25" customHeight="1"/>
    <row r="41198" customFormat="1" ht="17.25" customHeight="1"/>
    <row r="41199" customFormat="1" ht="17.25" customHeight="1"/>
    <row r="41200" customFormat="1" ht="17.25" customHeight="1"/>
    <row r="41201" customFormat="1" ht="17.25" customHeight="1"/>
    <row r="41202" customFormat="1" ht="17.25" customHeight="1"/>
    <row r="41203" customFormat="1" ht="17.25" customHeight="1"/>
    <row r="41204" customFormat="1" ht="17.25" customHeight="1"/>
    <row r="41205" customFormat="1" ht="17.25" customHeight="1"/>
    <row r="41206" customFormat="1" ht="17.25" customHeight="1"/>
    <row r="41207" customFormat="1" ht="17.25" customHeight="1"/>
    <row r="41208" customFormat="1" ht="17.25" customHeight="1"/>
    <row r="41209" customFormat="1" ht="17.25" customHeight="1"/>
    <row r="41210" customFormat="1" ht="17.25" customHeight="1"/>
    <row r="41211" customFormat="1" ht="17.25" customHeight="1"/>
    <row r="41212" customFormat="1" ht="17.25" customHeight="1"/>
    <row r="41213" customFormat="1" ht="17.25" customHeight="1"/>
    <row r="41214" customFormat="1" ht="17.25" customHeight="1"/>
    <row r="41215" customFormat="1" ht="17.25" customHeight="1"/>
    <row r="41216" customFormat="1" ht="17.25" customHeight="1"/>
    <row r="41217" customFormat="1" ht="17.25" customHeight="1"/>
    <row r="41218" customFormat="1" ht="17.25" customHeight="1"/>
    <row r="41219" customFormat="1" ht="17.25" customHeight="1"/>
    <row r="41220" customFormat="1" ht="17.25" customHeight="1"/>
    <row r="41221" customFormat="1" ht="17.25" customHeight="1"/>
    <row r="41222" customFormat="1" ht="17.25" customHeight="1"/>
    <row r="41223" customFormat="1" ht="17.25" customHeight="1"/>
    <row r="41224" customFormat="1" ht="17.25" customHeight="1"/>
    <row r="41225" customFormat="1" ht="17.25" customHeight="1"/>
    <row r="41226" customFormat="1" ht="17.25" customHeight="1"/>
    <row r="41227" customFormat="1" ht="17.25" customHeight="1"/>
    <row r="41228" customFormat="1" ht="17.25" customHeight="1"/>
    <row r="41229" customFormat="1" ht="17.25" customHeight="1"/>
    <row r="41230" customFormat="1" ht="17.25" customHeight="1"/>
    <row r="41231" customFormat="1" ht="17.25" customHeight="1"/>
    <row r="41232" customFormat="1" ht="17.25" customHeight="1"/>
    <row r="41233" customFormat="1" ht="17.25" customHeight="1"/>
    <row r="41234" customFormat="1" ht="17.25" customHeight="1"/>
    <row r="41235" customFormat="1" ht="17.25" customHeight="1"/>
    <row r="41236" customFormat="1" ht="17.25" customHeight="1"/>
    <row r="41237" customFormat="1" ht="17.25" customHeight="1"/>
    <row r="41238" customFormat="1" ht="17.25" customHeight="1"/>
    <row r="41239" customFormat="1" ht="17.25" customHeight="1"/>
    <row r="41240" customFormat="1" ht="17.25" customHeight="1"/>
    <row r="41241" customFormat="1" ht="17.25" customHeight="1"/>
    <row r="41242" customFormat="1" ht="17.25" customHeight="1"/>
    <row r="41243" customFormat="1" ht="17.25" customHeight="1"/>
    <row r="41244" customFormat="1" ht="17.25" customHeight="1"/>
    <row r="41245" customFormat="1" ht="17.25" customHeight="1"/>
    <row r="41246" customFormat="1" ht="17.25" customHeight="1"/>
    <row r="41247" customFormat="1" ht="17.25" customHeight="1"/>
    <row r="41248" customFormat="1" ht="17.25" customHeight="1"/>
    <row r="41249" customFormat="1" ht="17.25" customHeight="1"/>
    <row r="41250" customFormat="1" ht="17.25" customHeight="1"/>
    <row r="41251" customFormat="1" ht="17.25" customHeight="1"/>
    <row r="41252" customFormat="1" ht="17.25" customHeight="1"/>
    <row r="41253" customFormat="1" ht="17.25" customHeight="1"/>
    <row r="41254" customFormat="1" ht="17.25" customHeight="1"/>
    <row r="41255" customFormat="1" ht="17.25" customHeight="1"/>
    <row r="41256" customFormat="1" ht="17.25" customHeight="1"/>
    <row r="41257" customFormat="1" ht="17.25" customHeight="1"/>
    <row r="41258" customFormat="1" ht="17.25" customHeight="1"/>
    <row r="41259" customFormat="1" ht="17.25" customHeight="1"/>
    <row r="41260" customFormat="1" ht="17.25" customHeight="1"/>
    <row r="41261" customFormat="1" ht="17.25" customHeight="1"/>
    <row r="41262" customFormat="1" ht="17.25" customHeight="1"/>
    <row r="41263" customFormat="1" ht="17.25" customHeight="1"/>
    <row r="41264" customFormat="1" ht="17.25" customHeight="1"/>
    <row r="41265" customFormat="1" ht="17.25" customHeight="1"/>
    <row r="41266" customFormat="1" ht="17.25" customHeight="1"/>
    <row r="41267" customFormat="1" ht="17.25" customHeight="1"/>
    <row r="41268" customFormat="1" ht="17.25" customHeight="1"/>
    <row r="41269" customFormat="1" ht="17.25" customHeight="1"/>
    <row r="41270" customFormat="1" ht="17.25" customHeight="1"/>
    <row r="41271" customFormat="1" ht="17.25" customHeight="1"/>
    <row r="41272" customFormat="1" ht="17.25" customHeight="1"/>
    <row r="41273" customFormat="1" ht="17.25" customHeight="1"/>
    <row r="41274" customFormat="1" ht="17.25" customHeight="1"/>
    <row r="41275" customFormat="1" ht="17.25" customHeight="1"/>
    <row r="41276" customFormat="1" ht="17.25" customHeight="1"/>
    <row r="41277" customFormat="1" ht="17.25" customHeight="1"/>
    <row r="41278" customFormat="1" ht="17.25" customHeight="1"/>
    <row r="41279" customFormat="1" ht="17.25" customHeight="1"/>
    <row r="41280" customFormat="1" ht="17.25" customHeight="1"/>
    <row r="41281" customFormat="1" ht="17.25" customHeight="1"/>
    <row r="41282" customFormat="1" ht="17.25" customHeight="1"/>
    <row r="41283" customFormat="1" ht="17.25" customHeight="1"/>
    <row r="41284" customFormat="1" ht="17.25" customHeight="1"/>
    <row r="41285" customFormat="1" ht="17.25" customHeight="1"/>
    <row r="41286" customFormat="1" ht="17.25" customHeight="1"/>
    <row r="41287" customFormat="1" ht="17.25" customHeight="1"/>
    <row r="41288" customFormat="1" ht="17.25" customHeight="1"/>
    <row r="41289" customFormat="1" ht="17.25" customHeight="1"/>
    <row r="41290" customFormat="1" ht="17.25" customHeight="1"/>
    <row r="41291" customFormat="1" ht="17.25" customHeight="1"/>
    <row r="41292" customFormat="1" ht="17.25" customHeight="1"/>
    <row r="41293" customFormat="1" ht="17.25" customHeight="1"/>
    <row r="41294" customFormat="1" ht="17.25" customHeight="1"/>
    <row r="41295" customFormat="1" ht="17.25" customHeight="1"/>
    <row r="41296" customFormat="1" ht="17.25" customHeight="1"/>
    <row r="41297" customFormat="1" ht="17.25" customHeight="1"/>
    <row r="41298" customFormat="1" ht="17.25" customHeight="1"/>
    <row r="41299" customFormat="1" ht="17.25" customHeight="1"/>
    <row r="41300" customFormat="1" ht="17.25" customHeight="1"/>
    <row r="41301" customFormat="1" ht="17.25" customHeight="1"/>
    <row r="41302" customFormat="1" ht="17.25" customHeight="1"/>
    <row r="41303" customFormat="1" ht="17.25" customHeight="1"/>
    <row r="41304" customFormat="1" ht="17.25" customHeight="1"/>
    <row r="41305" customFormat="1" ht="17.25" customHeight="1"/>
    <row r="41306" customFormat="1" ht="17.25" customHeight="1"/>
    <row r="41307" customFormat="1" ht="17.25" customHeight="1"/>
    <row r="41308" customFormat="1" ht="17.25" customHeight="1"/>
    <row r="41309" customFormat="1" ht="17.25" customHeight="1"/>
    <row r="41310" customFormat="1" ht="17.25" customHeight="1"/>
    <row r="41311" customFormat="1" ht="17.25" customHeight="1"/>
    <row r="41312" customFormat="1" ht="17.25" customHeight="1"/>
    <row r="41313" customFormat="1" ht="17.25" customHeight="1"/>
    <row r="41314" customFormat="1" ht="17.25" customHeight="1"/>
    <row r="41315" customFormat="1" ht="17.25" customHeight="1"/>
    <row r="41316" customFormat="1" ht="17.25" customHeight="1"/>
    <row r="41317" customFormat="1" ht="17.25" customHeight="1"/>
    <row r="41318" customFormat="1" ht="17.25" customHeight="1"/>
    <row r="41319" customFormat="1" ht="17.25" customHeight="1"/>
    <row r="41320" customFormat="1" ht="17.25" customHeight="1"/>
    <row r="41321" customFormat="1" ht="17.25" customHeight="1"/>
    <row r="41322" customFormat="1" ht="17.25" customHeight="1"/>
    <row r="41323" customFormat="1" ht="17.25" customHeight="1"/>
    <row r="41324" customFormat="1" ht="17.25" customHeight="1"/>
    <row r="41325" customFormat="1" ht="17.25" customHeight="1"/>
    <row r="41326" customFormat="1" ht="17.25" customHeight="1"/>
    <row r="41327" customFormat="1" ht="17.25" customHeight="1"/>
    <row r="41328" customFormat="1" ht="17.25" customHeight="1"/>
    <row r="41329" customFormat="1" ht="17.25" customHeight="1"/>
    <row r="41330" customFormat="1" ht="17.25" customHeight="1"/>
    <row r="41331" customFormat="1" ht="17.25" customHeight="1"/>
    <row r="41332" customFormat="1" ht="17.25" customHeight="1"/>
    <row r="41333" customFormat="1" ht="17.25" customHeight="1"/>
    <row r="41334" customFormat="1" ht="17.25" customHeight="1"/>
    <row r="41335" customFormat="1" ht="17.25" customHeight="1"/>
    <row r="41336" customFormat="1" ht="17.25" customHeight="1"/>
    <row r="41337" customFormat="1" ht="17.25" customHeight="1"/>
    <row r="41338" customFormat="1" ht="17.25" customHeight="1"/>
    <row r="41339" customFormat="1" ht="17.25" customHeight="1"/>
    <row r="41340" customFormat="1" ht="17.25" customHeight="1"/>
    <row r="41341" customFormat="1" ht="17.25" customHeight="1"/>
    <row r="41342" customFormat="1" ht="17.25" customHeight="1"/>
    <row r="41343" customFormat="1" ht="17.25" customHeight="1"/>
    <row r="41344" customFormat="1" ht="17.25" customHeight="1"/>
    <row r="41345" customFormat="1" ht="17.25" customHeight="1"/>
    <row r="41346" customFormat="1" ht="17.25" customHeight="1"/>
    <row r="41347" customFormat="1" ht="17.25" customHeight="1"/>
    <row r="41348" customFormat="1" ht="17.25" customHeight="1"/>
    <row r="41349" customFormat="1" ht="17.25" customHeight="1"/>
    <row r="41350" customFormat="1" ht="17.25" customHeight="1"/>
    <row r="41351" customFormat="1" ht="17.25" customHeight="1"/>
    <row r="41352" customFormat="1" ht="17.25" customHeight="1"/>
    <row r="41353" customFormat="1" ht="17.25" customHeight="1"/>
    <row r="41354" customFormat="1" ht="17.25" customHeight="1"/>
    <row r="41355" customFormat="1" ht="17.25" customHeight="1"/>
    <row r="41356" customFormat="1" ht="17.25" customHeight="1"/>
    <row r="41357" customFormat="1" ht="17.25" customHeight="1"/>
    <row r="41358" customFormat="1" ht="17.25" customHeight="1"/>
    <row r="41359" customFormat="1" ht="17.25" customHeight="1"/>
    <row r="41360" customFormat="1" ht="17.25" customHeight="1"/>
    <row r="41361" customFormat="1" ht="17.25" customHeight="1"/>
    <row r="41362" customFormat="1" ht="17.25" customHeight="1"/>
    <row r="41363" customFormat="1" ht="17.25" customHeight="1"/>
    <row r="41364" customFormat="1" ht="17.25" customHeight="1"/>
    <row r="41365" customFormat="1" ht="17.25" customHeight="1"/>
    <row r="41366" customFormat="1" ht="17.25" customHeight="1"/>
    <row r="41367" customFormat="1" ht="17.25" customHeight="1"/>
    <row r="41368" customFormat="1" ht="17.25" customHeight="1"/>
    <row r="41369" customFormat="1" ht="17.25" customHeight="1"/>
    <row r="41370" customFormat="1" ht="17.25" customHeight="1"/>
    <row r="41371" customFormat="1" ht="17.25" customHeight="1"/>
    <row r="41372" customFormat="1" ht="17.25" customHeight="1"/>
    <row r="41373" customFormat="1" ht="17.25" customHeight="1"/>
    <row r="41374" customFormat="1" ht="17.25" customHeight="1"/>
    <row r="41375" customFormat="1" ht="17.25" customHeight="1"/>
    <row r="41376" customFormat="1" ht="17.25" customHeight="1"/>
    <row r="41377" customFormat="1" ht="17.25" customHeight="1"/>
    <row r="41378" customFormat="1" ht="17.25" customHeight="1"/>
    <row r="41379" customFormat="1" ht="17.25" customHeight="1"/>
    <row r="41380" customFormat="1" ht="17.25" customHeight="1"/>
    <row r="41381" customFormat="1" ht="17.25" customHeight="1"/>
    <row r="41382" customFormat="1" ht="17.25" customHeight="1"/>
    <row r="41383" customFormat="1" ht="17.25" customHeight="1"/>
    <row r="41384" customFormat="1" ht="17.25" customHeight="1"/>
    <row r="41385" customFormat="1" ht="17.25" customHeight="1"/>
    <row r="41386" customFormat="1" ht="17.25" customHeight="1"/>
    <row r="41387" customFormat="1" ht="17.25" customHeight="1"/>
    <row r="41388" customFormat="1" ht="17.25" customHeight="1"/>
    <row r="41389" customFormat="1" ht="17.25" customHeight="1"/>
    <row r="41390" customFormat="1" ht="17.25" customHeight="1"/>
    <row r="41391" customFormat="1" ht="17.25" customHeight="1"/>
    <row r="41392" customFormat="1" ht="17.25" customHeight="1"/>
    <row r="41393" customFormat="1" ht="17.25" customHeight="1"/>
    <row r="41394" customFormat="1" ht="17.25" customHeight="1"/>
    <row r="41395" customFormat="1" ht="17.25" customHeight="1"/>
    <row r="41396" customFormat="1" ht="17.25" customHeight="1"/>
    <row r="41397" customFormat="1" ht="17.25" customHeight="1"/>
    <row r="41398" customFormat="1" ht="17.25" customHeight="1"/>
    <row r="41399" customFormat="1" ht="17.25" customHeight="1"/>
    <row r="41400" customFormat="1" ht="17.25" customHeight="1"/>
    <row r="41401" customFormat="1" ht="17.25" customHeight="1"/>
    <row r="41402" customFormat="1" ht="17.25" customHeight="1"/>
    <row r="41403" customFormat="1" ht="17.25" customHeight="1"/>
    <row r="41404" customFormat="1" ht="17.25" customHeight="1"/>
    <row r="41405" customFormat="1" ht="17.25" customHeight="1"/>
    <row r="41406" customFormat="1" ht="17.25" customHeight="1"/>
    <row r="41407" customFormat="1" ht="17.25" customHeight="1"/>
    <row r="41408" customFormat="1" ht="17.25" customHeight="1"/>
    <row r="41409" customFormat="1" ht="17.25" customHeight="1"/>
    <row r="41410" customFormat="1" ht="17.25" customHeight="1"/>
    <row r="41411" customFormat="1" ht="17.25" customHeight="1"/>
    <row r="41412" customFormat="1" ht="17.25" customHeight="1"/>
    <row r="41413" customFormat="1" ht="17.25" customHeight="1"/>
    <row r="41414" customFormat="1" ht="17.25" customHeight="1"/>
    <row r="41415" customFormat="1" ht="17.25" customHeight="1"/>
    <row r="41416" customFormat="1" ht="17.25" customHeight="1"/>
    <row r="41417" customFormat="1" ht="17.25" customHeight="1"/>
    <row r="41418" customFormat="1" ht="17.25" customHeight="1"/>
    <row r="41419" customFormat="1" ht="17.25" customHeight="1"/>
    <row r="41420" customFormat="1" ht="17.25" customHeight="1"/>
    <row r="41421" customFormat="1" ht="17.25" customHeight="1"/>
    <row r="41422" customFormat="1" ht="17.25" customHeight="1"/>
    <row r="41423" customFormat="1" ht="17.25" customHeight="1"/>
    <row r="41424" customFormat="1" ht="17.25" customHeight="1"/>
    <row r="41425" customFormat="1" ht="17.25" customHeight="1"/>
    <row r="41426" customFormat="1" ht="17.25" customHeight="1"/>
    <row r="41427" customFormat="1" ht="17.25" customHeight="1"/>
    <row r="41428" customFormat="1" ht="17.25" customHeight="1"/>
    <row r="41429" customFormat="1" ht="17.25" customHeight="1"/>
    <row r="41430" customFormat="1" ht="17.25" customHeight="1"/>
    <row r="41431" customFormat="1" ht="17.25" customHeight="1"/>
    <row r="41432" customFormat="1" ht="17.25" customHeight="1"/>
    <row r="41433" customFormat="1" ht="17.25" customHeight="1"/>
    <row r="41434" customFormat="1" ht="17.25" customHeight="1"/>
    <row r="41435" customFormat="1" ht="17.25" customHeight="1"/>
    <row r="41436" customFormat="1" ht="17.25" customHeight="1"/>
    <row r="41437" customFormat="1" ht="17.25" customHeight="1"/>
    <row r="41438" customFormat="1" ht="17.25" customHeight="1"/>
    <row r="41439" customFormat="1" ht="17.25" customHeight="1"/>
    <row r="41440" customFormat="1" ht="17.25" customHeight="1"/>
    <row r="41441" customFormat="1" ht="17.25" customHeight="1"/>
    <row r="41442" customFormat="1" ht="17.25" customHeight="1"/>
    <row r="41443" customFormat="1" ht="17.25" customHeight="1"/>
    <row r="41444" customFormat="1" ht="17.25" customHeight="1"/>
    <row r="41445" customFormat="1" ht="17.25" customHeight="1"/>
    <row r="41446" customFormat="1" ht="17.25" customHeight="1"/>
    <row r="41447" customFormat="1" ht="17.25" customHeight="1"/>
    <row r="41448" customFormat="1" ht="17.25" customHeight="1"/>
    <row r="41449" customFormat="1" ht="17.25" customHeight="1"/>
    <row r="41450" customFormat="1" ht="17.25" customHeight="1"/>
    <row r="41451" customFormat="1" ht="17.25" customHeight="1"/>
    <row r="41452" customFormat="1" ht="17.25" customHeight="1"/>
    <row r="41453" customFormat="1" ht="17.25" customHeight="1"/>
    <row r="41454" customFormat="1" ht="17.25" customHeight="1"/>
    <row r="41455" customFormat="1" ht="17.25" customHeight="1"/>
    <row r="41456" customFormat="1" ht="17.25" customHeight="1"/>
    <row r="41457" customFormat="1" ht="17.25" customHeight="1"/>
    <row r="41458" customFormat="1" ht="17.25" customHeight="1"/>
    <row r="41459" customFormat="1" ht="17.25" customHeight="1"/>
    <row r="41460" customFormat="1" ht="17.25" customHeight="1"/>
    <row r="41461" customFormat="1" ht="17.25" customHeight="1"/>
    <row r="41462" customFormat="1" ht="17.25" customHeight="1"/>
    <row r="41463" customFormat="1" ht="17.25" customHeight="1"/>
    <row r="41464" customFormat="1" ht="17.25" customHeight="1"/>
    <row r="41465" customFormat="1" ht="17.25" customHeight="1"/>
    <row r="41466" customFormat="1" ht="17.25" customHeight="1"/>
    <row r="41467" customFormat="1" ht="17.25" customHeight="1"/>
    <row r="41468" customFormat="1" ht="17.25" customHeight="1"/>
    <row r="41469" customFormat="1" ht="17.25" customHeight="1"/>
    <row r="41470" customFormat="1" ht="17.25" customHeight="1"/>
    <row r="41471" customFormat="1" ht="17.25" customHeight="1"/>
    <row r="41472" customFormat="1" ht="17.25" customHeight="1"/>
    <row r="41473" customFormat="1" ht="17.25" customHeight="1"/>
    <row r="41474" customFormat="1" ht="17.25" customHeight="1"/>
    <row r="41475" customFormat="1" ht="17.25" customHeight="1"/>
    <row r="41476" customFormat="1" ht="17.25" customHeight="1"/>
    <row r="41477" customFormat="1" ht="17.25" customHeight="1"/>
    <row r="41478" customFormat="1" ht="17.25" customHeight="1"/>
    <row r="41479" customFormat="1" ht="17.25" customHeight="1"/>
    <row r="41480" customFormat="1" ht="17.25" customHeight="1"/>
    <row r="41481" customFormat="1" ht="17.25" customHeight="1"/>
    <row r="41482" customFormat="1" ht="17.25" customHeight="1"/>
    <row r="41483" customFormat="1" ht="17.25" customHeight="1"/>
    <row r="41484" customFormat="1" ht="17.25" customHeight="1"/>
    <row r="41485" customFormat="1" ht="17.25" customHeight="1"/>
    <row r="41486" customFormat="1" ht="17.25" customHeight="1"/>
    <row r="41487" customFormat="1" ht="17.25" customHeight="1"/>
    <row r="41488" customFormat="1" ht="17.25" customHeight="1"/>
    <row r="41489" customFormat="1" ht="17.25" customHeight="1"/>
    <row r="41490" customFormat="1" ht="17.25" customHeight="1"/>
    <row r="41491" customFormat="1" ht="17.25" customHeight="1"/>
    <row r="41492" customFormat="1" ht="17.25" customHeight="1"/>
    <row r="41493" customFormat="1" ht="17.25" customHeight="1"/>
    <row r="41494" customFormat="1" ht="17.25" customHeight="1"/>
    <row r="41495" customFormat="1" ht="17.25" customHeight="1"/>
    <row r="41496" customFormat="1" ht="17.25" customHeight="1"/>
    <row r="41497" customFormat="1" ht="17.25" customHeight="1"/>
    <row r="41498" customFormat="1" ht="17.25" customHeight="1"/>
    <row r="41499" customFormat="1" ht="17.25" customHeight="1"/>
    <row r="41500" customFormat="1" ht="17.25" customHeight="1"/>
    <row r="41501" customFormat="1" ht="17.25" customHeight="1"/>
    <row r="41502" customFormat="1" ht="17.25" customHeight="1"/>
    <row r="41503" customFormat="1" ht="17.25" customHeight="1"/>
    <row r="41504" customFormat="1" ht="17.25" customHeight="1"/>
    <row r="41505" customFormat="1" ht="17.25" customHeight="1"/>
    <row r="41506" customFormat="1" ht="17.25" customHeight="1"/>
    <row r="41507" customFormat="1" ht="17.25" customHeight="1"/>
    <row r="41508" customFormat="1" ht="17.25" customHeight="1"/>
    <row r="41509" customFormat="1" ht="17.25" customHeight="1"/>
    <row r="41510" customFormat="1" ht="17.25" customHeight="1"/>
    <row r="41511" customFormat="1" ht="17.25" customHeight="1"/>
    <row r="41512" customFormat="1" ht="17.25" customHeight="1"/>
    <row r="41513" customFormat="1" ht="17.25" customHeight="1"/>
    <row r="41514" customFormat="1" ht="17.25" customHeight="1"/>
    <row r="41515" customFormat="1" ht="17.25" customHeight="1"/>
    <row r="41516" customFormat="1" ht="17.25" customHeight="1"/>
    <row r="41517" customFormat="1" ht="17.25" customHeight="1"/>
    <row r="41518" customFormat="1" ht="17.25" customHeight="1"/>
    <row r="41519" customFormat="1" ht="17.25" customHeight="1"/>
    <row r="41520" customFormat="1" ht="17.25" customHeight="1"/>
    <row r="41521" customFormat="1" ht="17.25" customHeight="1"/>
    <row r="41522" customFormat="1" ht="17.25" customHeight="1"/>
    <row r="41523" customFormat="1" ht="17.25" customHeight="1"/>
    <row r="41524" customFormat="1" ht="17.25" customHeight="1"/>
    <row r="41525" customFormat="1" ht="17.25" customHeight="1"/>
    <row r="41526" customFormat="1" ht="17.25" customHeight="1"/>
    <row r="41527" customFormat="1" ht="17.25" customHeight="1"/>
    <row r="41528" customFormat="1" ht="17.25" customHeight="1"/>
    <row r="41529" customFormat="1" ht="17.25" customHeight="1"/>
    <row r="41530" customFormat="1" ht="17.25" customHeight="1"/>
    <row r="41531" customFormat="1" ht="17.25" customHeight="1"/>
    <row r="41532" customFormat="1" ht="17.25" customHeight="1"/>
    <row r="41533" customFormat="1" ht="17.25" customHeight="1"/>
    <row r="41534" customFormat="1" ht="17.25" customHeight="1"/>
    <row r="41535" customFormat="1" ht="17.25" customHeight="1"/>
    <row r="41536" customFormat="1" ht="17.25" customHeight="1"/>
    <row r="41537" customFormat="1" ht="17.25" customHeight="1"/>
    <row r="41538" customFormat="1" ht="17.25" customHeight="1"/>
    <row r="41539" customFormat="1" ht="17.25" customHeight="1"/>
    <row r="41540" customFormat="1" ht="17.25" customHeight="1"/>
    <row r="41541" customFormat="1" ht="17.25" customHeight="1"/>
    <row r="41542" customFormat="1" ht="17.25" customHeight="1"/>
    <row r="41543" customFormat="1" ht="17.25" customHeight="1"/>
    <row r="41544" customFormat="1" ht="17.25" customHeight="1"/>
    <row r="41545" customFormat="1" ht="17.25" customHeight="1"/>
    <row r="41546" customFormat="1" ht="17.25" customHeight="1"/>
    <row r="41547" customFormat="1" ht="17.25" customHeight="1"/>
    <row r="41548" customFormat="1" ht="17.25" customHeight="1"/>
    <row r="41549" customFormat="1" ht="17.25" customHeight="1"/>
    <row r="41550" customFormat="1" ht="17.25" customHeight="1"/>
    <row r="41551" customFormat="1" ht="17.25" customHeight="1"/>
    <row r="41552" customFormat="1" ht="17.25" customHeight="1"/>
    <row r="41553" customFormat="1" ht="17.25" customHeight="1"/>
    <row r="41554" customFormat="1" ht="17.25" customHeight="1"/>
    <row r="41555" customFormat="1" ht="17.25" customHeight="1"/>
    <row r="41556" customFormat="1" ht="17.25" customHeight="1"/>
    <row r="41557" customFormat="1" ht="17.25" customHeight="1"/>
    <row r="41558" customFormat="1" ht="17.25" customHeight="1"/>
    <row r="41559" customFormat="1" ht="17.25" customHeight="1"/>
    <row r="41560" customFormat="1" ht="17.25" customHeight="1"/>
    <row r="41561" customFormat="1" ht="17.25" customHeight="1"/>
    <row r="41562" customFormat="1" ht="17.25" customHeight="1"/>
    <row r="41563" customFormat="1" ht="17.25" customHeight="1"/>
    <row r="41564" customFormat="1" ht="17.25" customHeight="1"/>
    <row r="41565" customFormat="1" ht="17.25" customHeight="1"/>
    <row r="41566" customFormat="1" ht="17.25" customHeight="1"/>
    <row r="41567" customFormat="1" ht="17.25" customHeight="1"/>
    <row r="41568" customFormat="1" ht="17.25" customHeight="1"/>
    <row r="41569" customFormat="1" ht="17.25" customHeight="1"/>
    <row r="41570" customFormat="1" ht="17.25" customHeight="1"/>
    <row r="41571" customFormat="1" ht="17.25" customHeight="1"/>
    <row r="41572" customFormat="1" ht="17.25" customHeight="1"/>
    <row r="41573" customFormat="1" ht="17.25" customHeight="1"/>
    <row r="41574" customFormat="1" ht="17.25" customHeight="1"/>
    <row r="41575" customFormat="1" ht="17.25" customHeight="1"/>
    <row r="41576" customFormat="1" ht="17.25" customHeight="1"/>
    <row r="41577" customFormat="1" ht="17.25" customHeight="1"/>
    <row r="41578" customFormat="1" ht="17.25" customHeight="1"/>
    <row r="41579" customFormat="1" ht="17.25" customHeight="1"/>
    <row r="41580" customFormat="1" ht="17.25" customHeight="1"/>
    <row r="41581" customFormat="1" ht="17.25" customHeight="1"/>
    <row r="41582" customFormat="1" ht="17.25" customHeight="1"/>
    <row r="41583" customFormat="1" ht="17.25" customHeight="1"/>
    <row r="41584" customFormat="1" ht="17.25" customHeight="1"/>
    <row r="41585" customFormat="1" ht="17.25" customHeight="1"/>
    <row r="41586" customFormat="1" ht="17.25" customHeight="1"/>
    <row r="41587" customFormat="1" ht="17.25" customHeight="1"/>
    <row r="41588" customFormat="1" ht="17.25" customHeight="1"/>
    <row r="41589" customFormat="1" ht="17.25" customHeight="1"/>
    <row r="41590" customFormat="1" ht="17.25" customHeight="1"/>
    <row r="41591" customFormat="1" ht="17.25" customHeight="1"/>
    <row r="41592" customFormat="1" ht="17.25" customHeight="1"/>
    <row r="41593" customFormat="1" ht="17.25" customHeight="1"/>
    <row r="41594" customFormat="1" ht="17.25" customHeight="1"/>
    <row r="41595" customFormat="1" ht="17.25" customHeight="1"/>
    <row r="41596" customFormat="1" ht="17.25" customHeight="1"/>
    <row r="41597" customFormat="1" ht="17.25" customHeight="1"/>
    <row r="41598" customFormat="1" ht="17.25" customHeight="1"/>
    <row r="41599" customFormat="1" ht="17.25" customHeight="1"/>
    <row r="41600" customFormat="1" ht="17.25" customHeight="1"/>
    <row r="41601" customFormat="1" ht="17.25" customHeight="1"/>
    <row r="41602" customFormat="1" ht="17.25" customHeight="1"/>
    <row r="41603" customFormat="1" ht="17.25" customHeight="1"/>
    <row r="41604" customFormat="1" ht="17.25" customHeight="1"/>
    <row r="41605" customFormat="1" ht="17.25" customHeight="1"/>
    <row r="41606" customFormat="1" ht="17.25" customHeight="1"/>
    <row r="41607" customFormat="1" ht="17.25" customHeight="1"/>
    <row r="41608" customFormat="1" ht="17.25" customHeight="1"/>
    <row r="41609" customFormat="1" ht="17.25" customHeight="1"/>
    <row r="41610" customFormat="1" ht="17.25" customHeight="1"/>
    <row r="41611" customFormat="1" ht="17.25" customHeight="1"/>
    <row r="41612" customFormat="1" ht="17.25" customHeight="1"/>
    <row r="41613" customFormat="1" ht="17.25" customHeight="1"/>
    <row r="41614" customFormat="1" ht="17.25" customHeight="1"/>
    <row r="41615" customFormat="1" ht="17.25" customHeight="1"/>
    <row r="41616" customFormat="1" ht="17.25" customHeight="1"/>
    <row r="41617" customFormat="1" ht="17.25" customHeight="1"/>
    <row r="41618" customFormat="1" ht="17.25" customHeight="1"/>
    <row r="41619" customFormat="1" ht="17.25" customHeight="1"/>
    <row r="41620" customFormat="1" ht="17.25" customHeight="1"/>
    <row r="41621" customFormat="1" ht="17.25" customHeight="1"/>
    <row r="41622" customFormat="1" ht="17.25" customHeight="1"/>
    <row r="41623" customFormat="1" ht="17.25" customHeight="1"/>
    <row r="41624" customFormat="1" ht="17.25" customHeight="1"/>
    <row r="41625" customFormat="1" ht="17.25" customHeight="1"/>
    <row r="41626" customFormat="1" ht="17.25" customHeight="1"/>
    <row r="41627" customFormat="1" ht="17.25" customHeight="1"/>
    <row r="41628" customFormat="1" ht="17.25" customHeight="1"/>
    <row r="41629" customFormat="1" ht="17.25" customHeight="1"/>
    <row r="41630" customFormat="1" ht="17.25" customHeight="1"/>
    <row r="41631" customFormat="1" ht="17.25" customHeight="1"/>
    <row r="41632" customFormat="1" ht="17.25" customHeight="1"/>
    <row r="41633" customFormat="1" ht="17.25" customHeight="1"/>
    <row r="41634" customFormat="1" ht="17.25" customHeight="1"/>
    <row r="41635" customFormat="1" ht="17.25" customHeight="1"/>
    <row r="41636" customFormat="1" ht="17.25" customHeight="1"/>
    <row r="41637" customFormat="1" ht="17.25" customHeight="1"/>
    <row r="41638" customFormat="1" ht="17.25" customHeight="1"/>
    <row r="41639" customFormat="1" ht="17.25" customHeight="1"/>
    <row r="41640" customFormat="1" ht="17.25" customHeight="1"/>
    <row r="41641" customFormat="1" ht="17.25" customHeight="1"/>
    <row r="41642" customFormat="1" ht="17.25" customHeight="1"/>
    <row r="41643" customFormat="1" ht="17.25" customHeight="1"/>
    <row r="41644" customFormat="1" ht="17.25" customHeight="1"/>
    <row r="41645" customFormat="1" ht="17.25" customHeight="1"/>
    <row r="41646" customFormat="1" ht="17.25" customHeight="1"/>
    <row r="41647" customFormat="1" ht="17.25" customHeight="1"/>
    <row r="41648" customFormat="1" ht="17.25" customHeight="1"/>
    <row r="41649" customFormat="1" ht="17.25" customHeight="1"/>
    <row r="41650" customFormat="1" ht="17.25" customHeight="1"/>
    <row r="41651" customFormat="1" ht="17.25" customHeight="1"/>
    <row r="41652" customFormat="1" ht="17.25" customHeight="1"/>
    <row r="41653" customFormat="1" ht="17.25" customHeight="1"/>
    <row r="41654" customFormat="1" ht="17.25" customHeight="1"/>
    <row r="41655" customFormat="1" ht="17.25" customHeight="1"/>
    <row r="41656" customFormat="1" ht="17.25" customHeight="1"/>
    <row r="41657" customFormat="1" ht="17.25" customHeight="1"/>
    <row r="41658" customFormat="1" ht="17.25" customHeight="1"/>
    <row r="41659" customFormat="1" ht="17.25" customHeight="1"/>
    <row r="41660" customFormat="1" ht="17.25" customHeight="1"/>
    <row r="41661" customFormat="1" ht="17.25" customHeight="1"/>
    <row r="41662" customFormat="1" ht="17.25" customHeight="1"/>
    <row r="41663" customFormat="1" ht="17.25" customHeight="1"/>
    <row r="41664" customFormat="1" ht="17.25" customHeight="1"/>
    <row r="41665" customFormat="1" ht="17.25" customHeight="1"/>
    <row r="41666" customFormat="1" ht="17.25" customHeight="1"/>
    <row r="41667" customFormat="1" ht="17.25" customHeight="1"/>
    <row r="41668" customFormat="1" ht="17.25" customHeight="1"/>
    <row r="41669" customFormat="1" ht="17.25" customHeight="1"/>
    <row r="41670" customFormat="1" ht="17.25" customHeight="1"/>
    <row r="41671" customFormat="1" ht="17.25" customHeight="1"/>
    <row r="41672" customFormat="1" ht="17.25" customHeight="1"/>
    <row r="41673" customFormat="1" ht="17.25" customHeight="1"/>
    <row r="41674" customFormat="1" ht="17.25" customHeight="1"/>
    <row r="41675" customFormat="1" ht="17.25" customHeight="1"/>
    <row r="41676" customFormat="1" ht="17.25" customHeight="1"/>
    <row r="41677" customFormat="1" ht="17.25" customHeight="1"/>
    <row r="41678" customFormat="1" ht="17.25" customHeight="1"/>
    <row r="41679" customFormat="1" ht="17.25" customHeight="1"/>
    <row r="41680" customFormat="1" ht="17.25" customHeight="1"/>
    <row r="41681" customFormat="1" ht="17.25" customHeight="1"/>
    <row r="41682" customFormat="1" ht="17.25" customHeight="1"/>
    <row r="41683" customFormat="1" ht="17.25" customHeight="1"/>
    <row r="41684" customFormat="1" ht="17.25" customHeight="1"/>
    <row r="41685" customFormat="1" ht="17.25" customHeight="1"/>
    <row r="41686" customFormat="1" ht="17.25" customHeight="1"/>
    <row r="41687" customFormat="1" ht="17.25" customHeight="1"/>
    <row r="41688" customFormat="1" ht="17.25" customHeight="1"/>
    <row r="41689" customFormat="1" ht="17.25" customHeight="1"/>
    <row r="41690" customFormat="1" ht="17.25" customHeight="1"/>
    <row r="41691" customFormat="1" ht="17.25" customHeight="1"/>
    <row r="41692" customFormat="1" ht="17.25" customHeight="1"/>
    <row r="41693" customFormat="1" ht="17.25" customHeight="1"/>
    <row r="41694" customFormat="1" ht="17.25" customHeight="1"/>
    <row r="41695" customFormat="1" ht="17.25" customHeight="1"/>
    <row r="41696" customFormat="1" ht="17.25" customHeight="1"/>
    <row r="41697" customFormat="1" ht="17.25" customHeight="1"/>
    <row r="41698" customFormat="1" ht="17.25" customHeight="1"/>
    <row r="41699" customFormat="1" ht="17.25" customHeight="1"/>
    <row r="41700" customFormat="1" ht="17.25" customHeight="1"/>
    <row r="41701" customFormat="1" ht="17.25" customHeight="1"/>
    <row r="41702" customFormat="1" ht="17.25" customHeight="1"/>
    <row r="41703" customFormat="1" ht="17.25" customHeight="1"/>
    <row r="41704" customFormat="1" ht="17.25" customHeight="1"/>
    <row r="41705" customFormat="1" ht="17.25" customHeight="1"/>
    <row r="41706" customFormat="1" ht="17.25" customHeight="1"/>
    <row r="41707" customFormat="1" ht="17.25" customHeight="1"/>
    <row r="41708" customFormat="1" ht="17.25" customHeight="1"/>
    <row r="41709" customFormat="1" ht="17.25" customHeight="1"/>
    <row r="41710" customFormat="1" ht="17.25" customHeight="1"/>
    <row r="41711" customFormat="1" ht="17.25" customHeight="1"/>
    <row r="41712" customFormat="1" ht="17.25" customHeight="1"/>
    <row r="41713" customFormat="1" ht="17.25" customHeight="1"/>
    <row r="41714" customFormat="1" ht="17.25" customHeight="1"/>
    <row r="41715" customFormat="1" ht="17.25" customHeight="1"/>
    <row r="41716" customFormat="1" ht="17.25" customHeight="1"/>
    <row r="41717" customFormat="1" ht="17.25" customHeight="1"/>
    <row r="41718" customFormat="1" ht="17.25" customHeight="1"/>
    <row r="41719" customFormat="1" ht="17.25" customHeight="1"/>
    <row r="41720" customFormat="1" ht="17.25" customHeight="1"/>
    <row r="41721" customFormat="1" ht="17.25" customHeight="1"/>
    <row r="41722" customFormat="1" ht="17.25" customHeight="1"/>
    <row r="41723" customFormat="1" ht="17.25" customHeight="1"/>
    <row r="41724" customFormat="1" ht="17.25" customHeight="1"/>
    <row r="41725" customFormat="1" ht="17.25" customHeight="1"/>
    <row r="41726" customFormat="1" ht="17.25" customHeight="1"/>
    <row r="41727" customFormat="1" ht="17.25" customHeight="1"/>
    <row r="41728" customFormat="1" ht="17.25" customHeight="1"/>
    <row r="41729" customFormat="1" ht="17.25" customHeight="1"/>
    <row r="41730" customFormat="1" ht="17.25" customHeight="1"/>
    <row r="41731" customFormat="1" ht="17.25" customHeight="1"/>
    <row r="41732" customFormat="1" ht="17.25" customHeight="1"/>
    <row r="41733" customFormat="1" ht="17.25" customHeight="1"/>
    <row r="41734" customFormat="1" ht="17.25" customHeight="1"/>
    <row r="41735" customFormat="1" ht="17.25" customHeight="1"/>
    <row r="41736" customFormat="1" ht="17.25" customHeight="1"/>
    <row r="41737" customFormat="1" ht="17.25" customHeight="1"/>
    <row r="41738" customFormat="1" ht="17.25" customHeight="1"/>
    <row r="41739" customFormat="1" ht="17.25" customHeight="1"/>
    <row r="41740" customFormat="1" ht="17.25" customHeight="1"/>
    <row r="41741" customFormat="1" ht="17.25" customHeight="1"/>
    <row r="41742" customFormat="1" ht="17.25" customHeight="1"/>
    <row r="41743" customFormat="1" ht="17.25" customHeight="1"/>
    <row r="41744" customFormat="1" ht="17.25" customHeight="1"/>
    <row r="41745" customFormat="1" ht="17.25" customHeight="1"/>
    <row r="41746" customFormat="1" ht="17.25" customHeight="1"/>
    <row r="41747" customFormat="1" ht="17.25" customHeight="1"/>
    <row r="41748" customFormat="1" ht="17.25" customHeight="1"/>
    <row r="41749" customFormat="1" ht="17.25" customHeight="1"/>
    <row r="41750" customFormat="1" ht="17.25" customHeight="1"/>
    <row r="41751" customFormat="1" ht="17.25" customHeight="1"/>
    <row r="41752" customFormat="1" ht="17.25" customHeight="1"/>
    <row r="41753" customFormat="1" ht="17.25" customHeight="1"/>
    <row r="41754" customFormat="1" ht="17.25" customHeight="1"/>
    <row r="41755" customFormat="1" ht="17.25" customHeight="1"/>
    <row r="41756" customFormat="1" ht="17.25" customHeight="1"/>
    <row r="41757" customFormat="1" ht="17.25" customHeight="1"/>
    <row r="41758" customFormat="1" ht="17.25" customHeight="1"/>
    <row r="41759" customFormat="1" ht="17.25" customHeight="1"/>
    <row r="41760" customFormat="1" ht="17.25" customHeight="1"/>
    <row r="41761" customFormat="1" ht="17.25" customHeight="1"/>
    <row r="41762" customFormat="1" ht="17.25" customHeight="1"/>
    <row r="41763" customFormat="1" ht="17.25" customHeight="1"/>
    <row r="41764" customFormat="1" ht="17.25" customHeight="1"/>
    <row r="41765" customFormat="1" ht="17.25" customHeight="1"/>
    <row r="41766" customFormat="1" ht="17.25" customHeight="1"/>
    <row r="41767" customFormat="1" ht="17.25" customHeight="1"/>
    <row r="41768" customFormat="1" ht="17.25" customHeight="1"/>
    <row r="41769" customFormat="1" ht="17.25" customHeight="1"/>
    <row r="41770" customFormat="1" ht="17.25" customHeight="1"/>
    <row r="41771" customFormat="1" ht="17.25" customHeight="1"/>
    <row r="41772" customFormat="1" ht="17.25" customHeight="1"/>
    <row r="41773" customFormat="1" ht="17.25" customHeight="1"/>
    <row r="41774" customFormat="1" ht="17.25" customHeight="1"/>
    <row r="41775" customFormat="1" ht="17.25" customHeight="1"/>
    <row r="41776" customFormat="1" ht="17.25" customHeight="1"/>
    <row r="41777" customFormat="1" ht="17.25" customHeight="1"/>
    <row r="41778" customFormat="1" ht="17.25" customHeight="1"/>
    <row r="41779" customFormat="1" ht="17.25" customHeight="1"/>
    <row r="41780" customFormat="1" ht="17.25" customHeight="1"/>
    <row r="41781" customFormat="1" ht="17.25" customHeight="1"/>
    <row r="41782" customFormat="1" ht="17.25" customHeight="1"/>
    <row r="41783" customFormat="1" ht="17.25" customHeight="1"/>
    <row r="41784" customFormat="1" ht="17.25" customHeight="1"/>
    <row r="41785" customFormat="1" ht="17.25" customHeight="1"/>
    <row r="41786" customFormat="1" ht="17.25" customHeight="1"/>
    <row r="41787" customFormat="1" ht="17.25" customHeight="1"/>
    <row r="41788" customFormat="1" ht="17.25" customHeight="1"/>
    <row r="41789" customFormat="1" ht="17.25" customHeight="1"/>
    <row r="41790" customFormat="1" ht="17.25" customHeight="1"/>
    <row r="41791" customFormat="1" ht="17.25" customHeight="1"/>
    <row r="41792" customFormat="1" ht="17.25" customHeight="1"/>
    <row r="41793" customFormat="1" ht="17.25" customHeight="1"/>
    <row r="41794" customFormat="1" ht="17.25" customHeight="1"/>
    <row r="41795" customFormat="1" ht="17.25" customHeight="1"/>
    <row r="41796" customFormat="1" ht="17.25" customHeight="1"/>
    <row r="41797" customFormat="1" ht="17.25" customHeight="1"/>
    <row r="41798" customFormat="1" ht="17.25" customHeight="1"/>
    <row r="41799" customFormat="1" ht="17.25" customHeight="1"/>
    <row r="41800" customFormat="1" ht="17.25" customHeight="1"/>
    <row r="41801" customFormat="1" ht="17.25" customHeight="1"/>
    <row r="41802" customFormat="1" ht="17.25" customHeight="1"/>
    <row r="41803" customFormat="1" ht="17.25" customHeight="1"/>
    <row r="41804" customFormat="1" ht="17.25" customHeight="1"/>
    <row r="41805" customFormat="1" ht="17.25" customHeight="1"/>
    <row r="41806" customFormat="1" ht="17.25" customHeight="1"/>
    <row r="41807" customFormat="1" ht="17.25" customHeight="1"/>
    <row r="41808" customFormat="1" ht="17.25" customHeight="1"/>
    <row r="41809" customFormat="1" ht="17.25" customHeight="1"/>
    <row r="41810" customFormat="1" ht="17.25" customHeight="1"/>
    <row r="41811" customFormat="1" ht="17.25" customHeight="1"/>
    <row r="41812" customFormat="1" ht="17.25" customHeight="1"/>
    <row r="41813" customFormat="1" ht="17.25" customHeight="1"/>
    <row r="41814" customFormat="1" ht="17.25" customHeight="1"/>
    <row r="41815" customFormat="1" ht="17.25" customHeight="1"/>
    <row r="41816" customFormat="1" ht="17.25" customHeight="1"/>
    <row r="41817" customFormat="1" ht="17.25" customHeight="1"/>
    <row r="41818" customFormat="1" ht="17.25" customHeight="1"/>
    <row r="41819" customFormat="1" ht="17.25" customHeight="1"/>
    <row r="41820" customFormat="1" ht="17.25" customHeight="1"/>
    <row r="41821" customFormat="1" ht="17.25" customHeight="1"/>
    <row r="41822" customFormat="1" ht="17.25" customHeight="1"/>
    <row r="41823" customFormat="1" ht="17.25" customHeight="1"/>
    <row r="41824" customFormat="1" ht="17.25" customHeight="1"/>
    <row r="41825" customFormat="1" ht="17.25" customHeight="1"/>
    <row r="41826" customFormat="1" ht="17.25" customHeight="1"/>
    <row r="41827" customFormat="1" ht="17.25" customHeight="1"/>
    <row r="41828" customFormat="1" ht="17.25" customHeight="1"/>
    <row r="41829" customFormat="1" ht="17.25" customHeight="1"/>
    <row r="41830" customFormat="1" ht="17.25" customHeight="1"/>
    <row r="41831" customFormat="1" ht="17.25" customHeight="1"/>
    <row r="41832" customFormat="1" ht="17.25" customHeight="1"/>
    <row r="41833" customFormat="1" ht="17.25" customHeight="1"/>
    <row r="41834" customFormat="1" ht="17.25" customHeight="1"/>
    <row r="41835" customFormat="1" ht="17.25" customHeight="1"/>
    <row r="41836" customFormat="1" ht="17.25" customHeight="1"/>
    <row r="41837" customFormat="1" ht="17.25" customHeight="1"/>
    <row r="41838" customFormat="1" ht="17.25" customHeight="1"/>
    <row r="41839" customFormat="1" ht="17.25" customHeight="1"/>
    <row r="41840" customFormat="1" ht="17.25" customHeight="1"/>
    <row r="41841" customFormat="1" ht="17.25" customHeight="1"/>
    <row r="41842" customFormat="1" ht="17.25" customHeight="1"/>
    <row r="41843" customFormat="1" ht="17.25" customHeight="1"/>
    <row r="41844" customFormat="1" ht="17.25" customHeight="1"/>
    <row r="41845" customFormat="1" ht="17.25" customHeight="1"/>
    <row r="41846" customFormat="1" ht="17.25" customHeight="1"/>
    <row r="41847" customFormat="1" ht="17.25" customHeight="1"/>
    <row r="41848" customFormat="1" ht="17.25" customHeight="1"/>
    <row r="41849" customFormat="1" ht="17.25" customHeight="1"/>
    <row r="41850" customFormat="1" ht="17.25" customHeight="1"/>
    <row r="41851" customFormat="1" ht="17.25" customHeight="1"/>
    <row r="41852" customFormat="1" ht="17.25" customHeight="1"/>
    <row r="41853" customFormat="1" ht="17.25" customHeight="1"/>
    <row r="41854" customFormat="1" ht="17.25" customHeight="1"/>
    <row r="41855" customFormat="1" ht="17.25" customHeight="1"/>
    <row r="41856" customFormat="1" ht="17.25" customHeight="1"/>
    <row r="41857" customFormat="1" ht="17.25" customHeight="1"/>
    <row r="41858" customFormat="1" ht="17.25" customHeight="1"/>
    <row r="41859" customFormat="1" ht="17.25" customHeight="1"/>
    <row r="41860" customFormat="1" ht="17.25" customHeight="1"/>
    <row r="41861" customFormat="1" ht="17.25" customHeight="1"/>
    <row r="41862" customFormat="1" ht="17.25" customHeight="1"/>
    <row r="41863" customFormat="1" ht="17.25" customHeight="1"/>
    <row r="41864" customFormat="1" ht="17.25" customHeight="1"/>
    <row r="41865" customFormat="1" ht="17.25" customHeight="1"/>
    <row r="41866" customFormat="1" ht="17.25" customHeight="1"/>
    <row r="41867" customFormat="1" ht="17.25" customHeight="1"/>
    <row r="41868" customFormat="1" ht="17.25" customHeight="1"/>
    <row r="41869" customFormat="1" ht="17.25" customHeight="1"/>
    <row r="41870" customFormat="1" ht="17.25" customHeight="1"/>
    <row r="41871" customFormat="1" ht="17.25" customHeight="1"/>
    <row r="41872" customFormat="1" ht="17.25" customHeight="1"/>
    <row r="41873" customFormat="1" ht="17.25" customHeight="1"/>
    <row r="41874" customFormat="1" ht="17.25" customHeight="1"/>
    <row r="41875" customFormat="1" ht="17.25" customHeight="1"/>
    <row r="41876" customFormat="1" ht="17.25" customHeight="1"/>
    <row r="41877" customFormat="1" ht="17.25" customHeight="1"/>
    <row r="41878" customFormat="1" ht="17.25" customHeight="1"/>
    <row r="41879" customFormat="1" ht="17.25" customHeight="1"/>
    <row r="41880" customFormat="1" ht="17.25" customHeight="1"/>
    <row r="41881" customFormat="1" ht="17.25" customHeight="1"/>
    <row r="41882" customFormat="1" ht="17.25" customHeight="1"/>
    <row r="41883" customFormat="1" ht="17.25" customHeight="1"/>
    <row r="41884" customFormat="1" ht="17.25" customHeight="1"/>
    <row r="41885" customFormat="1" ht="17.25" customHeight="1"/>
    <row r="41886" customFormat="1" ht="17.25" customHeight="1"/>
    <row r="41887" customFormat="1" ht="17.25" customHeight="1"/>
    <row r="41888" customFormat="1" ht="17.25" customHeight="1"/>
    <row r="41889" customFormat="1" ht="17.25" customHeight="1"/>
    <row r="41890" customFormat="1" ht="17.25" customHeight="1"/>
    <row r="41891" customFormat="1" ht="17.25" customHeight="1"/>
    <row r="41892" customFormat="1" ht="17.25" customHeight="1"/>
    <row r="41893" customFormat="1" ht="17.25" customHeight="1"/>
    <row r="41894" customFormat="1" ht="17.25" customHeight="1"/>
    <row r="41895" customFormat="1" ht="17.25" customHeight="1"/>
    <row r="41896" customFormat="1" ht="17.25" customHeight="1"/>
    <row r="41897" customFormat="1" ht="17.25" customHeight="1"/>
    <row r="41898" customFormat="1" ht="17.25" customHeight="1"/>
    <row r="41899" customFormat="1" ht="17.25" customHeight="1"/>
    <row r="41900" customFormat="1" ht="17.25" customHeight="1"/>
    <row r="41901" customFormat="1" ht="17.25" customHeight="1"/>
    <row r="41902" customFormat="1" ht="17.25" customHeight="1"/>
    <row r="41903" customFormat="1" ht="17.25" customHeight="1"/>
    <row r="41904" customFormat="1" ht="17.25" customHeight="1"/>
    <row r="41905" customFormat="1" ht="17.25" customHeight="1"/>
    <row r="41906" customFormat="1" ht="17.25" customHeight="1"/>
    <row r="41907" customFormat="1" ht="17.25" customHeight="1"/>
    <row r="41908" customFormat="1" ht="17.25" customHeight="1"/>
    <row r="41909" customFormat="1" ht="17.25" customHeight="1"/>
    <row r="41910" customFormat="1" ht="17.25" customHeight="1"/>
    <row r="41911" customFormat="1" ht="17.25" customHeight="1"/>
    <row r="41912" customFormat="1" ht="17.25" customHeight="1"/>
    <row r="41913" customFormat="1" ht="17.25" customHeight="1"/>
    <row r="41914" customFormat="1" ht="17.25" customHeight="1"/>
    <row r="41915" customFormat="1" ht="17.25" customHeight="1"/>
    <row r="41916" customFormat="1" ht="17.25" customHeight="1"/>
    <row r="41917" customFormat="1" ht="17.25" customHeight="1"/>
    <row r="41918" customFormat="1" ht="17.25" customHeight="1"/>
    <row r="41919" customFormat="1" ht="17.25" customHeight="1"/>
    <row r="41920" customFormat="1" ht="17.25" customHeight="1"/>
    <row r="41921" customFormat="1" ht="17.25" customHeight="1"/>
    <row r="41922" customFormat="1" ht="17.25" customHeight="1"/>
    <row r="41923" customFormat="1" ht="17.25" customHeight="1"/>
    <row r="41924" customFormat="1" ht="17.25" customHeight="1"/>
    <row r="41925" customFormat="1" ht="17.25" customHeight="1"/>
    <row r="41926" customFormat="1" ht="17.25" customHeight="1"/>
    <row r="41927" customFormat="1" ht="17.25" customHeight="1"/>
    <row r="41928" customFormat="1" ht="17.25" customHeight="1"/>
    <row r="41929" customFormat="1" ht="17.25" customHeight="1"/>
    <row r="41930" customFormat="1" ht="17.25" customHeight="1"/>
    <row r="41931" customFormat="1" ht="17.25" customHeight="1"/>
    <row r="41932" customFormat="1" ht="17.25" customHeight="1"/>
    <row r="41933" customFormat="1" ht="17.25" customHeight="1"/>
    <row r="41934" customFormat="1" ht="17.25" customHeight="1"/>
    <row r="41935" customFormat="1" ht="17.25" customHeight="1"/>
    <row r="41936" customFormat="1" ht="17.25" customHeight="1"/>
    <row r="41937" customFormat="1" ht="17.25" customHeight="1"/>
    <row r="41938" customFormat="1" ht="17.25" customHeight="1"/>
    <row r="41939" customFormat="1" ht="17.25" customHeight="1"/>
    <row r="41940" customFormat="1" ht="17.25" customHeight="1"/>
    <row r="41941" customFormat="1" ht="17.25" customHeight="1"/>
    <row r="41942" customFormat="1" ht="17.25" customHeight="1"/>
    <row r="41943" customFormat="1" ht="17.25" customHeight="1"/>
    <row r="41944" customFormat="1" ht="17.25" customHeight="1"/>
    <row r="41945" customFormat="1" ht="17.25" customHeight="1"/>
    <row r="41946" customFormat="1" ht="17.25" customHeight="1"/>
    <row r="41947" customFormat="1" ht="17.25" customHeight="1"/>
    <row r="41948" customFormat="1" ht="17.25" customHeight="1"/>
    <row r="41949" customFormat="1" ht="17.25" customHeight="1"/>
    <row r="41950" customFormat="1" ht="17.25" customHeight="1"/>
    <row r="41951" customFormat="1" ht="17.25" customHeight="1"/>
    <row r="41952" customFormat="1" ht="17.25" customHeight="1"/>
    <row r="41953" customFormat="1" ht="17.25" customHeight="1"/>
    <row r="41954" customFormat="1" ht="17.25" customHeight="1"/>
    <row r="41955" customFormat="1" ht="17.25" customHeight="1"/>
    <row r="41956" customFormat="1" ht="17.25" customHeight="1"/>
    <row r="41957" customFormat="1" ht="17.25" customHeight="1"/>
    <row r="41958" customFormat="1" ht="17.25" customHeight="1"/>
    <row r="41959" customFormat="1" ht="17.25" customHeight="1"/>
    <row r="41960" customFormat="1" ht="17.25" customHeight="1"/>
    <row r="41961" customFormat="1" ht="17.25" customHeight="1"/>
    <row r="41962" customFormat="1" ht="17.25" customHeight="1"/>
    <row r="41963" customFormat="1" ht="17.25" customHeight="1"/>
    <row r="41964" customFormat="1" ht="17.25" customHeight="1"/>
    <row r="41965" customFormat="1" ht="17.25" customHeight="1"/>
    <row r="41966" customFormat="1" ht="17.25" customHeight="1"/>
    <row r="41967" customFormat="1" ht="17.25" customHeight="1"/>
    <row r="41968" customFormat="1" ht="17.25" customHeight="1"/>
    <row r="41969" customFormat="1" ht="17.25" customHeight="1"/>
    <row r="41970" customFormat="1" ht="17.25" customHeight="1"/>
    <row r="41971" customFormat="1" ht="17.25" customHeight="1"/>
    <row r="41972" customFormat="1" ht="17.25" customHeight="1"/>
    <row r="41973" customFormat="1" ht="17.25" customHeight="1"/>
    <row r="41974" customFormat="1" ht="17.25" customHeight="1"/>
    <row r="41975" customFormat="1" ht="17.25" customHeight="1"/>
    <row r="41976" customFormat="1" ht="17.25" customHeight="1"/>
    <row r="41977" customFormat="1" ht="17.25" customHeight="1"/>
    <row r="41978" customFormat="1" ht="17.25" customHeight="1"/>
    <row r="41979" customFormat="1" ht="17.25" customHeight="1"/>
    <row r="41980" customFormat="1" ht="17.25" customHeight="1"/>
    <row r="41981" customFormat="1" ht="17.25" customHeight="1"/>
    <row r="41982" customFormat="1" ht="17.25" customHeight="1"/>
    <row r="41983" customFormat="1" ht="17.25" customHeight="1"/>
    <row r="41984" customFormat="1" ht="17.25" customHeight="1"/>
    <row r="41985" customFormat="1" ht="17.25" customHeight="1"/>
    <row r="41986" customFormat="1" ht="17.25" customHeight="1"/>
    <row r="41987" customFormat="1" ht="17.25" customHeight="1"/>
    <row r="41988" customFormat="1" ht="17.25" customHeight="1"/>
    <row r="41989" customFormat="1" ht="17.25" customHeight="1"/>
    <row r="41990" customFormat="1" ht="17.25" customHeight="1"/>
    <row r="41991" customFormat="1" ht="17.25" customHeight="1"/>
    <row r="41992" customFormat="1" ht="17.25" customHeight="1"/>
    <row r="41993" customFormat="1" ht="17.25" customHeight="1"/>
    <row r="41994" customFormat="1" ht="17.25" customHeight="1"/>
    <row r="41995" customFormat="1" ht="17.25" customHeight="1"/>
    <row r="41996" customFormat="1" ht="17.25" customHeight="1"/>
    <row r="41997" customFormat="1" ht="17.25" customHeight="1"/>
    <row r="41998" customFormat="1" ht="17.25" customHeight="1"/>
    <row r="41999" customFormat="1" ht="17.25" customHeight="1"/>
    <row r="42000" customFormat="1" ht="17.25" customHeight="1"/>
    <row r="42001" customFormat="1" ht="17.25" customHeight="1"/>
    <row r="42002" customFormat="1" ht="17.25" customHeight="1"/>
    <row r="42003" customFormat="1" ht="17.25" customHeight="1"/>
    <row r="42004" customFormat="1" ht="17.25" customHeight="1"/>
    <row r="42005" customFormat="1" ht="17.25" customHeight="1"/>
    <row r="42006" customFormat="1" ht="17.25" customHeight="1"/>
    <row r="42007" customFormat="1" ht="17.25" customHeight="1"/>
    <row r="42008" customFormat="1" ht="17.25" customHeight="1"/>
    <row r="42009" customFormat="1" ht="17.25" customHeight="1"/>
    <row r="42010" customFormat="1" ht="17.25" customHeight="1"/>
    <row r="42011" customFormat="1" ht="17.25" customHeight="1"/>
    <row r="42012" customFormat="1" ht="17.25" customHeight="1"/>
    <row r="42013" customFormat="1" ht="17.25" customHeight="1"/>
    <row r="42014" customFormat="1" ht="17.25" customHeight="1"/>
    <row r="42015" customFormat="1" ht="17.25" customHeight="1"/>
    <row r="42016" customFormat="1" ht="17.25" customHeight="1"/>
    <row r="42017" customFormat="1" ht="17.25" customHeight="1"/>
    <row r="42018" customFormat="1" ht="17.25" customHeight="1"/>
    <row r="42019" customFormat="1" ht="17.25" customHeight="1"/>
    <row r="42020" customFormat="1" ht="17.25" customHeight="1"/>
    <row r="42021" customFormat="1" ht="17.25" customHeight="1"/>
    <row r="42022" customFormat="1" ht="17.25" customHeight="1"/>
    <row r="42023" customFormat="1" ht="17.25" customHeight="1"/>
    <row r="42024" customFormat="1" ht="17.25" customHeight="1"/>
    <row r="42025" customFormat="1" ht="17.25" customHeight="1"/>
    <row r="42026" customFormat="1" ht="17.25" customHeight="1"/>
    <row r="42027" customFormat="1" ht="17.25" customHeight="1"/>
    <row r="42028" customFormat="1" ht="17.25" customHeight="1"/>
    <row r="42029" customFormat="1" ht="17.25" customHeight="1"/>
    <row r="42030" customFormat="1" ht="17.25" customHeight="1"/>
    <row r="42031" customFormat="1" ht="17.25" customHeight="1"/>
    <row r="42032" customFormat="1" ht="17.25" customHeight="1"/>
    <row r="42033" customFormat="1" ht="17.25" customHeight="1"/>
    <row r="42034" customFormat="1" ht="17.25" customHeight="1"/>
    <row r="42035" customFormat="1" ht="17.25" customHeight="1"/>
    <row r="42036" customFormat="1" ht="17.25" customHeight="1"/>
    <row r="42037" customFormat="1" ht="17.25" customHeight="1"/>
    <row r="42038" customFormat="1" ht="17.25" customHeight="1"/>
    <row r="42039" customFormat="1" ht="17.25" customHeight="1"/>
    <row r="42040" customFormat="1" ht="17.25" customHeight="1"/>
    <row r="42041" customFormat="1" ht="17.25" customHeight="1"/>
    <row r="42042" customFormat="1" ht="17.25" customHeight="1"/>
    <row r="42043" customFormat="1" ht="17.25" customHeight="1"/>
    <row r="42044" customFormat="1" ht="17.25" customHeight="1"/>
    <row r="42045" customFormat="1" ht="17.25" customHeight="1"/>
    <row r="42046" customFormat="1" ht="17.25" customHeight="1"/>
    <row r="42047" customFormat="1" ht="17.25" customHeight="1"/>
    <row r="42048" customFormat="1" ht="17.25" customHeight="1"/>
    <row r="42049" customFormat="1" ht="17.25" customHeight="1"/>
    <row r="42050" customFormat="1" ht="17.25" customHeight="1"/>
    <row r="42051" customFormat="1" ht="17.25" customHeight="1"/>
    <row r="42052" customFormat="1" ht="17.25" customHeight="1"/>
    <row r="42053" customFormat="1" ht="17.25" customHeight="1"/>
    <row r="42054" customFormat="1" ht="17.25" customHeight="1"/>
    <row r="42055" customFormat="1" ht="17.25" customHeight="1"/>
    <row r="42056" customFormat="1" ht="17.25" customHeight="1"/>
    <row r="42057" customFormat="1" ht="17.25" customHeight="1"/>
    <row r="42058" customFormat="1" ht="17.25" customHeight="1"/>
    <row r="42059" customFormat="1" ht="17.25" customHeight="1"/>
    <row r="42060" customFormat="1" ht="17.25" customHeight="1"/>
    <row r="42061" customFormat="1" ht="17.25" customHeight="1"/>
    <row r="42062" customFormat="1" ht="17.25" customHeight="1"/>
    <row r="42063" customFormat="1" ht="17.25" customHeight="1"/>
    <row r="42064" customFormat="1" ht="17.25" customHeight="1"/>
    <row r="42065" customFormat="1" ht="17.25" customHeight="1"/>
    <row r="42066" customFormat="1" ht="17.25" customHeight="1"/>
    <row r="42067" customFormat="1" ht="17.25" customHeight="1"/>
    <row r="42068" customFormat="1" ht="17.25" customHeight="1"/>
    <row r="42069" customFormat="1" ht="17.25" customHeight="1"/>
    <row r="42070" customFormat="1" ht="17.25" customHeight="1"/>
    <row r="42071" customFormat="1" ht="17.25" customHeight="1"/>
    <row r="42072" customFormat="1" ht="17.25" customHeight="1"/>
    <row r="42073" customFormat="1" ht="17.25" customHeight="1"/>
    <row r="42074" customFormat="1" ht="17.25" customHeight="1"/>
    <row r="42075" customFormat="1" ht="17.25" customHeight="1"/>
    <row r="42076" customFormat="1" ht="17.25" customHeight="1"/>
    <row r="42077" customFormat="1" ht="17.25" customHeight="1"/>
    <row r="42078" customFormat="1" ht="17.25" customHeight="1"/>
    <row r="42079" customFormat="1" ht="17.25" customHeight="1"/>
    <row r="42080" customFormat="1" ht="17.25" customHeight="1"/>
    <row r="42081" customFormat="1" ht="17.25" customHeight="1"/>
    <row r="42082" customFormat="1" ht="17.25" customHeight="1"/>
    <row r="42083" customFormat="1" ht="17.25" customHeight="1"/>
    <row r="42084" customFormat="1" ht="17.25" customHeight="1"/>
    <row r="42085" customFormat="1" ht="17.25" customHeight="1"/>
    <row r="42086" customFormat="1" ht="17.25" customHeight="1"/>
    <row r="42087" customFormat="1" ht="17.25" customHeight="1"/>
    <row r="42088" customFormat="1" ht="17.25" customHeight="1"/>
    <row r="42089" customFormat="1" ht="17.25" customHeight="1"/>
    <row r="42090" customFormat="1" ht="17.25" customHeight="1"/>
    <row r="42091" customFormat="1" ht="17.25" customHeight="1"/>
    <row r="42092" customFormat="1" ht="17.25" customHeight="1"/>
    <row r="42093" customFormat="1" ht="17.25" customHeight="1"/>
    <row r="42094" customFormat="1" ht="17.25" customHeight="1"/>
    <row r="42095" customFormat="1" ht="17.25" customHeight="1"/>
    <row r="42096" customFormat="1" ht="17.25" customHeight="1"/>
    <row r="42097" customFormat="1" ht="17.25" customHeight="1"/>
    <row r="42098" customFormat="1" ht="17.25" customHeight="1"/>
    <row r="42099" customFormat="1" ht="17.25" customHeight="1"/>
    <row r="42100" customFormat="1" ht="17.25" customHeight="1"/>
    <row r="42101" customFormat="1" ht="17.25" customHeight="1"/>
    <row r="42102" customFormat="1" ht="17.25" customHeight="1"/>
    <row r="42103" customFormat="1" ht="17.25" customHeight="1"/>
    <row r="42104" customFormat="1" ht="17.25" customHeight="1"/>
    <row r="42105" customFormat="1" ht="17.25" customHeight="1"/>
    <row r="42106" customFormat="1" ht="17.25" customHeight="1"/>
    <row r="42107" customFormat="1" ht="17.25" customHeight="1"/>
    <row r="42108" customFormat="1" ht="17.25" customHeight="1"/>
    <row r="42109" customFormat="1" ht="17.25" customHeight="1"/>
    <row r="42110" customFormat="1" ht="17.25" customHeight="1"/>
    <row r="42111" customFormat="1" ht="17.25" customHeight="1"/>
    <row r="42112" customFormat="1" ht="17.25" customHeight="1"/>
    <row r="42113" customFormat="1" ht="17.25" customHeight="1"/>
    <row r="42114" customFormat="1" ht="17.25" customHeight="1"/>
    <row r="42115" customFormat="1" ht="17.25" customHeight="1"/>
    <row r="42116" customFormat="1" ht="17.25" customHeight="1"/>
    <row r="42117" customFormat="1" ht="17.25" customHeight="1"/>
    <row r="42118" customFormat="1" ht="17.25" customHeight="1"/>
    <row r="42119" customFormat="1" ht="17.25" customHeight="1"/>
    <row r="42120" customFormat="1" ht="17.25" customHeight="1"/>
    <row r="42121" customFormat="1" ht="17.25" customHeight="1"/>
    <row r="42122" customFormat="1" ht="17.25" customHeight="1"/>
    <row r="42123" customFormat="1" ht="17.25" customHeight="1"/>
    <row r="42124" customFormat="1" ht="17.25" customHeight="1"/>
    <row r="42125" customFormat="1" ht="17.25" customHeight="1"/>
    <row r="42126" customFormat="1" ht="17.25" customHeight="1"/>
    <row r="42127" customFormat="1" ht="17.25" customHeight="1"/>
    <row r="42128" customFormat="1" ht="17.25" customHeight="1"/>
    <row r="42129" customFormat="1" ht="17.25" customHeight="1"/>
    <row r="42130" customFormat="1" ht="17.25" customHeight="1"/>
    <row r="42131" customFormat="1" ht="17.25" customHeight="1"/>
    <row r="42132" customFormat="1" ht="17.25" customHeight="1"/>
    <row r="42133" customFormat="1" ht="17.25" customHeight="1"/>
    <row r="42134" customFormat="1" ht="17.25" customHeight="1"/>
    <row r="42135" customFormat="1" ht="17.25" customHeight="1"/>
    <row r="42136" customFormat="1" ht="17.25" customHeight="1"/>
    <row r="42137" customFormat="1" ht="17.25" customHeight="1"/>
    <row r="42138" customFormat="1" ht="17.25" customHeight="1"/>
    <row r="42139" customFormat="1" ht="17.25" customHeight="1"/>
    <row r="42140" customFormat="1" ht="17.25" customHeight="1"/>
    <row r="42141" customFormat="1" ht="17.25" customHeight="1"/>
    <row r="42142" customFormat="1" ht="17.25" customHeight="1"/>
    <row r="42143" customFormat="1" ht="17.25" customHeight="1"/>
    <row r="42144" customFormat="1" ht="17.25" customHeight="1"/>
    <row r="42145" customFormat="1" ht="17.25" customHeight="1"/>
    <row r="42146" customFormat="1" ht="17.25" customHeight="1"/>
    <row r="42147" customFormat="1" ht="17.25" customHeight="1"/>
    <row r="42148" customFormat="1" ht="17.25" customHeight="1"/>
    <row r="42149" customFormat="1" ht="17.25" customHeight="1"/>
    <row r="42150" customFormat="1" ht="17.25" customHeight="1"/>
    <row r="42151" customFormat="1" ht="17.25" customHeight="1"/>
    <row r="42152" customFormat="1" ht="17.25" customHeight="1"/>
    <row r="42153" customFormat="1" ht="17.25" customHeight="1"/>
    <row r="42154" customFormat="1" ht="17.25" customHeight="1"/>
    <row r="42155" customFormat="1" ht="17.25" customHeight="1"/>
    <row r="42156" customFormat="1" ht="17.25" customHeight="1"/>
    <row r="42157" customFormat="1" ht="17.25" customHeight="1"/>
    <row r="42158" customFormat="1" ht="17.25" customHeight="1"/>
    <row r="42159" customFormat="1" ht="17.25" customHeight="1"/>
    <row r="42160" customFormat="1" ht="17.25" customHeight="1"/>
    <row r="42161" customFormat="1" ht="17.25" customHeight="1"/>
    <row r="42162" customFormat="1" ht="17.25" customHeight="1"/>
    <row r="42163" customFormat="1" ht="17.25" customHeight="1"/>
    <row r="42164" customFormat="1" ht="17.25" customHeight="1"/>
    <row r="42165" customFormat="1" ht="17.25" customHeight="1"/>
    <row r="42166" customFormat="1" ht="17.25" customHeight="1"/>
    <row r="42167" customFormat="1" ht="17.25" customHeight="1"/>
    <row r="42168" customFormat="1" ht="17.25" customHeight="1"/>
    <row r="42169" customFormat="1" ht="17.25" customHeight="1"/>
    <row r="42170" customFormat="1" ht="17.25" customHeight="1"/>
    <row r="42171" customFormat="1" ht="17.25" customHeight="1"/>
    <row r="42172" customFormat="1" ht="17.25" customHeight="1"/>
    <row r="42173" customFormat="1" ht="17.25" customHeight="1"/>
    <row r="42174" customFormat="1" ht="17.25" customHeight="1"/>
    <row r="42175" customFormat="1" ht="17.25" customHeight="1"/>
    <row r="42176" customFormat="1" ht="17.25" customHeight="1"/>
    <row r="42177" customFormat="1" ht="17.25" customHeight="1"/>
    <row r="42178" customFormat="1" ht="17.25" customHeight="1"/>
    <row r="42179" customFormat="1" ht="17.25" customHeight="1"/>
    <row r="42180" customFormat="1" ht="17.25" customHeight="1"/>
    <row r="42181" customFormat="1" ht="17.25" customHeight="1"/>
    <row r="42182" customFormat="1" ht="17.25" customHeight="1"/>
    <row r="42183" customFormat="1" ht="17.25" customHeight="1"/>
    <row r="42184" customFormat="1" ht="17.25" customHeight="1"/>
    <row r="42185" customFormat="1" ht="17.25" customHeight="1"/>
    <row r="42186" customFormat="1" ht="17.25" customHeight="1"/>
    <row r="42187" customFormat="1" ht="17.25" customHeight="1"/>
    <row r="42188" customFormat="1" ht="17.25" customHeight="1"/>
    <row r="42189" customFormat="1" ht="17.25" customHeight="1"/>
    <row r="42190" customFormat="1" ht="17.25" customHeight="1"/>
    <row r="42191" customFormat="1" ht="17.25" customHeight="1"/>
    <row r="42192" customFormat="1" ht="17.25" customHeight="1"/>
    <row r="42193" customFormat="1" ht="17.25" customHeight="1"/>
    <row r="42194" customFormat="1" ht="17.25" customHeight="1"/>
    <row r="42195" customFormat="1" ht="17.25" customHeight="1"/>
    <row r="42196" customFormat="1" ht="17.25" customHeight="1"/>
    <row r="42197" customFormat="1" ht="17.25" customHeight="1"/>
    <row r="42198" customFormat="1" ht="17.25" customHeight="1"/>
    <row r="42199" customFormat="1" ht="17.25" customHeight="1"/>
    <row r="42200" customFormat="1" ht="17.25" customHeight="1"/>
    <row r="42201" customFormat="1" ht="17.25" customHeight="1"/>
    <row r="42202" customFormat="1" ht="17.25" customHeight="1"/>
    <row r="42203" customFormat="1" ht="17.25" customHeight="1"/>
    <row r="42204" customFormat="1" ht="17.25" customHeight="1"/>
    <row r="42205" customFormat="1" ht="17.25" customHeight="1"/>
    <row r="42206" customFormat="1" ht="17.25" customHeight="1"/>
    <row r="42207" customFormat="1" ht="17.25" customHeight="1"/>
    <row r="42208" customFormat="1" ht="17.25" customHeight="1"/>
    <row r="42209" customFormat="1" ht="17.25" customHeight="1"/>
    <row r="42210" customFormat="1" ht="17.25" customHeight="1"/>
    <row r="42211" customFormat="1" ht="17.25" customHeight="1"/>
    <row r="42212" customFormat="1" ht="17.25" customHeight="1"/>
    <row r="42213" customFormat="1" ht="17.25" customHeight="1"/>
    <row r="42214" customFormat="1" ht="17.25" customHeight="1"/>
    <row r="42215" customFormat="1" ht="17.25" customHeight="1"/>
    <row r="42216" customFormat="1" ht="17.25" customHeight="1"/>
    <row r="42217" customFormat="1" ht="17.25" customHeight="1"/>
    <row r="42218" customFormat="1" ht="17.25" customHeight="1"/>
    <row r="42219" customFormat="1" ht="17.25" customHeight="1"/>
    <row r="42220" customFormat="1" ht="17.25" customHeight="1"/>
    <row r="42221" customFormat="1" ht="17.25" customHeight="1"/>
    <row r="42222" customFormat="1" ht="17.25" customHeight="1"/>
    <row r="42223" customFormat="1" ht="17.25" customHeight="1"/>
    <row r="42224" customFormat="1" ht="17.25" customHeight="1"/>
    <row r="42225" customFormat="1" ht="17.25" customHeight="1"/>
    <row r="42226" customFormat="1" ht="17.25" customHeight="1"/>
    <row r="42227" customFormat="1" ht="17.25" customHeight="1"/>
    <row r="42228" customFormat="1" ht="17.25" customHeight="1"/>
    <row r="42229" customFormat="1" ht="17.25" customHeight="1"/>
    <row r="42230" customFormat="1" ht="17.25" customHeight="1"/>
    <row r="42231" customFormat="1" ht="17.25" customHeight="1"/>
    <row r="42232" customFormat="1" ht="17.25" customHeight="1"/>
    <row r="42233" customFormat="1" ht="17.25" customHeight="1"/>
    <row r="42234" customFormat="1" ht="17.25" customHeight="1"/>
    <row r="42235" customFormat="1" ht="17.25" customHeight="1"/>
    <row r="42236" customFormat="1" ht="17.25" customHeight="1"/>
    <row r="42237" customFormat="1" ht="17.25" customHeight="1"/>
    <row r="42238" customFormat="1" ht="17.25" customHeight="1"/>
    <row r="42239" customFormat="1" ht="17.25" customHeight="1"/>
    <row r="42240" customFormat="1" ht="17.25" customHeight="1"/>
    <row r="42241" customFormat="1" ht="17.25" customHeight="1"/>
    <row r="42242" customFormat="1" ht="17.25" customHeight="1"/>
    <row r="42243" customFormat="1" ht="17.25" customHeight="1"/>
    <row r="42244" customFormat="1" ht="17.25" customHeight="1"/>
    <row r="42245" customFormat="1" ht="17.25" customHeight="1"/>
    <row r="42246" customFormat="1" ht="17.25" customHeight="1"/>
    <row r="42247" customFormat="1" ht="17.25" customHeight="1"/>
    <row r="42248" customFormat="1" ht="17.25" customHeight="1"/>
    <row r="42249" customFormat="1" ht="17.25" customHeight="1"/>
    <row r="42250" customFormat="1" ht="17.25" customHeight="1"/>
    <row r="42251" customFormat="1" ht="17.25" customHeight="1"/>
    <row r="42252" customFormat="1" ht="17.25" customHeight="1"/>
    <row r="42253" customFormat="1" ht="17.25" customHeight="1"/>
    <row r="42254" customFormat="1" ht="17.25" customHeight="1"/>
    <row r="42255" customFormat="1" ht="17.25" customHeight="1"/>
    <row r="42256" customFormat="1" ht="17.25" customHeight="1"/>
    <row r="42257" customFormat="1" ht="17.25" customHeight="1"/>
    <row r="42258" customFormat="1" ht="17.25" customHeight="1"/>
    <row r="42259" customFormat="1" ht="17.25" customHeight="1"/>
    <row r="42260" customFormat="1" ht="17.25" customHeight="1"/>
    <row r="42261" customFormat="1" ht="17.25" customHeight="1"/>
    <row r="42262" customFormat="1" ht="17.25" customHeight="1"/>
    <row r="42263" customFormat="1" ht="17.25" customHeight="1"/>
    <row r="42264" customFormat="1" ht="17.25" customHeight="1"/>
    <row r="42265" customFormat="1" ht="17.25" customHeight="1"/>
    <row r="42266" customFormat="1" ht="17.25" customHeight="1"/>
    <row r="42267" customFormat="1" ht="17.25" customHeight="1"/>
    <row r="42268" customFormat="1" ht="17.25" customHeight="1"/>
    <row r="42269" customFormat="1" ht="17.25" customHeight="1"/>
    <row r="42270" customFormat="1" ht="17.25" customHeight="1"/>
    <row r="42271" customFormat="1" ht="17.25" customHeight="1"/>
    <row r="42272" customFormat="1" ht="17.25" customHeight="1"/>
    <row r="42273" customFormat="1" ht="17.25" customHeight="1"/>
    <row r="42274" customFormat="1" ht="17.25" customHeight="1"/>
    <row r="42275" customFormat="1" ht="17.25" customHeight="1"/>
    <row r="42276" customFormat="1" ht="17.25" customHeight="1"/>
    <row r="42277" customFormat="1" ht="17.25" customHeight="1"/>
    <row r="42278" customFormat="1" ht="17.25" customHeight="1"/>
    <row r="42279" customFormat="1" ht="17.25" customHeight="1"/>
    <row r="42280" customFormat="1" ht="17.25" customHeight="1"/>
    <row r="42281" customFormat="1" ht="17.25" customHeight="1"/>
    <row r="42282" customFormat="1" ht="17.25" customHeight="1"/>
    <row r="42283" customFormat="1" ht="17.25" customHeight="1"/>
    <row r="42284" customFormat="1" ht="17.25" customHeight="1"/>
    <row r="42285" customFormat="1" ht="17.25" customHeight="1"/>
    <row r="42286" customFormat="1" ht="17.25" customHeight="1"/>
    <row r="42287" customFormat="1" ht="17.25" customHeight="1"/>
    <row r="42288" customFormat="1" ht="17.25" customHeight="1"/>
    <row r="42289" customFormat="1" ht="17.25" customHeight="1"/>
    <row r="42290" customFormat="1" ht="17.25" customHeight="1"/>
    <row r="42291" customFormat="1" ht="17.25" customHeight="1"/>
    <row r="42292" customFormat="1" ht="17.25" customHeight="1"/>
    <row r="42293" customFormat="1" ht="17.25" customHeight="1"/>
    <row r="42294" customFormat="1" ht="17.25" customHeight="1"/>
    <row r="42295" customFormat="1" ht="17.25" customHeight="1"/>
    <row r="42296" customFormat="1" ht="17.25" customHeight="1"/>
    <row r="42297" customFormat="1" ht="17.25" customHeight="1"/>
    <row r="42298" customFormat="1" ht="17.25" customHeight="1"/>
    <row r="42299" customFormat="1" ht="17.25" customHeight="1"/>
    <row r="42300" customFormat="1" ht="17.25" customHeight="1"/>
    <row r="42301" customFormat="1" ht="17.25" customHeight="1"/>
    <row r="42302" customFormat="1" ht="17.25" customHeight="1"/>
    <row r="42303" customFormat="1" ht="17.25" customHeight="1"/>
    <row r="42304" customFormat="1" ht="17.25" customHeight="1"/>
    <row r="42305" customFormat="1" ht="17.25" customHeight="1"/>
    <row r="42306" customFormat="1" ht="17.25" customHeight="1"/>
    <row r="42307" customFormat="1" ht="17.25" customHeight="1"/>
    <row r="42308" customFormat="1" ht="17.25" customHeight="1"/>
    <row r="42309" customFormat="1" ht="17.25" customHeight="1"/>
    <row r="42310" customFormat="1" ht="17.25" customHeight="1"/>
    <row r="42311" customFormat="1" ht="17.25" customHeight="1"/>
    <row r="42312" customFormat="1" ht="17.25" customHeight="1"/>
    <row r="42313" customFormat="1" ht="17.25" customHeight="1"/>
    <row r="42314" customFormat="1" ht="17.25" customHeight="1"/>
    <row r="42315" customFormat="1" ht="17.25" customHeight="1"/>
    <row r="42316" customFormat="1" ht="17.25" customHeight="1"/>
    <row r="42317" customFormat="1" ht="17.25" customHeight="1"/>
    <row r="42318" customFormat="1" ht="17.25" customHeight="1"/>
    <row r="42319" customFormat="1" ht="17.25" customHeight="1"/>
    <row r="42320" customFormat="1" ht="17.25" customHeight="1"/>
    <row r="42321" customFormat="1" ht="17.25" customHeight="1"/>
    <row r="42322" customFormat="1" ht="17.25" customHeight="1"/>
    <row r="42323" customFormat="1" ht="17.25" customHeight="1"/>
    <row r="42324" customFormat="1" ht="17.25" customHeight="1"/>
    <row r="42325" customFormat="1" ht="17.25" customHeight="1"/>
    <row r="42326" customFormat="1" ht="17.25" customHeight="1"/>
    <row r="42327" customFormat="1" ht="17.25" customHeight="1"/>
    <row r="42328" customFormat="1" ht="17.25" customHeight="1"/>
    <row r="42329" customFormat="1" ht="17.25" customHeight="1"/>
    <row r="42330" customFormat="1" ht="17.25" customHeight="1"/>
    <row r="42331" customFormat="1" ht="17.25" customHeight="1"/>
    <row r="42332" customFormat="1" ht="17.25" customHeight="1"/>
    <row r="42333" customFormat="1" ht="17.25" customHeight="1"/>
    <row r="42334" customFormat="1" ht="17.25" customHeight="1"/>
    <row r="42335" customFormat="1" ht="17.25" customHeight="1"/>
    <row r="42336" customFormat="1" ht="17.25" customHeight="1"/>
    <row r="42337" customFormat="1" ht="17.25" customHeight="1"/>
    <row r="42338" customFormat="1" ht="17.25" customHeight="1"/>
    <row r="42339" customFormat="1" ht="17.25" customHeight="1"/>
    <row r="42340" customFormat="1" ht="17.25" customHeight="1"/>
    <row r="42341" customFormat="1" ht="17.25" customHeight="1"/>
    <row r="42342" customFormat="1" ht="17.25" customHeight="1"/>
    <row r="42343" customFormat="1" ht="17.25" customHeight="1"/>
    <row r="42344" customFormat="1" ht="17.25" customHeight="1"/>
    <row r="42345" customFormat="1" ht="17.25" customHeight="1"/>
    <row r="42346" customFormat="1" ht="17.25" customHeight="1"/>
    <row r="42347" customFormat="1" ht="17.25" customHeight="1"/>
    <row r="42348" customFormat="1" ht="17.25" customHeight="1"/>
    <row r="42349" customFormat="1" ht="17.25" customHeight="1"/>
    <row r="42350" customFormat="1" ht="17.25" customHeight="1"/>
    <row r="42351" customFormat="1" ht="17.25" customHeight="1"/>
    <row r="42352" customFormat="1" ht="17.25" customHeight="1"/>
    <row r="42353" customFormat="1" ht="17.25" customHeight="1"/>
    <row r="42354" customFormat="1" ht="17.25" customHeight="1"/>
    <row r="42355" customFormat="1" ht="17.25" customHeight="1"/>
    <row r="42356" customFormat="1" ht="17.25" customHeight="1"/>
    <row r="42357" customFormat="1" ht="17.25" customHeight="1"/>
    <row r="42358" customFormat="1" ht="17.25" customHeight="1"/>
    <row r="42359" customFormat="1" ht="17.25" customHeight="1"/>
    <row r="42360" customFormat="1" ht="17.25" customHeight="1"/>
    <row r="42361" customFormat="1" ht="17.25" customHeight="1"/>
    <row r="42362" customFormat="1" ht="17.25" customHeight="1"/>
    <row r="42363" customFormat="1" ht="17.25" customHeight="1"/>
    <row r="42364" customFormat="1" ht="17.25" customHeight="1"/>
    <row r="42365" customFormat="1" ht="17.25" customHeight="1"/>
    <row r="42366" customFormat="1" ht="17.25" customHeight="1"/>
    <row r="42367" customFormat="1" ht="17.25" customHeight="1"/>
    <row r="42368" customFormat="1" ht="17.25" customHeight="1"/>
    <row r="42369" customFormat="1" ht="17.25" customHeight="1"/>
    <row r="42370" customFormat="1" ht="17.25" customHeight="1"/>
    <row r="42371" customFormat="1" ht="17.25" customHeight="1"/>
    <row r="42372" customFormat="1" ht="17.25" customHeight="1"/>
    <row r="42373" customFormat="1" ht="17.25" customHeight="1"/>
    <row r="42374" customFormat="1" ht="17.25" customHeight="1"/>
    <row r="42375" customFormat="1" ht="17.25" customHeight="1"/>
    <row r="42376" customFormat="1" ht="17.25" customHeight="1"/>
    <row r="42377" customFormat="1" ht="17.25" customHeight="1"/>
    <row r="42378" customFormat="1" ht="17.25" customHeight="1"/>
    <row r="42379" customFormat="1" ht="17.25" customHeight="1"/>
    <row r="42380" customFormat="1" ht="17.25" customHeight="1"/>
    <row r="42381" customFormat="1" ht="17.25" customHeight="1"/>
    <row r="42382" customFormat="1" ht="17.25" customHeight="1"/>
    <row r="42383" customFormat="1" ht="17.25" customHeight="1"/>
    <row r="42384" customFormat="1" ht="17.25" customHeight="1"/>
    <row r="42385" customFormat="1" ht="17.25" customHeight="1"/>
    <row r="42386" customFormat="1" ht="17.25" customHeight="1"/>
    <row r="42387" customFormat="1" ht="17.25" customHeight="1"/>
    <row r="42388" customFormat="1" ht="17.25" customHeight="1"/>
    <row r="42389" customFormat="1" ht="17.25" customHeight="1"/>
    <row r="42390" customFormat="1" ht="17.25" customHeight="1"/>
    <row r="42391" customFormat="1" ht="17.25" customHeight="1"/>
    <row r="42392" customFormat="1" ht="17.25" customHeight="1"/>
    <row r="42393" customFormat="1" ht="17.25" customHeight="1"/>
    <row r="42394" customFormat="1" ht="17.25" customHeight="1"/>
    <row r="42395" customFormat="1" ht="17.25" customHeight="1"/>
    <row r="42396" customFormat="1" ht="17.25" customHeight="1"/>
    <row r="42397" customFormat="1" ht="17.25" customHeight="1"/>
    <row r="42398" customFormat="1" ht="17.25" customHeight="1"/>
    <row r="42399" customFormat="1" ht="17.25" customHeight="1"/>
    <row r="42400" customFormat="1" ht="17.25" customHeight="1"/>
    <row r="42401" customFormat="1" ht="17.25" customHeight="1"/>
    <row r="42402" customFormat="1" ht="17.25" customHeight="1"/>
    <row r="42403" customFormat="1" ht="17.25" customHeight="1"/>
    <row r="42404" customFormat="1" ht="17.25" customHeight="1"/>
    <row r="42405" customFormat="1" ht="17.25" customHeight="1"/>
    <row r="42406" customFormat="1" ht="17.25" customHeight="1"/>
    <row r="42407" customFormat="1" ht="17.25" customHeight="1"/>
    <row r="42408" customFormat="1" ht="17.25" customHeight="1"/>
    <row r="42409" customFormat="1" ht="17.25" customHeight="1"/>
    <row r="42410" customFormat="1" ht="17.25" customHeight="1"/>
    <row r="42411" customFormat="1" ht="17.25" customHeight="1"/>
    <row r="42412" customFormat="1" ht="17.25" customHeight="1"/>
    <row r="42413" customFormat="1" ht="17.25" customHeight="1"/>
    <row r="42414" customFormat="1" ht="17.25" customHeight="1"/>
    <row r="42415" customFormat="1" ht="17.25" customHeight="1"/>
    <row r="42416" customFormat="1" ht="17.25" customHeight="1"/>
    <row r="42417" customFormat="1" ht="17.25" customHeight="1"/>
    <row r="42418" customFormat="1" ht="17.25" customHeight="1"/>
    <row r="42419" customFormat="1" ht="17.25" customHeight="1"/>
    <row r="42420" customFormat="1" ht="17.25" customHeight="1"/>
    <row r="42421" customFormat="1" ht="17.25" customHeight="1"/>
    <row r="42422" customFormat="1" ht="17.25" customHeight="1"/>
    <row r="42423" customFormat="1" ht="17.25" customHeight="1"/>
    <row r="42424" customFormat="1" ht="17.25" customHeight="1"/>
    <row r="42425" customFormat="1" ht="17.25" customHeight="1"/>
    <row r="42426" customFormat="1" ht="17.25" customHeight="1"/>
    <row r="42427" customFormat="1" ht="17.25" customHeight="1"/>
    <row r="42428" customFormat="1" ht="17.25" customHeight="1"/>
    <row r="42429" customFormat="1" ht="17.25" customHeight="1"/>
    <row r="42430" customFormat="1" ht="17.25" customHeight="1"/>
    <row r="42431" customFormat="1" ht="17.25" customHeight="1"/>
    <row r="42432" customFormat="1" ht="17.25" customHeight="1"/>
    <row r="42433" customFormat="1" ht="17.25" customHeight="1"/>
    <row r="42434" customFormat="1" ht="17.25" customHeight="1"/>
    <row r="42435" customFormat="1" ht="17.25" customHeight="1"/>
    <row r="42436" customFormat="1" ht="17.25" customHeight="1"/>
    <row r="42437" customFormat="1" ht="17.25" customHeight="1"/>
    <row r="42438" customFormat="1" ht="17.25" customHeight="1"/>
    <row r="42439" customFormat="1" ht="17.25" customHeight="1"/>
    <row r="42440" customFormat="1" ht="17.25" customHeight="1"/>
    <row r="42441" customFormat="1" ht="17.25" customHeight="1"/>
    <row r="42442" customFormat="1" ht="17.25" customHeight="1"/>
    <row r="42443" customFormat="1" ht="17.25" customHeight="1"/>
    <row r="42444" customFormat="1" ht="17.25" customHeight="1"/>
    <row r="42445" customFormat="1" ht="17.25" customHeight="1"/>
    <row r="42446" customFormat="1" ht="17.25" customHeight="1"/>
    <row r="42447" customFormat="1" ht="17.25" customHeight="1"/>
    <row r="42448" customFormat="1" ht="17.25" customHeight="1"/>
    <row r="42449" customFormat="1" ht="17.25" customHeight="1"/>
    <row r="42450" customFormat="1" ht="17.25" customHeight="1"/>
    <row r="42451" customFormat="1" ht="17.25" customHeight="1"/>
    <row r="42452" customFormat="1" ht="17.25" customHeight="1"/>
    <row r="42453" customFormat="1" ht="17.25" customHeight="1"/>
    <row r="42454" customFormat="1" ht="17.25" customHeight="1"/>
    <row r="42455" customFormat="1" ht="17.25" customHeight="1"/>
    <row r="42456" customFormat="1" ht="17.25" customHeight="1"/>
    <row r="42457" customFormat="1" ht="17.25" customHeight="1"/>
    <row r="42458" customFormat="1" ht="17.25" customHeight="1"/>
    <row r="42459" customFormat="1" ht="17.25" customHeight="1"/>
    <row r="42460" customFormat="1" ht="17.25" customHeight="1"/>
    <row r="42461" customFormat="1" ht="17.25" customHeight="1"/>
    <row r="42462" customFormat="1" ht="17.25" customHeight="1"/>
    <row r="42463" customFormat="1" ht="17.25" customHeight="1"/>
    <row r="42464" customFormat="1" ht="17.25" customHeight="1"/>
    <row r="42465" customFormat="1" ht="17.25" customHeight="1"/>
    <row r="42466" customFormat="1" ht="17.25" customHeight="1"/>
    <row r="42467" customFormat="1" ht="17.25" customHeight="1"/>
    <row r="42468" customFormat="1" ht="17.25" customHeight="1"/>
    <row r="42469" customFormat="1" ht="17.25" customHeight="1"/>
    <row r="42470" customFormat="1" ht="17.25" customHeight="1"/>
    <row r="42471" customFormat="1" ht="17.25" customHeight="1"/>
    <row r="42472" customFormat="1" ht="17.25" customHeight="1"/>
    <row r="42473" customFormat="1" ht="17.25" customHeight="1"/>
    <row r="42474" customFormat="1" ht="17.25" customHeight="1"/>
    <row r="42475" customFormat="1" ht="17.25" customHeight="1"/>
    <row r="42476" customFormat="1" ht="17.25" customHeight="1"/>
    <row r="42477" customFormat="1" ht="17.25" customHeight="1"/>
    <row r="42478" customFormat="1" ht="17.25" customHeight="1"/>
    <row r="42479" customFormat="1" ht="17.25" customHeight="1"/>
    <row r="42480" customFormat="1" ht="17.25" customHeight="1"/>
    <row r="42481" customFormat="1" ht="17.25" customHeight="1"/>
    <row r="42482" customFormat="1" ht="17.25" customHeight="1"/>
    <row r="42483" customFormat="1" ht="17.25" customHeight="1"/>
    <row r="42484" customFormat="1" ht="17.25" customHeight="1"/>
    <row r="42485" customFormat="1" ht="17.25" customHeight="1"/>
    <row r="42486" customFormat="1" ht="17.25" customHeight="1"/>
    <row r="42487" customFormat="1" ht="17.25" customHeight="1"/>
    <row r="42488" customFormat="1" ht="17.25" customHeight="1"/>
    <row r="42489" customFormat="1" ht="17.25" customHeight="1"/>
    <row r="42490" customFormat="1" ht="17.25" customHeight="1"/>
    <row r="42491" customFormat="1" ht="17.25" customHeight="1"/>
    <row r="42492" customFormat="1" ht="17.25" customHeight="1"/>
    <row r="42493" customFormat="1" ht="17.25" customHeight="1"/>
    <row r="42494" customFormat="1" ht="17.25" customHeight="1"/>
    <row r="42495" customFormat="1" ht="17.25" customHeight="1"/>
    <row r="42496" customFormat="1" ht="17.25" customHeight="1"/>
    <row r="42497" customFormat="1" ht="17.25" customHeight="1"/>
    <row r="42498" customFormat="1" ht="17.25" customHeight="1"/>
    <row r="42499" customFormat="1" ht="17.25" customHeight="1"/>
    <row r="42500" customFormat="1" ht="17.25" customHeight="1"/>
    <row r="42501" customFormat="1" ht="17.25" customHeight="1"/>
    <row r="42502" customFormat="1" ht="17.25" customHeight="1"/>
    <row r="42503" customFormat="1" ht="17.25" customHeight="1"/>
    <row r="42504" customFormat="1" ht="17.25" customHeight="1"/>
    <row r="42505" customFormat="1" ht="17.25" customHeight="1"/>
    <row r="42506" customFormat="1" ht="17.25" customHeight="1"/>
    <row r="42507" customFormat="1" ht="17.25" customHeight="1"/>
    <row r="42508" customFormat="1" ht="17.25" customHeight="1"/>
    <row r="42509" customFormat="1" ht="17.25" customHeight="1"/>
    <row r="42510" customFormat="1" ht="17.25" customHeight="1"/>
    <row r="42511" customFormat="1" ht="17.25" customHeight="1"/>
    <row r="42512" customFormat="1" ht="17.25" customHeight="1"/>
    <row r="42513" customFormat="1" ht="17.25" customHeight="1"/>
    <row r="42514" customFormat="1" ht="17.25" customHeight="1"/>
    <row r="42515" customFormat="1" ht="17.25" customHeight="1"/>
    <row r="42516" customFormat="1" ht="17.25" customHeight="1"/>
    <row r="42517" customFormat="1" ht="17.25" customHeight="1"/>
    <row r="42518" customFormat="1" ht="17.25" customHeight="1"/>
    <row r="42519" customFormat="1" ht="17.25" customHeight="1"/>
    <row r="42520" customFormat="1" ht="17.25" customHeight="1"/>
    <row r="42521" customFormat="1" ht="17.25" customHeight="1"/>
    <row r="42522" customFormat="1" ht="17.25" customHeight="1"/>
    <row r="42523" customFormat="1" ht="17.25" customHeight="1"/>
    <row r="42524" customFormat="1" ht="17.25" customHeight="1"/>
    <row r="42525" customFormat="1" ht="17.25" customHeight="1"/>
    <row r="42526" customFormat="1" ht="17.25" customHeight="1"/>
    <row r="42527" customFormat="1" ht="17.25" customHeight="1"/>
    <row r="42528" customFormat="1" ht="17.25" customHeight="1"/>
    <row r="42529" customFormat="1" ht="17.25" customHeight="1"/>
    <row r="42530" customFormat="1" ht="17.25" customHeight="1"/>
    <row r="42531" customFormat="1" ht="17.25" customHeight="1"/>
    <row r="42532" customFormat="1" ht="17.25" customHeight="1"/>
    <row r="42533" customFormat="1" ht="17.25" customHeight="1"/>
    <row r="42534" customFormat="1" ht="17.25" customHeight="1"/>
    <row r="42535" customFormat="1" ht="17.25" customHeight="1"/>
    <row r="42536" customFormat="1" ht="17.25" customHeight="1"/>
    <row r="42537" customFormat="1" ht="17.25" customHeight="1"/>
    <row r="42538" customFormat="1" ht="17.25" customHeight="1"/>
    <row r="42539" customFormat="1" ht="17.25" customHeight="1"/>
    <row r="42540" customFormat="1" ht="17.25" customHeight="1"/>
    <row r="42541" customFormat="1" ht="17.25" customHeight="1"/>
    <row r="42542" customFormat="1" ht="17.25" customHeight="1"/>
    <row r="42543" customFormat="1" ht="17.25" customHeight="1"/>
    <row r="42544" customFormat="1" ht="17.25" customHeight="1"/>
    <row r="42545" customFormat="1" ht="17.25" customHeight="1"/>
    <row r="42546" customFormat="1" ht="17.25" customHeight="1"/>
    <row r="42547" customFormat="1" ht="17.25" customHeight="1"/>
    <row r="42548" customFormat="1" ht="17.25" customHeight="1"/>
    <row r="42549" customFormat="1" ht="17.25" customHeight="1"/>
    <row r="42550" customFormat="1" ht="17.25" customHeight="1"/>
    <row r="42551" customFormat="1" ht="17.25" customHeight="1"/>
    <row r="42552" customFormat="1" ht="17.25" customHeight="1"/>
    <row r="42553" customFormat="1" ht="17.25" customHeight="1"/>
    <row r="42554" customFormat="1" ht="17.25" customHeight="1"/>
    <row r="42555" customFormat="1" ht="17.25" customHeight="1"/>
    <row r="42556" customFormat="1" ht="17.25" customHeight="1"/>
    <row r="42557" customFormat="1" ht="17.25" customHeight="1"/>
    <row r="42558" customFormat="1" ht="17.25" customHeight="1"/>
    <row r="42559" customFormat="1" ht="17.25" customHeight="1"/>
    <row r="42560" customFormat="1" ht="17.25" customHeight="1"/>
    <row r="42561" customFormat="1" ht="17.25" customHeight="1"/>
    <row r="42562" customFormat="1" ht="17.25" customHeight="1"/>
    <row r="42563" customFormat="1" ht="17.25" customHeight="1"/>
    <row r="42564" customFormat="1" ht="17.25" customHeight="1"/>
    <row r="42565" customFormat="1" ht="17.25" customHeight="1"/>
    <row r="42566" customFormat="1" ht="17.25" customHeight="1"/>
    <row r="42567" customFormat="1" ht="17.25" customHeight="1"/>
    <row r="42568" customFormat="1" ht="17.25" customHeight="1"/>
    <row r="42569" customFormat="1" ht="17.25" customHeight="1"/>
    <row r="42570" customFormat="1" ht="17.25" customHeight="1"/>
    <row r="42571" customFormat="1" ht="17.25" customHeight="1"/>
    <row r="42572" customFormat="1" ht="17.25" customHeight="1"/>
    <row r="42573" customFormat="1" ht="17.25" customHeight="1"/>
    <row r="42574" customFormat="1" ht="17.25" customHeight="1"/>
    <row r="42575" customFormat="1" ht="17.25" customHeight="1"/>
    <row r="42576" customFormat="1" ht="17.25" customHeight="1"/>
    <row r="42577" customFormat="1" ht="17.25" customHeight="1"/>
    <row r="42578" customFormat="1" ht="17.25" customHeight="1"/>
    <row r="42579" customFormat="1" ht="17.25" customHeight="1"/>
    <row r="42580" customFormat="1" ht="17.25" customHeight="1"/>
    <row r="42581" customFormat="1" ht="17.25" customHeight="1"/>
    <row r="42582" customFormat="1" ht="17.25" customHeight="1"/>
    <row r="42583" customFormat="1" ht="17.25" customHeight="1"/>
    <row r="42584" customFormat="1" ht="17.25" customHeight="1"/>
    <row r="42585" customFormat="1" ht="17.25" customHeight="1"/>
    <row r="42586" customFormat="1" ht="17.25" customHeight="1"/>
    <row r="42587" customFormat="1" ht="17.25" customHeight="1"/>
    <row r="42588" customFormat="1" ht="17.25" customHeight="1"/>
    <row r="42589" customFormat="1" ht="17.25" customHeight="1"/>
    <row r="42590" customFormat="1" ht="17.25" customHeight="1"/>
    <row r="42591" customFormat="1" ht="17.25" customHeight="1"/>
    <row r="42592" customFormat="1" ht="17.25" customHeight="1"/>
    <row r="42593" customFormat="1" ht="17.25" customHeight="1"/>
    <row r="42594" customFormat="1" ht="17.25" customHeight="1"/>
    <row r="42595" customFormat="1" ht="17.25" customHeight="1"/>
    <row r="42596" customFormat="1" ht="17.25" customHeight="1"/>
    <row r="42597" customFormat="1" ht="17.25" customHeight="1"/>
    <row r="42598" customFormat="1" ht="17.25" customHeight="1"/>
    <row r="42599" customFormat="1" ht="17.25" customHeight="1"/>
    <row r="42600" customFormat="1" ht="17.25" customHeight="1"/>
    <row r="42601" customFormat="1" ht="17.25" customHeight="1"/>
    <row r="42602" customFormat="1" ht="17.25" customHeight="1"/>
    <row r="42603" customFormat="1" ht="17.25" customHeight="1"/>
    <row r="42604" customFormat="1" ht="17.25" customHeight="1"/>
    <row r="42605" customFormat="1" ht="17.25" customHeight="1"/>
    <row r="42606" customFormat="1" ht="17.25" customHeight="1"/>
    <row r="42607" customFormat="1" ht="17.25" customHeight="1"/>
    <row r="42608" customFormat="1" ht="17.25" customHeight="1"/>
    <row r="42609" customFormat="1" ht="17.25" customHeight="1"/>
    <row r="42610" customFormat="1" ht="17.25" customHeight="1"/>
    <row r="42611" customFormat="1" ht="17.25" customHeight="1"/>
    <row r="42612" customFormat="1" ht="17.25" customHeight="1"/>
    <row r="42613" customFormat="1" ht="17.25" customHeight="1"/>
    <row r="42614" customFormat="1" ht="17.25" customHeight="1"/>
    <row r="42615" customFormat="1" ht="17.25" customHeight="1"/>
    <row r="42616" customFormat="1" ht="17.25" customHeight="1"/>
    <row r="42617" customFormat="1" ht="17.25" customHeight="1"/>
    <row r="42618" customFormat="1" ht="17.25" customHeight="1"/>
    <row r="42619" customFormat="1" ht="17.25" customHeight="1"/>
    <row r="42620" customFormat="1" ht="17.25" customHeight="1"/>
    <row r="42621" customFormat="1" ht="17.25" customHeight="1"/>
    <row r="42622" customFormat="1" ht="17.25" customHeight="1"/>
    <row r="42623" customFormat="1" ht="17.25" customHeight="1"/>
    <row r="42624" customFormat="1" ht="17.25" customHeight="1"/>
    <row r="42625" customFormat="1" ht="17.25" customHeight="1"/>
    <row r="42626" customFormat="1" ht="17.25" customHeight="1"/>
    <row r="42627" customFormat="1" ht="17.25" customHeight="1"/>
    <row r="42628" customFormat="1" ht="17.25" customHeight="1"/>
    <row r="42629" customFormat="1" ht="17.25" customHeight="1"/>
    <row r="42630" customFormat="1" ht="17.25" customHeight="1"/>
    <row r="42631" customFormat="1" ht="17.25" customHeight="1"/>
    <row r="42632" customFormat="1" ht="17.25" customHeight="1"/>
    <row r="42633" customFormat="1" ht="17.25" customHeight="1"/>
    <row r="42634" customFormat="1" ht="17.25" customHeight="1"/>
    <row r="42635" customFormat="1" ht="17.25" customHeight="1"/>
    <row r="42636" customFormat="1" ht="17.25" customHeight="1"/>
    <row r="42637" customFormat="1" ht="17.25" customHeight="1"/>
    <row r="42638" customFormat="1" ht="17.25" customHeight="1"/>
    <row r="42639" customFormat="1" ht="17.25" customHeight="1"/>
    <row r="42640" customFormat="1" ht="17.25" customHeight="1"/>
    <row r="42641" customFormat="1" ht="17.25" customHeight="1"/>
    <row r="42642" customFormat="1" ht="17.25" customHeight="1"/>
    <row r="42643" customFormat="1" ht="17.25" customHeight="1"/>
    <row r="42644" customFormat="1" ht="17.25" customHeight="1"/>
    <row r="42645" customFormat="1" ht="17.25" customHeight="1"/>
    <row r="42646" customFormat="1" ht="17.25" customHeight="1"/>
    <row r="42647" customFormat="1" ht="17.25" customHeight="1"/>
    <row r="42648" customFormat="1" ht="17.25" customHeight="1"/>
    <row r="42649" customFormat="1" ht="17.25" customHeight="1"/>
    <row r="42650" customFormat="1" ht="17.25" customHeight="1"/>
    <row r="42651" customFormat="1" ht="17.25" customHeight="1"/>
    <row r="42652" customFormat="1" ht="17.25" customHeight="1"/>
    <row r="42653" customFormat="1" ht="17.25" customHeight="1"/>
    <row r="42654" customFormat="1" ht="17.25" customHeight="1"/>
    <row r="42655" customFormat="1" ht="17.25" customHeight="1"/>
    <row r="42656" customFormat="1" ht="17.25" customHeight="1"/>
    <row r="42657" customFormat="1" ht="17.25" customHeight="1"/>
    <row r="42658" customFormat="1" ht="17.25" customHeight="1"/>
    <row r="42659" customFormat="1" ht="17.25" customHeight="1"/>
    <row r="42660" customFormat="1" ht="17.25" customHeight="1"/>
    <row r="42661" customFormat="1" ht="17.25" customHeight="1"/>
    <row r="42662" customFormat="1" ht="17.25" customHeight="1"/>
    <row r="42663" customFormat="1" ht="17.25" customHeight="1"/>
    <row r="42664" customFormat="1" ht="17.25" customHeight="1"/>
    <row r="42665" customFormat="1" ht="17.25" customHeight="1"/>
    <row r="42666" customFormat="1" ht="17.25" customHeight="1"/>
    <row r="42667" customFormat="1" ht="17.25" customHeight="1"/>
    <row r="42668" customFormat="1" ht="17.25" customHeight="1"/>
    <row r="42669" customFormat="1" ht="17.25" customHeight="1"/>
    <row r="42670" customFormat="1" ht="17.25" customHeight="1"/>
    <row r="42671" customFormat="1" ht="17.25" customHeight="1"/>
    <row r="42672" customFormat="1" ht="17.25" customHeight="1"/>
    <row r="42673" customFormat="1" ht="17.25" customHeight="1"/>
    <row r="42674" customFormat="1" ht="17.25" customHeight="1"/>
    <row r="42675" customFormat="1" ht="17.25" customHeight="1"/>
    <row r="42676" customFormat="1" ht="17.25" customHeight="1"/>
    <row r="42677" customFormat="1" ht="17.25" customHeight="1"/>
    <row r="42678" customFormat="1" ht="17.25" customHeight="1"/>
    <row r="42679" customFormat="1" ht="17.25" customHeight="1"/>
    <row r="42680" customFormat="1" ht="17.25" customHeight="1"/>
    <row r="42681" customFormat="1" ht="17.25" customHeight="1"/>
    <row r="42682" customFormat="1" ht="17.25" customHeight="1"/>
    <row r="42683" customFormat="1" ht="17.25" customHeight="1"/>
    <row r="42684" customFormat="1" ht="17.25" customHeight="1"/>
    <row r="42685" customFormat="1" ht="17.25" customHeight="1"/>
    <row r="42686" customFormat="1" ht="17.25" customHeight="1"/>
    <row r="42687" customFormat="1" ht="17.25" customHeight="1"/>
    <row r="42688" customFormat="1" ht="17.25" customHeight="1"/>
    <row r="42689" customFormat="1" ht="17.25" customHeight="1"/>
    <row r="42690" customFormat="1" ht="17.25" customHeight="1"/>
    <row r="42691" customFormat="1" ht="17.25" customHeight="1"/>
    <row r="42692" customFormat="1" ht="17.25" customHeight="1"/>
    <row r="42693" customFormat="1" ht="17.25" customHeight="1"/>
    <row r="42694" customFormat="1" ht="17.25" customHeight="1"/>
    <row r="42695" customFormat="1" ht="17.25" customHeight="1"/>
    <row r="42696" customFormat="1" ht="17.25" customHeight="1"/>
    <row r="42697" customFormat="1" ht="17.25" customHeight="1"/>
    <row r="42698" customFormat="1" ht="17.25" customHeight="1"/>
    <row r="42699" customFormat="1" ht="17.25" customHeight="1"/>
    <row r="42700" customFormat="1" ht="17.25" customHeight="1"/>
    <row r="42701" customFormat="1" ht="17.25" customHeight="1"/>
    <row r="42702" customFormat="1" ht="17.25" customHeight="1"/>
    <row r="42703" customFormat="1" ht="17.25" customHeight="1"/>
    <row r="42704" customFormat="1" ht="17.25" customHeight="1"/>
    <row r="42705" customFormat="1" ht="17.25" customHeight="1"/>
    <row r="42706" customFormat="1" ht="17.25" customHeight="1"/>
    <row r="42707" customFormat="1" ht="17.25" customHeight="1"/>
    <row r="42708" customFormat="1" ht="17.25" customHeight="1"/>
    <row r="42709" customFormat="1" ht="17.25" customHeight="1"/>
    <row r="42710" customFormat="1" ht="17.25" customHeight="1"/>
    <row r="42711" customFormat="1" ht="17.25" customHeight="1"/>
    <row r="42712" customFormat="1" ht="17.25" customHeight="1"/>
    <row r="42713" customFormat="1" ht="17.25" customHeight="1"/>
    <row r="42714" customFormat="1" ht="17.25" customHeight="1"/>
    <row r="42715" customFormat="1" ht="17.25" customHeight="1"/>
    <row r="42716" customFormat="1" ht="17.25" customHeight="1"/>
    <row r="42717" customFormat="1" ht="17.25" customHeight="1"/>
    <row r="42718" customFormat="1" ht="17.25" customHeight="1"/>
    <row r="42719" customFormat="1" ht="17.25" customHeight="1"/>
    <row r="42720" customFormat="1" ht="17.25" customHeight="1"/>
    <row r="42721" customFormat="1" ht="17.25" customHeight="1"/>
    <row r="42722" customFormat="1" ht="17.25" customHeight="1"/>
    <row r="42723" customFormat="1" ht="17.25" customHeight="1"/>
    <row r="42724" customFormat="1" ht="17.25" customHeight="1"/>
    <row r="42725" customFormat="1" ht="17.25" customHeight="1"/>
    <row r="42726" customFormat="1" ht="17.25" customHeight="1"/>
    <row r="42727" customFormat="1" ht="17.25" customHeight="1"/>
    <row r="42728" customFormat="1" ht="17.25" customHeight="1"/>
    <row r="42729" customFormat="1" ht="17.25" customHeight="1"/>
    <row r="42730" customFormat="1" ht="17.25" customHeight="1"/>
    <row r="42731" customFormat="1" ht="17.25" customHeight="1"/>
    <row r="42732" customFormat="1" ht="17.25" customHeight="1"/>
    <row r="42733" customFormat="1" ht="17.25" customHeight="1"/>
    <row r="42734" customFormat="1" ht="17.25" customHeight="1"/>
    <row r="42735" customFormat="1" ht="17.25" customHeight="1"/>
    <row r="42736" customFormat="1" ht="17.25" customHeight="1"/>
    <row r="42737" customFormat="1" ht="17.25" customHeight="1"/>
    <row r="42738" customFormat="1" ht="17.25" customHeight="1"/>
    <row r="42739" customFormat="1" ht="17.25" customHeight="1"/>
    <row r="42740" customFormat="1" ht="17.25" customHeight="1"/>
    <row r="42741" customFormat="1" ht="17.25" customHeight="1"/>
    <row r="42742" customFormat="1" ht="17.25" customHeight="1"/>
    <row r="42743" customFormat="1" ht="17.25" customHeight="1"/>
    <row r="42744" customFormat="1" ht="17.25" customHeight="1"/>
    <row r="42745" customFormat="1" ht="17.25" customHeight="1"/>
    <row r="42746" customFormat="1" ht="17.25" customHeight="1"/>
    <row r="42747" customFormat="1" ht="17.25" customHeight="1"/>
    <row r="42748" customFormat="1" ht="17.25" customHeight="1"/>
    <row r="42749" customFormat="1" ht="17.25" customHeight="1"/>
    <row r="42750" customFormat="1" ht="17.25" customHeight="1"/>
    <row r="42751" customFormat="1" ht="17.25" customHeight="1"/>
    <row r="42752" customFormat="1" ht="17.25" customHeight="1"/>
    <row r="42753" customFormat="1" ht="17.25" customHeight="1"/>
    <row r="42754" customFormat="1" ht="17.25" customHeight="1"/>
    <row r="42755" customFormat="1" ht="17.25" customHeight="1"/>
    <row r="42756" customFormat="1" ht="17.25" customHeight="1"/>
    <row r="42757" customFormat="1" ht="17.25" customHeight="1"/>
    <row r="42758" customFormat="1" ht="17.25" customHeight="1"/>
    <row r="42759" customFormat="1" ht="17.25" customHeight="1"/>
    <row r="42760" customFormat="1" ht="17.25" customHeight="1"/>
    <row r="42761" customFormat="1" ht="17.25" customHeight="1"/>
    <row r="42762" customFormat="1" ht="17.25" customHeight="1"/>
    <row r="42763" customFormat="1" ht="17.25" customHeight="1"/>
    <row r="42764" customFormat="1" ht="17.25" customHeight="1"/>
    <row r="42765" customFormat="1" ht="17.25" customHeight="1"/>
    <row r="42766" customFormat="1" ht="17.25" customHeight="1"/>
    <row r="42767" customFormat="1" ht="17.25" customHeight="1"/>
    <row r="42768" customFormat="1" ht="17.25" customHeight="1"/>
    <row r="42769" customFormat="1" ht="17.25" customHeight="1"/>
    <row r="42770" customFormat="1" ht="17.25" customHeight="1"/>
    <row r="42771" customFormat="1" ht="17.25" customHeight="1"/>
    <row r="42772" customFormat="1" ht="17.25" customHeight="1"/>
    <row r="42773" customFormat="1" ht="17.25" customHeight="1"/>
    <row r="42774" customFormat="1" ht="17.25" customHeight="1"/>
    <row r="42775" customFormat="1" ht="17.25" customHeight="1"/>
    <row r="42776" customFormat="1" ht="17.25" customHeight="1"/>
    <row r="42777" customFormat="1" ht="17.25" customHeight="1"/>
    <row r="42778" customFormat="1" ht="17.25" customHeight="1"/>
    <row r="42779" customFormat="1" ht="17.25" customHeight="1"/>
    <row r="42780" customFormat="1" ht="17.25" customHeight="1"/>
    <row r="42781" customFormat="1" ht="17.25" customHeight="1"/>
    <row r="42782" customFormat="1" ht="17.25" customHeight="1"/>
    <row r="42783" customFormat="1" ht="17.25" customHeight="1"/>
    <row r="42784" customFormat="1" ht="17.25" customHeight="1"/>
    <row r="42785" customFormat="1" ht="17.25" customHeight="1"/>
    <row r="42786" customFormat="1" ht="17.25" customHeight="1"/>
    <row r="42787" customFormat="1" ht="17.25" customHeight="1"/>
    <row r="42788" customFormat="1" ht="17.25" customHeight="1"/>
    <row r="42789" customFormat="1" ht="17.25" customHeight="1"/>
    <row r="42790" customFormat="1" ht="17.25" customHeight="1"/>
    <row r="42791" customFormat="1" ht="17.25" customHeight="1"/>
    <row r="42792" customFormat="1" ht="17.25" customHeight="1"/>
    <row r="42793" customFormat="1" ht="17.25" customHeight="1"/>
    <row r="42794" customFormat="1" ht="17.25" customHeight="1"/>
    <row r="42795" customFormat="1" ht="17.25" customHeight="1"/>
    <row r="42796" customFormat="1" ht="17.25" customHeight="1"/>
    <row r="42797" customFormat="1" ht="17.25" customHeight="1"/>
    <row r="42798" customFormat="1" ht="17.25" customHeight="1"/>
    <row r="42799" customFormat="1" ht="17.25" customHeight="1"/>
    <row r="42800" customFormat="1" ht="17.25" customHeight="1"/>
    <row r="42801" customFormat="1" ht="17.25" customHeight="1"/>
    <row r="42802" customFormat="1" ht="17.25" customHeight="1"/>
    <row r="42803" customFormat="1" ht="17.25" customHeight="1"/>
    <row r="42804" customFormat="1" ht="17.25" customHeight="1"/>
    <row r="42805" customFormat="1" ht="17.25" customHeight="1"/>
    <row r="42806" customFormat="1" ht="17.25" customHeight="1"/>
    <row r="42807" customFormat="1" ht="17.25" customHeight="1"/>
    <row r="42808" customFormat="1" ht="17.25" customHeight="1"/>
    <row r="42809" customFormat="1" ht="17.25" customHeight="1"/>
    <row r="42810" customFormat="1" ht="17.25" customHeight="1"/>
    <row r="42811" customFormat="1" ht="17.25" customHeight="1"/>
    <row r="42812" customFormat="1" ht="17.25" customHeight="1"/>
    <row r="42813" customFormat="1" ht="17.25" customHeight="1"/>
    <row r="42814" customFormat="1" ht="17.25" customHeight="1"/>
    <row r="42815" customFormat="1" ht="17.25" customHeight="1"/>
    <row r="42816" customFormat="1" ht="17.25" customHeight="1"/>
    <row r="42817" customFormat="1" ht="17.25" customHeight="1"/>
    <row r="42818" customFormat="1" ht="17.25" customHeight="1"/>
    <row r="42819" customFormat="1" ht="17.25" customHeight="1"/>
    <row r="42820" customFormat="1" ht="17.25" customHeight="1"/>
    <row r="42821" customFormat="1" ht="17.25" customHeight="1"/>
    <row r="42822" customFormat="1" ht="17.25" customHeight="1"/>
    <row r="42823" customFormat="1" ht="17.25" customHeight="1"/>
    <row r="42824" customFormat="1" ht="17.25" customHeight="1"/>
    <row r="42825" customFormat="1" ht="17.25" customHeight="1"/>
    <row r="42826" customFormat="1" ht="17.25" customHeight="1"/>
    <row r="42827" customFormat="1" ht="17.25" customHeight="1"/>
    <row r="42828" customFormat="1" ht="17.25" customHeight="1"/>
    <row r="42829" customFormat="1" ht="17.25" customHeight="1"/>
    <row r="42830" customFormat="1" ht="17.25" customHeight="1"/>
    <row r="42831" customFormat="1" ht="17.25" customHeight="1"/>
    <row r="42832" customFormat="1" ht="17.25" customHeight="1"/>
    <row r="42833" customFormat="1" ht="17.25" customHeight="1"/>
    <row r="42834" customFormat="1" ht="17.25" customHeight="1"/>
    <row r="42835" customFormat="1" ht="17.25" customHeight="1"/>
    <row r="42836" customFormat="1" ht="17.25" customHeight="1"/>
    <row r="42837" customFormat="1" ht="17.25" customHeight="1"/>
    <row r="42838" customFormat="1" ht="17.25" customHeight="1"/>
    <row r="42839" customFormat="1" ht="17.25" customHeight="1"/>
    <row r="42840" customFormat="1" ht="17.25" customHeight="1"/>
    <row r="42841" customFormat="1" ht="17.25" customHeight="1"/>
    <row r="42842" customFormat="1" ht="17.25" customHeight="1"/>
    <row r="42843" customFormat="1" ht="17.25" customHeight="1"/>
    <row r="42844" customFormat="1" ht="17.25" customHeight="1"/>
    <row r="42845" customFormat="1" ht="17.25" customHeight="1"/>
    <row r="42846" customFormat="1" ht="17.25" customHeight="1"/>
    <row r="42847" customFormat="1" ht="17.25" customHeight="1"/>
    <row r="42848" customFormat="1" ht="17.25" customHeight="1"/>
    <row r="42849" customFormat="1" ht="17.25" customHeight="1"/>
    <row r="42850" customFormat="1" ht="17.25" customHeight="1"/>
    <row r="42851" customFormat="1" ht="17.25" customHeight="1"/>
    <row r="42852" customFormat="1" ht="17.25" customHeight="1"/>
    <row r="42853" customFormat="1" ht="17.25" customHeight="1"/>
    <row r="42854" customFormat="1" ht="17.25" customHeight="1"/>
    <row r="42855" customFormat="1" ht="17.25" customHeight="1"/>
    <row r="42856" customFormat="1" ht="17.25" customHeight="1"/>
    <row r="42857" customFormat="1" ht="17.25" customHeight="1"/>
    <row r="42858" customFormat="1" ht="17.25" customHeight="1"/>
    <row r="42859" customFormat="1" ht="17.25" customHeight="1"/>
    <row r="42860" customFormat="1" ht="17.25" customHeight="1"/>
    <row r="42861" customFormat="1" ht="17.25" customHeight="1"/>
    <row r="42862" customFormat="1" ht="17.25" customHeight="1"/>
    <row r="42863" customFormat="1" ht="17.25" customHeight="1"/>
    <row r="42864" customFormat="1" ht="17.25" customHeight="1"/>
    <row r="42865" customFormat="1" ht="17.25" customHeight="1"/>
    <row r="42866" customFormat="1" ht="17.25" customHeight="1"/>
    <row r="42867" customFormat="1" ht="17.25" customHeight="1"/>
    <row r="42868" customFormat="1" ht="17.25" customHeight="1"/>
    <row r="42869" customFormat="1" ht="17.25" customHeight="1"/>
    <row r="42870" customFormat="1" ht="17.25" customHeight="1"/>
    <row r="42871" customFormat="1" ht="17.25" customHeight="1"/>
    <row r="42872" customFormat="1" ht="17.25" customHeight="1"/>
    <row r="42873" customFormat="1" ht="17.25" customHeight="1"/>
    <row r="42874" customFormat="1" ht="17.25" customHeight="1"/>
    <row r="42875" customFormat="1" ht="17.25" customHeight="1"/>
    <row r="42876" customFormat="1" ht="17.25" customHeight="1"/>
    <row r="42877" customFormat="1" ht="17.25" customHeight="1"/>
    <row r="42878" customFormat="1" ht="17.25" customHeight="1"/>
    <row r="42879" customFormat="1" ht="17.25" customHeight="1"/>
    <row r="42880" customFormat="1" ht="17.25" customHeight="1"/>
    <row r="42881" customFormat="1" ht="17.25" customHeight="1"/>
    <row r="42882" customFormat="1" ht="17.25" customHeight="1"/>
    <row r="42883" customFormat="1" ht="17.25" customHeight="1"/>
    <row r="42884" customFormat="1" ht="17.25" customHeight="1"/>
    <row r="42885" customFormat="1" ht="17.25" customHeight="1"/>
    <row r="42886" customFormat="1" ht="17.25" customHeight="1"/>
    <row r="42887" customFormat="1" ht="17.25" customHeight="1"/>
    <row r="42888" customFormat="1" ht="17.25" customHeight="1"/>
    <row r="42889" customFormat="1" ht="17.25" customHeight="1"/>
    <row r="42890" customFormat="1" ht="17.25" customHeight="1"/>
    <row r="42891" customFormat="1" ht="17.25" customHeight="1"/>
    <row r="42892" customFormat="1" ht="17.25" customHeight="1"/>
    <row r="42893" customFormat="1" ht="17.25" customHeight="1"/>
    <row r="42894" customFormat="1" ht="17.25" customHeight="1"/>
    <row r="42895" customFormat="1" ht="17.25" customHeight="1"/>
    <row r="42896" customFormat="1" ht="17.25" customHeight="1"/>
    <row r="42897" customFormat="1" ht="17.25" customHeight="1"/>
    <row r="42898" customFormat="1" ht="17.25" customHeight="1"/>
    <row r="42899" customFormat="1" ht="17.25" customHeight="1"/>
    <row r="42900" customFormat="1" ht="17.25" customHeight="1"/>
    <row r="42901" customFormat="1" ht="17.25" customHeight="1"/>
    <row r="42902" customFormat="1" ht="17.25" customHeight="1"/>
    <row r="42903" customFormat="1" ht="17.25" customHeight="1"/>
    <row r="42904" customFormat="1" ht="17.25" customHeight="1"/>
    <row r="42905" customFormat="1" ht="17.25" customHeight="1"/>
    <row r="42906" customFormat="1" ht="17.25" customHeight="1"/>
    <row r="42907" customFormat="1" ht="17.25" customHeight="1"/>
    <row r="42908" customFormat="1" ht="17.25" customHeight="1"/>
    <row r="42909" customFormat="1" ht="17.25" customHeight="1"/>
    <row r="42910" customFormat="1" ht="17.25" customHeight="1"/>
    <row r="42911" customFormat="1" ht="17.25" customHeight="1"/>
    <row r="42912" customFormat="1" ht="17.25" customHeight="1"/>
    <row r="42913" customFormat="1" ht="17.25" customHeight="1"/>
    <row r="42914" customFormat="1" ht="17.25" customHeight="1"/>
    <row r="42915" customFormat="1" ht="17.25" customHeight="1"/>
    <row r="42916" customFormat="1" ht="17.25" customHeight="1"/>
    <row r="42917" customFormat="1" ht="17.25" customHeight="1"/>
    <row r="42918" customFormat="1" ht="17.25" customHeight="1"/>
    <row r="42919" customFormat="1" ht="17.25" customHeight="1"/>
    <row r="42920" customFormat="1" ht="17.25" customHeight="1"/>
    <row r="42921" customFormat="1" ht="17.25" customHeight="1"/>
    <row r="42922" customFormat="1" ht="17.25" customHeight="1"/>
    <row r="42923" customFormat="1" ht="17.25" customHeight="1"/>
    <row r="42924" customFormat="1" ht="17.25" customHeight="1"/>
    <row r="42925" customFormat="1" ht="17.25" customHeight="1"/>
    <row r="42926" customFormat="1" ht="17.25" customHeight="1"/>
    <row r="42927" customFormat="1" ht="17.25" customHeight="1"/>
    <row r="42928" customFormat="1" ht="17.25" customHeight="1"/>
    <row r="42929" customFormat="1" ht="17.25" customHeight="1"/>
    <row r="42930" customFormat="1" ht="17.25" customHeight="1"/>
    <row r="42931" customFormat="1" ht="17.25" customHeight="1"/>
    <row r="42932" customFormat="1" ht="17.25" customHeight="1"/>
    <row r="42933" customFormat="1" ht="17.25" customHeight="1"/>
    <row r="42934" customFormat="1" ht="17.25" customHeight="1"/>
    <row r="42935" customFormat="1" ht="17.25" customHeight="1"/>
    <row r="42936" customFormat="1" ht="17.25" customHeight="1"/>
    <row r="42937" customFormat="1" ht="17.25" customHeight="1"/>
    <row r="42938" customFormat="1" ht="17.25" customHeight="1"/>
    <row r="42939" customFormat="1" ht="17.25" customHeight="1"/>
    <row r="42940" customFormat="1" ht="17.25" customHeight="1"/>
    <row r="42941" customFormat="1" ht="17.25" customHeight="1"/>
    <row r="42942" customFormat="1" ht="17.25" customHeight="1"/>
    <row r="42943" customFormat="1" ht="17.25" customHeight="1"/>
    <row r="42944" customFormat="1" ht="17.25" customHeight="1"/>
    <row r="42945" customFormat="1" ht="17.25" customHeight="1"/>
    <row r="42946" customFormat="1" ht="17.25" customHeight="1"/>
    <row r="42947" customFormat="1" ht="17.25" customHeight="1"/>
    <row r="42948" customFormat="1" ht="17.25" customHeight="1"/>
    <row r="42949" customFormat="1" ht="17.25" customHeight="1"/>
    <row r="42950" customFormat="1" ht="17.25" customHeight="1"/>
    <row r="42951" customFormat="1" ht="17.25" customHeight="1"/>
    <row r="42952" customFormat="1" ht="17.25" customHeight="1"/>
    <row r="42953" customFormat="1" ht="17.25" customHeight="1"/>
    <row r="42954" customFormat="1" ht="17.25" customHeight="1"/>
    <row r="42955" customFormat="1" ht="17.25" customHeight="1"/>
    <row r="42956" customFormat="1" ht="17.25" customHeight="1"/>
    <row r="42957" customFormat="1" ht="17.25" customHeight="1"/>
    <row r="42958" customFormat="1" ht="17.25" customHeight="1"/>
    <row r="42959" customFormat="1" ht="17.25" customHeight="1"/>
    <row r="42960" customFormat="1" ht="17.25" customHeight="1"/>
    <row r="42961" customFormat="1" ht="17.25" customHeight="1"/>
    <row r="42962" customFormat="1" ht="17.25" customHeight="1"/>
    <row r="42963" customFormat="1" ht="17.25" customHeight="1"/>
    <row r="42964" customFormat="1" ht="17.25" customHeight="1"/>
    <row r="42965" customFormat="1" ht="17.25" customHeight="1"/>
    <row r="42966" customFormat="1" ht="17.25" customHeight="1"/>
    <row r="42967" customFormat="1" ht="17.25" customHeight="1"/>
    <row r="42968" customFormat="1" ht="17.25" customHeight="1"/>
    <row r="42969" customFormat="1" ht="17.25" customHeight="1"/>
    <row r="42970" customFormat="1" ht="17.25" customHeight="1"/>
    <row r="42971" customFormat="1" ht="17.25" customHeight="1"/>
    <row r="42972" customFormat="1" ht="17.25" customHeight="1"/>
    <row r="42973" customFormat="1" ht="17.25" customHeight="1"/>
    <row r="42974" customFormat="1" ht="17.25" customHeight="1"/>
    <row r="42975" customFormat="1" ht="17.25" customHeight="1"/>
    <row r="42976" customFormat="1" ht="17.25" customHeight="1"/>
    <row r="42977" customFormat="1" ht="17.25" customHeight="1"/>
    <row r="42978" customFormat="1" ht="17.25" customHeight="1"/>
    <row r="42979" customFormat="1" ht="17.25" customHeight="1"/>
    <row r="42980" customFormat="1" ht="17.25" customHeight="1"/>
    <row r="42981" customFormat="1" ht="17.25" customHeight="1"/>
    <row r="42982" customFormat="1" ht="17.25" customHeight="1"/>
    <row r="42983" customFormat="1" ht="17.25" customHeight="1"/>
    <row r="42984" customFormat="1" ht="17.25" customHeight="1"/>
    <row r="42985" customFormat="1" ht="17.25" customHeight="1"/>
    <row r="42986" customFormat="1" ht="17.25" customHeight="1"/>
    <row r="42987" customFormat="1" ht="17.25" customHeight="1"/>
    <row r="42988" customFormat="1" ht="17.25" customHeight="1"/>
    <row r="42989" customFormat="1" ht="17.25" customHeight="1"/>
    <row r="42990" customFormat="1" ht="17.25" customHeight="1"/>
    <row r="42991" customFormat="1" ht="17.25" customHeight="1"/>
    <row r="42992" customFormat="1" ht="17.25" customHeight="1"/>
    <row r="42993" customFormat="1" ht="17.25" customHeight="1"/>
    <row r="42994" customFormat="1" ht="17.25" customHeight="1"/>
    <row r="42995" customFormat="1" ht="17.25" customHeight="1"/>
    <row r="42996" customFormat="1" ht="17.25" customHeight="1"/>
    <row r="42997" customFormat="1" ht="17.25" customHeight="1"/>
    <row r="42998" customFormat="1" ht="17.25" customHeight="1"/>
    <row r="42999" customFormat="1" ht="17.25" customHeight="1"/>
    <row r="43000" customFormat="1" ht="17.25" customHeight="1"/>
    <row r="43001" customFormat="1" ht="17.25" customHeight="1"/>
    <row r="43002" customFormat="1" ht="17.25" customHeight="1"/>
    <row r="43003" customFormat="1" ht="17.25" customHeight="1"/>
    <row r="43004" customFormat="1" ht="17.25" customHeight="1"/>
    <row r="43005" customFormat="1" ht="17.25" customHeight="1"/>
    <row r="43006" customFormat="1" ht="17.25" customHeight="1"/>
    <row r="43007" customFormat="1" ht="17.25" customHeight="1"/>
    <row r="43008" customFormat="1" ht="17.25" customHeight="1"/>
    <row r="43009" customFormat="1" ht="17.25" customHeight="1"/>
    <row r="43010" customFormat="1" ht="17.25" customHeight="1"/>
    <row r="43011" customFormat="1" ht="17.25" customHeight="1"/>
    <row r="43012" customFormat="1" ht="17.25" customHeight="1"/>
    <row r="43013" customFormat="1" ht="17.25" customHeight="1"/>
    <row r="43014" customFormat="1" ht="17.25" customHeight="1"/>
    <row r="43015" customFormat="1" ht="17.25" customHeight="1"/>
    <row r="43016" customFormat="1" ht="17.25" customHeight="1"/>
    <row r="43017" customFormat="1" ht="17.25" customHeight="1"/>
    <row r="43018" customFormat="1" ht="17.25" customHeight="1"/>
    <row r="43019" customFormat="1" ht="17.25" customHeight="1"/>
    <row r="43020" customFormat="1" ht="17.25" customHeight="1"/>
    <row r="43021" customFormat="1" ht="17.25" customHeight="1"/>
    <row r="43022" customFormat="1" ht="17.25" customHeight="1"/>
    <row r="43023" customFormat="1" ht="17.25" customHeight="1"/>
    <row r="43024" customFormat="1" ht="17.25" customHeight="1"/>
    <row r="43025" customFormat="1" ht="17.25" customHeight="1"/>
    <row r="43026" customFormat="1" ht="17.25" customHeight="1"/>
    <row r="43027" customFormat="1" ht="17.25" customHeight="1"/>
    <row r="43028" customFormat="1" ht="17.25" customHeight="1"/>
    <row r="43029" customFormat="1" ht="17.25" customHeight="1"/>
    <row r="43030" customFormat="1" ht="17.25" customHeight="1"/>
    <row r="43031" customFormat="1" ht="17.25" customHeight="1"/>
    <row r="43032" customFormat="1" ht="17.25" customHeight="1"/>
    <row r="43033" customFormat="1" ht="17.25" customHeight="1"/>
    <row r="43034" customFormat="1" ht="17.25" customHeight="1"/>
    <row r="43035" customFormat="1" ht="17.25" customHeight="1"/>
    <row r="43036" customFormat="1" ht="17.25" customHeight="1"/>
    <row r="43037" customFormat="1" ht="17.25" customHeight="1"/>
    <row r="43038" customFormat="1" ht="17.25" customHeight="1"/>
    <row r="43039" customFormat="1" ht="17.25" customHeight="1"/>
    <row r="43040" customFormat="1" ht="17.25" customHeight="1"/>
    <row r="43041" customFormat="1" ht="17.25" customHeight="1"/>
    <row r="43042" customFormat="1" ht="17.25" customHeight="1"/>
    <row r="43043" customFormat="1" ht="17.25" customHeight="1"/>
    <row r="43044" customFormat="1" ht="17.25" customHeight="1"/>
    <row r="43045" customFormat="1" ht="17.25" customHeight="1"/>
    <row r="43046" customFormat="1" ht="17.25" customHeight="1"/>
    <row r="43047" customFormat="1" ht="17.25" customHeight="1"/>
    <row r="43048" customFormat="1" ht="17.25" customHeight="1"/>
    <row r="43049" customFormat="1" ht="17.25" customHeight="1"/>
    <row r="43050" customFormat="1" ht="17.25" customHeight="1"/>
    <row r="43051" customFormat="1" ht="17.25" customHeight="1"/>
    <row r="43052" customFormat="1" ht="17.25" customHeight="1"/>
    <row r="43053" customFormat="1" ht="17.25" customHeight="1"/>
    <row r="43054" customFormat="1" ht="17.25" customHeight="1"/>
    <row r="43055" customFormat="1" ht="17.25" customHeight="1"/>
    <row r="43056" customFormat="1" ht="17.25" customHeight="1"/>
    <row r="43057" customFormat="1" ht="17.25" customHeight="1"/>
    <row r="43058" customFormat="1" ht="17.25" customHeight="1"/>
    <row r="43059" customFormat="1" ht="17.25" customHeight="1"/>
    <row r="43060" customFormat="1" ht="17.25" customHeight="1"/>
    <row r="43061" customFormat="1" ht="17.25" customHeight="1"/>
    <row r="43062" customFormat="1" ht="17.25" customHeight="1"/>
    <row r="43063" customFormat="1" ht="17.25" customHeight="1"/>
    <row r="43064" customFormat="1" ht="17.25" customHeight="1"/>
    <row r="43065" customFormat="1" ht="17.25" customHeight="1"/>
    <row r="43066" customFormat="1" ht="17.25" customHeight="1"/>
    <row r="43067" customFormat="1" ht="17.25" customHeight="1"/>
    <row r="43068" customFormat="1" ht="17.25" customHeight="1"/>
    <row r="43069" customFormat="1" ht="17.25" customHeight="1"/>
    <row r="43070" customFormat="1" ht="17.25" customHeight="1"/>
    <row r="43071" customFormat="1" ht="17.25" customHeight="1"/>
    <row r="43072" customFormat="1" ht="17.25" customHeight="1"/>
    <row r="43073" customFormat="1" ht="17.25" customHeight="1"/>
    <row r="43074" customFormat="1" ht="17.25" customHeight="1"/>
    <row r="43075" customFormat="1" ht="17.25" customHeight="1"/>
    <row r="43076" customFormat="1" ht="17.25" customHeight="1"/>
    <row r="43077" customFormat="1" ht="17.25" customHeight="1"/>
    <row r="43078" customFormat="1" ht="17.25" customHeight="1"/>
    <row r="43079" customFormat="1" ht="17.25" customHeight="1"/>
    <row r="43080" customFormat="1" ht="17.25" customHeight="1"/>
    <row r="43081" customFormat="1" ht="17.25" customHeight="1"/>
    <row r="43082" customFormat="1" ht="17.25" customHeight="1"/>
    <row r="43083" customFormat="1" ht="17.25" customHeight="1"/>
    <row r="43084" customFormat="1" ht="17.25" customHeight="1"/>
    <row r="43085" customFormat="1" ht="17.25" customHeight="1"/>
    <row r="43086" customFormat="1" ht="17.25" customHeight="1"/>
    <row r="43087" customFormat="1" ht="17.25" customHeight="1"/>
    <row r="43088" customFormat="1" ht="17.25" customHeight="1"/>
    <row r="43089" customFormat="1" ht="17.25" customHeight="1"/>
    <row r="43090" customFormat="1" ht="17.25" customHeight="1"/>
    <row r="43091" customFormat="1" ht="17.25" customHeight="1"/>
    <row r="43092" customFormat="1" ht="17.25" customHeight="1"/>
    <row r="43093" customFormat="1" ht="17.25" customHeight="1"/>
    <row r="43094" customFormat="1" ht="17.25" customHeight="1"/>
    <row r="43095" customFormat="1" ht="17.25" customHeight="1"/>
    <row r="43096" customFormat="1" ht="17.25" customHeight="1"/>
    <row r="43097" customFormat="1" ht="17.25" customHeight="1"/>
    <row r="43098" customFormat="1" ht="17.25" customHeight="1"/>
    <row r="43099" customFormat="1" ht="17.25" customHeight="1"/>
    <row r="43100" customFormat="1" ht="17.25" customHeight="1"/>
    <row r="43101" customFormat="1" ht="17.25" customHeight="1"/>
    <row r="43102" customFormat="1" ht="17.25" customHeight="1"/>
    <row r="43103" customFormat="1" ht="17.25" customHeight="1"/>
    <row r="43104" customFormat="1" ht="17.25" customHeight="1"/>
    <row r="43105" customFormat="1" ht="17.25" customHeight="1"/>
    <row r="43106" customFormat="1" ht="17.25" customHeight="1"/>
    <row r="43107" customFormat="1" ht="17.25" customHeight="1"/>
    <row r="43108" customFormat="1" ht="17.25" customHeight="1"/>
    <row r="43109" customFormat="1" ht="17.25" customHeight="1"/>
    <row r="43110" customFormat="1" ht="17.25" customHeight="1"/>
    <row r="43111" customFormat="1" ht="17.25" customHeight="1"/>
    <row r="43112" customFormat="1" ht="17.25" customHeight="1"/>
    <row r="43113" customFormat="1" ht="17.25" customHeight="1"/>
    <row r="43114" customFormat="1" ht="17.25" customHeight="1"/>
    <row r="43115" customFormat="1" ht="17.25" customHeight="1"/>
    <row r="43116" customFormat="1" ht="17.25" customHeight="1"/>
    <row r="43117" customFormat="1" ht="17.25" customHeight="1"/>
    <row r="43118" customFormat="1" ht="17.25" customHeight="1"/>
    <row r="43119" customFormat="1" ht="17.25" customHeight="1"/>
    <row r="43120" customFormat="1" ht="17.25" customHeight="1"/>
    <row r="43121" customFormat="1" ht="17.25" customHeight="1"/>
    <row r="43122" customFormat="1" ht="17.25" customHeight="1"/>
    <row r="43123" customFormat="1" ht="17.25" customHeight="1"/>
    <row r="43124" customFormat="1" ht="17.25" customHeight="1"/>
    <row r="43125" customFormat="1" ht="17.25" customHeight="1"/>
    <row r="43126" customFormat="1" ht="17.25" customHeight="1"/>
    <row r="43127" customFormat="1" ht="17.25" customHeight="1"/>
    <row r="43128" customFormat="1" ht="17.25" customHeight="1"/>
    <row r="43129" customFormat="1" ht="17.25" customHeight="1"/>
    <row r="43130" customFormat="1" ht="17.25" customHeight="1"/>
    <row r="43131" customFormat="1" ht="17.25" customHeight="1"/>
    <row r="43132" customFormat="1" ht="17.25" customHeight="1"/>
    <row r="43133" customFormat="1" ht="17.25" customHeight="1"/>
    <row r="43134" customFormat="1" ht="17.25" customHeight="1"/>
    <row r="43135" customFormat="1" ht="17.25" customHeight="1"/>
    <row r="43136" customFormat="1" ht="17.25" customHeight="1"/>
    <row r="43137" customFormat="1" ht="17.25" customHeight="1"/>
    <row r="43138" customFormat="1" ht="17.25" customHeight="1"/>
    <row r="43139" customFormat="1" ht="17.25" customHeight="1"/>
    <row r="43140" customFormat="1" ht="17.25" customHeight="1"/>
    <row r="43141" customFormat="1" ht="17.25" customHeight="1"/>
    <row r="43142" customFormat="1" ht="17.25" customHeight="1"/>
    <row r="43143" customFormat="1" ht="17.25" customHeight="1"/>
    <row r="43144" customFormat="1" ht="17.25" customHeight="1"/>
    <row r="43145" customFormat="1" ht="17.25" customHeight="1"/>
    <row r="43146" customFormat="1" ht="17.25" customHeight="1"/>
    <row r="43147" customFormat="1" ht="17.25" customHeight="1"/>
    <row r="43148" customFormat="1" ht="17.25" customHeight="1"/>
    <row r="43149" customFormat="1" ht="17.25" customHeight="1"/>
    <row r="43150" customFormat="1" ht="17.25" customHeight="1"/>
    <row r="43151" customFormat="1" ht="17.25" customHeight="1"/>
    <row r="43152" customFormat="1" ht="17.25" customHeight="1"/>
    <row r="43153" customFormat="1" ht="17.25" customHeight="1"/>
    <row r="43154" customFormat="1" ht="17.25" customHeight="1"/>
    <row r="43155" customFormat="1" ht="17.25" customHeight="1"/>
    <row r="43156" customFormat="1" ht="17.25" customHeight="1"/>
    <row r="43157" customFormat="1" ht="17.25" customHeight="1"/>
    <row r="43158" customFormat="1" ht="17.25" customHeight="1"/>
    <row r="43159" customFormat="1" ht="17.25" customHeight="1"/>
    <row r="43160" customFormat="1" ht="17.25" customHeight="1"/>
    <row r="43161" customFormat="1" ht="17.25" customHeight="1"/>
    <row r="43162" customFormat="1" ht="17.25" customHeight="1"/>
    <row r="43163" customFormat="1" ht="17.25" customHeight="1"/>
    <row r="43164" customFormat="1" ht="17.25" customHeight="1"/>
    <row r="43165" customFormat="1" ht="17.25" customHeight="1"/>
    <row r="43166" customFormat="1" ht="17.25" customHeight="1"/>
    <row r="43167" customFormat="1" ht="17.25" customHeight="1"/>
    <row r="43168" customFormat="1" ht="17.25" customHeight="1"/>
    <row r="43169" customFormat="1" ht="17.25" customHeight="1"/>
    <row r="43170" customFormat="1" ht="17.25" customHeight="1"/>
    <row r="43171" customFormat="1" ht="17.25" customHeight="1"/>
    <row r="43172" customFormat="1" ht="17.25" customHeight="1"/>
    <row r="43173" customFormat="1" ht="17.25" customHeight="1"/>
    <row r="43174" customFormat="1" ht="17.25" customHeight="1"/>
    <row r="43175" customFormat="1" ht="17.25" customHeight="1"/>
    <row r="43176" customFormat="1" ht="17.25" customHeight="1"/>
    <row r="43177" customFormat="1" ht="17.25" customHeight="1"/>
    <row r="43178" customFormat="1" ht="17.25" customHeight="1"/>
    <row r="43179" customFormat="1" ht="17.25" customHeight="1"/>
    <row r="43180" customFormat="1" ht="17.25" customHeight="1"/>
    <row r="43181" customFormat="1" ht="17.25" customHeight="1"/>
    <row r="43182" customFormat="1" ht="17.25" customHeight="1"/>
    <row r="43183" customFormat="1" ht="17.25" customHeight="1"/>
    <row r="43184" customFormat="1" ht="17.25" customHeight="1"/>
    <row r="43185" customFormat="1" ht="17.25" customHeight="1"/>
    <row r="43186" customFormat="1" ht="17.25" customHeight="1"/>
    <row r="43187" customFormat="1" ht="17.25" customHeight="1"/>
    <row r="43188" customFormat="1" ht="17.25" customHeight="1"/>
    <row r="43189" customFormat="1" ht="17.25" customHeight="1"/>
    <row r="43190" customFormat="1" ht="17.25" customHeight="1"/>
    <row r="43191" customFormat="1" ht="17.25" customHeight="1"/>
    <row r="43192" customFormat="1" ht="17.25" customHeight="1"/>
    <row r="43193" customFormat="1" ht="17.25" customHeight="1"/>
    <row r="43194" customFormat="1" ht="17.25" customHeight="1"/>
    <row r="43195" customFormat="1" ht="17.25" customHeight="1"/>
    <row r="43196" customFormat="1" ht="17.25" customHeight="1"/>
    <row r="43197" customFormat="1" ht="17.25" customHeight="1"/>
    <row r="43198" customFormat="1" ht="17.25" customHeight="1"/>
    <row r="43199" customFormat="1" ht="17.25" customHeight="1"/>
    <row r="43200" customFormat="1" ht="17.25" customHeight="1"/>
    <row r="43201" customFormat="1" ht="17.25" customHeight="1"/>
    <row r="43202" customFormat="1" ht="17.25" customHeight="1"/>
    <row r="43203" customFormat="1" ht="17.25" customHeight="1"/>
    <row r="43204" customFormat="1" ht="17.25" customHeight="1"/>
    <row r="43205" customFormat="1" ht="17.25" customHeight="1"/>
    <row r="43206" customFormat="1" ht="17.25" customHeight="1"/>
    <row r="43207" customFormat="1" ht="17.25" customHeight="1"/>
    <row r="43208" customFormat="1" ht="17.25" customHeight="1"/>
    <row r="43209" customFormat="1" ht="17.25" customHeight="1"/>
    <row r="43210" customFormat="1" ht="17.25" customHeight="1"/>
    <row r="43211" customFormat="1" ht="17.25" customHeight="1"/>
    <row r="43212" customFormat="1" ht="17.25" customHeight="1"/>
    <row r="43213" customFormat="1" ht="17.25" customHeight="1"/>
    <row r="43214" customFormat="1" ht="17.25" customHeight="1"/>
    <row r="43215" customFormat="1" ht="17.25" customHeight="1"/>
    <row r="43216" customFormat="1" ht="17.25" customHeight="1"/>
    <row r="43217" customFormat="1" ht="17.25" customHeight="1"/>
    <row r="43218" customFormat="1" ht="17.25" customHeight="1"/>
    <row r="43219" customFormat="1" ht="17.25" customHeight="1"/>
    <row r="43220" customFormat="1" ht="17.25" customHeight="1"/>
    <row r="43221" customFormat="1" ht="17.25" customHeight="1"/>
    <row r="43222" customFormat="1" ht="17.25" customHeight="1"/>
    <row r="43223" customFormat="1" ht="17.25" customHeight="1"/>
    <row r="43224" customFormat="1" ht="17.25" customHeight="1"/>
    <row r="43225" customFormat="1" ht="17.25" customHeight="1"/>
    <row r="43226" customFormat="1" ht="17.25" customHeight="1"/>
    <row r="43227" customFormat="1" ht="17.25" customHeight="1"/>
    <row r="43228" customFormat="1" ht="17.25" customHeight="1"/>
    <row r="43229" customFormat="1" ht="17.25" customHeight="1"/>
    <row r="43230" customFormat="1" ht="17.25" customHeight="1"/>
    <row r="43231" customFormat="1" ht="17.25" customHeight="1"/>
    <row r="43232" customFormat="1" ht="17.25" customHeight="1"/>
    <row r="43233" customFormat="1" ht="17.25" customHeight="1"/>
    <row r="43234" customFormat="1" ht="17.25" customHeight="1"/>
    <row r="43235" customFormat="1" ht="17.25" customHeight="1"/>
    <row r="43236" customFormat="1" ht="17.25" customHeight="1"/>
    <row r="43237" customFormat="1" ht="17.25" customHeight="1"/>
    <row r="43238" customFormat="1" ht="17.25" customHeight="1"/>
    <row r="43239" customFormat="1" ht="17.25" customHeight="1"/>
    <row r="43240" customFormat="1" ht="17.25" customHeight="1"/>
    <row r="43241" customFormat="1" ht="17.25" customHeight="1"/>
    <row r="43242" customFormat="1" ht="17.25" customHeight="1"/>
    <row r="43243" customFormat="1" ht="17.25" customHeight="1"/>
    <row r="43244" customFormat="1" ht="17.25" customHeight="1"/>
    <row r="43245" customFormat="1" ht="17.25" customHeight="1"/>
    <row r="43246" customFormat="1" ht="17.25" customHeight="1"/>
    <row r="43247" customFormat="1" ht="17.25" customHeight="1"/>
    <row r="43248" customFormat="1" ht="17.25" customHeight="1"/>
    <row r="43249" customFormat="1" ht="17.25" customHeight="1"/>
    <row r="43250" customFormat="1" ht="17.25" customHeight="1"/>
    <row r="43251" customFormat="1" ht="17.25" customHeight="1"/>
    <row r="43252" customFormat="1" ht="17.25" customHeight="1"/>
    <row r="43253" customFormat="1" ht="17.25" customHeight="1"/>
    <row r="43254" customFormat="1" ht="17.25" customHeight="1"/>
    <row r="43255" customFormat="1" ht="17.25" customHeight="1"/>
    <row r="43256" customFormat="1" ht="17.25" customHeight="1"/>
    <row r="43257" customFormat="1" ht="17.25" customHeight="1"/>
    <row r="43258" customFormat="1" ht="17.25" customHeight="1"/>
    <row r="43259" customFormat="1" ht="17.25" customHeight="1"/>
    <row r="43260" customFormat="1" ht="17.25" customHeight="1"/>
    <row r="43261" customFormat="1" ht="17.25" customHeight="1"/>
    <row r="43262" customFormat="1" ht="17.25" customHeight="1"/>
    <row r="43263" customFormat="1" ht="17.25" customHeight="1"/>
    <row r="43264" customFormat="1" ht="17.25" customHeight="1"/>
    <row r="43265" customFormat="1" ht="17.25" customHeight="1"/>
    <row r="43266" customFormat="1" ht="17.25" customHeight="1"/>
    <row r="43267" customFormat="1" ht="17.25" customHeight="1"/>
    <row r="43268" customFormat="1" ht="17.25" customHeight="1"/>
    <row r="43269" customFormat="1" ht="17.25" customHeight="1"/>
    <row r="43270" customFormat="1" ht="17.25" customHeight="1"/>
    <row r="43271" customFormat="1" ht="17.25" customHeight="1"/>
    <row r="43272" customFormat="1" ht="17.25" customHeight="1"/>
    <row r="43273" customFormat="1" ht="17.25" customHeight="1"/>
    <row r="43274" customFormat="1" ht="17.25" customHeight="1"/>
    <row r="43275" customFormat="1" ht="17.25" customHeight="1"/>
    <row r="43276" customFormat="1" ht="17.25" customHeight="1"/>
    <row r="43277" customFormat="1" ht="17.25" customHeight="1"/>
    <row r="43278" customFormat="1" ht="17.25" customHeight="1"/>
    <row r="43279" customFormat="1" ht="17.25" customHeight="1"/>
    <row r="43280" customFormat="1" ht="17.25" customHeight="1"/>
    <row r="43281" customFormat="1" ht="17.25" customHeight="1"/>
    <row r="43282" customFormat="1" ht="17.25" customHeight="1"/>
    <row r="43283" customFormat="1" ht="17.25" customHeight="1"/>
    <row r="43284" customFormat="1" ht="17.25" customHeight="1"/>
    <row r="43285" customFormat="1" ht="17.25" customHeight="1"/>
    <row r="43286" customFormat="1" ht="17.25" customHeight="1"/>
    <row r="43287" customFormat="1" ht="17.25" customHeight="1"/>
    <row r="43288" customFormat="1" ht="17.25" customHeight="1"/>
    <row r="43289" customFormat="1" ht="17.25" customHeight="1"/>
    <row r="43290" customFormat="1" ht="17.25" customHeight="1"/>
    <row r="43291" customFormat="1" ht="17.25" customHeight="1"/>
    <row r="43292" customFormat="1" ht="17.25" customHeight="1"/>
    <row r="43293" customFormat="1" ht="17.25" customHeight="1"/>
    <row r="43294" customFormat="1" ht="17.25" customHeight="1"/>
    <row r="43295" customFormat="1" ht="17.25" customHeight="1"/>
    <row r="43296" customFormat="1" ht="17.25" customHeight="1"/>
    <row r="43297" customFormat="1" ht="17.25" customHeight="1"/>
    <row r="43298" customFormat="1" ht="17.25" customHeight="1"/>
    <row r="43299" customFormat="1" ht="17.25" customHeight="1"/>
    <row r="43300" customFormat="1" ht="17.25" customHeight="1"/>
    <row r="43301" customFormat="1" ht="17.25" customHeight="1"/>
    <row r="43302" customFormat="1" ht="17.25" customHeight="1"/>
    <row r="43303" customFormat="1" ht="17.25" customHeight="1"/>
    <row r="43304" customFormat="1" ht="17.25" customHeight="1"/>
    <row r="43305" customFormat="1" ht="17.25" customHeight="1"/>
    <row r="43306" customFormat="1" ht="17.25" customHeight="1"/>
    <row r="43307" customFormat="1" ht="17.25" customHeight="1"/>
    <row r="43308" customFormat="1" ht="17.25" customHeight="1"/>
    <row r="43309" customFormat="1" ht="17.25" customHeight="1"/>
    <row r="43310" customFormat="1" ht="17.25" customHeight="1"/>
    <row r="43311" customFormat="1" ht="17.25" customHeight="1"/>
    <row r="43312" customFormat="1" ht="17.25" customHeight="1"/>
    <row r="43313" customFormat="1" ht="17.25" customHeight="1"/>
    <row r="43314" customFormat="1" ht="17.25" customHeight="1"/>
    <row r="43315" customFormat="1" ht="17.25" customHeight="1"/>
    <row r="43316" customFormat="1" ht="17.25" customHeight="1"/>
    <row r="43317" customFormat="1" ht="17.25" customHeight="1"/>
    <row r="43318" customFormat="1" ht="17.25" customHeight="1"/>
    <row r="43319" customFormat="1" ht="17.25" customHeight="1"/>
    <row r="43320" customFormat="1" ht="17.25" customHeight="1"/>
    <row r="43321" customFormat="1" ht="17.25" customHeight="1"/>
    <row r="43322" customFormat="1" ht="17.25" customHeight="1"/>
    <row r="43323" customFormat="1" ht="17.25" customHeight="1"/>
    <row r="43324" customFormat="1" ht="17.25" customHeight="1"/>
    <row r="43325" customFormat="1" ht="17.25" customHeight="1"/>
    <row r="43326" customFormat="1" ht="17.25" customHeight="1"/>
    <row r="43327" customFormat="1" ht="17.25" customHeight="1"/>
    <row r="43328" customFormat="1" ht="17.25" customHeight="1"/>
    <row r="43329" customFormat="1" ht="17.25" customHeight="1"/>
    <row r="43330" customFormat="1" ht="17.25" customHeight="1"/>
    <row r="43331" customFormat="1" ht="17.25" customHeight="1"/>
    <row r="43332" customFormat="1" ht="17.25" customHeight="1"/>
    <row r="43333" customFormat="1" ht="17.25" customHeight="1"/>
    <row r="43334" customFormat="1" ht="17.25" customHeight="1"/>
    <row r="43335" customFormat="1" ht="17.25" customHeight="1"/>
    <row r="43336" customFormat="1" ht="17.25" customHeight="1"/>
    <row r="43337" customFormat="1" ht="17.25" customHeight="1"/>
    <row r="43338" customFormat="1" ht="17.25" customHeight="1"/>
    <row r="43339" customFormat="1" ht="17.25" customHeight="1"/>
    <row r="43340" customFormat="1" ht="17.25" customHeight="1"/>
    <row r="43341" customFormat="1" ht="17.25" customHeight="1"/>
    <row r="43342" customFormat="1" ht="17.25" customHeight="1"/>
    <row r="43343" customFormat="1" ht="17.25" customHeight="1"/>
    <row r="43344" customFormat="1" ht="17.25" customHeight="1"/>
    <row r="43345" customFormat="1" ht="17.25" customHeight="1"/>
    <row r="43346" customFormat="1" ht="17.25" customHeight="1"/>
    <row r="43347" customFormat="1" ht="17.25" customHeight="1"/>
    <row r="43348" customFormat="1" ht="17.25" customHeight="1"/>
    <row r="43349" customFormat="1" ht="17.25" customHeight="1"/>
    <row r="43350" customFormat="1" ht="17.25" customHeight="1"/>
    <row r="43351" customFormat="1" ht="17.25" customHeight="1"/>
    <row r="43352" customFormat="1" ht="17.25" customHeight="1"/>
    <row r="43353" customFormat="1" ht="17.25" customHeight="1"/>
    <row r="43354" customFormat="1" ht="17.25" customHeight="1"/>
    <row r="43355" customFormat="1" ht="17.25" customHeight="1"/>
    <row r="43356" customFormat="1" ht="17.25" customHeight="1"/>
    <row r="43357" customFormat="1" ht="17.25" customHeight="1"/>
    <row r="43358" customFormat="1" ht="17.25" customHeight="1"/>
    <row r="43359" customFormat="1" ht="17.25" customHeight="1"/>
    <row r="43360" customFormat="1" ht="17.25" customHeight="1"/>
    <row r="43361" customFormat="1" ht="17.25" customHeight="1"/>
    <row r="43362" customFormat="1" ht="17.25" customHeight="1"/>
    <row r="43363" customFormat="1" ht="17.25" customHeight="1"/>
    <row r="43364" customFormat="1" ht="17.25" customHeight="1"/>
    <row r="43365" customFormat="1" ht="17.25" customHeight="1"/>
    <row r="43366" customFormat="1" ht="17.25" customHeight="1"/>
    <row r="43367" customFormat="1" ht="17.25" customHeight="1"/>
    <row r="43368" customFormat="1" ht="17.25" customHeight="1"/>
    <row r="43369" customFormat="1" ht="17.25" customHeight="1"/>
    <row r="43370" customFormat="1" ht="17.25" customHeight="1"/>
    <row r="43371" customFormat="1" ht="17.25" customHeight="1"/>
    <row r="43372" customFormat="1" ht="17.25" customHeight="1"/>
    <row r="43373" customFormat="1" ht="17.25" customHeight="1"/>
    <row r="43374" customFormat="1" ht="17.25" customHeight="1"/>
    <row r="43375" customFormat="1" ht="17.25" customHeight="1"/>
    <row r="43376" customFormat="1" ht="17.25" customHeight="1"/>
    <row r="43377" customFormat="1" ht="17.25" customHeight="1"/>
    <row r="43378" customFormat="1" ht="17.25" customHeight="1"/>
    <row r="43379" customFormat="1" ht="17.25" customHeight="1"/>
    <row r="43380" customFormat="1" ht="17.25" customHeight="1"/>
    <row r="43381" customFormat="1" ht="17.25" customHeight="1"/>
    <row r="43382" customFormat="1" ht="17.25" customHeight="1"/>
    <row r="43383" customFormat="1" ht="17.25" customHeight="1"/>
    <row r="43384" customFormat="1" ht="17.25" customHeight="1"/>
    <row r="43385" customFormat="1" ht="17.25" customHeight="1"/>
    <row r="43386" customFormat="1" ht="17.25" customHeight="1"/>
    <row r="43387" customFormat="1" ht="17.25" customHeight="1"/>
    <row r="43388" customFormat="1" ht="17.25" customHeight="1"/>
    <row r="43389" customFormat="1" ht="17.25" customHeight="1"/>
    <row r="43390" customFormat="1" ht="17.25" customHeight="1"/>
    <row r="43391" customFormat="1" ht="17.25" customHeight="1"/>
    <row r="43392" customFormat="1" ht="17.25" customHeight="1"/>
    <row r="43393" customFormat="1" ht="17.25" customHeight="1"/>
    <row r="43394" customFormat="1" ht="17.25" customHeight="1"/>
    <row r="43395" customFormat="1" ht="17.25" customHeight="1"/>
    <row r="43396" customFormat="1" ht="17.25" customHeight="1"/>
    <row r="43397" customFormat="1" ht="17.25" customHeight="1"/>
    <row r="43398" customFormat="1" ht="17.25" customHeight="1"/>
    <row r="43399" customFormat="1" ht="17.25" customHeight="1"/>
    <row r="43400" customFormat="1" ht="17.25" customHeight="1"/>
    <row r="43401" customFormat="1" ht="17.25" customHeight="1"/>
    <row r="43402" customFormat="1" ht="17.25" customHeight="1"/>
    <row r="43403" customFormat="1" ht="17.25" customHeight="1"/>
    <row r="43404" customFormat="1" ht="17.25" customHeight="1"/>
    <row r="43405" customFormat="1" ht="17.25" customHeight="1"/>
    <row r="43406" customFormat="1" ht="17.25" customHeight="1"/>
    <row r="43407" customFormat="1" ht="17.25" customHeight="1"/>
    <row r="43408" customFormat="1" ht="17.25" customHeight="1"/>
    <row r="43409" customFormat="1" ht="17.25" customHeight="1"/>
    <row r="43410" customFormat="1" ht="17.25" customHeight="1"/>
    <row r="43411" customFormat="1" ht="17.25" customHeight="1"/>
    <row r="43412" customFormat="1" ht="17.25" customHeight="1"/>
    <row r="43413" customFormat="1" ht="17.25" customHeight="1"/>
    <row r="43414" customFormat="1" ht="17.25" customHeight="1"/>
    <row r="43415" customFormat="1" ht="17.25" customHeight="1"/>
    <row r="43416" customFormat="1" ht="17.25" customHeight="1"/>
    <row r="43417" customFormat="1" ht="17.25" customHeight="1"/>
    <row r="43418" customFormat="1" ht="17.25" customHeight="1"/>
    <row r="43419" customFormat="1" ht="17.25" customHeight="1"/>
    <row r="43420" customFormat="1" ht="17.25" customHeight="1"/>
    <row r="43421" customFormat="1" ht="17.25" customHeight="1"/>
    <row r="43422" customFormat="1" ht="17.25" customHeight="1"/>
    <row r="43423" customFormat="1" ht="17.25" customHeight="1"/>
    <row r="43424" customFormat="1" ht="17.25" customHeight="1"/>
    <row r="43425" customFormat="1" ht="17.25" customHeight="1"/>
    <row r="43426" customFormat="1" ht="17.25" customHeight="1"/>
    <row r="43427" customFormat="1" ht="17.25" customHeight="1"/>
    <row r="43428" customFormat="1" ht="17.25" customHeight="1"/>
    <row r="43429" customFormat="1" ht="17.25" customHeight="1"/>
    <row r="43430" customFormat="1" ht="17.25" customHeight="1"/>
    <row r="43431" customFormat="1" ht="17.25" customHeight="1"/>
    <row r="43432" customFormat="1" ht="17.25" customHeight="1"/>
    <row r="43433" customFormat="1" ht="17.25" customHeight="1"/>
    <row r="43434" customFormat="1" ht="17.25" customHeight="1"/>
    <row r="43435" customFormat="1" ht="17.25" customHeight="1"/>
    <row r="43436" customFormat="1" ht="17.25" customHeight="1"/>
    <row r="43437" customFormat="1" ht="17.25" customHeight="1"/>
    <row r="43438" customFormat="1" ht="17.25" customHeight="1"/>
    <row r="43439" customFormat="1" ht="17.25" customHeight="1"/>
    <row r="43440" customFormat="1" ht="17.25" customHeight="1"/>
    <row r="43441" customFormat="1" ht="17.25" customHeight="1"/>
    <row r="43442" customFormat="1" ht="17.25" customHeight="1"/>
    <row r="43443" customFormat="1" ht="17.25" customHeight="1"/>
    <row r="43444" customFormat="1" ht="17.25" customHeight="1"/>
    <row r="43445" customFormat="1" ht="17.25" customHeight="1"/>
    <row r="43446" customFormat="1" ht="17.25" customHeight="1"/>
    <row r="43447" customFormat="1" ht="17.25" customHeight="1"/>
    <row r="43448" customFormat="1" ht="17.25" customHeight="1"/>
    <row r="43449" customFormat="1" ht="17.25" customHeight="1"/>
    <row r="43450" customFormat="1" ht="17.25" customHeight="1"/>
    <row r="43451" customFormat="1" ht="17.25" customHeight="1"/>
    <row r="43452" customFormat="1" ht="17.25" customHeight="1"/>
    <row r="43453" customFormat="1" ht="17.25" customHeight="1"/>
    <row r="43454" customFormat="1" ht="17.25" customHeight="1"/>
    <row r="43455" customFormat="1" ht="17.25" customHeight="1"/>
    <row r="43456" customFormat="1" ht="17.25" customHeight="1"/>
    <row r="43457" customFormat="1" ht="17.25" customHeight="1"/>
    <row r="43458" customFormat="1" ht="17.25" customHeight="1"/>
    <row r="43459" customFormat="1" ht="17.25" customHeight="1"/>
    <row r="43460" customFormat="1" ht="17.25" customHeight="1"/>
    <row r="43461" customFormat="1" ht="17.25" customHeight="1"/>
    <row r="43462" customFormat="1" ht="17.25" customHeight="1"/>
    <row r="43463" customFormat="1" ht="17.25" customHeight="1"/>
    <row r="43464" customFormat="1" ht="17.25" customHeight="1"/>
    <row r="43465" customFormat="1" ht="17.25" customHeight="1"/>
    <row r="43466" customFormat="1" ht="17.25" customHeight="1"/>
    <row r="43467" customFormat="1" ht="17.25" customHeight="1"/>
    <row r="43468" customFormat="1" ht="17.25" customHeight="1"/>
    <row r="43469" customFormat="1" ht="17.25" customHeight="1"/>
    <row r="43470" customFormat="1" ht="17.25" customHeight="1"/>
    <row r="43471" customFormat="1" ht="17.25" customHeight="1"/>
    <row r="43472" customFormat="1" ht="17.25" customHeight="1"/>
    <row r="43473" customFormat="1" ht="17.25" customHeight="1"/>
    <row r="43474" customFormat="1" ht="17.25" customHeight="1"/>
    <row r="43475" customFormat="1" ht="17.25" customHeight="1"/>
    <row r="43476" customFormat="1" ht="17.25" customHeight="1"/>
    <row r="43477" customFormat="1" ht="17.25" customHeight="1"/>
    <row r="43478" customFormat="1" ht="17.25" customHeight="1"/>
    <row r="43479" customFormat="1" ht="17.25" customHeight="1"/>
    <row r="43480" customFormat="1" ht="17.25" customHeight="1"/>
    <row r="43481" customFormat="1" ht="17.25" customHeight="1"/>
    <row r="43482" customFormat="1" ht="17.25" customHeight="1"/>
    <row r="43483" customFormat="1" ht="17.25" customHeight="1"/>
    <row r="43484" customFormat="1" ht="17.25" customHeight="1"/>
    <row r="43485" customFormat="1" ht="17.25" customHeight="1"/>
    <row r="43486" customFormat="1" ht="17.25" customHeight="1"/>
    <row r="43487" customFormat="1" ht="17.25" customHeight="1"/>
    <row r="43488" customFormat="1" ht="17.25" customHeight="1"/>
    <row r="43489" customFormat="1" ht="17.25" customHeight="1"/>
    <row r="43490" customFormat="1" ht="17.25" customHeight="1"/>
    <row r="43491" customFormat="1" ht="17.25" customHeight="1"/>
    <row r="43492" customFormat="1" ht="17.25" customHeight="1"/>
    <row r="43493" customFormat="1" ht="17.25" customHeight="1"/>
    <row r="43494" customFormat="1" ht="17.25" customHeight="1"/>
    <row r="43495" customFormat="1" ht="17.25" customHeight="1"/>
    <row r="43496" customFormat="1" ht="17.25" customHeight="1"/>
    <row r="43497" customFormat="1" ht="17.25" customHeight="1"/>
    <row r="43498" customFormat="1" ht="17.25" customHeight="1"/>
    <row r="43499" customFormat="1" ht="17.25" customHeight="1"/>
    <row r="43500" customFormat="1" ht="17.25" customHeight="1"/>
    <row r="43501" customFormat="1" ht="17.25" customHeight="1"/>
    <row r="43502" customFormat="1" ht="17.25" customHeight="1"/>
    <row r="43503" customFormat="1" ht="17.25" customHeight="1"/>
    <row r="43504" customFormat="1" ht="17.25" customHeight="1"/>
    <row r="43505" customFormat="1" ht="17.25" customHeight="1"/>
    <row r="43506" customFormat="1" ht="17.25" customHeight="1"/>
    <row r="43507" customFormat="1" ht="17.25" customHeight="1"/>
    <row r="43508" customFormat="1" ht="17.25" customHeight="1"/>
    <row r="43509" customFormat="1" ht="17.25" customHeight="1"/>
    <row r="43510" customFormat="1" ht="17.25" customHeight="1"/>
    <row r="43511" customFormat="1" ht="17.25" customHeight="1"/>
    <row r="43512" customFormat="1" ht="17.25" customHeight="1"/>
    <row r="43513" customFormat="1" ht="17.25" customHeight="1"/>
    <row r="43514" customFormat="1" ht="17.25" customHeight="1"/>
    <row r="43515" customFormat="1" ht="17.25" customHeight="1"/>
    <row r="43516" customFormat="1" ht="17.25" customHeight="1"/>
    <row r="43517" customFormat="1" ht="17.25" customHeight="1"/>
    <row r="43518" customFormat="1" ht="17.25" customHeight="1"/>
    <row r="43519" customFormat="1" ht="17.25" customHeight="1"/>
    <row r="43520" customFormat="1" ht="17.25" customHeight="1"/>
    <row r="43521" customFormat="1" ht="17.25" customHeight="1"/>
    <row r="43522" customFormat="1" ht="17.25" customHeight="1"/>
    <row r="43523" customFormat="1" ht="17.25" customHeight="1"/>
    <row r="43524" customFormat="1" ht="17.25" customHeight="1"/>
    <row r="43525" customFormat="1" ht="17.25" customHeight="1"/>
    <row r="43526" customFormat="1" ht="17.25" customHeight="1"/>
    <row r="43527" customFormat="1" ht="17.25" customHeight="1"/>
    <row r="43528" customFormat="1" ht="17.25" customHeight="1"/>
    <row r="43529" customFormat="1" ht="17.25" customHeight="1"/>
    <row r="43530" customFormat="1" ht="17.25" customHeight="1"/>
    <row r="43531" customFormat="1" ht="17.25" customHeight="1"/>
    <row r="43532" customFormat="1" ht="17.25" customHeight="1"/>
    <row r="43533" customFormat="1" ht="17.25" customHeight="1"/>
    <row r="43534" customFormat="1" ht="17.25" customHeight="1"/>
    <row r="43535" customFormat="1" ht="17.25" customHeight="1"/>
    <row r="43536" customFormat="1" ht="17.25" customHeight="1"/>
    <row r="43537" customFormat="1" ht="17.25" customHeight="1"/>
    <row r="43538" customFormat="1" ht="17.25" customHeight="1"/>
    <row r="43539" customFormat="1" ht="17.25" customHeight="1"/>
    <row r="43540" customFormat="1" ht="17.25" customHeight="1"/>
    <row r="43541" customFormat="1" ht="17.25" customHeight="1"/>
    <row r="43542" customFormat="1" ht="17.25" customHeight="1"/>
    <row r="43543" customFormat="1" ht="17.25" customHeight="1"/>
    <row r="43544" customFormat="1" ht="17.25" customHeight="1"/>
    <row r="43545" customFormat="1" ht="17.25" customHeight="1"/>
    <row r="43546" customFormat="1" ht="17.25" customHeight="1"/>
    <row r="43547" customFormat="1" ht="17.25" customHeight="1"/>
    <row r="43548" customFormat="1" ht="17.25" customHeight="1"/>
    <row r="43549" customFormat="1" ht="17.25" customHeight="1"/>
    <row r="43550" customFormat="1" ht="17.25" customHeight="1"/>
    <row r="43551" customFormat="1" ht="17.25" customHeight="1"/>
    <row r="43552" customFormat="1" ht="17.25" customHeight="1"/>
    <row r="43553" customFormat="1" ht="17.25" customHeight="1"/>
    <row r="43554" customFormat="1" ht="17.25" customHeight="1"/>
    <row r="43555" customFormat="1" ht="17.25" customHeight="1"/>
    <row r="43556" customFormat="1" ht="17.25" customHeight="1"/>
    <row r="43557" customFormat="1" ht="17.25" customHeight="1"/>
    <row r="43558" customFormat="1" ht="17.25" customHeight="1"/>
    <row r="43559" customFormat="1" ht="17.25" customHeight="1"/>
    <row r="43560" customFormat="1" ht="17.25" customHeight="1"/>
    <row r="43561" customFormat="1" ht="17.25" customHeight="1"/>
    <row r="43562" customFormat="1" ht="17.25" customHeight="1"/>
    <row r="43563" customFormat="1" ht="17.25" customHeight="1"/>
    <row r="43564" customFormat="1" ht="17.25" customHeight="1"/>
    <row r="43565" customFormat="1" ht="17.25" customHeight="1"/>
    <row r="43566" customFormat="1" ht="17.25" customHeight="1"/>
    <row r="43567" customFormat="1" ht="17.25" customHeight="1"/>
    <row r="43568" customFormat="1" ht="17.25" customHeight="1"/>
    <row r="43569" customFormat="1" ht="17.25" customHeight="1"/>
    <row r="43570" customFormat="1" ht="17.25" customHeight="1"/>
    <row r="43571" customFormat="1" ht="17.25" customHeight="1"/>
    <row r="43572" customFormat="1" ht="17.25" customHeight="1"/>
    <row r="43573" customFormat="1" ht="17.25" customHeight="1"/>
    <row r="43574" customFormat="1" ht="17.25" customHeight="1"/>
    <row r="43575" customFormat="1" ht="17.25" customHeight="1"/>
    <row r="43576" customFormat="1" ht="17.25" customHeight="1"/>
    <row r="43577" customFormat="1" ht="17.25" customHeight="1"/>
    <row r="43578" customFormat="1" ht="17.25" customHeight="1"/>
    <row r="43579" customFormat="1" ht="17.25" customHeight="1"/>
    <row r="43580" customFormat="1" ht="17.25" customHeight="1"/>
    <row r="43581" customFormat="1" ht="17.25" customHeight="1"/>
    <row r="43582" customFormat="1" ht="17.25" customHeight="1"/>
    <row r="43583" customFormat="1" ht="17.25" customHeight="1"/>
    <row r="43584" customFormat="1" ht="17.25" customHeight="1"/>
    <row r="43585" customFormat="1" ht="17.25" customHeight="1"/>
    <row r="43586" customFormat="1" ht="17.25" customHeight="1"/>
    <row r="43587" customFormat="1" ht="17.25" customHeight="1"/>
    <row r="43588" customFormat="1" ht="17.25" customHeight="1"/>
    <row r="43589" customFormat="1" ht="17.25" customHeight="1"/>
    <row r="43590" customFormat="1" ht="17.25" customHeight="1"/>
    <row r="43591" customFormat="1" ht="17.25" customHeight="1"/>
    <row r="43592" customFormat="1" ht="17.25" customHeight="1"/>
    <row r="43593" customFormat="1" ht="17.25" customHeight="1"/>
    <row r="43594" customFormat="1" ht="17.25" customHeight="1"/>
    <row r="43595" customFormat="1" ht="17.25" customHeight="1"/>
    <row r="43596" customFormat="1" ht="17.25" customHeight="1"/>
    <row r="43597" customFormat="1" ht="17.25" customHeight="1"/>
    <row r="43598" customFormat="1" ht="17.25" customHeight="1"/>
    <row r="43599" customFormat="1" ht="17.25" customHeight="1"/>
    <row r="43600" customFormat="1" ht="17.25" customHeight="1"/>
    <row r="43601" customFormat="1" ht="17.25" customHeight="1"/>
    <row r="43602" customFormat="1" ht="17.25" customHeight="1"/>
    <row r="43603" customFormat="1" ht="17.25" customHeight="1"/>
    <row r="43604" customFormat="1" ht="17.25" customHeight="1"/>
    <row r="43605" customFormat="1" ht="17.25" customHeight="1"/>
    <row r="43606" customFormat="1" ht="17.25" customHeight="1"/>
    <row r="43607" customFormat="1" ht="17.25" customHeight="1"/>
    <row r="43608" customFormat="1" ht="17.25" customHeight="1"/>
    <row r="43609" customFormat="1" ht="17.25" customHeight="1"/>
    <row r="43610" customFormat="1" ht="17.25" customHeight="1"/>
    <row r="43611" customFormat="1" ht="17.25" customHeight="1"/>
    <row r="43612" customFormat="1" ht="17.25" customHeight="1"/>
    <row r="43613" customFormat="1" ht="17.25" customHeight="1"/>
    <row r="43614" customFormat="1" ht="17.25" customHeight="1"/>
    <row r="43615" customFormat="1" ht="17.25" customHeight="1"/>
    <row r="43616" customFormat="1" ht="17.25" customHeight="1"/>
    <row r="43617" customFormat="1" ht="17.25" customHeight="1"/>
    <row r="43618" customFormat="1" ht="17.25" customHeight="1"/>
    <row r="43619" customFormat="1" ht="17.25" customHeight="1"/>
    <row r="43620" customFormat="1" ht="17.25" customHeight="1"/>
    <row r="43621" customFormat="1" ht="17.25" customHeight="1"/>
    <row r="43622" customFormat="1" ht="17.25" customHeight="1"/>
    <row r="43623" customFormat="1" ht="17.25" customHeight="1"/>
    <row r="43624" customFormat="1" ht="17.25" customHeight="1"/>
    <row r="43625" customFormat="1" ht="17.25" customHeight="1"/>
    <row r="43626" customFormat="1" ht="17.25" customHeight="1"/>
    <row r="43627" customFormat="1" ht="17.25" customHeight="1"/>
    <row r="43628" customFormat="1" ht="17.25" customHeight="1"/>
    <row r="43629" customFormat="1" ht="17.25" customHeight="1"/>
    <row r="43630" customFormat="1" ht="17.25" customHeight="1"/>
    <row r="43631" customFormat="1" ht="17.25" customHeight="1"/>
    <row r="43632" customFormat="1" ht="17.25" customHeight="1"/>
    <row r="43633" customFormat="1" ht="17.25" customHeight="1"/>
    <row r="43634" customFormat="1" ht="17.25" customHeight="1"/>
    <row r="43635" customFormat="1" ht="17.25" customHeight="1"/>
    <row r="43636" customFormat="1" ht="17.25" customHeight="1"/>
    <row r="43637" customFormat="1" ht="17.25" customHeight="1"/>
    <row r="43638" customFormat="1" ht="17.25" customHeight="1"/>
    <row r="43639" customFormat="1" ht="17.25" customHeight="1"/>
    <row r="43640" customFormat="1" ht="17.25" customHeight="1"/>
    <row r="43641" customFormat="1" ht="17.25" customHeight="1"/>
    <row r="43642" customFormat="1" ht="17.25" customHeight="1"/>
    <row r="43643" customFormat="1" ht="17.25" customHeight="1"/>
    <row r="43644" customFormat="1" ht="17.25" customHeight="1"/>
    <row r="43645" customFormat="1" ht="17.25" customHeight="1"/>
    <row r="43646" customFormat="1" ht="17.25" customHeight="1"/>
    <row r="43647" customFormat="1" ht="17.25" customHeight="1"/>
    <row r="43648" customFormat="1" ht="17.25" customHeight="1"/>
    <row r="43649" customFormat="1" ht="17.25" customHeight="1"/>
    <row r="43650" customFormat="1" ht="17.25" customHeight="1"/>
    <row r="43651" customFormat="1" ht="17.25" customHeight="1"/>
    <row r="43652" customFormat="1" ht="17.25" customHeight="1"/>
    <row r="43653" customFormat="1" ht="17.25" customHeight="1"/>
    <row r="43654" customFormat="1" ht="17.25" customHeight="1"/>
    <row r="43655" customFormat="1" ht="17.25" customHeight="1"/>
    <row r="43656" customFormat="1" ht="17.25" customHeight="1"/>
    <row r="43657" customFormat="1" ht="17.25" customHeight="1"/>
    <row r="43658" customFormat="1" ht="17.25" customHeight="1"/>
    <row r="43659" customFormat="1" ht="17.25" customHeight="1"/>
    <row r="43660" customFormat="1" ht="17.25" customHeight="1"/>
    <row r="43661" customFormat="1" ht="17.25" customHeight="1"/>
    <row r="43662" customFormat="1" ht="17.25" customHeight="1"/>
    <row r="43663" customFormat="1" ht="17.25" customHeight="1"/>
    <row r="43664" customFormat="1" ht="17.25" customHeight="1"/>
    <row r="43665" customFormat="1" ht="17.25" customHeight="1"/>
    <row r="43666" customFormat="1" ht="17.25" customHeight="1"/>
    <row r="43667" customFormat="1" ht="17.25" customHeight="1"/>
    <row r="43668" customFormat="1" ht="17.25" customHeight="1"/>
    <row r="43669" customFormat="1" ht="17.25" customHeight="1"/>
    <row r="43670" customFormat="1" ht="17.25" customHeight="1"/>
    <row r="43671" customFormat="1" ht="17.25" customHeight="1"/>
    <row r="43672" customFormat="1" ht="17.25" customHeight="1"/>
    <row r="43673" customFormat="1" ht="17.25" customHeight="1"/>
    <row r="43674" customFormat="1" ht="17.25" customHeight="1"/>
    <row r="43675" customFormat="1" ht="17.25" customHeight="1"/>
    <row r="43676" customFormat="1" ht="17.25" customHeight="1"/>
    <row r="43677" customFormat="1" ht="17.25" customHeight="1"/>
    <row r="43678" customFormat="1" ht="17.25" customHeight="1"/>
    <row r="43679" customFormat="1" ht="17.25" customHeight="1"/>
    <row r="43680" customFormat="1" ht="17.25" customHeight="1"/>
    <row r="43681" customFormat="1" ht="17.25" customHeight="1"/>
    <row r="43682" customFormat="1" ht="17.25" customHeight="1"/>
    <row r="43683" customFormat="1" ht="17.25" customHeight="1"/>
    <row r="43684" customFormat="1" ht="17.25" customHeight="1"/>
    <row r="43685" customFormat="1" ht="17.25" customHeight="1"/>
    <row r="43686" customFormat="1" ht="17.25" customHeight="1"/>
    <row r="43687" customFormat="1" ht="17.25" customHeight="1"/>
    <row r="43688" customFormat="1" ht="17.25" customHeight="1"/>
    <row r="43689" customFormat="1" ht="17.25" customHeight="1"/>
    <row r="43690" customFormat="1" ht="17.25" customHeight="1"/>
    <row r="43691" customFormat="1" ht="17.25" customHeight="1"/>
    <row r="43692" customFormat="1" ht="17.25" customHeight="1"/>
    <row r="43693" customFormat="1" ht="17.25" customHeight="1"/>
    <row r="43694" customFormat="1" ht="17.25" customHeight="1"/>
    <row r="43695" customFormat="1" ht="17.25" customHeight="1"/>
    <row r="43696" customFormat="1" ht="17.25" customHeight="1"/>
    <row r="43697" customFormat="1" ht="17.25" customHeight="1"/>
    <row r="43698" customFormat="1" ht="17.25" customHeight="1"/>
    <row r="43699" customFormat="1" ht="17.25" customHeight="1"/>
    <row r="43700" customFormat="1" ht="17.25" customHeight="1"/>
    <row r="43701" customFormat="1" ht="17.25" customHeight="1"/>
    <row r="43702" customFormat="1" ht="17.25" customHeight="1"/>
    <row r="43703" customFormat="1" ht="17.25" customHeight="1"/>
    <row r="43704" customFormat="1" ht="17.25" customHeight="1"/>
    <row r="43705" customFormat="1" ht="17.25" customHeight="1"/>
    <row r="43706" customFormat="1" ht="17.25" customHeight="1"/>
    <row r="43707" customFormat="1" ht="17.25" customHeight="1"/>
    <row r="43708" customFormat="1" ht="17.25" customHeight="1"/>
    <row r="43709" customFormat="1" ht="17.25" customHeight="1"/>
    <row r="43710" customFormat="1" ht="17.25" customHeight="1"/>
    <row r="43711" customFormat="1" ht="17.25" customHeight="1"/>
    <row r="43712" customFormat="1" ht="17.25" customHeight="1"/>
    <row r="43713" customFormat="1" ht="17.25" customHeight="1"/>
    <row r="43714" customFormat="1" ht="17.25" customHeight="1"/>
    <row r="43715" customFormat="1" ht="17.25" customHeight="1"/>
    <row r="43716" customFormat="1" ht="17.25" customHeight="1"/>
    <row r="43717" customFormat="1" ht="17.25" customHeight="1"/>
    <row r="43718" customFormat="1" ht="17.25" customHeight="1"/>
    <row r="43719" customFormat="1" ht="17.25" customHeight="1"/>
    <row r="43720" customFormat="1" ht="17.25" customHeight="1"/>
    <row r="43721" customFormat="1" ht="17.25" customHeight="1"/>
    <row r="43722" customFormat="1" ht="17.25" customHeight="1"/>
    <row r="43723" customFormat="1" ht="17.25" customHeight="1"/>
    <row r="43724" customFormat="1" ht="17.25" customHeight="1"/>
    <row r="43725" customFormat="1" ht="17.25" customHeight="1"/>
    <row r="43726" customFormat="1" ht="17.25" customHeight="1"/>
    <row r="43727" customFormat="1" ht="17.25" customHeight="1"/>
    <row r="43728" customFormat="1" ht="17.25" customHeight="1"/>
    <row r="43729" customFormat="1" ht="17.25" customHeight="1"/>
    <row r="43730" customFormat="1" ht="17.25" customHeight="1"/>
    <row r="43731" customFormat="1" ht="17.25" customHeight="1"/>
    <row r="43732" customFormat="1" ht="17.25" customHeight="1"/>
    <row r="43733" customFormat="1" ht="17.25" customHeight="1"/>
    <row r="43734" customFormat="1" ht="17.25" customHeight="1"/>
    <row r="43735" customFormat="1" ht="17.25" customHeight="1"/>
    <row r="43736" customFormat="1" ht="17.25" customHeight="1"/>
    <row r="43737" customFormat="1" ht="17.25" customHeight="1"/>
    <row r="43738" customFormat="1" ht="17.25" customHeight="1"/>
    <row r="43739" customFormat="1" ht="17.25" customHeight="1"/>
    <row r="43740" customFormat="1" ht="17.25" customHeight="1"/>
    <row r="43741" customFormat="1" ht="17.25" customHeight="1"/>
    <row r="43742" customFormat="1" ht="17.25" customHeight="1"/>
    <row r="43743" customFormat="1" ht="17.25" customHeight="1"/>
    <row r="43744" customFormat="1" ht="17.25" customHeight="1"/>
    <row r="43745" customFormat="1" ht="17.25" customHeight="1"/>
    <row r="43746" customFormat="1" ht="17.25" customHeight="1"/>
    <row r="43747" customFormat="1" ht="17.25" customHeight="1"/>
    <row r="43748" customFormat="1" ht="17.25" customHeight="1"/>
    <row r="43749" customFormat="1" ht="17.25" customHeight="1"/>
    <row r="43750" customFormat="1" ht="17.25" customHeight="1"/>
    <row r="43751" customFormat="1" ht="17.25" customHeight="1"/>
    <row r="43752" customFormat="1" ht="17.25" customHeight="1"/>
    <row r="43753" customFormat="1" ht="17.25" customHeight="1"/>
    <row r="43754" customFormat="1" ht="17.25" customHeight="1"/>
    <row r="43755" customFormat="1" ht="17.25" customHeight="1"/>
    <row r="43756" customFormat="1" ht="17.25" customHeight="1"/>
    <row r="43757" customFormat="1" ht="17.25" customHeight="1"/>
    <row r="43758" customFormat="1" ht="17.25" customHeight="1"/>
    <row r="43759" customFormat="1" ht="17.25" customHeight="1"/>
    <row r="43760" customFormat="1" ht="17.25" customHeight="1"/>
    <row r="43761" customFormat="1" ht="17.25" customHeight="1"/>
    <row r="43762" customFormat="1" ht="17.25" customHeight="1"/>
    <row r="43763" customFormat="1" ht="17.25" customHeight="1"/>
    <row r="43764" customFormat="1" ht="17.25" customHeight="1"/>
    <row r="43765" customFormat="1" ht="17.25" customHeight="1"/>
    <row r="43766" customFormat="1" ht="17.25" customHeight="1"/>
    <row r="43767" customFormat="1" ht="17.25" customHeight="1"/>
    <row r="43768" customFormat="1" ht="17.25" customHeight="1"/>
    <row r="43769" customFormat="1" ht="17.25" customHeight="1"/>
    <row r="43770" customFormat="1" ht="17.25" customHeight="1"/>
    <row r="43771" customFormat="1" ht="17.25" customHeight="1"/>
    <row r="43772" customFormat="1" ht="17.25" customHeight="1"/>
    <row r="43773" customFormat="1" ht="17.25" customHeight="1"/>
    <row r="43774" customFormat="1" ht="17.25" customHeight="1"/>
    <row r="43775" customFormat="1" ht="17.25" customHeight="1"/>
    <row r="43776" customFormat="1" ht="17.25" customHeight="1"/>
    <row r="43777" customFormat="1" ht="17.25" customHeight="1"/>
    <row r="43778" customFormat="1" ht="17.25" customHeight="1"/>
    <row r="43779" customFormat="1" ht="17.25" customHeight="1"/>
    <row r="43780" customFormat="1" ht="17.25" customHeight="1"/>
    <row r="43781" customFormat="1" ht="17.25" customHeight="1"/>
    <row r="43782" customFormat="1" ht="17.25" customHeight="1"/>
    <row r="43783" customFormat="1" ht="17.25" customHeight="1"/>
    <row r="43784" customFormat="1" ht="17.25" customHeight="1"/>
    <row r="43785" customFormat="1" ht="17.25" customHeight="1"/>
    <row r="43786" customFormat="1" ht="17.25" customHeight="1"/>
    <row r="43787" customFormat="1" ht="17.25" customHeight="1"/>
    <row r="43788" customFormat="1" ht="17.25" customHeight="1"/>
    <row r="43789" customFormat="1" ht="17.25" customHeight="1"/>
    <row r="43790" customFormat="1" ht="17.25" customHeight="1"/>
    <row r="43791" customFormat="1" ht="17.25" customHeight="1"/>
    <row r="43792" customFormat="1" ht="17.25" customHeight="1"/>
    <row r="43793" customFormat="1" ht="17.25" customHeight="1"/>
    <row r="43794" customFormat="1" ht="17.25" customHeight="1"/>
    <row r="43795" customFormat="1" ht="17.25" customHeight="1"/>
    <row r="43796" customFormat="1" ht="17.25" customHeight="1"/>
    <row r="43797" customFormat="1" ht="17.25" customHeight="1"/>
    <row r="43798" customFormat="1" ht="17.25" customHeight="1"/>
    <row r="43799" customFormat="1" ht="17.25" customHeight="1"/>
    <row r="43800" customFormat="1" ht="17.25" customHeight="1"/>
    <row r="43801" customFormat="1" ht="17.25" customHeight="1"/>
    <row r="43802" customFormat="1" ht="17.25" customHeight="1"/>
    <row r="43803" customFormat="1" ht="17.25" customHeight="1"/>
    <row r="43804" customFormat="1" ht="17.25" customHeight="1"/>
    <row r="43805" customFormat="1" ht="17.25" customHeight="1"/>
    <row r="43806" customFormat="1" ht="17.25" customHeight="1"/>
    <row r="43807" customFormat="1" ht="17.25" customHeight="1"/>
    <row r="43808" customFormat="1" ht="17.25" customHeight="1"/>
    <row r="43809" customFormat="1" ht="17.25" customHeight="1"/>
    <row r="43810" customFormat="1" ht="17.25" customHeight="1"/>
    <row r="43811" customFormat="1" ht="17.25" customHeight="1"/>
    <row r="43812" customFormat="1" ht="17.25" customHeight="1"/>
    <row r="43813" customFormat="1" ht="17.25" customHeight="1"/>
    <row r="43814" customFormat="1" ht="17.25" customHeight="1"/>
    <row r="43815" customFormat="1" ht="17.25" customHeight="1"/>
    <row r="43816" customFormat="1" ht="17.25" customHeight="1"/>
    <row r="43817" customFormat="1" ht="17.25" customHeight="1"/>
    <row r="43818" customFormat="1" ht="17.25" customHeight="1"/>
    <row r="43819" customFormat="1" ht="17.25" customHeight="1"/>
    <row r="43820" customFormat="1" ht="17.25" customHeight="1"/>
    <row r="43821" customFormat="1" ht="17.25" customHeight="1"/>
    <row r="43822" customFormat="1" ht="17.25" customHeight="1"/>
    <row r="43823" customFormat="1" ht="17.25" customHeight="1"/>
    <row r="43824" customFormat="1" ht="17.25" customHeight="1"/>
    <row r="43825" customFormat="1" ht="17.25" customHeight="1"/>
    <row r="43826" customFormat="1" ht="17.25" customHeight="1"/>
    <row r="43827" customFormat="1" ht="17.25" customHeight="1"/>
    <row r="43828" customFormat="1" ht="17.25" customHeight="1"/>
    <row r="43829" customFormat="1" ht="17.25" customHeight="1"/>
    <row r="43830" customFormat="1" ht="17.25" customHeight="1"/>
    <row r="43831" customFormat="1" ht="17.25" customHeight="1"/>
    <row r="43832" customFormat="1" ht="17.25" customHeight="1"/>
    <row r="43833" customFormat="1" ht="17.25" customHeight="1"/>
    <row r="43834" customFormat="1" ht="17.25" customHeight="1"/>
    <row r="43835" customFormat="1" ht="17.25" customHeight="1"/>
    <row r="43836" customFormat="1" ht="17.25" customHeight="1"/>
    <row r="43837" customFormat="1" ht="17.25" customHeight="1"/>
    <row r="43838" customFormat="1" ht="17.25" customHeight="1"/>
    <row r="43839" customFormat="1" ht="17.25" customHeight="1"/>
    <row r="43840" customFormat="1" ht="17.25" customHeight="1"/>
    <row r="43841" customFormat="1" ht="17.25" customHeight="1"/>
    <row r="43842" customFormat="1" ht="17.25" customHeight="1"/>
    <row r="43843" customFormat="1" ht="17.25" customHeight="1"/>
    <row r="43844" customFormat="1" ht="17.25" customHeight="1"/>
    <row r="43845" customFormat="1" ht="17.25" customHeight="1"/>
    <row r="43846" customFormat="1" ht="17.25" customHeight="1"/>
    <row r="43847" customFormat="1" ht="17.25" customHeight="1"/>
    <row r="43848" customFormat="1" ht="17.25" customHeight="1"/>
    <row r="43849" customFormat="1" ht="17.25" customHeight="1"/>
    <row r="43850" customFormat="1" ht="17.25" customHeight="1"/>
    <row r="43851" customFormat="1" ht="17.25" customHeight="1"/>
    <row r="43852" customFormat="1" ht="17.25" customHeight="1"/>
    <row r="43853" customFormat="1" ht="17.25" customHeight="1"/>
    <row r="43854" customFormat="1" ht="17.25" customHeight="1"/>
    <row r="43855" customFormat="1" ht="17.25" customHeight="1"/>
    <row r="43856" customFormat="1" ht="17.25" customHeight="1"/>
    <row r="43857" customFormat="1" ht="17.25" customHeight="1"/>
    <row r="43858" customFormat="1" ht="17.25" customHeight="1"/>
    <row r="43859" customFormat="1" ht="17.25" customHeight="1"/>
    <row r="43860" customFormat="1" ht="17.25" customHeight="1"/>
    <row r="43861" customFormat="1" ht="17.25" customHeight="1"/>
    <row r="43862" customFormat="1" ht="17.25" customHeight="1"/>
    <row r="43863" customFormat="1" ht="17.25" customHeight="1"/>
    <row r="43864" customFormat="1" ht="17.25" customHeight="1"/>
    <row r="43865" customFormat="1" ht="17.25" customHeight="1"/>
    <row r="43866" customFormat="1" ht="17.25" customHeight="1"/>
    <row r="43867" customFormat="1" ht="17.25" customHeight="1"/>
    <row r="43868" customFormat="1" ht="17.25" customHeight="1"/>
    <row r="43869" customFormat="1" ht="17.25" customHeight="1"/>
    <row r="43870" customFormat="1" ht="17.25" customHeight="1"/>
    <row r="43871" customFormat="1" ht="17.25" customHeight="1"/>
    <row r="43872" customFormat="1" ht="17.25" customHeight="1"/>
    <row r="43873" customFormat="1" ht="17.25" customHeight="1"/>
    <row r="43874" customFormat="1" ht="17.25" customHeight="1"/>
    <row r="43875" customFormat="1" ht="17.25" customHeight="1"/>
    <row r="43876" customFormat="1" ht="17.25" customHeight="1"/>
    <row r="43877" customFormat="1" ht="17.25" customHeight="1"/>
    <row r="43878" customFormat="1" ht="17.25" customHeight="1"/>
    <row r="43879" customFormat="1" ht="17.25" customHeight="1"/>
    <row r="43880" customFormat="1" ht="17.25" customHeight="1"/>
    <row r="43881" customFormat="1" ht="17.25" customHeight="1"/>
    <row r="43882" customFormat="1" ht="17.25" customHeight="1"/>
    <row r="43883" customFormat="1" ht="17.25" customHeight="1"/>
    <row r="43884" customFormat="1" ht="17.25" customHeight="1"/>
    <row r="43885" customFormat="1" ht="17.25" customHeight="1"/>
    <row r="43886" customFormat="1" ht="17.25" customHeight="1"/>
    <row r="43887" customFormat="1" ht="17.25" customHeight="1"/>
    <row r="43888" customFormat="1" ht="17.25" customHeight="1"/>
    <row r="43889" customFormat="1" ht="17.25" customHeight="1"/>
    <row r="43890" customFormat="1" ht="17.25" customHeight="1"/>
    <row r="43891" customFormat="1" ht="17.25" customHeight="1"/>
    <row r="43892" customFormat="1" ht="17.25" customHeight="1"/>
    <row r="43893" customFormat="1" ht="17.25" customHeight="1"/>
    <row r="43894" customFormat="1" ht="17.25" customHeight="1"/>
    <row r="43895" customFormat="1" ht="17.25" customHeight="1"/>
    <row r="43896" customFormat="1" ht="17.25" customHeight="1"/>
    <row r="43897" customFormat="1" ht="17.25" customHeight="1"/>
    <row r="43898" customFormat="1" ht="17.25" customHeight="1"/>
    <row r="43899" customFormat="1" ht="17.25" customHeight="1"/>
    <row r="43900" customFormat="1" ht="17.25" customHeight="1"/>
    <row r="43901" customFormat="1" ht="17.25" customHeight="1"/>
    <row r="43902" customFormat="1" ht="17.25" customHeight="1"/>
    <row r="43903" customFormat="1" ht="17.25" customHeight="1"/>
    <row r="43904" customFormat="1" ht="17.25" customHeight="1"/>
    <row r="43905" customFormat="1" ht="17.25" customHeight="1"/>
    <row r="43906" customFormat="1" ht="17.25" customHeight="1"/>
    <row r="43907" customFormat="1" ht="17.25" customHeight="1"/>
    <row r="43908" customFormat="1" ht="17.25" customHeight="1"/>
    <row r="43909" customFormat="1" ht="17.25" customHeight="1"/>
    <row r="43910" customFormat="1" ht="17.25" customHeight="1"/>
    <row r="43911" customFormat="1" ht="17.25" customHeight="1"/>
    <row r="43912" customFormat="1" ht="17.25" customHeight="1"/>
    <row r="43913" customFormat="1" ht="17.25" customHeight="1"/>
    <row r="43914" customFormat="1" ht="17.25" customHeight="1"/>
    <row r="43915" customFormat="1" ht="17.25" customHeight="1"/>
    <row r="43916" customFormat="1" ht="17.25" customHeight="1"/>
    <row r="43917" customFormat="1" ht="17.25" customHeight="1"/>
    <row r="43918" customFormat="1" ht="17.25" customHeight="1"/>
    <row r="43919" customFormat="1" ht="17.25" customHeight="1"/>
    <row r="43920" customFormat="1" ht="17.25" customHeight="1"/>
    <row r="43921" customFormat="1" ht="17.25" customHeight="1"/>
    <row r="43922" customFormat="1" ht="17.25" customHeight="1"/>
    <row r="43923" customFormat="1" ht="17.25" customHeight="1"/>
    <row r="43924" customFormat="1" ht="17.25" customHeight="1"/>
    <row r="43925" customFormat="1" ht="17.25" customHeight="1"/>
    <row r="43926" customFormat="1" ht="17.25" customHeight="1"/>
    <row r="43927" customFormat="1" ht="17.25" customHeight="1"/>
    <row r="43928" customFormat="1" ht="17.25" customHeight="1"/>
    <row r="43929" customFormat="1" ht="17.25" customHeight="1"/>
    <row r="43930" customFormat="1" ht="17.25" customHeight="1"/>
    <row r="43931" customFormat="1" ht="17.25" customHeight="1"/>
    <row r="43932" customFormat="1" ht="17.25" customHeight="1"/>
    <row r="43933" customFormat="1" ht="17.25" customHeight="1"/>
    <row r="43934" customFormat="1" ht="17.25" customHeight="1"/>
    <row r="43935" customFormat="1" ht="17.25" customHeight="1"/>
    <row r="43936" customFormat="1" ht="17.25" customHeight="1"/>
    <row r="43937" customFormat="1" ht="17.25" customHeight="1"/>
    <row r="43938" customFormat="1" ht="17.25" customHeight="1"/>
    <row r="43939" customFormat="1" ht="17.25" customHeight="1"/>
    <row r="43940" customFormat="1" ht="17.25" customHeight="1"/>
    <row r="43941" customFormat="1" ht="17.25" customHeight="1"/>
    <row r="43942" customFormat="1" ht="17.25" customHeight="1"/>
    <row r="43943" customFormat="1" ht="17.25" customHeight="1"/>
    <row r="43944" customFormat="1" ht="17.25" customHeight="1"/>
    <row r="43945" customFormat="1" ht="17.25" customHeight="1"/>
    <row r="43946" customFormat="1" ht="17.25" customHeight="1"/>
    <row r="43947" customFormat="1" ht="17.25" customHeight="1"/>
    <row r="43948" customFormat="1" ht="17.25" customHeight="1"/>
    <row r="43949" customFormat="1" ht="17.25" customHeight="1"/>
    <row r="43950" customFormat="1" ht="17.25" customHeight="1"/>
    <row r="43951" customFormat="1" ht="17.25" customHeight="1"/>
    <row r="43952" customFormat="1" ht="17.25" customHeight="1"/>
    <row r="43953" customFormat="1" ht="17.25" customHeight="1"/>
    <row r="43954" customFormat="1" ht="17.25" customHeight="1"/>
    <row r="43955" customFormat="1" ht="17.25" customHeight="1"/>
    <row r="43956" customFormat="1" ht="17.25" customHeight="1"/>
    <row r="43957" customFormat="1" ht="17.25" customHeight="1"/>
    <row r="43958" customFormat="1" ht="17.25" customHeight="1"/>
    <row r="43959" customFormat="1" ht="17.25" customHeight="1"/>
    <row r="43960" customFormat="1" ht="17.25" customHeight="1"/>
    <row r="43961" customFormat="1" ht="17.25" customHeight="1"/>
    <row r="43962" customFormat="1" ht="17.25" customHeight="1"/>
    <row r="43963" customFormat="1" ht="17.25" customHeight="1"/>
    <row r="43964" customFormat="1" ht="17.25" customHeight="1"/>
    <row r="43965" customFormat="1" ht="17.25" customHeight="1"/>
    <row r="43966" customFormat="1" ht="17.25" customHeight="1"/>
    <row r="43967" customFormat="1" ht="17.25" customHeight="1"/>
    <row r="43968" customFormat="1" ht="17.25" customHeight="1"/>
    <row r="43969" customFormat="1" ht="17.25" customHeight="1"/>
    <row r="43970" customFormat="1" ht="17.25" customHeight="1"/>
    <row r="43971" customFormat="1" ht="17.25" customHeight="1"/>
    <row r="43972" customFormat="1" ht="17.25" customHeight="1"/>
    <row r="43973" customFormat="1" ht="17.25" customHeight="1"/>
    <row r="43974" customFormat="1" ht="17.25" customHeight="1"/>
    <row r="43975" customFormat="1" ht="17.25" customHeight="1"/>
    <row r="43976" customFormat="1" ht="17.25" customHeight="1"/>
    <row r="43977" customFormat="1" ht="17.25" customHeight="1"/>
    <row r="43978" customFormat="1" ht="17.25" customHeight="1"/>
    <row r="43979" customFormat="1" ht="17.25" customHeight="1"/>
    <row r="43980" customFormat="1" ht="17.25" customHeight="1"/>
    <row r="43981" customFormat="1" ht="17.25" customHeight="1"/>
    <row r="43982" customFormat="1" ht="17.25" customHeight="1"/>
    <row r="43983" customFormat="1" ht="17.25" customHeight="1"/>
    <row r="43984" customFormat="1" ht="17.25" customHeight="1"/>
    <row r="43985" customFormat="1" ht="17.25" customHeight="1"/>
    <row r="43986" customFormat="1" ht="17.25" customHeight="1"/>
    <row r="43987" customFormat="1" ht="17.25" customHeight="1"/>
    <row r="43988" customFormat="1" ht="17.25" customHeight="1"/>
    <row r="43989" customFormat="1" ht="17.25" customHeight="1"/>
    <row r="43990" customFormat="1" ht="17.25" customHeight="1"/>
    <row r="43991" customFormat="1" ht="17.25" customHeight="1"/>
    <row r="43992" customFormat="1" ht="17.25" customHeight="1"/>
    <row r="43993" customFormat="1" ht="17.25" customHeight="1"/>
    <row r="43994" customFormat="1" ht="17.25" customHeight="1"/>
    <row r="43995" customFormat="1" ht="17.25" customHeight="1"/>
    <row r="43996" customFormat="1" ht="17.25" customHeight="1"/>
    <row r="43997" customFormat="1" ht="17.25" customHeight="1"/>
    <row r="43998" customFormat="1" ht="17.25" customHeight="1"/>
    <row r="43999" customFormat="1" ht="17.25" customHeight="1"/>
    <row r="44000" customFormat="1" ht="17.25" customHeight="1"/>
    <row r="44001" customFormat="1" ht="17.25" customHeight="1"/>
    <row r="44002" customFormat="1" ht="17.25" customHeight="1"/>
    <row r="44003" customFormat="1" ht="17.25" customHeight="1"/>
    <row r="44004" customFormat="1" ht="17.25" customHeight="1"/>
    <row r="44005" customFormat="1" ht="17.25" customHeight="1"/>
    <row r="44006" customFormat="1" ht="17.25" customHeight="1"/>
    <row r="44007" customFormat="1" ht="17.25" customHeight="1"/>
    <row r="44008" customFormat="1" ht="17.25" customHeight="1"/>
    <row r="44009" customFormat="1" ht="17.25" customHeight="1"/>
    <row r="44010" customFormat="1" ht="17.25" customHeight="1"/>
    <row r="44011" customFormat="1" ht="17.25" customHeight="1"/>
    <row r="44012" customFormat="1" ht="17.25" customHeight="1"/>
    <row r="44013" customFormat="1" ht="17.25" customHeight="1"/>
    <row r="44014" customFormat="1" ht="17.25" customHeight="1"/>
    <row r="44015" customFormat="1" ht="17.25" customHeight="1"/>
    <row r="44016" customFormat="1" ht="17.25" customHeight="1"/>
    <row r="44017" customFormat="1" ht="17.25" customHeight="1"/>
    <row r="44018" customFormat="1" ht="17.25" customHeight="1"/>
    <row r="44019" customFormat="1" ht="17.25" customHeight="1"/>
    <row r="44020" customFormat="1" ht="17.25" customHeight="1"/>
    <row r="44021" customFormat="1" ht="17.25" customHeight="1"/>
    <row r="44022" customFormat="1" ht="17.25" customHeight="1"/>
    <row r="44023" customFormat="1" ht="17.25" customHeight="1"/>
    <row r="44024" customFormat="1" ht="17.25" customHeight="1"/>
    <row r="44025" customFormat="1" ht="17.25" customHeight="1"/>
    <row r="44026" customFormat="1" ht="17.25" customHeight="1"/>
    <row r="44027" customFormat="1" ht="17.25" customHeight="1"/>
    <row r="44028" customFormat="1" ht="17.25" customHeight="1"/>
    <row r="44029" customFormat="1" ht="17.25" customHeight="1"/>
    <row r="44030" customFormat="1" ht="17.25" customHeight="1"/>
    <row r="44031" customFormat="1" ht="17.25" customHeight="1"/>
    <row r="44032" customFormat="1" ht="17.25" customHeight="1"/>
    <row r="44033" customFormat="1" ht="17.25" customHeight="1"/>
    <row r="44034" customFormat="1" ht="17.25" customHeight="1"/>
    <row r="44035" customFormat="1" ht="17.25" customHeight="1"/>
    <row r="44036" customFormat="1" ht="17.25" customHeight="1"/>
    <row r="44037" customFormat="1" ht="17.25" customHeight="1"/>
    <row r="44038" customFormat="1" ht="17.25" customHeight="1"/>
    <row r="44039" customFormat="1" ht="17.25" customHeight="1"/>
    <row r="44040" customFormat="1" ht="17.25" customHeight="1"/>
    <row r="44041" customFormat="1" ht="17.25" customHeight="1"/>
    <row r="44042" customFormat="1" ht="17.25" customHeight="1"/>
    <row r="44043" customFormat="1" ht="17.25" customHeight="1"/>
    <row r="44044" customFormat="1" ht="17.25" customHeight="1"/>
    <row r="44045" customFormat="1" ht="17.25" customHeight="1"/>
    <row r="44046" customFormat="1" ht="17.25" customHeight="1"/>
    <row r="44047" customFormat="1" ht="17.25" customHeight="1"/>
    <row r="44048" customFormat="1" ht="17.25" customHeight="1"/>
    <row r="44049" customFormat="1" ht="17.25" customHeight="1"/>
    <row r="44050" customFormat="1" ht="17.25" customHeight="1"/>
    <row r="44051" customFormat="1" ht="17.25" customHeight="1"/>
    <row r="44052" customFormat="1" ht="17.25" customHeight="1"/>
    <row r="44053" customFormat="1" ht="17.25" customHeight="1"/>
    <row r="44054" customFormat="1" ht="17.25" customHeight="1"/>
    <row r="44055" customFormat="1" ht="17.25" customHeight="1"/>
    <row r="44056" customFormat="1" ht="17.25" customHeight="1"/>
    <row r="44057" customFormat="1" ht="17.25" customHeight="1"/>
    <row r="44058" customFormat="1" ht="17.25" customHeight="1"/>
    <row r="44059" customFormat="1" ht="17.25" customHeight="1"/>
    <row r="44060" customFormat="1" ht="17.25" customHeight="1"/>
    <row r="44061" customFormat="1" ht="17.25" customHeight="1"/>
    <row r="44062" customFormat="1" ht="17.25" customHeight="1"/>
    <row r="44063" customFormat="1" ht="17.25" customHeight="1"/>
    <row r="44064" customFormat="1" ht="17.25" customHeight="1"/>
    <row r="44065" customFormat="1" ht="17.25" customHeight="1"/>
    <row r="44066" customFormat="1" ht="17.25" customHeight="1"/>
    <row r="44067" customFormat="1" ht="17.25" customHeight="1"/>
    <row r="44068" customFormat="1" ht="17.25" customHeight="1"/>
    <row r="44069" customFormat="1" ht="17.25" customHeight="1"/>
    <row r="44070" customFormat="1" ht="17.25" customHeight="1"/>
    <row r="44071" customFormat="1" ht="17.25" customHeight="1"/>
    <row r="44072" customFormat="1" ht="17.25" customHeight="1"/>
    <row r="44073" customFormat="1" ht="17.25" customHeight="1"/>
    <row r="44074" customFormat="1" ht="17.25" customHeight="1"/>
    <row r="44075" customFormat="1" ht="17.25" customHeight="1"/>
    <row r="44076" customFormat="1" ht="17.25" customHeight="1"/>
    <row r="44077" customFormat="1" ht="17.25" customHeight="1"/>
    <row r="44078" customFormat="1" ht="17.25" customHeight="1"/>
    <row r="44079" customFormat="1" ht="17.25" customHeight="1"/>
    <row r="44080" customFormat="1" ht="17.25" customHeight="1"/>
    <row r="44081" customFormat="1" ht="17.25" customHeight="1"/>
    <row r="44082" customFormat="1" ht="17.25" customHeight="1"/>
    <row r="44083" customFormat="1" ht="17.25" customHeight="1"/>
    <row r="44084" customFormat="1" ht="17.25" customHeight="1"/>
    <row r="44085" customFormat="1" ht="17.25" customHeight="1"/>
    <row r="44086" customFormat="1" ht="17.25" customHeight="1"/>
    <row r="44087" customFormat="1" ht="17.25" customHeight="1"/>
    <row r="44088" customFormat="1" ht="17.25" customHeight="1"/>
    <row r="44089" customFormat="1" ht="17.25" customHeight="1"/>
    <row r="44090" customFormat="1" ht="17.25" customHeight="1"/>
    <row r="44091" customFormat="1" ht="17.25" customHeight="1"/>
    <row r="44092" customFormat="1" ht="17.25" customHeight="1"/>
    <row r="44093" customFormat="1" ht="17.25" customHeight="1"/>
    <row r="44094" customFormat="1" ht="17.25" customHeight="1"/>
    <row r="44095" customFormat="1" ht="17.25" customHeight="1"/>
    <row r="44096" customFormat="1" ht="17.25" customHeight="1"/>
    <row r="44097" customFormat="1" ht="17.25" customHeight="1"/>
    <row r="44098" customFormat="1" ht="17.25" customHeight="1"/>
    <row r="44099" customFormat="1" ht="17.25" customHeight="1"/>
    <row r="44100" customFormat="1" ht="17.25" customHeight="1"/>
    <row r="44101" customFormat="1" ht="17.25" customHeight="1"/>
    <row r="44102" customFormat="1" ht="17.25" customHeight="1"/>
    <row r="44103" customFormat="1" ht="17.25" customHeight="1"/>
    <row r="44104" customFormat="1" ht="17.25" customHeight="1"/>
    <row r="44105" customFormat="1" ht="17.25" customHeight="1"/>
    <row r="44106" customFormat="1" ht="17.25" customHeight="1"/>
    <row r="44107" customFormat="1" ht="17.25" customHeight="1"/>
    <row r="44108" customFormat="1" ht="17.25" customHeight="1"/>
    <row r="44109" customFormat="1" ht="17.25" customHeight="1"/>
    <row r="44110" customFormat="1" ht="17.25" customHeight="1"/>
    <row r="44111" customFormat="1" ht="17.25" customHeight="1"/>
    <row r="44112" customFormat="1" ht="17.25" customHeight="1"/>
    <row r="44113" customFormat="1" ht="17.25" customHeight="1"/>
    <row r="44114" customFormat="1" ht="17.25" customHeight="1"/>
    <row r="44115" customFormat="1" ht="17.25" customHeight="1"/>
    <row r="44116" customFormat="1" ht="17.25" customHeight="1"/>
    <row r="44117" customFormat="1" ht="17.25" customHeight="1"/>
    <row r="44118" customFormat="1" ht="17.25" customHeight="1"/>
    <row r="44119" customFormat="1" ht="17.25" customHeight="1"/>
    <row r="44120" customFormat="1" ht="17.25" customHeight="1"/>
    <row r="44121" customFormat="1" ht="17.25" customHeight="1"/>
    <row r="44122" customFormat="1" ht="17.25" customHeight="1"/>
    <row r="44123" customFormat="1" ht="17.25" customHeight="1"/>
    <row r="44124" customFormat="1" ht="17.25" customHeight="1"/>
    <row r="44125" customFormat="1" ht="17.25" customHeight="1"/>
    <row r="44126" customFormat="1" ht="17.25" customHeight="1"/>
    <row r="44127" customFormat="1" ht="17.25" customHeight="1"/>
    <row r="44128" customFormat="1" ht="17.25" customHeight="1"/>
    <row r="44129" customFormat="1" ht="17.25" customHeight="1"/>
    <row r="44130" customFormat="1" ht="17.25" customHeight="1"/>
    <row r="44131" customFormat="1" ht="17.25" customHeight="1"/>
    <row r="44132" customFormat="1" ht="17.25" customHeight="1"/>
    <row r="44133" customFormat="1" ht="17.25" customHeight="1"/>
    <row r="44134" customFormat="1" ht="17.25" customHeight="1"/>
    <row r="44135" customFormat="1" ht="17.25" customHeight="1"/>
    <row r="44136" customFormat="1" ht="17.25" customHeight="1"/>
    <row r="44137" customFormat="1" ht="17.25" customHeight="1"/>
    <row r="44138" customFormat="1" ht="17.25" customHeight="1"/>
    <row r="44139" customFormat="1" ht="17.25" customHeight="1"/>
    <row r="44140" customFormat="1" ht="17.25" customHeight="1"/>
    <row r="44141" customFormat="1" ht="17.25" customHeight="1"/>
    <row r="44142" customFormat="1" ht="17.25" customHeight="1"/>
    <row r="44143" customFormat="1" ht="17.25" customHeight="1"/>
    <row r="44144" customFormat="1" ht="17.25" customHeight="1"/>
    <row r="44145" customFormat="1" ht="17.25" customHeight="1"/>
    <row r="44146" customFormat="1" ht="17.25" customHeight="1"/>
    <row r="44147" customFormat="1" ht="17.25" customHeight="1"/>
    <row r="44148" customFormat="1" ht="17.25" customHeight="1"/>
    <row r="44149" customFormat="1" ht="17.25" customHeight="1"/>
    <row r="44150" customFormat="1" ht="17.25" customHeight="1"/>
    <row r="44151" customFormat="1" ht="17.25" customHeight="1"/>
    <row r="44152" customFormat="1" ht="17.25" customHeight="1"/>
    <row r="44153" customFormat="1" ht="17.25" customHeight="1"/>
    <row r="44154" customFormat="1" ht="17.25" customHeight="1"/>
    <row r="44155" customFormat="1" ht="17.25" customHeight="1"/>
    <row r="44156" customFormat="1" ht="17.25" customHeight="1"/>
    <row r="44157" customFormat="1" ht="17.25" customHeight="1"/>
    <row r="44158" customFormat="1" ht="17.25" customHeight="1"/>
    <row r="44159" customFormat="1" ht="17.25" customHeight="1"/>
    <row r="44160" customFormat="1" ht="17.25" customHeight="1"/>
    <row r="44161" customFormat="1" ht="17.25" customHeight="1"/>
    <row r="44162" customFormat="1" ht="17.25" customHeight="1"/>
    <row r="44163" customFormat="1" ht="17.25" customHeight="1"/>
    <row r="44164" customFormat="1" ht="17.25" customHeight="1"/>
    <row r="44165" customFormat="1" ht="17.25" customHeight="1"/>
    <row r="44166" customFormat="1" ht="17.25" customHeight="1"/>
    <row r="44167" customFormat="1" ht="17.25" customHeight="1"/>
    <row r="44168" customFormat="1" ht="17.25" customHeight="1"/>
    <row r="44169" customFormat="1" ht="17.25" customHeight="1"/>
    <row r="44170" customFormat="1" ht="17.25" customHeight="1"/>
    <row r="44171" customFormat="1" ht="17.25" customHeight="1"/>
    <row r="44172" customFormat="1" ht="17.25" customHeight="1"/>
    <row r="44173" customFormat="1" ht="17.25" customHeight="1"/>
    <row r="44174" customFormat="1" ht="17.25" customHeight="1"/>
    <row r="44175" customFormat="1" ht="17.25" customHeight="1"/>
    <row r="44176" customFormat="1" ht="17.25" customHeight="1"/>
    <row r="44177" customFormat="1" ht="17.25" customHeight="1"/>
    <row r="44178" customFormat="1" ht="17.25" customHeight="1"/>
    <row r="44179" customFormat="1" ht="17.25" customHeight="1"/>
    <row r="44180" customFormat="1" ht="17.25" customHeight="1"/>
    <row r="44181" customFormat="1" ht="17.25" customHeight="1"/>
    <row r="44182" customFormat="1" ht="17.25" customHeight="1"/>
    <row r="44183" customFormat="1" ht="17.25" customHeight="1"/>
    <row r="44184" customFormat="1" ht="17.25" customHeight="1"/>
    <row r="44185" customFormat="1" ht="17.25" customHeight="1"/>
    <row r="44186" customFormat="1" ht="17.25" customHeight="1"/>
    <row r="44187" customFormat="1" ht="17.25" customHeight="1"/>
    <row r="44188" customFormat="1" ht="17.25" customHeight="1"/>
    <row r="44189" customFormat="1" ht="17.25" customHeight="1"/>
    <row r="44190" customFormat="1" ht="17.25" customHeight="1"/>
    <row r="44191" customFormat="1" ht="17.25" customHeight="1"/>
    <row r="44192" customFormat="1" ht="17.25" customHeight="1"/>
    <row r="44193" customFormat="1" ht="17.25" customHeight="1"/>
    <row r="44194" customFormat="1" ht="17.25" customHeight="1"/>
    <row r="44195" customFormat="1" ht="17.25" customHeight="1"/>
    <row r="44196" customFormat="1" ht="17.25" customHeight="1"/>
    <row r="44197" customFormat="1" ht="17.25" customHeight="1"/>
    <row r="44198" customFormat="1" ht="17.25" customHeight="1"/>
    <row r="44199" customFormat="1" ht="17.25" customHeight="1"/>
    <row r="44200" customFormat="1" ht="17.25" customHeight="1"/>
    <row r="44201" customFormat="1" ht="17.25" customHeight="1"/>
    <row r="44202" customFormat="1" ht="17.25" customHeight="1"/>
    <row r="44203" customFormat="1" ht="17.25" customHeight="1"/>
    <row r="44204" customFormat="1" ht="17.25" customHeight="1"/>
    <row r="44205" customFormat="1" ht="17.25" customHeight="1"/>
    <row r="44206" customFormat="1" ht="17.25" customHeight="1"/>
    <row r="44207" customFormat="1" ht="17.25" customHeight="1"/>
    <row r="44208" customFormat="1" ht="17.25" customHeight="1"/>
    <row r="44209" customFormat="1" ht="17.25" customHeight="1"/>
    <row r="44210" customFormat="1" ht="17.25" customHeight="1"/>
    <row r="44211" customFormat="1" ht="17.25" customHeight="1"/>
    <row r="44212" customFormat="1" ht="17.25" customHeight="1"/>
    <row r="44213" customFormat="1" ht="17.25" customHeight="1"/>
    <row r="44214" customFormat="1" ht="17.25" customHeight="1"/>
    <row r="44215" customFormat="1" ht="17.25" customHeight="1"/>
    <row r="44216" customFormat="1" ht="17.25" customHeight="1"/>
    <row r="44217" customFormat="1" ht="17.25" customHeight="1"/>
    <row r="44218" customFormat="1" ht="17.25" customHeight="1"/>
    <row r="44219" customFormat="1" ht="17.25" customHeight="1"/>
    <row r="44220" customFormat="1" ht="17.25" customHeight="1"/>
    <row r="44221" customFormat="1" ht="17.25" customHeight="1"/>
    <row r="44222" customFormat="1" ht="17.25" customHeight="1"/>
    <row r="44223" customFormat="1" ht="17.25" customHeight="1"/>
    <row r="44224" customFormat="1" ht="17.25" customHeight="1"/>
    <row r="44225" customFormat="1" ht="17.25" customHeight="1"/>
    <row r="44226" customFormat="1" ht="17.25" customHeight="1"/>
    <row r="44227" customFormat="1" ht="17.25" customHeight="1"/>
    <row r="44228" customFormat="1" ht="17.25" customHeight="1"/>
    <row r="44229" customFormat="1" ht="17.25" customHeight="1"/>
    <row r="44230" customFormat="1" ht="17.25" customHeight="1"/>
    <row r="44231" customFormat="1" ht="17.25" customHeight="1"/>
    <row r="44232" customFormat="1" ht="17.25" customHeight="1"/>
    <row r="44233" customFormat="1" ht="17.25" customHeight="1"/>
    <row r="44234" customFormat="1" ht="17.25" customHeight="1"/>
    <row r="44235" customFormat="1" ht="17.25" customHeight="1"/>
    <row r="44236" customFormat="1" ht="17.25" customHeight="1"/>
    <row r="44237" customFormat="1" ht="17.25" customHeight="1"/>
    <row r="44238" customFormat="1" ht="17.25" customHeight="1"/>
    <row r="44239" customFormat="1" ht="17.25" customHeight="1"/>
    <row r="44240" customFormat="1" ht="17.25" customHeight="1"/>
    <row r="44241" customFormat="1" ht="17.25" customHeight="1"/>
    <row r="44242" customFormat="1" ht="17.25" customHeight="1"/>
    <row r="44243" customFormat="1" ht="17.25" customHeight="1"/>
    <row r="44244" customFormat="1" ht="17.25" customHeight="1"/>
    <row r="44245" customFormat="1" ht="17.25" customHeight="1"/>
    <row r="44246" customFormat="1" ht="17.25" customHeight="1"/>
    <row r="44247" customFormat="1" ht="17.25" customHeight="1"/>
    <row r="44248" customFormat="1" ht="17.25" customHeight="1"/>
    <row r="44249" customFormat="1" ht="17.25" customHeight="1"/>
    <row r="44250" customFormat="1" ht="17.25" customHeight="1"/>
    <row r="44251" customFormat="1" ht="17.25" customHeight="1"/>
    <row r="44252" customFormat="1" ht="17.25" customHeight="1"/>
    <row r="44253" customFormat="1" ht="17.25" customHeight="1"/>
    <row r="44254" customFormat="1" ht="17.25" customHeight="1"/>
    <row r="44255" customFormat="1" ht="17.25" customHeight="1"/>
    <row r="44256" customFormat="1" ht="17.25" customHeight="1"/>
    <row r="44257" customFormat="1" ht="17.25" customHeight="1"/>
    <row r="44258" customFormat="1" ht="17.25" customHeight="1"/>
    <row r="44259" customFormat="1" ht="17.25" customHeight="1"/>
    <row r="44260" customFormat="1" ht="17.25" customHeight="1"/>
    <row r="44261" customFormat="1" ht="17.25" customHeight="1"/>
    <row r="44262" customFormat="1" ht="17.25" customHeight="1"/>
    <row r="44263" customFormat="1" ht="17.25" customHeight="1"/>
    <row r="44264" customFormat="1" ht="17.25" customHeight="1"/>
    <row r="44265" customFormat="1" ht="17.25" customHeight="1"/>
    <row r="44266" customFormat="1" ht="17.25" customHeight="1"/>
    <row r="44267" customFormat="1" ht="17.25" customHeight="1"/>
    <row r="44268" customFormat="1" ht="17.25" customHeight="1"/>
    <row r="44269" customFormat="1" ht="17.25" customHeight="1"/>
    <row r="44270" customFormat="1" ht="17.25" customHeight="1"/>
    <row r="44271" customFormat="1" ht="17.25" customHeight="1"/>
    <row r="44272" customFormat="1" ht="17.25" customHeight="1"/>
    <row r="44273" customFormat="1" ht="17.25" customHeight="1"/>
    <row r="44274" customFormat="1" ht="17.25" customHeight="1"/>
    <row r="44275" customFormat="1" ht="17.25" customHeight="1"/>
    <row r="44276" customFormat="1" ht="17.25" customHeight="1"/>
    <row r="44277" customFormat="1" ht="17.25" customHeight="1"/>
    <row r="44278" customFormat="1" ht="17.25" customHeight="1"/>
    <row r="44279" customFormat="1" ht="17.25" customHeight="1"/>
    <row r="44280" customFormat="1" ht="17.25" customHeight="1"/>
    <row r="44281" customFormat="1" ht="17.25" customHeight="1"/>
    <row r="44282" customFormat="1" ht="17.25" customHeight="1"/>
    <row r="44283" customFormat="1" ht="17.25" customHeight="1"/>
    <row r="44284" customFormat="1" ht="17.25" customHeight="1"/>
    <row r="44285" customFormat="1" ht="17.25" customHeight="1"/>
    <row r="44286" customFormat="1" ht="17.25" customHeight="1"/>
    <row r="44287" customFormat="1" ht="17.25" customHeight="1"/>
    <row r="44288" customFormat="1" ht="17.25" customHeight="1"/>
    <row r="44289" customFormat="1" ht="17.25" customHeight="1"/>
    <row r="44290" customFormat="1" ht="17.25" customHeight="1"/>
    <row r="44291" customFormat="1" ht="17.25" customHeight="1"/>
    <row r="44292" customFormat="1" ht="17.25" customHeight="1"/>
    <row r="44293" customFormat="1" ht="17.25" customHeight="1"/>
    <row r="44294" customFormat="1" ht="17.25" customHeight="1"/>
    <row r="44295" customFormat="1" ht="17.25" customHeight="1"/>
    <row r="44296" customFormat="1" ht="17.25" customHeight="1"/>
    <row r="44297" customFormat="1" ht="17.25" customHeight="1"/>
    <row r="44298" customFormat="1" ht="17.25" customHeight="1"/>
    <row r="44299" customFormat="1" ht="17.25" customHeight="1"/>
    <row r="44300" customFormat="1" ht="17.25" customHeight="1"/>
    <row r="44301" customFormat="1" ht="17.25" customHeight="1"/>
    <row r="44302" customFormat="1" ht="17.25" customHeight="1"/>
    <row r="44303" customFormat="1" ht="17.25" customHeight="1"/>
    <row r="44304" customFormat="1" ht="17.25" customHeight="1"/>
    <row r="44305" customFormat="1" ht="17.25" customHeight="1"/>
    <row r="44306" customFormat="1" ht="17.25" customHeight="1"/>
    <row r="44307" customFormat="1" ht="17.25" customHeight="1"/>
    <row r="44308" customFormat="1" ht="17.25" customHeight="1"/>
    <row r="44309" customFormat="1" ht="17.25" customHeight="1"/>
    <row r="44310" customFormat="1" ht="17.25" customHeight="1"/>
    <row r="44311" customFormat="1" ht="17.25" customHeight="1"/>
    <row r="44312" customFormat="1" ht="17.25" customHeight="1"/>
    <row r="44313" customFormat="1" ht="17.25" customHeight="1"/>
    <row r="44314" customFormat="1" ht="17.25" customHeight="1"/>
    <row r="44315" customFormat="1" ht="17.25" customHeight="1"/>
    <row r="44316" customFormat="1" ht="17.25" customHeight="1"/>
    <row r="44317" customFormat="1" ht="17.25" customHeight="1"/>
    <row r="44318" customFormat="1" ht="17.25" customHeight="1"/>
    <row r="44319" customFormat="1" ht="17.25" customHeight="1"/>
    <row r="44320" customFormat="1" ht="17.25" customHeight="1"/>
    <row r="44321" customFormat="1" ht="17.25" customHeight="1"/>
    <row r="44322" customFormat="1" ht="17.25" customHeight="1"/>
    <row r="44323" customFormat="1" ht="17.25" customHeight="1"/>
    <row r="44324" customFormat="1" ht="17.25" customHeight="1"/>
    <row r="44325" customFormat="1" ht="17.25" customHeight="1"/>
    <row r="44326" customFormat="1" ht="17.25" customHeight="1"/>
    <row r="44327" customFormat="1" ht="17.25" customHeight="1"/>
    <row r="44328" customFormat="1" ht="17.25" customHeight="1"/>
    <row r="44329" customFormat="1" ht="17.25" customHeight="1"/>
    <row r="44330" customFormat="1" ht="17.25" customHeight="1"/>
    <row r="44331" customFormat="1" ht="17.25" customHeight="1"/>
    <row r="44332" customFormat="1" ht="17.25" customHeight="1"/>
    <row r="44333" customFormat="1" ht="17.25" customHeight="1"/>
    <row r="44334" customFormat="1" ht="17.25" customHeight="1"/>
    <row r="44335" customFormat="1" ht="17.25" customHeight="1"/>
    <row r="44336" customFormat="1" ht="17.25" customHeight="1"/>
    <row r="44337" customFormat="1" ht="17.25" customHeight="1"/>
    <row r="44338" customFormat="1" ht="17.25" customHeight="1"/>
    <row r="44339" customFormat="1" ht="17.25" customHeight="1"/>
    <row r="44340" customFormat="1" ht="17.25" customHeight="1"/>
    <row r="44341" customFormat="1" ht="17.25" customHeight="1"/>
    <row r="44342" customFormat="1" ht="17.25" customHeight="1"/>
    <row r="44343" customFormat="1" ht="17.25" customHeight="1"/>
    <row r="44344" customFormat="1" ht="17.25" customHeight="1"/>
    <row r="44345" customFormat="1" ht="17.25" customHeight="1"/>
    <row r="44346" customFormat="1" ht="17.25" customHeight="1"/>
    <row r="44347" customFormat="1" ht="17.25" customHeight="1"/>
    <row r="44348" customFormat="1" ht="17.25" customHeight="1"/>
    <row r="44349" customFormat="1" ht="17.25" customHeight="1"/>
    <row r="44350" customFormat="1" ht="17.25" customHeight="1"/>
    <row r="44351" customFormat="1" ht="17.25" customHeight="1"/>
    <row r="44352" customFormat="1" ht="17.25" customHeight="1"/>
    <row r="44353" customFormat="1" ht="17.25" customHeight="1"/>
    <row r="44354" customFormat="1" ht="17.25" customHeight="1"/>
    <row r="44355" customFormat="1" ht="17.25" customHeight="1"/>
    <row r="44356" customFormat="1" ht="17.25" customHeight="1"/>
    <row r="44357" customFormat="1" ht="17.25" customHeight="1"/>
    <row r="44358" customFormat="1" ht="17.25" customHeight="1"/>
    <row r="44359" customFormat="1" ht="17.25" customHeight="1"/>
    <row r="44360" customFormat="1" ht="17.25" customHeight="1"/>
    <row r="44361" customFormat="1" ht="17.25" customHeight="1"/>
    <row r="44362" customFormat="1" ht="17.25" customHeight="1"/>
    <row r="44363" customFormat="1" ht="17.25" customHeight="1"/>
    <row r="44364" customFormat="1" ht="17.25" customHeight="1"/>
    <row r="44365" customFormat="1" ht="17.25" customHeight="1"/>
    <row r="44366" customFormat="1" ht="17.25" customHeight="1"/>
    <row r="44367" customFormat="1" ht="17.25" customHeight="1"/>
    <row r="44368" customFormat="1" ht="17.25" customHeight="1"/>
    <row r="44369" customFormat="1" ht="17.25" customHeight="1"/>
    <row r="44370" customFormat="1" ht="17.25" customHeight="1"/>
    <row r="44371" customFormat="1" ht="17.25" customHeight="1"/>
    <row r="44372" customFormat="1" ht="17.25" customHeight="1"/>
    <row r="44373" customFormat="1" ht="17.25" customHeight="1"/>
    <row r="44374" customFormat="1" ht="17.25" customHeight="1"/>
    <row r="44375" customFormat="1" ht="17.25" customHeight="1"/>
    <row r="44376" customFormat="1" ht="17.25" customHeight="1"/>
    <row r="44377" customFormat="1" ht="17.25" customHeight="1"/>
    <row r="44378" customFormat="1" ht="17.25" customHeight="1"/>
    <row r="44379" customFormat="1" ht="17.25" customHeight="1"/>
    <row r="44380" customFormat="1" ht="17.25" customHeight="1"/>
    <row r="44381" customFormat="1" ht="17.25" customHeight="1"/>
    <row r="44382" customFormat="1" ht="17.25" customHeight="1"/>
    <row r="44383" customFormat="1" ht="17.25" customHeight="1"/>
    <row r="44384" customFormat="1" ht="17.25" customHeight="1"/>
    <row r="44385" customFormat="1" ht="17.25" customHeight="1"/>
    <row r="44386" customFormat="1" ht="17.25" customHeight="1"/>
    <row r="44387" customFormat="1" ht="17.25" customHeight="1"/>
    <row r="44388" customFormat="1" ht="17.25" customHeight="1"/>
    <row r="44389" customFormat="1" ht="17.25" customHeight="1"/>
    <row r="44390" customFormat="1" ht="17.25" customHeight="1"/>
    <row r="44391" customFormat="1" ht="17.25" customHeight="1"/>
    <row r="44392" customFormat="1" ht="17.25" customHeight="1"/>
    <row r="44393" customFormat="1" ht="17.25" customHeight="1"/>
    <row r="44394" customFormat="1" ht="17.25" customHeight="1"/>
    <row r="44395" customFormat="1" ht="17.25" customHeight="1"/>
    <row r="44396" customFormat="1" ht="17.25" customHeight="1"/>
    <row r="44397" customFormat="1" ht="17.25" customHeight="1"/>
    <row r="44398" customFormat="1" ht="17.25" customHeight="1"/>
    <row r="44399" customFormat="1" ht="17.25" customHeight="1"/>
    <row r="44400" customFormat="1" ht="17.25" customHeight="1"/>
    <row r="44401" customFormat="1" ht="17.25" customHeight="1"/>
    <row r="44402" customFormat="1" ht="17.25" customHeight="1"/>
    <row r="44403" customFormat="1" ht="17.25" customHeight="1"/>
    <row r="44404" customFormat="1" ht="17.25" customHeight="1"/>
    <row r="44405" customFormat="1" ht="17.25" customHeight="1"/>
    <row r="44406" customFormat="1" ht="17.25" customHeight="1"/>
    <row r="44407" customFormat="1" ht="17.25" customHeight="1"/>
    <row r="44408" customFormat="1" ht="17.25" customHeight="1"/>
    <row r="44409" customFormat="1" ht="17.25" customHeight="1"/>
    <row r="44410" customFormat="1" ht="17.25" customHeight="1"/>
    <row r="44411" customFormat="1" ht="17.25" customHeight="1"/>
    <row r="44412" customFormat="1" ht="17.25" customHeight="1"/>
    <row r="44413" customFormat="1" ht="17.25" customHeight="1"/>
    <row r="44414" customFormat="1" ht="17.25" customHeight="1"/>
    <row r="44415" customFormat="1" ht="17.25" customHeight="1"/>
    <row r="44416" customFormat="1" ht="17.25" customHeight="1"/>
    <row r="44417" customFormat="1" ht="17.25" customHeight="1"/>
    <row r="44418" customFormat="1" ht="17.25" customHeight="1"/>
    <row r="44419" customFormat="1" ht="17.25" customHeight="1"/>
    <row r="44420" customFormat="1" ht="17.25" customHeight="1"/>
    <row r="44421" customFormat="1" ht="17.25" customHeight="1"/>
    <row r="44422" customFormat="1" ht="17.25" customHeight="1"/>
    <row r="44423" customFormat="1" ht="17.25" customHeight="1"/>
    <row r="44424" customFormat="1" ht="17.25" customHeight="1"/>
    <row r="44425" customFormat="1" ht="17.25" customHeight="1"/>
    <row r="44426" customFormat="1" ht="17.25" customHeight="1"/>
    <row r="44427" customFormat="1" ht="17.25" customHeight="1"/>
    <row r="44428" customFormat="1" ht="17.25" customHeight="1"/>
    <row r="44429" customFormat="1" ht="17.25" customHeight="1"/>
    <row r="44430" customFormat="1" ht="17.25" customHeight="1"/>
    <row r="44431" customFormat="1" ht="17.25" customHeight="1"/>
    <row r="44432" customFormat="1" ht="17.25" customHeight="1"/>
    <row r="44433" customFormat="1" ht="17.25" customHeight="1"/>
    <row r="44434" customFormat="1" ht="17.25" customHeight="1"/>
    <row r="44435" customFormat="1" ht="17.25" customHeight="1"/>
    <row r="44436" customFormat="1" ht="17.25" customHeight="1"/>
    <row r="44437" customFormat="1" ht="17.25" customHeight="1"/>
    <row r="44438" customFormat="1" ht="17.25" customHeight="1"/>
    <row r="44439" customFormat="1" ht="17.25" customHeight="1"/>
    <row r="44440" customFormat="1" ht="17.25" customHeight="1"/>
    <row r="44441" customFormat="1" ht="17.25" customHeight="1"/>
    <row r="44442" customFormat="1" ht="17.25" customHeight="1"/>
    <row r="44443" customFormat="1" ht="17.25" customHeight="1"/>
    <row r="44444" customFormat="1" ht="17.25" customHeight="1"/>
    <row r="44445" customFormat="1" ht="17.25" customHeight="1"/>
    <row r="44446" customFormat="1" ht="17.25" customHeight="1"/>
    <row r="44447" customFormat="1" ht="17.25" customHeight="1"/>
    <row r="44448" customFormat="1" ht="17.25" customHeight="1"/>
    <row r="44449" customFormat="1" ht="17.25" customHeight="1"/>
    <row r="44450" customFormat="1" ht="17.25" customHeight="1"/>
    <row r="44451" customFormat="1" ht="17.25" customHeight="1"/>
    <row r="44452" customFormat="1" ht="17.25" customHeight="1"/>
    <row r="44453" customFormat="1" ht="17.25" customHeight="1"/>
    <row r="44454" customFormat="1" ht="17.25" customHeight="1"/>
    <row r="44455" customFormat="1" ht="17.25" customHeight="1"/>
    <row r="44456" customFormat="1" ht="17.25" customHeight="1"/>
    <row r="44457" customFormat="1" ht="17.25" customHeight="1"/>
    <row r="44458" customFormat="1" ht="17.25" customHeight="1"/>
    <row r="44459" customFormat="1" ht="17.25" customHeight="1"/>
    <row r="44460" customFormat="1" ht="17.25" customHeight="1"/>
    <row r="44461" customFormat="1" ht="17.25" customHeight="1"/>
    <row r="44462" customFormat="1" ht="17.25" customHeight="1"/>
    <row r="44463" customFormat="1" ht="17.25" customHeight="1"/>
    <row r="44464" customFormat="1" ht="17.25" customHeight="1"/>
    <row r="44465" customFormat="1" ht="17.25" customHeight="1"/>
    <row r="44466" customFormat="1" ht="17.25" customHeight="1"/>
    <row r="44467" customFormat="1" ht="17.25" customHeight="1"/>
    <row r="44468" customFormat="1" ht="17.25" customHeight="1"/>
    <row r="44469" customFormat="1" ht="17.25" customHeight="1"/>
    <row r="44470" customFormat="1" ht="17.25" customHeight="1"/>
    <row r="44471" customFormat="1" ht="17.25" customHeight="1"/>
    <row r="44472" customFormat="1" ht="17.25" customHeight="1"/>
    <row r="44473" customFormat="1" ht="17.25" customHeight="1"/>
    <row r="44474" customFormat="1" ht="17.25" customHeight="1"/>
    <row r="44475" customFormat="1" ht="17.25" customHeight="1"/>
    <row r="44476" customFormat="1" ht="17.25" customHeight="1"/>
    <row r="44477" customFormat="1" ht="17.25" customHeight="1"/>
    <row r="44478" customFormat="1" ht="17.25" customHeight="1"/>
    <row r="44479" customFormat="1" ht="17.25" customHeight="1"/>
    <row r="44480" customFormat="1" ht="17.25" customHeight="1"/>
    <row r="44481" customFormat="1" ht="17.25" customHeight="1"/>
    <row r="44482" customFormat="1" ht="17.25" customHeight="1"/>
    <row r="44483" customFormat="1" ht="17.25" customHeight="1"/>
    <row r="44484" customFormat="1" ht="17.25" customHeight="1"/>
    <row r="44485" customFormat="1" ht="17.25" customHeight="1"/>
    <row r="44486" customFormat="1" ht="17.25" customHeight="1"/>
    <row r="44487" customFormat="1" ht="17.25" customHeight="1"/>
    <row r="44488" customFormat="1" ht="17.25" customHeight="1"/>
    <row r="44489" customFormat="1" ht="17.25" customHeight="1"/>
    <row r="44490" customFormat="1" ht="17.25" customHeight="1"/>
    <row r="44491" customFormat="1" ht="17.25" customHeight="1"/>
    <row r="44492" customFormat="1" ht="17.25" customHeight="1"/>
    <row r="44493" customFormat="1" ht="17.25" customHeight="1"/>
    <row r="44494" customFormat="1" ht="17.25" customHeight="1"/>
    <row r="44495" customFormat="1" ht="17.25" customHeight="1"/>
    <row r="44496" customFormat="1" ht="17.25" customHeight="1"/>
    <row r="44497" customFormat="1" ht="17.25" customHeight="1"/>
    <row r="44498" customFormat="1" ht="17.25" customHeight="1"/>
    <row r="44499" customFormat="1" ht="17.25" customHeight="1"/>
    <row r="44500" customFormat="1" ht="17.25" customHeight="1"/>
    <row r="44501" customFormat="1" ht="17.25" customHeight="1"/>
    <row r="44502" customFormat="1" ht="17.25" customHeight="1"/>
    <row r="44503" customFormat="1" ht="17.25" customHeight="1"/>
    <row r="44504" customFormat="1" ht="17.25" customHeight="1"/>
    <row r="44505" customFormat="1" ht="17.25" customHeight="1"/>
    <row r="44506" customFormat="1" ht="17.25" customHeight="1"/>
    <row r="44507" customFormat="1" ht="17.25" customHeight="1"/>
    <row r="44508" customFormat="1" ht="17.25" customHeight="1"/>
    <row r="44509" customFormat="1" ht="17.25" customHeight="1"/>
    <row r="44510" customFormat="1" ht="17.25" customHeight="1"/>
    <row r="44511" customFormat="1" ht="17.25" customHeight="1"/>
    <row r="44512" customFormat="1" ht="17.25" customHeight="1"/>
    <row r="44513" customFormat="1" ht="17.25" customHeight="1"/>
    <row r="44514" customFormat="1" ht="17.25" customHeight="1"/>
    <row r="44515" customFormat="1" ht="17.25" customHeight="1"/>
    <row r="44516" customFormat="1" ht="17.25" customHeight="1"/>
    <row r="44517" customFormat="1" ht="17.25" customHeight="1"/>
    <row r="44518" customFormat="1" ht="17.25" customHeight="1"/>
    <row r="44519" customFormat="1" ht="17.25" customHeight="1"/>
    <row r="44520" customFormat="1" ht="17.25" customHeight="1"/>
    <row r="44521" customFormat="1" ht="17.25" customHeight="1"/>
    <row r="44522" customFormat="1" ht="17.25" customHeight="1"/>
    <row r="44523" customFormat="1" ht="17.25" customHeight="1"/>
    <row r="44524" customFormat="1" ht="17.25" customHeight="1"/>
    <row r="44525" customFormat="1" ht="17.25" customHeight="1"/>
    <row r="44526" customFormat="1" ht="17.25" customHeight="1"/>
    <row r="44527" customFormat="1" ht="17.25" customHeight="1"/>
    <row r="44528" customFormat="1" ht="17.25" customHeight="1"/>
    <row r="44529" customFormat="1" ht="17.25" customHeight="1"/>
    <row r="44530" customFormat="1" ht="17.25" customHeight="1"/>
    <row r="44531" customFormat="1" ht="17.25" customHeight="1"/>
    <row r="44532" customFormat="1" ht="17.25" customHeight="1"/>
    <row r="44533" customFormat="1" ht="17.25" customHeight="1"/>
    <row r="44534" customFormat="1" ht="17.25" customHeight="1"/>
    <row r="44535" customFormat="1" ht="17.25" customHeight="1"/>
    <row r="44536" customFormat="1" ht="17.25" customHeight="1"/>
    <row r="44537" customFormat="1" ht="17.25" customHeight="1"/>
    <row r="44538" customFormat="1" ht="17.25" customHeight="1"/>
    <row r="44539" customFormat="1" ht="17.25" customHeight="1"/>
    <row r="44540" customFormat="1" ht="17.25" customHeight="1"/>
    <row r="44541" customFormat="1" ht="17.25" customHeight="1"/>
    <row r="44542" customFormat="1" ht="17.25" customHeight="1"/>
    <row r="44543" customFormat="1" ht="17.25" customHeight="1"/>
    <row r="44544" customFormat="1" ht="17.25" customHeight="1"/>
    <row r="44545" customFormat="1" ht="17.25" customHeight="1"/>
    <row r="44546" customFormat="1" ht="17.25" customHeight="1"/>
    <row r="44547" customFormat="1" ht="17.25" customHeight="1"/>
    <row r="44548" customFormat="1" ht="17.25" customHeight="1"/>
    <row r="44549" customFormat="1" ht="17.25" customHeight="1"/>
    <row r="44550" customFormat="1" ht="17.25" customHeight="1"/>
    <row r="44551" customFormat="1" ht="17.25" customHeight="1"/>
    <row r="44552" customFormat="1" ht="17.25" customHeight="1"/>
    <row r="44553" customFormat="1" ht="17.25" customHeight="1"/>
    <row r="44554" customFormat="1" ht="17.25" customHeight="1"/>
    <row r="44555" customFormat="1" ht="17.25" customHeight="1"/>
    <row r="44556" customFormat="1" ht="17.25" customHeight="1"/>
    <row r="44557" customFormat="1" ht="17.25" customHeight="1"/>
    <row r="44558" customFormat="1" ht="17.25" customHeight="1"/>
    <row r="44559" customFormat="1" ht="17.25" customHeight="1"/>
    <row r="44560" customFormat="1" ht="17.25" customHeight="1"/>
    <row r="44561" customFormat="1" ht="17.25" customHeight="1"/>
    <row r="44562" customFormat="1" ht="17.25" customHeight="1"/>
    <row r="44563" customFormat="1" ht="17.25" customHeight="1"/>
    <row r="44564" customFormat="1" ht="17.25" customHeight="1"/>
    <row r="44565" customFormat="1" ht="17.25" customHeight="1"/>
    <row r="44566" customFormat="1" ht="17.25" customHeight="1"/>
    <row r="44567" customFormat="1" ht="17.25" customHeight="1"/>
    <row r="44568" customFormat="1" ht="17.25" customHeight="1"/>
    <row r="44569" customFormat="1" ht="17.25" customHeight="1"/>
    <row r="44570" customFormat="1" ht="17.25" customHeight="1"/>
    <row r="44571" customFormat="1" ht="17.25" customHeight="1"/>
    <row r="44572" customFormat="1" ht="17.25" customHeight="1"/>
    <row r="44573" customFormat="1" ht="17.25" customHeight="1"/>
    <row r="44574" customFormat="1" ht="17.25" customHeight="1"/>
    <row r="44575" customFormat="1" ht="17.25" customHeight="1"/>
    <row r="44576" customFormat="1" ht="17.25" customHeight="1"/>
    <row r="44577" customFormat="1" ht="17.25" customHeight="1"/>
    <row r="44578" customFormat="1" ht="17.25" customHeight="1"/>
    <row r="44579" customFormat="1" ht="17.25" customHeight="1"/>
    <row r="44580" customFormat="1" ht="17.25" customHeight="1"/>
    <row r="44581" customFormat="1" ht="17.25" customHeight="1"/>
    <row r="44582" customFormat="1" ht="17.25" customHeight="1"/>
    <row r="44583" customFormat="1" ht="17.25" customHeight="1"/>
    <row r="44584" customFormat="1" ht="17.25" customHeight="1"/>
    <row r="44585" customFormat="1" ht="17.25" customHeight="1"/>
    <row r="44586" customFormat="1" ht="17.25" customHeight="1"/>
    <row r="44587" customFormat="1" ht="17.25" customHeight="1"/>
    <row r="44588" customFormat="1" ht="17.25" customHeight="1"/>
    <row r="44589" customFormat="1" ht="17.25" customHeight="1"/>
    <row r="44590" customFormat="1" ht="17.25" customHeight="1"/>
    <row r="44591" customFormat="1" ht="17.25" customHeight="1"/>
    <row r="44592" customFormat="1" ht="17.25" customHeight="1"/>
    <row r="44593" customFormat="1" ht="17.25" customHeight="1"/>
    <row r="44594" customFormat="1" ht="17.25" customHeight="1"/>
    <row r="44595" customFormat="1" ht="17.25" customHeight="1"/>
    <row r="44596" customFormat="1" ht="17.25" customHeight="1"/>
    <row r="44597" customFormat="1" ht="17.25" customHeight="1"/>
    <row r="44598" customFormat="1" ht="17.25" customHeight="1"/>
    <row r="44599" customFormat="1" ht="17.25" customHeight="1"/>
    <row r="44600" customFormat="1" ht="17.25" customHeight="1"/>
    <row r="44601" customFormat="1" ht="17.25" customHeight="1"/>
    <row r="44602" customFormat="1" ht="17.25" customHeight="1"/>
    <row r="44603" customFormat="1" ht="17.25" customHeight="1"/>
    <row r="44604" customFormat="1" ht="17.25" customHeight="1"/>
    <row r="44605" customFormat="1" ht="17.25" customHeight="1"/>
    <row r="44606" customFormat="1" ht="17.25" customHeight="1"/>
    <row r="44607" customFormat="1" ht="17.25" customHeight="1"/>
    <row r="44608" customFormat="1" ht="17.25" customHeight="1"/>
    <row r="44609" customFormat="1" ht="17.25" customHeight="1"/>
    <row r="44610" customFormat="1" ht="17.25" customHeight="1"/>
    <row r="44611" customFormat="1" ht="17.25" customHeight="1"/>
    <row r="44612" customFormat="1" ht="17.25" customHeight="1"/>
    <row r="44613" customFormat="1" ht="17.25" customHeight="1"/>
    <row r="44614" customFormat="1" ht="17.25" customHeight="1"/>
    <row r="44615" customFormat="1" ht="17.25" customHeight="1"/>
    <row r="44616" customFormat="1" ht="17.25" customHeight="1"/>
    <row r="44617" customFormat="1" ht="17.25" customHeight="1"/>
    <row r="44618" customFormat="1" ht="17.25" customHeight="1"/>
    <row r="44619" customFormat="1" ht="17.25" customHeight="1"/>
    <row r="44620" customFormat="1" ht="17.25" customHeight="1"/>
    <row r="44621" customFormat="1" ht="17.25" customHeight="1"/>
    <row r="44622" customFormat="1" ht="17.25" customHeight="1"/>
    <row r="44623" customFormat="1" ht="17.25" customHeight="1"/>
    <row r="44624" customFormat="1" ht="17.25" customHeight="1"/>
    <row r="44625" customFormat="1" ht="17.25" customHeight="1"/>
    <row r="44626" customFormat="1" ht="17.25" customHeight="1"/>
    <row r="44627" customFormat="1" ht="17.25" customHeight="1"/>
    <row r="44628" customFormat="1" ht="17.25" customHeight="1"/>
    <row r="44629" customFormat="1" ht="17.25" customHeight="1"/>
    <row r="44630" customFormat="1" ht="17.25" customHeight="1"/>
    <row r="44631" customFormat="1" ht="17.25" customHeight="1"/>
    <row r="44632" customFormat="1" ht="17.25" customHeight="1"/>
    <row r="44633" customFormat="1" ht="17.25" customHeight="1"/>
    <row r="44634" customFormat="1" ht="17.25" customHeight="1"/>
    <row r="44635" customFormat="1" ht="17.25" customHeight="1"/>
    <row r="44636" customFormat="1" ht="17.25" customHeight="1"/>
    <row r="44637" customFormat="1" ht="17.25" customHeight="1"/>
    <row r="44638" customFormat="1" ht="17.25" customHeight="1"/>
    <row r="44639" customFormat="1" ht="17.25" customHeight="1"/>
    <row r="44640" customFormat="1" ht="17.25" customHeight="1"/>
    <row r="44641" customFormat="1" ht="17.25" customHeight="1"/>
    <row r="44642" customFormat="1" ht="17.25" customHeight="1"/>
    <row r="44643" customFormat="1" ht="17.25" customHeight="1"/>
    <row r="44644" customFormat="1" ht="17.25" customHeight="1"/>
    <row r="44645" customFormat="1" ht="17.25" customHeight="1"/>
    <row r="44646" customFormat="1" ht="17.25" customHeight="1"/>
    <row r="44647" customFormat="1" ht="17.25" customHeight="1"/>
    <row r="44648" customFormat="1" ht="17.25" customHeight="1"/>
    <row r="44649" customFormat="1" ht="17.25" customHeight="1"/>
    <row r="44650" customFormat="1" ht="17.25" customHeight="1"/>
    <row r="44651" customFormat="1" ht="17.25" customHeight="1"/>
    <row r="44652" customFormat="1" ht="17.25" customHeight="1"/>
    <row r="44653" customFormat="1" ht="17.25" customHeight="1"/>
    <row r="44654" customFormat="1" ht="17.25" customHeight="1"/>
    <row r="44655" customFormat="1" ht="17.25" customHeight="1"/>
    <row r="44656" customFormat="1" ht="17.25" customHeight="1"/>
    <row r="44657" customFormat="1" ht="17.25" customHeight="1"/>
    <row r="44658" customFormat="1" ht="17.25" customHeight="1"/>
    <row r="44659" customFormat="1" ht="17.25" customHeight="1"/>
    <row r="44660" customFormat="1" ht="17.25" customHeight="1"/>
    <row r="44661" customFormat="1" ht="17.25" customHeight="1"/>
    <row r="44662" customFormat="1" ht="17.25" customHeight="1"/>
    <row r="44663" customFormat="1" ht="17.25" customHeight="1"/>
    <row r="44664" customFormat="1" ht="17.25" customHeight="1"/>
    <row r="44665" customFormat="1" ht="17.25" customHeight="1"/>
    <row r="44666" customFormat="1" ht="17.25" customHeight="1"/>
    <row r="44667" customFormat="1" ht="17.25" customHeight="1"/>
    <row r="44668" customFormat="1" ht="17.25" customHeight="1"/>
    <row r="44669" customFormat="1" ht="17.25" customHeight="1"/>
    <row r="44670" customFormat="1" ht="17.25" customHeight="1"/>
    <row r="44671" customFormat="1" ht="17.25" customHeight="1"/>
    <row r="44672" customFormat="1" ht="17.25" customHeight="1"/>
    <row r="44673" customFormat="1" ht="17.25" customHeight="1"/>
    <row r="44674" customFormat="1" ht="17.25" customHeight="1"/>
    <row r="44675" customFormat="1" ht="17.25" customHeight="1"/>
    <row r="44676" customFormat="1" ht="17.25" customHeight="1"/>
    <row r="44677" customFormat="1" ht="17.25" customHeight="1"/>
    <row r="44678" customFormat="1" ht="17.25" customHeight="1"/>
    <row r="44679" customFormat="1" ht="17.25" customHeight="1"/>
    <row r="44680" customFormat="1" ht="17.25" customHeight="1"/>
    <row r="44681" customFormat="1" ht="17.25" customHeight="1"/>
    <row r="44682" customFormat="1" ht="17.25" customHeight="1"/>
    <row r="44683" customFormat="1" ht="17.25" customHeight="1"/>
    <row r="44684" customFormat="1" ht="17.25" customHeight="1"/>
    <row r="44685" customFormat="1" ht="17.25" customHeight="1"/>
    <row r="44686" customFormat="1" ht="17.25" customHeight="1"/>
    <row r="44687" customFormat="1" ht="17.25" customHeight="1"/>
    <row r="44688" customFormat="1" ht="17.25" customHeight="1"/>
    <row r="44689" customFormat="1" ht="17.25" customHeight="1"/>
    <row r="44690" customFormat="1" ht="17.25" customHeight="1"/>
    <row r="44691" customFormat="1" ht="17.25" customHeight="1"/>
    <row r="44692" customFormat="1" ht="17.25" customHeight="1"/>
    <row r="44693" customFormat="1" ht="17.25" customHeight="1"/>
    <row r="44694" customFormat="1" ht="17.25" customHeight="1"/>
    <row r="44695" customFormat="1" ht="17.25" customHeight="1"/>
    <row r="44696" customFormat="1" ht="17.25" customHeight="1"/>
    <row r="44697" customFormat="1" ht="17.25" customHeight="1"/>
    <row r="44698" customFormat="1" ht="17.25" customHeight="1"/>
    <row r="44699" customFormat="1" ht="17.25" customHeight="1"/>
    <row r="44700" customFormat="1" ht="17.25" customHeight="1"/>
    <row r="44701" customFormat="1" ht="17.25" customHeight="1"/>
    <row r="44702" customFormat="1" ht="17.25" customHeight="1"/>
    <row r="44703" customFormat="1" ht="17.25" customHeight="1"/>
    <row r="44704" customFormat="1" ht="17.25" customHeight="1"/>
    <row r="44705" customFormat="1" ht="17.25" customHeight="1"/>
    <row r="44706" customFormat="1" ht="17.25" customHeight="1"/>
    <row r="44707" customFormat="1" ht="17.25" customHeight="1"/>
    <row r="44708" customFormat="1" ht="17.25" customHeight="1"/>
    <row r="44709" customFormat="1" ht="17.25" customHeight="1"/>
    <row r="44710" customFormat="1" ht="17.25" customHeight="1"/>
    <row r="44711" customFormat="1" ht="17.25" customHeight="1"/>
    <row r="44712" customFormat="1" ht="17.25" customHeight="1"/>
    <row r="44713" customFormat="1" ht="17.25" customHeight="1"/>
    <row r="44714" customFormat="1" ht="17.25" customHeight="1"/>
    <row r="44715" customFormat="1" ht="17.25" customHeight="1"/>
    <row r="44716" customFormat="1" ht="17.25" customHeight="1"/>
    <row r="44717" customFormat="1" ht="17.25" customHeight="1"/>
    <row r="44718" customFormat="1" ht="17.25" customHeight="1"/>
    <row r="44719" customFormat="1" ht="17.25" customHeight="1"/>
    <row r="44720" customFormat="1" ht="17.25" customHeight="1"/>
    <row r="44721" customFormat="1" ht="17.25" customHeight="1"/>
    <row r="44722" customFormat="1" ht="17.25" customHeight="1"/>
    <row r="44723" customFormat="1" ht="17.25" customHeight="1"/>
    <row r="44724" customFormat="1" ht="17.25" customHeight="1"/>
    <row r="44725" customFormat="1" ht="17.25" customHeight="1"/>
    <row r="44726" customFormat="1" ht="17.25" customHeight="1"/>
    <row r="44727" customFormat="1" ht="17.25" customHeight="1"/>
    <row r="44728" customFormat="1" ht="17.25" customHeight="1"/>
    <row r="44729" customFormat="1" ht="17.25" customHeight="1"/>
    <row r="44730" customFormat="1" ht="17.25" customHeight="1"/>
    <row r="44731" customFormat="1" ht="17.25" customHeight="1"/>
    <row r="44732" customFormat="1" ht="17.25" customHeight="1"/>
    <row r="44733" customFormat="1" ht="17.25" customHeight="1"/>
    <row r="44734" customFormat="1" ht="17.25" customHeight="1"/>
    <row r="44735" customFormat="1" ht="17.25" customHeight="1"/>
    <row r="44736" customFormat="1" ht="17.25" customHeight="1"/>
    <row r="44737" customFormat="1" ht="17.25" customHeight="1"/>
    <row r="44738" customFormat="1" ht="17.25" customHeight="1"/>
    <row r="44739" customFormat="1" ht="17.25" customHeight="1"/>
    <row r="44740" customFormat="1" ht="17.25" customHeight="1"/>
    <row r="44741" customFormat="1" ht="17.25" customHeight="1"/>
    <row r="44742" customFormat="1" ht="17.25" customHeight="1"/>
    <row r="44743" customFormat="1" ht="17.25" customHeight="1"/>
    <row r="44744" customFormat="1" ht="17.25" customHeight="1"/>
    <row r="44745" customFormat="1" ht="17.25" customHeight="1"/>
    <row r="44746" customFormat="1" ht="17.25" customHeight="1"/>
    <row r="44747" customFormat="1" ht="17.25" customHeight="1"/>
    <row r="44748" customFormat="1" ht="17.25" customHeight="1"/>
    <row r="44749" customFormat="1" ht="17.25" customHeight="1"/>
    <row r="44750" customFormat="1" ht="17.25" customHeight="1"/>
    <row r="44751" customFormat="1" ht="17.25" customHeight="1"/>
    <row r="44752" customFormat="1" ht="17.25" customHeight="1"/>
    <row r="44753" customFormat="1" ht="17.25" customHeight="1"/>
    <row r="44754" customFormat="1" ht="17.25" customHeight="1"/>
    <row r="44755" customFormat="1" ht="17.25" customHeight="1"/>
    <row r="44756" customFormat="1" ht="17.25" customHeight="1"/>
    <row r="44757" customFormat="1" ht="17.25" customHeight="1"/>
    <row r="44758" customFormat="1" ht="17.25" customHeight="1"/>
    <row r="44759" customFormat="1" ht="17.25" customHeight="1"/>
    <row r="44760" customFormat="1" ht="17.25" customHeight="1"/>
    <row r="44761" customFormat="1" ht="17.25" customHeight="1"/>
    <row r="44762" customFormat="1" ht="17.25" customHeight="1"/>
    <row r="44763" customFormat="1" ht="17.25" customHeight="1"/>
    <row r="44764" customFormat="1" ht="17.25" customHeight="1"/>
    <row r="44765" customFormat="1" ht="17.25" customHeight="1"/>
    <row r="44766" customFormat="1" ht="17.25" customHeight="1"/>
    <row r="44767" customFormat="1" ht="17.25" customHeight="1"/>
    <row r="44768" customFormat="1" ht="17.25" customHeight="1"/>
    <row r="44769" customFormat="1" ht="17.25" customHeight="1"/>
    <row r="44770" customFormat="1" ht="17.25" customHeight="1"/>
    <row r="44771" customFormat="1" ht="17.25" customHeight="1"/>
    <row r="44772" customFormat="1" ht="17.25" customHeight="1"/>
    <row r="44773" customFormat="1" ht="17.25" customHeight="1"/>
    <row r="44774" customFormat="1" ht="17.25" customHeight="1"/>
    <row r="44775" customFormat="1" ht="17.25" customHeight="1"/>
    <row r="44776" customFormat="1" ht="17.25" customHeight="1"/>
    <row r="44777" customFormat="1" ht="17.25" customHeight="1"/>
    <row r="44778" customFormat="1" ht="17.25" customHeight="1"/>
    <row r="44779" customFormat="1" ht="17.25" customHeight="1"/>
    <row r="44780" customFormat="1" ht="17.25" customHeight="1"/>
    <row r="44781" customFormat="1" ht="17.25" customHeight="1"/>
    <row r="44782" customFormat="1" ht="17.25" customHeight="1"/>
    <row r="44783" customFormat="1" ht="17.25" customHeight="1"/>
    <row r="44784" customFormat="1" ht="17.25" customHeight="1"/>
    <row r="44785" customFormat="1" ht="17.25" customHeight="1"/>
    <row r="44786" customFormat="1" ht="17.25" customHeight="1"/>
    <row r="44787" customFormat="1" ht="17.25" customHeight="1"/>
    <row r="44788" customFormat="1" ht="17.25" customHeight="1"/>
    <row r="44789" customFormat="1" ht="17.25" customHeight="1"/>
    <row r="44790" customFormat="1" ht="17.25" customHeight="1"/>
    <row r="44791" customFormat="1" ht="17.25" customHeight="1"/>
    <row r="44792" customFormat="1" ht="17.25" customHeight="1"/>
    <row r="44793" customFormat="1" ht="17.25" customHeight="1"/>
    <row r="44794" customFormat="1" ht="17.25" customHeight="1"/>
    <row r="44795" customFormat="1" ht="17.25" customHeight="1"/>
    <row r="44796" customFormat="1" ht="17.25" customHeight="1"/>
    <row r="44797" customFormat="1" ht="17.25" customHeight="1"/>
    <row r="44798" customFormat="1" ht="17.25" customHeight="1"/>
    <row r="44799" customFormat="1" ht="17.25" customHeight="1"/>
    <row r="44800" customFormat="1" ht="17.25" customHeight="1"/>
    <row r="44801" customFormat="1" ht="17.25" customHeight="1"/>
    <row r="44802" customFormat="1" ht="17.25" customHeight="1"/>
    <row r="44803" customFormat="1" ht="17.25" customHeight="1"/>
    <row r="44804" customFormat="1" ht="17.25" customHeight="1"/>
    <row r="44805" customFormat="1" ht="17.25" customHeight="1"/>
    <row r="44806" customFormat="1" ht="17.25" customHeight="1"/>
    <row r="44807" customFormat="1" ht="17.25" customHeight="1"/>
    <row r="44808" customFormat="1" ht="17.25" customHeight="1"/>
    <row r="44809" customFormat="1" ht="17.25" customHeight="1"/>
    <row r="44810" customFormat="1" ht="17.25" customHeight="1"/>
    <row r="44811" customFormat="1" ht="17.25" customHeight="1"/>
    <row r="44812" customFormat="1" ht="17.25" customHeight="1"/>
    <row r="44813" customFormat="1" ht="17.25" customHeight="1"/>
    <row r="44814" customFormat="1" ht="17.25" customHeight="1"/>
    <row r="44815" customFormat="1" ht="17.25" customHeight="1"/>
    <row r="44816" customFormat="1" ht="17.25" customHeight="1"/>
    <row r="44817" customFormat="1" ht="17.25" customHeight="1"/>
    <row r="44818" customFormat="1" ht="17.25" customHeight="1"/>
    <row r="44819" customFormat="1" ht="17.25" customHeight="1"/>
    <row r="44820" customFormat="1" ht="17.25" customHeight="1"/>
    <row r="44821" customFormat="1" ht="17.25" customHeight="1"/>
    <row r="44822" customFormat="1" ht="17.25" customHeight="1"/>
    <row r="44823" customFormat="1" ht="17.25" customHeight="1"/>
    <row r="44824" customFormat="1" ht="17.25" customHeight="1"/>
    <row r="44825" customFormat="1" ht="17.25" customHeight="1"/>
    <row r="44826" customFormat="1" ht="17.25" customHeight="1"/>
    <row r="44827" customFormat="1" ht="17.25" customHeight="1"/>
    <row r="44828" customFormat="1" ht="17.25" customHeight="1"/>
    <row r="44829" customFormat="1" ht="17.25" customHeight="1"/>
    <row r="44830" customFormat="1" ht="17.25" customHeight="1"/>
    <row r="44831" customFormat="1" ht="17.25" customHeight="1"/>
    <row r="44832" customFormat="1" ht="17.25" customHeight="1"/>
    <row r="44833" customFormat="1" ht="17.25" customHeight="1"/>
    <row r="44834" customFormat="1" ht="17.25" customHeight="1"/>
    <row r="44835" customFormat="1" ht="17.25" customHeight="1"/>
    <row r="44836" customFormat="1" ht="17.25" customHeight="1"/>
    <row r="44837" customFormat="1" ht="17.25" customHeight="1"/>
    <row r="44838" customFormat="1" ht="17.25" customHeight="1"/>
    <row r="44839" customFormat="1" ht="17.25" customHeight="1"/>
    <row r="44840" customFormat="1" ht="17.25" customHeight="1"/>
    <row r="44841" customFormat="1" ht="17.25" customHeight="1"/>
    <row r="44842" customFormat="1" ht="17.25" customHeight="1"/>
    <row r="44843" customFormat="1" ht="17.25" customHeight="1"/>
    <row r="44844" customFormat="1" ht="17.25" customHeight="1"/>
    <row r="44845" customFormat="1" ht="17.25" customHeight="1"/>
    <row r="44846" customFormat="1" ht="17.25" customHeight="1"/>
    <row r="44847" customFormat="1" ht="17.25" customHeight="1"/>
    <row r="44848" customFormat="1" ht="17.25" customHeight="1"/>
    <row r="44849" customFormat="1" ht="17.25" customHeight="1"/>
    <row r="44850" customFormat="1" ht="17.25" customHeight="1"/>
    <row r="44851" customFormat="1" ht="17.25" customHeight="1"/>
    <row r="44852" customFormat="1" ht="17.25" customHeight="1"/>
    <row r="44853" customFormat="1" ht="17.25" customHeight="1"/>
    <row r="44854" customFormat="1" ht="17.25" customHeight="1"/>
    <row r="44855" customFormat="1" ht="17.25" customHeight="1"/>
    <row r="44856" customFormat="1" ht="17.25" customHeight="1"/>
    <row r="44857" customFormat="1" ht="17.25" customHeight="1"/>
    <row r="44858" customFormat="1" ht="17.25" customHeight="1"/>
    <row r="44859" customFormat="1" ht="17.25" customHeight="1"/>
    <row r="44860" customFormat="1" ht="17.25" customHeight="1"/>
    <row r="44861" customFormat="1" ht="17.25" customHeight="1"/>
    <row r="44862" customFormat="1" ht="17.25" customHeight="1"/>
    <row r="44863" customFormat="1" ht="17.25" customHeight="1"/>
    <row r="44864" customFormat="1" ht="17.25" customHeight="1"/>
    <row r="44865" customFormat="1" ht="17.25" customHeight="1"/>
    <row r="44866" customFormat="1" ht="17.25" customHeight="1"/>
    <row r="44867" customFormat="1" ht="17.25" customHeight="1"/>
    <row r="44868" customFormat="1" ht="17.25" customHeight="1"/>
    <row r="44869" customFormat="1" ht="17.25" customHeight="1"/>
    <row r="44870" customFormat="1" ht="17.25" customHeight="1"/>
    <row r="44871" customFormat="1" ht="17.25" customHeight="1"/>
    <row r="44872" customFormat="1" ht="17.25" customHeight="1"/>
    <row r="44873" customFormat="1" ht="17.25" customHeight="1"/>
    <row r="44874" customFormat="1" ht="17.25" customHeight="1"/>
    <row r="44875" customFormat="1" ht="17.25" customHeight="1"/>
    <row r="44876" customFormat="1" ht="17.25" customHeight="1"/>
    <row r="44877" customFormat="1" ht="17.25" customHeight="1"/>
    <row r="44878" customFormat="1" ht="17.25" customHeight="1"/>
    <row r="44879" customFormat="1" ht="17.25" customHeight="1"/>
    <row r="44880" customFormat="1" ht="17.25" customHeight="1"/>
    <row r="44881" customFormat="1" ht="17.25" customHeight="1"/>
    <row r="44882" customFormat="1" ht="17.25" customHeight="1"/>
    <row r="44883" customFormat="1" ht="17.25" customHeight="1"/>
    <row r="44884" customFormat="1" ht="17.25" customHeight="1"/>
    <row r="44885" customFormat="1" ht="17.25" customHeight="1"/>
    <row r="44886" customFormat="1" ht="17.25" customHeight="1"/>
    <row r="44887" customFormat="1" ht="17.25" customHeight="1"/>
    <row r="44888" customFormat="1" ht="17.25" customHeight="1"/>
    <row r="44889" customFormat="1" ht="17.25" customHeight="1"/>
    <row r="44890" customFormat="1" ht="17.25" customHeight="1"/>
    <row r="44891" customFormat="1" ht="17.25" customHeight="1"/>
    <row r="44892" customFormat="1" ht="17.25" customHeight="1"/>
    <row r="44893" customFormat="1" ht="17.25" customHeight="1"/>
    <row r="44894" customFormat="1" ht="17.25" customHeight="1"/>
    <row r="44895" customFormat="1" ht="17.25" customHeight="1"/>
    <row r="44896" customFormat="1" ht="17.25" customHeight="1"/>
    <row r="44897" customFormat="1" ht="17.25" customHeight="1"/>
    <row r="44898" customFormat="1" ht="17.25" customHeight="1"/>
    <row r="44899" customFormat="1" ht="17.25" customHeight="1"/>
    <row r="44900" customFormat="1" ht="17.25" customHeight="1"/>
    <row r="44901" customFormat="1" ht="17.25" customHeight="1"/>
    <row r="44902" customFormat="1" ht="17.25" customHeight="1"/>
    <row r="44903" customFormat="1" ht="17.25" customHeight="1"/>
    <row r="44904" customFormat="1" ht="17.25" customHeight="1"/>
    <row r="44905" customFormat="1" ht="17.25" customHeight="1"/>
    <row r="44906" customFormat="1" ht="17.25" customHeight="1"/>
    <row r="44907" customFormat="1" ht="17.25" customHeight="1"/>
    <row r="44908" customFormat="1" ht="17.25" customHeight="1"/>
    <row r="44909" customFormat="1" ht="17.25" customHeight="1"/>
    <row r="44910" customFormat="1" ht="17.25" customHeight="1"/>
    <row r="44911" customFormat="1" ht="17.25" customHeight="1"/>
    <row r="44912" customFormat="1" ht="17.25" customHeight="1"/>
    <row r="44913" customFormat="1" ht="17.25" customHeight="1"/>
    <row r="44914" customFormat="1" ht="17.25" customHeight="1"/>
    <row r="44915" customFormat="1" ht="17.25" customHeight="1"/>
    <row r="44916" customFormat="1" ht="17.25" customHeight="1"/>
    <row r="44917" customFormat="1" ht="17.25" customHeight="1"/>
    <row r="44918" customFormat="1" ht="17.25" customHeight="1"/>
    <row r="44919" customFormat="1" ht="17.25" customHeight="1"/>
    <row r="44920" customFormat="1" ht="17.25" customHeight="1"/>
    <row r="44921" customFormat="1" ht="17.25" customHeight="1"/>
    <row r="44922" customFormat="1" ht="17.25" customHeight="1"/>
    <row r="44923" customFormat="1" ht="17.25" customHeight="1"/>
    <row r="44924" customFormat="1" ht="17.25" customHeight="1"/>
    <row r="44925" customFormat="1" ht="17.25" customHeight="1"/>
    <row r="44926" customFormat="1" ht="17.25" customHeight="1"/>
    <row r="44927" customFormat="1" ht="17.25" customHeight="1"/>
    <row r="44928" customFormat="1" ht="17.25" customHeight="1"/>
    <row r="44929" customFormat="1" ht="17.25" customHeight="1"/>
    <row r="44930" customFormat="1" ht="17.25" customHeight="1"/>
    <row r="44931" customFormat="1" ht="17.25" customHeight="1"/>
    <row r="44932" customFormat="1" ht="17.25" customHeight="1"/>
    <row r="44933" customFormat="1" ht="17.25" customHeight="1"/>
    <row r="44934" customFormat="1" ht="17.25" customHeight="1"/>
    <row r="44935" customFormat="1" ht="17.25" customHeight="1"/>
    <row r="44936" customFormat="1" ht="17.25" customHeight="1"/>
    <row r="44937" customFormat="1" ht="17.25" customHeight="1"/>
    <row r="44938" customFormat="1" ht="17.25" customHeight="1"/>
    <row r="44939" customFormat="1" ht="17.25" customHeight="1"/>
    <row r="44940" customFormat="1" ht="17.25" customHeight="1"/>
    <row r="44941" customFormat="1" ht="17.25" customHeight="1"/>
    <row r="44942" customFormat="1" ht="17.25" customHeight="1"/>
    <row r="44943" customFormat="1" ht="17.25" customHeight="1"/>
    <row r="44944" customFormat="1" ht="17.25" customHeight="1"/>
    <row r="44945" customFormat="1" ht="17.25" customHeight="1"/>
    <row r="44946" customFormat="1" ht="17.25" customHeight="1"/>
    <row r="44947" customFormat="1" ht="17.25" customHeight="1"/>
    <row r="44948" customFormat="1" ht="17.25" customHeight="1"/>
    <row r="44949" customFormat="1" ht="17.25" customHeight="1"/>
    <row r="44950" customFormat="1" ht="17.25" customHeight="1"/>
    <row r="44951" customFormat="1" ht="17.25" customHeight="1"/>
    <row r="44952" customFormat="1" ht="17.25" customHeight="1"/>
    <row r="44953" customFormat="1" ht="17.25" customHeight="1"/>
    <row r="44954" customFormat="1" ht="17.25" customHeight="1"/>
    <row r="44955" customFormat="1" ht="17.25" customHeight="1"/>
    <row r="44956" customFormat="1" ht="17.25" customHeight="1"/>
    <row r="44957" customFormat="1" ht="17.25" customHeight="1"/>
    <row r="44958" customFormat="1" ht="17.25" customHeight="1"/>
    <row r="44959" customFormat="1" ht="17.25" customHeight="1"/>
    <row r="44960" customFormat="1" ht="17.25" customHeight="1"/>
    <row r="44961" customFormat="1" ht="17.25" customHeight="1"/>
    <row r="44962" customFormat="1" ht="17.25" customHeight="1"/>
    <row r="44963" customFormat="1" ht="17.25" customHeight="1"/>
    <row r="44964" customFormat="1" ht="17.25" customHeight="1"/>
    <row r="44965" customFormat="1" ht="17.25" customHeight="1"/>
    <row r="44966" customFormat="1" ht="17.25" customHeight="1"/>
    <row r="44967" customFormat="1" ht="17.25" customHeight="1"/>
    <row r="44968" customFormat="1" ht="17.25" customHeight="1"/>
    <row r="44969" customFormat="1" ht="17.25" customHeight="1"/>
    <row r="44970" customFormat="1" ht="17.25" customHeight="1"/>
    <row r="44971" customFormat="1" ht="17.25" customHeight="1"/>
    <row r="44972" customFormat="1" ht="17.25" customHeight="1"/>
    <row r="44973" customFormat="1" ht="17.25" customHeight="1"/>
    <row r="44974" customFormat="1" ht="17.25" customHeight="1"/>
    <row r="44975" customFormat="1" ht="17.25" customHeight="1"/>
    <row r="44976" customFormat="1" ht="17.25" customHeight="1"/>
    <row r="44977" customFormat="1" ht="17.25" customHeight="1"/>
    <row r="44978" customFormat="1" ht="17.25" customHeight="1"/>
    <row r="44979" customFormat="1" ht="17.25" customHeight="1"/>
    <row r="44980" customFormat="1" ht="17.25" customHeight="1"/>
    <row r="44981" customFormat="1" ht="17.25" customHeight="1"/>
    <row r="44982" customFormat="1" ht="17.25" customHeight="1"/>
    <row r="44983" customFormat="1" ht="17.25" customHeight="1"/>
    <row r="44984" customFormat="1" ht="17.25" customHeight="1"/>
    <row r="44985" customFormat="1" ht="17.25" customHeight="1"/>
    <row r="44986" customFormat="1" ht="17.25" customHeight="1"/>
    <row r="44987" customFormat="1" ht="17.25" customHeight="1"/>
    <row r="44988" customFormat="1" ht="17.25" customHeight="1"/>
    <row r="44989" customFormat="1" ht="17.25" customHeight="1"/>
    <row r="44990" customFormat="1" ht="17.25" customHeight="1"/>
    <row r="44991" customFormat="1" ht="17.25" customHeight="1"/>
    <row r="44992" customFormat="1" ht="17.25" customHeight="1"/>
    <row r="44993" customFormat="1" ht="17.25" customHeight="1"/>
    <row r="44994" customFormat="1" ht="17.25" customHeight="1"/>
    <row r="44995" customFormat="1" ht="17.25" customHeight="1"/>
    <row r="44996" customFormat="1" ht="17.25" customHeight="1"/>
    <row r="44997" customFormat="1" ht="17.25" customHeight="1"/>
    <row r="44998" customFormat="1" ht="17.25" customHeight="1"/>
    <row r="44999" customFormat="1" ht="17.25" customHeight="1"/>
    <row r="45000" customFormat="1" ht="17.25" customHeight="1"/>
    <row r="45001" customFormat="1" ht="17.25" customHeight="1"/>
    <row r="45002" customFormat="1" ht="17.25" customHeight="1"/>
    <row r="45003" customFormat="1" ht="17.25" customHeight="1"/>
    <row r="45004" customFormat="1" ht="17.25" customHeight="1"/>
    <row r="45005" customFormat="1" ht="17.25" customHeight="1"/>
    <row r="45006" customFormat="1" ht="17.25" customHeight="1"/>
    <row r="45007" customFormat="1" ht="17.25" customHeight="1"/>
    <row r="45008" customFormat="1" ht="17.25" customHeight="1"/>
    <row r="45009" customFormat="1" ht="17.25" customHeight="1"/>
    <row r="45010" customFormat="1" ht="17.25" customHeight="1"/>
    <row r="45011" customFormat="1" ht="17.25" customHeight="1"/>
    <row r="45012" customFormat="1" ht="17.25" customHeight="1"/>
    <row r="45013" customFormat="1" ht="17.25" customHeight="1"/>
    <row r="45014" customFormat="1" ht="17.25" customHeight="1"/>
    <row r="45015" customFormat="1" ht="17.25" customHeight="1"/>
    <row r="45016" customFormat="1" ht="17.25" customHeight="1"/>
    <row r="45017" customFormat="1" ht="17.25" customHeight="1"/>
    <row r="45018" customFormat="1" ht="17.25" customHeight="1"/>
    <row r="45019" customFormat="1" ht="17.25" customHeight="1"/>
    <row r="45020" customFormat="1" ht="17.25" customHeight="1"/>
    <row r="45021" customFormat="1" ht="17.25" customHeight="1"/>
    <row r="45022" customFormat="1" ht="17.25" customHeight="1"/>
    <row r="45023" customFormat="1" ht="17.25" customHeight="1"/>
    <row r="45024" customFormat="1" ht="17.25" customHeight="1"/>
    <row r="45025" customFormat="1" ht="17.25" customHeight="1"/>
    <row r="45026" customFormat="1" ht="17.25" customHeight="1"/>
    <row r="45027" customFormat="1" ht="17.25" customHeight="1"/>
    <row r="45028" customFormat="1" ht="17.25" customHeight="1"/>
    <row r="45029" customFormat="1" ht="17.25" customHeight="1"/>
    <row r="45030" customFormat="1" ht="17.25" customHeight="1"/>
    <row r="45031" customFormat="1" ht="17.25" customHeight="1"/>
    <row r="45032" customFormat="1" ht="17.25" customHeight="1"/>
    <row r="45033" customFormat="1" ht="17.25" customHeight="1"/>
    <row r="45034" customFormat="1" ht="17.25" customHeight="1"/>
    <row r="45035" customFormat="1" ht="17.25" customHeight="1"/>
    <row r="45036" customFormat="1" ht="17.25" customHeight="1"/>
    <row r="45037" customFormat="1" ht="17.25" customHeight="1"/>
    <row r="45038" customFormat="1" ht="17.25" customHeight="1"/>
    <row r="45039" customFormat="1" ht="17.25" customHeight="1"/>
    <row r="45040" customFormat="1" ht="17.25" customHeight="1"/>
    <row r="45041" customFormat="1" ht="17.25" customHeight="1"/>
    <row r="45042" customFormat="1" ht="17.25" customHeight="1"/>
    <row r="45043" customFormat="1" ht="17.25" customHeight="1"/>
    <row r="45044" customFormat="1" ht="17.25" customHeight="1"/>
    <row r="45045" customFormat="1" ht="17.25" customHeight="1"/>
    <row r="45046" customFormat="1" ht="17.25" customHeight="1"/>
    <row r="45047" customFormat="1" ht="17.25" customHeight="1"/>
    <row r="45048" customFormat="1" ht="17.25" customHeight="1"/>
    <row r="45049" customFormat="1" ht="17.25" customHeight="1"/>
    <row r="45050" customFormat="1" ht="17.25" customHeight="1"/>
    <row r="45051" customFormat="1" ht="17.25" customHeight="1"/>
    <row r="45052" customFormat="1" ht="17.25" customHeight="1"/>
    <row r="45053" customFormat="1" ht="17.25" customHeight="1"/>
    <row r="45054" customFormat="1" ht="17.25" customHeight="1"/>
    <row r="45055" customFormat="1" ht="17.25" customHeight="1"/>
    <row r="45056" customFormat="1" ht="17.25" customHeight="1"/>
    <row r="45057" customFormat="1" ht="17.25" customHeight="1"/>
    <row r="45058" customFormat="1" ht="17.25" customHeight="1"/>
    <row r="45059" customFormat="1" ht="17.25" customHeight="1"/>
    <row r="45060" customFormat="1" ht="17.25" customHeight="1"/>
    <row r="45061" customFormat="1" ht="17.25" customHeight="1"/>
    <row r="45062" customFormat="1" ht="17.25" customHeight="1"/>
    <row r="45063" customFormat="1" ht="17.25" customHeight="1"/>
    <row r="45064" customFormat="1" ht="17.25" customHeight="1"/>
    <row r="45065" customFormat="1" ht="17.25" customHeight="1"/>
    <row r="45066" customFormat="1" ht="17.25" customHeight="1"/>
    <row r="45067" customFormat="1" ht="17.25" customHeight="1"/>
    <row r="45068" customFormat="1" ht="17.25" customHeight="1"/>
    <row r="45069" customFormat="1" ht="17.25" customHeight="1"/>
    <row r="45070" customFormat="1" ht="17.25" customHeight="1"/>
    <row r="45071" customFormat="1" ht="17.25" customHeight="1"/>
    <row r="45072" customFormat="1" ht="17.25" customHeight="1"/>
    <row r="45073" customFormat="1" ht="17.25" customHeight="1"/>
    <row r="45074" customFormat="1" ht="17.25" customHeight="1"/>
    <row r="45075" customFormat="1" ht="17.25" customHeight="1"/>
    <row r="45076" customFormat="1" ht="17.25" customHeight="1"/>
    <row r="45077" customFormat="1" ht="17.25" customHeight="1"/>
    <row r="45078" customFormat="1" ht="17.25" customHeight="1"/>
    <row r="45079" customFormat="1" ht="17.25" customHeight="1"/>
    <row r="45080" customFormat="1" ht="17.25" customHeight="1"/>
    <row r="45081" customFormat="1" ht="17.25" customHeight="1"/>
    <row r="45082" customFormat="1" ht="17.25" customHeight="1"/>
    <row r="45083" customFormat="1" ht="17.25" customHeight="1"/>
    <row r="45084" customFormat="1" ht="17.25" customHeight="1"/>
    <row r="45085" customFormat="1" ht="17.25" customHeight="1"/>
    <row r="45086" customFormat="1" ht="17.25" customHeight="1"/>
    <row r="45087" customFormat="1" ht="17.25" customHeight="1"/>
    <row r="45088" customFormat="1" ht="17.25" customHeight="1"/>
    <row r="45089" customFormat="1" ht="17.25" customHeight="1"/>
    <row r="45090" customFormat="1" ht="17.25" customHeight="1"/>
    <row r="45091" customFormat="1" ht="17.25" customHeight="1"/>
    <row r="45092" customFormat="1" ht="17.25" customHeight="1"/>
    <row r="45093" customFormat="1" ht="17.25" customHeight="1"/>
    <row r="45094" customFormat="1" ht="17.25" customHeight="1"/>
    <row r="45095" customFormat="1" ht="17.25" customHeight="1"/>
    <row r="45096" customFormat="1" ht="17.25" customHeight="1"/>
    <row r="45097" customFormat="1" ht="17.25" customHeight="1"/>
    <row r="45098" customFormat="1" ht="17.25" customHeight="1"/>
    <row r="45099" customFormat="1" ht="17.25" customHeight="1"/>
    <row r="45100" customFormat="1" ht="17.25" customHeight="1"/>
    <row r="45101" customFormat="1" ht="17.25" customHeight="1"/>
    <row r="45102" customFormat="1" ht="17.25" customHeight="1"/>
    <row r="45103" customFormat="1" ht="17.25" customHeight="1"/>
    <row r="45104" customFormat="1" ht="17.25" customHeight="1"/>
    <row r="45105" customFormat="1" ht="17.25" customHeight="1"/>
    <row r="45106" customFormat="1" ht="17.25" customHeight="1"/>
    <row r="45107" customFormat="1" ht="17.25" customHeight="1"/>
    <row r="45108" customFormat="1" ht="17.25" customHeight="1"/>
    <row r="45109" customFormat="1" ht="17.25" customHeight="1"/>
    <row r="45110" customFormat="1" ht="17.25" customHeight="1"/>
    <row r="45111" customFormat="1" ht="17.25" customHeight="1"/>
    <row r="45112" customFormat="1" ht="17.25" customHeight="1"/>
    <row r="45113" customFormat="1" ht="17.25" customHeight="1"/>
    <row r="45114" customFormat="1" ht="17.25" customHeight="1"/>
    <row r="45115" customFormat="1" ht="17.25" customHeight="1"/>
    <row r="45116" customFormat="1" ht="17.25" customHeight="1"/>
    <row r="45117" customFormat="1" ht="17.25" customHeight="1"/>
    <row r="45118" customFormat="1" ht="17.25" customHeight="1"/>
    <row r="45119" customFormat="1" ht="17.25" customHeight="1"/>
    <row r="45120" customFormat="1" ht="17.25" customHeight="1"/>
    <row r="45121" customFormat="1" ht="17.25" customHeight="1"/>
    <row r="45122" customFormat="1" ht="17.25" customHeight="1"/>
    <row r="45123" customFormat="1" ht="17.25" customHeight="1"/>
    <row r="45124" customFormat="1" ht="17.25" customHeight="1"/>
    <row r="45125" customFormat="1" ht="17.25" customHeight="1"/>
    <row r="45126" customFormat="1" ht="17.25" customHeight="1"/>
    <row r="45127" customFormat="1" ht="17.25" customHeight="1"/>
    <row r="45128" customFormat="1" ht="17.25" customHeight="1"/>
    <row r="45129" customFormat="1" ht="17.25" customHeight="1"/>
    <row r="45130" customFormat="1" ht="17.25" customHeight="1"/>
    <row r="45131" customFormat="1" ht="17.25" customHeight="1"/>
    <row r="45132" customFormat="1" ht="17.25" customHeight="1"/>
    <row r="45133" customFormat="1" ht="17.25" customHeight="1"/>
    <row r="45134" customFormat="1" ht="17.25" customHeight="1"/>
    <row r="45135" customFormat="1" ht="17.25" customHeight="1"/>
    <row r="45136" customFormat="1" ht="17.25" customHeight="1"/>
    <row r="45137" customFormat="1" ht="17.25" customHeight="1"/>
    <row r="45138" customFormat="1" ht="17.25" customHeight="1"/>
    <row r="45139" customFormat="1" ht="17.25" customHeight="1"/>
    <row r="45140" customFormat="1" ht="17.25" customHeight="1"/>
    <row r="45141" customFormat="1" ht="17.25" customHeight="1"/>
    <row r="45142" customFormat="1" ht="17.25" customHeight="1"/>
    <row r="45143" customFormat="1" ht="17.25" customHeight="1"/>
    <row r="45144" customFormat="1" ht="17.25" customHeight="1"/>
    <row r="45145" customFormat="1" ht="17.25" customHeight="1"/>
    <row r="45146" customFormat="1" ht="17.25" customHeight="1"/>
    <row r="45147" customFormat="1" ht="17.25" customHeight="1"/>
    <row r="45148" customFormat="1" ht="17.25" customHeight="1"/>
    <row r="45149" customFormat="1" ht="17.25" customHeight="1"/>
    <row r="45150" customFormat="1" ht="17.25" customHeight="1"/>
    <row r="45151" customFormat="1" ht="17.25" customHeight="1"/>
    <row r="45152" customFormat="1" ht="17.25" customHeight="1"/>
    <row r="45153" customFormat="1" ht="17.25" customHeight="1"/>
    <row r="45154" customFormat="1" ht="17.25" customHeight="1"/>
    <row r="45155" customFormat="1" ht="17.25" customHeight="1"/>
    <row r="45156" customFormat="1" ht="17.25" customHeight="1"/>
    <row r="45157" customFormat="1" ht="17.25" customHeight="1"/>
    <row r="45158" customFormat="1" ht="17.25" customHeight="1"/>
    <row r="45159" customFormat="1" ht="17.25" customHeight="1"/>
    <row r="45160" customFormat="1" ht="17.25" customHeight="1"/>
    <row r="45161" customFormat="1" ht="17.25" customHeight="1"/>
    <row r="45162" customFormat="1" ht="17.25" customHeight="1"/>
    <row r="45163" customFormat="1" ht="17.25" customHeight="1"/>
    <row r="45164" customFormat="1" ht="17.25" customHeight="1"/>
    <row r="45165" customFormat="1" ht="17.25" customHeight="1"/>
    <row r="45166" customFormat="1" ht="17.25" customHeight="1"/>
    <row r="45167" customFormat="1" ht="17.25" customHeight="1"/>
    <row r="45168" customFormat="1" ht="17.25" customHeight="1"/>
    <row r="45169" customFormat="1" ht="17.25" customHeight="1"/>
    <row r="45170" customFormat="1" ht="17.25" customHeight="1"/>
    <row r="45171" customFormat="1" ht="17.25" customHeight="1"/>
    <row r="45172" customFormat="1" ht="17.25" customHeight="1"/>
    <row r="45173" customFormat="1" ht="17.25" customHeight="1"/>
    <row r="45174" customFormat="1" ht="17.25" customHeight="1"/>
    <row r="45175" customFormat="1" ht="17.25" customHeight="1"/>
    <row r="45176" customFormat="1" ht="17.25" customHeight="1"/>
    <row r="45177" customFormat="1" ht="17.25" customHeight="1"/>
    <row r="45178" customFormat="1" ht="17.25" customHeight="1"/>
    <row r="45179" customFormat="1" ht="17.25" customHeight="1"/>
    <row r="45180" customFormat="1" ht="17.25" customHeight="1"/>
    <row r="45181" customFormat="1" ht="17.25" customHeight="1"/>
    <row r="45182" customFormat="1" ht="17.25" customHeight="1"/>
    <row r="45183" customFormat="1" ht="17.25" customHeight="1"/>
    <row r="45184" customFormat="1" ht="17.25" customHeight="1"/>
    <row r="45185" customFormat="1" ht="17.25" customHeight="1"/>
    <row r="45186" customFormat="1" ht="17.25" customHeight="1"/>
    <row r="45187" customFormat="1" ht="17.25" customHeight="1"/>
    <row r="45188" customFormat="1" ht="17.25" customHeight="1"/>
    <row r="45189" customFormat="1" ht="17.25" customHeight="1"/>
    <row r="45190" customFormat="1" ht="17.25" customHeight="1"/>
    <row r="45191" customFormat="1" ht="17.25" customHeight="1"/>
    <row r="45192" customFormat="1" ht="17.25" customHeight="1"/>
    <row r="45193" customFormat="1" ht="17.25" customHeight="1"/>
    <row r="45194" customFormat="1" ht="17.25" customHeight="1"/>
    <row r="45195" customFormat="1" ht="17.25" customHeight="1"/>
    <row r="45196" customFormat="1" ht="17.25" customHeight="1"/>
    <row r="45197" customFormat="1" ht="17.25" customHeight="1"/>
    <row r="45198" customFormat="1" ht="17.25" customHeight="1"/>
    <row r="45199" customFormat="1" ht="17.25" customHeight="1"/>
    <row r="45200" customFormat="1" ht="17.25" customHeight="1"/>
    <row r="45201" customFormat="1" ht="17.25" customHeight="1"/>
    <row r="45202" customFormat="1" ht="17.25" customHeight="1"/>
    <row r="45203" customFormat="1" ht="17.25" customHeight="1"/>
    <row r="45204" customFormat="1" ht="17.25" customHeight="1"/>
    <row r="45205" customFormat="1" ht="17.25" customHeight="1"/>
    <row r="45206" customFormat="1" ht="17.25" customHeight="1"/>
    <row r="45207" customFormat="1" ht="17.25" customHeight="1"/>
    <row r="45208" customFormat="1" ht="17.25" customHeight="1"/>
    <row r="45209" customFormat="1" ht="17.25" customHeight="1"/>
    <row r="45210" customFormat="1" ht="17.25" customHeight="1"/>
    <row r="45211" customFormat="1" ht="17.25" customHeight="1"/>
    <row r="45212" customFormat="1" ht="17.25" customHeight="1"/>
    <row r="45213" customFormat="1" ht="17.25" customHeight="1"/>
    <row r="45214" customFormat="1" ht="17.25" customHeight="1"/>
    <row r="45215" customFormat="1" ht="17.25" customHeight="1"/>
    <row r="45216" customFormat="1" ht="17.25" customHeight="1"/>
    <row r="45217" customFormat="1" ht="17.25" customHeight="1"/>
    <row r="45218" customFormat="1" ht="17.25" customHeight="1"/>
    <row r="45219" customFormat="1" ht="17.25" customHeight="1"/>
    <row r="45220" customFormat="1" ht="17.25" customHeight="1"/>
    <row r="45221" customFormat="1" ht="17.25" customHeight="1"/>
    <row r="45222" customFormat="1" ht="17.25" customHeight="1"/>
    <row r="45223" customFormat="1" ht="17.25" customHeight="1"/>
    <row r="45224" customFormat="1" ht="17.25" customHeight="1"/>
    <row r="45225" customFormat="1" ht="17.25" customHeight="1"/>
    <row r="45226" customFormat="1" ht="17.25" customHeight="1"/>
    <row r="45227" customFormat="1" ht="17.25" customHeight="1"/>
    <row r="45228" customFormat="1" ht="17.25" customHeight="1"/>
    <row r="45229" customFormat="1" ht="17.25" customHeight="1"/>
    <row r="45230" customFormat="1" ht="17.25" customHeight="1"/>
    <row r="45231" customFormat="1" ht="17.25" customHeight="1"/>
    <row r="45232" customFormat="1" ht="17.25" customHeight="1"/>
    <row r="45233" customFormat="1" ht="17.25" customHeight="1"/>
    <row r="45234" customFormat="1" ht="17.25" customHeight="1"/>
    <row r="45235" customFormat="1" ht="17.25" customHeight="1"/>
    <row r="45236" customFormat="1" ht="17.25" customHeight="1"/>
    <row r="45237" customFormat="1" ht="17.25" customHeight="1"/>
    <row r="45238" customFormat="1" ht="17.25" customHeight="1"/>
    <row r="45239" customFormat="1" ht="17.25" customHeight="1"/>
    <row r="45240" customFormat="1" ht="17.25" customHeight="1"/>
    <row r="45241" customFormat="1" ht="17.25" customHeight="1"/>
    <row r="45242" customFormat="1" ht="17.25" customHeight="1"/>
    <row r="45243" customFormat="1" ht="17.25" customHeight="1"/>
    <row r="45244" customFormat="1" ht="17.25" customHeight="1"/>
    <row r="45245" customFormat="1" ht="17.25" customHeight="1"/>
    <row r="45246" customFormat="1" ht="17.25" customHeight="1"/>
    <row r="45247" customFormat="1" ht="17.25" customHeight="1"/>
    <row r="45248" customFormat="1" ht="17.25" customHeight="1"/>
    <row r="45249" customFormat="1" ht="17.25" customHeight="1"/>
    <row r="45250" customFormat="1" ht="17.25" customHeight="1"/>
    <row r="45251" customFormat="1" ht="17.25" customHeight="1"/>
    <row r="45252" customFormat="1" ht="17.25" customHeight="1"/>
    <row r="45253" customFormat="1" ht="17.25" customHeight="1"/>
    <row r="45254" customFormat="1" ht="17.25" customHeight="1"/>
    <row r="45255" customFormat="1" ht="17.25" customHeight="1"/>
    <row r="45256" customFormat="1" ht="17.25" customHeight="1"/>
    <row r="45257" customFormat="1" ht="17.25" customHeight="1"/>
    <row r="45258" customFormat="1" ht="17.25" customHeight="1"/>
    <row r="45259" customFormat="1" ht="17.25" customHeight="1"/>
    <row r="45260" customFormat="1" ht="17.25" customHeight="1"/>
    <row r="45261" customFormat="1" ht="17.25" customHeight="1"/>
    <row r="45262" customFormat="1" ht="17.25" customHeight="1"/>
    <row r="45263" customFormat="1" ht="17.25" customHeight="1"/>
    <row r="45264" customFormat="1" ht="17.25" customHeight="1"/>
    <row r="45265" customFormat="1" ht="17.25" customHeight="1"/>
    <row r="45266" customFormat="1" ht="17.25" customHeight="1"/>
    <row r="45267" customFormat="1" ht="17.25" customHeight="1"/>
    <row r="45268" customFormat="1" ht="17.25" customHeight="1"/>
    <row r="45269" customFormat="1" ht="17.25" customHeight="1"/>
    <row r="45270" customFormat="1" ht="17.25" customHeight="1"/>
    <row r="45271" customFormat="1" ht="17.25" customHeight="1"/>
    <row r="45272" customFormat="1" ht="17.25" customHeight="1"/>
    <row r="45273" customFormat="1" ht="17.25" customHeight="1"/>
    <row r="45274" customFormat="1" ht="17.25" customHeight="1"/>
    <row r="45275" customFormat="1" ht="17.25" customHeight="1"/>
    <row r="45276" customFormat="1" ht="17.25" customHeight="1"/>
    <row r="45277" customFormat="1" ht="17.25" customHeight="1"/>
    <row r="45278" customFormat="1" ht="17.25" customHeight="1"/>
    <row r="45279" customFormat="1" ht="17.25" customHeight="1"/>
    <row r="45280" customFormat="1" ht="17.25" customHeight="1"/>
    <row r="45281" customFormat="1" ht="17.25" customHeight="1"/>
    <row r="45282" customFormat="1" ht="17.25" customHeight="1"/>
    <row r="45283" customFormat="1" ht="17.25" customHeight="1"/>
    <row r="45284" customFormat="1" ht="17.25" customHeight="1"/>
    <row r="45285" customFormat="1" ht="17.25" customHeight="1"/>
    <row r="45286" customFormat="1" ht="17.25" customHeight="1"/>
    <row r="45287" customFormat="1" ht="17.25" customHeight="1"/>
    <row r="45288" customFormat="1" ht="17.25" customHeight="1"/>
    <row r="45289" customFormat="1" ht="17.25" customHeight="1"/>
    <row r="45290" customFormat="1" ht="17.25" customHeight="1"/>
    <row r="45291" customFormat="1" ht="17.25" customHeight="1"/>
    <row r="45292" customFormat="1" ht="17.25" customHeight="1"/>
    <row r="45293" customFormat="1" ht="17.25" customHeight="1"/>
    <row r="45294" customFormat="1" ht="17.25" customHeight="1"/>
    <row r="45295" customFormat="1" ht="17.25" customHeight="1"/>
    <row r="45296" customFormat="1" ht="17.25" customHeight="1"/>
    <row r="45297" customFormat="1" ht="17.25" customHeight="1"/>
    <row r="45298" customFormat="1" ht="17.25" customHeight="1"/>
    <row r="45299" customFormat="1" ht="17.25" customHeight="1"/>
    <row r="45300" customFormat="1" ht="17.25" customHeight="1"/>
    <row r="45301" customFormat="1" ht="17.25" customHeight="1"/>
    <row r="45302" customFormat="1" ht="17.25" customHeight="1"/>
    <row r="45303" customFormat="1" ht="17.25" customHeight="1"/>
    <row r="45304" customFormat="1" ht="17.25" customHeight="1"/>
    <row r="45305" customFormat="1" ht="17.25" customHeight="1"/>
    <row r="45306" customFormat="1" ht="17.25" customHeight="1"/>
    <row r="45307" customFormat="1" ht="17.25" customHeight="1"/>
    <row r="45308" customFormat="1" ht="17.25" customHeight="1"/>
    <row r="45309" customFormat="1" ht="17.25" customHeight="1"/>
    <row r="45310" customFormat="1" ht="17.25" customHeight="1"/>
    <row r="45311" customFormat="1" ht="17.25" customHeight="1"/>
    <row r="45312" customFormat="1" ht="17.25" customHeight="1"/>
    <row r="45313" customFormat="1" ht="17.25" customHeight="1"/>
    <row r="45314" customFormat="1" ht="17.25" customHeight="1"/>
    <row r="45315" customFormat="1" ht="17.25" customHeight="1"/>
    <row r="45316" customFormat="1" ht="17.25" customHeight="1"/>
    <row r="45317" customFormat="1" ht="17.25" customHeight="1"/>
    <row r="45318" customFormat="1" ht="17.25" customHeight="1"/>
    <row r="45319" customFormat="1" ht="17.25" customHeight="1"/>
    <row r="45320" customFormat="1" ht="17.25" customHeight="1"/>
    <row r="45321" customFormat="1" ht="17.25" customHeight="1"/>
    <row r="45322" customFormat="1" ht="17.25" customHeight="1"/>
    <row r="45323" customFormat="1" ht="17.25" customHeight="1"/>
    <row r="45324" customFormat="1" ht="17.25" customHeight="1"/>
    <row r="45325" customFormat="1" ht="17.25" customHeight="1"/>
    <row r="45326" customFormat="1" ht="17.25" customHeight="1"/>
    <row r="45327" customFormat="1" ht="17.25" customHeight="1"/>
    <row r="45328" customFormat="1" ht="17.25" customHeight="1"/>
    <row r="45329" customFormat="1" ht="17.25" customHeight="1"/>
    <row r="45330" customFormat="1" ht="17.25" customHeight="1"/>
    <row r="45331" customFormat="1" ht="17.25" customHeight="1"/>
    <row r="45332" customFormat="1" ht="17.25" customHeight="1"/>
    <row r="45333" customFormat="1" ht="17.25" customHeight="1"/>
    <row r="45334" customFormat="1" ht="17.25" customHeight="1"/>
    <row r="45335" customFormat="1" ht="17.25" customHeight="1"/>
    <row r="45336" customFormat="1" ht="17.25" customHeight="1"/>
    <row r="45337" customFormat="1" ht="17.25" customHeight="1"/>
    <row r="45338" customFormat="1" ht="17.25" customHeight="1"/>
    <row r="45339" customFormat="1" ht="17.25" customHeight="1"/>
    <row r="45340" customFormat="1" ht="17.25" customHeight="1"/>
    <row r="45341" customFormat="1" ht="17.25" customHeight="1"/>
    <row r="45342" customFormat="1" ht="17.25" customHeight="1"/>
    <row r="45343" customFormat="1" ht="17.25" customHeight="1"/>
    <row r="45344" customFormat="1" ht="17.25" customHeight="1"/>
    <row r="45345" customFormat="1" ht="17.25" customHeight="1"/>
    <row r="45346" customFormat="1" ht="17.25" customHeight="1"/>
    <row r="45347" customFormat="1" ht="17.25" customHeight="1"/>
    <row r="45348" customFormat="1" ht="17.25" customHeight="1"/>
    <row r="45349" customFormat="1" ht="17.25" customHeight="1"/>
    <row r="45350" customFormat="1" ht="17.25" customHeight="1"/>
    <row r="45351" customFormat="1" ht="17.25" customHeight="1"/>
    <row r="45352" customFormat="1" ht="17.25" customHeight="1"/>
    <row r="45353" customFormat="1" ht="17.25" customHeight="1"/>
    <row r="45354" customFormat="1" ht="17.25" customHeight="1"/>
    <row r="45355" customFormat="1" ht="17.25" customHeight="1"/>
    <row r="45356" customFormat="1" ht="17.25" customHeight="1"/>
    <row r="45357" customFormat="1" ht="17.25" customHeight="1"/>
    <row r="45358" customFormat="1" ht="17.25" customHeight="1"/>
    <row r="45359" customFormat="1" ht="17.25" customHeight="1"/>
    <row r="45360" customFormat="1" ht="17.25" customHeight="1"/>
    <row r="45361" customFormat="1" ht="17.25" customHeight="1"/>
    <row r="45362" customFormat="1" ht="17.25" customHeight="1"/>
    <row r="45363" customFormat="1" ht="17.25" customHeight="1"/>
    <row r="45364" customFormat="1" ht="17.25" customHeight="1"/>
    <row r="45365" customFormat="1" ht="17.25" customHeight="1"/>
    <row r="45366" customFormat="1" ht="17.25" customHeight="1"/>
    <row r="45367" customFormat="1" ht="17.25" customHeight="1"/>
    <row r="45368" customFormat="1" ht="17.25" customHeight="1"/>
    <row r="45369" customFormat="1" ht="17.25" customHeight="1"/>
    <row r="45370" customFormat="1" ht="17.25" customHeight="1"/>
    <row r="45371" customFormat="1" ht="17.25" customHeight="1"/>
    <row r="45372" customFormat="1" ht="17.25" customHeight="1"/>
    <row r="45373" customFormat="1" ht="17.25" customHeight="1"/>
    <row r="45374" customFormat="1" ht="17.25" customHeight="1"/>
    <row r="45375" customFormat="1" ht="17.25" customHeight="1"/>
    <row r="45376" customFormat="1" ht="17.25" customHeight="1"/>
    <row r="45377" customFormat="1" ht="17.25" customHeight="1"/>
    <row r="45378" customFormat="1" ht="17.25" customHeight="1"/>
    <row r="45379" customFormat="1" ht="17.25" customHeight="1"/>
    <row r="45380" customFormat="1" ht="17.25" customHeight="1"/>
    <row r="45381" customFormat="1" ht="17.25" customHeight="1"/>
    <row r="45382" customFormat="1" ht="17.25" customHeight="1"/>
    <row r="45383" customFormat="1" ht="17.25" customHeight="1"/>
    <row r="45384" customFormat="1" ht="17.25" customHeight="1"/>
    <row r="45385" customFormat="1" ht="17.25" customHeight="1"/>
    <row r="45386" customFormat="1" ht="17.25" customHeight="1"/>
    <row r="45387" customFormat="1" ht="17.25" customHeight="1"/>
    <row r="45388" customFormat="1" ht="17.25" customHeight="1"/>
    <row r="45389" customFormat="1" ht="17.25" customHeight="1"/>
    <row r="45390" customFormat="1" ht="17.25" customHeight="1"/>
    <row r="45391" customFormat="1" ht="17.25" customHeight="1"/>
    <row r="45392" customFormat="1" ht="17.25" customHeight="1"/>
    <row r="45393" customFormat="1" ht="17.25" customHeight="1"/>
    <row r="45394" customFormat="1" ht="17.25" customHeight="1"/>
    <row r="45395" customFormat="1" ht="17.25" customHeight="1"/>
    <row r="45396" customFormat="1" ht="17.25" customHeight="1"/>
    <row r="45397" customFormat="1" ht="17.25" customHeight="1"/>
    <row r="45398" customFormat="1" ht="17.25" customHeight="1"/>
    <row r="45399" customFormat="1" ht="17.25" customHeight="1"/>
    <row r="45400" customFormat="1" ht="17.25" customHeight="1"/>
    <row r="45401" customFormat="1" ht="17.25" customHeight="1"/>
    <row r="45402" customFormat="1" ht="17.25" customHeight="1"/>
    <row r="45403" customFormat="1" ht="17.25" customHeight="1"/>
    <row r="45404" customFormat="1" ht="17.25" customHeight="1"/>
    <row r="45405" customFormat="1" ht="17.25" customHeight="1"/>
    <row r="45406" customFormat="1" ht="17.25" customHeight="1"/>
    <row r="45407" customFormat="1" ht="17.25" customHeight="1"/>
    <row r="45408" customFormat="1" ht="17.25" customHeight="1"/>
    <row r="45409" customFormat="1" ht="17.25" customHeight="1"/>
    <row r="45410" customFormat="1" ht="17.25" customHeight="1"/>
    <row r="45411" customFormat="1" ht="17.25" customHeight="1"/>
    <row r="45412" customFormat="1" ht="17.25" customHeight="1"/>
    <row r="45413" customFormat="1" ht="17.25" customHeight="1"/>
    <row r="45414" customFormat="1" ht="17.25" customHeight="1"/>
    <row r="45415" customFormat="1" ht="17.25" customHeight="1"/>
    <row r="45416" customFormat="1" ht="17.25" customHeight="1"/>
    <row r="45417" customFormat="1" ht="17.25" customHeight="1"/>
    <row r="45418" customFormat="1" ht="17.25" customHeight="1"/>
    <row r="45419" customFormat="1" ht="17.25" customHeight="1"/>
    <row r="45420" customFormat="1" ht="17.25" customHeight="1"/>
    <row r="45421" customFormat="1" ht="17.25" customHeight="1"/>
    <row r="45422" customFormat="1" ht="17.25" customHeight="1"/>
    <row r="45423" customFormat="1" ht="17.25" customHeight="1"/>
    <row r="45424" customFormat="1" ht="17.25" customHeight="1"/>
    <row r="45425" customFormat="1" ht="17.25" customHeight="1"/>
    <row r="45426" customFormat="1" ht="17.25" customHeight="1"/>
    <row r="45427" customFormat="1" ht="17.25" customHeight="1"/>
    <row r="45428" customFormat="1" ht="17.25" customHeight="1"/>
    <row r="45429" customFormat="1" ht="17.25" customHeight="1"/>
    <row r="45430" customFormat="1" ht="17.25" customHeight="1"/>
    <row r="45431" customFormat="1" ht="17.25" customHeight="1"/>
    <row r="45432" customFormat="1" ht="17.25" customHeight="1"/>
    <row r="45433" customFormat="1" ht="17.25" customHeight="1"/>
    <row r="45434" customFormat="1" ht="17.25" customHeight="1"/>
    <row r="45435" customFormat="1" ht="17.25" customHeight="1"/>
    <row r="45436" customFormat="1" ht="17.25" customHeight="1"/>
    <row r="45437" customFormat="1" ht="17.25" customHeight="1"/>
    <row r="45438" customFormat="1" ht="17.25" customHeight="1"/>
    <row r="45439" customFormat="1" ht="17.25" customHeight="1"/>
    <row r="45440" customFormat="1" ht="17.25" customHeight="1"/>
    <row r="45441" customFormat="1" ht="17.25" customHeight="1"/>
    <row r="45442" customFormat="1" ht="17.25" customHeight="1"/>
    <row r="45443" customFormat="1" ht="17.25" customHeight="1"/>
    <row r="45444" customFormat="1" ht="17.25" customHeight="1"/>
    <row r="45445" customFormat="1" ht="17.25" customHeight="1"/>
    <row r="45446" customFormat="1" ht="17.25" customHeight="1"/>
    <row r="45447" customFormat="1" ht="17.25" customHeight="1"/>
    <row r="45448" customFormat="1" ht="17.25" customHeight="1"/>
    <row r="45449" customFormat="1" ht="17.25" customHeight="1"/>
    <row r="45450" customFormat="1" ht="17.25" customHeight="1"/>
    <row r="45451" customFormat="1" ht="17.25" customHeight="1"/>
    <row r="45452" customFormat="1" ht="17.25" customHeight="1"/>
    <row r="45453" customFormat="1" ht="17.25" customHeight="1"/>
    <row r="45454" customFormat="1" ht="17.25" customHeight="1"/>
    <row r="45455" customFormat="1" ht="17.25" customHeight="1"/>
    <row r="45456" customFormat="1" ht="17.25" customHeight="1"/>
    <row r="45457" customFormat="1" ht="17.25" customHeight="1"/>
    <row r="45458" customFormat="1" ht="17.25" customHeight="1"/>
    <row r="45459" customFormat="1" ht="17.25" customHeight="1"/>
    <row r="45460" customFormat="1" ht="17.25" customHeight="1"/>
    <row r="45461" customFormat="1" ht="17.25" customHeight="1"/>
    <row r="45462" customFormat="1" ht="17.25" customHeight="1"/>
    <row r="45463" customFormat="1" ht="17.25" customHeight="1"/>
    <row r="45464" customFormat="1" ht="17.25" customHeight="1"/>
    <row r="45465" customFormat="1" ht="17.25" customHeight="1"/>
    <row r="45466" customFormat="1" ht="17.25" customHeight="1"/>
    <row r="45467" customFormat="1" ht="17.25" customHeight="1"/>
    <row r="45468" customFormat="1" ht="17.25" customHeight="1"/>
    <row r="45469" customFormat="1" ht="17.25" customHeight="1"/>
    <row r="45470" customFormat="1" ht="17.25" customHeight="1"/>
    <row r="45471" customFormat="1" ht="17.25" customHeight="1"/>
    <row r="45472" customFormat="1" ht="17.25" customHeight="1"/>
    <row r="45473" customFormat="1" ht="17.25" customHeight="1"/>
    <row r="45474" customFormat="1" ht="17.25" customHeight="1"/>
    <row r="45475" customFormat="1" ht="17.25" customHeight="1"/>
    <row r="45476" customFormat="1" ht="17.25" customHeight="1"/>
    <row r="45477" customFormat="1" ht="17.25" customHeight="1"/>
    <row r="45478" customFormat="1" ht="17.25" customHeight="1"/>
    <row r="45479" customFormat="1" ht="17.25" customHeight="1"/>
    <row r="45480" customFormat="1" ht="17.25" customHeight="1"/>
    <row r="45481" customFormat="1" ht="17.25" customHeight="1"/>
    <row r="45482" customFormat="1" ht="17.25" customHeight="1"/>
    <row r="45483" customFormat="1" ht="17.25" customHeight="1"/>
    <row r="45484" customFormat="1" ht="17.25" customHeight="1"/>
    <row r="45485" customFormat="1" ht="17.25" customHeight="1"/>
    <row r="45486" customFormat="1" ht="17.25" customHeight="1"/>
    <row r="45487" customFormat="1" ht="17.25" customHeight="1"/>
    <row r="45488" customFormat="1" ht="17.25" customHeight="1"/>
    <row r="45489" customFormat="1" ht="17.25" customHeight="1"/>
    <row r="45490" customFormat="1" ht="17.25" customHeight="1"/>
    <row r="45491" customFormat="1" ht="17.25" customHeight="1"/>
    <row r="45492" customFormat="1" ht="17.25" customHeight="1"/>
    <row r="45493" customFormat="1" ht="17.25" customHeight="1"/>
    <row r="45494" customFormat="1" ht="17.25" customHeight="1"/>
    <row r="45495" customFormat="1" ht="17.25" customHeight="1"/>
    <row r="45496" customFormat="1" ht="17.25" customHeight="1"/>
    <row r="45497" customFormat="1" ht="17.25" customHeight="1"/>
    <row r="45498" customFormat="1" ht="17.25" customHeight="1"/>
    <row r="45499" customFormat="1" ht="17.25" customHeight="1"/>
    <row r="45500" customFormat="1" ht="17.25" customHeight="1"/>
    <row r="45501" customFormat="1" ht="17.25" customHeight="1"/>
    <row r="45502" customFormat="1" ht="17.25" customHeight="1"/>
    <row r="45503" customFormat="1" ht="17.25" customHeight="1"/>
    <row r="45504" customFormat="1" ht="17.25" customHeight="1"/>
    <row r="45505" customFormat="1" ht="17.25" customHeight="1"/>
    <row r="45506" customFormat="1" ht="17.25" customHeight="1"/>
    <row r="45507" customFormat="1" ht="17.25" customHeight="1"/>
    <row r="45508" customFormat="1" ht="17.25" customHeight="1"/>
    <row r="45509" customFormat="1" ht="17.25" customHeight="1"/>
    <row r="45510" customFormat="1" ht="17.25" customHeight="1"/>
    <row r="45511" customFormat="1" ht="17.25" customHeight="1"/>
    <row r="45512" customFormat="1" ht="17.25" customHeight="1"/>
    <row r="45513" customFormat="1" ht="17.25" customHeight="1"/>
    <row r="45514" customFormat="1" ht="17.25" customHeight="1"/>
    <row r="45515" customFormat="1" ht="17.25" customHeight="1"/>
    <row r="45516" customFormat="1" ht="17.25" customHeight="1"/>
    <row r="45517" customFormat="1" ht="17.25" customHeight="1"/>
    <row r="45518" customFormat="1" ht="17.25" customHeight="1"/>
    <row r="45519" customFormat="1" ht="17.25" customHeight="1"/>
    <row r="45520" customFormat="1" ht="17.25" customHeight="1"/>
    <row r="45521" customFormat="1" ht="17.25" customHeight="1"/>
    <row r="45522" customFormat="1" ht="17.25" customHeight="1"/>
    <row r="45523" customFormat="1" ht="17.25" customHeight="1"/>
    <row r="45524" customFormat="1" ht="17.25" customHeight="1"/>
    <row r="45525" customFormat="1" ht="17.25" customHeight="1"/>
    <row r="45526" customFormat="1" ht="17.25" customHeight="1"/>
    <row r="45527" customFormat="1" ht="17.25" customHeight="1"/>
    <row r="45528" customFormat="1" ht="17.25" customHeight="1"/>
    <row r="45529" customFormat="1" ht="17.25" customHeight="1"/>
    <row r="45530" customFormat="1" ht="17.25" customHeight="1"/>
    <row r="45531" customFormat="1" ht="17.25" customHeight="1"/>
    <row r="45532" customFormat="1" ht="17.25" customHeight="1"/>
    <row r="45533" customFormat="1" ht="17.25" customHeight="1"/>
    <row r="45534" customFormat="1" ht="17.25" customHeight="1"/>
    <row r="45535" customFormat="1" ht="17.25" customHeight="1"/>
    <row r="45536" customFormat="1" ht="17.25" customHeight="1"/>
    <row r="45537" customFormat="1" ht="17.25" customHeight="1"/>
    <row r="45538" customFormat="1" ht="17.25" customHeight="1"/>
    <row r="45539" customFormat="1" ht="17.25" customHeight="1"/>
    <row r="45540" customFormat="1" ht="17.25" customHeight="1"/>
    <row r="45541" customFormat="1" ht="17.25" customHeight="1"/>
    <row r="45542" customFormat="1" ht="17.25" customHeight="1"/>
    <row r="45543" customFormat="1" ht="17.25" customHeight="1"/>
    <row r="45544" customFormat="1" ht="17.25" customHeight="1"/>
    <row r="45545" customFormat="1" ht="17.25" customHeight="1"/>
    <row r="45546" customFormat="1" ht="17.25" customHeight="1"/>
    <row r="45547" customFormat="1" ht="17.25" customHeight="1"/>
    <row r="45548" customFormat="1" ht="17.25" customHeight="1"/>
    <row r="45549" customFormat="1" ht="17.25" customHeight="1"/>
    <row r="45550" customFormat="1" ht="17.25" customHeight="1"/>
    <row r="45551" customFormat="1" ht="17.25" customHeight="1"/>
    <row r="45552" customFormat="1" ht="17.25" customHeight="1"/>
    <row r="45553" customFormat="1" ht="17.25" customHeight="1"/>
    <row r="45554" customFormat="1" ht="17.25" customHeight="1"/>
    <row r="45555" customFormat="1" ht="17.25" customHeight="1"/>
    <row r="45556" customFormat="1" ht="17.25" customHeight="1"/>
    <row r="45557" customFormat="1" ht="17.25" customHeight="1"/>
    <row r="45558" customFormat="1" ht="17.25" customHeight="1"/>
    <row r="45559" customFormat="1" ht="17.25" customHeight="1"/>
    <row r="45560" customFormat="1" ht="17.25" customHeight="1"/>
    <row r="45561" customFormat="1" ht="17.25" customHeight="1"/>
    <row r="45562" customFormat="1" ht="17.25" customHeight="1"/>
    <row r="45563" customFormat="1" ht="17.25" customHeight="1"/>
    <row r="45564" customFormat="1" ht="17.25" customHeight="1"/>
    <row r="45565" customFormat="1" ht="17.25" customHeight="1"/>
    <row r="45566" customFormat="1" ht="17.25" customHeight="1"/>
    <row r="45567" customFormat="1" ht="17.25" customHeight="1"/>
    <row r="45568" customFormat="1" ht="17.25" customHeight="1"/>
    <row r="45569" customFormat="1" ht="17.25" customHeight="1"/>
    <row r="45570" customFormat="1" ht="17.25" customHeight="1"/>
    <row r="45571" customFormat="1" ht="17.25" customHeight="1"/>
    <row r="45572" customFormat="1" ht="17.25" customHeight="1"/>
    <row r="45573" customFormat="1" ht="17.25" customHeight="1"/>
    <row r="45574" customFormat="1" ht="17.25" customHeight="1"/>
    <row r="45575" customFormat="1" ht="17.25" customHeight="1"/>
    <row r="45576" customFormat="1" ht="17.25" customHeight="1"/>
    <row r="45577" customFormat="1" ht="17.25" customHeight="1"/>
    <row r="45578" customFormat="1" ht="17.25" customHeight="1"/>
    <row r="45579" customFormat="1" ht="17.25" customHeight="1"/>
    <row r="45580" customFormat="1" ht="17.25" customHeight="1"/>
    <row r="45581" customFormat="1" ht="17.25" customHeight="1"/>
    <row r="45582" customFormat="1" ht="17.25" customHeight="1"/>
    <row r="45583" customFormat="1" ht="17.25" customHeight="1"/>
    <row r="45584" customFormat="1" ht="17.25" customHeight="1"/>
    <row r="45585" customFormat="1" ht="17.25" customHeight="1"/>
    <row r="45586" customFormat="1" ht="17.25" customHeight="1"/>
    <row r="45587" customFormat="1" ht="17.25" customHeight="1"/>
    <row r="45588" customFormat="1" ht="17.25" customHeight="1"/>
    <row r="45589" customFormat="1" ht="17.25" customHeight="1"/>
    <row r="45590" customFormat="1" ht="17.25" customHeight="1"/>
    <row r="45591" customFormat="1" ht="17.25" customHeight="1"/>
    <row r="45592" customFormat="1" ht="17.25" customHeight="1"/>
    <row r="45593" customFormat="1" ht="17.25" customHeight="1"/>
    <row r="45594" customFormat="1" ht="17.25" customHeight="1"/>
    <row r="45595" customFormat="1" ht="17.25" customHeight="1"/>
    <row r="45596" customFormat="1" ht="17.25" customHeight="1"/>
    <row r="45597" customFormat="1" ht="17.25" customHeight="1"/>
    <row r="45598" customFormat="1" ht="17.25" customHeight="1"/>
    <row r="45599" customFormat="1" ht="17.25" customHeight="1"/>
    <row r="45600" customFormat="1" ht="17.25" customHeight="1"/>
    <row r="45601" customFormat="1" ht="17.25" customHeight="1"/>
    <row r="45602" customFormat="1" ht="17.25" customHeight="1"/>
    <row r="45603" customFormat="1" ht="17.25" customHeight="1"/>
    <row r="45604" customFormat="1" ht="17.25" customHeight="1"/>
    <row r="45605" customFormat="1" ht="17.25" customHeight="1"/>
    <row r="45606" customFormat="1" ht="17.25" customHeight="1"/>
    <row r="45607" customFormat="1" ht="17.25" customHeight="1"/>
    <row r="45608" customFormat="1" ht="17.25" customHeight="1"/>
    <row r="45609" customFormat="1" ht="17.25" customHeight="1"/>
    <row r="45610" customFormat="1" ht="17.25" customHeight="1"/>
    <row r="45611" customFormat="1" ht="17.25" customHeight="1"/>
    <row r="45612" customFormat="1" ht="17.25" customHeight="1"/>
    <row r="45613" customFormat="1" ht="17.25" customHeight="1"/>
    <row r="45614" customFormat="1" ht="17.25" customHeight="1"/>
    <row r="45615" customFormat="1" ht="17.25" customHeight="1"/>
    <row r="45616" customFormat="1" ht="17.25" customHeight="1"/>
    <row r="45617" customFormat="1" ht="17.25" customHeight="1"/>
    <row r="45618" customFormat="1" ht="17.25" customHeight="1"/>
    <row r="45619" customFormat="1" ht="17.25" customHeight="1"/>
    <row r="45620" customFormat="1" ht="17.25" customHeight="1"/>
    <row r="45621" customFormat="1" ht="17.25" customHeight="1"/>
    <row r="45622" customFormat="1" ht="17.25" customHeight="1"/>
    <row r="45623" customFormat="1" ht="17.25" customHeight="1"/>
    <row r="45624" customFormat="1" ht="17.25" customHeight="1"/>
    <row r="45625" customFormat="1" ht="17.25" customHeight="1"/>
    <row r="45626" customFormat="1" ht="17.25" customHeight="1"/>
    <row r="45627" customFormat="1" ht="17.25" customHeight="1"/>
    <row r="45628" customFormat="1" ht="17.25" customHeight="1"/>
    <row r="45629" customFormat="1" ht="17.25" customHeight="1"/>
    <row r="45630" customFormat="1" ht="17.25" customHeight="1"/>
    <row r="45631" customFormat="1" ht="17.25" customHeight="1"/>
    <row r="45632" customFormat="1" ht="17.25" customHeight="1"/>
    <row r="45633" customFormat="1" ht="17.25" customHeight="1"/>
    <row r="45634" customFormat="1" ht="17.25" customHeight="1"/>
    <row r="45635" customFormat="1" ht="17.25" customHeight="1"/>
    <row r="45636" customFormat="1" ht="17.25" customHeight="1"/>
    <row r="45637" customFormat="1" ht="17.25" customHeight="1"/>
    <row r="45638" customFormat="1" ht="17.25" customHeight="1"/>
    <row r="45639" customFormat="1" ht="17.25" customHeight="1"/>
    <row r="45640" customFormat="1" ht="17.25" customHeight="1"/>
    <row r="45641" customFormat="1" ht="17.25" customHeight="1"/>
    <row r="45642" customFormat="1" ht="17.25" customHeight="1"/>
    <row r="45643" customFormat="1" ht="17.25" customHeight="1"/>
    <row r="45644" customFormat="1" ht="17.25" customHeight="1"/>
    <row r="45645" customFormat="1" ht="17.25" customHeight="1"/>
    <row r="45646" customFormat="1" ht="17.25" customHeight="1"/>
    <row r="45647" customFormat="1" ht="17.25" customHeight="1"/>
    <row r="45648" customFormat="1" ht="17.25" customHeight="1"/>
    <row r="45649" customFormat="1" ht="17.25" customHeight="1"/>
    <row r="45650" customFormat="1" ht="17.25" customHeight="1"/>
    <row r="45651" customFormat="1" ht="17.25" customHeight="1"/>
    <row r="45652" customFormat="1" ht="17.25" customHeight="1"/>
    <row r="45653" customFormat="1" ht="17.25" customHeight="1"/>
    <row r="45654" customFormat="1" ht="17.25" customHeight="1"/>
    <row r="45655" customFormat="1" ht="17.25" customHeight="1"/>
    <row r="45656" customFormat="1" ht="17.25" customHeight="1"/>
    <row r="45657" customFormat="1" ht="17.25" customHeight="1"/>
    <row r="45658" customFormat="1" ht="17.25" customHeight="1"/>
    <row r="45659" customFormat="1" ht="17.25" customHeight="1"/>
    <row r="45660" customFormat="1" ht="17.25" customHeight="1"/>
    <row r="45661" customFormat="1" ht="17.25" customHeight="1"/>
    <row r="45662" customFormat="1" ht="17.25" customHeight="1"/>
    <row r="45663" customFormat="1" ht="17.25" customHeight="1"/>
    <row r="45664" customFormat="1" ht="17.25" customHeight="1"/>
    <row r="45665" customFormat="1" ht="17.25" customHeight="1"/>
    <row r="45666" customFormat="1" ht="17.25" customHeight="1"/>
    <row r="45667" customFormat="1" ht="17.25" customHeight="1"/>
    <row r="45668" customFormat="1" ht="17.25" customHeight="1"/>
    <row r="45669" customFormat="1" ht="17.25" customHeight="1"/>
    <row r="45670" customFormat="1" ht="17.25" customHeight="1"/>
    <row r="45671" customFormat="1" ht="17.25" customHeight="1"/>
    <row r="45672" customFormat="1" ht="17.25" customHeight="1"/>
    <row r="45673" customFormat="1" ht="17.25" customHeight="1"/>
    <row r="45674" customFormat="1" ht="17.25" customHeight="1"/>
    <row r="45675" customFormat="1" ht="17.25" customHeight="1"/>
    <row r="45676" customFormat="1" ht="17.25" customHeight="1"/>
    <row r="45677" customFormat="1" ht="17.25" customHeight="1"/>
    <row r="45678" customFormat="1" ht="17.25" customHeight="1"/>
    <row r="45679" customFormat="1" ht="17.25" customHeight="1"/>
    <row r="45680" customFormat="1" ht="17.25" customHeight="1"/>
    <row r="45681" customFormat="1" ht="17.25" customHeight="1"/>
    <row r="45682" customFormat="1" ht="17.25" customHeight="1"/>
    <row r="45683" customFormat="1" ht="17.25" customHeight="1"/>
    <row r="45684" customFormat="1" ht="17.25" customHeight="1"/>
    <row r="45685" customFormat="1" ht="17.25" customHeight="1"/>
    <row r="45686" customFormat="1" ht="17.25" customHeight="1"/>
    <row r="45687" customFormat="1" ht="17.25" customHeight="1"/>
    <row r="45688" customFormat="1" ht="17.25" customHeight="1"/>
    <row r="45689" customFormat="1" ht="17.25" customHeight="1"/>
    <row r="45690" customFormat="1" ht="17.25" customHeight="1"/>
    <row r="45691" customFormat="1" ht="17.25" customHeight="1"/>
    <row r="45692" customFormat="1" ht="17.25" customHeight="1"/>
    <row r="45693" customFormat="1" ht="17.25" customHeight="1"/>
    <row r="45694" customFormat="1" ht="17.25" customHeight="1"/>
    <row r="45695" customFormat="1" ht="17.25" customHeight="1"/>
    <row r="45696" customFormat="1" ht="17.25" customHeight="1"/>
    <row r="45697" customFormat="1" ht="17.25" customHeight="1"/>
    <row r="45698" customFormat="1" ht="17.25" customHeight="1"/>
    <row r="45699" customFormat="1" ht="17.25" customHeight="1"/>
    <row r="45700" customFormat="1" ht="17.25" customHeight="1"/>
    <row r="45701" customFormat="1" ht="17.25" customHeight="1"/>
    <row r="45702" customFormat="1" ht="17.25" customHeight="1"/>
    <row r="45703" customFormat="1" ht="17.25" customHeight="1"/>
    <row r="45704" customFormat="1" ht="17.25" customHeight="1"/>
    <row r="45705" customFormat="1" ht="17.25" customHeight="1"/>
    <row r="45706" customFormat="1" ht="17.25" customHeight="1"/>
    <row r="45707" customFormat="1" ht="17.25" customHeight="1"/>
    <row r="45708" customFormat="1" ht="17.25" customHeight="1"/>
    <row r="45709" customFormat="1" ht="17.25" customHeight="1"/>
    <row r="45710" customFormat="1" ht="17.25" customHeight="1"/>
    <row r="45711" customFormat="1" ht="17.25" customHeight="1"/>
    <row r="45712" customFormat="1" ht="17.25" customHeight="1"/>
    <row r="45713" customFormat="1" ht="17.25" customHeight="1"/>
    <row r="45714" customFormat="1" ht="17.25" customHeight="1"/>
    <row r="45715" customFormat="1" ht="17.25" customHeight="1"/>
    <row r="45716" customFormat="1" ht="17.25" customHeight="1"/>
    <row r="45717" customFormat="1" ht="17.25" customHeight="1"/>
    <row r="45718" customFormat="1" ht="17.25" customHeight="1"/>
    <row r="45719" customFormat="1" ht="17.25" customHeight="1"/>
    <row r="45720" customFormat="1" ht="17.25" customHeight="1"/>
    <row r="45721" customFormat="1" ht="17.25" customHeight="1"/>
    <row r="45722" customFormat="1" ht="17.25" customHeight="1"/>
    <row r="45723" customFormat="1" ht="17.25" customHeight="1"/>
    <row r="45724" customFormat="1" ht="17.25" customHeight="1"/>
    <row r="45725" customFormat="1" ht="17.25" customHeight="1"/>
    <row r="45726" customFormat="1" ht="17.25" customHeight="1"/>
    <row r="45727" customFormat="1" ht="17.25" customHeight="1"/>
    <row r="45728" customFormat="1" ht="17.25" customHeight="1"/>
    <row r="45729" customFormat="1" ht="17.25" customHeight="1"/>
    <row r="45730" customFormat="1" ht="17.25" customHeight="1"/>
    <row r="45731" customFormat="1" ht="17.25" customHeight="1"/>
    <row r="45732" customFormat="1" ht="17.25" customHeight="1"/>
    <row r="45733" customFormat="1" ht="17.25" customHeight="1"/>
    <row r="45734" customFormat="1" ht="17.25" customHeight="1"/>
    <row r="45735" customFormat="1" ht="17.25" customHeight="1"/>
    <row r="45736" customFormat="1" ht="17.25" customHeight="1"/>
    <row r="45737" customFormat="1" ht="17.25" customHeight="1"/>
    <row r="45738" customFormat="1" ht="17.25" customHeight="1"/>
    <row r="45739" customFormat="1" ht="17.25" customHeight="1"/>
    <row r="45740" customFormat="1" ht="17.25" customHeight="1"/>
    <row r="45741" customFormat="1" ht="17.25" customHeight="1"/>
    <row r="45742" customFormat="1" ht="17.25" customHeight="1"/>
    <row r="45743" customFormat="1" ht="17.25" customHeight="1"/>
    <row r="45744" customFormat="1" ht="17.25" customHeight="1"/>
    <row r="45745" customFormat="1" ht="17.25" customHeight="1"/>
    <row r="45746" customFormat="1" ht="17.25" customHeight="1"/>
    <row r="45747" customFormat="1" ht="17.25" customHeight="1"/>
    <row r="45748" customFormat="1" ht="17.25" customHeight="1"/>
    <row r="45749" customFormat="1" ht="17.25" customHeight="1"/>
    <row r="45750" customFormat="1" ht="17.25" customHeight="1"/>
    <row r="45751" customFormat="1" ht="17.25" customHeight="1"/>
    <row r="45752" customFormat="1" ht="17.25" customHeight="1"/>
    <row r="45753" customFormat="1" ht="17.25" customHeight="1"/>
    <row r="45754" customFormat="1" ht="17.25" customHeight="1"/>
    <row r="45755" customFormat="1" ht="17.25" customHeight="1"/>
    <row r="45756" customFormat="1" ht="17.25" customHeight="1"/>
    <row r="45757" customFormat="1" ht="17.25" customHeight="1"/>
    <row r="45758" customFormat="1" ht="17.25" customHeight="1"/>
    <row r="45759" customFormat="1" ht="17.25" customHeight="1"/>
    <row r="45760" customFormat="1" ht="17.25" customHeight="1"/>
    <row r="45761" customFormat="1" ht="17.25" customHeight="1"/>
    <row r="45762" customFormat="1" ht="17.25" customHeight="1"/>
    <row r="45763" customFormat="1" ht="17.25" customHeight="1"/>
    <row r="45764" customFormat="1" ht="17.25" customHeight="1"/>
    <row r="45765" customFormat="1" ht="17.25" customHeight="1"/>
    <row r="45766" customFormat="1" ht="17.25" customHeight="1"/>
    <row r="45767" customFormat="1" ht="17.25" customHeight="1"/>
    <row r="45768" customFormat="1" ht="17.25" customHeight="1"/>
    <row r="45769" customFormat="1" ht="17.25" customHeight="1"/>
    <row r="45770" customFormat="1" ht="17.25" customHeight="1"/>
    <row r="45771" customFormat="1" ht="17.25" customHeight="1"/>
    <row r="45772" customFormat="1" ht="17.25" customHeight="1"/>
    <row r="45773" customFormat="1" ht="17.25" customHeight="1"/>
    <row r="45774" customFormat="1" ht="17.25" customHeight="1"/>
    <row r="45775" customFormat="1" ht="17.25" customHeight="1"/>
    <row r="45776" customFormat="1" ht="17.25" customHeight="1"/>
    <row r="45777" customFormat="1" ht="17.25" customHeight="1"/>
    <row r="45778" customFormat="1" ht="17.25" customHeight="1"/>
    <row r="45779" customFormat="1" ht="17.25" customHeight="1"/>
    <row r="45780" customFormat="1" ht="17.25" customHeight="1"/>
    <row r="45781" customFormat="1" ht="17.25" customHeight="1"/>
    <row r="45782" customFormat="1" ht="17.25" customHeight="1"/>
    <row r="45783" customFormat="1" ht="17.25" customHeight="1"/>
    <row r="45784" customFormat="1" ht="17.25" customHeight="1"/>
    <row r="45785" customFormat="1" ht="17.25" customHeight="1"/>
    <row r="45786" customFormat="1" ht="17.25" customHeight="1"/>
    <row r="45787" customFormat="1" ht="17.25" customHeight="1"/>
    <row r="45788" customFormat="1" ht="17.25" customHeight="1"/>
    <row r="45789" customFormat="1" ht="17.25" customHeight="1"/>
    <row r="45790" customFormat="1" ht="17.25" customHeight="1"/>
    <row r="45791" customFormat="1" ht="17.25" customHeight="1"/>
    <row r="45792" customFormat="1" ht="17.25" customHeight="1"/>
    <row r="45793" customFormat="1" ht="17.25" customHeight="1"/>
    <row r="45794" customFormat="1" ht="17.25" customHeight="1"/>
    <row r="45795" customFormat="1" ht="17.25" customHeight="1"/>
    <row r="45796" customFormat="1" ht="17.25" customHeight="1"/>
    <row r="45797" customFormat="1" ht="17.25" customHeight="1"/>
    <row r="45798" customFormat="1" ht="17.25" customHeight="1"/>
    <row r="45799" customFormat="1" ht="17.25" customHeight="1"/>
    <row r="45800" customFormat="1" ht="17.25" customHeight="1"/>
    <row r="45801" customFormat="1" ht="17.25" customHeight="1"/>
    <row r="45802" customFormat="1" ht="17.25" customHeight="1"/>
    <row r="45803" customFormat="1" ht="17.25" customHeight="1"/>
    <row r="45804" customFormat="1" ht="17.25" customHeight="1"/>
    <row r="45805" customFormat="1" ht="17.25" customHeight="1"/>
    <row r="45806" customFormat="1" ht="17.25" customHeight="1"/>
    <row r="45807" customFormat="1" ht="17.25" customHeight="1"/>
    <row r="45808" customFormat="1" ht="17.25" customHeight="1"/>
    <row r="45809" customFormat="1" ht="17.25" customHeight="1"/>
    <row r="45810" customFormat="1" ht="17.25" customHeight="1"/>
    <row r="45811" customFormat="1" ht="17.25" customHeight="1"/>
    <row r="45812" customFormat="1" ht="17.25" customHeight="1"/>
    <row r="45813" customFormat="1" ht="17.25" customHeight="1"/>
    <row r="45814" customFormat="1" ht="17.25" customHeight="1"/>
    <row r="45815" customFormat="1" ht="17.25" customHeight="1"/>
    <row r="45816" customFormat="1" ht="17.25" customHeight="1"/>
    <row r="45817" customFormat="1" ht="17.25" customHeight="1"/>
    <row r="45818" customFormat="1" ht="17.25" customHeight="1"/>
    <row r="45819" customFormat="1" ht="17.25" customHeight="1"/>
    <row r="45820" customFormat="1" ht="17.25" customHeight="1"/>
    <row r="45821" customFormat="1" ht="17.25" customHeight="1"/>
    <row r="45822" customFormat="1" ht="17.25" customHeight="1"/>
    <row r="45823" customFormat="1" ht="17.25" customHeight="1"/>
    <row r="45824" customFormat="1" ht="17.25" customHeight="1"/>
    <row r="45825" customFormat="1" ht="17.25" customHeight="1"/>
    <row r="45826" customFormat="1" ht="17.25" customHeight="1"/>
    <row r="45827" customFormat="1" ht="17.25" customHeight="1"/>
    <row r="45828" customFormat="1" ht="17.25" customHeight="1"/>
    <row r="45829" customFormat="1" ht="17.25" customHeight="1"/>
    <row r="45830" customFormat="1" ht="17.25" customHeight="1"/>
    <row r="45831" customFormat="1" ht="17.25" customHeight="1"/>
    <row r="45832" customFormat="1" ht="17.25" customHeight="1"/>
    <row r="45833" customFormat="1" ht="17.25" customHeight="1"/>
    <row r="45834" customFormat="1" ht="17.25" customHeight="1"/>
    <row r="45835" customFormat="1" ht="17.25" customHeight="1"/>
    <row r="45836" customFormat="1" ht="17.25" customHeight="1"/>
    <row r="45837" customFormat="1" ht="17.25" customHeight="1"/>
    <row r="45838" customFormat="1" ht="17.25" customHeight="1"/>
    <row r="45839" customFormat="1" ht="17.25" customHeight="1"/>
    <row r="45840" customFormat="1" ht="17.25" customHeight="1"/>
    <row r="45841" customFormat="1" ht="17.25" customHeight="1"/>
    <row r="45842" customFormat="1" ht="17.25" customHeight="1"/>
    <row r="45843" customFormat="1" ht="17.25" customHeight="1"/>
    <row r="45844" customFormat="1" ht="17.25" customHeight="1"/>
    <row r="45845" customFormat="1" ht="17.25" customHeight="1"/>
    <row r="45846" customFormat="1" ht="17.25" customHeight="1"/>
    <row r="45847" customFormat="1" ht="17.25" customHeight="1"/>
    <row r="45848" customFormat="1" ht="17.25" customHeight="1"/>
    <row r="45849" customFormat="1" ht="17.25" customHeight="1"/>
    <row r="45850" customFormat="1" ht="17.25" customHeight="1"/>
    <row r="45851" customFormat="1" ht="17.25" customHeight="1"/>
    <row r="45852" customFormat="1" ht="17.25" customHeight="1"/>
    <row r="45853" customFormat="1" ht="17.25" customHeight="1"/>
    <row r="45854" customFormat="1" ht="17.25" customHeight="1"/>
    <row r="45855" customFormat="1" ht="17.25" customHeight="1"/>
    <row r="45856" customFormat="1" ht="17.25" customHeight="1"/>
    <row r="45857" customFormat="1" ht="17.25" customHeight="1"/>
    <row r="45858" customFormat="1" ht="17.25" customHeight="1"/>
    <row r="45859" customFormat="1" ht="17.25" customHeight="1"/>
    <row r="45860" customFormat="1" ht="17.25" customHeight="1"/>
    <row r="45861" customFormat="1" ht="17.25" customHeight="1"/>
    <row r="45862" customFormat="1" ht="17.25" customHeight="1"/>
    <row r="45863" customFormat="1" ht="17.25" customHeight="1"/>
    <row r="45864" customFormat="1" ht="17.25" customHeight="1"/>
    <row r="45865" customFormat="1" ht="17.25" customHeight="1"/>
    <row r="45866" customFormat="1" ht="17.25" customHeight="1"/>
    <row r="45867" customFormat="1" ht="17.25" customHeight="1"/>
    <row r="45868" customFormat="1" ht="17.25" customHeight="1"/>
    <row r="45869" customFormat="1" ht="17.25" customHeight="1"/>
    <row r="45870" customFormat="1" ht="17.25" customHeight="1"/>
    <row r="45871" customFormat="1" ht="17.25" customHeight="1"/>
    <row r="45872" customFormat="1" ht="17.25" customHeight="1"/>
    <row r="45873" customFormat="1" ht="17.25" customHeight="1"/>
    <row r="45874" customFormat="1" ht="17.25" customHeight="1"/>
    <row r="45875" customFormat="1" ht="17.25" customHeight="1"/>
    <row r="45876" customFormat="1" ht="17.25" customHeight="1"/>
    <row r="45877" customFormat="1" ht="17.25" customHeight="1"/>
    <row r="45878" customFormat="1" ht="17.25" customHeight="1"/>
    <row r="45879" customFormat="1" ht="17.25" customHeight="1"/>
    <row r="45880" customFormat="1" ht="17.25" customHeight="1"/>
    <row r="45881" customFormat="1" ht="17.25" customHeight="1"/>
    <row r="45882" customFormat="1" ht="17.25" customHeight="1"/>
    <row r="45883" customFormat="1" ht="17.25" customHeight="1"/>
    <row r="45884" customFormat="1" ht="17.25" customHeight="1"/>
    <row r="45885" customFormat="1" ht="17.25" customHeight="1"/>
    <row r="45886" customFormat="1" ht="17.25" customHeight="1"/>
    <row r="45887" customFormat="1" ht="17.25" customHeight="1"/>
    <row r="45888" customFormat="1" ht="17.25" customHeight="1"/>
    <row r="45889" customFormat="1" ht="17.25" customHeight="1"/>
    <row r="45890" customFormat="1" ht="17.25" customHeight="1"/>
    <row r="45891" customFormat="1" ht="17.25" customHeight="1"/>
    <row r="45892" customFormat="1" ht="17.25" customHeight="1"/>
    <row r="45893" customFormat="1" ht="17.25" customHeight="1"/>
    <row r="45894" customFormat="1" ht="17.25" customHeight="1"/>
    <row r="45895" customFormat="1" ht="17.25" customHeight="1"/>
    <row r="45896" customFormat="1" ht="17.25" customHeight="1"/>
    <row r="45897" customFormat="1" ht="17.25" customHeight="1"/>
    <row r="45898" customFormat="1" ht="17.25" customHeight="1"/>
    <row r="45899" customFormat="1" ht="17.25" customHeight="1"/>
    <row r="45900" customFormat="1" ht="17.25" customHeight="1"/>
    <row r="45901" customFormat="1" ht="17.25" customHeight="1"/>
    <row r="45902" customFormat="1" ht="17.25" customHeight="1"/>
    <row r="45903" customFormat="1" ht="17.25" customHeight="1"/>
    <row r="45904" customFormat="1" ht="17.25" customHeight="1"/>
    <row r="45905" customFormat="1" ht="17.25" customHeight="1"/>
    <row r="45906" customFormat="1" ht="17.25" customHeight="1"/>
    <row r="45907" customFormat="1" ht="17.25" customHeight="1"/>
    <row r="45908" customFormat="1" ht="17.25" customHeight="1"/>
    <row r="45909" customFormat="1" ht="17.25" customHeight="1"/>
    <row r="45910" customFormat="1" ht="17.25" customHeight="1"/>
    <row r="45911" customFormat="1" ht="17.25" customHeight="1"/>
    <row r="45912" customFormat="1" ht="17.25" customHeight="1"/>
    <row r="45913" customFormat="1" ht="17.25" customHeight="1"/>
    <row r="45914" customFormat="1" ht="17.25" customHeight="1"/>
    <row r="45915" customFormat="1" ht="17.25" customHeight="1"/>
    <row r="45916" customFormat="1" ht="17.25" customHeight="1"/>
    <row r="45917" customFormat="1" ht="17.25" customHeight="1"/>
    <row r="45918" customFormat="1" ht="17.25" customHeight="1"/>
    <row r="45919" customFormat="1" ht="17.25" customHeight="1"/>
    <row r="45920" customFormat="1" ht="17.25" customHeight="1"/>
    <row r="45921" customFormat="1" ht="17.25" customHeight="1"/>
    <row r="45922" customFormat="1" ht="17.25" customHeight="1"/>
    <row r="45923" customFormat="1" ht="17.25" customHeight="1"/>
    <row r="45924" customFormat="1" ht="17.25" customHeight="1"/>
    <row r="45925" customFormat="1" ht="17.25" customHeight="1"/>
    <row r="45926" customFormat="1" ht="17.25" customHeight="1"/>
    <row r="45927" customFormat="1" ht="17.25" customHeight="1"/>
    <row r="45928" customFormat="1" ht="17.25" customHeight="1"/>
    <row r="45929" customFormat="1" ht="17.25" customHeight="1"/>
    <row r="45930" customFormat="1" ht="17.25" customHeight="1"/>
    <row r="45931" customFormat="1" ht="17.25" customHeight="1"/>
    <row r="45932" customFormat="1" ht="17.25" customHeight="1"/>
    <row r="45933" customFormat="1" ht="17.25" customHeight="1"/>
    <row r="45934" customFormat="1" ht="17.25" customHeight="1"/>
    <row r="45935" customFormat="1" ht="17.25" customHeight="1"/>
    <row r="45936" customFormat="1" ht="17.25" customHeight="1"/>
    <row r="45937" customFormat="1" ht="17.25" customHeight="1"/>
    <row r="45938" customFormat="1" ht="17.25" customHeight="1"/>
    <row r="45939" customFormat="1" ht="17.25" customHeight="1"/>
    <row r="45940" customFormat="1" ht="17.25" customHeight="1"/>
    <row r="45941" customFormat="1" ht="17.25" customHeight="1"/>
    <row r="45942" customFormat="1" ht="17.25" customHeight="1"/>
    <row r="45943" customFormat="1" ht="17.25" customHeight="1"/>
    <row r="45944" customFormat="1" ht="17.25" customHeight="1"/>
    <row r="45945" customFormat="1" ht="17.25" customHeight="1"/>
    <row r="45946" customFormat="1" ht="17.25" customHeight="1"/>
    <row r="45947" customFormat="1" ht="17.25" customHeight="1"/>
    <row r="45948" customFormat="1" ht="17.25" customHeight="1"/>
    <row r="45949" customFormat="1" ht="17.25" customHeight="1"/>
    <row r="45950" customFormat="1" ht="17.25" customHeight="1"/>
    <row r="45951" customFormat="1" ht="17.25" customHeight="1"/>
    <row r="45952" customFormat="1" ht="17.25" customHeight="1"/>
    <row r="45953" customFormat="1" ht="17.25" customHeight="1"/>
    <row r="45954" customFormat="1" ht="17.25" customHeight="1"/>
    <row r="45955" customFormat="1" ht="17.25" customHeight="1"/>
    <row r="45956" customFormat="1" ht="17.25" customHeight="1"/>
    <row r="45957" customFormat="1" ht="17.25" customHeight="1"/>
    <row r="45958" customFormat="1" ht="17.25" customHeight="1"/>
    <row r="45959" customFormat="1" ht="17.25" customHeight="1"/>
    <row r="45960" customFormat="1" ht="17.25" customHeight="1"/>
    <row r="45961" customFormat="1" ht="17.25" customHeight="1"/>
    <row r="45962" customFormat="1" ht="17.25" customHeight="1"/>
    <row r="45963" customFormat="1" ht="17.25" customHeight="1"/>
    <row r="45964" customFormat="1" ht="17.25" customHeight="1"/>
    <row r="45965" customFormat="1" ht="17.25" customHeight="1"/>
    <row r="45966" customFormat="1" ht="17.25" customHeight="1"/>
    <row r="45967" customFormat="1" ht="17.25" customHeight="1"/>
    <row r="45968" customFormat="1" ht="17.25" customHeight="1"/>
    <row r="45969" customFormat="1" ht="17.25" customHeight="1"/>
    <row r="45970" customFormat="1" ht="17.25" customHeight="1"/>
    <row r="45971" customFormat="1" ht="17.25" customHeight="1"/>
    <row r="45972" customFormat="1" ht="17.25" customHeight="1"/>
    <row r="45973" customFormat="1" ht="17.25" customHeight="1"/>
    <row r="45974" customFormat="1" ht="17.25" customHeight="1"/>
    <row r="45975" customFormat="1" ht="17.25" customHeight="1"/>
    <row r="45976" customFormat="1" ht="17.25" customHeight="1"/>
    <row r="45977" customFormat="1" ht="17.25" customHeight="1"/>
    <row r="45978" customFormat="1" ht="17.25" customHeight="1"/>
    <row r="45979" customFormat="1" ht="17.25" customHeight="1"/>
    <row r="45980" customFormat="1" ht="17.25" customHeight="1"/>
    <row r="45981" customFormat="1" ht="17.25" customHeight="1"/>
    <row r="45982" customFormat="1" ht="17.25" customHeight="1"/>
    <row r="45983" customFormat="1" ht="17.25" customHeight="1"/>
    <row r="45984" customFormat="1" ht="17.25" customHeight="1"/>
    <row r="45985" customFormat="1" ht="17.25" customHeight="1"/>
    <row r="45986" customFormat="1" ht="17.25" customHeight="1"/>
    <row r="45987" customFormat="1" ht="17.25" customHeight="1"/>
    <row r="45988" customFormat="1" ht="17.25" customHeight="1"/>
    <row r="45989" customFormat="1" ht="17.25" customHeight="1"/>
    <row r="45990" customFormat="1" ht="17.25" customHeight="1"/>
    <row r="45991" customFormat="1" ht="17.25" customHeight="1"/>
    <row r="45992" customFormat="1" ht="17.25" customHeight="1"/>
    <row r="45993" customFormat="1" ht="17.25" customHeight="1"/>
    <row r="45994" customFormat="1" ht="17.25" customHeight="1"/>
    <row r="45995" customFormat="1" ht="17.25" customHeight="1"/>
    <row r="45996" customFormat="1" ht="17.25" customHeight="1"/>
    <row r="45997" customFormat="1" ht="17.25" customHeight="1"/>
    <row r="45998" customFormat="1" ht="17.25" customHeight="1"/>
    <row r="45999" customFormat="1" ht="17.25" customHeight="1"/>
    <row r="46000" customFormat="1" ht="17.25" customHeight="1"/>
    <row r="46001" customFormat="1" ht="17.25" customHeight="1"/>
    <row r="46002" customFormat="1" ht="17.25" customHeight="1"/>
    <row r="46003" customFormat="1" ht="17.25" customHeight="1"/>
    <row r="46004" customFormat="1" ht="17.25" customHeight="1"/>
    <row r="46005" customFormat="1" ht="17.25" customHeight="1"/>
    <row r="46006" customFormat="1" ht="17.25" customHeight="1"/>
    <row r="46007" customFormat="1" ht="17.25" customHeight="1"/>
    <row r="46008" customFormat="1" ht="17.25" customHeight="1"/>
    <row r="46009" customFormat="1" ht="17.25" customHeight="1"/>
    <row r="46010" customFormat="1" ht="17.25" customHeight="1"/>
    <row r="46011" customFormat="1" ht="17.25" customHeight="1"/>
    <row r="46012" customFormat="1" ht="17.25" customHeight="1"/>
    <row r="46013" customFormat="1" ht="17.25" customHeight="1"/>
    <row r="46014" customFormat="1" ht="17.25" customHeight="1"/>
    <row r="46015" customFormat="1" ht="17.25" customHeight="1"/>
    <row r="46016" customFormat="1" ht="17.25" customHeight="1"/>
    <row r="46017" customFormat="1" ht="17.25" customHeight="1"/>
    <row r="46018" customFormat="1" ht="17.25" customHeight="1"/>
    <row r="46019" customFormat="1" ht="17.25" customHeight="1"/>
    <row r="46020" customFormat="1" ht="17.25" customHeight="1"/>
    <row r="46021" customFormat="1" ht="17.25" customHeight="1"/>
    <row r="46022" customFormat="1" ht="17.25" customHeight="1"/>
    <row r="46023" customFormat="1" ht="17.25" customHeight="1"/>
    <row r="46024" customFormat="1" ht="17.25" customHeight="1"/>
    <row r="46025" customFormat="1" ht="17.25" customHeight="1"/>
    <row r="46026" customFormat="1" ht="17.25" customHeight="1"/>
    <row r="46027" customFormat="1" ht="17.25" customHeight="1"/>
    <row r="46028" customFormat="1" ht="17.25" customHeight="1"/>
    <row r="46029" customFormat="1" ht="17.25" customHeight="1"/>
    <row r="46030" customFormat="1" ht="17.25" customHeight="1"/>
    <row r="46031" customFormat="1" ht="17.25" customHeight="1"/>
    <row r="46032" customFormat="1" ht="17.25" customHeight="1"/>
    <row r="46033" customFormat="1" ht="17.25" customHeight="1"/>
    <row r="46034" customFormat="1" ht="17.25" customHeight="1"/>
    <row r="46035" customFormat="1" ht="17.25" customHeight="1"/>
    <row r="46036" customFormat="1" ht="17.25" customHeight="1"/>
    <row r="46037" customFormat="1" ht="17.25" customHeight="1"/>
    <row r="46038" customFormat="1" ht="17.25" customHeight="1"/>
    <row r="46039" customFormat="1" ht="17.25" customHeight="1"/>
    <row r="46040" customFormat="1" ht="17.25" customHeight="1"/>
    <row r="46041" customFormat="1" ht="17.25" customHeight="1"/>
    <row r="46042" customFormat="1" ht="17.25" customHeight="1"/>
    <row r="46043" customFormat="1" ht="17.25" customHeight="1"/>
    <row r="46044" customFormat="1" ht="17.25" customHeight="1"/>
    <row r="46045" customFormat="1" ht="17.25" customHeight="1"/>
    <row r="46046" customFormat="1" ht="17.25" customHeight="1"/>
    <row r="46047" customFormat="1" ht="17.25" customHeight="1"/>
    <row r="46048" customFormat="1" ht="17.25" customHeight="1"/>
    <row r="46049" customFormat="1" ht="17.25" customHeight="1"/>
    <row r="46050" customFormat="1" ht="17.25" customHeight="1"/>
    <row r="46051" customFormat="1" ht="17.25" customHeight="1"/>
    <row r="46052" customFormat="1" ht="17.25" customHeight="1"/>
    <row r="46053" customFormat="1" ht="17.25" customHeight="1"/>
    <row r="46054" customFormat="1" ht="17.25" customHeight="1"/>
    <row r="46055" customFormat="1" ht="17.25" customHeight="1"/>
    <row r="46056" customFormat="1" ht="17.25" customHeight="1"/>
    <row r="46057" customFormat="1" ht="17.25" customHeight="1"/>
    <row r="46058" customFormat="1" ht="17.25" customHeight="1"/>
    <row r="46059" customFormat="1" ht="17.25" customHeight="1"/>
    <row r="46060" customFormat="1" ht="17.25" customHeight="1"/>
    <row r="46061" customFormat="1" ht="17.25" customHeight="1"/>
    <row r="46062" customFormat="1" ht="17.25" customHeight="1"/>
    <row r="46063" customFormat="1" ht="17.25" customHeight="1"/>
    <row r="46064" customFormat="1" ht="17.25" customHeight="1"/>
    <row r="46065" customFormat="1" ht="17.25" customHeight="1"/>
    <row r="46066" customFormat="1" ht="17.25" customHeight="1"/>
    <row r="46067" customFormat="1" ht="17.25" customHeight="1"/>
    <row r="46068" customFormat="1" ht="17.25" customHeight="1"/>
    <row r="46069" customFormat="1" ht="17.25" customHeight="1"/>
    <row r="46070" customFormat="1" ht="17.25" customHeight="1"/>
    <row r="46071" customFormat="1" ht="17.25" customHeight="1"/>
    <row r="46072" customFormat="1" ht="17.25" customHeight="1"/>
    <row r="46073" customFormat="1" ht="17.25" customHeight="1"/>
    <row r="46074" customFormat="1" ht="17.25" customHeight="1"/>
    <row r="46075" customFormat="1" ht="17.25" customHeight="1"/>
    <row r="46076" customFormat="1" ht="17.25" customHeight="1"/>
    <row r="46077" customFormat="1" ht="17.25" customHeight="1"/>
    <row r="46078" customFormat="1" ht="17.25" customHeight="1"/>
    <row r="46079" customFormat="1" ht="17.25" customHeight="1"/>
    <row r="46080" customFormat="1" ht="17.25" customHeight="1"/>
    <row r="46081" customFormat="1" ht="17.25" customHeight="1"/>
    <row r="46082" customFormat="1" ht="17.25" customHeight="1"/>
    <row r="46083" customFormat="1" ht="17.25" customHeight="1"/>
    <row r="46084" customFormat="1" ht="17.25" customHeight="1"/>
    <row r="46085" customFormat="1" ht="17.25" customHeight="1"/>
    <row r="46086" customFormat="1" ht="17.25" customHeight="1"/>
    <row r="46087" customFormat="1" ht="17.25" customHeight="1"/>
    <row r="46088" customFormat="1" ht="17.25" customHeight="1"/>
    <row r="46089" customFormat="1" ht="17.25" customHeight="1"/>
    <row r="46090" customFormat="1" ht="17.25" customHeight="1"/>
    <row r="46091" customFormat="1" ht="17.25" customHeight="1"/>
    <row r="46092" customFormat="1" ht="17.25" customHeight="1"/>
    <row r="46093" customFormat="1" ht="17.25" customHeight="1"/>
    <row r="46094" customFormat="1" ht="17.25" customHeight="1"/>
    <row r="46095" customFormat="1" ht="17.25" customHeight="1"/>
    <row r="46096" customFormat="1" ht="17.25" customHeight="1"/>
    <row r="46097" customFormat="1" ht="17.25" customHeight="1"/>
    <row r="46098" customFormat="1" ht="17.25" customHeight="1"/>
    <row r="46099" customFormat="1" ht="17.25" customHeight="1"/>
    <row r="46100" customFormat="1" ht="17.25" customHeight="1"/>
    <row r="46101" customFormat="1" ht="17.25" customHeight="1"/>
    <row r="46102" customFormat="1" ht="17.25" customHeight="1"/>
    <row r="46103" customFormat="1" ht="17.25" customHeight="1"/>
    <row r="46104" customFormat="1" ht="17.25" customHeight="1"/>
    <row r="46105" customFormat="1" ht="17.25" customHeight="1"/>
    <row r="46106" customFormat="1" ht="17.25" customHeight="1"/>
    <row r="46107" customFormat="1" ht="17.25" customHeight="1"/>
    <row r="46108" customFormat="1" ht="17.25" customHeight="1"/>
    <row r="46109" customFormat="1" ht="17.25" customHeight="1"/>
    <row r="46110" customFormat="1" ht="17.25" customHeight="1"/>
    <row r="46111" customFormat="1" ht="17.25" customHeight="1"/>
    <row r="46112" customFormat="1" ht="17.25" customHeight="1"/>
    <row r="46113" customFormat="1" ht="17.25" customHeight="1"/>
    <row r="46114" customFormat="1" ht="17.25" customHeight="1"/>
    <row r="46115" customFormat="1" ht="17.25" customHeight="1"/>
    <row r="46116" customFormat="1" ht="17.25" customHeight="1"/>
    <row r="46117" customFormat="1" ht="17.25" customHeight="1"/>
    <row r="46118" customFormat="1" ht="17.25" customHeight="1"/>
    <row r="46119" customFormat="1" ht="17.25" customHeight="1"/>
    <row r="46120" customFormat="1" ht="17.25" customHeight="1"/>
    <row r="46121" customFormat="1" ht="17.25" customHeight="1"/>
    <row r="46122" customFormat="1" ht="17.25" customHeight="1"/>
    <row r="46123" customFormat="1" ht="17.25" customHeight="1"/>
    <row r="46124" customFormat="1" ht="17.25" customHeight="1"/>
    <row r="46125" customFormat="1" ht="17.25" customHeight="1"/>
    <row r="46126" customFormat="1" ht="17.25" customHeight="1"/>
    <row r="46127" customFormat="1" ht="17.25" customHeight="1"/>
    <row r="46128" customFormat="1" ht="17.25" customHeight="1"/>
    <row r="46129" customFormat="1" ht="17.25" customHeight="1"/>
    <row r="46130" customFormat="1" ht="17.25" customHeight="1"/>
    <row r="46131" customFormat="1" ht="17.25" customHeight="1"/>
    <row r="46132" customFormat="1" ht="17.25" customHeight="1"/>
    <row r="46133" customFormat="1" ht="17.25" customHeight="1"/>
    <row r="46134" customFormat="1" ht="17.25" customHeight="1"/>
    <row r="46135" customFormat="1" ht="17.25" customHeight="1"/>
    <row r="46136" customFormat="1" ht="17.25" customHeight="1"/>
    <row r="46137" customFormat="1" ht="17.25" customHeight="1"/>
    <row r="46138" customFormat="1" ht="17.25" customHeight="1"/>
    <row r="46139" customFormat="1" ht="17.25" customHeight="1"/>
    <row r="46140" customFormat="1" ht="17.25" customHeight="1"/>
    <row r="46141" customFormat="1" ht="17.25" customHeight="1"/>
    <row r="46142" customFormat="1" ht="17.25" customHeight="1"/>
    <row r="46143" customFormat="1" ht="17.25" customHeight="1"/>
    <row r="46144" customFormat="1" ht="17.25" customHeight="1"/>
    <row r="46145" customFormat="1" ht="17.25" customHeight="1"/>
    <row r="46146" customFormat="1" ht="17.25" customHeight="1"/>
    <row r="46147" customFormat="1" ht="17.25" customHeight="1"/>
    <row r="46148" customFormat="1" ht="17.25" customHeight="1"/>
    <row r="46149" customFormat="1" ht="17.25" customHeight="1"/>
    <row r="46150" customFormat="1" ht="17.25" customHeight="1"/>
    <row r="46151" customFormat="1" ht="17.25" customHeight="1"/>
    <row r="46152" customFormat="1" ht="17.25" customHeight="1"/>
    <row r="46153" customFormat="1" ht="17.25" customHeight="1"/>
    <row r="46154" customFormat="1" ht="17.25" customHeight="1"/>
    <row r="46155" customFormat="1" ht="17.25" customHeight="1"/>
    <row r="46156" customFormat="1" ht="17.25" customHeight="1"/>
    <row r="46157" customFormat="1" ht="17.25" customHeight="1"/>
    <row r="46158" customFormat="1" ht="17.25" customHeight="1"/>
    <row r="46159" customFormat="1" ht="17.25" customHeight="1"/>
    <row r="46160" customFormat="1" ht="17.25" customHeight="1"/>
    <row r="46161" customFormat="1" ht="17.25" customHeight="1"/>
    <row r="46162" customFormat="1" ht="17.25" customHeight="1"/>
    <row r="46163" customFormat="1" ht="17.25" customHeight="1"/>
    <row r="46164" customFormat="1" ht="17.25" customHeight="1"/>
    <row r="46165" customFormat="1" ht="17.25" customHeight="1"/>
    <row r="46166" customFormat="1" ht="17.25" customHeight="1"/>
    <row r="46167" customFormat="1" ht="17.25" customHeight="1"/>
    <row r="46168" customFormat="1" ht="17.25" customHeight="1"/>
    <row r="46169" customFormat="1" ht="17.25" customHeight="1"/>
    <row r="46170" customFormat="1" ht="17.25" customHeight="1"/>
    <row r="46171" customFormat="1" ht="17.25" customHeight="1"/>
    <row r="46172" customFormat="1" ht="17.25" customHeight="1"/>
    <row r="46173" customFormat="1" ht="17.25" customHeight="1"/>
    <row r="46174" customFormat="1" ht="17.25" customHeight="1"/>
    <row r="46175" customFormat="1" ht="17.25" customHeight="1"/>
    <row r="46176" customFormat="1" ht="17.25" customHeight="1"/>
    <row r="46177" customFormat="1" ht="17.25" customHeight="1"/>
    <row r="46178" customFormat="1" ht="17.25" customHeight="1"/>
    <row r="46179" customFormat="1" ht="17.25" customHeight="1"/>
    <row r="46180" customFormat="1" ht="17.25" customHeight="1"/>
    <row r="46181" customFormat="1" ht="17.25" customHeight="1"/>
    <row r="46182" customFormat="1" ht="17.25" customHeight="1"/>
    <row r="46183" customFormat="1" ht="17.25" customHeight="1"/>
    <row r="46184" customFormat="1" ht="17.25" customHeight="1"/>
    <row r="46185" customFormat="1" ht="17.25" customHeight="1"/>
    <row r="46186" customFormat="1" ht="17.25" customHeight="1"/>
    <row r="46187" customFormat="1" ht="17.25" customHeight="1"/>
    <row r="46188" customFormat="1" ht="17.25" customHeight="1"/>
    <row r="46189" customFormat="1" ht="17.25" customHeight="1"/>
    <row r="46190" customFormat="1" ht="17.25" customHeight="1"/>
    <row r="46191" customFormat="1" ht="17.25" customHeight="1"/>
    <row r="46192" customFormat="1" ht="17.25" customHeight="1"/>
    <row r="46193" customFormat="1" ht="17.25" customHeight="1"/>
    <row r="46194" customFormat="1" ht="17.25" customHeight="1"/>
    <row r="46195" customFormat="1" ht="17.25" customHeight="1"/>
    <row r="46196" customFormat="1" ht="17.25" customHeight="1"/>
    <row r="46197" customFormat="1" ht="17.25" customHeight="1"/>
    <row r="46198" customFormat="1" ht="17.25" customHeight="1"/>
    <row r="46199" customFormat="1" ht="17.25" customHeight="1"/>
    <row r="46200" customFormat="1" ht="17.25" customHeight="1"/>
    <row r="46201" customFormat="1" ht="17.25" customHeight="1"/>
    <row r="46202" customFormat="1" ht="17.25" customHeight="1"/>
    <row r="46203" customFormat="1" ht="17.25" customHeight="1"/>
    <row r="46204" customFormat="1" ht="17.25" customHeight="1"/>
    <row r="46205" customFormat="1" ht="17.25" customHeight="1"/>
    <row r="46206" customFormat="1" ht="17.25" customHeight="1"/>
    <row r="46207" customFormat="1" ht="17.25" customHeight="1"/>
    <row r="46208" customFormat="1" ht="17.25" customHeight="1"/>
    <row r="46209" customFormat="1" ht="17.25" customHeight="1"/>
    <row r="46210" customFormat="1" ht="17.25" customHeight="1"/>
    <row r="46211" customFormat="1" ht="17.25" customHeight="1"/>
    <row r="46212" customFormat="1" ht="17.25" customHeight="1"/>
    <row r="46213" customFormat="1" ht="17.25" customHeight="1"/>
    <row r="46214" customFormat="1" ht="17.25" customHeight="1"/>
    <row r="46215" customFormat="1" ht="17.25" customHeight="1"/>
    <row r="46216" customFormat="1" ht="17.25" customHeight="1"/>
    <row r="46217" customFormat="1" ht="17.25" customHeight="1"/>
    <row r="46218" customFormat="1" ht="17.25" customHeight="1"/>
    <row r="46219" customFormat="1" ht="17.25" customHeight="1"/>
    <row r="46220" customFormat="1" ht="17.25" customHeight="1"/>
    <row r="46221" customFormat="1" ht="17.25" customHeight="1"/>
    <row r="46222" customFormat="1" ht="17.25" customHeight="1"/>
    <row r="46223" customFormat="1" ht="17.25" customHeight="1"/>
    <row r="46224" customFormat="1" ht="17.25" customHeight="1"/>
    <row r="46225" customFormat="1" ht="17.25" customHeight="1"/>
    <row r="46226" customFormat="1" ht="17.25" customHeight="1"/>
    <row r="46227" customFormat="1" ht="17.25" customHeight="1"/>
    <row r="46228" customFormat="1" ht="17.25" customHeight="1"/>
    <row r="46229" customFormat="1" ht="17.25" customHeight="1"/>
    <row r="46230" customFormat="1" ht="17.25" customHeight="1"/>
    <row r="46231" customFormat="1" ht="17.25" customHeight="1"/>
    <row r="46232" customFormat="1" ht="17.25" customHeight="1"/>
    <row r="46233" customFormat="1" ht="17.25" customHeight="1"/>
    <row r="46234" customFormat="1" ht="17.25" customHeight="1"/>
    <row r="46235" customFormat="1" ht="17.25" customHeight="1"/>
    <row r="46236" customFormat="1" ht="17.25" customHeight="1"/>
    <row r="46237" customFormat="1" ht="17.25" customHeight="1"/>
    <row r="46238" customFormat="1" ht="17.25" customHeight="1"/>
    <row r="46239" customFormat="1" ht="17.25" customHeight="1"/>
    <row r="46240" customFormat="1" ht="17.25" customHeight="1"/>
    <row r="46241" customFormat="1" ht="17.25" customHeight="1"/>
    <row r="46242" customFormat="1" ht="17.25" customHeight="1"/>
    <row r="46243" customFormat="1" ht="17.25" customHeight="1"/>
    <row r="46244" customFormat="1" ht="17.25" customHeight="1"/>
    <row r="46245" customFormat="1" ht="17.25" customHeight="1"/>
    <row r="46246" customFormat="1" ht="17.25" customHeight="1"/>
    <row r="46247" customFormat="1" ht="17.25" customHeight="1"/>
    <row r="46248" customFormat="1" ht="17.25" customHeight="1"/>
    <row r="46249" customFormat="1" ht="17.25" customHeight="1"/>
    <row r="46250" customFormat="1" ht="17.25" customHeight="1"/>
    <row r="46251" customFormat="1" ht="17.25" customHeight="1"/>
    <row r="46252" customFormat="1" ht="17.25" customHeight="1"/>
    <row r="46253" customFormat="1" ht="17.25" customHeight="1"/>
    <row r="46254" customFormat="1" ht="17.25" customHeight="1"/>
    <row r="46255" customFormat="1" ht="17.25" customHeight="1"/>
    <row r="46256" customFormat="1" ht="17.25" customHeight="1"/>
    <row r="46257" customFormat="1" ht="17.25" customHeight="1"/>
    <row r="46258" customFormat="1" ht="17.25" customHeight="1"/>
    <row r="46259" customFormat="1" ht="17.25" customHeight="1"/>
    <row r="46260" customFormat="1" ht="17.25" customHeight="1"/>
    <row r="46261" customFormat="1" ht="17.25" customHeight="1"/>
    <row r="46262" customFormat="1" ht="17.25" customHeight="1"/>
    <row r="46263" customFormat="1" ht="17.25" customHeight="1"/>
    <row r="46264" customFormat="1" ht="17.25" customHeight="1"/>
    <row r="46265" customFormat="1" ht="17.25" customHeight="1"/>
    <row r="46266" customFormat="1" ht="17.25" customHeight="1"/>
    <row r="46267" customFormat="1" ht="17.25" customHeight="1"/>
    <row r="46268" customFormat="1" ht="17.25" customHeight="1"/>
    <row r="46269" customFormat="1" ht="17.25" customHeight="1"/>
    <row r="46270" customFormat="1" ht="17.25" customHeight="1"/>
    <row r="46271" customFormat="1" ht="17.25" customHeight="1"/>
    <row r="46272" customFormat="1" ht="17.25" customHeight="1"/>
    <row r="46273" customFormat="1" ht="17.25" customHeight="1"/>
    <row r="46274" customFormat="1" ht="17.25" customHeight="1"/>
    <row r="46275" customFormat="1" ht="17.25" customHeight="1"/>
    <row r="46276" customFormat="1" ht="17.25" customHeight="1"/>
    <row r="46277" customFormat="1" ht="17.25" customHeight="1"/>
    <row r="46278" customFormat="1" ht="17.25" customHeight="1"/>
    <row r="46279" customFormat="1" ht="17.25" customHeight="1"/>
    <row r="46280" customFormat="1" ht="17.25" customHeight="1"/>
    <row r="46281" customFormat="1" ht="17.25" customHeight="1"/>
    <row r="46282" customFormat="1" ht="17.25" customHeight="1"/>
    <row r="46283" customFormat="1" ht="17.25" customHeight="1"/>
    <row r="46284" customFormat="1" ht="17.25" customHeight="1"/>
    <row r="46285" customFormat="1" ht="17.25" customHeight="1"/>
    <row r="46286" customFormat="1" ht="17.25" customHeight="1"/>
    <row r="46287" customFormat="1" ht="17.25" customHeight="1"/>
    <row r="46288" customFormat="1" ht="17.25" customHeight="1"/>
    <row r="46289" customFormat="1" ht="17.25" customHeight="1"/>
    <row r="46290" customFormat="1" ht="17.25" customHeight="1"/>
    <row r="46291" customFormat="1" ht="17.25" customHeight="1"/>
    <row r="46292" customFormat="1" ht="17.25" customHeight="1"/>
    <row r="46293" customFormat="1" ht="17.25" customHeight="1"/>
    <row r="46294" customFormat="1" ht="17.25" customHeight="1"/>
    <row r="46295" customFormat="1" ht="17.25" customHeight="1"/>
    <row r="46296" customFormat="1" ht="17.25" customHeight="1"/>
    <row r="46297" customFormat="1" ht="17.25" customHeight="1"/>
    <row r="46298" customFormat="1" ht="17.25" customHeight="1"/>
    <row r="46299" customFormat="1" ht="17.25" customHeight="1"/>
    <row r="46300" customFormat="1" ht="17.25" customHeight="1"/>
    <row r="46301" customFormat="1" ht="17.25" customHeight="1"/>
    <row r="46302" customFormat="1" ht="17.25" customHeight="1"/>
    <row r="46303" customFormat="1" ht="17.25" customHeight="1"/>
    <row r="46304" customFormat="1" ht="17.25" customHeight="1"/>
    <row r="46305" customFormat="1" ht="17.25" customHeight="1"/>
    <row r="46306" customFormat="1" ht="17.25" customHeight="1"/>
    <row r="46307" customFormat="1" ht="17.25" customHeight="1"/>
    <row r="46308" customFormat="1" ht="17.25" customHeight="1"/>
    <row r="46309" customFormat="1" ht="17.25" customHeight="1"/>
    <row r="46310" customFormat="1" ht="17.25" customHeight="1"/>
    <row r="46311" customFormat="1" ht="17.25" customHeight="1"/>
    <row r="46312" customFormat="1" ht="17.25" customHeight="1"/>
    <row r="46313" customFormat="1" ht="17.25" customHeight="1"/>
    <row r="46314" customFormat="1" ht="17.25" customHeight="1"/>
    <row r="46315" customFormat="1" ht="17.25" customHeight="1"/>
    <row r="46316" customFormat="1" ht="17.25" customHeight="1"/>
    <row r="46317" customFormat="1" ht="17.25" customHeight="1"/>
    <row r="46318" customFormat="1" ht="17.25" customHeight="1"/>
    <row r="46319" customFormat="1" ht="17.25" customHeight="1"/>
    <row r="46320" customFormat="1" ht="17.25" customHeight="1"/>
    <row r="46321" customFormat="1" ht="17.25" customHeight="1"/>
    <row r="46322" customFormat="1" ht="17.25" customHeight="1"/>
    <row r="46323" customFormat="1" ht="17.25" customHeight="1"/>
    <row r="46324" customFormat="1" ht="17.25" customHeight="1"/>
    <row r="46325" customFormat="1" ht="17.25" customHeight="1"/>
    <row r="46326" customFormat="1" ht="17.25" customHeight="1"/>
    <row r="46327" customFormat="1" ht="17.25" customHeight="1"/>
    <row r="46328" customFormat="1" ht="17.25" customHeight="1"/>
    <row r="46329" customFormat="1" ht="17.25" customHeight="1"/>
    <row r="46330" customFormat="1" ht="17.25" customHeight="1"/>
    <row r="46331" customFormat="1" ht="17.25" customHeight="1"/>
    <row r="46332" customFormat="1" ht="17.25" customHeight="1"/>
    <row r="46333" customFormat="1" ht="17.25" customHeight="1"/>
    <row r="46334" customFormat="1" ht="17.25" customHeight="1"/>
    <row r="46335" customFormat="1" ht="17.25" customHeight="1"/>
    <row r="46336" customFormat="1" ht="17.25" customHeight="1"/>
    <row r="46337" customFormat="1" ht="17.25" customHeight="1"/>
    <row r="46338" customFormat="1" ht="17.25" customHeight="1"/>
    <row r="46339" customFormat="1" ht="17.25" customHeight="1"/>
    <row r="46340" customFormat="1" ht="17.25" customHeight="1"/>
    <row r="46341" customFormat="1" ht="17.25" customHeight="1"/>
    <row r="46342" customFormat="1" ht="17.25" customHeight="1"/>
    <row r="46343" customFormat="1" ht="17.25" customHeight="1"/>
    <row r="46344" customFormat="1" ht="17.25" customHeight="1"/>
    <row r="46345" customFormat="1" ht="17.25" customHeight="1"/>
    <row r="46346" customFormat="1" ht="17.25" customHeight="1"/>
    <row r="46347" customFormat="1" ht="17.25" customHeight="1"/>
    <row r="46348" customFormat="1" ht="17.25" customHeight="1"/>
    <row r="46349" customFormat="1" ht="17.25" customHeight="1"/>
    <row r="46350" customFormat="1" ht="17.25" customHeight="1"/>
    <row r="46351" customFormat="1" ht="17.25" customHeight="1"/>
    <row r="46352" customFormat="1" ht="17.25" customHeight="1"/>
    <row r="46353" customFormat="1" ht="17.25" customHeight="1"/>
    <row r="46354" customFormat="1" ht="17.25" customHeight="1"/>
    <row r="46355" customFormat="1" ht="17.25" customHeight="1"/>
    <row r="46356" customFormat="1" ht="17.25" customHeight="1"/>
    <row r="46357" customFormat="1" ht="17.25" customHeight="1"/>
    <row r="46358" customFormat="1" ht="17.25" customHeight="1"/>
    <row r="46359" customFormat="1" ht="17.25" customHeight="1"/>
    <row r="46360" customFormat="1" ht="17.25" customHeight="1"/>
    <row r="46361" customFormat="1" ht="17.25" customHeight="1"/>
    <row r="46362" customFormat="1" ht="17.25" customHeight="1"/>
    <row r="46363" customFormat="1" ht="17.25" customHeight="1"/>
    <row r="46364" customFormat="1" ht="17.25" customHeight="1"/>
    <row r="46365" customFormat="1" ht="17.25" customHeight="1"/>
    <row r="46366" customFormat="1" ht="17.25" customHeight="1"/>
    <row r="46367" customFormat="1" ht="17.25" customHeight="1"/>
    <row r="46368" customFormat="1" ht="17.25" customHeight="1"/>
    <row r="46369" customFormat="1" ht="17.25" customHeight="1"/>
    <row r="46370" customFormat="1" ht="17.25" customHeight="1"/>
    <row r="46371" customFormat="1" ht="17.25" customHeight="1"/>
    <row r="46372" customFormat="1" ht="17.25" customHeight="1"/>
    <row r="46373" customFormat="1" ht="17.25" customHeight="1"/>
    <row r="46374" customFormat="1" ht="17.25" customHeight="1"/>
    <row r="46375" customFormat="1" ht="17.25" customHeight="1"/>
    <row r="46376" customFormat="1" ht="17.25" customHeight="1"/>
    <row r="46377" customFormat="1" ht="17.25" customHeight="1"/>
    <row r="46378" customFormat="1" ht="17.25" customHeight="1"/>
    <row r="46379" customFormat="1" ht="17.25" customHeight="1"/>
    <row r="46380" customFormat="1" ht="17.25" customHeight="1"/>
    <row r="46381" customFormat="1" ht="17.25" customHeight="1"/>
    <row r="46382" customFormat="1" ht="17.25" customHeight="1"/>
    <row r="46383" customFormat="1" ht="17.25" customHeight="1"/>
    <row r="46384" customFormat="1" ht="17.25" customHeight="1"/>
    <row r="46385" customFormat="1" ht="17.25" customHeight="1"/>
    <row r="46386" customFormat="1" ht="17.25" customHeight="1"/>
    <row r="46387" customFormat="1" ht="17.25" customHeight="1"/>
    <row r="46388" customFormat="1" ht="17.25" customHeight="1"/>
    <row r="46389" customFormat="1" ht="17.25" customHeight="1"/>
    <row r="46390" customFormat="1" ht="17.25" customHeight="1"/>
    <row r="46391" customFormat="1" ht="17.25" customHeight="1"/>
    <row r="46392" customFormat="1" ht="17.25" customHeight="1"/>
    <row r="46393" customFormat="1" ht="17.25" customHeight="1"/>
    <row r="46394" customFormat="1" ht="17.25" customHeight="1"/>
    <row r="46395" customFormat="1" ht="17.25" customHeight="1"/>
    <row r="46396" customFormat="1" ht="17.25" customHeight="1"/>
    <row r="46397" customFormat="1" ht="17.25" customHeight="1"/>
    <row r="46398" customFormat="1" ht="17.25" customHeight="1"/>
    <row r="46399" customFormat="1" ht="17.25" customHeight="1"/>
    <row r="46400" customFormat="1" ht="17.25" customHeight="1"/>
    <row r="46401" customFormat="1" ht="17.25" customHeight="1"/>
    <row r="46402" customFormat="1" ht="17.25" customHeight="1"/>
    <row r="46403" customFormat="1" ht="17.25" customHeight="1"/>
    <row r="46404" customFormat="1" ht="17.25" customHeight="1"/>
    <row r="46405" customFormat="1" ht="17.25" customHeight="1"/>
    <row r="46406" customFormat="1" ht="17.25" customHeight="1"/>
    <row r="46407" customFormat="1" ht="17.25" customHeight="1"/>
    <row r="46408" customFormat="1" ht="17.25" customHeight="1"/>
    <row r="46409" customFormat="1" ht="17.25" customHeight="1"/>
    <row r="46410" customFormat="1" ht="17.25" customHeight="1"/>
    <row r="46411" customFormat="1" ht="17.25" customHeight="1"/>
    <row r="46412" customFormat="1" ht="17.25" customHeight="1"/>
    <row r="46413" customFormat="1" ht="17.25" customHeight="1"/>
    <row r="46414" customFormat="1" ht="17.25" customHeight="1"/>
    <row r="46415" customFormat="1" ht="17.25" customHeight="1"/>
    <row r="46416" customFormat="1" ht="17.25" customHeight="1"/>
    <row r="46417" customFormat="1" ht="17.25" customHeight="1"/>
    <row r="46418" customFormat="1" ht="17.25" customHeight="1"/>
    <row r="46419" customFormat="1" ht="17.25" customHeight="1"/>
    <row r="46420" customFormat="1" ht="17.25" customHeight="1"/>
    <row r="46421" customFormat="1" ht="17.25" customHeight="1"/>
    <row r="46422" customFormat="1" ht="17.25" customHeight="1"/>
    <row r="46423" customFormat="1" ht="17.25" customHeight="1"/>
    <row r="46424" customFormat="1" ht="17.25" customHeight="1"/>
    <row r="46425" customFormat="1" ht="17.25" customHeight="1"/>
    <row r="46426" customFormat="1" ht="17.25" customHeight="1"/>
    <row r="46427" customFormat="1" ht="17.25" customHeight="1"/>
    <row r="46428" customFormat="1" ht="17.25" customHeight="1"/>
    <row r="46429" customFormat="1" ht="17.25" customHeight="1"/>
    <row r="46430" customFormat="1" ht="17.25" customHeight="1"/>
    <row r="46431" customFormat="1" ht="17.25" customHeight="1"/>
    <row r="46432" customFormat="1" ht="17.25" customHeight="1"/>
    <row r="46433" customFormat="1" ht="17.25" customHeight="1"/>
    <row r="46434" customFormat="1" ht="17.25" customHeight="1"/>
    <row r="46435" customFormat="1" ht="17.25" customHeight="1"/>
    <row r="46436" customFormat="1" ht="17.25" customHeight="1"/>
    <row r="46437" customFormat="1" ht="17.25" customHeight="1"/>
    <row r="46438" customFormat="1" ht="17.25" customHeight="1"/>
    <row r="46439" customFormat="1" ht="17.25" customHeight="1"/>
    <row r="46440" customFormat="1" ht="17.25" customHeight="1"/>
    <row r="46441" customFormat="1" ht="17.25" customHeight="1"/>
    <row r="46442" customFormat="1" ht="17.25" customHeight="1"/>
    <row r="46443" customFormat="1" ht="17.25" customHeight="1"/>
    <row r="46444" customFormat="1" ht="17.25" customHeight="1"/>
    <row r="46445" customFormat="1" ht="17.25" customHeight="1"/>
    <row r="46446" customFormat="1" ht="17.25" customHeight="1"/>
    <row r="46447" customFormat="1" ht="17.25" customHeight="1"/>
    <row r="46448" customFormat="1" ht="17.25" customHeight="1"/>
    <row r="46449" customFormat="1" ht="17.25" customHeight="1"/>
    <row r="46450" customFormat="1" ht="17.25" customHeight="1"/>
    <row r="46451" customFormat="1" ht="17.25" customHeight="1"/>
    <row r="46452" customFormat="1" ht="17.25" customHeight="1"/>
    <row r="46453" customFormat="1" ht="17.25" customHeight="1"/>
    <row r="46454" customFormat="1" ht="17.25" customHeight="1"/>
    <row r="46455" customFormat="1" ht="17.25" customHeight="1"/>
    <row r="46456" customFormat="1" ht="17.25" customHeight="1"/>
    <row r="46457" customFormat="1" ht="17.25" customHeight="1"/>
    <row r="46458" customFormat="1" ht="17.25" customHeight="1"/>
    <row r="46459" customFormat="1" ht="17.25" customHeight="1"/>
    <row r="46460" customFormat="1" ht="17.25" customHeight="1"/>
    <row r="46461" customFormat="1" ht="17.25" customHeight="1"/>
    <row r="46462" customFormat="1" ht="17.25" customHeight="1"/>
    <row r="46463" customFormat="1" ht="17.25" customHeight="1"/>
    <row r="46464" customFormat="1" ht="17.25" customHeight="1"/>
    <row r="46465" customFormat="1" ht="17.25" customHeight="1"/>
    <row r="46466" customFormat="1" ht="17.25" customHeight="1"/>
    <row r="46467" customFormat="1" ht="17.25" customHeight="1"/>
    <row r="46468" customFormat="1" ht="17.25" customHeight="1"/>
    <row r="46469" customFormat="1" ht="17.25" customHeight="1"/>
    <row r="46470" customFormat="1" ht="17.25" customHeight="1"/>
    <row r="46471" customFormat="1" ht="17.25" customHeight="1"/>
    <row r="46472" customFormat="1" ht="17.25" customHeight="1"/>
    <row r="46473" customFormat="1" ht="17.25" customHeight="1"/>
    <row r="46474" customFormat="1" ht="17.25" customHeight="1"/>
    <row r="46475" customFormat="1" ht="17.25" customHeight="1"/>
    <row r="46476" customFormat="1" ht="17.25" customHeight="1"/>
    <row r="46477" customFormat="1" ht="17.25" customHeight="1"/>
    <row r="46478" customFormat="1" ht="17.25" customHeight="1"/>
    <row r="46479" customFormat="1" ht="17.25" customHeight="1"/>
    <row r="46480" customFormat="1" ht="17.25" customHeight="1"/>
    <row r="46481" customFormat="1" ht="17.25" customHeight="1"/>
    <row r="46482" customFormat="1" ht="17.25" customHeight="1"/>
    <row r="46483" customFormat="1" ht="17.25" customHeight="1"/>
    <row r="46484" customFormat="1" ht="17.25" customHeight="1"/>
    <row r="46485" customFormat="1" ht="17.25" customHeight="1"/>
    <row r="46486" customFormat="1" ht="17.25" customHeight="1"/>
    <row r="46487" customFormat="1" ht="17.25" customHeight="1"/>
    <row r="46488" customFormat="1" ht="17.25" customHeight="1"/>
    <row r="46489" customFormat="1" ht="17.25" customHeight="1"/>
    <row r="46490" customFormat="1" ht="17.25" customHeight="1"/>
    <row r="46491" customFormat="1" ht="17.25" customHeight="1"/>
    <row r="46492" customFormat="1" ht="17.25" customHeight="1"/>
    <row r="46493" customFormat="1" ht="17.25" customHeight="1"/>
    <row r="46494" customFormat="1" ht="17.25" customHeight="1"/>
    <row r="46495" customFormat="1" ht="17.25" customHeight="1"/>
    <row r="46496" customFormat="1" ht="17.25" customHeight="1"/>
    <row r="46497" customFormat="1" ht="17.25" customHeight="1"/>
    <row r="46498" customFormat="1" ht="17.25" customHeight="1"/>
    <row r="46499" customFormat="1" ht="17.25" customHeight="1"/>
    <row r="46500" customFormat="1" ht="17.25" customHeight="1"/>
    <row r="46501" customFormat="1" ht="17.25" customHeight="1"/>
    <row r="46502" customFormat="1" ht="17.25" customHeight="1"/>
    <row r="46503" customFormat="1" ht="17.25" customHeight="1"/>
    <row r="46504" customFormat="1" ht="17.25" customHeight="1"/>
    <row r="46505" customFormat="1" ht="17.25" customHeight="1"/>
    <row r="46506" customFormat="1" ht="17.25" customHeight="1"/>
    <row r="46507" customFormat="1" ht="17.25" customHeight="1"/>
    <row r="46508" customFormat="1" ht="17.25" customHeight="1"/>
    <row r="46509" customFormat="1" ht="17.25" customHeight="1"/>
    <row r="46510" customFormat="1" ht="17.25" customHeight="1"/>
    <row r="46511" customFormat="1" ht="17.25" customHeight="1"/>
    <row r="46512" customFormat="1" ht="17.25" customHeight="1"/>
    <row r="46513" customFormat="1" ht="17.25" customHeight="1"/>
    <row r="46514" customFormat="1" ht="17.25" customHeight="1"/>
    <row r="46515" customFormat="1" ht="17.25" customHeight="1"/>
    <row r="46516" customFormat="1" ht="17.25" customHeight="1"/>
    <row r="46517" customFormat="1" ht="17.25" customHeight="1"/>
    <row r="46518" customFormat="1" ht="17.25" customHeight="1"/>
    <row r="46519" customFormat="1" ht="17.25" customHeight="1"/>
    <row r="46520" customFormat="1" ht="17.25" customHeight="1"/>
    <row r="46521" customFormat="1" ht="17.25" customHeight="1"/>
    <row r="46522" customFormat="1" ht="17.25" customHeight="1"/>
    <row r="46523" customFormat="1" ht="17.25" customHeight="1"/>
    <row r="46524" customFormat="1" ht="17.25" customHeight="1"/>
    <row r="46525" customFormat="1" ht="17.25" customHeight="1"/>
    <row r="46526" customFormat="1" ht="17.25" customHeight="1"/>
    <row r="46527" customFormat="1" ht="17.25" customHeight="1"/>
    <row r="46528" customFormat="1" ht="17.25" customHeight="1"/>
    <row r="46529" customFormat="1" ht="17.25" customHeight="1"/>
    <row r="46530" customFormat="1" ht="17.25" customHeight="1"/>
    <row r="46531" customFormat="1" ht="17.25" customHeight="1"/>
    <row r="46532" customFormat="1" ht="17.25" customHeight="1"/>
    <row r="46533" customFormat="1" ht="17.25" customHeight="1"/>
    <row r="46534" customFormat="1" ht="17.25" customHeight="1"/>
    <row r="46535" customFormat="1" ht="17.25" customHeight="1"/>
    <row r="46536" customFormat="1" ht="17.25" customHeight="1"/>
    <row r="46537" customFormat="1" ht="17.25" customHeight="1"/>
    <row r="46538" customFormat="1" ht="17.25" customHeight="1"/>
    <row r="46539" customFormat="1" ht="17.25" customHeight="1"/>
    <row r="46540" customFormat="1" ht="17.25" customHeight="1"/>
    <row r="46541" customFormat="1" ht="17.25" customHeight="1"/>
    <row r="46542" customFormat="1" ht="17.25" customHeight="1"/>
    <row r="46543" customFormat="1" ht="17.25" customHeight="1"/>
    <row r="46544" customFormat="1" ht="17.25" customHeight="1"/>
    <row r="46545" customFormat="1" ht="17.25" customHeight="1"/>
    <row r="46546" customFormat="1" ht="17.25" customHeight="1"/>
    <row r="46547" customFormat="1" ht="17.25" customHeight="1"/>
    <row r="46548" customFormat="1" ht="17.25" customHeight="1"/>
    <row r="46549" customFormat="1" ht="17.25" customHeight="1"/>
    <row r="46550" customFormat="1" ht="17.25" customHeight="1"/>
    <row r="46551" customFormat="1" ht="17.25" customHeight="1"/>
    <row r="46552" customFormat="1" ht="17.25" customHeight="1"/>
    <row r="46553" customFormat="1" ht="17.25" customHeight="1"/>
    <row r="46554" customFormat="1" ht="17.25" customHeight="1"/>
    <row r="46555" customFormat="1" ht="17.25" customHeight="1"/>
    <row r="46556" customFormat="1" ht="17.25" customHeight="1"/>
    <row r="46557" customFormat="1" ht="17.25" customHeight="1"/>
    <row r="46558" customFormat="1" ht="17.25" customHeight="1"/>
    <row r="46559" customFormat="1" ht="17.25" customHeight="1"/>
    <row r="46560" customFormat="1" ht="17.25" customHeight="1"/>
    <row r="46561" customFormat="1" ht="17.25" customHeight="1"/>
    <row r="46562" customFormat="1" ht="17.25" customHeight="1"/>
    <row r="46563" customFormat="1" ht="17.25" customHeight="1"/>
    <row r="46564" customFormat="1" ht="17.25" customHeight="1"/>
    <row r="46565" customFormat="1" ht="17.25" customHeight="1"/>
    <row r="46566" customFormat="1" ht="17.25" customHeight="1"/>
    <row r="46567" customFormat="1" ht="17.25" customHeight="1"/>
    <row r="46568" customFormat="1" ht="17.25" customHeight="1"/>
    <row r="46569" customFormat="1" ht="17.25" customHeight="1"/>
    <row r="46570" customFormat="1" ht="17.25" customHeight="1"/>
    <row r="46571" customFormat="1" ht="17.25" customHeight="1"/>
    <row r="46572" customFormat="1" ht="17.25" customHeight="1"/>
    <row r="46573" customFormat="1" ht="17.25" customHeight="1"/>
    <row r="46574" customFormat="1" ht="17.25" customHeight="1"/>
    <row r="46575" customFormat="1" ht="17.25" customHeight="1"/>
    <row r="46576" customFormat="1" ht="17.25" customHeight="1"/>
    <row r="46577" customFormat="1" ht="17.25" customHeight="1"/>
    <row r="46578" customFormat="1" ht="17.25" customHeight="1"/>
    <row r="46579" customFormat="1" ht="17.25" customHeight="1"/>
    <row r="46580" customFormat="1" ht="17.25" customHeight="1"/>
    <row r="46581" customFormat="1" ht="17.25" customHeight="1"/>
    <row r="46582" customFormat="1" ht="17.25" customHeight="1"/>
    <row r="46583" customFormat="1" ht="17.25" customHeight="1"/>
    <row r="46584" customFormat="1" ht="17.25" customHeight="1"/>
    <row r="46585" customFormat="1" ht="17.25" customHeight="1"/>
    <row r="46586" customFormat="1" ht="17.25" customHeight="1"/>
    <row r="46587" customFormat="1" ht="17.25" customHeight="1"/>
    <row r="46588" customFormat="1" ht="17.25" customHeight="1"/>
    <row r="46589" customFormat="1" ht="17.25" customHeight="1"/>
    <row r="46590" customFormat="1" ht="17.25" customHeight="1"/>
    <row r="46591" customFormat="1" ht="17.25" customHeight="1"/>
    <row r="46592" customFormat="1" ht="17.25" customHeight="1"/>
    <row r="46593" customFormat="1" ht="17.25" customHeight="1"/>
    <row r="46594" customFormat="1" ht="17.25" customHeight="1"/>
    <row r="46595" customFormat="1" ht="17.25" customHeight="1"/>
    <row r="46596" customFormat="1" ht="17.25" customHeight="1"/>
    <row r="46597" customFormat="1" ht="17.25" customHeight="1"/>
    <row r="46598" customFormat="1" ht="17.25" customHeight="1"/>
    <row r="46599" customFormat="1" ht="17.25" customHeight="1"/>
    <row r="46600" customFormat="1" ht="17.25" customHeight="1"/>
    <row r="46601" customFormat="1" ht="17.25" customHeight="1"/>
    <row r="46602" customFormat="1" ht="17.25" customHeight="1"/>
    <row r="46603" customFormat="1" ht="17.25" customHeight="1"/>
    <row r="46604" customFormat="1" ht="17.25" customHeight="1"/>
    <row r="46605" customFormat="1" ht="17.25" customHeight="1"/>
    <row r="46606" customFormat="1" ht="17.25" customHeight="1"/>
    <row r="46607" customFormat="1" ht="17.25" customHeight="1"/>
    <row r="46608" customFormat="1" ht="17.25" customHeight="1"/>
    <row r="46609" customFormat="1" ht="17.25" customHeight="1"/>
    <row r="46610" customFormat="1" ht="17.25" customHeight="1"/>
    <row r="46611" customFormat="1" ht="17.25" customHeight="1"/>
    <row r="46612" customFormat="1" ht="17.25" customHeight="1"/>
    <row r="46613" customFormat="1" ht="17.25" customHeight="1"/>
    <row r="46614" customFormat="1" ht="17.25" customHeight="1"/>
    <row r="46615" customFormat="1" ht="17.25" customHeight="1"/>
    <row r="46616" customFormat="1" ht="17.25" customHeight="1"/>
    <row r="46617" customFormat="1" ht="17.25" customHeight="1"/>
    <row r="46618" customFormat="1" ht="17.25" customHeight="1"/>
    <row r="46619" customFormat="1" ht="17.25" customHeight="1"/>
    <row r="46620" customFormat="1" ht="17.25" customHeight="1"/>
    <row r="46621" customFormat="1" ht="17.25" customHeight="1"/>
    <row r="46622" customFormat="1" ht="17.25" customHeight="1"/>
    <row r="46623" customFormat="1" ht="17.25" customHeight="1"/>
    <row r="46624" customFormat="1" ht="17.25" customHeight="1"/>
    <row r="46625" customFormat="1" ht="17.25" customHeight="1"/>
    <row r="46626" customFormat="1" ht="17.25" customHeight="1"/>
    <row r="46627" customFormat="1" ht="17.25" customHeight="1"/>
    <row r="46628" customFormat="1" ht="17.25" customHeight="1"/>
    <row r="46629" customFormat="1" ht="17.25" customHeight="1"/>
    <row r="46630" customFormat="1" ht="17.25" customHeight="1"/>
    <row r="46631" customFormat="1" ht="17.25" customHeight="1"/>
    <row r="46632" customFormat="1" ht="17.25" customHeight="1"/>
    <row r="46633" customFormat="1" ht="17.25" customHeight="1"/>
    <row r="46634" customFormat="1" ht="17.25" customHeight="1"/>
    <row r="46635" customFormat="1" ht="17.25" customHeight="1"/>
    <row r="46636" customFormat="1" ht="17.25" customHeight="1"/>
    <row r="46637" customFormat="1" ht="17.25" customHeight="1"/>
    <row r="46638" customFormat="1" ht="17.25" customHeight="1"/>
    <row r="46639" customFormat="1" ht="17.25" customHeight="1"/>
    <row r="46640" customFormat="1" ht="17.25" customHeight="1"/>
    <row r="46641" customFormat="1" ht="17.25" customHeight="1"/>
    <row r="46642" customFormat="1" ht="17.25" customHeight="1"/>
    <row r="46643" customFormat="1" ht="17.25" customHeight="1"/>
    <row r="46644" customFormat="1" ht="17.25" customHeight="1"/>
    <row r="46645" customFormat="1" ht="17.25" customHeight="1"/>
    <row r="46646" customFormat="1" ht="17.25" customHeight="1"/>
    <row r="46647" customFormat="1" ht="17.25" customHeight="1"/>
    <row r="46648" customFormat="1" ht="17.25" customHeight="1"/>
    <row r="46649" customFormat="1" ht="17.25" customHeight="1"/>
    <row r="46650" customFormat="1" ht="17.25" customHeight="1"/>
    <row r="46651" customFormat="1" ht="17.25" customHeight="1"/>
    <row r="46652" customFormat="1" ht="17.25" customHeight="1"/>
    <row r="46653" customFormat="1" ht="17.25" customHeight="1"/>
    <row r="46654" customFormat="1" ht="17.25" customHeight="1"/>
    <row r="46655" customFormat="1" ht="17.25" customHeight="1"/>
    <row r="46656" customFormat="1" ht="17.25" customHeight="1"/>
    <row r="46657" customFormat="1" ht="17.25" customHeight="1"/>
    <row r="46658" customFormat="1" ht="17.25" customHeight="1"/>
    <row r="46659" customFormat="1" ht="17.25" customHeight="1"/>
    <row r="46660" customFormat="1" ht="17.25" customHeight="1"/>
    <row r="46661" customFormat="1" ht="17.25" customHeight="1"/>
    <row r="46662" customFormat="1" ht="17.25" customHeight="1"/>
    <row r="46663" customFormat="1" ht="17.25" customHeight="1"/>
    <row r="46664" customFormat="1" ht="17.25" customHeight="1"/>
    <row r="46665" customFormat="1" ht="17.25" customHeight="1"/>
    <row r="46666" customFormat="1" ht="17.25" customHeight="1"/>
    <row r="46667" customFormat="1" ht="17.25" customHeight="1"/>
    <row r="46668" customFormat="1" ht="17.25" customHeight="1"/>
    <row r="46669" customFormat="1" ht="17.25" customHeight="1"/>
    <row r="46670" customFormat="1" ht="17.25" customHeight="1"/>
    <row r="46671" customFormat="1" ht="17.25" customHeight="1"/>
    <row r="46672" customFormat="1" ht="17.25" customHeight="1"/>
    <row r="46673" customFormat="1" ht="17.25" customHeight="1"/>
    <row r="46674" customFormat="1" ht="17.25" customHeight="1"/>
    <row r="46675" customFormat="1" ht="17.25" customHeight="1"/>
    <row r="46676" customFormat="1" ht="17.25" customHeight="1"/>
    <row r="46677" customFormat="1" ht="17.25" customHeight="1"/>
    <row r="46678" customFormat="1" ht="17.25" customHeight="1"/>
    <row r="46679" customFormat="1" ht="17.25" customHeight="1"/>
    <row r="46680" customFormat="1" ht="17.25" customHeight="1"/>
    <row r="46681" customFormat="1" ht="17.25" customHeight="1"/>
    <row r="46682" customFormat="1" ht="17.25" customHeight="1"/>
    <row r="46683" customFormat="1" ht="17.25" customHeight="1"/>
    <row r="46684" customFormat="1" ht="17.25" customHeight="1"/>
    <row r="46685" customFormat="1" ht="17.25" customHeight="1"/>
    <row r="46686" customFormat="1" ht="17.25" customHeight="1"/>
    <row r="46687" customFormat="1" ht="17.25" customHeight="1"/>
    <row r="46688" customFormat="1" ht="17.25" customHeight="1"/>
    <row r="46689" customFormat="1" ht="17.25" customHeight="1"/>
    <row r="46690" customFormat="1" ht="17.25" customHeight="1"/>
    <row r="46691" customFormat="1" ht="17.25" customHeight="1"/>
    <row r="46692" customFormat="1" ht="17.25" customHeight="1"/>
    <row r="46693" customFormat="1" ht="17.25" customHeight="1"/>
    <row r="46694" customFormat="1" ht="17.25" customHeight="1"/>
    <row r="46695" customFormat="1" ht="17.25" customHeight="1"/>
    <row r="46696" customFormat="1" ht="17.25" customHeight="1"/>
    <row r="46697" customFormat="1" ht="17.25" customHeight="1"/>
    <row r="46698" customFormat="1" ht="17.25" customHeight="1"/>
    <row r="46699" customFormat="1" ht="17.25" customHeight="1"/>
    <row r="46700" customFormat="1" ht="17.25" customHeight="1"/>
    <row r="46701" customFormat="1" ht="17.25" customHeight="1"/>
    <row r="46702" customFormat="1" ht="17.25" customHeight="1"/>
    <row r="46703" customFormat="1" ht="17.25" customHeight="1"/>
    <row r="46704" customFormat="1" ht="17.25" customHeight="1"/>
    <row r="46705" customFormat="1" ht="17.25" customHeight="1"/>
    <row r="46706" customFormat="1" ht="17.25" customHeight="1"/>
    <row r="46707" customFormat="1" ht="17.25" customHeight="1"/>
    <row r="46708" customFormat="1" ht="17.25" customHeight="1"/>
    <row r="46709" customFormat="1" ht="17.25" customHeight="1"/>
    <row r="46710" customFormat="1" ht="17.25" customHeight="1"/>
    <row r="46711" customFormat="1" ht="17.25" customHeight="1"/>
    <row r="46712" customFormat="1" ht="17.25" customHeight="1"/>
    <row r="46713" customFormat="1" ht="17.25" customHeight="1"/>
    <row r="46714" customFormat="1" ht="17.25" customHeight="1"/>
    <row r="46715" customFormat="1" ht="17.25" customHeight="1"/>
    <row r="46716" customFormat="1" ht="17.25" customHeight="1"/>
    <row r="46717" customFormat="1" ht="17.25" customHeight="1"/>
    <row r="46718" customFormat="1" ht="17.25" customHeight="1"/>
    <row r="46719" customFormat="1" ht="17.25" customHeight="1"/>
    <row r="46720" customFormat="1" ht="17.25" customHeight="1"/>
    <row r="46721" customFormat="1" ht="17.25" customHeight="1"/>
    <row r="46722" customFormat="1" ht="17.25" customHeight="1"/>
    <row r="46723" customFormat="1" ht="17.25" customHeight="1"/>
    <row r="46724" customFormat="1" ht="17.25" customHeight="1"/>
    <row r="46725" customFormat="1" ht="17.25" customHeight="1"/>
    <row r="46726" customFormat="1" ht="17.25" customHeight="1"/>
    <row r="46727" customFormat="1" ht="17.25" customHeight="1"/>
    <row r="46728" customFormat="1" ht="17.25" customHeight="1"/>
    <row r="46729" customFormat="1" ht="17.25" customHeight="1"/>
    <row r="46730" customFormat="1" ht="17.25" customHeight="1"/>
    <row r="46731" customFormat="1" ht="17.25" customHeight="1"/>
    <row r="46732" customFormat="1" ht="17.25" customHeight="1"/>
    <row r="46733" customFormat="1" ht="17.25" customHeight="1"/>
    <row r="46734" customFormat="1" ht="17.25" customHeight="1"/>
    <row r="46735" customFormat="1" ht="17.25" customHeight="1"/>
    <row r="46736" customFormat="1" ht="17.25" customHeight="1"/>
    <row r="46737" customFormat="1" ht="17.25" customHeight="1"/>
    <row r="46738" customFormat="1" ht="17.25" customHeight="1"/>
    <row r="46739" customFormat="1" ht="17.25" customHeight="1"/>
    <row r="46740" customFormat="1" ht="17.25" customHeight="1"/>
    <row r="46741" customFormat="1" ht="17.25" customHeight="1"/>
    <row r="46742" customFormat="1" ht="17.25" customHeight="1"/>
    <row r="46743" customFormat="1" ht="17.25" customHeight="1"/>
    <row r="46744" customFormat="1" ht="17.25" customHeight="1"/>
    <row r="46745" customFormat="1" ht="17.25" customHeight="1"/>
    <row r="46746" customFormat="1" ht="17.25" customHeight="1"/>
    <row r="46747" customFormat="1" ht="17.25" customHeight="1"/>
    <row r="46748" customFormat="1" ht="17.25" customHeight="1"/>
    <row r="46749" customFormat="1" ht="17.25" customHeight="1"/>
    <row r="46750" customFormat="1" ht="17.25" customHeight="1"/>
    <row r="46751" customFormat="1" ht="17.25" customHeight="1"/>
    <row r="46752" customFormat="1" ht="17.25" customHeight="1"/>
    <row r="46753" customFormat="1" ht="17.25" customHeight="1"/>
    <row r="46754" customFormat="1" ht="17.25" customHeight="1"/>
    <row r="46755" customFormat="1" ht="17.25" customHeight="1"/>
    <row r="46756" customFormat="1" ht="17.25" customHeight="1"/>
    <row r="46757" customFormat="1" ht="17.25" customHeight="1"/>
    <row r="46758" customFormat="1" ht="17.25" customHeight="1"/>
    <row r="46759" customFormat="1" ht="17.25" customHeight="1"/>
    <row r="46760" customFormat="1" ht="17.25" customHeight="1"/>
    <row r="46761" customFormat="1" ht="17.25" customHeight="1"/>
    <row r="46762" customFormat="1" ht="17.25" customHeight="1"/>
    <row r="46763" customFormat="1" ht="17.25" customHeight="1"/>
    <row r="46764" customFormat="1" ht="17.25" customHeight="1"/>
    <row r="46765" customFormat="1" ht="17.25" customHeight="1"/>
    <row r="46766" customFormat="1" ht="17.25" customHeight="1"/>
    <row r="46767" customFormat="1" ht="17.25" customHeight="1"/>
    <row r="46768" customFormat="1" ht="17.25" customHeight="1"/>
    <row r="46769" customFormat="1" ht="17.25" customHeight="1"/>
    <row r="46770" customFormat="1" ht="17.25" customHeight="1"/>
    <row r="46771" customFormat="1" ht="17.25" customHeight="1"/>
    <row r="46772" customFormat="1" ht="17.25" customHeight="1"/>
    <row r="46773" customFormat="1" ht="17.25" customHeight="1"/>
    <row r="46774" customFormat="1" ht="17.25" customHeight="1"/>
    <row r="46775" customFormat="1" ht="17.25" customHeight="1"/>
    <row r="46776" customFormat="1" ht="17.25" customHeight="1"/>
    <row r="46777" customFormat="1" ht="17.25" customHeight="1"/>
    <row r="46778" customFormat="1" ht="17.25" customHeight="1"/>
    <row r="46779" customFormat="1" ht="17.25" customHeight="1"/>
    <row r="46780" customFormat="1" ht="17.25" customHeight="1"/>
    <row r="46781" customFormat="1" ht="17.25" customHeight="1"/>
    <row r="46782" customFormat="1" ht="17.25" customHeight="1"/>
    <row r="46783" customFormat="1" ht="17.25" customHeight="1"/>
    <row r="46784" customFormat="1" ht="17.25" customHeight="1"/>
    <row r="46785" customFormat="1" ht="17.25" customHeight="1"/>
    <row r="46786" customFormat="1" ht="17.25" customHeight="1"/>
    <row r="46787" customFormat="1" ht="17.25" customHeight="1"/>
    <row r="46788" customFormat="1" ht="17.25" customHeight="1"/>
    <row r="46789" customFormat="1" ht="17.25" customHeight="1"/>
    <row r="46790" customFormat="1" ht="17.25" customHeight="1"/>
    <row r="46791" customFormat="1" ht="17.25" customHeight="1"/>
    <row r="46792" customFormat="1" ht="17.25" customHeight="1"/>
    <row r="46793" customFormat="1" ht="17.25" customHeight="1"/>
    <row r="46794" customFormat="1" ht="17.25" customHeight="1"/>
    <row r="46795" customFormat="1" ht="17.25" customHeight="1"/>
    <row r="46796" customFormat="1" ht="17.25" customHeight="1"/>
    <row r="46797" customFormat="1" ht="17.25" customHeight="1"/>
    <row r="46798" customFormat="1" ht="17.25" customHeight="1"/>
    <row r="46799" customFormat="1" ht="17.25" customHeight="1"/>
    <row r="46800" customFormat="1" ht="17.25" customHeight="1"/>
    <row r="46801" customFormat="1" ht="17.25" customHeight="1"/>
    <row r="46802" customFormat="1" ht="17.25" customHeight="1"/>
    <row r="46803" customFormat="1" ht="17.25" customHeight="1"/>
    <row r="46804" customFormat="1" ht="17.25" customHeight="1"/>
    <row r="46805" customFormat="1" ht="17.25" customHeight="1"/>
    <row r="46806" customFormat="1" ht="17.25" customHeight="1"/>
    <row r="46807" customFormat="1" ht="17.25" customHeight="1"/>
    <row r="46808" customFormat="1" ht="17.25" customHeight="1"/>
    <row r="46809" customFormat="1" ht="17.25" customHeight="1"/>
    <row r="46810" customFormat="1" ht="17.25" customHeight="1"/>
    <row r="46811" customFormat="1" ht="17.25" customHeight="1"/>
    <row r="46812" customFormat="1" ht="17.25" customHeight="1"/>
    <row r="46813" customFormat="1" ht="17.25" customHeight="1"/>
    <row r="46814" customFormat="1" ht="17.25" customHeight="1"/>
    <row r="46815" customFormat="1" ht="17.25" customHeight="1"/>
    <row r="46816" customFormat="1" ht="17.25" customHeight="1"/>
    <row r="46817" customFormat="1" ht="17.25" customHeight="1"/>
    <row r="46818" customFormat="1" ht="17.25" customHeight="1"/>
    <row r="46819" customFormat="1" ht="17.25" customHeight="1"/>
    <row r="46820" customFormat="1" ht="17.25" customHeight="1"/>
    <row r="46821" customFormat="1" ht="17.25" customHeight="1"/>
    <row r="46822" customFormat="1" ht="17.25" customHeight="1"/>
    <row r="46823" customFormat="1" ht="17.25" customHeight="1"/>
    <row r="46824" customFormat="1" ht="17.25" customHeight="1"/>
    <row r="46825" customFormat="1" ht="17.25" customHeight="1"/>
    <row r="46826" customFormat="1" ht="17.25" customHeight="1"/>
    <row r="46827" customFormat="1" ht="17.25" customHeight="1"/>
    <row r="46828" customFormat="1" ht="17.25" customHeight="1"/>
    <row r="46829" customFormat="1" ht="17.25" customHeight="1"/>
    <row r="46830" customFormat="1" ht="17.25" customHeight="1"/>
    <row r="46831" customFormat="1" ht="17.25" customHeight="1"/>
    <row r="46832" customFormat="1" ht="17.25" customHeight="1"/>
    <row r="46833" customFormat="1" ht="17.25" customHeight="1"/>
    <row r="46834" customFormat="1" ht="17.25" customHeight="1"/>
    <row r="46835" customFormat="1" ht="17.25" customHeight="1"/>
    <row r="46836" customFormat="1" ht="17.25" customHeight="1"/>
    <row r="46837" customFormat="1" ht="17.25" customHeight="1"/>
    <row r="46838" customFormat="1" ht="17.25" customHeight="1"/>
    <row r="46839" customFormat="1" ht="17.25" customHeight="1"/>
    <row r="46840" customFormat="1" ht="17.25" customHeight="1"/>
    <row r="46841" customFormat="1" ht="17.25" customHeight="1"/>
    <row r="46842" customFormat="1" ht="17.25" customHeight="1"/>
    <row r="46843" customFormat="1" ht="17.25" customHeight="1"/>
    <row r="46844" customFormat="1" ht="17.25" customHeight="1"/>
    <row r="46845" customFormat="1" ht="17.25" customHeight="1"/>
    <row r="46846" customFormat="1" ht="17.25" customHeight="1"/>
    <row r="46847" customFormat="1" ht="17.25" customHeight="1"/>
    <row r="46848" customFormat="1" ht="17.25" customHeight="1"/>
    <row r="46849" customFormat="1" ht="17.25" customHeight="1"/>
    <row r="46850" customFormat="1" ht="17.25" customHeight="1"/>
    <row r="46851" customFormat="1" ht="17.25" customHeight="1"/>
    <row r="46852" customFormat="1" ht="17.25" customHeight="1"/>
    <row r="46853" customFormat="1" ht="17.25" customHeight="1"/>
    <row r="46854" customFormat="1" ht="17.25" customHeight="1"/>
    <row r="46855" customFormat="1" ht="17.25" customHeight="1"/>
    <row r="46856" customFormat="1" ht="17.25" customHeight="1"/>
    <row r="46857" customFormat="1" ht="17.25" customHeight="1"/>
    <row r="46858" customFormat="1" ht="17.25" customHeight="1"/>
    <row r="46859" customFormat="1" ht="17.25" customHeight="1"/>
    <row r="46860" customFormat="1" ht="17.25" customHeight="1"/>
    <row r="46861" customFormat="1" ht="17.25" customHeight="1"/>
    <row r="46862" customFormat="1" ht="17.25" customHeight="1"/>
    <row r="46863" customFormat="1" ht="17.25" customHeight="1"/>
    <row r="46864" customFormat="1" ht="17.25" customHeight="1"/>
    <row r="46865" customFormat="1" ht="17.25" customHeight="1"/>
    <row r="46866" customFormat="1" ht="17.25" customHeight="1"/>
    <row r="46867" customFormat="1" ht="17.25" customHeight="1"/>
    <row r="46868" customFormat="1" ht="17.25" customHeight="1"/>
    <row r="46869" customFormat="1" ht="17.25" customHeight="1"/>
    <row r="46870" customFormat="1" ht="17.25" customHeight="1"/>
    <row r="46871" customFormat="1" ht="17.25" customHeight="1"/>
    <row r="46872" customFormat="1" ht="17.25" customHeight="1"/>
    <row r="46873" customFormat="1" ht="17.25" customHeight="1"/>
    <row r="46874" customFormat="1" ht="17.25" customHeight="1"/>
    <row r="46875" customFormat="1" ht="17.25" customHeight="1"/>
    <row r="46876" customFormat="1" ht="17.25" customHeight="1"/>
    <row r="46877" customFormat="1" ht="17.25" customHeight="1"/>
    <row r="46878" customFormat="1" ht="17.25" customHeight="1"/>
    <row r="46879" customFormat="1" ht="17.25" customHeight="1"/>
    <row r="46880" customFormat="1" ht="17.25" customHeight="1"/>
    <row r="46881" customFormat="1" ht="17.25" customHeight="1"/>
    <row r="46882" customFormat="1" ht="17.25" customHeight="1"/>
    <row r="46883" customFormat="1" ht="17.25" customHeight="1"/>
    <row r="46884" customFormat="1" ht="17.25" customHeight="1"/>
    <row r="46885" customFormat="1" ht="17.25" customHeight="1"/>
    <row r="46886" customFormat="1" ht="17.25" customHeight="1"/>
    <row r="46887" customFormat="1" ht="17.25" customHeight="1"/>
    <row r="46888" customFormat="1" ht="17.25" customHeight="1"/>
    <row r="46889" customFormat="1" ht="17.25" customHeight="1"/>
    <row r="46890" customFormat="1" ht="17.25" customHeight="1"/>
    <row r="46891" customFormat="1" ht="17.25" customHeight="1"/>
    <row r="46892" customFormat="1" ht="17.25" customHeight="1"/>
    <row r="46893" customFormat="1" ht="17.25" customHeight="1"/>
    <row r="46894" customFormat="1" ht="17.25" customHeight="1"/>
    <row r="46895" customFormat="1" ht="17.25" customHeight="1"/>
    <row r="46896" customFormat="1" ht="17.25" customHeight="1"/>
    <row r="46897" customFormat="1" ht="17.25" customHeight="1"/>
    <row r="46898" customFormat="1" ht="17.25" customHeight="1"/>
    <row r="46899" customFormat="1" ht="17.25" customHeight="1"/>
    <row r="46900" customFormat="1" ht="17.25" customHeight="1"/>
    <row r="46901" customFormat="1" ht="17.25" customHeight="1"/>
    <row r="46902" customFormat="1" ht="17.25" customHeight="1"/>
    <row r="46903" customFormat="1" ht="17.25" customHeight="1"/>
    <row r="46904" customFormat="1" ht="17.25" customHeight="1"/>
    <row r="46905" customFormat="1" ht="17.25" customHeight="1"/>
    <row r="46906" customFormat="1" ht="17.25" customHeight="1"/>
    <row r="46907" customFormat="1" ht="17.25" customHeight="1"/>
    <row r="46908" customFormat="1" ht="17.25" customHeight="1"/>
    <row r="46909" customFormat="1" ht="17.25" customHeight="1"/>
    <row r="46910" customFormat="1" ht="17.25" customHeight="1"/>
    <row r="46911" customFormat="1" ht="17.25" customHeight="1"/>
    <row r="46912" customFormat="1" ht="17.25" customHeight="1"/>
    <row r="46913" customFormat="1" ht="17.25" customHeight="1"/>
    <row r="46914" customFormat="1" ht="17.25" customHeight="1"/>
    <row r="46915" customFormat="1" ht="17.25" customHeight="1"/>
    <row r="46916" customFormat="1" ht="17.25" customHeight="1"/>
    <row r="46917" customFormat="1" ht="17.25" customHeight="1"/>
    <row r="46918" customFormat="1" ht="17.25" customHeight="1"/>
    <row r="46919" customFormat="1" ht="17.25" customHeight="1"/>
    <row r="46920" customFormat="1" ht="17.25" customHeight="1"/>
    <row r="46921" customFormat="1" ht="17.25" customHeight="1"/>
    <row r="46922" customFormat="1" ht="17.25" customHeight="1"/>
    <row r="46923" customFormat="1" ht="17.25" customHeight="1"/>
    <row r="46924" customFormat="1" ht="17.25" customHeight="1"/>
    <row r="46925" customFormat="1" ht="17.25" customHeight="1"/>
    <row r="46926" customFormat="1" ht="17.25" customHeight="1"/>
    <row r="46927" customFormat="1" ht="17.25" customHeight="1"/>
    <row r="46928" customFormat="1" ht="17.25" customHeight="1"/>
    <row r="46929" customFormat="1" ht="17.25" customHeight="1"/>
    <row r="46930" customFormat="1" ht="17.25" customHeight="1"/>
    <row r="46931" customFormat="1" ht="17.25" customHeight="1"/>
    <row r="46932" customFormat="1" ht="17.25" customHeight="1"/>
    <row r="46933" customFormat="1" ht="17.25" customHeight="1"/>
    <row r="46934" customFormat="1" ht="17.25" customHeight="1"/>
    <row r="46935" customFormat="1" ht="17.25" customHeight="1"/>
    <row r="46936" customFormat="1" ht="17.25" customHeight="1"/>
    <row r="46937" customFormat="1" ht="17.25" customHeight="1"/>
    <row r="46938" customFormat="1" ht="17.25" customHeight="1"/>
    <row r="46939" customFormat="1" ht="17.25" customHeight="1"/>
    <row r="46940" customFormat="1" ht="17.25" customHeight="1"/>
    <row r="46941" customFormat="1" ht="17.25" customHeight="1"/>
    <row r="46942" customFormat="1" ht="17.25" customHeight="1"/>
    <row r="46943" customFormat="1" ht="17.25" customHeight="1"/>
    <row r="46944" customFormat="1" ht="17.25" customHeight="1"/>
    <row r="46945" customFormat="1" ht="17.25" customHeight="1"/>
    <row r="46946" customFormat="1" ht="17.25" customHeight="1"/>
    <row r="46947" customFormat="1" ht="17.25" customHeight="1"/>
    <row r="46948" customFormat="1" ht="17.25" customHeight="1"/>
    <row r="46949" customFormat="1" ht="17.25" customHeight="1"/>
    <row r="46950" customFormat="1" ht="17.25" customHeight="1"/>
    <row r="46951" customFormat="1" ht="17.25" customHeight="1"/>
    <row r="46952" customFormat="1" ht="17.25" customHeight="1"/>
    <row r="46953" customFormat="1" ht="17.25" customHeight="1"/>
    <row r="46954" customFormat="1" ht="17.25" customHeight="1"/>
    <row r="46955" customFormat="1" ht="17.25" customHeight="1"/>
    <row r="46956" customFormat="1" ht="17.25" customHeight="1"/>
    <row r="46957" customFormat="1" ht="17.25" customHeight="1"/>
    <row r="46958" customFormat="1" ht="17.25" customHeight="1"/>
    <row r="46959" customFormat="1" ht="17.25" customHeight="1"/>
    <row r="46960" customFormat="1" ht="17.25" customHeight="1"/>
    <row r="46961" customFormat="1" ht="17.25" customHeight="1"/>
    <row r="46962" customFormat="1" ht="17.25" customHeight="1"/>
    <row r="46963" customFormat="1" ht="17.25" customHeight="1"/>
    <row r="46964" customFormat="1" ht="17.25" customHeight="1"/>
    <row r="46965" customFormat="1" ht="17.25" customHeight="1"/>
    <row r="46966" customFormat="1" ht="17.25" customHeight="1"/>
    <row r="46967" customFormat="1" ht="17.25" customHeight="1"/>
    <row r="46968" customFormat="1" ht="17.25" customHeight="1"/>
    <row r="46969" customFormat="1" ht="17.25" customHeight="1"/>
    <row r="46970" customFormat="1" ht="17.25" customHeight="1"/>
    <row r="46971" customFormat="1" ht="17.25" customHeight="1"/>
    <row r="46972" customFormat="1" ht="17.25" customHeight="1"/>
    <row r="46973" customFormat="1" ht="17.25" customHeight="1"/>
    <row r="46974" customFormat="1" ht="17.25" customHeight="1"/>
    <row r="46975" customFormat="1" ht="17.25" customHeight="1"/>
    <row r="46976" customFormat="1" ht="17.25" customHeight="1"/>
    <row r="46977" customFormat="1" ht="17.25" customHeight="1"/>
    <row r="46978" customFormat="1" ht="17.25" customHeight="1"/>
    <row r="46979" customFormat="1" ht="17.25" customHeight="1"/>
    <row r="46980" customFormat="1" ht="17.25" customHeight="1"/>
    <row r="46981" customFormat="1" ht="17.25" customHeight="1"/>
    <row r="46982" customFormat="1" ht="17.25" customHeight="1"/>
    <row r="46983" customFormat="1" ht="17.25" customHeight="1"/>
    <row r="46984" customFormat="1" ht="17.25" customHeight="1"/>
    <row r="46985" customFormat="1" ht="17.25" customHeight="1"/>
    <row r="46986" customFormat="1" ht="17.25" customHeight="1"/>
    <row r="46987" customFormat="1" ht="17.25" customHeight="1"/>
    <row r="46988" customFormat="1" ht="17.25" customHeight="1"/>
    <row r="46989" customFormat="1" ht="17.25" customHeight="1"/>
    <row r="46990" customFormat="1" ht="17.25" customHeight="1"/>
    <row r="46991" customFormat="1" ht="17.25" customHeight="1"/>
    <row r="46992" customFormat="1" ht="17.25" customHeight="1"/>
    <row r="46993" customFormat="1" ht="17.25" customHeight="1"/>
    <row r="46994" customFormat="1" ht="17.25" customHeight="1"/>
    <row r="46995" customFormat="1" ht="17.25" customHeight="1"/>
    <row r="46996" customFormat="1" ht="17.25" customHeight="1"/>
    <row r="46997" customFormat="1" ht="17.25" customHeight="1"/>
    <row r="46998" customFormat="1" ht="17.25" customHeight="1"/>
    <row r="46999" customFormat="1" ht="17.25" customHeight="1"/>
    <row r="47000" customFormat="1" ht="17.25" customHeight="1"/>
    <row r="47001" customFormat="1" ht="17.25" customHeight="1"/>
    <row r="47002" customFormat="1" ht="17.25" customHeight="1"/>
    <row r="47003" customFormat="1" ht="17.25" customHeight="1"/>
    <row r="47004" customFormat="1" ht="17.25" customHeight="1"/>
    <row r="47005" customFormat="1" ht="17.25" customHeight="1"/>
    <row r="47006" customFormat="1" ht="17.25" customHeight="1"/>
    <row r="47007" customFormat="1" ht="17.25" customHeight="1"/>
    <row r="47008" customFormat="1" ht="17.25" customHeight="1"/>
    <row r="47009" customFormat="1" ht="17.25" customHeight="1"/>
    <row r="47010" customFormat="1" ht="17.25" customHeight="1"/>
    <row r="47011" customFormat="1" ht="17.25" customHeight="1"/>
    <row r="47012" customFormat="1" ht="17.25" customHeight="1"/>
    <row r="47013" customFormat="1" ht="17.25" customHeight="1"/>
    <row r="47014" customFormat="1" ht="17.25" customHeight="1"/>
    <row r="47015" customFormat="1" ht="17.25" customHeight="1"/>
    <row r="47016" customFormat="1" ht="17.25" customHeight="1"/>
    <row r="47017" customFormat="1" ht="17.25" customHeight="1"/>
    <row r="47018" customFormat="1" ht="17.25" customHeight="1"/>
    <row r="47019" customFormat="1" ht="17.25" customHeight="1"/>
    <row r="47020" customFormat="1" ht="17.25" customHeight="1"/>
    <row r="47021" customFormat="1" ht="17.25" customHeight="1"/>
    <row r="47022" customFormat="1" ht="17.25" customHeight="1"/>
    <row r="47023" customFormat="1" ht="17.25" customHeight="1"/>
    <row r="47024" customFormat="1" ht="17.25" customHeight="1"/>
    <row r="47025" customFormat="1" ht="17.25" customHeight="1"/>
    <row r="47026" customFormat="1" ht="17.25" customHeight="1"/>
    <row r="47027" customFormat="1" ht="17.25" customHeight="1"/>
    <row r="47028" customFormat="1" ht="17.25" customHeight="1"/>
    <row r="47029" customFormat="1" ht="17.25" customHeight="1"/>
    <row r="47030" customFormat="1" ht="17.25" customHeight="1"/>
    <row r="47031" customFormat="1" ht="17.25" customHeight="1"/>
    <row r="47032" customFormat="1" ht="17.25" customHeight="1"/>
    <row r="47033" customFormat="1" ht="17.25" customHeight="1"/>
    <row r="47034" customFormat="1" ht="17.25" customHeight="1"/>
    <row r="47035" customFormat="1" ht="17.25" customHeight="1"/>
    <row r="47036" customFormat="1" ht="17.25" customHeight="1"/>
    <row r="47037" customFormat="1" ht="17.25" customHeight="1"/>
    <row r="47038" customFormat="1" ht="17.25" customHeight="1"/>
    <row r="47039" customFormat="1" ht="17.25" customHeight="1"/>
    <row r="47040" customFormat="1" ht="17.25" customHeight="1"/>
    <row r="47041" customFormat="1" ht="17.25" customHeight="1"/>
    <row r="47042" customFormat="1" ht="17.25" customHeight="1"/>
    <row r="47043" customFormat="1" ht="17.25" customHeight="1"/>
    <row r="47044" customFormat="1" ht="17.25" customHeight="1"/>
    <row r="47045" customFormat="1" ht="17.25" customHeight="1"/>
    <row r="47046" customFormat="1" ht="17.25" customHeight="1"/>
    <row r="47047" customFormat="1" ht="17.25" customHeight="1"/>
    <row r="47048" customFormat="1" ht="17.25" customHeight="1"/>
    <row r="47049" customFormat="1" ht="17.25" customHeight="1"/>
    <row r="47050" customFormat="1" ht="17.25" customHeight="1"/>
    <row r="47051" customFormat="1" ht="17.25" customHeight="1"/>
    <row r="47052" customFormat="1" ht="17.25" customHeight="1"/>
    <row r="47053" customFormat="1" ht="17.25" customHeight="1"/>
    <row r="47054" customFormat="1" ht="17.25" customHeight="1"/>
    <row r="47055" customFormat="1" ht="17.25" customHeight="1"/>
    <row r="47056" customFormat="1" ht="17.25" customHeight="1"/>
    <row r="47057" customFormat="1" ht="17.25" customHeight="1"/>
    <row r="47058" customFormat="1" ht="17.25" customHeight="1"/>
    <row r="47059" customFormat="1" ht="17.25" customHeight="1"/>
    <row r="47060" customFormat="1" ht="17.25" customHeight="1"/>
    <row r="47061" customFormat="1" ht="17.25" customHeight="1"/>
    <row r="47062" customFormat="1" ht="17.25" customHeight="1"/>
    <row r="47063" customFormat="1" ht="17.25" customHeight="1"/>
    <row r="47064" customFormat="1" ht="17.25" customHeight="1"/>
    <row r="47065" customFormat="1" ht="17.25" customHeight="1"/>
    <row r="47066" customFormat="1" ht="17.25" customHeight="1"/>
    <row r="47067" customFormat="1" ht="17.25" customHeight="1"/>
    <row r="47068" customFormat="1" ht="17.25" customHeight="1"/>
    <row r="47069" customFormat="1" ht="17.25" customHeight="1"/>
    <row r="47070" customFormat="1" ht="17.25" customHeight="1"/>
    <row r="47071" customFormat="1" ht="17.25" customHeight="1"/>
    <row r="47072" customFormat="1" ht="17.25" customHeight="1"/>
    <row r="47073" customFormat="1" ht="17.25" customHeight="1"/>
    <row r="47074" customFormat="1" ht="17.25" customHeight="1"/>
    <row r="47075" customFormat="1" ht="17.25" customHeight="1"/>
    <row r="47076" customFormat="1" ht="17.25" customHeight="1"/>
    <row r="47077" customFormat="1" ht="17.25" customHeight="1"/>
    <row r="47078" customFormat="1" ht="17.25" customHeight="1"/>
    <row r="47079" customFormat="1" ht="17.25" customHeight="1"/>
    <row r="47080" customFormat="1" ht="17.25" customHeight="1"/>
    <row r="47081" customFormat="1" ht="17.25" customHeight="1"/>
    <row r="47082" customFormat="1" ht="17.25" customHeight="1"/>
    <row r="47083" customFormat="1" ht="17.25" customHeight="1"/>
    <row r="47084" customFormat="1" ht="17.25" customHeight="1"/>
    <row r="47085" customFormat="1" ht="17.25" customHeight="1"/>
    <row r="47086" customFormat="1" ht="17.25" customHeight="1"/>
    <row r="47087" customFormat="1" ht="17.25" customHeight="1"/>
    <row r="47088" customFormat="1" ht="17.25" customHeight="1"/>
    <row r="47089" customFormat="1" ht="17.25" customHeight="1"/>
    <row r="47090" customFormat="1" ht="17.25" customHeight="1"/>
    <row r="47091" customFormat="1" ht="17.25" customHeight="1"/>
    <row r="47092" customFormat="1" ht="17.25" customHeight="1"/>
    <row r="47093" customFormat="1" ht="17.25" customHeight="1"/>
    <row r="47094" customFormat="1" ht="17.25" customHeight="1"/>
    <row r="47095" customFormat="1" ht="17.25" customHeight="1"/>
    <row r="47096" customFormat="1" ht="17.25" customHeight="1"/>
    <row r="47097" customFormat="1" ht="17.25" customHeight="1"/>
    <row r="47098" customFormat="1" ht="17.25" customHeight="1"/>
    <row r="47099" customFormat="1" ht="17.25" customHeight="1"/>
    <row r="47100" customFormat="1" ht="17.25" customHeight="1"/>
    <row r="47101" customFormat="1" ht="17.25" customHeight="1"/>
    <row r="47102" customFormat="1" ht="17.25" customHeight="1"/>
    <row r="47103" customFormat="1" ht="17.25" customHeight="1"/>
    <row r="47104" customFormat="1" ht="17.25" customHeight="1"/>
    <row r="47105" customFormat="1" ht="17.25" customHeight="1"/>
    <row r="47106" customFormat="1" ht="17.25" customHeight="1"/>
    <row r="47107" customFormat="1" ht="17.25" customHeight="1"/>
    <row r="47108" customFormat="1" ht="17.25" customHeight="1"/>
    <row r="47109" customFormat="1" ht="17.25" customHeight="1"/>
    <row r="47110" customFormat="1" ht="17.25" customHeight="1"/>
    <row r="47111" customFormat="1" ht="17.25" customHeight="1"/>
    <row r="47112" customFormat="1" ht="17.25" customHeight="1"/>
    <row r="47113" customFormat="1" ht="17.25" customHeight="1"/>
    <row r="47114" customFormat="1" ht="17.25" customHeight="1"/>
    <row r="47115" customFormat="1" ht="17.25" customHeight="1"/>
    <row r="47116" customFormat="1" ht="17.25" customHeight="1"/>
    <row r="47117" customFormat="1" ht="17.25" customHeight="1"/>
    <row r="47118" customFormat="1" ht="17.25" customHeight="1"/>
    <row r="47119" customFormat="1" ht="17.25" customHeight="1"/>
    <row r="47120" customFormat="1" ht="17.25" customHeight="1"/>
    <row r="47121" customFormat="1" ht="17.25" customHeight="1"/>
    <row r="47122" customFormat="1" ht="17.25" customHeight="1"/>
    <row r="47123" customFormat="1" ht="17.25" customHeight="1"/>
    <row r="47124" customFormat="1" ht="17.25" customHeight="1"/>
    <row r="47125" customFormat="1" ht="17.25" customHeight="1"/>
    <row r="47126" customFormat="1" ht="17.25" customHeight="1"/>
    <row r="47127" customFormat="1" ht="17.25" customHeight="1"/>
    <row r="47128" customFormat="1" ht="17.25" customHeight="1"/>
    <row r="47129" customFormat="1" ht="17.25" customHeight="1"/>
    <row r="47130" customFormat="1" ht="17.25" customHeight="1"/>
    <row r="47131" customFormat="1" ht="17.25" customHeight="1"/>
    <row r="47132" customFormat="1" ht="17.25" customHeight="1"/>
    <row r="47133" customFormat="1" ht="17.25" customHeight="1"/>
    <row r="47134" customFormat="1" ht="17.25" customHeight="1"/>
    <row r="47135" customFormat="1" ht="17.25" customHeight="1"/>
    <row r="47136" customFormat="1" ht="17.25" customHeight="1"/>
    <row r="47137" customFormat="1" ht="17.25" customHeight="1"/>
    <row r="47138" customFormat="1" ht="17.25" customHeight="1"/>
    <row r="47139" customFormat="1" ht="17.25" customHeight="1"/>
    <row r="47140" customFormat="1" ht="17.25" customHeight="1"/>
    <row r="47141" customFormat="1" ht="17.25" customHeight="1"/>
    <row r="47142" customFormat="1" ht="17.25" customHeight="1"/>
    <row r="47143" customFormat="1" ht="17.25" customHeight="1"/>
    <row r="47144" customFormat="1" ht="17.25" customHeight="1"/>
    <row r="47145" customFormat="1" ht="17.25" customHeight="1"/>
    <row r="47146" customFormat="1" ht="17.25" customHeight="1"/>
    <row r="47147" customFormat="1" ht="17.25" customHeight="1"/>
    <row r="47148" customFormat="1" ht="17.25" customHeight="1"/>
    <row r="47149" customFormat="1" ht="17.25" customHeight="1"/>
    <row r="47150" customFormat="1" ht="17.25" customHeight="1"/>
    <row r="47151" customFormat="1" ht="17.25" customHeight="1"/>
    <row r="47152" customFormat="1" ht="17.25" customHeight="1"/>
    <row r="47153" customFormat="1" ht="17.25" customHeight="1"/>
    <row r="47154" customFormat="1" ht="17.25" customHeight="1"/>
    <row r="47155" customFormat="1" ht="17.25" customHeight="1"/>
    <row r="47156" customFormat="1" ht="17.25" customHeight="1"/>
    <row r="47157" customFormat="1" ht="17.25" customHeight="1"/>
    <row r="47158" customFormat="1" ht="17.25" customHeight="1"/>
    <row r="47159" customFormat="1" ht="17.25" customHeight="1"/>
    <row r="47160" customFormat="1" ht="17.25" customHeight="1"/>
    <row r="47161" customFormat="1" ht="17.25" customHeight="1"/>
    <row r="47162" customFormat="1" ht="17.25" customHeight="1"/>
    <row r="47163" customFormat="1" ht="17.25" customHeight="1"/>
    <row r="47164" customFormat="1" ht="17.25" customHeight="1"/>
    <row r="47165" customFormat="1" ht="17.25" customHeight="1"/>
    <row r="47166" customFormat="1" ht="17.25" customHeight="1"/>
    <row r="47167" customFormat="1" ht="17.25" customHeight="1"/>
    <row r="47168" customFormat="1" ht="17.25" customHeight="1"/>
    <row r="47169" customFormat="1" ht="17.25" customHeight="1"/>
    <row r="47170" customFormat="1" ht="17.25" customHeight="1"/>
    <row r="47171" customFormat="1" ht="17.25" customHeight="1"/>
    <row r="47172" customFormat="1" ht="17.25" customHeight="1"/>
    <row r="47173" customFormat="1" ht="17.25" customHeight="1"/>
    <row r="47174" customFormat="1" ht="17.25" customHeight="1"/>
    <row r="47175" customFormat="1" ht="17.25" customHeight="1"/>
    <row r="47176" customFormat="1" ht="17.25" customHeight="1"/>
    <row r="47177" customFormat="1" ht="17.25" customHeight="1"/>
    <row r="47178" customFormat="1" ht="17.25" customHeight="1"/>
    <row r="47179" customFormat="1" ht="17.25" customHeight="1"/>
    <row r="47180" customFormat="1" ht="17.25" customHeight="1"/>
    <row r="47181" customFormat="1" ht="17.25" customHeight="1"/>
    <row r="47182" customFormat="1" ht="17.25" customHeight="1"/>
    <row r="47183" customFormat="1" ht="17.25" customHeight="1"/>
    <row r="47184" customFormat="1" ht="17.25" customHeight="1"/>
    <row r="47185" customFormat="1" ht="17.25" customHeight="1"/>
    <row r="47186" customFormat="1" ht="17.25" customHeight="1"/>
    <row r="47187" customFormat="1" ht="17.25" customHeight="1"/>
    <row r="47188" customFormat="1" ht="17.25" customHeight="1"/>
    <row r="47189" customFormat="1" ht="17.25" customHeight="1"/>
    <row r="47190" customFormat="1" ht="17.25" customHeight="1"/>
    <row r="47191" customFormat="1" ht="17.25" customHeight="1"/>
    <row r="47192" customFormat="1" ht="17.25" customHeight="1"/>
    <row r="47193" customFormat="1" ht="17.25" customHeight="1"/>
    <row r="47194" customFormat="1" ht="17.25" customHeight="1"/>
    <row r="47195" customFormat="1" ht="17.25" customHeight="1"/>
    <row r="47196" customFormat="1" ht="17.25" customHeight="1"/>
    <row r="47197" customFormat="1" ht="17.25" customHeight="1"/>
    <row r="47198" customFormat="1" ht="17.25" customHeight="1"/>
    <row r="47199" customFormat="1" ht="17.25" customHeight="1"/>
    <row r="47200" customFormat="1" ht="17.25" customHeight="1"/>
    <row r="47201" customFormat="1" ht="17.25" customHeight="1"/>
    <row r="47202" customFormat="1" ht="17.25" customHeight="1"/>
    <row r="47203" customFormat="1" ht="17.25" customHeight="1"/>
    <row r="47204" customFormat="1" ht="17.25" customHeight="1"/>
    <row r="47205" customFormat="1" ht="17.25" customHeight="1"/>
    <row r="47206" customFormat="1" ht="17.25" customHeight="1"/>
    <row r="47207" customFormat="1" ht="17.25" customHeight="1"/>
    <row r="47208" customFormat="1" ht="17.25" customHeight="1"/>
    <row r="47209" customFormat="1" ht="17.25" customHeight="1"/>
    <row r="47210" customFormat="1" ht="17.25" customHeight="1"/>
    <row r="47211" customFormat="1" ht="17.25" customHeight="1"/>
    <row r="47212" customFormat="1" ht="17.25" customHeight="1"/>
    <row r="47213" customFormat="1" ht="17.25" customHeight="1"/>
    <row r="47214" customFormat="1" ht="17.25" customHeight="1"/>
    <row r="47215" customFormat="1" ht="17.25" customHeight="1"/>
    <row r="47216" customFormat="1" ht="17.25" customHeight="1"/>
    <row r="47217" customFormat="1" ht="17.25" customHeight="1"/>
    <row r="47218" customFormat="1" ht="17.25" customHeight="1"/>
    <row r="47219" customFormat="1" ht="17.25" customHeight="1"/>
    <row r="47220" customFormat="1" ht="17.25" customHeight="1"/>
    <row r="47221" customFormat="1" ht="17.25" customHeight="1"/>
    <row r="47222" customFormat="1" ht="17.25" customHeight="1"/>
    <row r="47223" customFormat="1" ht="17.25" customHeight="1"/>
    <row r="47224" customFormat="1" ht="17.25" customHeight="1"/>
    <row r="47225" customFormat="1" ht="17.25" customHeight="1"/>
    <row r="47226" customFormat="1" ht="17.25" customHeight="1"/>
    <row r="47227" customFormat="1" ht="17.25" customHeight="1"/>
    <row r="47228" customFormat="1" ht="17.25" customHeight="1"/>
    <row r="47229" customFormat="1" ht="17.25" customHeight="1"/>
    <row r="47230" customFormat="1" ht="17.25" customHeight="1"/>
    <row r="47231" customFormat="1" ht="17.25" customHeight="1"/>
    <row r="47232" customFormat="1" ht="17.25" customHeight="1"/>
    <row r="47233" customFormat="1" ht="17.25" customHeight="1"/>
    <row r="47234" customFormat="1" ht="17.25" customHeight="1"/>
    <row r="47235" customFormat="1" ht="17.25" customHeight="1"/>
    <row r="47236" customFormat="1" ht="17.25" customHeight="1"/>
    <row r="47237" customFormat="1" ht="17.25" customHeight="1"/>
    <row r="47238" customFormat="1" ht="17.25" customHeight="1"/>
    <row r="47239" customFormat="1" ht="17.25" customHeight="1"/>
    <row r="47240" customFormat="1" ht="17.25" customHeight="1"/>
    <row r="47241" customFormat="1" ht="17.25" customHeight="1"/>
    <row r="47242" customFormat="1" ht="17.25" customHeight="1"/>
    <row r="47243" customFormat="1" ht="17.25" customHeight="1"/>
    <row r="47244" customFormat="1" ht="17.25" customHeight="1"/>
    <row r="47245" customFormat="1" ht="17.25" customHeight="1"/>
    <row r="47246" customFormat="1" ht="17.25" customHeight="1"/>
    <row r="47247" customFormat="1" ht="17.25" customHeight="1"/>
    <row r="47248" customFormat="1" ht="17.25" customHeight="1"/>
    <row r="47249" customFormat="1" ht="17.25" customHeight="1"/>
    <row r="47250" customFormat="1" ht="17.25" customHeight="1"/>
    <row r="47251" customFormat="1" ht="17.25" customHeight="1"/>
    <row r="47252" customFormat="1" ht="17.25" customHeight="1"/>
    <row r="47253" customFormat="1" ht="17.25" customHeight="1"/>
    <row r="47254" customFormat="1" ht="17.25" customHeight="1"/>
    <row r="47255" customFormat="1" ht="17.25" customHeight="1"/>
    <row r="47256" customFormat="1" ht="17.25" customHeight="1"/>
    <row r="47257" customFormat="1" ht="17.25" customHeight="1"/>
    <row r="47258" customFormat="1" ht="17.25" customHeight="1"/>
    <row r="47259" customFormat="1" ht="17.25" customHeight="1"/>
    <row r="47260" customFormat="1" ht="17.25" customHeight="1"/>
    <row r="47261" customFormat="1" ht="17.25" customHeight="1"/>
    <row r="47262" customFormat="1" ht="17.25" customHeight="1"/>
    <row r="47263" customFormat="1" ht="17.25" customHeight="1"/>
    <row r="47264" customFormat="1" ht="17.25" customHeight="1"/>
    <row r="47265" customFormat="1" ht="17.25" customHeight="1"/>
    <row r="47266" customFormat="1" ht="17.25" customHeight="1"/>
    <row r="47267" customFormat="1" ht="17.25" customHeight="1"/>
    <row r="47268" customFormat="1" ht="17.25" customHeight="1"/>
    <row r="47269" customFormat="1" ht="17.25" customHeight="1"/>
    <row r="47270" customFormat="1" ht="17.25" customHeight="1"/>
    <row r="47271" customFormat="1" ht="17.25" customHeight="1"/>
    <row r="47272" customFormat="1" ht="17.25" customHeight="1"/>
    <row r="47273" customFormat="1" ht="17.25" customHeight="1"/>
    <row r="47274" customFormat="1" ht="17.25" customHeight="1"/>
    <row r="47275" customFormat="1" ht="17.25" customHeight="1"/>
    <row r="47276" customFormat="1" ht="17.25" customHeight="1"/>
    <row r="47277" customFormat="1" ht="17.25" customHeight="1"/>
    <row r="47278" customFormat="1" ht="17.25" customHeight="1"/>
    <row r="47279" customFormat="1" ht="17.25" customHeight="1"/>
    <row r="47280" customFormat="1" ht="17.25" customHeight="1"/>
    <row r="47281" customFormat="1" ht="17.25" customHeight="1"/>
    <row r="47282" customFormat="1" ht="17.25" customHeight="1"/>
    <row r="47283" customFormat="1" ht="17.25" customHeight="1"/>
    <row r="47284" customFormat="1" ht="17.25" customHeight="1"/>
    <row r="47285" customFormat="1" ht="17.25" customHeight="1"/>
    <row r="47286" customFormat="1" ht="17.25" customHeight="1"/>
    <row r="47287" customFormat="1" ht="17.25" customHeight="1"/>
    <row r="47288" customFormat="1" ht="17.25" customHeight="1"/>
    <row r="47289" customFormat="1" ht="17.25" customHeight="1"/>
    <row r="47290" customFormat="1" ht="17.25" customHeight="1"/>
    <row r="47291" customFormat="1" ht="17.25" customHeight="1"/>
    <row r="47292" customFormat="1" ht="17.25" customHeight="1"/>
    <row r="47293" customFormat="1" ht="17.25" customHeight="1"/>
    <row r="47294" customFormat="1" ht="17.25" customHeight="1"/>
    <row r="47295" customFormat="1" ht="17.25" customHeight="1"/>
    <row r="47296" customFormat="1" ht="17.25" customHeight="1"/>
    <row r="47297" customFormat="1" ht="17.25" customHeight="1"/>
    <row r="47298" customFormat="1" ht="17.25" customHeight="1"/>
    <row r="47299" customFormat="1" ht="17.25" customHeight="1"/>
    <row r="47300" customFormat="1" ht="17.25" customHeight="1"/>
    <row r="47301" customFormat="1" ht="17.25" customHeight="1"/>
    <row r="47302" customFormat="1" ht="17.25" customHeight="1"/>
    <row r="47303" customFormat="1" ht="17.25" customHeight="1"/>
    <row r="47304" customFormat="1" ht="17.25" customHeight="1"/>
    <row r="47305" customFormat="1" ht="17.25" customHeight="1"/>
    <row r="47306" customFormat="1" ht="17.25" customHeight="1"/>
    <row r="47307" customFormat="1" ht="17.25" customHeight="1"/>
    <row r="47308" customFormat="1" ht="17.25" customHeight="1"/>
    <row r="47309" customFormat="1" ht="17.25" customHeight="1"/>
    <row r="47310" customFormat="1" ht="17.25" customHeight="1"/>
    <row r="47311" customFormat="1" ht="17.25" customHeight="1"/>
    <row r="47312" customFormat="1" ht="17.25" customHeight="1"/>
    <row r="47313" customFormat="1" ht="17.25" customHeight="1"/>
    <row r="47314" customFormat="1" ht="17.25" customHeight="1"/>
    <row r="47315" customFormat="1" ht="17.25" customHeight="1"/>
    <row r="47316" customFormat="1" ht="17.25" customHeight="1"/>
    <row r="47317" customFormat="1" ht="17.25" customHeight="1"/>
    <row r="47318" customFormat="1" ht="17.25" customHeight="1"/>
    <row r="47319" customFormat="1" ht="17.25" customHeight="1"/>
    <row r="47320" customFormat="1" ht="17.25" customHeight="1"/>
    <row r="47321" customFormat="1" ht="17.25" customHeight="1"/>
    <row r="47322" customFormat="1" ht="17.25" customHeight="1"/>
    <row r="47323" customFormat="1" ht="17.25" customHeight="1"/>
    <row r="47324" customFormat="1" ht="17.25" customHeight="1"/>
    <row r="47325" customFormat="1" ht="17.25" customHeight="1"/>
    <row r="47326" customFormat="1" ht="17.25" customHeight="1"/>
    <row r="47327" customFormat="1" ht="17.25" customHeight="1"/>
    <row r="47328" customFormat="1" ht="17.25" customHeight="1"/>
    <row r="47329" customFormat="1" ht="17.25" customHeight="1"/>
    <row r="47330" customFormat="1" ht="17.25" customHeight="1"/>
    <row r="47331" customFormat="1" ht="17.25" customHeight="1"/>
    <row r="47332" customFormat="1" ht="17.25" customHeight="1"/>
    <row r="47333" customFormat="1" ht="17.25" customHeight="1"/>
    <row r="47334" customFormat="1" ht="17.25" customHeight="1"/>
    <row r="47335" customFormat="1" ht="17.25" customHeight="1"/>
    <row r="47336" customFormat="1" ht="17.25" customHeight="1"/>
    <row r="47337" customFormat="1" ht="17.25" customHeight="1"/>
    <row r="47338" customFormat="1" ht="17.25" customHeight="1"/>
    <row r="47339" customFormat="1" ht="17.25" customHeight="1"/>
    <row r="47340" customFormat="1" ht="17.25" customHeight="1"/>
    <row r="47341" customFormat="1" ht="17.25" customHeight="1"/>
    <row r="47342" customFormat="1" ht="17.25" customHeight="1"/>
    <row r="47343" customFormat="1" ht="17.25" customHeight="1"/>
    <row r="47344" customFormat="1" ht="17.25" customHeight="1"/>
    <row r="47345" customFormat="1" ht="17.25" customHeight="1"/>
    <row r="47346" customFormat="1" ht="17.25" customHeight="1"/>
    <row r="47347" customFormat="1" ht="17.25" customHeight="1"/>
    <row r="47348" customFormat="1" ht="17.25" customHeight="1"/>
    <row r="47349" customFormat="1" ht="17.25" customHeight="1"/>
    <row r="47350" customFormat="1" ht="17.25" customHeight="1"/>
    <row r="47351" customFormat="1" ht="17.25" customHeight="1"/>
    <row r="47352" customFormat="1" ht="17.25" customHeight="1"/>
    <row r="47353" customFormat="1" ht="17.25" customHeight="1"/>
    <row r="47354" customFormat="1" ht="17.25" customHeight="1"/>
    <row r="47355" customFormat="1" ht="17.25" customHeight="1"/>
    <row r="47356" customFormat="1" ht="17.25" customHeight="1"/>
    <row r="47357" customFormat="1" ht="17.25" customHeight="1"/>
    <row r="47358" customFormat="1" ht="17.25" customHeight="1"/>
    <row r="47359" customFormat="1" ht="17.25" customHeight="1"/>
    <row r="47360" customFormat="1" ht="17.25" customHeight="1"/>
    <row r="47361" customFormat="1" ht="17.25" customHeight="1"/>
    <row r="47362" customFormat="1" ht="17.25" customHeight="1"/>
    <row r="47363" customFormat="1" ht="17.25" customHeight="1"/>
    <row r="47364" customFormat="1" ht="17.25" customHeight="1"/>
    <row r="47365" customFormat="1" ht="17.25" customHeight="1"/>
    <row r="47366" customFormat="1" ht="17.25" customHeight="1"/>
    <row r="47367" customFormat="1" ht="17.25" customHeight="1"/>
    <row r="47368" customFormat="1" ht="17.25" customHeight="1"/>
    <row r="47369" customFormat="1" ht="17.25" customHeight="1"/>
    <row r="47370" customFormat="1" ht="17.25" customHeight="1"/>
    <row r="47371" customFormat="1" ht="17.25" customHeight="1"/>
    <row r="47372" customFormat="1" ht="17.25" customHeight="1"/>
    <row r="47373" customFormat="1" ht="17.25" customHeight="1"/>
    <row r="47374" customFormat="1" ht="17.25" customHeight="1"/>
    <row r="47375" customFormat="1" ht="17.25" customHeight="1"/>
    <row r="47376" customFormat="1" ht="17.25" customHeight="1"/>
    <row r="47377" customFormat="1" ht="17.25" customHeight="1"/>
    <row r="47378" customFormat="1" ht="17.25" customHeight="1"/>
    <row r="47379" customFormat="1" ht="17.25" customHeight="1"/>
    <row r="47380" customFormat="1" ht="17.25" customHeight="1"/>
    <row r="47381" customFormat="1" ht="17.25" customHeight="1"/>
    <row r="47382" customFormat="1" ht="17.25" customHeight="1"/>
    <row r="47383" customFormat="1" ht="17.25" customHeight="1"/>
    <row r="47384" customFormat="1" ht="17.25" customHeight="1"/>
    <row r="47385" customFormat="1" ht="17.25" customHeight="1"/>
    <row r="47386" customFormat="1" ht="17.25" customHeight="1"/>
    <row r="47387" customFormat="1" ht="17.25" customHeight="1"/>
    <row r="47388" customFormat="1" ht="17.25" customHeight="1"/>
    <row r="47389" customFormat="1" ht="17.25" customHeight="1"/>
    <row r="47390" customFormat="1" ht="17.25" customHeight="1"/>
    <row r="47391" customFormat="1" ht="17.25" customHeight="1"/>
    <row r="47392" customFormat="1" ht="17.25" customHeight="1"/>
    <row r="47393" customFormat="1" ht="17.25" customHeight="1"/>
    <row r="47394" customFormat="1" ht="17.25" customHeight="1"/>
    <row r="47395" customFormat="1" ht="17.25" customHeight="1"/>
    <row r="47396" customFormat="1" ht="17.25" customHeight="1"/>
    <row r="47397" customFormat="1" ht="17.25" customHeight="1"/>
    <row r="47398" customFormat="1" ht="17.25" customHeight="1"/>
    <row r="47399" customFormat="1" ht="17.25" customHeight="1"/>
    <row r="47400" customFormat="1" ht="17.25" customHeight="1"/>
    <row r="47401" customFormat="1" ht="17.25" customHeight="1"/>
    <row r="47402" customFormat="1" ht="17.25" customHeight="1"/>
    <row r="47403" customFormat="1" ht="17.25" customHeight="1"/>
    <row r="47404" customFormat="1" ht="17.25" customHeight="1"/>
    <row r="47405" customFormat="1" ht="17.25" customHeight="1"/>
    <row r="47406" customFormat="1" ht="17.25" customHeight="1"/>
    <row r="47407" customFormat="1" ht="17.25" customHeight="1"/>
    <row r="47408" customFormat="1" ht="17.25" customHeight="1"/>
    <row r="47409" customFormat="1" ht="17.25" customHeight="1"/>
    <row r="47410" customFormat="1" ht="17.25" customHeight="1"/>
    <row r="47411" customFormat="1" ht="17.25" customHeight="1"/>
    <row r="47412" customFormat="1" ht="17.25" customHeight="1"/>
    <row r="47413" customFormat="1" ht="17.25" customHeight="1"/>
    <row r="47414" customFormat="1" ht="17.25" customHeight="1"/>
    <row r="47415" customFormat="1" ht="17.25" customHeight="1"/>
    <row r="47416" customFormat="1" ht="17.25" customHeight="1"/>
    <row r="47417" customFormat="1" ht="17.25" customHeight="1"/>
    <row r="47418" customFormat="1" ht="17.25" customHeight="1"/>
    <row r="47419" customFormat="1" ht="17.25" customHeight="1"/>
    <row r="47420" customFormat="1" ht="17.25" customHeight="1"/>
    <row r="47421" customFormat="1" ht="17.25" customHeight="1"/>
    <row r="47422" customFormat="1" ht="17.25" customHeight="1"/>
    <row r="47423" customFormat="1" ht="17.25" customHeight="1"/>
    <row r="47424" customFormat="1" ht="17.25" customHeight="1"/>
    <row r="47425" customFormat="1" ht="17.25" customHeight="1"/>
    <row r="47426" customFormat="1" ht="17.25" customHeight="1"/>
    <row r="47427" customFormat="1" ht="17.25" customHeight="1"/>
    <row r="47428" customFormat="1" ht="17.25" customHeight="1"/>
    <row r="47429" customFormat="1" ht="17.25" customHeight="1"/>
    <row r="47430" customFormat="1" ht="17.25" customHeight="1"/>
    <row r="47431" customFormat="1" ht="17.25" customHeight="1"/>
    <row r="47432" customFormat="1" ht="17.25" customHeight="1"/>
    <row r="47433" customFormat="1" ht="17.25" customHeight="1"/>
    <row r="47434" customFormat="1" ht="17.25" customHeight="1"/>
    <row r="47435" customFormat="1" ht="17.25" customHeight="1"/>
    <row r="47436" customFormat="1" ht="17.25" customHeight="1"/>
    <row r="47437" customFormat="1" ht="17.25" customHeight="1"/>
    <row r="47438" customFormat="1" ht="17.25" customHeight="1"/>
    <row r="47439" customFormat="1" ht="17.25" customHeight="1"/>
    <row r="47440" customFormat="1" ht="17.25" customHeight="1"/>
    <row r="47441" customFormat="1" ht="17.25" customHeight="1"/>
    <row r="47442" customFormat="1" ht="17.25" customHeight="1"/>
    <row r="47443" customFormat="1" ht="17.25" customHeight="1"/>
    <row r="47444" customFormat="1" ht="17.25" customHeight="1"/>
    <row r="47445" customFormat="1" ht="17.25" customHeight="1"/>
    <row r="47446" customFormat="1" ht="17.25" customHeight="1"/>
    <row r="47447" customFormat="1" ht="17.25" customHeight="1"/>
    <row r="47448" customFormat="1" ht="17.25" customHeight="1"/>
    <row r="47449" customFormat="1" ht="17.25" customHeight="1"/>
    <row r="47450" customFormat="1" ht="17.25" customHeight="1"/>
    <row r="47451" customFormat="1" ht="17.25" customHeight="1"/>
    <row r="47452" customFormat="1" ht="17.25" customHeight="1"/>
    <row r="47453" customFormat="1" ht="17.25" customHeight="1"/>
    <row r="47454" customFormat="1" ht="17.25" customHeight="1"/>
    <row r="47455" customFormat="1" ht="17.25" customHeight="1"/>
    <row r="47456" customFormat="1" ht="17.25" customHeight="1"/>
    <row r="47457" customFormat="1" ht="17.25" customHeight="1"/>
    <row r="47458" customFormat="1" ht="17.25" customHeight="1"/>
    <row r="47459" customFormat="1" ht="17.25" customHeight="1"/>
    <row r="47460" customFormat="1" ht="17.25" customHeight="1"/>
    <row r="47461" customFormat="1" ht="17.25" customHeight="1"/>
    <row r="47462" customFormat="1" ht="17.25" customHeight="1"/>
    <row r="47463" customFormat="1" ht="17.25" customHeight="1"/>
    <row r="47464" customFormat="1" ht="17.25" customHeight="1"/>
    <row r="47465" customFormat="1" ht="17.25" customHeight="1"/>
    <row r="47466" customFormat="1" ht="17.25" customHeight="1"/>
    <row r="47467" customFormat="1" ht="17.25" customHeight="1"/>
    <row r="47468" customFormat="1" ht="17.25" customHeight="1"/>
    <row r="47469" customFormat="1" ht="17.25" customHeight="1"/>
    <row r="47470" customFormat="1" ht="17.25" customHeight="1"/>
    <row r="47471" customFormat="1" ht="17.25" customHeight="1"/>
    <row r="47472" customFormat="1" ht="17.25" customHeight="1"/>
    <row r="47473" customFormat="1" ht="17.25" customHeight="1"/>
    <row r="47474" customFormat="1" ht="17.25" customHeight="1"/>
    <row r="47475" customFormat="1" ht="17.25" customHeight="1"/>
    <row r="47476" customFormat="1" ht="17.25" customHeight="1"/>
    <row r="47477" customFormat="1" ht="17.25" customHeight="1"/>
    <row r="47478" customFormat="1" ht="17.25" customHeight="1"/>
    <row r="47479" customFormat="1" ht="17.25" customHeight="1"/>
    <row r="47480" customFormat="1" ht="17.25" customHeight="1"/>
    <row r="47481" customFormat="1" ht="17.25" customHeight="1"/>
    <row r="47482" customFormat="1" ht="17.25" customHeight="1"/>
    <row r="47483" customFormat="1" ht="17.25" customHeight="1"/>
    <row r="47484" customFormat="1" ht="17.25" customHeight="1"/>
    <row r="47485" customFormat="1" ht="17.25" customHeight="1"/>
    <row r="47486" customFormat="1" ht="17.25" customHeight="1"/>
    <row r="47487" customFormat="1" ht="17.25" customHeight="1"/>
    <row r="47488" customFormat="1" ht="17.25" customHeight="1"/>
    <row r="47489" customFormat="1" ht="17.25" customHeight="1"/>
    <row r="47490" customFormat="1" ht="17.25" customHeight="1"/>
    <row r="47491" customFormat="1" ht="17.25" customHeight="1"/>
    <row r="47492" customFormat="1" ht="17.25" customHeight="1"/>
    <row r="47493" customFormat="1" ht="17.25" customHeight="1"/>
    <row r="47494" customFormat="1" ht="17.25" customHeight="1"/>
    <row r="47495" customFormat="1" ht="17.25" customHeight="1"/>
    <row r="47496" customFormat="1" ht="17.25" customHeight="1"/>
    <row r="47497" customFormat="1" ht="17.25" customHeight="1"/>
    <row r="47498" customFormat="1" ht="17.25" customHeight="1"/>
    <row r="47499" customFormat="1" ht="17.25" customHeight="1"/>
    <row r="47500" customFormat="1" ht="17.25" customHeight="1"/>
    <row r="47501" customFormat="1" ht="17.25" customHeight="1"/>
    <row r="47502" customFormat="1" ht="17.25" customHeight="1"/>
    <row r="47503" customFormat="1" ht="17.25" customHeight="1"/>
    <row r="47504" customFormat="1" ht="17.25" customHeight="1"/>
    <row r="47505" customFormat="1" ht="17.25" customHeight="1"/>
    <row r="47506" customFormat="1" ht="17.25" customHeight="1"/>
    <row r="47507" customFormat="1" ht="17.25" customHeight="1"/>
    <row r="47508" customFormat="1" ht="17.25" customHeight="1"/>
    <row r="47509" customFormat="1" ht="17.25" customHeight="1"/>
    <row r="47510" customFormat="1" ht="17.25" customHeight="1"/>
    <row r="47511" customFormat="1" ht="17.25" customHeight="1"/>
    <row r="47512" customFormat="1" ht="17.25" customHeight="1"/>
    <row r="47513" customFormat="1" ht="17.25" customHeight="1"/>
    <row r="47514" customFormat="1" ht="17.25" customHeight="1"/>
    <row r="47515" customFormat="1" ht="17.25" customHeight="1"/>
    <row r="47516" customFormat="1" ht="17.25" customHeight="1"/>
    <row r="47517" customFormat="1" ht="17.25" customHeight="1"/>
    <row r="47518" customFormat="1" ht="17.25" customHeight="1"/>
    <row r="47519" customFormat="1" ht="17.25" customHeight="1"/>
    <row r="47520" customFormat="1" ht="17.25" customHeight="1"/>
    <row r="47521" customFormat="1" ht="17.25" customHeight="1"/>
    <row r="47522" customFormat="1" ht="17.25" customHeight="1"/>
    <row r="47523" customFormat="1" ht="17.25" customHeight="1"/>
    <row r="47524" customFormat="1" ht="17.25" customHeight="1"/>
    <row r="47525" customFormat="1" ht="17.25" customHeight="1"/>
    <row r="47526" customFormat="1" ht="17.25" customHeight="1"/>
    <row r="47527" customFormat="1" ht="17.25" customHeight="1"/>
    <row r="47528" customFormat="1" ht="17.25" customHeight="1"/>
    <row r="47529" customFormat="1" ht="17.25" customHeight="1"/>
    <row r="47530" customFormat="1" ht="17.25" customHeight="1"/>
    <row r="47531" customFormat="1" ht="17.25" customHeight="1"/>
    <row r="47532" customFormat="1" ht="17.25" customHeight="1"/>
    <row r="47533" customFormat="1" ht="17.25" customHeight="1"/>
    <row r="47534" customFormat="1" ht="17.25" customHeight="1"/>
    <row r="47535" customFormat="1" ht="17.25" customHeight="1"/>
    <row r="47536" customFormat="1" ht="17.25" customHeight="1"/>
    <row r="47537" customFormat="1" ht="17.25" customHeight="1"/>
    <row r="47538" customFormat="1" ht="17.25" customHeight="1"/>
    <row r="47539" customFormat="1" ht="17.25" customHeight="1"/>
    <row r="47540" customFormat="1" ht="17.25" customHeight="1"/>
    <row r="47541" customFormat="1" ht="17.25" customHeight="1"/>
    <row r="47542" customFormat="1" ht="17.25" customHeight="1"/>
    <row r="47543" customFormat="1" ht="17.25" customHeight="1"/>
    <row r="47544" customFormat="1" ht="17.25" customHeight="1"/>
    <row r="47545" customFormat="1" ht="17.25" customHeight="1"/>
    <row r="47546" customFormat="1" ht="17.25" customHeight="1"/>
    <row r="47547" customFormat="1" ht="17.25" customHeight="1"/>
    <row r="47548" customFormat="1" ht="17.25" customHeight="1"/>
    <row r="47549" customFormat="1" ht="17.25" customHeight="1"/>
    <row r="47550" customFormat="1" ht="17.25" customHeight="1"/>
    <row r="47551" customFormat="1" ht="17.25" customHeight="1"/>
    <row r="47552" customFormat="1" ht="17.25" customHeight="1"/>
    <row r="47553" customFormat="1" ht="17.25" customHeight="1"/>
    <row r="47554" customFormat="1" ht="17.25" customHeight="1"/>
    <row r="47555" customFormat="1" ht="17.25" customHeight="1"/>
    <row r="47556" customFormat="1" ht="17.25" customHeight="1"/>
    <row r="47557" customFormat="1" ht="17.25" customHeight="1"/>
    <row r="47558" customFormat="1" ht="17.25" customHeight="1"/>
    <row r="47559" customFormat="1" ht="17.25" customHeight="1"/>
    <row r="47560" customFormat="1" ht="17.25" customHeight="1"/>
    <row r="47561" customFormat="1" ht="17.25" customHeight="1"/>
    <row r="47562" customFormat="1" ht="17.25" customHeight="1"/>
    <row r="47563" customFormat="1" ht="17.25" customHeight="1"/>
    <row r="47564" customFormat="1" ht="17.25" customHeight="1"/>
    <row r="47565" customFormat="1" ht="17.25" customHeight="1"/>
    <row r="47566" customFormat="1" ht="17.25" customHeight="1"/>
    <row r="47567" customFormat="1" ht="17.25" customHeight="1"/>
    <row r="47568" customFormat="1" ht="17.25" customHeight="1"/>
    <row r="47569" customFormat="1" ht="17.25" customHeight="1"/>
    <row r="47570" customFormat="1" ht="17.25" customHeight="1"/>
    <row r="47571" customFormat="1" ht="17.25" customHeight="1"/>
    <row r="47572" customFormat="1" ht="17.25" customHeight="1"/>
    <row r="47573" customFormat="1" ht="17.25" customHeight="1"/>
    <row r="47574" customFormat="1" ht="17.25" customHeight="1"/>
    <row r="47575" customFormat="1" ht="17.25" customHeight="1"/>
    <row r="47576" customFormat="1" ht="17.25" customHeight="1"/>
    <row r="47577" customFormat="1" ht="17.25" customHeight="1"/>
    <row r="47578" customFormat="1" ht="17.25" customHeight="1"/>
    <row r="47579" customFormat="1" ht="17.25" customHeight="1"/>
    <row r="47580" customFormat="1" ht="17.25" customHeight="1"/>
    <row r="47581" customFormat="1" ht="17.25" customHeight="1"/>
    <row r="47582" customFormat="1" ht="17.25" customHeight="1"/>
    <row r="47583" customFormat="1" ht="17.25" customHeight="1"/>
    <row r="47584" customFormat="1" ht="17.25" customHeight="1"/>
    <row r="47585" customFormat="1" ht="17.25" customHeight="1"/>
    <row r="47586" customFormat="1" ht="17.25" customHeight="1"/>
    <row r="47587" customFormat="1" ht="17.25" customHeight="1"/>
    <row r="47588" customFormat="1" ht="17.25" customHeight="1"/>
    <row r="47589" customFormat="1" ht="17.25" customHeight="1"/>
    <row r="47590" customFormat="1" ht="17.25" customHeight="1"/>
    <row r="47591" customFormat="1" ht="17.25" customHeight="1"/>
    <row r="47592" customFormat="1" ht="17.25" customHeight="1"/>
    <row r="47593" customFormat="1" ht="17.25" customHeight="1"/>
    <row r="47594" customFormat="1" ht="17.25" customHeight="1"/>
    <row r="47595" customFormat="1" ht="17.25" customHeight="1"/>
    <row r="47596" customFormat="1" ht="17.25" customHeight="1"/>
    <row r="47597" customFormat="1" ht="17.25" customHeight="1"/>
    <row r="47598" customFormat="1" ht="17.25" customHeight="1"/>
    <row r="47599" customFormat="1" ht="17.25" customHeight="1"/>
    <row r="47600" customFormat="1" ht="17.25" customHeight="1"/>
    <row r="47601" customFormat="1" ht="17.25" customHeight="1"/>
    <row r="47602" customFormat="1" ht="17.25" customHeight="1"/>
    <row r="47603" customFormat="1" ht="17.25" customHeight="1"/>
    <row r="47604" customFormat="1" ht="17.25" customHeight="1"/>
    <row r="47605" customFormat="1" ht="17.25" customHeight="1"/>
    <row r="47606" customFormat="1" ht="17.25" customHeight="1"/>
    <row r="47607" customFormat="1" ht="17.25" customHeight="1"/>
    <row r="47608" customFormat="1" ht="17.25" customHeight="1"/>
    <row r="47609" customFormat="1" ht="17.25" customHeight="1"/>
    <row r="47610" customFormat="1" ht="17.25" customHeight="1"/>
    <row r="47611" customFormat="1" ht="17.25" customHeight="1"/>
    <row r="47612" customFormat="1" ht="17.25" customHeight="1"/>
    <row r="47613" customFormat="1" ht="17.25" customHeight="1"/>
    <row r="47614" customFormat="1" ht="17.25" customHeight="1"/>
    <row r="47615" customFormat="1" ht="17.25" customHeight="1"/>
    <row r="47616" customFormat="1" ht="17.25" customHeight="1"/>
    <row r="47617" customFormat="1" ht="17.25" customHeight="1"/>
    <row r="47618" customFormat="1" ht="17.25" customHeight="1"/>
    <row r="47619" customFormat="1" ht="17.25" customHeight="1"/>
    <row r="47620" customFormat="1" ht="17.25" customHeight="1"/>
    <row r="47621" customFormat="1" ht="17.25" customHeight="1"/>
    <row r="47622" customFormat="1" ht="17.25" customHeight="1"/>
    <row r="47623" customFormat="1" ht="17.25" customHeight="1"/>
    <row r="47624" customFormat="1" ht="17.25" customHeight="1"/>
    <row r="47625" customFormat="1" ht="17.25" customHeight="1"/>
    <row r="47626" customFormat="1" ht="17.25" customHeight="1"/>
    <row r="47627" customFormat="1" ht="17.25" customHeight="1"/>
    <row r="47628" customFormat="1" ht="17.25" customHeight="1"/>
    <row r="47629" customFormat="1" ht="17.25" customHeight="1"/>
    <row r="47630" customFormat="1" ht="17.25" customHeight="1"/>
    <row r="47631" customFormat="1" ht="17.25" customHeight="1"/>
    <row r="47632" customFormat="1" ht="17.25" customHeight="1"/>
    <row r="47633" customFormat="1" ht="17.25" customHeight="1"/>
    <row r="47634" customFormat="1" ht="17.25" customHeight="1"/>
    <row r="47635" customFormat="1" ht="17.25" customHeight="1"/>
    <row r="47636" customFormat="1" ht="17.25" customHeight="1"/>
    <row r="47637" customFormat="1" ht="17.25" customHeight="1"/>
    <row r="47638" customFormat="1" ht="17.25" customHeight="1"/>
    <row r="47639" customFormat="1" ht="17.25" customHeight="1"/>
    <row r="47640" customFormat="1" ht="17.25" customHeight="1"/>
    <row r="47641" customFormat="1" ht="17.25" customHeight="1"/>
    <row r="47642" customFormat="1" ht="17.25" customHeight="1"/>
    <row r="47643" customFormat="1" ht="17.25" customHeight="1"/>
    <row r="47644" customFormat="1" ht="17.25" customHeight="1"/>
    <row r="47645" customFormat="1" ht="17.25" customHeight="1"/>
    <row r="47646" customFormat="1" ht="17.25" customHeight="1"/>
    <row r="47647" customFormat="1" ht="17.25" customHeight="1"/>
    <row r="47648" customFormat="1" ht="17.25" customHeight="1"/>
    <row r="47649" customFormat="1" ht="17.25" customHeight="1"/>
    <row r="47650" customFormat="1" ht="17.25" customHeight="1"/>
    <row r="47651" customFormat="1" ht="17.25" customHeight="1"/>
    <row r="47652" customFormat="1" ht="17.25" customHeight="1"/>
    <row r="47653" customFormat="1" ht="17.25" customHeight="1"/>
    <row r="47654" customFormat="1" ht="17.25" customHeight="1"/>
    <row r="47655" customFormat="1" ht="17.25" customHeight="1"/>
    <row r="47656" customFormat="1" ht="17.25" customHeight="1"/>
    <row r="47657" customFormat="1" ht="17.25" customHeight="1"/>
    <row r="47658" customFormat="1" ht="17.25" customHeight="1"/>
    <row r="47659" customFormat="1" ht="17.25" customHeight="1"/>
    <row r="47660" customFormat="1" ht="17.25" customHeight="1"/>
    <row r="47661" customFormat="1" ht="17.25" customHeight="1"/>
    <row r="47662" customFormat="1" ht="17.25" customHeight="1"/>
    <row r="47663" customFormat="1" ht="17.25" customHeight="1"/>
    <row r="47664" customFormat="1" ht="17.25" customHeight="1"/>
    <row r="47665" customFormat="1" ht="17.25" customHeight="1"/>
    <row r="47666" customFormat="1" ht="17.25" customHeight="1"/>
    <row r="47667" customFormat="1" ht="17.25" customHeight="1"/>
    <row r="47668" customFormat="1" ht="17.25" customHeight="1"/>
    <row r="47669" customFormat="1" ht="17.25" customHeight="1"/>
    <row r="47670" customFormat="1" ht="17.25" customHeight="1"/>
    <row r="47671" customFormat="1" ht="17.25" customHeight="1"/>
    <row r="47672" customFormat="1" ht="17.25" customHeight="1"/>
    <row r="47673" customFormat="1" ht="17.25" customHeight="1"/>
    <row r="47674" customFormat="1" ht="17.25" customHeight="1"/>
    <row r="47675" customFormat="1" ht="17.25" customHeight="1"/>
    <row r="47676" customFormat="1" ht="17.25" customHeight="1"/>
    <row r="47677" customFormat="1" ht="17.25" customHeight="1"/>
    <row r="47678" customFormat="1" ht="17.25" customHeight="1"/>
    <row r="47679" customFormat="1" ht="17.25" customHeight="1"/>
    <row r="47680" customFormat="1" ht="17.25" customHeight="1"/>
    <row r="47681" customFormat="1" ht="17.25" customHeight="1"/>
    <row r="47682" customFormat="1" ht="17.25" customHeight="1"/>
    <row r="47683" customFormat="1" ht="17.25" customHeight="1"/>
    <row r="47684" customFormat="1" ht="17.25" customHeight="1"/>
    <row r="47685" customFormat="1" ht="17.25" customHeight="1"/>
    <row r="47686" customFormat="1" ht="17.25" customHeight="1"/>
    <row r="47687" customFormat="1" ht="17.25" customHeight="1"/>
    <row r="47688" customFormat="1" ht="17.25" customHeight="1"/>
    <row r="47689" customFormat="1" ht="17.25" customHeight="1"/>
    <row r="47690" customFormat="1" ht="17.25" customHeight="1"/>
    <row r="47691" customFormat="1" ht="17.25" customHeight="1"/>
    <row r="47692" customFormat="1" ht="17.25" customHeight="1"/>
    <row r="47693" customFormat="1" ht="17.25" customHeight="1"/>
    <row r="47694" customFormat="1" ht="17.25" customHeight="1"/>
    <row r="47695" customFormat="1" ht="17.25" customHeight="1"/>
    <row r="47696" customFormat="1" ht="17.25" customHeight="1"/>
    <row r="47697" customFormat="1" ht="17.25" customHeight="1"/>
    <row r="47698" customFormat="1" ht="17.25" customHeight="1"/>
    <row r="47699" customFormat="1" ht="17.25" customHeight="1"/>
    <row r="47700" customFormat="1" ht="17.25" customHeight="1"/>
    <row r="47701" customFormat="1" ht="17.25" customHeight="1"/>
    <row r="47702" customFormat="1" ht="17.25" customHeight="1"/>
    <row r="47703" customFormat="1" ht="17.25" customHeight="1"/>
    <row r="47704" customFormat="1" ht="17.25" customHeight="1"/>
    <row r="47705" customFormat="1" ht="17.25" customHeight="1"/>
    <row r="47706" customFormat="1" ht="17.25" customHeight="1"/>
    <row r="47707" customFormat="1" ht="17.25" customHeight="1"/>
    <row r="47708" customFormat="1" ht="17.25" customHeight="1"/>
    <row r="47709" customFormat="1" ht="17.25" customHeight="1"/>
    <row r="47710" customFormat="1" ht="17.25" customHeight="1"/>
    <row r="47711" customFormat="1" ht="17.25" customHeight="1"/>
    <row r="47712" customFormat="1" ht="17.25" customHeight="1"/>
    <row r="47713" customFormat="1" ht="17.25" customHeight="1"/>
    <row r="47714" customFormat="1" ht="17.25" customHeight="1"/>
    <row r="47715" customFormat="1" ht="17.25" customHeight="1"/>
    <row r="47716" customFormat="1" ht="17.25" customHeight="1"/>
    <row r="47717" customFormat="1" ht="17.25" customHeight="1"/>
    <row r="47718" customFormat="1" ht="17.25" customHeight="1"/>
    <row r="47719" customFormat="1" ht="17.25" customHeight="1"/>
    <row r="47720" customFormat="1" ht="17.25" customHeight="1"/>
    <row r="47721" customFormat="1" ht="17.25" customHeight="1"/>
    <row r="47722" customFormat="1" ht="17.25" customHeight="1"/>
    <row r="47723" customFormat="1" ht="17.25" customHeight="1"/>
    <row r="47724" customFormat="1" ht="17.25" customHeight="1"/>
    <row r="47725" customFormat="1" ht="17.25" customHeight="1"/>
    <row r="47726" customFormat="1" ht="17.25" customHeight="1"/>
    <row r="47727" customFormat="1" ht="17.25" customHeight="1"/>
    <row r="47728" customFormat="1" ht="17.25" customHeight="1"/>
    <row r="47729" customFormat="1" ht="17.25" customHeight="1"/>
    <row r="47730" customFormat="1" ht="17.25" customHeight="1"/>
    <row r="47731" customFormat="1" ht="17.25" customHeight="1"/>
    <row r="47732" customFormat="1" ht="17.25" customHeight="1"/>
    <row r="47733" customFormat="1" ht="17.25" customHeight="1"/>
    <row r="47734" customFormat="1" ht="17.25" customHeight="1"/>
    <row r="47735" customFormat="1" ht="17.25" customHeight="1"/>
    <row r="47736" customFormat="1" ht="17.25" customHeight="1"/>
    <row r="47737" customFormat="1" ht="17.25" customHeight="1"/>
    <row r="47738" customFormat="1" ht="17.25" customHeight="1"/>
    <row r="47739" customFormat="1" ht="17.25" customHeight="1"/>
    <row r="47740" customFormat="1" ht="17.25" customHeight="1"/>
    <row r="47741" customFormat="1" ht="17.25" customHeight="1"/>
    <row r="47742" customFormat="1" ht="17.25" customHeight="1"/>
    <row r="47743" customFormat="1" ht="17.25" customHeight="1"/>
    <row r="47744" customFormat="1" ht="17.25" customHeight="1"/>
    <row r="47745" customFormat="1" ht="17.25" customHeight="1"/>
    <row r="47746" customFormat="1" ht="17.25" customHeight="1"/>
    <row r="47747" customFormat="1" ht="17.25" customHeight="1"/>
    <row r="47748" customFormat="1" ht="17.25" customHeight="1"/>
    <row r="47749" customFormat="1" ht="17.25" customHeight="1"/>
    <row r="47750" customFormat="1" ht="17.25" customHeight="1"/>
    <row r="47751" customFormat="1" ht="17.25" customHeight="1"/>
    <row r="47752" customFormat="1" ht="17.25" customHeight="1"/>
    <row r="47753" customFormat="1" ht="17.25" customHeight="1"/>
    <row r="47754" customFormat="1" ht="17.25" customHeight="1"/>
    <row r="47755" customFormat="1" ht="17.25" customHeight="1"/>
    <row r="47756" customFormat="1" ht="17.25" customHeight="1"/>
    <row r="47757" customFormat="1" ht="17.25" customHeight="1"/>
    <row r="47758" customFormat="1" ht="17.25" customHeight="1"/>
    <row r="47759" customFormat="1" ht="17.25" customHeight="1"/>
    <row r="47760" customFormat="1" ht="17.25" customHeight="1"/>
    <row r="47761" customFormat="1" ht="17.25" customHeight="1"/>
    <row r="47762" customFormat="1" ht="17.25" customHeight="1"/>
    <row r="47763" customFormat="1" ht="17.25" customHeight="1"/>
    <row r="47764" customFormat="1" ht="17.25" customHeight="1"/>
    <row r="47765" customFormat="1" ht="17.25" customHeight="1"/>
    <row r="47766" customFormat="1" ht="17.25" customHeight="1"/>
    <row r="47767" customFormat="1" ht="17.25" customHeight="1"/>
    <row r="47768" customFormat="1" ht="17.25" customHeight="1"/>
    <row r="47769" customFormat="1" ht="17.25" customHeight="1"/>
    <row r="47770" customFormat="1" ht="17.25" customHeight="1"/>
    <row r="47771" customFormat="1" ht="17.25" customHeight="1"/>
    <row r="47772" customFormat="1" ht="17.25" customHeight="1"/>
    <row r="47773" customFormat="1" ht="17.25" customHeight="1"/>
    <row r="47774" customFormat="1" ht="17.25" customHeight="1"/>
    <row r="47775" customFormat="1" ht="17.25" customHeight="1"/>
    <row r="47776" customFormat="1" ht="17.25" customHeight="1"/>
    <row r="47777" customFormat="1" ht="17.25" customHeight="1"/>
    <row r="47778" customFormat="1" ht="17.25" customHeight="1"/>
    <row r="47779" customFormat="1" ht="17.25" customHeight="1"/>
    <row r="47780" customFormat="1" ht="17.25" customHeight="1"/>
    <row r="47781" customFormat="1" ht="17.25" customHeight="1"/>
    <row r="47782" customFormat="1" ht="17.25" customHeight="1"/>
    <row r="47783" customFormat="1" ht="17.25" customHeight="1"/>
    <row r="47784" customFormat="1" ht="17.25" customHeight="1"/>
    <row r="47785" customFormat="1" ht="17.25" customHeight="1"/>
    <row r="47786" customFormat="1" ht="17.25" customHeight="1"/>
    <row r="47787" customFormat="1" ht="17.25" customHeight="1"/>
    <row r="47788" customFormat="1" ht="17.25" customHeight="1"/>
    <row r="47789" customFormat="1" ht="17.25" customHeight="1"/>
    <row r="47790" customFormat="1" ht="17.25" customHeight="1"/>
    <row r="47791" customFormat="1" ht="17.25" customHeight="1"/>
    <row r="47792" customFormat="1" ht="17.25" customHeight="1"/>
    <row r="47793" customFormat="1" ht="17.25" customHeight="1"/>
    <row r="47794" customFormat="1" ht="17.25" customHeight="1"/>
    <row r="47795" customFormat="1" ht="17.25" customHeight="1"/>
    <row r="47796" customFormat="1" ht="17.25" customHeight="1"/>
    <row r="47797" customFormat="1" ht="17.25" customHeight="1"/>
    <row r="47798" customFormat="1" ht="17.25" customHeight="1"/>
    <row r="47799" customFormat="1" ht="17.25" customHeight="1"/>
    <row r="47800" customFormat="1" ht="17.25" customHeight="1"/>
    <row r="47801" customFormat="1" ht="17.25" customHeight="1"/>
    <row r="47802" customFormat="1" ht="17.25" customHeight="1"/>
    <row r="47803" customFormat="1" ht="17.25" customHeight="1"/>
    <row r="47804" customFormat="1" ht="17.25" customHeight="1"/>
    <row r="47805" customFormat="1" ht="17.25" customHeight="1"/>
    <row r="47806" customFormat="1" ht="17.25" customHeight="1"/>
    <row r="47807" customFormat="1" ht="17.25" customHeight="1"/>
    <row r="47808" customFormat="1" ht="17.25" customHeight="1"/>
    <row r="47809" customFormat="1" ht="17.25" customHeight="1"/>
    <row r="47810" customFormat="1" ht="17.25" customHeight="1"/>
    <row r="47811" customFormat="1" ht="17.25" customHeight="1"/>
    <row r="47812" customFormat="1" ht="17.25" customHeight="1"/>
    <row r="47813" customFormat="1" ht="17.25" customHeight="1"/>
    <row r="47814" customFormat="1" ht="17.25" customHeight="1"/>
    <row r="47815" customFormat="1" ht="17.25" customHeight="1"/>
    <row r="47816" customFormat="1" ht="17.25" customHeight="1"/>
    <row r="47817" customFormat="1" ht="17.25" customHeight="1"/>
    <row r="47818" customFormat="1" ht="17.25" customHeight="1"/>
    <row r="47819" customFormat="1" ht="17.25" customHeight="1"/>
    <row r="47820" customFormat="1" ht="17.25" customHeight="1"/>
    <row r="47821" customFormat="1" ht="17.25" customHeight="1"/>
    <row r="47822" customFormat="1" ht="17.25" customHeight="1"/>
    <row r="47823" customFormat="1" ht="17.25" customHeight="1"/>
    <row r="47824" customFormat="1" ht="17.25" customHeight="1"/>
    <row r="47825" customFormat="1" ht="17.25" customHeight="1"/>
    <row r="47826" customFormat="1" ht="17.25" customHeight="1"/>
    <row r="47827" customFormat="1" ht="17.25" customHeight="1"/>
    <row r="47828" customFormat="1" ht="17.25" customHeight="1"/>
    <row r="47829" customFormat="1" ht="17.25" customHeight="1"/>
    <row r="47830" customFormat="1" ht="17.25" customHeight="1"/>
    <row r="47831" customFormat="1" ht="17.25" customHeight="1"/>
    <row r="47832" customFormat="1" ht="17.25" customHeight="1"/>
    <row r="47833" customFormat="1" ht="17.25" customHeight="1"/>
    <row r="47834" customFormat="1" ht="17.25" customHeight="1"/>
    <row r="47835" customFormat="1" ht="17.25" customHeight="1"/>
    <row r="47836" customFormat="1" ht="17.25" customHeight="1"/>
    <row r="47837" customFormat="1" ht="17.25" customHeight="1"/>
    <row r="47838" customFormat="1" ht="17.25" customHeight="1"/>
    <row r="47839" customFormat="1" ht="17.25" customHeight="1"/>
    <row r="47840" customFormat="1" ht="17.25" customHeight="1"/>
    <row r="47841" customFormat="1" ht="17.25" customHeight="1"/>
    <row r="47842" customFormat="1" ht="17.25" customHeight="1"/>
    <row r="47843" customFormat="1" ht="17.25" customHeight="1"/>
    <row r="47844" customFormat="1" ht="17.25" customHeight="1"/>
    <row r="47845" customFormat="1" ht="17.25" customHeight="1"/>
    <row r="47846" customFormat="1" ht="17.25" customHeight="1"/>
    <row r="47847" customFormat="1" ht="17.25" customHeight="1"/>
    <row r="47848" customFormat="1" ht="17.25" customHeight="1"/>
    <row r="47849" customFormat="1" ht="17.25" customHeight="1"/>
    <row r="47850" customFormat="1" ht="17.25" customHeight="1"/>
    <row r="47851" customFormat="1" ht="17.25" customHeight="1"/>
    <row r="47852" customFormat="1" ht="17.25" customHeight="1"/>
    <row r="47853" customFormat="1" ht="17.25" customHeight="1"/>
    <row r="47854" customFormat="1" ht="17.25" customHeight="1"/>
    <row r="47855" customFormat="1" ht="17.25" customHeight="1"/>
    <row r="47856" customFormat="1" ht="17.25" customHeight="1"/>
    <row r="47857" customFormat="1" ht="17.25" customHeight="1"/>
    <row r="47858" customFormat="1" ht="17.25" customHeight="1"/>
    <row r="47859" customFormat="1" ht="17.25" customHeight="1"/>
    <row r="47860" customFormat="1" ht="17.25" customHeight="1"/>
    <row r="47861" customFormat="1" ht="17.25" customHeight="1"/>
    <row r="47862" customFormat="1" ht="17.25" customHeight="1"/>
    <row r="47863" customFormat="1" ht="17.25" customHeight="1"/>
    <row r="47864" customFormat="1" ht="17.25" customHeight="1"/>
    <row r="47865" customFormat="1" ht="17.25" customHeight="1"/>
    <row r="47866" customFormat="1" ht="17.25" customHeight="1"/>
    <row r="47867" customFormat="1" ht="17.25" customHeight="1"/>
    <row r="47868" customFormat="1" ht="17.25" customHeight="1"/>
    <row r="47869" customFormat="1" ht="17.25" customHeight="1"/>
    <row r="47870" customFormat="1" ht="17.25" customHeight="1"/>
    <row r="47871" customFormat="1" ht="17.25" customHeight="1"/>
    <row r="47872" customFormat="1" ht="17.25" customHeight="1"/>
    <row r="47873" customFormat="1" ht="17.25" customHeight="1"/>
    <row r="47874" customFormat="1" ht="17.25" customHeight="1"/>
    <row r="47875" customFormat="1" ht="17.25" customHeight="1"/>
    <row r="47876" customFormat="1" ht="17.25" customHeight="1"/>
    <row r="47877" customFormat="1" ht="17.25" customHeight="1"/>
    <row r="47878" customFormat="1" ht="17.25" customHeight="1"/>
    <row r="47879" customFormat="1" ht="17.25" customHeight="1"/>
    <row r="47880" customFormat="1" ht="17.25" customHeight="1"/>
    <row r="47881" customFormat="1" ht="17.25" customHeight="1"/>
    <row r="47882" customFormat="1" ht="17.25" customHeight="1"/>
    <row r="47883" customFormat="1" ht="17.25" customHeight="1"/>
    <row r="47884" customFormat="1" ht="17.25" customHeight="1"/>
    <row r="47885" customFormat="1" ht="17.25" customHeight="1"/>
    <row r="47886" customFormat="1" ht="17.25" customHeight="1"/>
    <row r="47887" customFormat="1" ht="17.25" customHeight="1"/>
    <row r="47888" customFormat="1" ht="17.25" customHeight="1"/>
    <row r="47889" customFormat="1" ht="17.25" customHeight="1"/>
    <row r="47890" customFormat="1" ht="17.25" customHeight="1"/>
    <row r="47891" customFormat="1" ht="17.25" customHeight="1"/>
    <row r="47892" customFormat="1" ht="17.25" customHeight="1"/>
    <row r="47893" customFormat="1" ht="17.25" customHeight="1"/>
    <row r="47894" customFormat="1" ht="17.25" customHeight="1"/>
    <row r="47895" customFormat="1" ht="17.25" customHeight="1"/>
    <row r="47896" customFormat="1" ht="17.25" customHeight="1"/>
    <row r="47897" customFormat="1" ht="17.25" customHeight="1"/>
    <row r="47898" customFormat="1" ht="17.25" customHeight="1"/>
    <row r="47899" customFormat="1" ht="17.25" customHeight="1"/>
    <row r="47900" customFormat="1" ht="17.25" customHeight="1"/>
    <row r="47901" customFormat="1" ht="17.25" customHeight="1"/>
    <row r="47902" customFormat="1" ht="17.25" customHeight="1"/>
    <row r="47903" customFormat="1" ht="17.25" customHeight="1"/>
    <row r="47904" customFormat="1" ht="17.25" customHeight="1"/>
    <row r="47905" customFormat="1" ht="17.25" customHeight="1"/>
    <row r="47906" customFormat="1" ht="17.25" customHeight="1"/>
    <row r="47907" customFormat="1" ht="17.25" customHeight="1"/>
    <row r="47908" customFormat="1" ht="17.25" customHeight="1"/>
    <row r="47909" customFormat="1" ht="17.25" customHeight="1"/>
    <row r="47910" customFormat="1" ht="17.25" customHeight="1"/>
    <row r="47911" customFormat="1" ht="17.25" customHeight="1"/>
    <row r="47912" customFormat="1" ht="17.25" customHeight="1"/>
    <row r="47913" customFormat="1" ht="17.25" customHeight="1"/>
    <row r="47914" customFormat="1" ht="17.25" customHeight="1"/>
    <row r="47915" customFormat="1" ht="17.25" customHeight="1"/>
    <row r="47916" customFormat="1" ht="17.25" customHeight="1"/>
    <row r="47917" customFormat="1" ht="17.25" customHeight="1"/>
    <row r="47918" customFormat="1" ht="17.25" customHeight="1"/>
    <row r="47919" customFormat="1" ht="17.25" customHeight="1"/>
    <row r="47920" customFormat="1" ht="17.25" customHeight="1"/>
    <row r="47921" customFormat="1" ht="17.25" customHeight="1"/>
    <row r="47922" customFormat="1" ht="17.25" customHeight="1"/>
    <row r="47923" customFormat="1" ht="17.25" customHeight="1"/>
    <row r="47924" customFormat="1" ht="17.25" customHeight="1"/>
    <row r="47925" customFormat="1" ht="17.25" customHeight="1"/>
    <row r="47926" customFormat="1" ht="17.25" customHeight="1"/>
    <row r="47927" customFormat="1" ht="17.25" customHeight="1"/>
    <row r="47928" customFormat="1" ht="17.25" customHeight="1"/>
    <row r="47929" customFormat="1" ht="17.25" customHeight="1"/>
    <row r="47930" customFormat="1" ht="17.25" customHeight="1"/>
    <row r="47931" customFormat="1" ht="17.25" customHeight="1"/>
    <row r="47932" customFormat="1" ht="17.25" customHeight="1"/>
    <row r="47933" customFormat="1" ht="17.25" customHeight="1"/>
    <row r="47934" customFormat="1" ht="17.25" customHeight="1"/>
    <row r="47935" customFormat="1" ht="17.25" customHeight="1"/>
    <row r="47936" customFormat="1" ht="17.25" customHeight="1"/>
    <row r="47937" customFormat="1" ht="17.25" customHeight="1"/>
    <row r="47938" customFormat="1" ht="17.25" customHeight="1"/>
    <row r="47939" customFormat="1" ht="17.25" customHeight="1"/>
    <row r="47940" customFormat="1" ht="17.25" customHeight="1"/>
    <row r="47941" customFormat="1" ht="17.25" customHeight="1"/>
    <row r="47942" customFormat="1" ht="17.25" customHeight="1"/>
    <row r="47943" customFormat="1" ht="17.25" customHeight="1"/>
    <row r="47944" customFormat="1" ht="17.25" customHeight="1"/>
    <row r="47945" customFormat="1" ht="17.25" customHeight="1"/>
    <row r="47946" customFormat="1" ht="17.25" customHeight="1"/>
    <row r="47947" customFormat="1" ht="17.25" customHeight="1"/>
    <row r="47948" customFormat="1" ht="17.25" customHeight="1"/>
    <row r="47949" customFormat="1" ht="17.25" customHeight="1"/>
    <row r="47950" customFormat="1" ht="17.25" customHeight="1"/>
    <row r="47951" customFormat="1" ht="17.25" customHeight="1"/>
    <row r="47952" customFormat="1" ht="17.25" customHeight="1"/>
    <row r="47953" customFormat="1" ht="17.25" customHeight="1"/>
    <row r="47954" customFormat="1" ht="17.25" customHeight="1"/>
    <row r="47955" customFormat="1" ht="17.25" customHeight="1"/>
    <row r="47956" customFormat="1" ht="17.25" customHeight="1"/>
    <row r="47957" customFormat="1" ht="17.25" customHeight="1"/>
    <row r="47958" customFormat="1" ht="17.25" customHeight="1"/>
    <row r="47959" customFormat="1" ht="17.25" customHeight="1"/>
    <row r="47960" customFormat="1" ht="17.25" customHeight="1"/>
    <row r="47961" customFormat="1" ht="17.25" customHeight="1"/>
    <row r="47962" customFormat="1" ht="17.25" customHeight="1"/>
    <row r="47963" customFormat="1" ht="17.25" customHeight="1"/>
    <row r="47964" customFormat="1" ht="17.25" customHeight="1"/>
    <row r="47965" customFormat="1" ht="17.25" customHeight="1"/>
    <row r="47966" customFormat="1" ht="17.25" customHeight="1"/>
    <row r="47967" customFormat="1" ht="17.25" customHeight="1"/>
    <row r="47968" customFormat="1" ht="17.25" customHeight="1"/>
    <row r="47969" customFormat="1" ht="17.25" customHeight="1"/>
    <row r="47970" customFormat="1" ht="17.25" customHeight="1"/>
    <row r="47971" customFormat="1" ht="17.25" customHeight="1"/>
    <row r="47972" customFormat="1" ht="17.25" customHeight="1"/>
    <row r="47973" customFormat="1" ht="17.25" customHeight="1"/>
    <row r="47974" customFormat="1" ht="17.25" customHeight="1"/>
    <row r="47975" customFormat="1" ht="17.25" customHeight="1"/>
    <row r="47976" customFormat="1" ht="17.25" customHeight="1"/>
    <row r="47977" customFormat="1" ht="17.25" customHeight="1"/>
    <row r="47978" customFormat="1" ht="17.25" customHeight="1"/>
    <row r="47979" customFormat="1" ht="17.25" customHeight="1"/>
    <row r="47980" customFormat="1" ht="17.25" customHeight="1"/>
    <row r="47981" customFormat="1" ht="17.25" customHeight="1"/>
    <row r="47982" customFormat="1" ht="17.25" customHeight="1"/>
    <row r="47983" customFormat="1" ht="17.25" customHeight="1"/>
    <row r="47984" customFormat="1" ht="17.25" customHeight="1"/>
    <row r="47985" customFormat="1" ht="17.25" customHeight="1"/>
    <row r="47986" customFormat="1" ht="17.25" customHeight="1"/>
    <row r="47987" customFormat="1" ht="17.25" customHeight="1"/>
    <row r="47988" customFormat="1" ht="17.25" customHeight="1"/>
    <row r="47989" customFormat="1" ht="17.25" customHeight="1"/>
    <row r="47990" customFormat="1" ht="17.25" customHeight="1"/>
    <row r="47991" customFormat="1" ht="17.25" customHeight="1"/>
    <row r="47992" customFormat="1" ht="17.25" customHeight="1"/>
    <row r="47993" customFormat="1" ht="17.25" customHeight="1"/>
    <row r="47994" customFormat="1" ht="17.25" customHeight="1"/>
    <row r="47995" customFormat="1" ht="17.25" customHeight="1"/>
    <row r="47996" customFormat="1" ht="17.25" customHeight="1"/>
    <row r="47997" customFormat="1" ht="17.25" customHeight="1"/>
    <row r="47998" customFormat="1" ht="17.25" customHeight="1"/>
    <row r="47999" customFormat="1" ht="17.25" customHeight="1"/>
    <row r="48000" customFormat="1" ht="17.25" customHeight="1"/>
    <row r="48001" customFormat="1" ht="17.25" customHeight="1"/>
    <row r="48002" customFormat="1" ht="17.25" customHeight="1"/>
    <row r="48003" customFormat="1" ht="17.25" customHeight="1"/>
    <row r="48004" customFormat="1" ht="17.25" customHeight="1"/>
    <row r="48005" customFormat="1" ht="17.25" customHeight="1"/>
    <row r="48006" customFormat="1" ht="17.25" customHeight="1"/>
    <row r="48007" customFormat="1" ht="17.25" customHeight="1"/>
    <row r="48008" customFormat="1" ht="17.25" customHeight="1"/>
    <row r="48009" customFormat="1" ht="17.25" customHeight="1"/>
    <row r="48010" customFormat="1" ht="17.25" customHeight="1"/>
    <row r="48011" customFormat="1" ht="17.25" customHeight="1"/>
    <row r="48012" customFormat="1" ht="17.25" customHeight="1"/>
    <row r="48013" customFormat="1" ht="17.25" customHeight="1"/>
    <row r="48014" customFormat="1" ht="17.25" customHeight="1"/>
    <row r="48015" customFormat="1" ht="17.25" customHeight="1"/>
    <row r="48016" customFormat="1" ht="17.25" customHeight="1"/>
    <row r="48017" customFormat="1" ht="17.25" customHeight="1"/>
    <row r="48018" customFormat="1" ht="17.25" customHeight="1"/>
    <row r="48019" customFormat="1" ht="17.25" customHeight="1"/>
    <row r="48020" customFormat="1" ht="17.25" customHeight="1"/>
    <row r="48021" customFormat="1" ht="17.25" customHeight="1"/>
    <row r="48022" customFormat="1" ht="17.25" customHeight="1"/>
    <row r="48023" customFormat="1" ht="17.25" customHeight="1"/>
    <row r="48024" customFormat="1" ht="17.25" customHeight="1"/>
    <row r="48025" customFormat="1" ht="17.25" customHeight="1"/>
    <row r="48026" customFormat="1" ht="17.25" customHeight="1"/>
    <row r="48027" customFormat="1" ht="17.25" customHeight="1"/>
    <row r="48028" customFormat="1" ht="17.25" customHeight="1"/>
    <row r="48029" customFormat="1" ht="17.25" customHeight="1"/>
    <row r="48030" customFormat="1" ht="17.25" customHeight="1"/>
    <row r="48031" customFormat="1" ht="17.25" customHeight="1"/>
    <row r="48032" customFormat="1" ht="17.25" customHeight="1"/>
    <row r="48033" customFormat="1" ht="17.25" customHeight="1"/>
    <row r="48034" customFormat="1" ht="17.25" customHeight="1"/>
    <row r="48035" customFormat="1" ht="17.25" customHeight="1"/>
    <row r="48036" customFormat="1" ht="17.25" customHeight="1"/>
    <row r="48037" customFormat="1" ht="17.25" customHeight="1"/>
    <row r="48038" customFormat="1" ht="17.25" customHeight="1"/>
    <row r="48039" customFormat="1" ht="17.25" customHeight="1"/>
    <row r="48040" customFormat="1" ht="17.25" customHeight="1"/>
    <row r="48041" customFormat="1" ht="17.25" customHeight="1"/>
    <row r="48042" customFormat="1" ht="17.25" customHeight="1"/>
    <row r="48043" customFormat="1" ht="17.25" customHeight="1"/>
    <row r="48044" customFormat="1" ht="17.25" customHeight="1"/>
    <row r="48045" customFormat="1" ht="17.25" customHeight="1"/>
    <row r="48046" customFormat="1" ht="17.25" customHeight="1"/>
    <row r="48047" customFormat="1" ht="17.25" customHeight="1"/>
    <row r="48048" customFormat="1" ht="17.25" customHeight="1"/>
    <row r="48049" customFormat="1" ht="17.25" customHeight="1"/>
    <row r="48050" customFormat="1" ht="17.25" customHeight="1"/>
    <row r="48051" customFormat="1" ht="17.25" customHeight="1"/>
    <row r="48052" customFormat="1" ht="17.25" customHeight="1"/>
    <row r="48053" customFormat="1" ht="17.25" customHeight="1"/>
    <row r="48054" customFormat="1" ht="17.25" customHeight="1"/>
    <row r="48055" customFormat="1" ht="17.25" customHeight="1"/>
    <row r="48056" customFormat="1" ht="17.25" customHeight="1"/>
    <row r="48057" customFormat="1" ht="17.25" customHeight="1"/>
    <row r="48058" customFormat="1" ht="17.25" customHeight="1"/>
    <row r="48059" customFormat="1" ht="17.25" customHeight="1"/>
    <row r="48060" customFormat="1" ht="17.25" customHeight="1"/>
    <row r="48061" customFormat="1" ht="17.25" customHeight="1"/>
    <row r="48062" customFormat="1" ht="17.25" customHeight="1"/>
    <row r="48063" customFormat="1" ht="17.25" customHeight="1"/>
    <row r="48064" customFormat="1" ht="17.25" customHeight="1"/>
    <row r="48065" customFormat="1" ht="17.25" customHeight="1"/>
    <row r="48066" customFormat="1" ht="17.25" customHeight="1"/>
    <row r="48067" customFormat="1" ht="17.25" customHeight="1"/>
    <row r="48068" customFormat="1" ht="17.25" customHeight="1"/>
    <row r="48069" customFormat="1" ht="17.25" customHeight="1"/>
    <row r="48070" customFormat="1" ht="17.25" customHeight="1"/>
    <row r="48071" customFormat="1" ht="17.25" customHeight="1"/>
    <row r="48072" customFormat="1" ht="17.25" customHeight="1"/>
    <row r="48073" customFormat="1" ht="17.25" customHeight="1"/>
    <row r="48074" customFormat="1" ht="17.25" customHeight="1"/>
    <row r="48075" customFormat="1" ht="17.25" customHeight="1"/>
    <row r="48076" customFormat="1" ht="17.25" customHeight="1"/>
    <row r="48077" customFormat="1" ht="17.25" customHeight="1"/>
    <row r="48078" customFormat="1" ht="17.25" customHeight="1"/>
    <row r="48079" customFormat="1" ht="17.25" customHeight="1"/>
    <row r="48080" customFormat="1" ht="17.25" customHeight="1"/>
    <row r="48081" customFormat="1" ht="17.25" customHeight="1"/>
    <row r="48082" customFormat="1" ht="17.25" customHeight="1"/>
    <row r="48083" customFormat="1" ht="17.25" customHeight="1"/>
    <row r="48084" customFormat="1" ht="17.25" customHeight="1"/>
    <row r="48085" customFormat="1" ht="17.25" customHeight="1"/>
    <row r="48086" customFormat="1" ht="17.25" customHeight="1"/>
    <row r="48087" customFormat="1" ht="17.25" customHeight="1"/>
    <row r="48088" customFormat="1" ht="17.25" customHeight="1"/>
    <row r="48089" customFormat="1" ht="17.25" customHeight="1"/>
    <row r="48090" customFormat="1" ht="17.25" customHeight="1"/>
    <row r="48091" customFormat="1" ht="17.25" customHeight="1"/>
    <row r="48092" customFormat="1" ht="17.25" customHeight="1"/>
    <row r="48093" customFormat="1" ht="17.25" customHeight="1"/>
    <row r="48094" customFormat="1" ht="17.25" customHeight="1"/>
    <row r="48095" customFormat="1" ht="17.25" customHeight="1"/>
    <row r="48096" customFormat="1" ht="17.25" customHeight="1"/>
    <row r="48097" customFormat="1" ht="17.25" customHeight="1"/>
    <row r="48098" customFormat="1" ht="17.25" customHeight="1"/>
    <row r="48099" customFormat="1" ht="17.25" customHeight="1"/>
    <row r="48100" customFormat="1" ht="17.25" customHeight="1"/>
    <row r="48101" customFormat="1" ht="17.25" customHeight="1"/>
    <row r="48102" customFormat="1" ht="17.25" customHeight="1"/>
    <row r="48103" customFormat="1" ht="17.25" customHeight="1"/>
    <row r="48104" customFormat="1" ht="17.25" customHeight="1"/>
    <row r="48105" customFormat="1" ht="17.25" customHeight="1"/>
    <row r="48106" customFormat="1" ht="17.25" customHeight="1"/>
    <row r="48107" customFormat="1" ht="17.25" customHeight="1"/>
    <row r="48108" customFormat="1" ht="17.25" customHeight="1"/>
    <row r="48109" customFormat="1" ht="17.25" customHeight="1"/>
    <row r="48110" customFormat="1" ht="17.25" customHeight="1"/>
    <row r="48111" customFormat="1" ht="17.25" customHeight="1"/>
    <row r="48112" customFormat="1" ht="17.25" customHeight="1"/>
    <row r="48113" customFormat="1" ht="17.25" customHeight="1"/>
    <row r="48114" customFormat="1" ht="17.25" customHeight="1"/>
    <row r="48115" customFormat="1" ht="17.25" customHeight="1"/>
    <row r="48116" customFormat="1" ht="17.25" customHeight="1"/>
    <row r="48117" customFormat="1" ht="17.25" customHeight="1"/>
    <row r="48118" customFormat="1" ht="17.25" customHeight="1"/>
    <row r="48119" customFormat="1" ht="17.25" customHeight="1"/>
    <row r="48120" customFormat="1" ht="17.25" customHeight="1"/>
    <row r="48121" customFormat="1" ht="17.25" customHeight="1"/>
    <row r="48122" customFormat="1" ht="17.25" customHeight="1"/>
    <row r="48123" customFormat="1" ht="17.25" customHeight="1"/>
    <row r="48124" customFormat="1" ht="17.25" customHeight="1"/>
    <row r="48125" customFormat="1" ht="17.25" customHeight="1"/>
    <row r="48126" customFormat="1" ht="17.25" customHeight="1"/>
    <row r="48127" customFormat="1" ht="17.25" customHeight="1"/>
    <row r="48128" customFormat="1" ht="17.25" customHeight="1"/>
    <row r="48129" customFormat="1" ht="17.25" customHeight="1"/>
    <row r="48130" customFormat="1" ht="17.25" customHeight="1"/>
    <row r="48131" customFormat="1" ht="17.25" customHeight="1"/>
    <row r="48132" customFormat="1" ht="17.25" customHeight="1"/>
    <row r="48133" customFormat="1" ht="17.25" customHeight="1"/>
    <row r="48134" customFormat="1" ht="17.25" customHeight="1"/>
    <row r="48135" customFormat="1" ht="17.25" customHeight="1"/>
    <row r="48136" customFormat="1" ht="17.25" customHeight="1"/>
    <row r="48137" customFormat="1" ht="17.25" customHeight="1"/>
    <row r="48138" customFormat="1" ht="17.25" customHeight="1"/>
    <row r="48139" customFormat="1" ht="17.25" customHeight="1"/>
    <row r="48140" customFormat="1" ht="17.25" customHeight="1"/>
    <row r="48141" customFormat="1" ht="17.25" customHeight="1"/>
    <row r="48142" customFormat="1" ht="17.25" customHeight="1"/>
    <row r="48143" customFormat="1" ht="17.25" customHeight="1"/>
    <row r="48144" customFormat="1" ht="17.25" customHeight="1"/>
    <row r="48145" customFormat="1" ht="17.25" customHeight="1"/>
    <row r="48146" customFormat="1" ht="17.25" customHeight="1"/>
    <row r="48147" customFormat="1" ht="17.25" customHeight="1"/>
    <row r="48148" customFormat="1" ht="17.25" customHeight="1"/>
    <row r="48149" customFormat="1" ht="17.25" customHeight="1"/>
    <row r="48150" customFormat="1" ht="17.25" customHeight="1"/>
    <row r="48151" customFormat="1" ht="17.25" customHeight="1"/>
    <row r="48152" customFormat="1" ht="17.25" customHeight="1"/>
    <row r="48153" customFormat="1" ht="17.25" customHeight="1"/>
    <row r="48154" customFormat="1" ht="17.25" customHeight="1"/>
    <row r="48155" customFormat="1" ht="17.25" customHeight="1"/>
    <row r="48156" customFormat="1" ht="17.25" customHeight="1"/>
    <row r="48157" customFormat="1" ht="17.25" customHeight="1"/>
    <row r="48158" customFormat="1" ht="17.25" customHeight="1"/>
    <row r="48159" customFormat="1" ht="17.25" customHeight="1"/>
    <row r="48160" customFormat="1" ht="17.25" customHeight="1"/>
    <row r="48161" customFormat="1" ht="17.25" customHeight="1"/>
    <row r="48162" customFormat="1" ht="17.25" customHeight="1"/>
    <row r="48163" customFormat="1" ht="17.25" customHeight="1"/>
    <row r="48164" customFormat="1" ht="17.25" customHeight="1"/>
    <row r="48165" customFormat="1" ht="17.25" customHeight="1"/>
    <row r="48166" customFormat="1" ht="17.25" customHeight="1"/>
    <row r="48167" customFormat="1" ht="17.25" customHeight="1"/>
    <row r="48168" customFormat="1" ht="17.25" customHeight="1"/>
    <row r="48169" customFormat="1" ht="17.25" customHeight="1"/>
    <row r="48170" customFormat="1" ht="17.25" customHeight="1"/>
    <row r="48171" customFormat="1" ht="17.25" customHeight="1"/>
    <row r="48172" customFormat="1" ht="17.25" customHeight="1"/>
    <row r="48173" customFormat="1" ht="17.25" customHeight="1"/>
    <row r="48174" customFormat="1" ht="17.25" customHeight="1"/>
    <row r="48175" customFormat="1" ht="17.25" customHeight="1"/>
    <row r="48176" customFormat="1" ht="17.25" customHeight="1"/>
    <row r="48177" customFormat="1" ht="17.25" customHeight="1"/>
    <row r="48178" customFormat="1" ht="17.25" customHeight="1"/>
    <row r="48179" customFormat="1" ht="17.25" customHeight="1"/>
    <row r="48180" customFormat="1" ht="17.25" customHeight="1"/>
    <row r="48181" customFormat="1" ht="17.25" customHeight="1"/>
    <row r="48182" customFormat="1" ht="17.25" customHeight="1"/>
    <row r="48183" customFormat="1" ht="17.25" customHeight="1"/>
    <row r="48184" customFormat="1" ht="17.25" customHeight="1"/>
    <row r="48185" customFormat="1" ht="17.25" customHeight="1"/>
    <row r="48186" customFormat="1" ht="17.25" customHeight="1"/>
    <row r="48187" customFormat="1" ht="17.25" customHeight="1"/>
    <row r="48188" customFormat="1" ht="17.25" customHeight="1"/>
    <row r="48189" customFormat="1" ht="17.25" customHeight="1"/>
    <row r="48190" customFormat="1" ht="17.25" customHeight="1"/>
    <row r="48191" customFormat="1" ht="17.25" customHeight="1"/>
    <row r="48192" customFormat="1" ht="17.25" customHeight="1"/>
    <row r="48193" customFormat="1" ht="17.25" customHeight="1"/>
    <row r="48194" customFormat="1" ht="17.25" customHeight="1"/>
    <row r="48195" customFormat="1" ht="17.25" customHeight="1"/>
    <row r="48196" customFormat="1" ht="17.25" customHeight="1"/>
    <row r="48197" customFormat="1" ht="17.25" customHeight="1"/>
    <row r="48198" customFormat="1" ht="17.25" customHeight="1"/>
    <row r="48199" customFormat="1" ht="17.25" customHeight="1"/>
    <row r="48200" customFormat="1" ht="17.25" customHeight="1"/>
    <row r="48201" customFormat="1" ht="17.25" customHeight="1"/>
    <row r="48202" customFormat="1" ht="17.25" customHeight="1"/>
    <row r="48203" customFormat="1" ht="17.25" customHeight="1"/>
    <row r="48204" customFormat="1" ht="17.25" customHeight="1"/>
    <row r="48205" customFormat="1" ht="17.25" customHeight="1"/>
    <row r="48206" customFormat="1" ht="17.25" customHeight="1"/>
    <row r="48207" customFormat="1" ht="17.25" customHeight="1"/>
    <row r="48208" customFormat="1" ht="17.25" customHeight="1"/>
    <row r="48209" customFormat="1" ht="17.25" customHeight="1"/>
    <row r="48210" customFormat="1" ht="17.25" customHeight="1"/>
    <row r="48211" customFormat="1" ht="17.25" customHeight="1"/>
    <row r="48212" customFormat="1" ht="17.25" customHeight="1"/>
    <row r="48213" customFormat="1" ht="17.25" customHeight="1"/>
    <row r="48214" customFormat="1" ht="17.25" customHeight="1"/>
    <row r="48215" customFormat="1" ht="17.25" customHeight="1"/>
    <row r="48216" customFormat="1" ht="17.25" customHeight="1"/>
    <row r="48217" customFormat="1" ht="17.25" customHeight="1"/>
    <row r="48218" customFormat="1" ht="17.25" customHeight="1"/>
    <row r="48219" customFormat="1" ht="17.25" customHeight="1"/>
    <row r="48220" customFormat="1" ht="17.25" customHeight="1"/>
    <row r="48221" customFormat="1" ht="17.25" customHeight="1"/>
    <row r="48222" customFormat="1" ht="17.25" customHeight="1"/>
    <row r="48223" customFormat="1" ht="17.25" customHeight="1"/>
    <row r="48224" customFormat="1" ht="17.25" customHeight="1"/>
    <row r="48225" customFormat="1" ht="17.25" customHeight="1"/>
    <row r="48226" customFormat="1" ht="17.25" customHeight="1"/>
    <row r="48227" customFormat="1" ht="17.25" customHeight="1"/>
    <row r="48228" customFormat="1" ht="17.25" customHeight="1"/>
    <row r="48229" customFormat="1" ht="17.25" customHeight="1"/>
    <row r="48230" customFormat="1" ht="17.25" customHeight="1"/>
    <row r="48231" customFormat="1" ht="17.25" customHeight="1"/>
    <row r="48232" customFormat="1" ht="17.25" customHeight="1"/>
    <row r="48233" customFormat="1" ht="17.25" customHeight="1"/>
    <row r="48234" customFormat="1" ht="17.25" customHeight="1"/>
    <row r="48235" customFormat="1" ht="17.25" customHeight="1"/>
    <row r="48236" customFormat="1" ht="17.25" customHeight="1"/>
    <row r="48237" customFormat="1" ht="17.25" customHeight="1"/>
    <row r="48238" customFormat="1" ht="17.25" customHeight="1"/>
    <row r="48239" customFormat="1" ht="17.25" customHeight="1"/>
    <row r="48240" customFormat="1" ht="17.25" customHeight="1"/>
    <row r="48241" customFormat="1" ht="17.25" customHeight="1"/>
    <row r="48242" customFormat="1" ht="17.25" customHeight="1"/>
    <row r="48243" customFormat="1" ht="17.25" customHeight="1"/>
    <row r="48244" customFormat="1" ht="17.25" customHeight="1"/>
    <row r="48245" customFormat="1" ht="17.25" customHeight="1"/>
    <row r="48246" customFormat="1" ht="17.25" customHeight="1"/>
    <row r="48247" customFormat="1" ht="17.25" customHeight="1"/>
    <row r="48248" customFormat="1" ht="17.25" customHeight="1"/>
    <row r="48249" customFormat="1" ht="17.25" customHeight="1"/>
    <row r="48250" customFormat="1" ht="17.25" customHeight="1"/>
    <row r="48251" customFormat="1" ht="17.25" customHeight="1"/>
    <row r="48252" customFormat="1" ht="17.25" customHeight="1"/>
    <row r="48253" customFormat="1" ht="17.25" customHeight="1"/>
    <row r="48254" customFormat="1" ht="17.25" customHeight="1"/>
    <row r="48255" customFormat="1" ht="17.25" customHeight="1"/>
    <row r="48256" customFormat="1" ht="17.25" customHeight="1"/>
    <row r="48257" customFormat="1" ht="17.25" customHeight="1"/>
    <row r="48258" customFormat="1" ht="17.25" customHeight="1"/>
    <row r="48259" customFormat="1" ht="17.25" customHeight="1"/>
    <row r="48260" customFormat="1" ht="17.25" customHeight="1"/>
    <row r="48261" customFormat="1" ht="17.25" customHeight="1"/>
    <row r="48262" customFormat="1" ht="17.25" customHeight="1"/>
    <row r="48263" customFormat="1" ht="17.25" customHeight="1"/>
    <row r="48264" customFormat="1" ht="17.25" customHeight="1"/>
    <row r="48265" customFormat="1" ht="17.25" customHeight="1"/>
    <row r="48266" customFormat="1" ht="17.25" customHeight="1"/>
    <row r="48267" customFormat="1" ht="17.25" customHeight="1"/>
    <row r="48268" customFormat="1" ht="17.25" customHeight="1"/>
    <row r="48269" customFormat="1" ht="17.25" customHeight="1"/>
    <row r="48270" customFormat="1" ht="17.25" customHeight="1"/>
    <row r="48271" customFormat="1" ht="17.25" customHeight="1"/>
    <row r="48272" customFormat="1" ht="17.25" customHeight="1"/>
    <row r="48273" customFormat="1" ht="17.25" customHeight="1"/>
    <row r="48274" customFormat="1" ht="17.25" customHeight="1"/>
    <row r="48275" customFormat="1" ht="17.25" customHeight="1"/>
    <row r="48276" customFormat="1" ht="17.25" customHeight="1"/>
    <row r="48277" customFormat="1" ht="17.25" customHeight="1"/>
    <row r="48278" customFormat="1" ht="17.25" customHeight="1"/>
    <row r="48279" customFormat="1" ht="17.25" customHeight="1"/>
    <row r="48280" customFormat="1" ht="17.25" customHeight="1"/>
    <row r="48281" customFormat="1" ht="17.25" customHeight="1"/>
    <row r="48282" customFormat="1" ht="17.25" customHeight="1"/>
    <row r="48283" customFormat="1" ht="17.25" customHeight="1"/>
    <row r="48284" customFormat="1" ht="17.25" customHeight="1"/>
    <row r="48285" customFormat="1" ht="17.25" customHeight="1"/>
    <row r="48286" customFormat="1" ht="17.25" customHeight="1"/>
    <row r="48287" customFormat="1" ht="17.25" customHeight="1"/>
    <row r="48288" customFormat="1" ht="17.25" customHeight="1"/>
    <row r="48289" customFormat="1" ht="17.25" customHeight="1"/>
    <row r="48290" customFormat="1" ht="17.25" customHeight="1"/>
    <row r="48291" customFormat="1" ht="17.25" customHeight="1"/>
    <row r="48292" customFormat="1" ht="17.25" customHeight="1"/>
    <row r="48293" customFormat="1" ht="17.25" customHeight="1"/>
    <row r="48294" customFormat="1" ht="17.25" customHeight="1"/>
    <row r="48295" customFormat="1" ht="17.25" customHeight="1"/>
    <row r="48296" customFormat="1" ht="17.25" customHeight="1"/>
    <row r="48297" customFormat="1" ht="17.25" customHeight="1"/>
    <row r="48298" customFormat="1" ht="17.25" customHeight="1"/>
    <row r="48299" customFormat="1" ht="17.25" customHeight="1"/>
    <row r="48300" customFormat="1" ht="17.25" customHeight="1"/>
    <row r="48301" customFormat="1" ht="17.25" customHeight="1"/>
    <row r="48302" customFormat="1" ht="17.25" customHeight="1"/>
    <row r="48303" customFormat="1" ht="17.25" customHeight="1"/>
    <row r="48304" customFormat="1" ht="17.25" customHeight="1"/>
    <row r="48305" customFormat="1" ht="17.25" customHeight="1"/>
    <row r="48306" customFormat="1" ht="17.25" customHeight="1"/>
    <row r="48307" customFormat="1" ht="17.25" customHeight="1"/>
    <row r="48308" customFormat="1" ht="17.25" customHeight="1"/>
    <row r="48309" customFormat="1" ht="17.25" customHeight="1"/>
    <row r="48310" customFormat="1" ht="17.25" customHeight="1"/>
    <row r="48311" customFormat="1" ht="17.25" customHeight="1"/>
    <row r="48312" customFormat="1" ht="17.25" customHeight="1"/>
    <row r="48313" customFormat="1" ht="17.25" customHeight="1"/>
    <row r="48314" customFormat="1" ht="17.25" customHeight="1"/>
    <row r="48315" customFormat="1" ht="17.25" customHeight="1"/>
    <row r="48316" customFormat="1" ht="17.25" customHeight="1"/>
    <row r="48317" customFormat="1" ht="17.25" customHeight="1"/>
    <row r="48318" customFormat="1" ht="17.25" customHeight="1"/>
    <row r="48319" customFormat="1" ht="17.25" customHeight="1"/>
    <row r="48320" customFormat="1" ht="17.25" customHeight="1"/>
    <row r="48321" customFormat="1" ht="17.25" customHeight="1"/>
    <row r="48322" customFormat="1" ht="17.25" customHeight="1"/>
    <row r="48323" customFormat="1" ht="17.25" customHeight="1"/>
    <row r="48324" customFormat="1" ht="17.25" customHeight="1"/>
    <row r="48325" customFormat="1" ht="17.25" customHeight="1"/>
    <row r="48326" customFormat="1" ht="17.25" customHeight="1"/>
    <row r="48327" customFormat="1" ht="17.25" customHeight="1"/>
    <row r="48328" customFormat="1" ht="17.25" customHeight="1"/>
    <row r="48329" customFormat="1" ht="17.25" customHeight="1"/>
    <row r="48330" customFormat="1" ht="17.25" customHeight="1"/>
    <row r="48331" customFormat="1" ht="17.25" customHeight="1"/>
    <row r="48332" customFormat="1" ht="17.25" customHeight="1"/>
    <row r="48333" customFormat="1" ht="17.25" customHeight="1"/>
    <row r="48334" customFormat="1" ht="17.25" customHeight="1"/>
    <row r="48335" customFormat="1" ht="17.25" customHeight="1"/>
    <row r="48336" customFormat="1" ht="17.25" customHeight="1"/>
    <row r="48337" customFormat="1" ht="17.25" customHeight="1"/>
    <row r="48338" customFormat="1" ht="17.25" customHeight="1"/>
    <row r="48339" customFormat="1" ht="17.25" customHeight="1"/>
    <row r="48340" customFormat="1" ht="17.25" customHeight="1"/>
    <row r="48341" customFormat="1" ht="17.25" customHeight="1"/>
    <row r="48342" customFormat="1" ht="17.25" customHeight="1"/>
    <row r="48343" customFormat="1" ht="17.25" customHeight="1"/>
    <row r="48344" customFormat="1" ht="17.25" customHeight="1"/>
    <row r="48345" customFormat="1" ht="17.25" customHeight="1"/>
    <row r="48346" customFormat="1" ht="17.25" customHeight="1"/>
    <row r="48347" customFormat="1" ht="17.25" customHeight="1"/>
    <row r="48348" customFormat="1" ht="17.25" customHeight="1"/>
    <row r="48349" customFormat="1" ht="17.25" customHeight="1"/>
    <row r="48350" customFormat="1" ht="17.25" customHeight="1"/>
    <row r="48351" customFormat="1" ht="17.25" customHeight="1"/>
    <row r="48352" customFormat="1" ht="17.25" customHeight="1"/>
    <row r="48353" customFormat="1" ht="17.25" customHeight="1"/>
    <row r="48354" customFormat="1" ht="17.25" customHeight="1"/>
    <row r="48355" customFormat="1" ht="17.25" customHeight="1"/>
    <row r="48356" customFormat="1" ht="17.25" customHeight="1"/>
    <row r="48357" customFormat="1" ht="17.25" customHeight="1"/>
    <row r="48358" customFormat="1" ht="17.25" customHeight="1"/>
    <row r="48359" customFormat="1" ht="17.25" customHeight="1"/>
    <row r="48360" customFormat="1" ht="17.25" customHeight="1"/>
    <row r="48361" customFormat="1" ht="17.25" customHeight="1"/>
    <row r="48362" customFormat="1" ht="17.25" customHeight="1"/>
    <row r="48363" customFormat="1" ht="17.25" customHeight="1"/>
    <row r="48364" customFormat="1" ht="17.25" customHeight="1"/>
    <row r="48365" customFormat="1" ht="17.25" customHeight="1"/>
    <row r="48366" customFormat="1" ht="17.25" customHeight="1"/>
    <row r="48367" customFormat="1" ht="17.25" customHeight="1"/>
    <row r="48368" customFormat="1" ht="17.25" customHeight="1"/>
    <row r="48369" customFormat="1" ht="17.25" customHeight="1"/>
    <row r="48370" customFormat="1" ht="17.25" customHeight="1"/>
    <row r="48371" customFormat="1" ht="17.25" customHeight="1"/>
    <row r="48372" customFormat="1" ht="17.25" customHeight="1"/>
    <row r="48373" customFormat="1" ht="17.25" customHeight="1"/>
    <row r="48374" customFormat="1" ht="17.25" customHeight="1"/>
    <row r="48375" customFormat="1" ht="17.25" customHeight="1"/>
    <row r="48376" customFormat="1" ht="17.25" customHeight="1"/>
    <row r="48377" customFormat="1" ht="17.25" customHeight="1"/>
    <row r="48378" customFormat="1" ht="17.25" customHeight="1"/>
    <row r="48379" customFormat="1" ht="17.25" customHeight="1"/>
    <row r="48380" customFormat="1" ht="17.25" customHeight="1"/>
    <row r="48381" customFormat="1" ht="17.25" customHeight="1"/>
    <row r="48382" customFormat="1" ht="17.25" customHeight="1"/>
    <row r="48383" customFormat="1" ht="17.25" customHeight="1"/>
    <row r="48384" customFormat="1" ht="17.25" customHeight="1"/>
    <row r="48385" customFormat="1" ht="17.25" customHeight="1"/>
    <row r="48386" customFormat="1" ht="17.25" customHeight="1"/>
    <row r="48387" customFormat="1" ht="17.25" customHeight="1"/>
    <row r="48388" customFormat="1" ht="17.25" customHeight="1"/>
    <row r="48389" customFormat="1" ht="17.25" customHeight="1"/>
    <row r="48390" customFormat="1" ht="17.25" customHeight="1"/>
    <row r="48391" customFormat="1" ht="17.25" customHeight="1"/>
    <row r="48392" customFormat="1" ht="17.25" customHeight="1"/>
    <row r="48393" customFormat="1" ht="17.25" customHeight="1"/>
    <row r="48394" customFormat="1" ht="17.25" customHeight="1"/>
    <row r="48395" customFormat="1" ht="17.25" customHeight="1"/>
    <row r="48396" customFormat="1" ht="17.25" customHeight="1"/>
    <row r="48397" customFormat="1" ht="17.25" customHeight="1"/>
    <row r="48398" customFormat="1" ht="17.25" customHeight="1"/>
    <row r="48399" customFormat="1" ht="17.25" customHeight="1"/>
    <row r="48400" customFormat="1" ht="17.25" customHeight="1"/>
    <row r="48401" customFormat="1" ht="17.25" customHeight="1"/>
    <row r="48402" customFormat="1" ht="17.25" customHeight="1"/>
    <row r="48403" customFormat="1" ht="17.25" customHeight="1"/>
    <row r="48404" customFormat="1" ht="17.25" customHeight="1"/>
    <row r="48405" customFormat="1" ht="17.25" customHeight="1"/>
    <row r="48406" customFormat="1" ht="17.25" customHeight="1"/>
    <row r="48407" customFormat="1" ht="17.25" customHeight="1"/>
    <row r="48408" customFormat="1" ht="17.25" customHeight="1"/>
    <row r="48409" customFormat="1" ht="17.25" customHeight="1"/>
    <row r="48410" customFormat="1" ht="17.25" customHeight="1"/>
    <row r="48411" customFormat="1" ht="17.25" customHeight="1"/>
    <row r="48412" customFormat="1" ht="17.25" customHeight="1"/>
    <row r="48413" customFormat="1" ht="17.25" customHeight="1"/>
    <row r="48414" customFormat="1" ht="17.25" customHeight="1"/>
    <row r="48415" customFormat="1" ht="17.25" customHeight="1"/>
    <row r="48416" customFormat="1" ht="17.25" customHeight="1"/>
    <row r="48417" customFormat="1" ht="17.25" customHeight="1"/>
    <row r="48418" customFormat="1" ht="17.25" customHeight="1"/>
    <row r="48419" customFormat="1" ht="17.25" customHeight="1"/>
    <row r="48420" customFormat="1" ht="17.25" customHeight="1"/>
    <row r="48421" customFormat="1" ht="17.25" customHeight="1"/>
    <row r="48422" customFormat="1" ht="17.25" customHeight="1"/>
    <row r="48423" customFormat="1" ht="17.25" customHeight="1"/>
    <row r="48424" customFormat="1" ht="17.25" customHeight="1"/>
    <row r="48425" customFormat="1" ht="17.25" customHeight="1"/>
    <row r="48426" customFormat="1" ht="17.25" customHeight="1"/>
    <row r="48427" customFormat="1" ht="17.25" customHeight="1"/>
    <row r="48428" customFormat="1" ht="17.25" customHeight="1"/>
    <row r="48429" customFormat="1" ht="17.25" customHeight="1"/>
    <row r="48430" customFormat="1" ht="17.25" customHeight="1"/>
    <row r="48431" customFormat="1" ht="17.25" customHeight="1"/>
    <row r="48432" customFormat="1" ht="17.25" customHeight="1"/>
    <row r="48433" customFormat="1" ht="17.25" customHeight="1"/>
    <row r="48434" customFormat="1" ht="17.25" customHeight="1"/>
    <row r="48435" customFormat="1" ht="17.25" customHeight="1"/>
    <row r="48436" customFormat="1" ht="17.25" customHeight="1"/>
    <row r="48437" customFormat="1" ht="17.25" customHeight="1"/>
    <row r="48438" customFormat="1" ht="17.25" customHeight="1"/>
    <row r="48439" customFormat="1" ht="17.25" customHeight="1"/>
    <row r="48440" customFormat="1" ht="17.25" customHeight="1"/>
    <row r="48441" customFormat="1" ht="17.25" customHeight="1"/>
    <row r="48442" customFormat="1" ht="17.25" customHeight="1"/>
    <row r="48443" customFormat="1" ht="17.25" customHeight="1"/>
    <row r="48444" customFormat="1" ht="17.25" customHeight="1"/>
    <row r="48445" customFormat="1" ht="17.25" customHeight="1"/>
    <row r="48446" customFormat="1" ht="17.25" customHeight="1"/>
    <row r="48447" customFormat="1" ht="17.25" customHeight="1"/>
    <row r="48448" customFormat="1" ht="17.25" customHeight="1"/>
    <row r="48449" customFormat="1" ht="17.25" customHeight="1"/>
    <row r="48450" customFormat="1" ht="17.25" customHeight="1"/>
    <row r="48451" customFormat="1" ht="17.25" customHeight="1"/>
    <row r="48452" customFormat="1" ht="17.25" customHeight="1"/>
    <row r="48453" customFormat="1" ht="17.25" customHeight="1"/>
    <row r="48454" customFormat="1" ht="17.25" customHeight="1"/>
    <row r="48455" customFormat="1" ht="17.25" customHeight="1"/>
    <row r="48456" customFormat="1" ht="17.25" customHeight="1"/>
    <row r="48457" customFormat="1" ht="17.25" customHeight="1"/>
    <row r="48458" customFormat="1" ht="17.25" customHeight="1"/>
    <row r="48459" customFormat="1" ht="17.25" customHeight="1"/>
    <row r="48460" customFormat="1" ht="17.25" customHeight="1"/>
    <row r="48461" customFormat="1" ht="17.25" customHeight="1"/>
    <row r="48462" customFormat="1" ht="17.25" customHeight="1"/>
    <row r="48463" customFormat="1" ht="17.25" customHeight="1"/>
    <row r="48464" customFormat="1" ht="17.25" customHeight="1"/>
    <row r="48465" customFormat="1" ht="17.25" customHeight="1"/>
    <row r="48466" customFormat="1" ht="17.25" customHeight="1"/>
    <row r="48467" customFormat="1" ht="17.25" customHeight="1"/>
    <row r="48468" customFormat="1" ht="17.25" customHeight="1"/>
    <row r="48469" customFormat="1" ht="17.25" customHeight="1"/>
    <row r="48470" customFormat="1" ht="17.25" customHeight="1"/>
    <row r="48471" customFormat="1" ht="17.25" customHeight="1"/>
    <row r="48472" customFormat="1" ht="17.25" customHeight="1"/>
    <row r="48473" customFormat="1" ht="17.25" customHeight="1"/>
    <row r="48474" customFormat="1" ht="17.25" customHeight="1"/>
    <row r="48475" customFormat="1" ht="17.25" customHeight="1"/>
    <row r="48476" customFormat="1" ht="17.25" customHeight="1"/>
    <row r="48477" customFormat="1" ht="17.25" customHeight="1"/>
    <row r="48478" customFormat="1" ht="17.25" customHeight="1"/>
    <row r="48479" customFormat="1" ht="17.25" customHeight="1"/>
    <row r="48480" customFormat="1" ht="17.25" customHeight="1"/>
    <row r="48481" customFormat="1" ht="17.25" customHeight="1"/>
    <row r="48482" customFormat="1" ht="17.25" customHeight="1"/>
    <row r="48483" customFormat="1" ht="17.25" customHeight="1"/>
    <row r="48484" customFormat="1" ht="17.25" customHeight="1"/>
    <row r="48485" customFormat="1" ht="17.25" customHeight="1"/>
    <row r="48486" customFormat="1" ht="17.25" customHeight="1"/>
    <row r="48487" customFormat="1" ht="17.25" customHeight="1"/>
    <row r="48488" customFormat="1" ht="17.25" customHeight="1"/>
    <row r="48489" customFormat="1" ht="17.25" customHeight="1"/>
    <row r="48490" customFormat="1" ht="17.25" customHeight="1"/>
    <row r="48491" customFormat="1" ht="17.25" customHeight="1"/>
    <row r="48492" customFormat="1" ht="17.25" customHeight="1"/>
    <row r="48493" customFormat="1" ht="17.25" customHeight="1"/>
    <row r="48494" customFormat="1" ht="17.25" customHeight="1"/>
    <row r="48495" customFormat="1" ht="17.25" customHeight="1"/>
    <row r="48496" customFormat="1" ht="17.25" customHeight="1"/>
    <row r="48497" customFormat="1" ht="17.25" customHeight="1"/>
    <row r="48498" customFormat="1" ht="17.25" customHeight="1"/>
    <row r="48499" customFormat="1" ht="17.25" customHeight="1"/>
    <row r="48500" customFormat="1" ht="17.25" customHeight="1"/>
    <row r="48501" customFormat="1" ht="17.25" customHeight="1"/>
    <row r="48502" customFormat="1" ht="17.25" customHeight="1"/>
    <row r="48503" customFormat="1" ht="17.25" customHeight="1"/>
    <row r="48504" customFormat="1" ht="17.25" customHeight="1"/>
    <row r="48505" customFormat="1" ht="17.25" customHeight="1"/>
    <row r="48506" customFormat="1" ht="17.25" customHeight="1"/>
    <row r="48507" customFormat="1" ht="17.25" customHeight="1"/>
    <row r="48508" customFormat="1" ht="17.25" customHeight="1"/>
    <row r="48509" customFormat="1" ht="17.25" customHeight="1"/>
    <row r="48510" customFormat="1" ht="17.25" customHeight="1"/>
    <row r="48511" customFormat="1" ht="17.25" customHeight="1"/>
    <row r="48512" customFormat="1" ht="17.25" customHeight="1"/>
    <row r="48513" customFormat="1" ht="17.25" customHeight="1"/>
    <row r="48514" customFormat="1" ht="17.25" customHeight="1"/>
    <row r="48515" customFormat="1" ht="17.25" customHeight="1"/>
    <row r="48516" customFormat="1" ht="17.25" customHeight="1"/>
    <row r="48517" customFormat="1" ht="17.25" customHeight="1"/>
    <row r="48518" customFormat="1" ht="17.25" customHeight="1"/>
    <row r="48519" customFormat="1" ht="17.25" customHeight="1"/>
    <row r="48520" customFormat="1" ht="17.25" customHeight="1"/>
    <row r="48521" customFormat="1" ht="17.25" customHeight="1"/>
    <row r="48522" customFormat="1" ht="17.25" customHeight="1"/>
    <row r="48523" customFormat="1" ht="17.25" customHeight="1"/>
    <row r="48524" customFormat="1" ht="17.25" customHeight="1"/>
    <row r="48525" customFormat="1" ht="17.25" customHeight="1"/>
    <row r="48526" customFormat="1" ht="17.25" customHeight="1"/>
    <row r="48527" customFormat="1" ht="17.25" customHeight="1"/>
    <row r="48528" customFormat="1" ht="17.25" customHeight="1"/>
    <row r="48529" customFormat="1" ht="17.25" customHeight="1"/>
    <row r="48530" customFormat="1" ht="17.25" customHeight="1"/>
    <row r="48531" customFormat="1" ht="17.25" customHeight="1"/>
    <row r="48532" customFormat="1" ht="17.25" customHeight="1"/>
    <row r="48533" customFormat="1" ht="17.25" customHeight="1"/>
    <row r="48534" customFormat="1" ht="17.25" customHeight="1"/>
    <row r="48535" customFormat="1" ht="17.25" customHeight="1"/>
    <row r="48536" customFormat="1" ht="17.25" customHeight="1"/>
    <row r="48537" customFormat="1" ht="17.25" customHeight="1"/>
    <row r="48538" customFormat="1" ht="17.25" customHeight="1"/>
    <row r="48539" customFormat="1" ht="17.25" customHeight="1"/>
    <row r="48540" customFormat="1" ht="17.25" customHeight="1"/>
    <row r="48541" customFormat="1" ht="17.25" customHeight="1"/>
    <row r="48542" customFormat="1" ht="17.25" customHeight="1"/>
    <row r="48543" customFormat="1" ht="17.25" customHeight="1"/>
    <row r="48544" customFormat="1" ht="17.25" customHeight="1"/>
    <row r="48545" customFormat="1" ht="17.25" customHeight="1"/>
    <row r="48546" customFormat="1" ht="17.25" customHeight="1"/>
    <row r="48547" customFormat="1" ht="17.25" customHeight="1"/>
    <row r="48548" customFormat="1" ht="17.25" customHeight="1"/>
    <row r="48549" customFormat="1" ht="17.25" customHeight="1"/>
    <row r="48550" customFormat="1" ht="17.25" customHeight="1"/>
    <row r="48551" customFormat="1" ht="17.25" customHeight="1"/>
    <row r="48552" customFormat="1" ht="17.25" customHeight="1"/>
    <row r="48553" customFormat="1" ht="17.25" customHeight="1"/>
    <row r="48554" customFormat="1" ht="17.25" customHeight="1"/>
    <row r="48555" customFormat="1" ht="17.25" customHeight="1"/>
    <row r="48556" customFormat="1" ht="17.25" customHeight="1"/>
    <row r="48557" customFormat="1" ht="17.25" customHeight="1"/>
    <row r="48558" customFormat="1" ht="17.25" customHeight="1"/>
    <row r="48559" customFormat="1" ht="17.25" customHeight="1"/>
    <row r="48560" customFormat="1" ht="17.25" customHeight="1"/>
    <row r="48561" customFormat="1" ht="17.25" customHeight="1"/>
    <row r="48562" customFormat="1" ht="17.25" customHeight="1"/>
    <row r="48563" customFormat="1" ht="17.25" customHeight="1"/>
    <row r="48564" customFormat="1" ht="17.25" customHeight="1"/>
    <row r="48565" customFormat="1" ht="17.25" customHeight="1"/>
    <row r="48566" customFormat="1" ht="17.25" customHeight="1"/>
    <row r="48567" customFormat="1" ht="17.25" customHeight="1"/>
    <row r="48568" customFormat="1" ht="17.25" customHeight="1"/>
    <row r="48569" customFormat="1" ht="17.25" customHeight="1"/>
    <row r="48570" customFormat="1" ht="17.25" customHeight="1"/>
    <row r="48571" customFormat="1" ht="17.25" customHeight="1"/>
    <row r="48572" customFormat="1" ht="17.25" customHeight="1"/>
    <row r="48573" customFormat="1" ht="17.25" customHeight="1"/>
    <row r="48574" customFormat="1" ht="17.25" customHeight="1"/>
    <row r="48575" customFormat="1" ht="17.25" customHeight="1"/>
    <row r="48576" customFormat="1" ht="17.25" customHeight="1"/>
    <row r="48577" customFormat="1" ht="17.25" customHeight="1"/>
    <row r="48578" customFormat="1" ht="17.25" customHeight="1"/>
    <row r="48579" customFormat="1" ht="17.25" customHeight="1"/>
    <row r="48580" customFormat="1" ht="17.25" customHeight="1"/>
    <row r="48581" customFormat="1" ht="17.25" customHeight="1"/>
    <row r="48582" customFormat="1" ht="17.25" customHeight="1"/>
    <row r="48583" customFormat="1" ht="17.25" customHeight="1"/>
    <row r="48584" customFormat="1" ht="17.25" customHeight="1"/>
    <row r="48585" customFormat="1" ht="17.25" customHeight="1"/>
    <row r="48586" customFormat="1" ht="17.25" customHeight="1"/>
    <row r="48587" customFormat="1" ht="17.25" customHeight="1"/>
    <row r="48588" customFormat="1" ht="17.25" customHeight="1"/>
    <row r="48589" customFormat="1" ht="17.25" customHeight="1"/>
    <row r="48590" customFormat="1" ht="17.25" customHeight="1"/>
    <row r="48591" customFormat="1" ht="17.25" customHeight="1"/>
    <row r="48592" customFormat="1" ht="17.25" customHeight="1"/>
    <row r="48593" customFormat="1" ht="17.25" customHeight="1"/>
    <row r="48594" customFormat="1" ht="17.25" customHeight="1"/>
    <row r="48595" customFormat="1" ht="17.25" customHeight="1"/>
    <row r="48596" customFormat="1" ht="17.25" customHeight="1"/>
    <row r="48597" customFormat="1" ht="17.25" customHeight="1"/>
    <row r="48598" customFormat="1" ht="17.25" customHeight="1"/>
    <row r="48599" customFormat="1" ht="17.25" customHeight="1"/>
    <row r="48600" customFormat="1" ht="17.25" customHeight="1"/>
    <row r="48601" customFormat="1" ht="17.25" customHeight="1"/>
    <row r="48602" customFormat="1" ht="17.25" customHeight="1"/>
    <row r="48603" customFormat="1" ht="17.25" customHeight="1"/>
    <row r="48604" customFormat="1" ht="17.25" customHeight="1"/>
    <row r="48605" customFormat="1" ht="17.25" customHeight="1"/>
    <row r="48606" customFormat="1" ht="17.25" customHeight="1"/>
    <row r="48607" customFormat="1" ht="17.25" customHeight="1"/>
    <row r="48608" customFormat="1" ht="17.25" customHeight="1"/>
    <row r="48609" customFormat="1" ht="17.25" customHeight="1"/>
    <row r="48610" customFormat="1" ht="17.25" customHeight="1"/>
    <row r="48611" customFormat="1" ht="17.25" customHeight="1"/>
    <row r="48612" customFormat="1" ht="17.25" customHeight="1"/>
    <row r="48613" customFormat="1" ht="17.25" customHeight="1"/>
    <row r="48614" customFormat="1" ht="17.25" customHeight="1"/>
    <row r="48615" customFormat="1" ht="17.25" customHeight="1"/>
    <row r="48616" customFormat="1" ht="17.25" customHeight="1"/>
    <row r="48617" customFormat="1" ht="17.25" customHeight="1"/>
    <row r="48618" customFormat="1" ht="17.25" customHeight="1"/>
    <row r="48619" customFormat="1" ht="17.25" customHeight="1"/>
    <row r="48620" customFormat="1" ht="17.25" customHeight="1"/>
    <row r="48621" customFormat="1" ht="17.25" customHeight="1"/>
    <row r="48622" customFormat="1" ht="17.25" customHeight="1"/>
    <row r="48623" customFormat="1" ht="17.25" customHeight="1"/>
    <row r="48624" customFormat="1" ht="17.25" customHeight="1"/>
    <row r="48625" customFormat="1" ht="17.25" customHeight="1"/>
    <row r="48626" customFormat="1" ht="17.25" customHeight="1"/>
    <row r="48627" customFormat="1" ht="17.25" customHeight="1"/>
    <row r="48628" customFormat="1" ht="17.25" customHeight="1"/>
    <row r="48629" customFormat="1" ht="17.25" customHeight="1"/>
    <row r="48630" customFormat="1" ht="17.25" customHeight="1"/>
    <row r="48631" customFormat="1" ht="17.25" customHeight="1"/>
    <row r="48632" customFormat="1" ht="17.25" customHeight="1"/>
    <row r="48633" customFormat="1" ht="17.25" customHeight="1"/>
    <row r="48634" customFormat="1" ht="17.25" customHeight="1"/>
    <row r="48635" customFormat="1" ht="17.25" customHeight="1"/>
    <row r="48636" customFormat="1" ht="17.25" customHeight="1"/>
    <row r="48637" customFormat="1" ht="17.25" customHeight="1"/>
    <row r="48638" customFormat="1" ht="17.25" customHeight="1"/>
    <row r="48639" customFormat="1" ht="17.25" customHeight="1"/>
    <row r="48640" customFormat="1" ht="17.25" customHeight="1"/>
    <row r="48641" customFormat="1" ht="17.25" customHeight="1"/>
    <row r="48642" customFormat="1" ht="17.25" customHeight="1"/>
    <row r="48643" customFormat="1" ht="17.25" customHeight="1"/>
    <row r="48644" customFormat="1" ht="17.25" customHeight="1"/>
    <row r="48645" customFormat="1" ht="17.25" customHeight="1"/>
    <row r="48646" customFormat="1" ht="17.25" customHeight="1"/>
    <row r="48647" customFormat="1" ht="17.25" customHeight="1"/>
    <row r="48648" customFormat="1" ht="17.25" customHeight="1"/>
    <row r="48649" customFormat="1" ht="17.25" customHeight="1"/>
    <row r="48650" customFormat="1" ht="17.25" customHeight="1"/>
    <row r="48651" customFormat="1" ht="17.25" customHeight="1"/>
    <row r="48652" customFormat="1" ht="17.25" customHeight="1"/>
    <row r="48653" customFormat="1" ht="17.25" customHeight="1"/>
    <row r="48654" customFormat="1" ht="17.25" customHeight="1"/>
    <row r="48655" customFormat="1" ht="17.25" customHeight="1"/>
    <row r="48656" customFormat="1" ht="17.25" customHeight="1"/>
    <row r="48657" customFormat="1" ht="17.25" customHeight="1"/>
    <row r="48658" customFormat="1" ht="17.25" customHeight="1"/>
    <row r="48659" customFormat="1" ht="17.25" customHeight="1"/>
    <row r="48660" customFormat="1" ht="17.25" customHeight="1"/>
    <row r="48661" customFormat="1" ht="17.25" customHeight="1"/>
    <row r="48662" customFormat="1" ht="17.25" customHeight="1"/>
    <row r="48663" customFormat="1" ht="17.25" customHeight="1"/>
    <row r="48664" customFormat="1" ht="17.25" customHeight="1"/>
    <row r="48665" customFormat="1" ht="17.25" customHeight="1"/>
    <row r="48666" customFormat="1" ht="17.25" customHeight="1"/>
    <row r="48667" customFormat="1" ht="17.25" customHeight="1"/>
    <row r="48668" customFormat="1" ht="17.25" customHeight="1"/>
    <row r="48669" customFormat="1" ht="17.25" customHeight="1"/>
    <row r="48670" customFormat="1" ht="17.25" customHeight="1"/>
    <row r="48671" customFormat="1" ht="17.25" customHeight="1"/>
    <row r="48672" customFormat="1" ht="17.25" customHeight="1"/>
    <row r="48673" customFormat="1" ht="17.25" customHeight="1"/>
    <row r="48674" customFormat="1" ht="17.25" customHeight="1"/>
    <row r="48675" customFormat="1" ht="17.25" customHeight="1"/>
    <row r="48676" customFormat="1" ht="17.25" customHeight="1"/>
    <row r="48677" customFormat="1" ht="17.25" customHeight="1"/>
    <row r="48678" customFormat="1" ht="17.25" customHeight="1"/>
    <row r="48679" customFormat="1" ht="17.25" customHeight="1"/>
    <row r="48680" customFormat="1" ht="17.25" customHeight="1"/>
    <row r="48681" customFormat="1" ht="17.25" customHeight="1"/>
    <row r="48682" customFormat="1" ht="17.25" customHeight="1"/>
    <row r="48683" customFormat="1" ht="17.25" customHeight="1"/>
    <row r="48684" customFormat="1" ht="17.25" customHeight="1"/>
    <row r="48685" customFormat="1" ht="17.25" customHeight="1"/>
    <row r="48686" customFormat="1" ht="17.25" customHeight="1"/>
    <row r="48687" customFormat="1" ht="17.25" customHeight="1"/>
    <row r="48688" customFormat="1" ht="17.25" customHeight="1"/>
    <row r="48689" customFormat="1" ht="17.25" customHeight="1"/>
    <row r="48690" customFormat="1" ht="17.25" customHeight="1"/>
    <row r="48691" customFormat="1" ht="17.25" customHeight="1"/>
    <row r="48692" customFormat="1" ht="17.25" customHeight="1"/>
    <row r="48693" customFormat="1" ht="17.25" customHeight="1"/>
    <row r="48694" customFormat="1" ht="17.25" customHeight="1"/>
    <row r="48695" customFormat="1" ht="17.25" customHeight="1"/>
    <row r="48696" customFormat="1" ht="17.25" customHeight="1"/>
    <row r="48697" customFormat="1" ht="17.25" customHeight="1"/>
    <row r="48698" customFormat="1" ht="17.25" customHeight="1"/>
    <row r="48699" customFormat="1" ht="17.25" customHeight="1"/>
    <row r="48700" customFormat="1" ht="17.25" customHeight="1"/>
    <row r="48701" customFormat="1" ht="17.25" customHeight="1"/>
    <row r="48702" customFormat="1" ht="17.25" customHeight="1"/>
    <row r="48703" customFormat="1" ht="17.25" customHeight="1"/>
    <row r="48704" customFormat="1" ht="17.25" customHeight="1"/>
    <row r="48705" customFormat="1" ht="17.25" customHeight="1"/>
    <row r="48706" customFormat="1" ht="17.25" customHeight="1"/>
    <row r="48707" customFormat="1" ht="17.25" customHeight="1"/>
    <row r="48708" customFormat="1" ht="17.25" customHeight="1"/>
    <row r="48709" customFormat="1" ht="17.25" customHeight="1"/>
    <row r="48710" customFormat="1" ht="17.25" customHeight="1"/>
    <row r="48711" customFormat="1" ht="17.25" customHeight="1"/>
    <row r="48712" customFormat="1" ht="17.25" customHeight="1"/>
    <row r="48713" customFormat="1" ht="17.25" customHeight="1"/>
    <row r="48714" customFormat="1" ht="17.25" customHeight="1"/>
    <row r="48715" customFormat="1" ht="17.25" customHeight="1"/>
    <row r="48716" customFormat="1" ht="17.25" customHeight="1"/>
    <row r="48717" customFormat="1" ht="17.25" customHeight="1"/>
    <row r="48718" customFormat="1" ht="17.25" customHeight="1"/>
    <row r="48719" customFormat="1" ht="17.25" customHeight="1"/>
    <row r="48720" customFormat="1" ht="17.25" customHeight="1"/>
    <row r="48721" customFormat="1" ht="17.25" customHeight="1"/>
    <row r="48722" customFormat="1" ht="17.25" customHeight="1"/>
    <row r="48723" customFormat="1" ht="17.25" customHeight="1"/>
    <row r="48724" customFormat="1" ht="17.25" customHeight="1"/>
    <row r="48725" customFormat="1" ht="17.25" customHeight="1"/>
    <row r="48726" customFormat="1" ht="17.25" customHeight="1"/>
    <row r="48727" customFormat="1" ht="17.25" customHeight="1"/>
    <row r="48728" customFormat="1" ht="17.25" customHeight="1"/>
    <row r="48729" customFormat="1" ht="17.25" customHeight="1"/>
    <row r="48730" customFormat="1" ht="17.25" customHeight="1"/>
    <row r="48731" customFormat="1" ht="17.25" customHeight="1"/>
    <row r="48732" customFormat="1" ht="17.25" customHeight="1"/>
    <row r="48733" customFormat="1" ht="17.25" customHeight="1"/>
    <row r="48734" customFormat="1" ht="17.25" customHeight="1"/>
    <row r="48735" customFormat="1" ht="17.25" customHeight="1"/>
    <row r="48736" customFormat="1" ht="17.25" customHeight="1"/>
    <row r="48737" customFormat="1" ht="17.25" customHeight="1"/>
    <row r="48738" customFormat="1" ht="17.25" customHeight="1"/>
    <row r="48739" customFormat="1" ht="17.25" customHeight="1"/>
    <row r="48740" customFormat="1" ht="17.25" customHeight="1"/>
    <row r="48741" customFormat="1" ht="17.25" customHeight="1"/>
    <row r="48742" customFormat="1" ht="17.25" customHeight="1"/>
    <row r="48743" customFormat="1" ht="17.25" customHeight="1"/>
    <row r="48744" customFormat="1" ht="17.25" customHeight="1"/>
    <row r="48745" customFormat="1" ht="17.25" customHeight="1"/>
    <row r="48746" customFormat="1" ht="17.25" customHeight="1"/>
    <row r="48747" customFormat="1" ht="17.25" customHeight="1"/>
    <row r="48748" customFormat="1" ht="17.25" customHeight="1"/>
    <row r="48749" customFormat="1" ht="17.25" customHeight="1"/>
    <row r="48750" customFormat="1" ht="17.25" customHeight="1"/>
    <row r="48751" customFormat="1" ht="17.25" customHeight="1"/>
    <row r="48752" customFormat="1" ht="17.25" customHeight="1"/>
    <row r="48753" customFormat="1" ht="17.25" customHeight="1"/>
    <row r="48754" customFormat="1" ht="17.25" customHeight="1"/>
    <row r="48755" customFormat="1" ht="17.25" customHeight="1"/>
    <row r="48756" customFormat="1" ht="17.25" customHeight="1"/>
    <row r="48757" customFormat="1" ht="17.25" customHeight="1"/>
    <row r="48758" customFormat="1" ht="17.25" customHeight="1"/>
    <row r="48759" customFormat="1" ht="17.25" customHeight="1"/>
    <row r="48760" customFormat="1" ht="17.25" customHeight="1"/>
    <row r="48761" customFormat="1" ht="17.25" customHeight="1"/>
    <row r="48762" customFormat="1" ht="17.25" customHeight="1"/>
    <row r="48763" customFormat="1" ht="17.25" customHeight="1"/>
    <row r="48764" customFormat="1" ht="17.25" customHeight="1"/>
    <row r="48765" customFormat="1" ht="17.25" customHeight="1"/>
    <row r="48766" customFormat="1" ht="17.25" customHeight="1"/>
    <row r="48767" customFormat="1" ht="17.25" customHeight="1"/>
    <row r="48768" customFormat="1" ht="17.25" customHeight="1"/>
    <row r="48769" customFormat="1" ht="17.25" customHeight="1"/>
    <row r="48770" customFormat="1" ht="17.25" customHeight="1"/>
    <row r="48771" customFormat="1" ht="17.25" customHeight="1"/>
    <row r="48772" customFormat="1" ht="17.25" customHeight="1"/>
    <row r="48773" customFormat="1" ht="17.25" customHeight="1"/>
    <row r="48774" customFormat="1" ht="17.25" customHeight="1"/>
    <row r="48775" customFormat="1" ht="17.25" customHeight="1"/>
    <row r="48776" customFormat="1" ht="17.25" customHeight="1"/>
    <row r="48777" customFormat="1" ht="17.25" customHeight="1"/>
    <row r="48778" customFormat="1" ht="17.25" customHeight="1"/>
    <row r="48779" customFormat="1" ht="17.25" customHeight="1"/>
    <row r="48780" customFormat="1" ht="17.25" customHeight="1"/>
    <row r="48781" customFormat="1" ht="17.25" customHeight="1"/>
    <row r="48782" customFormat="1" ht="17.25" customHeight="1"/>
    <row r="48783" customFormat="1" ht="17.25" customHeight="1"/>
    <row r="48784" customFormat="1" ht="17.25" customHeight="1"/>
    <row r="48785" customFormat="1" ht="17.25" customHeight="1"/>
    <row r="48786" customFormat="1" ht="17.25" customHeight="1"/>
    <row r="48787" customFormat="1" ht="17.25" customHeight="1"/>
    <row r="48788" customFormat="1" ht="17.25" customHeight="1"/>
    <row r="48789" customFormat="1" ht="17.25" customHeight="1"/>
    <row r="48790" customFormat="1" ht="17.25" customHeight="1"/>
    <row r="48791" customFormat="1" ht="17.25" customHeight="1"/>
    <row r="48792" customFormat="1" ht="17.25" customHeight="1"/>
    <row r="48793" customFormat="1" ht="17.25" customHeight="1"/>
    <row r="48794" customFormat="1" ht="17.25" customHeight="1"/>
    <row r="48795" customFormat="1" ht="17.25" customHeight="1"/>
    <row r="48796" customFormat="1" ht="17.25" customHeight="1"/>
    <row r="48797" customFormat="1" ht="17.25" customHeight="1"/>
    <row r="48798" customFormat="1" ht="17.25" customHeight="1"/>
    <row r="48799" customFormat="1" ht="17.25" customHeight="1"/>
    <row r="48800" customFormat="1" ht="17.25" customHeight="1"/>
    <row r="48801" customFormat="1" ht="17.25" customHeight="1"/>
    <row r="48802" customFormat="1" ht="17.25" customHeight="1"/>
    <row r="48803" customFormat="1" ht="17.25" customHeight="1"/>
    <row r="48804" customFormat="1" ht="17.25" customHeight="1"/>
    <row r="48805" customFormat="1" ht="17.25" customHeight="1"/>
    <row r="48806" customFormat="1" ht="17.25" customHeight="1"/>
    <row r="48807" customFormat="1" ht="17.25" customHeight="1"/>
    <row r="48808" customFormat="1" ht="17.25" customHeight="1"/>
    <row r="48809" customFormat="1" ht="17.25" customHeight="1"/>
    <row r="48810" customFormat="1" ht="17.25" customHeight="1"/>
    <row r="48811" customFormat="1" ht="17.25" customHeight="1"/>
    <row r="48812" customFormat="1" ht="17.25" customHeight="1"/>
    <row r="48813" customFormat="1" ht="17.25" customHeight="1"/>
    <row r="48814" customFormat="1" ht="17.25" customHeight="1"/>
    <row r="48815" customFormat="1" ht="17.25" customHeight="1"/>
    <row r="48816" customFormat="1" ht="17.25" customHeight="1"/>
    <row r="48817" customFormat="1" ht="17.25" customHeight="1"/>
    <row r="48818" customFormat="1" ht="17.25" customHeight="1"/>
    <row r="48819" customFormat="1" ht="17.25" customHeight="1"/>
    <row r="48820" customFormat="1" ht="17.25" customHeight="1"/>
    <row r="48821" customFormat="1" ht="17.25" customHeight="1"/>
    <row r="48822" customFormat="1" ht="17.25" customHeight="1"/>
    <row r="48823" customFormat="1" ht="17.25" customHeight="1"/>
    <row r="48824" customFormat="1" ht="17.25" customHeight="1"/>
    <row r="48825" customFormat="1" ht="17.25" customHeight="1"/>
    <row r="48826" customFormat="1" ht="17.25" customHeight="1"/>
    <row r="48827" customFormat="1" ht="17.25" customHeight="1"/>
    <row r="48828" customFormat="1" ht="17.25" customHeight="1"/>
    <row r="48829" customFormat="1" ht="17.25" customHeight="1"/>
    <row r="48830" customFormat="1" ht="17.25" customHeight="1"/>
    <row r="48831" customFormat="1" ht="17.25" customHeight="1"/>
    <row r="48832" customFormat="1" ht="17.25" customHeight="1"/>
    <row r="48833" customFormat="1" ht="17.25" customHeight="1"/>
    <row r="48834" customFormat="1" ht="17.25" customHeight="1"/>
    <row r="48835" customFormat="1" ht="17.25" customHeight="1"/>
    <row r="48836" customFormat="1" ht="17.25" customHeight="1"/>
    <row r="48837" customFormat="1" ht="17.25" customHeight="1"/>
    <row r="48838" customFormat="1" ht="17.25" customHeight="1"/>
    <row r="48839" customFormat="1" ht="17.25" customHeight="1"/>
    <row r="48840" customFormat="1" ht="17.25" customHeight="1"/>
    <row r="48841" customFormat="1" ht="17.25" customHeight="1"/>
    <row r="48842" customFormat="1" ht="17.25" customHeight="1"/>
    <row r="48843" customFormat="1" ht="17.25" customHeight="1"/>
    <row r="48844" customFormat="1" ht="17.25" customHeight="1"/>
    <row r="48845" customFormat="1" ht="17.25" customHeight="1"/>
    <row r="48846" customFormat="1" ht="17.25" customHeight="1"/>
    <row r="48847" customFormat="1" ht="17.25" customHeight="1"/>
    <row r="48848" customFormat="1" ht="17.25" customHeight="1"/>
    <row r="48849" customFormat="1" ht="17.25" customHeight="1"/>
    <row r="48850" customFormat="1" ht="17.25" customHeight="1"/>
    <row r="48851" customFormat="1" ht="17.25" customHeight="1"/>
    <row r="48852" customFormat="1" ht="17.25" customHeight="1"/>
    <row r="48853" customFormat="1" ht="17.25" customHeight="1"/>
    <row r="48854" customFormat="1" ht="17.25" customHeight="1"/>
    <row r="48855" customFormat="1" ht="17.25" customHeight="1"/>
    <row r="48856" customFormat="1" ht="17.25" customHeight="1"/>
    <row r="48857" customFormat="1" ht="17.25" customHeight="1"/>
    <row r="48858" customFormat="1" ht="17.25" customHeight="1"/>
    <row r="48859" customFormat="1" ht="17.25" customHeight="1"/>
    <row r="48860" customFormat="1" ht="17.25" customHeight="1"/>
    <row r="48861" customFormat="1" ht="17.25" customHeight="1"/>
    <row r="48862" customFormat="1" ht="17.25" customHeight="1"/>
    <row r="48863" customFormat="1" ht="17.25" customHeight="1"/>
    <row r="48864" customFormat="1" ht="17.25" customHeight="1"/>
    <row r="48865" customFormat="1" ht="17.25" customHeight="1"/>
    <row r="48866" customFormat="1" ht="17.25" customHeight="1"/>
    <row r="48867" customFormat="1" ht="17.25" customHeight="1"/>
    <row r="48868" customFormat="1" ht="17.25" customHeight="1"/>
    <row r="48869" customFormat="1" ht="17.25" customHeight="1"/>
    <row r="48870" customFormat="1" ht="17.25" customHeight="1"/>
    <row r="48871" customFormat="1" ht="17.25" customHeight="1"/>
    <row r="48872" customFormat="1" ht="17.25" customHeight="1"/>
    <row r="48873" customFormat="1" ht="17.25" customHeight="1"/>
    <row r="48874" customFormat="1" ht="17.25" customHeight="1"/>
    <row r="48875" customFormat="1" ht="17.25" customHeight="1"/>
    <row r="48876" customFormat="1" ht="17.25" customHeight="1"/>
    <row r="48877" customFormat="1" ht="17.25" customHeight="1"/>
    <row r="48878" customFormat="1" ht="17.25" customHeight="1"/>
    <row r="48879" customFormat="1" ht="17.25" customHeight="1"/>
    <row r="48880" customFormat="1" ht="17.25" customHeight="1"/>
    <row r="48881" customFormat="1" ht="17.25" customHeight="1"/>
    <row r="48882" customFormat="1" ht="17.25" customHeight="1"/>
    <row r="48883" customFormat="1" ht="17.25" customHeight="1"/>
    <row r="48884" customFormat="1" ht="17.25" customHeight="1"/>
    <row r="48885" customFormat="1" ht="17.25" customHeight="1"/>
    <row r="48886" customFormat="1" ht="17.25" customHeight="1"/>
    <row r="48887" customFormat="1" ht="17.25" customHeight="1"/>
    <row r="48888" customFormat="1" ht="17.25" customHeight="1"/>
    <row r="48889" customFormat="1" ht="17.25" customHeight="1"/>
    <row r="48890" customFormat="1" ht="17.25" customHeight="1"/>
    <row r="48891" customFormat="1" ht="17.25" customHeight="1"/>
    <row r="48892" customFormat="1" ht="17.25" customHeight="1"/>
    <row r="48893" customFormat="1" ht="17.25" customHeight="1"/>
    <row r="48894" customFormat="1" ht="17.25" customHeight="1"/>
    <row r="48895" customFormat="1" ht="17.25" customHeight="1"/>
    <row r="48896" customFormat="1" ht="17.25" customHeight="1"/>
    <row r="48897" customFormat="1" ht="17.25" customHeight="1"/>
    <row r="48898" customFormat="1" ht="17.25" customHeight="1"/>
    <row r="48899" customFormat="1" ht="17.25" customHeight="1"/>
    <row r="48900" customFormat="1" ht="17.25" customHeight="1"/>
    <row r="48901" customFormat="1" ht="17.25" customHeight="1"/>
    <row r="48902" customFormat="1" ht="17.25" customHeight="1"/>
    <row r="48903" customFormat="1" ht="17.25" customHeight="1"/>
    <row r="48904" customFormat="1" ht="17.25" customHeight="1"/>
    <row r="48905" customFormat="1" ht="17.25" customHeight="1"/>
    <row r="48906" customFormat="1" ht="17.25" customHeight="1"/>
    <row r="48907" customFormat="1" ht="17.25" customHeight="1"/>
    <row r="48908" customFormat="1" ht="17.25" customHeight="1"/>
    <row r="48909" customFormat="1" ht="17.25" customHeight="1"/>
    <row r="48910" customFormat="1" ht="17.25" customHeight="1"/>
    <row r="48911" customFormat="1" ht="17.25" customHeight="1"/>
    <row r="48912" customFormat="1" ht="17.25" customHeight="1"/>
    <row r="48913" customFormat="1" ht="17.25" customHeight="1"/>
    <row r="48914" customFormat="1" ht="17.25" customHeight="1"/>
    <row r="48915" customFormat="1" ht="17.25" customHeight="1"/>
    <row r="48916" customFormat="1" ht="17.25" customHeight="1"/>
    <row r="48917" customFormat="1" ht="17.25" customHeight="1"/>
    <row r="48918" customFormat="1" ht="17.25" customHeight="1"/>
    <row r="48919" customFormat="1" ht="17.25" customHeight="1"/>
    <row r="48920" customFormat="1" ht="17.25" customHeight="1"/>
    <row r="48921" customFormat="1" ht="17.25" customHeight="1"/>
    <row r="48922" customFormat="1" ht="17.25" customHeight="1"/>
    <row r="48923" customFormat="1" ht="17.25" customHeight="1"/>
    <row r="48924" customFormat="1" ht="17.25" customHeight="1"/>
    <row r="48925" customFormat="1" ht="17.25" customHeight="1"/>
    <row r="48926" customFormat="1" ht="17.25" customHeight="1"/>
    <row r="48927" customFormat="1" ht="17.25" customHeight="1"/>
    <row r="48928" customFormat="1" ht="17.25" customHeight="1"/>
    <row r="48929" customFormat="1" ht="17.25" customHeight="1"/>
    <row r="48930" customFormat="1" ht="17.25" customHeight="1"/>
    <row r="48931" customFormat="1" ht="17.25" customHeight="1"/>
    <row r="48932" customFormat="1" ht="17.25" customHeight="1"/>
    <row r="48933" customFormat="1" ht="17.25" customHeight="1"/>
    <row r="48934" customFormat="1" ht="17.25" customHeight="1"/>
    <row r="48935" customFormat="1" ht="17.25" customHeight="1"/>
    <row r="48936" customFormat="1" ht="17.25" customHeight="1"/>
    <row r="48937" customFormat="1" ht="17.25" customHeight="1"/>
    <row r="48938" customFormat="1" ht="17.25" customHeight="1"/>
    <row r="48939" customFormat="1" ht="17.25" customHeight="1"/>
    <row r="48940" customFormat="1" ht="17.25" customHeight="1"/>
    <row r="48941" customFormat="1" ht="17.25" customHeight="1"/>
    <row r="48942" customFormat="1" ht="17.25" customHeight="1"/>
    <row r="48943" customFormat="1" ht="17.25" customHeight="1"/>
    <row r="48944" customFormat="1" ht="17.25" customHeight="1"/>
    <row r="48945" customFormat="1" ht="17.25" customHeight="1"/>
    <row r="48946" customFormat="1" ht="17.25" customHeight="1"/>
    <row r="48947" customFormat="1" ht="17.25" customHeight="1"/>
    <row r="48948" customFormat="1" ht="17.25" customHeight="1"/>
    <row r="48949" customFormat="1" ht="17.25" customHeight="1"/>
    <row r="48950" customFormat="1" ht="17.25" customHeight="1"/>
    <row r="48951" customFormat="1" ht="17.25" customHeight="1"/>
    <row r="48952" customFormat="1" ht="17.25" customHeight="1"/>
    <row r="48953" customFormat="1" ht="17.25" customHeight="1"/>
    <row r="48954" customFormat="1" ht="17.25" customHeight="1"/>
    <row r="48955" customFormat="1" ht="17.25" customHeight="1"/>
    <row r="48956" customFormat="1" ht="17.25" customHeight="1"/>
    <row r="48957" customFormat="1" ht="17.25" customHeight="1"/>
    <row r="48958" customFormat="1" ht="17.25" customHeight="1"/>
    <row r="48959" customFormat="1" ht="17.25" customHeight="1"/>
    <row r="48960" customFormat="1" ht="17.25" customHeight="1"/>
    <row r="48961" customFormat="1" ht="17.25" customHeight="1"/>
    <row r="48962" customFormat="1" ht="17.25" customHeight="1"/>
    <row r="48963" customFormat="1" ht="17.25" customHeight="1"/>
    <row r="48964" customFormat="1" ht="17.25" customHeight="1"/>
    <row r="48965" customFormat="1" ht="17.25" customHeight="1"/>
    <row r="48966" customFormat="1" ht="17.25" customHeight="1"/>
    <row r="48967" customFormat="1" ht="17.25" customHeight="1"/>
    <row r="48968" customFormat="1" ht="17.25" customHeight="1"/>
    <row r="48969" customFormat="1" ht="17.25" customHeight="1"/>
    <row r="48970" customFormat="1" ht="17.25" customHeight="1"/>
    <row r="48971" customFormat="1" ht="17.25" customHeight="1"/>
    <row r="48972" customFormat="1" ht="17.25" customHeight="1"/>
    <row r="48973" customFormat="1" ht="17.25" customHeight="1"/>
    <row r="48974" customFormat="1" ht="17.25" customHeight="1"/>
    <row r="48975" customFormat="1" ht="17.25" customHeight="1"/>
    <row r="48976" customFormat="1" ht="17.25" customHeight="1"/>
    <row r="48977" customFormat="1" ht="17.25" customHeight="1"/>
    <row r="48978" customFormat="1" ht="17.25" customHeight="1"/>
    <row r="48979" customFormat="1" ht="17.25" customHeight="1"/>
    <row r="48980" customFormat="1" ht="17.25" customHeight="1"/>
    <row r="48981" customFormat="1" ht="17.25" customHeight="1"/>
    <row r="48982" customFormat="1" ht="17.25" customHeight="1"/>
    <row r="48983" customFormat="1" ht="17.25" customHeight="1"/>
    <row r="48984" customFormat="1" ht="17.25" customHeight="1"/>
    <row r="48985" customFormat="1" ht="17.25" customHeight="1"/>
    <row r="48986" customFormat="1" ht="17.25" customHeight="1"/>
    <row r="48987" customFormat="1" ht="17.25" customHeight="1"/>
    <row r="48988" customFormat="1" ht="17.25" customHeight="1"/>
    <row r="48989" customFormat="1" ht="17.25" customHeight="1"/>
    <row r="48990" customFormat="1" ht="17.25" customHeight="1"/>
    <row r="48991" customFormat="1" ht="17.25" customHeight="1"/>
    <row r="48992" customFormat="1" ht="17.25" customHeight="1"/>
    <row r="48993" customFormat="1" ht="17.25" customHeight="1"/>
    <row r="48994" customFormat="1" ht="17.25" customHeight="1"/>
    <row r="48995" customFormat="1" ht="17.25" customHeight="1"/>
    <row r="48996" customFormat="1" ht="17.25" customHeight="1"/>
    <row r="48997" customFormat="1" ht="17.25" customHeight="1"/>
    <row r="48998" customFormat="1" ht="17.25" customHeight="1"/>
    <row r="48999" customFormat="1" ht="17.25" customHeight="1"/>
    <row r="49000" customFormat="1" ht="17.25" customHeight="1"/>
    <row r="49001" customFormat="1" ht="17.25" customHeight="1"/>
    <row r="49002" customFormat="1" ht="17.25" customHeight="1"/>
    <row r="49003" customFormat="1" ht="17.25" customHeight="1"/>
    <row r="49004" customFormat="1" ht="17.25" customHeight="1"/>
    <row r="49005" customFormat="1" ht="17.25" customHeight="1"/>
    <row r="49006" customFormat="1" ht="17.25" customHeight="1"/>
    <row r="49007" customFormat="1" ht="17.25" customHeight="1"/>
    <row r="49008" customFormat="1" ht="17.25" customHeight="1"/>
    <row r="49009" customFormat="1" ht="17.25" customHeight="1"/>
    <row r="49010" customFormat="1" ht="17.25" customHeight="1"/>
    <row r="49011" customFormat="1" ht="17.25" customHeight="1"/>
    <row r="49012" customFormat="1" ht="17.25" customHeight="1"/>
    <row r="49013" customFormat="1" ht="17.25" customHeight="1"/>
    <row r="49014" customFormat="1" ht="17.25" customHeight="1"/>
    <row r="49015" customFormat="1" ht="17.25" customHeight="1"/>
    <row r="49016" customFormat="1" ht="17.25" customHeight="1"/>
    <row r="49017" customFormat="1" ht="17.25" customHeight="1"/>
    <row r="49018" customFormat="1" ht="17.25" customHeight="1"/>
    <row r="49019" customFormat="1" ht="17.25" customHeight="1"/>
    <row r="49020" customFormat="1" ht="17.25" customHeight="1"/>
    <row r="49021" customFormat="1" ht="17.25" customHeight="1"/>
    <row r="49022" customFormat="1" ht="17.25" customHeight="1"/>
    <row r="49023" customFormat="1" ht="17.25" customHeight="1"/>
    <row r="49024" customFormat="1" ht="17.25" customHeight="1"/>
    <row r="49025" customFormat="1" ht="17.25" customHeight="1"/>
    <row r="49026" customFormat="1" ht="17.25" customHeight="1"/>
    <row r="49027" customFormat="1" ht="17.25" customHeight="1"/>
    <row r="49028" customFormat="1" ht="17.25" customHeight="1"/>
    <row r="49029" customFormat="1" ht="17.25" customHeight="1"/>
    <row r="49030" customFormat="1" ht="17.25" customHeight="1"/>
    <row r="49031" customFormat="1" ht="17.25" customHeight="1"/>
    <row r="49032" customFormat="1" ht="17.25" customHeight="1"/>
    <row r="49033" customFormat="1" ht="17.25" customHeight="1"/>
    <row r="49034" customFormat="1" ht="17.25" customHeight="1"/>
    <row r="49035" customFormat="1" ht="17.25" customHeight="1"/>
    <row r="49036" customFormat="1" ht="17.25" customHeight="1"/>
    <row r="49037" customFormat="1" ht="17.25" customHeight="1"/>
    <row r="49038" customFormat="1" ht="17.25" customHeight="1"/>
    <row r="49039" customFormat="1" ht="17.25" customHeight="1"/>
    <row r="49040" customFormat="1" ht="17.25" customHeight="1"/>
    <row r="49041" customFormat="1" ht="17.25" customHeight="1"/>
    <row r="49042" customFormat="1" ht="17.25" customHeight="1"/>
    <row r="49043" customFormat="1" ht="17.25" customHeight="1"/>
    <row r="49044" customFormat="1" ht="17.25" customHeight="1"/>
    <row r="49045" customFormat="1" ht="17.25" customHeight="1"/>
    <row r="49046" customFormat="1" ht="17.25" customHeight="1"/>
    <row r="49047" customFormat="1" ht="17.25" customHeight="1"/>
    <row r="49048" customFormat="1" ht="17.25" customHeight="1"/>
    <row r="49049" customFormat="1" ht="17.25" customHeight="1"/>
    <row r="49050" customFormat="1" ht="17.25" customHeight="1"/>
    <row r="49051" customFormat="1" ht="17.25" customHeight="1"/>
    <row r="49052" customFormat="1" ht="17.25" customHeight="1"/>
    <row r="49053" customFormat="1" ht="17.25" customHeight="1"/>
    <row r="49054" customFormat="1" ht="17.25" customHeight="1"/>
    <row r="49055" customFormat="1" ht="17.25" customHeight="1"/>
    <row r="49056" customFormat="1" ht="17.25" customHeight="1"/>
    <row r="49057" customFormat="1" ht="17.25" customHeight="1"/>
    <row r="49058" customFormat="1" ht="17.25" customHeight="1"/>
    <row r="49059" customFormat="1" ht="17.25" customHeight="1"/>
    <row r="49060" customFormat="1" ht="17.25" customHeight="1"/>
    <row r="49061" customFormat="1" ht="17.25" customHeight="1"/>
    <row r="49062" customFormat="1" ht="17.25" customHeight="1"/>
    <row r="49063" customFormat="1" ht="17.25" customHeight="1"/>
    <row r="49064" customFormat="1" ht="17.25" customHeight="1"/>
    <row r="49065" customFormat="1" ht="17.25" customHeight="1"/>
    <row r="49066" customFormat="1" ht="17.25" customHeight="1"/>
    <row r="49067" customFormat="1" ht="17.25" customHeight="1"/>
    <row r="49068" customFormat="1" ht="17.25" customHeight="1"/>
    <row r="49069" customFormat="1" ht="17.25" customHeight="1"/>
    <row r="49070" customFormat="1" ht="17.25" customHeight="1"/>
    <row r="49071" customFormat="1" ht="17.25" customHeight="1"/>
    <row r="49072" customFormat="1" ht="17.25" customHeight="1"/>
    <row r="49073" customFormat="1" ht="17.25" customHeight="1"/>
    <row r="49074" customFormat="1" ht="17.25" customHeight="1"/>
    <row r="49075" customFormat="1" ht="17.25" customHeight="1"/>
    <row r="49076" customFormat="1" ht="17.25" customHeight="1"/>
    <row r="49077" customFormat="1" ht="17.25" customHeight="1"/>
    <row r="49078" customFormat="1" ht="17.25" customHeight="1"/>
    <row r="49079" customFormat="1" ht="17.25" customHeight="1"/>
    <row r="49080" customFormat="1" ht="17.25" customHeight="1"/>
    <row r="49081" customFormat="1" ht="17.25" customHeight="1"/>
    <row r="49082" customFormat="1" ht="17.25" customHeight="1"/>
    <row r="49083" customFormat="1" ht="17.25" customHeight="1"/>
    <row r="49084" customFormat="1" ht="17.25" customHeight="1"/>
    <row r="49085" customFormat="1" ht="17.25" customHeight="1"/>
    <row r="49086" customFormat="1" ht="17.25" customHeight="1"/>
    <row r="49087" customFormat="1" ht="17.25" customHeight="1"/>
    <row r="49088" customFormat="1" ht="17.25" customHeight="1"/>
    <row r="49089" customFormat="1" ht="17.25" customHeight="1"/>
    <row r="49090" customFormat="1" ht="17.25" customHeight="1"/>
    <row r="49091" customFormat="1" ht="17.25" customHeight="1"/>
    <row r="49092" customFormat="1" ht="17.25" customHeight="1"/>
    <row r="49093" customFormat="1" ht="17.25" customHeight="1"/>
    <row r="49094" customFormat="1" ht="17.25" customHeight="1"/>
    <row r="49095" customFormat="1" ht="17.25" customHeight="1"/>
    <row r="49096" customFormat="1" ht="17.25" customHeight="1"/>
    <row r="49097" customFormat="1" ht="17.25" customHeight="1"/>
    <row r="49098" customFormat="1" ht="17.25" customHeight="1"/>
    <row r="49099" customFormat="1" ht="17.25" customHeight="1"/>
    <row r="49100" customFormat="1" ht="17.25" customHeight="1"/>
    <row r="49101" customFormat="1" ht="17.25" customHeight="1"/>
    <row r="49102" customFormat="1" ht="17.25" customHeight="1"/>
    <row r="49103" customFormat="1" ht="17.25" customHeight="1"/>
    <row r="49104" customFormat="1" ht="17.25" customHeight="1"/>
    <row r="49105" customFormat="1" ht="17.25" customHeight="1"/>
    <row r="49106" customFormat="1" ht="17.25" customHeight="1"/>
    <row r="49107" customFormat="1" ht="17.25" customHeight="1"/>
    <row r="49108" customFormat="1" ht="17.25" customHeight="1"/>
    <row r="49109" customFormat="1" ht="17.25" customHeight="1"/>
    <row r="49110" customFormat="1" ht="17.25" customHeight="1"/>
    <row r="49111" customFormat="1" ht="17.25" customHeight="1"/>
    <row r="49112" customFormat="1" ht="17.25" customHeight="1"/>
    <row r="49113" customFormat="1" ht="17.25" customHeight="1"/>
    <row r="49114" customFormat="1" ht="17.25" customHeight="1"/>
    <row r="49115" customFormat="1" ht="17.25" customHeight="1"/>
    <row r="49116" customFormat="1" ht="17.25" customHeight="1"/>
    <row r="49117" customFormat="1" ht="17.25" customHeight="1"/>
    <row r="49118" customFormat="1" ht="17.25" customHeight="1"/>
    <row r="49119" customFormat="1" ht="17.25" customHeight="1"/>
    <row r="49120" customFormat="1" ht="17.25" customHeight="1"/>
    <row r="49121" customFormat="1" ht="17.25" customHeight="1"/>
    <row r="49122" customFormat="1" ht="17.25" customHeight="1"/>
    <row r="49123" customFormat="1" ht="17.25" customHeight="1"/>
    <row r="49124" customFormat="1" ht="17.25" customHeight="1"/>
    <row r="49125" customFormat="1" ht="17.25" customHeight="1"/>
    <row r="49126" customFormat="1" ht="17.25" customHeight="1"/>
    <row r="49127" customFormat="1" ht="17.25" customHeight="1"/>
    <row r="49128" customFormat="1" ht="17.25" customHeight="1"/>
    <row r="49129" customFormat="1" ht="17.25" customHeight="1"/>
    <row r="49130" customFormat="1" ht="17.25" customHeight="1"/>
    <row r="49131" customFormat="1" ht="17.25" customHeight="1"/>
    <row r="49132" customFormat="1" ht="17.25" customHeight="1"/>
    <row r="49133" customFormat="1" ht="17.25" customHeight="1"/>
    <row r="49134" customFormat="1" ht="17.25" customHeight="1"/>
    <row r="49135" customFormat="1" ht="17.25" customHeight="1"/>
    <row r="49136" customFormat="1" ht="17.25" customHeight="1"/>
    <row r="49137" customFormat="1" ht="17.25" customHeight="1"/>
    <row r="49138" customFormat="1" ht="17.25" customHeight="1"/>
    <row r="49139" customFormat="1" ht="17.25" customHeight="1"/>
    <row r="49140" customFormat="1" ht="17.25" customHeight="1"/>
    <row r="49141" customFormat="1" ht="17.25" customHeight="1"/>
    <row r="49142" customFormat="1" ht="17.25" customHeight="1"/>
    <row r="49143" customFormat="1" ht="17.25" customHeight="1"/>
    <row r="49144" customFormat="1" ht="17.25" customHeight="1"/>
    <row r="49145" customFormat="1" ht="17.25" customHeight="1"/>
    <row r="49146" customFormat="1" ht="17.25" customHeight="1"/>
    <row r="49147" customFormat="1" ht="17.25" customHeight="1"/>
    <row r="49148" customFormat="1" ht="17.25" customHeight="1"/>
    <row r="49149" customFormat="1" ht="17.25" customHeight="1"/>
    <row r="49150" customFormat="1" ht="17.25" customHeight="1"/>
    <row r="49151" customFormat="1" ht="17.25" customHeight="1"/>
    <row r="49152" customFormat="1" ht="17.25" customHeight="1"/>
    <row r="49153" customFormat="1" ht="17.25" customHeight="1"/>
    <row r="49154" customFormat="1" ht="17.25" customHeight="1"/>
    <row r="49155" customFormat="1" ht="17.25" customHeight="1"/>
    <row r="49156" customFormat="1" ht="17.25" customHeight="1"/>
    <row r="49157" customFormat="1" ht="17.25" customHeight="1"/>
    <row r="49158" customFormat="1" ht="17.25" customHeight="1"/>
    <row r="49159" customFormat="1" ht="17.25" customHeight="1"/>
    <row r="49160" customFormat="1" ht="17.25" customHeight="1"/>
    <row r="49161" customFormat="1" ht="17.25" customHeight="1"/>
    <row r="49162" customFormat="1" ht="17.25" customHeight="1"/>
    <row r="49163" customFormat="1" ht="17.25" customHeight="1"/>
    <row r="49164" customFormat="1" ht="17.25" customHeight="1"/>
    <row r="49165" customFormat="1" ht="17.25" customHeight="1"/>
    <row r="49166" customFormat="1" ht="17.25" customHeight="1"/>
    <row r="49167" customFormat="1" ht="17.25" customHeight="1"/>
    <row r="49168" customFormat="1" ht="17.25" customHeight="1"/>
    <row r="49169" customFormat="1" ht="17.25" customHeight="1"/>
    <row r="49170" customFormat="1" ht="17.25" customHeight="1"/>
    <row r="49171" customFormat="1" ht="17.25" customHeight="1"/>
    <row r="49172" customFormat="1" ht="17.25" customHeight="1"/>
    <row r="49173" customFormat="1" ht="17.25" customHeight="1"/>
    <row r="49174" customFormat="1" ht="17.25" customHeight="1"/>
    <row r="49175" customFormat="1" ht="17.25" customHeight="1"/>
    <row r="49176" customFormat="1" ht="17.25" customHeight="1"/>
    <row r="49177" customFormat="1" ht="17.25" customHeight="1"/>
    <row r="49178" customFormat="1" ht="17.25" customHeight="1"/>
    <row r="49179" customFormat="1" ht="17.25" customHeight="1"/>
    <row r="49180" customFormat="1" ht="17.25" customHeight="1"/>
    <row r="49181" customFormat="1" ht="17.25" customHeight="1"/>
    <row r="49182" customFormat="1" ht="17.25" customHeight="1"/>
    <row r="49183" customFormat="1" ht="17.25" customHeight="1"/>
    <row r="49184" customFormat="1" ht="17.25" customHeight="1"/>
    <row r="49185" customFormat="1" ht="17.25" customHeight="1"/>
    <row r="49186" customFormat="1" ht="17.25" customHeight="1"/>
    <row r="49187" customFormat="1" ht="17.25" customHeight="1"/>
    <row r="49188" customFormat="1" ht="17.25" customHeight="1"/>
    <row r="49189" customFormat="1" ht="17.25" customHeight="1"/>
    <row r="49190" customFormat="1" ht="17.25" customHeight="1"/>
    <row r="49191" customFormat="1" ht="17.25" customHeight="1"/>
    <row r="49192" customFormat="1" ht="17.25" customHeight="1"/>
    <row r="49193" customFormat="1" ht="17.25" customHeight="1"/>
    <row r="49194" customFormat="1" ht="17.25" customHeight="1"/>
    <row r="49195" customFormat="1" ht="17.25" customHeight="1"/>
    <row r="49196" customFormat="1" ht="17.25" customHeight="1"/>
    <row r="49197" customFormat="1" ht="17.25" customHeight="1"/>
    <row r="49198" customFormat="1" ht="17.25" customHeight="1"/>
    <row r="49199" customFormat="1" ht="17.25" customHeight="1"/>
    <row r="49200" customFormat="1" ht="17.25" customHeight="1"/>
    <row r="49201" customFormat="1" ht="17.25" customHeight="1"/>
    <row r="49202" customFormat="1" ht="17.25" customHeight="1"/>
    <row r="49203" customFormat="1" ht="17.25" customHeight="1"/>
    <row r="49204" customFormat="1" ht="17.25" customHeight="1"/>
    <row r="49205" customFormat="1" ht="17.25" customHeight="1"/>
    <row r="49206" customFormat="1" ht="17.25" customHeight="1"/>
    <row r="49207" customFormat="1" ht="17.25" customHeight="1"/>
    <row r="49208" customFormat="1" ht="17.25" customHeight="1"/>
    <row r="49209" customFormat="1" ht="17.25" customHeight="1"/>
    <row r="49210" customFormat="1" ht="17.25" customHeight="1"/>
    <row r="49211" customFormat="1" ht="17.25" customHeight="1"/>
    <row r="49212" customFormat="1" ht="17.25" customHeight="1"/>
    <row r="49213" customFormat="1" ht="17.25" customHeight="1"/>
    <row r="49214" customFormat="1" ht="17.25" customHeight="1"/>
    <row r="49215" customFormat="1" ht="17.25" customHeight="1"/>
    <row r="49216" customFormat="1" ht="17.25" customHeight="1"/>
    <row r="49217" customFormat="1" ht="17.25" customHeight="1"/>
    <row r="49218" customFormat="1" ht="17.25" customHeight="1"/>
    <row r="49219" customFormat="1" ht="17.25" customHeight="1"/>
    <row r="49220" customFormat="1" ht="17.25" customHeight="1"/>
    <row r="49221" customFormat="1" ht="17.25" customHeight="1"/>
    <row r="49222" customFormat="1" ht="17.25" customHeight="1"/>
    <row r="49223" customFormat="1" ht="17.25" customHeight="1"/>
    <row r="49224" customFormat="1" ht="17.25" customHeight="1"/>
    <row r="49225" customFormat="1" ht="17.25" customHeight="1"/>
    <row r="49226" customFormat="1" ht="17.25" customHeight="1"/>
    <row r="49227" customFormat="1" ht="17.25" customHeight="1"/>
    <row r="49228" customFormat="1" ht="17.25" customHeight="1"/>
    <row r="49229" customFormat="1" ht="17.25" customHeight="1"/>
    <row r="49230" customFormat="1" ht="17.25" customHeight="1"/>
    <row r="49231" customFormat="1" ht="17.25" customHeight="1"/>
    <row r="49232" customFormat="1" ht="17.25" customHeight="1"/>
    <row r="49233" customFormat="1" ht="17.25" customHeight="1"/>
    <row r="49234" customFormat="1" ht="17.25" customHeight="1"/>
    <row r="49235" customFormat="1" ht="17.25" customHeight="1"/>
    <row r="49236" customFormat="1" ht="17.25" customHeight="1"/>
    <row r="49237" customFormat="1" ht="17.25" customHeight="1"/>
    <row r="49238" customFormat="1" ht="17.25" customHeight="1"/>
    <row r="49239" customFormat="1" ht="17.25" customHeight="1"/>
    <row r="49240" customFormat="1" ht="17.25" customHeight="1"/>
    <row r="49241" customFormat="1" ht="17.25" customHeight="1"/>
    <row r="49242" customFormat="1" ht="17.25" customHeight="1"/>
    <row r="49243" customFormat="1" ht="17.25" customHeight="1"/>
    <row r="49244" customFormat="1" ht="17.25" customHeight="1"/>
    <row r="49245" customFormat="1" ht="17.25" customHeight="1"/>
    <row r="49246" customFormat="1" ht="17.25" customHeight="1"/>
    <row r="49247" customFormat="1" ht="17.25" customHeight="1"/>
    <row r="49248" customFormat="1" ht="17.25" customHeight="1"/>
    <row r="49249" customFormat="1" ht="17.25" customHeight="1"/>
    <row r="49250" customFormat="1" ht="17.25" customHeight="1"/>
    <row r="49251" customFormat="1" ht="17.25" customHeight="1"/>
    <row r="49252" customFormat="1" ht="17.25" customHeight="1"/>
    <row r="49253" customFormat="1" ht="17.25" customHeight="1"/>
    <row r="49254" customFormat="1" ht="17.25" customHeight="1"/>
    <row r="49255" customFormat="1" ht="17.25" customHeight="1"/>
    <row r="49256" customFormat="1" ht="17.25" customHeight="1"/>
    <row r="49257" customFormat="1" ht="17.25" customHeight="1"/>
    <row r="49258" customFormat="1" ht="17.25" customHeight="1"/>
    <row r="49259" customFormat="1" ht="17.25" customHeight="1"/>
    <row r="49260" customFormat="1" ht="17.25" customHeight="1"/>
    <row r="49261" customFormat="1" ht="17.25" customHeight="1"/>
    <row r="49262" customFormat="1" ht="17.25" customHeight="1"/>
    <row r="49263" customFormat="1" ht="17.25" customHeight="1"/>
    <row r="49264" customFormat="1" ht="17.25" customHeight="1"/>
    <row r="49265" customFormat="1" ht="17.25" customHeight="1"/>
    <row r="49266" customFormat="1" ht="17.25" customHeight="1"/>
    <row r="49267" customFormat="1" ht="17.25" customHeight="1"/>
    <row r="49268" customFormat="1" ht="17.25" customHeight="1"/>
    <row r="49269" customFormat="1" ht="17.25" customHeight="1"/>
    <row r="49270" customFormat="1" ht="17.25" customHeight="1"/>
    <row r="49271" customFormat="1" ht="17.25" customHeight="1"/>
    <row r="49272" customFormat="1" ht="17.25" customHeight="1"/>
    <row r="49273" customFormat="1" ht="17.25" customHeight="1"/>
    <row r="49274" customFormat="1" ht="17.25" customHeight="1"/>
    <row r="49275" customFormat="1" ht="17.25" customHeight="1"/>
    <row r="49276" customFormat="1" ht="17.25" customHeight="1"/>
    <row r="49277" customFormat="1" ht="17.25" customHeight="1"/>
    <row r="49278" customFormat="1" ht="17.25" customHeight="1"/>
    <row r="49279" customFormat="1" ht="17.25" customHeight="1"/>
    <row r="49280" customFormat="1" ht="17.25" customHeight="1"/>
    <row r="49281" customFormat="1" ht="17.25" customHeight="1"/>
    <row r="49282" customFormat="1" ht="17.25" customHeight="1"/>
    <row r="49283" customFormat="1" ht="17.25" customHeight="1"/>
    <row r="49284" customFormat="1" ht="17.25" customHeight="1"/>
    <row r="49285" customFormat="1" ht="17.25" customHeight="1"/>
    <row r="49286" customFormat="1" ht="17.25" customHeight="1"/>
    <row r="49287" customFormat="1" ht="17.25" customHeight="1"/>
    <row r="49288" customFormat="1" ht="17.25" customHeight="1"/>
    <row r="49289" customFormat="1" ht="17.25" customHeight="1"/>
    <row r="49290" customFormat="1" ht="17.25" customHeight="1"/>
    <row r="49291" customFormat="1" ht="17.25" customHeight="1"/>
    <row r="49292" customFormat="1" ht="17.25" customHeight="1"/>
    <row r="49293" customFormat="1" ht="17.25" customHeight="1"/>
    <row r="49294" customFormat="1" ht="17.25" customHeight="1"/>
    <row r="49295" customFormat="1" ht="17.25" customHeight="1"/>
    <row r="49296" customFormat="1" ht="17.25" customHeight="1"/>
    <row r="49297" customFormat="1" ht="17.25" customHeight="1"/>
    <row r="49298" customFormat="1" ht="17.25" customHeight="1"/>
    <row r="49299" customFormat="1" ht="17.25" customHeight="1"/>
    <row r="49300" customFormat="1" ht="17.25" customHeight="1"/>
    <row r="49301" customFormat="1" ht="17.25" customHeight="1"/>
    <row r="49302" customFormat="1" ht="17.25" customHeight="1"/>
    <row r="49303" customFormat="1" ht="17.25" customHeight="1"/>
    <row r="49304" customFormat="1" ht="17.25" customHeight="1"/>
    <row r="49305" customFormat="1" ht="17.25" customHeight="1"/>
    <row r="49306" customFormat="1" ht="17.25" customHeight="1"/>
    <row r="49307" customFormat="1" ht="17.25" customHeight="1"/>
    <row r="49308" customFormat="1" ht="17.25" customHeight="1"/>
    <row r="49309" customFormat="1" ht="17.25" customHeight="1"/>
    <row r="49310" customFormat="1" ht="17.25" customHeight="1"/>
    <row r="49311" customFormat="1" ht="17.25" customHeight="1"/>
    <row r="49312" customFormat="1" ht="17.25" customHeight="1"/>
    <row r="49313" customFormat="1" ht="17.25" customHeight="1"/>
    <row r="49314" customFormat="1" ht="17.25" customHeight="1"/>
    <row r="49315" customFormat="1" ht="17.25" customHeight="1"/>
    <row r="49316" customFormat="1" ht="17.25" customHeight="1"/>
    <row r="49317" customFormat="1" ht="17.25" customHeight="1"/>
    <row r="49318" customFormat="1" ht="17.25" customHeight="1"/>
    <row r="49319" customFormat="1" ht="17.25" customHeight="1"/>
    <row r="49320" customFormat="1" ht="17.25" customHeight="1"/>
    <row r="49321" customFormat="1" ht="17.25" customHeight="1"/>
    <row r="49322" customFormat="1" ht="17.25" customHeight="1"/>
    <row r="49323" customFormat="1" ht="17.25" customHeight="1"/>
    <row r="49324" customFormat="1" ht="17.25" customHeight="1"/>
    <row r="49325" customFormat="1" ht="17.25" customHeight="1"/>
    <row r="49326" customFormat="1" ht="17.25" customHeight="1"/>
    <row r="49327" customFormat="1" ht="17.25" customHeight="1"/>
    <row r="49328" customFormat="1" ht="17.25" customHeight="1"/>
    <row r="49329" customFormat="1" ht="17.25" customHeight="1"/>
    <row r="49330" customFormat="1" ht="17.25" customHeight="1"/>
    <row r="49331" customFormat="1" ht="17.25" customHeight="1"/>
    <row r="49332" customFormat="1" ht="17.25" customHeight="1"/>
    <row r="49333" customFormat="1" ht="17.25" customHeight="1"/>
    <row r="49334" customFormat="1" ht="17.25" customHeight="1"/>
    <row r="49335" customFormat="1" ht="17.25" customHeight="1"/>
    <row r="49336" customFormat="1" ht="17.25" customHeight="1"/>
    <row r="49337" customFormat="1" ht="17.25" customHeight="1"/>
    <row r="49338" customFormat="1" ht="17.25" customHeight="1"/>
    <row r="49339" customFormat="1" ht="17.25" customHeight="1"/>
    <row r="49340" customFormat="1" ht="17.25" customHeight="1"/>
    <row r="49341" customFormat="1" ht="17.25" customHeight="1"/>
    <row r="49342" customFormat="1" ht="17.25" customHeight="1"/>
    <row r="49343" customFormat="1" ht="17.25" customHeight="1"/>
    <row r="49344" customFormat="1" ht="17.25" customHeight="1"/>
    <row r="49345" customFormat="1" ht="17.25" customHeight="1"/>
    <row r="49346" customFormat="1" ht="17.25" customHeight="1"/>
    <row r="49347" customFormat="1" ht="17.25" customHeight="1"/>
    <row r="49348" customFormat="1" ht="17.25" customHeight="1"/>
    <row r="49349" customFormat="1" ht="17.25" customHeight="1"/>
    <row r="49350" customFormat="1" ht="17.25" customHeight="1"/>
    <row r="49351" customFormat="1" ht="17.25" customHeight="1"/>
    <row r="49352" customFormat="1" ht="17.25" customHeight="1"/>
    <row r="49353" customFormat="1" ht="17.25" customHeight="1"/>
    <row r="49354" customFormat="1" ht="17.25" customHeight="1"/>
    <row r="49355" customFormat="1" ht="17.25" customHeight="1"/>
    <row r="49356" customFormat="1" ht="17.25" customHeight="1"/>
    <row r="49357" customFormat="1" ht="17.25" customHeight="1"/>
    <row r="49358" customFormat="1" ht="17.25" customHeight="1"/>
    <row r="49359" customFormat="1" ht="17.25" customHeight="1"/>
    <row r="49360" customFormat="1" ht="17.25" customHeight="1"/>
    <row r="49361" customFormat="1" ht="17.25" customHeight="1"/>
    <row r="49362" customFormat="1" ht="17.25" customHeight="1"/>
    <row r="49363" customFormat="1" ht="17.25" customHeight="1"/>
    <row r="49364" customFormat="1" ht="17.25" customHeight="1"/>
    <row r="49365" customFormat="1" ht="17.25" customHeight="1"/>
    <row r="49366" customFormat="1" ht="17.25" customHeight="1"/>
    <row r="49367" customFormat="1" ht="17.25" customHeight="1"/>
    <row r="49368" customFormat="1" ht="17.25" customHeight="1"/>
    <row r="49369" customFormat="1" ht="17.25" customHeight="1"/>
    <row r="49370" customFormat="1" ht="17.25" customHeight="1"/>
    <row r="49371" customFormat="1" ht="17.25" customHeight="1"/>
    <row r="49372" customFormat="1" ht="17.25" customHeight="1"/>
    <row r="49373" customFormat="1" ht="17.25" customHeight="1"/>
    <row r="49374" customFormat="1" ht="17.25" customHeight="1"/>
    <row r="49375" customFormat="1" ht="17.25" customHeight="1"/>
    <row r="49376" customFormat="1" ht="17.25" customHeight="1"/>
    <row r="49377" customFormat="1" ht="17.25" customHeight="1"/>
    <row r="49378" customFormat="1" ht="17.25" customHeight="1"/>
    <row r="49379" customFormat="1" ht="17.25" customHeight="1"/>
    <row r="49380" customFormat="1" ht="17.25" customHeight="1"/>
    <row r="49381" customFormat="1" ht="17.25" customHeight="1"/>
    <row r="49382" customFormat="1" ht="17.25" customHeight="1"/>
    <row r="49383" customFormat="1" ht="17.25" customHeight="1"/>
    <row r="49384" customFormat="1" ht="17.25" customHeight="1"/>
    <row r="49385" customFormat="1" ht="17.25" customHeight="1"/>
    <row r="49386" customFormat="1" ht="17.25" customHeight="1"/>
    <row r="49387" customFormat="1" ht="17.25" customHeight="1"/>
    <row r="49388" customFormat="1" ht="17.25" customHeight="1"/>
    <row r="49389" customFormat="1" ht="17.25" customHeight="1"/>
    <row r="49390" customFormat="1" ht="17.25" customHeight="1"/>
    <row r="49391" customFormat="1" ht="17.25" customHeight="1"/>
    <row r="49392" customFormat="1" ht="17.25" customHeight="1"/>
    <row r="49393" customFormat="1" ht="17.25" customHeight="1"/>
    <row r="49394" customFormat="1" ht="17.25" customHeight="1"/>
    <row r="49395" customFormat="1" ht="17.25" customHeight="1"/>
    <row r="49396" customFormat="1" ht="17.25" customHeight="1"/>
    <row r="49397" customFormat="1" ht="17.25" customHeight="1"/>
    <row r="49398" customFormat="1" ht="17.25" customHeight="1"/>
    <row r="49399" customFormat="1" ht="17.25" customHeight="1"/>
    <row r="49400" customFormat="1" ht="17.25" customHeight="1"/>
    <row r="49401" customFormat="1" ht="17.25" customHeight="1"/>
    <row r="49402" customFormat="1" ht="17.25" customHeight="1"/>
    <row r="49403" customFormat="1" ht="17.25" customHeight="1"/>
    <row r="49404" customFormat="1" ht="17.25" customHeight="1"/>
    <row r="49405" customFormat="1" ht="17.25" customHeight="1"/>
    <row r="49406" customFormat="1" ht="17.25" customHeight="1"/>
    <row r="49407" customFormat="1" ht="17.25" customHeight="1"/>
    <row r="49408" customFormat="1" ht="17.25" customHeight="1"/>
    <row r="49409" customFormat="1" ht="17.25" customHeight="1"/>
    <row r="49410" customFormat="1" ht="17.25" customHeight="1"/>
    <row r="49411" customFormat="1" ht="17.25" customHeight="1"/>
    <row r="49412" customFormat="1" ht="17.25" customHeight="1"/>
    <row r="49413" customFormat="1" ht="17.25" customHeight="1"/>
    <row r="49414" customFormat="1" ht="17.25" customHeight="1"/>
    <row r="49415" customFormat="1" ht="17.25" customHeight="1"/>
    <row r="49416" customFormat="1" ht="17.25" customHeight="1"/>
    <row r="49417" customFormat="1" ht="17.25" customHeight="1"/>
    <row r="49418" customFormat="1" ht="17.25" customHeight="1"/>
    <row r="49419" customFormat="1" ht="17.25" customHeight="1"/>
    <row r="49420" customFormat="1" ht="17.25" customHeight="1"/>
    <row r="49421" customFormat="1" ht="17.25" customHeight="1"/>
    <row r="49422" customFormat="1" ht="17.25" customHeight="1"/>
    <row r="49423" customFormat="1" ht="17.25" customHeight="1"/>
    <row r="49424" customFormat="1" ht="17.25" customHeight="1"/>
    <row r="49425" customFormat="1" ht="17.25" customHeight="1"/>
    <row r="49426" customFormat="1" ht="17.25" customHeight="1"/>
    <row r="49427" customFormat="1" ht="17.25" customHeight="1"/>
    <row r="49428" customFormat="1" ht="17.25" customHeight="1"/>
    <row r="49429" customFormat="1" ht="17.25" customHeight="1"/>
    <row r="49430" customFormat="1" ht="17.25" customHeight="1"/>
    <row r="49431" customFormat="1" ht="17.25" customHeight="1"/>
    <row r="49432" customFormat="1" ht="17.25" customHeight="1"/>
    <row r="49433" customFormat="1" ht="17.25" customHeight="1"/>
    <row r="49434" customFormat="1" ht="17.25" customHeight="1"/>
    <row r="49435" customFormat="1" ht="17.25" customHeight="1"/>
    <row r="49436" customFormat="1" ht="17.25" customHeight="1"/>
    <row r="49437" customFormat="1" ht="17.25" customHeight="1"/>
    <row r="49438" customFormat="1" ht="17.25" customHeight="1"/>
    <row r="49439" customFormat="1" ht="17.25" customHeight="1"/>
    <row r="49440" customFormat="1" ht="17.25" customHeight="1"/>
    <row r="49441" customFormat="1" ht="17.25" customHeight="1"/>
    <row r="49442" customFormat="1" ht="17.25" customHeight="1"/>
    <row r="49443" customFormat="1" ht="17.25" customHeight="1"/>
    <row r="49444" customFormat="1" ht="17.25" customHeight="1"/>
    <row r="49445" customFormat="1" ht="17.25" customHeight="1"/>
    <row r="49446" customFormat="1" ht="17.25" customHeight="1"/>
    <row r="49447" customFormat="1" ht="17.25" customHeight="1"/>
    <row r="49448" customFormat="1" ht="17.25" customHeight="1"/>
    <row r="49449" customFormat="1" ht="17.25" customHeight="1"/>
    <row r="49450" customFormat="1" ht="17.25" customHeight="1"/>
    <row r="49451" customFormat="1" ht="17.25" customHeight="1"/>
    <row r="49452" customFormat="1" ht="17.25" customHeight="1"/>
    <row r="49453" customFormat="1" ht="17.25" customHeight="1"/>
    <row r="49454" customFormat="1" ht="17.25" customHeight="1"/>
    <row r="49455" customFormat="1" ht="17.25" customHeight="1"/>
    <row r="49456" customFormat="1" ht="17.25" customHeight="1"/>
    <row r="49457" customFormat="1" ht="17.25" customHeight="1"/>
    <row r="49458" customFormat="1" ht="17.25" customHeight="1"/>
    <row r="49459" customFormat="1" ht="17.25" customHeight="1"/>
    <row r="49460" customFormat="1" ht="17.25" customHeight="1"/>
    <row r="49461" customFormat="1" ht="17.25" customHeight="1"/>
    <row r="49462" customFormat="1" ht="17.25" customHeight="1"/>
    <row r="49463" customFormat="1" ht="17.25" customHeight="1"/>
    <row r="49464" customFormat="1" ht="17.25" customHeight="1"/>
    <row r="49465" customFormat="1" ht="17.25" customHeight="1"/>
    <row r="49466" customFormat="1" ht="17.25" customHeight="1"/>
    <row r="49467" customFormat="1" ht="17.25" customHeight="1"/>
    <row r="49468" customFormat="1" ht="17.25" customHeight="1"/>
    <row r="49469" customFormat="1" ht="17.25" customHeight="1"/>
    <row r="49470" customFormat="1" ht="17.25" customHeight="1"/>
    <row r="49471" customFormat="1" ht="17.25" customHeight="1"/>
    <row r="49472" customFormat="1" ht="17.25" customHeight="1"/>
    <row r="49473" customFormat="1" ht="17.25" customHeight="1"/>
    <row r="49474" customFormat="1" ht="17.25" customHeight="1"/>
    <row r="49475" customFormat="1" ht="17.25" customHeight="1"/>
    <row r="49476" customFormat="1" ht="17.25" customHeight="1"/>
    <row r="49477" customFormat="1" ht="17.25" customHeight="1"/>
    <row r="49478" customFormat="1" ht="17.25" customHeight="1"/>
    <row r="49479" customFormat="1" ht="17.25" customHeight="1"/>
    <row r="49480" customFormat="1" ht="17.25" customHeight="1"/>
    <row r="49481" customFormat="1" ht="17.25" customHeight="1"/>
    <row r="49482" customFormat="1" ht="17.25" customHeight="1"/>
    <row r="49483" customFormat="1" ht="17.25" customHeight="1"/>
    <row r="49484" customFormat="1" ht="17.25" customHeight="1"/>
    <row r="49485" customFormat="1" ht="17.25" customHeight="1"/>
    <row r="49486" customFormat="1" ht="17.25" customHeight="1"/>
    <row r="49487" customFormat="1" ht="17.25" customHeight="1"/>
    <row r="49488" customFormat="1" ht="17.25" customHeight="1"/>
    <row r="49489" customFormat="1" ht="17.25" customHeight="1"/>
    <row r="49490" customFormat="1" ht="17.25" customHeight="1"/>
    <row r="49491" customFormat="1" ht="17.25" customHeight="1"/>
    <row r="49492" customFormat="1" ht="17.25" customHeight="1"/>
    <row r="49493" customFormat="1" ht="17.25" customHeight="1"/>
    <row r="49494" customFormat="1" ht="17.25" customHeight="1"/>
    <row r="49495" customFormat="1" ht="17.25" customHeight="1"/>
    <row r="49496" customFormat="1" ht="17.25" customHeight="1"/>
    <row r="49497" customFormat="1" ht="17.25" customHeight="1"/>
    <row r="49498" customFormat="1" ht="17.25" customHeight="1"/>
    <row r="49499" customFormat="1" ht="17.25" customHeight="1"/>
    <row r="49500" customFormat="1" ht="17.25" customHeight="1"/>
    <row r="49501" customFormat="1" ht="17.25" customHeight="1"/>
    <row r="49502" customFormat="1" ht="17.25" customHeight="1"/>
    <row r="49503" customFormat="1" ht="17.25" customHeight="1"/>
    <row r="49504" customFormat="1" ht="17.25" customHeight="1"/>
    <row r="49505" customFormat="1" ht="17.25" customHeight="1"/>
    <row r="49506" customFormat="1" ht="17.25" customHeight="1"/>
    <row r="49507" customFormat="1" ht="17.25" customHeight="1"/>
    <row r="49508" customFormat="1" ht="17.25" customHeight="1"/>
    <row r="49509" customFormat="1" ht="17.25" customHeight="1"/>
    <row r="49510" customFormat="1" ht="17.25" customHeight="1"/>
    <row r="49511" customFormat="1" ht="17.25" customHeight="1"/>
    <row r="49512" customFormat="1" ht="17.25" customHeight="1"/>
    <row r="49513" customFormat="1" ht="17.25" customHeight="1"/>
    <row r="49514" customFormat="1" ht="17.25" customHeight="1"/>
    <row r="49515" customFormat="1" ht="17.25" customHeight="1"/>
    <row r="49516" customFormat="1" ht="17.25" customHeight="1"/>
    <row r="49517" customFormat="1" ht="17.25" customHeight="1"/>
    <row r="49518" customFormat="1" ht="17.25" customHeight="1"/>
    <row r="49519" customFormat="1" ht="17.25" customHeight="1"/>
    <row r="49520" customFormat="1" ht="17.25" customHeight="1"/>
    <row r="49521" customFormat="1" ht="17.25" customHeight="1"/>
    <row r="49522" customFormat="1" ht="17.25" customHeight="1"/>
    <row r="49523" customFormat="1" ht="17.25" customHeight="1"/>
    <row r="49524" customFormat="1" ht="17.25" customHeight="1"/>
    <row r="49525" customFormat="1" ht="17.25" customHeight="1"/>
    <row r="49526" customFormat="1" ht="17.25" customHeight="1"/>
    <row r="49527" customFormat="1" ht="17.25" customHeight="1"/>
    <row r="49528" customFormat="1" ht="17.25" customHeight="1"/>
    <row r="49529" customFormat="1" ht="17.25" customHeight="1"/>
    <row r="49530" customFormat="1" ht="17.25" customHeight="1"/>
    <row r="49531" customFormat="1" ht="17.25" customHeight="1"/>
    <row r="49532" customFormat="1" ht="17.25" customHeight="1"/>
    <row r="49533" customFormat="1" ht="17.25" customHeight="1"/>
    <row r="49534" customFormat="1" ht="17.25" customHeight="1"/>
    <row r="49535" customFormat="1" ht="17.25" customHeight="1"/>
    <row r="49536" customFormat="1" ht="17.25" customHeight="1"/>
    <row r="49537" customFormat="1" ht="17.25" customHeight="1"/>
    <row r="49538" customFormat="1" ht="17.25" customHeight="1"/>
    <row r="49539" customFormat="1" ht="17.25" customHeight="1"/>
    <row r="49540" customFormat="1" ht="17.25" customHeight="1"/>
    <row r="49541" customFormat="1" ht="17.25" customHeight="1"/>
    <row r="49542" customFormat="1" ht="17.25" customHeight="1"/>
    <row r="49543" customFormat="1" ht="17.25" customHeight="1"/>
    <row r="49544" customFormat="1" ht="17.25" customHeight="1"/>
    <row r="49545" customFormat="1" ht="17.25" customHeight="1"/>
    <row r="49546" customFormat="1" ht="17.25" customHeight="1"/>
    <row r="49547" customFormat="1" ht="17.25" customHeight="1"/>
    <row r="49548" customFormat="1" ht="17.25" customHeight="1"/>
    <row r="49549" customFormat="1" ht="17.25" customHeight="1"/>
    <row r="49550" customFormat="1" ht="17.25" customHeight="1"/>
    <row r="49551" customFormat="1" ht="17.25" customHeight="1"/>
    <row r="49552" customFormat="1" ht="17.25" customHeight="1"/>
    <row r="49553" customFormat="1" ht="17.25" customHeight="1"/>
    <row r="49554" customFormat="1" ht="17.25" customHeight="1"/>
    <row r="49555" customFormat="1" ht="17.25" customHeight="1"/>
    <row r="49556" customFormat="1" ht="17.25" customHeight="1"/>
    <row r="49557" customFormat="1" ht="17.25" customHeight="1"/>
    <row r="49558" customFormat="1" ht="17.25" customHeight="1"/>
    <row r="49559" customFormat="1" ht="17.25" customHeight="1"/>
    <row r="49560" customFormat="1" ht="17.25" customHeight="1"/>
    <row r="49561" customFormat="1" ht="17.25" customHeight="1"/>
    <row r="49562" customFormat="1" ht="17.25" customHeight="1"/>
    <row r="49563" customFormat="1" ht="17.25" customHeight="1"/>
    <row r="49564" customFormat="1" ht="17.25" customHeight="1"/>
    <row r="49565" customFormat="1" ht="17.25" customHeight="1"/>
    <row r="49566" customFormat="1" ht="17.25" customHeight="1"/>
    <row r="49567" customFormat="1" ht="17.25" customHeight="1"/>
    <row r="49568" customFormat="1" ht="17.25" customHeight="1"/>
    <row r="49569" customFormat="1" ht="17.25" customHeight="1"/>
    <row r="49570" customFormat="1" ht="17.25" customHeight="1"/>
    <row r="49571" customFormat="1" ht="17.25" customHeight="1"/>
    <row r="49572" customFormat="1" ht="17.25" customHeight="1"/>
    <row r="49573" customFormat="1" ht="17.25" customHeight="1"/>
    <row r="49574" customFormat="1" ht="17.25" customHeight="1"/>
    <row r="49575" customFormat="1" ht="17.25" customHeight="1"/>
    <row r="49576" customFormat="1" ht="17.25" customHeight="1"/>
    <row r="49577" customFormat="1" ht="17.25" customHeight="1"/>
    <row r="49578" customFormat="1" ht="17.25" customHeight="1"/>
    <row r="49579" customFormat="1" ht="17.25" customHeight="1"/>
    <row r="49580" customFormat="1" ht="17.25" customHeight="1"/>
    <row r="49581" customFormat="1" ht="17.25" customHeight="1"/>
    <row r="49582" customFormat="1" ht="17.25" customHeight="1"/>
    <row r="49583" customFormat="1" ht="17.25" customHeight="1"/>
    <row r="49584" customFormat="1" ht="17.25" customHeight="1"/>
    <row r="49585" customFormat="1" ht="17.25" customHeight="1"/>
    <row r="49586" customFormat="1" ht="17.25" customHeight="1"/>
    <row r="49587" customFormat="1" ht="17.25" customHeight="1"/>
    <row r="49588" customFormat="1" ht="17.25" customHeight="1"/>
    <row r="49589" customFormat="1" ht="17.25" customHeight="1"/>
    <row r="49590" customFormat="1" ht="17.25" customHeight="1"/>
    <row r="49591" customFormat="1" ht="17.25" customHeight="1"/>
    <row r="49592" customFormat="1" ht="17.25" customHeight="1"/>
    <row r="49593" customFormat="1" ht="17.25" customHeight="1"/>
    <row r="49594" customFormat="1" ht="17.25" customHeight="1"/>
    <row r="49595" customFormat="1" ht="17.25" customHeight="1"/>
    <row r="49596" customFormat="1" ht="17.25" customHeight="1"/>
    <row r="49597" customFormat="1" ht="17.25" customHeight="1"/>
    <row r="49598" customFormat="1" ht="17.25" customHeight="1"/>
    <row r="49599" customFormat="1" ht="17.25" customHeight="1"/>
    <row r="49600" customFormat="1" ht="17.25" customHeight="1"/>
    <row r="49601" customFormat="1" ht="17.25" customHeight="1"/>
    <row r="49602" customFormat="1" ht="17.25" customHeight="1"/>
    <row r="49603" customFormat="1" ht="17.25" customHeight="1"/>
    <row r="49604" customFormat="1" ht="17.25" customHeight="1"/>
    <row r="49605" customFormat="1" ht="17.25" customHeight="1"/>
    <row r="49606" customFormat="1" ht="17.25" customHeight="1"/>
    <row r="49607" customFormat="1" ht="17.25" customHeight="1"/>
    <row r="49608" customFormat="1" ht="17.25" customHeight="1"/>
    <row r="49609" customFormat="1" ht="17.25" customHeight="1"/>
    <row r="49610" customFormat="1" ht="17.25" customHeight="1"/>
    <row r="49611" customFormat="1" ht="17.25" customHeight="1"/>
    <row r="49612" customFormat="1" ht="17.25" customHeight="1"/>
    <row r="49613" customFormat="1" ht="17.25" customHeight="1"/>
    <row r="49614" customFormat="1" ht="17.25" customHeight="1"/>
    <row r="49615" customFormat="1" ht="17.25" customHeight="1"/>
    <row r="49616" customFormat="1" ht="17.25" customHeight="1"/>
    <row r="49617" customFormat="1" ht="17.25" customHeight="1"/>
    <row r="49618" customFormat="1" ht="17.25" customHeight="1"/>
    <row r="49619" customFormat="1" ht="17.25" customHeight="1"/>
    <row r="49620" customFormat="1" ht="17.25" customHeight="1"/>
    <row r="49621" customFormat="1" ht="17.25" customHeight="1"/>
    <row r="49622" customFormat="1" ht="17.25" customHeight="1"/>
    <row r="49623" customFormat="1" ht="17.25" customHeight="1"/>
    <row r="49624" customFormat="1" ht="17.25" customHeight="1"/>
    <row r="49625" customFormat="1" ht="17.25" customHeight="1"/>
    <row r="49626" customFormat="1" ht="17.25" customHeight="1"/>
    <row r="49627" customFormat="1" ht="17.25" customHeight="1"/>
    <row r="49628" customFormat="1" ht="17.25" customHeight="1"/>
    <row r="49629" customFormat="1" ht="17.25" customHeight="1"/>
    <row r="49630" customFormat="1" ht="17.25" customHeight="1"/>
    <row r="49631" customFormat="1" ht="17.25" customHeight="1"/>
    <row r="49632" customFormat="1" ht="17.25" customHeight="1"/>
    <row r="49633" customFormat="1" ht="17.25" customHeight="1"/>
    <row r="49634" customFormat="1" ht="17.25" customHeight="1"/>
    <row r="49635" customFormat="1" ht="17.25" customHeight="1"/>
    <row r="49636" customFormat="1" ht="17.25" customHeight="1"/>
    <row r="49637" customFormat="1" ht="17.25" customHeight="1"/>
    <row r="49638" customFormat="1" ht="17.25" customHeight="1"/>
    <row r="49639" customFormat="1" ht="17.25" customHeight="1"/>
    <row r="49640" customFormat="1" ht="17.25" customHeight="1"/>
    <row r="49641" customFormat="1" ht="17.25" customHeight="1"/>
    <row r="49642" customFormat="1" ht="17.25" customHeight="1"/>
    <row r="49643" customFormat="1" ht="17.25" customHeight="1"/>
    <row r="49644" customFormat="1" ht="17.25" customHeight="1"/>
    <row r="49645" customFormat="1" ht="17.25" customHeight="1"/>
    <row r="49646" customFormat="1" ht="17.25" customHeight="1"/>
    <row r="49647" customFormat="1" ht="17.25" customHeight="1"/>
    <row r="49648" customFormat="1" ht="17.25" customHeight="1"/>
    <row r="49649" customFormat="1" ht="17.25" customHeight="1"/>
    <row r="49650" customFormat="1" ht="17.25" customHeight="1"/>
    <row r="49651" customFormat="1" ht="17.25" customHeight="1"/>
    <row r="49652" customFormat="1" ht="17.25" customHeight="1"/>
    <row r="49653" customFormat="1" ht="17.25" customHeight="1"/>
    <row r="49654" customFormat="1" ht="17.25" customHeight="1"/>
    <row r="49655" customFormat="1" ht="17.25" customHeight="1"/>
    <row r="49656" customFormat="1" ht="17.25" customHeight="1"/>
    <row r="49657" customFormat="1" ht="17.25" customHeight="1"/>
    <row r="49658" customFormat="1" ht="17.25" customHeight="1"/>
    <row r="49659" customFormat="1" ht="17.25" customHeight="1"/>
    <row r="49660" customFormat="1" ht="17.25" customHeight="1"/>
    <row r="49661" customFormat="1" ht="17.25" customHeight="1"/>
    <row r="49662" customFormat="1" ht="17.25" customHeight="1"/>
    <row r="49663" customFormat="1" ht="17.25" customHeight="1"/>
    <row r="49664" customFormat="1" ht="17.25" customHeight="1"/>
    <row r="49665" customFormat="1" ht="17.25" customHeight="1"/>
    <row r="49666" customFormat="1" ht="17.25" customHeight="1"/>
    <row r="49667" customFormat="1" ht="17.25" customHeight="1"/>
    <row r="49668" customFormat="1" ht="17.25" customHeight="1"/>
    <row r="49669" customFormat="1" ht="17.25" customHeight="1"/>
    <row r="49670" customFormat="1" ht="17.25" customHeight="1"/>
    <row r="49671" customFormat="1" ht="17.25" customHeight="1"/>
    <row r="49672" customFormat="1" ht="17.25" customHeight="1"/>
    <row r="49673" customFormat="1" ht="17.25" customHeight="1"/>
    <row r="49674" customFormat="1" ht="17.25" customHeight="1"/>
    <row r="49675" customFormat="1" ht="17.25" customHeight="1"/>
    <row r="49676" customFormat="1" ht="17.25" customHeight="1"/>
    <row r="49677" customFormat="1" ht="17.25" customHeight="1"/>
    <row r="49678" customFormat="1" ht="17.25" customHeight="1"/>
    <row r="49679" customFormat="1" ht="17.25" customHeight="1"/>
    <row r="49680" customFormat="1" ht="17.25" customHeight="1"/>
    <row r="49681" customFormat="1" ht="17.25" customHeight="1"/>
    <row r="49682" customFormat="1" ht="17.25" customHeight="1"/>
    <row r="49683" customFormat="1" ht="17.25" customHeight="1"/>
    <row r="49684" customFormat="1" ht="17.25" customHeight="1"/>
    <row r="49685" customFormat="1" ht="17.25" customHeight="1"/>
    <row r="49686" customFormat="1" ht="17.25" customHeight="1"/>
    <row r="49687" customFormat="1" ht="17.25" customHeight="1"/>
    <row r="49688" customFormat="1" ht="17.25" customHeight="1"/>
    <row r="49689" customFormat="1" ht="17.25" customHeight="1"/>
    <row r="49690" customFormat="1" ht="17.25" customHeight="1"/>
    <row r="49691" customFormat="1" ht="17.25" customHeight="1"/>
    <row r="49692" customFormat="1" ht="17.25" customHeight="1"/>
    <row r="49693" customFormat="1" ht="17.25" customHeight="1"/>
    <row r="49694" customFormat="1" ht="17.25" customHeight="1"/>
    <row r="49695" customFormat="1" ht="17.25" customHeight="1"/>
    <row r="49696" customFormat="1" ht="17.25" customHeight="1"/>
    <row r="49697" customFormat="1" ht="17.25" customHeight="1"/>
    <row r="49698" customFormat="1" ht="17.25" customHeight="1"/>
    <row r="49699" customFormat="1" ht="17.25" customHeight="1"/>
    <row r="49700" customFormat="1" ht="17.25" customHeight="1"/>
    <row r="49701" customFormat="1" ht="17.25" customHeight="1"/>
    <row r="49702" customFormat="1" ht="17.25" customHeight="1"/>
    <row r="49703" customFormat="1" ht="17.25" customHeight="1"/>
    <row r="49704" customFormat="1" ht="17.25" customHeight="1"/>
    <row r="49705" customFormat="1" ht="17.25" customHeight="1"/>
    <row r="49706" customFormat="1" ht="17.25" customHeight="1"/>
    <row r="49707" customFormat="1" ht="17.25" customHeight="1"/>
    <row r="49708" customFormat="1" ht="17.25" customHeight="1"/>
    <row r="49709" customFormat="1" ht="17.25" customHeight="1"/>
    <row r="49710" customFormat="1" ht="17.25" customHeight="1"/>
    <row r="49711" customFormat="1" ht="17.25" customHeight="1"/>
    <row r="49712" customFormat="1" ht="17.25" customHeight="1"/>
    <row r="49713" customFormat="1" ht="17.25" customHeight="1"/>
    <row r="49714" customFormat="1" ht="17.25" customHeight="1"/>
    <row r="49715" customFormat="1" ht="17.25" customHeight="1"/>
    <row r="49716" customFormat="1" ht="17.25" customHeight="1"/>
    <row r="49717" customFormat="1" ht="17.25" customHeight="1"/>
    <row r="49718" customFormat="1" ht="17.25" customHeight="1"/>
    <row r="49719" customFormat="1" ht="17.25" customHeight="1"/>
    <row r="49720" customFormat="1" ht="17.25" customHeight="1"/>
    <row r="49721" customFormat="1" ht="17.25" customHeight="1"/>
    <row r="49722" customFormat="1" ht="17.25" customHeight="1"/>
    <row r="49723" customFormat="1" ht="17.25" customHeight="1"/>
    <row r="49724" customFormat="1" ht="17.25" customHeight="1"/>
    <row r="49725" customFormat="1" ht="17.25" customHeight="1"/>
    <row r="49726" customFormat="1" ht="17.25" customHeight="1"/>
    <row r="49727" customFormat="1" ht="17.25" customHeight="1"/>
    <row r="49728" customFormat="1" ht="17.25" customHeight="1"/>
    <row r="49729" customFormat="1" ht="17.25" customHeight="1"/>
    <row r="49730" customFormat="1" ht="17.25" customHeight="1"/>
    <row r="49731" customFormat="1" ht="17.25" customHeight="1"/>
    <row r="49732" customFormat="1" ht="17.25" customHeight="1"/>
    <row r="49733" customFormat="1" ht="17.25" customHeight="1"/>
    <row r="49734" customFormat="1" ht="17.25" customHeight="1"/>
    <row r="49735" customFormat="1" ht="17.25" customHeight="1"/>
    <row r="49736" customFormat="1" ht="17.25" customHeight="1"/>
    <row r="49737" customFormat="1" ht="17.25" customHeight="1"/>
    <row r="49738" customFormat="1" ht="17.25" customHeight="1"/>
    <row r="49739" customFormat="1" ht="17.25" customHeight="1"/>
    <row r="49740" customFormat="1" ht="17.25" customHeight="1"/>
    <row r="49741" customFormat="1" ht="17.25" customHeight="1"/>
    <row r="49742" customFormat="1" ht="17.25" customHeight="1"/>
    <row r="49743" customFormat="1" ht="17.25" customHeight="1"/>
    <row r="49744" customFormat="1" ht="17.25" customHeight="1"/>
    <row r="49745" customFormat="1" ht="17.25" customHeight="1"/>
    <row r="49746" customFormat="1" ht="17.25" customHeight="1"/>
    <row r="49747" customFormat="1" ht="17.25" customHeight="1"/>
    <row r="49748" customFormat="1" ht="17.25" customHeight="1"/>
    <row r="49749" customFormat="1" ht="17.25" customHeight="1"/>
    <row r="49750" customFormat="1" ht="17.25" customHeight="1"/>
    <row r="49751" customFormat="1" ht="17.25" customHeight="1"/>
    <row r="49752" customFormat="1" ht="17.25" customHeight="1"/>
    <row r="49753" customFormat="1" ht="17.25" customHeight="1"/>
    <row r="49754" customFormat="1" ht="17.25" customHeight="1"/>
    <row r="49755" customFormat="1" ht="17.25" customHeight="1"/>
    <row r="49756" customFormat="1" ht="17.25" customHeight="1"/>
    <row r="49757" customFormat="1" ht="17.25" customHeight="1"/>
    <row r="49758" customFormat="1" ht="17.25" customHeight="1"/>
    <row r="49759" customFormat="1" ht="17.25" customHeight="1"/>
    <row r="49760" customFormat="1" ht="17.25" customHeight="1"/>
    <row r="49761" customFormat="1" ht="17.25" customHeight="1"/>
    <row r="49762" customFormat="1" ht="17.25" customHeight="1"/>
    <row r="49763" customFormat="1" ht="17.25" customHeight="1"/>
    <row r="49764" customFormat="1" ht="17.25" customHeight="1"/>
    <row r="49765" customFormat="1" ht="17.25" customHeight="1"/>
    <row r="49766" customFormat="1" ht="17.25" customHeight="1"/>
    <row r="49767" customFormat="1" ht="17.25" customHeight="1"/>
    <row r="49768" customFormat="1" ht="17.25" customHeight="1"/>
    <row r="49769" customFormat="1" ht="17.25" customHeight="1"/>
    <row r="49770" customFormat="1" ht="17.25" customHeight="1"/>
    <row r="49771" customFormat="1" ht="17.25" customHeight="1"/>
    <row r="49772" customFormat="1" ht="17.25" customHeight="1"/>
    <row r="49773" customFormat="1" ht="17.25" customHeight="1"/>
    <row r="49774" customFormat="1" ht="17.25" customHeight="1"/>
    <row r="49775" customFormat="1" ht="17.25" customHeight="1"/>
    <row r="49776" customFormat="1" ht="17.25" customHeight="1"/>
    <row r="49777" customFormat="1" ht="17.25" customHeight="1"/>
    <row r="49778" customFormat="1" ht="17.25" customHeight="1"/>
    <row r="49779" customFormat="1" ht="17.25" customHeight="1"/>
    <row r="49780" customFormat="1" ht="17.25" customHeight="1"/>
    <row r="49781" customFormat="1" ht="17.25" customHeight="1"/>
    <row r="49782" customFormat="1" ht="17.25" customHeight="1"/>
    <row r="49783" customFormat="1" ht="17.25" customHeight="1"/>
    <row r="49784" customFormat="1" ht="17.25" customHeight="1"/>
    <row r="49785" customFormat="1" ht="17.25" customHeight="1"/>
    <row r="49786" customFormat="1" ht="17.25" customHeight="1"/>
    <row r="49787" customFormat="1" ht="17.25" customHeight="1"/>
    <row r="49788" customFormat="1" ht="17.25" customHeight="1"/>
    <row r="49789" customFormat="1" ht="17.25" customHeight="1"/>
    <row r="49790" customFormat="1" ht="17.25" customHeight="1"/>
    <row r="49791" customFormat="1" ht="17.25" customHeight="1"/>
    <row r="49792" customFormat="1" ht="17.25" customHeight="1"/>
    <row r="49793" customFormat="1" ht="17.25" customHeight="1"/>
    <row r="49794" customFormat="1" ht="17.25" customHeight="1"/>
    <row r="49795" customFormat="1" ht="17.25" customHeight="1"/>
    <row r="49796" customFormat="1" ht="17.25" customHeight="1"/>
    <row r="49797" customFormat="1" ht="17.25" customHeight="1"/>
    <row r="49798" customFormat="1" ht="17.25" customHeight="1"/>
    <row r="49799" customFormat="1" ht="17.25" customHeight="1"/>
    <row r="49800" customFormat="1" ht="17.25" customHeight="1"/>
    <row r="49801" customFormat="1" ht="17.25" customHeight="1"/>
    <row r="49802" customFormat="1" ht="17.25" customHeight="1"/>
    <row r="49803" customFormat="1" ht="17.25" customHeight="1"/>
    <row r="49804" customFormat="1" ht="17.25" customHeight="1"/>
    <row r="49805" customFormat="1" ht="17.25" customHeight="1"/>
    <row r="49806" customFormat="1" ht="17.25" customHeight="1"/>
    <row r="49807" customFormat="1" ht="17.25" customHeight="1"/>
    <row r="49808" customFormat="1" ht="17.25" customHeight="1"/>
    <row r="49809" customFormat="1" ht="17.25" customHeight="1"/>
    <row r="49810" customFormat="1" ht="17.25" customHeight="1"/>
    <row r="49811" customFormat="1" ht="17.25" customHeight="1"/>
    <row r="49812" customFormat="1" ht="17.25" customHeight="1"/>
    <row r="49813" customFormat="1" ht="17.25" customHeight="1"/>
    <row r="49814" customFormat="1" ht="17.25" customHeight="1"/>
    <row r="49815" customFormat="1" ht="17.25" customHeight="1"/>
    <row r="49816" customFormat="1" ht="17.25" customHeight="1"/>
    <row r="49817" customFormat="1" ht="17.25" customHeight="1"/>
    <row r="49818" customFormat="1" ht="17.25" customHeight="1"/>
    <row r="49819" customFormat="1" ht="17.25" customHeight="1"/>
    <row r="49820" customFormat="1" ht="17.25" customHeight="1"/>
    <row r="49821" customFormat="1" ht="17.25" customHeight="1"/>
    <row r="49822" customFormat="1" ht="17.25" customHeight="1"/>
    <row r="49823" customFormat="1" ht="17.25" customHeight="1"/>
    <row r="49824" customFormat="1" ht="17.25" customHeight="1"/>
    <row r="49825" customFormat="1" ht="17.25" customHeight="1"/>
    <row r="49826" customFormat="1" ht="17.25" customHeight="1"/>
    <row r="49827" customFormat="1" ht="17.25" customHeight="1"/>
    <row r="49828" customFormat="1" ht="17.25" customHeight="1"/>
    <row r="49829" customFormat="1" ht="17.25" customHeight="1"/>
    <row r="49830" customFormat="1" ht="17.25" customHeight="1"/>
    <row r="49831" customFormat="1" ht="17.25" customHeight="1"/>
    <row r="49832" customFormat="1" ht="17.25" customHeight="1"/>
    <row r="49833" customFormat="1" ht="17.25" customHeight="1"/>
    <row r="49834" customFormat="1" ht="17.25" customHeight="1"/>
    <row r="49835" customFormat="1" ht="17.25" customHeight="1"/>
    <row r="49836" customFormat="1" ht="17.25" customHeight="1"/>
    <row r="49837" customFormat="1" ht="17.25" customHeight="1"/>
    <row r="49838" customFormat="1" ht="17.25" customHeight="1"/>
    <row r="49839" customFormat="1" ht="17.25" customHeight="1"/>
    <row r="49840" customFormat="1" ht="17.25" customHeight="1"/>
    <row r="49841" customFormat="1" ht="17.25" customHeight="1"/>
    <row r="49842" customFormat="1" ht="17.25" customHeight="1"/>
    <row r="49843" customFormat="1" ht="17.25" customHeight="1"/>
    <row r="49844" customFormat="1" ht="17.25" customHeight="1"/>
    <row r="49845" customFormat="1" ht="17.25" customHeight="1"/>
    <row r="49846" customFormat="1" ht="17.25" customHeight="1"/>
    <row r="49847" customFormat="1" ht="17.25" customHeight="1"/>
    <row r="49848" customFormat="1" ht="17.25" customHeight="1"/>
    <row r="49849" customFormat="1" ht="17.25" customHeight="1"/>
    <row r="49850" customFormat="1" ht="17.25" customHeight="1"/>
    <row r="49851" customFormat="1" ht="17.25" customHeight="1"/>
    <row r="49852" customFormat="1" ht="17.25" customHeight="1"/>
    <row r="49853" customFormat="1" ht="17.25" customHeight="1"/>
    <row r="49854" customFormat="1" ht="17.25" customHeight="1"/>
    <row r="49855" customFormat="1" ht="17.25" customHeight="1"/>
    <row r="49856" customFormat="1" ht="17.25" customHeight="1"/>
    <row r="49857" customFormat="1" ht="17.25" customHeight="1"/>
    <row r="49858" customFormat="1" ht="17.25" customHeight="1"/>
    <row r="49859" customFormat="1" ht="17.25" customHeight="1"/>
    <row r="49860" customFormat="1" ht="17.25" customHeight="1"/>
    <row r="49861" customFormat="1" ht="17.25" customHeight="1"/>
    <row r="49862" customFormat="1" ht="17.25" customHeight="1"/>
    <row r="49863" customFormat="1" ht="17.25" customHeight="1"/>
    <row r="49864" customFormat="1" ht="17.25" customHeight="1"/>
    <row r="49865" customFormat="1" ht="17.25" customHeight="1"/>
    <row r="49866" customFormat="1" ht="17.25" customHeight="1"/>
    <row r="49867" customFormat="1" ht="17.25" customHeight="1"/>
    <row r="49868" customFormat="1" ht="17.25" customHeight="1"/>
    <row r="49869" customFormat="1" ht="17.25" customHeight="1"/>
    <row r="49870" customFormat="1" ht="17.25" customHeight="1"/>
    <row r="49871" customFormat="1" ht="17.25" customHeight="1"/>
    <row r="49872" customFormat="1" ht="17.25" customHeight="1"/>
    <row r="49873" customFormat="1" ht="17.25" customHeight="1"/>
    <row r="49874" customFormat="1" ht="17.25" customHeight="1"/>
    <row r="49875" customFormat="1" ht="17.25" customHeight="1"/>
    <row r="49876" customFormat="1" ht="17.25" customHeight="1"/>
    <row r="49877" customFormat="1" ht="17.25" customHeight="1"/>
    <row r="49878" customFormat="1" ht="17.25" customHeight="1"/>
    <row r="49879" customFormat="1" ht="17.25" customHeight="1"/>
    <row r="49880" customFormat="1" ht="17.25" customHeight="1"/>
    <row r="49881" customFormat="1" ht="17.25" customHeight="1"/>
    <row r="49882" customFormat="1" ht="17.25" customHeight="1"/>
    <row r="49883" customFormat="1" ht="17.25" customHeight="1"/>
    <row r="49884" customFormat="1" ht="17.25" customHeight="1"/>
    <row r="49885" customFormat="1" ht="17.25" customHeight="1"/>
    <row r="49886" customFormat="1" ht="17.25" customHeight="1"/>
    <row r="49887" customFormat="1" ht="17.25" customHeight="1"/>
    <row r="49888" customFormat="1" ht="17.25" customHeight="1"/>
    <row r="49889" customFormat="1" ht="17.25" customHeight="1"/>
    <row r="49890" customFormat="1" ht="17.25" customHeight="1"/>
    <row r="49891" customFormat="1" ht="17.25" customHeight="1"/>
    <row r="49892" customFormat="1" ht="17.25" customHeight="1"/>
    <row r="49893" customFormat="1" ht="17.25" customHeight="1"/>
    <row r="49894" customFormat="1" ht="17.25" customHeight="1"/>
    <row r="49895" customFormat="1" ht="17.25" customHeight="1"/>
    <row r="49896" customFormat="1" ht="17.25" customHeight="1"/>
    <row r="49897" customFormat="1" ht="17.25" customHeight="1"/>
    <row r="49898" customFormat="1" ht="17.25" customHeight="1"/>
    <row r="49899" customFormat="1" ht="17.25" customHeight="1"/>
    <row r="49900" customFormat="1" ht="17.25" customHeight="1"/>
    <row r="49901" customFormat="1" ht="17.25" customHeight="1"/>
    <row r="49902" customFormat="1" ht="17.25" customHeight="1"/>
    <row r="49903" customFormat="1" ht="17.25" customHeight="1"/>
    <row r="49904" customFormat="1" ht="17.25" customHeight="1"/>
    <row r="49905" customFormat="1" ht="17.25" customHeight="1"/>
    <row r="49906" customFormat="1" ht="17.25" customHeight="1"/>
    <row r="49907" customFormat="1" ht="17.25" customHeight="1"/>
    <row r="49908" customFormat="1" ht="17.25" customHeight="1"/>
    <row r="49909" customFormat="1" ht="17.25" customHeight="1"/>
    <row r="49910" customFormat="1" ht="17.25" customHeight="1"/>
    <row r="49911" customFormat="1" ht="17.25" customHeight="1"/>
    <row r="49912" customFormat="1" ht="17.25" customHeight="1"/>
    <row r="49913" customFormat="1" ht="17.25" customHeight="1"/>
    <row r="49914" customFormat="1" ht="17.25" customHeight="1"/>
    <row r="49915" customFormat="1" ht="17.25" customHeight="1"/>
    <row r="49916" customFormat="1" ht="17.25" customHeight="1"/>
    <row r="49917" customFormat="1" ht="17.25" customHeight="1"/>
    <row r="49918" customFormat="1" ht="17.25" customHeight="1"/>
    <row r="49919" customFormat="1" ht="17.25" customHeight="1"/>
    <row r="49920" customFormat="1" ht="17.25" customHeight="1"/>
    <row r="49921" customFormat="1" ht="17.25" customHeight="1"/>
    <row r="49922" customFormat="1" ht="17.25" customHeight="1"/>
    <row r="49923" customFormat="1" ht="17.25" customHeight="1"/>
    <row r="49924" customFormat="1" ht="17.25" customHeight="1"/>
    <row r="49925" customFormat="1" ht="17.25" customHeight="1"/>
    <row r="49926" customFormat="1" ht="17.25" customHeight="1"/>
    <row r="49927" customFormat="1" ht="17.25" customHeight="1"/>
    <row r="49928" customFormat="1" ht="17.25" customHeight="1"/>
    <row r="49929" customFormat="1" ht="17.25" customHeight="1"/>
    <row r="49930" customFormat="1" ht="17.25" customHeight="1"/>
    <row r="49931" customFormat="1" ht="17.25" customHeight="1"/>
    <row r="49932" customFormat="1" ht="17.25" customHeight="1"/>
    <row r="49933" customFormat="1" ht="17.25" customHeight="1"/>
    <row r="49934" customFormat="1" ht="17.25" customHeight="1"/>
    <row r="49935" customFormat="1" ht="17.25" customHeight="1"/>
    <row r="49936" customFormat="1" ht="17.25" customHeight="1"/>
    <row r="49937" customFormat="1" ht="17.25" customHeight="1"/>
    <row r="49938" customFormat="1" ht="17.25" customHeight="1"/>
    <row r="49939" customFormat="1" ht="17.25" customHeight="1"/>
    <row r="49940" customFormat="1" ht="17.25" customHeight="1"/>
    <row r="49941" customFormat="1" ht="17.25" customHeight="1"/>
    <row r="49942" customFormat="1" ht="17.25" customHeight="1"/>
    <row r="49943" customFormat="1" ht="17.25" customHeight="1"/>
    <row r="49944" customFormat="1" ht="17.25" customHeight="1"/>
    <row r="49945" customFormat="1" ht="17.25" customHeight="1"/>
    <row r="49946" customFormat="1" ht="17.25" customHeight="1"/>
    <row r="49947" customFormat="1" ht="17.25" customHeight="1"/>
    <row r="49948" customFormat="1" ht="17.25" customHeight="1"/>
    <row r="49949" customFormat="1" ht="17.25" customHeight="1"/>
    <row r="49950" customFormat="1" ht="17.25" customHeight="1"/>
    <row r="49951" customFormat="1" ht="17.25" customHeight="1"/>
    <row r="49952" customFormat="1" ht="17.25" customHeight="1"/>
    <row r="49953" customFormat="1" ht="17.25" customHeight="1"/>
    <row r="49954" customFormat="1" ht="17.25" customHeight="1"/>
    <row r="49955" customFormat="1" ht="17.25" customHeight="1"/>
    <row r="49956" customFormat="1" ht="17.25" customHeight="1"/>
    <row r="49957" customFormat="1" ht="17.25" customHeight="1"/>
    <row r="49958" customFormat="1" ht="17.25" customHeight="1"/>
    <row r="49959" customFormat="1" ht="17.25" customHeight="1"/>
    <row r="49960" customFormat="1" ht="17.25" customHeight="1"/>
    <row r="49961" customFormat="1" ht="17.25" customHeight="1"/>
    <row r="49962" customFormat="1" ht="17.25" customHeight="1"/>
    <row r="49963" customFormat="1" ht="17.25" customHeight="1"/>
    <row r="49964" customFormat="1" ht="17.25" customHeight="1"/>
    <row r="49965" customFormat="1" ht="17.25" customHeight="1"/>
    <row r="49966" customFormat="1" ht="17.25" customHeight="1"/>
    <row r="49967" customFormat="1" ht="17.25" customHeight="1"/>
    <row r="49968" customFormat="1" ht="17.25" customHeight="1"/>
    <row r="49969" customFormat="1" ht="17.25" customHeight="1"/>
    <row r="49970" customFormat="1" ht="17.25" customHeight="1"/>
    <row r="49971" customFormat="1" ht="17.25" customHeight="1"/>
    <row r="49972" customFormat="1" ht="17.25" customHeight="1"/>
    <row r="49973" customFormat="1" ht="17.25" customHeight="1"/>
    <row r="49974" customFormat="1" ht="17.25" customHeight="1"/>
    <row r="49975" customFormat="1" ht="17.25" customHeight="1"/>
    <row r="49976" customFormat="1" ht="17.25" customHeight="1"/>
    <row r="49977" customFormat="1" ht="17.25" customHeight="1"/>
    <row r="49978" customFormat="1" ht="17.25" customHeight="1"/>
    <row r="49979" customFormat="1" ht="17.25" customHeight="1"/>
    <row r="49980" customFormat="1" ht="17.25" customHeight="1"/>
    <row r="49981" customFormat="1" ht="17.25" customHeight="1"/>
    <row r="49982" customFormat="1" ht="17.25" customHeight="1"/>
    <row r="49983" customFormat="1" ht="17.25" customHeight="1"/>
    <row r="49984" customFormat="1" ht="17.25" customHeight="1"/>
    <row r="49985" customFormat="1" ht="17.25" customHeight="1"/>
    <row r="49986" customFormat="1" ht="17.25" customHeight="1"/>
    <row r="49987" customFormat="1" ht="17.25" customHeight="1"/>
    <row r="49988" customFormat="1" ht="17.25" customHeight="1"/>
    <row r="49989" customFormat="1" ht="17.25" customHeight="1"/>
    <row r="49990" customFormat="1" ht="17.25" customHeight="1"/>
    <row r="49991" customFormat="1" ht="17.25" customHeight="1"/>
    <row r="49992" customFormat="1" ht="17.25" customHeight="1"/>
    <row r="49993" customFormat="1" ht="17.25" customHeight="1"/>
    <row r="49994" customFormat="1" ht="17.25" customHeight="1"/>
    <row r="49995" customFormat="1" ht="17.25" customHeight="1"/>
    <row r="49996" customFormat="1" ht="17.25" customHeight="1"/>
    <row r="49997" customFormat="1" ht="17.25" customHeight="1"/>
    <row r="49998" customFormat="1" ht="17.25" customHeight="1"/>
    <row r="49999" customFormat="1" ht="17.25" customHeight="1"/>
    <row r="50000" customFormat="1" ht="17.25" customHeight="1"/>
    <row r="50001" customFormat="1" ht="17.25" customHeight="1"/>
    <row r="50002" customFormat="1" ht="17.25" customHeight="1"/>
    <row r="50003" customFormat="1" ht="17.25" customHeight="1"/>
    <row r="50004" customFormat="1" ht="17.25" customHeight="1"/>
    <row r="50005" customFormat="1" ht="17.25" customHeight="1"/>
    <row r="50006" customFormat="1" ht="17.25" customHeight="1"/>
    <row r="50007" customFormat="1" ht="17.25" customHeight="1"/>
    <row r="50008" customFormat="1" ht="17.25" customHeight="1"/>
    <row r="50009" customFormat="1" ht="17.25" customHeight="1"/>
    <row r="50010" customFormat="1" ht="17.25" customHeight="1"/>
    <row r="50011" customFormat="1" ht="17.25" customHeight="1"/>
    <row r="50012" customFormat="1" ht="17.25" customHeight="1"/>
    <row r="50013" customFormat="1" ht="17.25" customHeight="1"/>
    <row r="50014" customFormat="1" ht="17.25" customHeight="1"/>
    <row r="50015" customFormat="1" ht="17.25" customHeight="1"/>
    <row r="50016" customFormat="1" ht="17.25" customHeight="1"/>
    <row r="50017" customFormat="1" ht="17.25" customHeight="1"/>
    <row r="50018" customFormat="1" ht="17.25" customHeight="1"/>
    <row r="50019" customFormat="1" ht="17.25" customHeight="1"/>
    <row r="50020" customFormat="1" ht="17.25" customHeight="1"/>
    <row r="50021" customFormat="1" ht="17.25" customHeight="1"/>
    <row r="50022" customFormat="1" ht="17.25" customHeight="1"/>
    <row r="50023" customFormat="1" ht="17.25" customHeight="1"/>
    <row r="50024" customFormat="1" ht="17.25" customHeight="1"/>
    <row r="50025" customFormat="1" ht="17.25" customHeight="1"/>
    <row r="50026" customFormat="1" ht="17.25" customHeight="1"/>
    <row r="50027" customFormat="1" ht="17.25" customHeight="1"/>
    <row r="50028" customFormat="1" ht="17.25" customHeight="1"/>
    <row r="50029" customFormat="1" ht="17.25" customHeight="1"/>
    <row r="50030" customFormat="1" ht="17.25" customHeight="1"/>
    <row r="50031" customFormat="1" ht="17.25" customHeight="1"/>
    <row r="50032" customFormat="1" ht="17.25" customHeight="1"/>
    <row r="50033" customFormat="1" ht="17.25" customHeight="1"/>
    <row r="50034" customFormat="1" ht="17.25" customHeight="1"/>
    <row r="50035" customFormat="1" ht="17.25" customHeight="1"/>
    <row r="50036" customFormat="1" ht="17.25" customHeight="1"/>
    <row r="50037" customFormat="1" ht="17.25" customHeight="1"/>
    <row r="50038" customFormat="1" ht="17.25" customHeight="1"/>
    <row r="50039" customFormat="1" ht="17.25" customHeight="1"/>
    <row r="50040" customFormat="1" ht="17.25" customHeight="1"/>
    <row r="50041" customFormat="1" ht="17.25" customHeight="1"/>
    <row r="50042" customFormat="1" ht="17.25" customHeight="1"/>
    <row r="50043" customFormat="1" ht="17.25" customHeight="1"/>
    <row r="50044" customFormat="1" ht="17.25" customHeight="1"/>
    <row r="50045" customFormat="1" ht="17.25" customHeight="1"/>
    <row r="50046" customFormat="1" ht="17.25" customHeight="1"/>
    <row r="50047" customFormat="1" ht="17.25" customHeight="1"/>
    <row r="50048" customFormat="1" ht="17.25" customHeight="1"/>
    <row r="50049" customFormat="1" ht="17.25" customHeight="1"/>
    <row r="50050" customFormat="1" ht="17.25" customHeight="1"/>
    <row r="50051" customFormat="1" ht="17.25" customHeight="1"/>
    <row r="50052" customFormat="1" ht="17.25" customHeight="1"/>
    <row r="50053" customFormat="1" ht="17.25" customHeight="1"/>
    <row r="50054" customFormat="1" ht="17.25" customHeight="1"/>
    <row r="50055" customFormat="1" ht="17.25" customHeight="1"/>
    <row r="50056" customFormat="1" ht="17.25" customHeight="1"/>
    <row r="50057" customFormat="1" ht="17.25" customHeight="1"/>
    <row r="50058" customFormat="1" ht="17.25" customHeight="1"/>
    <row r="50059" customFormat="1" ht="17.25" customHeight="1"/>
    <row r="50060" customFormat="1" ht="17.25" customHeight="1"/>
    <row r="50061" customFormat="1" ht="17.25" customHeight="1"/>
    <row r="50062" customFormat="1" ht="17.25" customHeight="1"/>
    <row r="50063" customFormat="1" ht="17.25" customHeight="1"/>
    <row r="50064" customFormat="1" ht="17.25" customHeight="1"/>
    <row r="50065" customFormat="1" ht="17.25" customHeight="1"/>
    <row r="50066" customFormat="1" ht="17.25" customHeight="1"/>
    <row r="50067" customFormat="1" ht="17.25" customHeight="1"/>
    <row r="50068" customFormat="1" ht="17.25" customHeight="1"/>
    <row r="50069" customFormat="1" ht="17.25" customHeight="1"/>
    <row r="50070" customFormat="1" ht="17.25" customHeight="1"/>
    <row r="50071" customFormat="1" ht="17.25" customHeight="1"/>
    <row r="50072" customFormat="1" ht="17.25" customHeight="1"/>
    <row r="50073" customFormat="1" ht="17.25" customHeight="1"/>
    <row r="50074" customFormat="1" ht="17.25" customHeight="1"/>
    <row r="50075" customFormat="1" ht="17.25" customHeight="1"/>
    <row r="50076" customFormat="1" ht="17.25" customHeight="1"/>
    <row r="50077" customFormat="1" ht="17.25" customHeight="1"/>
    <row r="50078" customFormat="1" ht="17.25" customHeight="1"/>
    <row r="50079" customFormat="1" ht="17.25" customHeight="1"/>
    <row r="50080" customFormat="1" ht="17.25" customHeight="1"/>
    <row r="50081" customFormat="1" ht="17.25" customHeight="1"/>
    <row r="50082" customFormat="1" ht="17.25" customHeight="1"/>
    <row r="50083" customFormat="1" ht="17.25" customHeight="1"/>
    <row r="50084" customFormat="1" ht="17.25" customHeight="1"/>
    <row r="50085" customFormat="1" ht="17.25" customHeight="1"/>
    <row r="50086" customFormat="1" ht="17.25" customHeight="1"/>
    <row r="50087" customFormat="1" ht="17.25" customHeight="1"/>
    <row r="50088" customFormat="1" ht="17.25" customHeight="1"/>
    <row r="50089" customFormat="1" ht="17.25" customHeight="1"/>
    <row r="50090" customFormat="1" ht="17.25" customHeight="1"/>
    <row r="50091" customFormat="1" ht="17.25" customHeight="1"/>
    <row r="50092" customFormat="1" ht="17.25" customHeight="1"/>
    <row r="50093" customFormat="1" ht="17.25" customHeight="1"/>
    <row r="50094" customFormat="1" ht="17.25" customHeight="1"/>
    <row r="50095" customFormat="1" ht="17.25" customHeight="1"/>
    <row r="50096" customFormat="1" ht="17.25" customHeight="1"/>
    <row r="50097" customFormat="1" ht="17.25" customHeight="1"/>
    <row r="50098" customFormat="1" ht="17.25" customHeight="1"/>
    <row r="50099" customFormat="1" ht="17.25" customHeight="1"/>
    <row r="50100" customFormat="1" ht="17.25" customHeight="1"/>
    <row r="50101" customFormat="1" ht="17.25" customHeight="1"/>
    <row r="50102" customFormat="1" ht="17.25" customHeight="1"/>
    <row r="50103" customFormat="1" ht="17.25" customHeight="1"/>
    <row r="50104" customFormat="1" ht="17.25" customHeight="1"/>
    <row r="50105" customFormat="1" ht="17.25" customHeight="1"/>
    <row r="50106" customFormat="1" ht="17.25" customHeight="1"/>
    <row r="50107" customFormat="1" ht="17.25" customHeight="1"/>
    <row r="50108" customFormat="1" ht="17.25" customHeight="1"/>
    <row r="50109" customFormat="1" ht="17.25" customHeight="1"/>
    <row r="50110" customFormat="1" ht="17.25" customHeight="1"/>
    <row r="50111" customFormat="1" ht="17.25" customHeight="1"/>
    <row r="50112" customFormat="1" ht="17.25" customHeight="1"/>
    <row r="50113" customFormat="1" ht="17.25" customHeight="1"/>
    <row r="50114" customFormat="1" ht="17.25" customHeight="1"/>
    <row r="50115" customFormat="1" ht="17.25" customHeight="1"/>
    <row r="50116" customFormat="1" ht="17.25" customHeight="1"/>
    <row r="50117" customFormat="1" ht="17.25" customHeight="1"/>
    <row r="50118" customFormat="1" ht="17.25" customHeight="1"/>
    <row r="50119" customFormat="1" ht="17.25" customHeight="1"/>
    <row r="50120" customFormat="1" ht="17.25" customHeight="1"/>
    <row r="50121" customFormat="1" ht="17.25" customHeight="1"/>
    <row r="50122" customFormat="1" ht="17.25" customHeight="1"/>
    <row r="50123" customFormat="1" ht="17.25" customHeight="1"/>
    <row r="50124" customFormat="1" ht="17.25" customHeight="1"/>
    <row r="50125" customFormat="1" ht="17.25" customHeight="1"/>
    <row r="50126" customFormat="1" ht="17.25" customHeight="1"/>
    <row r="50127" customFormat="1" ht="17.25" customHeight="1"/>
    <row r="50128" customFormat="1" ht="17.25" customHeight="1"/>
    <row r="50129" customFormat="1" ht="17.25" customHeight="1"/>
    <row r="50130" customFormat="1" ht="17.25" customHeight="1"/>
    <row r="50131" customFormat="1" ht="17.25" customHeight="1"/>
    <row r="50132" customFormat="1" ht="17.25" customHeight="1"/>
    <row r="50133" customFormat="1" ht="17.25" customHeight="1"/>
    <row r="50134" customFormat="1" ht="17.25" customHeight="1"/>
    <row r="50135" customFormat="1" ht="17.25" customHeight="1"/>
    <row r="50136" customFormat="1" ht="17.25" customHeight="1"/>
    <row r="50137" customFormat="1" ht="17.25" customHeight="1"/>
    <row r="50138" customFormat="1" ht="17.25" customHeight="1"/>
    <row r="50139" customFormat="1" ht="17.25" customHeight="1"/>
    <row r="50140" customFormat="1" ht="17.25" customHeight="1"/>
    <row r="50141" customFormat="1" ht="17.25" customHeight="1"/>
    <row r="50142" customFormat="1" ht="17.25" customHeight="1"/>
    <row r="50143" customFormat="1" ht="17.25" customHeight="1"/>
    <row r="50144" customFormat="1" ht="17.25" customHeight="1"/>
    <row r="50145" customFormat="1" ht="17.25" customHeight="1"/>
    <row r="50146" customFormat="1" ht="17.25" customHeight="1"/>
    <row r="50147" customFormat="1" ht="17.25" customHeight="1"/>
    <row r="50148" customFormat="1" ht="17.25" customHeight="1"/>
    <row r="50149" customFormat="1" ht="17.25" customHeight="1"/>
    <row r="50150" customFormat="1" ht="17.25" customHeight="1"/>
    <row r="50151" customFormat="1" ht="17.25" customHeight="1"/>
    <row r="50152" customFormat="1" ht="17.25" customHeight="1"/>
    <row r="50153" customFormat="1" ht="17.25" customHeight="1"/>
    <row r="50154" customFormat="1" ht="17.25" customHeight="1"/>
    <row r="50155" customFormat="1" ht="17.25" customHeight="1"/>
    <row r="50156" customFormat="1" ht="17.25" customHeight="1"/>
    <row r="50157" customFormat="1" ht="17.25" customHeight="1"/>
    <row r="50158" customFormat="1" ht="17.25" customHeight="1"/>
    <row r="50159" customFormat="1" ht="17.25" customHeight="1"/>
    <row r="50160" customFormat="1" ht="17.25" customHeight="1"/>
    <row r="50161" customFormat="1" ht="17.25" customHeight="1"/>
    <row r="50162" customFormat="1" ht="17.25" customHeight="1"/>
    <row r="50163" customFormat="1" ht="17.25" customHeight="1"/>
    <row r="50164" customFormat="1" ht="17.25" customHeight="1"/>
    <row r="50165" customFormat="1" ht="17.25" customHeight="1"/>
    <row r="50166" customFormat="1" ht="17.25" customHeight="1"/>
    <row r="50167" customFormat="1" ht="17.25" customHeight="1"/>
    <row r="50168" customFormat="1" ht="17.25" customHeight="1"/>
    <row r="50169" customFormat="1" ht="17.25" customHeight="1"/>
    <row r="50170" customFormat="1" ht="17.25" customHeight="1"/>
    <row r="50171" customFormat="1" ht="17.25" customHeight="1"/>
    <row r="50172" customFormat="1" ht="17.25" customHeight="1"/>
    <row r="50173" customFormat="1" ht="17.25" customHeight="1"/>
    <row r="50174" customFormat="1" ht="17.25" customHeight="1"/>
    <row r="50175" customFormat="1" ht="17.25" customHeight="1"/>
    <row r="50176" customFormat="1" ht="17.25" customHeight="1"/>
    <row r="50177" customFormat="1" ht="17.25" customHeight="1"/>
    <row r="50178" customFormat="1" ht="17.25" customHeight="1"/>
    <row r="50179" customFormat="1" ht="17.25" customHeight="1"/>
    <row r="50180" customFormat="1" ht="17.25" customHeight="1"/>
    <row r="50181" customFormat="1" ht="17.25" customHeight="1"/>
    <row r="50182" customFormat="1" ht="17.25" customHeight="1"/>
    <row r="50183" customFormat="1" ht="17.25" customHeight="1"/>
    <row r="50184" customFormat="1" ht="17.25" customHeight="1"/>
    <row r="50185" customFormat="1" ht="17.25" customHeight="1"/>
    <row r="50186" customFormat="1" ht="17.25" customHeight="1"/>
    <row r="50187" customFormat="1" ht="17.25" customHeight="1"/>
    <row r="50188" customFormat="1" ht="17.25" customHeight="1"/>
    <row r="50189" customFormat="1" ht="17.25" customHeight="1"/>
    <row r="50190" customFormat="1" ht="17.25" customHeight="1"/>
    <row r="50191" customFormat="1" ht="17.25" customHeight="1"/>
    <row r="50192" customFormat="1" ht="17.25" customHeight="1"/>
    <row r="50193" customFormat="1" ht="17.25" customHeight="1"/>
    <row r="50194" customFormat="1" ht="17.25" customHeight="1"/>
    <row r="50195" customFormat="1" ht="17.25" customHeight="1"/>
    <row r="50196" customFormat="1" ht="17.25" customHeight="1"/>
    <row r="50197" customFormat="1" ht="17.25" customHeight="1"/>
    <row r="50198" customFormat="1" ht="17.25" customHeight="1"/>
    <row r="50199" customFormat="1" ht="17.25" customHeight="1"/>
    <row r="50200" customFormat="1" ht="17.25" customHeight="1"/>
    <row r="50201" customFormat="1" ht="17.25" customHeight="1"/>
    <row r="50202" customFormat="1" ht="17.25" customHeight="1"/>
    <row r="50203" customFormat="1" ht="17.25" customHeight="1"/>
    <row r="50204" customFormat="1" ht="17.25" customHeight="1"/>
    <row r="50205" customFormat="1" ht="17.25" customHeight="1"/>
    <row r="50206" customFormat="1" ht="17.25" customHeight="1"/>
    <row r="50207" customFormat="1" ht="17.25" customHeight="1"/>
    <row r="50208" customFormat="1" ht="17.25" customHeight="1"/>
    <row r="50209" customFormat="1" ht="17.25" customHeight="1"/>
    <row r="50210" customFormat="1" ht="17.25" customHeight="1"/>
    <row r="50211" customFormat="1" ht="17.25" customHeight="1"/>
    <row r="50212" customFormat="1" ht="17.25" customHeight="1"/>
    <row r="50213" customFormat="1" ht="17.25" customHeight="1"/>
    <row r="50214" customFormat="1" ht="17.25" customHeight="1"/>
    <row r="50215" customFormat="1" ht="17.25" customHeight="1"/>
    <row r="50216" customFormat="1" ht="17.25" customHeight="1"/>
    <row r="50217" customFormat="1" ht="17.25" customHeight="1"/>
    <row r="50218" customFormat="1" ht="17.25" customHeight="1"/>
    <row r="50219" customFormat="1" ht="17.25" customHeight="1"/>
    <row r="50220" customFormat="1" ht="17.25" customHeight="1"/>
    <row r="50221" customFormat="1" ht="17.25" customHeight="1"/>
    <row r="50222" customFormat="1" ht="17.25" customHeight="1"/>
    <row r="50223" customFormat="1" ht="17.25" customHeight="1"/>
    <row r="50224" customFormat="1" ht="17.25" customHeight="1"/>
    <row r="50225" customFormat="1" ht="17.25" customHeight="1"/>
    <row r="50226" customFormat="1" ht="17.25" customHeight="1"/>
    <row r="50227" customFormat="1" ht="17.25" customHeight="1"/>
    <row r="50228" customFormat="1" ht="17.25" customHeight="1"/>
    <row r="50229" customFormat="1" ht="17.25" customHeight="1"/>
    <row r="50230" customFormat="1" ht="17.25" customHeight="1"/>
    <row r="50231" customFormat="1" ht="17.25" customHeight="1"/>
    <row r="50232" customFormat="1" ht="17.25" customHeight="1"/>
    <row r="50233" customFormat="1" ht="17.25" customHeight="1"/>
    <row r="50234" customFormat="1" ht="17.25" customHeight="1"/>
    <row r="50235" customFormat="1" ht="17.25" customHeight="1"/>
    <row r="50236" customFormat="1" ht="17.25" customHeight="1"/>
    <row r="50237" customFormat="1" ht="17.25" customHeight="1"/>
    <row r="50238" customFormat="1" ht="17.25" customHeight="1"/>
    <row r="50239" customFormat="1" ht="17.25" customHeight="1"/>
    <row r="50240" customFormat="1" ht="17.25" customHeight="1"/>
    <row r="50241" customFormat="1" ht="17.25" customHeight="1"/>
    <row r="50242" customFormat="1" ht="17.25" customHeight="1"/>
    <row r="50243" customFormat="1" ht="17.25" customHeight="1"/>
    <row r="50244" customFormat="1" ht="17.25" customHeight="1"/>
    <row r="50245" customFormat="1" ht="17.25" customHeight="1"/>
    <row r="50246" customFormat="1" ht="17.25" customHeight="1"/>
    <row r="50247" customFormat="1" ht="17.25" customHeight="1"/>
    <row r="50248" customFormat="1" ht="17.25" customHeight="1"/>
    <row r="50249" customFormat="1" ht="17.25" customHeight="1"/>
    <row r="50250" customFormat="1" ht="17.25" customHeight="1"/>
    <row r="50251" customFormat="1" ht="17.25" customHeight="1"/>
    <row r="50252" customFormat="1" ht="17.25" customHeight="1"/>
    <row r="50253" customFormat="1" ht="17.25" customHeight="1"/>
    <row r="50254" customFormat="1" ht="17.25" customHeight="1"/>
    <row r="50255" customFormat="1" ht="17.25" customHeight="1"/>
    <row r="50256" customFormat="1" ht="17.25" customHeight="1"/>
    <row r="50257" customFormat="1" ht="17.25" customHeight="1"/>
    <row r="50258" customFormat="1" ht="17.25" customHeight="1"/>
    <row r="50259" customFormat="1" ht="17.25" customHeight="1"/>
    <row r="50260" customFormat="1" ht="17.25" customHeight="1"/>
    <row r="50261" customFormat="1" ht="17.25" customHeight="1"/>
    <row r="50262" customFormat="1" ht="17.25" customHeight="1"/>
    <row r="50263" customFormat="1" ht="17.25" customHeight="1"/>
    <row r="50264" customFormat="1" ht="17.25" customHeight="1"/>
    <row r="50265" customFormat="1" ht="17.25" customHeight="1"/>
    <row r="50266" customFormat="1" ht="17.25" customHeight="1"/>
    <row r="50267" customFormat="1" ht="17.25" customHeight="1"/>
    <row r="50268" customFormat="1" ht="17.25" customHeight="1"/>
    <row r="50269" customFormat="1" ht="17.25" customHeight="1"/>
    <row r="50270" customFormat="1" ht="17.25" customHeight="1"/>
    <row r="50271" customFormat="1" ht="17.25" customHeight="1"/>
    <row r="50272" customFormat="1" ht="17.25" customHeight="1"/>
    <row r="50273" customFormat="1" ht="17.25" customHeight="1"/>
    <row r="50274" customFormat="1" ht="17.25" customHeight="1"/>
    <row r="50275" customFormat="1" ht="17.25" customHeight="1"/>
    <row r="50276" customFormat="1" ht="17.25" customHeight="1"/>
    <row r="50277" customFormat="1" ht="17.25" customHeight="1"/>
    <row r="50278" customFormat="1" ht="17.25" customHeight="1"/>
    <row r="50279" customFormat="1" ht="17.25" customHeight="1"/>
    <row r="50280" customFormat="1" ht="17.25" customHeight="1"/>
    <row r="50281" customFormat="1" ht="17.25" customHeight="1"/>
    <row r="50282" customFormat="1" ht="17.25" customHeight="1"/>
    <row r="50283" customFormat="1" ht="17.25" customHeight="1"/>
    <row r="50284" customFormat="1" ht="17.25" customHeight="1"/>
    <row r="50285" customFormat="1" ht="17.25" customHeight="1"/>
    <row r="50286" customFormat="1" ht="17.25" customHeight="1"/>
    <row r="50287" customFormat="1" ht="17.25" customHeight="1"/>
    <row r="50288" customFormat="1" ht="17.25" customHeight="1"/>
    <row r="50289" customFormat="1" ht="17.25" customHeight="1"/>
    <row r="50290" customFormat="1" ht="17.25" customHeight="1"/>
    <row r="50291" customFormat="1" ht="17.25" customHeight="1"/>
    <row r="50292" customFormat="1" ht="17.25" customHeight="1"/>
    <row r="50293" customFormat="1" ht="17.25" customHeight="1"/>
    <row r="50294" customFormat="1" ht="17.25" customHeight="1"/>
    <row r="50295" customFormat="1" ht="17.25" customHeight="1"/>
    <row r="50296" customFormat="1" ht="17.25" customHeight="1"/>
    <row r="50297" customFormat="1" ht="17.25" customHeight="1"/>
    <row r="50298" customFormat="1" ht="17.25" customHeight="1"/>
    <row r="50299" customFormat="1" ht="17.25" customHeight="1"/>
    <row r="50300" customFormat="1" ht="17.25" customHeight="1"/>
    <row r="50301" customFormat="1" ht="17.25" customHeight="1"/>
    <row r="50302" customFormat="1" ht="17.25" customHeight="1"/>
    <row r="50303" customFormat="1" ht="17.25" customHeight="1"/>
    <row r="50304" customFormat="1" ht="17.25" customHeight="1"/>
    <row r="50305" customFormat="1" ht="17.25" customHeight="1"/>
    <row r="50306" customFormat="1" ht="17.25" customHeight="1"/>
    <row r="50307" customFormat="1" ht="17.25" customHeight="1"/>
    <row r="50308" customFormat="1" ht="17.25" customHeight="1"/>
    <row r="50309" customFormat="1" ht="17.25" customHeight="1"/>
    <row r="50310" customFormat="1" ht="17.25" customHeight="1"/>
    <row r="50311" customFormat="1" ht="17.25" customHeight="1"/>
    <row r="50312" customFormat="1" ht="17.25" customHeight="1"/>
    <row r="50313" customFormat="1" ht="17.25" customHeight="1"/>
    <row r="50314" customFormat="1" ht="17.25" customHeight="1"/>
    <row r="50315" customFormat="1" ht="17.25" customHeight="1"/>
    <row r="50316" customFormat="1" ht="17.25" customHeight="1"/>
    <row r="50317" customFormat="1" ht="17.25" customHeight="1"/>
    <row r="50318" customFormat="1" ht="17.25" customHeight="1"/>
    <row r="50319" customFormat="1" ht="17.25" customHeight="1"/>
    <row r="50320" customFormat="1" ht="17.25" customHeight="1"/>
    <row r="50321" customFormat="1" ht="17.25" customHeight="1"/>
    <row r="50322" customFormat="1" ht="17.25" customHeight="1"/>
    <row r="50323" customFormat="1" ht="17.25" customHeight="1"/>
    <row r="50324" customFormat="1" ht="17.25" customHeight="1"/>
    <row r="50325" customFormat="1" ht="17.25" customHeight="1"/>
    <row r="50326" customFormat="1" ht="17.25" customHeight="1"/>
    <row r="50327" customFormat="1" ht="17.25" customHeight="1"/>
    <row r="50328" customFormat="1" ht="17.25" customHeight="1"/>
    <row r="50329" customFormat="1" ht="17.25" customHeight="1"/>
    <row r="50330" customFormat="1" ht="17.25" customHeight="1"/>
    <row r="50331" customFormat="1" ht="17.25" customHeight="1"/>
    <row r="50332" customFormat="1" ht="17.25" customHeight="1"/>
    <row r="50333" customFormat="1" ht="17.25" customHeight="1"/>
    <row r="50334" customFormat="1" ht="17.25" customHeight="1"/>
    <row r="50335" customFormat="1" ht="17.25" customHeight="1"/>
    <row r="50336" customFormat="1" ht="17.25" customHeight="1"/>
    <row r="50337" customFormat="1" ht="17.25" customHeight="1"/>
    <row r="50338" customFormat="1" ht="17.25" customHeight="1"/>
    <row r="50339" customFormat="1" ht="17.25" customHeight="1"/>
    <row r="50340" customFormat="1" ht="17.25" customHeight="1"/>
    <row r="50341" customFormat="1" ht="17.25" customHeight="1"/>
    <row r="50342" customFormat="1" ht="17.25" customHeight="1"/>
    <row r="50343" customFormat="1" ht="17.25" customHeight="1"/>
    <row r="50344" customFormat="1" ht="17.25" customHeight="1"/>
    <row r="50345" customFormat="1" ht="17.25" customHeight="1"/>
    <row r="50346" customFormat="1" ht="17.25" customHeight="1"/>
    <row r="50347" customFormat="1" ht="17.25" customHeight="1"/>
    <row r="50348" customFormat="1" ht="17.25" customHeight="1"/>
    <row r="50349" customFormat="1" ht="17.25" customHeight="1"/>
    <row r="50350" customFormat="1" ht="17.25" customHeight="1"/>
    <row r="50351" customFormat="1" ht="17.25" customHeight="1"/>
    <row r="50352" customFormat="1" ht="17.25" customHeight="1"/>
    <row r="50353" customFormat="1" ht="17.25" customHeight="1"/>
    <row r="50354" customFormat="1" ht="17.25" customHeight="1"/>
    <row r="50355" customFormat="1" ht="17.25" customHeight="1"/>
    <row r="50356" customFormat="1" ht="17.25" customHeight="1"/>
    <row r="50357" customFormat="1" ht="17.25" customHeight="1"/>
    <row r="50358" customFormat="1" ht="17.25" customHeight="1"/>
    <row r="50359" customFormat="1" ht="17.25" customHeight="1"/>
    <row r="50360" customFormat="1" ht="17.25" customHeight="1"/>
    <row r="50361" customFormat="1" ht="17.25" customHeight="1"/>
    <row r="50362" customFormat="1" ht="17.25" customHeight="1"/>
    <row r="50363" customFormat="1" ht="17.25" customHeight="1"/>
    <row r="50364" customFormat="1" ht="17.25" customHeight="1"/>
    <row r="50365" customFormat="1" ht="17.25" customHeight="1"/>
    <row r="50366" customFormat="1" ht="17.25" customHeight="1"/>
    <row r="50367" customFormat="1" ht="17.25" customHeight="1"/>
    <row r="50368" customFormat="1" ht="17.25" customHeight="1"/>
    <row r="50369" customFormat="1" ht="17.25" customHeight="1"/>
    <row r="50370" customFormat="1" ht="17.25" customHeight="1"/>
    <row r="50371" customFormat="1" ht="17.25" customHeight="1"/>
    <row r="50372" customFormat="1" ht="17.25" customHeight="1"/>
    <row r="50373" customFormat="1" ht="17.25" customHeight="1"/>
    <row r="50374" customFormat="1" ht="17.25" customHeight="1"/>
    <row r="50375" customFormat="1" ht="17.25" customHeight="1"/>
    <row r="50376" customFormat="1" ht="17.25" customHeight="1"/>
    <row r="50377" customFormat="1" ht="17.25" customHeight="1"/>
    <row r="50378" customFormat="1" ht="17.25" customHeight="1"/>
    <row r="50379" customFormat="1" ht="17.25" customHeight="1"/>
    <row r="50380" customFormat="1" ht="17.25" customHeight="1"/>
    <row r="50381" customFormat="1" ht="17.25" customHeight="1"/>
    <row r="50382" customFormat="1" ht="17.25" customHeight="1"/>
    <row r="50383" customFormat="1" ht="17.25" customHeight="1"/>
    <row r="50384" customFormat="1" ht="17.25" customHeight="1"/>
    <row r="50385" customFormat="1" ht="17.25" customHeight="1"/>
    <row r="50386" customFormat="1" ht="17.25" customHeight="1"/>
    <row r="50387" customFormat="1" ht="17.25" customHeight="1"/>
    <row r="50388" customFormat="1" ht="17.25" customHeight="1"/>
    <row r="50389" customFormat="1" ht="17.25" customHeight="1"/>
    <row r="50390" customFormat="1" ht="17.25" customHeight="1"/>
    <row r="50391" customFormat="1" ht="17.25" customHeight="1"/>
    <row r="50392" customFormat="1" ht="17.25" customHeight="1"/>
    <row r="50393" customFormat="1" ht="17.25" customHeight="1"/>
    <row r="50394" customFormat="1" ht="17.25" customHeight="1"/>
    <row r="50395" customFormat="1" ht="17.25" customHeight="1"/>
    <row r="50396" customFormat="1" ht="17.25" customHeight="1"/>
    <row r="50397" customFormat="1" ht="17.25" customHeight="1"/>
    <row r="50398" customFormat="1" ht="17.25" customHeight="1"/>
    <row r="50399" customFormat="1" ht="17.25" customHeight="1"/>
    <row r="50400" customFormat="1" ht="17.25" customHeight="1"/>
    <row r="50401" customFormat="1" ht="17.25" customHeight="1"/>
    <row r="50402" customFormat="1" ht="17.25" customHeight="1"/>
    <row r="50403" customFormat="1" ht="17.25" customHeight="1"/>
    <row r="50404" customFormat="1" ht="17.25" customHeight="1"/>
    <row r="50405" customFormat="1" ht="17.25" customHeight="1"/>
    <row r="50406" customFormat="1" ht="17.25" customHeight="1"/>
    <row r="50407" customFormat="1" ht="17.25" customHeight="1"/>
    <row r="50408" customFormat="1" ht="17.25" customHeight="1"/>
    <row r="50409" customFormat="1" ht="17.25" customHeight="1"/>
    <row r="50410" customFormat="1" ht="17.25" customHeight="1"/>
    <row r="50411" customFormat="1" ht="17.25" customHeight="1"/>
    <row r="50412" customFormat="1" ht="17.25" customHeight="1"/>
    <row r="50413" customFormat="1" ht="17.25" customHeight="1"/>
    <row r="50414" customFormat="1" ht="17.25" customHeight="1"/>
    <row r="50415" customFormat="1" ht="17.25" customHeight="1"/>
    <row r="50416" customFormat="1" ht="17.25" customHeight="1"/>
    <row r="50417" customFormat="1" ht="17.25" customHeight="1"/>
    <row r="50418" customFormat="1" ht="17.25" customHeight="1"/>
    <row r="50419" customFormat="1" ht="17.25" customHeight="1"/>
    <row r="50420" customFormat="1" ht="17.25" customHeight="1"/>
    <row r="50421" customFormat="1" ht="17.25" customHeight="1"/>
    <row r="50422" customFormat="1" ht="17.25" customHeight="1"/>
    <row r="50423" customFormat="1" ht="17.25" customHeight="1"/>
    <row r="50424" customFormat="1" ht="17.25" customHeight="1"/>
    <row r="50425" customFormat="1" ht="17.25" customHeight="1"/>
    <row r="50426" customFormat="1" ht="17.25" customHeight="1"/>
    <row r="50427" customFormat="1" ht="17.25" customHeight="1"/>
    <row r="50428" customFormat="1" ht="17.25" customHeight="1"/>
    <row r="50429" customFormat="1" ht="17.25" customHeight="1"/>
    <row r="50430" customFormat="1" ht="17.25" customHeight="1"/>
    <row r="50431" customFormat="1" ht="17.25" customHeight="1"/>
    <row r="50432" customFormat="1" ht="17.25" customHeight="1"/>
    <row r="50433" customFormat="1" ht="17.25" customHeight="1"/>
    <row r="50434" customFormat="1" ht="17.25" customHeight="1"/>
    <row r="50435" customFormat="1" ht="17.25" customHeight="1"/>
    <row r="50436" customFormat="1" ht="17.25" customHeight="1"/>
    <row r="50437" customFormat="1" ht="17.25" customHeight="1"/>
    <row r="50438" customFormat="1" ht="17.25" customHeight="1"/>
    <row r="50439" customFormat="1" ht="17.25" customHeight="1"/>
    <row r="50440" customFormat="1" ht="17.25" customHeight="1"/>
    <row r="50441" customFormat="1" ht="17.25" customHeight="1"/>
    <row r="50442" customFormat="1" ht="17.25" customHeight="1"/>
    <row r="50443" customFormat="1" ht="17.25" customHeight="1"/>
    <row r="50444" customFormat="1" ht="17.25" customHeight="1"/>
    <row r="50445" customFormat="1" ht="17.25" customHeight="1"/>
    <row r="50446" customFormat="1" ht="17.25" customHeight="1"/>
    <row r="50447" customFormat="1" ht="17.25" customHeight="1"/>
    <row r="50448" customFormat="1" ht="17.25" customHeight="1"/>
    <row r="50449" customFormat="1" ht="17.25" customHeight="1"/>
    <row r="50450" customFormat="1" ht="17.25" customHeight="1"/>
    <row r="50451" customFormat="1" ht="17.25" customHeight="1"/>
    <row r="50452" customFormat="1" ht="17.25" customHeight="1"/>
    <row r="50453" customFormat="1" ht="17.25" customHeight="1"/>
    <row r="50454" customFormat="1" ht="17.25" customHeight="1"/>
    <row r="50455" customFormat="1" ht="17.25" customHeight="1"/>
    <row r="50456" customFormat="1" ht="17.25" customHeight="1"/>
    <row r="50457" customFormat="1" ht="17.25" customHeight="1"/>
    <row r="50458" customFormat="1" ht="17.25" customHeight="1"/>
    <row r="50459" customFormat="1" ht="17.25" customHeight="1"/>
    <row r="50460" customFormat="1" ht="17.25" customHeight="1"/>
    <row r="50461" customFormat="1" ht="17.25" customHeight="1"/>
    <row r="50462" customFormat="1" ht="17.25" customHeight="1"/>
    <row r="50463" customFormat="1" ht="17.25" customHeight="1"/>
    <row r="50464" customFormat="1" ht="17.25" customHeight="1"/>
    <row r="50465" customFormat="1" ht="17.25" customHeight="1"/>
    <row r="50466" customFormat="1" ht="17.25" customHeight="1"/>
    <row r="50467" customFormat="1" ht="17.25" customHeight="1"/>
    <row r="50468" customFormat="1" ht="17.25" customHeight="1"/>
    <row r="50469" customFormat="1" ht="17.25" customHeight="1"/>
    <row r="50470" customFormat="1" ht="17.25" customHeight="1"/>
    <row r="50471" customFormat="1" ht="17.25" customHeight="1"/>
    <row r="50472" customFormat="1" ht="17.25" customHeight="1"/>
    <row r="50473" customFormat="1" ht="17.25" customHeight="1"/>
    <row r="50474" customFormat="1" ht="17.25" customHeight="1"/>
    <row r="50475" customFormat="1" ht="17.25" customHeight="1"/>
    <row r="50476" customFormat="1" ht="17.25" customHeight="1"/>
    <row r="50477" customFormat="1" ht="17.25" customHeight="1"/>
    <row r="50478" customFormat="1" ht="17.25" customHeight="1"/>
    <row r="50479" customFormat="1" ht="17.25" customHeight="1"/>
    <row r="50480" customFormat="1" ht="17.25" customHeight="1"/>
    <row r="50481" customFormat="1" ht="17.25" customHeight="1"/>
    <row r="50482" customFormat="1" ht="17.25" customHeight="1"/>
    <row r="50483" customFormat="1" ht="17.25" customHeight="1"/>
    <row r="50484" customFormat="1" ht="17.25" customHeight="1"/>
    <row r="50485" customFormat="1" ht="17.25" customHeight="1"/>
    <row r="50486" customFormat="1" ht="17.25" customHeight="1"/>
    <row r="50487" customFormat="1" ht="17.25" customHeight="1"/>
    <row r="50488" customFormat="1" ht="17.25" customHeight="1"/>
    <row r="50489" customFormat="1" ht="17.25" customHeight="1"/>
    <row r="50490" customFormat="1" ht="17.25" customHeight="1"/>
    <row r="50491" customFormat="1" ht="17.25" customHeight="1"/>
    <row r="50492" customFormat="1" ht="17.25" customHeight="1"/>
    <row r="50493" customFormat="1" ht="17.25" customHeight="1"/>
    <row r="50494" customFormat="1" ht="17.25" customHeight="1"/>
    <row r="50495" customFormat="1" ht="17.25" customHeight="1"/>
    <row r="50496" customFormat="1" ht="17.25" customHeight="1"/>
    <row r="50497" customFormat="1" ht="17.25" customHeight="1"/>
    <row r="50498" customFormat="1" ht="17.25" customHeight="1"/>
    <row r="50499" customFormat="1" ht="17.25" customHeight="1"/>
    <row r="50500" customFormat="1" ht="17.25" customHeight="1"/>
    <row r="50501" customFormat="1" ht="17.25" customHeight="1"/>
    <row r="50502" customFormat="1" ht="17.25" customHeight="1"/>
    <row r="50503" customFormat="1" ht="17.25" customHeight="1"/>
    <row r="50504" customFormat="1" ht="17.25" customHeight="1"/>
    <row r="50505" customFormat="1" ht="17.25" customHeight="1"/>
    <row r="50506" customFormat="1" ht="17.25" customHeight="1"/>
    <row r="50507" customFormat="1" ht="17.25" customHeight="1"/>
    <row r="50508" customFormat="1" ht="17.25" customHeight="1"/>
    <row r="50509" customFormat="1" ht="17.25" customHeight="1"/>
    <row r="50510" customFormat="1" ht="17.25" customHeight="1"/>
    <row r="50511" customFormat="1" ht="17.25" customHeight="1"/>
    <row r="50512" customFormat="1" ht="17.25" customHeight="1"/>
    <row r="50513" customFormat="1" ht="17.25" customHeight="1"/>
    <row r="50514" customFormat="1" ht="17.25" customHeight="1"/>
    <row r="50515" customFormat="1" ht="17.25" customHeight="1"/>
    <row r="50516" customFormat="1" ht="17.25" customHeight="1"/>
    <row r="50517" customFormat="1" ht="17.25" customHeight="1"/>
    <row r="50518" customFormat="1" ht="17.25" customHeight="1"/>
    <row r="50519" customFormat="1" ht="17.25" customHeight="1"/>
    <row r="50520" customFormat="1" ht="17.25" customHeight="1"/>
    <row r="50521" customFormat="1" ht="17.25" customHeight="1"/>
    <row r="50522" customFormat="1" ht="17.25" customHeight="1"/>
    <row r="50523" customFormat="1" ht="17.25" customHeight="1"/>
    <row r="50524" customFormat="1" ht="17.25" customHeight="1"/>
    <row r="50525" customFormat="1" ht="17.25" customHeight="1"/>
    <row r="50526" customFormat="1" ht="17.25" customHeight="1"/>
    <row r="50527" customFormat="1" ht="17.25" customHeight="1"/>
    <row r="50528" customFormat="1" ht="17.25" customHeight="1"/>
    <row r="50529" customFormat="1" ht="17.25" customHeight="1"/>
    <row r="50530" customFormat="1" ht="17.25" customHeight="1"/>
    <row r="50531" customFormat="1" ht="17.25" customHeight="1"/>
    <row r="50532" customFormat="1" ht="17.25" customHeight="1"/>
    <row r="50533" customFormat="1" ht="17.25" customHeight="1"/>
    <row r="50534" customFormat="1" ht="17.25" customHeight="1"/>
    <row r="50535" customFormat="1" ht="17.25" customHeight="1"/>
    <row r="50536" customFormat="1" ht="17.25" customHeight="1"/>
    <row r="50537" customFormat="1" ht="17.25" customHeight="1"/>
    <row r="50538" customFormat="1" ht="17.25" customHeight="1"/>
    <row r="50539" customFormat="1" ht="17.25" customHeight="1"/>
    <row r="50540" customFormat="1" ht="17.25" customHeight="1"/>
    <row r="50541" customFormat="1" ht="17.25" customHeight="1"/>
    <row r="50542" customFormat="1" ht="17.25" customHeight="1"/>
    <row r="50543" customFormat="1" ht="17.25" customHeight="1"/>
    <row r="50544" customFormat="1" ht="17.25" customHeight="1"/>
    <row r="50545" customFormat="1" ht="17.25" customHeight="1"/>
    <row r="50546" customFormat="1" ht="17.25" customHeight="1"/>
    <row r="50547" customFormat="1" ht="17.25" customHeight="1"/>
    <row r="50548" customFormat="1" ht="17.25" customHeight="1"/>
    <row r="50549" customFormat="1" ht="17.25" customHeight="1"/>
    <row r="50550" customFormat="1" ht="17.25" customHeight="1"/>
    <row r="50551" customFormat="1" ht="17.25" customHeight="1"/>
    <row r="50552" customFormat="1" ht="17.25" customHeight="1"/>
    <row r="50553" customFormat="1" ht="17.25" customHeight="1"/>
    <row r="50554" customFormat="1" ht="17.25" customHeight="1"/>
    <row r="50555" customFormat="1" ht="17.25" customHeight="1"/>
    <row r="50556" customFormat="1" ht="17.25" customHeight="1"/>
    <row r="50557" customFormat="1" ht="17.25" customHeight="1"/>
    <row r="50558" customFormat="1" ht="17.25" customHeight="1"/>
    <row r="50559" customFormat="1" ht="17.25" customHeight="1"/>
    <row r="50560" customFormat="1" ht="17.25" customHeight="1"/>
    <row r="50561" customFormat="1" ht="17.25" customHeight="1"/>
    <row r="50562" customFormat="1" ht="17.25" customHeight="1"/>
    <row r="50563" customFormat="1" ht="17.25" customHeight="1"/>
    <row r="50564" customFormat="1" ht="17.25" customHeight="1"/>
    <row r="50565" customFormat="1" ht="17.25" customHeight="1"/>
    <row r="50566" customFormat="1" ht="17.25" customHeight="1"/>
    <row r="50567" customFormat="1" ht="17.25" customHeight="1"/>
    <row r="50568" customFormat="1" ht="17.25" customHeight="1"/>
    <row r="50569" customFormat="1" ht="17.25" customHeight="1"/>
    <row r="50570" customFormat="1" ht="17.25" customHeight="1"/>
    <row r="50571" customFormat="1" ht="17.25" customHeight="1"/>
    <row r="50572" customFormat="1" ht="17.25" customHeight="1"/>
    <row r="50573" customFormat="1" ht="17.25" customHeight="1"/>
    <row r="50574" customFormat="1" ht="17.25" customHeight="1"/>
    <row r="50575" customFormat="1" ht="17.25" customHeight="1"/>
    <row r="50576" customFormat="1" ht="17.25" customHeight="1"/>
    <row r="50577" customFormat="1" ht="17.25" customHeight="1"/>
    <row r="50578" customFormat="1" ht="17.25" customHeight="1"/>
    <row r="50579" customFormat="1" ht="17.25" customHeight="1"/>
    <row r="50580" customFormat="1" ht="17.25" customHeight="1"/>
    <row r="50581" customFormat="1" ht="17.25" customHeight="1"/>
    <row r="50582" customFormat="1" ht="17.25" customHeight="1"/>
    <row r="50583" customFormat="1" ht="17.25" customHeight="1"/>
    <row r="50584" customFormat="1" ht="17.25" customHeight="1"/>
    <row r="50585" customFormat="1" ht="17.25" customHeight="1"/>
    <row r="50586" customFormat="1" ht="17.25" customHeight="1"/>
    <row r="50587" customFormat="1" ht="17.25" customHeight="1"/>
    <row r="50588" customFormat="1" ht="17.25" customHeight="1"/>
    <row r="50589" customFormat="1" ht="17.25" customHeight="1"/>
    <row r="50590" customFormat="1" ht="17.25" customHeight="1"/>
    <row r="50591" customFormat="1" ht="17.25" customHeight="1"/>
    <row r="50592" customFormat="1" ht="17.25" customHeight="1"/>
    <row r="50593" customFormat="1" ht="17.25" customHeight="1"/>
    <row r="50594" customFormat="1" ht="17.25" customHeight="1"/>
    <row r="50595" customFormat="1" ht="17.25" customHeight="1"/>
    <row r="50596" customFormat="1" ht="17.25" customHeight="1"/>
    <row r="50597" customFormat="1" ht="17.25" customHeight="1"/>
    <row r="50598" customFormat="1" ht="17.25" customHeight="1"/>
    <row r="50599" customFormat="1" ht="17.25" customHeight="1"/>
    <row r="50600" customFormat="1" ht="17.25" customHeight="1"/>
    <row r="50601" customFormat="1" ht="17.25" customHeight="1"/>
    <row r="50602" customFormat="1" ht="17.25" customHeight="1"/>
    <row r="50603" customFormat="1" ht="17.25" customHeight="1"/>
    <row r="50604" customFormat="1" ht="17.25" customHeight="1"/>
    <row r="50605" customFormat="1" ht="17.25" customHeight="1"/>
    <row r="50606" customFormat="1" ht="17.25" customHeight="1"/>
    <row r="50607" customFormat="1" ht="17.25" customHeight="1"/>
    <row r="50608" customFormat="1" ht="17.25" customHeight="1"/>
    <row r="50609" customFormat="1" ht="17.25" customHeight="1"/>
    <row r="50610" customFormat="1" ht="17.25" customHeight="1"/>
    <row r="50611" customFormat="1" ht="17.25" customHeight="1"/>
    <row r="50612" customFormat="1" ht="17.25" customHeight="1"/>
    <row r="50613" customFormat="1" ht="17.25" customHeight="1"/>
    <row r="50614" customFormat="1" ht="17.25" customHeight="1"/>
    <row r="50615" customFormat="1" ht="17.25" customHeight="1"/>
    <row r="50616" customFormat="1" ht="17.25" customHeight="1"/>
    <row r="50617" customFormat="1" ht="17.25" customHeight="1"/>
    <row r="50618" customFormat="1" ht="17.25" customHeight="1"/>
    <row r="50619" customFormat="1" ht="17.25" customHeight="1"/>
    <row r="50620" customFormat="1" ht="17.25" customHeight="1"/>
    <row r="50621" customFormat="1" ht="17.25" customHeight="1"/>
    <row r="50622" customFormat="1" ht="17.25" customHeight="1"/>
    <row r="50623" customFormat="1" ht="17.25" customHeight="1"/>
    <row r="50624" customFormat="1" ht="17.25" customHeight="1"/>
    <row r="50625" customFormat="1" ht="17.25" customHeight="1"/>
    <row r="50626" customFormat="1" ht="17.25" customHeight="1"/>
    <row r="50627" customFormat="1" ht="17.25" customHeight="1"/>
    <row r="50628" customFormat="1" ht="17.25" customHeight="1"/>
    <row r="50629" customFormat="1" ht="17.25" customHeight="1"/>
    <row r="50630" customFormat="1" ht="17.25" customHeight="1"/>
    <row r="50631" customFormat="1" ht="17.25" customHeight="1"/>
    <row r="50632" customFormat="1" ht="17.25" customHeight="1"/>
    <row r="50633" customFormat="1" ht="17.25" customHeight="1"/>
    <row r="50634" customFormat="1" ht="17.25" customHeight="1"/>
    <row r="50635" customFormat="1" ht="17.25" customHeight="1"/>
    <row r="50636" customFormat="1" ht="17.25" customHeight="1"/>
    <row r="50637" customFormat="1" ht="17.25" customHeight="1"/>
    <row r="50638" customFormat="1" ht="17.25" customHeight="1"/>
    <row r="50639" customFormat="1" ht="17.25" customHeight="1"/>
    <row r="50640" customFormat="1" ht="17.25" customHeight="1"/>
    <row r="50641" customFormat="1" ht="17.25" customHeight="1"/>
    <row r="50642" customFormat="1" ht="17.25" customHeight="1"/>
    <row r="50643" customFormat="1" ht="17.25" customHeight="1"/>
    <row r="50644" customFormat="1" ht="17.25" customHeight="1"/>
    <row r="50645" customFormat="1" ht="17.25" customHeight="1"/>
    <row r="50646" customFormat="1" ht="17.25" customHeight="1"/>
    <row r="50647" customFormat="1" ht="17.25" customHeight="1"/>
    <row r="50648" customFormat="1" ht="17.25" customHeight="1"/>
    <row r="50649" customFormat="1" ht="17.25" customHeight="1"/>
    <row r="50650" customFormat="1" ht="17.25" customHeight="1"/>
    <row r="50651" customFormat="1" ht="17.25" customHeight="1"/>
    <row r="50652" customFormat="1" ht="17.25" customHeight="1"/>
    <row r="50653" customFormat="1" ht="17.25" customHeight="1"/>
    <row r="50654" customFormat="1" ht="17.25" customHeight="1"/>
    <row r="50655" customFormat="1" ht="17.25" customHeight="1"/>
    <row r="50656" customFormat="1" ht="17.25" customHeight="1"/>
    <row r="50657" customFormat="1" ht="17.25" customHeight="1"/>
    <row r="50658" customFormat="1" ht="17.25" customHeight="1"/>
    <row r="50659" customFormat="1" ht="17.25" customHeight="1"/>
    <row r="50660" customFormat="1" ht="17.25" customHeight="1"/>
    <row r="50661" customFormat="1" ht="17.25" customHeight="1"/>
    <row r="50662" customFormat="1" ht="17.25" customHeight="1"/>
    <row r="50663" customFormat="1" ht="17.25" customHeight="1"/>
    <row r="50664" customFormat="1" ht="17.25" customHeight="1"/>
    <row r="50665" customFormat="1" ht="17.25" customHeight="1"/>
    <row r="50666" customFormat="1" ht="17.25" customHeight="1"/>
    <row r="50667" customFormat="1" ht="17.25" customHeight="1"/>
    <row r="50668" customFormat="1" ht="17.25" customHeight="1"/>
    <row r="50669" customFormat="1" ht="17.25" customHeight="1"/>
    <row r="50670" customFormat="1" ht="17.25" customHeight="1"/>
    <row r="50671" customFormat="1" ht="17.25" customHeight="1"/>
    <row r="50672" customFormat="1" ht="17.25" customHeight="1"/>
    <row r="50673" customFormat="1" ht="17.25" customHeight="1"/>
    <row r="50674" customFormat="1" ht="17.25" customHeight="1"/>
    <row r="50675" customFormat="1" ht="17.25" customHeight="1"/>
    <row r="50676" customFormat="1" ht="17.25" customHeight="1"/>
    <row r="50677" customFormat="1" ht="17.25" customHeight="1"/>
    <row r="50678" customFormat="1" ht="17.25" customHeight="1"/>
    <row r="50679" customFormat="1" ht="17.25" customHeight="1"/>
    <row r="50680" customFormat="1" ht="17.25" customHeight="1"/>
    <row r="50681" customFormat="1" ht="17.25" customHeight="1"/>
    <row r="50682" customFormat="1" ht="17.25" customHeight="1"/>
    <row r="50683" customFormat="1" ht="17.25" customHeight="1"/>
    <row r="50684" customFormat="1" ht="17.25" customHeight="1"/>
    <row r="50685" customFormat="1" ht="17.25" customHeight="1"/>
    <row r="50686" customFormat="1" ht="17.25" customHeight="1"/>
    <row r="50687" customFormat="1" ht="17.25" customHeight="1"/>
    <row r="50688" customFormat="1" ht="17.25" customHeight="1"/>
    <row r="50689" customFormat="1" ht="17.25" customHeight="1"/>
    <row r="50690" customFormat="1" ht="17.25" customHeight="1"/>
    <row r="50691" customFormat="1" ht="17.25" customHeight="1"/>
    <row r="50692" customFormat="1" ht="17.25" customHeight="1"/>
    <row r="50693" customFormat="1" ht="17.25" customHeight="1"/>
    <row r="50694" customFormat="1" ht="17.25" customHeight="1"/>
    <row r="50695" customFormat="1" ht="17.25" customHeight="1"/>
    <row r="50696" customFormat="1" ht="17.25" customHeight="1"/>
    <row r="50697" customFormat="1" ht="17.25" customHeight="1"/>
    <row r="50698" customFormat="1" ht="17.25" customHeight="1"/>
    <row r="50699" customFormat="1" ht="17.25" customHeight="1"/>
    <row r="50700" customFormat="1" ht="17.25" customHeight="1"/>
    <row r="50701" customFormat="1" ht="17.25" customHeight="1"/>
    <row r="50702" customFormat="1" ht="17.25" customHeight="1"/>
    <row r="50703" customFormat="1" ht="17.25" customHeight="1"/>
    <row r="50704" customFormat="1" ht="17.25" customHeight="1"/>
    <row r="50705" customFormat="1" ht="17.25" customHeight="1"/>
    <row r="50706" customFormat="1" ht="17.25" customHeight="1"/>
    <row r="50707" customFormat="1" ht="17.25" customHeight="1"/>
    <row r="50708" customFormat="1" ht="17.25" customHeight="1"/>
    <row r="50709" customFormat="1" ht="17.25" customHeight="1"/>
    <row r="50710" customFormat="1" ht="17.25" customHeight="1"/>
    <row r="50711" customFormat="1" ht="17.25" customHeight="1"/>
    <row r="50712" customFormat="1" ht="17.25" customHeight="1"/>
    <row r="50713" customFormat="1" ht="17.25" customHeight="1"/>
    <row r="50714" customFormat="1" ht="17.25" customHeight="1"/>
    <row r="50715" customFormat="1" ht="17.25" customHeight="1"/>
    <row r="50716" customFormat="1" ht="17.25" customHeight="1"/>
    <row r="50717" customFormat="1" ht="17.25" customHeight="1"/>
    <row r="50718" customFormat="1" ht="17.25" customHeight="1"/>
    <row r="50719" customFormat="1" ht="17.25" customHeight="1"/>
    <row r="50720" customFormat="1" ht="17.25" customHeight="1"/>
    <row r="50721" customFormat="1" ht="17.25" customHeight="1"/>
    <row r="50722" customFormat="1" ht="17.25" customHeight="1"/>
    <row r="50723" customFormat="1" ht="17.25" customHeight="1"/>
    <row r="50724" customFormat="1" ht="17.25" customHeight="1"/>
    <row r="50725" customFormat="1" ht="17.25" customHeight="1"/>
    <row r="50726" customFormat="1" ht="17.25" customHeight="1"/>
    <row r="50727" customFormat="1" ht="17.25" customHeight="1"/>
    <row r="50728" customFormat="1" ht="17.25" customHeight="1"/>
    <row r="50729" customFormat="1" ht="17.25" customHeight="1"/>
    <row r="50730" customFormat="1" ht="17.25" customHeight="1"/>
    <row r="50731" customFormat="1" ht="17.25" customHeight="1"/>
    <row r="50732" customFormat="1" ht="17.25" customHeight="1"/>
    <row r="50733" customFormat="1" ht="17.25" customHeight="1"/>
    <row r="50734" customFormat="1" ht="17.25" customHeight="1"/>
    <row r="50735" customFormat="1" ht="17.25" customHeight="1"/>
    <row r="50736" customFormat="1" ht="17.25" customHeight="1"/>
    <row r="50737" customFormat="1" ht="17.25" customHeight="1"/>
    <row r="50738" customFormat="1" ht="17.25" customHeight="1"/>
    <row r="50739" customFormat="1" ht="17.25" customHeight="1"/>
    <row r="50740" customFormat="1" ht="17.25" customHeight="1"/>
    <row r="50741" customFormat="1" ht="17.25" customHeight="1"/>
    <row r="50742" customFormat="1" ht="17.25" customHeight="1"/>
    <row r="50743" customFormat="1" ht="17.25" customHeight="1"/>
    <row r="50744" customFormat="1" ht="17.25" customHeight="1"/>
    <row r="50745" customFormat="1" ht="17.25" customHeight="1"/>
    <row r="50746" customFormat="1" ht="17.25" customHeight="1"/>
    <row r="50747" customFormat="1" ht="17.25" customHeight="1"/>
    <row r="50748" customFormat="1" ht="17.25" customHeight="1"/>
    <row r="50749" customFormat="1" ht="17.25" customHeight="1"/>
    <row r="50750" customFormat="1" ht="17.25" customHeight="1"/>
    <row r="50751" customFormat="1" ht="17.25" customHeight="1"/>
    <row r="50752" customFormat="1" ht="17.25" customHeight="1"/>
    <row r="50753" customFormat="1" ht="17.25" customHeight="1"/>
    <row r="50754" customFormat="1" ht="17.25" customHeight="1"/>
    <row r="50755" customFormat="1" ht="17.25" customHeight="1"/>
    <row r="50756" customFormat="1" ht="17.25" customHeight="1"/>
    <row r="50757" customFormat="1" ht="17.25" customHeight="1"/>
    <row r="50758" customFormat="1" ht="17.25" customHeight="1"/>
    <row r="50759" customFormat="1" ht="17.25" customHeight="1"/>
    <row r="50760" customFormat="1" ht="17.25" customHeight="1"/>
    <row r="50761" customFormat="1" ht="17.25" customHeight="1"/>
    <row r="50762" customFormat="1" ht="17.25" customHeight="1"/>
    <row r="50763" customFormat="1" ht="17.25" customHeight="1"/>
    <row r="50764" customFormat="1" ht="17.25" customHeight="1"/>
    <row r="50765" customFormat="1" ht="17.25" customHeight="1"/>
    <row r="50766" customFormat="1" ht="17.25" customHeight="1"/>
    <row r="50767" customFormat="1" ht="17.25" customHeight="1"/>
    <row r="50768" customFormat="1" ht="17.25" customHeight="1"/>
    <row r="50769" customFormat="1" ht="17.25" customHeight="1"/>
    <row r="50770" customFormat="1" ht="17.25" customHeight="1"/>
    <row r="50771" customFormat="1" ht="17.25" customHeight="1"/>
    <row r="50772" customFormat="1" ht="17.25" customHeight="1"/>
    <row r="50773" customFormat="1" ht="17.25" customHeight="1"/>
    <row r="50774" customFormat="1" ht="17.25" customHeight="1"/>
    <row r="50775" customFormat="1" ht="17.25" customHeight="1"/>
    <row r="50776" customFormat="1" ht="17.25" customHeight="1"/>
    <row r="50777" customFormat="1" ht="17.25" customHeight="1"/>
    <row r="50778" customFormat="1" ht="17.25" customHeight="1"/>
    <row r="50779" customFormat="1" ht="17.25" customHeight="1"/>
    <row r="50780" customFormat="1" ht="17.25" customHeight="1"/>
    <row r="50781" customFormat="1" ht="17.25" customHeight="1"/>
    <row r="50782" customFormat="1" ht="17.25" customHeight="1"/>
    <row r="50783" customFormat="1" ht="17.25" customHeight="1"/>
    <row r="50784" customFormat="1" ht="17.25" customHeight="1"/>
    <row r="50785" customFormat="1" ht="17.25" customHeight="1"/>
    <row r="50786" customFormat="1" ht="17.25" customHeight="1"/>
    <row r="50787" customFormat="1" ht="17.25" customHeight="1"/>
    <row r="50788" customFormat="1" ht="17.25" customHeight="1"/>
    <row r="50789" customFormat="1" ht="17.25" customHeight="1"/>
    <row r="50790" customFormat="1" ht="17.25" customHeight="1"/>
    <row r="50791" customFormat="1" ht="17.25" customHeight="1"/>
    <row r="50792" customFormat="1" ht="17.25" customHeight="1"/>
    <row r="50793" customFormat="1" ht="17.25" customHeight="1"/>
    <row r="50794" customFormat="1" ht="17.25" customHeight="1"/>
    <row r="50795" customFormat="1" ht="17.25" customHeight="1"/>
    <row r="50796" customFormat="1" ht="17.25" customHeight="1"/>
    <row r="50797" customFormat="1" ht="17.25" customHeight="1"/>
    <row r="50798" customFormat="1" ht="17.25" customHeight="1"/>
    <row r="50799" customFormat="1" ht="17.25" customHeight="1"/>
    <row r="50800" customFormat="1" ht="17.25" customHeight="1"/>
    <row r="50801" customFormat="1" ht="17.25" customHeight="1"/>
    <row r="50802" customFormat="1" ht="17.25" customHeight="1"/>
    <row r="50803" customFormat="1" ht="17.25" customHeight="1"/>
    <row r="50804" customFormat="1" ht="17.25" customHeight="1"/>
    <row r="50805" customFormat="1" ht="17.25" customHeight="1"/>
    <row r="50806" customFormat="1" ht="17.25" customHeight="1"/>
    <row r="50807" customFormat="1" ht="17.25" customHeight="1"/>
    <row r="50808" customFormat="1" ht="17.25" customHeight="1"/>
    <row r="50809" customFormat="1" ht="17.25" customHeight="1"/>
    <row r="50810" customFormat="1" ht="17.25" customHeight="1"/>
    <row r="50811" customFormat="1" ht="17.25" customHeight="1"/>
    <row r="50812" customFormat="1" ht="17.25" customHeight="1"/>
    <row r="50813" customFormat="1" ht="17.25" customHeight="1"/>
    <row r="50814" customFormat="1" ht="17.25" customHeight="1"/>
    <row r="50815" customFormat="1" ht="17.25" customHeight="1"/>
    <row r="50816" customFormat="1" ht="17.25" customHeight="1"/>
    <row r="50817" customFormat="1" ht="17.25" customHeight="1"/>
    <row r="50818" customFormat="1" ht="17.25" customHeight="1"/>
    <row r="50819" customFormat="1" ht="17.25" customHeight="1"/>
    <row r="50820" customFormat="1" ht="17.25" customHeight="1"/>
    <row r="50821" customFormat="1" ht="17.25" customHeight="1"/>
    <row r="50822" customFormat="1" ht="17.25" customHeight="1"/>
    <row r="50823" customFormat="1" ht="17.25" customHeight="1"/>
    <row r="50824" customFormat="1" ht="17.25" customHeight="1"/>
    <row r="50825" customFormat="1" ht="17.25" customHeight="1"/>
    <row r="50826" customFormat="1" ht="17.25" customHeight="1"/>
    <row r="50827" customFormat="1" ht="17.25" customHeight="1"/>
    <row r="50828" customFormat="1" ht="17.25" customHeight="1"/>
    <row r="50829" customFormat="1" ht="17.25" customHeight="1"/>
    <row r="50830" customFormat="1" ht="17.25" customHeight="1"/>
    <row r="50831" customFormat="1" ht="17.25" customHeight="1"/>
    <row r="50832" customFormat="1" ht="17.25" customHeight="1"/>
    <row r="50833" customFormat="1" ht="17.25" customHeight="1"/>
    <row r="50834" customFormat="1" ht="17.25" customHeight="1"/>
    <row r="50835" customFormat="1" ht="17.25" customHeight="1"/>
    <row r="50836" customFormat="1" ht="17.25" customHeight="1"/>
    <row r="50837" customFormat="1" ht="17.25" customHeight="1"/>
    <row r="50838" customFormat="1" ht="17.25" customHeight="1"/>
    <row r="50839" customFormat="1" ht="17.25" customHeight="1"/>
    <row r="50840" customFormat="1" ht="17.25" customHeight="1"/>
    <row r="50841" customFormat="1" ht="17.25" customHeight="1"/>
    <row r="50842" customFormat="1" ht="17.25" customHeight="1"/>
    <row r="50843" customFormat="1" ht="17.25" customHeight="1"/>
    <row r="50844" customFormat="1" ht="17.25" customHeight="1"/>
    <row r="50845" customFormat="1" ht="17.25" customHeight="1"/>
    <row r="50846" customFormat="1" ht="17.25" customHeight="1"/>
    <row r="50847" customFormat="1" ht="17.25" customHeight="1"/>
    <row r="50848" customFormat="1" ht="17.25" customHeight="1"/>
    <row r="50849" customFormat="1" ht="17.25" customHeight="1"/>
    <row r="50850" customFormat="1" ht="17.25" customHeight="1"/>
    <row r="50851" customFormat="1" ht="17.25" customHeight="1"/>
    <row r="50852" customFormat="1" ht="17.25" customHeight="1"/>
    <row r="50853" customFormat="1" ht="17.25" customHeight="1"/>
    <row r="50854" customFormat="1" ht="17.25" customHeight="1"/>
    <row r="50855" customFormat="1" ht="17.25" customHeight="1"/>
    <row r="50856" customFormat="1" ht="17.25" customHeight="1"/>
    <row r="50857" customFormat="1" ht="17.25" customHeight="1"/>
    <row r="50858" customFormat="1" ht="17.25" customHeight="1"/>
    <row r="50859" customFormat="1" ht="17.25" customHeight="1"/>
    <row r="50860" customFormat="1" ht="17.25" customHeight="1"/>
    <row r="50861" customFormat="1" ht="17.25" customHeight="1"/>
    <row r="50862" customFormat="1" ht="17.25" customHeight="1"/>
    <row r="50863" customFormat="1" ht="17.25" customHeight="1"/>
    <row r="50864" customFormat="1" ht="17.25" customHeight="1"/>
    <row r="50865" customFormat="1" ht="17.25" customHeight="1"/>
    <row r="50866" customFormat="1" ht="17.25" customHeight="1"/>
    <row r="50867" customFormat="1" ht="17.25" customHeight="1"/>
    <row r="50868" customFormat="1" ht="17.25" customHeight="1"/>
    <row r="50869" customFormat="1" ht="17.25" customHeight="1"/>
    <row r="50870" customFormat="1" ht="17.25" customHeight="1"/>
    <row r="50871" customFormat="1" ht="17.25" customHeight="1"/>
    <row r="50872" customFormat="1" ht="17.25" customHeight="1"/>
    <row r="50873" customFormat="1" ht="17.25" customHeight="1"/>
    <row r="50874" customFormat="1" ht="17.25" customHeight="1"/>
    <row r="50875" customFormat="1" ht="17.25" customHeight="1"/>
    <row r="50876" customFormat="1" ht="17.25" customHeight="1"/>
    <row r="50877" customFormat="1" ht="17.25" customHeight="1"/>
    <row r="50878" customFormat="1" ht="17.25" customHeight="1"/>
    <row r="50879" customFormat="1" ht="17.25" customHeight="1"/>
    <row r="50880" customFormat="1" ht="17.25" customHeight="1"/>
    <row r="50881" customFormat="1" ht="17.25" customHeight="1"/>
    <row r="50882" customFormat="1" ht="17.25" customHeight="1"/>
    <row r="50883" customFormat="1" ht="17.25" customHeight="1"/>
    <row r="50884" customFormat="1" ht="17.25" customHeight="1"/>
    <row r="50885" customFormat="1" ht="17.25" customHeight="1"/>
    <row r="50886" customFormat="1" ht="17.25" customHeight="1"/>
    <row r="50887" customFormat="1" ht="17.25" customHeight="1"/>
    <row r="50888" customFormat="1" ht="17.25" customHeight="1"/>
    <row r="50889" customFormat="1" ht="17.25" customHeight="1"/>
    <row r="50890" customFormat="1" ht="17.25" customHeight="1"/>
    <row r="50891" customFormat="1" ht="17.25" customHeight="1"/>
    <row r="50892" customFormat="1" ht="17.25" customHeight="1"/>
    <row r="50893" customFormat="1" ht="17.25" customHeight="1"/>
    <row r="50894" customFormat="1" ht="17.25" customHeight="1"/>
    <row r="50895" customFormat="1" ht="17.25" customHeight="1"/>
    <row r="50896" customFormat="1" ht="17.25" customHeight="1"/>
    <row r="50897" customFormat="1" ht="17.25" customHeight="1"/>
    <row r="50898" customFormat="1" ht="17.25" customHeight="1"/>
    <row r="50899" customFormat="1" ht="17.25" customHeight="1"/>
    <row r="50900" customFormat="1" ht="17.25" customHeight="1"/>
    <row r="50901" customFormat="1" ht="17.25" customHeight="1"/>
    <row r="50902" customFormat="1" ht="17.25" customHeight="1"/>
    <row r="50903" customFormat="1" ht="17.25" customHeight="1"/>
    <row r="50904" customFormat="1" ht="17.25" customHeight="1"/>
    <row r="50905" customFormat="1" ht="17.25" customHeight="1"/>
    <row r="50906" customFormat="1" ht="17.25" customHeight="1"/>
    <row r="50907" customFormat="1" ht="17.25" customHeight="1"/>
    <row r="50908" customFormat="1" ht="17.25" customHeight="1"/>
    <row r="50909" customFormat="1" ht="17.25" customHeight="1"/>
    <row r="50910" customFormat="1" ht="17.25" customHeight="1"/>
    <row r="50911" customFormat="1" ht="17.25" customHeight="1"/>
    <row r="50912" customFormat="1" ht="17.25" customHeight="1"/>
    <row r="50913" customFormat="1" ht="17.25" customHeight="1"/>
    <row r="50914" customFormat="1" ht="17.25" customHeight="1"/>
    <row r="50915" customFormat="1" ht="17.25" customHeight="1"/>
    <row r="50916" customFormat="1" ht="17.25" customHeight="1"/>
    <row r="50917" customFormat="1" ht="17.25" customHeight="1"/>
    <row r="50918" customFormat="1" ht="17.25" customHeight="1"/>
    <row r="50919" customFormat="1" ht="17.25" customHeight="1"/>
    <row r="50920" customFormat="1" ht="17.25" customHeight="1"/>
    <row r="50921" customFormat="1" ht="17.25" customHeight="1"/>
    <row r="50922" customFormat="1" ht="17.25" customHeight="1"/>
    <row r="50923" customFormat="1" ht="17.25" customHeight="1"/>
    <row r="50924" customFormat="1" ht="17.25" customHeight="1"/>
    <row r="50925" customFormat="1" ht="17.25" customHeight="1"/>
    <row r="50926" customFormat="1" ht="17.25" customHeight="1"/>
    <row r="50927" customFormat="1" ht="17.25" customHeight="1"/>
    <row r="50928" customFormat="1" ht="17.25" customHeight="1"/>
    <row r="50929" customFormat="1" ht="17.25" customHeight="1"/>
    <row r="50930" customFormat="1" ht="17.25" customHeight="1"/>
    <row r="50931" customFormat="1" ht="17.25" customHeight="1"/>
    <row r="50932" customFormat="1" ht="17.25" customHeight="1"/>
    <row r="50933" customFormat="1" ht="17.25" customHeight="1"/>
    <row r="50934" customFormat="1" ht="17.25" customHeight="1"/>
    <row r="50935" customFormat="1" ht="17.25" customHeight="1"/>
    <row r="50936" customFormat="1" ht="17.25" customHeight="1"/>
    <row r="50937" customFormat="1" ht="17.25" customHeight="1"/>
    <row r="50938" customFormat="1" ht="17.25" customHeight="1"/>
    <row r="50939" customFormat="1" ht="17.25" customHeight="1"/>
    <row r="50940" customFormat="1" ht="17.25" customHeight="1"/>
    <row r="50941" customFormat="1" ht="17.25" customHeight="1"/>
    <row r="50942" customFormat="1" ht="17.25" customHeight="1"/>
    <row r="50943" customFormat="1" ht="17.25" customHeight="1"/>
    <row r="50944" customFormat="1" ht="17.25" customHeight="1"/>
    <row r="50945" customFormat="1" ht="17.25" customHeight="1"/>
    <row r="50946" customFormat="1" ht="17.25" customHeight="1"/>
    <row r="50947" customFormat="1" ht="17.25" customHeight="1"/>
    <row r="50948" customFormat="1" ht="17.25" customHeight="1"/>
    <row r="50949" customFormat="1" ht="17.25" customHeight="1"/>
    <row r="50950" customFormat="1" ht="17.25" customHeight="1"/>
    <row r="50951" customFormat="1" ht="17.25" customHeight="1"/>
    <row r="50952" customFormat="1" ht="17.25" customHeight="1"/>
    <row r="50953" customFormat="1" ht="17.25" customHeight="1"/>
    <row r="50954" customFormat="1" ht="17.25" customHeight="1"/>
    <row r="50955" customFormat="1" ht="17.25" customHeight="1"/>
    <row r="50956" customFormat="1" ht="17.25" customHeight="1"/>
    <row r="50957" customFormat="1" ht="17.25" customHeight="1"/>
    <row r="50958" customFormat="1" ht="17.25" customHeight="1"/>
    <row r="50959" customFormat="1" ht="17.25" customHeight="1"/>
    <row r="50960" customFormat="1" ht="17.25" customHeight="1"/>
    <row r="50961" customFormat="1" ht="17.25" customHeight="1"/>
    <row r="50962" customFormat="1" ht="17.25" customHeight="1"/>
    <row r="50963" customFormat="1" ht="17.25" customHeight="1"/>
    <row r="50964" customFormat="1" ht="17.25" customHeight="1"/>
    <row r="50965" customFormat="1" ht="17.25" customHeight="1"/>
    <row r="50966" customFormat="1" ht="17.25" customHeight="1"/>
    <row r="50967" customFormat="1" ht="17.25" customHeight="1"/>
    <row r="50968" customFormat="1" ht="17.25" customHeight="1"/>
    <row r="50969" customFormat="1" ht="17.25" customHeight="1"/>
    <row r="50970" customFormat="1" ht="17.25" customHeight="1"/>
    <row r="50971" customFormat="1" ht="17.25" customHeight="1"/>
    <row r="50972" customFormat="1" ht="17.25" customHeight="1"/>
    <row r="50973" customFormat="1" ht="17.25" customHeight="1"/>
    <row r="50974" customFormat="1" ht="17.25" customHeight="1"/>
    <row r="50975" customFormat="1" ht="17.25" customHeight="1"/>
    <row r="50976" customFormat="1" ht="17.25" customHeight="1"/>
    <row r="50977" customFormat="1" ht="17.25" customHeight="1"/>
    <row r="50978" customFormat="1" ht="17.25" customHeight="1"/>
    <row r="50979" customFormat="1" ht="17.25" customHeight="1"/>
    <row r="50980" customFormat="1" ht="17.25" customHeight="1"/>
    <row r="50981" customFormat="1" ht="17.25" customHeight="1"/>
    <row r="50982" customFormat="1" ht="17.25" customHeight="1"/>
    <row r="50983" customFormat="1" ht="17.25" customHeight="1"/>
    <row r="50984" customFormat="1" ht="17.25" customHeight="1"/>
    <row r="50985" customFormat="1" ht="17.25" customHeight="1"/>
    <row r="50986" customFormat="1" ht="17.25" customHeight="1"/>
    <row r="50987" customFormat="1" ht="17.25" customHeight="1"/>
    <row r="50988" customFormat="1" ht="17.25" customHeight="1"/>
    <row r="50989" customFormat="1" ht="17.25" customHeight="1"/>
    <row r="50990" customFormat="1" ht="17.25" customHeight="1"/>
    <row r="50991" customFormat="1" ht="17.25" customHeight="1"/>
    <row r="50992" customFormat="1" ht="17.25" customHeight="1"/>
    <row r="50993" customFormat="1" ht="17.25" customHeight="1"/>
    <row r="50994" customFormat="1" ht="17.25" customHeight="1"/>
    <row r="50995" customFormat="1" ht="17.25" customHeight="1"/>
    <row r="50996" customFormat="1" ht="17.25" customHeight="1"/>
    <row r="50997" customFormat="1" ht="17.25" customHeight="1"/>
    <row r="50998" customFormat="1" ht="17.25" customHeight="1"/>
    <row r="50999" customFormat="1" ht="17.25" customHeight="1"/>
    <row r="51000" customFormat="1" ht="17.25" customHeight="1"/>
    <row r="51001" customFormat="1" ht="17.25" customHeight="1"/>
    <row r="51002" customFormat="1" ht="17.25" customHeight="1"/>
    <row r="51003" customFormat="1" ht="17.25" customHeight="1"/>
    <row r="51004" customFormat="1" ht="17.25" customHeight="1"/>
    <row r="51005" customFormat="1" ht="17.25" customHeight="1"/>
    <row r="51006" customFormat="1" ht="17.25" customHeight="1"/>
    <row r="51007" customFormat="1" ht="17.25" customHeight="1"/>
    <row r="51008" customFormat="1" ht="17.25" customHeight="1"/>
    <row r="51009" customFormat="1" ht="17.25" customHeight="1"/>
    <row r="51010" customFormat="1" ht="17.25" customHeight="1"/>
    <row r="51011" customFormat="1" ht="17.25" customHeight="1"/>
    <row r="51012" customFormat="1" ht="17.25" customHeight="1"/>
    <row r="51013" customFormat="1" ht="17.25" customHeight="1"/>
    <row r="51014" customFormat="1" ht="17.25" customHeight="1"/>
    <row r="51015" customFormat="1" ht="17.25" customHeight="1"/>
    <row r="51016" customFormat="1" ht="17.25" customHeight="1"/>
    <row r="51017" customFormat="1" ht="17.25" customHeight="1"/>
    <row r="51018" customFormat="1" ht="17.25" customHeight="1"/>
    <row r="51019" customFormat="1" ht="17.25" customHeight="1"/>
    <row r="51020" customFormat="1" ht="17.25" customHeight="1"/>
    <row r="51021" customFormat="1" ht="17.25" customHeight="1"/>
    <row r="51022" customFormat="1" ht="17.25" customHeight="1"/>
    <row r="51023" customFormat="1" ht="17.25" customHeight="1"/>
    <row r="51024" customFormat="1" ht="17.25" customHeight="1"/>
    <row r="51025" customFormat="1" ht="17.25" customHeight="1"/>
    <row r="51026" customFormat="1" ht="17.25" customHeight="1"/>
    <row r="51027" customFormat="1" ht="17.25" customHeight="1"/>
    <row r="51028" customFormat="1" ht="17.25" customHeight="1"/>
    <row r="51029" customFormat="1" ht="17.25" customHeight="1"/>
    <row r="51030" customFormat="1" ht="17.25" customHeight="1"/>
    <row r="51031" customFormat="1" ht="17.25" customHeight="1"/>
    <row r="51032" customFormat="1" ht="17.25" customHeight="1"/>
    <row r="51033" customFormat="1" ht="17.25" customHeight="1"/>
    <row r="51034" customFormat="1" ht="17.25" customHeight="1"/>
    <row r="51035" customFormat="1" ht="17.25" customHeight="1"/>
    <row r="51036" customFormat="1" ht="17.25" customHeight="1"/>
    <row r="51037" customFormat="1" ht="17.25" customHeight="1"/>
    <row r="51038" customFormat="1" ht="17.25" customHeight="1"/>
    <row r="51039" customFormat="1" ht="17.25" customHeight="1"/>
    <row r="51040" customFormat="1" ht="17.25" customHeight="1"/>
    <row r="51041" customFormat="1" ht="17.25" customHeight="1"/>
    <row r="51042" customFormat="1" ht="17.25" customHeight="1"/>
    <row r="51043" customFormat="1" ht="17.25" customHeight="1"/>
    <row r="51044" customFormat="1" ht="17.25" customHeight="1"/>
    <row r="51045" customFormat="1" ht="17.25" customHeight="1"/>
    <row r="51046" customFormat="1" ht="17.25" customHeight="1"/>
    <row r="51047" customFormat="1" ht="17.25" customHeight="1"/>
    <row r="51048" customFormat="1" ht="17.25" customHeight="1"/>
    <row r="51049" customFormat="1" ht="17.25" customHeight="1"/>
    <row r="51050" customFormat="1" ht="17.25" customHeight="1"/>
    <row r="51051" customFormat="1" ht="17.25" customHeight="1"/>
    <row r="51052" customFormat="1" ht="17.25" customHeight="1"/>
    <row r="51053" customFormat="1" ht="17.25" customHeight="1"/>
    <row r="51054" customFormat="1" ht="17.25" customHeight="1"/>
    <row r="51055" customFormat="1" ht="17.25" customHeight="1"/>
    <row r="51056" customFormat="1" ht="17.25" customHeight="1"/>
    <row r="51057" customFormat="1" ht="17.25" customHeight="1"/>
    <row r="51058" customFormat="1" ht="17.25" customHeight="1"/>
    <row r="51059" customFormat="1" ht="17.25" customHeight="1"/>
    <row r="51060" customFormat="1" ht="17.25" customHeight="1"/>
    <row r="51061" customFormat="1" ht="17.25" customHeight="1"/>
    <row r="51062" customFormat="1" ht="17.25" customHeight="1"/>
    <row r="51063" customFormat="1" ht="17.25" customHeight="1"/>
    <row r="51064" customFormat="1" ht="17.25" customHeight="1"/>
    <row r="51065" customFormat="1" ht="17.25" customHeight="1"/>
    <row r="51066" customFormat="1" ht="17.25" customHeight="1"/>
    <row r="51067" customFormat="1" ht="17.25" customHeight="1"/>
    <row r="51068" customFormat="1" ht="17.25" customHeight="1"/>
    <row r="51069" customFormat="1" ht="17.25" customHeight="1"/>
    <row r="51070" customFormat="1" ht="17.25" customHeight="1"/>
    <row r="51071" customFormat="1" ht="17.25" customHeight="1"/>
    <row r="51072" customFormat="1" ht="17.25" customHeight="1"/>
    <row r="51073" customFormat="1" ht="17.25" customHeight="1"/>
    <row r="51074" customFormat="1" ht="17.25" customHeight="1"/>
    <row r="51075" customFormat="1" ht="17.25" customHeight="1"/>
    <row r="51076" customFormat="1" ht="17.25" customHeight="1"/>
    <row r="51077" customFormat="1" ht="17.25" customHeight="1"/>
    <row r="51078" customFormat="1" ht="17.25" customHeight="1"/>
    <row r="51079" customFormat="1" ht="17.25" customHeight="1"/>
    <row r="51080" customFormat="1" ht="17.25" customHeight="1"/>
    <row r="51081" customFormat="1" ht="17.25" customHeight="1"/>
    <row r="51082" customFormat="1" ht="17.25" customHeight="1"/>
    <row r="51083" customFormat="1" ht="17.25" customHeight="1"/>
    <row r="51084" customFormat="1" ht="17.25" customHeight="1"/>
    <row r="51085" customFormat="1" ht="17.25" customHeight="1"/>
    <row r="51086" customFormat="1" ht="17.25" customHeight="1"/>
    <row r="51087" customFormat="1" ht="17.25" customHeight="1"/>
    <row r="51088" customFormat="1" ht="17.25" customHeight="1"/>
    <row r="51089" customFormat="1" ht="17.25" customHeight="1"/>
    <row r="51090" customFormat="1" ht="17.25" customHeight="1"/>
    <row r="51091" customFormat="1" ht="17.25" customHeight="1"/>
    <row r="51092" customFormat="1" ht="17.25" customHeight="1"/>
    <row r="51093" customFormat="1" ht="17.25" customHeight="1"/>
    <row r="51094" customFormat="1" ht="17.25" customHeight="1"/>
    <row r="51095" customFormat="1" ht="17.25" customHeight="1"/>
    <row r="51096" customFormat="1" ht="17.25" customHeight="1"/>
    <row r="51097" customFormat="1" ht="17.25" customHeight="1"/>
    <row r="51098" customFormat="1" ht="17.25" customHeight="1"/>
    <row r="51099" customFormat="1" ht="17.25" customHeight="1"/>
    <row r="51100" customFormat="1" ht="17.25" customHeight="1"/>
    <row r="51101" customFormat="1" ht="17.25" customHeight="1"/>
    <row r="51102" customFormat="1" ht="17.25" customHeight="1"/>
    <row r="51103" customFormat="1" ht="17.25" customHeight="1"/>
    <row r="51104" customFormat="1" ht="17.25" customHeight="1"/>
    <row r="51105" customFormat="1" ht="17.25" customHeight="1"/>
    <row r="51106" customFormat="1" ht="17.25" customHeight="1"/>
    <row r="51107" customFormat="1" ht="17.25" customHeight="1"/>
    <row r="51108" customFormat="1" ht="17.25" customHeight="1"/>
    <row r="51109" customFormat="1" ht="17.25" customHeight="1"/>
    <row r="51110" customFormat="1" ht="17.25" customHeight="1"/>
    <row r="51111" customFormat="1" ht="17.25" customHeight="1"/>
    <row r="51112" customFormat="1" ht="17.25" customHeight="1"/>
    <row r="51113" customFormat="1" ht="17.25" customHeight="1"/>
    <row r="51114" customFormat="1" ht="17.25" customHeight="1"/>
    <row r="51115" customFormat="1" ht="17.25" customHeight="1"/>
    <row r="51116" customFormat="1" ht="17.25" customHeight="1"/>
    <row r="51117" customFormat="1" ht="17.25" customHeight="1"/>
    <row r="51118" customFormat="1" ht="17.25" customHeight="1"/>
    <row r="51119" customFormat="1" ht="17.25" customHeight="1"/>
    <row r="51120" customFormat="1" ht="17.25" customHeight="1"/>
    <row r="51121" customFormat="1" ht="17.25" customHeight="1"/>
    <row r="51122" customFormat="1" ht="17.25" customHeight="1"/>
    <row r="51123" customFormat="1" ht="17.25" customHeight="1"/>
    <row r="51124" customFormat="1" ht="17.25" customHeight="1"/>
    <row r="51125" customFormat="1" ht="17.25" customHeight="1"/>
    <row r="51126" customFormat="1" ht="17.25" customHeight="1"/>
    <row r="51127" customFormat="1" ht="17.25" customHeight="1"/>
    <row r="51128" customFormat="1" ht="17.25" customHeight="1"/>
    <row r="51129" customFormat="1" ht="17.25" customHeight="1"/>
    <row r="51130" customFormat="1" ht="17.25" customHeight="1"/>
    <row r="51131" customFormat="1" ht="17.25" customHeight="1"/>
    <row r="51132" customFormat="1" ht="17.25" customHeight="1"/>
    <row r="51133" customFormat="1" ht="17.25" customHeight="1"/>
    <row r="51134" customFormat="1" ht="17.25" customHeight="1"/>
    <row r="51135" customFormat="1" ht="17.25" customHeight="1"/>
    <row r="51136" customFormat="1" ht="17.25" customHeight="1"/>
    <row r="51137" customFormat="1" ht="17.25" customHeight="1"/>
    <row r="51138" customFormat="1" ht="17.25" customHeight="1"/>
    <row r="51139" customFormat="1" ht="17.25" customHeight="1"/>
    <row r="51140" customFormat="1" ht="17.25" customHeight="1"/>
    <row r="51141" customFormat="1" ht="17.25" customHeight="1"/>
    <row r="51142" customFormat="1" ht="17.25" customHeight="1"/>
    <row r="51143" customFormat="1" ht="17.25" customHeight="1"/>
    <row r="51144" customFormat="1" ht="17.25" customHeight="1"/>
    <row r="51145" customFormat="1" ht="17.25" customHeight="1"/>
    <row r="51146" customFormat="1" ht="17.25" customHeight="1"/>
    <row r="51147" customFormat="1" ht="17.25" customHeight="1"/>
    <row r="51148" customFormat="1" ht="17.25" customHeight="1"/>
    <row r="51149" customFormat="1" ht="17.25" customHeight="1"/>
    <row r="51150" customFormat="1" ht="17.25" customHeight="1"/>
    <row r="51151" customFormat="1" ht="17.25" customHeight="1"/>
    <row r="51152" customFormat="1" ht="17.25" customHeight="1"/>
    <row r="51153" customFormat="1" ht="17.25" customHeight="1"/>
    <row r="51154" customFormat="1" ht="17.25" customHeight="1"/>
    <row r="51155" customFormat="1" ht="17.25" customHeight="1"/>
    <row r="51156" customFormat="1" ht="17.25" customHeight="1"/>
    <row r="51157" customFormat="1" ht="17.25" customHeight="1"/>
    <row r="51158" customFormat="1" ht="17.25" customHeight="1"/>
    <row r="51159" customFormat="1" ht="17.25" customHeight="1"/>
    <row r="51160" customFormat="1" ht="17.25" customHeight="1"/>
    <row r="51161" customFormat="1" ht="17.25" customHeight="1"/>
    <row r="51162" customFormat="1" ht="17.25" customHeight="1"/>
    <row r="51163" customFormat="1" ht="17.25" customHeight="1"/>
    <row r="51164" customFormat="1" ht="17.25" customHeight="1"/>
    <row r="51165" customFormat="1" ht="17.25" customHeight="1"/>
    <row r="51166" customFormat="1" ht="17.25" customHeight="1"/>
    <row r="51167" customFormat="1" ht="17.25" customHeight="1"/>
    <row r="51168" customFormat="1" ht="17.25" customHeight="1"/>
    <row r="51169" customFormat="1" ht="17.25" customHeight="1"/>
    <row r="51170" customFormat="1" ht="17.25" customHeight="1"/>
    <row r="51171" customFormat="1" ht="17.25" customHeight="1"/>
    <row r="51172" customFormat="1" ht="17.25" customHeight="1"/>
    <row r="51173" customFormat="1" ht="17.25" customHeight="1"/>
    <row r="51174" customFormat="1" ht="17.25" customHeight="1"/>
    <row r="51175" customFormat="1" ht="17.25" customHeight="1"/>
    <row r="51176" customFormat="1" ht="17.25" customHeight="1"/>
    <row r="51177" customFormat="1" ht="17.25" customHeight="1"/>
    <row r="51178" customFormat="1" ht="17.25" customHeight="1"/>
    <row r="51179" customFormat="1" ht="17.25" customHeight="1"/>
    <row r="51180" customFormat="1" ht="17.25" customHeight="1"/>
    <row r="51181" customFormat="1" ht="17.25" customHeight="1"/>
    <row r="51182" customFormat="1" ht="17.25" customHeight="1"/>
    <row r="51183" customFormat="1" ht="17.25" customHeight="1"/>
    <row r="51184" customFormat="1" ht="17.25" customHeight="1"/>
    <row r="51185" customFormat="1" ht="17.25" customHeight="1"/>
    <row r="51186" customFormat="1" ht="17.25" customHeight="1"/>
    <row r="51187" customFormat="1" ht="17.25" customHeight="1"/>
    <row r="51188" customFormat="1" ht="17.25" customHeight="1"/>
    <row r="51189" customFormat="1" ht="17.25" customHeight="1"/>
    <row r="51190" customFormat="1" ht="17.25" customHeight="1"/>
    <row r="51191" customFormat="1" ht="17.25" customHeight="1"/>
    <row r="51192" customFormat="1" ht="17.25" customHeight="1"/>
    <row r="51193" customFormat="1" ht="17.25" customHeight="1"/>
    <row r="51194" customFormat="1" ht="17.25" customHeight="1"/>
    <row r="51195" customFormat="1" ht="17.25" customHeight="1"/>
    <row r="51196" customFormat="1" ht="17.25" customHeight="1"/>
    <row r="51197" customFormat="1" ht="17.25" customHeight="1"/>
    <row r="51198" customFormat="1" ht="17.25" customHeight="1"/>
    <row r="51199" customFormat="1" ht="17.25" customHeight="1"/>
    <row r="51200" customFormat="1" ht="17.25" customHeight="1"/>
    <row r="51201" customFormat="1" ht="17.25" customHeight="1"/>
    <row r="51202" customFormat="1" ht="17.25" customHeight="1"/>
    <row r="51203" customFormat="1" ht="17.25" customHeight="1"/>
    <row r="51204" customFormat="1" ht="17.25" customHeight="1"/>
    <row r="51205" customFormat="1" ht="17.25" customHeight="1"/>
    <row r="51206" customFormat="1" ht="17.25" customHeight="1"/>
    <row r="51207" customFormat="1" ht="17.25" customHeight="1"/>
    <row r="51208" customFormat="1" ht="17.25" customHeight="1"/>
    <row r="51209" customFormat="1" ht="17.25" customHeight="1"/>
    <row r="51210" customFormat="1" ht="17.25" customHeight="1"/>
    <row r="51211" customFormat="1" ht="17.25" customHeight="1"/>
    <row r="51212" customFormat="1" ht="17.25" customHeight="1"/>
    <row r="51213" customFormat="1" ht="17.25" customHeight="1"/>
    <row r="51214" customFormat="1" ht="17.25" customHeight="1"/>
    <row r="51215" customFormat="1" ht="17.25" customHeight="1"/>
    <row r="51216" customFormat="1" ht="17.25" customHeight="1"/>
    <row r="51217" customFormat="1" ht="17.25" customHeight="1"/>
    <row r="51218" customFormat="1" ht="17.25" customHeight="1"/>
    <row r="51219" customFormat="1" ht="17.25" customHeight="1"/>
    <row r="51220" customFormat="1" ht="17.25" customHeight="1"/>
    <row r="51221" customFormat="1" ht="17.25" customHeight="1"/>
    <row r="51222" customFormat="1" ht="17.25" customHeight="1"/>
    <row r="51223" customFormat="1" ht="17.25" customHeight="1"/>
    <row r="51224" customFormat="1" ht="17.25" customHeight="1"/>
    <row r="51225" customFormat="1" ht="17.25" customHeight="1"/>
    <row r="51226" customFormat="1" ht="17.25" customHeight="1"/>
    <row r="51227" customFormat="1" ht="17.25" customHeight="1"/>
    <row r="51228" customFormat="1" ht="17.25" customHeight="1"/>
    <row r="51229" customFormat="1" ht="17.25" customHeight="1"/>
    <row r="51230" customFormat="1" ht="17.25" customHeight="1"/>
    <row r="51231" customFormat="1" ht="17.25" customHeight="1"/>
    <row r="51232" customFormat="1" ht="17.25" customHeight="1"/>
    <row r="51233" customFormat="1" ht="17.25" customHeight="1"/>
    <row r="51234" customFormat="1" ht="17.25" customHeight="1"/>
    <row r="51235" customFormat="1" ht="17.25" customHeight="1"/>
    <row r="51236" customFormat="1" ht="17.25" customHeight="1"/>
    <row r="51237" customFormat="1" ht="17.25" customHeight="1"/>
    <row r="51238" customFormat="1" ht="17.25" customHeight="1"/>
    <row r="51239" customFormat="1" ht="17.25" customHeight="1"/>
    <row r="51240" customFormat="1" ht="17.25" customHeight="1"/>
    <row r="51241" customFormat="1" ht="17.25" customHeight="1"/>
    <row r="51242" customFormat="1" ht="17.25" customHeight="1"/>
    <row r="51243" customFormat="1" ht="17.25" customHeight="1"/>
    <row r="51244" customFormat="1" ht="17.25" customHeight="1"/>
    <row r="51245" customFormat="1" ht="17.25" customHeight="1"/>
    <row r="51246" customFormat="1" ht="17.25" customHeight="1"/>
    <row r="51247" customFormat="1" ht="17.25" customHeight="1"/>
    <row r="51248" customFormat="1" ht="17.25" customHeight="1"/>
    <row r="51249" customFormat="1" ht="17.25" customHeight="1"/>
    <row r="51250" customFormat="1" ht="17.25" customHeight="1"/>
    <row r="51251" customFormat="1" ht="17.25" customHeight="1"/>
    <row r="51252" customFormat="1" ht="17.25" customHeight="1"/>
    <row r="51253" customFormat="1" ht="17.25" customHeight="1"/>
    <row r="51254" customFormat="1" ht="17.25" customHeight="1"/>
    <row r="51255" customFormat="1" ht="17.25" customHeight="1"/>
    <row r="51256" customFormat="1" ht="17.25" customHeight="1"/>
    <row r="51257" customFormat="1" ht="17.25" customHeight="1"/>
    <row r="51258" customFormat="1" ht="17.25" customHeight="1"/>
    <row r="51259" customFormat="1" ht="17.25" customHeight="1"/>
    <row r="51260" customFormat="1" ht="17.25" customHeight="1"/>
    <row r="51261" customFormat="1" ht="17.25" customHeight="1"/>
    <row r="51262" customFormat="1" ht="17.25" customHeight="1"/>
    <row r="51263" customFormat="1" ht="17.25" customHeight="1"/>
    <row r="51264" customFormat="1" ht="17.25" customHeight="1"/>
    <row r="51265" customFormat="1" ht="17.25" customHeight="1"/>
    <row r="51266" customFormat="1" ht="17.25" customHeight="1"/>
    <row r="51267" customFormat="1" ht="17.25" customHeight="1"/>
    <row r="51268" customFormat="1" ht="17.25" customHeight="1"/>
    <row r="51269" customFormat="1" ht="17.25" customHeight="1"/>
    <row r="51270" customFormat="1" ht="17.25" customHeight="1"/>
    <row r="51271" customFormat="1" ht="17.25" customHeight="1"/>
    <row r="51272" customFormat="1" ht="17.25" customHeight="1"/>
    <row r="51273" customFormat="1" ht="17.25" customHeight="1"/>
    <row r="51274" customFormat="1" ht="17.25" customHeight="1"/>
    <row r="51275" customFormat="1" ht="17.25" customHeight="1"/>
    <row r="51276" customFormat="1" ht="17.25" customHeight="1"/>
    <row r="51277" customFormat="1" ht="17.25" customHeight="1"/>
    <row r="51278" customFormat="1" ht="17.25" customHeight="1"/>
    <row r="51279" customFormat="1" ht="17.25" customHeight="1"/>
    <row r="51280" customFormat="1" ht="17.25" customHeight="1"/>
    <row r="51281" customFormat="1" ht="17.25" customHeight="1"/>
    <row r="51282" customFormat="1" ht="17.25" customHeight="1"/>
    <row r="51283" customFormat="1" ht="17.25" customHeight="1"/>
    <row r="51284" customFormat="1" ht="17.25" customHeight="1"/>
    <row r="51285" customFormat="1" ht="17.25" customHeight="1"/>
    <row r="51286" customFormat="1" ht="17.25" customHeight="1"/>
    <row r="51287" customFormat="1" ht="17.25" customHeight="1"/>
    <row r="51288" customFormat="1" ht="17.25" customHeight="1"/>
    <row r="51289" customFormat="1" ht="17.25" customHeight="1"/>
    <row r="51290" customFormat="1" ht="17.25" customHeight="1"/>
    <row r="51291" customFormat="1" ht="17.25" customHeight="1"/>
    <row r="51292" customFormat="1" ht="17.25" customHeight="1"/>
    <row r="51293" customFormat="1" ht="17.25" customHeight="1"/>
    <row r="51294" customFormat="1" ht="17.25" customHeight="1"/>
    <row r="51295" customFormat="1" ht="17.25" customHeight="1"/>
    <row r="51296" customFormat="1" ht="17.25" customHeight="1"/>
    <row r="51297" customFormat="1" ht="17.25" customHeight="1"/>
    <row r="51298" customFormat="1" ht="17.25" customHeight="1"/>
    <row r="51299" customFormat="1" ht="17.25" customHeight="1"/>
    <row r="51300" customFormat="1" ht="17.25" customHeight="1"/>
    <row r="51301" customFormat="1" ht="17.25" customHeight="1"/>
    <row r="51302" customFormat="1" ht="17.25" customHeight="1"/>
    <row r="51303" customFormat="1" ht="17.25" customHeight="1"/>
    <row r="51304" customFormat="1" ht="17.25" customHeight="1"/>
    <row r="51305" customFormat="1" ht="17.25" customHeight="1"/>
    <row r="51306" customFormat="1" ht="17.25" customHeight="1"/>
    <row r="51307" customFormat="1" ht="17.25" customHeight="1"/>
    <row r="51308" customFormat="1" ht="17.25" customHeight="1"/>
    <row r="51309" customFormat="1" ht="17.25" customHeight="1"/>
    <row r="51310" customFormat="1" ht="17.25" customHeight="1"/>
    <row r="51311" customFormat="1" ht="17.25" customHeight="1"/>
    <row r="51312" customFormat="1" ht="17.25" customHeight="1"/>
    <row r="51313" customFormat="1" ht="17.25" customHeight="1"/>
    <row r="51314" customFormat="1" ht="17.25" customHeight="1"/>
    <row r="51315" customFormat="1" ht="17.25" customHeight="1"/>
    <row r="51316" customFormat="1" ht="17.25" customHeight="1"/>
    <row r="51317" customFormat="1" ht="17.25" customHeight="1"/>
    <row r="51318" customFormat="1" ht="17.25" customHeight="1"/>
    <row r="51319" customFormat="1" ht="17.25" customHeight="1"/>
    <row r="51320" customFormat="1" ht="17.25" customHeight="1"/>
    <row r="51321" customFormat="1" ht="17.25" customHeight="1"/>
    <row r="51322" customFormat="1" ht="17.25" customHeight="1"/>
    <row r="51323" customFormat="1" ht="17.25" customHeight="1"/>
    <row r="51324" customFormat="1" ht="17.25" customHeight="1"/>
    <row r="51325" customFormat="1" ht="17.25" customHeight="1"/>
    <row r="51326" customFormat="1" ht="17.25" customHeight="1"/>
    <row r="51327" customFormat="1" ht="17.25" customHeight="1"/>
    <row r="51328" customFormat="1" ht="17.25" customHeight="1"/>
    <row r="51329" customFormat="1" ht="17.25" customHeight="1"/>
    <row r="51330" customFormat="1" ht="17.25" customHeight="1"/>
    <row r="51331" customFormat="1" ht="17.25" customHeight="1"/>
    <row r="51332" customFormat="1" ht="17.25" customHeight="1"/>
    <row r="51333" customFormat="1" ht="17.25" customHeight="1"/>
    <row r="51334" customFormat="1" ht="17.25" customHeight="1"/>
    <row r="51335" customFormat="1" ht="17.25" customHeight="1"/>
    <row r="51336" customFormat="1" ht="17.25" customHeight="1"/>
    <row r="51337" customFormat="1" ht="17.25" customHeight="1"/>
    <row r="51338" customFormat="1" ht="17.25" customHeight="1"/>
    <row r="51339" customFormat="1" ht="17.25" customHeight="1"/>
    <row r="51340" customFormat="1" ht="17.25" customHeight="1"/>
    <row r="51341" customFormat="1" ht="17.25" customHeight="1"/>
    <row r="51342" customFormat="1" ht="17.25" customHeight="1"/>
    <row r="51343" customFormat="1" ht="17.25" customHeight="1"/>
    <row r="51344" customFormat="1" ht="17.25" customHeight="1"/>
    <row r="51345" customFormat="1" ht="17.25" customHeight="1"/>
    <row r="51346" customFormat="1" ht="17.25" customHeight="1"/>
    <row r="51347" customFormat="1" ht="17.25" customHeight="1"/>
    <row r="51348" customFormat="1" ht="17.25" customHeight="1"/>
    <row r="51349" customFormat="1" ht="17.25" customHeight="1"/>
    <row r="51350" customFormat="1" ht="17.25" customHeight="1"/>
    <row r="51351" customFormat="1" ht="17.25" customHeight="1"/>
    <row r="51352" customFormat="1" ht="17.25" customHeight="1"/>
    <row r="51353" customFormat="1" ht="17.25" customHeight="1"/>
    <row r="51354" customFormat="1" ht="17.25" customHeight="1"/>
    <row r="51355" customFormat="1" ht="17.25" customHeight="1"/>
    <row r="51356" customFormat="1" ht="17.25" customHeight="1"/>
    <row r="51357" customFormat="1" ht="17.25" customHeight="1"/>
    <row r="51358" customFormat="1" ht="17.25" customHeight="1"/>
    <row r="51359" customFormat="1" ht="17.25" customHeight="1"/>
    <row r="51360" customFormat="1" ht="17.25" customHeight="1"/>
    <row r="51361" customFormat="1" ht="17.25" customHeight="1"/>
    <row r="51362" customFormat="1" ht="17.25" customHeight="1"/>
    <row r="51363" customFormat="1" ht="17.25" customHeight="1"/>
    <row r="51364" customFormat="1" ht="17.25" customHeight="1"/>
    <row r="51365" customFormat="1" ht="17.25" customHeight="1"/>
    <row r="51366" customFormat="1" ht="17.25" customHeight="1"/>
    <row r="51367" customFormat="1" ht="17.25" customHeight="1"/>
    <row r="51368" customFormat="1" ht="17.25" customHeight="1"/>
    <row r="51369" customFormat="1" ht="17.25" customHeight="1"/>
    <row r="51370" customFormat="1" ht="17.25" customHeight="1"/>
    <row r="51371" customFormat="1" ht="17.25" customHeight="1"/>
    <row r="51372" customFormat="1" ht="17.25" customHeight="1"/>
    <row r="51373" customFormat="1" ht="17.25" customHeight="1"/>
    <row r="51374" customFormat="1" ht="17.25" customHeight="1"/>
    <row r="51375" customFormat="1" ht="17.25" customHeight="1"/>
    <row r="51376" customFormat="1" ht="17.25" customHeight="1"/>
    <row r="51377" customFormat="1" ht="17.25" customHeight="1"/>
    <row r="51378" customFormat="1" ht="17.25" customHeight="1"/>
    <row r="51379" customFormat="1" ht="17.25" customHeight="1"/>
    <row r="51380" customFormat="1" ht="17.25" customHeight="1"/>
    <row r="51381" customFormat="1" ht="17.25" customHeight="1"/>
    <row r="51382" customFormat="1" ht="17.25" customHeight="1"/>
    <row r="51383" customFormat="1" ht="17.25" customHeight="1"/>
    <row r="51384" customFormat="1" ht="17.25" customHeight="1"/>
    <row r="51385" customFormat="1" ht="17.25" customHeight="1"/>
    <row r="51386" customFormat="1" ht="17.25" customHeight="1"/>
    <row r="51387" customFormat="1" ht="17.25" customHeight="1"/>
    <row r="51388" customFormat="1" ht="17.25" customHeight="1"/>
    <row r="51389" customFormat="1" ht="17.25" customHeight="1"/>
    <row r="51390" customFormat="1" ht="17.25" customHeight="1"/>
    <row r="51391" customFormat="1" ht="17.25" customHeight="1"/>
    <row r="51392" customFormat="1" ht="17.25" customHeight="1"/>
    <row r="51393" customFormat="1" ht="17.25" customHeight="1"/>
    <row r="51394" customFormat="1" ht="17.25" customHeight="1"/>
    <row r="51395" customFormat="1" ht="17.25" customHeight="1"/>
    <row r="51396" customFormat="1" ht="17.25" customHeight="1"/>
    <row r="51397" customFormat="1" ht="17.25" customHeight="1"/>
    <row r="51398" customFormat="1" ht="17.25" customHeight="1"/>
    <row r="51399" customFormat="1" ht="17.25" customHeight="1"/>
    <row r="51400" customFormat="1" ht="17.25" customHeight="1"/>
    <row r="51401" customFormat="1" ht="17.25" customHeight="1"/>
    <row r="51402" customFormat="1" ht="17.25" customHeight="1"/>
    <row r="51403" customFormat="1" ht="17.25" customHeight="1"/>
    <row r="51404" customFormat="1" ht="17.25" customHeight="1"/>
    <row r="51405" customFormat="1" ht="17.25" customHeight="1"/>
    <row r="51406" customFormat="1" ht="17.25" customHeight="1"/>
    <row r="51407" customFormat="1" ht="17.25" customHeight="1"/>
    <row r="51408" customFormat="1" ht="17.25" customHeight="1"/>
    <row r="51409" customFormat="1" ht="17.25" customHeight="1"/>
    <row r="51410" customFormat="1" ht="17.25" customHeight="1"/>
    <row r="51411" customFormat="1" ht="17.25" customHeight="1"/>
    <row r="51412" customFormat="1" ht="17.25" customHeight="1"/>
    <row r="51413" customFormat="1" ht="17.25" customHeight="1"/>
    <row r="51414" customFormat="1" ht="17.25" customHeight="1"/>
    <row r="51415" customFormat="1" ht="17.25" customHeight="1"/>
    <row r="51416" customFormat="1" ht="17.25" customHeight="1"/>
    <row r="51417" customFormat="1" ht="17.25" customHeight="1"/>
    <row r="51418" customFormat="1" ht="17.25" customHeight="1"/>
    <row r="51419" customFormat="1" ht="17.25" customHeight="1"/>
    <row r="51420" customFormat="1" ht="17.25" customHeight="1"/>
    <row r="51421" customFormat="1" ht="17.25" customHeight="1"/>
    <row r="51422" customFormat="1" ht="17.25" customHeight="1"/>
    <row r="51423" customFormat="1" ht="17.25" customHeight="1"/>
    <row r="51424" customFormat="1" ht="17.25" customHeight="1"/>
    <row r="51425" customFormat="1" ht="17.25" customHeight="1"/>
    <row r="51426" customFormat="1" ht="17.25" customHeight="1"/>
    <row r="51427" customFormat="1" ht="17.25" customHeight="1"/>
    <row r="51428" customFormat="1" ht="17.25" customHeight="1"/>
    <row r="51429" customFormat="1" ht="17.25" customHeight="1"/>
    <row r="51430" customFormat="1" ht="17.25" customHeight="1"/>
    <row r="51431" customFormat="1" ht="17.25" customHeight="1"/>
    <row r="51432" customFormat="1" ht="17.25" customHeight="1"/>
    <row r="51433" customFormat="1" ht="17.25" customHeight="1"/>
    <row r="51434" customFormat="1" ht="17.25" customHeight="1"/>
    <row r="51435" customFormat="1" ht="17.25" customHeight="1"/>
    <row r="51436" customFormat="1" ht="17.25" customHeight="1"/>
    <row r="51437" customFormat="1" ht="17.25" customHeight="1"/>
    <row r="51438" customFormat="1" ht="17.25" customHeight="1"/>
    <row r="51439" customFormat="1" ht="17.25" customHeight="1"/>
    <row r="51440" customFormat="1" ht="17.25" customHeight="1"/>
    <row r="51441" customFormat="1" ht="17.25" customHeight="1"/>
    <row r="51442" customFormat="1" ht="17.25" customHeight="1"/>
    <row r="51443" customFormat="1" ht="17.25" customHeight="1"/>
    <row r="51444" customFormat="1" ht="17.25" customHeight="1"/>
    <row r="51445" customFormat="1" ht="17.25" customHeight="1"/>
    <row r="51446" customFormat="1" ht="17.25" customHeight="1"/>
    <row r="51447" customFormat="1" ht="17.25" customHeight="1"/>
    <row r="51448" customFormat="1" ht="17.25" customHeight="1"/>
    <row r="51449" customFormat="1" ht="17.25" customHeight="1"/>
    <row r="51450" customFormat="1" ht="17.25" customHeight="1"/>
    <row r="51451" customFormat="1" ht="17.25" customHeight="1"/>
    <row r="51452" customFormat="1" ht="17.25" customHeight="1"/>
    <row r="51453" customFormat="1" ht="17.25" customHeight="1"/>
    <row r="51454" customFormat="1" ht="17.25" customHeight="1"/>
    <row r="51455" customFormat="1" ht="17.25" customHeight="1"/>
    <row r="51456" customFormat="1" ht="17.25" customHeight="1"/>
    <row r="51457" customFormat="1" ht="17.25" customHeight="1"/>
    <row r="51458" customFormat="1" ht="17.25" customHeight="1"/>
    <row r="51459" customFormat="1" ht="17.25" customHeight="1"/>
    <row r="51460" customFormat="1" ht="17.25" customHeight="1"/>
    <row r="51461" customFormat="1" ht="17.25" customHeight="1"/>
    <row r="51462" customFormat="1" ht="17.25" customHeight="1"/>
    <row r="51463" customFormat="1" ht="17.25" customHeight="1"/>
    <row r="51464" customFormat="1" ht="17.25" customHeight="1"/>
    <row r="51465" customFormat="1" ht="17.25" customHeight="1"/>
    <row r="51466" customFormat="1" ht="17.25" customHeight="1"/>
    <row r="51467" customFormat="1" ht="17.25" customHeight="1"/>
    <row r="51468" customFormat="1" ht="17.25" customHeight="1"/>
    <row r="51469" customFormat="1" ht="17.25" customHeight="1"/>
    <row r="51470" customFormat="1" ht="17.25" customHeight="1"/>
    <row r="51471" customFormat="1" ht="17.25" customHeight="1"/>
    <row r="51472" customFormat="1" ht="17.25" customHeight="1"/>
    <row r="51473" customFormat="1" ht="17.25" customHeight="1"/>
    <row r="51474" customFormat="1" ht="17.25" customHeight="1"/>
    <row r="51475" customFormat="1" ht="17.25" customHeight="1"/>
    <row r="51476" customFormat="1" ht="17.25" customHeight="1"/>
    <row r="51477" customFormat="1" ht="17.25" customHeight="1"/>
    <row r="51478" customFormat="1" ht="17.25" customHeight="1"/>
    <row r="51479" customFormat="1" ht="17.25" customHeight="1"/>
    <row r="51480" customFormat="1" ht="17.25" customHeight="1"/>
    <row r="51481" customFormat="1" ht="17.25" customHeight="1"/>
    <row r="51482" customFormat="1" ht="17.25" customHeight="1"/>
    <row r="51483" customFormat="1" ht="17.25" customHeight="1"/>
    <row r="51484" customFormat="1" ht="17.25" customHeight="1"/>
    <row r="51485" customFormat="1" ht="17.25" customHeight="1"/>
    <row r="51486" customFormat="1" ht="17.25" customHeight="1"/>
    <row r="51487" customFormat="1" ht="17.25" customHeight="1"/>
    <row r="51488" customFormat="1" ht="17.25" customHeight="1"/>
    <row r="51489" customFormat="1" ht="17.25" customHeight="1"/>
    <row r="51490" customFormat="1" ht="17.25" customHeight="1"/>
    <row r="51491" customFormat="1" ht="17.25" customHeight="1"/>
    <row r="51492" customFormat="1" ht="17.25" customHeight="1"/>
    <row r="51493" customFormat="1" ht="17.25" customHeight="1"/>
    <row r="51494" customFormat="1" ht="17.25" customHeight="1"/>
    <row r="51495" customFormat="1" ht="17.25" customHeight="1"/>
    <row r="51496" customFormat="1" ht="17.25" customHeight="1"/>
    <row r="51497" customFormat="1" ht="17.25" customHeight="1"/>
    <row r="51498" customFormat="1" ht="17.25" customHeight="1"/>
    <row r="51499" customFormat="1" ht="17.25" customHeight="1"/>
    <row r="51500" customFormat="1" ht="17.25" customHeight="1"/>
    <row r="51501" customFormat="1" ht="17.25" customHeight="1"/>
    <row r="51502" customFormat="1" ht="17.25" customHeight="1"/>
    <row r="51503" customFormat="1" ht="17.25" customHeight="1"/>
    <row r="51504" customFormat="1" ht="17.25" customHeight="1"/>
    <row r="51505" customFormat="1" ht="17.25" customHeight="1"/>
    <row r="51506" customFormat="1" ht="17.25" customHeight="1"/>
    <row r="51507" customFormat="1" ht="17.25" customHeight="1"/>
    <row r="51508" customFormat="1" ht="17.25" customHeight="1"/>
    <row r="51509" customFormat="1" ht="17.25" customHeight="1"/>
    <row r="51510" customFormat="1" ht="17.25" customHeight="1"/>
    <row r="51511" customFormat="1" ht="17.25" customHeight="1"/>
    <row r="51512" customFormat="1" ht="17.25" customHeight="1"/>
    <row r="51513" customFormat="1" ht="17.25" customHeight="1"/>
    <row r="51514" customFormat="1" ht="17.25" customHeight="1"/>
    <row r="51515" customFormat="1" ht="17.25" customHeight="1"/>
    <row r="51516" customFormat="1" ht="17.25" customHeight="1"/>
    <row r="51517" customFormat="1" ht="17.25" customHeight="1"/>
    <row r="51518" customFormat="1" ht="17.25" customHeight="1"/>
    <row r="51519" customFormat="1" ht="17.25" customHeight="1"/>
    <row r="51520" customFormat="1" ht="17.25" customHeight="1"/>
    <row r="51521" customFormat="1" ht="17.25" customHeight="1"/>
    <row r="51522" customFormat="1" ht="17.25" customHeight="1"/>
    <row r="51523" customFormat="1" ht="17.25" customHeight="1"/>
    <row r="51524" customFormat="1" ht="17.25" customHeight="1"/>
    <row r="51525" customFormat="1" ht="17.25" customHeight="1"/>
    <row r="51526" customFormat="1" ht="17.25" customHeight="1"/>
    <row r="51527" customFormat="1" ht="17.25" customHeight="1"/>
    <row r="51528" customFormat="1" ht="17.25" customHeight="1"/>
    <row r="51529" customFormat="1" ht="17.25" customHeight="1"/>
    <row r="51530" customFormat="1" ht="17.25" customHeight="1"/>
    <row r="51531" customFormat="1" ht="17.25" customHeight="1"/>
    <row r="51532" customFormat="1" ht="17.25" customHeight="1"/>
    <row r="51533" customFormat="1" ht="17.25" customHeight="1"/>
    <row r="51534" customFormat="1" ht="17.25" customHeight="1"/>
    <row r="51535" customFormat="1" ht="17.25" customHeight="1"/>
    <row r="51536" customFormat="1" ht="17.25" customHeight="1"/>
    <row r="51537" customFormat="1" ht="17.25" customHeight="1"/>
    <row r="51538" customFormat="1" ht="17.25" customHeight="1"/>
    <row r="51539" customFormat="1" ht="17.25" customHeight="1"/>
    <row r="51540" customFormat="1" ht="17.25" customHeight="1"/>
    <row r="51541" customFormat="1" ht="17.25" customHeight="1"/>
    <row r="51542" customFormat="1" ht="17.25" customHeight="1"/>
    <row r="51543" customFormat="1" ht="17.25" customHeight="1"/>
    <row r="51544" customFormat="1" ht="17.25" customHeight="1"/>
    <row r="51545" customFormat="1" ht="17.25" customHeight="1"/>
    <row r="51546" customFormat="1" ht="17.25" customHeight="1"/>
    <row r="51547" customFormat="1" ht="17.25" customHeight="1"/>
    <row r="51548" customFormat="1" ht="17.25" customHeight="1"/>
    <row r="51549" customFormat="1" ht="17.25" customHeight="1"/>
    <row r="51550" customFormat="1" ht="17.25" customHeight="1"/>
    <row r="51551" customFormat="1" ht="17.25" customHeight="1"/>
    <row r="51552" customFormat="1" ht="17.25" customHeight="1"/>
    <row r="51553" customFormat="1" ht="17.25" customHeight="1"/>
    <row r="51554" customFormat="1" ht="17.25" customHeight="1"/>
    <row r="51555" customFormat="1" ht="17.25" customHeight="1"/>
    <row r="51556" customFormat="1" ht="17.25" customHeight="1"/>
    <row r="51557" customFormat="1" ht="17.25" customHeight="1"/>
    <row r="51558" customFormat="1" ht="17.25" customHeight="1"/>
    <row r="51559" customFormat="1" ht="17.25" customHeight="1"/>
    <row r="51560" customFormat="1" ht="17.25" customHeight="1"/>
    <row r="51561" customFormat="1" ht="17.25" customHeight="1"/>
    <row r="51562" customFormat="1" ht="17.25" customHeight="1"/>
    <row r="51563" customFormat="1" ht="17.25" customHeight="1"/>
    <row r="51564" customFormat="1" ht="17.25" customHeight="1"/>
    <row r="51565" customFormat="1" ht="17.25" customHeight="1"/>
    <row r="51566" customFormat="1" ht="17.25" customHeight="1"/>
    <row r="51567" customFormat="1" ht="17.25" customHeight="1"/>
    <row r="51568" customFormat="1" ht="17.25" customHeight="1"/>
    <row r="51569" customFormat="1" ht="17.25" customHeight="1"/>
    <row r="51570" customFormat="1" ht="17.25" customHeight="1"/>
    <row r="51571" customFormat="1" ht="17.25" customHeight="1"/>
    <row r="51572" customFormat="1" ht="17.25" customHeight="1"/>
    <row r="51573" customFormat="1" ht="17.25" customHeight="1"/>
    <row r="51574" customFormat="1" ht="17.25" customHeight="1"/>
    <row r="51575" customFormat="1" ht="17.25" customHeight="1"/>
    <row r="51576" customFormat="1" ht="17.25" customHeight="1"/>
    <row r="51577" customFormat="1" ht="17.25" customHeight="1"/>
    <row r="51578" customFormat="1" ht="17.25" customHeight="1"/>
    <row r="51579" customFormat="1" ht="17.25" customHeight="1"/>
    <row r="51580" customFormat="1" ht="17.25" customHeight="1"/>
    <row r="51581" customFormat="1" ht="17.25" customHeight="1"/>
    <row r="51582" customFormat="1" ht="17.25" customHeight="1"/>
    <row r="51583" customFormat="1" ht="17.25" customHeight="1"/>
    <row r="51584" customFormat="1" ht="17.25" customHeight="1"/>
    <row r="51585" customFormat="1" ht="17.25" customHeight="1"/>
    <row r="51586" customFormat="1" ht="17.25" customHeight="1"/>
    <row r="51587" customFormat="1" ht="17.25" customHeight="1"/>
    <row r="51588" customFormat="1" ht="17.25" customHeight="1"/>
    <row r="51589" customFormat="1" ht="17.25" customHeight="1"/>
    <row r="51590" customFormat="1" ht="17.25" customHeight="1"/>
    <row r="51591" customFormat="1" ht="17.25" customHeight="1"/>
    <row r="51592" customFormat="1" ht="17.25" customHeight="1"/>
    <row r="51593" customFormat="1" ht="17.25" customHeight="1"/>
    <row r="51594" customFormat="1" ht="17.25" customHeight="1"/>
    <row r="51595" customFormat="1" ht="17.25" customHeight="1"/>
    <row r="51596" customFormat="1" ht="17.25" customHeight="1"/>
    <row r="51597" customFormat="1" ht="17.25" customHeight="1"/>
    <row r="51598" customFormat="1" ht="17.25" customHeight="1"/>
    <row r="51599" customFormat="1" ht="17.25" customHeight="1"/>
    <row r="51600" customFormat="1" ht="17.25" customHeight="1"/>
    <row r="51601" customFormat="1" ht="17.25" customHeight="1"/>
    <row r="51602" customFormat="1" ht="17.25" customHeight="1"/>
    <row r="51603" customFormat="1" ht="17.25" customHeight="1"/>
    <row r="51604" customFormat="1" ht="17.25" customHeight="1"/>
    <row r="51605" customFormat="1" ht="17.25" customHeight="1"/>
    <row r="51606" customFormat="1" ht="17.25" customHeight="1"/>
    <row r="51607" customFormat="1" ht="17.25" customHeight="1"/>
    <row r="51608" customFormat="1" ht="17.25" customHeight="1"/>
    <row r="51609" customFormat="1" ht="17.25" customHeight="1"/>
    <row r="51610" customFormat="1" ht="17.25" customHeight="1"/>
    <row r="51611" customFormat="1" ht="17.25" customHeight="1"/>
    <row r="51612" customFormat="1" ht="17.25" customHeight="1"/>
    <row r="51613" customFormat="1" ht="17.25" customHeight="1"/>
    <row r="51614" customFormat="1" ht="17.25" customHeight="1"/>
    <row r="51615" customFormat="1" ht="17.25" customHeight="1"/>
    <row r="51616" customFormat="1" ht="17.25" customHeight="1"/>
    <row r="51617" customFormat="1" ht="17.25" customHeight="1"/>
    <row r="51618" customFormat="1" ht="17.25" customHeight="1"/>
    <row r="51619" customFormat="1" ht="17.25" customHeight="1"/>
    <row r="51620" customFormat="1" ht="17.25" customHeight="1"/>
    <row r="51621" customFormat="1" ht="17.25" customHeight="1"/>
    <row r="51622" customFormat="1" ht="17.25" customHeight="1"/>
    <row r="51623" customFormat="1" ht="17.25" customHeight="1"/>
    <row r="51624" customFormat="1" ht="17.25" customHeight="1"/>
    <row r="51625" customFormat="1" ht="17.25" customHeight="1"/>
    <row r="51626" customFormat="1" ht="17.25" customHeight="1"/>
    <row r="51627" customFormat="1" ht="17.25" customHeight="1"/>
    <row r="51628" customFormat="1" ht="17.25" customHeight="1"/>
    <row r="51629" customFormat="1" ht="17.25" customHeight="1"/>
    <row r="51630" customFormat="1" ht="17.25" customHeight="1"/>
    <row r="51631" customFormat="1" ht="17.25" customHeight="1"/>
    <row r="51632" customFormat="1" ht="17.25" customHeight="1"/>
    <row r="51633" customFormat="1" ht="17.25" customHeight="1"/>
    <row r="51634" customFormat="1" ht="17.25" customHeight="1"/>
    <row r="51635" customFormat="1" ht="17.25" customHeight="1"/>
    <row r="51636" customFormat="1" ht="17.25" customHeight="1"/>
    <row r="51637" customFormat="1" ht="17.25" customHeight="1"/>
    <row r="51638" customFormat="1" ht="17.25" customHeight="1"/>
    <row r="51639" customFormat="1" ht="17.25" customHeight="1"/>
    <row r="51640" customFormat="1" ht="17.25" customHeight="1"/>
    <row r="51641" customFormat="1" ht="17.25" customHeight="1"/>
    <row r="51642" customFormat="1" ht="17.25" customHeight="1"/>
    <row r="51643" customFormat="1" ht="17.25" customHeight="1"/>
    <row r="51644" customFormat="1" ht="17.25" customHeight="1"/>
    <row r="51645" customFormat="1" ht="17.25" customHeight="1"/>
    <row r="51646" customFormat="1" ht="17.25" customHeight="1"/>
    <row r="51647" customFormat="1" ht="17.25" customHeight="1"/>
    <row r="51648" customFormat="1" ht="17.25" customHeight="1"/>
    <row r="51649" customFormat="1" ht="17.25" customHeight="1"/>
    <row r="51650" customFormat="1" ht="17.25" customHeight="1"/>
    <row r="51651" customFormat="1" ht="17.25" customHeight="1"/>
    <row r="51652" customFormat="1" ht="17.25" customHeight="1"/>
    <row r="51653" customFormat="1" ht="17.25" customHeight="1"/>
    <row r="51654" customFormat="1" ht="17.25" customHeight="1"/>
    <row r="51655" customFormat="1" ht="17.25" customHeight="1"/>
    <row r="51656" customFormat="1" ht="17.25" customHeight="1"/>
    <row r="51657" customFormat="1" ht="17.25" customHeight="1"/>
    <row r="51658" customFormat="1" ht="17.25" customHeight="1"/>
    <row r="51659" customFormat="1" ht="17.25" customHeight="1"/>
    <row r="51660" customFormat="1" ht="17.25" customHeight="1"/>
    <row r="51661" customFormat="1" ht="17.25" customHeight="1"/>
    <row r="51662" customFormat="1" ht="17.25" customHeight="1"/>
    <row r="51663" customFormat="1" ht="17.25" customHeight="1"/>
    <row r="51664" customFormat="1" ht="17.25" customHeight="1"/>
    <row r="51665" customFormat="1" ht="17.25" customHeight="1"/>
    <row r="51666" customFormat="1" ht="17.25" customHeight="1"/>
    <row r="51667" customFormat="1" ht="17.25" customHeight="1"/>
    <row r="51668" customFormat="1" ht="17.25" customHeight="1"/>
    <row r="51669" customFormat="1" ht="17.25" customHeight="1"/>
    <row r="51670" customFormat="1" ht="17.25" customHeight="1"/>
    <row r="51671" customFormat="1" ht="17.25" customHeight="1"/>
    <row r="51672" customFormat="1" ht="17.25" customHeight="1"/>
    <row r="51673" customFormat="1" ht="17.25" customHeight="1"/>
    <row r="51674" customFormat="1" ht="17.25" customHeight="1"/>
    <row r="51675" customFormat="1" ht="17.25" customHeight="1"/>
    <row r="51676" customFormat="1" ht="17.25" customHeight="1"/>
    <row r="51677" customFormat="1" ht="17.25" customHeight="1"/>
    <row r="51678" customFormat="1" ht="17.25" customHeight="1"/>
    <row r="51679" customFormat="1" ht="17.25" customHeight="1"/>
    <row r="51680" customFormat="1" ht="17.25" customHeight="1"/>
    <row r="51681" customFormat="1" ht="17.25" customHeight="1"/>
    <row r="51682" customFormat="1" ht="17.25" customHeight="1"/>
    <row r="51683" customFormat="1" ht="17.25" customHeight="1"/>
    <row r="51684" customFormat="1" ht="17.25" customHeight="1"/>
    <row r="51685" customFormat="1" ht="17.25" customHeight="1"/>
    <row r="51686" customFormat="1" ht="17.25" customHeight="1"/>
    <row r="51687" customFormat="1" ht="17.25" customHeight="1"/>
    <row r="51688" customFormat="1" ht="17.25" customHeight="1"/>
    <row r="51689" customFormat="1" ht="17.25" customHeight="1"/>
    <row r="51690" customFormat="1" ht="17.25" customHeight="1"/>
    <row r="51691" customFormat="1" ht="17.25" customHeight="1"/>
    <row r="51692" customFormat="1" ht="17.25" customHeight="1"/>
    <row r="51693" customFormat="1" ht="17.25" customHeight="1"/>
    <row r="51694" customFormat="1" ht="17.25" customHeight="1"/>
    <row r="51695" customFormat="1" ht="17.25" customHeight="1"/>
    <row r="51696" customFormat="1" ht="17.25" customHeight="1"/>
    <row r="51697" customFormat="1" ht="17.25" customHeight="1"/>
    <row r="51698" customFormat="1" ht="17.25" customHeight="1"/>
    <row r="51699" customFormat="1" ht="17.25" customHeight="1"/>
    <row r="51700" customFormat="1" ht="17.25" customHeight="1"/>
    <row r="51701" customFormat="1" ht="17.25" customHeight="1"/>
    <row r="51702" customFormat="1" ht="17.25" customHeight="1"/>
    <row r="51703" customFormat="1" ht="17.25" customHeight="1"/>
    <row r="51704" customFormat="1" ht="17.25" customHeight="1"/>
    <row r="51705" customFormat="1" ht="17.25" customHeight="1"/>
    <row r="51706" customFormat="1" ht="17.25" customHeight="1"/>
    <row r="51707" customFormat="1" ht="17.25" customHeight="1"/>
    <row r="51708" customFormat="1" ht="17.25" customHeight="1"/>
    <row r="51709" customFormat="1" ht="17.25" customHeight="1"/>
    <row r="51710" customFormat="1" ht="17.25" customHeight="1"/>
    <row r="51711" customFormat="1" ht="17.25" customHeight="1"/>
    <row r="51712" customFormat="1" ht="17.25" customHeight="1"/>
    <row r="51713" customFormat="1" ht="17.25" customHeight="1"/>
    <row r="51714" customFormat="1" ht="17.25" customHeight="1"/>
    <row r="51715" customFormat="1" ht="17.25" customHeight="1"/>
    <row r="51716" customFormat="1" ht="17.25" customHeight="1"/>
    <row r="51717" customFormat="1" ht="17.25" customHeight="1"/>
    <row r="51718" customFormat="1" ht="17.25" customHeight="1"/>
    <row r="51719" customFormat="1" ht="17.25" customHeight="1"/>
    <row r="51720" customFormat="1" ht="17.25" customHeight="1"/>
    <row r="51721" customFormat="1" ht="17.25" customHeight="1"/>
    <row r="51722" customFormat="1" ht="17.25" customHeight="1"/>
    <row r="51723" customFormat="1" ht="17.25" customHeight="1"/>
    <row r="51724" customFormat="1" ht="17.25" customHeight="1"/>
    <row r="51725" customFormat="1" ht="17.25" customHeight="1"/>
    <row r="51726" customFormat="1" ht="17.25" customHeight="1"/>
    <row r="51727" customFormat="1" ht="17.25" customHeight="1"/>
    <row r="51728" customFormat="1" ht="17.25" customHeight="1"/>
    <row r="51729" customFormat="1" ht="17.25" customHeight="1"/>
    <row r="51730" customFormat="1" ht="17.25" customHeight="1"/>
    <row r="51731" customFormat="1" ht="17.25" customHeight="1"/>
    <row r="51732" customFormat="1" ht="17.25" customHeight="1"/>
    <row r="51733" customFormat="1" ht="17.25" customHeight="1"/>
    <row r="51734" customFormat="1" ht="17.25" customHeight="1"/>
    <row r="51735" customFormat="1" ht="17.25" customHeight="1"/>
    <row r="51736" customFormat="1" ht="17.25" customHeight="1"/>
    <row r="51737" customFormat="1" ht="17.25" customHeight="1"/>
    <row r="51738" customFormat="1" ht="17.25" customHeight="1"/>
    <row r="51739" customFormat="1" ht="17.25" customHeight="1"/>
    <row r="51740" customFormat="1" ht="17.25" customHeight="1"/>
    <row r="51741" customFormat="1" ht="17.25" customHeight="1"/>
    <row r="51742" customFormat="1" ht="17.25" customHeight="1"/>
    <row r="51743" customFormat="1" ht="17.25" customHeight="1"/>
    <row r="51744" customFormat="1" ht="17.25" customHeight="1"/>
    <row r="51745" customFormat="1" ht="17.25" customHeight="1"/>
    <row r="51746" customFormat="1" ht="17.25" customHeight="1"/>
    <row r="51747" customFormat="1" ht="17.25" customHeight="1"/>
    <row r="51748" customFormat="1" ht="17.25" customHeight="1"/>
    <row r="51749" customFormat="1" ht="17.25" customHeight="1"/>
    <row r="51750" customFormat="1" ht="17.25" customHeight="1"/>
    <row r="51751" customFormat="1" ht="17.25" customHeight="1"/>
    <row r="51752" customFormat="1" ht="17.25" customHeight="1"/>
    <row r="51753" customFormat="1" ht="17.25" customHeight="1"/>
    <row r="51754" customFormat="1" ht="17.25" customHeight="1"/>
    <row r="51755" customFormat="1" ht="17.25" customHeight="1"/>
    <row r="51756" customFormat="1" ht="17.25" customHeight="1"/>
    <row r="51757" customFormat="1" ht="17.25" customHeight="1"/>
    <row r="51758" customFormat="1" ht="17.25" customHeight="1"/>
    <row r="51759" customFormat="1" ht="17.25" customHeight="1"/>
    <row r="51760" customFormat="1" ht="17.25" customHeight="1"/>
    <row r="51761" customFormat="1" ht="17.25" customHeight="1"/>
    <row r="51762" customFormat="1" ht="17.25" customHeight="1"/>
    <row r="51763" customFormat="1" ht="17.25" customHeight="1"/>
    <row r="51764" customFormat="1" ht="17.25" customHeight="1"/>
    <row r="51765" customFormat="1" ht="17.25" customHeight="1"/>
    <row r="51766" customFormat="1" ht="17.25" customHeight="1"/>
    <row r="51767" customFormat="1" ht="17.25" customHeight="1"/>
    <row r="51768" customFormat="1" ht="17.25" customHeight="1"/>
    <row r="51769" customFormat="1" ht="17.25" customHeight="1"/>
    <row r="51770" customFormat="1" ht="17.25" customHeight="1"/>
    <row r="51771" customFormat="1" ht="17.25" customHeight="1"/>
    <row r="51772" customFormat="1" ht="17.25" customHeight="1"/>
    <row r="51773" customFormat="1" ht="17.25" customHeight="1"/>
    <row r="51774" customFormat="1" ht="17.25" customHeight="1"/>
    <row r="51775" customFormat="1" ht="17.25" customHeight="1"/>
    <row r="51776" customFormat="1" ht="17.25" customHeight="1"/>
    <row r="51777" customFormat="1" ht="17.25" customHeight="1"/>
    <row r="51778" customFormat="1" ht="17.25" customHeight="1"/>
    <row r="51779" customFormat="1" ht="17.25" customHeight="1"/>
    <row r="51780" customFormat="1" ht="17.25" customHeight="1"/>
    <row r="51781" customFormat="1" ht="17.25" customHeight="1"/>
    <row r="51782" customFormat="1" ht="17.25" customHeight="1"/>
    <row r="51783" customFormat="1" ht="17.25" customHeight="1"/>
    <row r="51784" customFormat="1" ht="17.25" customHeight="1"/>
    <row r="51785" customFormat="1" ht="17.25" customHeight="1"/>
    <row r="51786" customFormat="1" ht="17.25" customHeight="1"/>
    <row r="51787" customFormat="1" ht="17.25" customHeight="1"/>
    <row r="51788" customFormat="1" ht="17.25" customHeight="1"/>
    <row r="51789" customFormat="1" ht="17.25" customHeight="1"/>
    <row r="51790" customFormat="1" ht="17.25" customHeight="1"/>
    <row r="51791" customFormat="1" ht="17.25" customHeight="1"/>
    <row r="51792" customFormat="1" ht="17.25" customHeight="1"/>
    <row r="51793" customFormat="1" ht="17.25" customHeight="1"/>
    <row r="51794" customFormat="1" ht="17.25" customHeight="1"/>
    <row r="51795" customFormat="1" ht="17.25" customHeight="1"/>
    <row r="51796" customFormat="1" ht="17.25" customHeight="1"/>
    <row r="51797" customFormat="1" ht="17.25" customHeight="1"/>
    <row r="51798" customFormat="1" ht="17.25" customHeight="1"/>
    <row r="51799" customFormat="1" ht="17.25" customHeight="1"/>
    <row r="51800" customFormat="1" ht="17.25" customHeight="1"/>
    <row r="51801" customFormat="1" ht="17.25" customHeight="1"/>
    <row r="51802" customFormat="1" ht="17.25" customHeight="1"/>
    <row r="51803" customFormat="1" ht="17.25" customHeight="1"/>
    <row r="51804" customFormat="1" ht="17.25" customHeight="1"/>
    <row r="51805" customFormat="1" ht="17.25" customHeight="1"/>
    <row r="51806" customFormat="1" ht="17.25" customHeight="1"/>
    <row r="51807" customFormat="1" ht="17.25" customHeight="1"/>
    <row r="51808" customFormat="1" ht="17.25" customHeight="1"/>
    <row r="51809" customFormat="1" ht="17.25" customHeight="1"/>
    <row r="51810" customFormat="1" ht="17.25" customHeight="1"/>
    <row r="51811" customFormat="1" ht="17.25" customHeight="1"/>
    <row r="51812" customFormat="1" ht="17.25" customHeight="1"/>
    <row r="51813" customFormat="1" ht="17.25" customHeight="1"/>
    <row r="51814" customFormat="1" ht="17.25" customHeight="1"/>
    <row r="51815" customFormat="1" ht="17.25" customHeight="1"/>
    <row r="51816" customFormat="1" ht="17.25" customHeight="1"/>
    <row r="51817" customFormat="1" ht="17.25" customHeight="1"/>
    <row r="51818" customFormat="1" ht="17.25" customHeight="1"/>
    <row r="51819" customFormat="1" ht="17.25" customHeight="1"/>
    <row r="51820" customFormat="1" ht="17.25" customHeight="1"/>
    <row r="51821" customFormat="1" ht="17.25" customHeight="1"/>
    <row r="51822" customFormat="1" ht="17.25" customHeight="1"/>
    <row r="51823" customFormat="1" ht="17.25" customHeight="1"/>
    <row r="51824" customFormat="1" ht="17.25" customHeight="1"/>
    <row r="51825" customFormat="1" ht="17.25" customHeight="1"/>
    <row r="51826" customFormat="1" ht="17.25" customHeight="1"/>
    <row r="51827" customFormat="1" ht="17.25" customHeight="1"/>
    <row r="51828" customFormat="1" ht="17.25" customHeight="1"/>
    <row r="51829" customFormat="1" ht="17.25" customHeight="1"/>
    <row r="51830" customFormat="1" ht="17.25" customHeight="1"/>
    <row r="51831" customFormat="1" ht="17.25" customHeight="1"/>
    <row r="51832" customFormat="1" ht="17.25" customHeight="1"/>
    <row r="51833" customFormat="1" ht="17.25" customHeight="1"/>
    <row r="51834" customFormat="1" ht="17.25" customHeight="1"/>
    <row r="51835" customFormat="1" ht="17.25" customHeight="1"/>
    <row r="51836" customFormat="1" ht="17.25" customHeight="1"/>
    <row r="51837" customFormat="1" ht="17.25" customHeight="1"/>
    <row r="51838" customFormat="1" ht="17.25" customHeight="1"/>
    <row r="51839" customFormat="1" ht="17.25" customHeight="1"/>
    <row r="51840" customFormat="1" ht="17.25" customHeight="1"/>
    <row r="51841" customFormat="1" ht="17.25" customHeight="1"/>
    <row r="51842" customFormat="1" ht="17.25" customHeight="1"/>
    <row r="51843" customFormat="1" ht="17.25" customHeight="1"/>
    <row r="51844" customFormat="1" ht="17.25" customHeight="1"/>
    <row r="51845" customFormat="1" ht="17.25" customHeight="1"/>
    <row r="51846" customFormat="1" ht="17.25" customHeight="1"/>
    <row r="51847" customFormat="1" ht="17.25" customHeight="1"/>
    <row r="51848" customFormat="1" ht="17.25" customHeight="1"/>
    <row r="51849" customFormat="1" ht="17.25" customHeight="1"/>
    <row r="51850" customFormat="1" ht="17.25" customHeight="1"/>
    <row r="51851" customFormat="1" ht="17.25" customHeight="1"/>
    <row r="51852" customFormat="1" ht="17.25" customHeight="1"/>
    <row r="51853" customFormat="1" ht="17.25" customHeight="1"/>
    <row r="51854" customFormat="1" ht="17.25" customHeight="1"/>
    <row r="51855" customFormat="1" ht="17.25" customHeight="1"/>
    <row r="51856" customFormat="1" ht="17.25" customHeight="1"/>
    <row r="51857" customFormat="1" ht="17.25" customHeight="1"/>
    <row r="51858" customFormat="1" ht="17.25" customHeight="1"/>
    <row r="51859" customFormat="1" ht="17.25" customHeight="1"/>
    <row r="51860" customFormat="1" ht="17.25" customHeight="1"/>
    <row r="51861" customFormat="1" ht="17.25" customHeight="1"/>
    <row r="51862" customFormat="1" ht="17.25" customHeight="1"/>
    <row r="51863" customFormat="1" ht="17.25" customHeight="1"/>
    <row r="51864" customFormat="1" ht="17.25" customHeight="1"/>
    <row r="51865" customFormat="1" ht="17.25" customHeight="1"/>
    <row r="51866" customFormat="1" ht="17.25" customHeight="1"/>
    <row r="51867" customFormat="1" ht="17.25" customHeight="1"/>
    <row r="51868" customFormat="1" ht="17.25" customHeight="1"/>
    <row r="51869" customFormat="1" ht="17.25" customHeight="1"/>
    <row r="51870" customFormat="1" ht="17.25" customHeight="1"/>
    <row r="51871" customFormat="1" ht="17.25" customHeight="1"/>
    <row r="51872" customFormat="1" ht="17.25" customHeight="1"/>
    <row r="51873" customFormat="1" ht="17.25" customHeight="1"/>
    <row r="51874" customFormat="1" ht="17.25" customHeight="1"/>
    <row r="51875" customFormat="1" ht="17.25" customHeight="1"/>
    <row r="51876" customFormat="1" ht="17.25" customHeight="1"/>
    <row r="51877" customFormat="1" ht="17.25" customHeight="1"/>
    <row r="51878" customFormat="1" ht="17.25" customHeight="1"/>
    <row r="51879" customFormat="1" ht="17.25" customHeight="1"/>
    <row r="51880" customFormat="1" ht="17.25" customHeight="1"/>
    <row r="51881" customFormat="1" ht="17.25" customHeight="1"/>
    <row r="51882" customFormat="1" ht="17.25" customHeight="1"/>
    <row r="51883" customFormat="1" ht="17.25" customHeight="1"/>
    <row r="51884" customFormat="1" ht="17.25" customHeight="1"/>
    <row r="51885" customFormat="1" ht="17.25" customHeight="1"/>
    <row r="51886" customFormat="1" ht="17.25" customHeight="1"/>
    <row r="51887" customFormat="1" ht="17.25" customHeight="1"/>
    <row r="51888" customFormat="1" ht="17.25" customHeight="1"/>
    <row r="51889" customFormat="1" ht="17.25" customHeight="1"/>
    <row r="51890" customFormat="1" ht="17.25" customHeight="1"/>
    <row r="51891" customFormat="1" ht="17.25" customHeight="1"/>
    <row r="51892" customFormat="1" ht="17.25" customHeight="1"/>
    <row r="51893" customFormat="1" ht="17.25" customHeight="1"/>
    <row r="51894" customFormat="1" ht="17.25" customHeight="1"/>
    <row r="51895" customFormat="1" ht="17.25" customHeight="1"/>
    <row r="51896" customFormat="1" ht="17.25" customHeight="1"/>
    <row r="51897" customFormat="1" ht="17.25" customHeight="1"/>
    <row r="51898" customFormat="1" ht="17.25" customHeight="1"/>
    <row r="51899" customFormat="1" ht="17.25" customHeight="1"/>
    <row r="51900" customFormat="1" ht="17.25" customHeight="1"/>
    <row r="51901" customFormat="1" ht="17.25" customHeight="1"/>
    <row r="51902" customFormat="1" ht="17.25" customHeight="1"/>
    <row r="51903" customFormat="1" ht="17.25" customHeight="1"/>
    <row r="51904" customFormat="1" ht="17.25" customHeight="1"/>
    <row r="51905" customFormat="1" ht="17.25" customHeight="1"/>
    <row r="51906" customFormat="1" ht="17.25" customHeight="1"/>
    <row r="51907" customFormat="1" ht="17.25" customHeight="1"/>
    <row r="51908" customFormat="1" ht="17.25" customHeight="1"/>
    <row r="51909" customFormat="1" ht="17.25" customHeight="1"/>
    <row r="51910" customFormat="1" ht="17.25" customHeight="1"/>
    <row r="51911" customFormat="1" ht="17.25" customHeight="1"/>
    <row r="51912" customFormat="1" ht="17.25" customHeight="1"/>
    <row r="51913" customFormat="1" ht="17.25" customHeight="1"/>
    <row r="51914" customFormat="1" ht="17.25" customHeight="1"/>
    <row r="51915" customFormat="1" ht="17.25" customHeight="1"/>
    <row r="51916" customFormat="1" ht="17.25" customHeight="1"/>
    <row r="51917" customFormat="1" ht="17.25" customHeight="1"/>
    <row r="51918" customFormat="1" ht="17.25" customHeight="1"/>
    <row r="51919" customFormat="1" ht="17.25" customHeight="1"/>
    <row r="51920" customFormat="1" ht="17.25" customHeight="1"/>
    <row r="51921" customFormat="1" ht="17.25" customHeight="1"/>
    <row r="51922" customFormat="1" ht="17.25" customHeight="1"/>
    <row r="51923" customFormat="1" ht="17.25" customHeight="1"/>
    <row r="51924" customFormat="1" ht="17.25" customHeight="1"/>
    <row r="51925" customFormat="1" ht="17.25" customHeight="1"/>
    <row r="51926" customFormat="1" ht="17.25" customHeight="1"/>
    <row r="51927" customFormat="1" ht="17.25" customHeight="1"/>
    <row r="51928" customFormat="1" ht="17.25" customHeight="1"/>
    <row r="51929" customFormat="1" ht="17.25" customHeight="1"/>
    <row r="51930" customFormat="1" ht="17.25" customHeight="1"/>
    <row r="51931" customFormat="1" ht="17.25" customHeight="1"/>
    <row r="51932" customFormat="1" ht="17.25" customHeight="1"/>
    <row r="51933" customFormat="1" ht="17.25" customHeight="1"/>
    <row r="51934" customFormat="1" ht="17.25" customHeight="1"/>
    <row r="51935" customFormat="1" ht="17.25" customHeight="1"/>
    <row r="51936" customFormat="1" ht="17.25" customHeight="1"/>
    <row r="51937" customFormat="1" ht="17.25" customHeight="1"/>
    <row r="51938" customFormat="1" ht="17.25" customHeight="1"/>
    <row r="51939" customFormat="1" ht="17.25" customHeight="1"/>
    <row r="51940" customFormat="1" ht="17.25" customHeight="1"/>
    <row r="51941" customFormat="1" ht="17.25" customHeight="1"/>
    <row r="51942" customFormat="1" ht="17.25" customHeight="1"/>
    <row r="51943" customFormat="1" ht="17.25" customHeight="1"/>
    <row r="51944" customFormat="1" ht="17.25" customHeight="1"/>
    <row r="51945" customFormat="1" ht="17.25" customHeight="1"/>
    <row r="51946" customFormat="1" ht="17.25" customHeight="1"/>
    <row r="51947" customFormat="1" ht="17.25" customHeight="1"/>
    <row r="51948" customFormat="1" ht="17.25" customHeight="1"/>
    <row r="51949" customFormat="1" ht="17.25" customHeight="1"/>
    <row r="51950" customFormat="1" ht="17.25" customHeight="1"/>
    <row r="51951" customFormat="1" ht="17.25" customHeight="1"/>
    <row r="51952" customFormat="1" ht="17.25" customHeight="1"/>
    <row r="51953" customFormat="1" ht="17.25" customHeight="1"/>
    <row r="51954" customFormat="1" ht="17.25" customHeight="1"/>
    <row r="51955" customFormat="1" ht="17.25" customHeight="1"/>
    <row r="51956" customFormat="1" ht="17.25" customHeight="1"/>
    <row r="51957" customFormat="1" ht="17.25" customHeight="1"/>
    <row r="51958" customFormat="1" ht="17.25" customHeight="1"/>
    <row r="51959" customFormat="1" ht="17.25" customHeight="1"/>
    <row r="51960" customFormat="1" ht="17.25" customHeight="1"/>
    <row r="51961" customFormat="1" ht="17.25" customHeight="1"/>
    <row r="51962" customFormat="1" ht="17.25" customHeight="1"/>
    <row r="51963" customFormat="1" ht="17.25" customHeight="1"/>
    <row r="51964" customFormat="1" ht="17.25" customHeight="1"/>
    <row r="51965" customFormat="1" ht="17.25" customHeight="1"/>
    <row r="51966" customFormat="1" ht="17.25" customHeight="1"/>
    <row r="51967" customFormat="1" ht="17.25" customHeight="1"/>
    <row r="51968" customFormat="1" ht="17.25" customHeight="1"/>
    <row r="51969" customFormat="1" ht="17.25" customHeight="1"/>
    <row r="51970" customFormat="1" ht="17.25" customHeight="1"/>
    <row r="51971" customFormat="1" ht="17.25" customHeight="1"/>
    <row r="51972" customFormat="1" ht="17.25" customHeight="1"/>
    <row r="51973" customFormat="1" ht="17.25" customHeight="1"/>
    <row r="51974" customFormat="1" ht="17.25" customHeight="1"/>
    <row r="51975" customFormat="1" ht="17.25" customHeight="1"/>
    <row r="51976" customFormat="1" ht="17.25" customHeight="1"/>
    <row r="51977" customFormat="1" ht="17.25" customHeight="1"/>
    <row r="51978" customFormat="1" ht="17.25" customHeight="1"/>
    <row r="51979" customFormat="1" ht="17.25" customHeight="1"/>
    <row r="51980" customFormat="1" ht="17.25" customHeight="1"/>
    <row r="51981" customFormat="1" ht="17.25" customHeight="1"/>
    <row r="51982" customFormat="1" ht="17.25" customHeight="1"/>
    <row r="51983" customFormat="1" ht="17.25" customHeight="1"/>
    <row r="51984" customFormat="1" ht="17.25" customHeight="1"/>
    <row r="51985" customFormat="1" ht="17.25" customHeight="1"/>
    <row r="51986" customFormat="1" ht="17.25" customHeight="1"/>
    <row r="51987" customFormat="1" ht="17.25" customHeight="1"/>
    <row r="51988" customFormat="1" ht="17.25" customHeight="1"/>
    <row r="51989" customFormat="1" ht="17.25" customHeight="1"/>
    <row r="51990" customFormat="1" ht="17.25" customHeight="1"/>
    <row r="51991" customFormat="1" ht="17.25" customHeight="1"/>
    <row r="51992" customFormat="1" ht="17.25" customHeight="1"/>
    <row r="51993" customFormat="1" ht="17.25" customHeight="1"/>
    <row r="51994" customFormat="1" ht="17.25" customHeight="1"/>
    <row r="51995" customFormat="1" ht="17.25" customHeight="1"/>
    <row r="51996" customFormat="1" ht="17.25" customHeight="1"/>
    <row r="51997" customFormat="1" ht="17.25" customHeight="1"/>
    <row r="51998" customFormat="1" ht="17.25" customHeight="1"/>
    <row r="51999" customFormat="1" ht="17.25" customHeight="1"/>
    <row r="52000" customFormat="1" ht="17.25" customHeight="1"/>
    <row r="52001" customFormat="1" ht="17.25" customHeight="1"/>
    <row r="52002" customFormat="1" ht="17.25" customHeight="1"/>
    <row r="52003" customFormat="1" ht="17.25" customHeight="1"/>
    <row r="52004" customFormat="1" ht="17.25" customHeight="1"/>
    <row r="52005" customFormat="1" ht="17.25" customHeight="1"/>
    <row r="52006" customFormat="1" ht="17.25" customHeight="1"/>
    <row r="52007" customFormat="1" ht="17.25" customHeight="1"/>
    <row r="52008" customFormat="1" ht="17.25" customHeight="1"/>
    <row r="52009" customFormat="1" ht="17.25" customHeight="1"/>
    <row r="52010" customFormat="1" ht="17.25" customHeight="1"/>
    <row r="52011" customFormat="1" ht="17.25" customHeight="1"/>
    <row r="52012" customFormat="1" ht="17.25" customHeight="1"/>
    <row r="52013" customFormat="1" ht="17.25" customHeight="1"/>
    <row r="52014" customFormat="1" ht="17.25" customHeight="1"/>
    <row r="52015" customFormat="1" ht="17.25" customHeight="1"/>
    <row r="52016" customFormat="1" ht="17.25" customHeight="1"/>
    <row r="52017" customFormat="1" ht="17.25" customHeight="1"/>
    <row r="52018" customFormat="1" ht="17.25" customHeight="1"/>
    <row r="52019" customFormat="1" ht="17.25" customHeight="1"/>
    <row r="52020" customFormat="1" ht="17.25" customHeight="1"/>
    <row r="52021" customFormat="1" ht="17.25" customHeight="1"/>
    <row r="52022" customFormat="1" ht="17.25" customHeight="1"/>
    <row r="52023" customFormat="1" ht="17.25" customHeight="1"/>
    <row r="52024" customFormat="1" ht="17.25" customHeight="1"/>
    <row r="52025" customFormat="1" ht="17.25" customHeight="1"/>
    <row r="52026" customFormat="1" ht="17.25" customHeight="1"/>
    <row r="52027" customFormat="1" ht="17.25" customHeight="1"/>
    <row r="52028" customFormat="1" ht="17.25" customHeight="1"/>
    <row r="52029" customFormat="1" ht="17.25" customHeight="1"/>
    <row r="52030" customFormat="1" ht="17.25" customHeight="1"/>
    <row r="52031" customFormat="1" ht="17.25" customHeight="1"/>
    <row r="52032" customFormat="1" ht="17.25" customHeight="1"/>
    <row r="52033" customFormat="1" ht="17.25" customHeight="1"/>
    <row r="52034" customFormat="1" ht="17.25" customHeight="1"/>
    <row r="52035" customFormat="1" ht="17.25" customHeight="1"/>
    <row r="52036" customFormat="1" ht="17.25" customHeight="1"/>
    <row r="52037" customFormat="1" ht="17.25" customHeight="1"/>
    <row r="52038" customFormat="1" ht="17.25" customHeight="1"/>
    <row r="52039" customFormat="1" ht="17.25" customHeight="1"/>
    <row r="52040" customFormat="1" ht="17.25" customHeight="1"/>
    <row r="52041" customFormat="1" ht="17.25" customHeight="1"/>
    <row r="52042" customFormat="1" ht="17.25" customHeight="1"/>
    <row r="52043" customFormat="1" ht="17.25" customHeight="1"/>
    <row r="52044" customFormat="1" ht="17.25" customHeight="1"/>
    <row r="52045" customFormat="1" ht="17.25" customHeight="1"/>
    <row r="52046" customFormat="1" ht="17.25" customHeight="1"/>
    <row r="52047" customFormat="1" ht="17.25" customHeight="1"/>
    <row r="52048" customFormat="1" ht="17.25" customHeight="1"/>
    <row r="52049" customFormat="1" ht="17.25" customHeight="1"/>
    <row r="52050" customFormat="1" ht="17.25" customHeight="1"/>
    <row r="52051" customFormat="1" ht="17.25" customHeight="1"/>
    <row r="52052" customFormat="1" ht="17.25" customHeight="1"/>
    <row r="52053" customFormat="1" ht="17.25" customHeight="1"/>
    <row r="52054" customFormat="1" ht="17.25" customHeight="1"/>
    <row r="52055" customFormat="1" ht="17.25" customHeight="1"/>
    <row r="52056" customFormat="1" ht="17.25" customHeight="1"/>
    <row r="52057" customFormat="1" ht="17.25" customHeight="1"/>
    <row r="52058" customFormat="1" ht="17.25" customHeight="1"/>
    <row r="52059" customFormat="1" ht="17.25" customHeight="1"/>
    <row r="52060" customFormat="1" ht="17.25" customHeight="1"/>
    <row r="52061" customFormat="1" ht="17.25" customHeight="1"/>
    <row r="52062" customFormat="1" ht="17.25" customHeight="1"/>
    <row r="52063" customFormat="1" ht="17.25" customHeight="1"/>
    <row r="52064" customFormat="1" ht="17.25" customHeight="1"/>
    <row r="52065" customFormat="1" ht="17.25" customHeight="1"/>
    <row r="52066" customFormat="1" ht="17.25" customHeight="1"/>
    <row r="52067" customFormat="1" ht="17.25" customHeight="1"/>
    <row r="52068" customFormat="1" ht="17.25" customHeight="1"/>
    <row r="52069" customFormat="1" ht="17.25" customHeight="1"/>
    <row r="52070" customFormat="1" ht="17.25" customHeight="1"/>
    <row r="52071" customFormat="1" ht="17.25" customHeight="1"/>
    <row r="52072" customFormat="1" ht="17.25" customHeight="1"/>
    <row r="52073" customFormat="1" ht="17.25" customHeight="1"/>
    <row r="52074" customFormat="1" ht="17.25" customHeight="1"/>
    <row r="52075" customFormat="1" ht="17.25" customHeight="1"/>
    <row r="52076" customFormat="1" ht="17.25" customHeight="1"/>
    <row r="52077" customFormat="1" ht="17.25" customHeight="1"/>
    <row r="52078" customFormat="1" ht="17.25" customHeight="1"/>
    <row r="52079" customFormat="1" ht="17.25" customHeight="1"/>
    <row r="52080" customFormat="1" ht="17.25" customHeight="1"/>
    <row r="52081" customFormat="1" ht="17.25" customHeight="1"/>
    <row r="52082" customFormat="1" ht="17.25" customHeight="1"/>
    <row r="52083" customFormat="1" ht="17.25" customHeight="1"/>
    <row r="52084" customFormat="1" ht="17.25" customHeight="1"/>
    <row r="52085" customFormat="1" ht="17.25" customHeight="1"/>
    <row r="52086" customFormat="1" ht="17.25" customHeight="1"/>
    <row r="52087" customFormat="1" ht="17.25" customHeight="1"/>
    <row r="52088" customFormat="1" ht="17.25" customHeight="1"/>
    <row r="52089" customFormat="1" ht="17.25" customHeight="1"/>
    <row r="52090" customFormat="1" ht="17.25" customHeight="1"/>
    <row r="52091" customFormat="1" ht="17.25" customHeight="1"/>
    <row r="52092" customFormat="1" ht="17.25" customHeight="1"/>
    <row r="52093" customFormat="1" ht="17.25" customHeight="1"/>
    <row r="52094" customFormat="1" ht="17.25" customHeight="1"/>
    <row r="52095" customFormat="1" ht="17.25" customHeight="1"/>
    <row r="52096" customFormat="1" ht="17.25" customHeight="1"/>
    <row r="52097" customFormat="1" ht="17.25" customHeight="1"/>
    <row r="52098" customFormat="1" ht="17.25" customHeight="1"/>
    <row r="52099" customFormat="1" ht="17.25" customHeight="1"/>
    <row r="52100" customFormat="1" ht="17.25" customHeight="1"/>
    <row r="52101" customFormat="1" ht="17.25" customHeight="1"/>
    <row r="52102" customFormat="1" ht="17.25" customHeight="1"/>
    <row r="52103" customFormat="1" ht="17.25" customHeight="1"/>
    <row r="52104" customFormat="1" ht="17.25" customHeight="1"/>
    <row r="52105" customFormat="1" ht="17.25" customHeight="1"/>
    <row r="52106" customFormat="1" ht="17.25" customHeight="1"/>
    <row r="52107" customFormat="1" ht="17.25" customHeight="1"/>
    <row r="52108" customFormat="1" ht="17.25" customHeight="1"/>
    <row r="52109" customFormat="1" ht="17.25" customHeight="1"/>
    <row r="52110" customFormat="1" ht="17.25" customHeight="1"/>
    <row r="52111" customFormat="1" ht="17.25" customHeight="1"/>
    <row r="52112" customFormat="1" ht="17.25" customHeight="1"/>
    <row r="52113" customFormat="1" ht="17.25" customHeight="1"/>
    <row r="52114" customFormat="1" ht="17.25" customHeight="1"/>
    <row r="52115" customFormat="1" ht="17.25" customHeight="1"/>
    <row r="52116" customFormat="1" ht="17.25" customHeight="1"/>
    <row r="52117" customFormat="1" ht="17.25" customHeight="1"/>
    <row r="52118" customFormat="1" ht="17.25" customHeight="1"/>
    <row r="52119" customFormat="1" ht="17.25" customHeight="1"/>
    <row r="52120" customFormat="1" ht="17.25" customHeight="1"/>
    <row r="52121" customFormat="1" ht="17.25" customHeight="1"/>
    <row r="52122" customFormat="1" ht="17.25" customHeight="1"/>
    <row r="52123" customFormat="1" ht="17.25" customHeight="1"/>
    <row r="52124" customFormat="1" ht="17.25" customHeight="1"/>
    <row r="52125" customFormat="1" ht="17.25" customHeight="1"/>
    <row r="52126" customFormat="1" ht="17.25" customHeight="1"/>
    <row r="52127" customFormat="1" ht="17.25" customHeight="1"/>
    <row r="52128" customFormat="1" ht="17.25" customHeight="1"/>
    <row r="52129" customFormat="1" ht="17.25" customHeight="1"/>
    <row r="52130" customFormat="1" ht="17.25" customHeight="1"/>
    <row r="52131" customFormat="1" ht="17.25" customHeight="1"/>
    <row r="52132" customFormat="1" ht="17.25" customHeight="1"/>
    <row r="52133" customFormat="1" ht="17.25" customHeight="1"/>
    <row r="52134" customFormat="1" ht="17.25" customHeight="1"/>
    <row r="52135" customFormat="1" ht="17.25" customHeight="1"/>
    <row r="52136" customFormat="1" ht="17.25" customHeight="1"/>
    <row r="52137" customFormat="1" ht="17.25" customHeight="1"/>
    <row r="52138" customFormat="1" ht="17.25" customHeight="1"/>
    <row r="52139" customFormat="1" ht="17.25" customHeight="1"/>
    <row r="52140" customFormat="1" ht="17.25" customHeight="1"/>
    <row r="52141" customFormat="1" ht="17.25" customHeight="1"/>
    <row r="52142" customFormat="1" ht="17.25" customHeight="1"/>
    <row r="52143" customFormat="1" ht="17.25" customHeight="1"/>
    <row r="52144" customFormat="1" ht="17.25" customHeight="1"/>
    <row r="52145" customFormat="1" ht="17.25" customHeight="1"/>
    <row r="52146" customFormat="1" ht="17.25" customHeight="1"/>
    <row r="52147" customFormat="1" ht="17.25" customHeight="1"/>
    <row r="52148" customFormat="1" ht="17.25" customHeight="1"/>
    <row r="52149" customFormat="1" ht="17.25" customHeight="1"/>
    <row r="52150" customFormat="1" ht="17.25" customHeight="1"/>
    <row r="52151" customFormat="1" ht="17.25" customHeight="1"/>
    <row r="52152" customFormat="1" ht="17.25" customHeight="1"/>
    <row r="52153" customFormat="1" ht="17.25" customHeight="1"/>
    <row r="52154" customFormat="1" ht="17.25" customHeight="1"/>
    <row r="52155" customFormat="1" ht="17.25" customHeight="1"/>
    <row r="52156" customFormat="1" ht="17.25" customHeight="1"/>
    <row r="52157" customFormat="1" ht="17.25" customHeight="1"/>
    <row r="52158" customFormat="1" ht="17.25" customHeight="1"/>
    <row r="52159" customFormat="1" ht="17.25" customHeight="1"/>
    <row r="52160" customFormat="1" ht="17.25" customHeight="1"/>
    <row r="52161" customFormat="1" ht="17.25" customHeight="1"/>
    <row r="52162" customFormat="1" ht="17.25" customHeight="1"/>
    <row r="52163" customFormat="1" ht="17.25" customHeight="1"/>
    <row r="52164" customFormat="1" ht="17.25" customHeight="1"/>
    <row r="52165" customFormat="1" ht="17.25" customHeight="1"/>
    <row r="52166" customFormat="1" ht="17.25" customHeight="1"/>
    <row r="52167" customFormat="1" ht="17.25" customHeight="1"/>
    <row r="52168" customFormat="1" ht="17.25" customHeight="1"/>
    <row r="52169" customFormat="1" ht="17.25" customHeight="1"/>
    <row r="52170" customFormat="1" ht="17.25" customHeight="1"/>
    <row r="52171" customFormat="1" ht="17.25" customHeight="1"/>
    <row r="52172" customFormat="1" ht="17.25" customHeight="1"/>
    <row r="52173" customFormat="1" ht="17.25" customHeight="1"/>
    <row r="52174" customFormat="1" ht="17.25" customHeight="1"/>
    <row r="52175" customFormat="1" ht="17.25" customHeight="1"/>
    <row r="52176" customFormat="1" ht="17.25" customHeight="1"/>
    <row r="52177" customFormat="1" ht="17.25" customHeight="1"/>
    <row r="52178" customFormat="1" ht="17.25" customHeight="1"/>
    <row r="52179" customFormat="1" ht="17.25" customHeight="1"/>
    <row r="52180" customFormat="1" ht="17.25" customHeight="1"/>
    <row r="52181" customFormat="1" ht="17.25" customHeight="1"/>
    <row r="52182" customFormat="1" ht="17.25" customHeight="1"/>
    <row r="52183" customFormat="1" ht="17.25" customHeight="1"/>
    <row r="52184" customFormat="1" ht="17.25" customHeight="1"/>
    <row r="52185" customFormat="1" ht="17.25" customHeight="1"/>
    <row r="52186" customFormat="1" ht="17.25" customHeight="1"/>
    <row r="52187" customFormat="1" ht="17.25" customHeight="1"/>
    <row r="52188" customFormat="1" ht="17.25" customHeight="1"/>
    <row r="52189" customFormat="1" ht="17.25" customHeight="1"/>
    <row r="52190" customFormat="1" ht="17.25" customHeight="1"/>
    <row r="52191" customFormat="1" ht="17.25" customHeight="1"/>
    <row r="52192" customFormat="1" ht="17.25" customHeight="1"/>
    <row r="52193" customFormat="1" ht="17.25" customHeight="1"/>
    <row r="52194" customFormat="1" ht="17.25" customHeight="1"/>
    <row r="52195" customFormat="1" ht="17.25" customHeight="1"/>
    <row r="52196" customFormat="1" ht="17.25" customHeight="1"/>
    <row r="52197" customFormat="1" ht="17.25" customHeight="1"/>
    <row r="52198" customFormat="1" ht="17.25" customHeight="1"/>
    <row r="52199" customFormat="1" ht="17.25" customHeight="1"/>
    <row r="52200" customFormat="1" ht="17.25" customHeight="1"/>
    <row r="52201" customFormat="1" ht="17.25" customHeight="1"/>
    <row r="52202" customFormat="1" ht="17.25" customHeight="1"/>
    <row r="52203" customFormat="1" ht="17.25" customHeight="1"/>
    <row r="52204" customFormat="1" ht="17.25" customHeight="1"/>
    <row r="52205" customFormat="1" ht="17.25" customHeight="1"/>
    <row r="52206" customFormat="1" ht="17.25" customHeight="1"/>
    <row r="52207" customFormat="1" ht="17.25" customHeight="1"/>
    <row r="52208" customFormat="1" ht="17.25" customHeight="1"/>
    <row r="52209" customFormat="1" ht="17.25" customHeight="1"/>
    <row r="52210" customFormat="1" ht="17.25" customHeight="1"/>
    <row r="52211" customFormat="1" ht="17.25" customHeight="1"/>
    <row r="52212" customFormat="1" ht="17.25" customHeight="1"/>
    <row r="52213" customFormat="1" ht="17.25" customHeight="1"/>
    <row r="52214" customFormat="1" ht="17.25" customHeight="1"/>
    <row r="52215" customFormat="1" ht="17.25" customHeight="1"/>
    <row r="52216" customFormat="1" ht="17.25" customHeight="1"/>
    <row r="52217" customFormat="1" ht="17.25" customHeight="1"/>
    <row r="52218" customFormat="1" ht="17.25" customHeight="1"/>
    <row r="52219" customFormat="1" ht="17.25" customHeight="1"/>
    <row r="52220" customFormat="1" ht="17.25" customHeight="1"/>
    <row r="52221" customFormat="1" ht="17.25" customHeight="1"/>
    <row r="52222" customFormat="1" ht="17.25" customHeight="1"/>
    <row r="52223" customFormat="1" ht="17.25" customHeight="1"/>
    <row r="52224" customFormat="1" ht="17.25" customHeight="1"/>
    <row r="52225" customFormat="1" ht="17.25" customHeight="1"/>
    <row r="52226" customFormat="1" ht="17.25" customHeight="1"/>
    <row r="52227" customFormat="1" ht="17.25" customHeight="1"/>
    <row r="52228" customFormat="1" ht="17.25" customHeight="1"/>
    <row r="52229" customFormat="1" ht="17.25" customHeight="1"/>
    <row r="52230" customFormat="1" ht="17.25" customHeight="1"/>
    <row r="52231" customFormat="1" ht="17.25" customHeight="1"/>
    <row r="52232" customFormat="1" ht="17.25" customHeight="1"/>
    <row r="52233" customFormat="1" ht="17.25" customHeight="1"/>
    <row r="52234" customFormat="1" ht="17.25" customHeight="1"/>
    <row r="52235" customFormat="1" ht="17.25" customHeight="1"/>
    <row r="52236" customFormat="1" ht="17.25" customHeight="1"/>
    <row r="52237" customFormat="1" ht="17.25" customHeight="1"/>
    <row r="52238" customFormat="1" ht="17.25" customHeight="1"/>
    <row r="52239" customFormat="1" ht="17.25" customHeight="1"/>
    <row r="52240" customFormat="1" ht="17.25" customHeight="1"/>
    <row r="52241" customFormat="1" ht="17.25" customHeight="1"/>
    <row r="52242" customFormat="1" ht="17.25" customHeight="1"/>
    <row r="52243" customFormat="1" ht="17.25" customHeight="1"/>
    <row r="52244" customFormat="1" ht="17.25" customHeight="1"/>
    <row r="52245" customFormat="1" ht="17.25" customHeight="1"/>
    <row r="52246" customFormat="1" ht="17.25" customHeight="1"/>
    <row r="52247" customFormat="1" ht="17.25" customHeight="1"/>
    <row r="52248" customFormat="1" ht="17.25" customHeight="1"/>
    <row r="52249" customFormat="1" ht="17.25" customHeight="1"/>
    <row r="52250" customFormat="1" ht="17.25" customHeight="1"/>
    <row r="52251" customFormat="1" ht="17.25" customHeight="1"/>
    <row r="52252" customFormat="1" ht="17.25" customHeight="1"/>
    <row r="52253" customFormat="1" ht="17.25" customHeight="1"/>
    <row r="52254" customFormat="1" ht="17.25" customHeight="1"/>
    <row r="52255" customFormat="1" ht="17.25" customHeight="1"/>
    <row r="52256" customFormat="1" ht="17.25" customHeight="1"/>
    <row r="52257" customFormat="1" ht="17.25" customHeight="1"/>
    <row r="52258" customFormat="1" ht="17.25" customHeight="1"/>
    <row r="52259" customFormat="1" ht="17.25" customHeight="1"/>
    <row r="52260" customFormat="1" ht="17.25" customHeight="1"/>
    <row r="52261" customFormat="1" ht="17.25" customHeight="1"/>
    <row r="52262" customFormat="1" ht="17.25" customHeight="1"/>
    <row r="52263" customFormat="1" ht="17.25" customHeight="1"/>
    <row r="52264" customFormat="1" ht="17.25" customHeight="1"/>
    <row r="52265" customFormat="1" ht="17.25" customHeight="1"/>
    <row r="52266" customFormat="1" ht="17.25" customHeight="1"/>
    <row r="52267" customFormat="1" ht="17.25" customHeight="1"/>
    <row r="52268" customFormat="1" ht="17.25" customHeight="1"/>
    <row r="52269" customFormat="1" ht="17.25" customHeight="1"/>
    <row r="52270" customFormat="1" ht="17.25" customHeight="1"/>
    <row r="52271" customFormat="1" ht="17.25" customHeight="1"/>
    <row r="52272" customFormat="1" ht="17.25" customHeight="1"/>
    <row r="52273" customFormat="1" ht="17.25" customHeight="1"/>
    <row r="52274" customFormat="1" ht="17.25" customHeight="1"/>
    <row r="52275" customFormat="1" ht="17.25" customHeight="1"/>
    <row r="52276" customFormat="1" ht="17.25" customHeight="1"/>
    <row r="52277" customFormat="1" ht="17.25" customHeight="1"/>
    <row r="52278" customFormat="1" ht="17.25" customHeight="1"/>
    <row r="52279" customFormat="1" ht="17.25" customHeight="1"/>
    <row r="52280" customFormat="1" ht="17.25" customHeight="1"/>
    <row r="52281" customFormat="1" ht="17.25" customHeight="1"/>
    <row r="52282" customFormat="1" ht="17.25" customHeight="1"/>
    <row r="52283" customFormat="1" ht="17.25" customHeight="1"/>
    <row r="52284" customFormat="1" ht="17.25" customHeight="1"/>
    <row r="52285" customFormat="1" ht="17.25" customHeight="1"/>
    <row r="52286" customFormat="1" ht="17.25" customHeight="1"/>
    <row r="52287" customFormat="1" ht="17.25" customHeight="1"/>
    <row r="52288" customFormat="1" ht="17.25" customHeight="1"/>
    <row r="52289" customFormat="1" ht="17.25" customHeight="1"/>
    <row r="52290" customFormat="1" ht="17.25" customHeight="1"/>
    <row r="52291" customFormat="1" ht="17.25" customHeight="1"/>
    <row r="52292" customFormat="1" ht="17.25" customHeight="1"/>
    <row r="52293" customFormat="1" ht="17.25" customHeight="1"/>
    <row r="52294" customFormat="1" ht="17.25" customHeight="1"/>
    <row r="52295" customFormat="1" ht="17.25" customHeight="1"/>
    <row r="52296" customFormat="1" ht="17.25" customHeight="1"/>
    <row r="52297" customFormat="1" ht="17.25" customHeight="1"/>
    <row r="52298" customFormat="1" ht="17.25" customHeight="1"/>
    <row r="52299" customFormat="1" ht="17.25" customHeight="1"/>
    <row r="52300" customFormat="1" ht="17.25" customHeight="1"/>
    <row r="52301" customFormat="1" ht="17.25" customHeight="1"/>
    <row r="52302" customFormat="1" ht="17.25" customHeight="1"/>
    <row r="52303" customFormat="1" ht="17.25" customHeight="1"/>
    <row r="52304" customFormat="1" ht="17.25" customHeight="1"/>
    <row r="52305" customFormat="1" ht="17.25" customHeight="1"/>
    <row r="52306" customFormat="1" ht="17.25" customHeight="1"/>
    <row r="52307" customFormat="1" ht="17.25" customHeight="1"/>
    <row r="52308" customFormat="1" ht="17.25" customHeight="1"/>
    <row r="52309" customFormat="1" ht="17.25" customHeight="1"/>
    <row r="52310" customFormat="1" ht="17.25" customHeight="1"/>
    <row r="52311" customFormat="1" ht="17.25" customHeight="1"/>
    <row r="52312" customFormat="1" ht="17.25" customHeight="1"/>
    <row r="52313" customFormat="1" ht="17.25" customHeight="1"/>
    <row r="52314" customFormat="1" ht="17.25" customHeight="1"/>
    <row r="52315" customFormat="1" ht="17.25" customHeight="1"/>
    <row r="52316" customFormat="1" ht="17.25" customHeight="1"/>
    <row r="52317" customFormat="1" ht="17.25" customHeight="1"/>
    <row r="52318" customFormat="1" ht="17.25" customHeight="1"/>
    <row r="52319" customFormat="1" ht="17.25" customHeight="1"/>
    <row r="52320" customFormat="1" ht="17.25" customHeight="1"/>
    <row r="52321" customFormat="1" ht="17.25" customHeight="1"/>
    <row r="52322" customFormat="1" ht="17.25" customHeight="1"/>
    <row r="52323" customFormat="1" ht="17.25" customHeight="1"/>
    <row r="52324" customFormat="1" ht="17.25" customHeight="1"/>
    <row r="52325" customFormat="1" ht="17.25" customHeight="1"/>
    <row r="52326" customFormat="1" ht="17.25" customHeight="1"/>
    <row r="52327" customFormat="1" ht="17.25" customHeight="1"/>
    <row r="52328" customFormat="1" ht="17.25" customHeight="1"/>
    <row r="52329" customFormat="1" ht="17.25" customHeight="1"/>
    <row r="52330" customFormat="1" ht="17.25" customHeight="1"/>
    <row r="52331" customFormat="1" ht="17.25" customHeight="1"/>
    <row r="52332" customFormat="1" ht="17.25" customHeight="1"/>
    <row r="52333" customFormat="1" ht="17.25" customHeight="1"/>
    <row r="52334" customFormat="1" ht="17.25" customHeight="1"/>
    <row r="52335" customFormat="1" ht="17.25" customHeight="1"/>
    <row r="52336" customFormat="1" ht="17.25" customHeight="1"/>
    <row r="52337" customFormat="1" ht="17.25" customHeight="1"/>
    <row r="52338" customFormat="1" ht="17.25" customHeight="1"/>
    <row r="52339" customFormat="1" ht="17.25" customHeight="1"/>
    <row r="52340" customFormat="1" ht="17.25" customHeight="1"/>
    <row r="52341" customFormat="1" ht="17.25" customHeight="1"/>
    <row r="52342" customFormat="1" ht="17.25" customHeight="1"/>
    <row r="52343" customFormat="1" ht="17.25" customHeight="1"/>
    <row r="52344" customFormat="1" ht="17.25" customHeight="1"/>
    <row r="52345" customFormat="1" ht="17.25" customHeight="1"/>
    <row r="52346" customFormat="1" ht="17.25" customHeight="1"/>
    <row r="52347" customFormat="1" ht="17.25" customHeight="1"/>
    <row r="52348" customFormat="1" ht="17.25" customHeight="1"/>
    <row r="52349" customFormat="1" ht="17.25" customHeight="1"/>
    <row r="52350" customFormat="1" ht="17.25" customHeight="1"/>
    <row r="52351" customFormat="1" ht="17.25" customHeight="1"/>
    <row r="52352" customFormat="1" ht="17.25" customHeight="1"/>
    <row r="52353" customFormat="1" ht="17.25" customHeight="1"/>
    <row r="52354" customFormat="1" ht="17.25" customHeight="1"/>
    <row r="52355" customFormat="1" ht="17.25" customHeight="1"/>
    <row r="52356" customFormat="1" ht="17.25" customHeight="1"/>
    <row r="52357" customFormat="1" ht="17.25" customHeight="1"/>
    <row r="52358" customFormat="1" ht="17.25" customHeight="1"/>
    <row r="52359" customFormat="1" ht="17.25" customHeight="1"/>
    <row r="52360" customFormat="1" ht="17.25" customHeight="1"/>
    <row r="52361" customFormat="1" ht="17.25" customHeight="1"/>
    <row r="52362" customFormat="1" ht="17.25" customHeight="1"/>
    <row r="52363" customFormat="1" ht="17.25" customHeight="1"/>
    <row r="52364" customFormat="1" ht="17.25" customHeight="1"/>
    <row r="52365" customFormat="1" ht="17.25" customHeight="1"/>
    <row r="52366" customFormat="1" ht="17.25" customHeight="1"/>
    <row r="52367" customFormat="1" ht="17.25" customHeight="1"/>
    <row r="52368" customFormat="1" ht="17.25" customHeight="1"/>
    <row r="52369" customFormat="1" ht="17.25" customHeight="1"/>
    <row r="52370" customFormat="1" ht="17.25" customHeight="1"/>
    <row r="52371" customFormat="1" ht="17.25" customHeight="1"/>
    <row r="52372" customFormat="1" ht="17.25" customHeight="1"/>
    <row r="52373" customFormat="1" ht="17.25" customHeight="1"/>
    <row r="52374" customFormat="1" ht="17.25" customHeight="1"/>
    <row r="52375" customFormat="1" ht="17.25" customHeight="1"/>
    <row r="52376" customFormat="1" ht="17.25" customHeight="1"/>
    <row r="52377" customFormat="1" ht="17.25" customHeight="1"/>
    <row r="52378" customFormat="1" ht="17.25" customHeight="1"/>
    <row r="52379" customFormat="1" ht="17.25" customHeight="1"/>
    <row r="52380" customFormat="1" ht="17.25" customHeight="1"/>
    <row r="52381" customFormat="1" ht="17.25" customHeight="1"/>
    <row r="52382" customFormat="1" ht="17.25" customHeight="1"/>
    <row r="52383" customFormat="1" ht="17.25" customHeight="1"/>
    <row r="52384" customFormat="1" ht="17.25" customHeight="1"/>
    <row r="52385" customFormat="1" ht="17.25" customHeight="1"/>
    <row r="52386" customFormat="1" ht="17.25" customHeight="1"/>
    <row r="52387" customFormat="1" ht="17.25" customHeight="1"/>
    <row r="52388" customFormat="1" ht="17.25" customHeight="1"/>
    <row r="52389" customFormat="1" ht="17.25" customHeight="1"/>
    <row r="52390" customFormat="1" ht="17.25" customHeight="1"/>
    <row r="52391" customFormat="1" ht="17.25" customHeight="1"/>
    <row r="52392" customFormat="1" ht="17.25" customHeight="1"/>
    <row r="52393" customFormat="1" ht="17.25" customHeight="1"/>
    <row r="52394" customFormat="1" ht="17.25" customHeight="1"/>
    <row r="52395" customFormat="1" ht="17.25" customHeight="1"/>
    <row r="52396" customFormat="1" ht="17.25" customHeight="1"/>
    <row r="52397" customFormat="1" ht="17.25" customHeight="1"/>
    <row r="52398" customFormat="1" ht="17.25" customHeight="1"/>
    <row r="52399" customFormat="1" ht="17.25" customHeight="1"/>
    <row r="52400" customFormat="1" ht="17.25" customHeight="1"/>
    <row r="52401" customFormat="1" ht="17.25" customHeight="1"/>
    <row r="52402" customFormat="1" ht="17.25" customHeight="1"/>
    <row r="52403" customFormat="1" ht="17.25" customHeight="1"/>
    <row r="52404" customFormat="1" ht="17.25" customHeight="1"/>
    <row r="52405" customFormat="1" ht="17.25" customHeight="1"/>
    <row r="52406" customFormat="1" ht="17.25" customHeight="1"/>
    <row r="52407" customFormat="1" ht="17.25" customHeight="1"/>
    <row r="52408" customFormat="1" ht="17.25" customHeight="1"/>
    <row r="52409" customFormat="1" ht="17.25" customHeight="1"/>
    <row r="52410" customFormat="1" ht="17.25" customHeight="1"/>
    <row r="52411" customFormat="1" ht="17.25" customHeight="1"/>
    <row r="52412" customFormat="1" ht="17.25" customHeight="1"/>
    <row r="52413" customFormat="1" ht="17.25" customHeight="1"/>
    <row r="52414" customFormat="1" ht="17.25" customHeight="1"/>
    <row r="52415" customFormat="1" ht="17.25" customHeight="1"/>
    <row r="52416" customFormat="1" ht="17.25" customHeight="1"/>
    <row r="52417" customFormat="1" ht="17.25" customHeight="1"/>
    <row r="52418" customFormat="1" ht="17.25" customHeight="1"/>
    <row r="52419" customFormat="1" ht="17.25" customHeight="1"/>
    <row r="52420" customFormat="1" ht="17.25" customHeight="1"/>
    <row r="52421" customFormat="1" ht="17.25" customHeight="1"/>
    <row r="52422" customFormat="1" ht="17.25" customHeight="1"/>
    <row r="52423" customFormat="1" ht="17.25" customHeight="1"/>
    <row r="52424" customFormat="1" ht="17.25" customHeight="1"/>
    <row r="52425" customFormat="1" ht="17.25" customHeight="1"/>
    <row r="52426" customFormat="1" ht="17.25" customHeight="1"/>
    <row r="52427" customFormat="1" ht="17.25" customHeight="1"/>
    <row r="52428" customFormat="1" ht="17.25" customHeight="1"/>
    <row r="52429" customFormat="1" ht="17.25" customHeight="1"/>
    <row r="52430" customFormat="1" ht="17.25" customHeight="1"/>
    <row r="52431" customFormat="1" ht="17.25" customHeight="1"/>
    <row r="52432" customFormat="1" ht="17.25" customHeight="1"/>
    <row r="52433" customFormat="1" ht="17.25" customHeight="1"/>
    <row r="52434" customFormat="1" ht="17.25" customHeight="1"/>
    <row r="52435" customFormat="1" ht="17.25" customHeight="1"/>
    <row r="52436" customFormat="1" ht="17.25" customHeight="1"/>
    <row r="52437" customFormat="1" ht="17.25" customHeight="1"/>
    <row r="52438" customFormat="1" ht="17.25" customHeight="1"/>
    <row r="52439" customFormat="1" ht="17.25" customHeight="1"/>
    <row r="52440" customFormat="1" ht="17.25" customHeight="1"/>
    <row r="52441" customFormat="1" ht="17.25" customHeight="1"/>
    <row r="52442" customFormat="1" ht="17.25" customHeight="1"/>
    <row r="52443" customFormat="1" ht="17.25" customHeight="1"/>
    <row r="52444" customFormat="1" ht="17.25" customHeight="1"/>
    <row r="52445" customFormat="1" ht="17.25" customHeight="1"/>
    <row r="52446" customFormat="1" ht="17.25" customHeight="1"/>
    <row r="52447" customFormat="1" ht="17.25" customHeight="1"/>
    <row r="52448" customFormat="1" ht="17.25" customHeight="1"/>
    <row r="52449" customFormat="1" ht="17.25" customHeight="1"/>
    <row r="52450" customFormat="1" ht="17.25" customHeight="1"/>
    <row r="52451" customFormat="1" ht="17.25" customHeight="1"/>
    <row r="52452" customFormat="1" ht="17.25" customHeight="1"/>
    <row r="52453" customFormat="1" ht="17.25" customHeight="1"/>
    <row r="52454" customFormat="1" ht="17.25" customHeight="1"/>
    <row r="52455" customFormat="1" ht="17.25" customHeight="1"/>
    <row r="52456" customFormat="1" ht="17.25" customHeight="1"/>
    <row r="52457" customFormat="1" ht="17.25" customHeight="1"/>
    <row r="52458" customFormat="1" ht="17.25" customHeight="1"/>
    <row r="52459" customFormat="1" ht="17.25" customHeight="1"/>
    <row r="52460" customFormat="1" ht="17.25" customHeight="1"/>
    <row r="52461" customFormat="1" ht="17.25" customHeight="1"/>
    <row r="52462" customFormat="1" ht="17.25" customHeight="1"/>
    <row r="52463" customFormat="1" ht="17.25" customHeight="1"/>
    <row r="52464" customFormat="1" ht="17.25" customHeight="1"/>
    <row r="52465" customFormat="1" ht="17.25" customHeight="1"/>
    <row r="52466" customFormat="1" ht="17.25" customHeight="1"/>
    <row r="52467" customFormat="1" ht="17.25" customHeight="1"/>
    <row r="52468" customFormat="1" ht="17.25" customHeight="1"/>
    <row r="52469" customFormat="1" ht="17.25" customHeight="1"/>
    <row r="52470" customFormat="1" ht="17.25" customHeight="1"/>
    <row r="52471" customFormat="1" ht="17.25" customHeight="1"/>
    <row r="52472" customFormat="1" ht="17.25" customHeight="1"/>
    <row r="52473" customFormat="1" ht="17.25" customHeight="1"/>
    <row r="52474" customFormat="1" ht="17.25" customHeight="1"/>
    <row r="52475" customFormat="1" ht="17.25" customHeight="1"/>
    <row r="52476" customFormat="1" ht="17.25" customHeight="1"/>
    <row r="52477" customFormat="1" ht="17.25" customHeight="1"/>
    <row r="52478" customFormat="1" ht="17.25" customHeight="1"/>
    <row r="52479" customFormat="1" ht="17.25" customHeight="1"/>
    <row r="52480" customFormat="1" ht="17.25" customHeight="1"/>
    <row r="52481" customFormat="1" ht="17.25" customHeight="1"/>
    <row r="52482" customFormat="1" ht="17.25" customHeight="1"/>
    <row r="52483" customFormat="1" ht="17.25" customHeight="1"/>
    <row r="52484" customFormat="1" ht="17.25" customHeight="1"/>
    <row r="52485" customFormat="1" ht="17.25" customHeight="1"/>
    <row r="52486" customFormat="1" ht="17.25" customHeight="1"/>
    <row r="52487" customFormat="1" ht="17.25" customHeight="1"/>
    <row r="52488" customFormat="1" ht="17.25" customHeight="1"/>
    <row r="52489" customFormat="1" ht="17.25" customHeight="1"/>
    <row r="52490" customFormat="1" ht="17.25" customHeight="1"/>
    <row r="52491" customFormat="1" ht="17.25" customHeight="1"/>
    <row r="52492" customFormat="1" ht="17.25" customHeight="1"/>
    <row r="52493" customFormat="1" ht="17.25" customHeight="1"/>
    <row r="52494" customFormat="1" ht="17.25" customHeight="1"/>
    <row r="52495" customFormat="1" ht="17.25" customHeight="1"/>
    <row r="52496" customFormat="1" ht="17.25" customHeight="1"/>
    <row r="52497" customFormat="1" ht="17.25" customHeight="1"/>
    <row r="52498" customFormat="1" ht="17.25" customHeight="1"/>
    <row r="52499" customFormat="1" ht="17.25" customHeight="1"/>
    <row r="52500" customFormat="1" ht="17.25" customHeight="1"/>
    <row r="52501" customFormat="1" ht="17.25" customHeight="1"/>
    <row r="52502" customFormat="1" ht="17.25" customHeight="1"/>
    <row r="52503" customFormat="1" ht="17.25" customHeight="1"/>
    <row r="52504" customFormat="1" ht="17.25" customHeight="1"/>
    <row r="52505" customFormat="1" ht="17.25" customHeight="1"/>
    <row r="52506" customFormat="1" ht="17.25" customHeight="1"/>
    <row r="52507" customFormat="1" ht="17.25" customHeight="1"/>
    <row r="52508" customFormat="1" ht="17.25" customHeight="1"/>
    <row r="52509" customFormat="1" ht="17.25" customHeight="1"/>
    <row r="52510" customFormat="1" ht="17.25" customHeight="1"/>
    <row r="52511" customFormat="1" ht="17.25" customHeight="1"/>
    <row r="52512" customFormat="1" ht="17.25" customHeight="1"/>
    <row r="52513" customFormat="1" ht="17.25" customHeight="1"/>
    <row r="52514" customFormat="1" ht="17.25" customHeight="1"/>
    <row r="52515" customFormat="1" ht="17.25" customHeight="1"/>
    <row r="52516" customFormat="1" ht="17.25" customHeight="1"/>
    <row r="52517" customFormat="1" ht="17.25" customHeight="1"/>
    <row r="52518" customFormat="1" ht="17.25" customHeight="1"/>
    <row r="52519" customFormat="1" ht="17.25" customHeight="1"/>
    <row r="52520" customFormat="1" ht="17.25" customHeight="1"/>
    <row r="52521" customFormat="1" ht="17.25" customHeight="1"/>
    <row r="52522" customFormat="1" ht="17.25" customHeight="1"/>
    <row r="52523" customFormat="1" ht="17.25" customHeight="1"/>
    <row r="52524" customFormat="1" ht="17.25" customHeight="1"/>
    <row r="52525" customFormat="1" ht="17.25" customHeight="1"/>
    <row r="52526" customFormat="1" ht="17.25" customHeight="1"/>
    <row r="52527" customFormat="1" ht="17.25" customHeight="1"/>
    <row r="52528" customFormat="1" ht="17.25" customHeight="1"/>
    <row r="52529" customFormat="1" ht="17.25" customHeight="1"/>
    <row r="52530" customFormat="1" ht="17.25" customHeight="1"/>
    <row r="52531" customFormat="1" ht="17.25" customHeight="1"/>
    <row r="52532" customFormat="1" ht="17.25" customHeight="1"/>
    <row r="52533" customFormat="1" ht="17.25" customHeight="1"/>
    <row r="52534" customFormat="1" ht="17.25" customHeight="1"/>
    <row r="52535" customFormat="1" ht="17.25" customHeight="1"/>
    <row r="52536" customFormat="1" ht="17.25" customHeight="1"/>
    <row r="52537" customFormat="1" ht="17.25" customHeight="1"/>
    <row r="52538" customFormat="1" ht="17.25" customHeight="1"/>
    <row r="52539" customFormat="1" ht="17.25" customHeight="1"/>
    <row r="52540" customFormat="1" ht="17.25" customHeight="1"/>
    <row r="52541" customFormat="1" ht="17.25" customHeight="1"/>
    <row r="52542" customFormat="1" ht="17.25" customHeight="1"/>
    <row r="52543" customFormat="1" ht="17.25" customHeight="1"/>
    <row r="52544" customFormat="1" ht="17.25" customHeight="1"/>
    <row r="52545" customFormat="1" ht="17.25" customHeight="1"/>
    <row r="52546" customFormat="1" ht="17.25" customHeight="1"/>
    <row r="52547" customFormat="1" ht="17.25" customHeight="1"/>
    <row r="52548" customFormat="1" ht="17.25" customHeight="1"/>
    <row r="52549" customFormat="1" ht="17.25" customHeight="1"/>
    <row r="52550" customFormat="1" ht="17.25" customHeight="1"/>
    <row r="52551" customFormat="1" ht="17.25" customHeight="1"/>
    <row r="52552" customFormat="1" ht="17.25" customHeight="1"/>
    <row r="52553" customFormat="1" ht="17.25" customHeight="1"/>
    <row r="52554" customFormat="1" ht="17.25" customHeight="1"/>
    <row r="52555" customFormat="1" ht="17.25" customHeight="1"/>
    <row r="52556" customFormat="1" ht="17.25" customHeight="1"/>
    <row r="52557" customFormat="1" ht="17.25" customHeight="1"/>
    <row r="52558" customFormat="1" ht="17.25" customHeight="1"/>
    <row r="52559" customFormat="1" ht="17.25" customHeight="1"/>
    <row r="52560" customFormat="1" ht="17.25" customHeight="1"/>
    <row r="52561" customFormat="1" ht="17.25" customHeight="1"/>
    <row r="52562" customFormat="1" ht="17.25" customHeight="1"/>
    <row r="52563" customFormat="1" ht="17.25" customHeight="1"/>
    <row r="52564" customFormat="1" ht="17.25" customHeight="1"/>
    <row r="52565" customFormat="1" ht="17.25" customHeight="1"/>
    <row r="52566" customFormat="1" ht="17.25" customHeight="1"/>
    <row r="52567" customFormat="1" ht="17.25" customHeight="1"/>
    <row r="52568" customFormat="1" ht="17.25" customHeight="1"/>
    <row r="52569" customFormat="1" ht="17.25" customHeight="1"/>
    <row r="52570" customFormat="1" ht="17.25" customHeight="1"/>
    <row r="52571" customFormat="1" ht="17.25" customHeight="1"/>
    <row r="52572" customFormat="1" ht="17.25" customHeight="1"/>
    <row r="52573" customFormat="1" ht="17.25" customHeight="1"/>
    <row r="52574" customFormat="1" ht="17.25" customHeight="1"/>
    <row r="52575" customFormat="1" ht="17.25" customHeight="1"/>
    <row r="52576" customFormat="1" ht="17.25" customHeight="1"/>
    <row r="52577" customFormat="1" ht="17.25" customHeight="1"/>
    <row r="52578" customFormat="1" ht="17.25" customHeight="1"/>
    <row r="52579" customFormat="1" ht="17.25" customHeight="1"/>
    <row r="52580" customFormat="1" ht="17.25" customHeight="1"/>
    <row r="52581" customFormat="1" ht="17.25" customHeight="1"/>
    <row r="52582" customFormat="1" ht="17.25" customHeight="1"/>
    <row r="52583" customFormat="1" ht="17.25" customHeight="1"/>
    <row r="52584" customFormat="1" ht="17.25" customHeight="1"/>
    <row r="52585" customFormat="1" ht="17.25" customHeight="1"/>
    <row r="52586" customFormat="1" ht="17.25" customHeight="1"/>
    <row r="52587" customFormat="1" ht="17.25" customHeight="1"/>
    <row r="52588" customFormat="1" ht="17.25" customHeight="1"/>
    <row r="52589" customFormat="1" ht="17.25" customHeight="1"/>
    <row r="52590" customFormat="1" ht="17.25" customHeight="1"/>
    <row r="52591" customFormat="1" ht="17.25" customHeight="1"/>
    <row r="52592" customFormat="1" ht="17.25" customHeight="1"/>
    <row r="52593" customFormat="1" ht="17.25" customHeight="1"/>
    <row r="52594" customFormat="1" ht="17.25" customHeight="1"/>
    <row r="52595" customFormat="1" ht="17.25" customHeight="1"/>
    <row r="52596" customFormat="1" ht="17.25" customHeight="1"/>
    <row r="52597" customFormat="1" ht="17.25" customHeight="1"/>
    <row r="52598" customFormat="1" ht="17.25" customHeight="1"/>
    <row r="52599" customFormat="1" ht="17.25" customHeight="1"/>
    <row r="52600" customFormat="1" ht="17.25" customHeight="1"/>
    <row r="52601" customFormat="1" ht="17.25" customHeight="1"/>
    <row r="52602" customFormat="1" ht="17.25" customHeight="1"/>
    <row r="52603" customFormat="1" ht="17.25" customHeight="1"/>
    <row r="52604" customFormat="1" ht="17.25" customHeight="1"/>
    <row r="52605" customFormat="1" ht="17.25" customHeight="1"/>
    <row r="52606" customFormat="1" ht="17.25" customHeight="1"/>
    <row r="52607" customFormat="1" ht="17.25" customHeight="1"/>
    <row r="52608" customFormat="1" ht="17.25" customHeight="1"/>
    <row r="52609" customFormat="1" ht="17.25" customHeight="1"/>
    <row r="52610" customFormat="1" ht="17.25" customHeight="1"/>
    <row r="52611" customFormat="1" ht="17.25" customHeight="1"/>
    <row r="52612" customFormat="1" ht="17.25" customHeight="1"/>
    <row r="52613" customFormat="1" ht="17.25" customHeight="1"/>
    <row r="52614" customFormat="1" ht="17.25" customHeight="1"/>
    <row r="52615" customFormat="1" ht="17.25" customHeight="1"/>
    <row r="52616" customFormat="1" ht="17.25" customHeight="1"/>
    <row r="52617" customFormat="1" ht="17.25" customHeight="1"/>
    <row r="52618" customFormat="1" ht="17.25" customHeight="1"/>
    <row r="52619" customFormat="1" ht="17.25" customHeight="1"/>
    <row r="52620" customFormat="1" ht="17.25" customHeight="1"/>
    <row r="52621" customFormat="1" ht="17.25" customHeight="1"/>
    <row r="52622" customFormat="1" ht="17.25" customHeight="1"/>
    <row r="52623" customFormat="1" ht="17.25" customHeight="1"/>
    <row r="52624" customFormat="1" ht="17.25" customHeight="1"/>
    <row r="52625" customFormat="1" ht="17.25" customHeight="1"/>
    <row r="52626" customFormat="1" ht="17.25" customHeight="1"/>
    <row r="52627" customFormat="1" ht="17.25" customHeight="1"/>
    <row r="52628" customFormat="1" ht="17.25" customHeight="1"/>
    <row r="52629" customFormat="1" ht="17.25" customHeight="1"/>
    <row r="52630" customFormat="1" ht="17.25" customHeight="1"/>
    <row r="52631" customFormat="1" ht="17.25" customHeight="1"/>
    <row r="52632" customFormat="1" ht="17.25" customHeight="1"/>
    <row r="52633" customFormat="1" ht="17.25" customHeight="1"/>
    <row r="52634" customFormat="1" ht="17.25" customHeight="1"/>
    <row r="52635" customFormat="1" ht="17.25" customHeight="1"/>
    <row r="52636" customFormat="1" ht="17.25" customHeight="1"/>
    <row r="52637" customFormat="1" ht="17.25" customHeight="1"/>
    <row r="52638" customFormat="1" ht="17.25" customHeight="1"/>
    <row r="52639" customFormat="1" ht="17.25" customHeight="1"/>
    <row r="52640" customFormat="1" ht="17.25" customHeight="1"/>
    <row r="52641" customFormat="1" ht="17.25" customHeight="1"/>
    <row r="52642" customFormat="1" ht="17.25" customHeight="1"/>
    <row r="52643" customFormat="1" ht="17.25" customHeight="1"/>
    <row r="52644" customFormat="1" ht="17.25" customHeight="1"/>
    <row r="52645" customFormat="1" ht="17.25" customHeight="1"/>
    <row r="52646" customFormat="1" ht="17.25" customHeight="1"/>
    <row r="52647" customFormat="1" ht="17.25" customHeight="1"/>
    <row r="52648" customFormat="1" ht="17.25" customHeight="1"/>
    <row r="52649" customFormat="1" ht="17.25" customHeight="1"/>
    <row r="52650" customFormat="1" ht="17.25" customHeight="1"/>
    <row r="52651" customFormat="1" ht="17.25" customHeight="1"/>
    <row r="52652" customFormat="1" ht="17.25" customHeight="1"/>
    <row r="52653" customFormat="1" ht="17.25" customHeight="1"/>
    <row r="52654" customFormat="1" ht="17.25" customHeight="1"/>
    <row r="52655" customFormat="1" ht="17.25" customHeight="1"/>
    <row r="52656" customFormat="1" ht="17.25" customHeight="1"/>
    <row r="52657" customFormat="1" ht="17.25" customHeight="1"/>
    <row r="52658" customFormat="1" ht="17.25" customHeight="1"/>
    <row r="52659" customFormat="1" ht="17.25" customHeight="1"/>
    <row r="52660" customFormat="1" ht="17.25" customHeight="1"/>
    <row r="52661" customFormat="1" ht="17.25" customHeight="1"/>
    <row r="52662" customFormat="1" ht="17.25" customHeight="1"/>
    <row r="52663" customFormat="1" ht="17.25" customHeight="1"/>
    <row r="52664" customFormat="1" ht="17.25" customHeight="1"/>
    <row r="52665" customFormat="1" ht="17.25" customHeight="1"/>
    <row r="52666" customFormat="1" ht="17.25" customHeight="1"/>
    <row r="52667" customFormat="1" ht="17.25" customHeight="1"/>
    <row r="52668" customFormat="1" ht="17.25" customHeight="1"/>
    <row r="52669" customFormat="1" ht="17.25" customHeight="1"/>
    <row r="52670" customFormat="1" ht="17.25" customHeight="1"/>
    <row r="52671" customFormat="1" ht="17.25" customHeight="1"/>
    <row r="52672" customFormat="1" ht="17.25" customHeight="1"/>
    <row r="52673" customFormat="1" ht="17.25" customHeight="1"/>
    <row r="52674" customFormat="1" ht="17.25" customHeight="1"/>
    <row r="52675" customFormat="1" ht="17.25" customHeight="1"/>
    <row r="52676" customFormat="1" ht="17.25" customHeight="1"/>
    <row r="52677" customFormat="1" ht="17.25" customHeight="1"/>
    <row r="52678" customFormat="1" ht="17.25" customHeight="1"/>
    <row r="52679" customFormat="1" ht="17.25" customHeight="1"/>
    <row r="52680" customFormat="1" ht="17.25" customHeight="1"/>
    <row r="52681" customFormat="1" ht="17.25" customHeight="1"/>
    <row r="52682" customFormat="1" ht="17.25" customHeight="1"/>
    <row r="52683" customFormat="1" ht="17.25" customHeight="1"/>
    <row r="52684" customFormat="1" ht="17.25" customHeight="1"/>
    <row r="52685" customFormat="1" ht="17.25" customHeight="1"/>
    <row r="52686" customFormat="1" ht="17.25" customHeight="1"/>
    <row r="52687" customFormat="1" ht="17.25" customHeight="1"/>
    <row r="52688" customFormat="1" ht="17.25" customHeight="1"/>
    <row r="52689" customFormat="1" ht="17.25" customHeight="1"/>
    <row r="52690" customFormat="1" ht="17.25" customHeight="1"/>
    <row r="52691" customFormat="1" ht="17.25" customHeight="1"/>
    <row r="52692" customFormat="1" ht="17.25" customHeight="1"/>
    <row r="52693" customFormat="1" ht="17.25" customHeight="1"/>
    <row r="52694" customFormat="1" ht="17.25" customHeight="1"/>
    <row r="52695" customFormat="1" ht="17.25" customHeight="1"/>
    <row r="52696" customFormat="1" ht="17.25" customHeight="1"/>
    <row r="52697" customFormat="1" ht="17.25" customHeight="1"/>
    <row r="52698" customFormat="1" ht="17.25" customHeight="1"/>
    <row r="52699" customFormat="1" ht="17.25" customHeight="1"/>
    <row r="52700" customFormat="1" ht="17.25" customHeight="1"/>
    <row r="52701" customFormat="1" ht="17.25" customHeight="1"/>
    <row r="52702" customFormat="1" ht="17.25" customHeight="1"/>
    <row r="52703" customFormat="1" ht="17.25" customHeight="1"/>
    <row r="52704" customFormat="1" ht="17.25" customHeight="1"/>
    <row r="52705" customFormat="1" ht="17.25" customHeight="1"/>
    <row r="52706" customFormat="1" ht="17.25" customHeight="1"/>
    <row r="52707" customFormat="1" ht="17.25" customHeight="1"/>
    <row r="52708" customFormat="1" ht="17.25" customHeight="1"/>
    <row r="52709" customFormat="1" ht="17.25" customHeight="1"/>
    <row r="52710" customFormat="1" ht="17.25" customHeight="1"/>
    <row r="52711" customFormat="1" ht="17.25" customHeight="1"/>
    <row r="52712" customFormat="1" ht="17.25" customHeight="1"/>
    <row r="52713" customFormat="1" ht="17.25" customHeight="1"/>
    <row r="52714" customFormat="1" ht="17.25" customHeight="1"/>
    <row r="52715" customFormat="1" ht="17.25" customHeight="1"/>
    <row r="52716" customFormat="1" ht="17.25" customHeight="1"/>
    <row r="52717" customFormat="1" ht="17.25" customHeight="1"/>
    <row r="52718" customFormat="1" ht="17.25" customHeight="1"/>
    <row r="52719" customFormat="1" ht="17.25" customHeight="1"/>
    <row r="52720" customFormat="1" ht="17.25" customHeight="1"/>
    <row r="52721" customFormat="1" ht="17.25" customHeight="1"/>
    <row r="52722" customFormat="1" ht="17.25" customHeight="1"/>
    <row r="52723" customFormat="1" ht="17.25" customHeight="1"/>
    <row r="52724" customFormat="1" ht="17.25" customHeight="1"/>
    <row r="52725" customFormat="1" ht="17.25" customHeight="1"/>
    <row r="52726" customFormat="1" ht="17.25" customHeight="1"/>
    <row r="52727" customFormat="1" ht="17.25" customHeight="1"/>
    <row r="52728" customFormat="1" ht="17.25" customHeight="1"/>
    <row r="52729" customFormat="1" ht="17.25" customHeight="1"/>
    <row r="52730" customFormat="1" ht="17.25" customHeight="1"/>
    <row r="52731" customFormat="1" ht="17.25" customHeight="1"/>
    <row r="52732" customFormat="1" ht="17.25" customHeight="1"/>
    <row r="52733" customFormat="1" ht="17.25" customHeight="1"/>
    <row r="52734" customFormat="1" ht="17.25" customHeight="1"/>
    <row r="52735" customFormat="1" ht="17.25" customHeight="1"/>
    <row r="52736" customFormat="1" ht="17.25" customHeight="1"/>
    <row r="52737" customFormat="1" ht="17.25" customHeight="1"/>
    <row r="52738" customFormat="1" ht="17.25" customHeight="1"/>
    <row r="52739" customFormat="1" ht="17.25" customHeight="1"/>
    <row r="52740" customFormat="1" ht="17.25" customHeight="1"/>
    <row r="52741" customFormat="1" ht="17.25" customHeight="1"/>
    <row r="52742" customFormat="1" ht="17.25" customHeight="1"/>
    <row r="52743" customFormat="1" ht="17.25" customHeight="1"/>
    <row r="52744" customFormat="1" ht="17.25" customHeight="1"/>
    <row r="52745" customFormat="1" ht="17.25" customHeight="1"/>
    <row r="52746" customFormat="1" ht="17.25" customHeight="1"/>
    <row r="52747" customFormat="1" ht="17.25" customHeight="1"/>
    <row r="52748" customFormat="1" ht="17.25" customHeight="1"/>
    <row r="52749" customFormat="1" ht="17.25" customHeight="1"/>
    <row r="52750" customFormat="1" ht="17.25" customHeight="1"/>
    <row r="52751" customFormat="1" ht="17.25" customHeight="1"/>
    <row r="52752" customFormat="1" ht="17.25" customHeight="1"/>
    <row r="52753" customFormat="1" ht="17.25" customHeight="1"/>
    <row r="52754" customFormat="1" ht="17.25" customHeight="1"/>
    <row r="52755" customFormat="1" ht="17.25" customHeight="1"/>
    <row r="52756" customFormat="1" ht="17.25" customHeight="1"/>
    <row r="52757" customFormat="1" ht="17.25" customHeight="1"/>
    <row r="52758" customFormat="1" ht="17.25" customHeight="1"/>
    <row r="52759" customFormat="1" ht="17.25" customHeight="1"/>
    <row r="52760" customFormat="1" ht="17.25" customHeight="1"/>
    <row r="52761" customFormat="1" ht="17.25" customHeight="1"/>
    <row r="52762" customFormat="1" ht="17.25" customHeight="1"/>
    <row r="52763" customFormat="1" ht="17.25" customHeight="1"/>
    <row r="52764" customFormat="1" ht="17.25" customHeight="1"/>
    <row r="52765" customFormat="1" ht="17.25" customHeight="1"/>
    <row r="52766" customFormat="1" ht="17.25" customHeight="1"/>
    <row r="52767" customFormat="1" ht="17.25" customHeight="1"/>
    <row r="52768" customFormat="1" ht="17.25" customHeight="1"/>
    <row r="52769" customFormat="1" ht="17.25" customHeight="1"/>
    <row r="52770" customFormat="1" ht="17.25" customHeight="1"/>
    <row r="52771" customFormat="1" ht="17.25" customHeight="1"/>
    <row r="52772" customFormat="1" ht="17.25" customHeight="1"/>
    <row r="52773" customFormat="1" ht="17.25" customHeight="1"/>
    <row r="52774" customFormat="1" ht="17.25" customHeight="1"/>
    <row r="52775" customFormat="1" ht="17.25" customHeight="1"/>
    <row r="52776" customFormat="1" ht="17.25" customHeight="1"/>
    <row r="52777" customFormat="1" ht="17.25" customHeight="1"/>
    <row r="52778" customFormat="1" ht="17.25" customHeight="1"/>
    <row r="52779" customFormat="1" ht="17.25" customHeight="1"/>
    <row r="52780" customFormat="1" ht="17.25" customHeight="1"/>
    <row r="52781" customFormat="1" ht="17.25" customHeight="1"/>
    <row r="52782" customFormat="1" ht="17.25" customHeight="1"/>
    <row r="52783" customFormat="1" ht="17.25" customHeight="1"/>
    <row r="52784" customFormat="1" ht="17.25" customHeight="1"/>
    <row r="52785" customFormat="1" ht="17.25" customHeight="1"/>
    <row r="52786" customFormat="1" ht="17.25" customHeight="1"/>
    <row r="52787" customFormat="1" ht="17.25" customHeight="1"/>
    <row r="52788" customFormat="1" ht="17.25" customHeight="1"/>
    <row r="52789" customFormat="1" ht="17.25" customHeight="1"/>
    <row r="52790" customFormat="1" ht="17.25" customHeight="1"/>
    <row r="52791" customFormat="1" ht="17.25" customHeight="1"/>
    <row r="52792" customFormat="1" ht="17.25" customHeight="1"/>
    <row r="52793" customFormat="1" ht="17.25" customHeight="1"/>
    <row r="52794" customFormat="1" ht="17.25" customHeight="1"/>
    <row r="52795" customFormat="1" ht="17.25" customHeight="1"/>
    <row r="52796" customFormat="1" ht="17.25" customHeight="1"/>
    <row r="52797" customFormat="1" ht="17.25" customHeight="1"/>
    <row r="52798" customFormat="1" ht="17.25" customHeight="1"/>
    <row r="52799" customFormat="1" ht="17.25" customHeight="1"/>
    <row r="52800" customFormat="1" ht="17.25" customHeight="1"/>
    <row r="52801" customFormat="1" ht="17.25" customHeight="1"/>
    <row r="52802" customFormat="1" ht="17.25" customHeight="1"/>
    <row r="52803" customFormat="1" ht="17.25" customHeight="1"/>
    <row r="52804" customFormat="1" ht="17.25" customHeight="1"/>
    <row r="52805" customFormat="1" ht="17.25" customHeight="1"/>
    <row r="52806" customFormat="1" ht="17.25" customHeight="1"/>
    <row r="52807" customFormat="1" ht="17.25" customHeight="1"/>
    <row r="52808" customFormat="1" ht="17.25" customHeight="1"/>
    <row r="52809" customFormat="1" ht="17.25" customHeight="1"/>
    <row r="52810" customFormat="1" ht="17.25" customHeight="1"/>
    <row r="52811" customFormat="1" ht="17.25" customHeight="1"/>
    <row r="52812" customFormat="1" ht="17.25" customHeight="1"/>
    <row r="52813" customFormat="1" ht="17.25" customHeight="1"/>
    <row r="52814" customFormat="1" ht="17.25" customHeight="1"/>
    <row r="52815" customFormat="1" ht="17.25" customHeight="1"/>
    <row r="52816" customFormat="1" ht="17.25" customHeight="1"/>
    <row r="52817" customFormat="1" ht="17.25" customHeight="1"/>
    <row r="52818" customFormat="1" ht="17.25" customHeight="1"/>
    <row r="52819" customFormat="1" ht="17.25" customHeight="1"/>
    <row r="52820" customFormat="1" ht="17.25" customHeight="1"/>
    <row r="52821" customFormat="1" ht="17.25" customHeight="1"/>
    <row r="52822" customFormat="1" ht="17.25" customHeight="1"/>
    <row r="52823" customFormat="1" ht="17.25" customHeight="1"/>
    <row r="52824" customFormat="1" ht="17.25" customHeight="1"/>
    <row r="52825" customFormat="1" ht="17.25" customHeight="1"/>
    <row r="52826" customFormat="1" ht="17.25" customHeight="1"/>
    <row r="52827" customFormat="1" ht="17.25" customHeight="1"/>
    <row r="52828" customFormat="1" ht="17.25" customHeight="1"/>
    <row r="52829" customFormat="1" ht="17.25" customHeight="1"/>
    <row r="52830" customFormat="1" ht="17.25" customHeight="1"/>
    <row r="52831" customFormat="1" ht="17.25" customHeight="1"/>
    <row r="52832" customFormat="1" ht="17.25" customHeight="1"/>
    <row r="52833" customFormat="1" ht="17.25" customHeight="1"/>
    <row r="52834" customFormat="1" ht="17.25" customHeight="1"/>
    <row r="52835" customFormat="1" ht="17.25" customHeight="1"/>
    <row r="52836" customFormat="1" ht="17.25" customHeight="1"/>
    <row r="52837" customFormat="1" ht="17.25" customHeight="1"/>
    <row r="52838" customFormat="1" ht="17.25" customHeight="1"/>
    <row r="52839" customFormat="1" ht="17.25" customHeight="1"/>
    <row r="52840" customFormat="1" ht="17.25" customHeight="1"/>
    <row r="52841" customFormat="1" ht="17.25" customHeight="1"/>
    <row r="52842" customFormat="1" ht="17.25" customHeight="1"/>
    <row r="52843" customFormat="1" ht="17.25" customHeight="1"/>
    <row r="52844" customFormat="1" ht="17.25" customHeight="1"/>
    <row r="52845" customFormat="1" ht="17.25" customHeight="1"/>
    <row r="52846" customFormat="1" ht="17.25" customHeight="1"/>
    <row r="52847" customFormat="1" ht="17.25" customHeight="1"/>
    <row r="52848" customFormat="1" ht="17.25" customHeight="1"/>
    <row r="52849" customFormat="1" ht="17.25" customHeight="1"/>
    <row r="52850" customFormat="1" ht="17.25" customHeight="1"/>
    <row r="52851" customFormat="1" ht="17.25" customHeight="1"/>
    <row r="52852" customFormat="1" ht="17.25" customHeight="1"/>
    <row r="52853" customFormat="1" ht="17.25" customHeight="1"/>
    <row r="52854" customFormat="1" ht="17.25" customHeight="1"/>
    <row r="52855" customFormat="1" ht="17.25" customHeight="1"/>
    <row r="52856" customFormat="1" ht="17.25" customHeight="1"/>
    <row r="52857" customFormat="1" ht="17.25" customHeight="1"/>
    <row r="52858" customFormat="1" ht="17.25" customHeight="1"/>
    <row r="52859" customFormat="1" ht="17.25" customHeight="1"/>
    <row r="52860" customFormat="1" ht="17.25" customHeight="1"/>
    <row r="52861" customFormat="1" ht="17.25" customHeight="1"/>
    <row r="52862" customFormat="1" ht="17.25" customHeight="1"/>
    <row r="52863" customFormat="1" ht="17.25" customHeight="1"/>
    <row r="52864" customFormat="1" ht="17.25" customHeight="1"/>
    <row r="52865" customFormat="1" ht="17.25" customHeight="1"/>
    <row r="52866" customFormat="1" ht="17.25" customHeight="1"/>
    <row r="52867" customFormat="1" ht="17.25" customHeight="1"/>
    <row r="52868" customFormat="1" ht="17.25" customHeight="1"/>
    <row r="52869" customFormat="1" ht="17.25" customHeight="1"/>
    <row r="52870" customFormat="1" ht="17.25" customHeight="1"/>
    <row r="52871" customFormat="1" ht="17.25" customHeight="1"/>
    <row r="52872" customFormat="1" ht="17.25" customHeight="1"/>
    <row r="52873" customFormat="1" ht="17.25" customHeight="1"/>
    <row r="52874" customFormat="1" ht="17.25" customHeight="1"/>
    <row r="52875" customFormat="1" ht="17.25" customHeight="1"/>
    <row r="52876" customFormat="1" ht="17.25" customHeight="1"/>
    <row r="52877" customFormat="1" ht="17.25" customHeight="1"/>
    <row r="52878" customFormat="1" ht="17.25" customHeight="1"/>
    <row r="52879" customFormat="1" ht="17.25" customHeight="1"/>
    <row r="52880" customFormat="1" ht="17.25" customHeight="1"/>
    <row r="52881" customFormat="1" ht="17.25" customHeight="1"/>
    <row r="52882" customFormat="1" ht="17.25" customHeight="1"/>
    <row r="52883" customFormat="1" ht="17.25" customHeight="1"/>
    <row r="52884" customFormat="1" ht="17.25" customHeight="1"/>
    <row r="52885" customFormat="1" ht="17.25" customHeight="1"/>
    <row r="52886" customFormat="1" ht="17.25" customHeight="1"/>
    <row r="52887" customFormat="1" ht="17.25" customHeight="1"/>
    <row r="52888" customFormat="1" ht="17.25" customHeight="1"/>
    <row r="52889" customFormat="1" ht="17.25" customHeight="1"/>
    <row r="52890" customFormat="1" ht="17.25" customHeight="1"/>
    <row r="52891" customFormat="1" ht="17.25" customHeight="1"/>
    <row r="52892" customFormat="1" ht="17.25" customHeight="1"/>
    <row r="52893" customFormat="1" ht="17.25" customHeight="1"/>
    <row r="52894" customFormat="1" ht="17.25" customHeight="1"/>
    <row r="52895" customFormat="1" ht="17.25" customHeight="1"/>
    <row r="52896" customFormat="1" ht="17.25" customHeight="1"/>
    <row r="52897" customFormat="1" ht="17.25" customHeight="1"/>
    <row r="52898" customFormat="1" ht="17.25" customHeight="1"/>
    <row r="52899" customFormat="1" ht="17.25" customHeight="1"/>
    <row r="52900" customFormat="1" ht="17.25" customHeight="1"/>
    <row r="52901" customFormat="1" ht="17.25" customHeight="1"/>
    <row r="52902" customFormat="1" ht="17.25" customHeight="1"/>
    <row r="52903" customFormat="1" ht="17.25" customHeight="1"/>
    <row r="52904" customFormat="1" ht="17.25" customHeight="1"/>
    <row r="52905" customFormat="1" ht="17.25" customHeight="1"/>
    <row r="52906" customFormat="1" ht="17.25" customHeight="1"/>
    <row r="52907" customFormat="1" ht="17.25" customHeight="1"/>
    <row r="52908" customFormat="1" ht="17.25" customHeight="1"/>
    <row r="52909" customFormat="1" ht="17.25" customHeight="1"/>
    <row r="52910" customFormat="1" ht="17.25" customHeight="1"/>
    <row r="52911" customFormat="1" ht="17.25" customHeight="1"/>
    <row r="52912" customFormat="1" ht="17.25" customHeight="1"/>
    <row r="52913" customFormat="1" ht="17.25" customHeight="1"/>
    <row r="52914" customFormat="1" ht="17.25" customHeight="1"/>
    <row r="52915" customFormat="1" ht="17.25" customHeight="1"/>
    <row r="52916" customFormat="1" ht="17.25" customHeight="1"/>
    <row r="52917" customFormat="1" ht="17.25" customHeight="1"/>
    <row r="52918" customFormat="1" ht="17.25" customHeight="1"/>
    <row r="52919" customFormat="1" ht="17.25" customHeight="1"/>
    <row r="52920" customFormat="1" ht="17.25" customHeight="1"/>
    <row r="52921" customFormat="1" ht="17.25" customHeight="1"/>
    <row r="52922" customFormat="1" ht="17.25" customHeight="1"/>
    <row r="52923" customFormat="1" ht="17.25" customHeight="1"/>
    <row r="52924" customFormat="1" ht="17.25" customHeight="1"/>
    <row r="52925" customFormat="1" ht="17.25" customHeight="1"/>
    <row r="52926" customFormat="1" ht="17.25" customHeight="1"/>
    <row r="52927" customFormat="1" ht="17.25" customHeight="1"/>
    <row r="52928" customFormat="1" ht="17.25" customHeight="1"/>
    <row r="52929" customFormat="1" ht="17.25" customHeight="1"/>
    <row r="52930" customFormat="1" ht="17.25" customHeight="1"/>
    <row r="52931" customFormat="1" ht="17.25" customHeight="1"/>
    <row r="52932" customFormat="1" ht="17.25" customHeight="1"/>
    <row r="52933" customFormat="1" ht="17.25" customHeight="1"/>
    <row r="52934" customFormat="1" ht="17.25" customHeight="1"/>
    <row r="52935" customFormat="1" ht="17.25" customHeight="1"/>
    <row r="52936" customFormat="1" ht="17.25" customHeight="1"/>
    <row r="52937" customFormat="1" ht="17.25" customHeight="1"/>
    <row r="52938" customFormat="1" ht="17.25" customHeight="1"/>
    <row r="52939" customFormat="1" ht="17.25" customHeight="1"/>
    <row r="52940" customFormat="1" ht="17.25" customHeight="1"/>
    <row r="52941" customFormat="1" ht="17.25" customHeight="1"/>
    <row r="52942" customFormat="1" ht="17.25" customHeight="1"/>
    <row r="52943" customFormat="1" ht="17.25" customHeight="1"/>
    <row r="52944" customFormat="1" ht="17.25" customHeight="1"/>
    <row r="52945" customFormat="1" ht="17.25" customHeight="1"/>
    <row r="52946" customFormat="1" ht="17.25" customHeight="1"/>
    <row r="52947" customFormat="1" ht="17.25" customHeight="1"/>
    <row r="52948" customFormat="1" ht="17.25" customHeight="1"/>
    <row r="52949" customFormat="1" ht="17.25" customHeight="1"/>
    <row r="52950" customFormat="1" ht="17.25" customHeight="1"/>
    <row r="52951" customFormat="1" ht="17.25" customHeight="1"/>
    <row r="52952" customFormat="1" ht="17.25" customHeight="1"/>
    <row r="52953" customFormat="1" ht="17.25" customHeight="1"/>
    <row r="52954" customFormat="1" ht="17.25" customHeight="1"/>
    <row r="52955" customFormat="1" ht="17.25" customHeight="1"/>
    <row r="52956" customFormat="1" ht="17.25" customHeight="1"/>
    <row r="52957" customFormat="1" ht="17.25" customHeight="1"/>
    <row r="52958" customFormat="1" ht="17.25" customHeight="1"/>
    <row r="52959" customFormat="1" ht="17.25" customHeight="1"/>
    <row r="52960" customFormat="1" ht="17.25" customHeight="1"/>
    <row r="52961" customFormat="1" ht="17.25" customHeight="1"/>
    <row r="52962" customFormat="1" ht="17.25" customHeight="1"/>
    <row r="52963" customFormat="1" ht="17.25" customHeight="1"/>
    <row r="52964" customFormat="1" ht="17.25" customHeight="1"/>
    <row r="52965" customFormat="1" ht="17.25" customHeight="1"/>
    <row r="52966" customFormat="1" ht="17.25" customHeight="1"/>
    <row r="52967" customFormat="1" ht="17.25" customHeight="1"/>
    <row r="52968" customFormat="1" ht="17.25" customHeight="1"/>
    <row r="52969" customFormat="1" ht="17.25" customHeight="1"/>
    <row r="52970" customFormat="1" ht="17.25" customHeight="1"/>
    <row r="52971" customFormat="1" ht="17.25" customHeight="1"/>
    <row r="52972" customFormat="1" ht="17.25" customHeight="1"/>
    <row r="52973" customFormat="1" ht="17.25" customHeight="1"/>
    <row r="52974" customFormat="1" ht="17.25" customHeight="1"/>
    <row r="52975" customFormat="1" ht="17.25" customHeight="1"/>
    <row r="52976" customFormat="1" ht="17.25" customHeight="1"/>
    <row r="52977" customFormat="1" ht="17.25" customHeight="1"/>
    <row r="52978" customFormat="1" ht="17.25" customHeight="1"/>
    <row r="52979" customFormat="1" ht="17.25" customHeight="1"/>
    <row r="52980" customFormat="1" ht="17.25" customHeight="1"/>
    <row r="52981" customFormat="1" ht="17.25" customHeight="1"/>
    <row r="52982" customFormat="1" ht="17.25" customHeight="1"/>
    <row r="52983" customFormat="1" ht="17.25" customHeight="1"/>
    <row r="52984" customFormat="1" ht="17.25" customHeight="1"/>
    <row r="52985" customFormat="1" ht="17.25" customHeight="1"/>
    <row r="52986" customFormat="1" ht="17.25" customHeight="1"/>
    <row r="52987" customFormat="1" ht="17.25" customHeight="1"/>
    <row r="52988" customFormat="1" ht="17.25" customHeight="1"/>
    <row r="52989" customFormat="1" ht="17.25" customHeight="1"/>
    <row r="52990" customFormat="1" ht="17.25" customHeight="1"/>
    <row r="52991" customFormat="1" ht="17.25" customHeight="1"/>
    <row r="52992" customFormat="1" ht="17.25" customHeight="1"/>
    <row r="52993" customFormat="1" ht="17.25" customHeight="1"/>
    <row r="52994" customFormat="1" ht="17.25" customHeight="1"/>
    <row r="52995" customFormat="1" ht="17.25" customHeight="1"/>
    <row r="52996" customFormat="1" ht="17.25" customHeight="1"/>
    <row r="52997" customFormat="1" ht="17.25" customHeight="1"/>
    <row r="52998" customFormat="1" ht="17.25" customHeight="1"/>
    <row r="52999" customFormat="1" ht="17.25" customHeight="1"/>
    <row r="53000" customFormat="1" ht="17.25" customHeight="1"/>
    <row r="53001" customFormat="1" ht="17.25" customHeight="1"/>
    <row r="53002" customFormat="1" ht="17.25" customHeight="1"/>
    <row r="53003" customFormat="1" ht="17.25" customHeight="1"/>
    <row r="53004" customFormat="1" ht="17.25" customHeight="1"/>
    <row r="53005" customFormat="1" ht="17.25" customHeight="1"/>
    <row r="53006" customFormat="1" ht="17.25" customHeight="1"/>
    <row r="53007" customFormat="1" ht="17.25" customHeight="1"/>
    <row r="53008" customFormat="1" ht="17.25" customHeight="1"/>
    <row r="53009" customFormat="1" ht="17.25" customHeight="1"/>
    <row r="53010" customFormat="1" ht="17.25" customHeight="1"/>
    <row r="53011" customFormat="1" ht="17.25" customHeight="1"/>
    <row r="53012" customFormat="1" ht="17.25" customHeight="1"/>
    <row r="53013" customFormat="1" ht="17.25" customHeight="1"/>
    <row r="53014" customFormat="1" ht="17.25" customHeight="1"/>
    <row r="53015" customFormat="1" ht="17.25" customHeight="1"/>
    <row r="53016" customFormat="1" ht="17.25" customHeight="1"/>
    <row r="53017" customFormat="1" ht="17.25" customHeight="1"/>
    <row r="53018" customFormat="1" ht="17.25" customHeight="1"/>
    <row r="53019" customFormat="1" ht="17.25" customHeight="1"/>
    <row r="53020" customFormat="1" ht="17.25" customHeight="1"/>
    <row r="53021" customFormat="1" ht="17.25" customHeight="1"/>
    <row r="53022" customFormat="1" ht="17.25" customHeight="1"/>
    <row r="53023" customFormat="1" ht="17.25" customHeight="1"/>
    <row r="53024" customFormat="1" ht="17.25" customHeight="1"/>
    <row r="53025" customFormat="1" ht="17.25" customHeight="1"/>
    <row r="53026" customFormat="1" ht="17.25" customHeight="1"/>
    <row r="53027" customFormat="1" ht="17.25" customHeight="1"/>
    <row r="53028" customFormat="1" ht="17.25" customHeight="1"/>
    <row r="53029" customFormat="1" ht="17.25" customHeight="1"/>
    <row r="53030" customFormat="1" ht="17.25" customHeight="1"/>
    <row r="53031" customFormat="1" ht="17.25" customHeight="1"/>
    <row r="53032" customFormat="1" ht="17.25" customHeight="1"/>
    <row r="53033" customFormat="1" ht="17.25" customHeight="1"/>
    <row r="53034" customFormat="1" ht="17.25" customHeight="1"/>
    <row r="53035" customFormat="1" ht="17.25" customHeight="1"/>
    <row r="53036" customFormat="1" ht="17.25" customHeight="1"/>
    <row r="53037" customFormat="1" ht="17.25" customHeight="1"/>
    <row r="53038" customFormat="1" ht="17.25" customHeight="1"/>
    <row r="53039" customFormat="1" ht="17.25" customHeight="1"/>
    <row r="53040" customFormat="1" ht="17.25" customHeight="1"/>
    <row r="53041" customFormat="1" ht="17.25" customHeight="1"/>
    <row r="53042" customFormat="1" ht="17.25" customHeight="1"/>
    <row r="53043" customFormat="1" ht="17.25" customHeight="1"/>
    <row r="53044" customFormat="1" ht="17.25" customHeight="1"/>
    <row r="53045" customFormat="1" ht="17.25" customHeight="1"/>
    <row r="53046" customFormat="1" ht="17.25" customHeight="1"/>
    <row r="53047" customFormat="1" ht="17.25" customHeight="1"/>
    <row r="53048" customFormat="1" ht="17.25" customHeight="1"/>
    <row r="53049" customFormat="1" ht="17.25" customHeight="1"/>
    <row r="53050" customFormat="1" ht="17.25" customHeight="1"/>
    <row r="53051" customFormat="1" ht="17.25" customHeight="1"/>
    <row r="53052" customFormat="1" ht="17.25" customHeight="1"/>
    <row r="53053" customFormat="1" ht="17.25" customHeight="1"/>
    <row r="53054" customFormat="1" ht="17.25" customHeight="1"/>
    <row r="53055" customFormat="1" ht="17.25" customHeight="1"/>
    <row r="53056" customFormat="1" ht="17.25" customHeight="1"/>
    <row r="53057" customFormat="1" ht="17.25" customHeight="1"/>
    <row r="53058" customFormat="1" ht="17.25" customHeight="1"/>
    <row r="53059" customFormat="1" ht="17.25" customHeight="1"/>
    <row r="53060" customFormat="1" ht="17.25" customHeight="1"/>
    <row r="53061" customFormat="1" ht="17.25" customHeight="1"/>
    <row r="53062" customFormat="1" ht="17.25" customHeight="1"/>
    <row r="53063" customFormat="1" ht="17.25" customHeight="1"/>
    <row r="53064" customFormat="1" ht="17.25" customHeight="1"/>
    <row r="53065" customFormat="1" ht="17.25" customHeight="1"/>
    <row r="53066" customFormat="1" ht="17.25" customHeight="1"/>
    <row r="53067" customFormat="1" ht="17.25" customHeight="1"/>
    <row r="53068" customFormat="1" ht="17.25" customHeight="1"/>
    <row r="53069" customFormat="1" ht="17.25" customHeight="1"/>
    <row r="53070" customFormat="1" ht="17.25" customHeight="1"/>
    <row r="53071" customFormat="1" ht="17.25" customHeight="1"/>
    <row r="53072" customFormat="1" ht="17.25" customHeight="1"/>
    <row r="53073" customFormat="1" ht="17.25" customHeight="1"/>
    <row r="53074" customFormat="1" ht="17.25" customHeight="1"/>
    <row r="53075" customFormat="1" ht="17.25" customHeight="1"/>
    <row r="53076" customFormat="1" ht="17.25" customHeight="1"/>
    <row r="53077" customFormat="1" ht="17.25" customHeight="1"/>
    <row r="53078" customFormat="1" ht="17.25" customHeight="1"/>
    <row r="53079" customFormat="1" ht="17.25" customHeight="1"/>
    <row r="53080" customFormat="1" ht="17.25" customHeight="1"/>
    <row r="53081" customFormat="1" ht="17.25" customHeight="1"/>
    <row r="53082" customFormat="1" ht="17.25" customHeight="1"/>
    <row r="53083" customFormat="1" ht="17.25" customHeight="1"/>
    <row r="53084" customFormat="1" ht="17.25" customHeight="1"/>
    <row r="53085" customFormat="1" ht="17.25" customHeight="1"/>
    <row r="53086" customFormat="1" ht="17.25" customHeight="1"/>
    <row r="53087" customFormat="1" ht="17.25" customHeight="1"/>
    <row r="53088" customFormat="1" ht="17.25" customHeight="1"/>
    <row r="53089" customFormat="1" ht="17.25" customHeight="1"/>
    <row r="53090" customFormat="1" ht="17.25" customHeight="1"/>
    <row r="53091" customFormat="1" ht="17.25" customHeight="1"/>
    <row r="53092" customFormat="1" ht="17.25" customHeight="1"/>
    <row r="53093" customFormat="1" ht="17.25" customHeight="1"/>
    <row r="53094" customFormat="1" ht="17.25" customHeight="1"/>
    <row r="53095" customFormat="1" ht="17.25" customHeight="1"/>
    <row r="53096" customFormat="1" ht="17.25" customHeight="1"/>
    <row r="53097" customFormat="1" ht="17.25" customHeight="1"/>
    <row r="53098" customFormat="1" ht="17.25" customHeight="1"/>
    <row r="53099" customFormat="1" ht="17.25" customHeight="1"/>
    <row r="53100" customFormat="1" ht="17.25" customHeight="1"/>
    <row r="53101" customFormat="1" ht="17.25" customHeight="1"/>
    <row r="53102" customFormat="1" ht="17.25" customHeight="1"/>
    <row r="53103" customFormat="1" ht="17.25" customHeight="1"/>
    <row r="53104" customFormat="1" ht="17.25" customHeight="1"/>
    <row r="53105" customFormat="1" ht="17.25" customHeight="1"/>
    <row r="53106" customFormat="1" ht="17.25" customHeight="1"/>
    <row r="53107" customFormat="1" ht="17.25" customHeight="1"/>
    <row r="53108" customFormat="1" ht="17.25" customHeight="1"/>
    <row r="53109" customFormat="1" ht="17.25" customHeight="1"/>
    <row r="53110" customFormat="1" ht="17.25" customHeight="1"/>
    <row r="53111" customFormat="1" ht="17.25" customHeight="1"/>
    <row r="53112" customFormat="1" ht="17.25" customHeight="1"/>
    <row r="53113" customFormat="1" ht="17.25" customHeight="1"/>
    <row r="53114" customFormat="1" ht="17.25" customHeight="1"/>
    <row r="53115" customFormat="1" ht="17.25" customHeight="1"/>
    <row r="53116" customFormat="1" ht="17.25" customHeight="1"/>
    <row r="53117" customFormat="1" ht="17.25" customHeight="1"/>
    <row r="53118" customFormat="1" ht="17.25" customHeight="1"/>
    <row r="53119" customFormat="1" ht="17.25" customHeight="1"/>
    <row r="53120" customFormat="1" ht="17.25" customHeight="1"/>
    <row r="53121" customFormat="1" ht="17.25" customHeight="1"/>
    <row r="53122" customFormat="1" ht="17.25" customHeight="1"/>
    <row r="53123" customFormat="1" ht="17.25" customHeight="1"/>
    <row r="53124" customFormat="1" ht="17.25" customHeight="1"/>
    <row r="53125" customFormat="1" ht="17.25" customHeight="1"/>
    <row r="53126" customFormat="1" ht="17.25" customHeight="1"/>
    <row r="53127" customFormat="1" ht="17.25" customHeight="1"/>
    <row r="53128" customFormat="1" ht="17.25" customHeight="1"/>
    <row r="53129" customFormat="1" ht="17.25" customHeight="1"/>
    <row r="53130" customFormat="1" ht="17.25" customHeight="1"/>
    <row r="53131" customFormat="1" ht="17.25" customHeight="1"/>
    <row r="53132" customFormat="1" ht="17.25" customHeight="1"/>
    <row r="53133" customFormat="1" ht="17.25" customHeight="1"/>
    <row r="53134" customFormat="1" ht="17.25" customHeight="1"/>
    <row r="53135" customFormat="1" ht="17.25" customHeight="1"/>
    <row r="53136" customFormat="1" ht="17.25" customHeight="1"/>
    <row r="53137" customFormat="1" ht="17.25" customHeight="1"/>
    <row r="53138" customFormat="1" ht="17.25" customHeight="1"/>
    <row r="53139" customFormat="1" ht="17.25" customHeight="1"/>
    <row r="53140" customFormat="1" ht="17.25" customHeight="1"/>
    <row r="53141" customFormat="1" ht="17.25" customHeight="1"/>
    <row r="53142" customFormat="1" ht="17.25" customHeight="1"/>
    <row r="53143" customFormat="1" ht="17.25" customHeight="1"/>
    <row r="53144" customFormat="1" ht="17.25" customHeight="1"/>
    <row r="53145" customFormat="1" ht="17.25" customHeight="1"/>
    <row r="53146" customFormat="1" ht="17.25" customHeight="1"/>
    <row r="53147" customFormat="1" ht="17.25" customHeight="1"/>
    <row r="53148" customFormat="1" ht="17.25" customHeight="1"/>
    <row r="53149" customFormat="1" ht="17.25" customHeight="1"/>
    <row r="53150" customFormat="1" ht="17.25" customHeight="1"/>
    <row r="53151" customFormat="1" ht="17.25" customHeight="1"/>
    <row r="53152" customFormat="1" ht="17.25" customHeight="1"/>
    <row r="53153" customFormat="1" ht="17.25" customHeight="1"/>
    <row r="53154" customFormat="1" ht="17.25" customHeight="1"/>
    <row r="53155" customFormat="1" ht="17.25" customHeight="1"/>
    <row r="53156" customFormat="1" ht="17.25" customHeight="1"/>
    <row r="53157" customFormat="1" ht="17.25" customHeight="1"/>
    <row r="53158" customFormat="1" ht="17.25" customHeight="1"/>
    <row r="53159" customFormat="1" ht="17.25" customHeight="1"/>
    <row r="53160" customFormat="1" ht="17.25" customHeight="1"/>
    <row r="53161" customFormat="1" ht="17.25" customHeight="1"/>
    <row r="53162" customFormat="1" ht="17.25" customHeight="1"/>
    <row r="53163" customFormat="1" ht="17.25" customHeight="1"/>
    <row r="53164" customFormat="1" ht="17.25" customHeight="1"/>
    <row r="53165" customFormat="1" ht="17.25" customHeight="1"/>
    <row r="53166" customFormat="1" ht="17.25" customHeight="1"/>
    <row r="53167" customFormat="1" ht="17.25" customHeight="1"/>
    <row r="53168" customFormat="1" ht="17.25" customHeight="1"/>
    <row r="53169" customFormat="1" ht="17.25" customHeight="1"/>
    <row r="53170" customFormat="1" ht="17.25" customHeight="1"/>
    <row r="53171" customFormat="1" ht="17.25" customHeight="1"/>
    <row r="53172" customFormat="1" ht="17.25" customHeight="1"/>
    <row r="53173" customFormat="1" ht="17.25" customHeight="1"/>
    <row r="53174" customFormat="1" ht="17.25" customHeight="1"/>
    <row r="53175" customFormat="1" ht="17.25" customHeight="1"/>
    <row r="53176" customFormat="1" ht="17.25" customHeight="1"/>
    <row r="53177" customFormat="1" ht="17.25" customHeight="1"/>
    <row r="53178" customFormat="1" ht="17.25" customHeight="1"/>
    <row r="53179" customFormat="1" ht="17.25" customHeight="1"/>
    <row r="53180" customFormat="1" ht="17.25" customHeight="1"/>
    <row r="53181" customFormat="1" ht="17.25" customHeight="1"/>
    <row r="53182" customFormat="1" ht="17.25" customHeight="1"/>
    <row r="53183" customFormat="1" ht="17.25" customHeight="1"/>
    <row r="53184" customFormat="1" ht="17.25" customHeight="1"/>
    <row r="53185" customFormat="1" ht="17.25" customHeight="1"/>
    <row r="53186" customFormat="1" ht="17.25" customHeight="1"/>
    <row r="53187" customFormat="1" ht="17.25" customHeight="1"/>
    <row r="53188" customFormat="1" ht="17.25" customHeight="1"/>
    <row r="53189" customFormat="1" ht="17.25" customHeight="1"/>
    <row r="53190" customFormat="1" ht="17.25" customHeight="1"/>
    <row r="53191" customFormat="1" ht="17.25" customHeight="1"/>
    <row r="53192" customFormat="1" ht="17.25" customHeight="1"/>
    <row r="53193" customFormat="1" ht="17.25" customHeight="1"/>
    <row r="53194" customFormat="1" ht="17.25" customHeight="1"/>
    <row r="53195" customFormat="1" ht="17.25" customHeight="1"/>
    <row r="53196" customFormat="1" ht="17.25" customHeight="1"/>
    <row r="53197" customFormat="1" ht="17.25" customHeight="1"/>
    <row r="53198" customFormat="1" ht="17.25" customHeight="1"/>
    <row r="53199" customFormat="1" ht="17.25" customHeight="1"/>
    <row r="53200" customFormat="1" ht="17.25" customHeight="1"/>
    <row r="53201" customFormat="1" ht="17.25" customHeight="1"/>
    <row r="53202" customFormat="1" ht="17.25" customHeight="1"/>
    <row r="53203" customFormat="1" ht="17.25" customHeight="1"/>
    <row r="53204" customFormat="1" ht="17.25" customHeight="1"/>
    <row r="53205" customFormat="1" ht="17.25" customHeight="1"/>
    <row r="53206" customFormat="1" ht="17.25" customHeight="1"/>
    <row r="53207" customFormat="1" ht="17.25" customHeight="1"/>
    <row r="53208" customFormat="1" ht="17.25" customHeight="1"/>
    <row r="53209" customFormat="1" ht="17.25" customHeight="1"/>
    <row r="53210" customFormat="1" ht="17.25" customHeight="1"/>
    <row r="53211" customFormat="1" ht="17.25" customHeight="1"/>
    <row r="53212" customFormat="1" ht="17.25" customHeight="1"/>
    <row r="53213" customFormat="1" ht="17.25" customHeight="1"/>
    <row r="53214" customFormat="1" ht="17.25" customHeight="1"/>
    <row r="53215" customFormat="1" ht="17.25" customHeight="1"/>
    <row r="53216" customFormat="1" ht="17.25" customHeight="1"/>
    <row r="53217" customFormat="1" ht="17.25" customHeight="1"/>
    <row r="53218" customFormat="1" ht="17.25" customHeight="1"/>
    <row r="53219" customFormat="1" ht="17.25" customHeight="1"/>
    <row r="53220" customFormat="1" ht="17.25" customHeight="1"/>
    <row r="53221" customFormat="1" ht="17.25" customHeight="1"/>
    <row r="53222" customFormat="1" ht="17.25" customHeight="1"/>
    <row r="53223" customFormat="1" ht="17.25" customHeight="1"/>
    <row r="53224" customFormat="1" ht="17.25" customHeight="1"/>
    <row r="53225" customFormat="1" ht="17.25" customHeight="1"/>
    <row r="53226" customFormat="1" ht="17.25" customHeight="1"/>
    <row r="53227" customFormat="1" ht="17.25" customHeight="1"/>
    <row r="53228" customFormat="1" ht="17.25" customHeight="1"/>
    <row r="53229" customFormat="1" ht="17.25" customHeight="1"/>
    <row r="53230" customFormat="1" ht="17.25" customHeight="1"/>
    <row r="53231" customFormat="1" ht="17.25" customHeight="1"/>
    <row r="53232" customFormat="1" ht="17.25" customHeight="1"/>
    <row r="53233" customFormat="1" ht="17.25" customHeight="1"/>
    <row r="53234" customFormat="1" ht="17.25" customHeight="1"/>
    <row r="53235" customFormat="1" ht="17.25" customHeight="1"/>
    <row r="53236" customFormat="1" ht="17.25" customHeight="1"/>
    <row r="53237" customFormat="1" ht="17.25" customHeight="1"/>
    <row r="53238" customFormat="1" ht="17.25" customHeight="1"/>
    <row r="53239" customFormat="1" ht="17.25" customHeight="1"/>
    <row r="53240" customFormat="1" ht="17.25" customHeight="1"/>
    <row r="53241" customFormat="1" ht="17.25" customHeight="1"/>
    <row r="53242" customFormat="1" ht="17.25" customHeight="1"/>
    <row r="53243" customFormat="1" ht="17.25" customHeight="1"/>
    <row r="53244" customFormat="1" ht="17.25" customHeight="1"/>
    <row r="53245" customFormat="1" ht="17.25" customHeight="1"/>
    <row r="53246" customFormat="1" ht="17.25" customHeight="1"/>
    <row r="53247" customFormat="1" ht="17.25" customHeight="1"/>
    <row r="53248" customFormat="1" ht="17.25" customHeight="1"/>
    <row r="53249" customFormat="1" ht="17.25" customHeight="1"/>
    <row r="53250" customFormat="1" ht="17.25" customHeight="1"/>
    <row r="53251" customFormat="1" ht="17.25" customHeight="1"/>
    <row r="53252" customFormat="1" ht="17.25" customHeight="1"/>
    <row r="53253" customFormat="1" ht="17.25" customHeight="1"/>
    <row r="53254" customFormat="1" ht="17.25" customHeight="1"/>
    <row r="53255" customFormat="1" ht="17.25" customHeight="1"/>
    <row r="53256" customFormat="1" ht="17.25" customHeight="1"/>
    <row r="53257" customFormat="1" ht="17.25" customHeight="1"/>
    <row r="53258" customFormat="1" ht="17.25" customHeight="1"/>
    <row r="53259" customFormat="1" ht="17.25" customHeight="1"/>
    <row r="53260" customFormat="1" ht="17.25" customHeight="1"/>
    <row r="53261" customFormat="1" ht="17.25" customHeight="1"/>
    <row r="53262" customFormat="1" ht="17.25" customHeight="1"/>
    <row r="53263" customFormat="1" ht="17.25" customHeight="1"/>
    <row r="53264" customFormat="1" ht="17.25" customHeight="1"/>
    <row r="53265" customFormat="1" ht="17.25" customHeight="1"/>
    <row r="53266" customFormat="1" ht="17.25" customHeight="1"/>
    <row r="53267" customFormat="1" ht="17.25" customHeight="1"/>
    <row r="53268" customFormat="1" ht="17.25" customHeight="1"/>
    <row r="53269" customFormat="1" ht="17.25" customHeight="1"/>
    <row r="53270" customFormat="1" ht="17.25" customHeight="1"/>
    <row r="53271" customFormat="1" ht="17.25" customHeight="1"/>
    <row r="53272" customFormat="1" ht="17.25" customHeight="1"/>
    <row r="53273" customFormat="1" ht="17.25" customHeight="1"/>
    <row r="53274" customFormat="1" ht="17.25" customHeight="1"/>
    <row r="53275" customFormat="1" ht="17.25" customHeight="1"/>
    <row r="53276" customFormat="1" ht="17.25" customHeight="1"/>
    <row r="53277" customFormat="1" ht="17.25" customHeight="1"/>
    <row r="53278" customFormat="1" ht="17.25" customHeight="1"/>
    <row r="53279" customFormat="1" ht="17.25" customHeight="1"/>
    <row r="53280" customFormat="1" ht="17.25" customHeight="1"/>
    <row r="53281" customFormat="1" ht="17.25" customHeight="1"/>
    <row r="53282" customFormat="1" ht="17.25" customHeight="1"/>
    <row r="53283" customFormat="1" ht="17.25" customHeight="1"/>
    <row r="53284" customFormat="1" ht="17.25" customHeight="1"/>
    <row r="53285" customFormat="1" ht="17.25" customHeight="1"/>
    <row r="53286" customFormat="1" ht="17.25" customHeight="1"/>
    <row r="53287" customFormat="1" ht="17.25" customHeight="1"/>
    <row r="53288" customFormat="1" ht="17.25" customHeight="1"/>
    <row r="53289" customFormat="1" ht="17.25" customHeight="1"/>
    <row r="53290" customFormat="1" ht="17.25" customHeight="1"/>
    <row r="53291" customFormat="1" ht="17.25" customHeight="1"/>
    <row r="53292" customFormat="1" ht="17.25" customHeight="1"/>
    <row r="53293" customFormat="1" ht="17.25" customHeight="1"/>
    <row r="53294" customFormat="1" ht="17.25" customHeight="1"/>
    <row r="53295" customFormat="1" ht="17.25" customHeight="1"/>
    <row r="53296" customFormat="1" ht="17.25" customHeight="1"/>
    <row r="53297" customFormat="1" ht="17.25" customHeight="1"/>
    <row r="53298" customFormat="1" ht="17.25" customHeight="1"/>
    <row r="53299" customFormat="1" ht="17.25" customHeight="1"/>
    <row r="53300" customFormat="1" ht="17.25" customHeight="1"/>
    <row r="53301" customFormat="1" ht="17.25" customHeight="1"/>
    <row r="53302" customFormat="1" ht="17.25" customHeight="1"/>
    <row r="53303" customFormat="1" ht="17.25" customHeight="1"/>
    <row r="53304" customFormat="1" ht="17.25" customHeight="1"/>
    <row r="53305" customFormat="1" ht="17.25" customHeight="1"/>
    <row r="53306" customFormat="1" ht="17.25" customHeight="1"/>
    <row r="53307" customFormat="1" ht="17.25" customHeight="1"/>
    <row r="53308" customFormat="1" ht="17.25" customHeight="1"/>
    <row r="53309" customFormat="1" ht="17.25" customHeight="1"/>
    <row r="53310" customFormat="1" ht="17.25" customHeight="1"/>
    <row r="53311" customFormat="1" ht="17.25" customHeight="1"/>
    <row r="53312" customFormat="1" ht="17.25" customHeight="1"/>
    <row r="53313" customFormat="1" ht="17.25" customHeight="1"/>
    <row r="53314" customFormat="1" ht="17.25" customHeight="1"/>
    <row r="53315" customFormat="1" ht="17.25" customHeight="1"/>
    <row r="53316" customFormat="1" ht="17.25" customHeight="1"/>
    <row r="53317" customFormat="1" ht="17.25" customHeight="1"/>
    <row r="53318" customFormat="1" ht="17.25" customHeight="1"/>
    <row r="53319" customFormat="1" ht="17.25" customHeight="1"/>
    <row r="53320" customFormat="1" ht="17.25" customHeight="1"/>
    <row r="53321" customFormat="1" ht="17.25" customHeight="1"/>
    <row r="53322" customFormat="1" ht="17.25" customHeight="1"/>
    <row r="53323" customFormat="1" ht="17.25" customHeight="1"/>
    <row r="53324" customFormat="1" ht="17.25" customHeight="1"/>
    <row r="53325" customFormat="1" ht="17.25" customHeight="1"/>
    <row r="53326" customFormat="1" ht="17.25" customHeight="1"/>
    <row r="53327" customFormat="1" ht="17.25" customHeight="1"/>
    <row r="53328" customFormat="1" ht="17.25" customHeight="1"/>
    <row r="53329" customFormat="1" ht="17.25" customHeight="1"/>
    <row r="53330" customFormat="1" ht="17.25" customHeight="1"/>
    <row r="53331" customFormat="1" ht="17.25" customHeight="1"/>
    <row r="53332" customFormat="1" ht="17.25" customHeight="1"/>
    <row r="53333" customFormat="1" ht="17.25" customHeight="1"/>
    <row r="53334" customFormat="1" ht="17.25" customHeight="1"/>
    <row r="53335" customFormat="1" ht="17.25" customHeight="1"/>
    <row r="53336" customFormat="1" ht="17.25" customHeight="1"/>
    <row r="53337" customFormat="1" ht="17.25" customHeight="1"/>
    <row r="53338" customFormat="1" ht="17.25" customHeight="1"/>
    <row r="53339" customFormat="1" ht="17.25" customHeight="1"/>
    <row r="53340" customFormat="1" ht="17.25" customHeight="1"/>
    <row r="53341" customFormat="1" ht="17.25" customHeight="1"/>
    <row r="53342" customFormat="1" ht="17.25" customHeight="1"/>
    <row r="53343" customFormat="1" ht="17.25" customHeight="1"/>
    <row r="53344" customFormat="1" ht="17.25" customHeight="1"/>
    <row r="53345" customFormat="1" ht="17.25" customHeight="1"/>
    <row r="53346" customFormat="1" ht="17.25" customHeight="1"/>
    <row r="53347" customFormat="1" ht="17.25" customHeight="1"/>
    <row r="53348" customFormat="1" ht="17.25" customHeight="1"/>
    <row r="53349" customFormat="1" ht="17.25" customHeight="1"/>
    <row r="53350" customFormat="1" ht="17.25" customHeight="1"/>
    <row r="53351" customFormat="1" ht="17.25" customHeight="1"/>
    <row r="53352" customFormat="1" ht="17.25" customHeight="1"/>
    <row r="53353" customFormat="1" ht="17.25" customHeight="1"/>
    <row r="53354" customFormat="1" ht="17.25" customHeight="1"/>
    <row r="53355" customFormat="1" ht="17.25" customHeight="1"/>
    <row r="53356" customFormat="1" ht="17.25" customHeight="1"/>
    <row r="53357" customFormat="1" ht="17.25" customHeight="1"/>
    <row r="53358" customFormat="1" ht="17.25" customHeight="1"/>
    <row r="53359" customFormat="1" ht="17.25" customHeight="1"/>
    <row r="53360" customFormat="1" ht="17.25" customHeight="1"/>
    <row r="53361" customFormat="1" ht="17.25" customHeight="1"/>
    <row r="53362" customFormat="1" ht="17.25" customHeight="1"/>
    <row r="53363" customFormat="1" ht="17.25" customHeight="1"/>
    <row r="53364" customFormat="1" ht="17.25" customHeight="1"/>
    <row r="53365" customFormat="1" ht="17.25" customHeight="1"/>
    <row r="53366" customFormat="1" ht="17.25" customHeight="1"/>
    <row r="53367" customFormat="1" ht="17.25" customHeight="1"/>
    <row r="53368" customFormat="1" ht="17.25" customHeight="1"/>
    <row r="53369" customFormat="1" ht="17.25" customHeight="1"/>
    <row r="53370" customFormat="1" ht="17.25" customHeight="1"/>
    <row r="53371" customFormat="1" ht="17.25" customHeight="1"/>
    <row r="53372" customFormat="1" ht="17.25" customHeight="1"/>
    <row r="53373" customFormat="1" ht="17.25" customHeight="1"/>
    <row r="53374" customFormat="1" ht="17.25" customHeight="1"/>
    <row r="53375" customFormat="1" ht="17.25" customHeight="1"/>
    <row r="53376" customFormat="1" ht="17.25" customHeight="1"/>
    <row r="53377" customFormat="1" ht="17.25" customHeight="1"/>
    <row r="53378" customFormat="1" ht="17.25" customHeight="1"/>
    <row r="53379" customFormat="1" ht="17.25" customHeight="1"/>
    <row r="53380" customFormat="1" ht="17.25" customHeight="1"/>
    <row r="53381" customFormat="1" ht="17.25" customHeight="1"/>
    <row r="53382" customFormat="1" ht="17.25" customHeight="1"/>
    <row r="53383" customFormat="1" ht="17.25" customHeight="1"/>
    <row r="53384" customFormat="1" ht="17.25" customHeight="1"/>
    <row r="53385" customFormat="1" ht="17.25" customHeight="1"/>
    <row r="53386" customFormat="1" ht="17.25" customHeight="1"/>
    <row r="53387" customFormat="1" ht="17.25" customHeight="1"/>
    <row r="53388" customFormat="1" ht="17.25" customHeight="1"/>
    <row r="53389" customFormat="1" ht="17.25" customHeight="1"/>
    <row r="53390" customFormat="1" ht="17.25" customHeight="1"/>
    <row r="53391" customFormat="1" ht="17.25" customHeight="1"/>
    <row r="53392" customFormat="1" ht="17.25" customHeight="1"/>
    <row r="53393" customFormat="1" ht="17.25" customHeight="1"/>
    <row r="53394" customFormat="1" ht="17.25" customHeight="1"/>
    <row r="53395" customFormat="1" ht="17.25" customHeight="1"/>
    <row r="53396" customFormat="1" ht="17.25" customHeight="1"/>
    <row r="53397" customFormat="1" ht="17.25" customHeight="1"/>
    <row r="53398" customFormat="1" ht="17.25" customHeight="1"/>
    <row r="53399" customFormat="1" ht="17.25" customHeight="1"/>
    <row r="53400" customFormat="1" ht="17.25" customHeight="1"/>
    <row r="53401" customFormat="1" ht="17.25" customHeight="1"/>
    <row r="53402" customFormat="1" ht="17.25" customHeight="1"/>
    <row r="53403" customFormat="1" ht="17.25" customHeight="1"/>
    <row r="53404" customFormat="1" ht="17.25" customHeight="1"/>
    <row r="53405" customFormat="1" ht="17.25" customHeight="1"/>
    <row r="53406" customFormat="1" ht="17.25" customHeight="1"/>
    <row r="53407" customFormat="1" ht="17.25" customHeight="1"/>
    <row r="53408" customFormat="1" ht="17.25" customHeight="1"/>
    <row r="53409" customFormat="1" ht="17.25" customHeight="1"/>
    <row r="53410" customFormat="1" ht="17.25" customHeight="1"/>
    <row r="53411" customFormat="1" ht="17.25" customHeight="1"/>
    <row r="53412" customFormat="1" ht="17.25" customHeight="1"/>
    <row r="53413" customFormat="1" ht="17.25" customHeight="1"/>
    <row r="53414" customFormat="1" ht="17.25" customHeight="1"/>
    <row r="53415" customFormat="1" ht="17.25" customHeight="1"/>
    <row r="53416" customFormat="1" ht="17.25" customHeight="1"/>
    <row r="53417" customFormat="1" ht="17.25" customHeight="1"/>
    <row r="53418" customFormat="1" ht="17.25" customHeight="1"/>
    <row r="53419" customFormat="1" ht="17.25" customHeight="1"/>
    <row r="53420" customFormat="1" ht="17.25" customHeight="1"/>
    <row r="53421" customFormat="1" ht="17.25" customHeight="1"/>
    <row r="53422" customFormat="1" ht="17.25" customHeight="1"/>
    <row r="53423" customFormat="1" ht="17.25" customHeight="1"/>
    <row r="53424" customFormat="1" ht="17.25" customHeight="1"/>
    <row r="53425" customFormat="1" ht="17.25" customHeight="1"/>
    <row r="53426" customFormat="1" ht="17.25" customHeight="1"/>
    <row r="53427" customFormat="1" ht="17.25" customHeight="1"/>
    <row r="53428" customFormat="1" ht="17.25" customHeight="1"/>
    <row r="53429" customFormat="1" ht="17.25" customHeight="1"/>
    <row r="53430" customFormat="1" ht="17.25" customHeight="1"/>
    <row r="53431" customFormat="1" ht="17.25" customHeight="1"/>
    <row r="53432" customFormat="1" ht="17.25" customHeight="1"/>
    <row r="53433" customFormat="1" ht="17.25" customHeight="1"/>
    <row r="53434" customFormat="1" ht="17.25" customHeight="1"/>
    <row r="53435" customFormat="1" ht="17.25" customHeight="1"/>
    <row r="53436" customFormat="1" ht="17.25" customHeight="1"/>
    <row r="53437" customFormat="1" ht="17.25" customHeight="1"/>
    <row r="53438" customFormat="1" ht="17.25" customHeight="1"/>
    <row r="53439" customFormat="1" ht="17.25" customHeight="1"/>
    <row r="53440" customFormat="1" ht="17.25" customHeight="1"/>
    <row r="53441" customFormat="1" ht="17.25" customHeight="1"/>
    <row r="53442" customFormat="1" ht="17.25" customHeight="1"/>
    <row r="53443" customFormat="1" ht="17.25" customHeight="1"/>
    <row r="53444" customFormat="1" ht="17.25" customHeight="1"/>
    <row r="53445" customFormat="1" ht="17.25" customHeight="1"/>
    <row r="53446" customFormat="1" ht="17.25" customHeight="1"/>
    <row r="53447" customFormat="1" ht="17.25" customHeight="1"/>
    <row r="53448" customFormat="1" ht="17.25" customHeight="1"/>
    <row r="53449" customFormat="1" ht="17.25" customHeight="1"/>
    <row r="53450" customFormat="1" ht="17.25" customHeight="1"/>
    <row r="53451" customFormat="1" ht="17.25" customHeight="1"/>
    <row r="53452" customFormat="1" ht="17.25" customHeight="1"/>
    <row r="53453" customFormat="1" ht="17.25" customHeight="1"/>
    <row r="53454" customFormat="1" ht="17.25" customHeight="1"/>
    <row r="53455" customFormat="1" ht="17.25" customHeight="1"/>
    <row r="53456" customFormat="1" ht="17.25" customHeight="1"/>
    <row r="53457" customFormat="1" ht="17.25" customHeight="1"/>
    <row r="53458" customFormat="1" ht="17.25" customHeight="1"/>
    <row r="53459" customFormat="1" ht="17.25" customHeight="1"/>
    <row r="53460" customFormat="1" ht="17.25" customHeight="1"/>
    <row r="53461" customFormat="1" ht="17.25" customHeight="1"/>
    <row r="53462" customFormat="1" ht="17.25" customHeight="1"/>
    <row r="53463" customFormat="1" ht="17.25" customHeight="1"/>
    <row r="53464" customFormat="1" ht="17.25" customHeight="1"/>
    <row r="53465" customFormat="1" ht="17.25" customHeight="1"/>
    <row r="53466" customFormat="1" ht="17.25" customHeight="1"/>
    <row r="53467" customFormat="1" ht="17.25" customHeight="1"/>
    <row r="53468" customFormat="1" ht="17.25" customHeight="1"/>
    <row r="53469" customFormat="1" ht="17.25" customHeight="1"/>
    <row r="53470" customFormat="1" ht="17.25" customHeight="1"/>
    <row r="53471" customFormat="1" ht="17.25" customHeight="1"/>
    <row r="53472" customFormat="1" ht="17.25" customHeight="1"/>
    <row r="53473" customFormat="1" ht="17.25" customHeight="1"/>
    <row r="53474" customFormat="1" ht="17.25" customHeight="1"/>
    <row r="53475" customFormat="1" ht="17.25" customHeight="1"/>
    <row r="53476" customFormat="1" ht="17.25" customHeight="1"/>
    <row r="53477" customFormat="1" ht="17.25" customHeight="1"/>
    <row r="53478" customFormat="1" ht="17.25" customHeight="1"/>
    <row r="53479" customFormat="1" ht="17.25" customHeight="1"/>
    <row r="53480" customFormat="1" ht="17.25" customHeight="1"/>
    <row r="53481" customFormat="1" ht="17.25" customHeight="1"/>
    <row r="53482" customFormat="1" ht="17.25" customHeight="1"/>
    <row r="53483" customFormat="1" ht="17.25" customHeight="1"/>
    <row r="53484" customFormat="1" ht="17.25" customHeight="1"/>
    <row r="53485" customFormat="1" ht="17.25" customHeight="1"/>
    <row r="53486" customFormat="1" ht="17.25" customHeight="1"/>
    <row r="53487" customFormat="1" ht="17.25" customHeight="1"/>
    <row r="53488" customFormat="1" ht="17.25" customHeight="1"/>
    <row r="53489" customFormat="1" ht="17.25" customHeight="1"/>
    <row r="53490" customFormat="1" ht="17.25" customHeight="1"/>
    <row r="53491" customFormat="1" ht="17.25" customHeight="1"/>
    <row r="53492" customFormat="1" ht="17.25" customHeight="1"/>
    <row r="53493" customFormat="1" ht="17.25" customHeight="1"/>
    <row r="53494" customFormat="1" ht="17.25" customHeight="1"/>
    <row r="53495" customFormat="1" ht="17.25" customHeight="1"/>
    <row r="53496" customFormat="1" ht="17.25" customHeight="1"/>
    <row r="53497" customFormat="1" ht="17.25" customHeight="1"/>
    <row r="53498" customFormat="1" ht="17.25" customHeight="1"/>
    <row r="53499" customFormat="1" ht="17.25" customHeight="1"/>
    <row r="53500" customFormat="1" ht="17.25" customHeight="1"/>
    <row r="53501" customFormat="1" ht="17.25" customHeight="1"/>
    <row r="53502" customFormat="1" ht="17.25" customHeight="1"/>
    <row r="53503" customFormat="1" ht="17.25" customHeight="1"/>
    <row r="53504" customFormat="1" ht="17.25" customHeight="1"/>
    <row r="53505" customFormat="1" ht="17.25" customHeight="1"/>
    <row r="53506" customFormat="1" ht="17.25" customHeight="1"/>
    <row r="53507" customFormat="1" ht="17.25" customHeight="1"/>
    <row r="53508" customFormat="1" ht="17.25" customHeight="1"/>
    <row r="53509" customFormat="1" ht="17.25" customHeight="1"/>
    <row r="53510" customFormat="1" ht="17.25" customHeight="1"/>
    <row r="53511" customFormat="1" ht="17.25" customHeight="1"/>
    <row r="53512" customFormat="1" ht="17.25" customHeight="1"/>
    <row r="53513" customFormat="1" ht="17.25" customHeight="1"/>
    <row r="53514" customFormat="1" ht="17.25" customHeight="1"/>
    <row r="53515" customFormat="1" ht="17.25" customHeight="1"/>
    <row r="53516" customFormat="1" ht="17.25" customHeight="1"/>
    <row r="53517" customFormat="1" ht="17.25" customHeight="1"/>
    <row r="53518" customFormat="1" ht="17.25" customHeight="1"/>
    <row r="53519" customFormat="1" ht="17.25" customHeight="1"/>
    <row r="53520" customFormat="1" ht="17.25" customHeight="1"/>
    <row r="53521" customFormat="1" ht="17.25" customHeight="1"/>
    <row r="53522" customFormat="1" ht="17.25" customHeight="1"/>
    <row r="53523" customFormat="1" ht="17.25" customHeight="1"/>
    <row r="53524" customFormat="1" ht="17.25" customHeight="1"/>
    <row r="53525" customFormat="1" ht="17.25" customHeight="1"/>
    <row r="53526" customFormat="1" ht="17.25" customHeight="1"/>
    <row r="53527" customFormat="1" ht="17.25" customHeight="1"/>
    <row r="53528" customFormat="1" ht="17.25" customHeight="1"/>
    <row r="53529" customFormat="1" ht="17.25" customHeight="1"/>
    <row r="53530" customFormat="1" ht="17.25" customHeight="1"/>
    <row r="53531" customFormat="1" ht="17.25" customHeight="1"/>
    <row r="53532" customFormat="1" ht="17.25" customHeight="1"/>
    <row r="53533" customFormat="1" ht="17.25" customHeight="1"/>
    <row r="53534" customFormat="1" ht="17.25" customHeight="1"/>
    <row r="53535" customFormat="1" ht="17.25" customHeight="1"/>
    <row r="53536" customFormat="1" ht="17.25" customHeight="1"/>
    <row r="53537" customFormat="1" ht="17.25" customHeight="1"/>
    <row r="53538" customFormat="1" ht="17.25" customHeight="1"/>
    <row r="53539" customFormat="1" ht="17.25" customHeight="1"/>
    <row r="53540" customFormat="1" ht="17.25" customHeight="1"/>
    <row r="53541" customFormat="1" ht="17.25" customHeight="1"/>
    <row r="53542" customFormat="1" ht="17.25" customHeight="1"/>
    <row r="53543" customFormat="1" ht="17.25" customHeight="1"/>
    <row r="53544" customFormat="1" ht="17.25" customHeight="1"/>
    <row r="53545" customFormat="1" ht="17.25" customHeight="1"/>
    <row r="53546" customFormat="1" ht="17.25" customHeight="1"/>
    <row r="53547" customFormat="1" ht="17.25" customHeight="1"/>
    <row r="53548" customFormat="1" ht="17.25" customHeight="1"/>
    <row r="53549" customFormat="1" ht="17.25" customHeight="1"/>
    <row r="53550" customFormat="1" ht="17.25" customHeight="1"/>
    <row r="53551" customFormat="1" ht="17.25" customHeight="1"/>
    <row r="53552" customFormat="1" ht="17.25" customHeight="1"/>
    <row r="53553" customFormat="1" ht="17.25" customHeight="1"/>
    <row r="53554" customFormat="1" ht="17.25" customHeight="1"/>
    <row r="53555" customFormat="1" ht="17.25" customHeight="1"/>
    <row r="53556" customFormat="1" ht="17.25" customHeight="1"/>
    <row r="53557" customFormat="1" ht="17.25" customHeight="1"/>
    <row r="53558" customFormat="1" ht="17.25" customHeight="1"/>
    <row r="53559" customFormat="1" ht="17.25" customHeight="1"/>
    <row r="53560" customFormat="1" ht="17.25" customHeight="1"/>
    <row r="53561" customFormat="1" ht="17.25" customHeight="1"/>
    <row r="53562" customFormat="1" ht="17.25" customHeight="1"/>
    <row r="53563" customFormat="1" ht="17.25" customHeight="1"/>
    <row r="53564" customFormat="1" ht="17.25" customHeight="1"/>
    <row r="53565" customFormat="1" ht="17.25" customHeight="1"/>
    <row r="53566" customFormat="1" ht="17.25" customHeight="1"/>
    <row r="53567" customFormat="1" ht="17.25" customHeight="1"/>
    <row r="53568" customFormat="1" ht="17.25" customHeight="1"/>
    <row r="53569" customFormat="1" ht="17.25" customHeight="1"/>
    <row r="53570" customFormat="1" ht="17.25" customHeight="1"/>
    <row r="53571" customFormat="1" ht="17.25" customHeight="1"/>
    <row r="53572" customFormat="1" ht="17.25" customHeight="1"/>
    <row r="53573" customFormat="1" ht="17.25" customHeight="1"/>
    <row r="53574" customFormat="1" ht="17.25" customHeight="1"/>
    <row r="53575" customFormat="1" ht="17.25" customHeight="1"/>
    <row r="53576" customFormat="1" ht="17.25" customHeight="1"/>
    <row r="53577" customFormat="1" ht="17.25" customHeight="1"/>
    <row r="53578" customFormat="1" ht="17.25" customHeight="1"/>
    <row r="53579" customFormat="1" ht="17.25" customHeight="1"/>
    <row r="53580" customFormat="1" ht="17.25" customHeight="1"/>
    <row r="53581" customFormat="1" ht="17.25" customHeight="1"/>
    <row r="53582" customFormat="1" ht="17.25" customHeight="1"/>
    <row r="53583" customFormat="1" ht="17.25" customHeight="1"/>
    <row r="53584" customFormat="1" ht="17.25" customHeight="1"/>
    <row r="53585" customFormat="1" ht="17.25" customHeight="1"/>
    <row r="53586" customFormat="1" ht="17.25" customHeight="1"/>
    <row r="53587" customFormat="1" ht="17.25" customHeight="1"/>
    <row r="53588" customFormat="1" ht="17.25" customHeight="1"/>
    <row r="53589" customFormat="1" ht="17.25" customHeight="1"/>
    <row r="53590" customFormat="1" ht="17.25" customHeight="1"/>
    <row r="53591" customFormat="1" ht="17.25" customHeight="1"/>
    <row r="53592" customFormat="1" ht="17.25" customHeight="1"/>
    <row r="53593" customFormat="1" ht="17.25" customHeight="1"/>
    <row r="53594" customFormat="1" ht="17.25" customHeight="1"/>
    <row r="53595" customFormat="1" ht="17.25" customHeight="1"/>
    <row r="53596" customFormat="1" ht="17.25" customHeight="1"/>
    <row r="53597" customFormat="1" ht="17.25" customHeight="1"/>
    <row r="53598" customFormat="1" ht="17.25" customHeight="1"/>
    <row r="53599" customFormat="1" ht="17.25" customHeight="1"/>
    <row r="53600" customFormat="1" ht="17.25" customHeight="1"/>
    <row r="53601" customFormat="1" ht="17.25" customHeight="1"/>
    <row r="53602" customFormat="1" ht="17.25" customHeight="1"/>
    <row r="53603" customFormat="1" ht="17.25" customHeight="1"/>
    <row r="53604" customFormat="1" ht="17.25" customHeight="1"/>
    <row r="53605" customFormat="1" ht="17.25" customHeight="1"/>
    <row r="53606" customFormat="1" ht="17.25" customHeight="1"/>
    <row r="53607" customFormat="1" ht="17.25" customHeight="1"/>
    <row r="53608" customFormat="1" ht="17.25" customHeight="1"/>
    <row r="53609" customFormat="1" ht="17.25" customHeight="1"/>
    <row r="53610" customFormat="1" ht="17.25" customHeight="1"/>
    <row r="53611" customFormat="1" ht="17.25" customHeight="1"/>
    <row r="53612" customFormat="1" ht="17.25" customHeight="1"/>
    <row r="53613" customFormat="1" ht="17.25" customHeight="1"/>
    <row r="53614" customFormat="1" ht="17.25" customHeight="1"/>
    <row r="53615" customFormat="1" ht="17.25" customHeight="1"/>
    <row r="53616" customFormat="1" ht="17.25" customHeight="1"/>
    <row r="53617" customFormat="1" ht="17.25" customHeight="1"/>
    <row r="53618" customFormat="1" ht="17.25" customHeight="1"/>
    <row r="53619" customFormat="1" ht="17.25" customHeight="1"/>
    <row r="53620" customFormat="1" ht="17.25" customHeight="1"/>
    <row r="53621" customFormat="1" ht="17.25" customHeight="1"/>
    <row r="53622" customFormat="1" ht="17.25" customHeight="1"/>
    <row r="53623" customFormat="1" ht="17.25" customHeight="1"/>
    <row r="53624" customFormat="1" ht="17.25" customHeight="1"/>
    <row r="53625" customFormat="1" ht="17.25" customHeight="1"/>
    <row r="53626" customFormat="1" ht="17.25" customHeight="1"/>
    <row r="53627" customFormat="1" ht="17.25" customHeight="1"/>
    <row r="53628" customFormat="1" ht="17.25" customHeight="1"/>
    <row r="53629" customFormat="1" ht="17.25" customHeight="1"/>
    <row r="53630" customFormat="1" ht="17.25" customHeight="1"/>
    <row r="53631" customFormat="1" ht="17.25" customHeight="1"/>
    <row r="53632" customFormat="1" ht="17.25" customHeight="1"/>
    <row r="53633" customFormat="1" ht="17.25" customHeight="1"/>
    <row r="53634" customFormat="1" ht="17.25" customHeight="1"/>
    <row r="53635" customFormat="1" ht="17.25" customHeight="1"/>
    <row r="53636" customFormat="1" ht="17.25" customHeight="1"/>
    <row r="53637" customFormat="1" ht="17.25" customHeight="1"/>
    <row r="53638" customFormat="1" ht="17.25" customHeight="1"/>
    <row r="53639" customFormat="1" ht="17.25" customHeight="1"/>
    <row r="53640" customFormat="1" ht="17.25" customHeight="1"/>
    <row r="53641" customFormat="1" ht="17.25" customHeight="1"/>
    <row r="53642" customFormat="1" ht="17.25" customHeight="1"/>
    <row r="53643" customFormat="1" ht="17.25" customHeight="1"/>
    <row r="53644" customFormat="1" ht="17.25" customHeight="1"/>
    <row r="53645" customFormat="1" ht="17.25" customHeight="1"/>
    <row r="53646" customFormat="1" ht="17.25" customHeight="1"/>
    <row r="53647" customFormat="1" ht="17.25" customHeight="1"/>
    <row r="53648" customFormat="1" ht="17.25" customHeight="1"/>
    <row r="53649" customFormat="1" ht="17.25" customHeight="1"/>
    <row r="53650" customFormat="1" ht="17.25" customHeight="1"/>
    <row r="53651" customFormat="1" ht="17.25" customHeight="1"/>
    <row r="53652" customFormat="1" ht="17.25" customHeight="1"/>
    <row r="53653" customFormat="1" ht="17.25" customHeight="1"/>
    <row r="53654" customFormat="1" ht="17.25" customHeight="1"/>
    <row r="53655" customFormat="1" ht="17.25" customHeight="1"/>
    <row r="53656" customFormat="1" ht="17.25" customHeight="1"/>
    <row r="53657" customFormat="1" ht="17.25" customHeight="1"/>
    <row r="53658" customFormat="1" ht="17.25" customHeight="1"/>
    <row r="53659" customFormat="1" ht="17.25" customHeight="1"/>
    <row r="53660" customFormat="1" ht="17.25" customHeight="1"/>
    <row r="53661" customFormat="1" ht="17.25" customHeight="1"/>
    <row r="53662" customFormat="1" ht="17.25" customHeight="1"/>
    <row r="53663" customFormat="1" ht="17.25" customHeight="1"/>
    <row r="53664" customFormat="1" ht="17.25" customHeight="1"/>
    <row r="53665" customFormat="1" ht="17.25" customHeight="1"/>
    <row r="53666" customFormat="1" ht="17.25" customHeight="1"/>
    <row r="53667" customFormat="1" ht="17.25" customHeight="1"/>
    <row r="53668" customFormat="1" ht="17.25" customHeight="1"/>
    <row r="53669" customFormat="1" ht="17.25" customHeight="1"/>
    <row r="53670" customFormat="1" ht="17.25" customHeight="1"/>
    <row r="53671" customFormat="1" ht="17.25" customHeight="1"/>
    <row r="53672" customFormat="1" ht="17.25" customHeight="1"/>
    <row r="53673" customFormat="1" ht="17.25" customHeight="1"/>
    <row r="53674" customFormat="1" ht="17.25" customHeight="1"/>
    <row r="53675" customFormat="1" ht="17.25" customHeight="1"/>
    <row r="53676" customFormat="1" ht="17.25" customHeight="1"/>
    <row r="53677" customFormat="1" ht="17.25" customHeight="1"/>
    <row r="53678" customFormat="1" ht="17.25" customHeight="1"/>
    <row r="53679" customFormat="1" ht="17.25" customHeight="1"/>
    <row r="53680" customFormat="1" ht="17.25" customHeight="1"/>
    <row r="53681" customFormat="1" ht="17.25" customHeight="1"/>
    <row r="53682" customFormat="1" ht="17.25" customHeight="1"/>
    <row r="53683" customFormat="1" ht="17.25" customHeight="1"/>
    <row r="53684" customFormat="1" ht="17.25" customHeight="1"/>
    <row r="53685" customFormat="1" ht="17.25" customHeight="1"/>
    <row r="53686" customFormat="1" ht="17.25" customHeight="1"/>
    <row r="53687" customFormat="1" ht="17.25" customHeight="1"/>
    <row r="53688" customFormat="1" ht="17.25" customHeight="1"/>
    <row r="53689" customFormat="1" ht="17.25" customHeight="1"/>
    <row r="53690" customFormat="1" ht="17.25" customHeight="1"/>
    <row r="53691" customFormat="1" ht="17.25" customHeight="1"/>
    <row r="53692" customFormat="1" ht="17.25" customHeight="1"/>
    <row r="53693" customFormat="1" ht="17.25" customHeight="1"/>
    <row r="53694" customFormat="1" ht="17.25" customHeight="1"/>
    <row r="53695" customFormat="1" ht="17.25" customHeight="1"/>
    <row r="53696" customFormat="1" ht="17.25" customHeight="1"/>
    <row r="53697" customFormat="1" ht="17.25" customHeight="1"/>
    <row r="53698" customFormat="1" ht="17.25" customHeight="1"/>
    <row r="53699" customFormat="1" ht="17.25" customHeight="1"/>
    <row r="53700" customFormat="1" ht="17.25" customHeight="1"/>
    <row r="53701" customFormat="1" ht="17.25" customHeight="1"/>
    <row r="53702" customFormat="1" ht="17.25" customHeight="1"/>
    <row r="53703" customFormat="1" ht="17.25" customHeight="1"/>
    <row r="53704" customFormat="1" ht="17.25" customHeight="1"/>
    <row r="53705" customFormat="1" ht="17.25" customHeight="1"/>
    <row r="53706" customFormat="1" ht="17.25" customHeight="1"/>
    <row r="53707" customFormat="1" ht="17.25" customHeight="1"/>
    <row r="53708" customFormat="1" ht="17.25" customHeight="1"/>
    <row r="53709" customFormat="1" ht="17.25" customHeight="1"/>
    <row r="53710" customFormat="1" ht="17.25" customHeight="1"/>
    <row r="53711" customFormat="1" ht="17.25" customHeight="1"/>
    <row r="53712" customFormat="1" ht="17.25" customHeight="1"/>
    <row r="53713" customFormat="1" ht="17.25" customHeight="1"/>
    <row r="53714" customFormat="1" ht="17.25" customHeight="1"/>
    <row r="53715" customFormat="1" ht="17.25" customHeight="1"/>
    <row r="53716" customFormat="1" ht="17.25" customHeight="1"/>
    <row r="53717" customFormat="1" ht="17.25" customHeight="1"/>
    <row r="53718" customFormat="1" ht="17.25" customHeight="1"/>
    <row r="53719" customFormat="1" ht="17.25" customHeight="1"/>
    <row r="53720" customFormat="1" ht="17.25" customHeight="1"/>
    <row r="53721" customFormat="1" ht="17.25" customHeight="1"/>
    <row r="53722" customFormat="1" ht="17.25" customHeight="1"/>
    <row r="53723" customFormat="1" ht="17.25" customHeight="1"/>
    <row r="53724" customFormat="1" ht="17.25" customHeight="1"/>
    <row r="53725" customFormat="1" ht="17.25" customHeight="1"/>
    <row r="53726" customFormat="1" ht="17.25" customHeight="1"/>
    <row r="53727" customFormat="1" ht="17.25" customHeight="1"/>
    <row r="53728" customFormat="1" ht="17.25" customHeight="1"/>
    <row r="53729" customFormat="1" ht="17.25" customHeight="1"/>
    <row r="53730" customFormat="1" ht="17.25" customHeight="1"/>
    <row r="53731" customFormat="1" ht="17.25" customHeight="1"/>
    <row r="53732" customFormat="1" ht="17.25" customHeight="1"/>
    <row r="53733" customFormat="1" ht="17.25" customHeight="1"/>
    <row r="53734" customFormat="1" ht="17.25" customHeight="1"/>
    <row r="53735" customFormat="1" ht="17.25" customHeight="1"/>
    <row r="53736" customFormat="1" ht="17.25" customHeight="1"/>
    <row r="53737" customFormat="1" ht="17.25" customHeight="1"/>
    <row r="53738" customFormat="1" ht="17.25" customHeight="1"/>
    <row r="53739" customFormat="1" ht="17.25" customHeight="1"/>
    <row r="53740" customFormat="1" ht="17.25" customHeight="1"/>
    <row r="53741" customFormat="1" ht="17.25" customHeight="1"/>
    <row r="53742" customFormat="1" ht="17.25" customHeight="1"/>
    <row r="53743" customFormat="1" ht="17.25" customHeight="1"/>
    <row r="53744" customFormat="1" ht="17.25" customHeight="1"/>
    <row r="53745" customFormat="1" ht="17.25" customHeight="1"/>
    <row r="53746" customFormat="1" ht="17.25" customHeight="1"/>
    <row r="53747" customFormat="1" ht="17.25" customHeight="1"/>
    <row r="53748" customFormat="1" ht="17.25" customHeight="1"/>
    <row r="53749" customFormat="1" ht="17.25" customHeight="1"/>
    <row r="53750" customFormat="1" ht="17.25" customHeight="1"/>
    <row r="53751" customFormat="1" ht="17.25" customHeight="1"/>
    <row r="53752" customFormat="1" ht="17.25" customHeight="1"/>
    <row r="53753" customFormat="1" ht="17.25" customHeight="1"/>
    <row r="53754" customFormat="1" ht="17.25" customHeight="1"/>
    <row r="53755" customFormat="1" ht="17.25" customHeight="1"/>
    <row r="53756" customFormat="1" ht="17.25" customHeight="1"/>
    <row r="53757" customFormat="1" ht="17.25" customHeight="1"/>
    <row r="53758" customFormat="1" ht="17.25" customHeight="1"/>
    <row r="53759" customFormat="1" ht="17.25" customHeight="1"/>
    <row r="53760" customFormat="1" ht="17.25" customHeight="1"/>
    <row r="53761" customFormat="1" ht="17.25" customHeight="1"/>
    <row r="53762" customFormat="1" ht="17.25" customHeight="1"/>
    <row r="53763" customFormat="1" ht="17.25" customHeight="1"/>
    <row r="53764" customFormat="1" ht="17.25" customHeight="1"/>
    <row r="53765" customFormat="1" ht="17.25" customHeight="1"/>
    <row r="53766" customFormat="1" ht="17.25" customHeight="1"/>
    <row r="53767" customFormat="1" ht="17.25" customHeight="1"/>
    <row r="53768" customFormat="1" ht="17.25" customHeight="1"/>
    <row r="53769" customFormat="1" ht="17.25" customHeight="1"/>
    <row r="53770" customFormat="1" ht="17.25" customHeight="1"/>
    <row r="53771" customFormat="1" ht="17.25" customHeight="1"/>
    <row r="53772" customFormat="1" ht="17.25" customHeight="1"/>
    <row r="53773" customFormat="1" ht="17.25" customHeight="1"/>
    <row r="53774" customFormat="1" ht="17.25" customHeight="1"/>
    <row r="53775" customFormat="1" ht="17.25" customHeight="1"/>
    <row r="53776" customFormat="1" ht="17.25" customHeight="1"/>
    <row r="53777" customFormat="1" ht="17.25" customHeight="1"/>
    <row r="53778" customFormat="1" ht="17.25" customHeight="1"/>
    <row r="53779" customFormat="1" ht="17.25" customHeight="1"/>
    <row r="53780" customFormat="1" ht="17.25" customHeight="1"/>
    <row r="53781" customFormat="1" ht="17.25" customHeight="1"/>
    <row r="53782" customFormat="1" ht="17.25" customHeight="1"/>
    <row r="53783" customFormat="1" ht="17.25" customHeight="1"/>
    <row r="53784" customFormat="1" ht="17.25" customHeight="1"/>
    <row r="53785" customFormat="1" ht="17.25" customHeight="1"/>
    <row r="53786" customFormat="1" ht="17.25" customHeight="1"/>
    <row r="53787" customFormat="1" ht="17.25" customHeight="1"/>
    <row r="53788" customFormat="1" ht="17.25" customHeight="1"/>
    <row r="53789" customFormat="1" ht="17.25" customHeight="1"/>
    <row r="53790" customFormat="1" ht="17.25" customHeight="1"/>
    <row r="53791" customFormat="1" ht="17.25" customHeight="1"/>
    <row r="53792" customFormat="1" ht="17.25" customHeight="1"/>
    <row r="53793" customFormat="1" ht="17.25" customHeight="1"/>
    <row r="53794" customFormat="1" ht="17.25" customHeight="1"/>
    <row r="53795" customFormat="1" ht="17.25" customHeight="1"/>
    <row r="53796" customFormat="1" ht="17.25" customHeight="1"/>
    <row r="53797" customFormat="1" ht="17.25" customHeight="1"/>
    <row r="53798" customFormat="1" ht="17.25" customHeight="1"/>
    <row r="53799" customFormat="1" ht="17.25" customHeight="1"/>
    <row r="53800" customFormat="1" ht="17.25" customHeight="1"/>
    <row r="53801" customFormat="1" ht="17.25" customHeight="1"/>
    <row r="53802" customFormat="1" ht="17.25" customHeight="1"/>
    <row r="53803" customFormat="1" ht="17.25" customHeight="1"/>
    <row r="53804" customFormat="1" ht="17.25" customHeight="1"/>
    <row r="53805" customFormat="1" ht="17.25" customHeight="1"/>
    <row r="53806" customFormat="1" ht="17.25" customHeight="1"/>
    <row r="53807" customFormat="1" ht="17.25" customHeight="1"/>
    <row r="53808" customFormat="1" ht="17.25" customHeight="1"/>
    <row r="53809" customFormat="1" ht="17.25" customHeight="1"/>
    <row r="53810" customFormat="1" ht="17.25" customHeight="1"/>
    <row r="53811" customFormat="1" ht="17.25" customHeight="1"/>
    <row r="53812" customFormat="1" ht="17.25" customHeight="1"/>
    <row r="53813" customFormat="1" ht="17.25" customHeight="1"/>
    <row r="53814" customFormat="1" ht="17.25" customHeight="1"/>
    <row r="53815" customFormat="1" ht="17.25" customHeight="1"/>
    <row r="53816" customFormat="1" ht="17.25" customHeight="1"/>
    <row r="53817" customFormat="1" ht="17.25" customHeight="1"/>
    <row r="53818" customFormat="1" ht="17.25" customHeight="1"/>
    <row r="53819" customFormat="1" ht="17.25" customHeight="1"/>
    <row r="53820" customFormat="1" ht="17.25" customHeight="1"/>
    <row r="53821" customFormat="1" ht="17.25" customHeight="1"/>
    <row r="53822" customFormat="1" ht="17.25" customHeight="1"/>
    <row r="53823" customFormat="1" ht="17.25" customHeight="1"/>
    <row r="53824" customFormat="1" ht="17.25" customHeight="1"/>
    <row r="53825" customFormat="1" ht="17.25" customHeight="1"/>
    <row r="53826" customFormat="1" ht="17.25" customHeight="1"/>
    <row r="53827" customFormat="1" ht="17.25" customHeight="1"/>
    <row r="53828" customFormat="1" ht="17.25" customHeight="1"/>
    <row r="53829" customFormat="1" ht="17.25" customHeight="1"/>
    <row r="53830" customFormat="1" ht="17.25" customHeight="1"/>
    <row r="53831" customFormat="1" ht="17.25" customHeight="1"/>
    <row r="53832" customFormat="1" ht="17.25" customHeight="1"/>
    <row r="53833" customFormat="1" ht="17.25" customHeight="1"/>
    <row r="53834" customFormat="1" ht="17.25" customHeight="1"/>
    <row r="53835" customFormat="1" ht="17.25" customHeight="1"/>
    <row r="53836" customFormat="1" ht="17.25" customHeight="1"/>
    <row r="53837" customFormat="1" ht="17.25" customHeight="1"/>
    <row r="53838" customFormat="1" ht="17.25" customHeight="1"/>
    <row r="53839" customFormat="1" ht="17.25" customHeight="1"/>
    <row r="53840" customFormat="1" ht="17.25" customHeight="1"/>
    <row r="53841" customFormat="1" ht="17.25" customHeight="1"/>
    <row r="53842" customFormat="1" ht="17.25" customHeight="1"/>
    <row r="53843" customFormat="1" ht="17.25" customHeight="1"/>
    <row r="53844" customFormat="1" ht="17.25" customHeight="1"/>
    <row r="53845" customFormat="1" ht="17.25" customHeight="1"/>
    <row r="53846" customFormat="1" ht="17.25" customHeight="1"/>
    <row r="53847" customFormat="1" ht="17.25" customHeight="1"/>
    <row r="53848" customFormat="1" ht="17.25" customHeight="1"/>
    <row r="53849" customFormat="1" ht="17.25" customHeight="1"/>
    <row r="53850" customFormat="1" ht="17.25" customHeight="1"/>
    <row r="53851" customFormat="1" ht="17.25" customHeight="1"/>
    <row r="53852" customFormat="1" ht="17.25" customHeight="1"/>
    <row r="53853" customFormat="1" ht="17.25" customHeight="1"/>
    <row r="53854" customFormat="1" ht="17.25" customHeight="1"/>
    <row r="53855" customFormat="1" ht="17.25" customHeight="1"/>
    <row r="53856" customFormat="1" ht="17.25" customHeight="1"/>
    <row r="53857" customFormat="1" ht="17.25" customHeight="1"/>
    <row r="53858" customFormat="1" ht="17.25" customHeight="1"/>
    <row r="53859" customFormat="1" ht="17.25" customHeight="1"/>
    <row r="53860" customFormat="1" ht="17.25" customHeight="1"/>
    <row r="53861" customFormat="1" ht="17.25" customHeight="1"/>
    <row r="53862" customFormat="1" ht="17.25" customHeight="1"/>
    <row r="53863" customFormat="1" ht="17.25" customHeight="1"/>
    <row r="53864" customFormat="1" ht="17.25" customHeight="1"/>
    <row r="53865" customFormat="1" ht="17.25" customHeight="1"/>
    <row r="53866" customFormat="1" ht="17.25" customHeight="1"/>
    <row r="53867" customFormat="1" ht="17.25" customHeight="1"/>
    <row r="53868" customFormat="1" ht="17.25" customHeight="1"/>
    <row r="53869" customFormat="1" ht="17.25" customHeight="1"/>
    <row r="53870" customFormat="1" ht="17.25" customHeight="1"/>
    <row r="53871" customFormat="1" ht="17.25" customHeight="1"/>
    <row r="53872" customFormat="1" ht="17.25" customHeight="1"/>
    <row r="53873" customFormat="1" ht="17.25" customHeight="1"/>
    <row r="53874" customFormat="1" ht="17.25" customHeight="1"/>
    <row r="53875" customFormat="1" ht="17.25" customHeight="1"/>
    <row r="53876" customFormat="1" ht="17.25" customHeight="1"/>
    <row r="53877" customFormat="1" ht="17.25" customHeight="1"/>
    <row r="53878" customFormat="1" ht="17.25" customHeight="1"/>
    <row r="53879" customFormat="1" ht="17.25" customHeight="1"/>
    <row r="53880" customFormat="1" ht="17.25" customHeight="1"/>
    <row r="53881" customFormat="1" ht="17.25" customHeight="1"/>
    <row r="53882" customFormat="1" ht="17.25" customHeight="1"/>
    <row r="53883" customFormat="1" ht="17.25" customHeight="1"/>
    <row r="53884" customFormat="1" ht="17.25" customHeight="1"/>
    <row r="53885" customFormat="1" ht="17.25" customHeight="1"/>
    <row r="53886" customFormat="1" ht="17.25" customHeight="1"/>
    <row r="53887" customFormat="1" ht="17.25" customHeight="1"/>
    <row r="53888" customFormat="1" ht="17.25" customHeight="1"/>
    <row r="53889" customFormat="1" ht="17.25" customHeight="1"/>
    <row r="53890" customFormat="1" ht="17.25" customHeight="1"/>
    <row r="53891" customFormat="1" ht="17.25" customHeight="1"/>
    <row r="53892" customFormat="1" ht="17.25" customHeight="1"/>
    <row r="53893" customFormat="1" ht="17.25" customHeight="1"/>
    <row r="53894" customFormat="1" ht="17.25" customHeight="1"/>
    <row r="53895" customFormat="1" ht="17.25" customHeight="1"/>
    <row r="53896" customFormat="1" ht="17.25" customHeight="1"/>
    <row r="53897" customFormat="1" ht="17.25" customHeight="1"/>
    <row r="53898" customFormat="1" ht="17.25" customHeight="1"/>
    <row r="53899" customFormat="1" ht="17.25" customHeight="1"/>
    <row r="53900" customFormat="1" ht="17.25" customHeight="1"/>
    <row r="53901" customFormat="1" ht="17.25" customHeight="1"/>
    <row r="53902" customFormat="1" ht="17.25" customHeight="1"/>
    <row r="53903" customFormat="1" ht="17.25" customHeight="1"/>
    <row r="53904" customFormat="1" ht="17.25" customHeight="1"/>
    <row r="53905" customFormat="1" ht="17.25" customHeight="1"/>
    <row r="53906" customFormat="1" ht="17.25" customHeight="1"/>
    <row r="53907" customFormat="1" ht="17.25" customHeight="1"/>
    <row r="53908" customFormat="1" ht="17.25" customHeight="1"/>
    <row r="53909" customFormat="1" ht="17.25" customHeight="1"/>
    <row r="53910" customFormat="1" ht="17.25" customHeight="1"/>
    <row r="53911" customFormat="1" ht="17.25" customHeight="1"/>
    <row r="53912" customFormat="1" ht="17.25" customHeight="1"/>
    <row r="53913" customFormat="1" ht="17.25" customHeight="1"/>
    <row r="53914" customFormat="1" ht="17.25" customHeight="1"/>
    <row r="53915" customFormat="1" ht="17.25" customHeight="1"/>
    <row r="53916" customFormat="1" ht="17.25" customHeight="1"/>
    <row r="53917" customFormat="1" ht="17.25" customHeight="1"/>
    <row r="53918" customFormat="1" ht="17.25" customHeight="1"/>
    <row r="53919" customFormat="1" ht="17.25" customHeight="1"/>
    <row r="53920" customFormat="1" ht="17.25" customHeight="1"/>
    <row r="53921" customFormat="1" ht="17.25" customHeight="1"/>
    <row r="53922" customFormat="1" ht="17.25" customHeight="1"/>
    <row r="53923" customFormat="1" ht="17.25" customHeight="1"/>
    <row r="53924" customFormat="1" ht="17.25" customHeight="1"/>
    <row r="53925" customFormat="1" ht="17.25" customHeight="1"/>
    <row r="53926" customFormat="1" ht="17.25" customHeight="1"/>
    <row r="53927" customFormat="1" ht="17.25" customHeight="1"/>
    <row r="53928" customFormat="1" ht="17.25" customHeight="1"/>
    <row r="53929" customFormat="1" ht="17.25" customHeight="1"/>
    <row r="53930" customFormat="1" ht="17.25" customHeight="1"/>
    <row r="53931" customFormat="1" ht="17.25" customHeight="1"/>
    <row r="53932" customFormat="1" ht="17.25" customHeight="1"/>
    <row r="53933" customFormat="1" ht="17.25" customHeight="1"/>
    <row r="53934" customFormat="1" ht="17.25" customHeight="1"/>
    <row r="53935" customFormat="1" ht="17.25" customHeight="1"/>
    <row r="53936" customFormat="1" ht="17.25" customHeight="1"/>
    <row r="53937" customFormat="1" ht="17.25" customHeight="1"/>
    <row r="53938" customFormat="1" ht="17.25" customHeight="1"/>
    <row r="53939" customFormat="1" ht="17.25" customHeight="1"/>
    <row r="53940" customFormat="1" ht="17.25" customHeight="1"/>
    <row r="53941" customFormat="1" ht="17.25" customHeight="1"/>
    <row r="53942" customFormat="1" ht="17.25" customHeight="1"/>
    <row r="53943" customFormat="1" ht="17.25" customHeight="1"/>
    <row r="53944" customFormat="1" ht="17.25" customHeight="1"/>
    <row r="53945" customFormat="1" ht="17.25" customHeight="1"/>
    <row r="53946" customFormat="1" ht="17.25" customHeight="1"/>
    <row r="53947" customFormat="1" ht="17.25" customHeight="1"/>
    <row r="53948" customFormat="1" ht="17.25" customHeight="1"/>
    <row r="53949" customFormat="1" ht="17.25" customHeight="1"/>
    <row r="53950" customFormat="1" ht="17.25" customHeight="1"/>
    <row r="53951" customFormat="1" ht="17.25" customHeight="1"/>
    <row r="53952" customFormat="1" ht="17.25" customHeight="1"/>
    <row r="53953" customFormat="1" ht="17.25" customHeight="1"/>
    <row r="53954" customFormat="1" ht="17.25" customHeight="1"/>
    <row r="53955" customFormat="1" ht="17.25" customHeight="1"/>
    <row r="53956" customFormat="1" ht="17.25" customHeight="1"/>
    <row r="53957" customFormat="1" ht="17.25" customHeight="1"/>
    <row r="53958" customFormat="1" ht="17.25" customHeight="1"/>
    <row r="53959" customFormat="1" ht="17.25" customHeight="1"/>
    <row r="53960" customFormat="1" ht="17.25" customHeight="1"/>
    <row r="53961" customFormat="1" ht="17.25" customHeight="1"/>
    <row r="53962" customFormat="1" ht="17.25" customHeight="1"/>
    <row r="53963" customFormat="1" ht="17.25" customHeight="1"/>
    <row r="53964" customFormat="1" ht="17.25" customHeight="1"/>
    <row r="53965" customFormat="1" ht="17.25" customHeight="1"/>
    <row r="53966" customFormat="1" ht="17.25" customHeight="1"/>
    <row r="53967" customFormat="1" ht="17.25" customHeight="1"/>
    <row r="53968" customFormat="1" ht="17.25" customHeight="1"/>
    <row r="53969" customFormat="1" ht="17.25" customHeight="1"/>
    <row r="53970" customFormat="1" ht="17.25" customHeight="1"/>
    <row r="53971" customFormat="1" ht="17.25" customHeight="1"/>
    <row r="53972" customFormat="1" ht="17.25" customHeight="1"/>
    <row r="53973" customFormat="1" ht="17.25" customHeight="1"/>
    <row r="53974" customFormat="1" ht="17.25" customHeight="1"/>
    <row r="53975" customFormat="1" ht="17.25" customHeight="1"/>
    <row r="53976" customFormat="1" ht="17.25" customHeight="1"/>
    <row r="53977" customFormat="1" ht="17.25" customHeight="1"/>
    <row r="53978" customFormat="1" ht="17.25" customHeight="1"/>
    <row r="53979" customFormat="1" ht="17.25" customHeight="1"/>
    <row r="53980" customFormat="1" ht="17.25" customHeight="1"/>
    <row r="53981" customFormat="1" ht="17.25" customHeight="1"/>
    <row r="53982" customFormat="1" ht="17.25" customHeight="1"/>
    <row r="53983" customFormat="1" ht="17.25" customHeight="1"/>
    <row r="53984" customFormat="1" ht="17.25" customHeight="1"/>
    <row r="53985" customFormat="1" ht="17.25" customHeight="1"/>
    <row r="53986" customFormat="1" ht="17.25" customHeight="1"/>
    <row r="53987" customFormat="1" ht="17.25" customHeight="1"/>
    <row r="53988" customFormat="1" ht="17.25" customHeight="1"/>
    <row r="53989" customFormat="1" ht="17.25" customHeight="1"/>
    <row r="53990" customFormat="1" ht="17.25" customHeight="1"/>
    <row r="53991" customFormat="1" ht="17.25" customHeight="1"/>
    <row r="53992" customFormat="1" ht="17.25" customHeight="1"/>
    <row r="53993" customFormat="1" ht="17.25" customHeight="1"/>
    <row r="53994" customFormat="1" ht="17.25" customHeight="1"/>
    <row r="53995" customFormat="1" ht="17.25" customHeight="1"/>
    <row r="53996" customFormat="1" ht="17.25" customHeight="1"/>
    <row r="53997" customFormat="1" ht="17.25" customHeight="1"/>
    <row r="53998" customFormat="1" ht="17.25" customHeight="1"/>
    <row r="53999" customFormat="1" ht="17.25" customHeight="1"/>
    <row r="54000" customFormat="1" ht="17.25" customHeight="1"/>
    <row r="54001" customFormat="1" ht="17.25" customHeight="1"/>
    <row r="54002" customFormat="1" ht="17.25" customHeight="1"/>
    <row r="54003" customFormat="1" ht="17.25" customHeight="1"/>
    <row r="54004" customFormat="1" ht="17.25" customHeight="1"/>
    <row r="54005" customFormat="1" ht="17.25" customHeight="1"/>
    <row r="54006" customFormat="1" ht="17.25" customHeight="1"/>
    <row r="54007" customFormat="1" ht="17.25" customHeight="1"/>
    <row r="54008" customFormat="1" ht="17.25" customHeight="1"/>
    <row r="54009" customFormat="1" ht="17.25" customHeight="1"/>
    <row r="54010" customFormat="1" ht="17.25" customHeight="1"/>
    <row r="54011" customFormat="1" ht="17.25" customHeight="1"/>
    <row r="54012" customFormat="1" ht="17.25" customHeight="1"/>
    <row r="54013" customFormat="1" ht="17.25" customHeight="1"/>
    <row r="54014" customFormat="1" ht="17.25" customHeight="1"/>
    <row r="54015" customFormat="1" ht="17.25" customHeight="1"/>
    <row r="54016" customFormat="1" ht="17.25" customHeight="1"/>
    <row r="54017" customFormat="1" ht="17.25" customHeight="1"/>
    <row r="54018" customFormat="1" ht="17.25" customHeight="1"/>
    <row r="54019" customFormat="1" ht="17.25" customHeight="1"/>
    <row r="54020" customFormat="1" ht="17.25" customHeight="1"/>
    <row r="54021" customFormat="1" ht="17.25" customHeight="1"/>
    <row r="54022" customFormat="1" ht="17.25" customHeight="1"/>
    <row r="54023" customFormat="1" ht="17.25" customHeight="1"/>
    <row r="54024" customFormat="1" ht="17.25" customHeight="1"/>
    <row r="54025" customFormat="1" ht="17.25" customHeight="1"/>
    <row r="54026" customFormat="1" ht="17.25" customHeight="1"/>
    <row r="54027" customFormat="1" ht="17.25" customHeight="1"/>
    <row r="54028" customFormat="1" ht="17.25" customHeight="1"/>
    <row r="54029" customFormat="1" ht="17.25" customHeight="1"/>
    <row r="54030" customFormat="1" ht="17.25" customHeight="1"/>
    <row r="54031" customFormat="1" ht="17.25" customHeight="1"/>
    <row r="54032" customFormat="1" ht="17.25" customHeight="1"/>
    <row r="54033" customFormat="1" ht="17.25" customHeight="1"/>
    <row r="54034" customFormat="1" ht="17.25" customHeight="1"/>
    <row r="54035" customFormat="1" ht="17.25" customHeight="1"/>
    <row r="54036" customFormat="1" ht="17.25" customHeight="1"/>
    <row r="54037" customFormat="1" ht="17.25" customHeight="1"/>
    <row r="54038" customFormat="1" ht="17.25" customHeight="1"/>
    <row r="54039" customFormat="1" ht="17.25" customHeight="1"/>
    <row r="54040" customFormat="1" ht="17.25" customHeight="1"/>
    <row r="54041" customFormat="1" ht="17.25" customHeight="1"/>
    <row r="54042" customFormat="1" ht="17.25" customHeight="1"/>
    <row r="54043" customFormat="1" ht="17.25" customHeight="1"/>
    <row r="54044" customFormat="1" ht="17.25" customHeight="1"/>
    <row r="54045" customFormat="1" ht="17.25" customHeight="1"/>
    <row r="54046" customFormat="1" ht="17.25" customHeight="1"/>
    <row r="54047" customFormat="1" ht="17.25" customHeight="1"/>
    <row r="54048" customFormat="1" ht="17.25" customHeight="1"/>
    <row r="54049" customFormat="1" ht="17.25" customHeight="1"/>
    <row r="54050" customFormat="1" ht="17.25" customHeight="1"/>
    <row r="54051" customFormat="1" ht="17.25" customHeight="1"/>
    <row r="54052" customFormat="1" ht="17.25" customHeight="1"/>
    <row r="54053" customFormat="1" ht="17.25" customHeight="1"/>
    <row r="54054" customFormat="1" ht="17.25" customHeight="1"/>
    <row r="54055" customFormat="1" ht="17.25" customHeight="1"/>
    <row r="54056" customFormat="1" ht="17.25" customHeight="1"/>
    <row r="54057" customFormat="1" ht="17.25" customHeight="1"/>
    <row r="54058" customFormat="1" ht="17.25" customHeight="1"/>
    <row r="54059" customFormat="1" ht="17.25" customHeight="1"/>
    <row r="54060" customFormat="1" ht="17.25" customHeight="1"/>
    <row r="54061" customFormat="1" ht="17.25" customHeight="1"/>
    <row r="54062" customFormat="1" ht="17.25" customHeight="1"/>
    <row r="54063" customFormat="1" ht="17.25" customHeight="1"/>
    <row r="54064" customFormat="1" ht="17.25" customHeight="1"/>
    <row r="54065" customFormat="1" ht="17.25" customHeight="1"/>
    <row r="54066" customFormat="1" ht="17.25" customHeight="1"/>
    <row r="54067" customFormat="1" ht="17.25" customHeight="1"/>
    <row r="54068" customFormat="1" ht="17.25" customHeight="1"/>
    <row r="54069" customFormat="1" ht="17.25" customHeight="1"/>
    <row r="54070" customFormat="1" ht="17.25" customHeight="1"/>
    <row r="54071" customFormat="1" ht="17.25" customHeight="1"/>
    <row r="54072" customFormat="1" ht="17.25" customHeight="1"/>
    <row r="54073" customFormat="1" ht="17.25" customHeight="1"/>
    <row r="54074" customFormat="1" ht="17.25" customHeight="1"/>
    <row r="54075" customFormat="1" ht="17.25" customHeight="1"/>
    <row r="54076" customFormat="1" ht="17.25" customHeight="1"/>
    <row r="54077" customFormat="1" ht="17.25" customHeight="1"/>
    <row r="54078" customFormat="1" ht="17.25" customHeight="1"/>
    <row r="54079" customFormat="1" ht="17.25" customHeight="1"/>
    <row r="54080" customFormat="1" ht="17.25" customHeight="1"/>
    <row r="54081" customFormat="1" ht="17.25" customHeight="1"/>
    <row r="54082" customFormat="1" ht="17.25" customHeight="1"/>
    <row r="54083" customFormat="1" ht="17.25" customHeight="1"/>
    <row r="54084" customFormat="1" ht="17.25" customHeight="1"/>
    <row r="54085" customFormat="1" ht="17.25" customHeight="1"/>
    <row r="54086" customFormat="1" ht="17.25" customHeight="1"/>
    <row r="54087" customFormat="1" ht="17.25" customHeight="1"/>
    <row r="54088" customFormat="1" ht="17.25" customHeight="1"/>
    <row r="54089" customFormat="1" ht="17.25" customHeight="1"/>
    <row r="54090" customFormat="1" ht="17.25" customHeight="1"/>
    <row r="54091" customFormat="1" ht="17.25" customHeight="1"/>
    <row r="54092" customFormat="1" ht="17.25" customHeight="1"/>
    <row r="54093" customFormat="1" ht="17.25" customHeight="1"/>
    <row r="54094" customFormat="1" ht="17.25" customHeight="1"/>
    <row r="54095" customFormat="1" ht="17.25" customHeight="1"/>
    <row r="54096" customFormat="1" ht="17.25" customHeight="1"/>
    <row r="54097" customFormat="1" ht="17.25" customHeight="1"/>
    <row r="54098" customFormat="1" ht="17.25" customHeight="1"/>
    <row r="54099" customFormat="1" ht="17.25" customHeight="1"/>
    <row r="54100" customFormat="1" ht="17.25" customHeight="1"/>
    <row r="54101" customFormat="1" ht="17.25" customHeight="1"/>
    <row r="54102" customFormat="1" ht="17.25" customHeight="1"/>
    <row r="54103" customFormat="1" ht="17.25" customHeight="1"/>
    <row r="54104" customFormat="1" ht="17.25" customHeight="1"/>
    <row r="54105" customFormat="1" ht="17.25" customHeight="1"/>
    <row r="54106" customFormat="1" ht="17.25" customHeight="1"/>
    <row r="54107" customFormat="1" ht="17.25" customHeight="1"/>
    <row r="54108" customFormat="1" ht="17.25" customHeight="1"/>
    <row r="54109" customFormat="1" ht="17.25" customHeight="1"/>
    <row r="54110" customFormat="1" ht="17.25" customHeight="1"/>
    <row r="54111" customFormat="1" ht="17.25" customHeight="1"/>
    <row r="54112" customFormat="1" ht="17.25" customHeight="1"/>
    <row r="54113" customFormat="1" ht="17.25" customHeight="1"/>
    <row r="54114" customFormat="1" ht="17.25" customHeight="1"/>
    <row r="54115" customFormat="1" ht="17.25" customHeight="1"/>
    <row r="54116" customFormat="1" ht="17.25" customHeight="1"/>
    <row r="54117" customFormat="1" ht="17.25" customHeight="1"/>
    <row r="54118" customFormat="1" ht="17.25" customHeight="1"/>
    <row r="54119" customFormat="1" ht="17.25" customHeight="1"/>
    <row r="54120" customFormat="1" ht="17.25" customHeight="1"/>
    <row r="54121" customFormat="1" ht="17.25" customHeight="1"/>
    <row r="54122" customFormat="1" ht="17.25" customHeight="1"/>
    <row r="54123" customFormat="1" ht="17.25" customHeight="1"/>
    <row r="54124" customFormat="1" ht="17.25" customHeight="1"/>
    <row r="54125" customFormat="1" ht="17.25" customHeight="1"/>
    <row r="54126" customFormat="1" ht="17.25" customHeight="1"/>
    <row r="54127" customFormat="1" ht="17.25" customHeight="1"/>
    <row r="54128" customFormat="1" ht="17.25" customHeight="1"/>
    <row r="54129" customFormat="1" ht="17.25" customHeight="1"/>
    <row r="54130" customFormat="1" ht="17.25" customHeight="1"/>
    <row r="54131" customFormat="1" ht="17.25" customHeight="1"/>
    <row r="54132" customFormat="1" ht="17.25" customHeight="1"/>
    <row r="54133" customFormat="1" ht="17.25" customHeight="1"/>
    <row r="54134" customFormat="1" ht="17.25" customHeight="1"/>
    <row r="54135" customFormat="1" ht="17.25" customHeight="1"/>
    <row r="54136" customFormat="1" ht="17.25" customHeight="1"/>
    <row r="54137" customFormat="1" ht="17.25" customHeight="1"/>
    <row r="54138" customFormat="1" ht="17.25" customHeight="1"/>
    <row r="54139" customFormat="1" ht="17.25" customHeight="1"/>
    <row r="54140" customFormat="1" ht="17.25" customHeight="1"/>
    <row r="54141" customFormat="1" ht="17.25" customHeight="1"/>
    <row r="54142" customFormat="1" ht="17.25" customHeight="1"/>
    <row r="54143" customFormat="1" ht="17.25" customHeight="1"/>
    <row r="54144" customFormat="1" ht="17.25" customHeight="1"/>
    <row r="54145" customFormat="1" ht="17.25" customHeight="1"/>
    <row r="54146" customFormat="1" ht="17.25" customHeight="1"/>
    <row r="54147" customFormat="1" ht="17.25" customHeight="1"/>
    <row r="54148" customFormat="1" ht="17.25" customHeight="1"/>
    <row r="54149" customFormat="1" ht="17.25" customHeight="1"/>
    <row r="54150" customFormat="1" ht="17.25" customHeight="1"/>
    <row r="54151" customFormat="1" ht="17.25" customHeight="1"/>
    <row r="54152" customFormat="1" ht="17.25" customHeight="1"/>
    <row r="54153" customFormat="1" ht="17.25" customHeight="1"/>
    <row r="54154" customFormat="1" ht="17.25" customHeight="1"/>
    <row r="54155" customFormat="1" ht="17.25" customHeight="1"/>
    <row r="54156" customFormat="1" ht="17.25" customHeight="1"/>
    <row r="54157" customFormat="1" ht="17.25" customHeight="1"/>
    <row r="54158" customFormat="1" ht="17.25" customHeight="1"/>
    <row r="54159" customFormat="1" ht="17.25" customHeight="1"/>
    <row r="54160" customFormat="1" ht="17.25" customHeight="1"/>
    <row r="54161" customFormat="1" ht="17.25" customHeight="1"/>
    <row r="54162" customFormat="1" ht="17.25" customHeight="1"/>
    <row r="54163" customFormat="1" ht="17.25" customHeight="1"/>
    <row r="54164" customFormat="1" ht="17.25" customHeight="1"/>
    <row r="54165" customFormat="1" ht="17.25" customHeight="1"/>
    <row r="54166" customFormat="1" ht="17.25" customHeight="1"/>
    <row r="54167" customFormat="1" ht="17.25" customHeight="1"/>
    <row r="54168" customFormat="1" ht="17.25" customHeight="1"/>
    <row r="54169" customFormat="1" ht="17.25" customHeight="1"/>
    <row r="54170" customFormat="1" ht="17.25" customHeight="1"/>
    <row r="54171" customFormat="1" ht="17.25" customHeight="1"/>
    <row r="54172" customFormat="1" ht="17.25" customHeight="1"/>
    <row r="54173" customFormat="1" ht="17.25" customHeight="1"/>
    <row r="54174" customFormat="1" ht="17.25" customHeight="1"/>
    <row r="54175" customFormat="1" ht="17.25" customHeight="1"/>
    <row r="54176" customFormat="1" ht="17.25" customHeight="1"/>
    <row r="54177" customFormat="1" ht="17.25" customHeight="1"/>
    <row r="54178" customFormat="1" ht="17.25" customHeight="1"/>
    <row r="54179" customFormat="1" ht="17.25" customHeight="1"/>
    <row r="54180" customFormat="1" ht="17.25" customHeight="1"/>
    <row r="54181" customFormat="1" ht="17.25" customHeight="1"/>
    <row r="54182" customFormat="1" ht="17.25" customHeight="1"/>
    <row r="54183" customFormat="1" ht="17.25" customHeight="1"/>
    <row r="54184" customFormat="1" ht="17.25" customHeight="1"/>
    <row r="54185" customFormat="1" ht="17.25" customHeight="1"/>
    <row r="54186" customFormat="1" ht="17.25" customHeight="1"/>
    <row r="54187" customFormat="1" ht="17.25" customHeight="1"/>
    <row r="54188" customFormat="1" ht="17.25" customHeight="1"/>
    <row r="54189" customFormat="1" ht="17.25" customHeight="1"/>
    <row r="54190" customFormat="1" ht="17.25" customHeight="1"/>
    <row r="54191" customFormat="1" ht="17.25" customHeight="1"/>
    <row r="54192" customFormat="1" ht="17.25" customHeight="1"/>
    <row r="54193" customFormat="1" ht="17.25" customHeight="1"/>
    <row r="54194" customFormat="1" ht="17.25" customHeight="1"/>
    <row r="54195" customFormat="1" ht="17.25" customHeight="1"/>
    <row r="54196" customFormat="1" ht="17.25" customHeight="1"/>
    <row r="54197" customFormat="1" ht="17.25" customHeight="1"/>
    <row r="54198" customFormat="1" ht="17.25" customHeight="1"/>
    <row r="54199" customFormat="1" ht="17.25" customHeight="1"/>
    <row r="54200" customFormat="1" ht="17.25" customHeight="1"/>
    <row r="54201" customFormat="1" ht="17.25" customHeight="1"/>
    <row r="54202" customFormat="1" ht="17.25" customHeight="1"/>
    <row r="54203" customFormat="1" ht="17.25" customHeight="1"/>
    <row r="54204" customFormat="1" ht="17.25" customHeight="1"/>
    <row r="54205" customFormat="1" ht="17.25" customHeight="1"/>
    <row r="54206" customFormat="1" ht="17.25" customHeight="1"/>
    <row r="54207" customFormat="1" ht="17.25" customHeight="1"/>
    <row r="54208" customFormat="1" ht="17.25" customHeight="1"/>
    <row r="54209" customFormat="1" ht="17.25" customHeight="1"/>
    <row r="54210" customFormat="1" ht="17.25" customHeight="1"/>
    <row r="54211" customFormat="1" ht="17.25" customHeight="1"/>
    <row r="54212" customFormat="1" ht="17.25" customHeight="1"/>
    <row r="54213" customFormat="1" ht="17.25" customHeight="1"/>
    <row r="54214" customFormat="1" ht="17.25" customHeight="1"/>
    <row r="54215" customFormat="1" ht="17.25" customHeight="1"/>
    <row r="54216" customFormat="1" ht="17.25" customHeight="1"/>
    <row r="54217" customFormat="1" ht="17.25" customHeight="1"/>
    <row r="54218" customFormat="1" ht="17.25" customHeight="1"/>
    <row r="54219" customFormat="1" ht="17.25" customHeight="1"/>
    <row r="54220" customFormat="1" ht="17.25" customHeight="1"/>
    <row r="54221" customFormat="1" ht="17.25" customHeight="1"/>
    <row r="54222" customFormat="1" ht="17.25" customHeight="1"/>
    <row r="54223" customFormat="1" ht="17.25" customHeight="1"/>
    <row r="54224" customFormat="1" ht="17.25" customHeight="1"/>
    <row r="54225" customFormat="1" ht="17.25" customHeight="1"/>
    <row r="54226" customFormat="1" ht="17.25" customHeight="1"/>
    <row r="54227" customFormat="1" ht="17.25" customHeight="1"/>
    <row r="54228" customFormat="1" ht="17.25" customHeight="1"/>
    <row r="54229" customFormat="1" ht="17.25" customHeight="1"/>
    <row r="54230" customFormat="1" ht="17.25" customHeight="1"/>
    <row r="54231" customFormat="1" ht="17.25" customHeight="1"/>
    <row r="54232" customFormat="1" ht="17.25" customHeight="1"/>
    <row r="54233" customFormat="1" ht="17.25" customHeight="1"/>
    <row r="54234" customFormat="1" ht="17.25" customHeight="1"/>
    <row r="54235" customFormat="1" ht="17.25" customHeight="1"/>
    <row r="54236" customFormat="1" ht="17.25" customHeight="1"/>
    <row r="54237" customFormat="1" ht="17.25" customHeight="1"/>
    <row r="54238" customFormat="1" ht="17.25" customHeight="1"/>
    <row r="54239" customFormat="1" ht="17.25" customHeight="1"/>
    <row r="54240" customFormat="1" ht="17.25" customHeight="1"/>
    <row r="54241" customFormat="1" ht="17.25" customHeight="1"/>
    <row r="54242" customFormat="1" ht="17.25" customHeight="1"/>
    <row r="54243" customFormat="1" ht="17.25" customHeight="1"/>
    <row r="54244" customFormat="1" ht="17.25" customHeight="1"/>
    <row r="54245" customFormat="1" ht="17.25" customHeight="1"/>
    <row r="54246" customFormat="1" ht="17.25" customHeight="1"/>
    <row r="54247" customFormat="1" ht="17.25" customHeight="1"/>
    <row r="54248" customFormat="1" ht="17.25" customHeight="1"/>
    <row r="54249" customFormat="1" ht="17.25" customHeight="1"/>
    <row r="54250" customFormat="1" ht="17.25" customHeight="1"/>
    <row r="54251" customFormat="1" ht="17.25" customHeight="1"/>
    <row r="54252" customFormat="1" ht="17.25" customHeight="1"/>
    <row r="54253" customFormat="1" ht="17.25" customHeight="1"/>
    <row r="54254" customFormat="1" ht="17.25" customHeight="1"/>
    <row r="54255" customFormat="1" ht="17.25" customHeight="1"/>
    <row r="54256" customFormat="1" ht="17.25" customHeight="1"/>
    <row r="54257" customFormat="1" ht="17.25" customHeight="1"/>
    <row r="54258" customFormat="1" ht="17.25" customHeight="1"/>
    <row r="54259" customFormat="1" ht="17.25" customHeight="1"/>
    <row r="54260" customFormat="1" ht="17.25" customHeight="1"/>
    <row r="54261" customFormat="1" ht="17.25" customHeight="1"/>
    <row r="54262" customFormat="1" ht="17.25" customHeight="1"/>
    <row r="54263" customFormat="1" ht="17.25" customHeight="1"/>
    <row r="54264" customFormat="1" ht="17.25" customHeight="1"/>
    <row r="54265" customFormat="1" ht="17.25" customHeight="1"/>
    <row r="54266" customFormat="1" ht="17.25" customHeight="1"/>
    <row r="54267" customFormat="1" ht="17.25" customHeight="1"/>
    <row r="54268" customFormat="1" ht="17.25" customHeight="1"/>
    <row r="54269" customFormat="1" ht="17.25" customHeight="1"/>
    <row r="54270" customFormat="1" ht="17.25" customHeight="1"/>
    <row r="54271" customFormat="1" ht="17.25" customHeight="1"/>
    <row r="54272" customFormat="1" ht="17.25" customHeight="1"/>
    <row r="54273" customFormat="1" ht="17.25" customHeight="1"/>
    <row r="54274" customFormat="1" ht="17.25" customHeight="1"/>
    <row r="54275" customFormat="1" ht="17.25" customHeight="1"/>
    <row r="54276" customFormat="1" ht="17.25" customHeight="1"/>
    <row r="54277" customFormat="1" ht="17.25" customHeight="1"/>
    <row r="54278" customFormat="1" ht="17.25" customHeight="1"/>
    <row r="54279" customFormat="1" ht="17.25" customHeight="1"/>
    <row r="54280" customFormat="1" ht="17.25" customHeight="1"/>
    <row r="54281" customFormat="1" ht="17.25" customHeight="1"/>
    <row r="54282" customFormat="1" ht="17.25" customHeight="1"/>
    <row r="54283" customFormat="1" ht="17.25" customHeight="1"/>
    <row r="54284" customFormat="1" ht="17.25" customHeight="1"/>
    <row r="54285" customFormat="1" ht="17.25" customHeight="1"/>
    <row r="54286" customFormat="1" ht="17.25" customHeight="1"/>
    <row r="54287" customFormat="1" ht="17.25" customHeight="1"/>
    <row r="54288" customFormat="1" ht="17.25" customHeight="1"/>
    <row r="54289" customFormat="1" ht="17.25" customHeight="1"/>
    <row r="54290" customFormat="1" ht="17.25" customHeight="1"/>
    <row r="54291" customFormat="1" ht="17.25" customHeight="1"/>
    <row r="54292" customFormat="1" ht="17.25" customHeight="1"/>
    <row r="54293" customFormat="1" ht="17.25" customHeight="1"/>
    <row r="54294" customFormat="1" ht="17.25" customHeight="1"/>
    <row r="54295" customFormat="1" ht="17.25" customHeight="1"/>
    <row r="54296" customFormat="1" ht="17.25" customHeight="1"/>
    <row r="54297" customFormat="1" ht="17.25" customHeight="1"/>
    <row r="54298" customFormat="1" ht="17.25" customHeight="1"/>
    <row r="54299" customFormat="1" ht="17.25" customHeight="1"/>
    <row r="54300" customFormat="1" ht="17.25" customHeight="1"/>
    <row r="54301" customFormat="1" ht="17.25" customHeight="1"/>
    <row r="54302" customFormat="1" ht="17.25" customHeight="1"/>
    <row r="54303" customFormat="1" ht="17.25" customHeight="1"/>
    <row r="54304" customFormat="1" ht="17.25" customHeight="1"/>
    <row r="54305" customFormat="1" ht="17.25" customHeight="1"/>
    <row r="54306" customFormat="1" ht="17.25" customHeight="1"/>
    <row r="54307" customFormat="1" ht="17.25" customHeight="1"/>
    <row r="54308" customFormat="1" ht="17.25" customHeight="1"/>
    <row r="54309" customFormat="1" ht="17.25" customHeight="1"/>
    <row r="54310" customFormat="1" ht="17.25" customHeight="1"/>
    <row r="54311" customFormat="1" ht="17.25" customHeight="1"/>
    <row r="54312" customFormat="1" ht="17.25" customHeight="1"/>
    <row r="54313" customFormat="1" ht="17.25" customHeight="1"/>
    <row r="54314" customFormat="1" ht="17.25" customHeight="1"/>
    <row r="54315" customFormat="1" ht="17.25" customHeight="1"/>
    <row r="54316" customFormat="1" ht="17.25" customHeight="1"/>
    <row r="54317" customFormat="1" ht="17.25" customHeight="1"/>
    <row r="54318" customFormat="1" ht="17.25" customHeight="1"/>
    <row r="54319" customFormat="1" ht="17.25" customHeight="1"/>
    <row r="54320" customFormat="1" ht="17.25" customHeight="1"/>
    <row r="54321" customFormat="1" ht="17.25" customHeight="1"/>
    <row r="54322" customFormat="1" ht="17.25" customHeight="1"/>
    <row r="54323" customFormat="1" ht="17.25" customHeight="1"/>
    <row r="54324" customFormat="1" ht="17.25" customHeight="1"/>
    <row r="54325" customFormat="1" ht="17.25" customHeight="1"/>
    <row r="54326" customFormat="1" ht="17.25" customHeight="1"/>
    <row r="54327" customFormat="1" ht="17.25" customHeight="1"/>
    <row r="54328" customFormat="1" ht="17.25" customHeight="1"/>
    <row r="54329" customFormat="1" ht="17.25" customHeight="1"/>
    <row r="54330" customFormat="1" ht="17.25" customHeight="1"/>
    <row r="54331" customFormat="1" ht="17.25" customHeight="1"/>
    <row r="54332" customFormat="1" ht="17.25" customHeight="1"/>
    <row r="54333" customFormat="1" ht="17.25" customHeight="1"/>
    <row r="54334" customFormat="1" ht="17.25" customHeight="1"/>
    <row r="54335" customFormat="1" ht="17.25" customHeight="1"/>
    <row r="54336" customFormat="1" ht="17.25" customHeight="1"/>
    <row r="54337" customFormat="1" ht="17.25" customHeight="1"/>
    <row r="54338" customFormat="1" ht="17.25" customHeight="1"/>
    <row r="54339" customFormat="1" ht="17.25" customHeight="1"/>
    <row r="54340" customFormat="1" ht="17.25" customHeight="1"/>
    <row r="54341" customFormat="1" ht="17.25" customHeight="1"/>
    <row r="54342" customFormat="1" ht="17.25" customHeight="1"/>
    <row r="54343" customFormat="1" ht="17.25" customHeight="1"/>
    <row r="54344" customFormat="1" ht="17.25" customHeight="1"/>
    <row r="54345" customFormat="1" ht="17.25" customHeight="1"/>
    <row r="54346" customFormat="1" ht="17.25" customHeight="1"/>
    <row r="54347" customFormat="1" ht="17.25" customHeight="1"/>
    <row r="54348" customFormat="1" ht="17.25" customHeight="1"/>
    <row r="54349" customFormat="1" ht="17.25" customHeight="1"/>
    <row r="54350" customFormat="1" ht="17.25" customHeight="1"/>
    <row r="54351" customFormat="1" ht="17.25" customHeight="1"/>
    <row r="54352" customFormat="1" ht="17.25" customHeight="1"/>
    <row r="54353" customFormat="1" ht="17.25" customHeight="1"/>
    <row r="54354" customFormat="1" ht="17.25" customHeight="1"/>
    <row r="54355" customFormat="1" ht="17.25" customHeight="1"/>
    <row r="54356" customFormat="1" ht="17.25" customHeight="1"/>
    <row r="54357" customFormat="1" ht="17.25" customHeight="1"/>
    <row r="54358" customFormat="1" ht="17.25" customHeight="1"/>
    <row r="54359" customFormat="1" ht="17.25" customHeight="1"/>
    <row r="54360" customFormat="1" ht="17.25" customHeight="1"/>
    <row r="54361" customFormat="1" ht="17.25" customHeight="1"/>
    <row r="54362" customFormat="1" ht="17.25" customHeight="1"/>
    <row r="54363" customFormat="1" ht="17.25" customHeight="1"/>
    <row r="54364" customFormat="1" ht="17.25" customHeight="1"/>
    <row r="54365" customFormat="1" ht="17.25" customHeight="1"/>
    <row r="54366" customFormat="1" ht="17.25" customHeight="1"/>
    <row r="54367" customFormat="1" ht="17.25" customHeight="1"/>
    <row r="54368" customFormat="1" ht="17.25" customHeight="1"/>
    <row r="54369" customFormat="1" ht="17.25" customHeight="1"/>
    <row r="54370" customFormat="1" ht="17.25" customHeight="1"/>
    <row r="54371" customFormat="1" ht="17.25" customHeight="1"/>
    <row r="54372" customFormat="1" ht="17.25" customHeight="1"/>
    <row r="54373" customFormat="1" ht="17.25" customHeight="1"/>
    <row r="54374" customFormat="1" ht="17.25" customHeight="1"/>
    <row r="54375" customFormat="1" ht="17.25" customHeight="1"/>
    <row r="54376" customFormat="1" ht="17.25" customHeight="1"/>
    <row r="54377" customFormat="1" ht="17.25" customHeight="1"/>
    <row r="54378" customFormat="1" ht="17.25" customHeight="1"/>
    <row r="54379" customFormat="1" ht="17.25" customHeight="1"/>
    <row r="54380" customFormat="1" ht="17.25" customHeight="1"/>
    <row r="54381" customFormat="1" ht="17.25" customHeight="1"/>
    <row r="54382" customFormat="1" ht="17.25" customHeight="1"/>
    <row r="54383" customFormat="1" ht="17.25" customHeight="1"/>
    <row r="54384" customFormat="1" ht="17.25" customHeight="1"/>
    <row r="54385" customFormat="1" ht="17.25" customHeight="1"/>
    <row r="54386" customFormat="1" ht="17.25" customHeight="1"/>
    <row r="54387" customFormat="1" ht="17.25" customHeight="1"/>
    <row r="54388" customFormat="1" ht="17.25" customHeight="1"/>
    <row r="54389" customFormat="1" ht="17.25" customHeight="1"/>
    <row r="54390" customFormat="1" ht="17.25" customHeight="1"/>
    <row r="54391" customFormat="1" ht="17.25" customHeight="1"/>
    <row r="54392" customFormat="1" ht="17.25" customHeight="1"/>
    <row r="54393" customFormat="1" ht="17.25" customHeight="1"/>
    <row r="54394" customFormat="1" ht="17.25" customHeight="1"/>
    <row r="54395" customFormat="1" ht="17.25" customHeight="1"/>
    <row r="54396" customFormat="1" ht="17.25" customHeight="1"/>
    <row r="54397" customFormat="1" ht="17.25" customHeight="1"/>
    <row r="54398" customFormat="1" ht="17.25" customHeight="1"/>
    <row r="54399" customFormat="1" ht="17.25" customHeight="1"/>
    <row r="54400" customFormat="1" ht="17.25" customHeight="1"/>
    <row r="54401" customFormat="1" ht="17.25" customHeight="1"/>
    <row r="54402" customFormat="1" ht="17.25" customHeight="1"/>
    <row r="54403" customFormat="1" ht="17.25" customHeight="1"/>
    <row r="54404" customFormat="1" ht="17.25" customHeight="1"/>
    <row r="54405" customFormat="1" ht="17.25" customHeight="1"/>
    <row r="54406" customFormat="1" ht="17.25" customHeight="1"/>
    <row r="54407" customFormat="1" ht="17.25" customHeight="1"/>
    <row r="54408" customFormat="1" ht="17.25" customHeight="1"/>
    <row r="54409" customFormat="1" ht="17.25" customHeight="1"/>
    <row r="54410" customFormat="1" ht="17.25" customHeight="1"/>
    <row r="54411" customFormat="1" ht="17.25" customHeight="1"/>
    <row r="54412" customFormat="1" ht="17.25" customHeight="1"/>
    <row r="54413" customFormat="1" ht="17.25" customHeight="1"/>
    <row r="54414" customFormat="1" ht="17.25" customHeight="1"/>
    <row r="54415" customFormat="1" ht="17.25" customHeight="1"/>
    <row r="54416" customFormat="1" ht="17.25" customHeight="1"/>
    <row r="54417" customFormat="1" ht="17.25" customHeight="1"/>
    <row r="54418" customFormat="1" ht="17.25" customHeight="1"/>
    <row r="54419" customFormat="1" ht="17.25" customHeight="1"/>
    <row r="54420" customFormat="1" ht="17.25" customHeight="1"/>
    <row r="54421" customFormat="1" ht="17.25" customHeight="1"/>
    <row r="54422" customFormat="1" ht="17.25" customHeight="1"/>
    <row r="54423" customFormat="1" ht="17.25" customHeight="1"/>
    <row r="54424" customFormat="1" ht="17.25" customHeight="1"/>
    <row r="54425" customFormat="1" ht="17.25" customHeight="1"/>
    <row r="54426" customFormat="1" ht="17.25" customHeight="1"/>
    <row r="54427" customFormat="1" ht="17.25" customHeight="1"/>
    <row r="54428" customFormat="1" ht="17.25" customHeight="1"/>
    <row r="54429" customFormat="1" ht="17.25" customHeight="1"/>
    <row r="54430" customFormat="1" ht="17.25" customHeight="1"/>
    <row r="54431" customFormat="1" ht="17.25" customHeight="1"/>
    <row r="54432" customFormat="1" ht="17.25" customHeight="1"/>
    <row r="54433" customFormat="1" ht="17.25" customHeight="1"/>
    <row r="54434" customFormat="1" ht="17.25" customHeight="1"/>
    <row r="54435" customFormat="1" ht="17.25" customHeight="1"/>
    <row r="54436" customFormat="1" ht="17.25" customHeight="1"/>
    <row r="54437" customFormat="1" ht="17.25" customHeight="1"/>
    <row r="54438" customFormat="1" ht="17.25" customHeight="1"/>
    <row r="54439" customFormat="1" ht="17.25" customHeight="1"/>
    <row r="54440" customFormat="1" ht="17.25" customHeight="1"/>
    <row r="54441" customFormat="1" ht="17.25" customHeight="1"/>
    <row r="54442" customFormat="1" ht="17.25" customHeight="1"/>
    <row r="54443" customFormat="1" ht="17.25" customHeight="1"/>
    <row r="54444" customFormat="1" ht="17.25" customHeight="1"/>
    <row r="54445" customFormat="1" ht="17.25" customHeight="1"/>
    <row r="54446" customFormat="1" ht="17.25" customHeight="1"/>
    <row r="54447" customFormat="1" ht="17.25" customHeight="1"/>
    <row r="54448" customFormat="1" ht="17.25" customHeight="1"/>
    <row r="54449" customFormat="1" ht="17.25" customHeight="1"/>
    <row r="54450" customFormat="1" ht="17.25" customHeight="1"/>
    <row r="54451" customFormat="1" ht="17.25" customHeight="1"/>
    <row r="54452" customFormat="1" ht="17.25" customHeight="1"/>
    <row r="54453" customFormat="1" ht="17.25" customHeight="1"/>
    <row r="54454" customFormat="1" ht="17.25" customHeight="1"/>
    <row r="54455" customFormat="1" ht="17.25" customHeight="1"/>
    <row r="54456" customFormat="1" ht="17.25" customHeight="1"/>
    <row r="54457" customFormat="1" ht="17.25" customHeight="1"/>
    <row r="54458" customFormat="1" ht="17.25" customHeight="1"/>
    <row r="54459" customFormat="1" ht="17.25" customHeight="1"/>
    <row r="54460" customFormat="1" ht="17.25" customHeight="1"/>
    <row r="54461" customFormat="1" ht="17.25" customHeight="1"/>
    <row r="54462" customFormat="1" ht="17.25" customHeight="1"/>
    <row r="54463" customFormat="1" ht="17.25" customHeight="1"/>
    <row r="54464" customFormat="1" ht="17.25" customHeight="1"/>
    <row r="54465" customFormat="1" ht="17.25" customHeight="1"/>
    <row r="54466" customFormat="1" ht="17.25" customHeight="1"/>
    <row r="54467" customFormat="1" ht="17.25" customHeight="1"/>
    <row r="54468" customFormat="1" ht="17.25" customHeight="1"/>
    <row r="54469" customFormat="1" ht="17.25" customHeight="1"/>
    <row r="54470" customFormat="1" ht="17.25" customHeight="1"/>
    <row r="54471" customFormat="1" ht="17.25" customHeight="1"/>
    <row r="54472" customFormat="1" ht="17.25" customHeight="1"/>
    <row r="54473" customFormat="1" ht="17.25" customHeight="1"/>
    <row r="54474" customFormat="1" ht="17.25" customHeight="1"/>
    <row r="54475" customFormat="1" ht="17.25" customHeight="1"/>
    <row r="54476" customFormat="1" ht="17.25" customHeight="1"/>
    <row r="54477" customFormat="1" ht="17.25" customHeight="1"/>
    <row r="54478" customFormat="1" ht="17.25" customHeight="1"/>
    <row r="54479" customFormat="1" ht="17.25" customHeight="1"/>
    <row r="54480" customFormat="1" ht="17.25" customHeight="1"/>
    <row r="54481" customFormat="1" ht="17.25" customHeight="1"/>
    <row r="54482" customFormat="1" ht="17.25" customHeight="1"/>
    <row r="54483" customFormat="1" ht="17.25" customHeight="1"/>
    <row r="54484" customFormat="1" ht="17.25" customHeight="1"/>
    <row r="54485" customFormat="1" ht="17.25" customHeight="1"/>
    <row r="54486" customFormat="1" ht="17.25" customHeight="1"/>
    <row r="54487" customFormat="1" ht="17.25" customHeight="1"/>
    <row r="54488" customFormat="1" ht="17.25" customHeight="1"/>
    <row r="54489" customFormat="1" ht="17.25" customHeight="1"/>
    <row r="54490" customFormat="1" ht="17.25" customHeight="1"/>
    <row r="54491" customFormat="1" ht="17.25" customHeight="1"/>
    <row r="54492" customFormat="1" ht="17.25" customHeight="1"/>
    <row r="54493" customFormat="1" ht="17.25" customHeight="1"/>
    <row r="54494" customFormat="1" ht="17.25" customHeight="1"/>
    <row r="54495" customFormat="1" ht="17.25" customHeight="1"/>
    <row r="54496" customFormat="1" ht="17.25" customHeight="1"/>
    <row r="54497" customFormat="1" ht="17.25" customHeight="1"/>
    <row r="54498" customFormat="1" ht="17.25" customHeight="1"/>
    <row r="54499" customFormat="1" ht="17.25" customHeight="1"/>
    <row r="54500" customFormat="1" ht="17.25" customHeight="1"/>
    <row r="54501" customFormat="1" ht="17.25" customHeight="1"/>
    <row r="54502" customFormat="1" ht="17.25" customHeight="1"/>
    <row r="54503" customFormat="1" ht="17.25" customHeight="1"/>
    <row r="54504" customFormat="1" ht="17.25" customHeight="1"/>
    <row r="54505" customFormat="1" ht="17.25" customHeight="1"/>
    <row r="54506" customFormat="1" ht="17.25" customHeight="1"/>
    <row r="54507" customFormat="1" ht="17.25" customHeight="1"/>
    <row r="54508" customFormat="1" ht="17.25" customHeight="1"/>
    <row r="54509" customFormat="1" ht="17.25" customHeight="1"/>
    <row r="54510" customFormat="1" ht="17.25" customHeight="1"/>
    <row r="54511" customFormat="1" ht="17.25" customHeight="1"/>
    <row r="54512" customFormat="1" ht="17.25" customHeight="1"/>
    <row r="54513" customFormat="1" ht="17.25" customHeight="1"/>
    <row r="54514" customFormat="1" ht="17.25" customHeight="1"/>
    <row r="54515" customFormat="1" ht="17.25" customHeight="1"/>
    <row r="54516" customFormat="1" ht="17.25" customHeight="1"/>
    <row r="54517" customFormat="1" ht="17.25" customHeight="1"/>
    <row r="54518" customFormat="1" ht="17.25" customHeight="1"/>
    <row r="54519" customFormat="1" ht="17.25" customHeight="1"/>
    <row r="54520" customFormat="1" ht="17.25" customHeight="1"/>
    <row r="54521" customFormat="1" ht="17.25" customHeight="1"/>
    <row r="54522" customFormat="1" ht="17.25" customHeight="1"/>
    <row r="54523" customFormat="1" ht="17.25" customHeight="1"/>
    <row r="54524" customFormat="1" ht="17.25" customHeight="1"/>
    <row r="54525" customFormat="1" ht="17.25" customHeight="1"/>
    <row r="54526" customFormat="1" ht="17.25" customHeight="1"/>
    <row r="54527" customFormat="1" ht="17.25" customHeight="1"/>
    <row r="54528" customFormat="1" ht="17.25" customHeight="1"/>
    <row r="54529" customFormat="1" ht="17.25" customHeight="1"/>
    <row r="54530" customFormat="1" ht="17.25" customHeight="1"/>
    <row r="54531" customFormat="1" ht="17.25" customHeight="1"/>
    <row r="54532" customFormat="1" ht="17.25" customHeight="1"/>
    <row r="54533" customFormat="1" ht="17.25" customHeight="1"/>
    <row r="54534" customFormat="1" ht="17.25" customHeight="1"/>
    <row r="54535" customFormat="1" ht="17.25" customHeight="1"/>
    <row r="54536" customFormat="1" ht="17.25" customHeight="1"/>
    <row r="54537" customFormat="1" ht="17.25" customHeight="1"/>
    <row r="54538" customFormat="1" ht="17.25" customHeight="1"/>
    <row r="54539" customFormat="1" ht="17.25" customHeight="1"/>
    <row r="54540" customFormat="1" ht="17.25" customHeight="1"/>
    <row r="54541" customFormat="1" ht="17.25" customHeight="1"/>
    <row r="54542" customFormat="1" ht="17.25" customHeight="1"/>
    <row r="54543" customFormat="1" ht="17.25" customHeight="1"/>
    <row r="54544" customFormat="1" ht="17.25" customHeight="1"/>
    <row r="54545" customFormat="1" ht="17.25" customHeight="1"/>
    <row r="54546" customFormat="1" ht="17.25" customHeight="1"/>
    <row r="54547" customFormat="1" ht="17.25" customHeight="1"/>
    <row r="54548" customFormat="1" ht="17.25" customHeight="1"/>
    <row r="54549" customFormat="1" ht="17.25" customHeight="1"/>
    <row r="54550" customFormat="1" ht="17.25" customHeight="1"/>
    <row r="54551" customFormat="1" ht="17.25" customHeight="1"/>
    <row r="54552" customFormat="1" ht="17.25" customHeight="1"/>
    <row r="54553" customFormat="1" ht="17.25" customHeight="1"/>
    <row r="54554" customFormat="1" ht="17.25" customHeight="1"/>
    <row r="54555" customFormat="1" ht="17.25" customHeight="1"/>
    <row r="54556" customFormat="1" ht="17.25" customHeight="1"/>
    <row r="54557" customFormat="1" ht="17.25" customHeight="1"/>
    <row r="54558" customFormat="1" ht="17.25" customHeight="1"/>
    <row r="54559" customFormat="1" ht="17.25" customHeight="1"/>
    <row r="54560" customFormat="1" ht="17.25" customHeight="1"/>
    <row r="54561" customFormat="1" ht="17.25" customHeight="1"/>
    <row r="54562" customFormat="1" ht="17.25" customHeight="1"/>
    <row r="54563" customFormat="1" ht="17.25" customHeight="1"/>
    <row r="54564" customFormat="1" ht="17.25" customHeight="1"/>
    <row r="54565" customFormat="1" ht="17.25" customHeight="1"/>
    <row r="54566" customFormat="1" ht="17.25" customHeight="1"/>
    <row r="54567" customFormat="1" ht="17.25" customHeight="1"/>
    <row r="54568" customFormat="1" ht="17.25" customHeight="1"/>
    <row r="54569" customFormat="1" ht="17.25" customHeight="1"/>
    <row r="54570" customFormat="1" ht="17.25" customHeight="1"/>
    <row r="54571" customFormat="1" ht="17.25" customHeight="1"/>
    <row r="54572" customFormat="1" ht="17.25" customHeight="1"/>
    <row r="54573" customFormat="1" ht="17.25" customHeight="1"/>
    <row r="54574" customFormat="1" ht="17.25" customHeight="1"/>
    <row r="54575" customFormat="1" ht="17.25" customHeight="1"/>
    <row r="54576" customFormat="1" ht="17.25" customHeight="1"/>
    <row r="54577" customFormat="1" ht="17.25" customHeight="1"/>
    <row r="54578" customFormat="1" ht="17.25" customHeight="1"/>
    <row r="54579" customFormat="1" ht="17.25" customHeight="1"/>
    <row r="54580" customFormat="1" ht="17.25" customHeight="1"/>
    <row r="54581" customFormat="1" ht="17.25" customHeight="1"/>
    <row r="54582" customFormat="1" ht="17.25" customHeight="1"/>
    <row r="54583" customFormat="1" ht="17.25" customHeight="1"/>
    <row r="54584" customFormat="1" ht="17.25" customHeight="1"/>
    <row r="54585" customFormat="1" ht="17.25" customHeight="1"/>
    <row r="54586" customFormat="1" ht="17.25" customHeight="1"/>
    <row r="54587" customFormat="1" ht="17.25" customHeight="1"/>
    <row r="54588" customFormat="1" ht="17.25" customHeight="1"/>
    <row r="54589" customFormat="1" ht="17.25" customHeight="1"/>
    <row r="54590" customFormat="1" ht="17.25" customHeight="1"/>
    <row r="54591" customFormat="1" ht="17.25" customHeight="1"/>
    <row r="54592" customFormat="1" ht="17.25" customHeight="1"/>
    <row r="54593" customFormat="1" ht="17.25" customHeight="1"/>
    <row r="54594" customFormat="1" ht="17.25" customHeight="1"/>
    <row r="54595" customFormat="1" ht="17.25" customHeight="1"/>
    <row r="54596" customFormat="1" ht="17.25" customHeight="1"/>
    <row r="54597" customFormat="1" ht="17.25" customHeight="1"/>
    <row r="54598" customFormat="1" ht="17.25" customHeight="1"/>
    <row r="54599" customFormat="1" ht="17.25" customHeight="1"/>
    <row r="54600" customFormat="1" ht="17.25" customHeight="1"/>
    <row r="54601" customFormat="1" ht="17.25" customHeight="1"/>
    <row r="54602" customFormat="1" ht="17.25" customHeight="1"/>
    <row r="54603" customFormat="1" ht="17.25" customHeight="1"/>
    <row r="54604" customFormat="1" ht="17.25" customHeight="1"/>
    <row r="54605" customFormat="1" ht="17.25" customHeight="1"/>
    <row r="54606" customFormat="1" ht="17.25" customHeight="1"/>
    <row r="54607" customFormat="1" ht="17.25" customHeight="1"/>
    <row r="54608" customFormat="1" ht="17.25" customHeight="1"/>
    <row r="54609" customFormat="1" ht="17.25" customHeight="1"/>
    <row r="54610" customFormat="1" ht="17.25" customHeight="1"/>
    <row r="54611" customFormat="1" ht="17.25" customHeight="1"/>
    <row r="54612" customFormat="1" ht="17.25" customHeight="1"/>
    <row r="54613" customFormat="1" ht="17.25" customHeight="1"/>
    <row r="54614" customFormat="1" ht="17.25" customHeight="1"/>
    <row r="54615" customFormat="1" ht="17.25" customHeight="1"/>
    <row r="54616" customFormat="1" ht="17.25" customHeight="1"/>
    <row r="54617" customFormat="1" ht="17.25" customHeight="1"/>
    <row r="54618" customFormat="1" ht="17.25" customHeight="1"/>
    <row r="54619" customFormat="1" ht="17.25" customHeight="1"/>
    <row r="54620" customFormat="1" ht="17.25" customHeight="1"/>
    <row r="54621" customFormat="1" ht="17.25" customHeight="1"/>
    <row r="54622" customFormat="1" ht="17.25" customHeight="1"/>
    <row r="54623" customFormat="1" ht="17.25" customHeight="1"/>
    <row r="54624" customFormat="1" ht="17.25" customHeight="1"/>
    <row r="54625" customFormat="1" ht="17.25" customHeight="1"/>
    <row r="54626" customFormat="1" ht="17.25" customHeight="1"/>
    <row r="54627" customFormat="1" ht="17.25" customHeight="1"/>
    <row r="54628" customFormat="1" ht="17.25" customHeight="1"/>
    <row r="54629" customFormat="1" ht="17.25" customHeight="1"/>
    <row r="54630" customFormat="1" ht="17.25" customHeight="1"/>
    <row r="54631" customFormat="1" ht="17.25" customHeight="1"/>
    <row r="54632" customFormat="1" ht="17.25" customHeight="1"/>
    <row r="54633" customFormat="1" ht="17.25" customHeight="1"/>
    <row r="54634" customFormat="1" ht="17.25" customHeight="1"/>
    <row r="54635" customFormat="1" ht="17.25" customHeight="1"/>
    <row r="54636" customFormat="1" ht="17.25" customHeight="1"/>
    <row r="54637" customFormat="1" ht="17.25" customHeight="1"/>
    <row r="54638" customFormat="1" ht="17.25" customHeight="1"/>
    <row r="54639" customFormat="1" ht="17.25" customHeight="1"/>
    <row r="54640" customFormat="1" ht="17.25" customHeight="1"/>
    <row r="54641" customFormat="1" ht="17.25" customHeight="1"/>
    <row r="54642" customFormat="1" ht="17.25" customHeight="1"/>
    <row r="54643" customFormat="1" ht="17.25" customHeight="1"/>
    <row r="54644" customFormat="1" ht="17.25" customHeight="1"/>
    <row r="54645" customFormat="1" ht="17.25" customHeight="1"/>
    <row r="54646" customFormat="1" ht="17.25" customHeight="1"/>
    <row r="54647" customFormat="1" ht="17.25" customHeight="1"/>
    <row r="54648" customFormat="1" ht="17.25" customHeight="1"/>
    <row r="54649" customFormat="1" ht="17.25" customHeight="1"/>
    <row r="54650" customFormat="1" ht="17.25" customHeight="1"/>
    <row r="54651" customFormat="1" ht="17.25" customHeight="1"/>
    <row r="54652" customFormat="1" ht="17.25" customHeight="1"/>
    <row r="54653" customFormat="1" ht="17.25" customHeight="1"/>
    <row r="54654" customFormat="1" ht="17.25" customHeight="1"/>
    <row r="54655" customFormat="1" ht="17.25" customHeight="1"/>
    <row r="54656" customFormat="1" ht="17.25" customHeight="1"/>
    <row r="54657" customFormat="1" ht="17.25" customHeight="1"/>
    <row r="54658" customFormat="1" ht="17.25" customHeight="1"/>
    <row r="54659" customFormat="1" ht="17.25" customHeight="1"/>
    <row r="54660" customFormat="1" ht="17.25" customHeight="1"/>
    <row r="54661" customFormat="1" ht="17.25" customHeight="1"/>
    <row r="54662" customFormat="1" ht="17.25" customHeight="1"/>
    <row r="54663" customFormat="1" ht="17.25" customHeight="1"/>
    <row r="54664" customFormat="1" ht="17.25" customHeight="1"/>
    <row r="54665" customFormat="1" ht="17.25" customHeight="1"/>
    <row r="54666" customFormat="1" ht="17.25" customHeight="1"/>
    <row r="54667" customFormat="1" ht="17.25" customHeight="1"/>
    <row r="54668" customFormat="1" ht="17.25" customHeight="1"/>
    <row r="54669" customFormat="1" ht="17.25" customHeight="1"/>
    <row r="54670" customFormat="1" ht="17.25" customHeight="1"/>
    <row r="54671" customFormat="1" ht="17.25" customHeight="1"/>
    <row r="54672" customFormat="1" ht="17.25" customHeight="1"/>
    <row r="54673" customFormat="1" ht="17.25" customHeight="1"/>
    <row r="54674" customFormat="1" ht="17.25" customHeight="1"/>
    <row r="54675" customFormat="1" ht="17.25" customHeight="1"/>
    <row r="54676" customFormat="1" ht="17.25" customHeight="1"/>
    <row r="54677" customFormat="1" ht="17.25" customHeight="1"/>
    <row r="54678" customFormat="1" ht="17.25" customHeight="1"/>
    <row r="54679" customFormat="1" ht="17.25" customHeight="1"/>
    <row r="54680" customFormat="1" ht="17.25" customHeight="1"/>
    <row r="54681" customFormat="1" ht="17.25" customHeight="1"/>
    <row r="54682" customFormat="1" ht="17.25" customHeight="1"/>
    <row r="54683" customFormat="1" ht="17.25" customHeight="1"/>
    <row r="54684" customFormat="1" ht="17.25" customHeight="1"/>
    <row r="54685" customFormat="1" ht="17.25" customHeight="1"/>
    <row r="54686" customFormat="1" ht="17.25" customHeight="1"/>
    <row r="54687" customFormat="1" ht="17.25" customHeight="1"/>
    <row r="54688" customFormat="1" ht="17.25" customHeight="1"/>
    <row r="54689" customFormat="1" ht="17.25" customHeight="1"/>
    <row r="54690" customFormat="1" ht="17.25" customHeight="1"/>
    <row r="54691" customFormat="1" ht="17.25" customHeight="1"/>
    <row r="54692" customFormat="1" ht="17.25" customHeight="1"/>
    <row r="54693" customFormat="1" ht="17.25" customHeight="1"/>
    <row r="54694" customFormat="1" ht="17.25" customHeight="1"/>
    <row r="54695" customFormat="1" ht="17.25" customHeight="1"/>
    <row r="54696" customFormat="1" ht="17.25" customHeight="1"/>
    <row r="54697" customFormat="1" ht="17.25" customHeight="1"/>
    <row r="54698" customFormat="1" ht="17.25" customHeight="1"/>
    <row r="54699" customFormat="1" ht="17.25" customHeight="1"/>
    <row r="54700" customFormat="1" ht="17.25" customHeight="1"/>
    <row r="54701" customFormat="1" ht="17.25" customHeight="1"/>
    <row r="54702" customFormat="1" ht="17.25" customHeight="1"/>
    <row r="54703" customFormat="1" ht="17.25" customHeight="1"/>
    <row r="54704" customFormat="1" ht="17.25" customHeight="1"/>
    <row r="54705" customFormat="1" ht="17.25" customHeight="1"/>
    <row r="54706" customFormat="1" ht="17.25" customHeight="1"/>
    <row r="54707" customFormat="1" ht="17.25" customHeight="1"/>
    <row r="54708" customFormat="1" ht="17.25" customHeight="1"/>
    <row r="54709" customFormat="1" ht="17.25" customHeight="1"/>
    <row r="54710" customFormat="1" ht="17.25" customHeight="1"/>
    <row r="54711" customFormat="1" ht="17.25" customHeight="1"/>
    <row r="54712" customFormat="1" ht="17.25" customHeight="1"/>
    <row r="54713" customFormat="1" ht="17.25" customHeight="1"/>
    <row r="54714" customFormat="1" ht="17.25" customHeight="1"/>
    <row r="54715" customFormat="1" ht="17.25" customHeight="1"/>
    <row r="54716" customFormat="1" ht="17.25" customHeight="1"/>
    <row r="54717" customFormat="1" ht="17.25" customHeight="1"/>
    <row r="54718" customFormat="1" ht="17.25" customHeight="1"/>
    <row r="54719" customFormat="1" ht="17.25" customHeight="1"/>
    <row r="54720" customFormat="1" ht="17.25" customHeight="1"/>
    <row r="54721" customFormat="1" ht="17.25" customHeight="1"/>
    <row r="54722" customFormat="1" ht="17.25" customHeight="1"/>
    <row r="54723" customFormat="1" ht="17.25" customHeight="1"/>
    <row r="54724" customFormat="1" ht="17.25" customHeight="1"/>
    <row r="54725" customFormat="1" ht="17.25" customHeight="1"/>
    <row r="54726" customFormat="1" ht="17.25" customHeight="1"/>
    <row r="54727" customFormat="1" ht="17.25" customHeight="1"/>
    <row r="54728" customFormat="1" ht="17.25" customHeight="1"/>
    <row r="54729" customFormat="1" ht="17.25" customHeight="1"/>
    <row r="54730" customFormat="1" ht="17.25" customHeight="1"/>
    <row r="54731" customFormat="1" ht="17.25" customHeight="1"/>
    <row r="54732" customFormat="1" ht="17.25" customHeight="1"/>
    <row r="54733" customFormat="1" ht="17.25" customHeight="1"/>
    <row r="54734" customFormat="1" ht="17.25" customHeight="1"/>
    <row r="54735" customFormat="1" ht="17.25" customHeight="1"/>
    <row r="54736" customFormat="1" ht="17.25" customHeight="1"/>
    <row r="54737" customFormat="1" ht="17.25" customHeight="1"/>
    <row r="54738" customFormat="1" ht="17.25" customHeight="1"/>
    <row r="54739" customFormat="1" ht="17.25" customHeight="1"/>
    <row r="54740" customFormat="1" ht="17.25" customHeight="1"/>
    <row r="54741" customFormat="1" ht="17.25" customHeight="1"/>
    <row r="54742" customFormat="1" ht="17.25" customHeight="1"/>
    <row r="54743" customFormat="1" ht="17.25" customHeight="1"/>
    <row r="54744" customFormat="1" ht="17.25" customHeight="1"/>
    <row r="54745" customFormat="1" ht="17.25" customHeight="1"/>
    <row r="54746" customFormat="1" ht="17.25" customHeight="1"/>
    <row r="54747" customFormat="1" ht="17.25" customHeight="1"/>
    <row r="54748" customFormat="1" ht="17.25" customHeight="1"/>
    <row r="54749" customFormat="1" ht="17.25" customHeight="1"/>
    <row r="54750" customFormat="1" ht="17.25" customHeight="1"/>
    <row r="54751" customFormat="1" ht="17.25" customHeight="1"/>
    <row r="54752" customFormat="1" ht="17.25" customHeight="1"/>
    <row r="54753" customFormat="1" ht="17.25" customHeight="1"/>
    <row r="54754" customFormat="1" ht="17.25" customHeight="1"/>
    <row r="54755" customFormat="1" ht="17.25" customHeight="1"/>
    <row r="54756" customFormat="1" ht="17.25" customHeight="1"/>
    <row r="54757" customFormat="1" ht="17.25" customHeight="1"/>
    <row r="54758" customFormat="1" ht="17.25" customHeight="1"/>
    <row r="54759" customFormat="1" ht="17.25" customHeight="1"/>
    <row r="54760" customFormat="1" ht="17.25" customHeight="1"/>
    <row r="54761" customFormat="1" ht="17.25" customHeight="1"/>
    <row r="54762" customFormat="1" ht="17.25" customHeight="1"/>
    <row r="54763" customFormat="1" ht="17.25" customHeight="1"/>
    <row r="54764" customFormat="1" ht="17.25" customHeight="1"/>
    <row r="54765" customFormat="1" ht="17.25" customHeight="1"/>
    <row r="54766" customFormat="1" ht="17.25" customHeight="1"/>
    <row r="54767" customFormat="1" ht="17.25" customHeight="1"/>
    <row r="54768" customFormat="1" ht="17.25" customHeight="1"/>
    <row r="54769" customFormat="1" ht="17.25" customHeight="1"/>
    <row r="54770" customFormat="1" ht="17.25" customHeight="1"/>
    <row r="54771" customFormat="1" ht="17.25" customHeight="1"/>
    <row r="54772" customFormat="1" ht="17.25" customHeight="1"/>
    <row r="54773" customFormat="1" ht="17.25" customHeight="1"/>
    <row r="54774" customFormat="1" ht="17.25" customHeight="1"/>
    <row r="54775" customFormat="1" ht="17.25" customHeight="1"/>
    <row r="54776" customFormat="1" ht="17.25" customHeight="1"/>
    <row r="54777" customFormat="1" ht="17.25" customHeight="1"/>
    <row r="54778" customFormat="1" ht="17.25" customHeight="1"/>
    <row r="54779" customFormat="1" ht="17.25" customHeight="1"/>
    <row r="54780" customFormat="1" ht="17.25" customHeight="1"/>
    <row r="54781" customFormat="1" ht="17.25" customHeight="1"/>
    <row r="54782" customFormat="1" ht="17.25" customHeight="1"/>
    <row r="54783" customFormat="1" ht="17.25" customHeight="1"/>
    <row r="54784" customFormat="1" ht="17.25" customHeight="1"/>
    <row r="54785" customFormat="1" ht="17.25" customHeight="1"/>
    <row r="54786" customFormat="1" ht="17.25" customHeight="1"/>
    <row r="54787" customFormat="1" ht="17.25" customHeight="1"/>
    <row r="54788" customFormat="1" ht="17.25" customHeight="1"/>
    <row r="54789" customFormat="1" ht="17.25" customHeight="1"/>
    <row r="54790" customFormat="1" ht="17.25" customHeight="1"/>
    <row r="54791" customFormat="1" ht="17.25" customHeight="1"/>
    <row r="54792" customFormat="1" ht="17.25" customHeight="1"/>
    <row r="54793" customFormat="1" ht="17.25" customHeight="1"/>
    <row r="54794" customFormat="1" ht="17.25" customHeight="1"/>
    <row r="54795" customFormat="1" ht="17.25" customHeight="1"/>
    <row r="54796" customFormat="1" ht="17.25" customHeight="1"/>
    <row r="54797" customFormat="1" ht="17.25" customHeight="1"/>
    <row r="54798" customFormat="1" ht="17.25" customHeight="1"/>
    <row r="54799" customFormat="1" ht="17.25" customHeight="1"/>
    <row r="54800" customFormat="1" ht="17.25" customHeight="1"/>
    <row r="54801" customFormat="1" ht="17.25" customHeight="1"/>
    <row r="54802" customFormat="1" ht="17.25" customHeight="1"/>
    <row r="54803" customFormat="1" ht="17.25" customHeight="1"/>
    <row r="54804" customFormat="1" ht="17.25" customHeight="1"/>
    <row r="54805" customFormat="1" ht="17.25" customHeight="1"/>
    <row r="54806" customFormat="1" ht="17.25" customHeight="1"/>
    <row r="54807" customFormat="1" ht="17.25" customHeight="1"/>
    <row r="54808" customFormat="1" ht="17.25" customHeight="1"/>
    <row r="54809" customFormat="1" ht="17.25" customHeight="1"/>
    <row r="54810" customFormat="1" ht="17.25" customHeight="1"/>
    <row r="54811" customFormat="1" ht="17.25" customHeight="1"/>
    <row r="54812" customFormat="1" ht="17.25" customHeight="1"/>
    <row r="54813" customFormat="1" ht="17.25" customHeight="1"/>
    <row r="54814" customFormat="1" ht="17.25" customHeight="1"/>
    <row r="54815" customFormat="1" ht="17.25" customHeight="1"/>
    <row r="54816" customFormat="1" ht="17.25" customHeight="1"/>
    <row r="54817" customFormat="1" ht="17.25" customHeight="1"/>
    <row r="54818" customFormat="1" ht="17.25" customHeight="1"/>
    <row r="54819" customFormat="1" ht="17.25" customHeight="1"/>
    <row r="54820" customFormat="1" ht="17.25" customHeight="1"/>
    <row r="54821" customFormat="1" ht="17.25" customHeight="1"/>
    <row r="54822" customFormat="1" ht="17.25" customHeight="1"/>
    <row r="54823" customFormat="1" ht="17.25" customHeight="1"/>
    <row r="54824" customFormat="1" ht="17.25" customHeight="1"/>
    <row r="54825" customFormat="1" ht="17.25" customHeight="1"/>
    <row r="54826" customFormat="1" ht="17.25" customHeight="1"/>
    <row r="54827" customFormat="1" ht="17.25" customHeight="1"/>
    <row r="54828" customFormat="1" ht="17.25" customHeight="1"/>
    <row r="54829" customFormat="1" ht="17.25" customHeight="1"/>
    <row r="54830" customFormat="1" ht="17.25" customHeight="1"/>
    <row r="54831" customFormat="1" ht="17.25" customHeight="1"/>
    <row r="54832" customFormat="1" ht="17.25" customHeight="1"/>
    <row r="54833" customFormat="1" ht="17.25" customHeight="1"/>
    <row r="54834" customFormat="1" ht="17.25" customHeight="1"/>
    <row r="54835" customFormat="1" ht="17.25" customHeight="1"/>
    <row r="54836" customFormat="1" ht="17.25" customHeight="1"/>
    <row r="54837" customFormat="1" ht="17.25" customHeight="1"/>
    <row r="54838" customFormat="1" ht="17.25" customHeight="1"/>
    <row r="54839" customFormat="1" ht="17.25" customHeight="1"/>
    <row r="54840" customFormat="1" ht="17.25" customHeight="1"/>
    <row r="54841" customFormat="1" ht="17.25" customHeight="1"/>
    <row r="54842" customFormat="1" ht="17.25" customHeight="1"/>
    <row r="54843" customFormat="1" ht="17.25" customHeight="1"/>
    <row r="54844" customFormat="1" ht="17.25" customHeight="1"/>
    <row r="54845" customFormat="1" ht="17.25" customHeight="1"/>
    <row r="54846" customFormat="1" ht="17.25" customHeight="1"/>
    <row r="54847" customFormat="1" ht="17.25" customHeight="1"/>
    <row r="54848" customFormat="1" ht="17.25" customHeight="1"/>
    <row r="54849" customFormat="1" ht="17.25" customHeight="1"/>
    <row r="54850" customFormat="1" ht="17.25" customHeight="1"/>
    <row r="54851" customFormat="1" ht="17.25" customHeight="1"/>
    <row r="54852" customFormat="1" ht="17.25" customHeight="1"/>
    <row r="54853" customFormat="1" ht="17.25" customHeight="1"/>
    <row r="54854" customFormat="1" ht="17.25" customHeight="1"/>
    <row r="54855" customFormat="1" ht="17.25" customHeight="1"/>
    <row r="54856" customFormat="1" ht="17.25" customHeight="1"/>
    <row r="54857" customFormat="1" ht="17.25" customHeight="1"/>
    <row r="54858" customFormat="1" ht="17.25" customHeight="1"/>
    <row r="54859" customFormat="1" ht="17.25" customHeight="1"/>
    <row r="54860" customFormat="1" ht="17.25" customHeight="1"/>
    <row r="54861" customFormat="1" ht="17.25" customHeight="1"/>
    <row r="54862" customFormat="1" ht="17.25" customHeight="1"/>
    <row r="54863" customFormat="1" ht="17.25" customHeight="1"/>
    <row r="54864" customFormat="1" ht="17.25" customHeight="1"/>
    <row r="54865" customFormat="1" ht="17.25" customHeight="1"/>
    <row r="54866" customFormat="1" ht="17.25" customHeight="1"/>
    <row r="54867" customFormat="1" ht="17.25" customHeight="1"/>
    <row r="54868" customFormat="1" ht="17.25" customHeight="1"/>
    <row r="54869" customFormat="1" ht="17.25" customHeight="1"/>
    <row r="54870" customFormat="1" ht="17.25" customHeight="1"/>
    <row r="54871" customFormat="1" ht="17.25" customHeight="1"/>
    <row r="54872" customFormat="1" ht="17.25" customHeight="1"/>
    <row r="54873" customFormat="1" ht="17.25" customHeight="1"/>
    <row r="54874" customFormat="1" ht="17.25" customHeight="1"/>
    <row r="54875" customFormat="1" ht="17.25" customHeight="1"/>
    <row r="54876" customFormat="1" ht="17.25" customHeight="1"/>
    <row r="54877" customFormat="1" ht="17.25" customHeight="1"/>
    <row r="54878" customFormat="1" ht="17.25" customHeight="1"/>
    <row r="54879" customFormat="1" ht="17.25" customHeight="1"/>
    <row r="54880" customFormat="1" ht="17.25" customHeight="1"/>
    <row r="54881" customFormat="1" ht="17.25" customHeight="1"/>
    <row r="54882" customFormat="1" ht="17.25" customHeight="1"/>
    <row r="54883" customFormat="1" ht="17.25" customHeight="1"/>
    <row r="54884" customFormat="1" ht="17.25" customHeight="1"/>
    <row r="54885" customFormat="1" ht="17.25" customHeight="1"/>
    <row r="54886" customFormat="1" ht="17.25" customHeight="1"/>
    <row r="54887" customFormat="1" ht="17.25" customHeight="1"/>
    <row r="54888" customFormat="1" ht="17.25" customHeight="1"/>
    <row r="54889" customFormat="1" ht="17.25" customHeight="1"/>
    <row r="54890" customFormat="1" ht="17.25" customHeight="1"/>
    <row r="54891" customFormat="1" ht="17.25" customHeight="1"/>
    <row r="54892" customFormat="1" ht="17.25" customHeight="1"/>
    <row r="54893" customFormat="1" ht="17.25" customHeight="1"/>
    <row r="54894" customFormat="1" ht="17.25" customHeight="1"/>
    <row r="54895" customFormat="1" ht="17.25" customHeight="1"/>
    <row r="54896" customFormat="1" ht="17.25" customHeight="1"/>
    <row r="54897" customFormat="1" ht="17.25" customHeight="1"/>
    <row r="54898" customFormat="1" ht="17.25" customHeight="1"/>
    <row r="54899" customFormat="1" ht="17.25" customHeight="1"/>
    <row r="54900" customFormat="1" ht="17.25" customHeight="1"/>
    <row r="54901" customFormat="1" ht="17.25" customHeight="1"/>
    <row r="54902" customFormat="1" ht="17.25" customHeight="1"/>
    <row r="54903" customFormat="1" ht="17.25" customHeight="1"/>
    <row r="54904" customFormat="1" ht="17.25" customHeight="1"/>
    <row r="54905" customFormat="1" ht="17.25" customHeight="1"/>
    <row r="54906" customFormat="1" ht="17.25" customHeight="1"/>
    <row r="54907" customFormat="1" ht="17.25" customHeight="1"/>
    <row r="54908" customFormat="1" ht="17.25" customHeight="1"/>
    <row r="54909" customFormat="1" ht="17.25" customHeight="1"/>
    <row r="54910" customFormat="1" ht="17.25" customHeight="1"/>
    <row r="54911" customFormat="1" ht="17.25" customHeight="1"/>
    <row r="54912" customFormat="1" ht="17.25" customHeight="1"/>
    <row r="54913" customFormat="1" ht="17.25" customHeight="1"/>
    <row r="54914" customFormat="1" ht="17.25" customHeight="1"/>
    <row r="54915" customFormat="1" ht="17.25" customHeight="1"/>
    <row r="54916" customFormat="1" ht="17.25" customHeight="1"/>
    <row r="54917" customFormat="1" ht="17.25" customHeight="1"/>
    <row r="54918" customFormat="1" ht="17.25" customHeight="1"/>
    <row r="54919" customFormat="1" ht="17.25" customHeight="1"/>
    <row r="54920" customFormat="1" ht="17.25" customHeight="1"/>
    <row r="54921" customFormat="1" ht="17.25" customHeight="1"/>
    <row r="54922" customFormat="1" ht="17.25" customHeight="1"/>
    <row r="54923" customFormat="1" ht="17.25" customHeight="1"/>
    <row r="54924" customFormat="1" ht="17.25" customHeight="1"/>
    <row r="54925" customFormat="1" ht="17.25" customHeight="1"/>
    <row r="54926" customFormat="1" ht="17.25" customHeight="1"/>
    <row r="54927" customFormat="1" ht="17.25" customHeight="1"/>
    <row r="54928" customFormat="1" ht="17.25" customHeight="1"/>
    <row r="54929" customFormat="1" ht="17.25" customHeight="1"/>
    <row r="54930" customFormat="1" ht="17.25" customHeight="1"/>
    <row r="54931" customFormat="1" ht="17.25" customHeight="1"/>
    <row r="54932" customFormat="1" ht="17.25" customHeight="1"/>
    <row r="54933" customFormat="1" ht="17.25" customHeight="1"/>
    <row r="54934" customFormat="1" ht="17.25" customHeight="1"/>
    <row r="54935" customFormat="1" ht="17.25" customHeight="1"/>
    <row r="54936" customFormat="1" ht="17.25" customHeight="1"/>
    <row r="54937" customFormat="1" ht="17.25" customHeight="1"/>
    <row r="54938" customFormat="1" ht="17.25" customHeight="1"/>
    <row r="54939" customFormat="1" ht="17.25" customHeight="1"/>
    <row r="54940" customFormat="1" ht="17.25" customHeight="1"/>
    <row r="54941" customFormat="1" ht="17.25" customHeight="1"/>
    <row r="54942" customFormat="1" ht="17.25" customHeight="1"/>
    <row r="54943" customFormat="1" ht="17.25" customHeight="1"/>
    <row r="54944" customFormat="1" ht="17.25" customHeight="1"/>
    <row r="54945" customFormat="1" ht="17.25" customHeight="1"/>
    <row r="54946" customFormat="1" ht="17.25" customHeight="1"/>
    <row r="54947" customFormat="1" ht="17.25" customHeight="1"/>
    <row r="54948" customFormat="1" ht="17.25" customHeight="1"/>
    <row r="54949" customFormat="1" ht="17.25" customHeight="1"/>
    <row r="54950" customFormat="1" ht="17.25" customHeight="1"/>
    <row r="54951" customFormat="1" ht="17.25" customHeight="1"/>
    <row r="54952" customFormat="1" ht="17.25" customHeight="1"/>
    <row r="54953" customFormat="1" ht="17.25" customHeight="1"/>
    <row r="54954" customFormat="1" ht="17.25" customHeight="1"/>
    <row r="54955" customFormat="1" ht="17.25" customHeight="1"/>
    <row r="54956" customFormat="1" ht="17.25" customHeight="1"/>
    <row r="54957" customFormat="1" ht="17.25" customHeight="1"/>
    <row r="54958" customFormat="1" ht="17.25" customHeight="1"/>
    <row r="54959" customFormat="1" ht="17.25" customHeight="1"/>
    <row r="54960" customFormat="1" ht="17.25" customHeight="1"/>
    <row r="54961" customFormat="1" ht="17.25" customHeight="1"/>
    <row r="54962" customFormat="1" ht="17.25" customHeight="1"/>
    <row r="54963" customFormat="1" ht="17.25" customHeight="1"/>
    <row r="54964" customFormat="1" ht="17.25" customHeight="1"/>
    <row r="54965" customFormat="1" ht="17.25" customHeight="1"/>
    <row r="54966" customFormat="1" ht="17.25" customHeight="1"/>
    <row r="54967" customFormat="1" ht="17.25" customHeight="1"/>
    <row r="54968" customFormat="1" ht="17.25" customHeight="1"/>
    <row r="54969" customFormat="1" ht="17.25" customHeight="1"/>
    <row r="54970" customFormat="1" ht="17.25" customHeight="1"/>
    <row r="54971" customFormat="1" ht="17.25" customHeight="1"/>
    <row r="54972" customFormat="1" ht="17.25" customHeight="1"/>
    <row r="54973" customFormat="1" ht="17.25" customHeight="1"/>
    <row r="54974" customFormat="1" ht="17.25" customHeight="1"/>
    <row r="54975" customFormat="1" ht="17.25" customHeight="1"/>
    <row r="54976" customFormat="1" ht="17.25" customHeight="1"/>
    <row r="54977" customFormat="1" ht="17.25" customHeight="1"/>
    <row r="54978" customFormat="1" ht="17.25" customHeight="1"/>
    <row r="54979" customFormat="1" ht="17.25" customHeight="1"/>
    <row r="54980" customFormat="1" ht="17.25" customHeight="1"/>
    <row r="54981" customFormat="1" ht="17.25" customHeight="1"/>
    <row r="54982" customFormat="1" ht="17.25" customHeight="1"/>
    <row r="54983" customFormat="1" ht="17.25" customHeight="1"/>
    <row r="54984" customFormat="1" ht="17.25" customHeight="1"/>
    <row r="54985" customFormat="1" ht="17.25" customHeight="1"/>
    <row r="54986" customFormat="1" ht="17.25" customHeight="1"/>
    <row r="54987" customFormat="1" ht="17.25" customHeight="1"/>
    <row r="54988" customFormat="1" ht="17.25" customHeight="1"/>
    <row r="54989" customFormat="1" ht="17.25" customHeight="1"/>
    <row r="54990" customFormat="1" ht="17.25" customHeight="1"/>
    <row r="54991" customFormat="1" ht="17.25" customHeight="1"/>
    <row r="54992" customFormat="1" ht="17.25" customHeight="1"/>
    <row r="54993" customFormat="1" ht="17.25" customHeight="1"/>
    <row r="54994" customFormat="1" ht="17.25" customHeight="1"/>
    <row r="54995" customFormat="1" ht="17.25" customHeight="1"/>
    <row r="54996" customFormat="1" ht="17.25" customHeight="1"/>
    <row r="54997" customFormat="1" ht="17.25" customHeight="1"/>
    <row r="54998" customFormat="1" ht="17.25" customHeight="1"/>
    <row r="54999" customFormat="1" ht="17.25" customHeight="1"/>
    <row r="55000" customFormat="1" ht="17.25" customHeight="1"/>
    <row r="55001" customFormat="1" ht="17.25" customHeight="1"/>
    <row r="55002" customFormat="1" ht="17.25" customHeight="1"/>
    <row r="55003" customFormat="1" ht="17.25" customHeight="1"/>
    <row r="55004" customFormat="1" ht="17.25" customHeight="1"/>
    <row r="55005" customFormat="1" ht="17.25" customHeight="1"/>
    <row r="55006" customFormat="1" ht="17.25" customHeight="1"/>
    <row r="55007" customFormat="1" ht="17.25" customHeight="1"/>
    <row r="55008" customFormat="1" ht="17.25" customHeight="1"/>
    <row r="55009" customFormat="1" ht="17.25" customHeight="1"/>
    <row r="55010" customFormat="1" ht="17.25" customHeight="1"/>
    <row r="55011" customFormat="1" ht="17.25" customHeight="1"/>
    <row r="55012" customFormat="1" ht="17.25" customHeight="1"/>
    <row r="55013" customFormat="1" ht="17.25" customHeight="1"/>
    <row r="55014" customFormat="1" ht="17.25" customHeight="1"/>
    <row r="55015" customFormat="1" ht="17.25" customHeight="1"/>
    <row r="55016" customFormat="1" ht="17.25" customHeight="1"/>
    <row r="55017" customFormat="1" ht="17.25" customHeight="1"/>
    <row r="55018" customFormat="1" ht="17.25" customHeight="1"/>
    <row r="55019" customFormat="1" ht="17.25" customHeight="1"/>
    <row r="55020" customFormat="1" ht="17.25" customHeight="1"/>
    <row r="55021" customFormat="1" ht="17.25" customHeight="1"/>
    <row r="55022" customFormat="1" ht="17.25" customHeight="1"/>
    <row r="55023" customFormat="1" ht="17.25" customHeight="1"/>
    <row r="55024" customFormat="1" ht="17.25" customHeight="1"/>
    <row r="55025" customFormat="1" ht="17.25" customHeight="1"/>
    <row r="55026" customFormat="1" ht="17.25" customHeight="1"/>
    <row r="55027" customFormat="1" ht="17.25" customHeight="1"/>
    <row r="55028" customFormat="1" ht="17.25" customHeight="1"/>
    <row r="55029" customFormat="1" ht="17.25" customHeight="1"/>
    <row r="55030" customFormat="1" ht="17.25" customHeight="1"/>
    <row r="55031" customFormat="1" ht="17.25" customHeight="1"/>
    <row r="55032" customFormat="1" ht="17.25" customHeight="1"/>
    <row r="55033" customFormat="1" ht="17.25" customHeight="1"/>
    <row r="55034" customFormat="1" ht="17.25" customHeight="1"/>
    <row r="55035" customFormat="1" ht="17.25" customHeight="1"/>
    <row r="55036" customFormat="1" ht="17.25" customHeight="1"/>
    <row r="55037" customFormat="1" ht="17.25" customHeight="1"/>
    <row r="55038" customFormat="1" ht="17.25" customHeight="1"/>
    <row r="55039" customFormat="1" ht="17.25" customHeight="1"/>
    <row r="55040" customFormat="1" ht="17.25" customHeight="1"/>
    <row r="55041" customFormat="1" ht="17.25" customHeight="1"/>
    <row r="55042" customFormat="1" ht="17.25" customHeight="1"/>
    <row r="55043" customFormat="1" ht="17.25" customHeight="1"/>
    <row r="55044" customFormat="1" ht="17.25" customHeight="1"/>
    <row r="55045" customFormat="1" ht="17.25" customHeight="1"/>
    <row r="55046" customFormat="1" ht="17.25" customHeight="1"/>
    <row r="55047" customFormat="1" ht="17.25" customHeight="1"/>
    <row r="55048" customFormat="1" ht="17.25" customHeight="1"/>
    <row r="55049" customFormat="1" ht="17.25" customHeight="1"/>
    <row r="55050" customFormat="1" ht="17.25" customHeight="1"/>
    <row r="55051" customFormat="1" ht="17.25" customHeight="1"/>
    <row r="55052" customFormat="1" ht="17.25" customHeight="1"/>
    <row r="55053" customFormat="1" ht="17.25" customHeight="1"/>
    <row r="55054" customFormat="1" ht="17.25" customHeight="1"/>
    <row r="55055" customFormat="1" ht="17.25" customHeight="1"/>
    <row r="55056" customFormat="1" ht="17.25" customHeight="1"/>
    <row r="55057" customFormat="1" ht="17.25" customHeight="1"/>
    <row r="55058" customFormat="1" ht="17.25" customHeight="1"/>
    <row r="55059" customFormat="1" ht="17.25" customHeight="1"/>
    <row r="55060" customFormat="1" ht="17.25" customHeight="1"/>
    <row r="55061" customFormat="1" ht="17.25" customHeight="1"/>
    <row r="55062" customFormat="1" ht="17.25" customHeight="1"/>
    <row r="55063" customFormat="1" ht="17.25" customHeight="1"/>
    <row r="55064" customFormat="1" ht="17.25" customHeight="1"/>
    <row r="55065" customFormat="1" ht="17.25" customHeight="1"/>
    <row r="55066" customFormat="1" ht="17.25" customHeight="1"/>
    <row r="55067" customFormat="1" ht="17.25" customHeight="1"/>
    <row r="55068" customFormat="1" ht="17.25" customHeight="1"/>
    <row r="55069" customFormat="1" ht="17.25" customHeight="1"/>
    <row r="55070" customFormat="1" ht="17.25" customHeight="1"/>
    <row r="55071" customFormat="1" ht="17.25" customHeight="1"/>
    <row r="55072" customFormat="1" ht="17.25" customHeight="1"/>
    <row r="55073" customFormat="1" ht="17.25" customHeight="1"/>
    <row r="55074" customFormat="1" ht="17.25" customHeight="1"/>
    <row r="55075" customFormat="1" ht="17.25" customHeight="1"/>
    <row r="55076" customFormat="1" ht="17.25" customHeight="1"/>
    <row r="55077" customFormat="1" ht="17.25" customHeight="1"/>
    <row r="55078" customFormat="1" ht="17.25" customHeight="1"/>
    <row r="55079" customFormat="1" ht="17.25" customHeight="1"/>
    <row r="55080" customFormat="1" ht="17.25" customHeight="1"/>
    <row r="55081" customFormat="1" ht="17.25" customHeight="1"/>
    <row r="55082" customFormat="1" ht="17.25" customHeight="1"/>
    <row r="55083" customFormat="1" ht="17.25" customHeight="1"/>
    <row r="55084" customFormat="1" ht="17.25" customHeight="1"/>
    <row r="55085" customFormat="1" ht="17.25" customHeight="1"/>
    <row r="55086" customFormat="1" ht="17.25" customHeight="1"/>
    <row r="55087" customFormat="1" ht="17.25" customHeight="1"/>
    <row r="55088" customFormat="1" ht="17.25" customHeight="1"/>
    <row r="55089" customFormat="1" ht="17.25" customHeight="1"/>
    <row r="55090" customFormat="1" ht="17.25" customHeight="1"/>
    <row r="55091" customFormat="1" ht="17.25" customHeight="1"/>
    <row r="55092" customFormat="1" ht="17.25" customHeight="1"/>
    <row r="55093" customFormat="1" ht="17.25" customHeight="1"/>
    <row r="55094" customFormat="1" ht="17.25" customHeight="1"/>
    <row r="55095" customFormat="1" ht="17.25" customHeight="1"/>
    <row r="55096" customFormat="1" ht="17.25" customHeight="1"/>
    <row r="55097" customFormat="1" ht="17.25" customHeight="1"/>
    <row r="55098" customFormat="1" ht="17.25" customHeight="1"/>
    <row r="55099" customFormat="1" ht="17.25" customHeight="1"/>
    <row r="55100" customFormat="1" ht="17.25" customHeight="1"/>
    <row r="55101" customFormat="1" ht="17.25" customHeight="1"/>
    <row r="55102" customFormat="1" ht="17.25" customHeight="1"/>
    <row r="55103" customFormat="1" ht="17.25" customHeight="1"/>
    <row r="55104" customFormat="1" ht="17.25" customHeight="1"/>
    <row r="55105" customFormat="1" ht="17.25" customHeight="1"/>
    <row r="55106" customFormat="1" ht="17.25" customHeight="1"/>
    <row r="55107" customFormat="1" ht="17.25" customHeight="1"/>
    <row r="55108" customFormat="1" ht="17.25" customHeight="1"/>
    <row r="55109" customFormat="1" ht="17.25" customHeight="1"/>
    <row r="55110" customFormat="1" ht="17.25" customHeight="1"/>
    <row r="55111" customFormat="1" ht="17.25" customHeight="1"/>
    <row r="55112" customFormat="1" ht="17.25" customHeight="1"/>
    <row r="55113" customFormat="1" ht="17.25" customHeight="1"/>
    <row r="55114" customFormat="1" ht="17.25" customHeight="1"/>
    <row r="55115" customFormat="1" ht="17.25" customHeight="1"/>
    <row r="55116" customFormat="1" ht="17.25" customHeight="1"/>
    <row r="55117" customFormat="1" ht="17.25" customHeight="1"/>
    <row r="55118" customFormat="1" ht="17.25" customHeight="1"/>
    <row r="55119" customFormat="1" ht="17.25" customHeight="1"/>
    <row r="55120" customFormat="1" ht="17.25" customHeight="1"/>
    <row r="55121" customFormat="1" ht="17.25" customHeight="1"/>
    <row r="55122" customFormat="1" ht="17.25" customHeight="1"/>
    <row r="55123" customFormat="1" ht="17.25" customHeight="1"/>
    <row r="55124" customFormat="1" ht="17.25" customHeight="1"/>
    <row r="55125" customFormat="1" ht="17.25" customHeight="1"/>
    <row r="55126" customFormat="1" ht="17.25" customHeight="1"/>
    <row r="55127" customFormat="1" ht="17.25" customHeight="1"/>
    <row r="55128" customFormat="1" ht="17.25" customHeight="1"/>
    <row r="55129" customFormat="1" ht="17.25" customHeight="1"/>
    <row r="55130" customFormat="1" ht="17.25" customHeight="1"/>
    <row r="55131" customFormat="1" ht="17.25" customHeight="1"/>
    <row r="55132" customFormat="1" ht="17.25" customHeight="1"/>
    <row r="55133" customFormat="1" ht="17.25" customHeight="1"/>
    <row r="55134" customFormat="1" ht="17.25" customHeight="1"/>
    <row r="55135" customFormat="1" ht="17.25" customHeight="1"/>
    <row r="55136" customFormat="1" ht="17.25" customHeight="1"/>
    <row r="55137" customFormat="1" ht="17.25" customHeight="1"/>
    <row r="55138" customFormat="1" ht="17.25" customHeight="1"/>
    <row r="55139" customFormat="1" ht="17.25" customHeight="1"/>
    <row r="55140" customFormat="1" ht="17.25" customHeight="1"/>
    <row r="55141" customFormat="1" ht="17.25" customHeight="1"/>
    <row r="55142" customFormat="1" ht="17.25" customHeight="1"/>
    <row r="55143" customFormat="1" ht="17.25" customHeight="1"/>
    <row r="55144" customFormat="1" ht="17.25" customHeight="1"/>
    <row r="55145" customFormat="1" ht="17.25" customHeight="1"/>
    <row r="55146" customFormat="1" ht="17.25" customHeight="1"/>
    <row r="55147" customFormat="1" ht="17.25" customHeight="1"/>
    <row r="55148" customFormat="1" ht="17.25" customHeight="1"/>
    <row r="55149" customFormat="1" ht="17.25" customHeight="1"/>
    <row r="55150" customFormat="1" ht="17.25" customHeight="1"/>
    <row r="55151" customFormat="1" ht="17.25" customHeight="1"/>
    <row r="55152" customFormat="1" ht="17.25" customHeight="1"/>
    <row r="55153" customFormat="1" ht="17.25" customHeight="1"/>
    <row r="55154" customFormat="1" ht="17.25" customHeight="1"/>
    <row r="55155" customFormat="1" ht="17.25" customHeight="1"/>
    <row r="55156" customFormat="1" ht="17.25" customHeight="1"/>
    <row r="55157" customFormat="1" ht="17.25" customHeight="1"/>
    <row r="55158" customFormat="1" ht="17.25" customHeight="1"/>
    <row r="55159" customFormat="1" ht="17.25" customHeight="1"/>
    <row r="55160" customFormat="1" ht="17.25" customHeight="1"/>
    <row r="55161" customFormat="1" ht="17.25" customHeight="1"/>
    <row r="55162" customFormat="1" ht="17.25" customHeight="1"/>
    <row r="55163" customFormat="1" ht="17.25" customHeight="1"/>
    <row r="55164" customFormat="1" ht="17.25" customHeight="1"/>
    <row r="55165" customFormat="1" ht="17.25" customHeight="1"/>
    <row r="55166" customFormat="1" ht="17.25" customHeight="1"/>
    <row r="55167" customFormat="1" ht="17.25" customHeight="1"/>
    <row r="55168" customFormat="1" ht="17.25" customHeight="1"/>
    <row r="55169" customFormat="1" ht="17.25" customHeight="1"/>
    <row r="55170" customFormat="1" ht="17.25" customHeight="1"/>
    <row r="55171" customFormat="1" ht="17.25" customHeight="1"/>
    <row r="55172" customFormat="1" ht="17.25" customHeight="1"/>
    <row r="55173" customFormat="1" ht="17.25" customHeight="1"/>
    <row r="55174" customFormat="1" ht="17.25" customHeight="1"/>
    <row r="55175" customFormat="1" ht="17.25" customHeight="1"/>
    <row r="55176" customFormat="1" ht="17.25" customHeight="1"/>
    <row r="55177" customFormat="1" ht="17.25" customHeight="1"/>
    <row r="55178" customFormat="1" ht="17.25" customHeight="1"/>
    <row r="55179" customFormat="1" ht="17.25" customHeight="1"/>
    <row r="55180" customFormat="1" ht="17.25" customHeight="1"/>
    <row r="55181" customFormat="1" ht="17.25" customHeight="1"/>
    <row r="55182" customFormat="1" ht="17.25" customHeight="1"/>
    <row r="55183" customFormat="1" ht="17.25" customHeight="1"/>
    <row r="55184" customFormat="1" ht="17.25" customHeight="1"/>
    <row r="55185" customFormat="1" ht="17.25" customHeight="1"/>
    <row r="55186" customFormat="1" ht="17.25" customHeight="1"/>
    <row r="55187" customFormat="1" ht="17.25" customHeight="1"/>
    <row r="55188" customFormat="1" ht="17.25" customHeight="1"/>
    <row r="55189" customFormat="1" ht="17.25" customHeight="1"/>
    <row r="55190" customFormat="1" ht="17.25" customHeight="1"/>
    <row r="55191" customFormat="1" ht="17.25" customHeight="1"/>
    <row r="55192" customFormat="1" ht="17.25" customHeight="1"/>
    <row r="55193" customFormat="1" ht="17.25" customHeight="1"/>
    <row r="55194" customFormat="1" ht="17.25" customHeight="1"/>
    <row r="55195" customFormat="1" ht="17.25" customHeight="1"/>
    <row r="55196" customFormat="1" ht="17.25" customHeight="1"/>
    <row r="55197" customFormat="1" ht="17.25" customHeight="1"/>
    <row r="55198" customFormat="1" ht="17.25" customHeight="1"/>
    <row r="55199" customFormat="1" ht="17.25" customHeight="1"/>
    <row r="55200" customFormat="1" ht="17.25" customHeight="1"/>
    <row r="55201" customFormat="1" ht="17.25" customHeight="1"/>
    <row r="55202" customFormat="1" ht="17.25" customHeight="1"/>
    <row r="55203" customFormat="1" ht="17.25" customHeight="1"/>
    <row r="55204" customFormat="1" ht="17.25" customHeight="1"/>
    <row r="55205" customFormat="1" ht="17.25" customHeight="1"/>
    <row r="55206" customFormat="1" ht="17.25" customHeight="1"/>
    <row r="55207" customFormat="1" ht="17.25" customHeight="1"/>
    <row r="55208" customFormat="1" ht="17.25" customHeight="1"/>
    <row r="55209" customFormat="1" ht="17.25" customHeight="1"/>
    <row r="55210" customFormat="1" ht="17.25" customHeight="1"/>
    <row r="55211" customFormat="1" ht="17.25" customHeight="1"/>
    <row r="55212" customFormat="1" ht="17.25" customHeight="1"/>
    <row r="55213" customFormat="1" ht="17.25" customHeight="1"/>
    <row r="55214" customFormat="1" ht="17.25" customHeight="1"/>
    <row r="55215" customFormat="1" ht="17.25" customHeight="1"/>
    <row r="55216" customFormat="1" ht="17.25" customHeight="1"/>
    <row r="55217" customFormat="1" ht="17.25" customHeight="1"/>
    <row r="55218" customFormat="1" ht="17.25" customHeight="1"/>
    <row r="55219" customFormat="1" ht="17.25" customHeight="1"/>
    <row r="55220" customFormat="1" ht="17.25" customHeight="1"/>
    <row r="55221" customFormat="1" ht="17.25" customHeight="1"/>
    <row r="55222" customFormat="1" ht="17.25" customHeight="1"/>
    <row r="55223" customFormat="1" ht="17.25" customHeight="1"/>
    <row r="55224" customFormat="1" ht="17.25" customHeight="1"/>
    <row r="55225" customFormat="1" ht="17.25" customHeight="1"/>
    <row r="55226" customFormat="1" ht="17.25" customHeight="1"/>
    <row r="55227" customFormat="1" ht="17.25" customHeight="1"/>
    <row r="55228" customFormat="1" ht="17.25" customHeight="1"/>
    <row r="55229" customFormat="1" ht="17.25" customHeight="1"/>
    <row r="55230" customFormat="1" ht="17.25" customHeight="1"/>
    <row r="55231" customFormat="1" ht="17.25" customHeight="1"/>
    <row r="55232" customFormat="1" ht="17.25" customHeight="1"/>
    <row r="55233" customFormat="1" ht="17.25" customHeight="1"/>
    <row r="55234" customFormat="1" ht="17.25" customHeight="1"/>
    <row r="55235" customFormat="1" ht="17.25" customHeight="1"/>
    <row r="55236" customFormat="1" ht="17.25" customHeight="1"/>
    <row r="55237" customFormat="1" ht="17.25" customHeight="1"/>
    <row r="55238" customFormat="1" ht="17.25" customHeight="1"/>
    <row r="55239" customFormat="1" ht="17.25" customHeight="1"/>
    <row r="55240" customFormat="1" ht="17.25" customHeight="1"/>
    <row r="55241" customFormat="1" ht="17.25" customHeight="1"/>
    <row r="55242" customFormat="1" ht="17.25" customHeight="1"/>
    <row r="55243" customFormat="1" ht="17.25" customHeight="1"/>
    <row r="55244" customFormat="1" ht="17.25" customHeight="1"/>
    <row r="55245" customFormat="1" ht="17.25" customHeight="1"/>
    <row r="55246" customFormat="1" ht="17.25" customHeight="1"/>
    <row r="55247" customFormat="1" ht="17.25" customHeight="1"/>
    <row r="55248" customFormat="1" ht="17.25" customHeight="1"/>
    <row r="55249" customFormat="1" ht="17.25" customHeight="1"/>
    <row r="55250" customFormat="1" ht="17.25" customHeight="1"/>
    <row r="55251" customFormat="1" ht="17.25" customHeight="1"/>
    <row r="55252" customFormat="1" ht="17.25" customHeight="1"/>
    <row r="55253" customFormat="1" ht="17.25" customHeight="1"/>
    <row r="55254" customFormat="1" ht="17.25" customHeight="1"/>
    <row r="55255" customFormat="1" ht="17.25" customHeight="1"/>
    <row r="55256" customFormat="1" ht="17.25" customHeight="1"/>
    <row r="55257" customFormat="1" ht="17.25" customHeight="1"/>
    <row r="55258" customFormat="1" ht="17.25" customHeight="1"/>
    <row r="55259" customFormat="1" ht="17.25" customHeight="1"/>
    <row r="55260" customFormat="1" ht="17.25" customHeight="1"/>
    <row r="55261" customFormat="1" ht="17.25" customHeight="1"/>
    <row r="55262" customFormat="1" ht="17.25" customHeight="1"/>
    <row r="55263" customFormat="1" ht="17.25" customHeight="1"/>
    <row r="55264" customFormat="1" ht="17.25" customHeight="1"/>
    <row r="55265" customFormat="1" ht="17.25" customHeight="1"/>
    <row r="55266" customFormat="1" ht="17.25" customHeight="1"/>
    <row r="55267" customFormat="1" ht="17.25" customHeight="1"/>
    <row r="55268" customFormat="1" ht="17.25" customHeight="1"/>
    <row r="55269" customFormat="1" ht="17.25" customHeight="1"/>
    <row r="55270" customFormat="1" ht="17.25" customHeight="1"/>
    <row r="55271" customFormat="1" ht="17.25" customHeight="1"/>
    <row r="55272" customFormat="1" ht="17.25" customHeight="1"/>
    <row r="55273" customFormat="1" ht="17.25" customHeight="1"/>
    <row r="55274" customFormat="1" ht="17.25" customHeight="1"/>
    <row r="55275" customFormat="1" ht="17.25" customHeight="1"/>
    <row r="55276" customFormat="1" ht="17.25" customHeight="1"/>
    <row r="55277" customFormat="1" ht="17.25" customHeight="1"/>
    <row r="55278" customFormat="1" ht="17.25" customHeight="1"/>
    <row r="55279" customFormat="1" ht="17.25" customHeight="1"/>
    <row r="55280" customFormat="1" ht="17.25" customHeight="1"/>
    <row r="55281" customFormat="1" ht="17.25" customHeight="1"/>
    <row r="55282" customFormat="1" ht="17.25" customHeight="1"/>
    <row r="55283" customFormat="1" ht="17.25" customHeight="1"/>
    <row r="55284" customFormat="1" ht="17.25" customHeight="1"/>
    <row r="55285" customFormat="1" ht="17.25" customHeight="1"/>
    <row r="55286" customFormat="1" ht="17.25" customHeight="1"/>
    <row r="55287" customFormat="1" ht="17.25" customHeight="1"/>
    <row r="55288" customFormat="1" ht="17.25" customHeight="1"/>
    <row r="55289" customFormat="1" ht="17.25" customHeight="1"/>
    <row r="55290" customFormat="1" ht="17.25" customHeight="1"/>
    <row r="55291" customFormat="1" ht="17.25" customHeight="1"/>
    <row r="55292" customFormat="1" ht="17.25" customHeight="1"/>
    <row r="55293" customFormat="1" ht="17.25" customHeight="1"/>
    <row r="55294" customFormat="1" ht="17.25" customHeight="1"/>
    <row r="55295" customFormat="1" ht="17.25" customHeight="1"/>
    <row r="55296" customFormat="1" ht="17.25" customHeight="1"/>
    <row r="55297" customFormat="1" ht="17.25" customHeight="1"/>
    <row r="55298" customFormat="1" ht="17.25" customHeight="1"/>
    <row r="55299" customFormat="1" ht="17.25" customHeight="1"/>
    <row r="55300" customFormat="1" ht="17.25" customHeight="1"/>
    <row r="55301" customFormat="1" ht="17.25" customHeight="1"/>
    <row r="55302" customFormat="1" ht="17.25" customHeight="1"/>
    <row r="55303" customFormat="1" ht="17.25" customHeight="1"/>
    <row r="55304" customFormat="1" ht="17.25" customHeight="1"/>
    <row r="55305" customFormat="1" ht="17.25" customHeight="1"/>
    <row r="55306" customFormat="1" ht="17.25" customHeight="1"/>
    <row r="55307" customFormat="1" ht="17.25" customHeight="1"/>
    <row r="55308" customFormat="1" ht="17.25" customHeight="1"/>
    <row r="55309" customFormat="1" ht="17.25" customHeight="1"/>
    <row r="55310" customFormat="1" ht="17.25" customHeight="1"/>
    <row r="55311" customFormat="1" ht="17.25" customHeight="1"/>
    <row r="55312" customFormat="1" ht="17.25" customHeight="1"/>
    <row r="55313" customFormat="1" ht="17.25" customHeight="1"/>
    <row r="55314" customFormat="1" ht="17.25" customHeight="1"/>
    <row r="55315" customFormat="1" ht="17.25" customHeight="1"/>
    <row r="55316" customFormat="1" ht="17.25" customHeight="1"/>
    <row r="55317" customFormat="1" ht="17.25" customHeight="1"/>
    <row r="55318" customFormat="1" ht="17.25" customHeight="1"/>
    <row r="55319" customFormat="1" ht="17.25" customHeight="1"/>
    <row r="55320" customFormat="1" ht="17.25" customHeight="1"/>
    <row r="55321" customFormat="1" ht="17.25" customHeight="1"/>
    <row r="55322" customFormat="1" ht="17.25" customHeight="1"/>
    <row r="55323" customFormat="1" ht="17.25" customHeight="1"/>
    <row r="55324" customFormat="1" ht="17.25" customHeight="1"/>
    <row r="55325" customFormat="1" ht="17.25" customHeight="1"/>
    <row r="55326" customFormat="1" ht="17.25" customHeight="1"/>
    <row r="55327" customFormat="1" ht="17.25" customHeight="1"/>
    <row r="55328" customFormat="1" ht="17.25" customHeight="1"/>
    <row r="55329" customFormat="1" ht="17.25" customHeight="1"/>
    <row r="55330" customFormat="1" ht="17.25" customHeight="1"/>
    <row r="55331" customFormat="1" ht="17.25" customHeight="1"/>
    <row r="55332" customFormat="1" ht="17.25" customHeight="1"/>
    <row r="55333" customFormat="1" ht="17.25" customHeight="1"/>
    <row r="55334" customFormat="1" ht="17.25" customHeight="1"/>
    <row r="55335" customFormat="1" ht="17.25" customHeight="1"/>
    <row r="55336" customFormat="1" ht="17.25" customHeight="1"/>
    <row r="55337" customFormat="1" ht="17.25" customHeight="1"/>
    <row r="55338" customFormat="1" ht="17.25" customHeight="1"/>
    <row r="55339" customFormat="1" ht="17.25" customHeight="1"/>
    <row r="55340" customFormat="1" ht="17.25" customHeight="1"/>
    <row r="55341" customFormat="1" ht="17.25" customHeight="1"/>
    <row r="55342" customFormat="1" ht="17.25" customHeight="1"/>
    <row r="55343" customFormat="1" ht="17.25" customHeight="1"/>
    <row r="55344" customFormat="1" ht="17.25" customHeight="1"/>
    <row r="55345" customFormat="1" ht="17.25" customHeight="1"/>
    <row r="55346" customFormat="1" ht="17.25" customHeight="1"/>
    <row r="55347" customFormat="1" ht="17.25" customHeight="1"/>
    <row r="55348" customFormat="1" ht="17.25" customHeight="1"/>
    <row r="55349" customFormat="1" ht="17.25" customHeight="1"/>
    <row r="55350" customFormat="1" ht="17.25" customHeight="1"/>
    <row r="55351" customFormat="1" ht="17.25" customHeight="1"/>
    <row r="55352" customFormat="1" ht="17.25" customHeight="1"/>
    <row r="55353" customFormat="1" ht="17.25" customHeight="1"/>
    <row r="55354" customFormat="1" ht="17.25" customHeight="1"/>
    <row r="55355" customFormat="1" ht="17.25" customHeight="1"/>
    <row r="55356" customFormat="1" ht="17.25" customHeight="1"/>
    <row r="55357" customFormat="1" ht="17.25" customHeight="1"/>
    <row r="55358" customFormat="1" ht="17.25" customHeight="1"/>
    <row r="55359" customFormat="1" ht="17.25" customHeight="1"/>
    <row r="55360" customFormat="1" ht="17.25" customHeight="1"/>
    <row r="55361" customFormat="1" ht="17.25" customHeight="1"/>
    <row r="55362" customFormat="1" ht="17.25" customHeight="1"/>
    <row r="55363" customFormat="1" ht="17.25" customHeight="1"/>
    <row r="55364" customFormat="1" ht="17.25" customHeight="1"/>
    <row r="55365" customFormat="1" ht="17.25" customHeight="1"/>
    <row r="55366" customFormat="1" ht="17.25" customHeight="1"/>
    <row r="55367" customFormat="1" ht="17.25" customHeight="1"/>
    <row r="55368" customFormat="1" ht="17.25" customHeight="1"/>
    <row r="55369" customFormat="1" ht="17.25" customHeight="1"/>
    <row r="55370" customFormat="1" ht="17.25" customHeight="1"/>
    <row r="55371" customFormat="1" ht="17.25" customHeight="1"/>
    <row r="55372" customFormat="1" ht="17.25" customHeight="1"/>
    <row r="55373" customFormat="1" ht="17.25" customHeight="1"/>
    <row r="55374" customFormat="1" ht="17.25" customHeight="1"/>
    <row r="55375" customFormat="1" ht="17.25" customHeight="1"/>
    <row r="55376" customFormat="1" ht="17.25" customHeight="1"/>
    <row r="55377" customFormat="1" ht="17.25" customHeight="1"/>
    <row r="55378" customFormat="1" ht="17.25" customHeight="1"/>
    <row r="55379" customFormat="1" ht="17.25" customHeight="1"/>
    <row r="55380" customFormat="1" ht="17.25" customHeight="1"/>
    <row r="55381" customFormat="1" ht="17.25" customHeight="1"/>
    <row r="55382" customFormat="1" ht="17.25" customHeight="1"/>
    <row r="55383" customFormat="1" ht="17.25" customHeight="1"/>
    <row r="55384" customFormat="1" ht="17.25" customHeight="1"/>
    <row r="55385" customFormat="1" ht="17.25" customHeight="1"/>
    <row r="55386" customFormat="1" ht="17.25" customHeight="1"/>
    <row r="55387" customFormat="1" ht="17.25" customHeight="1"/>
    <row r="55388" customFormat="1" ht="17.25" customHeight="1"/>
    <row r="55389" customFormat="1" ht="17.25" customHeight="1"/>
    <row r="55390" customFormat="1" ht="17.25" customHeight="1"/>
    <row r="55391" customFormat="1" ht="17.25" customHeight="1"/>
    <row r="55392" customFormat="1" ht="17.25" customHeight="1"/>
    <row r="55393" customFormat="1" ht="17.25" customHeight="1"/>
    <row r="55394" customFormat="1" ht="17.25" customHeight="1"/>
    <row r="55395" customFormat="1" ht="17.25" customHeight="1"/>
    <row r="55396" customFormat="1" ht="17.25" customHeight="1"/>
    <row r="55397" customFormat="1" ht="17.25" customHeight="1"/>
    <row r="55398" customFormat="1" ht="17.25" customHeight="1"/>
    <row r="55399" customFormat="1" ht="17.25" customHeight="1"/>
    <row r="55400" customFormat="1" ht="17.25" customHeight="1"/>
    <row r="55401" customFormat="1" ht="17.25" customHeight="1"/>
    <row r="55402" customFormat="1" ht="17.25" customHeight="1"/>
    <row r="55403" customFormat="1" ht="17.25" customHeight="1"/>
    <row r="55404" customFormat="1" ht="17.25" customHeight="1"/>
    <row r="55405" customFormat="1" ht="17.25" customHeight="1"/>
    <row r="55406" customFormat="1" ht="17.25" customHeight="1"/>
    <row r="55407" customFormat="1" ht="17.25" customHeight="1"/>
    <row r="55408" customFormat="1" ht="17.25" customHeight="1"/>
    <row r="55409" customFormat="1" ht="17.25" customHeight="1"/>
    <row r="55410" customFormat="1" ht="17.25" customHeight="1"/>
    <row r="55411" customFormat="1" ht="17.25" customHeight="1"/>
    <row r="55412" customFormat="1" ht="17.25" customHeight="1"/>
    <row r="55413" customFormat="1" ht="17.25" customHeight="1"/>
    <row r="55414" customFormat="1" ht="17.25" customHeight="1"/>
    <row r="55415" customFormat="1" ht="17.25" customHeight="1"/>
    <row r="55416" customFormat="1" ht="17.25" customHeight="1"/>
    <row r="55417" customFormat="1" ht="17.25" customHeight="1"/>
    <row r="55418" customFormat="1" ht="17.25" customHeight="1"/>
    <row r="55419" customFormat="1" ht="17.25" customHeight="1"/>
    <row r="55420" customFormat="1" ht="17.25" customHeight="1"/>
    <row r="55421" customFormat="1" ht="17.25" customHeight="1"/>
    <row r="55422" customFormat="1" ht="17.25" customHeight="1"/>
    <row r="55423" customFormat="1" ht="17.25" customHeight="1"/>
    <row r="55424" customFormat="1" ht="17.25" customHeight="1"/>
    <row r="55425" customFormat="1" ht="17.25" customHeight="1"/>
    <row r="55426" customFormat="1" ht="17.25" customHeight="1"/>
    <row r="55427" customFormat="1" ht="17.25" customHeight="1"/>
    <row r="55428" customFormat="1" ht="17.25" customHeight="1"/>
    <row r="55429" customFormat="1" ht="17.25" customHeight="1"/>
    <row r="55430" customFormat="1" ht="17.25" customHeight="1"/>
    <row r="55431" customFormat="1" ht="17.25" customHeight="1"/>
    <row r="55432" customFormat="1" ht="17.25" customHeight="1"/>
    <row r="55433" customFormat="1" ht="17.25" customHeight="1"/>
    <row r="55434" customFormat="1" ht="17.25" customHeight="1"/>
    <row r="55435" customFormat="1" ht="17.25" customHeight="1"/>
    <row r="55436" customFormat="1" ht="17.25" customHeight="1"/>
    <row r="55437" customFormat="1" ht="17.25" customHeight="1"/>
    <row r="55438" customFormat="1" ht="17.25" customHeight="1"/>
    <row r="55439" customFormat="1" ht="17.25" customHeight="1"/>
    <row r="55440" customFormat="1" ht="17.25" customHeight="1"/>
    <row r="55441" customFormat="1" ht="17.25" customHeight="1"/>
    <row r="55442" customFormat="1" ht="17.25" customHeight="1"/>
    <row r="55443" customFormat="1" ht="17.25" customHeight="1"/>
    <row r="55444" customFormat="1" ht="17.25" customHeight="1"/>
    <row r="55445" customFormat="1" ht="17.25" customHeight="1"/>
    <row r="55446" customFormat="1" ht="17.25" customHeight="1"/>
    <row r="55447" customFormat="1" ht="17.25" customHeight="1"/>
    <row r="55448" customFormat="1" ht="17.25" customHeight="1"/>
    <row r="55449" customFormat="1" ht="17.25" customHeight="1"/>
    <row r="55450" customFormat="1" ht="17.25" customHeight="1"/>
    <row r="55451" customFormat="1" ht="17.25" customHeight="1"/>
    <row r="55452" customFormat="1" ht="17.25" customHeight="1"/>
    <row r="55453" customFormat="1" ht="17.25" customHeight="1"/>
    <row r="55454" customFormat="1" ht="17.25" customHeight="1"/>
    <row r="55455" customFormat="1" ht="17.25" customHeight="1"/>
    <row r="55456" customFormat="1" ht="17.25" customHeight="1"/>
    <row r="55457" customFormat="1" ht="17.25" customHeight="1"/>
    <row r="55458" customFormat="1" ht="17.25" customHeight="1"/>
    <row r="55459" customFormat="1" ht="17.25" customHeight="1"/>
    <row r="55460" customFormat="1" ht="17.25" customHeight="1"/>
    <row r="55461" customFormat="1" ht="17.25" customHeight="1"/>
    <row r="55462" customFormat="1" ht="17.25" customHeight="1"/>
    <row r="55463" customFormat="1" ht="17.25" customHeight="1"/>
    <row r="55464" customFormat="1" ht="17.25" customHeight="1"/>
    <row r="55465" customFormat="1" ht="17.25" customHeight="1"/>
    <row r="55466" customFormat="1" ht="17.25" customHeight="1"/>
    <row r="55467" customFormat="1" ht="17.25" customHeight="1"/>
    <row r="55468" customFormat="1" ht="17.25" customHeight="1"/>
    <row r="55469" customFormat="1" ht="17.25" customHeight="1"/>
    <row r="55470" customFormat="1" ht="17.25" customHeight="1"/>
    <row r="55471" customFormat="1" ht="17.25" customHeight="1"/>
    <row r="55472" customFormat="1" ht="17.25" customHeight="1"/>
    <row r="55473" customFormat="1" ht="17.25" customHeight="1"/>
    <row r="55474" customFormat="1" ht="17.25" customHeight="1"/>
    <row r="55475" customFormat="1" ht="17.25" customHeight="1"/>
    <row r="55476" customFormat="1" ht="17.25" customHeight="1"/>
    <row r="55477" customFormat="1" ht="17.25" customHeight="1"/>
    <row r="55478" customFormat="1" ht="17.25" customHeight="1"/>
    <row r="55479" customFormat="1" ht="17.25" customHeight="1"/>
    <row r="55480" customFormat="1" ht="17.25" customHeight="1"/>
    <row r="55481" customFormat="1" ht="17.25" customHeight="1"/>
    <row r="55482" customFormat="1" ht="17.25" customHeight="1"/>
    <row r="55483" customFormat="1" ht="17.25" customHeight="1"/>
    <row r="55484" customFormat="1" ht="17.25" customHeight="1"/>
    <row r="55485" customFormat="1" ht="17.25" customHeight="1"/>
    <row r="55486" customFormat="1" ht="17.25" customHeight="1"/>
    <row r="55487" customFormat="1" ht="17.25" customHeight="1"/>
    <row r="55488" customFormat="1" ht="17.25" customHeight="1"/>
    <row r="55489" customFormat="1" ht="17.25" customHeight="1"/>
    <row r="55490" customFormat="1" ht="17.25" customHeight="1"/>
    <row r="55491" customFormat="1" ht="17.25" customHeight="1"/>
    <row r="55492" customFormat="1" ht="17.25" customHeight="1"/>
    <row r="55493" customFormat="1" ht="17.25" customHeight="1"/>
    <row r="55494" customFormat="1" ht="17.25" customHeight="1"/>
    <row r="55495" customFormat="1" ht="17.25" customHeight="1"/>
    <row r="55496" customFormat="1" ht="17.25" customHeight="1"/>
    <row r="55497" customFormat="1" ht="17.25" customHeight="1"/>
    <row r="55498" customFormat="1" ht="17.25" customHeight="1"/>
    <row r="55499" customFormat="1" ht="17.25" customHeight="1"/>
    <row r="55500" customFormat="1" ht="17.25" customHeight="1"/>
    <row r="55501" customFormat="1" ht="17.25" customHeight="1"/>
    <row r="55502" customFormat="1" ht="17.25" customHeight="1"/>
    <row r="55503" customFormat="1" ht="17.25" customHeight="1"/>
    <row r="55504" customFormat="1" ht="17.25" customHeight="1"/>
    <row r="55505" customFormat="1" ht="17.25" customHeight="1"/>
    <row r="55506" customFormat="1" ht="17.25" customHeight="1"/>
    <row r="55507" customFormat="1" ht="17.25" customHeight="1"/>
    <row r="55508" customFormat="1" ht="17.25" customHeight="1"/>
    <row r="55509" customFormat="1" ht="17.25" customHeight="1"/>
    <row r="55510" customFormat="1" ht="17.25" customHeight="1"/>
    <row r="55511" customFormat="1" ht="17.25" customHeight="1"/>
    <row r="55512" customFormat="1" ht="17.25" customHeight="1"/>
    <row r="55513" customFormat="1" ht="17.25" customHeight="1"/>
    <row r="55514" customFormat="1" ht="17.25" customHeight="1"/>
    <row r="55515" customFormat="1" ht="17.25" customHeight="1"/>
    <row r="55516" customFormat="1" ht="17.25" customHeight="1"/>
    <row r="55517" customFormat="1" ht="17.25" customHeight="1"/>
    <row r="55518" customFormat="1" ht="17.25" customHeight="1"/>
    <row r="55519" customFormat="1" ht="17.25" customHeight="1"/>
    <row r="55520" customFormat="1" ht="17.25" customHeight="1"/>
    <row r="55521" customFormat="1" ht="17.25" customHeight="1"/>
    <row r="55522" customFormat="1" ht="17.25" customHeight="1"/>
    <row r="55523" customFormat="1" ht="17.25" customHeight="1"/>
    <row r="55524" customFormat="1" ht="17.25" customHeight="1"/>
    <row r="55525" customFormat="1" ht="17.25" customHeight="1"/>
    <row r="55526" customFormat="1" ht="17.25" customHeight="1"/>
    <row r="55527" customFormat="1" ht="17.25" customHeight="1"/>
    <row r="55528" customFormat="1" ht="17.25" customHeight="1"/>
    <row r="55529" customFormat="1" ht="17.25" customHeight="1"/>
    <row r="55530" customFormat="1" ht="17.25" customHeight="1"/>
    <row r="55531" customFormat="1" ht="17.25" customHeight="1"/>
    <row r="55532" customFormat="1" ht="17.25" customHeight="1"/>
    <row r="55533" customFormat="1" ht="17.25" customHeight="1"/>
    <row r="55534" customFormat="1" ht="17.25" customHeight="1"/>
    <row r="55535" customFormat="1" ht="17.25" customHeight="1"/>
    <row r="55536" customFormat="1" ht="17.25" customHeight="1"/>
    <row r="55537" customFormat="1" ht="17.25" customHeight="1"/>
    <row r="55538" customFormat="1" ht="17.25" customHeight="1"/>
    <row r="55539" customFormat="1" ht="17.25" customHeight="1"/>
    <row r="55540" customFormat="1" ht="17.25" customHeight="1"/>
    <row r="55541" customFormat="1" ht="17.25" customHeight="1"/>
    <row r="55542" customFormat="1" ht="17.25" customHeight="1"/>
    <row r="55543" customFormat="1" ht="17.25" customHeight="1"/>
    <row r="55544" customFormat="1" ht="17.25" customHeight="1"/>
    <row r="55545" customFormat="1" ht="17.25" customHeight="1"/>
    <row r="55546" customFormat="1" ht="17.25" customHeight="1"/>
    <row r="55547" customFormat="1" ht="17.25" customHeight="1"/>
    <row r="55548" customFormat="1" ht="17.25" customHeight="1"/>
    <row r="55549" customFormat="1" ht="17.25" customHeight="1"/>
    <row r="55550" customFormat="1" ht="17.25" customHeight="1"/>
    <row r="55551" customFormat="1" ht="17.25" customHeight="1"/>
    <row r="55552" customFormat="1" ht="17.25" customHeight="1"/>
    <row r="55553" customFormat="1" ht="17.25" customHeight="1"/>
    <row r="55554" customFormat="1" ht="17.25" customHeight="1"/>
    <row r="55555" customFormat="1" ht="17.25" customHeight="1"/>
    <row r="55556" customFormat="1" ht="17.25" customHeight="1"/>
    <row r="55557" customFormat="1" ht="17.25" customHeight="1"/>
    <row r="55558" customFormat="1" ht="17.25" customHeight="1"/>
    <row r="55559" customFormat="1" ht="17.25" customHeight="1"/>
    <row r="55560" customFormat="1" ht="17.25" customHeight="1"/>
    <row r="55561" customFormat="1" ht="17.25" customHeight="1"/>
    <row r="55562" customFormat="1" ht="17.25" customHeight="1"/>
    <row r="55563" customFormat="1" ht="17.25" customHeight="1"/>
    <row r="55564" customFormat="1" ht="17.25" customHeight="1"/>
    <row r="55565" customFormat="1" ht="17.25" customHeight="1"/>
    <row r="55566" customFormat="1" ht="17.25" customHeight="1"/>
    <row r="55567" customFormat="1" ht="17.25" customHeight="1"/>
    <row r="55568" customFormat="1" ht="17.25" customHeight="1"/>
    <row r="55569" customFormat="1" ht="17.25" customHeight="1"/>
    <row r="55570" customFormat="1" ht="17.25" customHeight="1"/>
    <row r="55571" customFormat="1" ht="17.25" customHeight="1"/>
    <row r="55572" customFormat="1" ht="17.25" customHeight="1"/>
    <row r="55573" customFormat="1" ht="17.25" customHeight="1"/>
    <row r="55574" customFormat="1" ht="17.25" customHeight="1"/>
    <row r="55575" customFormat="1" ht="17.25" customHeight="1"/>
    <row r="55576" customFormat="1" ht="17.25" customHeight="1"/>
    <row r="55577" customFormat="1" ht="17.25" customHeight="1"/>
    <row r="55578" customFormat="1" ht="17.25" customHeight="1"/>
    <row r="55579" customFormat="1" ht="17.25" customHeight="1"/>
    <row r="55580" customFormat="1" ht="17.25" customHeight="1"/>
    <row r="55581" customFormat="1" ht="17.25" customHeight="1"/>
    <row r="55582" customFormat="1" ht="17.25" customHeight="1"/>
    <row r="55583" customFormat="1" ht="17.25" customHeight="1"/>
    <row r="55584" customFormat="1" ht="17.25" customHeight="1"/>
    <row r="55585" customFormat="1" ht="17.25" customHeight="1"/>
    <row r="55586" customFormat="1" ht="17.25" customHeight="1"/>
    <row r="55587" customFormat="1" ht="17.25" customHeight="1"/>
    <row r="55588" customFormat="1" ht="17.25" customHeight="1"/>
    <row r="55589" customFormat="1" ht="17.25" customHeight="1"/>
    <row r="55590" customFormat="1" ht="17.25" customHeight="1"/>
    <row r="55591" customFormat="1" ht="17.25" customHeight="1"/>
    <row r="55592" customFormat="1" ht="17.25" customHeight="1"/>
    <row r="55593" customFormat="1" ht="17.25" customHeight="1"/>
    <row r="55594" customFormat="1" ht="17.25" customHeight="1"/>
    <row r="55595" customFormat="1" ht="17.25" customHeight="1"/>
    <row r="55596" customFormat="1" ht="17.25" customHeight="1"/>
    <row r="55597" customFormat="1" ht="17.25" customHeight="1"/>
    <row r="55598" customFormat="1" ht="17.25" customHeight="1"/>
    <row r="55599" customFormat="1" ht="17.25" customHeight="1"/>
    <row r="55600" customFormat="1" ht="17.25" customHeight="1"/>
    <row r="55601" customFormat="1" ht="17.25" customHeight="1"/>
    <row r="55602" customFormat="1" ht="17.25" customHeight="1"/>
    <row r="55603" customFormat="1" ht="17.25" customHeight="1"/>
    <row r="55604" customFormat="1" ht="17.25" customHeight="1"/>
    <row r="55605" customFormat="1" ht="17.25" customHeight="1"/>
    <row r="55606" customFormat="1" ht="17.25" customHeight="1"/>
    <row r="55607" customFormat="1" ht="17.25" customHeight="1"/>
    <row r="55608" customFormat="1" ht="17.25" customHeight="1"/>
    <row r="55609" customFormat="1" ht="17.25" customHeight="1"/>
    <row r="55610" customFormat="1" ht="17.25" customHeight="1"/>
    <row r="55611" customFormat="1" ht="17.25" customHeight="1"/>
    <row r="55612" customFormat="1" ht="17.25" customHeight="1"/>
    <row r="55613" customFormat="1" ht="17.25" customHeight="1"/>
    <row r="55614" customFormat="1" ht="17.25" customHeight="1"/>
    <row r="55615" customFormat="1" ht="17.25" customHeight="1"/>
    <row r="55616" customFormat="1" ht="17.25" customHeight="1"/>
    <row r="55617" customFormat="1" ht="17.25" customHeight="1"/>
    <row r="55618" customFormat="1" ht="17.25" customHeight="1"/>
    <row r="55619" customFormat="1" ht="17.25" customHeight="1"/>
    <row r="55620" customFormat="1" ht="17.25" customHeight="1"/>
    <row r="55621" customFormat="1" ht="17.25" customHeight="1"/>
    <row r="55622" customFormat="1" ht="17.25" customHeight="1"/>
    <row r="55623" customFormat="1" ht="17.25" customHeight="1"/>
    <row r="55624" customFormat="1" ht="17.25" customHeight="1"/>
    <row r="55625" customFormat="1" ht="17.25" customHeight="1"/>
    <row r="55626" customFormat="1" ht="17.25" customHeight="1"/>
    <row r="55627" customFormat="1" ht="17.25" customHeight="1"/>
    <row r="55628" customFormat="1" ht="17.25" customHeight="1"/>
    <row r="55629" customFormat="1" ht="17.25" customHeight="1"/>
    <row r="55630" customFormat="1" ht="17.25" customHeight="1"/>
    <row r="55631" customFormat="1" ht="17.25" customHeight="1"/>
    <row r="55632" customFormat="1" ht="17.25" customHeight="1"/>
    <row r="55633" customFormat="1" ht="17.25" customHeight="1"/>
    <row r="55634" customFormat="1" ht="17.25" customHeight="1"/>
    <row r="55635" customFormat="1" ht="17.25" customHeight="1"/>
    <row r="55636" customFormat="1" ht="17.25" customHeight="1"/>
    <row r="55637" customFormat="1" ht="17.25" customHeight="1"/>
    <row r="55638" customFormat="1" ht="17.25" customHeight="1"/>
    <row r="55639" customFormat="1" ht="17.25" customHeight="1"/>
    <row r="55640" customFormat="1" ht="17.25" customHeight="1"/>
    <row r="55641" customFormat="1" ht="17.25" customHeight="1"/>
    <row r="55642" customFormat="1" ht="17.25" customHeight="1"/>
    <row r="55643" customFormat="1" ht="17.25" customHeight="1"/>
    <row r="55644" customFormat="1" ht="17.25" customHeight="1"/>
    <row r="55645" customFormat="1" ht="17.25" customHeight="1"/>
    <row r="55646" customFormat="1" ht="17.25" customHeight="1"/>
    <row r="55647" customFormat="1" ht="17.25" customHeight="1"/>
    <row r="55648" customFormat="1" ht="17.25" customHeight="1"/>
    <row r="55649" customFormat="1" ht="17.25" customHeight="1"/>
    <row r="55650" customFormat="1" ht="17.25" customHeight="1"/>
    <row r="55651" customFormat="1" ht="17.25" customHeight="1"/>
    <row r="55652" customFormat="1" ht="17.25" customHeight="1"/>
    <row r="55653" customFormat="1" ht="17.25" customHeight="1"/>
    <row r="55654" customFormat="1" ht="17.25" customHeight="1"/>
    <row r="55655" customFormat="1" ht="17.25" customHeight="1"/>
    <row r="55656" customFormat="1" ht="17.25" customHeight="1"/>
    <row r="55657" customFormat="1" ht="17.25" customHeight="1"/>
    <row r="55658" customFormat="1" ht="17.25" customHeight="1"/>
    <row r="55659" customFormat="1" ht="17.25" customHeight="1"/>
    <row r="55660" customFormat="1" ht="17.25" customHeight="1"/>
    <row r="55661" customFormat="1" ht="17.25" customHeight="1"/>
    <row r="55662" customFormat="1" ht="17.25" customHeight="1"/>
    <row r="55663" customFormat="1" ht="17.25" customHeight="1"/>
    <row r="55664" customFormat="1" ht="17.25" customHeight="1"/>
    <row r="55665" customFormat="1" ht="17.25" customHeight="1"/>
    <row r="55666" customFormat="1" ht="17.25" customHeight="1"/>
    <row r="55667" customFormat="1" ht="17.25" customHeight="1"/>
    <row r="55668" customFormat="1" ht="17.25" customHeight="1"/>
    <row r="55669" customFormat="1" ht="17.25" customHeight="1"/>
    <row r="55670" customFormat="1" ht="17.25" customHeight="1"/>
    <row r="55671" customFormat="1" ht="17.25" customHeight="1"/>
    <row r="55672" customFormat="1" ht="17.25" customHeight="1"/>
    <row r="55673" customFormat="1" ht="17.25" customHeight="1"/>
    <row r="55674" customFormat="1" ht="17.25" customHeight="1"/>
    <row r="55675" customFormat="1" ht="17.25" customHeight="1"/>
    <row r="55676" customFormat="1" ht="17.25" customHeight="1"/>
    <row r="55677" customFormat="1" ht="17.25" customHeight="1"/>
    <row r="55678" customFormat="1" ht="17.25" customHeight="1"/>
    <row r="55679" customFormat="1" ht="17.25" customHeight="1"/>
    <row r="55680" customFormat="1" ht="17.25" customHeight="1"/>
    <row r="55681" customFormat="1" ht="17.25" customHeight="1"/>
    <row r="55682" customFormat="1" ht="17.25" customHeight="1"/>
    <row r="55683" customFormat="1" ht="17.25" customHeight="1"/>
    <row r="55684" customFormat="1" ht="17.25" customHeight="1"/>
    <row r="55685" customFormat="1" ht="17.25" customHeight="1"/>
    <row r="55686" customFormat="1" ht="17.25" customHeight="1"/>
    <row r="55687" customFormat="1" ht="17.25" customHeight="1"/>
    <row r="55688" customFormat="1" ht="17.25" customHeight="1"/>
    <row r="55689" customFormat="1" ht="17.25" customHeight="1"/>
    <row r="55690" customFormat="1" ht="17.25" customHeight="1"/>
    <row r="55691" customFormat="1" ht="17.25" customHeight="1"/>
    <row r="55692" customFormat="1" ht="17.25" customHeight="1"/>
    <row r="55693" customFormat="1" ht="17.25" customHeight="1"/>
    <row r="55694" customFormat="1" ht="17.25" customHeight="1"/>
    <row r="55695" customFormat="1" ht="17.25" customHeight="1"/>
    <row r="55696" customFormat="1" ht="17.25" customHeight="1"/>
    <row r="55697" customFormat="1" ht="17.25" customHeight="1"/>
    <row r="55698" customFormat="1" ht="17.25" customHeight="1"/>
    <row r="55699" customFormat="1" ht="17.25" customHeight="1"/>
    <row r="55700" customFormat="1" ht="17.25" customHeight="1"/>
    <row r="55701" customFormat="1" ht="17.25" customHeight="1"/>
    <row r="55702" customFormat="1" ht="17.25" customHeight="1"/>
    <row r="55703" customFormat="1" ht="17.25" customHeight="1"/>
    <row r="55704" customFormat="1" ht="17.25" customHeight="1"/>
    <row r="55705" customFormat="1" ht="17.25" customHeight="1"/>
    <row r="55706" customFormat="1" ht="17.25" customHeight="1"/>
    <row r="55707" customFormat="1" ht="17.25" customHeight="1"/>
    <row r="55708" customFormat="1" ht="17.25" customHeight="1"/>
    <row r="55709" customFormat="1" ht="17.25" customHeight="1"/>
    <row r="55710" customFormat="1" ht="17.25" customHeight="1"/>
    <row r="55711" customFormat="1" ht="17.25" customHeight="1"/>
    <row r="55712" customFormat="1" ht="17.25" customHeight="1"/>
    <row r="55713" customFormat="1" ht="17.25" customHeight="1"/>
    <row r="55714" customFormat="1" ht="17.25" customHeight="1"/>
    <row r="55715" customFormat="1" ht="17.25" customHeight="1"/>
    <row r="55716" customFormat="1" ht="17.25" customHeight="1"/>
    <row r="55717" customFormat="1" ht="17.25" customHeight="1"/>
    <row r="55718" customFormat="1" ht="17.25" customHeight="1"/>
    <row r="55719" customFormat="1" ht="17.25" customHeight="1"/>
    <row r="55720" customFormat="1" ht="17.25" customHeight="1"/>
    <row r="55721" customFormat="1" ht="17.25" customHeight="1"/>
    <row r="55722" customFormat="1" ht="17.25" customHeight="1"/>
    <row r="55723" customFormat="1" ht="17.25" customHeight="1"/>
    <row r="55724" customFormat="1" ht="17.25" customHeight="1"/>
    <row r="55725" customFormat="1" ht="17.25" customHeight="1"/>
    <row r="55726" customFormat="1" ht="17.25" customHeight="1"/>
    <row r="55727" customFormat="1" ht="17.25" customHeight="1"/>
    <row r="55728" customFormat="1" ht="17.25" customHeight="1"/>
    <row r="55729" customFormat="1" ht="17.25" customHeight="1"/>
    <row r="55730" customFormat="1" ht="17.25" customHeight="1"/>
    <row r="55731" customFormat="1" ht="17.25" customHeight="1"/>
    <row r="55732" customFormat="1" ht="17.25" customHeight="1"/>
    <row r="55733" customFormat="1" ht="17.25" customHeight="1"/>
    <row r="55734" customFormat="1" ht="17.25" customHeight="1"/>
    <row r="55735" customFormat="1" ht="17.25" customHeight="1"/>
    <row r="55736" customFormat="1" ht="17.25" customHeight="1"/>
    <row r="55737" customFormat="1" ht="17.25" customHeight="1"/>
    <row r="55738" customFormat="1" ht="17.25" customHeight="1"/>
    <row r="55739" customFormat="1" ht="17.25" customHeight="1"/>
    <row r="55740" customFormat="1" ht="17.25" customHeight="1"/>
    <row r="55741" customFormat="1" ht="17.25" customHeight="1"/>
    <row r="55742" customFormat="1" ht="17.25" customHeight="1"/>
    <row r="55743" customFormat="1" ht="17.25" customHeight="1"/>
    <row r="55744" customFormat="1" ht="17.25" customHeight="1"/>
    <row r="55745" customFormat="1" ht="17.25" customHeight="1"/>
    <row r="55746" customFormat="1" ht="17.25" customHeight="1"/>
    <row r="55747" customFormat="1" ht="17.25" customHeight="1"/>
    <row r="55748" customFormat="1" ht="17.25" customHeight="1"/>
    <row r="55749" customFormat="1" ht="17.25" customHeight="1"/>
    <row r="55750" customFormat="1" ht="17.25" customHeight="1"/>
    <row r="55751" customFormat="1" ht="17.25" customHeight="1"/>
    <row r="55752" customFormat="1" ht="17.25" customHeight="1"/>
    <row r="55753" customFormat="1" ht="17.25" customHeight="1"/>
    <row r="55754" customFormat="1" ht="17.25" customHeight="1"/>
    <row r="55755" customFormat="1" ht="17.25" customHeight="1"/>
    <row r="55756" customFormat="1" ht="17.25" customHeight="1"/>
    <row r="55757" customFormat="1" ht="17.25" customHeight="1"/>
    <row r="55758" customFormat="1" ht="17.25" customHeight="1"/>
    <row r="55759" customFormat="1" ht="17.25" customHeight="1"/>
    <row r="55760" customFormat="1" ht="17.25" customHeight="1"/>
    <row r="55761" customFormat="1" ht="17.25" customHeight="1"/>
    <row r="55762" customFormat="1" ht="17.25" customHeight="1"/>
    <row r="55763" customFormat="1" ht="17.25" customHeight="1"/>
    <row r="55764" customFormat="1" ht="17.25" customHeight="1"/>
    <row r="55765" customFormat="1" ht="17.25" customHeight="1"/>
    <row r="55766" customFormat="1" ht="17.25" customHeight="1"/>
    <row r="55767" customFormat="1" ht="17.25" customHeight="1"/>
    <row r="55768" customFormat="1" ht="17.25" customHeight="1"/>
    <row r="55769" customFormat="1" ht="17.25" customHeight="1"/>
    <row r="55770" customFormat="1" ht="17.25" customHeight="1"/>
    <row r="55771" customFormat="1" ht="17.25" customHeight="1"/>
    <row r="55772" customFormat="1" ht="17.25" customHeight="1"/>
    <row r="55773" customFormat="1" ht="17.25" customHeight="1"/>
    <row r="55774" customFormat="1" ht="17.25" customHeight="1"/>
    <row r="55775" customFormat="1" ht="17.25" customHeight="1"/>
    <row r="55776" customFormat="1" ht="17.25" customHeight="1"/>
    <row r="55777" customFormat="1" ht="17.25" customHeight="1"/>
    <row r="55778" customFormat="1" ht="17.25" customHeight="1"/>
    <row r="55779" customFormat="1" ht="17.25" customHeight="1"/>
    <row r="55780" customFormat="1" ht="17.25" customHeight="1"/>
    <row r="55781" customFormat="1" ht="17.25" customHeight="1"/>
    <row r="55782" customFormat="1" ht="17.25" customHeight="1"/>
    <row r="55783" customFormat="1" ht="17.25" customHeight="1"/>
    <row r="55784" customFormat="1" ht="17.25" customHeight="1"/>
    <row r="55785" customFormat="1" ht="17.25" customHeight="1"/>
    <row r="55786" customFormat="1" ht="17.25" customHeight="1"/>
    <row r="55787" customFormat="1" ht="17.25" customHeight="1"/>
    <row r="55788" customFormat="1" ht="17.25" customHeight="1"/>
    <row r="55789" customFormat="1" ht="17.25" customHeight="1"/>
    <row r="55790" customFormat="1" ht="17.25" customHeight="1"/>
    <row r="55791" customFormat="1" ht="17.25" customHeight="1"/>
    <row r="55792" customFormat="1" ht="17.25" customHeight="1"/>
    <row r="55793" customFormat="1" ht="17.25" customHeight="1"/>
    <row r="55794" customFormat="1" ht="17.25" customHeight="1"/>
    <row r="55795" customFormat="1" ht="17.25" customHeight="1"/>
    <row r="55796" customFormat="1" ht="17.25" customHeight="1"/>
    <row r="55797" customFormat="1" ht="17.25" customHeight="1"/>
    <row r="55798" customFormat="1" ht="17.25" customHeight="1"/>
    <row r="55799" customFormat="1" ht="17.25" customHeight="1"/>
    <row r="55800" customFormat="1" ht="17.25" customHeight="1"/>
    <row r="55801" customFormat="1" ht="17.25" customHeight="1"/>
    <row r="55802" customFormat="1" ht="17.25" customHeight="1"/>
    <row r="55803" customFormat="1" ht="17.25" customHeight="1"/>
    <row r="55804" customFormat="1" ht="17.25" customHeight="1"/>
    <row r="55805" customFormat="1" ht="17.25" customHeight="1"/>
    <row r="55806" customFormat="1" ht="17.25" customHeight="1"/>
    <row r="55807" customFormat="1" ht="17.25" customHeight="1"/>
    <row r="55808" customFormat="1" ht="17.25" customHeight="1"/>
    <row r="55809" customFormat="1" ht="17.25" customHeight="1"/>
    <row r="55810" customFormat="1" ht="17.25" customHeight="1"/>
    <row r="55811" customFormat="1" ht="17.25" customHeight="1"/>
    <row r="55812" customFormat="1" ht="17.25" customHeight="1"/>
    <row r="55813" customFormat="1" ht="17.25" customHeight="1"/>
    <row r="55814" customFormat="1" ht="17.25" customHeight="1"/>
    <row r="55815" customFormat="1" ht="17.25" customHeight="1"/>
    <row r="55816" customFormat="1" ht="17.25" customHeight="1"/>
    <row r="55817" customFormat="1" ht="17.25" customHeight="1"/>
    <row r="55818" customFormat="1" ht="17.25" customHeight="1"/>
    <row r="55819" customFormat="1" ht="17.25" customHeight="1"/>
    <row r="55820" customFormat="1" ht="17.25" customHeight="1"/>
    <row r="55821" customFormat="1" ht="17.25" customHeight="1"/>
    <row r="55822" customFormat="1" ht="17.25" customHeight="1"/>
    <row r="55823" customFormat="1" ht="17.25" customHeight="1"/>
    <row r="55824" customFormat="1" ht="17.25" customHeight="1"/>
    <row r="55825" customFormat="1" ht="17.25" customHeight="1"/>
    <row r="55826" customFormat="1" ht="17.25" customHeight="1"/>
    <row r="55827" customFormat="1" ht="17.25" customHeight="1"/>
    <row r="55828" customFormat="1" ht="17.25" customHeight="1"/>
    <row r="55829" customFormat="1" ht="17.25" customHeight="1"/>
    <row r="55830" customFormat="1" ht="17.25" customHeight="1"/>
    <row r="55831" customFormat="1" ht="17.25" customHeight="1"/>
    <row r="55832" customFormat="1" ht="17.25" customHeight="1"/>
    <row r="55833" customFormat="1" ht="17.25" customHeight="1"/>
    <row r="55834" customFormat="1" ht="17.25" customHeight="1"/>
    <row r="55835" customFormat="1" ht="17.25" customHeight="1"/>
    <row r="55836" customFormat="1" ht="17.25" customHeight="1"/>
    <row r="55837" customFormat="1" ht="17.25" customHeight="1"/>
    <row r="55838" customFormat="1" ht="17.25" customHeight="1"/>
    <row r="55839" customFormat="1" ht="17.25" customHeight="1"/>
    <row r="55840" customFormat="1" ht="17.25" customHeight="1"/>
    <row r="55841" customFormat="1" ht="17.25" customHeight="1"/>
    <row r="55842" customFormat="1" ht="17.25" customHeight="1"/>
    <row r="55843" customFormat="1" ht="17.25" customHeight="1"/>
    <row r="55844" customFormat="1" ht="17.25" customHeight="1"/>
    <row r="55845" customFormat="1" ht="17.25" customHeight="1"/>
    <row r="55846" customFormat="1" ht="17.25" customHeight="1"/>
    <row r="55847" customFormat="1" ht="17.25" customHeight="1"/>
    <row r="55848" customFormat="1" ht="17.25" customHeight="1"/>
    <row r="55849" customFormat="1" ht="17.25" customHeight="1"/>
    <row r="55850" customFormat="1" ht="17.25" customHeight="1"/>
    <row r="55851" customFormat="1" ht="17.25" customHeight="1"/>
    <row r="55852" customFormat="1" ht="17.25" customHeight="1"/>
    <row r="55853" customFormat="1" ht="17.25" customHeight="1"/>
    <row r="55854" customFormat="1" ht="17.25" customHeight="1"/>
    <row r="55855" customFormat="1" ht="17.25" customHeight="1"/>
    <row r="55856" customFormat="1" ht="17.25" customHeight="1"/>
    <row r="55857" customFormat="1" ht="17.25" customHeight="1"/>
    <row r="55858" customFormat="1" ht="17.25" customHeight="1"/>
    <row r="55859" customFormat="1" ht="17.25" customHeight="1"/>
    <row r="55860" customFormat="1" ht="17.25" customHeight="1"/>
    <row r="55861" customFormat="1" ht="17.25" customHeight="1"/>
    <row r="55862" customFormat="1" ht="17.25" customHeight="1"/>
    <row r="55863" customFormat="1" ht="17.25" customHeight="1"/>
    <row r="55864" customFormat="1" ht="17.25" customHeight="1"/>
    <row r="55865" customFormat="1" ht="17.25" customHeight="1"/>
    <row r="55866" customFormat="1" ht="17.25" customHeight="1"/>
    <row r="55867" customFormat="1" ht="17.25" customHeight="1"/>
    <row r="55868" customFormat="1" ht="17.25" customHeight="1"/>
    <row r="55869" customFormat="1" ht="17.25" customHeight="1"/>
    <row r="55870" customFormat="1" ht="17.25" customHeight="1"/>
    <row r="55871" customFormat="1" ht="17.25" customHeight="1"/>
    <row r="55872" customFormat="1" ht="17.25" customHeight="1"/>
    <row r="55873" customFormat="1" ht="17.25" customHeight="1"/>
    <row r="55874" customFormat="1" ht="17.25" customHeight="1"/>
    <row r="55875" customFormat="1" ht="17.25" customHeight="1"/>
    <row r="55876" customFormat="1" ht="17.25" customHeight="1"/>
    <row r="55877" customFormat="1" ht="17.25" customHeight="1"/>
    <row r="55878" customFormat="1" ht="17.25" customHeight="1"/>
    <row r="55879" customFormat="1" ht="17.25" customHeight="1"/>
    <row r="55880" customFormat="1" ht="17.25" customHeight="1"/>
    <row r="55881" customFormat="1" ht="17.25" customHeight="1"/>
    <row r="55882" customFormat="1" ht="17.25" customHeight="1"/>
    <row r="55883" customFormat="1" ht="17.25" customHeight="1"/>
    <row r="55884" customFormat="1" ht="17.25" customHeight="1"/>
    <row r="55885" customFormat="1" ht="17.25" customHeight="1"/>
    <row r="55886" customFormat="1" ht="17.25" customHeight="1"/>
    <row r="55887" customFormat="1" ht="17.25" customHeight="1"/>
    <row r="55888" customFormat="1" ht="17.25" customHeight="1"/>
    <row r="55889" customFormat="1" ht="17.25" customHeight="1"/>
    <row r="55890" customFormat="1" ht="17.25" customHeight="1"/>
    <row r="55891" customFormat="1" ht="17.25" customHeight="1"/>
    <row r="55892" customFormat="1" ht="17.25" customHeight="1"/>
    <row r="55893" customFormat="1" ht="17.25" customHeight="1"/>
    <row r="55894" customFormat="1" ht="17.25" customHeight="1"/>
    <row r="55895" customFormat="1" ht="17.25" customHeight="1"/>
    <row r="55896" customFormat="1" ht="17.25" customHeight="1"/>
    <row r="55897" customFormat="1" ht="17.25" customHeight="1"/>
    <row r="55898" customFormat="1" ht="17.25" customHeight="1"/>
    <row r="55899" customFormat="1" ht="17.25" customHeight="1"/>
    <row r="55900" customFormat="1" ht="17.25" customHeight="1"/>
    <row r="55901" customFormat="1" ht="17.25" customHeight="1"/>
    <row r="55902" customFormat="1" ht="17.25" customHeight="1"/>
    <row r="55903" customFormat="1" ht="17.25" customHeight="1"/>
    <row r="55904" customFormat="1" ht="17.25" customHeight="1"/>
    <row r="55905" customFormat="1" ht="17.25" customHeight="1"/>
    <row r="55906" customFormat="1" ht="17.25" customHeight="1"/>
    <row r="55907" customFormat="1" ht="17.25" customHeight="1"/>
    <row r="55908" customFormat="1" ht="17.25" customHeight="1"/>
    <row r="55909" customFormat="1" ht="17.25" customHeight="1"/>
    <row r="55910" customFormat="1" ht="17.25" customHeight="1"/>
    <row r="55911" customFormat="1" ht="17.25" customHeight="1"/>
    <row r="55912" customFormat="1" ht="17.25" customHeight="1"/>
    <row r="55913" customFormat="1" ht="17.25" customHeight="1"/>
    <row r="55914" customFormat="1" ht="17.25" customHeight="1"/>
    <row r="55915" customFormat="1" ht="17.25" customHeight="1"/>
    <row r="55916" customFormat="1" ht="17.25" customHeight="1"/>
    <row r="55917" customFormat="1" ht="17.25" customHeight="1"/>
    <row r="55918" customFormat="1" ht="17.25" customHeight="1"/>
    <row r="55919" customFormat="1" ht="17.25" customHeight="1"/>
    <row r="55920" customFormat="1" ht="17.25" customHeight="1"/>
    <row r="55921" customFormat="1" ht="17.25" customHeight="1"/>
    <row r="55922" customFormat="1" ht="17.25" customHeight="1"/>
    <row r="55923" customFormat="1" ht="17.25" customHeight="1"/>
    <row r="55924" customFormat="1" ht="17.25" customHeight="1"/>
    <row r="55925" customFormat="1" ht="17.25" customHeight="1"/>
    <row r="55926" customFormat="1" ht="17.25" customHeight="1"/>
    <row r="55927" customFormat="1" ht="17.25" customHeight="1"/>
    <row r="55928" customFormat="1" ht="17.25" customHeight="1"/>
    <row r="55929" customFormat="1" ht="17.25" customHeight="1"/>
    <row r="55930" customFormat="1" ht="17.25" customHeight="1"/>
    <row r="55931" customFormat="1" ht="17.25" customHeight="1"/>
    <row r="55932" customFormat="1" ht="17.25" customHeight="1"/>
    <row r="55933" customFormat="1" ht="17.25" customHeight="1"/>
    <row r="55934" customFormat="1" ht="17.25" customHeight="1"/>
    <row r="55935" customFormat="1" ht="17.25" customHeight="1"/>
    <row r="55936" customFormat="1" ht="17.25" customHeight="1"/>
    <row r="55937" customFormat="1" ht="17.25" customHeight="1"/>
    <row r="55938" customFormat="1" ht="17.25" customHeight="1"/>
    <row r="55939" customFormat="1" ht="17.25" customHeight="1"/>
    <row r="55940" customFormat="1" ht="17.25" customHeight="1"/>
    <row r="55941" customFormat="1" ht="17.25" customHeight="1"/>
    <row r="55942" customFormat="1" ht="17.25" customHeight="1"/>
    <row r="55943" customFormat="1" ht="17.25" customHeight="1"/>
    <row r="55944" customFormat="1" ht="17.25" customHeight="1"/>
    <row r="55945" customFormat="1" ht="17.25" customHeight="1"/>
    <row r="55946" customFormat="1" ht="17.25" customHeight="1"/>
    <row r="55947" customFormat="1" ht="17.25" customHeight="1"/>
    <row r="55948" customFormat="1" ht="17.25" customHeight="1"/>
    <row r="55949" customFormat="1" ht="17.25" customHeight="1"/>
    <row r="55950" customFormat="1" ht="17.25" customHeight="1"/>
    <row r="55951" customFormat="1" ht="17.25" customHeight="1"/>
    <row r="55952" customFormat="1" ht="17.25" customHeight="1"/>
    <row r="55953" customFormat="1" ht="17.25" customHeight="1"/>
    <row r="55954" customFormat="1" ht="17.25" customHeight="1"/>
    <row r="55955" customFormat="1" ht="17.25" customHeight="1"/>
    <row r="55956" customFormat="1" ht="17.25" customHeight="1"/>
    <row r="55957" customFormat="1" ht="17.25" customHeight="1"/>
    <row r="55958" customFormat="1" ht="17.25" customHeight="1"/>
    <row r="55959" customFormat="1" ht="17.25" customHeight="1"/>
    <row r="55960" customFormat="1" ht="17.25" customHeight="1"/>
    <row r="55961" customFormat="1" ht="17.25" customHeight="1"/>
    <row r="55962" customFormat="1" ht="17.25" customHeight="1"/>
    <row r="55963" customFormat="1" ht="17.25" customHeight="1"/>
    <row r="55964" customFormat="1" ht="17.25" customHeight="1"/>
    <row r="55965" customFormat="1" ht="17.25" customHeight="1"/>
    <row r="55966" customFormat="1" ht="17.25" customHeight="1"/>
    <row r="55967" customFormat="1" ht="17.25" customHeight="1"/>
    <row r="55968" customFormat="1" ht="17.25" customHeight="1"/>
    <row r="55969" customFormat="1" ht="17.25" customHeight="1"/>
    <row r="55970" customFormat="1" ht="17.25" customHeight="1"/>
    <row r="55971" customFormat="1" ht="17.25" customHeight="1"/>
    <row r="55972" customFormat="1" ht="17.25" customHeight="1"/>
    <row r="55973" customFormat="1" ht="17.25" customHeight="1"/>
    <row r="55974" customFormat="1" ht="17.25" customHeight="1"/>
    <row r="55975" customFormat="1" ht="17.25" customHeight="1"/>
    <row r="55976" customFormat="1" ht="17.25" customHeight="1"/>
    <row r="55977" customFormat="1" ht="17.25" customHeight="1"/>
    <row r="55978" customFormat="1" ht="17.25" customHeight="1"/>
    <row r="55979" customFormat="1" ht="17.25" customHeight="1"/>
    <row r="55980" customFormat="1" ht="17.25" customHeight="1"/>
    <row r="55981" customFormat="1" ht="17.25" customHeight="1"/>
    <row r="55982" customFormat="1" ht="17.25" customHeight="1"/>
    <row r="55983" customFormat="1" ht="17.25" customHeight="1"/>
    <row r="55984" customFormat="1" ht="17.25" customHeight="1"/>
    <row r="55985" customFormat="1" ht="17.25" customHeight="1"/>
    <row r="55986" customFormat="1" ht="17.25" customHeight="1"/>
    <row r="55987" customFormat="1" ht="17.25" customHeight="1"/>
    <row r="55988" customFormat="1" ht="17.25" customHeight="1"/>
    <row r="55989" customFormat="1" ht="17.25" customHeight="1"/>
    <row r="55990" customFormat="1" ht="17.25" customHeight="1"/>
    <row r="55991" customFormat="1" ht="17.25" customHeight="1"/>
    <row r="55992" customFormat="1" ht="17.25" customHeight="1"/>
    <row r="55993" customFormat="1" ht="17.25" customHeight="1"/>
    <row r="55994" customFormat="1" ht="17.25" customHeight="1"/>
    <row r="55995" customFormat="1" ht="17.25" customHeight="1"/>
    <row r="55996" customFormat="1" ht="17.25" customHeight="1"/>
    <row r="55997" customFormat="1" ht="17.25" customHeight="1"/>
    <row r="55998" customFormat="1" ht="17.25" customHeight="1"/>
    <row r="55999" customFormat="1" ht="17.25" customHeight="1"/>
    <row r="56000" customFormat="1" ht="17.25" customHeight="1"/>
    <row r="56001" customFormat="1" ht="17.25" customHeight="1"/>
    <row r="56002" customFormat="1" ht="17.25" customHeight="1"/>
    <row r="56003" customFormat="1" ht="17.25" customHeight="1"/>
    <row r="56004" customFormat="1" ht="17.25" customHeight="1"/>
    <row r="56005" customFormat="1" ht="17.25" customHeight="1"/>
    <row r="56006" customFormat="1" ht="17.25" customHeight="1"/>
    <row r="56007" customFormat="1" ht="17.25" customHeight="1"/>
    <row r="56008" customFormat="1" ht="17.25" customHeight="1"/>
    <row r="56009" customFormat="1" ht="17.25" customHeight="1"/>
    <row r="56010" customFormat="1" ht="17.25" customHeight="1"/>
    <row r="56011" customFormat="1" ht="17.25" customHeight="1"/>
    <row r="56012" customFormat="1" ht="17.25" customHeight="1"/>
    <row r="56013" customFormat="1" ht="17.25" customHeight="1"/>
    <row r="56014" customFormat="1" ht="17.25" customHeight="1"/>
    <row r="56015" customFormat="1" ht="17.25" customHeight="1"/>
    <row r="56016" customFormat="1" ht="17.25" customHeight="1"/>
    <row r="56017" customFormat="1" ht="17.25" customHeight="1"/>
    <row r="56018" customFormat="1" ht="17.25" customHeight="1"/>
    <row r="56019" customFormat="1" ht="17.25" customHeight="1"/>
    <row r="56020" customFormat="1" ht="17.25" customHeight="1"/>
    <row r="56021" customFormat="1" ht="17.25" customHeight="1"/>
    <row r="56022" customFormat="1" ht="17.25" customHeight="1"/>
    <row r="56023" customFormat="1" ht="17.25" customHeight="1"/>
    <row r="56024" customFormat="1" ht="17.25" customHeight="1"/>
    <row r="56025" customFormat="1" ht="17.25" customHeight="1"/>
    <row r="56026" customFormat="1" ht="17.25" customHeight="1"/>
    <row r="56027" customFormat="1" ht="17.25" customHeight="1"/>
    <row r="56028" customFormat="1" ht="17.25" customHeight="1"/>
    <row r="56029" customFormat="1" ht="17.25" customHeight="1"/>
    <row r="56030" customFormat="1" ht="17.25" customHeight="1"/>
    <row r="56031" customFormat="1" ht="17.25" customHeight="1"/>
    <row r="56032" customFormat="1" ht="17.25" customHeight="1"/>
    <row r="56033" customFormat="1" ht="17.25" customHeight="1"/>
    <row r="56034" customFormat="1" ht="17.25" customHeight="1"/>
    <row r="56035" customFormat="1" ht="17.25" customHeight="1"/>
    <row r="56036" customFormat="1" ht="17.25" customHeight="1"/>
    <row r="56037" customFormat="1" ht="17.25" customHeight="1"/>
    <row r="56038" customFormat="1" ht="17.25" customHeight="1"/>
    <row r="56039" customFormat="1" ht="17.25" customHeight="1"/>
    <row r="56040" customFormat="1" ht="17.25" customHeight="1"/>
    <row r="56041" customFormat="1" ht="17.25" customHeight="1"/>
    <row r="56042" customFormat="1" ht="17.25" customHeight="1"/>
    <row r="56043" customFormat="1" ht="17.25" customHeight="1"/>
    <row r="56044" customFormat="1" ht="17.25" customHeight="1"/>
    <row r="56045" customFormat="1" ht="17.25" customHeight="1"/>
    <row r="56046" customFormat="1" ht="17.25" customHeight="1"/>
    <row r="56047" customFormat="1" ht="17.25" customHeight="1"/>
    <row r="56048" customFormat="1" ht="17.25" customHeight="1"/>
    <row r="56049" customFormat="1" ht="17.25" customHeight="1"/>
    <row r="56050" customFormat="1" ht="17.25" customHeight="1"/>
    <row r="56051" customFormat="1" ht="17.25" customHeight="1"/>
    <row r="56052" customFormat="1" ht="17.25" customHeight="1"/>
    <row r="56053" customFormat="1" ht="17.25" customHeight="1"/>
    <row r="56054" customFormat="1" ht="17.25" customHeight="1"/>
    <row r="56055" customFormat="1" ht="17.25" customHeight="1"/>
    <row r="56056" customFormat="1" ht="17.25" customHeight="1"/>
    <row r="56057" customFormat="1" ht="17.25" customHeight="1"/>
    <row r="56058" customFormat="1" ht="17.25" customHeight="1"/>
    <row r="56059" customFormat="1" ht="17.25" customHeight="1"/>
    <row r="56060" customFormat="1" ht="17.25" customHeight="1"/>
    <row r="56061" customFormat="1" ht="17.25" customHeight="1"/>
    <row r="56062" customFormat="1" ht="17.25" customHeight="1"/>
    <row r="56063" customFormat="1" ht="17.25" customHeight="1"/>
    <row r="56064" customFormat="1" ht="17.25" customHeight="1"/>
    <row r="56065" customFormat="1" ht="17.25" customHeight="1"/>
    <row r="56066" customFormat="1" ht="17.25" customHeight="1"/>
    <row r="56067" customFormat="1" ht="17.25" customHeight="1"/>
    <row r="56068" customFormat="1" ht="17.25" customHeight="1"/>
    <row r="56069" customFormat="1" ht="17.25" customHeight="1"/>
    <row r="56070" customFormat="1" ht="17.25" customHeight="1"/>
    <row r="56071" customFormat="1" ht="17.25" customHeight="1"/>
    <row r="56072" customFormat="1" ht="17.25" customHeight="1"/>
    <row r="56073" customFormat="1" ht="17.25" customHeight="1"/>
    <row r="56074" customFormat="1" ht="17.25" customHeight="1"/>
    <row r="56075" customFormat="1" ht="17.25" customHeight="1"/>
    <row r="56076" customFormat="1" ht="17.25" customHeight="1"/>
    <row r="56077" customFormat="1" ht="17.25" customHeight="1"/>
    <row r="56078" customFormat="1" ht="17.25" customHeight="1"/>
    <row r="56079" customFormat="1" ht="17.25" customHeight="1"/>
    <row r="56080" customFormat="1" ht="17.25" customHeight="1"/>
    <row r="56081" customFormat="1" ht="17.25" customHeight="1"/>
    <row r="56082" customFormat="1" ht="17.25" customHeight="1"/>
    <row r="56083" customFormat="1" ht="17.25" customHeight="1"/>
    <row r="56084" customFormat="1" ht="17.25" customHeight="1"/>
    <row r="56085" customFormat="1" ht="17.25" customHeight="1"/>
    <row r="56086" customFormat="1" ht="17.25" customHeight="1"/>
    <row r="56087" customFormat="1" ht="17.25" customHeight="1"/>
    <row r="56088" customFormat="1" ht="17.25" customHeight="1"/>
    <row r="56089" customFormat="1" ht="17.25" customHeight="1"/>
    <row r="56090" customFormat="1" ht="17.25" customHeight="1"/>
    <row r="56091" customFormat="1" ht="17.25" customHeight="1"/>
    <row r="56092" customFormat="1" ht="17.25" customHeight="1"/>
    <row r="56093" customFormat="1" ht="17.25" customHeight="1"/>
    <row r="56094" customFormat="1" ht="17.25" customHeight="1"/>
    <row r="56095" customFormat="1" ht="17.25" customHeight="1"/>
    <row r="56096" customFormat="1" ht="17.25" customHeight="1"/>
    <row r="56097" customFormat="1" ht="17.25" customHeight="1"/>
    <row r="56098" customFormat="1" ht="17.25" customHeight="1"/>
    <row r="56099" customFormat="1" ht="17.25" customHeight="1"/>
    <row r="56100" customFormat="1" ht="17.25" customHeight="1"/>
    <row r="56101" customFormat="1" ht="17.25" customHeight="1"/>
    <row r="56102" customFormat="1" ht="17.25" customHeight="1"/>
    <row r="56103" customFormat="1" ht="17.25" customHeight="1"/>
    <row r="56104" customFormat="1" ht="17.25" customHeight="1"/>
    <row r="56105" customFormat="1" ht="17.25" customHeight="1"/>
    <row r="56106" customFormat="1" ht="17.25" customHeight="1"/>
    <row r="56107" customFormat="1" ht="17.25" customHeight="1"/>
    <row r="56108" customFormat="1" ht="17.25" customHeight="1"/>
    <row r="56109" customFormat="1" ht="17.25" customHeight="1"/>
    <row r="56110" customFormat="1" ht="17.25" customHeight="1"/>
    <row r="56111" customFormat="1" ht="17.25" customHeight="1"/>
    <row r="56112" customFormat="1" ht="17.25" customHeight="1"/>
    <row r="56113" customFormat="1" ht="17.25" customHeight="1"/>
    <row r="56114" customFormat="1" ht="17.25" customHeight="1"/>
    <row r="56115" customFormat="1" ht="17.25" customHeight="1"/>
    <row r="56116" customFormat="1" ht="17.25" customHeight="1"/>
    <row r="56117" customFormat="1" ht="17.25" customHeight="1"/>
    <row r="56118" customFormat="1" ht="17.25" customHeight="1"/>
    <row r="56119" customFormat="1" ht="17.25" customHeight="1"/>
    <row r="56120" customFormat="1" ht="17.25" customHeight="1"/>
    <row r="56121" customFormat="1" ht="17.25" customHeight="1"/>
    <row r="56122" customFormat="1" ht="17.25" customHeight="1"/>
    <row r="56123" customFormat="1" ht="17.25" customHeight="1"/>
    <row r="56124" customFormat="1" ht="17.25" customHeight="1"/>
    <row r="56125" customFormat="1" ht="17.25" customHeight="1"/>
    <row r="56126" customFormat="1" ht="17.25" customHeight="1"/>
    <row r="56127" customFormat="1" ht="17.25" customHeight="1"/>
    <row r="56128" customFormat="1" ht="17.25" customHeight="1"/>
    <row r="56129" customFormat="1" ht="17.25" customHeight="1"/>
    <row r="56130" customFormat="1" ht="17.25" customHeight="1"/>
    <row r="56131" customFormat="1" ht="17.25" customHeight="1"/>
    <row r="56132" customFormat="1" ht="17.25" customHeight="1"/>
    <row r="56133" customFormat="1" ht="17.25" customHeight="1"/>
    <row r="56134" customFormat="1" ht="17.25" customHeight="1"/>
    <row r="56135" customFormat="1" ht="17.25" customHeight="1"/>
    <row r="56136" customFormat="1" ht="17.25" customHeight="1"/>
    <row r="56137" customFormat="1" ht="17.25" customHeight="1"/>
    <row r="56138" customFormat="1" ht="17.25" customHeight="1"/>
    <row r="56139" customFormat="1" ht="17.25" customHeight="1"/>
    <row r="56140" customFormat="1" ht="17.25" customHeight="1"/>
    <row r="56141" customFormat="1" ht="17.25" customHeight="1"/>
    <row r="56142" customFormat="1" ht="17.25" customHeight="1"/>
    <row r="56143" customFormat="1" ht="17.25" customHeight="1"/>
    <row r="56144" customFormat="1" ht="17.25" customHeight="1"/>
    <row r="56145" customFormat="1" ht="17.25" customHeight="1"/>
    <row r="56146" customFormat="1" ht="17.25" customHeight="1"/>
    <row r="56147" customFormat="1" ht="17.25" customHeight="1"/>
    <row r="56148" customFormat="1" ht="17.25" customHeight="1"/>
    <row r="56149" customFormat="1" ht="17.25" customHeight="1"/>
    <row r="56150" customFormat="1" ht="17.25" customHeight="1"/>
    <row r="56151" customFormat="1" ht="17.25" customHeight="1"/>
    <row r="56152" customFormat="1" ht="17.25" customHeight="1"/>
    <row r="56153" customFormat="1" ht="17.25" customHeight="1"/>
    <row r="56154" customFormat="1" ht="17.25" customHeight="1"/>
    <row r="56155" customFormat="1" ht="17.25" customHeight="1"/>
    <row r="56156" customFormat="1" ht="17.25" customHeight="1"/>
    <row r="56157" customFormat="1" ht="17.25" customHeight="1"/>
    <row r="56158" customFormat="1" ht="17.25" customHeight="1"/>
    <row r="56159" customFormat="1" ht="17.25" customHeight="1"/>
    <row r="56160" customFormat="1" ht="17.25" customHeight="1"/>
    <row r="56161" customFormat="1" ht="17.25" customHeight="1"/>
    <row r="56162" customFormat="1" ht="17.25" customHeight="1"/>
    <row r="56163" customFormat="1" ht="17.25" customHeight="1"/>
    <row r="56164" customFormat="1" ht="17.25" customHeight="1"/>
    <row r="56165" customFormat="1" ht="17.25" customHeight="1"/>
    <row r="56166" customFormat="1" ht="17.25" customHeight="1"/>
    <row r="56167" customFormat="1" ht="17.25" customHeight="1"/>
    <row r="56168" customFormat="1" ht="17.25" customHeight="1"/>
    <row r="56169" customFormat="1" ht="17.25" customHeight="1"/>
    <row r="56170" customFormat="1" ht="17.25" customHeight="1"/>
    <row r="56171" customFormat="1" ht="17.25" customHeight="1"/>
    <row r="56172" customFormat="1" ht="17.25" customHeight="1"/>
    <row r="56173" customFormat="1" ht="17.25" customHeight="1"/>
    <row r="56174" customFormat="1" ht="17.25" customHeight="1"/>
    <row r="56175" customFormat="1" ht="17.25" customHeight="1"/>
    <row r="56176" customFormat="1" ht="17.25" customHeight="1"/>
    <row r="56177" customFormat="1" ht="17.25" customHeight="1"/>
    <row r="56178" customFormat="1" ht="17.25" customHeight="1"/>
    <row r="56179" customFormat="1" ht="17.25" customHeight="1"/>
    <row r="56180" customFormat="1" ht="17.25" customHeight="1"/>
    <row r="56181" customFormat="1" ht="17.25" customHeight="1"/>
    <row r="56182" customFormat="1" ht="17.25" customHeight="1"/>
    <row r="56183" customFormat="1" ht="17.25" customHeight="1"/>
    <row r="56184" customFormat="1" ht="17.25" customHeight="1"/>
    <row r="56185" customFormat="1" ht="17.25" customHeight="1"/>
    <row r="56186" customFormat="1" ht="17.25" customHeight="1"/>
    <row r="56187" customFormat="1" ht="17.25" customHeight="1"/>
    <row r="56188" customFormat="1" ht="17.25" customHeight="1"/>
    <row r="56189" customFormat="1" ht="17.25" customHeight="1"/>
    <row r="56190" customFormat="1" ht="17.25" customHeight="1"/>
    <row r="56191" customFormat="1" ht="17.25" customHeight="1"/>
    <row r="56192" customFormat="1" ht="17.25" customHeight="1"/>
    <row r="56193" customFormat="1" ht="17.25" customHeight="1"/>
    <row r="56194" customFormat="1" ht="17.25" customHeight="1"/>
    <row r="56195" customFormat="1" ht="17.25" customHeight="1"/>
    <row r="56196" customFormat="1" ht="17.25" customHeight="1"/>
    <row r="56197" customFormat="1" ht="17.25" customHeight="1"/>
    <row r="56198" customFormat="1" ht="17.25" customHeight="1"/>
    <row r="56199" customFormat="1" ht="17.25" customHeight="1"/>
    <row r="56200" customFormat="1" ht="17.25" customHeight="1"/>
    <row r="56201" customFormat="1" ht="17.25" customHeight="1"/>
    <row r="56202" customFormat="1" ht="17.25" customHeight="1"/>
    <row r="56203" customFormat="1" ht="17.25" customHeight="1"/>
    <row r="56204" customFormat="1" ht="17.25" customHeight="1"/>
    <row r="56205" customFormat="1" ht="17.25" customHeight="1"/>
    <row r="56206" customFormat="1" ht="17.25" customHeight="1"/>
    <row r="56207" customFormat="1" ht="17.25" customHeight="1"/>
    <row r="56208" customFormat="1" ht="17.25" customHeight="1"/>
    <row r="56209" customFormat="1" ht="17.25" customHeight="1"/>
    <row r="56210" customFormat="1" ht="17.25" customHeight="1"/>
    <row r="56211" customFormat="1" ht="17.25" customHeight="1"/>
    <row r="56212" customFormat="1" ht="17.25" customHeight="1"/>
    <row r="56213" customFormat="1" ht="17.25" customHeight="1"/>
    <row r="56214" customFormat="1" ht="17.25" customHeight="1"/>
    <row r="56215" customFormat="1" ht="17.25" customHeight="1"/>
    <row r="56216" customFormat="1" ht="17.25" customHeight="1"/>
    <row r="56217" customFormat="1" ht="17.25" customHeight="1"/>
    <row r="56218" customFormat="1" ht="17.25" customHeight="1"/>
    <row r="56219" customFormat="1" ht="17.25" customHeight="1"/>
    <row r="56220" customFormat="1" ht="17.25" customHeight="1"/>
    <row r="56221" customFormat="1" ht="17.25" customHeight="1"/>
    <row r="56222" customFormat="1" ht="17.25" customHeight="1"/>
    <row r="56223" customFormat="1" ht="17.25" customHeight="1"/>
    <row r="56224" customFormat="1" ht="17.25" customHeight="1"/>
    <row r="56225" customFormat="1" ht="17.25" customHeight="1"/>
    <row r="56226" customFormat="1" ht="17.25" customHeight="1"/>
    <row r="56227" customFormat="1" ht="17.25" customHeight="1"/>
    <row r="56228" customFormat="1" ht="17.25" customHeight="1"/>
    <row r="56229" customFormat="1" ht="17.25" customHeight="1"/>
    <row r="56230" customFormat="1" ht="17.25" customHeight="1"/>
    <row r="56231" customFormat="1" ht="17.25" customHeight="1"/>
    <row r="56232" customFormat="1" ht="17.25" customHeight="1"/>
    <row r="56233" customFormat="1" ht="17.25" customHeight="1"/>
    <row r="56234" customFormat="1" ht="17.25" customHeight="1"/>
    <row r="56235" customFormat="1" ht="17.25" customHeight="1"/>
    <row r="56236" customFormat="1" ht="17.25" customHeight="1"/>
    <row r="56237" customFormat="1" ht="17.25" customHeight="1"/>
    <row r="56238" customFormat="1" ht="17.25" customHeight="1"/>
    <row r="56239" customFormat="1" ht="17.25" customHeight="1"/>
    <row r="56240" customFormat="1" ht="17.25" customHeight="1"/>
    <row r="56241" customFormat="1" ht="17.25" customHeight="1"/>
    <row r="56242" customFormat="1" ht="17.25" customHeight="1"/>
    <row r="56243" customFormat="1" ht="17.25" customHeight="1"/>
    <row r="56244" customFormat="1" ht="17.25" customHeight="1"/>
    <row r="56245" customFormat="1" ht="17.25" customHeight="1"/>
    <row r="56246" customFormat="1" ht="17.25" customHeight="1"/>
    <row r="56247" customFormat="1" ht="17.25" customHeight="1"/>
    <row r="56248" customFormat="1" ht="17.25" customHeight="1"/>
    <row r="56249" customFormat="1" ht="17.25" customHeight="1"/>
    <row r="56250" customFormat="1" ht="17.25" customHeight="1"/>
    <row r="56251" customFormat="1" ht="17.25" customHeight="1"/>
    <row r="56252" customFormat="1" ht="17.25" customHeight="1"/>
    <row r="56253" customFormat="1" ht="17.25" customHeight="1"/>
    <row r="56254" customFormat="1" ht="17.25" customHeight="1"/>
    <row r="56255" customFormat="1" ht="17.25" customHeight="1"/>
    <row r="56256" customFormat="1" ht="17.25" customHeight="1"/>
    <row r="56257" customFormat="1" ht="17.25" customHeight="1"/>
    <row r="56258" customFormat="1" ht="17.25" customHeight="1"/>
    <row r="56259" customFormat="1" ht="17.25" customHeight="1"/>
    <row r="56260" customFormat="1" ht="17.25" customHeight="1"/>
    <row r="56261" customFormat="1" ht="17.25" customHeight="1"/>
    <row r="56262" customFormat="1" ht="17.25" customHeight="1"/>
    <row r="56263" customFormat="1" ht="17.25" customHeight="1"/>
    <row r="56264" customFormat="1" ht="17.25" customHeight="1"/>
    <row r="56265" customFormat="1" ht="17.25" customHeight="1"/>
    <row r="56266" customFormat="1" ht="17.25" customHeight="1"/>
    <row r="56267" customFormat="1" ht="17.25" customHeight="1"/>
    <row r="56268" customFormat="1" ht="17.25" customHeight="1"/>
    <row r="56269" customFormat="1" ht="17.25" customHeight="1"/>
    <row r="56270" customFormat="1" ht="17.25" customHeight="1"/>
    <row r="56271" customFormat="1" ht="17.25" customHeight="1"/>
    <row r="56272" customFormat="1" ht="17.25" customHeight="1"/>
    <row r="56273" customFormat="1" ht="17.25" customHeight="1"/>
    <row r="56274" customFormat="1" ht="17.25" customHeight="1"/>
    <row r="56275" customFormat="1" ht="17.25" customHeight="1"/>
    <row r="56276" customFormat="1" ht="17.25" customHeight="1"/>
    <row r="56277" customFormat="1" ht="17.25" customHeight="1"/>
    <row r="56278" customFormat="1" ht="17.25" customHeight="1"/>
    <row r="56279" customFormat="1" ht="17.25" customHeight="1"/>
    <row r="56280" customFormat="1" ht="17.25" customHeight="1"/>
    <row r="56281" customFormat="1" ht="17.25" customHeight="1"/>
    <row r="56282" customFormat="1" ht="17.25" customHeight="1"/>
    <row r="56283" customFormat="1" ht="17.25" customHeight="1"/>
    <row r="56284" customFormat="1" ht="17.25" customHeight="1"/>
    <row r="56285" customFormat="1" ht="17.25" customHeight="1"/>
    <row r="56286" customFormat="1" ht="17.25" customHeight="1"/>
    <row r="56287" customFormat="1" ht="17.25" customHeight="1"/>
    <row r="56288" customFormat="1" ht="17.25" customHeight="1"/>
    <row r="56289" customFormat="1" ht="17.25" customHeight="1"/>
    <row r="56290" customFormat="1" ht="17.25" customHeight="1"/>
    <row r="56291" customFormat="1" ht="17.25" customHeight="1"/>
    <row r="56292" customFormat="1" ht="17.25" customHeight="1"/>
    <row r="56293" customFormat="1" ht="17.25" customHeight="1"/>
    <row r="56294" customFormat="1" ht="17.25" customHeight="1"/>
    <row r="56295" customFormat="1" ht="17.25" customHeight="1"/>
    <row r="56296" customFormat="1" ht="17.25" customHeight="1"/>
    <row r="56297" customFormat="1" ht="17.25" customHeight="1"/>
    <row r="56298" customFormat="1" ht="17.25" customHeight="1"/>
    <row r="56299" customFormat="1" ht="17.25" customHeight="1"/>
    <row r="56300" customFormat="1" ht="17.25" customHeight="1"/>
    <row r="56301" customFormat="1" ht="17.25" customHeight="1"/>
    <row r="56302" customFormat="1" ht="17.25" customHeight="1"/>
    <row r="56303" customFormat="1" ht="17.25" customHeight="1"/>
    <row r="56304" customFormat="1" ht="17.25" customHeight="1"/>
    <row r="56305" customFormat="1" ht="17.25" customHeight="1"/>
    <row r="56306" customFormat="1" ht="17.25" customHeight="1"/>
    <row r="56307" customFormat="1" ht="17.25" customHeight="1"/>
    <row r="56308" customFormat="1" ht="17.25" customHeight="1"/>
    <row r="56309" customFormat="1" ht="17.25" customHeight="1"/>
    <row r="56310" customFormat="1" ht="17.25" customHeight="1"/>
    <row r="56311" customFormat="1" ht="17.25" customHeight="1"/>
    <row r="56312" customFormat="1" ht="17.25" customHeight="1"/>
    <row r="56313" customFormat="1" ht="17.25" customHeight="1"/>
    <row r="56314" customFormat="1" ht="17.25" customHeight="1"/>
    <row r="56315" customFormat="1" ht="17.25" customHeight="1"/>
    <row r="56316" customFormat="1" ht="17.25" customHeight="1"/>
    <row r="56317" customFormat="1" ht="17.25" customHeight="1"/>
    <row r="56318" customFormat="1" ht="17.25" customHeight="1"/>
    <row r="56319" customFormat="1" ht="17.25" customHeight="1"/>
    <row r="56320" customFormat="1" ht="17.25" customHeight="1"/>
    <row r="56321" customFormat="1" ht="17.25" customHeight="1"/>
    <row r="56322" customFormat="1" ht="17.25" customHeight="1"/>
    <row r="56323" customFormat="1" ht="17.25" customHeight="1"/>
    <row r="56324" customFormat="1" ht="17.25" customHeight="1"/>
    <row r="56325" customFormat="1" ht="17.25" customHeight="1"/>
    <row r="56326" customFormat="1" ht="17.25" customHeight="1"/>
    <row r="56327" customFormat="1" ht="17.25" customHeight="1"/>
    <row r="56328" customFormat="1" ht="17.25" customHeight="1"/>
    <row r="56329" customFormat="1" ht="17.25" customHeight="1"/>
    <row r="56330" customFormat="1" ht="17.25" customHeight="1"/>
    <row r="56331" customFormat="1" ht="17.25" customHeight="1"/>
    <row r="56332" customFormat="1" ht="17.25" customHeight="1"/>
    <row r="56333" customFormat="1" ht="17.25" customHeight="1"/>
    <row r="56334" customFormat="1" ht="17.25" customHeight="1"/>
    <row r="56335" customFormat="1" ht="17.25" customHeight="1"/>
    <row r="56336" customFormat="1" ht="17.25" customHeight="1"/>
    <row r="56337" customFormat="1" ht="17.25" customHeight="1"/>
    <row r="56338" customFormat="1" ht="17.25" customHeight="1"/>
    <row r="56339" customFormat="1" ht="17.25" customHeight="1"/>
    <row r="56340" customFormat="1" ht="17.25" customHeight="1"/>
    <row r="56341" customFormat="1" ht="17.25" customHeight="1"/>
    <row r="56342" customFormat="1" ht="17.25" customHeight="1"/>
    <row r="56343" customFormat="1" ht="17.25" customHeight="1"/>
    <row r="56344" customFormat="1" ht="17.25" customHeight="1"/>
    <row r="56345" customFormat="1" ht="17.25" customHeight="1"/>
    <row r="56346" customFormat="1" ht="17.25" customHeight="1"/>
    <row r="56347" customFormat="1" ht="17.25" customHeight="1"/>
    <row r="56348" customFormat="1" ht="17.25" customHeight="1"/>
    <row r="56349" customFormat="1" ht="17.25" customHeight="1"/>
    <row r="56350" customFormat="1" ht="17.25" customHeight="1"/>
    <row r="56351" customFormat="1" ht="17.25" customHeight="1"/>
    <row r="56352" customFormat="1" ht="17.25" customHeight="1"/>
    <row r="56353" customFormat="1" ht="17.25" customHeight="1"/>
    <row r="56354" customFormat="1" ht="17.25" customHeight="1"/>
    <row r="56355" customFormat="1" ht="17.25" customHeight="1"/>
    <row r="56356" customFormat="1" ht="17.25" customHeight="1"/>
    <row r="56357" customFormat="1" ht="17.25" customHeight="1"/>
    <row r="56358" customFormat="1" ht="17.25" customHeight="1"/>
    <row r="56359" customFormat="1" ht="17.25" customHeight="1"/>
    <row r="56360" customFormat="1" ht="17.25" customHeight="1"/>
    <row r="56361" customFormat="1" ht="17.25" customHeight="1"/>
    <row r="56362" customFormat="1" ht="17.25" customHeight="1"/>
    <row r="56363" customFormat="1" ht="17.25" customHeight="1"/>
    <row r="56364" customFormat="1" ht="17.25" customHeight="1"/>
    <row r="56365" customFormat="1" ht="17.25" customHeight="1"/>
    <row r="56366" customFormat="1" ht="17.25" customHeight="1"/>
    <row r="56367" customFormat="1" ht="17.25" customHeight="1"/>
    <row r="56368" customFormat="1" ht="17.25" customHeight="1"/>
    <row r="56369" customFormat="1" ht="17.25" customHeight="1"/>
    <row r="56370" customFormat="1" ht="17.25" customHeight="1"/>
    <row r="56371" customFormat="1" ht="17.25" customHeight="1"/>
    <row r="56372" customFormat="1" ht="17.25" customHeight="1"/>
    <row r="56373" customFormat="1" ht="17.25" customHeight="1"/>
    <row r="56374" customFormat="1" ht="17.25" customHeight="1"/>
    <row r="56375" customFormat="1" ht="17.25" customHeight="1"/>
    <row r="56376" customFormat="1" ht="17.25" customHeight="1"/>
    <row r="56377" customFormat="1" ht="17.25" customHeight="1"/>
    <row r="56378" customFormat="1" ht="17.25" customHeight="1"/>
    <row r="56379" customFormat="1" ht="17.25" customHeight="1"/>
    <row r="56380" customFormat="1" ht="17.25" customHeight="1"/>
    <row r="56381" customFormat="1" ht="17.25" customHeight="1"/>
    <row r="56382" customFormat="1" ht="17.25" customHeight="1"/>
    <row r="56383" customFormat="1" ht="17.25" customHeight="1"/>
    <row r="56384" customFormat="1" ht="17.25" customHeight="1"/>
    <row r="56385" customFormat="1" ht="17.25" customHeight="1"/>
    <row r="56386" customFormat="1" ht="17.25" customHeight="1"/>
    <row r="56387" customFormat="1" ht="17.25" customHeight="1"/>
    <row r="56388" customFormat="1" ht="17.25" customHeight="1"/>
    <row r="56389" customFormat="1" ht="17.25" customHeight="1"/>
    <row r="56390" customFormat="1" ht="17.25" customHeight="1"/>
    <row r="56391" customFormat="1" ht="17.25" customHeight="1"/>
    <row r="56392" customFormat="1" ht="17.25" customHeight="1"/>
    <row r="56393" customFormat="1" ht="17.25" customHeight="1"/>
    <row r="56394" customFormat="1" ht="17.25" customHeight="1"/>
    <row r="56395" customFormat="1" ht="17.25" customHeight="1"/>
    <row r="56396" customFormat="1" ht="17.25" customHeight="1"/>
    <row r="56397" customFormat="1" ht="17.25" customHeight="1"/>
    <row r="56398" customFormat="1" ht="17.25" customHeight="1"/>
    <row r="56399" customFormat="1" ht="17.25" customHeight="1"/>
    <row r="56400" customFormat="1" ht="17.25" customHeight="1"/>
    <row r="56401" customFormat="1" ht="17.25" customHeight="1"/>
    <row r="56402" customFormat="1" ht="17.25" customHeight="1"/>
    <row r="56403" customFormat="1" ht="17.25" customHeight="1"/>
    <row r="56404" customFormat="1" ht="17.25" customHeight="1"/>
    <row r="56405" customFormat="1" ht="17.25" customHeight="1"/>
    <row r="56406" customFormat="1" ht="17.25" customHeight="1"/>
    <row r="56407" customFormat="1" ht="17.25" customHeight="1"/>
    <row r="56408" customFormat="1" ht="17.25" customHeight="1"/>
    <row r="56409" customFormat="1" ht="17.25" customHeight="1"/>
    <row r="56410" customFormat="1" ht="17.25" customHeight="1"/>
    <row r="56411" customFormat="1" ht="17.25" customHeight="1"/>
    <row r="56412" customFormat="1" ht="17.25" customHeight="1"/>
    <row r="56413" customFormat="1" ht="17.25" customHeight="1"/>
    <row r="56414" customFormat="1" ht="17.25" customHeight="1"/>
    <row r="56415" customFormat="1" ht="17.25" customHeight="1"/>
    <row r="56416" customFormat="1" ht="17.25" customHeight="1"/>
    <row r="56417" customFormat="1" ht="17.25" customHeight="1"/>
    <row r="56418" customFormat="1" ht="17.25" customHeight="1"/>
    <row r="56419" customFormat="1" ht="17.25" customHeight="1"/>
    <row r="56420" customFormat="1" ht="17.25" customHeight="1"/>
    <row r="56421" customFormat="1" ht="17.25" customHeight="1"/>
    <row r="56422" customFormat="1" ht="17.25" customHeight="1"/>
    <row r="56423" customFormat="1" ht="17.25" customHeight="1"/>
    <row r="56424" customFormat="1" ht="17.25" customHeight="1"/>
    <row r="56425" customFormat="1" ht="17.25" customHeight="1"/>
    <row r="56426" customFormat="1" ht="17.25" customHeight="1"/>
    <row r="56427" customFormat="1" ht="17.25" customHeight="1"/>
    <row r="56428" customFormat="1" ht="17.25" customHeight="1"/>
    <row r="56429" customFormat="1" ht="17.25" customHeight="1"/>
    <row r="56430" customFormat="1" ht="17.25" customHeight="1"/>
    <row r="56431" customFormat="1" ht="17.25" customHeight="1"/>
    <row r="56432" customFormat="1" ht="17.25" customHeight="1"/>
    <row r="56433" customFormat="1" ht="17.25" customHeight="1"/>
    <row r="56434" customFormat="1" ht="17.25" customHeight="1"/>
    <row r="56435" customFormat="1" ht="17.25" customHeight="1"/>
    <row r="56436" customFormat="1" ht="17.25" customHeight="1"/>
    <row r="56437" customFormat="1" ht="17.25" customHeight="1"/>
    <row r="56438" customFormat="1" ht="17.25" customHeight="1"/>
    <row r="56439" customFormat="1" ht="17.25" customHeight="1"/>
    <row r="56440" customFormat="1" ht="17.25" customHeight="1"/>
    <row r="56441" customFormat="1" ht="17.25" customHeight="1"/>
    <row r="56442" customFormat="1" ht="17.25" customHeight="1"/>
    <row r="56443" customFormat="1" ht="17.25" customHeight="1"/>
    <row r="56444" customFormat="1" ht="17.25" customHeight="1"/>
    <row r="56445" customFormat="1" ht="17.25" customHeight="1"/>
    <row r="56446" customFormat="1" ht="17.25" customHeight="1"/>
    <row r="56447" customFormat="1" ht="17.25" customHeight="1"/>
    <row r="56448" customFormat="1" ht="17.25" customHeight="1"/>
    <row r="56449" customFormat="1" ht="17.25" customHeight="1"/>
    <row r="56450" customFormat="1" ht="17.25" customHeight="1"/>
    <row r="56451" customFormat="1" ht="17.25" customHeight="1"/>
    <row r="56452" customFormat="1" ht="17.25" customHeight="1"/>
    <row r="56453" customFormat="1" ht="17.25" customHeight="1"/>
    <row r="56454" customFormat="1" ht="17.25" customHeight="1"/>
    <row r="56455" customFormat="1" ht="17.25" customHeight="1"/>
    <row r="56456" customFormat="1" ht="17.25" customHeight="1"/>
    <row r="56457" customFormat="1" ht="17.25" customHeight="1"/>
    <row r="56458" customFormat="1" ht="17.25" customHeight="1"/>
    <row r="56459" customFormat="1" ht="17.25" customHeight="1"/>
    <row r="56460" customFormat="1" ht="17.25" customHeight="1"/>
    <row r="56461" customFormat="1" ht="17.25" customHeight="1"/>
    <row r="56462" customFormat="1" ht="17.25" customHeight="1"/>
    <row r="56463" customFormat="1" ht="17.25" customHeight="1"/>
    <row r="56464" customFormat="1" ht="17.25" customHeight="1"/>
    <row r="56465" customFormat="1" ht="17.25" customHeight="1"/>
    <row r="56466" customFormat="1" ht="17.25" customHeight="1"/>
    <row r="56467" customFormat="1" ht="17.25" customHeight="1"/>
    <row r="56468" customFormat="1" ht="17.25" customHeight="1"/>
    <row r="56469" customFormat="1" ht="17.25" customHeight="1"/>
    <row r="56470" customFormat="1" ht="17.25" customHeight="1"/>
    <row r="56471" customFormat="1" ht="17.25" customHeight="1"/>
    <row r="56472" customFormat="1" ht="17.25" customHeight="1"/>
    <row r="56473" customFormat="1" ht="17.25" customHeight="1"/>
    <row r="56474" customFormat="1" ht="17.25" customHeight="1"/>
    <row r="56475" customFormat="1" ht="17.25" customHeight="1"/>
    <row r="56476" customFormat="1" ht="17.25" customHeight="1"/>
    <row r="56477" customFormat="1" ht="17.25" customHeight="1"/>
    <row r="56478" customFormat="1" ht="17.25" customHeight="1"/>
    <row r="56479" customFormat="1" ht="17.25" customHeight="1"/>
    <row r="56480" customFormat="1" ht="17.25" customHeight="1"/>
    <row r="56481" customFormat="1" ht="17.25" customHeight="1"/>
    <row r="56482" customFormat="1" ht="17.25" customHeight="1"/>
    <row r="56483" customFormat="1" ht="17.25" customHeight="1"/>
    <row r="56484" customFormat="1" ht="17.25" customHeight="1"/>
    <row r="56485" customFormat="1" ht="17.25" customHeight="1"/>
    <row r="56486" customFormat="1" ht="17.25" customHeight="1"/>
    <row r="56487" customFormat="1" ht="17.25" customHeight="1"/>
    <row r="56488" customFormat="1" ht="17.25" customHeight="1"/>
    <row r="56489" customFormat="1" ht="17.25" customHeight="1"/>
    <row r="56490" customFormat="1" ht="17.25" customHeight="1"/>
    <row r="56491" customFormat="1" ht="17.25" customHeight="1"/>
    <row r="56492" customFormat="1" ht="17.25" customHeight="1"/>
    <row r="56493" customFormat="1" ht="17.25" customHeight="1"/>
    <row r="56494" customFormat="1" ht="17.25" customHeight="1"/>
    <row r="56495" customFormat="1" ht="17.25" customHeight="1"/>
    <row r="56496" customFormat="1" ht="17.25" customHeight="1"/>
    <row r="56497" customFormat="1" ht="17.25" customHeight="1"/>
    <row r="56498" customFormat="1" ht="17.25" customHeight="1"/>
    <row r="56499" customFormat="1" ht="17.25" customHeight="1"/>
    <row r="56500" customFormat="1" ht="17.25" customHeight="1"/>
    <row r="56501" customFormat="1" ht="17.25" customHeight="1"/>
    <row r="56502" customFormat="1" ht="17.25" customHeight="1"/>
    <row r="56503" customFormat="1" ht="17.25" customHeight="1"/>
    <row r="56504" customFormat="1" ht="17.25" customHeight="1"/>
    <row r="56505" customFormat="1" ht="17.25" customHeight="1"/>
    <row r="56506" customFormat="1" ht="17.25" customHeight="1"/>
    <row r="56507" customFormat="1" ht="17.25" customHeight="1"/>
    <row r="56508" customFormat="1" ht="17.25" customHeight="1"/>
    <row r="56509" customFormat="1" ht="17.25" customHeight="1"/>
    <row r="56510" customFormat="1" ht="17.25" customHeight="1"/>
    <row r="56511" customFormat="1" ht="17.25" customHeight="1"/>
    <row r="56512" customFormat="1" ht="17.25" customHeight="1"/>
    <row r="56513" customFormat="1" ht="17.25" customHeight="1"/>
    <row r="56514" customFormat="1" ht="17.25" customHeight="1"/>
    <row r="56515" customFormat="1" ht="17.25" customHeight="1"/>
    <row r="56516" customFormat="1" ht="17.25" customHeight="1"/>
    <row r="56517" customFormat="1" ht="17.25" customHeight="1"/>
    <row r="56518" customFormat="1" ht="17.25" customHeight="1"/>
    <row r="56519" customFormat="1" ht="17.25" customHeight="1"/>
    <row r="56520" customFormat="1" ht="17.25" customHeight="1"/>
    <row r="56521" customFormat="1" ht="17.25" customHeight="1"/>
    <row r="56522" customFormat="1" ht="17.25" customHeight="1"/>
    <row r="56523" customFormat="1" ht="17.25" customHeight="1"/>
    <row r="56524" customFormat="1" ht="17.25" customHeight="1"/>
    <row r="56525" customFormat="1" ht="17.25" customHeight="1"/>
    <row r="56526" customFormat="1" ht="17.25" customHeight="1"/>
    <row r="56527" customFormat="1" ht="17.25" customHeight="1"/>
    <row r="56528" customFormat="1" ht="17.25" customHeight="1"/>
    <row r="56529" customFormat="1" ht="17.25" customHeight="1"/>
    <row r="56530" customFormat="1" ht="17.25" customHeight="1"/>
    <row r="56531" customFormat="1" ht="17.25" customHeight="1"/>
    <row r="56532" customFormat="1" ht="17.25" customHeight="1"/>
    <row r="56533" customFormat="1" ht="17.25" customHeight="1"/>
    <row r="56534" customFormat="1" ht="17.25" customHeight="1"/>
    <row r="56535" customFormat="1" ht="17.25" customHeight="1"/>
    <row r="56536" customFormat="1" ht="17.25" customHeight="1"/>
    <row r="56537" customFormat="1" ht="17.25" customHeight="1"/>
    <row r="56538" customFormat="1" ht="17.25" customHeight="1"/>
    <row r="56539" customFormat="1" ht="17.25" customHeight="1"/>
    <row r="56540" customFormat="1" ht="17.25" customHeight="1"/>
    <row r="56541" customFormat="1" ht="17.25" customHeight="1"/>
    <row r="56542" customFormat="1" ht="17.25" customHeight="1"/>
    <row r="56543" customFormat="1" ht="17.25" customHeight="1"/>
    <row r="56544" customFormat="1" ht="17.25" customHeight="1"/>
    <row r="56545" customFormat="1" ht="17.25" customHeight="1"/>
    <row r="56546" customFormat="1" ht="17.25" customHeight="1"/>
    <row r="56547" customFormat="1" ht="17.25" customHeight="1"/>
    <row r="56548" customFormat="1" ht="17.25" customHeight="1"/>
    <row r="56549" customFormat="1" ht="17.25" customHeight="1"/>
    <row r="56550" customFormat="1" ht="17.25" customHeight="1"/>
    <row r="56551" customFormat="1" ht="17.25" customHeight="1"/>
    <row r="56552" customFormat="1" ht="17.25" customHeight="1"/>
    <row r="56553" customFormat="1" ht="17.25" customHeight="1"/>
    <row r="56554" customFormat="1" ht="17.25" customHeight="1"/>
    <row r="56555" customFormat="1" ht="17.25" customHeight="1"/>
    <row r="56556" customFormat="1" ht="17.25" customHeight="1"/>
    <row r="56557" customFormat="1" ht="17.25" customHeight="1"/>
    <row r="56558" customFormat="1" ht="17.25" customHeight="1"/>
    <row r="56559" customFormat="1" ht="17.25" customHeight="1"/>
    <row r="56560" customFormat="1" ht="17.25" customHeight="1"/>
    <row r="56561" customFormat="1" ht="17.25" customHeight="1"/>
    <row r="56562" customFormat="1" ht="17.25" customHeight="1"/>
    <row r="56563" customFormat="1" ht="17.25" customHeight="1"/>
    <row r="56564" customFormat="1" ht="17.25" customHeight="1"/>
    <row r="56565" customFormat="1" ht="17.25" customHeight="1"/>
    <row r="56566" customFormat="1" ht="17.25" customHeight="1"/>
    <row r="56567" customFormat="1" ht="17.25" customHeight="1"/>
    <row r="56568" customFormat="1" ht="17.25" customHeight="1"/>
    <row r="56569" customFormat="1" ht="17.25" customHeight="1"/>
    <row r="56570" customFormat="1" ht="17.25" customHeight="1"/>
    <row r="56571" customFormat="1" ht="17.25" customHeight="1"/>
    <row r="56572" customFormat="1" ht="17.25" customHeight="1"/>
    <row r="56573" customFormat="1" ht="17.25" customHeight="1"/>
    <row r="56574" customFormat="1" ht="17.25" customHeight="1"/>
    <row r="56575" customFormat="1" ht="17.25" customHeight="1"/>
    <row r="56576" customFormat="1" ht="17.25" customHeight="1"/>
    <row r="56577" customFormat="1" ht="17.25" customHeight="1"/>
    <row r="56578" customFormat="1" ht="17.25" customHeight="1"/>
    <row r="56579" customFormat="1" ht="17.25" customHeight="1"/>
    <row r="56580" customFormat="1" ht="17.25" customHeight="1"/>
    <row r="56581" customFormat="1" ht="17.25" customHeight="1"/>
    <row r="56582" customFormat="1" ht="17.25" customHeight="1"/>
    <row r="56583" customFormat="1" ht="17.25" customHeight="1"/>
    <row r="56584" customFormat="1" ht="17.25" customHeight="1"/>
    <row r="56585" customFormat="1" ht="17.25" customHeight="1"/>
    <row r="56586" customFormat="1" ht="17.25" customHeight="1"/>
    <row r="56587" customFormat="1" ht="17.25" customHeight="1"/>
    <row r="56588" customFormat="1" ht="17.25" customHeight="1"/>
    <row r="56589" customFormat="1" ht="17.25" customHeight="1"/>
    <row r="56590" customFormat="1" ht="17.25" customHeight="1"/>
    <row r="56591" customFormat="1" ht="17.25" customHeight="1"/>
    <row r="56592" customFormat="1" ht="17.25" customHeight="1"/>
    <row r="56593" customFormat="1" ht="17.25" customHeight="1"/>
    <row r="56594" customFormat="1" ht="17.25" customHeight="1"/>
    <row r="56595" customFormat="1" ht="17.25" customHeight="1"/>
    <row r="56596" customFormat="1" ht="17.25" customHeight="1"/>
    <row r="56597" customFormat="1" ht="17.25" customHeight="1"/>
    <row r="56598" customFormat="1" ht="17.25" customHeight="1"/>
    <row r="56599" customFormat="1" ht="17.25" customHeight="1"/>
    <row r="56600" customFormat="1" ht="17.25" customHeight="1"/>
    <row r="56601" customFormat="1" ht="17.25" customHeight="1"/>
    <row r="56602" customFormat="1" ht="17.25" customHeight="1"/>
    <row r="56603" customFormat="1" ht="17.25" customHeight="1"/>
    <row r="56604" customFormat="1" ht="17.25" customHeight="1"/>
    <row r="56605" customFormat="1" ht="17.25" customHeight="1"/>
    <row r="56606" customFormat="1" ht="17.25" customHeight="1"/>
    <row r="56607" customFormat="1" ht="17.25" customHeight="1"/>
    <row r="56608" customFormat="1" ht="17.25" customHeight="1"/>
    <row r="56609" customFormat="1" ht="17.25" customHeight="1"/>
    <row r="56610" customFormat="1" ht="17.25" customHeight="1"/>
    <row r="56611" customFormat="1" ht="17.25" customHeight="1"/>
    <row r="56612" customFormat="1" ht="17.25" customHeight="1"/>
    <row r="56613" customFormat="1" ht="17.25" customHeight="1"/>
    <row r="56614" customFormat="1" ht="17.25" customHeight="1"/>
    <row r="56615" customFormat="1" ht="17.25" customHeight="1"/>
    <row r="56616" customFormat="1" ht="17.25" customHeight="1"/>
    <row r="56617" customFormat="1" ht="17.25" customHeight="1"/>
    <row r="56618" customFormat="1" ht="17.25" customHeight="1"/>
    <row r="56619" customFormat="1" ht="17.25" customHeight="1"/>
    <row r="56620" customFormat="1" ht="17.25" customHeight="1"/>
    <row r="56621" customFormat="1" ht="17.25" customHeight="1"/>
    <row r="56622" customFormat="1" ht="17.25" customHeight="1"/>
    <row r="56623" customFormat="1" ht="17.25" customHeight="1"/>
    <row r="56624" customFormat="1" ht="17.25" customHeight="1"/>
    <row r="56625" customFormat="1" ht="17.25" customHeight="1"/>
    <row r="56626" customFormat="1" ht="17.25" customHeight="1"/>
    <row r="56627" customFormat="1" ht="17.25" customHeight="1"/>
    <row r="56628" customFormat="1" ht="17.25" customHeight="1"/>
    <row r="56629" customFormat="1" ht="17.25" customHeight="1"/>
    <row r="56630" customFormat="1" ht="17.25" customHeight="1"/>
    <row r="56631" customFormat="1" ht="17.25" customHeight="1"/>
    <row r="56632" customFormat="1" ht="17.25" customHeight="1"/>
    <row r="56633" customFormat="1" ht="17.25" customHeight="1"/>
    <row r="56634" customFormat="1" ht="17.25" customHeight="1"/>
    <row r="56635" customFormat="1" ht="17.25" customHeight="1"/>
    <row r="56636" customFormat="1" ht="17.25" customHeight="1"/>
    <row r="56637" customFormat="1" ht="17.25" customHeight="1"/>
    <row r="56638" customFormat="1" ht="17.25" customHeight="1"/>
    <row r="56639" customFormat="1" ht="17.25" customHeight="1"/>
    <row r="56640" customFormat="1" ht="17.25" customHeight="1"/>
    <row r="56641" customFormat="1" ht="17.25" customHeight="1"/>
    <row r="56642" customFormat="1" ht="17.25" customHeight="1"/>
    <row r="56643" customFormat="1" ht="17.25" customHeight="1"/>
    <row r="56644" customFormat="1" ht="17.25" customHeight="1"/>
    <row r="56645" customFormat="1" ht="17.25" customHeight="1"/>
    <row r="56646" customFormat="1" ht="17.25" customHeight="1"/>
    <row r="56647" customFormat="1" ht="17.25" customHeight="1"/>
    <row r="56648" customFormat="1" ht="17.25" customHeight="1"/>
    <row r="56649" customFormat="1" ht="17.25" customHeight="1"/>
    <row r="56650" customFormat="1" ht="17.25" customHeight="1"/>
    <row r="56651" customFormat="1" ht="17.25" customHeight="1"/>
    <row r="56652" customFormat="1" ht="17.25" customHeight="1"/>
    <row r="56653" customFormat="1" ht="17.25" customHeight="1"/>
    <row r="56654" customFormat="1" ht="17.25" customHeight="1"/>
    <row r="56655" customFormat="1" ht="17.25" customHeight="1"/>
    <row r="56656" customFormat="1" ht="17.25" customHeight="1"/>
    <row r="56657" customFormat="1" ht="17.25" customHeight="1"/>
    <row r="56658" customFormat="1" ht="17.25" customHeight="1"/>
    <row r="56659" customFormat="1" ht="17.25" customHeight="1"/>
    <row r="56660" customFormat="1" ht="17.25" customHeight="1"/>
    <row r="56661" customFormat="1" ht="17.25" customHeight="1"/>
    <row r="56662" customFormat="1" ht="17.25" customHeight="1"/>
    <row r="56663" customFormat="1" ht="17.25" customHeight="1"/>
    <row r="56664" customFormat="1" ht="17.25" customHeight="1"/>
    <row r="56665" customFormat="1" ht="17.25" customHeight="1"/>
    <row r="56666" customFormat="1" ht="17.25" customHeight="1"/>
    <row r="56667" customFormat="1" ht="17.25" customHeight="1"/>
    <row r="56668" customFormat="1" ht="17.25" customHeight="1"/>
    <row r="56669" customFormat="1" ht="17.25" customHeight="1"/>
    <row r="56670" customFormat="1" ht="17.25" customHeight="1"/>
    <row r="56671" customFormat="1" ht="17.25" customHeight="1"/>
    <row r="56672" customFormat="1" ht="17.25" customHeight="1"/>
    <row r="56673" customFormat="1" ht="17.25" customHeight="1"/>
    <row r="56674" customFormat="1" ht="17.25" customHeight="1"/>
    <row r="56675" customFormat="1" ht="17.25" customHeight="1"/>
    <row r="56676" customFormat="1" ht="17.25" customHeight="1"/>
    <row r="56677" customFormat="1" ht="17.25" customHeight="1"/>
    <row r="56678" customFormat="1" ht="17.25" customHeight="1"/>
    <row r="56679" customFormat="1" ht="17.25" customHeight="1"/>
    <row r="56680" customFormat="1" ht="17.25" customHeight="1"/>
    <row r="56681" customFormat="1" ht="17.25" customHeight="1"/>
    <row r="56682" customFormat="1" ht="17.25" customHeight="1"/>
    <row r="56683" customFormat="1" ht="17.25" customHeight="1"/>
    <row r="56684" customFormat="1" ht="17.25" customHeight="1"/>
    <row r="56685" customFormat="1" ht="17.25" customHeight="1"/>
    <row r="56686" customFormat="1" ht="17.25" customHeight="1"/>
    <row r="56687" customFormat="1" ht="17.25" customHeight="1"/>
    <row r="56688" customFormat="1" ht="17.25" customHeight="1"/>
    <row r="56689" customFormat="1" ht="17.25" customHeight="1"/>
    <row r="56690" customFormat="1" ht="17.25" customHeight="1"/>
    <row r="56691" customFormat="1" ht="17.25" customHeight="1"/>
    <row r="56692" customFormat="1" ht="17.25" customHeight="1"/>
    <row r="56693" customFormat="1" ht="17.25" customHeight="1"/>
    <row r="56694" customFormat="1" ht="17.25" customHeight="1"/>
    <row r="56695" customFormat="1" ht="17.25" customHeight="1"/>
    <row r="56696" customFormat="1" ht="17.25" customHeight="1"/>
    <row r="56697" customFormat="1" ht="17.25" customHeight="1"/>
    <row r="56698" customFormat="1" ht="17.25" customHeight="1"/>
    <row r="56699" customFormat="1" ht="17.25" customHeight="1"/>
    <row r="56700" customFormat="1" ht="17.25" customHeight="1"/>
    <row r="56701" customFormat="1" ht="17.25" customHeight="1"/>
    <row r="56702" customFormat="1" ht="17.25" customHeight="1"/>
    <row r="56703" customFormat="1" ht="17.25" customHeight="1"/>
    <row r="56704" customFormat="1" ht="17.25" customHeight="1"/>
    <row r="56705" customFormat="1" ht="17.25" customHeight="1"/>
    <row r="56706" customFormat="1" ht="17.25" customHeight="1"/>
    <row r="56707" customFormat="1" ht="17.25" customHeight="1"/>
    <row r="56708" customFormat="1" ht="17.25" customHeight="1"/>
    <row r="56709" customFormat="1" ht="17.25" customHeight="1"/>
    <row r="56710" customFormat="1" ht="17.25" customHeight="1"/>
    <row r="56711" customFormat="1" ht="17.25" customHeight="1"/>
    <row r="56712" customFormat="1" ht="17.25" customHeight="1"/>
    <row r="56713" customFormat="1" ht="17.25" customHeight="1"/>
    <row r="56714" customFormat="1" ht="17.25" customHeight="1"/>
    <row r="56715" customFormat="1" ht="17.25" customHeight="1"/>
    <row r="56716" customFormat="1" ht="17.25" customHeight="1"/>
    <row r="56717" customFormat="1" ht="17.25" customHeight="1"/>
    <row r="56718" customFormat="1" ht="17.25" customHeight="1"/>
    <row r="56719" customFormat="1" ht="17.25" customHeight="1"/>
    <row r="56720" customFormat="1" ht="17.25" customHeight="1"/>
    <row r="56721" customFormat="1" ht="17.25" customHeight="1"/>
    <row r="56722" customFormat="1" ht="17.25" customHeight="1"/>
    <row r="56723" customFormat="1" ht="17.25" customHeight="1"/>
    <row r="56724" customFormat="1" ht="17.25" customHeight="1"/>
    <row r="56725" customFormat="1" ht="17.25" customHeight="1"/>
    <row r="56726" customFormat="1" ht="17.25" customHeight="1"/>
    <row r="56727" customFormat="1" ht="17.25" customHeight="1"/>
    <row r="56728" customFormat="1" ht="17.25" customHeight="1"/>
    <row r="56729" customFormat="1" ht="17.25" customHeight="1"/>
    <row r="56730" customFormat="1" ht="17.25" customHeight="1"/>
    <row r="56731" customFormat="1" ht="17.25" customHeight="1"/>
    <row r="56732" customFormat="1" ht="17.25" customHeight="1"/>
    <row r="56733" customFormat="1" ht="17.25" customHeight="1"/>
    <row r="56734" customFormat="1" ht="17.25" customHeight="1"/>
    <row r="56735" customFormat="1" ht="17.25" customHeight="1"/>
    <row r="56736" customFormat="1" ht="17.25" customHeight="1"/>
    <row r="56737" customFormat="1" ht="17.25" customHeight="1"/>
    <row r="56738" customFormat="1" ht="17.25" customHeight="1"/>
    <row r="56739" customFormat="1" ht="17.25" customHeight="1"/>
    <row r="56740" customFormat="1" ht="17.25" customHeight="1"/>
    <row r="56741" customFormat="1" ht="17.25" customHeight="1"/>
    <row r="56742" customFormat="1" ht="17.25" customHeight="1"/>
    <row r="56743" customFormat="1" ht="17.25" customHeight="1"/>
    <row r="56744" customFormat="1" ht="17.25" customHeight="1"/>
    <row r="56745" customFormat="1" ht="17.25" customHeight="1"/>
    <row r="56746" customFormat="1" ht="17.25" customHeight="1"/>
    <row r="56747" customFormat="1" ht="17.25" customHeight="1"/>
    <row r="56748" customFormat="1" ht="17.25" customHeight="1"/>
    <row r="56749" customFormat="1" ht="17.25" customHeight="1"/>
    <row r="56750" customFormat="1" ht="17.25" customHeight="1"/>
    <row r="56751" customFormat="1" ht="17.25" customHeight="1"/>
    <row r="56752" customFormat="1" ht="17.25" customHeight="1"/>
    <row r="56753" customFormat="1" ht="17.25" customHeight="1"/>
    <row r="56754" customFormat="1" ht="17.25" customHeight="1"/>
    <row r="56755" customFormat="1" ht="17.25" customHeight="1"/>
    <row r="56756" customFormat="1" ht="17.25" customHeight="1"/>
    <row r="56757" customFormat="1" ht="17.25" customHeight="1"/>
    <row r="56758" customFormat="1" ht="17.25" customHeight="1"/>
    <row r="56759" customFormat="1" ht="17.25" customHeight="1"/>
    <row r="56760" customFormat="1" ht="17.25" customHeight="1"/>
    <row r="56761" customFormat="1" ht="17.25" customHeight="1"/>
    <row r="56762" customFormat="1" ht="17.25" customHeight="1"/>
    <row r="56763" customFormat="1" ht="17.25" customHeight="1"/>
    <row r="56764" customFormat="1" ht="17.25" customHeight="1"/>
    <row r="56765" customFormat="1" ht="17.25" customHeight="1"/>
    <row r="56766" customFormat="1" ht="17.25" customHeight="1"/>
    <row r="56767" customFormat="1" ht="17.25" customHeight="1"/>
    <row r="56768" customFormat="1" ht="17.25" customHeight="1"/>
    <row r="56769" customFormat="1" ht="17.25" customHeight="1"/>
    <row r="56770" customFormat="1" ht="17.25" customHeight="1"/>
    <row r="56771" customFormat="1" ht="17.25" customHeight="1"/>
    <row r="56772" customFormat="1" ht="17.25" customHeight="1"/>
    <row r="56773" customFormat="1" ht="17.25" customHeight="1"/>
    <row r="56774" customFormat="1" ht="17.25" customHeight="1"/>
    <row r="56775" customFormat="1" ht="17.25" customHeight="1"/>
    <row r="56776" customFormat="1" ht="17.25" customHeight="1"/>
    <row r="56777" customFormat="1" ht="17.25" customHeight="1"/>
    <row r="56778" customFormat="1" ht="17.25" customHeight="1"/>
    <row r="56779" customFormat="1" ht="17.25" customHeight="1"/>
    <row r="56780" customFormat="1" ht="17.25" customHeight="1"/>
    <row r="56781" customFormat="1" ht="17.25" customHeight="1"/>
    <row r="56782" customFormat="1" ht="17.25" customHeight="1"/>
    <row r="56783" customFormat="1" ht="17.25" customHeight="1"/>
    <row r="56784" customFormat="1" ht="17.25" customHeight="1"/>
    <row r="56785" customFormat="1" ht="17.25" customHeight="1"/>
    <row r="56786" customFormat="1" ht="17.25" customHeight="1"/>
    <row r="56787" customFormat="1" ht="17.25" customHeight="1"/>
    <row r="56788" customFormat="1" ht="17.25" customHeight="1"/>
    <row r="56789" customFormat="1" ht="17.25" customHeight="1"/>
    <row r="56790" customFormat="1" ht="17.25" customHeight="1"/>
    <row r="56791" customFormat="1" ht="17.25" customHeight="1"/>
    <row r="56792" customFormat="1" ht="17.25" customHeight="1"/>
    <row r="56793" customFormat="1" ht="17.25" customHeight="1"/>
    <row r="56794" customFormat="1" ht="17.25" customHeight="1"/>
    <row r="56795" customFormat="1" ht="17.25" customHeight="1"/>
    <row r="56796" customFormat="1" ht="17.25" customHeight="1"/>
    <row r="56797" customFormat="1" ht="17.25" customHeight="1"/>
    <row r="56798" customFormat="1" ht="17.25" customHeight="1"/>
    <row r="56799" customFormat="1" ht="17.25" customHeight="1"/>
    <row r="56800" customFormat="1" ht="17.25" customHeight="1"/>
    <row r="56801" customFormat="1" ht="17.25" customHeight="1"/>
    <row r="56802" customFormat="1" ht="17.25" customHeight="1"/>
    <row r="56803" customFormat="1" ht="17.25" customHeight="1"/>
    <row r="56804" customFormat="1" ht="17.25" customHeight="1"/>
    <row r="56805" customFormat="1" ht="17.25" customHeight="1"/>
    <row r="56806" customFormat="1" ht="17.25" customHeight="1"/>
    <row r="56807" customFormat="1" ht="17.25" customHeight="1"/>
    <row r="56808" customFormat="1" ht="17.25" customHeight="1"/>
    <row r="56809" customFormat="1" ht="17.25" customHeight="1"/>
    <row r="56810" customFormat="1" ht="17.25" customHeight="1"/>
    <row r="56811" customFormat="1" ht="17.25" customHeight="1"/>
    <row r="56812" customFormat="1" ht="17.25" customHeight="1"/>
    <row r="56813" customFormat="1" ht="17.25" customHeight="1"/>
    <row r="56814" customFormat="1" ht="17.25" customHeight="1"/>
    <row r="56815" customFormat="1" ht="17.25" customHeight="1"/>
    <row r="56816" customFormat="1" ht="17.25" customHeight="1"/>
    <row r="56817" customFormat="1" ht="17.25" customHeight="1"/>
    <row r="56818" customFormat="1" ht="17.25" customHeight="1"/>
    <row r="56819" customFormat="1" ht="17.25" customHeight="1"/>
    <row r="56820" customFormat="1" ht="17.25" customHeight="1"/>
    <row r="56821" customFormat="1" ht="17.25" customHeight="1"/>
    <row r="56822" customFormat="1" ht="17.25" customHeight="1"/>
    <row r="56823" customFormat="1" ht="17.25" customHeight="1"/>
    <row r="56824" customFormat="1" ht="17.25" customHeight="1"/>
    <row r="56825" customFormat="1" ht="17.25" customHeight="1"/>
    <row r="56826" customFormat="1" ht="17.25" customHeight="1"/>
    <row r="56827" customFormat="1" ht="17.25" customHeight="1"/>
    <row r="56828" customFormat="1" ht="17.25" customHeight="1"/>
    <row r="56829" customFormat="1" ht="17.25" customHeight="1"/>
    <row r="56830" customFormat="1" ht="17.25" customHeight="1"/>
    <row r="56831" customFormat="1" ht="17.25" customHeight="1"/>
    <row r="56832" customFormat="1" ht="17.25" customHeight="1"/>
    <row r="56833" customFormat="1" ht="17.25" customHeight="1"/>
    <row r="56834" customFormat="1" ht="17.25" customHeight="1"/>
    <row r="56835" customFormat="1" ht="17.25" customHeight="1"/>
    <row r="56836" customFormat="1" ht="17.25" customHeight="1"/>
    <row r="56837" customFormat="1" ht="17.25" customHeight="1"/>
    <row r="56838" customFormat="1" ht="17.25" customHeight="1"/>
    <row r="56839" customFormat="1" ht="17.25" customHeight="1"/>
    <row r="56840" customFormat="1" ht="17.25" customHeight="1"/>
    <row r="56841" customFormat="1" ht="17.25" customHeight="1"/>
    <row r="56842" customFormat="1" ht="17.25" customHeight="1"/>
    <row r="56843" customFormat="1" ht="17.25" customHeight="1"/>
    <row r="56844" customFormat="1" ht="17.25" customHeight="1"/>
    <row r="56845" customFormat="1" ht="17.25" customHeight="1"/>
    <row r="56846" customFormat="1" ht="17.25" customHeight="1"/>
    <row r="56847" customFormat="1" ht="17.25" customHeight="1"/>
    <row r="56848" customFormat="1" ht="17.25" customHeight="1"/>
    <row r="56849" customFormat="1" ht="17.25" customHeight="1"/>
    <row r="56850" customFormat="1" ht="17.25" customHeight="1"/>
    <row r="56851" customFormat="1" ht="17.25" customHeight="1"/>
    <row r="56852" customFormat="1" ht="17.25" customHeight="1"/>
    <row r="56853" customFormat="1" ht="17.25" customHeight="1"/>
    <row r="56854" customFormat="1" ht="17.25" customHeight="1"/>
    <row r="56855" customFormat="1" ht="17.25" customHeight="1"/>
    <row r="56856" customFormat="1" ht="17.25" customHeight="1"/>
    <row r="56857" customFormat="1" ht="17.25" customHeight="1"/>
    <row r="56858" customFormat="1" ht="17.25" customHeight="1"/>
    <row r="56859" customFormat="1" ht="17.25" customHeight="1"/>
    <row r="56860" customFormat="1" ht="17.25" customHeight="1"/>
    <row r="56861" customFormat="1" ht="17.25" customHeight="1"/>
    <row r="56862" customFormat="1" ht="17.25" customHeight="1"/>
    <row r="56863" customFormat="1" ht="17.25" customHeight="1"/>
    <row r="56864" customFormat="1" ht="17.25" customHeight="1"/>
    <row r="56865" customFormat="1" ht="17.25" customHeight="1"/>
    <row r="56866" customFormat="1" ht="17.25" customHeight="1"/>
    <row r="56867" customFormat="1" ht="17.25" customHeight="1"/>
    <row r="56868" customFormat="1" ht="17.25" customHeight="1"/>
    <row r="56869" customFormat="1" ht="17.25" customHeight="1"/>
    <row r="56870" customFormat="1" ht="17.25" customHeight="1"/>
    <row r="56871" customFormat="1" ht="17.25" customHeight="1"/>
    <row r="56872" customFormat="1" ht="17.25" customHeight="1"/>
    <row r="56873" customFormat="1" ht="17.25" customHeight="1"/>
    <row r="56874" customFormat="1" ht="17.25" customHeight="1"/>
    <row r="56875" customFormat="1" ht="17.25" customHeight="1"/>
    <row r="56876" customFormat="1" ht="17.25" customHeight="1"/>
    <row r="56877" customFormat="1" ht="17.25" customHeight="1"/>
    <row r="56878" customFormat="1" ht="17.25" customHeight="1"/>
    <row r="56879" customFormat="1" ht="17.25" customHeight="1"/>
    <row r="56880" customFormat="1" ht="17.25" customHeight="1"/>
    <row r="56881" customFormat="1" ht="17.25" customHeight="1"/>
    <row r="56882" customFormat="1" ht="17.25" customHeight="1"/>
    <row r="56883" customFormat="1" ht="17.25" customHeight="1"/>
    <row r="56884" customFormat="1" ht="17.25" customHeight="1"/>
    <row r="56885" customFormat="1" ht="17.25" customHeight="1"/>
    <row r="56886" customFormat="1" ht="17.25" customHeight="1"/>
    <row r="56887" customFormat="1" ht="17.25" customHeight="1"/>
    <row r="56888" customFormat="1" ht="17.25" customHeight="1"/>
    <row r="56889" customFormat="1" ht="17.25" customHeight="1"/>
    <row r="56890" customFormat="1" ht="17.25" customHeight="1"/>
    <row r="56891" customFormat="1" ht="17.25" customHeight="1"/>
    <row r="56892" customFormat="1" ht="17.25" customHeight="1"/>
    <row r="56893" customFormat="1" ht="17.25" customHeight="1"/>
    <row r="56894" customFormat="1" ht="17.25" customHeight="1"/>
    <row r="56895" customFormat="1" ht="17.25" customHeight="1"/>
    <row r="56896" customFormat="1" ht="17.25" customHeight="1"/>
    <row r="56897" customFormat="1" ht="17.25" customHeight="1"/>
    <row r="56898" customFormat="1" ht="17.25" customHeight="1"/>
    <row r="56899" customFormat="1" ht="17.25" customHeight="1"/>
    <row r="56900" customFormat="1" ht="17.25" customHeight="1"/>
    <row r="56901" customFormat="1" ht="17.25" customHeight="1"/>
    <row r="56902" customFormat="1" ht="17.25" customHeight="1"/>
    <row r="56903" customFormat="1" ht="17.25" customHeight="1"/>
    <row r="56904" customFormat="1" ht="17.25" customHeight="1"/>
    <row r="56905" customFormat="1" ht="17.25" customHeight="1"/>
    <row r="56906" customFormat="1" ht="17.25" customHeight="1"/>
    <row r="56907" customFormat="1" ht="17.25" customHeight="1"/>
    <row r="56908" customFormat="1" ht="17.25" customHeight="1"/>
    <row r="56909" customFormat="1" ht="17.25" customHeight="1"/>
    <row r="56910" customFormat="1" ht="17.25" customHeight="1"/>
    <row r="56911" customFormat="1" ht="17.25" customHeight="1"/>
    <row r="56912" customFormat="1" ht="17.25" customHeight="1"/>
    <row r="56913" customFormat="1" ht="17.25" customHeight="1"/>
    <row r="56914" customFormat="1" ht="17.25" customHeight="1"/>
    <row r="56915" customFormat="1" ht="17.25" customHeight="1"/>
    <row r="56916" customFormat="1" ht="17.25" customHeight="1"/>
    <row r="56917" customFormat="1" ht="17.25" customHeight="1"/>
    <row r="56918" customFormat="1" ht="17.25" customHeight="1"/>
    <row r="56919" customFormat="1" ht="17.25" customHeight="1"/>
    <row r="56920" customFormat="1" ht="17.25" customHeight="1"/>
    <row r="56921" customFormat="1" ht="17.25" customHeight="1"/>
    <row r="56922" customFormat="1" ht="17.25" customHeight="1"/>
    <row r="56923" customFormat="1" ht="17.25" customHeight="1"/>
    <row r="56924" customFormat="1" ht="17.25" customHeight="1"/>
    <row r="56925" customFormat="1" ht="17.25" customHeight="1"/>
    <row r="56926" customFormat="1" ht="17.25" customHeight="1"/>
    <row r="56927" customFormat="1" ht="17.25" customHeight="1"/>
    <row r="56928" customFormat="1" ht="17.25" customHeight="1"/>
    <row r="56929" customFormat="1" ht="17.25" customHeight="1"/>
    <row r="56930" customFormat="1" ht="17.25" customHeight="1"/>
    <row r="56931" customFormat="1" ht="17.25" customHeight="1"/>
    <row r="56932" customFormat="1" ht="17.25" customHeight="1"/>
    <row r="56933" customFormat="1" ht="17.25" customHeight="1"/>
    <row r="56934" customFormat="1" ht="17.25" customHeight="1"/>
    <row r="56935" customFormat="1" ht="17.25" customHeight="1"/>
    <row r="56936" customFormat="1" ht="17.25" customHeight="1"/>
    <row r="56937" customFormat="1" ht="17.25" customHeight="1"/>
    <row r="56938" customFormat="1" ht="17.25" customHeight="1"/>
    <row r="56939" customFormat="1" ht="17.25" customHeight="1"/>
    <row r="56940" customFormat="1" ht="17.25" customHeight="1"/>
    <row r="56941" customFormat="1" ht="17.25" customHeight="1"/>
    <row r="56942" customFormat="1" ht="17.25" customHeight="1"/>
    <row r="56943" customFormat="1" ht="17.25" customHeight="1"/>
    <row r="56944" customFormat="1" ht="17.25" customHeight="1"/>
    <row r="56945" customFormat="1" ht="17.25" customHeight="1"/>
    <row r="56946" customFormat="1" ht="17.25" customHeight="1"/>
    <row r="56947" customFormat="1" ht="17.25" customHeight="1"/>
    <row r="56948" customFormat="1" ht="17.25" customHeight="1"/>
    <row r="56949" customFormat="1" ht="17.25" customHeight="1"/>
    <row r="56950" customFormat="1" ht="17.25" customHeight="1"/>
    <row r="56951" customFormat="1" ht="17.25" customHeight="1"/>
    <row r="56952" customFormat="1" ht="17.25" customHeight="1"/>
    <row r="56953" customFormat="1" ht="17.25" customHeight="1"/>
    <row r="56954" customFormat="1" ht="17.25" customHeight="1"/>
    <row r="56955" customFormat="1" ht="17.25" customHeight="1"/>
    <row r="56956" customFormat="1" ht="17.25" customHeight="1"/>
    <row r="56957" customFormat="1" ht="17.25" customHeight="1"/>
    <row r="56958" customFormat="1" ht="17.25" customHeight="1"/>
    <row r="56959" customFormat="1" ht="17.25" customHeight="1"/>
    <row r="56960" customFormat="1" ht="17.25" customHeight="1"/>
    <row r="56961" customFormat="1" ht="17.25" customHeight="1"/>
    <row r="56962" customFormat="1" ht="17.25" customHeight="1"/>
    <row r="56963" customFormat="1" ht="17.25" customHeight="1"/>
    <row r="56964" customFormat="1" ht="17.25" customHeight="1"/>
    <row r="56965" customFormat="1" ht="17.25" customHeight="1"/>
    <row r="56966" customFormat="1" ht="17.25" customHeight="1"/>
    <row r="56967" customFormat="1" ht="17.25" customHeight="1"/>
    <row r="56968" customFormat="1" ht="17.25" customHeight="1"/>
    <row r="56969" customFormat="1" ht="17.25" customHeight="1"/>
    <row r="56970" customFormat="1" ht="17.25" customHeight="1"/>
    <row r="56971" customFormat="1" ht="17.25" customHeight="1"/>
    <row r="56972" customFormat="1" ht="17.25" customHeight="1"/>
    <row r="56973" customFormat="1" ht="17.25" customHeight="1"/>
    <row r="56974" customFormat="1" ht="17.25" customHeight="1"/>
    <row r="56975" customFormat="1" ht="17.25" customHeight="1"/>
    <row r="56976" customFormat="1" ht="17.25" customHeight="1"/>
    <row r="56977" customFormat="1" ht="17.25" customHeight="1"/>
    <row r="56978" customFormat="1" ht="17.25" customHeight="1"/>
    <row r="56979" customFormat="1" ht="17.25" customHeight="1"/>
    <row r="56980" customFormat="1" ht="17.25" customHeight="1"/>
    <row r="56981" customFormat="1" ht="17.25" customHeight="1"/>
    <row r="56982" customFormat="1" ht="17.25" customHeight="1"/>
    <row r="56983" customFormat="1" ht="17.25" customHeight="1"/>
    <row r="56984" customFormat="1" ht="17.25" customHeight="1"/>
    <row r="56985" customFormat="1" ht="17.25" customHeight="1"/>
    <row r="56986" customFormat="1" ht="17.25" customHeight="1"/>
    <row r="56987" customFormat="1" ht="17.25" customHeight="1"/>
    <row r="56988" customFormat="1" ht="17.25" customHeight="1"/>
    <row r="56989" customFormat="1" ht="17.25" customHeight="1"/>
    <row r="56990" customFormat="1" ht="17.25" customHeight="1"/>
    <row r="56991" customFormat="1" ht="17.25" customHeight="1"/>
    <row r="56992" customFormat="1" ht="17.25" customHeight="1"/>
    <row r="56993" customFormat="1" ht="17.25" customHeight="1"/>
    <row r="56994" customFormat="1" ht="17.25" customHeight="1"/>
    <row r="56995" customFormat="1" ht="17.25" customHeight="1"/>
    <row r="56996" customFormat="1" ht="17.25" customHeight="1"/>
    <row r="56997" customFormat="1" ht="17.25" customHeight="1"/>
    <row r="56998" customFormat="1" ht="17.25" customHeight="1"/>
    <row r="56999" customFormat="1" ht="17.25" customHeight="1"/>
    <row r="57000" customFormat="1" ht="17.25" customHeight="1"/>
    <row r="57001" customFormat="1" ht="17.25" customHeight="1"/>
    <row r="57002" customFormat="1" ht="17.25" customHeight="1"/>
    <row r="57003" customFormat="1" ht="17.25" customHeight="1"/>
    <row r="57004" customFormat="1" ht="17.25" customHeight="1"/>
    <row r="57005" customFormat="1" ht="17.25" customHeight="1"/>
    <row r="57006" customFormat="1" ht="17.25" customHeight="1"/>
    <row r="57007" customFormat="1" ht="17.25" customHeight="1"/>
    <row r="57008" customFormat="1" ht="17.25" customHeight="1"/>
    <row r="57009" customFormat="1" ht="17.25" customHeight="1"/>
    <row r="57010" customFormat="1" ht="17.25" customHeight="1"/>
    <row r="57011" customFormat="1" ht="17.25" customHeight="1"/>
    <row r="57012" customFormat="1" ht="17.25" customHeight="1"/>
    <row r="57013" customFormat="1" ht="17.25" customHeight="1"/>
    <row r="57014" customFormat="1" ht="17.25" customHeight="1"/>
    <row r="57015" customFormat="1" ht="17.25" customHeight="1"/>
    <row r="57016" customFormat="1" ht="17.25" customHeight="1"/>
    <row r="57017" customFormat="1" ht="17.25" customHeight="1"/>
    <row r="57018" customFormat="1" ht="17.25" customHeight="1"/>
    <row r="57019" customFormat="1" ht="17.25" customHeight="1"/>
    <row r="57020" customFormat="1" ht="17.25" customHeight="1"/>
    <row r="57021" customFormat="1" ht="17.25" customHeight="1"/>
    <row r="57022" customFormat="1" ht="17.25" customHeight="1"/>
    <row r="57023" customFormat="1" ht="17.25" customHeight="1"/>
    <row r="57024" customFormat="1" ht="17.25" customHeight="1"/>
    <row r="57025" customFormat="1" ht="17.25" customHeight="1"/>
    <row r="57026" customFormat="1" ht="17.25" customHeight="1"/>
    <row r="57027" customFormat="1" ht="17.25" customHeight="1"/>
    <row r="57028" customFormat="1" ht="17.25" customHeight="1"/>
    <row r="57029" customFormat="1" ht="17.25" customHeight="1"/>
    <row r="57030" customFormat="1" ht="17.25" customHeight="1"/>
    <row r="57031" customFormat="1" ht="17.25" customHeight="1"/>
    <row r="57032" customFormat="1" ht="17.25" customHeight="1"/>
    <row r="57033" customFormat="1" ht="17.25" customHeight="1"/>
    <row r="57034" customFormat="1" ht="17.25" customHeight="1"/>
    <row r="57035" customFormat="1" ht="17.25" customHeight="1"/>
    <row r="57036" customFormat="1" ht="17.25" customHeight="1"/>
    <row r="57037" customFormat="1" ht="17.25" customHeight="1"/>
    <row r="57038" customFormat="1" ht="17.25" customHeight="1"/>
    <row r="57039" customFormat="1" ht="17.25" customHeight="1"/>
    <row r="57040" customFormat="1" ht="17.25" customHeight="1"/>
    <row r="57041" customFormat="1" ht="17.25" customHeight="1"/>
    <row r="57042" customFormat="1" ht="17.25" customHeight="1"/>
    <row r="57043" customFormat="1" ht="17.25" customHeight="1"/>
    <row r="57044" customFormat="1" ht="17.25" customHeight="1"/>
    <row r="57045" customFormat="1" ht="17.25" customHeight="1"/>
    <row r="57046" customFormat="1" ht="17.25" customHeight="1"/>
    <row r="57047" customFormat="1" ht="17.25" customHeight="1"/>
    <row r="57048" customFormat="1" ht="17.25" customHeight="1"/>
    <row r="57049" customFormat="1" ht="17.25" customHeight="1"/>
    <row r="57050" customFormat="1" ht="17.25" customHeight="1"/>
    <row r="57051" customFormat="1" ht="17.25" customHeight="1"/>
    <row r="57052" customFormat="1" ht="17.25" customHeight="1"/>
    <row r="57053" customFormat="1" ht="17.25" customHeight="1"/>
    <row r="57054" customFormat="1" ht="17.25" customHeight="1"/>
    <row r="57055" customFormat="1" ht="17.25" customHeight="1"/>
    <row r="57056" customFormat="1" ht="17.25" customHeight="1"/>
    <row r="57057" customFormat="1" ht="17.25" customHeight="1"/>
    <row r="57058" customFormat="1" ht="17.25" customHeight="1"/>
    <row r="57059" customFormat="1" ht="17.25" customHeight="1"/>
    <row r="57060" customFormat="1" ht="17.25" customHeight="1"/>
    <row r="57061" customFormat="1" ht="17.25" customHeight="1"/>
    <row r="57062" customFormat="1" ht="17.25" customHeight="1"/>
    <row r="57063" customFormat="1" ht="17.25" customHeight="1"/>
    <row r="57064" customFormat="1" ht="17.25" customHeight="1"/>
    <row r="57065" customFormat="1" ht="17.25" customHeight="1"/>
    <row r="57066" customFormat="1" ht="17.25" customHeight="1"/>
    <row r="57067" customFormat="1" ht="17.25" customHeight="1"/>
    <row r="57068" customFormat="1" ht="17.25" customHeight="1"/>
    <row r="57069" customFormat="1" ht="17.25" customHeight="1"/>
    <row r="57070" customFormat="1" ht="17.25" customHeight="1"/>
    <row r="57071" customFormat="1" ht="17.25" customHeight="1"/>
    <row r="57072" customFormat="1" ht="17.25" customHeight="1"/>
    <row r="57073" customFormat="1" ht="17.25" customHeight="1"/>
    <row r="57074" customFormat="1" ht="17.25" customHeight="1"/>
    <row r="57075" customFormat="1" ht="17.25" customHeight="1"/>
    <row r="57076" customFormat="1" ht="17.25" customHeight="1"/>
    <row r="57077" customFormat="1" ht="17.25" customHeight="1"/>
    <row r="57078" customFormat="1" ht="17.25" customHeight="1"/>
    <row r="57079" customFormat="1" ht="17.25" customHeight="1"/>
    <row r="57080" customFormat="1" ht="17.25" customHeight="1"/>
    <row r="57081" customFormat="1" ht="17.25" customHeight="1"/>
    <row r="57082" customFormat="1" ht="17.25" customHeight="1"/>
    <row r="57083" customFormat="1" ht="17.25" customHeight="1"/>
    <row r="57084" customFormat="1" ht="17.25" customHeight="1"/>
    <row r="57085" customFormat="1" ht="17.25" customHeight="1"/>
    <row r="57086" customFormat="1" ht="17.25" customHeight="1"/>
    <row r="57087" customFormat="1" ht="17.25" customHeight="1"/>
    <row r="57088" customFormat="1" ht="17.25" customHeight="1"/>
    <row r="57089" customFormat="1" ht="17.25" customHeight="1"/>
    <row r="57090" customFormat="1" ht="17.25" customHeight="1"/>
    <row r="57091" customFormat="1" ht="17.25" customHeight="1"/>
    <row r="57092" customFormat="1" ht="17.25" customHeight="1"/>
    <row r="57093" customFormat="1" ht="17.25" customHeight="1"/>
    <row r="57094" customFormat="1" ht="17.25" customHeight="1"/>
    <row r="57095" customFormat="1" ht="17.25" customHeight="1"/>
    <row r="57096" customFormat="1" ht="17.25" customHeight="1"/>
    <row r="57097" customFormat="1" ht="17.25" customHeight="1"/>
    <row r="57098" customFormat="1" ht="17.25" customHeight="1"/>
    <row r="57099" customFormat="1" ht="17.25" customHeight="1"/>
    <row r="57100" customFormat="1" ht="17.25" customHeight="1"/>
    <row r="57101" customFormat="1" ht="17.25" customHeight="1"/>
    <row r="57102" customFormat="1" ht="17.25" customHeight="1"/>
    <row r="57103" customFormat="1" ht="17.25" customHeight="1"/>
    <row r="57104" customFormat="1" ht="17.25" customHeight="1"/>
    <row r="57105" customFormat="1" ht="17.25" customHeight="1"/>
    <row r="57106" customFormat="1" ht="17.25" customHeight="1"/>
    <row r="57107" customFormat="1" ht="17.25" customHeight="1"/>
    <row r="57108" customFormat="1" ht="17.25" customHeight="1"/>
    <row r="57109" customFormat="1" ht="17.25" customHeight="1"/>
    <row r="57110" customFormat="1" ht="17.25" customHeight="1"/>
    <row r="57111" customFormat="1" ht="17.25" customHeight="1"/>
    <row r="57112" customFormat="1" ht="17.25" customHeight="1"/>
    <row r="57113" customFormat="1" ht="17.25" customHeight="1"/>
    <row r="57114" customFormat="1" ht="17.25" customHeight="1"/>
    <row r="57115" customFormat="1" ht="17.25" customHeight="1"/>
    <row r="57116" customFormat="1" ht="17.25" customHeight="1"/>
    <row r="57117" customFormat="1" ht="17.25" customHeight="1"/>
    <row r="57118" customFormat="1" ht="17.25" customHeight="1"/>
    <row r="57119" customFormat="1" ht="17.25" customHeight="1"/>
    <row r="57120" customFormat="1" ht="17.25" customHeight="1"/>
    <row r="57121" customFormat="1" ht="17.25" customHeight="1"/>
    <row r="57122" customFormat="1" ht="17.25" customHeight="1"/>
    <row r="57123" customFormat="1" ht="17.25" customHeight="1"/>
    <row r="57124" customFormat="1" ht="17.25" customHeight="1"/>
    <row r="57125" customFormat="1" ht="17.25" customHeight="1"/>
    <row r="57126" customFormat="1" ht="17.25" customHeight="1"/>
    <row r="57127" customFormat="1" ht="17.25" customHeight="1"/>
    <row r="57128" customFormat="1" ht="17.25" customHeight="1"/>
    <row r="57129" customFormat="1" ht="17.25" customHeight="1"/>
    <row r="57130" customFormat="1" ht="17.25" customHeight="1"/>
    <row r="57131" customFormat="1" ht="17.25" customHeight="1"/>
    <row r="57132" customFormat="1" ht="17.25" customHeight="1"/>
    <row r="57133" customFormat="1" ht="17.25" customHeight="1"/>
    <row r="57134" customFormat="1" ht="17.25" customHeight="1"/>
    <row r="57135" customFormat="1" ht="17.25" customHeight="1"/>
    <row r="57136" customFormat="1" ht="17.25" customHeight="1"/>
    <row r="57137" customFormat="1" ht="17.25" customHeight="1"/>
    <row r="57138" customFormat="1" ht="17.25" customHeight="1"/>
    <row r="57139" customFormat="1" ht="17.25" customHeight="1"/>
    <row r="57140" customFormat="1" ht="17.25" customHeight="1"/>
    <row r="57141" customFormat="1" ht="17.25" customHeight="1"/>
    <row r="57142" customFormat="1" ht="17.25" customHeight="1"/>
    <row r="57143" customFormat="1" ht="17.25" customHeight="1"/>
    <row r="57144" customFormat="1" ht="17.25" customHeight="1"/>
    <row r="57145" customFormat="1" ht="17.25" customHeight="1"/>
    <row r="57146" customFormat="1" ht="17.25" customHeight="1"/>
    <row r="57147" customFormat="1" ht="17.25" customHeight="1"/>
    <row r="57148" customFormat="1" ht="17.25" customHeight="1"/>
    <row r="57149" customFormat="1" ht="17.25" customHeight="1"/>
    <row r="57150" customFormat="1" ht="17.25" customHeight="1"/>
    <row r="57151" customFormat="1" ht="17.25" customHeight="1"/>
    <row r="57152" customFormat="1" ht="17.25" customHeight="1"/>
    <row r="57153" customFormat="1" ht="17.25" customHeight="1"/>
    <row r="57154" customFormat="1" ht="17.25" customHeight="1"/>
    <row r="57155" customFormat="1" ht="17.25" customHeight="1"/>
    <row r="57156" customFormat="1" ht="17.25" customHeight="1"/>
    <row r="57157" customFormat="1" ht="17.25" customHeight="1"/>
    <row r="57158" customFormat="1" ht="17.25" customHeight="1"/>
    <row r="57159" customFormat="1" ht="17.25" customHeight="1"/>
    <row r="57160" customFormat="1" ht="17.25" customHeight="1"/>
    <row r="57161" customFormat="1" ht="17.25" customHeight="1"/>
    <row r="57162" customFormat="1" ht="17.25" customHeight="1"/>
    <row r="57163" customFormat="1" ht="17.25" customHeight="1"/>
    <row r="57164" customFormat="1" ht="17.25" customHeight="1"/>
    <row r="57165" customFormat="1" ht="17.25" customHeight="1"/>
    <row r="57166" customFormat="1" ht="17.25" customHeight="1"/>
    <row r="57167" customFormat="1" ht="17.25" customHeight="1"/>
    <row r="57168" customFormat="1" ht="17.25" customHeight="1"/>
    <row r="57169" customFormat="1" ht="17.25" customHeight="1"/>
    <row r="57170" customFormat="1" ht="17.25" customHeight="1"/>
    <row r="57171" customFormat="1" ht="17.25" customHeight="1"/>
    <row r="57172" customFormat="1" ht="17.25" customHeight="1"/>
    <row r="57173" customFormat="1" ht="17.25" customHeight="1"/>
    <row r="57174" customFormat="1" ht="17.25" customHeight="1"/>
    <row r="57175" customFormat="1" ht="17.25" customHeight="1"/>
    <row r="57176" customFormat="1" ht="17.25" customHeight="1"/>
    <row r="57177" customFormat="1" ht="17.25" customHeight="1"/>
    <row r="57178" customFormat="1" ht="17.25" customHeight="1"/>
    <row r="57179" customFormat="1" ht="17.25" customHeight="1"/>
    <row r="57180" customFormat="1" ht="17.25" customHeight="1"/>
    <row r="57181" customFormat="1" ht="17.25" customHeight="1"/>
    <row r="57182" customFormat="1" ht="17.25" customHeight="1"/>
    <row r="57183" customFormat="1" ht="17.25" customHeight="1"/>
    <row r="57184" customFormat="1" ht="17.25" customHeight="1"/>
    <row r="57185" customFormat="1" ht="17.25" customHeight="1"/>
    <row r="57186" customFormat="1" ht="17.25" customHeight="1"/>
    <row r="57187" customFormat="1" ht="17.25" customHeight="1"/>
    <row r="57188" customFormat="1" ht="17.25" customHeight="1"/>
    <row r="57189" customFormat="1" ht="17.25" customHeight="1"/>
    <row r="57190" customFormat="1" ht="17.25" customHeight="1"/>
    <row r="57191" customFormat="1" ht="17.25" customHeight="1"/>
    <row r="57192" customFormat="1" ht="17.25" customHeight="1"/>
    <row r="57193" customFormat="1" ht="17.25" customHeight="1"/>
    <row r="57194" customFormat="1" ht="17.25" customHeight="1"/>
    <row r="57195" customFormat="1" ht="17.25" customHeight="1"/>
    <row r="57196" customFormat="1" ht="17.25" customHeight="1"/>
    <row r="57197" customFormat="1" ht="17.25" customHeight="1"/>
    <row r="57198" customFormat="1" ht="17.25" customHeight="1"/>
    <row r="57199" customFormat="1" ht="17.25" customHeight="1"/>
    <row r="57200" customFormat="1" ht="17.25" customHeight="1"/>
    <row r="57201" customFormat="1" ht="17.25" customHeight="1"/>
    <row r="57202" customFormat="1" ht="17.25" customHeight="1"/>
    <row r="57203" customFormat="1" ht="17.25" customHeight="1"/>
    <row r="57204" customFormat="1" ht="17.25" customHeight="1"/>
    <row r="57205" customFormat="1" ht="17.25" customHeight="1"/>
    <row r="57206" customFormat="1" ht="17.25" customHeight="1"/>
    <row r="57207" customFormat="1" ht="17.25" customHeight="1"/>
    <row r="57208" customFormat="1" ht="17.25" customHeight="1"/>
    <row r="57209" customFormat="1" ht="17.25" customHeight="1"/>
    <row r="57210" customFormat="1" ht="17.25" customHeight="1"/>
    <row r="57211" customFormat="1" ht="17.25" customHeight="1"/>
    <row r="57212" customFormat="1" ht="17.25" customHeight="1"/>
    <row r="57213" customFormat="1" ht="17.25" customHeight="1"/>
    <row r="57214" customFormat="1" ht="17.25" customHeight="1"/>
    <row r="57215" customFormat="1" ht="17.25" customHeight="1"/>
    <row r="57216" customFormat="1" ht="17.25" customHeight="1"/>
    <row r="57217" customFormat="1" ht="17.25" customHeight="1"/>
    <row r="57218" customFormat="1" ht="17.25" customHeight="1"/>
    <row r="57219" customFormat="1" ht="17.25" customHeight="1"/>
    <row r="57220" customFormat="1" ht="17.25" customHeight="1"/>
    <row r="57221" customFormat="1" ht="17.25" customHeight="1"/>
    <row r="57222" customFormat="1" ht="17.25" customHeight="1"/>
    <row r="57223" customFormat="1" ht="17.25" customHeight="1"/>
    <row r="57224" customFormat="1" ht="17.25" customHeight="1"/>
    <row r="57225" customFormat="1" ht="17.25" customHeight="1"/>
    <row r="57226" customFormat="1" ht="17.25" customHeight="1"/>
    <row r="57227" customFormat="1" ht="17.25" customHeight="1"/>
    <row r="57228" customFormat="1" ht="17.25" customHeight="1"/>
    <row r="57229" customFormat="1" ht="17.25" customHeight="1"/>
    <row r="57230" customFormat="1" ht="17.25" customHeight="1"/>
    <row r="57231" customFormat="1" ht="17.25" customHeight="1"/>
    <row r="57232" customFormat="1" ht="17.25" customHeight="1"/>
    <row r="57233" customFormat="1" ht="17.25" customHeight="1"/>
    <row r="57234" customFormat="1" ht="17.25" customHeight="1"/>
    <row r="57235" customFormat="1" ht="17.25" customHeight="1"/>
    <row r="57236" customFormat="1" ht="17.25" customHeight="1"/>
    <row r="57237" customFormat="1" ht="17.25" customHeight="1"/>
    <row r="57238" customFormat="1" ht="17.25" customHeight="1"/>
    <row r="57239" customFormat="1" ht="17.25" customHeight="1"/>
    <row r="57240" customFormat="1" ht="17.25" customHeight="1"/>
    <row r="57241" customFormat="1" ht="17.25" customHeight="1"/>
    <row r="57242" customFormat="1" ht="17.25" customHeight="1"/>
    <row r="57243" customFormat="1" ht="17.25" customHeight="1"/>
    <row r="57244" customFormat="1" ht="17.25" customHeight="1"/>
    <row r="57245" customFormat="1" ht="17.25" customHeight="1"/>
    <row r="57246" customFormat="1" ht="17.25" customHeight="1"/>
    <row r="57247" customFormat="1" ht="17.25" customHeight="1"/>
    <row r="57248" customFormat="1" ht="17.25" customHeight="1"/>
    <row r="57249" customFormat="1" ht="17.25" customHeight="1"/>
    <row r="57250" customFormat="1" ht="17.25" customHeight="1"/>
    <row r="57251" customFormat="1" ht="17.25" customHeight="1"/>
    <row r="57252" customFormat="1" ht="17.25" customHeight="1"/>
    <row r="57253" customFormat="1" ht="17.25" customHeight="1"/>
    <row r="57254" customFormat="1" ht="17.25" customHeight="1"/>
    <row r="57255" customFormat="1" ht="17.25" customHeight="1"/>
    <row r="57256" customFormat="1" ht="17.25" customHeight="1"/>
    <row r="57257" customFormat="1" ht="17.25" customHeight="1"/>
    <row r="57258" customFormat="1" ht="17.25" customHeight="1"/>
    <row r="57259" customFormat="1" ht="17.25" customHeight="1"/>
    <row r="57260" customFormat="1" ht="17.25" customHeight="1"/>
    <row r="57261" customFormat="1" ht="17.25" customHeight="1"/>
    <row r="57262" customFormat="1" ht="17.25" customHeight="1"/>
    <row r="57263" customFormat="1" ht="17.25" customHeight="1"/>
    <row r="57264" customFormat="1" ht="17.25" customHeight="1"/>
    <row r="57265" customFormat="1" ht="17.25" customHeight="1"/>
    <row r="57266" customFormat="1" ht="17.25" customHeight="1"/>
    <row r="57267" customFormat="1" ht="17.25" customHeight="1"/>
    <row r="57268" customFormat="1" ht="17.25" customHeight="1"/>
    <row r="57269" customFormat="1" ht="17.25" customHeight="1"/>
    <row r="57270" customFormat="1" ht="17.25" customHeight="1"/>
    <row r="57271" customFormat="1" ht="17.25" customHeight="1"/>
    <row r="57272" customFormat="1" ht="17.25" customHeight="1"/>
    <row r="57273" customFormat="1" ht="17.25" customHeight="1"/>
    <row r="57274" customFormat="1" ht="17.25" customHeight="1"/>
    <row r="57275" customFormat="1" ht="17.25" customHeight="1"/>
    <row r="57276" customFormat="1" ht="17.25" customHeight="1"/>
    <row r="57277" customFormat="1" ht="17.25" customHeight="1"/>
    <row r="57278" customFormat="1" ht="17.25" customHeight="1"/>
    <row r="57279" customFormat="1" ht="17.25" customHeight="1"/>
    <row r="57280" customFormat="1" ht="17.25" customHeight="1"/>
    <row r="57281" customFormat="1" ht="17.25" customHeight="1"/>
    <row r="57282" customFormat="1" ht="17.25" customHeight="1"/>
    <row r="57283" customFormat="1" ht="17.25" customHeight="1"/>
    <row r="57284" customFormat="1" ht="17.25" customHeight="1"/>
    <row r="57285" customFormat="1" ht="17.25" customHeight="1"/>
    <row r="57286" customFormat="1" ht="17.25" customHeight="1"/>
    <row r="57287" customFormat="1" ht="17.25" customHeight="1"/>
    <row r="57288" customFormat="1" ht="17.25" customHeight="1"/>
    <row r="57289" customFormat="1" ht="17.25" customHeight="1"/>
    <row r="57290" customFormat="1" ht="17.25" customHeight="1"/>
    <row r="57291" customFormat="1" ht="17.25" customHeight="1"/>
    <row r="57292" customFormat="1" ht="17.25" customHeight="1"/>
    <row r="57293" customFormat="1" ht="17.25" customHeight="1"/>
    <row r="57294" customFormat="1" ht="17.25" customHeight="1"/>
    <row r="57295" customFormat="1" ht="17.25" customHeight="1"/>
    <row r="57296" customFormat="1" ht="17.25" customHeight="1"/>
    <row r="57297" customFormat="1" ht="17.25" customHeight="1"/>
    <row r="57298" customFormat="1" ht="17.25" customHeight="1"/>
    <row r="57299" customFormat="1" ht="17.25" customHeight="1"/>
    <row r="57300" customFormat="1" ht="17.25" customHeight="1"/>
    <row r="57301" customFormat="1" ht="17.25" customHeight="1"/>
    <row r="57302" customFormat="1" ht="17.25" customHeight="1"/>
    <row r="57303" customFormat="1" ht="17.25" customHeight="1"/>
    <row r="57304" customFormat="1" ht="17.25" customHeight="1"/>
    <row r="57305" customFormat="1" ht="17.25" customHeight="1"/>
    <row r="57306" customFormat="1" ht="17.25" customHeight="1"/>
    <row r="57307" customFormat="1" ht="17.25" customHeight="1"/>
    <row r="57308" customFormat="1" ht="17.25" customHeight="1"/>
    <row r="57309" customFormat="1" ht="17.25" customHeight="1"/>
    <row r="57310" customFormat="1" ht="17.25" customHeight="1"/>
    <row r="57311" customFormat="1" ht="17.25" customHeight="1"/>
    <row r="57312" customFormat="1" ht="17.25" customHeight="1"/>
    <row r="57313" customFormat="1" ht="17.25" customHeight="1"/>
    <row r="57314" customFormat="1" ht="17.25" customHeight="1"/>
    <row r="57315" customFormat="1" ht="17.25" customHeight="1"/>
    <row r="57316" customFormat="1" ht="17.25" customHeight="1"/>
    <row r="57317" customFormat="1" ht="17.25" customHeight="1"/>
    <row r="57318" customFormat="1" ht="17.25" customHeight="1"/>
    <row r="57319" customFormat="1" ht="17.25" customHeight="1"/>
    <row r="57320" customFormat="1" ht="17.25" customHeight="1"/>
    <row r="57321" customFormat="1" ht="17.25" customHeight="1"/>
    <row r="57322" customFormat="1" ht="17.25" customHeight="1"/>
    <row r="57323" customFormat="1" ht="17.25" customHeight="1"/>
    <row r="57324" customFormat="1" ht="17.25" customHeight="1"/>
    <row r="57325" customFormat="1" ht="17.25" customHeight="1"/>
    <row r="57326" customFormat="1" ht="17.25" customHeight="1"/>
    <row r="57327" customFormat="1" ht="17.25" customHeight="1"/>
    <row r="57328" customFormat="1" ht="17.25" customHeight="1"/>
    <row r="57329" customFormat="1" ht="17.25" customHeight="1"/>
    <row r="57330" customFormat="1" ht="17.25" customHeight="1"/>
    <row r="57331" customFormat="1" ht="17.25" customHeight="1"/>
    <row r="57332" customFormat="1" ht="17.25" customHeight="1"/>
    <row r="57333" customFormat="1" ht="17.25" customHeight="1"/>
    <row r="57334" customFormat="1" ht="17.25" customHeight="1"/>
    <row r="57335" customFormat="1" ht="17.25" customHeight="1"/>
    <row r="57336" customFormat="1" ht="17.25" customHeight="1"/>
    <row r="57337" customFormat="1" ht="17.25" customHeight="1"/>
    <row r="57338" customFormat="1" ht="17.25" customHeight="1"/>
    <row r="57339" customFormat="1" ht="17.25" customHeight="1"/>
    <row r="57340" customFormat="1" ht="17.25" customHeight="1"/>
    <row r="57341" customFormat="1" ht="17.25" customHeight="1"/>
    <row r="57342" customFormat="1" ht="17.25" customHeight="1"/>
    <row r="57343" customFormat="1" ht="17.25" customHeight="1"/>
    <row r="57344" customFormat="1" ht="17.25" customHeight="1"/>
    <row r="57345" customFormat="1" ht="17.25" customHeight="1"/>
    <row r="57346" customFormat="1" ht="17.25" customHeight="1"/>
    <row r="57347" customFormat="1" ht="17.25" customHeight="1"/>
    <row r="57348" customFormat="1" ht="17.25" customHeight="1"/>
    <row r="57349" customFormat="1" ht="17.25" customHeight="1"/>
    <row r="57350" customFormat="1" ht="17.25" customHeight="1"/>
    <row r="57351" customFormat="1" ht="17.25" customHeight="1"/>
    <row r="57352" customFormat="1" ht="17.25" customHeight="1"/>
    <row r="57353" customFormat="1" ht="17.25" customHeight="1"/>
    <row r="57354" customFormat="1" ht="17.25" customHeight="1"/>
    <row r="57355" customFormat="1" ht="17.25" customHeight="1"/>
    <row r="57356" customFormat="1" ht="17.25" customHeight="1"/>
    <row r="57357" customFormat="1" ht="17.25" customHeight="1"/>
    <row r="57358" customFormat="1" ht="17.25" customHeight="1"/>
    <row r="57359" customFormat="1" ht="17.25" customHeight="1"/>
    <row r="57360" customFormat="1" ht="17.25" customHeight="1"/>
    <row r="57361" customFormat="1" ht="17.25" customHeight="1"/>
    <row r="57362" customFormat="1" ht="17.25" customHeight="1"/>
    <row r="57363" customFormat="1" ht="17.25" customHeight="1"/>
    <row r="57364" customFormat="1" ht="17.25" customHeight="1"/>
    <row r="57365" customFormat="1" ht="17.25" customHeight="1"/>
    <row r="57366" customFormat="1" ht="17.25" customHeight="1"/>
    <row r="57367" customFormat="1" ht="17.25" customHeight="1"/>
    <row r="57368" customFormat="1" ht="17.25" customHeight="1"/>
    <row r="57369" customFormat="1" ht="17.25" customHeight="1"/>
    <row r="57370" customFormat="1" ht="17.25" customHeight="1"/>
    <row r="57371" customFormat="1" ht="17.25" customHeight="1"/>
    <row r="57372" customFormat="1" ht="17.25" customHeight="1"/>
    <row r="57373" customFormat="1" ht="17.25" customHeight="1"/>
    <row r="57374" customFormat="1" ht="17.25" customHeight="1"/>
    <row r="57375" customFormat="1" ht="17.25" customHeight="1"/>
    <row r="57376" customFormat="1" ht="17.25" customHeight="1"/>
    <row r="57377" customFormat="1" ht="17.25" customHeight="1"/>
    <row r="57378" customFormat="1" ht="17.25" customHeight="1"/>
    <row r="57379" customFormat="1" ht="17.25" customHeight="1"/>
    <row r="57380" customFormat="1" ht="17.25" customHeight="1"/>
    <row r="57381" customFormat="1" ht="17.25" customHeight="1"/>
    <row r="57382" customFormat="1" ht="17.25" customHeight="1"/>
    <row r="57383" customFormat="1" ht="17.25" customHeight="1"/>
    <row r="57384" customFormat="1" ht="17.25" customHeight="1"/>
    <row r="57385" customFormat="1" ht="17.25" customHeight="1"/>
    <row r="57386" customFormat="1" ht="17.25" customHeight="1"/>
    <row r="57387" customFormat="1" ht="17.25" customHeight="1"/>
    <row r="57388" customFormat="1" ht="17.25" customHeight="1"/>
    <row r="57389" customFormat="1" ht="17.25" customHeight="1"/>
    <row r="57390" customFormat="1" ht="17.25" customHeight="1"/>
    <row r="57391" customFormat="1" ht="17.25" customHeight="1"/>
    <row r="57392" customFormat="1" ht="17.25" customHeight="1"/>
    <row r="57393" customFormat="1" ht="17.25" customHeight="1"/>
    <row r="57394" customFormat="1" ht="17.25" customHeight="1"/>
    <row r="57395" customFormat="1" ht="17.25" customHeight="1"/>
    <row r="57396" customFormat="1" ht="17.25" customHeight="1"/>
    <row r="57397" customFormat="1" ht="17.25" customHeight="1"/>
    <row r="57398" customFormat="1" ht="17.25" customHeight="1"/>
    <row r="57399" customFormat="1" ht="17.25" customHeight="1"/>
    <row r="57400" customFormat="1" ht="17.25" customHeight="1"/>
    <row r="57401" customFormat="1" ht="17.25" customHeight="1"/>
    <row r="57402" customFormat="1" ht="17.25" customHeight="1"/>
    <row r="57403" customFormat="1" ht="17.25" customHeight="1"/>
    <row r="57404" customFormat="1" ht="17.25" customHeight="1"/>
    <row r="57405" customFormat="1" ht="17.25" customHeight="1"/>
    <row r="57406" customFormat="1" ht="17.25" customHeight="1"/>
    <row r="57407" customFormat="1" ht="17.25" customHeight="1"/>
    <row r="57408" customFormat="1" ht="17.25" customHeight="1"/>
    <row r="57409" customFormat="1" ht="17.25" customHeight="1"/>
    <row r="57410" customFormat="1" ht="17.25" customHeight="1"/>
    <row r="57411" customFormat="1" ht="17.25" customHeight="1"/>
    <row r="57412" customFormat="1" ht="17.25" customHeight="1"/>
    <row r="57413" customFormat="1" ht="17.25" customHeight="1"/>
    <row r="57414" customFormat="1" ht="17.25" customHeight="1"/>
    <row r="57415" customFormat="1" ht="17.25" customHeight="1"/>
    <row r="57416" customFormat="1" ht="17.25" customHeight="1"/>
    <row r="57417" customFormat="1" ht="17.25" customHeight="1"/>
    <row r="57418" customFormat="1" ht="17.25" customHeight="1"/>
    <row r="57419" customFormat="1" ht="17.25" customHeight="1"/>
    <row r="57420" customFormat="1" ht="17.25" customHeight="1"/>
    <row r="57421" customFormat="1" ht="17.25" customHeight="1"/>
    <row r="57422" customFormat="1" ht="17.25" customHeight="1"/>
    <row r="57423" customFormat="1" ht="17.25" customHeight="1"/>
    <row r="57424" customFormat="1" ht="17.25" customHeight="1"/>
    <row r="57425" customFormat="1" ht="17.25" customHeight="1"/>
    <row r="57426" customFormat="1" ht="17.25" customHeight="1"/>
    <row r="57427" customFormat="1" ht="17.25" customHeight="1"/>
    <row r="57428" customFormat="1" ht="17.25" customHeight="1"/>
    <row r="57429" customFormat="1" ht="17.25" customHeight="1"/>
    <row r="57430" customFormat="1" ht="17.25" customHeight="1"/>
    <row r="57431" customFormat="1" ht="17.25" customHeight="1"/>
    <row r="57432" customFormat="1" ht="17.25" customHeight="1"/>
    <row r="57433" customFormat="1" ht="17.25" customHeight="1"/>
    <row r="57434" customFormat="1" ht="17.25" customHeight="1"/>
    <row r="57435" customFormat="1" ht="17.25" customHeight="1"/>
    <row r="57436" customFormat="1" ht="17.25" customHeight="1"/>
    <row r="57437" customFormat="1" ht="17.25" customHeight="1"/>
    <row r="57438" customFormat="1" ht="17.25" customHeight="1"/>
    <row r="57439" customFormat="1" ht="17.25" customHeight="1"/>
    <row r="57440" customFormat="1" ht="17.25" customHeight="1"/>
    <row r="57441" customFormat="1" ht="17.25" customHeight="1"/>
    <row r="57442" customFormat="1" ht="17.25" customHeight="1"/>
    <row r="57443" customFormat="1" ht="17.25" customHeight="1"/>
    <row r="57444" customFormat="1" ht="17.25" customHeight="1"/>
    <row r="57445" customFormat="1" ht="17.25" customHeight="1"/>
    <row r="57446" customFormat="1" ht="17.25" customHeight="1"/>
    <row r="57447" customFormat="1" ht="17.25" customHeight="1"/>
    <row r="57448" customFormat="1" ht="17.25" customHeight="1"/>
    <row r="57449" customFormat="1" ht="17.25" customHeight="1"/>
    <row r="57450" customFormat="1" ht="17.25" customHeight="1"/>
    <row r="57451" customFormat="1" ht="17.25" customHeight="1"/>
    <row r="57452" customFormat="1" ht="17.25" customHeight="1"/>
    <row r="57453" customFormat="1" ht="17.25" customHeight="1"/>
    <row r="57454" customFormat="1" ht="17.25" customHeight="1"/>
    <row r="57455" customFormat="1" ht="17.25" customHeight="1"/>
    <row r="57456" customFormat="1" ht="17.25" customHeight="1"/>
    <row r="57457" customFormat="1" ht="17.25" customHeight="1"/>
    <row r="57458" customFormat="1" ht="17.25" customHeight="1"/>
    <row r="57459" customFormat="1" ht="17.25" customHeight="1"/>
    <row r="57460" customFormat="1" ht="17.25" customHeight="1"/>
    <row r="57461" customFormat="1" ht="17.25" customHeight="1"/>
    <row r="57462" customFormat="1" ht="17.25" customHeight="1"/>
    <row r="57463" customFormat="1" ht="17.25" customHeight="1"/>
    <row r="57464" customFormat="1" ht="17.25" customHeight="1"/>
    <row r="57465" customFormat="1" ht="17.25" customHeight="1"/>
    <row r="57466" customFormat="1" ht="17.25" customHeight="1"/>
    <row r="57467" customFormat="1" ht="17.25" customHeight="1"/>
    <row r="57468" customFormat="1" ht="17.25" customHeight="1"/>
    <row r="57469" customFormat="1" ht="17.25" customHeight="1"/>
    <row r="57470" customFormat="1" ht="17.25" customHeight="1"/>
    <row r="57471" customFormat="1" ht="17.25" customHeight="1"/>
    <row r="57472" customFormat="1" ht="17.25" customHeight="1"/>
    <row r="57473" customFormat="1" ht="17.25" customHeight="1"/>
    <row r="57474" customFormat="1" ht="17.25" customHeight="1"/>
    <row r="57475" customFormat="1" ht="17.25" customHeight="1"/>
    <row r="57476" customFormat="1" ht="17.25" customHeight="1"/>
    <row r="57477" customFormat="1" ht="17.25" customHeight="1"/>
    <row r="57478" customFormat="1" ht="17.25" customHeight="1"/>
    <row r="57479" customFormat="1" ht="17.25" customHeight="1"/>
    <row r="57480" customFormat="1" ht="17.25" customHeight="1"/>
    <row r="57481" customFormat="1" ht="17.25" customHeight="1"/>
    <row r="57482" customFormat="1" ht="17.25" customHeight="1"/>
    <row r="57483" customFormat="1" ht="17.25" customHeight="1"/>
    <row r="57484" customFormat="1" ht="17.25" customHeight="1"/>
    <row r="57485" customFormat="1" ht="17.25" customHeight="1"/>
    <row r="57486" customFormat="1" ht="17.25" customHeight="1"/>
    <row r="57487" customFormat="1" ht="17.25" customHeight="1"/>
    <row r="57488" customFormat="1" ht="17.25" customHeight="1"/>
    <row r="57489" customFormat="1" ht="17.25" customHeight="1"/>
    <row r="57490" customFormat="1" ht="17.25" customHeight="1"/>
    <row r="57491" customFormat="1" ht="17.25" customHeight="1"/>
    <row r="57492" customFormat="1" ht="17.25" customHeight="1"/>
    <row r="57493" customFormat="1" ht="17.25" customHeight="1"/>
    <row r="57494" customFormat="1" ht="17.25" customHeight="1"/>
    <row r="57495" customFormat="1" ht="17.25" customHeight="1"/>
    <row r="57496" customFormat="1" ht="17.25" customHeight="1"/>
    <row r="57497" customFormat="1" ht="17.25" customHeight="1"/>
    <row r="57498" customFormat="1" ht="17.25" customHeight="1"/>
    <row r="57499" customFormat="1" ht="17.25" customHeight="1"/>
    <row r="57500" customFormat="1" ht="17.25" customHeight="1"/>
    <row r="57501" customFormat="1" ht="17.25" customHeight="1"/>
    <row r="57502" customFormat="1" ht="17.25" customHeight="1"/>
    <row r="57503" customFormat="1" ht="17.25" customHeight="1"/>
    <row r="57504" customFormat="1" ht="17.25" customHeight="1"/>
    <row r="57505" customFormat="1" ht="17.25" customHeight="1"/>
    <row r="57506" customFormat="1" ht="17.25" customHeight="1"/>
    <row r="57507" customFormat="1" ht="17.25" customHeight="1"/>
    <row r="57508" customFormat="1" ht="17.25" customHeight="1"/>
    <row r="57509" customFormat="1" ht="17.25" customHeight="1"/>
    <row r="57510" customFormat="1" ht="17.25" customHeight="1"/>
    <row r="57511" customFormat="1" ht="17.25" customHeight="1"/>
    <row r="57512" customFormat="1" ht="17.25" customHeight="1"/>
    <row r="57513" customFormat="1" ht="17.25" customHeight="1"/>
    <row r="57514" customFormat="1" ht="17.25" customHeight="1"/>
    <row r="57515" customFormat="1" ht="17.25" customHeight="1"/>
    <row r="57516" customFormat="1" ht="17.25" customHeight="1"/>
    <row r="57517" customFormat="1" ht="17.25" customHeight="1"/>
    <row r="57518" customFormat="1" ht="17.25" customHeight="1"/>
    <row r="57519" customFormat="1" ht="17.25" customHeight="1"/>
    <row r="57520" customFormat="1" ht="17.25" customHeight="1"/>
    <row r="57521" customFormat="1" ht="17.25" customHeight="1"/>
    <row r="57522" customFormat="1" ht="17.25" customHeight="1"/>
    <row r="57523" customFormat="1" ht="17.25" customHeight="1"/>
    <row r="57524" customFormat="1" ht="17.25" customHeight="1"/>
    <row r="57525" customFormat="1" ht="17.25" customHeight="1"/>
    <row r="57526" customFormat="1" ht="17.25" customHeight="1"/>
    <row r="57527" customFormat="1" ht="17.25" customHeight="1"/>
    <row r="57528" customFormat="1" ht="17.25" customHeight="1"/>
    <row r="57529" customFormat="1" ht="17.25" customHeight="1"/>
    <row r="57530" customFormat="1" ht="17.25" customHeight="1"/>
    <row r="57531" customFormat="1" ht="17.25" customHeight="1"/>
    <row r="57532" customFormat="1" ht="17.25" customHeight="1"/>
    <row r="57533" customFormat="1" ht="17.25" customHeight="1"/>
    <row r="57534" customFormat="1" ht="17.25" customHeight="1"/>
    <row r="57535" customFormat="1" ht="17.25" customHeight="1"/>
    <row r="57536" customFormat="1" ht="17.25" customHeight="1"/>
    <row r="57537" customFormat="1" ht="17.25" customHeight="1"/>
    <row r="57538" customFormat="1" ht="17.25" customHeight="1"/>
    <row r="57539" customFormat="1" ht="17.25" customHeight="1"/>
    <row r="57540" customFormat="1" ht="17.25" customHeight="1"/>
    <row r="57541" customFormat="1" ht="17.25" customHeight="1"/>
    <row r="57542" customFormat="1" ht="17.25" customHeight="1"/>
    <row r="57543" customFormat="1" ht="17.25" customHeight="1"/>
    <row r="57544" customFormat="1" ht="17.25" customHeight="1"/>
    <row r="57545" customFormat="1" ht="17.25" customHeight="1"/>
    <row r="57546" customFormat="1" ht="17.25" customHeight="1"/>
    <row r="57547" customFormat="1" ht="17.25" customHeight="1"/>
    <row r="57548" customFormat="1" ht="17.25" customHeight="1"/>
    <row r="57549" customFormat="1" ht="17.25" customHeight="1"/>
    <row r="57550" customFormat="1" ht="17.25" customHeight="1"/>
    <row r="57551" customFormat="1" ht="17.25" customHeight="1"/>
    <row r="57552" customFormat="1" ht="17.25" customHeight="1"/>
    <row r="57553" customFormat="1" ht="17.25" customHeight="1"/>
    <row r="57554" customFormat="1" ht="17.25" customHeight="1"/>
    <row r="57555" customFormat="1" ht="17.25" customHeight="1"/>
    <row r="57556" customFormat="1" ht="17.25" customHeight="1"/>
    <row r="57557" customFormat="1" ht="17.25" customHeight="1"/>
    <row r="57558" customFormat="1" ht="17.25" customHeight="1"/>
    <row r="57559" customFormat="1" ht="17.25" customHeight="1"/>
    <row r="57560" customFormat="1" ht="17.25" customHeight="1"/>
    <row r="57561" customFormat="1" ht="17.25" customHeight="1"/>
    <row r="57562" customFormat="1" ht="17.25" customHeight="1"/>
    <row r="57563" customFormat="1" ht="17.25" customHeight="1"/>
    <row r="57564" customFormat="1" ht="17.25" customHeight="1"/>
    <row r="57565" customFormat="1" ht="17.25" customHeight="1"/>
    <row r="57566" customFormat="1" ht="17.25" customHeight="1"/>
    <row r="57567" customFormat="1" ht="17.25" customHeight="1"/>
    <row r="57568" customFormat="1" ht="17.25" customHeight="1"/>
    <row r="57569" customFormat="1" ht="17.25" customHeight="1"/>
    <row r="57570" customFormat="1" ht="17.25" customHeight="1"/>
    <row r="57571" customFormat="1" ht="17.25" customHeight="1"/>
    <row r="57572" customFormat="1" ht="17.25" customHeight="1"/>
    <row r="57573" customFormat="1" ht="17.25" customHeight="1"/>
    <row r="57574" customFormat="1" ht="17.25" customHeight="1"/>
    <row r="57575" customFormat="1" ht="17.25" customHeight="1"/>
    <row r="57576" customFormat="1" ht="17.25" customHeight="1"/>
    <row r="57577" customFormat="1" ht="17.25" customHeight="1"/>
    <row r="57578" customFormat="1" ht="17.25" customHeight="1"/>
    <row r="57579" customFormat="1" ht="17.25" customHeight="1"/>
    <row r="57580" customFormat="1" ht="17.25" customHeight="1"/>
    <row r="57581" customFormat="1" ht="17.25" customHeight="1"/>
    <row r="57582" customFormat="1" ht="17.25" customHeight="1"/>
    <row r="57583" customFormat="1" ht="17.25" customHeight="1"/>
    <row r="57584" customFormat="1" ht="17.25" customHeight="1"/>
    <row r="57585" customFormat="1" ht="17.25" customHeight="1"/>
    <row r="57586" customFormat="1" ht="17.25" customHeight="1"/>
    <row r="57587" customFormat="1" ht="17.25" customHeight="1"/>
    <row r="57588" customFormat="1" ht="17.25" customHeight="1"/>
    <row r="57589" customFormat="1" ht="17.25" customHeight="1"/>
    <row r="57590" customFormat="1" ht="17.25" customHeight="1"/>
    <row r="57591" customFormat="1" ht="17.25" customHeight="1"/>
    <row r="57592" customFormat="1" ht="17.25" customHeight="1"/>
    <row r="57593" customFormat="1" ht="17.25" customHeight="1"/>
    <row r="57594" customFormat="1" ht="17.25" customHeight="1"/>
    <row r="57595" customFormat="1" ht="17.25" customHeight="1"/>
    <row r="57596" customFormat="1" ht="17.25" customHeight="1"/>
    <row r="57597" customFormat="1" ht="17.25" customHeight="1"/>
    <row r="57598" customFormat="1" ht="17.25" customHeight="1"/>
    <row r="57599" customFormat="1" ht="17.25" customHeight="1"/>
    <row r="57600" customFormat="1" ht="17.25" customHeight="1"/>
    <row r="57601" customFormat="1" ht="17.25" customHeight="1"/>
    <row r="57602" customFormat="1" ht="17.25" customHeight="1"/>
    <row r="57603" customFormat="1" ht="17.25" customHeight="1"/>
    <row r="57604" customFormat="1" ht="17.25" customHeight="1"/>
    <row r="57605" customFormat="1" ht="17.25" customHeight="1"/>
    <row r="57606" customFormat="1" ht="17.25" customHeight="1"/>
    <row r="57607" customFormat="1" ht="17.25" customHeight="1"/>
    <row r="57608" customFormat="1" ht="17.25" customHeight="1"/>
    <row r="57609" customFormat="1" ht="17.25" customHeight="1"/>
    <row r="57610" customFormat="1" ht="17.25" customHeight="1"/>
    <row r="57611" customFormat="1" ht="17.25" customHeight="1"/>
    <row r="57612" customFormat="1" ht="17.25" customHeight="1"/>
    <row r="57613" customFormat="1" ht="17.25" customHeight="1"/>
    <row r="57614" customFormat="1" ht="17.25" customHeight="1"/>
    <row r="57615" customFormat="1" ht="17.25" customHeight="1"/>
    <row r="57616" customFormat="1" ht="17.25" customHeight="1"/>
    <row r="57617" customFormat="1" ht="17.25" customHeight="1"/>
    <row r="57618" customFormat="1" ht="17.25" customHeight="1"/>
    <row r="57619" customFormat="1" ht="17.25" customHeight="1"/>
    <row r="57620" customFormat="1" ht="17.25" customHeight="1"/>
    <row r="57621" customFormat="1" ht="17.25" customHeight="1"/>
    <row r="57622" customFormat="1" ht="17.25" customHeight="1"/>
    <row r="57623" customFormat="1" ht="17.25" customHeight="1"/>
    <row r="57624" customFormat="1" ht="17.25" customHeight="1"/>
    <row r="57625" customFormat="1" ht="17.25" customHeight="1"/>
    <row r="57626" customFormat="1" ht="17.25" customHeight="1"/>
    <row r="57627" customFormat="1" ht="17.25" customHeight="1"/>
    <row r="57628" customFormat="1" ht="17.25" customHeight="1"/>
    <row r="57629" customFormat="1" ht="17.25" customHeight="1"/>
    <row r="57630" customFormat="1" ht="17.25" customHeight="1"/>
    <row r="57631" customFormat="1" ht="17.25" customHeight="1"/>
    <row r="57632" customFormat="1" ht="17.25" customHeight="1"/>
    <row r="57633" customFormat="1" ht="17.25" customHeight="1"/>
    <row r="57634" customFormat="1" ht="17.25" customHeight="1"/>
    <row r="57635" customFormat="1" ht="17.25" customHeight="1"/>
    <row r="57636" customFormat="1" ht="17.25" customHeight="1"/>
    <row r="57637" customFormat="1" ht="17.25" customHeight="1"/>
    <row r="57638" customFormat="1" ht="17.25" customHeight="1"/>
    <row r="57639" customFormat="1" ht="17.25" customHeight="1"/>
    <row r="57640" customFormat="1" ht="17.25" customHeight="1"/>
    <row r="57641" customFormat="1" ht="17.25" customHeight="1"/>
    <row r="57642" customFormat="1" ht="17.25" customHeight="1"/>
    <row r="57643" customFormat="1" ht="17.25" customHeight="1"/>
    <row r="57644" customFormat="1" ht="17.25" customHeight="1"/>
    <row r="57645" customFormat="1" ht="17.25" customHeight="1"/>
    <row r="57646" customFormat="1" ht="17.25" customHeight="1"/>
    <row r="57647" customFormat="1" ht="17.25" customHeight="1"/>
    <row r="57648" customFormat="1" ht="17.25" customHeight="1"/>
    <row r="57649" customFormat="1" ht="17.25" customHeight="1"/>
    <row r="57650" customFormat="1" ht="17.25" customHeight="1"/>
    <row r="57651" customFormat="1" ht="17.25" customHeight="1"/>
    <row r="57652" customFormat="1" ht="17.25" customHeight="1"/>
    <row r="57653" customFormat="1" ht="17.25" customHeight="1"/>
    <row r="57654" customFormat="1" ht="17.25" customHeight="1"/>
    <row r="57655" customFormat="1" ht="17.25" customHeight="1"/>
    <row r="57656" customFormat="1" ht="17.25" customHeight="1"/>
    <row r="57657" customFormat="1" ht="17.25" customHeight="1"/>
    <row r="57658" customFormat="1" ht="17.25" customHeight="1"/>
    <row r="57659" customFormat="1" ht="17.25" customHeight="1"/>
    <row r="57660" customFormat="1" ht="17.25" customHeight="1"/>
    <row r="57661" customFormat="1" ht="17.25" customHeight="1"/>
    <row r="57662" customFormat="1" ht="17.25" customHeight="1"/>
    <row r="57663" customFormat="1" ht="17.25" customHeight="1"/>
    <row r="57664" customFormat="1" ht="17.25" customHeight="1"/>
    <row r="57665" customFormat="1" ht="17.25" customHeight="1"/>
    <row r="57666" customFormat="1" ht="17.25" customHeight="1"/>
    <row r="57667" customFormat="1" ht="17.25" customHeight="1"/>
    <row r="57668" customFormat="1" ht="17.25" customHeight="1"/>
    <row r="57669" customFormat="1" ht="17.25" customHeight="1"/>
    <row r="57670" customFormat="1" ht="17.25" customHeight="1"/>
    <row r="57671" customFormat="1" ht="17.25" customHeight="1"/>
    <row r="57672" customFormat="1" ht="17.25" customHeight="1"/>
    <row r="57673" customFormat="1" ht="17.25" customHeight="1"/>
    <row r="57674" customFormat="1" ht="17.25" customHeight="1"/>
    <row r="57675" customFormat="1" ht="17.25" customHeight="1"/>
    <row r="57676" customFormat="1" ht="17.25" customHeight="1"/>
    <row r="57677" customFormat="1" ht="17.25" customHeight="1"/>
    <row r="57678" customFormat="1" ht="17.25" customHeight="1"/>
    <row r="57679" customFormat="1" ht="17.25" customHeight="1"/>
    <row r="57680" customFormat="1" ht="17.25" customHeight="1"/>
    <row r="57681" customFormat="1" ht="17.25" customHeight="1"/>
    <row r="57682" customFormat="1" ht="17.25" customHeight="1"/>
    <row r="57683" customFormat="1" ht="17.25" customHeight="1"/>
    <row r="57684" customFormat="1" ht="17.25" customHeight="1"/>
    <row r="57685" customFormat="1" ht="17.25" customHeight="1"/>
    <row r="57686" customFormat="1" ht="17.25" customHeight="1"/>
    <row r="57687" customFormat="1" ht="17.25" customHeight="1"/>
    <row r="57688" customFormat="1" ht="17.25" customHeight="1"/>
    <row r="57689" customFormat="1" ht="17.25" customHeight="1"/>
    <row r="57690" customFormat="1" ht="17.25" customHeight="1"/>
    <row r="57691" customFormat="1" ht="17.25" customHeight="1"/>
    <row r="57692" customFormat="1" ht="17.25" customHeight="1"/>
    <row r="57693" customFormat="1" ht="17.25" customHeight="1"/>
    <row r="57694" customFormat="1" ht="17.25" customHeight="1"/>
    <row r="57695" customFormat="1" ht="17.25" customHeight="1"/>
    <row r="57696" customFormat="1" ht="17.25" customHeight="1"/>
    <row r="57697" customFormat="1" ht="17.25" customHeight="1"/>
    <row r="57698" customFormat="1" ht="17.25" customHeight="1"/>
    <row r="57699" customFormat="1" ht="17.25" customHeight="1"/>
    <row r="57700" customFormat="1" ht="17.25" customHeight="1"/>
    <row r="57701" customFormat="1" ht="17.25" customHeight="1"/>
    <row r="57702" customFormat="1" ht="17.25" customHeight="1"/>
    <row r="57703" customFormat="1" ht="17.25" customHeight="1"/>
    <row r="57704" customFormat="1" ht="17.25" customHeight="1"/>
    <row r="57705" customFormat="1" ht="17.25" customHeight="1"/>
    <row r="57706" customFormat="1" ht="17.25" customHeight="1"/>
    <row r="57707" customFormat="1" ht="17.25" customHeight="1"/>
    <row r="57708" customFormat="1" ht="17.25" customHeight="1"/>
    <row r="57709" customFormat="1" ht="17.25" customHeight="1"/>
    <row r="57710" customFormat="1" ht="17.25" customHeight="1"/>
    <row r="57711" customFormat="1" ht="17.25" customHeight="1"/>
    <row r="57712" customFormat="1" ht="17.25" customHeight="1"/>
    <row r="57713" customFormat="1" ht="17.25" customHeight="1"/>
    <row r="57714" customFormat="1" ht="17.25" customHeight="1"/>
    <row r="57715" customFormat="1" ht="17.25" customHeight="1"/>
    <row r="57716" customFormat="1" ht="17.25" customHeight="1"/>
    <row r="57717" customFormat="1" ht="17.25" customHeight="1"/>
    <row r="57718" customFormat="1" ht="17.25" customHeight="1"/>
    <row r="57719" customFormat="1" ht="17.25" customHeight="1"/>
    <row r="57720" customFormat="1" ht="17.25" customHeight="1"/>
    <row r="57721" customFormat="1" ht="17.25" customHeight="1"/>
    <row r="57722" customFormat="1" ht="17.25" customHeight="1"/>
    <row r="57723" customFormat="1" ht="17.25" customHeight="1"/>
    <row r="57724" customFormat="1" ht="17.25" customHeight="1"/>
    <row r="57725" customFormat="1" ht="17.25" customHeight="1"/>
    <row r="57726" customFormat="1" ht="17.25" customHeight="1"/>
    <row r="57727" customFormat="1" ht="17.25" customHeight="1"/>
    <row r="57728" customFormat="1" ht="17.25" customHeight="1"/>
    <row r="57729" customFormat="1" ht="17.25" customHeight="1"/>
    <row r="57730" customFormat="1" ht="17.25" customHeight="1"/>
    <row r="57731" customFormat="1" ht="17.25" customHeight="1"/>
    <row r="57732" customFormat="1" ht="17.25" customHeight="1"/>
    <row r="57733" customFormat="1" ht="17.25" customHeight="1"/>
    <row r="57734" customFormat="1" ht="17.25" customHeight="1"/>
    <row r="57735" customFormat="1" ht="17.25" customHeight="1"/>
    <row r="57736" customFormat="1" ht="17.25" customHeight="1"/>
    <row r="57737" customFormat="1" ht="17.25" customHeight="1"/>
    <row r="57738" customFormat="1" ht="17.25" customHeight="1"/>
    <row r="57739" customFormat="1" ht="17.25" customHeight="1"/>
    <row r="57740" customFormat="1" ht="17.25" customHeight="1"/>
    <row r="57741" customFormat="1" ht="17.25" customHeight="1"/>
    <row r="57742" customFormat="1" ht="17.25" customHeight="1"/>
    <row r="57743" customFormat="1" ht="17.25" customHeight="1"/>
    <row r="57744" customFormat="1" ht="17.25" customHeight="1"/>
    <row r="57745" customFormat="1" ht="17.25" customHeight="1"/>
    <row r="57746" customFormat="1" ht="17.25" customHeight="1"/>
    <row r="57747" customFormat="1" ht="17.25" customHeight="1"/>
    <row r="57748" customFormat="1" ht="17.25" customHeight="1"/>
    <row r="57749" customFormat="1" ht="17.25" customHeight="1"/>
    <row r="57750" customFormat="1" ht="17.25" customHeight="1"/>
    <row r="57751" customFormat="1" ht="17.25" customHeight="1"/>
    <row r="57752" customFormat="1" ht="17.25" customHeight="1"/>
    <row r="57753" customFormat="1" ht="17.25" customHeight="1"/>
    <row r="57754" customFormat="1" ht="17.25" customHeight="1"/>
    <row r="57755" customFormat="1" ht="17.25" customHeight="1"/>
    <row r="57756" customFormat="1" ht="17.25" customHeight="1"/>
    <row r="57757" customFormat="1" ht="17.25" customHeight="1"/>
    <row r="57758" customFormat="1" ht="17.25" customHeight="1"/>
    <row r="57759" customFormat="1" ht="17.25" customHeight="1"/>
    <row r="57760" customFormat="1" ht="17.25" customHeight="1"/>
    <row r="57761" customFormat="1" ht="17.25" customHeight="1"/>
    <row r="57762" customFormat="1" ht="17.25" customHeight="1"/>
    <row r="57763" customFormat="1" ht="17.25" customHeight="1"/>
    <row r="57764" customFormat="1" ht="17.25" customHeight="1"/>
    <row r="57765" customFormat="1" ht="17.25" customHeight="1"/>
    <row r="57766" customFormat="1" ht="17.25" customHeight="1"/>
    <row r="57767" customFormat="1" ht="17.25" customHeight="1"/>
    <row r="57768" customFormat="1" ht="17.25" customHeight="1"/>
    <row r="57769" customFormat="1" ht="17.25" customHeight="1"/>
    <row r="57770" customFormat="1" ht="17.25" customHeight="1"/>
    <row r="57771" customFormat="1" ht="17.25" customHeight="1"/>
    <row r="57772" customFormat="1" ht="17.25" customHeight="1"/>
    <row r="57773" customFormat="1" ht="17.25" customHeight="1"/>
    <row r="57774" customFormat="1" ht="17.25" customHeight="1"/>
    <row r="57775" customFormat="1" ht="17.25" customHeight="1"/>
    <row r="57776" customFormat="1" ht="17.25" customHeight="1"/>
    <row r="57777" customFormat="1" ht="17.25" customHeight="1"/>
    <row r="57778" customFormat="1" ht="17.25" customHeight="1"/>
    <row r="57779" customFormat="1" ht="17.25" customHeight="1"/>
    <row r="57780" customFormat="1" ht="17.25" customHeight="1"/>
    <row r="57781" customFormat="1" ht="17.25" customHeight="1"/>
    <row r="57782" customFormat="1" ht="17.25" customHeight="1"/>
    <row r="57783" customFormat="1" ht="17.25" customHeight="1"/>
    <row r="57784" customFormat="1" ht="17.25" customHeight="1"/>
    <row r="57785" customFormat="1" ht="17.25" customHeight="1"/>
    <row r="57786" customFormat="1" ht="17.25" customHeight="1"/>
    <row r="57787" customFormat="1" ht="17.25" customHeight="1"/>
    <row r="57788" customFormat="1" ht="17.25" customHeight="1"/>
    <row r="57789" customFormat="1" ht="17.25" customHeight="1"/>
    <row r="57790" customFormat="1" ht="17.25" customHeight="1"/>
    <row r="57791" customFormat="1" ht="17.25" customHeight="1"/>
    <row r="57792" customFormat="1" ht="17.25" customHeight="1"/>
    <row r="57793" customFormat="1" ht="17.25" customHeight="1"/>
    <row r="57794" customFormat="1" ht="17.25" customHeight="1"/>
    <row r="57795" customFormat="1" ht="17.25" customHeight="1"/>
    <row r="57796" customFormat="1" ht="17.25" customHeight="1"/>
    <row r="57797" customFormat="1" ht="17.25" customHeight="1"/>
    <row r="57798" customFormat="1" ht="17.25" customHeight="1"/>
    <row r="57799" customFormat="1" ht="17.25" customHeight="1"/>
    <row r="57800" customFormat="1" ht="17.25" customHeight="1"/>
    <row r="57801" customFormat="1" ht="17.25" customHeight="1"/>
    <row r="57802" customFormat="1" ht="17.25" customHeight="1"/>
    <row r="57803" customFormat="1" ht="17.25" customHeight="1"/>
    <row r="57804" customFormat="1" ht="17.25" customHeight="1"/>
    <row r="57805" customFormat="1" ht="17.25" customHeight="1"/>
    <row r="57806" customFormat="1" ht="17.25" customHeight="1"/>
    <row r="57807" customFormat="1" ht="17.25" customHeight="1"/>
    <row r="57808" customFormat="1" ht="17.25" customHeight="1"/>
    <row r="57809" customFormat="1" ht="17.25" customHeight="1"/>
    <row r="57810" customFormat="1" ht="17.25" customHeight="1"/>
    <row r="57811" customFormat="1" ht="17.25" customHeight="1"/>
    <row r="57812" customFormat="1" ht="17.25" customHeight="1"/>
    <row r="57813" customFormat="1" ht="17.25" customHeight="1"/>
    <row r="57814" customFormat="1" ht="17.25" customHeight="1"/>
    <row r="57815" customFormat="1" ht="17.25" customHeight="1"/>
    <row r="57816" customFormat="1" ht="17.25" customHeight="1"/>
    <row r="57817" customFormat="1" ht="17.25" customHeight="1"/>
    <row r="57818" customFormat="1" ht="17.25" customHeight="1"/>
    <row r="57819" customFormat="1" ht="17.25" customHeight="1"/>
    <row r="57820" customFormat="1" ht="17.25" customHeight="1"/>
    <row r="57821" customFormat="1" ht="17.25" customHeight="1"/>
    <row r="57822" customFormat="1" ht="17.25" customHeight="1"/>
    <row r="57823" customFormat="1" ht="17.25" customHeight="1"/>
    <row r="57824" customFormat="1" ht="17.25" customHeight="1"/>
    <row r="57825" customFormat="1" ht="17.25" customHeight="1"/>
    <row r="57826" customFormat="1" ht="17.25" customHeight="1"/>
    <row r="57827" customFormat="1" ht="17.25" customHeight="1"/>
    <row r="57828" customFormat="1" ht="17.25" customHeight="1"/>
    <row r="57829" customFormat="1" ht="17.25" customHeight="1"/>
    <row r="57830" customFormat="1" ht="17.25" customHeight="1"/>
    <row r="57831" customFormat="1" ht="17.25" customHeight="1"/>
    <row r="57832" customFormat="1" ht="17.25" customHeight="1"/>
    <row r="57833" customFormat="1" ht="17.25" customHeight="1"/>
    <row r="57834" customFormat="1" ht="17.25" customHeight="1"/>
    <row r="57835" customFormat="1" ht="17.25" customHeight="1"/>
    <row r="57836" customFormat="1" ht="17.25" customHeight="1"/>
    <row r="57837" customFormat="1" ht="17.25" customHeight="1"/>
    <row r="57838" customFormat="1" ht="17.25" customHeight="1"/>
    <row r="57839" customFormat="1" ht="17.25" customHeight="1"/>
    <row r="57840" customFormat="1" ht="17.25" customHeight="1"/>
    <row r="57841" customFormat="1" ht="17.25" customHeight="1"/>
    <row r="57842" customFormat="1" ht="17.25" customHeight="1"/>
    <row r="57843" customFormat="1" ht="17.25" customHeight="1"/>
    <row r="57844" customFormat="1" ht="17.25" customHeight="1"/>
    <row r="57845" customFormat="1" ht="17.25" customHeight="1"/>
    <row r="57846" customFormat="1" ht="17.25" customHeight="1"/>
    <row r="57847" customFormat="1" ht="17.25" customHeight="1"/>
    <row r="57848" customFormat="1" ht="17.25" customHeight="1"/>
    <row r="57849" customFormat="1" ht="17.25" customHeight="1"/>
    <row r="57850" customFormat="1" ht="17.25" customHeight="1"/>
    <row r="57851" customFormat="1" ht="17.25" customHeight="1"/>
    <row r="57852" customFormat="1" ht="17.25" customHeight="1"/>
    <row r="57853" customFormat="1" ht="17.25" customHeight="1"/>
    <row r="57854" customFormat="1" ht="17.25" customHeight="1"/>
    <row r="57855" customFormat="1" ht="17.25" customHeight="1"/>
    <row r="57856" customFormat="1" ht="17.25" customHeight="1"/>
    <row r="57857" customFormat="1" ht="17.25" customHeight="1"/>
    <row r="57858" customFormat="1" ht="17.25" customHeight="1"/>
    <row r="57859" customFormat="1" ht="17.25" customHeight="1"/>
    <row r="57860" customFormat="1" ht="17.25" customHeight="1"/>
    <row r="57861" customFormat="1" ht="17.25" customHeight="1"/>
    <row r="57862" customFormat="1" ht="17.25" customHeight="1"/>
    <row r="57863" customFormat="1" ht="17.25" customHeight="1"/>
    <row r="57864" customFormat="1" ht="17.25" customHeight="1"/>
    <row r="57865" customFormat="1" ht="17.25" customHeight="1"/>
    <row r="57866" customFormat="1" ht="17.25" customHeight="1"/>
    <row r="57867" customFormat="1" ht="17.25" customHeight="1"/>
    <row r="57868" customFormat="1" ht="17.25" customHeight="1"/>
    <row r="57869" customFormat="1" ht="17.25" customHeight="1"/>
    <row r="57870" customFormat="1" ht="17.25" customHeight="1"/>
    <row r="57871" customFormat="1" ht="17.25" customHeight="1"/>
    <row r="57872" customFormat="1" ht="17.25" customHeight="1"/>
    <row r="57873" customFormat="1" ht="17.25" customHeight="1"/>
    <row r="57874" customFormat="1" ht="17.25" customHeight="1"/>
    <row r="57875" customFormat="1" ht="17.25" customHeight="1"/>
    <row r="57876" customFormat="1" ht="17.25" customHeight="1"/>
    <row r="57877" customFormat="1" ht="17.25" customHeight="1"/>
    <row r="57878" customFormat="1" ht="17.25" customHeight="1"/>
    <row r="57879" customFormat="1" ht="17.25" customHeight="1"/>
    <row r="57880" customFormat="1" ht="17.25" customHeight="1"/>
    <row r="57881" customFormat="1" ht="17.25" customHeight="1"/>
    <row r="57882" customFormat="1" ht="17.25" customHeight="1"/>
    <row r="57883" customFormat="1" ht="17.25" customHeight="1"/>
    <row r="57884" customFormat="1" ht="17.25" customHeight="1"/>
    <row r="57885" customFormat="1" ht="17.25" customHeight="1"/>
    <row r="57886" customFormat="1" ht="17.25" customHeight="1"/>
    <row r="57887" customFormat="1" ht="17.25" customHeight="1"/>
    <row r="57888" customFormat="1" ht="17.25" customHeight="1"/>
    <row r="57889" customFormat="1" ht="17.25" customHeight="1"/>
    <row r="57890" customFormat="1" ht="17.25" customHeight="1"/>
    <row r="57891" customFormat="1" ht="17.25" customHeight="1"/>
    <row r="57892" customFormat="1" ht="17.25" customHeight="1"/>
    <row r="57893" customFormat="1" ht="17.25" customHeight="1"/>
    <row r="57894" customFormat="1" ht="17.25" customHeight="1"/>
    <row r="57895" customFormat="1" ht="17.25" customHeight="1"/>
    <row r="57896" customFormat="1" ht="17.25" customHeight="1"/>
    <row r="57897" customFormat="1" ht="17.25" customHeight="1"/>
    <row r="57898" customFormat="1" ht="17.25" customHeight="1"/>
    <row r="57899" customFormat="1" ht="17.25" customHeight="1"/>
    <row r="57900" customFormat="1" ht="17.25" customHeight="1"/>
    <row r="57901" customFormat="1" ht="17.25" customHeight="1"/>
    <row r="57902" customFormat="1" ht="17.25" customHeight="1"/>
    <row r="57903" customFormat="1" ht="17.25" customHeight="1"/>
    <row r="57904" customFormat="1" ht="17.25" customHeight="1"/>
    <row r="57905" customFormat="1" ht="17.25" customHeight="1"/>
    <row r="57906" customFormat="1" ht="17.25" customHeight="1"/>
    <row r="57907" customFormat="1" ht="17.25" customHeight="1"/>
    <row r="57908" customFormat="1" ht="17.25" customHeight="1"/>
    <row r="57909" customFormat="1" ht="17.25" customHeight="1"/>
    <row r="57910" customFormat="1" ht="17.25" customHeight="1"/>
    <row r="57911" customFormat="1" ht="17.25" customHeight="1"/>
    <row r="57912" customFormat="1" ht="17.25" customHeight="1"/>
    <row r="57913" customFormat="1" ht="17.25" customHeight="1"/>
    <row r="57914" customFormat="1" ht="17.25" customHeight="1"/>
    <row r="57915" customFormat="1" ht="17.25" customHeight="1"/>
    <row r="57916" customFormat="1" ht="17.25" customHeight="1"/>
    <row r="57917" customFormat="1" ht="17.25" customHeight="1"/>
    <row r="57918" customFormat="1" ht="17.25" customHeight="1"/>
    <row r="57919" customFormat="1" ht="17.25" customHeight="1"/>
    <row r="57920" customFormat="1" ht="17.25" customHeight="1"/>
    <row r="57921" customFormat="1" ht="17.25" customHeight="1"/>
    <row r="57922" customFormat="1" ht="17.25" customHeight="1"/>
    <row r="57923" customFormat="1" ht="17.25" customHeight="1"/>
    <row r="57924" customFormat="1" ht="17.25" customHeight="1"/>
    <row r="57925" customFormat="1" ht="17.25" customHeight="1"/>
    <row r="57926" customFormat="1" ht="17.25" customHeight="1"/>
    <row r="57927" customFormat="1" ht="17.25" customHeight="1"/>
    <row r="57928" customFormat="1" ht="17.25" customHeight="1"/>
    <row r="57929" customFormat="1" ht="17.25" customHeight="1"/>
    <row r="57930" customFormat="1" ht="17.25" customHeight="1"/>
    <row r="57931" customFormat="1" ht="17.25" customHeight="1"/>
    <row r="57932" customFormat="1" ht="17.25" customHeight="1"/>
    <row r="57933" customFormat="1" ht="17.25" customHeight="1"/>
    <row r="57934" customFormat="1" ht="17.25" customHeight="1"/>
    <row r="57935" customFormat="1" ht="17.25" customHeight="1"/>
    <row r="57936" customFormat="1" ht="17.25" customHeight="1"/>
    <row r="57937" customFormat="1" ht="17.25" customHeight="1"/>
    <row r="57938" customFormat="1" ht="17.25" customHeight="1"/>
    <row r="57939" customFormat="1" ht="17.25" customHeight="1"/>
    <row r="57940" customFormat="1" ht="17.25" customHeight="1"/>
    <row r="57941" customFormat="1" ht="17.25" customHeight="1"/>
    <row r="57942" customFormat="1" ht="17.25" customHeight="1"/>
    <row r="57943" customFormat="1" ht="17.25" customHeight="1"/>
    <row r="57944" customFormat="1" ht="17.25" customHeight="1"/>
    <row r="57945" customFormat="1" ht="17.25" customHeight="1"/>
    <row r="57946" customFormat="1" ht="17.25" customHeight="1"/>
    <row r="57947" customFormat="1" ht="17.25" customHeight="1"/>
    <row r="57948" customFormat="1" ht="17.25" customHeight="1"/>
    <row r="57949" customFormat="1" ht="17.25" customHeight="1"/>
    <row r="57950" customFormat="1" ht="17.25" customHeight="1"/>
    <row r="57951" customFormat="1" ht="17.25" customHeight="1"/>
    <row r="57952" customFormat="1" ht="17.25" customHeight="1"/>
    <row r="57953" customFormat="1" ht="17.25" customHeight="1"/>
    <row r="57954" customFormat="1" ht="17.25" customHeight="1"/>
    <row r="57955" customFormat="1" ht="17.25" customHeight="1"/>
    <row r="57956" customFormat="1" ht="17.25" customHeight="1"/>
    <row r="57957" customFormat="1" ht="17.25" customHeight="1"/>
    <row r="57958" customFormat="1" ht="17.25" customHeight="1"/>
    <row r="57959" customFormat="1" ht="17.25" customHeight="1"/>
    <row r="57960" customFormat="1" ht="17.25" customHeight="1"/>
    <row r="57961" customFormat="1" ht="17.25" customHeight="1"/>
    <row r="57962" customFormat="1" ht="17.25" customHeight="1"/>
    <row r="57963" customFormat="1" ht="17.25" customHeight="1"/>
    <row r="57964" customFormat="1" ht="17.25" customHeight="1"/>
    <row r="57965" customFormat="1" ht="17.25" customHeight="1"/>
    <row r="57966" customFormat="1" ht="17.25" customHeight="1"/>
    <row r="57967" customFormat="1" ht="17.25" customHeight="1"/>
    <row r="57968" customFormat="1" ht="17.25" customHeight="1"/>
    <row r="57969" customFormat="1" ht="17.25" customHeight="1"/>
    <row r="57970" customFormat="1" ht="17.25" customHeight="1"/>
    <row r="57971" customFormat="1" ht="17.25" customHeight="1"/>
    <row r="57972" customFormat="1" ht="17.25" customHeight="1"/>
    <row r="57973" customFormat="1" ht="17.25" customHeight="1"/>
    <row r="57974" customFormat="1" ht="17.25" customHeight="1"/>
    <row r="57975" customFormat="1" ht="17.25" customHeight="1"/>
    <row r="57976" customFormat="1" ht="17.25" customHeight="1"/>
    <row r="57977" customFormat="1" ht="17.25" customHeight="1"/>
    <row r="57978" customFormat="1" ht="17.25" customHeight="1"/>
    <row r="57979" customFormat="1" ht="17.25" customHeight="1"/>
    <row r="57980" customFormat="1" ht="17.25" customHeight="1"/>
    <row r="57981" customFormat="1" ht="17.25" customHeight="1"/>
    <row r="57982" customFormat="1" ht="17.25" customHeight="1"/>
    <row r="57983" customFormat="1" ht="17.25" customHeight="1"/>
    <row r="57984" customFormat="1" ht="17.25" customHeight="1"/>
    <row r="57985" customFormat="1" ht="17.25" customHeight="1"/>
    <row r="57986" customFormat="1" ht="17.25" customHeight="1"/>
    <row r="57987" customFormat="1" ht="17.25" customHeight="1"/>
    <row r="57988" customFormat="1" ht="17.25" customHeight="1"/>
    <row r="57989" customFormat="1" ht="17.25" customHeight="1"/>
    <row r="57990" customFormat="1" ht="17.25" customHeight="1"/>
    <row r="57991" customFormat="1" ht="17.25" customHeight="1"/>
    <row r="57992" customFormat="1" ht="17.25" customHeight="1"/>
    <row r="57993" customFormat="1" ht="17.25" customHeight="1"/>
    <row r="57994" customFormat="1" ht="17.25" customHeight="1"/>
    <row r="57995" customFormat="1" ht="17.25" customHeight="1"/>
    <row r="57996" customFormat="1" ht="17.25" customHeight="1"/>
    <row r="57997" customFormat="1" ht="17.25" customHeight="1"/>
    <row r="57998" customFormat="1" ht="17.25" customHeight="1"/>
    <row r="57999" customFormat="1" ht="17.25" customHeight="1"/>
    <row r="58000" customFormat="1" ht="17.25" customHeight="1"/>
    <row r="58001" customFormat="1" ht="17.25" customHeight="1"/>
    <row r="58002" customFormat="1" ht="17.25" customHeight="1"/>
    <row r="58003" customFormat="1" ht="17.25" customHeight="1"/>
    <row r="58004" customFormat="1" ht="17.25" customHeight="1"/>
    <row r="58005" customFormat="1" ht="17.25" customHeight="1"/>
    <row r="58006" customFormat="1" ht="17.25" customHeight="1"/>
    <row r="58007" customFormat="1" ht="17.25" customHeight="1"/>
    <row r="58008" customFormat="1" ht="17.25" customHeight="1"/>
    <row r="58009" customFormat="1" ht="17.25" customHeight="1"/>
    <row r="58010" customFormat="1" ht="17.25" customHeight="1"/>
    <row r="58011" customFormat="1" ht="17.25" customHeight="1"/>
    <row r="58012" customFormat="1" ht="17.25" customHeight="1"/>
    <row r="58013" customFormat="1" ht="17.25" customHeight="1"/>
    <row r="58014" customFormat="1" ht="17.25" customHeight="1"/>
    <row r="58015" customFormat="1" ht="17.25" customHeight="1"/>
    <row r="58016" customFormat="1" ht="17.25" customHeight="1"/>
    <row r="58017" customFormat="1" ht="17.25" customHeight="1"/>
    <row r="58018" customFormat="1" ht="17.25" customHeight="1"/>
    <row r="58019" customFormat="1" ht="17.25" customHeight="1"/>
    <row r="58020" customFormat="1" ht="17.25" customHeight="1"/>
    <row r="58021" customFormat="1" ht="17.25" customHeight="1"/>
    <row r="58022" customFormat="1" ht="17.25" customHeight="1"/>
    <row r="58023" customFormat="1" ht="17.25" customHeight="1"/>
    <row r="58024" customFormat="1" ht="17.25" customHeight="1"/>
    <row r="58025" customFormat="1" ht="17.25" customHeight="1"/>
    <row r="58026" customFormat="1" ht="17.25" customHeight="1"/>
    <row r="58027" customFormat="1" ht="17.25" customHeight="1"/>
    <row r="58028" customFormat="1" ht="17.25" customHeight="1"/>
    <row r="58029" customFormat="1" ht="17.25" customHeight="1"/>
    <row r="58030" customFormat="1" ht="17.25" customHeight="1"/>
    <row r="58031" customFormat="1" ht="17.25" customHeight="1"/>
    <row r="58032" customFormat="1" ht="17.25" customHeight="1"/>
    <row r="58033" customFormat="1" ht="17.25" customHeight="1"/>
    <row r="58034" customFormat="1" ht="17.25" customHeight="1"/>
    <row r="58035" customFormat="1" ht="17.25" customHeight="1"/>
    <row r="58036" customFormat="1" ht="17.25" customHeight="1"/>
    <row r="58037" customFormat="1" ht="17.25" customHeight="1"/>
    <row r="58038" customFormat="1" ht="17.25" customHeight="1"/>
    <row r="58039" customFormat="1" ht="17.25" customHeight="1"/>
    <row r="58040" customFormat="1" ht="17.25" customHeight="1"/>
    <row r="58041" customFormat="1" ht="17.25" customHeight="1"/>
    <row r="58042" customFormat="1" ht="17.25" customHeight="1"/>
    <row r="58043" customFormat="1" ht="17.25" customHeight="1"/>
    <row r="58044" customFormat="1" ht="17.25" customHeight="1"/>
    <row r="58045" customFormat="1" ht="17.25" customHeight="1"/>
    <row r="58046" customFormat="1" ht="17.25" customHeight="1"/>
    <row r="58047" customFormat="1" ht="17.25" customHeight="1"/>
    <row r="58048" customFormat="1" ht="17.25" customHeight="1"/>
    <row r="58049" customFormat="1" ht="17.25" customHeight="1"/>
    <row r="58050" customFormat="1" ht="17.25" customHeight="1"/>
    <row r="58051" customFormat="1" ht="17.25" customHeight="1"/>
    <row r="58052" customFormat="1" ht="17.25" customHeight="1"/>
    <row r="58053" customFormat="1" ht="17.25" customHeight="1"/>
    <row r="58054" customFormat="1" ht="17.25" customHeight="1"/>
    <row r="58055" customFormat="1" ht="17.25" customHeight="1"/>
    <row r="58056" customFormat="1" ht="17.25" customHeight="1"/>
    <row r="58057" customFormat="1" ht="17.25" customHeight="1"/>
    <row r="58058" customFormat="1" ht="17.25" customHeight="1"/>
    <row r="58059" customFormat="1" ht="17.25" customHeight="1"/>
    <row r="58060" customFormat="1" ht="17.25" customHeight="1"/>
    <row r="58061" customFormat="1" ht="17.25" customHeight="1"/>
    <row r="58062" customFormat="1" ht="17.25" customHeight="1"/>
    <row r="58063" customFormat="1" ht="17.25" customHeight="1"/>
    <row r="58064" customFormat="1" ht="17.25" customHeight="1"/>
    <row r="58065" customFormat="1" ht="17.25" customHeight="1"/>
    <row r="58066" customFormat="1" ht="17.25" customHeight="1"/>
    <row r="58067" customFormat="1" ht="17.25" customHeight="1"/>
    <row r="58068" customFormat="1" ht="17.25" customHeight="1"/>
    <row r="58069" customFormat="1" ht="17.25" customHeight="1"/>
    <row r="58070" customFormat="1" ht="17.25" customHeight="1"/>
    <row r="58071" customFormat="1" ht="17.25" customHeight="1"/>
    <row r="58072" customFormat="1" ht="17.25" customHeight="1"/>
    <row r="58073" customFormat="1" ht="17.25" customHeight="1"/>
    <row r="58074" customFormat="1" ht="17.25" customHeight="1"/>
    <row r="58075" customFormat="1" ht="17.25" customHeight="1"/>
    <row r="58076" customFormat="1" ht="17.25" customHeight="1"/>
    <row r="58077" customFormat="1" ht="17.25" customHeight="1"/>
    <row r="58078" customFormat="1" ht="17.25" customHeight="1"/>
    <row r="58079" customFormat="1" ht="17.25" customHeight="1"/>
    <row r="58080" customFormat="1" ht="17.25" customHeight="1"/>
    <row r="58081" customFormat="1" ht="17.25" customHeight="1"/>
    <row r="58082" customFormat="1" ht="17.25" customHeight="1"/>
    <row r="58083" customFormat="1" ht="17.25" customHeight="1"/>
    <row r="58084" customFormat="1" ht="17.25" customHeight="1"/>
    <row r="58085" customFormat="1" ht="17.25" customHeight="1"/>
    <row r="58086" customFormat="1" ht="17.25" customHeight="1"/>
    <row r="58087" customFormat="1" ht="17.25" customHeight="1"/>
    <row r="58088" customFormat="1" ht="17.25" customHeight="1"/>
    <row r="58089" customFormat="1" ht="17.25" customHeight="1"/>
    <row r="58090" customFormat="1" ht="17.25" customHeight="1"/>
    <row r="58091" customFormat="1" ht="17.25" customHeight="1"/>
    <row r="58092" customFormat="1" ht="17.25" customHeight="1"/>
    <row r="58093" customFormat="1" ht="17.25" customHeight="1"/>
    <row r="58094" customFormat="1" ht="17.25" customHeight="1"/>
    <row r="58095" customFormat="1" ht="17.25" customHeight="1"/>
    <row r="58096" customFormat="1" ht="17.25" customHeight="1"/>
    <row r="58097" customFormat="1" ht="17.25" customHeight="1"/>
    <row r="58098" customFormat="1" ht="17.25" customHeight="1"/>
    <row r="58099" customFormat="1" ht="17.25" customHeight="1"/>
    <row r="58100" customFormat="1" ht="17.25" customHeight="1"/>
    <row r="58101" customFormat="1" ht="17.25" customHeight="1"/>
    <row r="58102" customFormat="1" ht="17.25" customHeight="1"/>
    <row r="58103" customFormat="1" ht="17.25" customHeight="1"/>
    <row r="58104" customFormat="1" ht="17.25" customHeight="1"/>
    <row r="58105" customFormat="1" ht="17.25" customHeight="1"/>
    <row r="58106" customFormat="1" ht="17.25" customHeight="1"/>
    <row r="58107" customFormat="1" ht="17.25" customHeight="1"/>
    <row r="58108" customFormat="1" ht="17.25" customHeight="1"/>
    <row r="58109" customFormat="1" ht="17.25" customHeight="1"/>
    <row r="58110" customFormat="1" ht="17.25" customHeight="1"/>
    <row r="58111" customFormat="1" ht="17.25" customHeight="1"/>
    <row r="58112" customFormat="1" ht="17.25" customHeight="1"/>
    <row r="58113" customFormat="1" ht="17.25" customHeight="1"/>
    <row r="58114" customFormat="1" ht="17.25" customHeight="1"/>
    <row r="58115" customFormat="1" ht="17.25" customHeight="1"/>
    <row r="58116" customFormat="1" ht="17.25" customHeight="1"/>
    <row r="58117" customFormat="1" ht="17.25" customHeight="1"/>
    <row r="58118" customFormat="1" ht="17.25" customHeight="1"/>
    <row r="58119" customFormat="1" ht="17.25" customHeight="1"/>
    <row r="58120" customFormat="1" ht="17.25" customHeight="1"/>
    <row r="58121" customFormat="1" ht="17.25" customHeight="1"/>
    <row r="58122" customFormat="1" ht="17.25" customHeight="1"/>
    <row r="58123" customFormat="1" ht="17.25" customHeight="1"/>
    <row r="58124" customFormat="1" ht="17.25" customHeight="1"/>
    <row r="58125" customFormat="1" ht="17.25" customHeight="1"/>
    <row r="58126" customFormat="1" ht="17.25" customHeight="1"/>
    <row r="58127" customFormat="1" ht="17.25" customHeight="1"/>
    <row r="58128" customFormat="1" ht="17.25" customHeight="1"/>
    <row r="58129" customFormat="1" ht="17.25" customHeight="1"/>
    <row r="58130" customFormat="1" ht="17.25" customHeight="1"/>
    <row r="58131" customFormat="1" ht="17.25" customHeight="1"/>
    <row r="58132" customFormat="1" ht="17.25" customHeight="1"/>
    <row r="58133" customFormat="1" ht="17.25" customHeight="1"/>
    <row r="58134" customFormat="1" ht="17.25" customHeight="1"/>
    <row r="58135" customFormat="1" ht="17.25" customHeight="1"/>
    <row r="58136" customFormat="1" ht="17.25" customHeight="1"/>
    <row r="58137" customFormat="1" ht="17.25" customHeight="1"/>
    <row r="58138" customFormat="1" ht="17.25" customHeight="1"/>
    <row r="58139" customFormat="1" ht="17.25" customHeight="1"/>
    <row r="58140" customFormat="1" ht="17.25" customHeight="1"/>
    <row r="58141" customFormat="1" ht="17.25" customHeight="1"/>
    <row r="58142" customFormat="1" ht="17.25" customHeight="1"/>
    <row r="58143" customFormat="1" ht="17.25" customHeight="1"/>
    <row r="58144" customFormat="1" ht="17.25" customHeight="1"/>
    <row r="58145" customFormat="1" ht="17.25" customHeight="1"/>
    <row r="58146" customFormat="1" ht="17.25" customHeight="1"/>
    <row r="58147" customFormat="1" ht="17.25" customHeight="1"/>
    <row r="58148" customFormat="1" ht="17.25" customHeight="1"/>
    <row r="58149" customFormat="1" ht="17.25" customHeight="1"/>
    <row r="58150" customFormat="1" ht="17.25" customHeight="1"/>
    <row r="58151" customFormat="1" ht="17.25" customHeight="1"/>
    <row r="58152" customFormat="1" ht="17.25" customHeight="1"/>
    <row r="58153" customFormat="1" ht="17.25" customHeight="1"/>
    <row r="58154" customFormat="1" ht="17.25" customHeight="1"/>
    <row r="58155" customFormat="1" ht="17.25" customHeight="1"/>
    <row r="58156" customFormat="1" ht="17.25" customHeight="1"/>
    <row r="58157" customFormat="1" ht="17.25" customHeight="1"/>
    <row r="58158" customFormat="1" ht="17.25" customHeight="1"/>
    <row r="58159" customFormat="1" ht="17.25" customHeight="1"/>
    <row r="58160" customFormat="1" ht="17.25" customHeight="1"/>
    <row r="58161" customFormat="1" ht="17.25" customHeight="1"/>
    <row r="58162" customFormat="1" ht="17.25" customHeight="1"/>
    <row r="58163" customFormat="1" ht="17.25" customHeight="1"/>
    <row r="58164" customFormat="1" ht="17.25" customHeight="1"/>
    <row r="58165" customFormat="1" ht="17.25" customHeight="1"/>
    <row r="58166" customFormat="1" ht="17.25" customHeight="1"/>
    <row r="58167" customFormat="1" ht="17.25" customHeight="1"/>
    <row r="58168" customFormat="1" ht="17.25" customHeight="1"/>
    <row r="58169" customFormat="1" ht="17.25" customHeight="1"/>
    <row r="58170" customFormat="1" ht="17.25" customHeight="1"/>
    <row r="58171" customFormat="1" ht="17.25" customHeight="1"/>
    <row r="58172" customFormat="1" ht="17.25" customHeight="1"/>
    <row r="58173" customFormat="1" ht="17.25" customHeight="1"/>
    <row r="58174" customFormat="1" ht="17.25" customHeight="1"/>
    <row r="58175" customFormat="1" ht="17.25" customHeight="1"/>
    <row r="58176" customFormat="1" ht="17.25" customHeight="1"/>
    <row r="58177" customFormat="1" ht="17.25" customHeight="1"/>
    <row r="58178" customFormat="1" ht="17.25" customHeight="1"/>
    <row r="58179" customFormat="1" ht="17.25" customHeight="1"/>
    <row r="58180" customFormat="1" ht="17.25" customHeight="1"/>
    <row r="58181" customFormat="1" ht="17.25" customHeight="1"/>
    <row r="58182" customFormat="1" ht="17.25" customHeight="1"/>
    <row r="58183" customFormat="1" ht="17.25" customHeight="1"/>
    <row r="58184" customFormat="1" ht="17.25" customHeight="1"/>
    <row r="58185" customFormat="1" ht="17.25" customHeight="1"/>
    <row r="58186" customFormat="1" ht="17.25" customHeight="1"/>
    <row r="58187" customFormat="1" ht="17.25" customHeight="1"/>
    <row r="58188" customFormat="1" ht="17.25" customHeight="1"/>
    <row r="58189" customFormat="1" ht="17.25" customHeight="1"/>
    <row r="58190" customFormat="1" ht="17.25" customHeight="1"/>
    <row r="58191" customFormat="1" ht="17.25" customHeight="1"/>
    <row r="58192" customFormat="1" ht="17.25" customHeight="1"/>
    <row r="58193" customFormat="1" ht="17.25" customHeight="1"/>
    <row r="58194" customFormat="1" ht="17.25" customHeight="1"/>
    <row r="58195" customFormat="1" ht="17.25" customHeight="1"/>
    <row r="58196" customFormat="1" ht="17.25" customHeight="1"/>
    <row r="58197" customFormat="1" ht="17.25" customHeight="1"/>
    <row r="58198" customFormat="1" ht="17.25" customHeight="1"/>
    <row r="58199" customFormat="1" ht="17.25" customHeight="1"/>
    <row r="58200" customFormat="1" ht="17.25" customHeight="1"/>
    <row r="58201" customFormat="1" ht="17.25" customHeight="1"/>
    <row r="58202" customFormat="1" ht="17.25" customHeight="1"/>
    <row r="58203" customFormat="1" ht="17.25" customHeight="1"/>
    <row r="58204" customFormat="1" ht="17.25" customHeight="1"/>
    <row r="58205" customFormat="1" ht="17.25" customHeight="1"/>
    <row r="58206" customFormat="1" ht="17.25" customHeight="1"/>
    <row r="58207" customFormat="1" ht="17.25" customHeight="1"/>
    <row r="58208" customFormat="1" ht="17.25" customHeight="1"/>
    <row r="58209" customFormat="1" ht="17.25" customHeight="1"/>
    <row r="58210" customFormat="1" ht="17.25" customHeight="1"/>
    <row r="58211" customFormat="1" ht="17.25" customHeight="1"/>
    <row r="58212" customFormat="1" ht="17.25" customHeight="1"/>
    <row r="58213" customFormat="1" ht="17.25" customHeight="1"/>
    <row r="58214" customFormat="1" ht="17.25" customHeight="1"/>
    <row r="58215" customFormat="1" ht="17.25" customHeight="1"/>
    <row r="58216" customFormat="1" ht="17.25" customHeight="1"/>
    <row r="58217" customFormat="1" ht="17.25" customHeight="1"/>
    <row r="58218" customFormat="1" ht="17.25" customHeight="1"/>
    <row r="58219" customFormat="1" ht="17.25" customHeight="1"/>
    <row r="58220" customFormat="1" ht="17.25" customHeight="1"/>
    <row r="58221" customFormat="1" ht="17.25" customHeight="1"/>
    <row r="58222" customFormat="1" ht="17.25" customHeight="1"/>
    <row r="58223" customFormat="1" ht="17.25" customHeight="1"/>
    <row r="58224" customFormat="1" ht="17.25" customHeight="1"/>
    <row r="58225" customFormat="1" ht="17.25" customHeight="1"/>
    <row r="58226" customFormat="1" ht="17.25" customHeight="1"/>
    <row r="58227" customFormat="1" ht="17.25" customHeight="1"/>
    <row r="58228" customFormat="1" ht="17.25" customHeight="1"/>
    <row r="58229" customFormat="1" ht="17.25" customHeight="1"/>
    <row r="58230" customFormat="1" ht="17.25" customHeight="1"/>
    <row r="58231" customFormat="1" ht="17.25" customHeight="1"/>
    <row r="58232" customFormat="1" ht="17.25" customHeight="1"/>
    <row r="58233" customFormat="1" ht="17.25" customHeight="1"/>
    <row r="58234" customFormat="1" ht="17.25" customHeight="1"/>
    <row r="58235" customFormat="1" ht="17.25" customHeight="1"/>
    <row r="58236" customFormat="1" ht="17.25" customHeight="1"/>
    <row r="58237" customFormat="1" ht="17.25" customHeight="1"/>
    <row r="58238" customFormat="1" ht="17.25" customHeight="1"/>
    <row r="58239" customFormat="1" ht="17.25" customHeight="1"/>
    <row r="58240" customFormat="1" ht="17.25" customHeight="1"/>
    <row r="58241" customFormat="1" ht="17.25" customHeight="1"/>
    <row r="58242" customFormat="1" ht="17.25" customHeight="1"/>
    <row r="58243" customFormat="1" ht="17.25" customHeight="1"/>
    <row r="58244" customFormat="1" ht="17.25" customHeight="1"/>
    <row r="58245" customFormat="1" ht="17.25" customHeight="1"/>
    <row r="58246" customFormat="1" ht="17.25" customHeight="1"/>
    <row r="58247" customFormat="1" ht="17.25" customHeight="1"/>
    <row r="58248" customFormat="1" ht="17.25" customHeight="1"/>
    <row r="58249" customFormat="1" ht="17.25" customHeight="1"/>
    <row r="58250" customFormat="1" ht="17.25" customHeight="1"/>
    <row r="58251" customFormat="1" ht="17.25" customHeight="1"/>
    <row r="58252" customFormat="1" ht="17.25" customHeight="1"/>
    <row r="58253" customFormat="1" ht="17.25" customHeight="1"/>
    <row r="58254" customFormat="1" ht="17.25" customHeight="1"/>
    <row r="58255" customFormat="1" ht="17.25" customHeight="1"/>
    <row r="58256" customFormat="1" ht="17.25" customHeight="1"/>
    <row r="58257" customFormat="1" ht="17.25" customHeight="1"/>
    <row r="58258" customFormat="1" ht="17.25" customHeight="1"/>
    <row r="58259" customFormat="1" ht="17.25" customHeight="1"/>
    <row r="58260" customFormat="1" ht="17.25" customHeight="1"/>
    <row r="58261" customFormat="1" ht="17.25" customHeight="1"/>
    <row r="58262" customFormat="1" ht="17.25" customHeight="1"/>
    <row r="58263" customFormat="1" ht="17.25" customHeight="1"/>
    <row r="58264" customFormat="1" ht="17.25" customHeight="1"/>
    <row r="58265" customFormat="1" ht="17.25" customHeight="1"/>
    <row r="58266" customFormat="1" ht="17.25" customHeight="1"/>
    <row r="58267" customFormat="1" ht="17.25" customHeight="1"/>
    <row r="58268" customFormat="1" ht="17.25" customHeight="1"/>
    <row r="58269" customFormat="1" ht="17.25" customHeight="1"/>
    <row r="58270" customFormat="1" ht="17.25" customHeight="1"/>
    <row r="58271" customFormat="1" ht="17.25" customHeight="1"/>
    <row r="58272" customFormat="1" ht="17.25" customHeight="1"/>
    <row r="58273" customFormat="1" ht="17.25" customHeight="1"/>
    <row r="58274" customFormat="1" ht="17.25" customHeight="1"/>
    <row r="58275" customFormat="1" ht="17.25" customHeight="1"/>
    <row r="58276" customFormat="1" ht="17.25" customHeight="1"/>
    <row r="58277" customFormat="1" ht="17.25" customHeight="1"/>
    <row r="58278" customFormat="1" ht="17.25" customHeight="1"/>
    <row r="58279" customFormat="1" ht="17.25" customHeight="1"/>
    <row r="58280" customFormat="1" ht="17.25" customHeight="1"/>
    <row r="58281" customFormat="1" ht="17.25" customHeight="1"/>
    <row r="58282" customFormat="1" ht="17.25" customHeight="1"/>
    <row r="58283" customFormat="1" ht="17.25" customHeight="1"/>
    <row r="58284" customFormat="1" ht="17.25" customHeight="1"/>
    <row r="58285" customFormat="1" ht="17.25" customHeight="1"/>
    <row r="58286" customFormat="1" ht="17.25" customHeight="1"/>
    <row r="58287" customFormat="1" ht="17.25" customHeight="1"/>
    <row r="58288" customFormat="1" ht="17.25" customHeight="1"/>
    <row r="58289" customFormat="1" ht="17.25" customHeight="1"/>
    <row r="58290" customFormat="1" ht="17.25" customHeight="1"/>
    <row r="58291" customFormat="1" ht="17.25" customHeight="1"/>
    <row r="58292" customFormat="1" ht="17.25" customHeight="1"/>
    <row r="58293" customFormat="1" ht="17.25" customHeight="1"/>
    <row r="58294" customFormat="1" ht="17.25" customHeight="1"/>
    <row r="58295" customFormat="1" ht="17.25" customHeight="1"/>
    <row r="58296" customFormat="1" ht="17.25" customHeight="1"/>
    <row r="58297" customFormat="1" ht="17.25" customHeight="1"/>
    <row r="58298" customFormat="1" ht="17.25" customHeight="1"/>
    <row r="58299" customFormat="1" ht="17.25" customHeight="1"/>
    <row r="58300" customFormat="1" ht="17.25" customHeight="1"/>
    <row r="58301" customFormat="1" ht="17.25" customHeight="1"/>
    <row r="58302" customFormat="1" ht="17.25" customHeight="1"/>
    <row r="58303" customFormat="1" ht="17.25" customHeight="1"/>
    <row r="58304" customFormat="1" ht="17.25" customHeight="1"/>
    <row r="58305" customFormat="1" ht="17.25" customHeight="1"/>
    <row r="58306" customFormat="1" ht="17.25" customHeight="1"/>
    <row r="58307" customFormat="1" ht="17.25" customHeight="1"/>
    <row r="58308" customFormat="1" ht="17.25" customHeight="1"/>
    <row r="58309" customFormat="1" ht="17.25" customHeight="1"/>
    <row r="58310" customFormat="1" ht="17.25" customHeight="1"/>
    <row r="58311" customFormat="1" ht="17.25" customHeight="1"/>
    <row r="58312" customFormat="1" ht="17.25" customHeight="1"/>
    <row r="58313" customFormat="1" ht="17.25" customHeight="1"/>
    <row r="58314" customFormat="1" ht="17.25" customHeight="1"/>
    <row r="58315" customFormat="1" ht="17.25" customHeight="1"/>
    <row r="58316" customFormat="1" ht="17.25" customHeight="1"/>
    <row r="58317" customFormat="1" ht="17.25" customHeight="1"/>
    <row r="58318" customFormat="1" ht="17.25" customHeight="1"/>
    <row r="58319" customFormat="1" ht="17.25" customHeight="1"/>
    <row r="58320" customFormat="1" ht="17.25" customHeight="1"/>
    <row r="58321" customFormat="1" ht="17.25" customHeight="1"/>
    <row r="58322" customFormat="1" ht="17.25" customHeight="1"/>
    <row r="58323" customFormat="1" ht="17.25" customHeight="1"/>
    <row r="58324" customFormat="1" ht="17.25" customHeight="1"/>
    <row r="58325" customFormat="1" ht="17.25" customHeight="1"/>
    <row r="58326" customFormat="1" ht="17.25" customHeight="1"/>
    <row r="58327" customFormat="1" ht="17.25" customHeight="1"/>
    <row r="58328" customFormat="1" ht="17.25" customHeight="1"/>
    <row r="58329" customFormat="1" ht="17.25" customHeight="1"/>
    <row r="58330" customFormat="1" ht="17.25" customHeight="1"/>
    <row r="58331" customFormat="1" ht="17.25" customHeight="1"/>
    <row r="58332" customFormat="1" ht="17.25" customHeight="1"/>
    <row r="58333" customFormat="1" ht="17.25" customHeight="1"/>
    <row r="58334" customFormat="1" ht="17.25" customHeight="1"/>
    <row r="58335" customFormat="1" ht="17.25" customHeight="1"/>
    <row r="58336" customFormat="1" ht="17.25" customHeight="1"/>
    <row r="58337" customFormat="1" ht="17.25" customHeight="1"/>
    <row r="58338" customFormat="1" ht="17.25" customHeight="1"/>
    <row r="58339" customFormat="1" ht="17.25" customHeight="1"/>
    <row r="58340" customFormat="1" ht="17.25" customHeight="1"/>
    <row r="58341" customFormat="1" ht="17.25" customHeight="1"/>
    <row r="58342" customFormat="1" ht="17.25" customHeight="1"/>
    <row r="58343" customFormat="1" ht="17.25" customHeight="1"/>
    <row r="58344" customFormat="1" ht="17.25" customHeight="1"/>
    <row r="58345" customFormat="1" ht="17.25" customHeight="1"/>
    <row r="58346" customFormat="1" ht="17.25" customHeight="1"/>
    <row r="58347" customFormat="1" ht="17.25" customHeight="1"/>
    <row r="58348" customFormat="1" ht="17.25" customHeight="1"/>
    <row r="58349" customFormat="1" ht="17.25" customHeight="1"/>
    <row r="58350" customFormat="1" ht="17.25" customHeight="1"/>
    <row r="58351" customFormat="1" ht="17.25" customHeight="1"/>
    <row r="58352" customFormat="1" ht="17.25" customHeight="1"/>
    <row r="58353" customFormat="1" ht="17.25" customHeight="1"/>
    <row r="58354" customFormat="1" ht="17.25" customHeight="1"/>
    <row r="58355" customFormat="1" ht="17.25" customHeight="1"/>
    <row r="58356" customFormat="1" ht="17.25" customHeight="1"/>
    <row r="58357" customFormat="1" ht="17.25" customHeight="1"/>
    <row r="58358" customFormat="1" ht="17.25" customHeight="1"/>
    <row r="58359" customFormat="1" ht="17.25" customHeight="1"/>
    <row r="58360" customFormat="1" ht="17.25" customHeight="1"/>
    <row r="58361" customFormat="1" ht="17.25" customHeight="1"/>
    <row r="58362" customFormat="1" ht="17.25" customHeight="1"/>
    <row r="58363" customFormat="1" ht="17.25" customHeight="1"/>
    <row r="58364" customFormat="1" ht="17.25" customHeight="1"/>
    <row r="58365" customFormat="1" ht="17.25" customHeight="1"/>
    <row r="58366" customFormat="1" ht="17.25" customHeight="1"/>
    <row r="58367" customFormat="1" ht="17.25" customHeight="1"/>
    <row r="58368" customFormat="1" ht="17.25" customHeight="1"/>
    <row r="58369" customFormat="1" ht="17.25" customHeight="1"/>
    <row r="58370" customFormat="1" ht="17.25" customHeight="1"/>
    <row r="58371" customFormat="1" ht="17.25" customHeight="1"/>
    <row r="58372" customFormat="1" ht="17.25" customHeight="1"/>
    <row r="58373" customFormat="1" ht="17.25" customHeight="1"/>
    <row r="58374" customFormat="1" ht="17.25" customHeight="1"/>
    <row r="58375" customFormat="1" ht="17.25" customHeight="1"/>
    <row r="58376" customFormat="1" ht="17.25" customHeight="1"/>
    <row r="58377" customFormat="1" ht="17.25" customHeight="1"/>
    <row r="58378" customFormat="1" ht="17.25" customHeight="1"/>
    <row r="58379" customFormat="1" ht="17.25" customHeight="1"/>
    <row r="58380" customFormat="1" ht="17.25" customHeight="1"/>
    <row r="58381" customFormat="1" ht="17.25" customHeight="1"/>
    <row r="58382" customFormat="1" ht="17.25" customHeight="1"/>
    <row r="58383" customFormat="1" ht="17.25" customHeight="1"/>
    <row r="58384" customFormat="1" ht="17.25" customHeight="1"/>
    <row r="58385" customFormat="1" ht="17.25" customHeight="1"/>
    <row r="58386" customFormat="1" ht="17.25" customHeight="1"/>
    <row r="58387" customFormat="1" ht="17.25" customHeight="1"/>
    <row r="58388" customFormat="1" ht="17.25" customHeight="1"/>
    <row r="58389" customFormat="1" ht="17.25" customHeight="1"/>
    <row r="58390" customFormat="1" ht="17.25" customHeight="1"/>
    <row r="58391" customFormat="1" ht="17.25" customHeight="1"/>
    <row r="58392" customFormat="1" ht="17.25" customHeight="1"/>
    <row r="58393" customFormat="1" ht="17.25" customHeight="1"/>
    <row r="58394" customFormat="1" ht="17.25" customHeight="1"/>
    <row r="58395" customFormat="1" ht="17.25" customHeight="1"/>
    <row r="58396" customFormat="1" ht="17.25" customHeight="1"/>
    <row r="58397" customFormat="1" ht="17.25" customHeight="1"/>
    <row r="58398" customFormat="1" ht="17.25" customHeight="1"/>
    <row r="58399" customFormat="1" ht="17.25" customHeight="1"/>
    <row r="58400" customFormat="1" ht="17.25" customHeight="1"/>
    <row r="58401" customFormat="1" ht="17.25" customHeight="1"/>
    <row r="58402" customFormat="1" ht="17.25" customHeight="1"/>
    <row r="58403" customFormat="1" ht="17.25" customHeight="1"/>
    <row r="58404" customFormat="1" ht="17.25" customHeight="1"/>
    <row r="58405" customFormat="1" ht="17.25" customHeight="1"/>
    <row r="58406" customFormat="1" ht="17.25" customHeight="1"/>
    <row r="58407" customFormat="1" ht="17.25" customHeight="1"/>
    <row r="58408" customFormat="1" ht="17.25" customHeight="1"/>
    <row r="58409" customFormat="1" ht="17.25" customHeight="1"/>
    <row r="58410" customFormat="1" ht="17.25" customHeight="1"/>
    <row r="58411" customFormat="1" ht="17.25" customHeight="1"/>
    <row r="58412" customFormat="1" ht="17.25" customHeight="1"/>
    <row r="58413" customFormat="1" ht="17.25" customHeight="1"/>
    <row r="58414" customFormat="1" ht="17.25" customHeight="1"/>
    <row r="58415" customFormat="1" ht="17.25" customHeight="1"/>
    <row r="58416" customFormat="1" ht="17.25" customHeight="1"/>
    <row r="58417" customFormat="1" ht="17.25" customHeight="1"/>
    <row r="58418" customFormat="1" ht="17.25" customHeight="1"/>
    <row r="58419" customFormat="1" ht="17.25" customHeight="1"/>
    <row r="58420" customFormat="1" ht="17.25" customHeight="1"/>
    <row r="58421" customFormat="1" ht="17.25" customHeight="1"/>
    <row r="58422" customFormat="1" ht="17.25" customHeight="1"/>
    <row r="58423" customFormat="1" ht="17.25" customHeight="1"/>
    <row r="58424" customFormat="1" ht="17.25" customHeight="1"/>
    <row r="58425" customFormat="1" ht="17.25" customHeight="1"/>
    <row r="58426" customFormat="1" ht="17.25" customHeight="1"/>
    <row r="58427" customFormat="1" ht="17.25" customHeight="1"/>
    <row r="58428" customFormat="1" ht="17.25" customHeight="1"/>
    <row r="58429" customFormat="1" ht="17.25" customHeight="1"/>
    <row r="58430" customFormat="1" ht="17.25" customHeight="1"/>
    <row r="58431" customFormat="1" ht="17.25" customHeight="1"/>
    <row r="58432" customFormat="1" ht="17.25" customHeight="1"/>
    <row r="58433" customFormat="1" ht="17.25" customHeight="1"/>
    <row r="58434" customFormat="1" ht="17.25" customHeight="1"/>
    <row r="58435" customFormat="1" ht="17.25" customHeight="1"/>
    <row r="58436" customFormat="1" ht="17.25" customHeight="1"/>
    <row r="58437" customFormat="1" ht="17.25" customHeight="1"/>
    <row r="58438" customFormat="1" ht="17.25" customHeight="1"/>
    <row r="58439" customFormat="1" ht="17.25" customHeight="1"/>
    <row r="58440" customFormat="1" ht="17.25" customHeight="1"/>
    <row r="58441" customFormat="1" ht="17.25" customHeight="1"/>
    <row r="58442" customFormat="1" ht="17.25" customHeight="1"/>
    <row r="58443" customFormat="1" ht="17.25" customHeight="1"/>
    <row r="58444" customFormat="1" ht="17.25" customHeight="1"/>
    <row r="58445" customFormat="1" ht="17.25" customHeight="1"/>
    <row r="58446" customFormat="1" ht="17.25" customHeight="1"/>
    <row r="58447" customFormat="1" ht="17.25" customHeight="1"/>
    <row r="58448" customFormat="1" ht="17.25" customHeight="1"/>
    <row r="58449" customFormat="1" ht="17.25" customHeight="1"/>
    <row r="58450" customFormat="1" ht="17.25" customHeight="1"/>
    <row r="58451" customFormat="1" ht="17.25" customHeight="1"/>
    <row r="58452" customFormat="1" ht="17.25" customHeight="1"/>
    <row r="58453" customFormat="1" ht="17.25" customHeight="1"/>
    <row r="58454" customFormat="1" ht="17.25" customHeight="1"/>
    <row r="58455" customFormat="1" ht="17.25" customHeight="1"/>
    <row r="58456" customFormat="1" ht="17.25" customHeight="1"/>
    <row r="58457" customFormat="1" ht="17.25" customHeight="1"/>
    <row r="58458" customFormat="1" ht="17.25" customHeight="1"/>
    <row r="58459" customFormat="1" ht="17.25" customHeight="1"/>
    <row r="58460" customFormat="1" ht="17.25" customHeight="1"/>
    <row r="58461" customFormat="1" ht="17.25" customHeight="1"/>
    <row r="58462" customFormat="1" ht="17.25" customHeight="1"/>
    <row r="58463" customFormat="1" ht="17.25" customHeight="1"/>
    <row r="58464" customFormat="1" ht="17.25" customHeight="1"/>
    <row r="58465" customFormat="1" ht="17.25" customHeight="1"/>
    <row r="58466" customFormat="1" ht="17.25" customHeight="1"/>
    <row r="58467" customFormat="1" ht="17.25" customHeight="1"/>
    <row r="58468" customFormat="1" ht="17.25" customHeight="1"/>
    <row r="58469" customFormat="1" ht="17.25" customHeight="1"/>
    <row r="58470" customFormat="1" ht="17.25" customHeight="1"/>
    <row r="58471" customFormat="1" ht="17.25" customHeight="1"/>
    <row r="58472" customFormat="1" ht="17.25" customHeight="1"/>
    <row r="58473" customFormat="1" ht="17.25" customHeight="1"/>
    <row r="58474" customFormat="1" ht="17.25" customHeight="1"/>
    <row r="58475" customFormat="1" ht="17.25" customHeight="1"/>
    <row r="58476" customFormat="1" ht="17.25" customHeight="1"/>
    <row r="58477" customFormat="1" ht="17.25" customHeight="1"/>
    <row r="58478" customFormat="1" ht="17.25" customHeight="1"/>
    <row r="58479" customFormat="1" ht="17.25" customHeight="1"/>
    <row r="58480" customFormat="1" ht="17.25" customHeight="1"/>
    <row r="58481" customFormat="1" ht="17.25" customHeight="1"/>
    <row r="58482" customFormat="1" ht="17.25" customHeight="1"/>
    <row r="58483" customFormat="1" ht="17.25" customHeight="1"/>
    <row r="58484" customFormat="1" ht="17.25" customHeight="1"/>
    <row r="58485" customFormat="1" ht="17.25" customHeight="1"/>
    <row r="58486" customFormat="1" ht="17.25" customHeight="1"/>
    <row r="58487" customFormat="1" ht="17.25" customHeight="1"/>
    <row r="58488" customFormat="1" ht="17.25" customHeight="1"/>
    <row r="58489" customFormat="1" ht="17.25" customHeight="1"/>
    <row r="58490" customFormat="1" ht="17.25" customHeight="1"/>
    <row r="58491" customFormat="1" ht="17.25" customHeight="1"/>
    <row r="58492" customFormat="1" ht="17.25" customHeight="1"/>
    <row r="58493" customFormat="1" ht="17.25" customHeight="1"/>
    <row r="58494" customFormat="1" ht="17.25" customHeight="1"/>
    <row r="58495" customFormat="1" ht="17.25" customHeight="1"/>
    <row r="58496" customFormat="1" ht="17.25" customHeight="1"/>
    <row r="58497" customFormat="1" ht="17.25" customHeight="1"/>
    <row r="58498" customFormat="1" ht="17.25" customHeight="1"/>
    <row r="58499" customFormat="1" ht="17.25" customHeight="1"/>
    <row r="58500" customFormat="1" ht="17.25" customHeight="1"/>
    <row r="58501" customFormat="1" ht="17.25" customHeight="1"/>
    <row r="58502" customFormat="1" ht="17.25" customHeight="1"/>
    <row r="58503" customFormat="1" ht="17.25" customHeight="1"/>
    <row r="58504" customFormat="1" ht="17.25" customHeight="1"/>
    <row r="58505" customFormat="1" ht="17.25" customHeight="1"/>
    <row r="58506" customFormat="1" ht="17.25" customHeight="1"/>
    <row r="58507" customFormat="1" ht="17.25" customHeight="1"/>
    <row r="58508" customFormat="1" ht="17.25" customHeight="1"/>
    <row r="58509" customFormat="1" ht="17.25" customHeight="1"/>
    <row r="58510" customFormat="1" ht="17.25" customHeight="1"/>
    <row r="58511" customFormat="1" ht="17.25" customHeight="1"/>
    <row r="58512" customFormat="1" ht="17.25" customHeight="1"/>
    <row r="58513" customFormat="1" ht="17.25" customHeight="1"/>
    <row r="58514" customFormat="1" ht="17.25" customHeight="1"/>
    <row r="58515" customFormat="1" ht="17.25" customHeight="1"/>
    <row r="58516" customFormat="1" ht="17.25" customHeight="1"/>
    <row r="58517" customFormat="1" ht="17.25" customHeight="1"/>
    <row r="58518" customFormat="1" ht="17.25" customHeight="1"/>
    <row r="58519" customFormat="1" ht="17.25" customHeight="1"/>
    <row r="58520" customFormat="1" ht="17.25" customHeight="1"/>
    <row r="58521" customFormat="1" ht="17.25" customHeight="1"/>
    <row r="58522" customFormat="1" ht="17.25" customHeight="1"/>
    <row r="58523" customFormat="1" ht="17.25" customHeight="1"/>
    <row r="58524" customFormat="1" ht="17.25" customHeight="1"/>
    <row r="58525" customFormat="1" ht="17.25" customHeight="1"/>
    <row r="58526" customFormat="1" ht="17.25" customHeight="1"/>
    <row r="58527" customFormat="1" ht="17.25" customHeight="1"/>
    <row r="58528" customFormat="1" ht="17.25" customHeight="1"/>
    <row r="58529" customFormat="1" ht="17.25" customHeight="1"/>
    <row r="58530" customFormat="1" ht="17.25" customHeight="1"/>
    <row r="58531" customFormat="1" ht="17.25" customHeight="1"/>
    <row r="58532" customFormat="1" ht="17.25" customHeight="1"/>
    <row r="58533" customFormat="1" ht="17.25" customHeight="1"/>
    <row r="58534" customFormat="1" ht="17.25" customHeight="1"/>
    <row r="58535" customFormat="1" ht="17.25" customHeight="1"/>
    <row r="58536" customFormat="1" ht="17.25" customHeight="1"/>
    <row r="58537" customFormat="1" ht="17.25" customHeight="1"/>
    <row r="58538" customFormat="1" ht="17.25" customHeight="1"/>
    <row r="58539" customFormat="1" ht="17.25" customHeight="1"/>
    <row r="58540" customFormat="1" ht="17.25" customHeight="1"/>
    <row r="58541" customFormat="1" ht="17.25" customHeight="1"/>
    <row r="58542" customFormat="1" ht="17.25" customHeight="1"/>
    <row r="58543" customFormat="1" ht="17.25" customHeight="1"/>
    <row r="58544" customFormat="1" ht="17.25" customHeight="1"/>
    <row r="58545" customFormat="1" ht="17.25" customHeight="1"/>
    <row r="58546" customFormat="1" ht="17.25" customHeight="1"/>
    <row r="58547" customFormat="1" ht="17.25" customHeight="1"/>
    <row r="58548" customFormat="1" ht="17.25" customHeight="1"/>
    <row r="58549" customFormat="1" ht="17.25" customHeight="1"/>
    <row r="58550" customFormat="1" ht="17.25" customHeight="1"/>
    <row r="58551" customFormat="1" ht="17.25" customHeight="1"/>
    <row r="58552" customFormat="1" ht="17.25" customHeight="1"/>
    <row r="58553" customFormat="1" ht="17.25" customHeight="1"/>
    <row r="58554" customFormat="1" ht="17.25" customHeight="1"/>
    <row r="58555" customFormat="1" ht="17.25" customHeight="1"/>
    <row r="58556" customFormat="1" ht="17.25" customHeight="1"/>
    <row r="58557" customFormat="1" ht="17.25" customHeight="1"/>
    <row r="58558" customFormat="1" ht="17.25" customHeight="1"/>
    <row r="58559" customFormat="1" ht="17.25" customHeight="1"/>
    <row r="58560" customFormat="1" ht="17.25" customHeight="1"/>
    <row r="58561" customFormat="1" ht="17.25" customHeight="1"/>
    <row r="58562" customFormat="1" ht="17.25" customHeight="1"/>
    <row r="58563" customFormat="1" ht="17.25" customHeight="1"/>
    <row r="58564" customFormat="1" ht="17.25" customHeight="1"/>
    <row r="58565" customFormat="1" ht="17.25" customHeight="1"/>
    <row r="58566" customFormat="1" ht="17.25" customHeight="1"/>
    <row r="58567" customFormat="1" ht="17.25" customHeight="1"/>
    <row r="58568" customFormat="1" ht="17.25" customHeight="1"/>
    <row r="58569" customFormat="1" ht="17.25" customHeight="1"/>
    <row r="58570" customFormat="1" ht="17.25" customHeight="1"/>
    <row r="58571" customFormat="1" ht="17.25" customHeight="1"/>
    <row r="58572" customFormat="1" ht="17.25" customHeight="1"/>
    <row r="58573" customFormat="1" ht="17.25" customHeight="1"/>
    <row r="58574" customFormat="1" ht="17.25" customHeight="1"/>
    <row r="58575" customFormat="1" ht="17.25" customHeight="1"/>
    <row r="58576" customFormat="1" ht="17.25" customHeight="1"/>
    <row r="58577" customFormat="1" ht="17.25" customHeight="1"/>
    <row r="58578" customFormat="1" ht="17.25" customHeight="1"/>
    <row r="58579" customFormat="1" ht="17.25" customHeight="1"/>
    <row r="58580" customFormat="1" ht="17.25" customHeight="1"/>
    <row r="58581" customFormat="1" ht="17.25" customHeight="1"/>
    <row r="58582" customFormat="1" ht="17.25" customHeight="1"/>
    <row r="58583" customFormat="1" ht="17.25" customHeight="1"/>
    <row r="58584" customFormat="1" ht="17.25" customHeight="1"/>
    <row r="58585" customFormat="1" ht="17.25" customHeight="1"/>
    <row r="58586" customFormat="1" ht="17.25" customHeight="1"/>
    <row r="58587" customFormat="1" ht="17.25" customHeight="1"/>
    <row r="58588" customFormat="1" ht="17.25" customHeight="1"/>
    <row r="58589" customFormat="1" ht="17.25" customHeight="1"/>
    <row r="58590" customFormat="1" ht="17.25" customHeight="1"/>
    <row r="58591" customFormat="1" ht="17.25" customHeight="1"/>
    <row r="58592" customFormat="1" ht="17.25" customHeight="1"/>
    <row r="58593" customFormat="1" ht="17.25" customHeight="1"/>
    <row r="58594" customFormat="1" ht="17.25" customHeight="1"/>
    <row r="58595" customFormat="1" ht="17.25" customHeight="1"/>
    <row r="58596" customFormat="1" ht="17.25" customHeight="1"/>
    <row r="58597" customFormat="1" ht="17.25" customHeight="1"/>
    <row r="58598" customFormat="1" ht="17.25" customHeight="1"/>
    <row r="58599" customFormat="1" ht="17.25" customHeight="1"/>
    <row r="58600" customFormat="1" ht="17.25" customHeight="1"/>
    <row r="58601" customFormat="1" ht="17.25" customHeight="1"/>
    <row r="58602" customFormat="1" ht="17.25" customHeight="1"/>
    <row r="58603" customFormat="1" ht="17.25" customHeight="1"/>
    <row r="58604" customFormat="1" ht="17.25" customHeight="1"/>
    <row r="58605" customFormat="1" ht="17.25" customHeight="1"/>
    <row r="58606" customFormat="1" ht="17.25" customHeight="1"/>
    <row r="58607" customFormat="1" ht="17.25" customHeight="1"/>
    <row r="58608" customFormat="1" ht="17.25" customHeight="1"/>
    <row r="58609" customFormat="1" ht="17.25" customHeight="1"/>
    <row r="58610" customFormat="1" ht="17.25" customHeight="1"/>
    <row r="58611" customFormat="1" ht="17.25" customHeight="1"/>
    <row r="58612" customFormat="1" ht="17.25" customHeight="1"/>
    <row r="58613" customFormat="1" ht="17.25" customHeight="1"/>
    <row r="58614" customFormat="1" ht="17.25" customHeight="1"/>
    <row r="58615" customFormat="1" ht="17.25" customHeight="1"/>
    <row r="58616" customFormat="1" ht="17.25" customHeight="1"/>
    <row r="58617" customFormat="1" ht="17.25" customHeight="1"/>
    <row r="58618" customFormat="1" ht="17.25" customHeight="1"/>
    <row r="58619" customFormat="1" ht="17.25" customHeight="1"/>
    <row r="58620" customFormat="1" ht="17.25" customHeight="1"/>
    <row r="58621" customFormat="1" ht="17.25" customHeight="1"/>
    <row r="58622" customFormat="1" ht="17.25" customHeight="1"/>
    <row r="58623" customFormat="1" ht="17.25" customHeight="1"/>
    <row r="58624" customFormat="1" ht="17.25" customHeight="1"/>
    <row r="58625" customFormat="1" ht="17.25" customHeight="1"/>
    <row r="58626" customFormat="1" ht="17.25" customHeight="1"/>
    <row r="58627" customFormat="1" ht="17.25" customHeight="1"/>
    <row r="58628" customFormat="1" ht="17.25" customHeight="1"/>
    <row r="58629" customFormat="1" ht="17.25" customHeight="1"/>
    <row r="58630" customFormat="1" ht="17.25" customHeight="1"/>
    <row r="58631" customFormat="1" ht="17.25" customHeight="1"/>
    <row r="58632" customFormat="1" ht="17.25" customHeight="1"/>
    <row r="58633" customFormat="1" ht="17.25" customHeight="1"/>
    <row r="58634" customFormat="1" ht="17.25" customHeight="1"/>
    <row r="58635" customFormat="1" ht="17.25" customHeight="1"/>
    <row r="58636" customFormat="1" ht="17.25" customHeight="1"/>
    <row r="58637" customFormat="1" ht="17.25" customHeight="1"/>
    <row r="58638" customFormat="1" ht="17.25" customHeight="1"/>
    <row r="58639" customFormat="1" ht="17.25" customHeight="1"/>
    <row r="58640" customFormat="1" ht="17.25" customHeight="1"/>
    <row r="58641" customFormat="1" ht="17.25" customHeight="1"/>
    <row r="58642" customFormat="1" ht="17.25" customHeight="1"/>
    <row r="58643" customFormat="1" ht="17.25" customHeight="1"/>
    <row r="58644" customFormat="1" ht="17.25" customHeight="1"/>
    <row r="58645" customFormat="1" ht="17.25" customHeight="1"/>
    <row r="58646" customFormat="1" ht="17.25" customHeight="1"/>
    <row r="58647" customFormat="1" ht="17.25" customHeight="1"/>
    <row r="58648" customFormat="1" ht="17.25" customHeight="1"/>
    <row r="58649" customFormat="1" ht="17.25" customHeight="1"/>
    <row r="58650" customFormat="1" ht="17.25" customHeight="1"/>
    <row r="58651" customFormat="1" ht="17.25" customHeight="1"/>
    <row r="58652" customFormat="1" ht="17.25" customHeight="1"/>
    <row r="58653" customFormat="1" ht="17.25" customHeight="1"/>
    <row r="58654" customFormat="1" ht="17.25" customHeight="1"/>
    <row r="58655" customFormat="1" ht="17.25" customHeight="1"/>
    <row r="58656" customFormat="1" ht="17.25" customHeight="1"/>
    <row r="58657" customFormat="1" ht="17.25" customHeight="1"/>
    <row r="58658" customFormat="1" ht="17.25" customHeight="1"/>
    <row r="58659" customFormat="1" ht="17.25" customHeight="1"/>
    <row r="58660" customFormat="1" ht="17.25" customHeight="1"/>
    <row r="58661" customFormat="1" ht="17.25" customHeight="1"/>
    <row r="58662" customFormat="1" ht="17.25" customHeight="1"/>
    <row r="58663" customFormat="1" ht="17.25" customHeight="1"/>
    <row r="58664" customFormat="1" ht="17.25" customHeight="1"/>
    <row r="58665" customFormat="1" ht="17.25" customHeight="1"/>
    <row r="58666" customFormat="1" ht="17.25" customHeight="1"/>
    <row r="58667" customFormat="1" ht="17.25" customHeight="1"/>
    <row r="58668" customFormat="1" ht="17.25" customHeight="1"/>
    <row r="58669" customFormat="1" ht="17.25" customHeight="1"/>
    <row r="58670" customFormat="1" ht="17.25" customHeight="1"/>
    <row r="58671" customFormat="1" ht="17.25" customHeight="1"/>
    <row r="58672" customFormat="1" ht="17.25" customHeight="1"/>
    <row r="58673" customFormat="1" ht="17.25" customHeight="1"/>
    <row r="58674" customFormat="1" ht="17.25" customHeight="1"/>
    <row r="58675" customFormat="1" ht="17.25" customHeight="1"/>
    <row r="58676" customFormat="1" ht="17.25" customHeight="1"/>
    <row r="58677" customFormat="1" ht="17.25" customHeight="1"/>
    <row r="58678" customFormat="1" ht="17.25" customHeight="1"/>
    <row r="58679" customFormat="1" ht="17.25" customHeight="1"/>
    <row r="58680" customFormat="1" ht="17.25" customHeight="1"/>
    <row r="58681" customFormat="1" ht="17.25" customHeight="1"/>
    <row r="58682" customFormat="1" ht="17.25" customHeight="1"/>
    <row r="58683" customFormat="1" ht="17.25" customHeight="1"/>
    <row r="58684" customFormat="1" ht="17.25" customHeight="1"/>
    <row r="58685" customFormat="1" ht="17.25" customHeight="1"/>
    <row r="58686" customFormat="1" ht="17.25" customHeight="1"/>
    <row r="58687" customFormat="1" ht="17.25" customHeight="1"/>
    <row r="58688" customFormat="1" ht="17.25" customHeight="1"/>
    <row r="58689" customFormat="1" ht="17.25" customHeight="1"/>
    <row r="58690" customFormat="1" ht="17.25" customHeight="1"/>
    <row r="58691" customFormat="1" ht="17.25" customHeight="1"/>
    <row r="58692" customFormat="1" ht="17.25" customHeight="1"/>
    <row r="58693" customFormat="1" ht="17.25" customHeight="1"/>
    <row r="58694" customFormat="1" ht="17.25" customHeight="1"/>
    <row r="58695" customFormat="1" ht="17.25" customHeight="1"/>
    <row r="58696" customFormat="1" ht="17.25" customHeight="1"/>
    <row r="58697" customFormat="1" ht="17.25" customHeight="1"/>
    <row r="58698" customFormat="1" ht="17.25" customHeight="1"/>
    <row r="58699" customFormat="1" ht="17.25" customHeight="1"/>
    <row r="58700" customFormat="1" ht="17.25" customHeight="1"/>
    <row r="58701" customFormat="1" ht="17.25" customHeight="1"/>
    <row r="58702" customFormat="1" ht="17.25" customHeight="1"/>
    <row r="58703" customFormat="1" ht="17.25" customHeight="1"/>
    <row r="58704" customFormat="1" ht="17.25" customHeight="1"/>
    <row r="58705" customFormat="1" ht="17.25" customHeight="1"/>
    <row r="58706" customFormat="1" ht="17.25" customHeight="1"/>
    <row r="58707" customFormat="1" ht="17.25" customHeight="1"/>
    <row r="58708" customFormat="1" ht="17.25" customHeight="1"/>
    <row r="58709" customFormat="1" ht="17.25" customHeight="1"/>
    <row r="58710" customFormat="1" ht="17.25" customHeight="1"/>
    <row r="58711" customFormat="1" ht="17.25" customHeight="1"/>
    <row r="58712" customFormat="1" ht="17.25" customHeight="1"/>
    <row r="58713" customFormat="1" ht="17.25" customHeight="1"/>
    <row r="58714" customFormat="1" ht="17.25" customHeight="1"/>
    <row r="58715" customFormat="1" ht="17.25" customHeight="1"/>
    <row r="58716" customFormat="1" ht="17.25" customHeight="1"/>
    <row r="58717" customFormat="1" ht="17.25" customHeight="1"/>
    <row r="58718" customFormat="1" ht="17.25" customHeight="1"/>
    <row r="58719" customFormat="1" ht="17.25" customHeight="1"/>
    <row r="58720" customFormat="1" ht="17.25" customHeight="1"/>
    <row r="58721" customFormat="1" ht="17.25" customHeight="1"/>
    <row r="58722" customFormat="1" ht="17.25" customHeight="1"/>
    <row r="58723" customFormat="1" ht="17.25" customHeight="1"/>
    <row r="58724" customFormat="1" ht="17.25" customHeight="1"/>
    <row r="58725" customFormat="1" ht="17.25" customHeight="1"/>
    <row r="58726" customFormat="1" ht="17.25" customHeight="1"/>
    <row r="58727" customFormat="1" ht="17.25" customHeight="1"/>
    <row r="58728" customFormat="1" ht="17.25" customHeight="1"/>
    <row r="58729" customFormat="1" ht="17.25" customHeight="1"/>
    <row r="58730" customFormat="1" ht="17.25" customHeight="1"/>
    <row r="58731" customFormat="1" ht="17.25" customHeight="1"/>
    <row r="58732" customFormat="1" ht="17.25" customHeight="1"/>
    <row r="58733" customFormat="1" ht="17.25" customHeight="1"/>
    <row r="58734" customFormat="1" ht="17.25" customHeight="1"/>
    <row r="58735" customFormat="1" ht="17.25" customHeight="1"/>
    <row r="58736" customFormat="1" ht="17.25" customHeight="1"/>
    <row r="58737" customFormat="1" ht="17.25" customHeight="1"/>
    <row r="58738" customFormat="1" ht="17.25" customHeight="1"/>
    <row r="58739" customFormat="1" ht="17.25" customHeight="1"/>
    <row r="58740" customFormat="1" ht="17.25" customHeight="1"/>
    <row r="58741" customFormat="1" ht="17.25" customHeight="1"/>
    <row r="58742" customFormat="1" ht="17.25" customHeight="1"/>
    <row r="58743" customFormat="1" ht="17.25" customHeight="1"/>
    <row r="58744" customFormat="1" ht="17.25" customHeight="1"/>
    <row r="58745" customFormat="1" ht="17.25" customHeight="1"/>
    <row r="58746" customFormat="1" ht="17.25" customHeight="1"/>
    <row r="58747" customFormat="1" ht="17.25" customHeight="1"/>
    <row r="58748" customFormat="1" ht="17.25" customHeight="1"/>
    <row r="58749" customFormat="1" ht="17.25" customHeight="1"/>
    <row r="58750" customFormat="1" ht="17.25" customHeight="1"/>
    <row r="58751" customFormat="1" ht="17.25" customHeight="1"/>
    <row r="58752" customFormat="1" ht="17.25" customHeight="1"/>
    <row r="58753" customFormat="1" ht="17.25" customHeight="1"/>
    <row r="58754" customFormat="1" ht="17.25" customHeight="1"/>
    <row r="58755" customFormat="1" ht="17.25" customHeight="1"/>
    <row r="58756" customFormat="1" ht="17.25" customHeight="1"/>
    <row r="58757" customFormat="1" ht="17.25" customHeight="1"/>
    <row r="58758" customFormat="1" ht="17.25" customHeight="1"/>
    <row r="58759" customFormat="1" ht="17.25" customHeight="1"/>
    <row r="58760" customFormat="1" ht="17.25" customHeight="1"/>
    <row r="58761" customFormat="1" ht="17.25" customHeight="1"/>
    <row r="58762" customFormat="1" ht="17.25" customHeight="1"/>
    <row r="58763" customFormat="1" ht="17.25" customHeight="1"/>
    <row r="58764" customFormat="1" ht="17.25" customHeight="1"/>
    <row r="58765" customFormat="1" ht="17.25" customHeight="1"/>
    <row r="58766" customFormat="1" ht="17.25" customHeight="1"/>
    <row r="58767" customFormat="1" ht="17.25" customHeight="1"/>
    <row r="58768" customFormat="1" ht="17.25" customHeight="1"/>
    <row r="58769" customFormat="1" ht="17.25" customHeight="1"/>
    <row r="58770" customFormat="1" ht="17.25" customHeight="1"/>
    <row r="58771" customFormat="1" ht="17.25" customHeight="1"/>
    <row r="58772" customFormat="1" ht="17.25" customHeight="1"/>
    <row r="58773" customFormat="1" ht="17.25" customHeight="1"/>
    <row r="58774" customFormat="1" ht="17.25" customHeight="1"/>
    <row r="58775" customFormat="1" ht="17.25" customHeight="1"/>
    <row r="58776" customFormat="1" ht="17.25" customHeight="1"/>
    <row r="58777" customFormat="1" ht="17.25" customHeight="1"/>
    <row r="58778" customFormat="1" ht="17.25" customHeight="1"/>
    <row r="58779" customFormat="1" ht="17.25" customHeight="1"/>
    <row r="58780" customFormat="1" ht="17.25" customHeight="1"/>
    <row r="58781" customFormat="1" ht="17.25" customHeight="1"/>
    <row r="58782" customFormat="1" ht="17.25" customHeight="1"/>
    <row r="58783" customFormat="1" ht="17.25" customHeight="1"/>
    <row r="58784" customFormat="1" ht="17.25" customHeight="1"/>
    <row r="58785" customFormat="1" ht="17.25" customHeight="1"/>
    <row r="58786" customFormat="1" ht="17.25" customHeight="1"/>
    <row r="58787" customFormat="1" ht="17.25" customHeight="1"/>
    <row r="58788" customFormat="1" ht="17.25" customHeight="1"/>
    <row r="58789" customFormat="1" ht="17.25" customHeight="1"/>
    <row r="58790" customFormat="1" ht="17.25" customHeight="1"/>
    <row r="58791" customFormat="1" ht="17.25" customHeight="1"/>
    <row r="58792" customFormat="1" ht="17.25" customHeight="1"/>
    <row r="58793" customFormat="1" ht="17.25" customHeight="1"/>
    <row r="58794" customFormat="1" ht="17.25" customHeight="1"/>
    <row r="58795" customFormat="1" ht="17.25" customHeight="1"/>
    <row r="58796" customFormat="1" ht="17.25" customHeight="1"/>
    <row r="58797" customFormat="1" ht="17.25" customHeight="1"/>
    <row r="58798" customFormat="1" ht="17.25" customHeight="1"/>
    <row r="58799" customFormat="1" ht="17.25" customHeight="1"/>
    <row r="58800" customFormat="1" ht="17.25" customHeight="1"/>
    <row r="58801" customFormat="1" ht="17.25" customHeight="1"/>
    <row r="58802" customFormat="1" ht="17.25" customHeight="1"/>
    <row r="58803" customFormat="1" ht="17.25" customHeight="1"/>
    <row r="58804" customFormat="1" ht="17.25" customHeight="1"/>
    <row r="58805" customFormat="1" ht="17.25" customHeight="1"/>
    <row r="58806" customFormat="1" ht="17.25" customHeight="1"/>
    <row r="58807" customFormat="1" ht="17.25" customHeight="1"/>
    <row r="58808" customFormat="1" ht="17.25" customHeight="1"/>
    <row r="58809" customFormat="1" ht="17.25" customHeight="1"/>
    <row r="58810" customFormat="1" ht="17.25" customHeight="1"/>
    <row r="58811" customFormat="1" ht="17.25" customHeight="1"/>
    <row r="58812" customFormat="1" ht="17.25" customHeight="1"/>
    <row r="58813" customFormat="1" ht="17.25" customHeight="1"/>
    <row r="58814" customFormat="1" ht="17.25" customHeight="1"/>
    <row r="58815" customFormat="1" ht="17.25" customHeight="1"/>
    <row r="58816" customFormat="1" ht="17.25" customHeight="1"/>
    <row r="58817" customFormat="1" ht="17.25" customHeight="1"/>
    <row r="58818" customFormat="1" ht="17.25" customHeight="1"/>
    <row r="58819" customFormat="1" ht="17.25" customHeight="1"/>
    <row r="58820" customFormat="1" ht="17.25" customHeight="1"/>
    <row r="58821" customFormat="1" ht="17.25" customHeight="1"/>
    <row r="58822" customFormat="1" ht="17.25" customHeight="1"/>
    <row r="58823" customFormat="1" ht="17.25" customHeight="1"/>
    <row r="58824" customFormat="1" ht="17.25" customHeight="1"/>
    <row r="58825" customFormat="1" ht="17.25" customHeight="1"/>
    <row r="58826" customFormat="1" ht="17.25" customHeight="1"/>
    <row r="58827" customFormat="1" ht="17.25" customHeight="1"/>
    <row r="58828" customFormat="1" ht="17.25" customHeight="1"/>
    <row r="58829" customFormat="1" ht="17.25" customHeight="1"/>
    <row r="58830" customFormat="1" ht="17.25" customHeight="1"/>
    <row r="58831" customFormat="1" ht="17.25" customHeight="1"/>
    <row r="58832" customFormat="1" ht="17.25" customHeight="1"/>
    <row r="58833" customFormat="1" ht="17.25" customHeight="1"/>
    <row r="58834" customFormat="1" ht="17.25" customHeight="1"/>
    <row r="58835" customFormat="1" ht="17.25" customHeight="1"/>
    <row r="58836" customFormat="1" ht="17.25" customHeight="1"/>
    <row r="58837" customFormat="1" ht="17.25" customHeight="1"/>
    <row r="58838" customFormat="1" ht="17.25" customHeight="1"/>
    <row r="58839" customFormat="1" ht="17.25" customHeight="1"/>
    <row r="58840" customFormat="1" ht="17.25" customHeight="1"/>
    <row r="58841" customFormat="1" ht="17.25" customHeight="1"/>
    <row r="58842" customFormat="1" ht="17.25" customHeight="1"/>
    <row r="58843" customFormat="1" ht="17.25" customHeight="1"/>
    <row r="58844" customFormat="1" ht="17.25" customHeight="1"/>
    <row r="58845" customFormat="1" ht="17.25" customHeight="1"/>
    <row r="58846" customFormat="1" ht="17.25" customHeight="1"/>
    <row r="58847" customFormat="1" ht="17.25" customHeight="1"/>
    <row r="58848" customFormat="1" ht="17.25" customHeight="1"/>
    <row r="58849" customFormat="1" ht="17.25" customHeight="1"/>
    <row r="58850" customFormat="1" ht="17.25" customHeight="1"/>
    <row r="58851" customFormat="1" ht="17.25" customHeight="1"/>
    <row r="58852" customFormat="1" ht="17.25" customHeight="1"/>
    <row r="58853" customFormat="1" ht="17.25" customHeight="1"/>
    <row r="58854" customFormat="1" ht="17.25" customHeight="1"/>
    <row r="58855" customFormat="1" ht="17.25" customHeight="1"/>
    <row r="58856" customFormat="1" ht="17.25" customHeight="1"/>
    <row r="58857" customFormat="1" ht="17.25" customHeight="1"/>
    <row r="58858" customFormat="1" ht="17.25" customHeight="1"/>
    <row r="58859" customFormat="1" ht="17.25" customHeight="1"/>
    <row r="58860" customFormat="1" ht="17.25" customHeight="1"/>
    <row r="58861" customFormat="1" ht="17.25" customHeight="1"/>
    <row r="58862" customFormat="1" ht="17.25" customHeight="1"/>
    <row r="58863" customFormat="1" ht="17.25" customHeight="1"/>
    <row r="58864" customFormat="1" ht="17.25" customHeight="1"/>
    <row r="58865" customFormat="1" ht="17.25" customHeight="1"/>
    <row r="58866" customFormat="1" ht="17.25" customHeight="1"/>
    <row r="58867" customFormat="1" ht="17.25" customHeight="1"/>
    <row r="58868" customFormat="1" ht="17.25" customHeight="1"/>
    <row r="58869" customFormat="1" ht="17.25" customHeight="1"/>
    <row r="58870" customFormat="1" ht="17.25" customHeight="1"/>
    <row r="58871" customFormat="1" ht="17.25" customHeight="1"/>
    <row r="58872" customFormat="1" ht="17.25" customHeight="1"/>
    <row r="58873" customFormat="1" ht="17.25" customHeight="1"/>
    <row r="58874" customFormat="1" ht="17.25" customHeight="1"/>
    <row r="58875" customFormat="1" ht="17.25" customHeight="1"/>
    <row r="58876" customFormat="1" ht="17.25" customHeight="1"/>
    <row r="58877" customFormat="1" ht="17.25" customHeight="1"/>
    <row r="58878" customFormat="1" ht="17.25" customHeight="1"/>
    <row r="58879" customFormat="1" ht="17.25" customHeight="1"/>
    <row r="58880" customFormat="1" ht="17.25" customHeight="1"/>
    <row r="58881" customFormat="1" ht="17.25" customHeight="1"/>
    <row r="58882" customFormat="1" ht="17.25" customHeight="1"/>
    <row r="58883" customFormat="1" ht="17.25" customHeight="1"/>
    <row r="58884" customFormat="1" ht="17.25" customHeight="1"/>
    <row r="58885" customFormat="1" ht="17.25" customHeight="1"/>
    <row r="58886" customFormat="1" ht="17.25" customHeight="1"/>
    <row r="58887" customFormat="1" ht="17.25" customHeight="1"/>
    <row r="58888" customFormat="1" ht="17.25" customHeight="1"/>
    <row r="58889" customFormat="1" ht="17.25" customHeight="1"/>
    <row r="58890" customFormat="1" ht="17.25" customHeight="1"/>
    <row r="58891" customFormat="1" ht="17.25" customHeight="1"/>
    <row r="58892" customFormat="1" ht="17.25" customHeight="1"/>
    <row r="58893" customFormat="1" ht="17.25" customHeight="1"/>
    <row r="58894" customFormat="1" ht="17.25" customHeight="1"/>
    <row r="58895" customFormat="1" ht="17.25" customHeight="1"/>
    <row r="58896" customFormat="1" ht="17.25" customHeight="1"/>
    <row r="58897" customFormat="1" ht="17.25" customHeight="1"/>
    <row r="58898" customFormat="1" ht="17.25" customHeight="1"/>
    <row r="58899" customFormat="1" ht="17.25" customHeight="1"/>
    <row r="58900" customFormat="1" ht="17.25" customHeight="1"/>
    <row r="58901" customFormat="1" ht="17.25" customHeight="1"/>
    <row r="58902" customFormat="1" ht="17.25" customHeight="1"/>
    <row r="58903" customFormat="1" ht="17.25" customHeight="1"/>
    <row r="58904" customFormat="1" ht="17.25" customHeight="1"/>
    <row r="58905" customFormat="1" ht="17.25" customHeight="1"/>
    <row r="58906" customFormat="1" ht="17.25" customHeight="1"/>
    <row r="58907" customFormat="1" ht="17.25" customHeight="1"/>
    <row r="58908" customFormat="1" ht="17.25" customHeight="1"/>
    <row r="58909" customFormat="1" ht="17.25" customHeight="1"/>
    <row r="58910" customFormat="1" ht="17.25" customHeight="1"/>
    <row r="58911" customFormat="1" ht="17.25" customHeight="1"/>
    <row r="58912" customFormat="1" ht="17.25" customHeight="1"/>
    <row r="58913" customFormat="1" ht="17.25" customHeight="1"/>
    <row r="58914" customFormat="1" ht="17.25" customHeight="1"/>
    <row r="58915" customFormat="1" ht="17.25" customHeight="1"/>
    <row r="58916" customFormat="1" ht="17.25" customHeight="1"/>
    <row r="58917" customFormat="1" ht="17.25" customHeight="1"/>
    <row r="58918" customFormat="1" ht="17.25" customHeight="1"/>
    <row r="58919" customFormat="1" ht="17.25" customHeight="1"/>
    <row r="58920" customFormat="1" ht="17.25" customHeight="1"/>
    <row r="58921" customFormat="1" ht="17.25" customHeight="1"/>
    <row r="58922" customFormat="1" ht="17.25" customHeight="1"/>
    <row r="58923" customFormat="1" ht="17.25" customHeight="1"/>
    <row r="58924" customFormat="1" ht="17.25" customHeight="1"/>
    <row r="58925" customFormat="1" ht="17.25" customHeight="1"/>
    <row r="58926" customFormat="1" ht="17.25" customHeight="1"/>
    <row r="58927" customFormat="1" ht="17.25" customHeight="1"/>
    <row r="58928" customFormat="1" ht="17.25" customHeight="1"/>
    <row r="58929" customFormat="1" ht="17.25" customHeight="1"/>
    <row r="58930" customFormat="1" ht="17.25" customHeight="1"/>
    <row r="58931" customFormat="1" ht="17.25" customHeight="1"/>
    <row r="58932" customFormat="1" ht="17.25" customHeight="1"/>
    <row r="58933" customFormat="1" ht="17.25" customHeight="1"/>
    <row r="58934" customFormat="1" ht="17.25" customHeight="1"/>
    <row r="58935" customFormat="1" ht="17.25" customHeight="1"/>
    <row r="58936" customFormat="1" ht="17.25" customHeight="1"/>
    <row r="58937" customFormat="1" ht="17.25" customHeight="1"/>
    <row r="58938" customFormat="1" ht="17.25" customHeight="1"/>
    <row r="58939" customFormat="1" ht="17.25" customHeight="1"/>
    <row r="58940" customFormat="1" ht="17.25" customHeight="1"/>
    <row r="58941" customFormat="1" ht="17.25" customHeight="1"/>
    <row r="58942" customFormat="1" ht="17.25" customHeight="1"/>
    <row r="58943" customFormat="1" ht="17.25" customHeight="1"/>
    <row r="58944" customFormat="1" ht="17.25" customHeight="1"/>
    <row r="58945" customFormat="1" ht="17.25" customHeight="1"/>
    <row r="58946" customFormat="1" ht="17.25" customHeight="1"/>
    <row r="58947" customFormat="1" ht="17.25" customHeight="1"/>
    <row r="58948" customFormat="1" ht="17.25" customHeight="1"/>
    <row r="58949" customFormat="1" ht="17.25" customHeight="1"/>
    <row r="58950" customFormat="1" ht="17.25" customHeight="1"/>
    <row r="58951" customFormat="1" ht="17.25" customHeight="1"/>
    <row r="58952" customFormat="1" ht="17.25" customHeight="1"/>
    <row r="58953" customFormat="1" ht="17.25" customHeight="1"/>
    <row r="58954" customFormat="1" ht="17.25" customHeight="1"/>
    <row r="58955" customFormat="1" ht="17.25" customHeight="1"/>
    <row r="58956" customFormat="1" ht="17.25" customHeight="1"/>
    <row r="58957" customFormat="1" ht="17.25" customHeight="1"/>
    <row r="58958" customFormat="1" ht="17.25" customHeight="1"/>
    <row r="58959" customFormat="1" ht="17.25" customHeight="1"/>
    <row r="58960" customFormat="1" ht="17.25" customHeight="1"/>
    <row r="58961" customFormat="1" ht="17.25" customHeight="1"/>
    <row r="58962" customFormat="1" ht="17.25" customHeight="1"/>
    <row r="58963" customFormat="1" ht="17.25" customHeight="1"/>
    <row r="58964" customFormat="1" ht="17.25" customHeight="1"/>
    <row r="58965" customFormat="1" ht="17.25" customHeight="1"/>
    <row r="58966" customFormat="1" ht="17.25" customHeight="1"/>
    <row r="58967" customFormat="1" ht="17.25" customHeight="1"/>
    <row r="58968" customFormat="1" ht="17.25" customHeight="1"/>
    <row r="58969" customFormat="1" ht="17.25" customHeight="1"/>
    <row r="58970" customFormat="1" ht="17.25" customHeight="1"/>
    <row r="58971" customFormat="1" ht="17.25" customHeight="1"/>
    <row r="58972" customFormat="1" ht="17.25" customHeight="1"/>
    <row r="58973" customFormat="1" ht="17.25" customHeight="1"/>
    <row r="58974" customFormat="1" ht="17.25" customHeight="1"/>
    <row r="58975" customFormat="1" ht="17.25" customHeight="1"/>
    <row r="58976" customFormat="1" ht="17.25" customHeight="1"/>
    <row r="58977" customFormat="1" ht="17.25" customHeight="1"/>
    <row r="58978" customFormat="1" ht="17.25" customHeight="1"/>
    <row r="58979" customFormat="1" ht="17.25" customHeight="1"/>
    <row r="58980" customFormat="1" ht="17.25" customHeight="1"/>
    <row r="58981" customFormat="1" ht="17.25" customHeight="1"/>
    <row r="58982" customFormat="1" ht="17.25" customHeight="1"/>
    <row r="58983" customFormat="1" ht="17.25" customHeight="1"/>
    <row r="58984" customFormat="1" ht="17.25" customHeight="1"/>
    <row r="58985" customFormat="1" ht="17.25" customHeight="1"/>
    <row r="58986" customFormat="1" ht="17.25" customHeight="1"/>
    <row r="58987" customFormat="1" ht="17.25" customHeight="1"/>
    <row r="58988" customFormat="1" ht="17.25" customHeight="1"/>
    <row r="58989" customFormat="1" ht="17.25" customHeight="1"/>
    <row r="58990" customFormat="1" ht="17.25" customHeight="1"/>
    <row r="58991" customFormat="1" ht="17.25" customHeight="1"/>
    <row r="58992" customFormat="1" ht="17.25" customHeight="1"/>
    <row r="58993" customFormat="1" ht="17.25" customHeight="1"/>
    <row r="58994" customFormat="1" ht="17.25" customHeight="1"/>
    <row r="58995" customFormat="1" ht="17.25" customHeight="1"/>
    <row r="58996" customFormat="1" ht="17.25" customHeight="1"/>
    <row r="58997" customFormat="1" ht="17.25" customHeight="1"/>
    <row r="58998" customFormat="1" ht="17.25" customHeight="1"/>
    <row r="58999" customFormat="1" ht="17.25" customHeight="1"/>
    <row r="59000" customFormat="1" ht="17.25" customHeight="1"/>
    <row r="59001" customFormat="1" ht="17.25" customHeight="1"/>
    <row r="59002" customFormat="1" ht="17.25" customHeight="1"/>
    <row r="59003" customFormat="1" ht="17.25" customHeight="1"/>
    <row r="59004" customFormat="1" ht="17.25" customHeight="1"/>
    <row r="59005" customFormat="1" ht="17.25" customHeight="1"/>
    <row r="59006" customFormat="1" ht="17.25" customHeight="1"/>
    <row r="59007" customFormat="1" ht="17.25" customHeight="1"/>
    <row r="59008" customFormat="1" ht="17.25" customHeight="1"/>
    <row r="59009" customFormat="1" ht="17.25" customHeight="1"/>
    <row r="59010" customFormat="1" ht="17.25" customHeight="1"/>
    <row r="59011" customFormat="1" ht="17.25" customHeight="1"/>
    <row r="59012" customFormat="1" ht="17.25" customHeight="1"/>
    <row r="59013" customFormat="1" ht="17.25" customHeight="1"/>
    <row r="59014" customFormat="1" ht="17.25" customHeight="1"/>
    <row r="59015" customFormat="1" ht="17.25" customHeight="1"/>
    <row r="59016" customFormat="1" ht="17.25" customHeight="1"/>
    <row r="59017" customFormat="1" ht="17.25" customHeight="1"/>
    <row r="59018" customFormat="1" ht="17.25" customHeight="1"/>
    <row r="59019" customFormat="1" ht="17.25" customHeight="1"/>
    <row r="59020" customFormat="1" ht="17.25" customHeight="1"/>
    <row r="59021" customFormat="1" ht="17.25" customHeight="1"/>
    <row r="59022" customFormat="1" ht="17.25" customHeight="1"/>
    <row r="59023" customFormat="1" ht="17.25" customHeight="1"/>
    <row r="59024" customFormat="1" ht="17.25" customHeight="1"/>
    <row r="59025" customFormat="1" ht="17.25" customHeight="1"/>
    <row r="59026" customFormat="1" ht="17.25" customHeight="1"/>
    <row r="59027" customFormat="1" ht="17.25" customHeight="1"/>
    <row r="59028" customFormat="1" ht="17.25" customHeight="1"/>
    <row r="59029" customFormat="1" ht="17.25" customHeight="1"/>
    <row r="59030" customFormat="1" ht="17.25" customHeight="1"/>
    <row r="59031" customFormat="1" ht="17.25" customHeight="1"/>
    <row r="59032" customFormat="1" ht="17.25" customHeight="1"/>
    <row r="59033" customFormat="1" ht="17.25" customHeight="1"/>
    <row r="59034" customFormat="1" ht="17.25" customHeight="1"/>
    <row r="59035" customFormat="1" ht="17.25" customHeight="1"/>
    <row r="59036" customFormat="1" ht="17.25" customHeight="1"/>
    <row r="59037" customFormat="1" ht="17.25" customHeight="1"/>
    <row r="59038" customFormat="1" ht="17.25" customHeight="1"/>
    <row r="59039" customFormat="1" ht="17.25" customHeight="1"/>
    <row r="59040" customFormat="1" ht="17.25" customHeight="1"/>
    <row r="59041" customFormat="1" ht="17.25" customHeight="1"/>
    <row r="59042" customFormat="1" ht="17.25" customHeight="1"/>
    <row r="59043" customFormat="1" ht="17.25" customHeight="1"/>
    <row r="59044" customFormat="1" ht="17.25" customHeight="1"/>
    <row r="59045" customFormat="1" ht="17.25" customHeight="1"/>
    <row r="59046" customFormat="1" ht="17.25" customHeight="1"/>
    <row r="59047" customFormat="1" ht="17.25" customHeight="1"/>
    <row r="59048" customFormat="1" ht="17.25" customHeight="1"/>
    <row r="59049" customFormat="1" ht="17.25" customHeight="1"/>
    <row r="59050" customFormat="1" ht="17.25" customHeight="1"/>
    <row r="59051" customFormat="1" ht="17.25" customHeight="1"/>
    <row r="59052" customFormat="1" ht="17.25" customHeight="1"/>
    <row r="59053" customFormat="1" ht="17.25" customHeight="1"/>
    <row r="59054" customFormat="1" ht="17.25" customHeight="1"/>
    <row r="59055" customFormat="1" ht="17.25" customHeight="1"/>
    <row r="59056" customFormat="1" ht="17.25" customHeight="1"/>
    <row r="59057" customFormat="1" ht="17.25" customHeight="1"/>
    <row r="59058" customFormat="1" ht="17.25" customHeight="1"/>
    <row r="59059" customFormat="1" ht="17.25" customHeight="1"/>
    <row r="59060" customFormat="1" ht="17.25" customHeight="1"/>
    <row r="59061" customFormat="1" ht="17.25" customHeight="1"/>
    <row r="59062" customFormat="1" ht="17.25" customHeight="1"/>
    <row r="59063" customFormat="1" ht="17.25" customHeight="1"/>
    <row r="59064" customFormat="1" ht="17.25" customHeight="1"/>
    <row r="59065" customFormat="1" ht="17.25" customHeight="1"/>
    <row r="59066" customFormat="1" ht="17.25" customHeight="1"/>
    <row r="59067" customFormat="1" ht="17.25" customHeight="1"/>
    <row r="59068" customFormat="1" ht="17.25" customHeight="1"/>
    <row r="59069" customFormat="1" ht="17.25" customHeight="1"/>
    <row r="59070" customFormat="1" ht="17.25" customHeight="1"/>
    <row r="59071" customFormat="1" ht="17.25" customHeight="1"/>
    <row r="59072" customFormat="1" ht="17.25" customHeight="1"/>
    <row r="59073" customFormat="1" ht="17.25" customHeight="1"/>
    <row r="59074" customFormat="1" ht="17.25" customHeight="1"/>
    <row r="59075" customFormat="1" ht="17.25" customHeight="1"/>
    <row r="59076" customFormat="1" ht="17.25" customHeight="1"/>
    <row r="59077" customFormat="1" ht="17.25" customHeight="1"/>
    <row r="59078" customFormat="1" ht="17.25" customHeight="1"/>
    <row r="59079" customFormat="1" ht="17.25" customHeight="1"/>
    <row r="59080" customFormat="1" ht="17.25" customHeight="1"/>
    <row r="59081" customFormat="1" ht="17.25" customHeight="1"/>
    <row r="59082" customFormat="1" ht="17.25" customHeight="1"/>
    <row r="59083" customFormat="1" ht="17.25" customHeight="1"/>
    <row r="59084" customFormat="1" ht="17.25" customHeight="1"/>
    <row r="59085" customFormat="1" ht="17.25" customHeight="1"/>
    <row r="59086" customFormat="1" ht="17.25" customHeight="1"/>
    <row r="59087" customFormat="1" ht="17.25" customHeight="1"/>
    <row r="59088" customFormat="1" ht="17.25" customHeight="1"/>
    <row r="59089" customFormat="1" ht="17.25" customHeight="1"/>
    <row r="59090" customFormat="1" ht="17.25" customHeight="1"/>
    <row r="59091" customFormat="1" ht="17.25" customHeight="1"/>
    <row r="59092" customFormat="1" ht="17.25" customHeight="1"/>
    <row r="59093" customFormat="1" ht="17.25" customHeight="1"/>
    <row r="59094" customFormat="1" ht="17.25" customHeight="1"/>
    <row r="59095" customFormat="1" ht="17.25" customHeight="1"/>
    <row r="59096" customFormat="1" ht="17.25" customHeight="1"/>
    <row r="59097" customFormat="1" ht="17.25" customHeight="1"/>
    <row r="59098" customFormat="1" ht="17.25" customHeight="1"/>
    <row r="59099" customFormat="1" ht="17.25" customHeight="1"/>
    <row r="59100" customFormat="1" ht="17.25" customHeight="1"/>
    <row r="59101" customFormat="1" ht="17.25" customHeight="1"/>
    <row r="59102" customFormat="1" ht="17.25" customHeight="1"/>
    <row r="59103" customFormat="1" ht="17.25" customHeight="1"/>
    <row r="59104" customFormat="1" ht="17.25" customHeight="1"/>
    <row r="59105" customFormat="1" ht="17.25" customHeight="1"/>
    <row r="59106" customFormat="1" ht="17.25" customHeight="1"/>
    <row r="59107" customFormat="1" ht="17.25" customHeight="1"/>
    <row r="59108" customFormat="1" ht="17.25" customHeight="1"/>
    <row r="59109" customFormat="1" ht="17.25" customHeight="1"/>
    <row r="59110" customFormat="1" ht="17.25" customHeight="1"/>
    <row r="59111" customFormat="1" ht="17.25" customHeight="1"/>
    <row r="59112" customFormat="1" ht="17.25" customHeight="1"/>
    <row r="59113" customFormat="1" ht="17.25" customHeight="1"/>
    <row r="59114" customFormat="1" ht="17.25" customHeight="1"/>
    <row r="59115" customFormat="1" ht="17.25" customHeight="1"/>
    <row r="59116" customFormat="1" ht="17.25" customHeight="1"/>
    <row r="59117" customFormat="1" ht="17.25" customHeight="1"/>
    <row r="59118" customFormat="1" ht="17.25" customHeight="1"/>
    <row r="59119" customFormat="1" ht="17.25" customHeight="1"/>
    <row r="59120" customFormat="1" ht="17.25" customHeight="1"/>
    <row r="59121" customFormat="1" ht="17.25" customHeight="1"/>
    <row r="59122" customFormat="1" ht="17.25" customHeight="1"/>
    <row r="59123" customFormat="1" ht="17.25" customHeight="1"/>
    <row r="59124" customFormat="1" ht="17.25" customHeight="1"/>
    <row r="59125" customFormat="1" ht="17.25" customHeight="1"/>
    <row r="59126" customFormat="1" ht="17.25" customHeight="1"/>
    <row r="59127" customFormat="1" ht="17.25" customHeight="1"/>
    <row r="59128" customFormat="1" ht="17.25" customHeight="1"/>
    <row r="59129" customFormat="1" ht="17.25" customHeight="1"/>
    <row r="59130" customFormat="1" ht="17.25" customHeight="1"/>
    <row r="59131" customFormat="1" ht="17.25" customHeight="1"/>
    <row r="59132" customFormat="1" ht="17.25" customHeight="1"/>
    <row r="59133" customFormat="1" ht="17.25" customHeight="1"/>
    <row r="59134" customFormat="1" ht="17.25" customHeight="1"/>
    <row r="59135" customFormat="1" ht="17.25" customHeight="1"/>
    <row r="59136" customFormat="1" ht="17.25" customHeight="1"/>
    <row r="59137" customFormat="1" ht="17.25" customHeight="1"/>
    <row r="59138" customFormat="1" ht="17.25" customHeight="1"/>
    <row r="59139" customFormat="1" ht="17.25" customHeight="1"/>
    <row r="59140" customFormat="1" ht="17.25" customHeight="1"/>
    <row r="59141" customFormat="1" ht="17.25" customHeight="1"/>
    <row r="59142" customFormat="1" ht="17.25" customHeight="1"/>
    <row r="59143" customFormat="1" ht="17.25" customHeight="1"/>
    <row r="59144" customFormat="1" ht="17.25" customHeight="1"/>
    <row r="59145" customFormat="1" ht="17.25" customHeight="1"/>
    <row r="59146" customFormat="1" ht="17.25" customHeight="1"/>
    <row r="59147" customFormat="1" ht="17.25" customHeight="1"/>
    <row r="59148" customFormat="1" ht="17.25" customHeight="1"/>
    <row r="59149" customFormat="1" ht="17.25" customHeight="1"/>
    <row r="59150" customFormat="1" ht="17.25" customHeight="1"/>
    <row r="59151" customFormat="1" ht="17.25" customHeight="1"/>
    <row r="59152" customFormat="1" ht="17.25" customHeight="1"/>
    <row r="59153" customFormat="1" ht="17.25" customHeight="1"/>
    <row r="59154" customFormat="1" ht="17.25" customHeight="1"/>
    <row r="59155" customFormat="1" ht="17.25" customHeight="1"/>
    <row r="59156" customFormat="1" ht="17.25" customHeight="1"/>
    <row r="59157" customFormat="1" ht="17.25" customHeight="1"/>
    <row r="59158" customFormat="1" ht="17.25" customHeight="1"/>
    <row r="59159" customFormat="1" ht="17.25" customHeight="1"/>
    <row r="59160" customFormat="1" ht="17.25" customHeight="1"/>
    <row r="59161" customFormat="1" ht="17.25" customHeight="1"/>
    <row r="59162" customFormat="1" ht="17.25" customHeight="1"/>
    <row r="59163" customFormat="1" ht="17.25" customHeight="1"/>
    <row r="59164" customFormat="1" ht="17.25" customHeight="1"/>
    <row r="59165" customFormat="1" ht="17.25" customHeight="1"/>
    <row r="59166" customFormat="1" ht="17.25" customHeight="1"/>
    <row r="59167" customFormat="1" ht="17.25" customHeight="1"/>
    <row r="59168" customFormat="1" ht="17.25" customHeight="1"/>
    <row r="59169" customFormat="1" ht="17.25" customHeight="1"/>
    <row r="59170" customFormat="1" ht="17.25" customHeight="1"/>
    <row r="59171" customFormat="1" ht="17.25" customHeight="1"/>
    <row r="59172" customFormat="1" ht="17.25" customHeight="1"/>
    <row r="59173" customFormat="1" ht="17.25" customHeight="1"/>
    <row r="59174" customFormat="1" ht="17.25" customHeight="1"/>
    <row r="59175" customFormat="1" ht="17.25" customHeight="1"/>
    <row r="59176" customFormat="1" ht="17.25" customHeight="1"/>
    <row r="59177" customFormat="1" ht="17.25" customHeight="1"/>
    <row r="59178" customFormat="1" ht="17.25" customHeight="1"/>
    <row r="59179" customFormat="1" ht="17.25" customHeight="1"/>
    <row r="59180" customFormat="1" ht="17.25" customHeight="1"/>
    <row r="59181" customFormat="1" ht="17.25" customHeight="1"/>
    <row r="59182" customFormat="1" ht="17.25" customHeight="1"/>
    <row r="59183" customFormat="1" ht="17.25" customHeight="1"/>
    <row r="59184" customFormat="1" ht="17.25" customHeight="1"/>
    <row r="59185" customFormat="1" ht="17.25" customHeight="1"/>
    <row r="59186" customFormat="1" ht="17.25" customHeight="1"/>
    <row r="59187" customFormat="1" ht="17.25" customHeight="1"/>
    <row r="59188" customFormat="1" ht="17.25" customHeight="1"/>
    <row r="59189" customFormat="1" ht="17.25" customHeight="1"/>
    <row r="59190" customFormat="1" ht="17.25" customHeight="1"/>
    <row r="59191" customFormat="1" ht="17.25" customHeight="1"/>
    <row r="59192" customFormat="1" ht="17.25" customHeight="1"/>
    <row r="59193" customFormat="1" ht="17.25" customHeight="1"/>
    <row r="59194" customFormat="1" ht="17.25" customHeight="1"/>
    <row r="59195" customFormat="1" ht="17.25" customHeight="1"/>
    <row r="59196" customFormat="1" ht="17.25" customHeight="1"/>
    <row r="59197" customFormat="1" ht="17.25" customHeight="1"/>
    <row r="59198" customFormat="1" ht="17.25" customHeight="1"/>
    <row r="59199" customFormat="1" ht="17.25" customHeight="1"/>
    <row r="59200" customFormat="1" ht="17.25" customHeight="1"/>
    <row r="59201" customFormat="1" ht="17.25" customHeight="1"/>
    <row r="59202" customFormat="1" ht="17.25" customHeight="1"/>
    <row r="59203" customFormat="1" ht="17.25" customHeight="1"/>
    <row r="59204" customFormat="1" ht="17.25" customHeight="1"/>
    <row r="59205" customFormat="1" ht="17.25" customHeight="1"/>
    <row r="59206" customFormat="1" ht="17.25" customHeight="1"/>
    <row r="59207" customFormat="1" ht="17.25" customHeight="1"/>
    <row r="59208" customFormat="1" ht="17.25" customHeight="1"/>
    <row r="59209" customFormat="1" ht="17.25" customHeight="1"/>
    <row r="59210" customFormat="1" ht="17.25" customHeight="1"/>
    <row r="59211" customFormat="1" ht="17.25" customHeight="1"/>
    <row r="59212" customFormat="1" ht="17.25" customHeight="1"/>
    <row r="59213" customFormat="1" ht="17.25" customHeight="1"/>
    <row r="59214" customFormat="1" ht="17.25" customHeight="1"/>
    <row r="59215" customFormat="1" ht="17.25" customHeight="1"/>
    <row r="59216" customFormat="1" ht="17.25" customHeight="1"/>
    <row r="59217" customFormat="1" ht="17.25" customHeight="1"/>
    <row r="59218" customFormat="1" ht="17.25" customHeight="1"/>
    <row r="59219" customFormat="1" ht="17.25" customHeight="1"/>
    <row r="59220" customFormat="1" ht="17.25" customHeight="1"/>
    <row r="59221" customFormat="1" ht="17.25" customHeight="1"/>
    <row r="59222" customFormat="1" ht="17.25" customHeight="1"/>
    <row r="59223" customFormat="1" ht="17.25" customHeight="1"/>
    <row r="59224" customFormat="1" ht="17.25" customHeight="1"/>
    <row r="59225" customFormat="1" ht="17.25" customHeight="1"/>
    <row r="59226" customFormat="1" ht="17.25" customHeight="1"/>
    <row r="59227" customFormat="1" ht="17.25" customHeight="1"/>
    <row r="59228" customFormat="1" ht="17.25" customHeight="1"/>
    <row r="59229" customFormat="1" ht="17.25" customHeight="1"/>
    <row r="59230" customFormat="1" ht="17.25" customHeight="1"/>
    <row r="59231" customFormat="1" ht="17.25" customHeight="1"/>
    <row r="59232" customFormat="1" ht="17.25" customHeight="1"/>
    <row r="59233" customFormat="1" ht="17.25" customHeight="1"/>
    <row r="59234" customFormat="1" ht="17.25" customHeight="1"/>
    <row r="59235" customFormat="1" ht="17.25" customHeight="1"/>
    <row r="59236" customFormat="1" ht="17.25" customHeight="1"/>
    <row r="59237" customFormat="1" ht="17.25" customHeight="1"/>
    <row r="59238" customFormat="1" ht="17.25" customHeight="1"/>
    <row r="59239" customFormat="1" ht="17.25" customHeight="1"/>
    <row r="59240" customFormat="1" ht="17.25" customHeight="1"/>
    <row r="59241" customFormat="1" ht="17.25" customHeight="1"/>
    <row r="59242" customFormat="1" ht="17.25" customHeight="1"/>
    <row r="59243" customFormat="1" ht="17.25" customHeight="1"/>
    <row r="59244" customFormat="1" ht="17.25" customHeight="1"/>
    <row r="59245" customFormat="1" ht="17.25" customHeight="1"/>
    <row r="59246" customFormat="1" ht="17.25" customHeight="1"/>
    <row r="59247" customFormat="1" ht="17.25" customHeight="1"/>
    <row r="59248" customFormat="1" ht="17.25" customHeight="1"/>
    <row r="59249" customFormat="1" ht="17.25" customHeight="1"/>
    <row r="59250" customFormat="1" ht="17.25" customHeight="1"/>
    <row r="59251" customFormat="1" ht="17.25" customHeight="1"/>
    <row r="59252" customFormat="1" ht="17.25" customHeight="1"/>
    <row r="59253" customFormat="1" ht="17.25" customHeight="1"/>
    <row r="59254" customFormat="1" ht="17.25" customHeight="1"/>
    <row r="59255" customFormat="1" ht="17.25" customHeight="1"/>
    <row r="59256" customFormat="1" ht="17.25" customHeight="1"/>
    <row r="59257" customFormat="1" ht="17.25" customHeight="1"/>
    <row r="59258" customFormat="1" ht="17.25" customHeight="1"/>
    <row r="59259" customFormat="1" ht="17.25" customHeight="1"/>
    <row r="59260" customFormat="1" ht="17.25" customHeight="1"/>
    <row r="59261" customFormat="1" ht="17.25" customHeight="1"/>
    <row r="59262" customFormat="1" ht="17.25" customHeight="1"/>
    <row r="59263" customFormat="1" ht="17.25" customHeight="1"/>
    <row r="59264" customFormat="1" ht="17.25" customHeight="1"/>
    <row r="59265" customFormat="1" ht="17.25" customHeight="1"/>
    <row r="59266" customFormat="1" ht="17.25" customHeight="1"/>
    <row r="59267" customFormat="1" ht="17.25" customHeight="1"/>
    <row r="59268" customFormat="1" ht="17.25" customHeight="1"/>
    <row r="59269" customFormat="1" ht="17.25" customHeight="1"/>
    <row r="59270" customFormat="1" ht="17.25" customHeight="1"/>
    <row r="59271" customFormat="1" ht="17.25" customHeight="1"/>
    <row r="59272" customFormat="1" ht="17.25" customHeight="1"/>
    <row r="59273" customFormat="1" ht="17.25" customHeight="1"/>
    <row r="59274" customFormat="1" ht="17.25" customHeight="1"/>
    <row r="59275" customFormat="1" ht="17.25" customHeight="1"/>
    <row r="59276" customFormat="1" ht="17.25" customHeight="1"/>
    <row r="59277" customFormat="1" ht="17.25" customHeight="1"/>
    <row r="59278" customFormat="1" ht="17.25" customHeight="1"/>
    <row r="59279" customFormat="1" ht="17.25" customHeight="1"/>
    <row r="59280" customFormat="1" ht="17.25" customHeight="1"/>
    <row r="59281" customFormat="1" ht="17.25" customHeight="1"/>
    <row r="59282" customFormat="1" ht="17.25" customHeight="1"/>
    <row r="59283" customFormat="1" ht="17.25" customHeight="1"/>
    <row r="59284" customFormat="1" ht="17.25" customHeight="1"/>
    <row r="59285" customFormat="1" ht="17.25" customHeight="1"/>
    <row r="59286" customFormat="1" ht="17.25" customHeight="1"/>
    <row r="59287" customFormat="1" ht="17.25" customHeight="1"/>
    <row r="59288" customFormat="1" ht="17.25" customHeight="1"/>
    <row r="59289" customFormat="1" ht="17.25" customHeight="1"/>
    <row r="59290" customFormat="1" ht="17.25" customHeight="1"/>
    <row r="59291" customFormat="1" ht="17.25" customHeight="1"/>
    <row r="59292" customFormat="1" ht="17.25" customHeight="1"/>
    <row r="59293" customFormat="1" ht="17.25" customHeight="1"/>
    <row r="59294" customFormat="1" ht="17.25" customHeight="1"/>
    <row r="59295" customFormat="1" ht="17.25" customHeight="1"/>
    <row r="59296" customFormat="1" ht="17.25" customHeight="1"/>
    <row r="59297" customFormat="1" ht="17.25" customHeight="1"/>
    <row r="59298" customFormat="1" ht="17.25" customHeight="1"/>
    <row r="59299" customFormat="1" ht="17.25" customHeight="1"/>
    <row r="59300" customFormat="1" ht="17.25" customHeight="1"/>
    <row r="59301" customFormat="1" ht="17.25" customHeight="1"/>
    <row r="59302" customFormat="1" ht="17.25" customHeight="1"/>
    <row r="59303" customFormat="1" ht="17.25" customHeight="1"/>
    <row r="59304" customFormat="1" ht="17.25" customHeight="1"/>
    <row r="59305" customFormat="1" ht="17.25" customHeight="1"/>
    <row r="59306" customFormat="1" ht="17.25" customHeight="1"/>
    <row r="59307" customFormat="1" ht="17.25" customHeight="1"/>
    <row r="59308" customFormat="1" ht="17.25" customHeight="1"/>
    <row r="59309" customFormat="1" ht="17.25" customHeight="1"/>
    <row r="59310" customFormat="1" ht="17.25" customHeight="1"/>
    <row r="59311" customFormat="1" ht="17.25" customHeight="1"/>
    <row r="59312" customFormat="1" ht="17.25" customHeight="1"/>
    <row r="59313" customFormat="1" ht="17.25" customHeight="1"/>
    <row r="59314" customFormat="1" ht="17.25" customHeight="1"/>
    <row r="59315" customFormat="1" ht="17.25" customHeight="1"/>
    <row r="59316" customFormat="1" ht="17.25" customHeight="1"/>
    <row r="59317" customFormat="1" ht="17.25" customHeight="1"/>
    <row r="59318" customFormat="1" ht="17.25" customHeight="1"/>
    <row r="59319" customFormat="1" ht="17.25" customHeight="1"/>
    <row r="59320" customFormat="1" ht="17.25" customHeight="1"/>
    <row r="59321" customFormat="1" ht="17.25" customHeight="1"/>
    <row r="59322" customFormat="1" ht="17.25" customHeight="1"/>
    <row r="59323" customFormat="1" ht="17.25" customHeight="1"/>
    <row r="59324" customFormat="1" ht="17.25" customHeight="1"/>
    <row r="59325" customFormat="1" ht="17.25" customHeight="1"/>
    <row r="59326" customFormat="1" ht="17.25" customHeight="1"/>
    <row r="59327" customFormat="1" ht="17.25" customHeight="1"/>
    <row r="59328" customFormat="1" ht="17.25" customHeight="1"/>
    <row r="59329" customFormat="1" ht="17.25" customHeight="1"/>
    <row r="59330" customFormat="1" ht="17.25" customHeight="1"/>
    <row r="59331" customFormat="1" ht="17.25" customHeight="1"/>
    <row r="59332" customFormat="1" ht="17.25" customHeight="1"/>
    <row r="59333" customFormat="1" ht="17.25" customHeight="1"/>
    <row r="59334" customFormat="1" ht="17.25" customHeight="1"/>
    <row r="59335" customFormat="1" ht="17.25" customHeight="1"/>
    <row r="59336" customFormat="1" ht="17.25" customHeight="1"/>
    <row r="59337" customFormat="1" ht="17.25" customHeight="1"/>
    <row r="59338" customFormat="1" ht="17.25" customHeight="1"/>
    <row r="59339" customFormat="1" ht="17.25" customHeight="1"/>
    <row r="59340" customFormat="1" ht="17.25" customHeight="1"/>
    <row r="59341" customFormat="1" ht="17.25" customHeight="1"/>
    <row r="59342" customFormat="1" ht="17.25" customHeight="1"/>
    <row r="59343" customFormat="1" ht="17.25" customHeight="1"/>
    <row r="59344" customFormat="1" ht="17.25" customHeight="1"/>
    <row r="59345" customFormat="1" ht="17.25" customHeight="1"/>
    <row r="59346" customFormat="1" ht="17.25" customHeight="1"/>
    <row r="59347" customFormat="1" ht="17.25" customHeight="1"/>
    <row r="59348" customFormat="1" ht="17.25" customHeight="1"/>
    <row r="59349" customFormat="1" ht="17.25" customHeight="1"/>
    <row r="59350" customFormat="1" ht="17.25" customHeight="1"/>
    <row r="59351" customFormat="1" ht="17.25" customHeight="1"/>
    <row r="59352" customFormat="1" ht="17.25" customHeight="1"/>
    <row r="59353" customFormat="1" ht="17.25" customHeight="1"/>
    <row r="59354" customFormat="1" ht="17.25" customHeight="1"/>
    <row r="59355" customFormat="1" ht="17.25" customHeight="1"/>
    <row r="59356" customFormat="1" ht="17.25" customHeight="1"/>
    <row r="59357" customFormat="1" ht="17.25" customHeight="1"/>
    <row r="59358" customFormat="1" ht="17.25" customHeight="1"/>
    <row r="59359" customFormat="1" ht="17.25" customHeight="1"/>
    <row r="59360" customFormat="1" ht="17.25" customHeight="1"/>
    <row r="59361" customFormat="1" ht="17.25" customHeight="1"/>
    <row r="59362" customFormat="1" ht="17.25" customHeight="1"/>
    <row r="59363" customFormat="1" ht="17.25" customHeight="1"/>
    <row r="59364" customFormat="1" ht="17.25" customHeight="1"/>
    <row r="59365" customFormat="1" ht="17.25" customHeight="1"/>
    <row r="59366" customFormat="1" ht="17.25" customHeight="1"/>
    <row r="59367" customFormat="1" ht="17.25" customHeight="1"/>
    <row r="59368" customFormat="1" ht="17.25" customHeight="1"/>
    <row r="59369" customFormat="1" ht="17.25" customHeight="1"/>
    <row r="59370" customFormat="1" ht="17.25" customHeight="1"/>
    <row r="59371" customFormat="1" ht="17.25" customHeight="1"/>
    <row r="59372" customFormat="1" ht="17.25" customHeight="1"/>
    <row r="59373" customFormat="1" ht="17.25" customHeight="1"/>
    <row r="59374" customFormat="1" ht="17.25" customHeight="1"/>
    <row r="59375" customFormat="1" ht="17.25" customHeight="1"/>
    <row r="59376" customFormat="1" ht="17.25" customHeight="1"/>
    <row r="59377" customFormat="1" ht="17.25" customHeight="1"/>
    <row r="59378" customFormat="1" ht="17.25" customHeight="1"/>
    <row r="59379" customFormat="1" ht="17.25" customHeight="1"/>
    <row r="59380" customFormat="1" ht="17.25" customHeight="1"/>
    <row r="59381" customFormat="1" ht="17.25" customHeight="1"/>
    <row r="59382" customFormat="1" ht="17.25" customHeight="1"/>
    <row r="59383" customFormat="1" ht="17.25" customHeight="1"/>
    <row r="59384" customFormat="1" ht="17.25" customHeight="1"/>
    <row r="59385" customFormat="1" ht="17.25" customHeight="1"/>
    <row r="59386" customFormat="1" ht="17.25" customHeight="1"/>
    <row r="59387" customFormat="1" ht="17.25" customHeight="1"/>
    <row r="59388" customFormat="1" ht="17.25" customHeight="1"/>
    <row r="59389" customFormat="1" ht="17.25" customHeight="1"/>
    <row r="59390" customFormat="1" ht="17.25" customHeight="1"/>
    <row r="59391" customFormat="1" ht="17.25" customHeight="1"/>
    <row r="59392" customFormat="1" ht="17.25" customHeight="1"/>
    <row r="59393" customFormat="1" ht="17.25" customHeight="1"/>
    <row r="59394" customFormat="1" ht="17.25" customHeight="1"/>
    <row r="59395" customFormat="1" ht="17.25" customHeight="1"/>
    <row r="59396" customFormat="1" ht="17.25" customHeight="1"/>
    <row r="59397" customFormat="1" ht="17.25" customHeight="1"/>
    <row r="59398" customFormat="1" ht="17.25" customHeight="1"/>
    <row r="59399" customFormat="1" ht="17.25" customHeight="1"/>
    <row r="59400" customFormat="1" ht="17.25" customHeight="1"/>
    <row r="59401" customFormat="1" ht="17.25" customHeight="1"/>
    <row r="59402" customFormat="1" ht="17.25" customHeight="1"/>
    <row r="59403" customFormat="1" ht="17.25" customHeight="1"/>
    <row r="59404" customFormat="1" ht="17.25" customHeight="1"/>
    <row r="59405" customFormat="1" ht="17.25" customHeight="1"/>
    <row r="59406" customFormat="1" ht="17.25" customHeight="1"/>
    <row r="59407" customFormat="1" ht="17.25" customHeight="1"/>
    <row r="59408" customFormat="1" ht="17.25" customHeight="1"/>
    <row r="59409" customFormat="1" ht="17.25" customHeight="1"/>
    <row r="59410" customFormat="1" ht="17.25" customHeight="1"/>
    <row r="59411" customFormat="1" ht="17.25" customHeight="1"/>
    <row r="59412" customFormat="1" ht="17.25" customHeight="1"/>
    <row r="59413" customFormat="1" ht="17.25" customHeight="1"/>
    <row r="59414" customFormat="1" ht="17.25" customHeight="1"/>
    <row r="59415" customFormat="1" ht="17.25" customHeight="1"/>
    <row r="59416" customFormat="1" ht="17.25" customHeight="1"/>
    <row r="59417" customFormat="1" ht="17.25" customHeight="1"/>
    <row r="59418" customFormat="1" ht="17.25" customHeight="1"/>
    <row r="59419" customFormat="1" ht="17.25" customHeight="1"/>
    <row r="59420" customFormat="1" ht="17.25" customHeight="1"/>
    <row r="59421" customFormat="1" ht="17.25" customHeight="1"/>
    <row r="59422" customFormat="1" ht="17.25" customHeight="1"/>
    <row r="59423" customFormat="1" ht="17.25" customHeight="1"/>
    <row r="59424" customFormat="1" ht="17.25" customHeight="1"/>
    <row r="59425" customFormat="1" ht="17.25" customHeight="1"/>
    <row r="59426" customFormat="1" ht="17.25" customHeight="1"/>
    <row r="59427" customFormat="1" ht="17.25" customHeight="1"/>
    <row r="59428" customFormat="1" ht="17.25" customHeight="1"/>
    <row r="59429" customFormat="1" ht="17.25" customHeight="1"/>
    <row r="59430" customFormat="1" ht="17.25" customHeight="1"/>
    <row r="59431" customFormat="1" ht="17.25" customHeight="1"/>
    <row r="59432" customFormat="1" ht="17.25" customHeight="1"/>
    <row r="59433" customFormat="1" ht="17.25" customHeight="1"/>
    <row r="59434" customFormat="1" ht="17.25" customHeight="1"/>
    <row r="59435" customFormat="1" ht="17.25" customHeight="1"/>
    <row r="59436" customFormat="1" ht="17.25" customHeight="1"/>
    <row r="59437" customFormat="1" ht="17.25" customHeight="1"/>
    <row r="59438" customFormat="1" ht="17.25" customHeight="1"/>
    <row r="59439" customFormat="1" ht="17.25" customHeight="1"/>
    <row r="59440" customFormat="1" ht="17.25" customHeight="1"/>
    <row r="59441" customFormat="1" ht="17.25" customHeight="1"/>
    <row r="59442" customFormat="1" ht="17.25" customHeight="1"/>
    <row r="59443" customFormat="1" ht="17.25" customHeight="1"/>
    <row r="59444" customFormat="1" ht="17.25" customHeight="1"/>
    <row r="59445" customFormat="1" ht="17.25" customHeight="1"/>
    <row r="59446" customFormat="1" ht="17.25" customHeight="1"/>
    <row r="59447" customFormat="1" ht="17.25" customHeight="1"/>
    <row r="59448" customFormat="1" ht="17.25" customHeight="1"/>
    <row r="59449" customFormat="1" ht="17.25" customHeight="1"/>
    <row r="59450" customFormat="1" ht="17.25" customHeight="1"/>
    <row r="59451" customFormat="1" ht="17.25" customHeight="1"/>
    <row r="59452" customFormat="1" ht="17.25" customHeight="1"/>
    <row r="59453" customFormat="1" ht="17.25" customHeight="1"/>
    <row r="59454" customFormat="1" ht="17.25" customHeight="1"/>
    <row r="59455" customFormat="1" ht="17.25" customHeight="1"/>
    <row r="59456" customFormat="1" ht="17.25" customHeight="1"/>
    <row r="59457" customFormat="1" ht="17.25" customHeight="1"/>
    <row r="59458" customFormat="1" ht="17.25" customHeight="1"/>
    <row r="59459" customFormat="1" ht="17.25" customHeight="1"/>
    <row r="59460" customFormat="1" ht="17.25" customHeight="1"/>
    <row r="59461" customFormat="1" ht="17.25" customHeight="1"/>
    <row r="59462" customFormat="1" ht="17.25" customHeight="1"/>
    <row r="59463" customFormat="1" ht="17.25" customHeight="1"/>
    <row r="59464" customFormat="1" ht="17.25" customHeight="1"/>
    <row r="59465" customFormat="1" ht="17.25" customHeight="1"/>
    <row r="59466" customFormat="1" ht="17.25" customHeight="1"/>
    <row r="59467" customFormat="1" ht="17.25" customHeight="1"/>
    <row r="59468" customFormat="1" ht="17.25" customHeight="1"/>
    <row r="59469" customFormat="1" ht="17.25" customHeight="1"/>
    <row r="59470" customFormat="1" ht="17.25" customHeight="1"/>
    <row r="59471" customFormat="1" ht="17.25" customHeight="1"/>
    <row r="59472" customFormat="1" ht="17.25" customHeight="1"/>
    <row r="59473" customFormat="1" ht="17.25" customHeight="1"/>
    <row r="59474" customFormat="1" ht="17.25" customHeight="1"/>
    <row r="59475" customFormat="1" ht="17.25" customHeight="1"/>
    <row r="59476" customFormat="1" ht="17.25" customHeight="1"/>
    <row r="59477" customFormat="1" ht="17.25" customHeight="1"/>
    <row r="59478" customFormat="1" ht="17.25" customHeight="1"/>
    <row r="59479" customFormat="1" ht="17.25" customHeight="1"/>
    <row r="59480" customFormat="1" ht="17.25" customHeight="1"/>
    <row r="59481" customFormat="1" ht="17.25" customHeight="1"/>
    <row r="59482" customFormat="1" ht="17.25" customHeight="1"/>
    <row r="59483" customFormat="1" ht="17.25" customHeight="1"/>
    <row r="59484" customFormat="1" ht="17.25" customHeight="1"/>
    <row r="59485" customFormat="1" ht="17.25" customHeight="1"/>
    <row r="59486" customFormat="1" ht="17.25" customHeight="1"/>
    <row r="59487" customFormat="1" ht="17.25" customHeight="1"/>
    <row r="59488" customFormat="1" ht="17.25" customHeight="1"/>
    <row r="59489" customFormat="1" ht="17.25" customHeight="1"/>
    <row r="59490" customFormat="1" ht="17.25" customHeight="1"/>
    <row r="59491" customFormat="1" ht="17.25" customHeight="1"/>
    <row r="59492" customFormat="1" ht="17.25" customHeight="1"/>
    <row r="59493" customFormat="1" ht="17.25" customHeight="1"/>
    <row r="59494" customFormat="1" ht="17.25" customHeight="1"/>
    <row r="59495" customFormat="1" ht="17.25" customHeight="1"/>
    <row r="59496" customFormat="1" ht="17.25" customHeight="1"/>
    <row r="59497" customFormat="1" ht="17.25" customHeight="1"/>
    <row r="59498" customFormat="1" ht="17.25" customHeight="1"/>
    <row r="59499" customFormat="1" ht="17.25" customHeight="1"/>
    <row r="59500" customFormat="1" ht="17.25" customHeight="1"/>
    <row r="59501" customFormat="1" ht="17.25" customHeight="1"/>
    <row r="59502" customFormat="1" ht="17.25" customHeight="1"/>
    <row r="59503" customFormat="1" ht="17.25" customHeight="1"/>
    <row r="59504" customFormat="1" ht="17.25" customHeight="1"/>
    <row r="59505" customFormat="1" ht="17.25" customHeight="1"/>
    <row r="59506" customFormat="1" ht="17.25" customHeight="1"/>
    <row r="59507" customFormat="1" ht="17.25" customHeight="1"/>
    <row r="59508" customFormat="1" ht="17.25" customHeight="1"/>
    <row r="59509" customFormat="1" ht="17.25" customHeight="1"/>
    <row r="59510" customFormat="1" ht="17.25" customHeight="1"/>
    <row r="59511" customFormat="1" ht="17.25" customHeight="1"/>
    <row r="59512" customFormat="1" ht="17.25" customHeight="1"/>
    <row r="59513" customFormat="1" ht="17.25" customHeight="1"/>
    <row r="59514" customFormat="1" ht="17.25" customHeight="1"/>
    <row r="59515" customFormat="1" ht="17.25" customHeight="1"/>
    <row r="59516" customFormat="1" ht="17.25" customHeight="1"/>
    <row r="59517" customFormat="1" ht="17.25" customHeight="1"/>
    <row r="59518" customFormat="1" ht="17.25" customHeight="1"/>
    <row r="59519" customFormat="1" ht="17.25" customHeight="1"/>
    <row r="59520" customFormat="1" ht="17.25" customHeight="1"/>
    <row r="59521" customFormat="1" ht="17.25" customHeight="1"/>
    <row r="59522" customFormat="1" ht="17.25" customHeight="1"/>
    <row r="59523" customFormat="1" ht="17.25" customHeight="1"/>
    <row r="59524" customFormat="1" ht="17.25" customHeight="1"/>
    <row r="59525" customFormat="1" ht="17.25" customHeight="1"/>
    <row r="59526" customFormat="1" ht="17.25" customHeight="1"/>
    <row r="59527" customFormat="1" ht="17.25" customHeight="1"/>
    <row r="59528" customFormat="1" ht="17.25" customHeight="1"/>
    <row r="59529" customFormat="1" ht="17.25" customHeight="1"/>
    <row r="59530" customFormat="1" ht="17.25" customHeight="1"/>
    <row r="59531" customFormat="1" ht="17.25" customHeight="1"/>
    <row r="59532" customFormat="1" ht="17.25" customHeight="1"/>
    <row r="59533" customFormat="1" ht="17.25" customHeight="1"/>
    <row r="59534" customFormat="1" ht="17.25" customHeight="1"/>
    <row r="59535" customFormat="1" ht="17.25" customHeight="1"/>
    <row r="59536" customFormat="1" ht="17.25" customHeight="1"/>
    <row r="59537" customFormat="1" ht="17.25" customHeight="1"/>
    <row r="59538" customFormat="1" ht="17.25" customHeight="1"/>
    <row r="59539" customFormat="1" ht="17.25" customHeight="1"/>
    <row r="59540" customFormat="1" ht="17.25" customHeight="1"/>
    <row r="59541" customFormat="1" ht="17.25" customHeight="1"/>
    <row r="59542" customFormat="1" ht="17.25" customHeight="1"/>
    <row r="59543" customFormat="1" ht="17.25" customHeight="1"/>
    <row r="59544" customFormat="1" ht="17.25" customHeight="1"/>
    <row r="59545" customFormat="1" ht="17.25" customHeight="1"/>
    <row r="59546" customFormat="1" ht="17.25" customHeight="1"/>
    <row r="59547" customFormat="1" ht="17.25" customHeight="1"/>
    <row r="59548" customFormat="1" ht="17.25" customHeight="1"/>
    <row r="59549" customFormat="1" ht="17.25" customHeight="1"/>
    <row r="59550" customFormat="1" ht="17.25" customHeight="1"/>
    <row r="59551" customFormat="1" ht="17.25" customHeight="1"/>
    <row r="59552" customFormat="1" ht="17.25" customHeight="1"/>
    <row r="59553" customFormat="1" ht="17.25" customHeight="1"/>
    <row r="59554" customFormat="1" ht="17.25" customHeight="1"/>
    <row r="59555" customFormat="1" ht="17.25" customHeight="1"/>
    <row r="59556" customFormat="1" ht="17.25" customHeight="1"/>
    <row r="59557" customFormat="1" ht="17.25" customHeight="1"/>
    <row r="59558" customFormat="1" ht="17.25" customHeight="1"/>
    <row r="59559" customFormat="1" ht="17.25" customHeight="1"/>
    <row r="59560" customFormat="1" ht="17.25" customHeight="1"/>
    <row r="59561" customFormat="1" ht="17.25" customHeight="1"/>
    <row r="59562" customFormat="1" ht="17.25" customHeight="1"/>
    <row r="59563" customFormat="1" ht="17.25" customHeight="1"/>
    <row r="59564" customFormat="1" ht="17.25" customHeight="1"/>
    <row r="59565" customFormat="1" ht="17.25" customHeight="1"/>
    <row r="59566" customFormat="1" ht="17.25" customHeight="1"/>
    <row r="59567" customFormat="1" ht="17.25" customHeight="1"/>
    <row r="59568" customFormat="1" ht="17.25" customHeight="1"/>
    <row r="59569" customFormat="1" ht="17.25" customHeight="1"/>
    <row r="59570" customFormat="1" ht="17.25" customHeight="1"/>
    <row r="59571" customFormat="1" ht="17.25" customHeight="1"/>
    <row r="59572" customFormat="1" ht="17.25" customHeight="1"/>
    <row r="59573" customFormat="1" ht="17.25" customHeight="1"/>
    <row r="59574" customFormat="1" ht="17.25" customHeight="1"/>
    <row r="59575" customFormat="1" ht="17.25" customHeight="1"/>
    <row r="59576" customFormat="1" ht="17.25" customHeight="1"/>
    <row r="59577" customFormat="1" ht="17.25" customHeight="1"/>
    <row r="59578" customFormat="1" ht="17.25" customHeight="1"/>
    <row r="59579" customFormat="1" ht="17.25" customHeight="1"/>
    <row r="59580" customFormat="1" ht="17.25" customHeight="1"/>
    <row r="59581" customFormat="1" ht="17.25" customHeight="1"/>
    <row r="59582" customFormat="1" ht="17.25" customHeight="1"/>
    <row r="59583" customFormat="1" ht="17.25" customHeight="1"/>
    <row r="59584" customFormat="1" ht="17.25" customHeight="1"/>
    <row r="59585" customFormat="1" ht="17.25" customHeight="1"/>
    <row r="59586" customFormat="1" ht="17.25" customHeight="1"/>
    <row r="59587" customFormat="1" ht="17.25" customHeight="1"/>
    <row r="59588" customFormat="1" ht="17.25" customHeight="1"/>
    <row r="59589" customFormat="1" ht="17.25" customHeight="1"/>
    <row r="59590" customFormat="1" ht="17.25" customHeight="1"/>
    <row r="59591" customFormat="1" ht="17.25" customHeight="1"/>
    <row r="59592" customFormat="1" ht="17.25" customHeight="1"/>
    <row r="59593" customFormat="1" ht="17.25" customHeight="1"/>
    <row r="59594" customFormat="1" ht="17.25" customHeight="1"/>
    <row r="59595" customFormat="1" ht="17.25" customHeight="1"/>
    <row r="59596" customFormat="1" ht="17.25" customHeight="1"/>
    <row r="59597" customFormat="1" ht="17.25" customHeight="1"/>
    <row r="59598" customFormat="1" ht="17.25" customHeight="1"/>
    <row r="59599" customFormat="1" ht="17.25" customHeight="1"/>
    <row r="59600" customFormat="1" ht="17.25" customHeight="1"/>
    <row r="59601" customFormat="1" ht="17.25" customHeight="1"/>
    <row r="59602" customFormat="1" ht="17.25" customHeight="1"/>
    <row r="59603" customFormat="1" ht="17.25" customHeight="1"/>
    <row r="59604" customFormat="1" ht="17.25" customHeight="1"/>
    <row r="59605" customFormat="1" ht="17.25" customHeight="1"/>
    <row r="59606" customFormat="1" ht="17.25" customHeight="1"/>
    <row r="59607" customFormat="1" ht="17.25" customHeight="1"/>
    <row r="59608" customFormat="1" ht="17.25" customHeight="1"/>
    <row r="59609" customFormat="1" ht="17.25" customHeight="1"/>
    <row r="59610" customFormat="1" ht="17.25" customHeight="1"/>
    <row r="59611" customFormat="1" ht="17.25" customHeight="1"/>
    <row r="59612" customFormat="1" ht="17.25" customHeight="1"/>
    <row r="59613" customFormat="1" ht="17.25" customHeight="1"/>
    <row r="59614" customFormat="1" ht="17.25" customHeight="1"/>
    <row r="59615" customFormat="1" ht="17.25" customHeight="1"/>
    <row r="59616" customFormat="1" ht="17.25" customHeight="1"/>
    <row r="59617" customFormat="1" ht="17.25" customHeight="1"/>
    <row r="59618" customFormat="1" ht="17.25" customHeight="1"/>
    <row r="59619" customFormat="1" ht="17.25" customHeight="1"/>
    <row r="59620" customFormat="1" ht="17.25" customHeight="1"/>
    <row r="59621" customFormat="1" ht="17.25" customHeight="1"/>
    <row r="59622" customFormat="1" ht="17.25" customHeight="1"/>
    <row r="59623" customFormat="1" ht="17.25" customHeight="1"/>
    <row r="59624" customFormat="1" ht="17.25" customHeight="1"/>
    <row r="59625" customFormat="1" ht="17.25" customHeight="1"/>
    <row r="59626" customFormat="1" ht="17.25" customHeight="1"/>
    <row r="59627" customFormat="1" ht="17.25" customHeight="1"/>
    <row r="59628" customFormat="1" ht="17.25" customHeight="1"/>
    <row r="59629" customFormat="1" ht="17.25" customHeight="1"/>
    <row r="59630" customFormat="1" ht="17.25" customHeight="1"/>
    <row r="59631" customFormat="1" ht="17.25" customHeight="1"/>
    <row r="59632" customFormat="1" ht="17.25" customHeight="1"/>
    <row r="59633" customFormat="1" ht="17.25" customHeight="1"/>
    <row r="59634" customFormat="1" ht="17.25" customHeight="1"/>
    <row r="59635" customFormat="1" ht="17.25" customHeight="1"/>
    <row r="59636" customFormat="1" ht="17.25" customHeight="1"/>
    <row r="59637" customFormat="1" ht="17.25" customHeight="1"/>
    <row r="59638" customFormat="1" ht="17.25" customHeight="1"/>
    <row r="59639" customFormat="1" ht="17.25" customHeight="1"/>
    <row r="59640" customFormat="1" ht="17.25" customHeight="1"/>
    <row r="59641" customFormat="1" ht="17.25" customHeight="1"/>
    <row r="59642" customFormat="1" ht="17.25" customHeight="1"/>
    <row r="59643" customFormat="1" ht="17.25" customHeight="1"/>
    <row r="59644" customFormat="1" ht="17.25" customHeight="1"/>
    <row r="59645" customFormat="1" ht="17.25" customHeight="1"/>
    <row r="59646" customFormat="1" ht="17.25" customHeight="1"/>
    <row r="59647" customFormat="1" ht="17.25" customHeight="1"/>
    <row r="59648" customFormat="1" ht="17.25" customHeight="1"/>
    <row r="59649" customFormat="1" ht="17.25" customHeight="1"/>
    <row r="59650" customFormat="1" ht="17.25" customHeight="1"/>
    <row r="59651" customFormat="1" ht="17.25" customHeight="1"/>
    <row r="59652" customFormat="1" ht="17.25" customHeight="1"/>
    <row r="59653" customFormat="1" ht="17.25" customHeight="1"/>
    <row r="59654" customFormat="1" ht="17.25" customHeight="1"/>
    <row r="59655" customFormat="1" ht="17.25" customHeight="1"/>
    <row r="59656" customFormat="1" ht="17.25" customHeight="1"/>
    <row r="59657" customFormat="1" ht="17.25" customHeight="1"/>
    <row r="59658" customFormat="1" ht="17.25" customHeight="1"/>
    <row r="59659" customFormat="1" ht="17.25" customHeight="1"/>
    <row r="59660" customFormat="1" ht="17.25" customHeight="1"/>
    <row r="59661" customFormat="1" ht="17.25" customHeight="1"/>
    <row r="59662" customFormat="1" ht="17.25" customHeight="1"/>
    <row r="59663" customFormat="1" ht="17.25" customHeight="1"/>
    <row r="59664" customFormat="1" ht="17.25" customHeight="1"/>
    <row r="59665" customFormat="1" ht="17.25" customHeight="1"/>
    <row r="59666" customFormat="1" ht="17.25" customHeight="1"/>
    <row r="59667" customFormat="1" ht="17.25" customHeight="1"/>
    <row r="59668" customFormat="1" ht="17.25" customHeight="1"/>
    <row r="59669" customFormat="1" ht="17.25" customHeight="1"/>
    <row r="59670" customFormat="1" ht="17.25" customHeight="1"/>
    <row r="59671" customFormat="1" ht="17.25" customHeight="1"/>
    <row r="59672" customFormat="1" ht="17.25" customHeight="1"/>
    <row r="59673" customFormat="1" ht="17.25" customHeight="1"/>
    <row r="59674" customFormat="1" ht="17.25" customHeight="1"/>
    <row r="59675" customFormat="1" ht="17.25" customHeight="1"/>
    <row r="59676" customFormat="1" ht="17.25" customHeight="1"/>
    <row r="59677" customFormat="1" ht="17.25" customHeight="1"/>
    <row r="59678" customFormat="1" ht="17.25" customHeight="1"/>
    <row r="59679" customFormat="1" ht="17.25" customHeight="1"/>
    <row r="59680" customFormat="1" ht="17.25" customHeight="1"/>
    <row r="59681" customFormat="1" ht="17.25" customHeight="1"/>
    <row r="59682" customFormat="1" ht="17.25" customHeight="1"/>
    <row r="59683" customFormat="1" ht="17.25" customHeight="1"/>
    <row r="59684" customFormat="1" ht="17.25" customHeight="1"/>
    <row r="59685" customFormat="1" ht="17.25" customHeight="1"/>
    <row r="59686" customFormat="1" ht="17.25" customHeight="1"/>
    <row r="59687" customFormat="1" ht="17.25" customHeight="1"/>
    <row r="59688" customFormat="1" ht="17.25" customHeight="1"/>
    <row r="59689" customFormat="1" ht="17.25" customHeight="1"/>
    <row r="59690" customFormat="1" ht="17.25" customHeight="1"/>
    <row r="59691" customFormat="1" ht="17.25" customHeight="1"/>
    <row r="59692" customFormat="1" ht="17.25" customHeight="1"/>
    <row r="59693" customFormat="1" ht="17.25" customHeight="1"/>
    <row r="59694" customFormat="1" ht="17.25" customHeight="1"/>
    <row r="59695" customFormat="1" ht="17.25" customHeight="1"/>
    <row r="59696" customFormat="1" ht="17.25" customHeight="1"/>
    <row r="59697" customFormat="1" ht="17.25" customHeight="1"/>
    <row r="59698" customFormat="1" ht="17.25" customHeight="1"/>
    <row r="59699" customFormat="1" ht="17.25" customHeight="1"/>
    <row r="59700" customFormat="1" ht="17.25" customHeight="1"/>
    <row r="59701" customFormat="1" ht="17.25" customHeight="1"/>
    <row r="59702" customFormat="1" ht="17.25" customHeight="1"/>
    <row r="59703" customFormat="1" ht="17.25" customHeight="1"/>
    <row r="59704" customFormat="1" ht="17.25" customHeight="1"/>
    <row r="59705" customFormat="1" ht="17.25" customHeight="1"/>
    <row r="59706" customFormat="1" ht="17.25" customHeight="1"/>
    <row r="59707" customFormat="1" ht="17.25" customHeight="1"/>
    <row r="59708" customFormat="1" ht="17.25" customHeight="1"/>
    <row r="59709" customFormat="1" ht="17.25" customHeight="1"/>
    <row r="59710" customFormat="1" ht="17.25" customHeight="1"/>
    <row r="59711" customFormat="1" ht="17.25" customHeight="1"/>
    <row r="59712" customFormat="1" ht="17.25" customHeight="1"/>
    <row r="59713" customFormat="1" ht="17.25" customHeight="1"/>
    <row r="59714" customFormat="1" ht="17.25" customHeight="1"/>
    <row r="59715" customFormat="1" ht="17.25" customHeight="1"/>
    <row r="59716" customFormat="1" ht="17.25" customHeight="1"/>
    <row r="59717" customFormat="1" ht="17.25" customHeight="1"/>
    <row r="59718" customFormat="1" ht="17.25" customHeight="1"/>
    <row r="59719" customFormat="1" ht="17.25" customHeight="1"/>
    <row r="59720" customFormat="1" ht="17.25" customHeight="1"/>
    <row r="59721" customFormat="1" ht="17.25" customHeight="1"/>
    <row r="59722" customFormat="1" ht="17.25" customHeight="1"/>
    <row r="59723" customFormat="1" ht="17.25" customHeight="1"/>
    <row r="59724" customFormat="1" ht="17.25" customHeight="1"/>
    <row r="59725" customFormat="1" ht="17.25" customHeight="1"/>
    <row r="59726" customFormat="1" ht="17.25" customHeight="1"/>
    <row r="59727" customFormat="1" ht="17.25" customHeight="1"/>
    <row r="59728" customFormat="1" ht="17.25" customHeight="1"/>
    <row r="59729" customFormat="1" ht="17.25" customHeight="1"/>
    <row r="59730" customFormat="1" ht="17.25" customHeight="1"/>
    <row r="59731" customFormat="1" ht="17.25" customHeight="1"/>
    <row r="59732" customFormat="1" ht="17.25" customHeight="1"/>
    <row r="59733" customFormat="1" ht="17.25" customHeight="1"/>
    <row r="59734" customFormat="1" ht="17.25" customHeight="1"/>
    <row r="59735" customFormat="1" ht="17.25" customHeight="1"/>
    <row r="59736" customFormat="1" ht="17.25" customHeight="1"/>
    <row r="59737" customFormat="1" ht="17.25" customHeight="1"/>
    <row r="59738" customFormat="1" ht="17.25" customHeight="1"/>
    <row r="59739" customFormat="1" ht="17.25" customHeight="1"/>
    <row r="59740" customFormat="1" ht="17.25" customHeight="1"/>
    <row r="59741" customFormat="1" ht="17.25" customHeight="1"/>
    <row r="59742" customFormat="1" ht="17.25" customHeight="1"/>
    <row r="59743" customFormat="1" ht="17.25" customHeight="1"/>
    <row r="59744" customFormat="1" ht="17.25" customHeight="1"/>
    <row r="59745" customFormat="1" ht="17.25" customHeight="1"/>
    <row r="59746" customFormat="1" ht="17.25" customHeight="1"/>
    <row r="59747" customFormat="1" ht="17.25" customHeight="1"/>
    <row r="59748" customFormat="1" ht="17.25" customHeight="1"/>
    <row r="59749" customFormat="1" ht="17.25" customHeight="1"/>
    <row r="59750" customFormat="1" ht="17.25" customHeight="1"/>
    <row r="59751" customFormat="1" ht="17.25" customHeight="1"/>
    <row r="59752" customFormat="1" ht="17.25" customHeight="1"/>
    <row r="59753" customFormat="1" ht="17.25" customHeight="1"/>
    <row r="59754" customFormat="1" ht="17.25" customHeight="1"/>
    <row r="59755" customFormat="1" ht="17.25" customHeight="1"/>
    <row r="59756" customFormat="1" ht="17.25" customHeight="1"/>
    <row r="59757" customFormat="1" ht="17.25" customHeight="1"/>
    <row r="59758" customFormat="1" ht="17.25" customHeight="1"/>
    <row r="59759" customFormat="1" ht="17.25" customHeight="1"/>
    <row r="59760" customFormat="1" ht="17.25" customHeight="1"/>
    <row r="59761" customFormat="1" ht="17.25" customHeight="1"/>
    <row r="59762" customFormat="1" ht="17.25" customHeight="1"/>
    <row r="59763" customFormat="1" ht="17.25" customHeight="1"/>
    <row r="59764" customFormat="1" ht="17.25" customHeight="1"/>
    <row r="59765" customFormat="1" ht="17.25" customHeight="1"/>
    <row r="59766" customFormat="1" ht="17.25" customHeight="1"/>
    <row r="59767" customFormat="1" ht="17.25" customHeight="1"/>
    <row r="59768" customFormat="1" ht="17.25" customHeight="1"/>
    <row r="59769" customFormat="1" ht="17.25" customHeight="1"/>
    <row r="59770" customFormat="1" ht="17.25" customHeight="1"/>
    <row r="59771" customFormat="1" ht="17.25" customHeight="1"/>
    <row r="59772" customFormat="1" ht="17.25" customHeight="1"/>
    <row r="59773" customFormat="1" ht="17.25" customHeight="1"/>
    <row r="59774" customFormat="1" ht="17.25" customHeight="1"/>
    <row r="59775" customFormat="1" ht="17.25" customHeight="1"/>
    <row r="59776" customFormat="1" ht="17.25" customHeight="1"/>
    <row r="59777" customFormat="1" ht="17.25" customHeight="1"/>
    <row r="59778" customFormat="1" ht="17.25" customHeight="1"/>
    <row r="59779" customFormat="1" ht="17.25" customHeight="1"/>
    <row r="59780" customFormat="1" ht="17.25" customHeight="1"/>
    <row r="59781" customFormat="1" ht="17.25" customHeight="1"/>
    <row r="59782" customFormat="1" ht="17.25" customHeight="1"/>
    <row r="59783" customFormat="1" ht="17.25" customHeight="1"/>
    <row r="59784" customFormat="1" ht="17.25" customHeight="1"/>
    <row r="59785" customFormat="1" ht="17.25" customHeight="1"/>
    <row r="59786" customFormat="1" ht="17.25" customHeight="1"/>
    <row r="59787" customFormat="1" ht="17.25" customHeight="1"/>
    <row r="59788" customFormat="1" ht="17.25" customHeight="1"/>
    <row r="59789" customFormat="1" ht="17.25" customHeight="1"/>
    <row r="59790" customFormat="1" ht="17.25" customHeight="1"/>
    <row r="59791" customFormat="1" ht="17.25" customHeight="1"/>
    <row r="59792" customFormat="1" ht="17.25" customHeight="1"/>
    <row r="59793" customFormat="1" ht="17.25" customHeight="1"/>
    <row r="59794" customFormat="1" ht="17.25" customHeight="1"/>
    <row r="59795" customFormat="1" ht="17.25" customHeight="1"/>
    <row r="59796" customFormat="1" ht="17.25" customHeight="1"/>
    <row r="59797" customFormat="1" ht="17.25" customHeight="1"/>
    <row r="59798" customFormat="1" ht="17.25" customHeight="1"/>
    <row r="59799" customFormat="1" ht="17.25" customHeight="1"/>
    <row r="59800" customFormat="1" ht="17.25" customHeight="1"/>
    <row r="59801" customFormat="1" ht="17.25" customHeight="1"/>
    <row r="59802" customFormat="1" ht="17.25" customHeight="1"/>
    <row r="59803" customFormat="1" ht="17.25" customHeight="1"/>
    <row r="59804" customFormat="1" ht="17.25" customHeight="1"/>
    <row r="59805" customFormat="1" ht="17.25" customHeight="1"/>
    <row r="59806" customFormat="1" ht="17.25" customHeight="1"/>
    <row r="59807" customFormat="1" ht="17.25" customHeight="1"/>
    <row r="59808" customFormat="1" ht="17.25" customHeight="1"/>
    <row r="59809" customFormat="1" ht="17.25" customHeight="1"/>
    <row r="59810" customFormat="1" ht="17.25" customHeight="1"/>
    <row r="59811" customFormat="1" ht="17.25" customHeight="1"/>
    <row r="59812" customFormat="1" ht="17.25" customHeight="1"/>
    <row r="59813" customFormat="1" ht="17.25" customHeight="1"/>
    <row r="59814" customFormat="1" ht="17.25" customHeight="1"/>
    <row r="59815" customFormat="1" ht="17.25" customHeight="1"/>
    <row r="59816" customFormat="1" ht="17.25" customHeight="1"/>
    <row r="59817" customFormat="1" ht="17.25" customHeight="1"/>
    <row r="59818" customFormat="1" ht="17.25" customHeight="1"/>
    <row r="59819" customFormat="1" ht="17.25" customHeight="1"/>
    <row r="59820" customFormat="1" ht="17.25" customHeight="1"/>
    <row r="59821" customFormat="1" ht="17.25" customHeight="1"/>
    <row r="59822" customFormat="1" ht="17.25" customHeight="1"/>
    <row r="59823" customFormat="1" ht="17.25" customHeight="1"/>
    <row r="59824" customFormat="1" ht="17.25" customHeight="1"/>
    <row r="59825" customFormat="1" ht="17.25" customHeight="1"/>
    <row r="59826" customFormat="1" ht="17.25" customHeight="1"/>
    <row r="59827" customFormat="1" ht="17.25" customHeight="1"/>
    <row r="59828" customFormat="1" ht="17.25" customHeight="1"/>
    <row r="59829" customFormat="1" ht="17.25" customHeight="1"/>
    <row r="59830" customFormat="1" ht="17.25" customHeight="1"/>
    <row r="59831" customFormat="1" ht="17.25" customHeight="1"/>
    <row r="59832" customFormat="1" ht="17.25" customHeight="1"/>
    <row r="59833" customFormat="1" ht="17.25" customHeight="1"/>
    <row r="59834" customFormat="1" ht="17.25" customHeight="1"/>
    <row r="59835" customFormat="1" ht="17.25" customHeight="1"/>
    <row r="59836" customFormat="1" ht="17.25" customHeight="1"/>
    <row r="59837" customFormat="1" ht="17.25" customHeight="1"/>
    <row r="59838" customFormat="1" ht="17.25" customHeight="1"/>
    <row r="59839" customFormat="1" ht="17.25" customHeight="1"/>
    <row r="59840" customFormat="1" ht="17.25" customHeight="1"/>
    <row r="59841" customFormat="1" ht="17.25" customHeight="1"/>
    <row r="59842" customFormat="1" ht="17.25" customHeight="1"/>
    <row r="59843" customFormat="1" ht="17.25" customHeight="1"/>
    <row r="59844" customFormat="1" ht="17.25" customHeight="1"/>
    <row r="59845" customFormat="1" ht="17.25" customHeight="1"/>
    <row r="59846" customFormat="1" ht="17.25" customHeight="1"/>
    <row r="59847" customFormat="1" ht="17.25" customHeight="1"/>
    <row r="59848" customFormat="1" ht="17.25" customHeight="1"/>
    <row r="59849" customFormat="1" ht="17.25" customHeight="1"/>
    <row r="59850" customFormat="1" ht="17.25" customHeight="1"/>
    <row r="59851" customFormat="1" ht="17.25" customHeight="1"/>
    <row r="59852" customFormat="1" ht="17.25" customHeight="1"/>
    <row r="59853" customFormat="1" ht="17.25" customHeight="1"/>
    <row r="59854" customFormat="1" ht="17.25" customHeight="1"/>
    <row r="59855" customFormat="1" ht="17.25" customHeight="1"/>
    <row r="59856" customFormat="1" ht="17.25" customHeight="1"/>
    <row r="59857" customFormat="1" ht="17.25" customHeight="1"/>
    <row r="59858" customFormat="1" ht="17.25" customHeight="1"/>
    <row r="59859" customFormat="1" ht="17.25" customHeight="1"/>
    <row r="59860" customFormat="1" ht="17.25" customHeight="1"/>
    <row r="59861" customFormat="1" ht="17.25" customHeight="1"/>
    <row r="59862" customFormat="1" ht="17.25" customHeight="1"/>
    <row r="59863" customFormat="1" ht="17.25" customHeight="1"/>
    <row r="59864" customFormat="1" ht="17.25" customHeight="1"/>
    <row r="59865" customFormat="1" ht="17.25" customHeight="1"/>
    <row r="59866" customFormat="1" ht="17.25" customHeight="1"/>
    <row r="59867" customFormat="1" ht="17.25" customHeight="1"/>
    <row r="59868" customFormat="1" ht="17.25" customHeight="1"/>
    <row r="59869" customFormat="1" ht="17.25" customHeight="1"/>
    <row r="59870" customFormat="1" ht="17.25" customHeight="1"/>
    <row r="59871" customFormat="1" ht="17.25" customHeight="1"/>
    <row r="59872" customFormat="1" ht="17.25" customHeight="1"/>
    <row r="59873" customFormat="1" ht="17.25" customHeight="1"/>
    <row r="59874" customFormat="1" ht="17.25" customHeight="1"/>
    <row r="59875" customFormat="1" ht="17.25" customHeight="1"/>
    <row r="59876" customFormat="1" ht="17.25" customHeight="1"/>
    <row r="59877" customFormat="1" ht="17.25" customHeight="1"/>
    <row r="59878" customFormat="1" ht="17.25" customHeight="1"/>
    <row r="59879" customFormat="1" ht="17.25" customHeight="1"/>
    <row r="59880" customFormat="1" ht="17.25" customHeight="1"/>
    <row r="59881" customFormat="1" ht="17.25" customHeight="1"/>
    <row r="59882" customFormat="1" ht="17.25" customHeight="1"/>
    <row r="59883" customFormat="1" ht="17.25" customHeight="1"/>
    <row r="59884" customFormat="1" ht="17.25" customHeight="1"/>
    <row r="59885" customFormat="1" ht="17.25" customHeight="1"/>
    <row r="59886" customFormat="1" ht="17.25" customHeight="1"/>
    <row r="59887" customFormat="1" ht="17.25" customHeight="1"/>
    <row r="59888" customFormat="1" ht="17.25" customHeight="1"/>
    <row r="59889" customFormat="1" ht="17.25" customHeight="1"/>
    <row r="59890" customFormat="1" ht="17.25" customHeight="1"/>
    <row r="59891" customFormat="1" ht="17.25" customHeight="1"/>
    <row r="59892" customFormat="1" ht="17.25" customHeight="1"/>
    <row r="59893" customFormat="1" ht="17.25" customHeight="1"/>
    <row r="59894" customFormat="1" ht="17.25" customHeight="1"/>
    <row r="59895" customFormat="1" ht="17.25" customHeight="1"/>
    <row r="59896" customFormat="1" ht="17.25" customHeight="1"/>
    <row r="59897" customFormat="1" ht="17.25" customHeight="1"/>
    <row r="59898" customFormat="1" ht="17.25" customHeight="1"/>
    <row r="59899" customFormat="1" ht="17.25" customHeight="1"/>
    <row r="59900" customFormat="1" ht="17.25" customHeight="1"/>
    <row r="59901" customFormat="1" ht="17.25" customHeight="1"/>
    <row r="59902" customFormat="1" ht="17.25" customHeight="1"/>
    <row r="59903" customFormat="1" ht="17.25" customHeight="1"/>
    <row r="59904" customFormat="1" ht="17.25" customHeight="1"/>
    <row r="59905" customFormat="1" ht="17.25" customHeight="1"/>
    <row r="59906" customFormat="1" ht="17.25" customHeight="1"/>
    <row r="59907" customFormat="1" ht="17.25" customHeight="1"/>
    <row r="59908" customFormat="1" ht="17.25" customHeight="1"/>
    <row r="59909" customFormat="1" ht="17.25" customHeight="1"/>
    <row r="59910" customFormat="1" ht="17.25" customHeight="1"/>
    <row r="59911" customFormat="1" ht="17.25" customHeight="1"/>
    <row r="59912" customFormat="1" ht="17.25" customHeight="1"/>
    <row r="59913" customFormat="1" ht="17.25" customHeight="1"/>
    <row r="59914" customFormat="1" ht="17.25" customHeight="1"/>
    <row r="59915" customFormat="1" ht="17.25" customHeight="1"/>
    <row r="59916" customFormat="1" ht="17.25" customHeight="1"/>
    <row r="59917" customFormat="1" ht="17.25" customHeight="1"/>
    <row r="59918" customFormat="1" ht="17.25" customHeight="1"/>
    <row r="59919" customFormat="1" ht="17.25" customHeight="1"/>
    <row r="59920" customFormat="1" ht="17.25" customHeight="1"/>
    <row r="59921" customFormat="1" ht="17.25" customHeight="1"/>
    <row r="59922" customFormat="1" ht="17.25" customHeight="1"/>
    <row r="59923" customFormat="1" ht="17.25" customHeight="1"/>
    <row r="59924" customFormat="1" ht="17.25" customHeight="1"/>
    <row r="59925" customFormat="1" ht="17.25" customHeight="1"/>
    <row r="59926" customFormat="1" ht="17.25" customHeight="1"/>
    <row r="59927" customFormat="1" ht="17.25" customHeight="1"/>
    <row r="59928" customFormat="1" ht="17.25" customHeight="1"/>
    <row r="59929" customFormat="1" ht="17.25" customHeight="1"/>
    <row r="59930" customFormat="1" ht="17.25" customHeight="1"/>
    <row r="59931" customFormat="1" ht="17.25" customHeight="1"/>
    <row r="59932" customFormat="1" ht="17.25" customHeight="1"/>
    <row r="59933" customFormat="1" ht="17.25" customHeight="1"/>
    <row r="59934" customFormat="1" ht="17.25" customHeight="1"/>
    <row r="59935" customFormat="1" ht="17.25" customHeight="1"/>
    <row r="59936" customFormat="1" ht="17.25" customHeight="1"/>
    <row r="59937" customFormat="1" ht="17.25" customHeight="1"/>
    <row r="59938" customFormat="1" ht="17.25" customHeight="1"/>
    <row r="59939" customFormat="1" ht="17.25" customHeight="1"/>
    <row r="59940" customFormat="1" ht="17.25" customHeight="1"/>
    <row r="59941" customFormat="1" ht="17.25" customHeight="1"/>
    <row r="59942" customFormat="1" ht="17.25" customHeight="1"/>
    <row r="59943" customFormat="1" ht="17.25" customHeight="1"/>
    <row r="59944" customFormat="1" ht="17.25" customHeight="1"/>
    <row r="59945" customFormat="1" ht="17.25" customHeight="1"/>
    <row r="59946" customFormat="1" ht="17.25" customHeight="1"/>
    <row r="59947" customFormat="1" ht="17.25" customHeight="1"/>
    <row r="59948" customFormat="1" ht="17.25" customHeight="1"/>
    <row r="59949" customFormat="1" ht="17.25" customHeight="1"/>
    <row r="59950" customFormat="1" ht="17.25" customHeight="1"/>
    <row r="59951" customFormat="1" ht="17.25" customHeight="1"/>
    <row r="59952" customFormat="1" ht="17.25" customHeight="1"/>
    <row r="59953" customFormat="1" ht="17.25" customHeight="1"/>
    <row r="59954" customFormat="1" ht="17.25" customHeight="1"/>
    <row r="59955" customFormat="1" ht="17.25" customHeight="1"/>
    <row r="59956" customFormat="1" ht="17.25" customHeight="1"/>
    <row r="59957" customFormat="1" ht="17.25" customHeight="1"/>
    <row r="59958" customFormat="1" ht="17.25" customHeight="1"/>
    <row r="59959" customFormat="1" ht="17.25" customHeight="1"/>
    <row r="59960" customFormat="1" ht="17.25" customHeight="1"/>
    <row r="59961" customFormat="1" ht="17.25" customHeight="1"/>
    <row r="59962" customFormat="1" ht="17.25" customHeight="1"/>
    <row r="59963" customFormat="1" ht="17.25" customHeight="1"/>
    <row r="59964" customFormat="1" ht="17.25" customHeight="1"/>
    <row r="59965" customFormat="1" ht="17.25" customHeight="1"/>
    <row r="59966" customFormat="1" ht="17.25" customHeight="1"/>
    <row r="59967" customFormat="1" ht="17.25" customHeight="1"/>
    <row r="59968" customFormat="1" ht="17.25" customHeight="1"/>
    <row r="59969" customFormat="1" ht="17.25" customHeight="1"/>
    <row r="59970" customFormat="1" ht="17.25" customHeight="1"/>
    <row r="59971" customFormat="1" ht="17.25" customHeight="1"/>
    <row r="59972" customFormat="1" ht="17.25" customHeight="1"/>
    <row r="59973" customFormat="1" ht="17.25" customHeight="1"/>
    <row r="59974" customFormat="1" ht="17.25" customHeight="1"/>
    <row r="59975" customFormat="1" ht="17.25" customHeight="1"/>
    <row r="59976" customFormat="1" ht="17.25" customHeight="1"/>
    <row r="59977" customFormat="1" ht="17.25" customHeight="1"/>
    <row r="59978" customFormat="1" ht="17.25" customHeight="1"/>
    <row r="59979" customFormat="1" ht="17.25" customHeight="1"/>
    <row r="59980" customFormat="1" ht="17.25" customHeight="1"/>
    <row r="59981" customFormat="1" ht="17.25" customHeight="1"/>
    <row r="59982" customFormat="1" ht="17.25" customHeight="1"/>
    <row r="59983" customFormat="1" ht="17.25" customHeight="1"/>
    <row r="59984" customFormat="1" ht="17.25" customHeight="1"/>
    <row r="59985" customFormat="1" ht="17.25" customHeight="1"/>
    <row r="59986" customFormat="1" ht="17.25" customHeight="1"/>
    <row r="59987" customFormat="1" ht="17.25" customHeight="1"/>
    <row r="59988" customFormat="1" ht="17.25" customHeight="1"/>
    <row r="59989" customFormat="1" ht="17.25" customHeight="1"/>
    <row r="59990" customFormat="1" ht="17.25" customHeight="1"/>
    <row r="59991" customFormat="1" ht="17.25" customHeight="1"/>
    <row r="59992" customFormat="1" ht="17.25" customHeight="1"/>
    <row r="59993" customFormat="1" ht="17.25" customHeight="1"/>
    <row r="59994" customFormat="1" ht="17.25" customHeight="1"/>
    <row r="59995" customFormat="1" ht="17.25" customHeight="1"/>
    <row r="59996" customFormat="1" ht="17.25" customHeight="1"/>
    <row r="59997" customFormat="1" ht="17.25" customHeight="1"/>
    <row r="59998" customFormat="1" ht="17.25" customHeight="1"/>
    <row r="59999" customFormat="1" ht="17.25" customHeight="1"/>
    <row r="60000" customFormat="1" ht="17.25" customHeight="1"/>
    <row r="60001" customFormat="1" ht="17.25" customHeight="1"/>
    <row r="60002" customFormat="1" ht="17.25" customHeight="1"/>
    <row r="60003" customFormat="1" ht="17.25" customHeight="1"/>
    <row r="60004" customFormat="1" ht="17.25" customHeight="1"/>
    <row r="60005" customFormat="1" ht="17.25" customHeight="1"/>
    <row r="60006" customFormat="1" ht="17.25" customHeight="1"/>
    <row r="60007" customFormat="1" ht="17.25" customHeight="1"/>
    <row r="60008" customFormat="1" ht="17.25" customHeight="1"/>
    <row r="60009" customFormat="1" ht="17.25" customHeight="1"/>
    <row r="60010" customFormat="1" ht="17.25" customHeight="1"/>
    <row r="60011" customFormat="1" ht="17.25" customHeight="1"/>
    <row r="60012" customFormat="1" ht="17.25" customHeight="1"/>
    <row r="60013" customFormat="1" ht="17.25" customHeight="1"/>
    <row r="60014" customFormat="1" ht="17.25" customHeight="1"/>
    <row r="60015" customFormat="1" ht="17.25" customHeight="1"/>
    <row r="60016" customFormat="1" ht="17.25" customHeight="1"/>
    <row r="60017" customFormat="1" ht="17.25" customHeight="1"/>
    <row r="60018" customFormat="1" ht="17.25" customHeight="1"/>
    <row r="60019" customFormat="1" ht="17.25" customHeight="1"/>
    <row r="60020" customFormat="1" ht="17.25" customHeight="1"/>
    <row r="60021" customFormat="1" ht="17.25" customHeight="1"/>
    <row r="60022" customFormat="1" ht="17.25" customHeight="1"/>
    <row r="60023" customFormat="1" ht="17.25" customHeight="1"/>
    <row r="60024" customFormat="1" ht="17.25" customHeight="1"/>
    <row r="60025" customFormat="1" ht="17.25" customHeight="1"/>
    <row r="60026" customFormat="1" ht="17.25" customHeight="1"/>
    <row r="60027" customFormat="1" ht="17.25" customHeight="1"/>
    <row r="60028" customFormat="1" ht="17.25" customHeight="1"/>
    <row r="60029" customFormat="1" ht="17.25" customHeight="1"/>
    <row r="60030" customFormat="1" ht="17.25" customHeight="1"/>
    <row r="60031" customFormat="1" ht="17.25" customHeight="1"/>
    <row r="60032" customFormat="1" ht="17.25" customHeight="1"/>
    <row r="60033" customFormat="1" ht="17.25" customHeight="1"/>
    <row r="60034" customFormat="1" ht="17.25" customHeight="1"/>
    <row r="60035" customFormat="1" ht="17.25" customHeight="1"/>
    <row r="60036" customFormat="1" ht="17.25" customHeight="1"/>
    <row r="60037" customFormat="1" ht="17.25" customHeight="1"/>
    <row r="60038" customFormat="1" ht="17.25" customHeight="1"/>
    <row r="60039" customFormat="1" ht="17.25" customHeight="1"/>
    <row r="60040" customFormat="1" ht="17.25" customHeight="1"/>
    <row r="60041" customFormat="1" ht="17.25" customHeight="1"/>
    <row r="60042" customFormat="1" ht="17.25" customHeight="1"/>
    <row r="60043" customFormat="1" ht="17.25" customHeight="1"/>
    <row r="60044" customFormat="1" ht="17.25" customHeight="1"/>
    <row r="60045" customFormat="1" ht="17.25" customHeight="1"/>
    <row r="60046" customFormat="1" ht="17.25" customHeight="1"/>
    <row r="60047" customFormat="1" ht="17.25" customHeight="1"/>
    <row r="60048" customFormat="1" ht="17.25" customHeight="1"/>
    <row r="60049" customFormat="1" ht="17.25" customHeight="1"/>
    <row r="60050" customFormat="1" ht="17.25" customHeight="1"/>
    <row r="60051" customFormat="1" ht="17.25" customHeight="1"/>
    <row r="60052" customFormat="1" ht="17.25" customHeight="1"/>
    <row r="60053" customFormat="1" ht="17.25" customHeight="1"/>
    <row r="60054" customFormat="1" ht="17.25" customHeight="1"/>
    <row r="60055" customFormat="1" ht="17.25" customHeight="1"/>
    <row r="60056" customFormat="1" ht="17.25" customHeight="1"/>
    <row r="60057" customFormat="1" ht="17.25" customHeight="1"/>
    <row r="60058" customFormat="1" ht="17.25" customHeight="1"/>
    <row r="60059" customFormat="1" ht="17.25" customHeight="1"/>
    <row r="60060" customFormat="1" ht="17.25" customHeight="1"/>
    <row r="60061" customFormat="1" ht="17.25" customHeight="1"/>
    <row r="60062" customFormat="1" ht="17.25" customHeight="1"/>
    <row r="60063" customFormat="1" ht="17.25" customHeight="1"/>
    <row r="60064" customFormat="1" ht="17.25" customHeight="1"/>
    <row r="60065" customFormat="1" ht="17.25" customHeight="1"/>
    <row r="60066" customFormat="1" ht="17.25" customHeight="1"/>
    <row r="60067" customFormat="1" ht="17.25" customHeight="1"/>
    <row r="60068" customFormat="1" ht="17.25" customHeight="1"/>
    <row r="60069" customFormat="1" ht="17.25" customHeight="1"/>
    <row r="60070" customFormat="1" ht="17.25" customHeight="1"/>
    <row r="60071" customFormat="1" ht="17.25" customHeight="1"/>
    <row r="60072" customFormat="1" ht="17.25" customHeight="1"/>
    <row r="60073" customFormat="1" ht="17.25" customHeight="1"/>
    <row r="60074" customFormat="1" ht="17.25" customHeight="1"/>
    <row r="60075" customFormat="1" ht="17.25" customHeight="1"/>
    <row r="60076" customFormat="1" ht="17.25" customHeight="1"/>
    <row r="60077" customFormat="1" ht="17.25" customHeight="1"/>
    <row r="60078" customFormat="1" ht="17.25" customHeight="1"/>
    <row r="60079" customFormat="1" ht="17.25" customHeight="1"/>
    <row r="60080" customFormat="1" ht="17.25" customHeight="1"/>
    <row r="60081" customFormat="1" ht="17.25" customHeight="1"/>
    <row r="60082" customFormat="1" ht="17.25" customHeight="1"/>
    <row r="60083" customFormat="1" ht="17.25" customHeight="1"/>
    <row r="60084" customFormat="1" ht="17.25" customHeight="1"/>
    <row r="60085" customFormat="1" ht="17.25" customHeight="1"/>
    <row r="60086" customFormat="1" ht="17.25" customHeight="1"/>
    <row r="60087" customFormat="1" ht="17.25" customHeight="1"/>
    <row r="60088" customFormat="1" ht="17.25" customHeight="1"/>
    <row r="60089" customFormat="1" ht="17.25" customHeight="1"/>
    <row r="60090" customFormat="1" ht="17.25" customHeight="1"/>
    <row r="60091" customFormat="1" ht="17.25" customHeight="1"/>
    <row r="60092" customFormat="1" ht="17.25" customHeight="1"/>
    <row r="60093" customFormat="1" ht="17.25" customHeight="1"/>
    <row r="60094" customFormat="1" ht="17.25" customHeight="1"/>
    <row r="60095" customFormat="1" ht="17.25" customHeight="1"/>
    <row r="60096" customFormat="1" ht="17.25" customHeight="1"/>
    <row r="60097" customFormat="1" ht="17.25" customHeight="1"/>
    <row r="60098" customFormat="1" ht="17.25" customHeight="1"/>
    <row r="60099" customFormat="1" ht="17.25" customHeight="1"/>
    <row r="60100" customFormat="1" ht="17.25" customHeight="1"/>
    <row r="60101" customFormat="1" ht="17.25" customHeight="1"/>
    <row r="60102" customFormat="1" ht="17.25" customHeight="1"/>
    <row r="60103" customFormat="1" ht="17.25" customHeight="1"/>
    <row r="60104" customFormat="1" ht="17.25" customHeight="1"/>
    <row r="60105" customFormat="1" ht="17.25" customHeight="1"/>
    <row r="60106" customFormat="1" ht="17.25" customHeight="1"/>
    <row r="60107" customFormat="1" ht="17.25" customHeight="1"/>
    <row r="60108" customFormat="1" ht="17.25" customHeight="1"/>
    <row r="60109" customFormat="1" ht="17.25" customHeight="1"/>
    <row r="60110" customFormat="1" ht="17.25" customHeight="1"/>
    <row r="60111" customFormat="1" ht="17.25" customHeight="1"/>
    <row r="60112" customFormat="1" ht="17.25" customHeight="1"/>
    <row r="60113" customFormat="1" ht="17.25" customHeight="1"/>
    <row r="60114" customFormat="1" ht="17.25" customHeight="1"/>
    <row r="60115" customFormat="1" ht="17.25" customHeight="1"/>
    <row r="60116" customFormat="1" ht="17.25" customHeight="1"/>
    <row r="60117" customFormat="1" ht="17.25" customHeight="1"/>
    <row r="60118" customFormat="1" ht="17.25" customHeight="1"/>
    <row r="60119" customFormat="1" ht="17.25" customHeight="1"/>
    <row r="60120" customFormat="1" ht="17.25" customHeight="1"/>
    <row r="60121" customFormat="1" ht="17.25" customHeight="1"/>
    <row r="60122" customFormat="1" ht="17.25" customHeight="1"/>
    <row r="60123" customFormat="1" ht="17.25" customHeight="1"/>
    <row r="60124" customFormat="1" ht="17.25" customHeight="1"/>
    <row r="60125" customFormat="1" ht="17.25" customHeight="1"/>
    <row r="60126" customFormat="1" ht="17.25" customHeight="1"/>
    <row r="60127" customFormat="1" ht="17.25" customHeight="1"/>
    <row r="60128" customFormat="1" ht="17.25" customHeight="1"/>
    <row r="60129" customFormat="1" ht="17.25" customHeight="1"/>
    <row r="60130" customFormat="1" ht="17.25" customHeight="1"/>
    <row r="60131" customFormat="1" ht="17.25" customHeight="1"/>
    <row r="60132" customFormat="1" ht="17.25" customHeight="1"/>
    <row r="60133" customFormat="1" ht="17.25" customHeight="1"/>
    <row r="60134" customFormat="1" ht="17.25" customHeight="1"/>
    <row r="60135" customFormat="1" ht="17.25" customHeight="1"/>
    <row r="60136" customFormat="1" ht="17.25" customHeight="1"/>
    <row r="60137" customFormat="1" ht="17.25" customHeight="1"/>
    <row r="60138" customFormat="1" ht="17.25" customHeight="1"/>
    <row r="60139" customFormat="1" ht="17.25" customHeight="1"/>
    <row r="60140" customFormat="1" ht="17.25" customHeight="1"/>
    <row r="60141" customFormat="1" ht="17.25" customHeight="1"/>
    <row r="60142" customFormat="1" ht="17.25" customHeight="1"/>
    <row r="60143" customFormat="1" ht="17.25" customHeight="1"/>
    <row r="60144" customFormat="1" ht="17.25" customHeight="1"/>
    <row r="60145" customFormat="1" ht="17.25" customHeight="1"/>
    <row r="60146" customFormat="1" ht="17.25" customHeight="1"/>
    <row r="60147" customFormat="1" ht="17.25" customHeight="1"/>
    <row r="60148" customFormat="1" ht="17.25" customHeight="1"/>
    <row r="60149" customFormat="1" ht="17.25" customHeight="1"/>
    <row r="60150" customFormat="1" ht="17.25" customHeight="1"/>
    <row r="60151" customFormat="1" ht="17.25" customHeight="1"/>
    <row r="60152" customFormat="1" ht="17.25" customHeight="1"/>
    <row r="60153" customFormat="1" ht="17.25" customHeight="1"/>
    <row r="60154" customFormat="1" ht="17.25" customHeight="1"/>
    <row r="60155" customFormat="1" ht="17.25" customHeight="1"/>
    <row r="60156" customFormat="1" ht="17.25" customHeight="1"/>
    <row r="60157" customFormat="1" ht="17.25" customHeight="1"/>
    <row r="60158" customFormat="1" ht="17.25" customHeight="1"/>
    <row r="60159" customFormat="1" ht="17.25" customHeight="1"/>
    <row r="60160" customFormat="1" ht="17.25" customHeight="1"/>
    <row r="60161" customFormat="1" ht="17.25" customHeight="1"/>
    <row r="60162" customFormat="1" ht="17.25" customHeight="1"/>
    <row r="60163" customFormat="1" ht="17.25" customHeight="1"/>
    <row r="60164" customFormat="1" ht="17.25" customHeight="1"/>
    <row r="60165" customFormat="1" ht="17.25" customHeight="1"/>
    <row r="60166" customFormat="1" ht="17.25" customHeight="1"/>
    <row r="60167" customFormat="1" ht="17.25" customHeight="1"/>
    <row r="60168" customFormat="1" ht="17.25" customHeight="1"/>
    <row r="60169" customFormat="1" ht="17.25" customHeight="1"/>
    <row r="60170" customFormat="1" ht="17.25" customHeight="1"/>
    <row r="60171" customFormat="1" ht="17.25" customHeight="1"/>
    <row r="60172" customFormat="1" ht="17.25" customHeight="1"/>
    <row r="60173" customFormat="1" ht="17.25" customHeight="1"/>
    <row r="60174" customFormat="1" ht="17.25" customHeight="1"/>
    <row r="60175" customFormat="1" ht="17.25" customHeight="1"/>
    <row r="60176" customFormat="1" ht="17.25" customHeight="1"/>
    <row r="60177" customFormat="1" ht="17.25" customHeight="1"/>
    <row r="60178" customFormat="1" ht="17.25" customHeight="1"/>
    <row r="60179" customFormat="1" ht="17.25" customHeight="1"/>
    <row r="60180" customFormat="1" ht="17.25" customHeight="1"/>
    <row r="60181" customFormat="1" ht="17.25" customHeight="1"/>
    <row r="60182" customFormat="1" ht="17.25" customHeight="1"/>
    <row r="60183" customFormat="1" ht="17.25" customHeight="1"/>
    <row r="60184" customFormat="1" ht="17.25" customHeight="1"/>
    <row r="60185" customFormat="1" ht="17.25" customHeight="1"/>
    <row r="60186" customFormat="1" ht="17.25" customHeight="1"/>
    <row r="60187" customFormat="1" ht="17.25" customHeight="1"/>
    <row r="60188" customFormat="1" ht="17.25" customHeight="1"/>
    <row r="60189" customFormat="1" ht="17.25" customHeight="1"/>
    <row r="60190" customFormat="1" ht="17.25" customHeight="1"/>
    <row r="60191" customFormat="1" ht="17.25" customHeight="1"/>
    <row r="60192" customFormat="1" ht="17.25" customHeight="1"/>
    <row r="60193" customFormat="1" ht="17.25" customHeight="1"/>
    <row r="60194" customFormat="1" ht="17.25" customHeight="1"/>
    <row r="60195" customFormat="1" ht="17.25" customHeight="1"/>
    <row r="60196" customFormat="1" ht="17.25" customHeight="1"/>
    <row r="60197" customFormat="1" ht="17.25" customHeight="1"/>
    <row r="60198" customFormat="1" ht="17.25" customHeight="1"/>
    <row r="60199" customFormat="1" ht="17.25" customHeight="1"/>
    <row r="60200" customFormat="1" ht="17.25" customHeight="1"/>
    <row r="60201" customFormat="1" ht="17.25" customHeight="1"/>
    <row r="60202" customFormat="1" ht="17.25" customHeight="1"/>
    <row r="60203" customFormat="1" ht="17.25" customHeight="1"/>
    <row r="60204" customFormat="1" ht="17.25" customHeight="1"/>
    <row r="60205" customFormat="1" ht="17.25" customHeight="1"/>
    <row r="60206" customFormat="1" ht="17.25" customHeight="1"/>
    <row r="60207" customFormat="1" ht="17.25" customHeight="1"/>
    <row r="60208" customFormat="1" ht="17.25" customHeight="1"/>
    <row r="60209" customFormat="1" ht="17.25" customHeight="1"/>
    <row r="60210" customFormat="1" ht="17.25" customHeight="1"/>
    <row r="60211" customFormat="1" ht="17.25" customHeight="1"/>
    <row r="60212" customFormat="1" ht="17.25" customHeight="1"/>
    <row r="60213" customFormat="1" ht="17.25" customHeight="1"/>
    <row r="60214" customFormat="1" ht="17.25" customHeight="1"/>
    <row r="60215" customFormat="1" ht="17.25" customHeight="1"/>
    <row r="60216" customFormat="1" ht="17.25" customHeight="1"/>
    <row r="60217" customFormat="1" ht="17.25" customHeight="1"/>
    <row r="60218" customFormat="1" ht="17.25" customHeight="1"/>
    <row r="60219" customFormat="1" ht="17.25" customHeight="1"/>
    <row r="60220" customFormat="1" ht="17.25" customHeight="1"/>
    <row r="60221" customFormat="1" ht="17.25" customHeight="1"/>
    <row r="60222" customFormat="1" ht="17.25" customHeight="1"/>
    <row r="60223" customFormat="1" ht="17.25" customHeight="1"/>
    <row r="60224" customFormat="1" ht="17.25" customHeight="1"/>
    <row r="60225" customFormat="1" ht="17.25" customHeight="1"/>
    <row r="60226" customFormat="1" ht="17.25" customHeight="1"/>
    <row r="60227" customFormat="1" ht="17.25" customHeight="1"/>
    <row r="60228" customFormat="1" ht="17.25" customHeight="1"/>
    <row r="60229" customFormat="1" ht="17.25" customHeight="1"/>
    <row r="60230" customFormat="1" ht="17.25" customHeight="1"/>
    <row r="60231" customFormat="1" ht="17.25" customHeight="1"/>
    <row r="60232" customFormat="1" ht="17.25" customHeight="1"/>
    <row r="60233" customFormat="1" ht="17.25" customHeight="1"/>
    <row r="60234" customFormat="1" ht="17.25" customHeight="1"/>
    <row r="60235" customFormat="1" ht="17.25" customHeight="1"/>
    <row r="60236" customFormat="1" ht="17.25" customHeight="1"/>
    <row r="60237" customFormat="1" ht="17.25" customHeight="1"/>
    <row r="60238" customFormat="1" ht="17.25" customHeight="1"/>
    <row r="60239" customFormat="1" ht="17.25" customHeight="1"/>
    <row r="60240" customFormat="1" ht="17.25" customHeight="1"/>
    <row r="60241" customFormat="1" ht="17.25" customHeight="1"/>
    <row r="60242" customFormat="1" ht="17.25" customHeight="1"/>
    <row r="60243" customFormat="1" ht="17.25" customHeight="1"/>
    <row r="60244" customFormat="1" ht="17.25" customHeight="1"/>
    <row r="60245" customFormat="1" ht="17.25" customHeight="1"/>
    <row r="60246" customFormat="1" ht="17.25" customHeight="1"/>
    <row r="60247" customFormat="1" ht="17.25" customHeight="1"/>
    <row r="60248" customFormat="1" ht="17.25" customHeight="1"/>
    <row r="60249" customFormat="1" ht="17.25" customHeight="1"/>
    <row r="60250" customFormat="1" ht="17.25" customHeight="1"/>
    <row r="60251" customFormat="1" ht="17.25" customHeight="1"/>
    <row r="60252" customFormat="1" ht="17.25" customHeight="1"/>
    <row r="60253" customFormat="1" ht="17.25" customHeight="1"/>
    <row r="60254" customFormat="1" ht="17.25" customHeight="1"/>
    <row r="60255" customFormat="1" ht="17.25" customHeight="1"/>
    <row r="60256" customFormat="1" ht="17.25" customHeight="1"/>
    <row r="60257" customFormat="1" ht="17.25" customHeight="1"/>
    <row r="60258" customFormat="1" ht="17.25" customHeight="1"/>
    <row r="60259" customFormat="1" ht="17.25" customHeight="1"/>
    <row r="60260" customFormat="1" ht="17.25" customHeight="1"/>
    <row r="60261" customFormat="1" ht="17.25" customHeight="1"/>
    <row r="60262" customFormat="1" ht="17.25" customHeight="1"/>
    <row r="60263" customFormat="1" ht="17.25" customHeight="1"/>
    <row r="60264" customFormat="1" ht="17.25" customHeight="1"/>
    <row r="60265" customFormat="1" ht="17.25" customHeight="1"/>
    <row r="60266" customFormat="1" ht="17.25" customHeight="1"/>
    <row r="60267" customFormat="1" ht="17.25" customHeight="1"/>
    <row r="60268" customFormat="1" ht="17.25" customHeight="1"/>
    <row r="60269" customFormat="1" ht="17.25" customHeight="1"/>
    <row r="60270" customFormat="1" ht="17.25" customHeight="1"/>
    <row r="60271" customFormat="1" ht="17.25" customHeight="1"/>
    <row r="60272" customFormat="1" ht="17.25" customHeight="1"/>
    <row r="60273" customFormat="1" ht="17.25" customHeight="1"/>
    <row r="60274" customFormat="1" ht="17.25" customHeight="1"/>
    <row r="60275" customFormat="1" ht="17.25" customHeight="1"/>
    <row r="60276" customFormat="1" ht="17.25" customHeight="1"/>
    <row r="60277" customFormat="1" ht="17.25" customHeight="1"/>
    <row r="60278" customFormat="1" ht="17.25" customHeight="1"/>
    <row r="60279" customFormat="1" ht="17.25" customHeight="1"/>
    <row r="60280" customFormat="1" ht="17.25" customHeight="1"/>
    <row r="60281" customFormat="1" ht="17.25" customHeight="1"/>
    <row r="60282" customFormat="1" ht="17.25" customHeight="1"/>
    <row r="60283" customFormat="1" ht="17.25" customHeight="1"/>
    <row r="60284" customFormat="1" ht="17.25" customHeight="1"/>
    <row r="60285" customFormat="1" ht="17.25" customHeight="1"/>
    <row r="60286" customFormat="1" ht="17.25" customHeight="1"/>
    <row r="60287" customFormat="1" ht="17.25" customHeight="1"/>
    <row r="60288" customFormat="1" ht="17.25" customHeight="1"/>
    <row r="60289" customFormat="1" ht="17.25" customHeight="1"/>
    <row r="60290" customFormat="1" ht="17.25" customHeight="1"/>
    <row r="60291" customFormat="1" ht="17.25" customHeight="1"/>
    <row r="60292" customFormat="1" ht="17.25" customHeight="1"/>
    <row r="60293" customFormat="1" ht="17.25" customHeight="1"/>
    <row r="60294" customFormat="1" ht="17.25" customHeight="1"/>
    <row r="60295" customFormat="1" ht="17.25" customHeight="1"/>
    <row r="60296" customFormat="1" ht="17.25" customHeight="1"/>
    <row r="60297" customFormat="1" ht="17.25" customHeight="1"/>
    <row r="60298" customFormat="1" ht="17.25" customHeight="1"/>
    <row r="60299" customFormat="1" ht="17.25" customHeight="1"/>
    <row r="60300" customFormat="1" ht="17.25" customHeight="1"/>
    <row r="60301" customFormat="1" ht="17.25" customHeight="1"/>
    <row r="60302" customFormat="1" ht="17.25" customHeight="1"/>
    <row r="60303" customFormat="1" ht="17.25" customHeight="1"/>
    <row r="60304" customFormat="1" ht="17.25" customHeight="1"/>
    <row r="60305" customFormat="1" ht="17.25" customHeight="1"/>
    <row r="60306" customFormat="1" ht="17.25" customHeight="1"/>
    <row r="60307" customFormat="1" ht="17.25" customHeight="1"/>
    <row r="60308" customFormat="1" ht="17.25" customHeight="1"/>
    <row r="60309" customFormat="1" ht="17.25" customHeight="1"/>
    <row r="60310" customFormat="1" ht="17.25" customHeight="1"/>
    <row r="60311" customFormat="1" ht="17.25" customHeight="1"/>
    <row r="60312" customFormat="1" ht="17.25" customHeight="1"/>
    <row r="60313" customFormat="1" ht="17.25" customHeight="1"/>
    <row r="60314" customFormat="1" ht="17.25" customHeight="1"/>
    <row r="60315" customFormat="1" ht="17.25" customHeight="1"/>
    <row r="60316" customFormat="1" ht="17.25" customHeight="1"/>
    <row r="60317" customFormat="1" ht="17.25" customHeight="1"/>
    <row r="60318" customFormat="1" ht="17.25" customHeight="1"/>
    <row r="60319" customFormat="1" ht="17.25" customHeight="1"/>
    <row r="60320" customFormat="1" ht="17.25" customHeight="1"/>
    <row r="60321" customFormat="1" ht="17.25" customHeight="1"/>
    <row r="60322" customFormat="1" ht="17.25" customHeight="1"/>
    <row r="60323" customFormat="1" ht="17.25" customHeight="1"/>
    <row r="60324" customFormat="1" ht="17.25" customHeight="1"/>
    <row r="60325" customFormat="1" ht="17.25" customHeight="1"/>
    <row r="60326" customFormat="1" ht="17.25" customHeight="1"/>
    <row r="60327" customFormat="1" ht="17.25" customHeight="1"/>
    <row r="60328" customFormat="1" ht="17.25" customHeight="1"/>
    <row r="60329" customFormat="1" ht="17.25" customHeight="1"/>
    <row r="60330" customFormat="1" ht="17.25" customHeight="1"/>
    <row r="60331" customFormat="1" ht="17.25" customHeight="1"/>
    <row r="60332" customFormat="1" ht="17.25" customHeight="1"/>
    <row r="60333" customFormat="1" ht="17.25" customHeight="1"/>
    <row r="60334" customFormat="1" ht="17.25" customHeight="1"/>
    <row r="60335" customFormat="1" ht="17.25" customHeight="1"/>
    <row r="60336" customFormat="1" ht="17.25" customHeight="1"/>
    <row r="60337" customFormat="1" ht="17.25" customHeight="1"/>
    <row r="60338" customFormat="1" ht="17.25" customHeight="1"/>
    <row r="60339" customFormat="1" ht="17.25" customHeight="1"/>
    <row r="60340" customFormat="1" ht="17.25" customHeight="1"/>
    <row r="60341" customFormat="1" ht="17.25" customHeight="1"/>
    <row r="60342" customFormat="1" ht="17.25" customHeight="1"/>
    <row r="60343" customFormat="1" ht="17.25" customHeight="1"/>
    <row r="60344" customFormat="1" ht="17.25" customHeight="1"/>
    <row r="60345" customFormat="1" ht="17.25" customHeight="1"/>
    <row r="60346" customFormat="1" ht="17.25" customHeight="1"/>
    <row r="60347" customFormat="1" ht="17.25" customHeight="1"/>
    <row r="60348" customFormat="1" ht="17.25" customHeight="1"/>
    <row r="60349" customFormat="1" ht="17.25" customHeight="1"/>
    <row r="60350" customFormat="1" ht="17.25" customHeight="1"/>
    <row r="60351" customFormat="1" ht="17.25" customHeight="1"/>
    <row r="60352" customFormat="1" ht="17.25" customHeight="1"/>
    <row r="60353" customFormat="1" ht="17.25" customHeight="1"/>
    <row r="60354" customFormat="1" ht="17.25" customHeight="1"/>
    <row r="60355" customFormat="1" ht="17.25" customHeight="1"/>
    <row r="60356" customFormat="1" ht="17.25" customHeight="1"/>
    <row r="60357" customFormat="1" ht="17.25" customHeight="1"/>
    <row r="60358" customFormat="1" ht="17.25" customHeight="1"/>
    <row r="60359" customFormat="1" ht="17.25" customHeight="1"/>
    <row r="60360" customFormat="1" ht="17.25" customHeight="1"/>
    <row r="60361" customFormat="1" ht="17.25" customHeight="1"/>
    <row r="60362" customFormat="1" ht="17.25" customHeight="1"/>
    <row r="60363" customFormat="1" ht="17.25" customHeight="1"/>
    <row r="60364" customFormat="1" ht="17.25" customHeight="1"/>
    <row r="60365" customFormat="1" ht="17.25" customHeight="1"/>
    <row r="60366" customFormat="1" ht="17.25" customHeight="1"/>
    <row r="60367" customFormat="1" ht="17.25" customHeight="1"/>
    <row r="60368" customFormat="1" ht="17.25" customHeight="1"/>
    <row r="60369" customFormat="1" ht="17.25" customHeight="1"/>
    <row r="60370" customFormat="1" ht="17.25" customHeight="1"/>
    <row r="60371" customFormat="1" ht="17.25" customHeight="1"/>
    <row r="60372" customFormat="1" ht="17.25" customHeight="1"/>
    <row r="60373" customFormat="1" ht="17.25" customHeight="1"/>
    <row r="60374" customFormat="1" ht="17.25" customHeight="1"/>
    <row r="60375" customFormat="1" ht="17.25" customHeight="1"/>
    <row r="60376" customFormat="1" ht="17.25" customHeight="1"/>
    <row r="60377" customFormat="1" ht="17.25" customHeight="1"/>
    <row r="60378" customFormat="1" ht="17.25" customHeight="1"/>
    <row r="60379" customFormat="1" ht="17.25" customHeight="1"/>
    <row r="60380" customFormat="1" ht="17.25" customHeight="1"/>
    <row r="60381" customFormat="1" ht="17.25" customHeight="1"/>
    <row r="60382" customFormat="1" ht="17.25" customHeight="1"/>
    <row r="60383" customFormat="1" ht="17.25" customHeight="1"/>
    <row r="60384" customFormat="1" ht="17.25" customHeight="1"/>
    <row r="60385" customFormat="1" ht="17.25" customHeight="1"/>
    <row r="60386" customFormat="1" ht="17.25" customHeight="1"/>
    <row r="60387" customFormat="1" ht="17.25" customHeight="1"/>
    <row r="60388" customFormat="1" ht="17.25" customHeight="1"/>
    <row r="60389" customFormat="1" ht="17.25" customHeight="1"/>
    <row r="60390" customFormat="1" ht="17.25" customHeight="1"/>
    <row r="60391" customFormat="1" ht="17.25" customHeight="1"/>
    <row r="60392" customFormat="1" ht="17.25" customHeight="1"/>
    <row r="60393" customFormat="1" ht="17.25" customHeight="1"/>
    <row r="60394" customFormat="1" ht="17.25" customHeight="1"/>
    <row r="60395" customFormat="1" ht="17.25" customHeight="1"/>
    <row r="60396" customFormat="1" ht="17.25" customHeight="1"/>
    <row r="60397" customFormat="1" ht="17.25" customHeight="1"/>
    <row r="60398" customFormat="1" ht="17.25" customHeight="1"/>
    <row r="60399" customFormat="1" ht="17.25" customHeight="1"/>
    <row r="60400" customFormat="1" ht="17.25" customHeight="1"/>
    <row r="60401" customFormat="1" ht="17.25" customHeight="1"/>
    <row r="60402" customFormat="1" ht="17.25" customHeight="1"/>
    <row r="60403" customFormat="1" ht="17.25" customHeight="1"/>
    <row r="60404" customFormat="1" ht="17.25" customHeight="1"/>
    <row r="60405" customFormat="1" ht="17.25" customHeight="1"/>
    <row r="60406" customFormat="1" ht="17.25" customHeight="1"/>
    <row r="60407" customFormat="1" ht="17.25" customHeight="1"/>
    <row r="60408" customFormat="1" ht="17.25" customHeight="1"/>
    <row r="60409" customFormat="1" ht="17.25" customHeight="1"/>
    <row r="60410" customFormat="1" ht="17.25" customHeight="1"/>
    <row r="60411" customFormat="1" ht="17.25" customHeight="1"/>
    <row r="60412" customFormat="1" ht="17.25" customHeight="1"/>
    <row r="60413" customFormat="1" ht="17.25" customHeight="1"/>
    <row r="60414" customFormat="1" ht="17.25" customHeight="1"/>
    <row r="60415" customFormat="1" ht="17.25" customHeight="1"/>
    <row r="60416" customFormat="1" ht="17.25" customHeight="1"/>
    <row r="60417" customFormat="1" ht="17.25" customHeight="1"/>
    <row r="60418" customFormat="1" ht="17.25" customHeight="1"/>
    <row r="60419" customFormat="1" ht="17.25" customHeight="1"/>
    <row r="60420" customFormat="1" ht="17.25" customHeight="1"/>
    <row r="60421" customFormat="1" ht="17.25" customHeight="1"/>
    <row r="60422" customFormat="1" ht="17.25" customHeight="1"/>
    <row r="60423" customFormat="1" ht="17.25" customHeight="1"/>
    <row r="60424" customFormat="1" ht="17.25" customHeight="1"/>
    <row r="60425" customFormat="1" ht="17.25" customHeight="1"/>
    <row r="60426" customFormat="1" ht="17.25" customHeight="1"/>
    <row r="60427" customFormat="1" ht="17.25" customHeight="1"/>
    <row r="60428" customFormat="1" ht="17.25" customHeight="1"/>
    <row r="60429" customFormat="1" ht="17.25" customHeight="1"/>
    <row r="60430" customFormat="1" ht="17.25" customHeight="1"/>
    <row r="60431" customFormat="1" ht="17.25" customHeight="1"/>
    <row r="60432" customFormat="1" ht="17.25" customHeight="1"/>
    <row r="60433" customFormat="1" ht="17.25" customHeight="1"/>
    <row r="60434" customFormat="1" ht="17.25" customHeight="1"/>
    <row r="60435" customFormat="1" ht="17.25" customHeight="1"/>
    <row r="60436" customFormat="1" ht="17.25" customHeight="1"/>
    <row r="60437" customFormat="1" ht="17.25" customHeight="1"/>
    <row r="60438" customFormat="1" ht="17.25" customHeight="1"/>
    <row r="60439" customFormat="1" ht="17.25" customHeight="1"/>
    <row r="60440" customFormat="1" ht="17.25" customHeight="1"/>
    <row r="60441" customFormat="1" ht="17.25" customHeight="1"/>
    <row r="60442" customFormat="1" ht="17.25" customHeight="1"/>
    <row r="60443" customFormat="1" ht="17.25" customHeight="1"/>
    <row r="60444" customFormat="1" ht="17.25" customHeight="1"/>
    <row r="60445" customFormat="1" ht="17.25" customHeight="1"/>
    <row r="60446" customFormat="1" ht="17.25" customHeight="1"/>
    <row r="60447" customFormat="1" ht="17.25" customHeight="1"/>
    <row r="60448" customFormat="1" ht="17.25" customHeight="1"/>
    <row r="60449" customFormat="1" ht="17.25" customHeight="1"/>
    <row r="60450" customFormat="1" ht="17.25" customHeight="1"/>
    <row r="60451" customFormat="1" ht="17.25" customHeight="1"/>
    <row r="60452" customFormat="1" ht="17.25" customHeight="1"/>
    <row r="60453" customFormat="1" ht="17.25" customHeight="1"/>
    <row r="60454" customFormat="1" ht="17.25" customHeight="1"/>
    <row r="60455" customFormat="1" ht="17.25" customHeight="1"/>
    <row r="60456" customFormat="1" ht="17.25" customHeight="1"/>
    <row r="60457" customFormat="1" ht="17.25" customHeight="1"/>
    <row r="60458" customFormat="1" ht="17.25" customHeight="1"/>
    <row r="60459" customFormat="1" ht="17.25" customHeight="1"/>
    <row r="60460" customFormat="1" ht="17.25" customHeight="1"/>
    <row r="60461" customFormat="1" ht="17.25" customHeight="1"/>
    <row r="60462" customFormat="1" ht="17.25" customHeight="1"/>
    <row r="60463" customFormat="1" ht="17.25" customHeight="1"/>
    <row r="60464" customFormat="1" ht="17.25" customHeight="1"/>
    <row r="60465" customFormat="1" ht="17.25" customHeight="1"/>
    <row r="60466" customFormat="1" ht="17.25" customHeight="1"/>
    <row r="60467" customFormat="1" ht="17.25" customHeight="1"/>
    <row r="60468" customFormat="1" ht="17.25" customHeight="1"/>
    <row r="60469" customFormat="1" ht="17.25" customHeight="1"/>
    <row r="60470" customFormat="1" ht="17.25" customHeight="1"/>
    <row r="60471" customFormat="1" ht="17.25" customHeight="1"/>
    <row r="60472" customFormat="1" ht="17.25" customHeight="1"/>
    <row r="60473" customFormat="1" ht="17.25" customHeight="1"/>
    <row r="60474" customFormat="1" ht="17.25" customHeight="1"/>
    <row r="60475" customFormat="1" ht="17.25" customHeight="1"/>
    <row r="60476" customFormat="1" ht="17.25" customHeight="1"/>
    <row r="60477" customFormat="1" ht="17.25" customHeight="1"/>
    <row r="60478" customFormat="1" ht="17.25" customHeight="1"/>
    <row r="60479" customFormat="1" ht="17.25" customHeight="1"/>
    <row r="60480" customFormat="1" ht="17.25" customHeight="1"/>
    <row r="60481" customFormat="1" ht="17.25" customHeight="1"/>
    <row r="60482" customFormat="1" ht="17.25" customHeight="1"/>
    <row r="60483" customFormat="1" ht="17.25" customHeight="1"/>
    <row r="60484" customFormat="1" ht="17.25" customHeight="1"/>
    <row r="60485" customFormat="1" ht="17.25" customHeight="1"/>
    <row r="60486" customFormat="1" ht="17.25" customHeight="1"/>
    <row r="60487" customFormat="1" ht="17.25" customHeight="1"/>
    <row r="60488" customFormat="1" ht="17.25" customHeight="1"/>
    <row r="60489" customFormat="1" ht="17.25" customHeight="1"/>
    <row r="60490" customFormat="1" ht="17.25" customHeight="1"/>
    <row r="60491" customFormat="1" ht="17.25" customHeight="1"/>
    <row r="60492" customFormat="1" ht="17.25" customHeight="1"/>
    <row r="60493" customFormat="1" ht="17.25" customHeight="1"/>
    <row r="60494" customFormat="1" ht="17.25" customHeight="1"/>
    <row r="60495" customFormat="1" ht="17.25" customHeight="1"/>
    <row r="60496" customFormat="1" ht="17.25" customHeight="1"/>
    <row r="60497" customFormat="1" ht="17.25" customHeight="1"/>
    <row r="60498" customFormat="1" ht="17.25" customHeight="1"/>
    <row r="60499" customFormat="1" ht="17.25" customHeight="1"/>
    <row r="60500" customFormat="1" ht="17.25" customHeight="1"/>
    <row r="60501" customFormat="1" ht="17.25" customHeight="1"/>
    <row r="60502" customFormat="1" ht="17.25" customHeight="1"/>
    <row r="60503" customFormat="1" ht="17.25" customHeight="1"/>
    <row r="60504" customFormat="1" ht="17.25" customHeight="1"/>
    <row r="60505" customFormat="1" ht="17.25" customHeight="1"/>
    <row r="60506" customFormat="1" ht="17.25" customHeight="1"/>
    <row r="60507" customFormat="1" ht="17.25" customHeight="1"/>
    <row r="60508" customFormat="1" ht="17.25" customHeight="1"/>
    <row r="60509" customFormat="1" ht="17.25" customHeight="1"/>
    <row r="60510" customFormat="1" ht="17.25" customHeight="1"/>
    <row r="60511" customFormat="1" ht="17.25" customHeight="1"/>
    <row r="60512" customFormat="1" ht="17.25" customHeight="1"/>
    <row r="60513" customFormat="1" ht="17.25" customHeight="1"/>
    <row r="60514" customFormat="1" ht="17.25" customHeight="1"/>
    <row r="60515" customFormat="1" ht="17.25" customHeight="1"/>
    <row r="60516" customFormat="1" ht="17.25" customHeight="1"/>
    <row r="60517" customFormat="1" ht="17.25" customHeight="1"/>
    <row r="60518" customFormat="1" ht="17.25" customHeight="1"/>
    <row r="60519" customFormat="1" ht="17.25" customHeight="1"/>
    <row r="60520" customFormat="1" ht="17.25" customHeight="1"/>
    <row r="60521" customFormat="1" ht="17.25" customHeight="1"/>
    <row r="60522" customFormat="1" ht="17.25" customHeight="1"/>
    <row r="60523" customFormat="1" ht="17.25" customHeight="1"/>
    <row r="60524" customFormat="1" ht="17.25" customHeight="1"/>
    <row r="60525" customFormat="1" ht="17.25" customHeight="1"/>
    <row r="60526" customFormat="1" ht="17.25" customHeight="1"/>
    <row r="60527" customFormat="1" ht="17.25" customHeight="1"/>
    <row r="60528" customFormat="1" ht="17.25" customHeight="1"/>
    <row r="60529" customFormat="1" ht="17.25" customHeight="1"/>
    <row r="60530" customFormat="1" ht="17.25" customHeight="1"/>
    <row r="60531" customFormat="1" ht="17.25" customHeight="1"/>
    <row r="60532" customFormat="1" ht="17.25" customHeight="1"/>
    <row r="60533" customFormat="1" ht="17.25" customHeight="1"/>
    <row r="60534" customFormat="1" ht="17.25" customHeight="1"/>
    <row r="60535" customFormat="1" ht="17.25" customHeight="1"/>
    <row r="60536" customFormat="1" ht="17.25" customHeight="1"/>
    <row r="60537" customFormat="1" ht="17.25" customHeight="1"/>
    <row r="60538" customFormat="1" ht="17.25" customHeight="1"/>
    <row r="60539" customFormat="1" ht="17.25" customHeight="1"/>
    <row r="60540" customFormat="1" ht="17.25" customHeight="1"/>
    <row r="60541" customFormat="1" ht="17.25" customHeight="1"/>
    <row r="60542" customFormat="1" ht="17.25" customHeight="1"/>
    <row r="60543" customFormat="1" ht="17.25" customHeight="1"/>
    <row r="60544" customFormat="1" ht="17.25" customHeight="1"/>
    <row r="60545" customFormat="1" ht="17.25" customHeight="1"/>
    <row r="60546" customFormat="1" ht="17.25" customHeight="1"/>
    <row r="60547" customFormat="1" ht="17.25" customHeight="1"/>
    <row r="60548" customFormat="1" ht="17.25" customHeight="1"/>
    <row r="60549" customFormat="1" ht="17.25" customHeight="1"/>
    <row r="60550" customFormat="1" ht="17.25" customHeight="1"/>
    <row r="60551" customFormat="1" ht="17.25" customHeight="1"/>
    <row r="60552" customFormat="1" ht="17.25" customHeight="1"/>
    <row r="60553" customFormat="1" ht="17.25" customHeight="1"/>
    <row r="60554" customFormat="1" ht="17.25" customHeight="1"/>
    <row r="60555" customFormat="1" ht="17.25" customHeight="1"/>
    <row r="60556" customFormat="1" ht="17.25" customHeight="1"/>
    <row r="60557" customFormat="1" ht="17.25" customHeight="1"/>
    <row r="60558" customFormat="1" ht="17.25" customHeight="1"/>
    <row r="60559" customFormat="1" ht="17.25" customHeight="1"/>
    <row r="60560" customFormat="1" ht="17.25" customHeight="1"/>
    <row r="60561" customFormat="1" ht="17.25" customHeight="1"/>
    <row r="60562" customFormat="1" ht="17.25" customHeight="1"/>
    <row r="60563" customFormat="1" ht="17.25" customHeight="1"/>
    <row r="60564" customFormat="1" ht="17.25" customHeight="1"/>
    <row r="60565" customFormat="1" ht="17.25" customHeight="1"/>
    <row r="60566" customFormat="1" ht="17.25" customHeight="1"/>
    <row r="60567" customFormat="1" ht="17.25" customHeight="1"/>
    <row r="60568" customFormat="1" ht="17.25" customHeight="1"/>
    <row r="60569" customFormat="1" ht="17.25" customHeight="1"/>
    <row r="60570" customFormat="1" ht="17.25" customHeight="1"/>
    <row r="60571" customFormat="1" ht="17.25" customHeight="1"/>
    <row r="60572" customFormat="1" ht="17.25" customHeight="1"/>
    <row r="60573" customFormat="1" ht="17.25" customHeight="1"/>
    <row r="60574" customFormat="1" ht="17.25" customHeight="1"/>
    <row r="60575" customFormat="1" ht="17.25" customHeight="1"/>
    <row r="60576" customFormat="1" ht="17.25" customHeight="1"/>
    <row r="60577" customFormat="1" ht="17.25" customHeight="1"/>
    <row r="60578" customFormat="1" ht="17.25" customHeight="1"/>
    <row r="60579" customFormat="1" ht="17.25" customHeight="1"/>
    <row r="60580" customFormat="1" ht="17.25" customHeight="1"/>
    <row r="60581" customFormat="1" ht="17.25" customHeight="1"/>
    <row r="60582" customFormat="1" ht="17.25" customHeight="1"/>
    <row r="60583" customFormat="1" ht="17.25" customHeight="1"/>
    <row r="60584" customFormat="1" ht="17.25" customHeight="1"/>
    <row r="60585" customFormat="1" ht="17.25" customHeight="1"/>
    <row r="60586" customFormat="1" ht="17.25" customHeight="1"/>
    <row r="60587" customFormat="1" ht="17.25" customHeight="1"/>
    <row r="60588" customFormat="1" ht="17.25" customHeight="1"/>
    <row r="60589" customFormat="1" ht="17.25" customHeight="1"/>
    <row r="60590" customFormat="1" ht="17.25" customHeight="1"/>
    <row r="60591" customFormat="1" ht="17.25" customHeight="1"/>
    <row r="60592" customFormat="1" ht="17.25" customHeight="1"/>
    <row r="60593" customFormat="1" ht="17.25" customHeight="1"/>
    <row r="60594" customFormat="1" ht="17.25" customHeight="1"/>
    <row r="60595" customFormat="1" ht="17.25" customHeight="1"/>
    <row r="60596" customFormat="1" ht="17.25" customHeight="1"/>
    <row r="60597" customFormat="1" ht="17.25" customHeight="1"/>
    <row r="60598" customFormat="1" ht="17.25" customHeight="1"/>
    <row r="60599" customFormat="1" ht="17.25" customHeight="1"/>
    <row r="60600" customFormat="1" ht="17.25" customHeight="1"/>
    <row r="60601" customFormat="1" ht="17.25" customHeight="1"/>
    <row r="60602" customFormat="1" ht="17.25" customHeight="1"/>
    <row r="60603" customFormat="1" ht="17.25" customHeight="1"/>
    <row r="60604" customFormat="1" ht="17.25" customHeight="1"/>
    <row r="60605" customFormat="1" ht="17.25" customHeight="1"/>
    <row r="60606" customFormat="1" ht="17.25" customHeight="1"/>
    <row r="60607" customFormat="1" ht="17.25" customHeight="1"/>
    <row r="60608" customFormat="1" ht="17.25" customHeight="1"/>
    <row r="60609" customFormat="1" ht="17.25" customHeight="1"/>
    <row r="60610" customFormat="1" ht="17.25" customHeight="1"/>
    <row r="60611" customFormat="1" ht="17.25" customHeight="1"/>
    <row r="60612" customFormat="1" ht="17.25" customHeight="1"/>
    <row r="60613" customFormat="1" ht="17.25" customHeight="1"/>
    <row r="60614" customFormat="1" ht="17.25" customHeight="1"/>
    <row r="60615" customFormat="1" ht="17.25" customHeight="1"/>
    <row r="60616" customFormat="1" ht="17.25" customHeight="1"/>
    <row r="60617" customFormat="1" ht="17.25" customHeight="1"/>
    <row r="60618" customFormat="1" ht="17.25" customHeight="1"/>
    <row r="60619" customFormat="1" ht="17.25" customHeight="1"/>
    <row r="60620" customFormat="1" ht="17.25" customHeight="1"/>
    <row r="60621" customFormat="1" ht="17.25" customHeight="1"/>
    <row r="60622" customFormat="1" ht="17.25" customHeight="1"/>
    <row r="60623" customFormat="1" ht="17.25" customHeight="1"/>
    <row r="60624" customFormat="1" ht="17.25" customHeight="1"/>
    <row r="60625" customFormat="1" ht="17.25" customHeight="1"/>
    <row r="60626" customFormat="1" ht="17.25" customHeight="1"/>
    <row r="60627" customFormat="1" ht="17.25" customHeight="1"/>
    <row r="60628" customFormat="1" ht="17.25" customHeight="1"/>
    <row r="60629" customFormat="1" ht="17.25" customHeight="1"/>
    <row r="60630" customFormat="1" ht="17.25" customHeight="1"/>
    <row r="60631" customFormat="1" ht="17.25" customHeight="1"/>
    <row r="60632" customFormat="1" ht="17.25" customHeight="1"/>
    <row r="60633" customFormat="1" ht="17.25" customHeight="1"/>
    <row r="60634" customFormat="1" ht="17.25" customHeight="1"/>
    <row r="60635" customFormat="1" ht="17.25" customHeight="1"/>
    <row r="60636" customFormat="1" ht="17.25" customHeight="1"/>
    <row r="60637" customFormat="1" ht="17.25" customHeight="1"/>
    <row r="60638" customFormat="1" ht="17.25" customHeight="1"/>
    <row r="60639" customFormat="1" ht="17.25" customHeight="1"/>
    <row r="60640" customFormat="1" ht="17.25" customHeight="1"/>
    <row r="60641" customFormat="1" ht="17.25" customHeight="1"/>
    <row r="60642" customFormat="1" ht="17.25" customHeight="1"/>
    <row r="60643" customFormat="1" ht="17.25" customHeight="1"/>
    <row r="60644" customFormat="1" ht="17.25" customHeight="1"/>
    <row r="60645" customFormat="1" ht="17.25" customHeight="1"/>
    <row r="60646" customFormat="1" ht="17.25" customHeight="1"/>
    <row r="60647" customFormat="1" ht="17.25" customHeight="1"/>
    <row r="60648" customFormat="1" ht="17.25" customHeight="1"/>
    <row r="60649" customFormat="1" ht="17.25" customHeight="1"/>
    <row r="60650" customFormat="1" ht="17.25" customHeight="1"/>
    <row r="60651" customFormat="1" ht="17.25" customHeight="1"/>
    <row r="60652" customFormat="1" ht="17.25" customHeight="1"/>
    <row r="60653" customFormat="1" ht="17.25" customHeight="1"/>
    <row r="60654" customFormat="1" ht="17.25" customHeight="1"/>
    <row r="60655" customFormat="1" ht="17.25" customHeight="1"/>
    <row r="60656" customFormat="1" ht="17.25" customHeight="1"/>
    <row r="60657" customFormat="1" ht="17.25" customHeight="1"/>
    <row r="60658" customFormat="1" ht="17.25" customHeight="1"/>
    <row r="60659" customFormat="1" ht="17.25" customHeight="1"/>
    <row r="60660" customFormat="1" ht="17.25" customHeight="1"/>
    <row r="60661" customFormat="1" ht="17.25" customHeight="1"/>
    <row r="60662" customFormat="1" ht="17.25" customHeight="1"/>
    <row r="60663" customFormat="1" ht="17.25" customHeight="1"/>
    <row r="60664" customFormat="1" ht="17.25" customHeight="1"/>
    <row r="60665" customFormat="1" ht="17.25" customHeight="1"/>
    <row r="60666" customFormat="1" ht="17.25" customHeight="1"/>
    <row r="60667" customFormat="1" ht="17.25" customHeight="1"/>
    <row r="60668" customFormat="1" ht="17.25" customHeight="1"/>
    <row r="60669" customFormat="1" ht="17.25" customHeight="1"/>
    <row r="60670" customFormat="1" ht="17.25" customHeight="1"/>
    <row r="60671" customFormat="1" ht="17.25" customHeight="1"/>
    <row r="60672" customFormat="1" ht="17.25" customHeight="1"/>
    <row r="60673" customFormat="1" ht="17.25" customHeight="1"/>
    <row r="60674" customFormat="1" ht="17.25" customHeight="1"/>
    <row r="60675" customFormat="1" ht="17.25" customHeight="1"/>
    <row r="60676" customFormat="1" ht="17.25" customHeight="1"/>
    <row r="60677" customFormat="1" ht="17.25" customHeight="1"/>
    <row r="60678" customFormat="1" ht="17.25" customHeight="1"/>
    <row r="60679" customFormat="1" ht="17.25" customHeight="1"/>
    <row r="60680" customFormat="1" ht="17.25" customHeight="1"/>
    <row r="60681" customFormat="1" ht="17.25" customHeight="1"/>
    <row r="60682" customFormat="1" ht="17.25" customHeight="1"/>
    <row r="60683" customFormat="1" ht="17.25" customHeight="1"/>
    <row r="60684" customFormat="1" ht="17.25" customHeight="1"/>
    <row r="60685" customFormat="1" ht="17.25" customHeight="1"/>
    <row r="60686" customFormat="1" ht="17.25" customHeight="1"/>
    <row r="60687" customFormat="1" ht="17.25" customHeight="1"/>
    <row r="60688" customFormat="1" ht="17.25" customHeight="1"/>
    <row r="60689" customFormat="1" ht="17.25" customHeight="1"/>
    <row r="60690" customFormat="1" ht="17.25" customHeight="1"/>
    <row r="60691" customFormat="1" ht="17.25" customHeight="1"/>
    <row r="60692" customFormat="1" ht="17.25" customHeight="1"/>
    <row r="60693" customFormat="1" ht="17.25" customHeight="1"/>
    <row r="60694" customFormat="1" ht="17.25" customHeight="1"/>
    <row r="60695" customFormat="1" ht="17.25" customHeight="1"/>
    <row r="60696" customFormat="1" ht="17.25" customHeight="1"/>
    <row r="60697" customFormat="1" ht="17.25" customHeight="1"/>
    <row r="60698" customFormat="1" ht="17.25" customHeight="1"/>
    <row r="60699" customFormat="1" ht="17.25" customHeight="1"/>
    <row r="60700" customFormat="1" ht="17.25" customHeight="1"/>
    <row r="60701" customFormat="1" ht="17.25" customHeight="1"/>
    <row r="60702" customFormat="1" ht="17.25" customHeight="1"/>
    <row r="60703" customFormat="1" ht="17.25" customHeight="1"/>
    <row r="60704" customFormat="1" ht="17.25" customHeight="1"/>
    <row r="60705" customFormat="1" ht="17.25" customHeight="1"/>
    <row r="60706" customFormat="1" ht="17.25" customHeight="1"/>
    <row r="60707" customFormat="1" ht="17.25" customHeight="1"/>
    <row r="60708" customFormat="1" ht="17.25" customHeight="1"/>
    <row r="60709" customFormat="1" ht="17.25" customHeight="1"/>
    <row r="60710" customFormat="1" ht="17.25" customHeight="1"/>
    <row r="60711" customFormat="1" ht="17.25" customHeight="1"/>
    <row r="60712" customFormat="1" ht="17.25" customHeight="1"/>
    <row r="60713" customFormat="1" ht="17.25" customHeight="1"/>
    <row r="60714" customFormat="1" ht="17.25" customHeight="1"/>
    <row r="60715" customFormat="1" ht="17.25" customHeight="1"/>
    <row r="60716" customFormat="1" ht="17.25" customHeight="1"/>
    <row r="60717" customFormat="1" ht="17.25" customHeight="1"/>
    <row r="60718" customFormat="1" ht="17.25" customHeight="1"/>
    <row r="60719" customFormat="1" ht="17.25" customHeight="1"/>
    <row r="60720" customFormat="1" ht="17.25" customHeight="1"/>
    <row r="60721" customFormat="1" ht="17.25" customHeight="1"/>
    <row r="60722" customFormat="1" ht="17.25" customHeight="1"/>
    <row r="60723" customFormat="1" ht="17.25" customHeight="1"/>
    <row r="60724" customFormat="1" ht="17.25" customHeight="1"/>
    <row r="60725" customFormat="1" ht="17.25" customHeight="1"/>
    <row r="60726" customFormat="1" ht="17.25" customHeight="1"/>
    <row r="60727" customFormat="1" ht="17.25" customHeight="1"/>
    <row r="60728" customFormat="1" ht="17.25" customHeight="1"/>
    <row r="60729" customFormat="1" ht="17.25" customHeight="1"/>
    <row r="60730" customFormat="1" ht="17.25" customHeight="1"/>
    <row r="60731" customFormat="1" ht="17.25" customHeight="1"/>
    <row r="60732" customFormat="1" ht="17.25" customHeight="1"/>
    <row r="60733" customFormat="1" ht="17.25" customHeight="1"/>
    <row r="60734" customFormat="1" ht="17.25" customHeight="1"/>
    <row r="60735" customFormat="1" ht="17.25" customHeight="1"/>
    <row r="60736" customFormat="1" ht="17.25" customHeight="1"/>
    <row r="60737" customFormat="1" ht="17.25" customHeight="1"/>
    <row r="60738" customFormat="1" ht="17.25" customHeight="1"/>
    <row r="60739" customFormat="1" ht="17.25" customHeight="1"/>
    <row r="60740" customFormat="1" ht="17.25" customHeight="1"/>
    <row r="60741" customFormat="1" ht="17.25" customHeight="1"/>
    <row r="60742" customFormat="1" ht="17.25" customHeight="1"/>
    <row r="60743" customFormat="1" ht="17.25" customHeight="1"/>
    <row r="60744" customFormat="1" ht="17.25" customHeight="1"/>
    <row r="60745" customFormat="1" ht="17.25" customHeight="1"/>
    <row r="60746" customFormat="1" ht="17.25" customHeight="1"/>
    <row r="60747" customFormat="1" ht="17.25" customHeight="1"/>
    <row r="60748" customFormat="1" ht="17.25" customHeight="1"/>
    <row r="60749" customFormat="1" ht="17.25" customHeight="1"/>
    <row r="60750" customFormat="1" ht="17.25" customHeight="1"/>
    <row r="60751" customFormat="1" ht="17.25" customHeight="1"/>
    <row r="60752" customFormat="1" ht="17.25" customHeight="1"/>
    <row r="60753" customFormat="1" ht="17.25" customHeight="1"/>
    <row r="60754" customFormat="1" ht="17.25" customHeight="1"/>
    <row r="60755" customFormat="1" ht="17.25" customHeight="1"/>
    <row r="60756" customFormat="1" ht="17.25" customHeight="1"/>
    <row r="60757" customFormat="1" ht="17.25" customHeight="1"/>
    <row r="60758" customFormat="1" ht="17.25" customHeight="1"/>
    <row r="60759" customFormat="1" ht="17.25" customHeight="1"/>
    <row r="60760" customFormat="1" ht="17.25" customHeight="1"/>
    <row r="60761" customFormat="1" ht="17.25" customHeight="1"/>
    <row r="60762" customFormat="1" ht="17.25" customHeight="1"/>
    <row r="60763" customFormat="1" ht="17.25" customHeight="1"/>
    <row r="60764" customFormat="1" ht="17.25" customHeight="1"/>
    <row r="60765" customFormat="1" ht="17.25" customHeight="1"/>
    <row r="60766" customFormat="1" ht="17.25" customHeight="1"/>
    <row r="60767" customFormat="1" ht="17.25" customHeight="1"/>
    <row r="60768" customFormat="1" ht="17.25" customHeight="1"/>
    <row r="60769" customFormat="1" ht="17.25" customHeight="1"/>
    <row r="60770" customFormat="1" ht="17.25" customHeight="1"/>
    <row r="60771" customFormat="1" ht="17.25" customHeight="1"/>
    <row r="60772" customFormat="1" ht="17.25" customHeight="1"/>
    <row r="60773" customFormat="1" ht="17.25" customHeight="1"/>
    <row r="60774" customFormat="1" ht="17.25" customHeight="1"/>
    <row r="60775" customFormat="1" ht="17.25" customHeight="1"/>
    <row r="60776" customFormat="1" ht="17.25" customHeight="1"/>
    <row r="60777" customFormat="1" ht="17.25" customHeight="1"/>
    <row r="60778" customFormat="1" ht="17.25" customHeight="1"/>
    <row r="60779" customFormat="1" ht="17.25" customHeight="1"/>
    <row r="60780" customFormat="1" ht="17.25" customHeight="1"/>
    <row r="60781" customFormat="1" ht="17.25" customHeight="1"/>
    <row r="60782" customFormat="1" ht="17.25" customHeight="1"/>
    <row r="60783" customFormat="1" ht="17.25" customHeight="1"/>
    <row r="60784" customFormat="1" ht="17.25" customHeight="1"/>
    <row r="60785" customFormat="1" ht="17.25" customHeight="1"/>
    <row r="60786" customFormat="1" ht="17.25" customHeight="1"/>
    <row r="60787" customFormat="1" ht="17.25" customHeight="1"/>
    <row r="60788" customFormat="1" ht="17.25" customHeight="1"/>
    <row r="60789" customFormat="1" ht="17.25" customHeight="1"/>
    <row r="60790" customFormat="1" ht="17.25" customHeight="1"/>
    <row r="60791" customFormat="1" ht="17.25" customHeight="1"/>
    <row r="60792" customFormat="1" ht="17.25" customHeight="1"/>
    <row r="60793" customFormat="1" ht="17.25" customHeight="1"/>
    <row r="60794" customFormat="1" ht="17.25" customHeight="1"/>
    <row r="60795" customFormat="1" ht="17.25" customHeight="1"/>
    <row r="60796" customFormat="1" ht="17.25" customHeight="1"/>
    <row r="60797" customFormat="1" ht="17.25" customHeight="1"/>
    <row r="60798" customFormat="1" ht="17.25" customHeight="1"/>
    <row r="60799" customFormat="1" ht="17.25" customHeight="1"/>
    <row r="60800" customFormat="1" ht="17.25" customHeight="1"/>
    <row r="60801" customFormat="1" ht="17.25" customHeight="1"/>
    <row r="60802" customFormat="1" ht="17.25" customHeight="1"/>
    <row r="60803" customFormat="1" ht="17.25" customHeight="1"/>
    <row r="60804" customFormat="1" ht="17.25" customHeight="1"/>
    <row r="60805" customFormat="1" ht="17.25" customHeight="1"/>
    <row r="60806" customFormat="1" ht="17.25" customHeight="1"/>
    <row r="60807" customFormat="1" ht="17.25" customHeight="1"/>
    <row r="60808" customFormat="1" ht="17.25" customHeight="1"/>
    <row r="60809" customFormat="1" ht="17.25" customHeight="1"/>
    <row r="60810" customFormat="1" ht="17.25" customHeight="1"/>
    <row r="60811" customFormat="1" ht="17.25" customHeight="1"/>
    <row r="60812" customFormat="1" ht="17.25" customHeight="1"/>
    <row r="60813" customFormat="1" ht="17.25" customHeight="1"/>
    <row r="60814" customFormat="1" ht="17.25" customHeight="1"/>
    <row r="60815" customFormat="1" ht="17.25" customHeight="1"/>
    <row r="60816" customFormat="1" ht="17.25" customHeight="1"/>
    <row r="60817" customFormat="1" ht="17.25" customHeight="1"/>
    <row r="60818" customFormat="1" ht="17.25" customHeight="1"/>
    <row r="60819" customFormat="1" ht="17.25" customHeight="1"/>
    <row r="60820" customFormat="1" ht="17.25" customHeight="1"/>
    <row r="60821" customFormat="1" ht="17.25" customHeight="1"/>
    <row r="60822" customFormat="1" ht="17.25" customHeight="1"/>
    <row r="60823" customFormat="1" ht="17.25" customHeight="1"/>
    <row r="60824" customFormat="1" ht="17.25" customHeight="1"/>
    <row r="60825" customFormat="1" ht="17.25" customHeight="1"/>
    <row r="60826" customFormat="1" ht="17.25" customHeight="1"/>
    <row r="60827" customFormat="1" ht="17.25" customHeight="1"/>
    <row r="60828" customFormat="1" ht="17.25" customHeight="1"/>
    <row r="60829" customFormat="1" ht="17.25" customHeight="1"/>
    <row r="60830" customFormat="1" ht="17.25" customHeight="1"/>
    <row r="60831" customFormat="1" ht="17.25" customHeight="1"/>
    <row r="60832" customFormat="1" ht="17.25" customHeight="1"/>
    <row r="60833" customFormat="1" ht="17.25" customHeight="1"/>
    <row r="60834" customFormat="1" ht="17.25" customHeight="1"/>
    <row r="60835" customFormat="1" ht="17.25" customHeight="1"/>
    <row r="60836" customFormat="1" ht="17.25" customHeight="1"/>
    <row r="60837" customFormat="1" ht="17.25" customHeight="1"/>
    <row r="60838" customFormat="1" ht="17.25" customHeight="1"/>
    <row r="60839" customFormat="1" ht="17.25" customHeight="1"/>
    <row r="60840" customFormat="1" ht="17.25" customHeight="1"/>
    <row r="60841" customFormat="1" ht="17.25" customHeight="1"/>
    <row r="60842" customFormat="1" ht="17.25" customHeight="1"/>
    <row r="60843" customFormat="1" ht="17.25" customHeight="1"/>
    <row r="60844" customFormat="1" ht="17.25" customHeight="1"/>
    <row r="60845" customFormat="1" ht="17.25" customHeight="1"/>
    <row r="60846" customFormat="1" ht="17.25" customHeight="1"/>
    <row r="60847" customFormat="1" ht="17.25" customHeight="1"/>
    <row r="60848" customFormat="1" ht="17.25" customHeight="1"/>
    <row r="60849" customFormat="1" ht="17.25" customHeight="1"/>
    <row r="60850" customFormat="1" ht="17.25" customHeight="1"/>
    <row r="60851" customFormat="1" ht="17.25" customHeight="1"/>
    <row r="60852" customFormat="1" ht="17.25" customHeight="1"/>
    <row r="60853" customFormat="1" ht="17.25" customHeight="1"/>
    <row r="60854" customFormat="1" ht="17.25" customHeight="1"/>
    <row r="60855" customFormat="1" ht="17.25" customHeight="1"/>
    <row r="60856" customFormat="1" ht="17.25" customHeight="1"/>
    <row r="60857" customFormat="1" ht="17.25" customHeight="1"/>
    <row r="60858" customFormat="1" ht="17.25" customHeight="1"/>
    <row r="60859" customFormat="1" ht="17.25" customHeight="1"/>
    <row r="60860" customFormat="1" ht="17.25" customHeight="1"/>
    <row r="60861" customFormat="1" ht="17.25" customHeight="1"/>
    <row r="60862" customFormat="1" ht="17.25" customHeight="1"/>
    <row r="60863" customFormat="1" ht="17.25" customHeight="1"/>
    <row r="60864" customFormat="1" ht="17.25" customHeight="1"/>
    <row r="60865" customFormat="1" ht="17.25" customHeight="1"/>
    <row r="60866" customFormat="1" ht="17.25" customHeight="1"/>
    <row r="60867" customFormat="1" ht="17.25" customHeight="1"/>
    <row r="60868" customFormat="1" ht="17.25" customHeight="1"/>
    <row r="60869" customFormat="1" ht="17.25" customHeight="1"/>
    <row r="60870" customFormat="1" ht="17.25" customHeight="1"/>
    <row r="60871" customFormat="1" ht="17.25" customHeight="1"/>
    <row r="60872" customFormat="1" ht="17.25" customHeight="1"/>
    <row r="60873" customFormat="1" ht="17.25" customHeight="1"/>
    <row r="60874" customFormat="1" ht="17.25" customHeight="1"/>
    <row r="60875" customFormat="1" ht="17.25" customHeight="1"/>
    <row r="60876" customFormat="1" ht="17.25" customHeight="1"/>
    <row r="60877" customFormat="1" ht="17.25" customHeight="1"/>
    <row r="60878" customFormat="1" ht="17.25" customHeight="1"/>
    <row r="60879" customFormat="1" ht="17.25" customHeight="1"/>
    <row r="60880" customFormat="1" ht="17.25" customHeight="1"/>
    <row r="60881" customFormat="1" ht="17.25" customHeight="1"/>
    <row r="60882" customFormat="1" ht="17.25" customHeight="1"/>
    <row r="60883" customFormat="1" ht="17.25" customHeight="1"/>
    <row r="60884" customFormat="1" ht="17.25" customHeight="1"/>
    <row r="60885" customFormat="1" ht="17.25" customHeight="1"/>
    <row r="60886" customFormat="1" ht="17.25" customHeight="1"/>
    <row r="60887" customFormat="1" ht="17.25" customHeight="1"/>
    <row r="60888" customFormat="1" ht="17.25" customHeight="1"/>
    <row r="60889" customFormat="1" ht="17.25" customHeight="1"/>
    <row r="60890" customFormat="1" ht="17.25" customHeight="1"/>
    <row r="60891" customFormat="1" ht="17.25" customHeight="1"/>
    <row r="60892" customFormat="1" ht="17.25" customHeight="1"/>
    <row r="60893" customFormat="1" ht="17.25" customHeight="1"/>
    <row r="60894" customFormat="1" ht="17.25" customHeight="1"/>
    <row r="60895" customFormat="1" ht="17.25" customHeight="1"/>
    <row r="60896" customFormat="1" ht="17.25" customHeight="1"/>
    <row r="60897" customFormat="1" ht="17.25" customHeight="1"/>
    <row r="60898" customFormat="1" ht="17.25" customHeight="1"/>
    <row r="60899" customFormat="1" ht="17.25" customHeight="1"/>
    <row r="60900" customFormat="1" ht="17.25" customHeight="1"/>
    <row r="60901" customFormat="1" ht="17.25" customHeight="1"/>
    <row r="60902" customFormat="1" ht="17.25" customHeight="1"/>
    <row r="60903" customFormat="1" ht="17.25" customHeight="1"/>
    <row r="60904" customFormat="1" ht="17.25" customHeight="1"/>
    <row r="60905" customFormat="1" ht="17.25" customHeight="1"/>
    <row r="60906" customFormat="1" ht="17.25" customHeight="1"/>
    <row r="60907" customFormat="1" ht="17.25" customHeight="1"/>
    <row r="60908" customFormat="1" ht="17.25" customHeight="1"/>
    <row r="60909" customFormat="1" ht="17.25" customHeight="1"/>
    <row r="60910" customFormat="1" ht="17.25" customHeight="1"/>
    <row r="60911" customFormat="1" ht="17.25" customHeight="1"/>
    <row r="60912" customFormat="1" ht="17.25" customHeight="1"/>
    <row r="60913" customFormat="1" ht="17.25" customHeight="1"/>
    <row r="60914" customFormat="1" ht="17.25" customHeight="1"/>
    <row r="60915" customFormat="1" ht="17.25" customHeight="1"/>
    <row r="60916" customFormat="1" ht="17.25" customHeight="1"/>
    <row r="60917" customFormat="1" ht="17.25" customHeight="1"/>
    <row r="60918" customFormat="1" ht="17.25" customHeight="1"/>
    <row r="60919" customFormat="1" ht="17.25" customHeight="1"/>
    <row r="60920" customFormat="1" ht="17.25" customHeight="1"/>
    <row r="60921" customFormat="1" ht="17.25" customHeight="1"/>
    <row r="60922" customFormat="1" ht="17.25" customHeight="1"/>
    <row r="60923" customFormat="1" ht="17.25" customHeight="1"/>
    <row r="60924" customFormat="1" ht="17.25" customHeight="1"/>
    <row r="60925" customFormat="1" ht="17.25" customHeight="1"/>
    <row r="60926" customFormat="1" ht="17.25" customHeight="1"/>
    <row r="60927" customFormat="1" ht="17.25" customHeight="1"/>
    <row r="60928" customFormat="1" ht="17.25" customHeight="1"/>
    <row r="60929" customFormat="1" ht="17.25" customHeight="1"/>
    <row r="60930" customFormat="1" ht="17.25" customHeight="1"/>
    <row r="60931" customFormat="1" ht="17.25" customHeight="1"/>
    <row r="60932" customFormat="1" ht="17.25" customHeight="1"/>
    <row r="60933" customFormat="1" ht="17.25" customHeight="1"/>
    <row r="60934" customFormat="1" ht="17.25" customHeight="1"/>
    <row r="60935" customFormat="1" ht="17.25" customHeight="1"/>
    <row r="60936" customFormat="1" ht="17.25" customHeight="1"/>
    <row r="60937" customFormat="1" ht="17.25" customHeight="1"/>
    <row r="60938" customFormat="1" ht="17.25" customHeight="1"/>
    <row r="60939" customFormat="1" ht="17.25" customHeight="1"/>
    <row r="60940" customFormat="1" ht="17.25" customHeight="1"/>
    <row r="60941" customFormat="1" ht="17.25" customHeight="1"/>
    <row r="60942" customFormat="1" ht="17.25" customHeight="1"/>
    <row r="60943" customFormat="1" ht="17.25" customHeight="1"/>
    <row r="60944" customFormat="1" ht="17.25" customHeight="1"/>
    <row r="60945" customFormat="1" ht="17.25" customHeight="1"/>
    <row r="60946" customFormat="1" ht="17.25" customHeight="1"/>
    <row r="60947" customFormat="1" ht="17.25" customHeight="1"/>
    <row r="60948" customFormat="1" ht="17.25" customHeight="1"/>
    <row r="60949" customFormat="1" ht="17.25" customHeight="1"/>
    <row r="60950" customFormat="1" ht="17.25" customHeight="1"/>
    <row r="60951" customFormat="1" ht="17.25" customHeight="1"/>
    <row r="60952" customFormat="1" ht="17.25" customHeight="1"/>
    <row r="60953" customFormat="1" ht="17.25" customHeight="1"/>
    <row r="60954" customFormat="1" ht="17.25" customHeight="1"/>
    <row r="60955" customFormat="1" ht="17.25" customHeight="1"/>
    <row r="60956" customFormat="1" ht="17.25" customHeight="1"/>
    <row r="60957" customFormat="1" ht="17.25" customHeight="1"/>
    <row r="60958" customFormat="1" ht="17.25" customHeight="1"/>
    <row r="60959" customFormat="1" ht="17.25" customHeight="1"/>
    <row r="60960" customFormat="1" ht="17.25" customHeight="1"/>
    <row r="60961" customFormat="1" ht="17.25" customHeight="1"/>
    <row r="60962" customFormat="1" ht="17.25" customHeight="1"/>
    <row r="60963" customFormat="1" ht="17.25" customHeight="1"/>
    <row r="60964" customFormat="1" ht="17.25" customHeight="1"/>
    <row r="60965" customFormat="1" ht="17.25" customHeight="1"/>
    <row r="60966" customFormat="1" ht="17.25" customHeight="1"/>
    <row r="60967" customFormat="1" ht="17.25" customHeight="1"/>
    <row r="60968" customFormat="1" ht="17.25" customHeight="1"/>
    <row r="60969" customFormat="1" ht="17.25" customHeight="1"/>
    <row r="60970" customFormat="1" ht="17.25" customHeight="1"/>
    <row r="60971" customFormat="1" ht="17.25" customHeight="1"/>
    <row r="60972" customFormat="1" ht="17.25" customHeight="1"/>
    <row r="60973" customFormat="1" ht="17.25" customHeight="1"/>
    <row r="60974" customFormat="1" ht="17.25" customHeight="1"/>
    <row r="60975" customFormat="1" ht="17.25" customHeight="1"/>
    <row r="60976" customFormat="1" ht="17.25" customHeight="1"/>
    <row r="60977" customFormat="1" ht="17.25" customHeight="1"/>
    <row r="60978" customFormat="1" ht="17.25" customHeight="1"/>
    <row r="60979" customFormat="1" ht="17.25" customHeight="1"/>
    <row r="60980" customFormat="1" ht="17.25" customHeight="1"/>
    <row r="60981" customFormat="1" ht="17.25" customHeight="1"/>
    <row r="60982" customFormat="1" ht="17.25" customHeight="1"/>
    <row r="60983" customFormat="1" ht="17.25" customHeight="1"/>
    <row r="60984" customFormat="1" ht="17.25" customHeight="1"/>
    <row r="60985" customFormat="1" ht="17.25" customHeight="1"/>
    <row r="60986" customFormat="1" ht="17.25" customHeight="1"/>
    <row r="60987" customFormat="1" ht="17.25" customHeight="1"/>
    <row r="60988" customFormat="1" ht="17.25" customHeight="1"/>
    <row r="60989" customFormat="1" ht="17.25" customHeight="1"/>
    <row r="60990" customFormat="1" ht="17.25" customHeight="1"/>
    <row r="60991" customFormat="1" ht="17.25" customHeight="1"/>
    <row r="60992" customFormat="1" ht="17.25" customHeight="1"/>
    <row r="60993" customFormat="1" ht="17.25" customHeight="1"/>
    <row r="60994" customFormat="1" ht="17.25" customHeight="1"/>
    <row r="60995" customFormat="1" ht="17.25" customHeight="1"/>
    <row r="60996" customFormat="1" ht="17.25" customHeight="1"/>
    <row r="60997" customFormat="1" ht="17.25" customHeight="1"/>
    <row r="60998" customFormat="1" ht="17.25" customHeight="1"/>
    <row r="60999" customFormat="1" ht="17.25" customHeight="1"/>
    <row r="61000" customFormat="1" ht="17.25" customHeight="1"/>
    <row r="61001" customFormat="1" ht="17.25" customHeight="1"/>
    <row r="61002" customFormat="1" ht="17.25" customHeight="1"/>
    <row r="61003" customFormat="1" ht="17.25" customHeight="1"/>
    <row r="61004" customFormat="1" ht="17.25" customHeight="1"/>
    <row r="61005" customFormat="1" ht="17.25" customHeight="1"/>
    <row r="61006" customFormat="1" ht="17.25" customHeight="1"/>
    <row r="61007" customFormat="1" ht="17.25" customHeight="1"/>
    <row r="61008" customFormat="1" ht="17.25" customHeight="1"/>
    <row r="61009" customFormat="1" ht="17.25" customHeight="1"/>
    <row r="61010" customFormat="1" ht="17.25" customHeight="1"/>
    <row r="61011" customFormat="1" ht="17.25" customHeight="1"/>
    <row r="61012" customFormat="1" ht="17.25" customHeight="1"/>
    <row r="61013" customFormat="1" ht="17.25" customHeight="1"/>
    <row r="61014" customFormat="1" ht="17.25" customHeight="1"/>
    <row r="61015" customFormat="1" ht="17.25" customHeight="1"/>
    <row r="61016" customFormat="1" ht="17.25" customHeight="1"/>
    <row r="61017" customFormat="1" ht="17.25" customHeight="1"/>
    <row r="61018" customFormat="1" ht="17.25" customHeight="1"/>
    <row r="61019" customFormat="1" ht="17.25" customHeight="1"/>
    <row r="61020" customFormat="1" ht="17.25" customHeight="1"/>
    <row r="61021" customFormat="1" ht="17.25" customHeight="1"/>
    <row r="61022" customFormat="1" ht="17.25" customHeight="1"/>
    <row r="61023" customFormat="1" ht="17.25" customHeight="1"/>
    <row r="61024" customFormat="1" ht="17.25" customHeight="1"/>
    <row r="61025" customFormat="1" ht="17.25" customHeight="1"/>
    <row r="61026" customFormat="1" ht="17.25" customHeight="1"/>
    <row r="61027" customFormat="1" ht="17.25" customHeight="1"/>
    <row r="61028" customFormat="1" ht="17.25" customHeight="1"/>
    <row r="61029" customFormat="1" ht="17.25" customHeight="1"/>
    <row r="61030" customFormat="1" ht="17.25" customHeight="1"/>
    <row r="61031" customFormat="1" ht="17.25" customHeight="1"/>
    <row r="61032" customFormat="1" ht="17.25" customHeight="1"/>
    <row r="61033" customFormat="1" ht="17.25" customHeight="1"/>
    <row r="61034" customFormat="1" ht="17.25" customHeight="1"/>
    <row r="61035" customFormat="1" ht="17.25" customHeight="1"/>
    <row r="61036" customFormat="1" ht="17.25" customHeight="1"/>
    <row r="61037" customFormat="1" ht="17.25" customHeight="1"/>
    <row r="61038" customFormat="1" ht="17.25" customHeight="1"/>
    <row r="61039" customFormat="1" ht="17.25" customHeight="1"/>
    <row r="61040" customFormat="1" ht="17.25" customHeight="1"/>
    <row r="61041" customFormat="1" ht="17.25" customHeight="1"/>
    <row r="61042" customFormat="1" ht="17.25" customHeight="1"/>
    <row r="61043" customFormat="1" ht="17.25" customHeight="1"/>
    <row r="61044" customFormat="1" ht="17.25" customHeight="1"/>
    <row r="61045" customFormat="1" ht="17.25" customHeight="1"/>
    <row r="61046" customFormat="1" ht="17.25" customHeight="1"/>
    <row r="61047" customFormat="1" ht="17.25" customHeight="1"/>
    <row r="61048" customFormat="1" ht="17.25" customHeight="1"/>
    <row r="61049" customFormat="1" ht="17.25" customHeight="1"/>
    <row r="61050" customFormat="1" ht="17.25" customHeight="1"/>
    <row r="61051" customFormat="1" ht="17.25" customHeight="1"/>
    <row r="61052" customFormat="1" ht="17.25" customHeight="1"/>
    <row r="61053" customFormat="1" ht="17.25" customHeight="1"/>
    <row r="61054" customFormat="1" ht="17.25" customHeight="1"/>
    <row r="61055" customFormat="1" ht="17.25" customHeight="1"/>
    <row r="61056" customFormat="1" ht="17.25" customHeight="1"/>
    <row r="61057" customFormat="1" ht="17.25" customHeight="1"/>
    <row r="61058" customFormat="1" ht="17.25" customHeight="1"/>
    <row r="61059" customFormat="1" ht="17.25" customHeight="1"/>
    <row r="61060" customFormat="1" ht="17.25" customHeight="1"/>
    <row r="61061" customFormat="1" ht="17.25" customHeight="1"/>
    <row r="61062" customFormat="1" ht="17.25" customHeight="1"/>
    <row r="61063" customFormat="1" ht="17.25" customHeight="1"/>
    <row r="61064" customFormat="1" ht="17.25" customHeight="1"/>
    <row r="61065" customFormat="1" ht="17.25" customHeight="1"/>
    <row r="61066" customFormat="1" ht="17.25" customHeight="1"/>
    <row r="61067" customFormat="1" ht="17.25" customHeight="1"/>
    <row r="61068" customFormat="1" ht="17.25" customHeight="1"/>
    <row r="61069" customFormat="1" ht="17.25" customHeight="1"/>
    <row r="61070" customFormat="1" ht="17.25" customHeight="1"/>
    <row r="61071" customFormat="1" ht="17.25" customHeight="1"/>
    <row r="61072" customFormat="1" ht="17.25" customHeight="1"/>
    <row r="61073" customFormat="1" ht="17.25" customHeight="1"/>
    <row r="61074" customFormat="1" ht="17.25" customHeight="1"/>
    <row r="61075" customFormat="1" ht="17.25" customHeight="1"/>
    <row r="61076" customFormat="1" ht="17.25" customHeight="1"/>
    <row r="61077" customFormat="1" ht="17.25" customHeight="1"/>
    <row r="61078" customFormat="1" ht="17.25" customHeight="1"/>
    <row r="61079" customFormat="1" ht="17.25" customHeight="1"/>
    <row r="61080" customFormat="1" ht="17.25" customHeight="1"/>
    <row r="61081" customFormat="1" ht="17.25" customHeight="1"/>
    <row r="61082" customFormat="1" ht="17.25" customHeight="1"/>
    <row r="61083" customFormat="1" ht="17.25" customHeight="1"/>
    <row r="61084" customFormat="1" ht="17.25" customHeight="1"/>
    <row r="61085" customFormat="1" ht="17.25" customHeight="1"/>
    <row r="61086" customFormat="1" ht="17.25" customHeight="1"/>
    <row r="61087" customFormat="1" ht="17.25" customHeight="1"/>
    <row r="61088" customFormat="1" ht="17.25" customHeight="1"/>
    <row r="61089" customFormat="1" ht="17.25" customHeight="1"/>
    <row r="61090" customFormat="1" ht="17.25" customHeight="1"/>
    <row r="61091" customFormat="1" ht="17.25" customHeight="1"/>
    <row r="61092" customFormat="1" ht="17.25" customHeight="1"/>
    <row r="61093" customFormat="1" ht="17.25" customHeight="1"/>
    <row r="61094" customFormat="1" ht="17.25" customHeight="1"/>
    <row r="61095" customFormat="1" ht="17.25" customHeight="1"/>
    <row r="61096" customFormat="1" ht="17.25" customHeight="1"/>
    <row r="61097" customFormat="1" ht="17.25" customHeight="1"/>
    <row r="61098" customFormat="1" ht="17.25" customHeight="1"/>
    <row r="61099" customFormat="1" ht="17.25" customHeight="1"/>
    <row r="61100" customFormat="1" ht="17.25" customHeight="1"/>
    <row r="61101" customFormat="1" ht="17.25" customHeight="1"/>
    <row r="61102" customFormat="1" ht="17.25" customHeight="1"/>
    <row r="61103" customFormat="1" ht="17.25" customHeight="1"/>
    <row r="61104" customFormat="1" ht="17.25" customHeight="1"/>
    <row r="61105" customFormat="1" ht="17.25" customHeight="1"/>
    <row r="61106" customFormat="1" ht="17.25" customHeight="1"/>
    <row r="61107" customFormat="1" ht="17.25" customHeight="1"/>
    <row r="61108" customFormat="1" ht="17.25" customHeight="1"/>
    <row r="61109" customFormat="1" ht="17.25" customHeight="1"/>
    <row r="61110" customFormat="1" ht="17.25" customHeight="1"/>
    <row r="61111" customFormat="1" ht="17.25" customHeight="1"/>
    <row r="61112" customFormat="1" ht="17.25" customHeight="1"/>
    <row r="61113" customFormat="1" ht="17.25" customHeight="1"/>
    <row r="61114" customFormat="1" ht="17.25" customHeight="1"/>
    <row r="61115" customFormat="1" ht="17.25" customHeight="1"/>
    <row r="61116" customFormat="1" ht="17.25" customHeight="1"/>
    <row r="61117" customFormat="1" ht="17.25" customHeight="1"/>
    <row r="61118" customFormat="1" ht="17.25" customHeight="1"/>
    <row r="61119" customFormat="1" ht="17.25" customHeight="1"/>
    <row r="61120" customFormat="1" ht="17.25" customHeight="1"/>
    <row r="61121" customFormat="1" ht="17.25" customHeight="1"/>
    <row r="61122" customFormat="1" ht="17.25" customHeight="1"/>
    <row r="61123" customFormat="1" ht="17.25" customHeight="1"/>
    <row r="61124" customFormat="1" ht="17.25" customHeight="1"/>
    <row r="61125" customFormat="1" ht="17.25" customHeight="1"/>
    <row r="61126" customFormat="1" ht="17.25" customHeight="1"/>
    <row r="61127" customFormat="1" ht="17.25" customHeight="1"/>
    <row r="61128" customFormat="1" ht="17.25" customHeight="1"/>
    <row r="61129" customFormat="1" ht="17.25" customHeight="1"/>
    <row r="61130" customFormat="1" ht="17.25" customHeight="1"/>
    <row r="61131" customFormat="1" ht="17.25" customHeight="1"/>
    <row r="61132" customFormat="1" ht="17.25" customHeight="1"/>
    <row r="61133" customFormat="1" ht="17.25" customHeight="1"/>
    <row r="61134" customFormat="1" ht="17.25" customHeight="1"/>
    <row r="61135" customFormat="1" ht="17.25" customHeight="1"/>
    <row r="61136" customFormat="1" ht="17.25" customHeight="1"/>
    <row r="61137" customFormat="1" ht="17.25" customHeight="1"/>
    <row r="61138" customFormat="1" ht="17.25" customHeight="1"/>
    <row r="61139" customFormat="1" ht="17.25" customHeight="1"/>
    <row r="61140" customFormat="1" ht="17.25" customHeight="1"/>
    <row r="61141" customFormat="1" ht="17.25" customHeight="1"/>
    <row r="61142" customFormat="1" ht="17.25" customHeight="1"/>
    <row r="61143" customFormat="1" ht="17.25" customHeight="1"/>
    <row r="61144" customFormat="1" ht="17.25" customHeight="1"/>
    <row r="61145" customFormat="1" ht="17.25" customHeight="1"/>
    <row r="61146" customFormat="1" ht="17.25" customHeight="1"/>
    <row r="61147" customFormat="1" ht="17.25" customHeight="1"/>
    <row r="61148" customFormat="1" ht="17.25" customHeight="1"/>
    <row r="61149" customFormat="1" ht="17.25" customHeight="1"/>
    <row r="61150" customFormat="1" ht="17.25" customHeight="1"/>
    <row r="61151" customFormat="1" ht="17.25" customHeight="1"/>
    <row r="61152" customFormat="1" ht="17.25" customHeight="1"/>
    <row r="61153" customFormat="1" ht="17.25" customHeight="1"/>
    <row r="61154" customFormat="1" ht="17.25" customHeight="1"/>
    <row r="61155" customFormat="1" ht="17.25" customHeight="1"/>
    <row r="61156" customFormat="1" ht="17.25" customHeight="1"/>
    <row r="61157" customFormat="1" ht="17.25" customHeight="1"/>
    <row r="61158" customFormat="1" ht="17.25" customHeight="1"/>
    <row r="61159" customFormat="1" ht="17.25" customHeight="1"/>
    <row r="61160" customFormat="1" ht="17.25" customHeight="1"/>
    <row r="61161" customFormat="1" ht="17.25" customHeight="1"/>
    <row r="61162" customFormat="1" ht="17.25" customHeight="1"/>
    <row r="61163" customFormat="1" ht="17.25" customHeight="1"/>
    <row r="61164" customFormat="1" ht="17.25" customHeight="1"/>
    <row r="61165" customFormat="1" ht="17.25" customHeight="1"/>
    <row r="61166" customFormat="1" ht="17.25" customHeight="1"/>
    <row r="61167" customFormat="1" ht="17.25" customHeight="1"/>
    <row r="61168" customFormat="1" ht="17.25" customHeight="1"/>
    <row r="61169" customFormat="1" ht="17.25" customHeight="1"/>
    <row r="61170" customFormat="1" ht="17.25" customHeight="1"/>
    <row r="61171" customFormat="1" ht="17.25" customHeight="1"/>
    <row r="61172" customFormat="1" ht="17.25" customHeight="1"/>
    <row r="61173" customFormat="1" ht="17.25" customHeight="1"/>
    <row r="61174" customFormat="1" ht="17.25" customHeight="1"/>
    <row r="61175" customFormat="1" ht="17.25" customHeight="1"/>
    <row r="61176" customFormat="1" ht="17.25" customHeight="1"/>
    <row r="61177" customFormat="1" ht="17.25" customHeight="1"/>
    <row r="61178" customFormat="1" ht="17.25" customHeight="1"/>
    <row r="61179" customFormat="1" ht="17.25" customHeight="1"/>
    <row r="61180" customFormat="1" ht="17.25" customHeight="1"/>
    <row r="61181" customFormat="1" ht="17.25" customHeight="1"/>
    <row r="61182" customFormat="1" ht="17.25" customHeight="1"/>
    <row r="61183" customFormat="1" ht="17.25" customHeight="1"/>
    <row r="61184" customFormat="1" ht="17.25" customHeight="1"/>
    <row r="61185" customFormat="1" ht="17.25" customHeight="1"/>
    <row r="61186" customFormat="1" ht="17.25" customHeight="1"/>
    <row r="61187" customFormat="1" ht="17.25" customHeight="1"/>
    <row r="61188" customFormat="1" ht="17.25" customHeight="1"/>
    <row r="61189" customFormat="1" ht="17.25" customHeight="1"/>
    <row r="61190" customFormat="1" ht="17.25" customHeight="1"/>
    <row r="61191" customFormat="1" ht="17.25" customHeight="1"/>
    <row r="61192" customFormat="1" ht="17.25" customHeight="1"/>
    <row r="61193" customFormat="1" ht="17.25" customHeight="1"/>
    <row r="61194" customFormat="1" ht="17.25" customHeight="1"/>
    <row r="61195" customFormat="1" ht="17.25" customHeight="1"/>
    <row r="61196" customFormat="1" ht="17.25" customHeight="1"/>
    <row r="61197" customFormat="1" ht="17.25" customHeight="1"/>
    <row r="61198" customFormat="1" ht="17.25" customHeight="1"/>
    <row r="61199" customFormat="1" ht="17.25" customHeight="1"/>
    <row r="61200" customFormat="1" ht="17.25" customHeight="1"/>
    <row r="61201" customFormat="1" ht="17.25" customHeight="1"/>
    <row r="61202" customFormat="1" ht="17.25" customHeight="1"/>
    <row r="61203" customFormat="1" ht="17.25" customHeight="1"/>
    <row r="61204" customFormat="1" ht="17.25" customHeight="1"/>
    <row r="61205" customFormat="1" ht="17.25" customHeight="1"/>
    <row r="61206" customFormat="1" ht="17.25" customHeight="1"/>
    <row r="61207" customFormat="1" ht="17.25" customHeight="1"/>
    <row r="61208" customFormat="1" ht="17.25" customHeight="1"/>
    <row r="61209" customFormat="1" ht="17.25" customHeight="1"/>
    <row r="61210" customFormat="1" ht="17.25" customHeight="1"/>
    <row r="61211" customFormat="1" ht="17.25" customHeight="1"/>
    <row r="61212" customFormat="1" ht="17.25" customHeight="1"/>
    <row r="61213" customFormat="1" ht="17.25" customHeight="1"/>
    <row r="61214" customFormat="1" ht="17.25" customHeight="1"/>
    <row r="61215" customFormat="1" ht="17.25" customHeight="1"/>
    <row r="61216" customFormat="1" ht="17.25" customHeight="1"/>
    <row r="61217" customFormat="1" ht="17.25" customHeight="1"/>
    <row r="61218" customFormat="1" ht="17.25" customHeight="1"/>
    <row r="61219" customFormat="1" ht="17.25" customHeight="1"/>
    <row r="61220" customFormat="1" ht="17.25" customHeight="1"/>
    <row r="61221" customFormat="1" ht="17.25" customHeight="1"/>
    <row r="61222" customFormat="1" ht="17.25" customHeight="1"/>
    <row r="61223" customFormat="1" ht="17.25" customHeight="1"/>
    <row r="61224" customFormat="1" ht="17.25" customHeight="1"/>
    <row r="61225" customFormat="1" ht="17.25" customHeight="1"/>
    <row r="61226" customFormat="1" ht="17.25" customHeight="1"/>
    <row r="61227" customFormat="1" ht="17.25" customHeight="1"/>
    <row r="61228" customFormat="1" ht="17.25" customHeight="1"/>
    <row r="61229" customFormat="1" ht="17.25" customHeight="1"/>
    <row r="61230" customFormat="1" ht="17.25" customHeight="1"/>
    <row r="61231" customFormat="1" ht="17.25" customHeight="1"/>
    <row r="61232" customFormat="1" ht="17.25" customHeight="1"/>
    <row r="61233" customFormat="1" ht="17.25" customHeight="1"/>
    <row r="61234" customFormat="1" ht="17.25" customHeight="1"/>
    <row r="61235" customFormat="1" ht="17.25" customHeight="1"/>
    <row r="61236" customFormat="1" ht="17.25" customHeight="1"/>
    <row r="61237" customFormat="1" ht="17.25" customHeight="1"/>
    <row r="61238" customFormat="1" ht="17.25" customHeight="1"/>
    <row r="61239" customFormat="1" ht="17.25" customHeight="1"/>
    <row r="61240" customFormat="1" ht="17.25" customHeight="1"/>
    <row r="61241" customFormat="1" ht="17.25" customHeight="1"/>
    <row r="61242" customFormat="1" ht="17.25" customHeight="1"/>
    <row r="61243" customFormat="1" ht="17.25" customHeight="1"/>
    <row r="61244" customFormat="1" ht="17.25" customHeight="1"/>
    <row r="61245" customFormat="1" ht="17.25" customHeight="1"/>
    <row r="61246" customFormat="1" ht="17.25" customHeight="1"/>
    <row r="61247" customFormat="1" ht="17.25" customHeight="1"/>
    <row r="61248" customFormat="1" ht="17.25" customHeight="1"/>
    <row r="61249" customFormat="1" ht="17.25" customHeight="1"/>
    <row r="61250" customFormat="1" ht="17.25" customHeight="1"/>
    <row r="61251" customFormat="1" ht="17.25" customHeight="1"/>
    <row r="61252" customFormat="1" ht="17.25" customHeight="1"/>
    <row r="61253" customFormat="1" ht="17.25" customHeight="1"/>
    <row r="61254" customFormat="1" ht="17.25" customHeight="1"/>
    <row r="61255" customFormat="1" ht="17.25" customHeight="1"/>
    <row r="61256" customFormat="1" ht="17.25" customHeight="1"/>
    <row r="61257" customFormat="1" ht="17.25" customHeight="1"/>
    <row r="61258" customFormat="1" ht="17.25" customHeight="1"/>
    <row r="61259" customFormat="1" ht="17.25" customHeight="1"/>
    <row r="61260" customFormat="1" ht="17.25" customHeight="1"/>
    <row r="61261" customFormat="1" ht="17.25" customHeight="1"/>
    <row r="61262" customFormat="1" ht="17.25" customHeight="1"/>
    <row r="61263" customFormat="1" ht="17.25" customHeight="1"/>
    <row r="61264" customFormat="1" ht="17.25" customHeight="1"/>
    <row r="61265" customFormat="1" ht="17.25" customHeight="1"/>
    <row r="61266" customFormat="1" ht="17.25" customHeight="1"/>
    <row r="61267" customFormat="1" ht="17.25" customHeight="1"/>
    <row r="61268" customFormat="1" ht="17.25" customHeight="1"/>
    <row r="61269" customFormat="1" ht="17.25" customHeight="1"/>
    <row r="61270" customFormat="1" ht="17.25" customHeight="1"/>
    <row r="61271" customFormat="1" ht="17.25" customHeight="1"/>
    <row r="61272" customFormat="1" ht="17.25" customHeight="1"/>
    <row r="61273" customFormat="1" ht="17.25" customHeight="1"/>
    <row r="61274" customFormat="1" ht="17.25" customHeight="1"/>
    <row r="61275" customFormat="1" ht="17.25" customHeight="1"/>
    <row r="61276" customFormat="1" ht="17.25" customHeight="1"/>
    <row r="61277" customFormat="1" ht="17.25" customHeight="1"/>
    <row r="61278" customFormat="1" ht="17.25" customHeight="1"/>
    <row r="61279" customFormat="1" ht="17.25" customHeight="1"/>
    <row r="61280" customFormat="1" ht="17.25" customHeight="1"/>
    <row r="61281" customFormat="1" ht="17.25" customHeight="1"/>
    <row r="61282" customFormat="1" ht="17.25" customHeight="1"/>
    <row r="61283" customFormat="1" ht="17.25" customHeight="1"/>
    <row r="61284" customFormat="1" ht="17.25" customHeight="1"/>
    <row r="61285" customFormat="1" ht="17.25" customHeight="1"/>
    <row r="61286" customFormat="1" ht="17.25" customHeight="1"/>
    <row r="61287" customFormat="1" ht="17.25" customHeight="1"/>
    <row r="61288" customFormat="1" ht="17.25" customHeight="1"/>
    <row r="61289" customFormat="1" ht="17.25" customHeight="1"/>
    <row r="61290" customFormat="1" ht="17.25" customHeight="1"/>
    <row r="61291" customFormat="1" ht="17.25" customHeight="1"/>
    <row r="61292" customFormat="1" ht="17.25" customHeight="1"/>
    <row r="61293" customFormat="1" ht="17.25" customHeight="1"/>
    <row r="61294" customFormat="1" ht="17.25" customHeight="1"/>
    <row r="61295" customFormat="1" ht="17.25" customHeight="1"/>
    <row r="61296" customFormat="1" ht="17.25" customHeight="1"/>
    <row r="61297" customFormat="1" ht="17.25" customHeight="1"/>
    <row r="61298" customFormat="1" ht="17.25" customHeight="1"/>
    <row r="61299" customFormat="1" ht="17.25" customHeight="1"/>
    <row r="61300" customFormat="1" ht="17.25" customHeight="1"/>
    <row r="61301" customFormat="1" ht="17.25" customHeight="1"/>
    <row r="61302" customFormat="1" ht="17.25" customHeight="1"/>
    <row r="61303" customFormat="1" ht="17.25" customHeight="1"/>
    <row r="61304" customFormat="1" ht="17.25" customHeight="1"/>
    <row r="61305" customFormat="1" ht="17.25" customHeight="1"/>
    <row r="61306" customFormat="1" ht="17.25" customHeight="1"/>
    <row r="61307" customFormat="1" ht="17.25" customHeight="1"/>
    <row r="61308" customFormat="1" ht="17.25" customHeight="1"/>
    <row r="61309" customFormat="1" ht="17.25" customHeight="1"/>
    <row r="61310" customFormat="1" ht="17.25" customHeight="1"/>
    <row r="61311" customFormat="1" ht="17.25" customHeight="1"/>
    <row r="61312" customFormat="1" ht="17.25" customHeight="1"/>
    <row r="61313" customFormat="1" ht="17.25" customHeight="1"/>
    <row r="61314" customFormat="1" ht="17.25" customHeight="1"/>
    <row r="61315" customFormat="1" ht="17.25" customHeight="1"/>
    <row r="61316" customFormat="1" ht="17.25" customHeight="1"/>
    <row r="61317" customFormat="1" ht="17.25" customHeight="1"/>
    <row r="61318" customFormat="1" ht="17.25" customHeight="1"/>
    <row r="61319" customFormat="1" ht="17.25" customHeight="1"/>
    <row r="61320" customFormat="1" ht="17.25" customHeight="1"/>
    <row r="61321" customFormat="1" ht="17.25" customHeight="1"/>
    <row r="61322" customFormat="1" ht="17.25" customHeight="1"/>
    <row r="61323" customFormat="1" ht="17.25" customHeight="1"/>
    <row r="61324" customFormat="1" ht="17.25" customHeight="1"/>
    <row r="61325" customFormat="1" ht="17.25" customHeight="1"/>
    <row r="61326" customFormat="1" ht="17.25" customHeight="1"/>
    <row r="61327" customFormat="1" ht="17.25" customHeight="1"/>
    <row r="61328" customFormat="1" ht="17.25" customHeight="1"/>
    <row r="61329" customFormat="1" ht="17.25" customHeight="1"/>
    <row r="61330" customFormat="1" ht="17.25" customHeight="1"/>
    <row r="61331" customFormat="1" ht="17.25" customHeight="1"/>
    <row r="61332" customFormat="1" ht="17.25" customHeight="1"/>
    <row r="61333" customFormat="1" ht="17.25" customHeight="1"/>
    <row r="61334" customFormat="1" ht="17.25" customHeight="1"/>
    <row r="61335" customFormat="1" ht="17.25" customHeight="1"/>
    <row r="61336" customFormat="1" ht="17.25" customHeight="1"/>
    <row r="61337" customFormat="1" ht="17.25" customHeight="1"/>
    <row r="61338" customFormat="1" ht="17.25" customHeight="1"/>
    <row r="61339" customFormat="1" ht="17.25" customHeight="1"/>
    <row r="61340" customFormat="1" ht="17.25" customHeight="1"/>
    <row r="61341" customFormat="1" ht="17.25" customHeight="1"/>
    <row r="61342" customFormat="1" ht="17.25" customHeight="1"/>
    <row r="61343" customFormat="1" ht="17.25" customHeight="1"/>
    <row r="61344" customFormat="1" ht="17.25" customHeight="1"/>
    <row r="61345" customFormat="1" ht="17.25" customHeight="1"/>
    <row r="61346" customFormat="1" ht="17.25" customHeight="1"/>
    <row r="61347" customFormat="1" ht="17.25" customHeight="1"/>
    <row r="61348" customFormat="1" ht="17.25" customHeight="1"/>
    <row r="61349" customFormat="1" ht="17.25" customHeight="1"/>
    <row r="61350" customFormat="1" ht="17.25" customHeight="1"/>
    <row r="61351" customFormat="1" ht="17.25" customHeight="1"/>
    <row r="61352" customFormat="1" ht="17.25" customHeight="1"/>
    <row r="61353" customFormat="1" ht="17.25" customHeight="1"/>
    <row r="61354" customFormat="1" ht="17.25" customHeight="1"/>
    <row r="61355" customFormat="1" ht="17.25" customHeight="1"/>
    <row r="61356" customFormat="1" ht="17.25" customHeight="1"/>
    <row r="61357" customFormat="1" ht="17.25" customHeight="1"/>
    <row r="61358" customFormat="1" ht="17.25" customHeight="1"/>
    <row r="61359" customFormat="1" ht="17.25" customHeight="1"/>
    <row r="61360" customFormat="1" ht="17.25" customHeight="1"/>
    <row r="61361" customFormat="1" ht="17.25" customHeight="1"/>
    <row r="61362" customFormat="1" ht="17.25" customHeight="1"/>
    <row r="61363" customFormat="1" ht="17.25" customHeight="1"/>
    <row r="61364" customFormat="1" ht="17.25" customHeight="1"/>
    <row r="61365" customFormat="1" ht="17.25" customHeight="1"/>
    <row r="61366" customFormat="1" ht="17.25" customHeight="1"/>
    <row r="61367" customFormat="1" ht="17.25" customHeight="1"/>
    <row r="61368" customFormat="1" ht="17.25" customHeight="1"/>
    <row r="61369" customFormat="1" ht="17.25" customHeight="1"/>
    <row r="61370" customFormat="1" ht="17.25" customHeight="1"/>
    <row r="61371" customFormat="1" ht="17.25" customHeight="1"/>
    <row r="61372" customFormat="1" ht="17.25" customHeight="1"/>
    <row r="61373" customFormat="1" ht="17.25" customHeight="1"/>
    <row r="61374" customFormat="1" ht="17.25" customHeight="1"/>
    <row r="61375" customFormat="1" ht="17.25" customHeight="1"/>
    <row r="61376" customFormat="1" ht="17.25" customHeight="1"/>
    <row r="61377" customFormat="1" ht="17.25" customHeight="1"/>
    <row r="61378" customFormat="1" ht="17.25" customHeight="1"/>
    <row r="61379" customFormat="1" ht="17.25" customHeight="1"/>
    <row r="61380" customFormat="1" ht="17.25" customHeight="1"/>
    <row r="61381" customFormat="1" ht="17.25" customHeight="1"/>
    <row r="61382" customFormat="1" ht="17.25" customHeight="1"/>
    <row r="61383" customFormat="1" ht="17.25" customHeight="1"/>
    <row r="61384" customFormat="1" ht="17.25" customHeight="1"/>
    <row r="61385" customFormat="1" ht="17.25" customHeight="1"/>
    <row r="61386" customFormat="1" ht="17.25" customHeight="1"/>
    <row r="61387" customFormat="1" ht="17.25" customHeight="1"/>
    <row r="61388" customFormat="1" ht="17.25" customHeight="1"/>
    <row r="61389" customFormat="1" ht="17.25" customHeight="1"/>
    <row r="61390" customFormat="1" ht="17.25" customHeight="1"/>
    <row r="61391" customFormat="1" ht="17.25" customHeight="1"/>
    <row r="61392" customFormat="1" ht="17.25" customHeight="1"/>
    <row r="61393" customFormat="1" ht="17.25" customHeight="1"/>
    <row r="61394" customFormat="1" ht="17.25" customHeight="1"/>
    <row r="61395" customFormat="1" ht="17.25" customHeight="1"/>
    <row r="61396" customFormat="1" ht="17.25" customHeight="1"/>
    <row r="61397" customFormat="1" ht="17.25" customHeight="1"/>
    <row r="61398" customFormat="1" ht="17.25" customHeight="1"/>
    <row r="61399" customFormat="1" ht="17.25" customHeight="1"/>
    <row r="61400" customFormat="1" ht="17.25" customHeight="1"/>
    <row r="61401" customFormat="1" ht="17.25" customHeight="1"/>
    <row r="61402" customFormat="1" ht="17.25" customHeight="1"/>
    <row r="61403" customFormat="1" ht="17.25" customHeight="1"/>
    <row r="61404" customFormat="1" ht="17.25" customHeight="1"/>
    <row r="61405" customFormat="1" ht="17.25" customHeight="1"/>
    <row r="61406" customFormat="1" ht="17.25" customHeight="1"/>
    <row r="61407" customFormat="1" ht="17.25" customHeight="1"/>
    <row r="61408" customFormat="1" ht="17.25" customHeight="1"/>
    <row r="61409" customFormat="1" ht="17.25" customHeight="1"/>
    <row r="61410" customFormat="1" ht="17.25" customHeight="1"/>
    <row r="61411" customFormat="1" ht="17.25" customHeight="1"/>
    <row r="61412" customFormat="1" ht="17.25" customHeight="1"/>
    <row r="61413" customFormat="1" ht="17.25" customHeight="1"/>
    <row r="61414" customFormat="1" ht="17.25" customHeight="1"/>
    <row r="61415" customFormat="1" ht="17.25" customHeight="1"/>
    <row r="61416" customFormat="1" ht="17.25" customHeight="1"/>
    <row r="61417" customFormat="1" ht="17.25" customHeight="1"/>
    <row r="61418" customFormat="1" ht="17.25" customHeight="1"/>
    <row r="61419" customFormat="1" ht="17.25" customHeight="1"/>
    <row r="61420" customFormat="1" ht="17.25" customHeight="1"/>
    <row r="61421" customFormat="1" ht="17.25" customHeight="1"/>
    <row r="61422" customFormat="1" ht="17.25" customHeight="1"/>
    <row r="61423" customFormat="1" ht="17.25" customHeight="1"/>
    <row r="61424" customFormat="1" ht="17.25" customHeight="1"/>
    <row r="61425" customFormat="1" ht="17.25" customHeight="1"/>
    <row r="61426" customFormat="1" ht="17.25" customHeight="1"/>
    <row r="61427" customFormat="1" ht="17.25" customHeight="1"/>
    <row r="61428" customFormat="1" ht="17.25" customHeight="1"/>
    <row r="61429" customFormat="1" ht="17.25" customHeight="1"/>
    <row r="61430" customFormat="1" ht="17.25" customHeight="1"/>
    <row r="61431" customFormat="1" ht="17.25" customHeight="1"/>
    <row r="61432" customFormat="1" ht="17.25" customHeight="1"/>
    <row r="61433" customFormat="1" ht="17.25" customHeight="1"/>
    <row r="61434" customFormat="1" ht="17.25" customHeight="1"/>
    <row r="61435" customFormat="1" ht="17.25" customHeight="1"/>
    <row r="61436" customFormat="1" ht="17.25" customHeight="1"/>
    <row r="61437" customFormat="1" ht="17.25" customHeight="1"/>
    <row r="61438" customFormat="1" ht="17.25" customHeight="1"/>
    <row r="61439" customFormat="1" ht="17.25" customHeight="1"/>
    <row r="61440" customFormat="1" ht="17.25" customHeight="1"/>
    <row r="61441" customFormat="1" ht="17.25" customHeight="1"/>
    <row r="61442" customFormat="1" ht="17.25" customHeight="1"/>
    <row r="61443" customFormat="1" ht="17.25" customHeight="1"/>
    <row r="61444" customFormat="1" ht="17.25" customHeight="1"/>
    <row r="61445" customFormat="1" ht="17.25" customHeight="1"/>
    <row r="61446" customFormat="1" ht="17.25" customHeight="1"/>
    <row r="61447" customFormat="1" ht="17.25" customHeight="1"/>
    <row r="61448" customFormat="1" ht="17.25" customHeight="1"/>
    <row r="61449" customFormat="1" ht="17.25" customHeight="1"/>
    <row r="61450" customFormat="1" ht="17.25" customHeight="1"/>
    <row r="61451" customFormat="1" ht="17.25" customHeight="1"/>
    <row r="61452" customFormat="1" ht="17.25" customHeight="1"/>
    <row r="61453" customFormat="1" ht="17.25" customHeight="1"/>
    <row r="61454" customFormat="1" ht="17.25" customHeight="1"/>
    <row r="61455" customFormat="1" ht="17.25" customHeight="1"/>
    <row r="61456" customFormat="1" ht="17.25" customHeight="1"/>
    <row r="61457" customFormat="1" ht="17.25" customHeight="1"/>
    <row r="61458" customFormat="1" ht="17.25" customHeight="1"/>
    <row r="61459" customFormat="1" ht="17.25" customHeight="1"/>
    <row r="61460" customFormat="1" ht="17.25" customHeight="1"/>
    <row r="61461" customFormat="1" ht="17.25" customHeight="1"/>
    <row r="61462" customFormat="1" ht="17.25" customHeight="1"/>
    <row r="61463" customFormat="1" ht="17.25" customHeight="1"/>
    <row r="61464" customFormat="1" ht="17.25" customHeight="1"/>
    <row r="61465" customFormat="1" ht="17.25" customHeight="1"/>
    <row r="61466" customFormat="1" ht="17.25" customHeight="1"/>
    <row r="61467" customFormat="1" ht="17.25" customHeight="1"/>
    <row r="61468" customFormat="1" ht="17.25" customHeight="1"/>
    <row r="61469" customFormat="1" ht="17.25" customHeight="1"/>
    <row r="61470" customFormat="1" ht="17.25" customHeight="1"/>
    <row r="61471" customFormat="1" ht="17.25" customHeight="1"/>
    <row r="61472" customFormat="1" ht="17.25" customHeight="1"/>
    <row r="61473" customFormat="1" ht="17.25" customHeight="1"/>
    <row r="61474" customFormat="1" ht="17.25" customHeight="1"/>
    <row r="61475" customFormat="1" ht="17.25" customHeight="1"/>
    <row r="61476" customFormat="1" ht="17.25" customHeight="1"/>
    <row r="61477" customFormat="1" ht="17.25" customHeight="1"/>
    <row r="61478" customFormat="1" ht="17.25" customHeight="1"/>
    <row r="61479" customFormat="1" ht="17.25" customHeight="1"/>
    <row r="61480" customFormat="1" ht="17.25" customHeight="1"/>
    <row r="61481" customFormat="1" ht="17.25" customHeight="1"/>
    <row r="61482" customFormat="1" ht="17.25" customHeight="1"/>
    <row r="61483" customFormat="1" ht="17.25" customHeight="1"/>
    <row r="61484" customFormat="1" ht="17.25" customHeight="1"/>
    <row r="61485" customFormat="1" ht="17.25" customHeight="1"/>
    <row r="61486" customFormat="1" ht="17.25" customHeight="1"/>
    <row r="61487" customFormat="1" ht="17.25" customHeight="1"/>
    <row r="61488" customFormat="1" ht="17.25" customHeight="1"/>
    <row r="61489" customFormat="1" ht="17.25" customHeight="1"/>
    <row r="61490" customFormat="1" ht="17.25" customHeight="1"/>
    <row r="61491" customFormat="1" ht="17.25" customHeight="1"/>
    <row r="61492" customFormat="1" ht="17.25" customHeight="1"/>
    <row r="61493" customFormat="1" ht="17.25" customHeight="1"/>
    <row r="61494" customFormat="1" ht="17.25" customHeight="1"/>
    <row r="61495" customFormat="1" ht="17.25" customHeight="1"/>
    <row r="61496" customFormat="1" ht="17.25" customHeight="1"/>
    <row r="61497" customFormat="1" ht="17.25" customHeight="1"/>
    <row r="61498" customFormat="1" ht="17.25" customHeight="1"/>
    <row r="61499" customFormat="1" ht="17.25" customHeight="1"/>
    <row r="61500" customFormat="1" ht="17.25" customHeight="1"/>
    <row r="61501" customFormat="1" ht="17.25" customHeight="1"/>
    <row r="61502" customFormat="1" ht="17.25" customHeight="1"/>
    <row r="61503" customFormat="1" ht="17.25" customHeight="1"/>
    <row r="61504" customFormat="1" ht="17.25" customHeight="1"/>
    <row r="61505" customFormat="1" ht="17.25" customHeight="1"/>
    <row r="61506" customFormat="1" ht="17.25" customHeight="1"/>
    <row r="61507" customFormat="1" ht="17.25" customHeight="1"/>
    <row r="61508" customFormat="1" ht="17.25" customHeight="1"/>
    <row r="61509" customFormat="1" ht="17.25" customHeight="1"/>
    <row r="61510" customFormat="1" ht="17.25" customHeight="1"/>
    <row r="61511" customFormat="1" ht="17.25" customHeight="1"/>
    <row r="61512" customFormat="1" ht="17.25" customHeight="1"/>
    <row r="61513" customFormat="1" ht="17.25" customHeight="1"/>
    <row r="61514" customFormat="1" ht="17.25" customHeight="1"/>
    <row r="61515" customFormat="1" ht="17.25" customHeight="1"/>
    <row r="61516" customFormat="1" ht="17.25" customHeight="1"/>
    <row r="61517" customFormat="1" ht="17.25" customHeight="1"/>
    <row r="61518" customFormat="1" ht="17.25" customHeight="1"/>
    <row r="61519" customFormat="1" ht="17.25" customHeight="1"/>
    <row r="61520" customFormat="1" ht="17.25" customHeight="1"/>
    <row r="61521" customFormat="1" ht="17.25" customHeight="1"/>
    <row r="61522" customFormat="1" ht="17.25" customHeight="1"/>
    <row r="61523" customFormat="1" ht="17.25" customHeight="1"/>
    <row r="61524" customFormat="1" ht="17.25" customHeight="1"/>
    <row r="61525" customFormat="1" ht="17.25" customHeight="1"/>
    <row r="61526" customFormat="1" ht="17.25" customHeight="1"/>
    <row r="61527" customFormat="1" ht="17.25" customHeight="1"/>
    <row r="61528" customFormat="1" ht="17.25" customHeight="1"/>
    <row r="61529" customFormat="1" ht="17.25" customHeight="1"/>
    <row r="61530" customFormat="1" ht="17.25" customHeight="1"/>
    <row r="61531" customFormat="1" ht="17.25" customHeight="1"/>
    <row r="61532" customFormat="1" ht="17.25" customHeight="1"/>
    <row r="61533" customFormat="1" ht="17.25" customHeight="1"/>
    <row r="61534" customFormat="1" ht="17.25" customHeight="1"/>
    <row r="61535" customFormat="1" ht="17.25" customHeight="1"/>
    <row r="61536" customFormat="1" ht="17.25" customHeight="1"/>
    <row r="61537" customFormat="1" ht="17.25" customHeight="1"/>
    <row r="61538" customFormat="1" ht="17.25" customHeight="1"/>
    <row r="61539" customFormat="1" ht="17.25" customHeight="1"/>
    <row r="61540" customFormat="1" ht="17.25" customHeight="1"/>
    <row r="61541" customFormat="1" ht="17.25" customHeight="1"/>
    <row r="61542" customFormat="1" ht="17.25" customHeight="1"/>
    <row r="61543" customFormat="1" ht="17.25" customHeight="1"/>
    <row r="61544" customFormat="1" ht="17.25" customHeight="1"/>
    <row r="61545" customFormat="1" ht="17.25" customHeight="1"/>
    <row r="61546" customFormat="1" ht="17.25" customHeight="1"/>
    <row r="61547" customFormat="1" ht="17.25" customHeight="1"/>
    <row r="61548" customFormat="1" ht="17.25" customHeight="1"/>
    <row r="61549" customFormat="1" ht="17.25" customHeight="1"/>
    <row r="61550" customFormat="1" ht="17.25" customHeight="1"/>
    <row r="61551" customFormat="1" ht="17.25" customHeight="1"/>
    <row r="61552" customFormat="1" ht="17.25" customHeight="1"/>
    <row r="61553" customFormat="1" ht="17.25" customHeight="1"/>
    <row r="61554" customFormat="1" ht="17.25" customHeight="1"/>
    <row r="61555" customFormat="1" ht="17.25" customHeight="1"/>
    <row r="61556" customFormat="1" ht="17.25" customHeight="1"/>
    <row r="61557" customFormat="1" ht="17.25" customHeight="1"/>
    <row r="61558" customFormat="1" ht="17.25" customHeight="1"/>
    <row r="61559" customFormat="1" ht="17.25" customHeight="1"/>
    <row r="61560" customFormat="1" ht="17.25" customHeight="1"/>
    <row r="61561" customFormat="1" ht="17.25" customHeight="1"/>
    <row r="61562" customFormat="1" ht="17.25" customHeight="1"/>
    <row r="61563" customFormat="1" ht="17.25" customHeight="1"/>
    <row r="61564" customFormat="1" ht="17.25" customHeight="1"/>
    <row r="61565" customFormat="1" ht="17.25" customHeight="1"/>
    <row r="61566" customFormat="1" ht="17.25" customHeight="1"/>
    <row r="61567" customFormat="1" ht="17.25" customHeight="1"/>
    <row r="61568" customFormat="1" ht="17.25" customHeight="1"/>
    <row r="61569" customFormat="1" ht="17.25" customHeight="1"/>
    <row r="61570" customFormat="1" ht="17.25" customHeight="1"/>
    <row r="61571" customFormat="1" ht="17.25" customHeight="1"/>
    <row r="61572" customFormat="1" ht="17.25" customHeight="1"/>
    <row r="61573" customFormat="1" ht="17.25" customHeight="1"/>
    <row r="61574" customFormat="1" ht="17.25" customHeight="1"/>
    <row r="61575" customFormat="1" ht="17.25" customHeight="1"/>
    <row r="61576" customFormat="1" ht="17.25" customHeight="1"/>
    <row r="61577" customFormat="1" ht="17.25" customHeight="1"/>
    <row r="61578" customFormat="1" ht="17.25" customHeight="1"/>
    <row r="61579" customFormat="1" ht="17.25" customHeight="1"/>
    <row r="61580" customFormat="1" ht="17.25" customHeight="1"/>
    <row r="61581" customFormat="1" ht="17.25" customHeight="1"/>
    <row r="61582" customFormat="1" ht="17.25" customHeight="1"/>
    <row r="61583" customFormat="1" ht="17.25" customHeight="1"/>
    <row r="61584" customFormat="1" ht="17.25" customHeight="1"/>
    <row r="61585" customFormat="1" ht="17.25" customHeight="1"/>
    <row r="61586" customFormat="1" ht="17.25" customHeight="1"/>
    <row r="61587" customFormat="1" ht="17.25" customHeight="1"/>
    <row r="61588" customFormat="1" ht="17.25" customHeight="1"/>
    <row r="61589" customFormat="1" ht="17.25" customHeight="1"/>
    <row r="61590" customFormat="1" ht="17.25" customHeight="1"/>
    <row r="61591" customFormat="1" ht="17.25" customHeight="1"/>
    <row r="61592" customFormat="1" ht="17.25" customHeight="1"/>
    <row r="61593" customFormat="1" ht="17.25" customHeight="1"/>
    <row r="61594" customFormat="1" ht="17.25" customHeight="1"/>
    <row r="61595" customFormat="1" ht="17.25" customHeight="1"/>
    <row r="61596" customFormat="1" ht="17.25" customHeight="1"/>
    <row r="61597" customFormat="1" ht="17.25" customHeight="1"/>
    <row r="61598" customFormat="1" ht="17.25" customHeight="1"/>
    <row r="61599" customFormat="1" ht="17.25" customHeight="1"/>
    <row r="61600" customFormat="1" ht="17.25" customHeight="1"/>
    <row r="61601" customFormat="1" ht="17.25" customHeight="1"/>
    <row r="61602" customFormat="1" ht="17.25" customHeight="1"/>
    <row r="61603" customFormat="1" ht="17.25" customHeight="1"/>
    <row r="61604" customFormat="1" ht="17.25" customHeight="1"/>
    <row r="61605" customFormat="1" ht="17.25" customHeight="1"/>
    <row r="61606" customFormat="1" ht="17.25" customHeight="1"/>
    <row r="61607" customFormat="1" ht="17.25" customHeight="1"/>
    <row r="61608" customFormat="1" ht="17.25" customHeight="1"/>
    <row r="61609" customFormat="1" ht="17.25" customHeight="1"/>
    <row r="61610" customFormat="1" ht="17.25" customHeight="1"/>
    <row r="61611" customFormat="1" ht="17.25" customHeight="1"/>
    <row r="61612" customFormat="1" ht="17.25" customHeight="1"/>
    <row r="61613" customFormat="1" ht="17.25" customHeight="1"/>
    <row r="61614" customFormat="1" ht="17.25" customHeight="1"/>
    <row r="61615" customFormat="1" ht="17.25" customHeight="1"/>
    <row r="61616" customFormat="1" ht="17.25" customHeight="1"/>
    <row r="61617" customFormat="1" ht="17.25" customHeight="1"/>
    <row r="61618" customFormat="1" ht="17.25" customHeight="1"/>
    <row r="61619" customFormat="1" ht="17.25" customHeight="1"/>
    <row r="61620" customFormat="1" ht="17.25" customHeight="1"/>
    <row r="61621" customFormat="1" ht="17.25" customHeight="1"/>
    <row r="61622" customFormat="1" ht="17.25" customHeight="1"/>
    <row r="61623" customFormat="1" ht="17.25" customHeight="1"/>
    <row r="61624" customFormat="1" ht="17.25" customHeight="1"/>
    <row r="61625" customFormat="1" ht="17.25" customHeight="1"/>
    <row r="61626" customFormat="1" ht="17.25" customHeight="1"/>
    <row r="61627" customFormat="1" ht="17.25" customHeight="1"/>
    <row r="61628" customFormat="1" ht="17.25" customHeight="1"/>
    <row r="61629" customFormat="1" ht="17.25" customHeight="1"/>
    <row r="61630" customFormat="1" ht="17.25" customHeight="1"/>
    <row r="61631" customFormat="1" ht="17.25" customHeight="1"/>
    <row r="61632" customFormat="1" ht="17.25" customHeight="1"/>
    <row r="61633" customFormat="1" ht="17.25" customHeight="1"/>
    <row r="61634" customFormat="1" ht="17.25" customHeight="1"/>
    <row r="61635" customFormat="1" ht="17.25" customHeight="1"/>
    <row r="61636" customFormat="1" ht="17.25" customHeight="1"/>
    <row r="61637" customFormat="1" ht="17.25" customHeight="1"/>
    <row r="61638" customFormat="1" ht="17.25" customHeight="1"/>
    <row r="61639" customFormat="1" ht="17.25" customHeight="1"/>
    <row r="61640" customFormat="1" ht="17.25" customHeight="1"/>
    <row r="61641" customFormat="1" ht="17.25" customHeight="1"/>
    <row r="61642" customFormat="1" ht="17.25" customHeight="1"/>
    <row r="61643" customFormat="1" ht="17.25" customHeight="1"/>
    <row r="61644" customFormat="1" ht="17.25" customHeight="1"/>
    <row r="61645" customFormat="1" ht="17.25" customHeight="1"/>
    <row r="61646" customFormat="1" ht="17.25" customHeight="1"/>
    <row r="61647" customFormat="1" ht="17.25" customHeight="1"/>
    <row r="61648" customFormat="1" ht="17.25" customHeight="1"/>
    <row r="61649" customFormat="1" ht="17.25" customHeight="1"/>
    <row r="61650" customFormat="1" ht="17.25" customHeight="1"/>
    <row r="61651" customFormat="1" ht="17.25" customHeight="1"/>
    <row r="61652" customFormat="1" ht="17.25" customHeight="1"/>
    <row r="61653" customFormat="1" ht="17.25" customHeight="1"/>
    <row r="61654" customFormat="1" ht="17.25" customHeight="1"/>
    <row r="61655" customFormat="1" ht="17.25" customHeight="1"/>
    <row r="61656" customFormat="1" ht="17.25" customHeight="1"/>
    <row r="61657" customFormat="1" ht="17.25" customHeight="1"/>
    <row r="61658" customFormat="1" ht="17.25" customHeight="1"/>
    <row r="61659" customFormat="1" ht="17.25" customHeight="1"/>
    <row r="61660" customFormat="1" ht="17.25" customHeight="1"/>
    <row r="61661" customFormat="1" ht="17.25" customHeight="1"/>
    <row r="61662" customFormat="1" ht="17.25" customHeight="1"/>
    <row r="61663" customFormat="1" ht="17.25" customHeight="1"/>
    <row r="61664" customFormat="1" ht="17.25" customHeight="1"/>
    <row r="61665" customFormat="1" ht="17.25" customHeight="1"/>
    <row r="61666" customFormat="1" ht="17.25" customHeight="1"/>
    <row r="61667" customFormat="1" ht="17.25" customHeight="1"/>
    <row r="61668" customFormat="1" ht="17.25" customHeight="1"/>
    <row r="61669" customFormat="1" ht="17.25" customHeight="1"/>
    <row r="61670" customFormat="1" ht="17.25" customHeight="1"/>
    <row r="61671" customFormat="1" ht="17.25" customHeight="1"/>
    <row r="61672" customFormat="1" ht="17.25" customHeight="1"/>
    <row r="61673" customFormat="1" ht="17.25" customHeight="1"/>
    <row r="61674" customFormat="1" ht="17.25" customHeight="1"/>
    <row r="61675" customFormat="1" ht="17.25" customHeight="1"/>
    <row r="61676" customFormat="1" ht="17.25" customHeight="1"/>
    <row r="61677" customFormat="1" ht="17.25" customHeight="1"/>
    <row r="61678" customFormat="1" ht="17.25" customHeight="1"/>
    <row r="61679" customFormat="1" ht="17.25" customHeight="1"/>
    <row r="61680" customFormat="1" ht="17.25" customHeight="1"/>
    <row r="61681" customFormat="1" ht="17.25" customHeight="1"/>
    <row r="61682" customFormat="1" ht="17.25" customHeight="1"/>
    <row r="61683" customFormat="1" ht="17.25" customHeight="1"/>
    <row r="61684" customFormat="1" ht="17.25" customHeight="1"/>
    <row r="61685" customFormat="1" ht="17.25" customHeight="1"/>
    <row r="61686" customFormat="1" ht="17.25" customHeight="1"/>
    <row r="61687" customFormat="1" ht="17.25" customHeight="1"/>
    <row r="61688" customFormat="1" ht="17.25" customHeight="1"/>
    <row r="61689" customFormat="1" ht="17.25" customHeight="1"/>
    <row r="61690" customFormat="1" ht="17.25" customHeight="1"/>
    <row r="61691" customFormat="1" ht="17.25" customHeight="1"/>
    <row r="61692" customFormat="1" ht="17.25" customHeight="1"/>
    <row r="61693" customFormat="1" ht="17.25" customHeight="1"/>
    <row r="61694" customFormat="1" ht="17.25" customHeight="1"/>
    <row r="61695" customFormat="1" ht="17.25" customHeight="1"/>
    <row r="61696" customFormat="1" ht="17.25" customHeight="1"/>
    <row r="61697" customFormat="1" ht="17.25" customHeight="1"/>
    <row r="61698" customFormat="1" ht="17.25" customHeight="1"/>
    <row r="61699" customFormat="1" ht="17.25" customHeight="1"/>
    <row r="61700" customFormat="1" ht="17.25" customHeight="1"/>
    <row r="61701" customFormat="1" ht="17.25" customHeight="1"/>
    <row r="61702" customFormat="1" ht="17.25" customHeight="1"/>
    <row r="61703" customFormat="1" ht="17.25" customHeight="1"/>
    <row r="61704" customFormat="1" ht="17.25" customHeight="1"/>
    <row r="61705" customFormat="1" ht="17.25" customHeight="1"/>
    <row r="61706" customFormat="1" ht="17.25" customHeight="1"/>
    <row r="61707" customFormat="1" ht="17.25" customHeight="1"/>
    <row r="61708" customFormat="1" ht="17.25" customHeight="1"/>
    <row r="61709" customFormat="1" ht="17.25" customHeight="1"/>
    <row r="61710" customFormat="1" ht="17.25" customHeight="1"/>
    <row r="61711" customFormat="1" ht="17.25" customHeight="1"/>
    <row r="61712" customFormat="1" ht="17.25" customHeight="1"/>
    <row r="61713" customFormat="1" ht="17.25" customHeight="1"/>
    <row r="61714" customFormat="1" ht="17.25" customHeight="1"/>
    <row r="61715" customFormat="1" ht="17.25" customHeight="1"/>
    <row r="61716" customFormat="1" ht="17.25" customHeight="1"/>
    <row r="61717" customFormat="1" ht="17.25" customHeight="1"/>
    <row r="61718" customFormat="1" ht="17.25" customHeight="1"/>
    <row r="61719" customFormat="1" ht="17.25" customHeight="1"/>
    <row r="61720" customFormat="1" ht="17.25" customHeight="1"/>
    <row r="61721" customFormat="1" ht="17.25" customHeight="1"/>
    <row r="61722" customFormat="1" ht="17.25" customHeight="1"/>
    <row r="61723" customFormat="1" ht="17.25" customHeight="1"/>
    <row r="61724" customFormat="1" ht="17.25" customHeight="1"/>
    <row r="61725" customFormat="1" ht="17.25" customHeight="1"/>
    <row r="61726" customFormat="1" ht="17.25" customHeight="1"/>
    <row r="61727" customFormat="1" ht="17.25" customHeight="1"/>
    <row r="61728" customFormat="1" ht="17.25" customHeight="1"/>
    <row r="61729" customFormat="1" ht="17.25" customHeight="1"/>
    <row r="61730" customFormat="1" ht="17.25" customHeight="1"/>
    <row r="61731" customFormat="1" ht="17.25" customHeight="1"/>
    <row r="61732" customFormat="1" ht="17.25" customHeight="1"/>
    <row r="61733" customFormat="1" ht="17.25" customHeight="1"/>
    <row r="61734" customFormat="1" ht="17.25" customHeight="1"/>
    <row r="61735" customFormat="1" ht="17.25" customHeight="1"/>
    <row r="61736" customFormat="1" ht="17.25" customHeight="1"/>
    <row r="61737" customFormat="1" ht="17.25" customHeight="1"/>
    <row r="61738" customFormat="1" ht="17.25" customHeight="1"/>
    <row r="61739" customFormat="1" ht="17.25" customHeight="1"/>
    <row r="61740" customFormat="1" ht="17.25" customHeight="1"/>
    <row r="61741" customFormat="1" ht="17.25" customHeight="1"/>
    <row r="61742" customFormat="1" ht="17.25" customHeight="1"/>
    <row r="61743" customFormat="1" ht="17.25" customHeight="1"/>
    <row r="61744" customFormat="1" ht="17.25" customHeight="1"/>
    <row r="61745" customFormat="1" ht="17.25" customHeight="1"/>
    <row r="61746" customFormat="1" ht="17.25" customHeight="1"/>
    <row r="61747" customFormat="1" ht="17.25" customHeight="1"/>
    <row r="61748" customFormat="1" ht="17.25" customHeight="1"/>
    <row r="61749" customFormat="1" ht="17.25" customHeight="1"/>
    <row r="61750" customFormat="1" ht="17.25" customHeight="1"/>
    <row r="61751" customFormat="1" ht="17.25" customHeight="1"/>
    <row r="61752" customFormat="1" ht="17.25" customHeight="1"/>
    <row r="61753" customFormat="1" ht="17.25" customHeight="1"/>
    <row r="61754" customFormat="1" ht="17.25" customHeight="1"/>
    <row r="61755" customFormat="1" ht="17.25" customHeight="1"/>
    <row r="61756" customFormat="1" ht="17.25" customHeight="1"/>
    <row r="61757" customFormat="1" ht="17.25" customHeight="1"/>
    <row r="61758" customFormat="1" ht="17.25" customHeight="1"/>
    <row r="61759" customFormat="1" ht="17.25" customHeight="1"/>
    <row r="61760" customFormat="1" ht="17.25" customHeight="1"/>
    <row r="61761" customFormat="1" ht="17.25" customHeight="1"/>
    <row r="61762" customFormat="1" ht="17.25" customHeight="1"/>
    <row r="61763" customFormat="1" ht="17.25" customHeight="1"/>
    <row r="61764" customFormat="1" ht="17.25" customHeight="1"/>
    <row r="61765" customFormat="1" ht="17.25" customHeight="1"/>
    <row r="61766" customFormat="1" ht="17.25" customHeight="1"/>
    <row r="61767" customFormat="1" ht="17.25" customHeight="1"/>
    <row r="61768" customFormat="1" ht="17.25" customHeight="1"/>
    <row r="61769" customFormat="1" ht="17.25" customHeight="1"/>
    <row r="61770" customFormat="1" ht="17.25" customHeight="1"/>
    <row r="61771" customFormat="1" ht="17.25" customHeight="1"/>
    <row r="61772" customFormat="1" ht="17.25" customHeight="1"/>
    <row r="61773" customFormat="1" ht="17.25" customHeight="1"/>
    <row r="61774" customFormat="1" ht="17.25" customHeight="1"/>
    <row r="61775" customFormat="1" ht="17.25" customHeight="1"/>
    <row r="61776" customFormat="1" ht="17.25" customHeight="1"/>
    <row r="61777" customFormat="1" ht="17.25" customHeight="1"/>
    <row r="61778" customFormat="1" ht="17.25" customHeight="1"/>
    <row r="61779" customFormat="1" ht="17.25" customHeight="1"/>
    <row r="61780" customFormat="1" ht="17.25" customHeight="1"/>
    <row r="61781" customFormat="1" ht="17.25" customHeight="1"/>
    <row r="61782" customFormat="1" ht="17.25" customHeight="1"/>
    <row r="61783" customFormat="1" ht="17.25" customHeight="1"/>
    <row r="61784" customFormat="1" ht="17.25" customHeight="1"/>
    <row r="61785" customFormat="1" ht="17.25" customHeight="1"/>
    <row r="61786" customFormat="1" ht="17.25" customHeight="1"/>
    <row r="61787" customFormat="1" ht="17.25" customHeight="1"/>
    <row r="61788" customFormat="1" ht="17.25" customHeight="1"/>
    <row r="61789" customFormat="1" ht="17.25" customHeight="1"/>
    <row r="61790" customFormat="1" ht="17.25" customHeight="1"/>
    <row r="61791" customFormat="1" ht="17.25" customHeight="1"/>
    <row r="61792" customFormat="1" ht="17.25" customHeight="1"/>
    <row r="61793" customFormat="1" ht="17.25" customHeight="1"/>
    <row r="61794" customFormat="1" ht="17.25" customHeight="1"/>
    <row r="61795" customFormat="1" ht="17.25" customHeight="1"/>
    <row r="61796" customFormat="1" ht="17.25" customHeight="1"/>
    <row r="61797" customFormat="1" ht="17.25" customHeight="1"/>
    <row r="61798" customFormat="1" ht="17.25" customHeight="1"/>
    <row r="61799" customFormat="1" ht="17.25" customHeight="1"/>
    <row r="61800" customFormat="1" ht="17.25" customHeight="1"/>
    <row r="61801" customFormat="1" ht="17.25" customHeight="1"/>
    <row r="61802" customFormat="1" ht="17.25" customHeight="1"/>
    <row r="61803" customFormat="1" ht="17.25" customHeight="1"/>
    <row r="61804" customFormat="1" ht="17.25" customHeight="1"/>
    <row r="61805" customFormat="1" ht="17.25" customHeight="1"/>
    <row r="61806" customFormat="1" ht="17.25" customHeight="1"/>
    <row r="61807" customFormat="1" ht="17.25" customHeight="1"/>
    <row r="61808" customFormat="1" ht="17.25" customHeight="1"/>
    <row r="61809" customFormat="1" ht="17.25" customHeight="1"/>
    <row r="61810" customFormat="1" ht="17.25" customHeight="1"/>
    <row r="61811" customFormat="1" ht="17.25" customHeight="1"/>
    <row r="61812" customFormat="1" ht="17.25" customHeight="1"/>
    <row r="61813" customFormat="1" ht="17.25" customHeight="1"/>
    <row r="61814" customFormat="1" ht="17.25" customHeight="1"/>
    <row r="61815" customFormat="1" ht="17.25" customHeight="1"/>
    <row r="61816" customFormat="1" ht="17.25" customHeight="1"/>
    <row r="61817" customFormat="1" ht="17.25" customHeight="1"/>
    <row r="61818" customFormat="1" ht="17.25" customHeight="1"/>
    <row r="61819" customFormat="1" ht="17.25" customHeight="1"/>
    <row r="61820" customFormat="1" ht="17.25" customHeight="1"/>
    <row r="61821" customFormat="1" ht="17.25" customHeight="1"/>
    <row r="61822" customFormat="1" ht="17.25" customHeight="1"/>
    <row r="61823" customFormat="1" ht="17.25" customHeight="1"/>
    <row r="61824" customFormat="1" ht="17.25" customHeight="1"/>
    <row r="61825" customFormat="1" ht="17.25" customHeight="1"/>
    <row r="61826" customFormat="1" ht="17.25" customHeight="1"/>
    <row r="61827" customFormat="1" ht="17.25" customHeight="1"/>
    <row r="61828" customFormat="1" ht="17.25" customHeight="1"/>
    <row r="61829" customFormat="1" ht="17.25" customHeight="1"/>
    <row r="61830" customFormat="1" ht="17.25" customHeight="1"/>
    <row r="61831" customFormat="1" ht="17.25" customHeight="1"/>
    <row r="61832" customFormat="1" ht="17.25" customHeight="1"/>
    <row r="61833" customFormat="1" ht="17.25" customHeight="1"/>
    <row r="61834" customFormat="1" ht="17.25" customHeight="1"/>
    <row r="61835" customFormat="1" ht="17.25" customHeight="1"/>
    <row r="61836" customFormat="1" ht="17.25" customHeight="1"/>
    <row r="61837" customFormat="1" ht="17.25" customHeight="1"/>
    <row r="61838" customFormat="1" ht="17.25" customHeight="1"/>
    <row r="61839" customFormat="1" ht="17.25" customHeight="1"/>
    <row r="61840" customFormat="1" ht="17.25" customHeight="1"/>
    <row r="61841" customFormat="1" ht="17.25" customHeight="1"/>
    <row r="61842" customFormat="1" ht="17.25" customHeight="1"/>
    <row r="61843" customFormat="1" ht="17.25" customHeight="1"/>
    <row r="61844" customFormat="1" ht="17.25" customHeight="1"/>
    <row r="61845" customFormat="1" ht="17.25" customHeight="1"/>
    <row r="61846" customFormat="1" ht="17.25" customHeight="1"/>
    <row r="61847" customFormat="1" ht="17.25" customHeight="1"/>
    <row r="61848" customFormat="1" ht="17.25" customHeight="1"/>
    <row r="61849" customFormat="1" ht="17.25" customHeight="1"/>
    <row r="61850" customFormat="1" ht="17.25" customHeight="1"/>
    <row r="61851" customFormat="1" ht="17.25" customHeight="1"/>
    <row r="61852" customFormat="1" ht="17.25" customHeight="1"/>
    <row r="61853" customFormat="1" ht="17.25" customHeight="1"/>
    <row r="61854" customFormat="1" ht="17.25" customHeight="1"/>
    <row r="61855" customFormat="1" ht="17.25" customHeight="1"/>
    <row r="61856" customFormat="1" ht="17.25" customHeight="1"/>
    <row r="61857" customFormat="1" ht="17.25" customHeight="1"/>
    <row r="61858" customFormat="1" ht="17.25" customHeight="1"/>
    <row r="61859" customFormat="1" ht="17.25" customHeight="1"/>
    <row r="61860" customFormat="1" ht="17.25" customHeight="1"/>
    <row r="61861" customFormat="1" ht="17.25" customHeight="1"/>
    <row r="61862" customFormat="1" ht="17.25" customHeight="1"/>
    <row r="61863" customFormat="1" ht="17.25" customHeight="1"/>
    <row r="61864" customFormat="1" ht="17.25" customHeight="1"/>
    <row r="61865" customFormat="1" ht="17.25" customHeight="1"/>
    <row r="61866" customFormat="1" ht="17.25" customHeight="1"/>
    <row r="61867" customFormat="1" ht="17.25" customHeight="1"/>
    <row r="61868" customFormat="1" ht="17.25" customHeight="1"/>
    <row r="61869" customFormat="1" ht="17.25" customHeight="1"/>
    <row r="61870" customFormat="1" ht="17.25" customHeight="1"/>
    <row r="61871" customFormat="1" ht="17.25" customHeight="1"/>
    <row r="61872" customFormat="1" ht="17.25" customHeight="1"/>
    <row r="61873" customFormat="1" ht="17.25" customHeight="1"/>
    <row r="61874" customFormat="1" ht="17.25" customHeight="1"/>
    <row r="61875" customFormat="1" ht="17.25" customHeight="1"/>
    <row r="61876" customFormat="1" ht="17.25" customHeight="1"/>
    <row r="61877" customFormat="1" ht="17.25" customHeight="1"/>
    <row r="61878" customFormat="1" ht="17.25" customHeight="1"/>
    <row r="61879" customFormat="1" ht="17.25" customHeight="1"/>
    <row r="61880" customFormat="1" ht="17.25" customHeight="1"/>
    <row r="61881" customFormat="1" ht="17.25" customHeight="1"/>
    <row r="61882" customFormat="1" ht="17.25" customHeight="1"/>
    <row r="61883" customFormat="1" ht="17.25" customHeight="1"/>
    <row r="61884" customFormat="1" ht="17.25" customHeight="1"/>
    <row r="61885" customFormat="1" ht="17.25" customHeight="1"/>
    <row r="61886" customFormat="1" ht="17.25" customHeight="1"/>
    <row r="61887" customFormat="1" ht="17.25" customHeight="1"/>
    <row r="61888" customFormat="1" ht="17.25" customHeight="1"/>
    <row r="61889" customFormat="1" ht="17.25" customHeight="1"/>
    <row r="61890" customFormat="1" ht="17.25" customHeight="1"/>
    <row r="61891" customFormat="1" ht="17.25" customHeight="1"/>
    <row r="61892" customFormat="1" ht="17.25" customHeight="1"/>
    <row r="61893" customFormat="1" ht="17.25" customHeight="1"/>
    <row r="61894" customFormat="1" ht="17.25" customHeight="1"/>
    <row r="61895" customFormat="1" ht="17.25" customHeight="1"/>
    <row r="61896" customFormat="1" ht="17.25" customHeight="1"/>
    <row r="61897" customFormat="1" ht="17.25" customHeight="1"/>
    <row r="61898" customFormat="1" ht="17.25" customHeight="1"/>
    <row r="61899" customFormat="1" ht="17.25" customHeight="1"/>
    <row r="61900" customFormat="1" ht="17.25" customHeight="1"/>
    <row r="61901" customFormat="1" ht="17.25" customHeight="1"/>
    <row r="61902" customFormat="1" ht="17.25" customHeight="1"/>
    <row r="61903" customFormat="1" ht="17.25" customHeight="1"/>
    <row r="61904" customFormat="1" ht="17.25" customHeight="1"/>
    <row r="61905" customFormat="1" ht="17.25" customHeight="1"/>
    <row r="61906" customFormat="1" ht="17.25" customHeight="1"/>
    <row r="61907" customFormat="1" ht="17.25" customHeight="1"/>
    <row r="61908" customFormat="1" ht="17.25" customHeight="1"/>
    <row r="61909" customFormat="1" ht="17.25" customHeight="1"/>
    <row r="61910" customFormat="1" ht="17.25" customHeight="1"/>
    <row r="61911" customFormat="1" ht="17.25" customHeight="1"/>
    <row r="61912" customFormat="1" ht="17.25" customHeight="1"/>
    <row r="61913" customFormat="1" ht="17.25" customHeight="1"/>
    <row r="61914" customFormat="1" ht="17.25" customHeight="1"/>
    <row r="61915" customFormat="1" ht="17.25" customHeight="1"/>
    <row r="61916" customFormat="1" ht="17.25" customHeight="1"/>
    <row r="61917" customFormat="1" ht="17.25" customHeight="1"/>
    <row r="61918" customFormat="1" ht="17.25" customHeight="1"/>
    <row r="61919" customFormat="1" ht="17.25" customHeight="1"/>
    <row r="61920" customFormat="1" ht="17.25" customHeight="1"/>
    <row r="61921" customFormat="1" ht="17.25" customHeight="1"/>
    <row r="61922" customFormat="1" ht="17.25" customHeight="1"/>
    <row r="61923" customFormat="1" ht="17.25" customHeight="1"/>
    <row r="61924" customFormat="1" ht="17.25" customHeight="1"/>
    <row r="61925" customFormat="1" ht="17.25" customHeight="1"/>
    <row r="61926" customFormat="1" ht="17.25" customHeight="1"/>
    <row r="61927" customFormat="1" ht="17.25" customHeight="1"/>
    <row r="61928" customFormat="1" ht="17.25" customHeight="1"/>
    <row r="61929" customFormat="1" ht="17.25" customHeight="1"/>
    <row r="61930" customFormat="1" ht="17.25" customHeight="1"/>
    <row r="61931" customFormat="1" ht="17.25" customHeight="1"/>
    <row r="61932" customFormat="1" ht="17.25" customHeight="1"/>
    <row r="61933" customFormat="1" ht="17.25" customHeight="1"/>
    <row r="61934" customFormat="1" ht="17.25" customHeight="1"/>
    <row r="61935" customFormat="1" ht="17.25" customHeight="1"/>
    <row r="61936" customFormat="1" ht="17.25" customHeight="1"/>
    <row r="61937" customFormat="1" ht="17.25" customHeight="1"/>
    <row r="61938" customFormat="1" ht="17.25" customHeight="1"/>
    <row r="61939" customFormat="1" ht="17.25" customHeight="1"/>
    <row r="61940" customFormat="1" ht="17.25" customHeight="1"/>
    <row r="61941" customFormat="1" ht="17.25" customHeight="1"/>
    <row r="61942" customFormat="1" ht="17.25" customHeight="1"/>
    <row r="61943" customFormat="1" ht="17.25" customHeight="1"/>
    <row r="61944" customFormat="1" ht="17.25" customHeight="1"/>
    <row r="61945" customFormat="1" ht="17.25" customHeight="1"/>
    <row r="61946" customFormat="1" ht="17.25" customHeight="1"/>
    <row r="61947" customFormat="1" ht="17.25" customHeight="1"/>
    <row r="61948" customFormat="1" ht="17.25" customHeight="1"/>
    <row r="61949" customFormat="1" ht="17.25" customHeight="1"/>
    <row r="61950" customFormat="1" ht="17.25" customHeight="1"/>
    <row r="61951" customFormat="1" ht="17.25" customHeight="1"/>
    <row r="61952" customFormat="1" ht="17.25" customHeight="1"/>
    <row r="61953" customFormat="1" ht="17.25" customHeight="1"/>
    <row r="61954" customFormat="1" ht="17.25" customHeight="1"/>
    <row r="61955" customFormat="1" ht="17.25" customHeight="1"/>
    <row r="61956" customFormat="1" ht="17.25" customHeight="1"/>
    <row r="61957" customFormat="1" ht="17.25" customHeight="1"/>
    <row r="61958" customFormat="1" ht="17.25" customHeight="1"/>
    <row r="61959" customFormat="1" ht="17.25" customHeight="1"/>
    <row r="61960" customFormat="1" ht="17.25" customHeight="1"/>
    <row r="61961" customFormat="1" ht="17.25" customHeight="1"/>
    <row r="61962" customFormat="1" ht="17.25" customHeight="1"/>
    <row r="61963" customFormat="1" ht="17.25" customHeight="1"/>
    <row r="61964" customFormat="1" ht="17.25" customHeight="1"/>
    <row r="61965" customFormat="1" ht="17.25" customHeight="1"/>
    <row r="61966" customFormat="1" ht="17.25" customHeight="1"/>
    <row r="61967" customFormat="1" ht="17.25" customHeight="1"/>
    <row r="61968" customFormat="1" ht="17.25" customHeight="1"/>
    <row r="61969" customFormat="1" ht="17.25" customHeight="1"/>
    <row r="61970" customFormat="1" ht="17.25" customHeight="1"/>
    <row r="61971" customFormat="1" ht="17.25" customHeight="1"/>
    <row r="61972" customFormat="1" ht="17.25" customHeight="1"/>
    <row r="61973" customFormat="1" ht="17.25" customHeight="1"/>
    <row r="61974" customFormat="1" ht="17.25" customHeight="1"/>
    <row r="61975" customFormat="1" ht="17.25" customHeight="1"/>
    <row r="61976" customFormat="1" ht="17.25" customHeight="1"/>
    <row r="61977" customFormat="1" ht="17.25" customHeight="1"/>
    <row r="61978" customFormat="1" ht="17.25" customHeight="1"/>
    <row r="61979" customFormat="1" ht="17.25" customHeight="1"/>
    <row r="61980" customFormat="1" ht="17.25" customHeight="1"/>
    <row r="61981" customFormat="1" ht="17.25" customHeight="1"/>
    <row r="61982" customFormat="1" ht="17.25" customHeight="1"/>
    <row r="61983" customFormat="1" ht="17.25" customHeight="1"/>
    <row r="61984" customFormat="1" ht="17.25" customHeight="1"/>
    <row r="61985" customFormat="1" ht="17.25" customHeight="1"/>
    <row r="61986" customFormat="1" ht="17.25" customHeight="1"/>
    <row r="61987" customFormat="1" ht="17.25" customHeight="1"/>
    <row r="61988" customFormat="1" ht="17.25" customHeight="1"/>
    <row r="61989" customFormat="1" ht="17.25" customHeight="1"/>
    <row r="61990" customFormat="1" ht="17.25" customHeight="1"/>
    <row r="61991" customFormat="1" ht="17.25" customHeight="1"/>
    <row r="61992" customFormat="1" ht="17.25" customHeight="1"/>
    <row r="61993" customFormat="1" ht="17.25" customHeight="1"/>
    <row r="61994" customFormat="1" ht="17.25" customHeight="1"/>
    <row r="61995" customFormat="1" ht="17.25" customHeight="1"/>
    <row r="61996" customFormat="1" ht="17.25" customHeight="1"/>
    <row r="61997" customFormat="1" ht="17.25" customHeight="1"/>
    <row r="61998" customFormat="1" ht="17.25" customHeight="1"/>
    <row r="61999" customFormat="1" ht="17.25" customHeight="1"/>
    <row r="62000" customFormat="1" ht="17.25" customHeight="1"/>
    <row r="62001" customFormat="1" ht="17.25" customHeight="1"/>
    <row r="62002" customFormat="1" ht="17.25" customHeight="1"/>
    <row r="62003" customFormat="1" ht="17.25" customHeight="1"/>
    <row r="62004" customFormat="1" ht="17.25" customHeight="1"/>
    <row r="62005" customFormat="1" ht="17.25" customHeight="1"/>
    <row r="62006" customFormat="1" ht="17.25" customHeight="1"/>
    <row r="62007" customFormat="1" ht="17.25" customHeight="1"/>
    <row r="62008" customFormat="1" ht="17.25" customHeight="1"/>
    <row r="62009" customFormat="1" ht="17.25" customHeight="1"/>
    <row r="62010" customFormat="1" ht="17.25" customHeight="1"/>
    <row r="62011" customFormat="1" ht="17.25" customHeight="1"/>
    <row r="62012" customFormat="1" ht="17.25" customHeight="1"/>
    <row r="62013" customFormat="1" ht="17.25" customHeight="1"/>
    <row r="62014" customFormat="1" ht="17.25" customHeight="1"/>
    <row r="62015" customFormat="1" ht="17.25" customHeight="1"/>
    <row r="62016" customFormat="1" ht="17.25" customHeight="1"/>
    <row r="62017" customFormat="1" ht="17.25" customHeight="1"/>
    <row r="62018" customFormat="1" ht="17.25" customHeight="1"/>
    <row r="62019" customFormat="1" ht="17.25" customHeight="1"/>
    <row r="62020" customFormat="1" ht="17.25" customHeight="1"/>
    <row r="62021" customFormat="1" ht="17.25" customHeight="1"/>
    <row r="62022" customFormat="1" ht="17.25" customHeight="1"/>
    <row r="62023" customFormat="1" ht="17.25" customHeight="1"/>
    <row r="62024" customFormat="1" ht="17.25" customHeight="1"/>
    <row r="62025" customFormat="1" ht="17.25" customHeight="1"/>
    <row r="62026" customFormat="1" ht="17.25" customHeight="1"/>
    <row r="62027" customFormat="1" ht="17.25" customHeight="1"/>
    <row r="62028" customFormat="1" ht="17.25" customHeight="1"/>
    <row r="62029" customFormat="1" ht="17.25" customHeight="1"/>
    <row r="62030" customFormat="1" ht="17.25" customHeight="1"/>
    <row r="62031" customFormat="1" ht="17.25" customHeight="1"/>
    <row r="62032" customFormat="1" ht="17.25" customHeight="1"/>
    <row r="62033" customFormat="1" ht="17.25" customHeight="1"/>
    <row r="62034" customFormat="1" ht="17.25" customHeight="1"/>
    <row r="62035" customFormat="1" ht="17.25" customHeight="1"/>
    <row r="62036" customFormat="1" ht="17.25" customHeight="1"/>
    <row r="62037" customFormat="1" ht="17.25" customHeight="1"/>
    <row r="62038" customFormat="1" ht="17.25" customHeight="1"/>
    <row r="62039" customFormat="1" ht="17.25" customHeight="1"/>
    <row r="62040" customFormat="1" ht="17.25" customHeight="1"/>
    <row r="62041" customFormat="1" ht="17.25" customHeight="1"/>
    <row r="62042" customFormat="1" ht="17.25" customHeight="1"/>
    <row r="62043" customFormat="1" ht="17.25" customHeight="1"/>
    <row r="62044" customFormat="1" ht="17.25" customHeight="1"/>
    <row r="62045" customFormat="1" ht="17.25" customHeight="1"/>
    <row r="62046" customFormat="1" ht="17.25" customHeight="1"/>
    <row r="62047" customFormat="1" ht="17.25" customHeight="1"/>
    <row r="62048" customFormat="1" ht="17.25" customHeight="1"/>
    <row r="62049" customFormat="1" ht="17.25" customHeight="1"/>
    <row r="62050" customFormat="1" ht="17.25" customHeight="1"/>
    <row r="62051" customFormat="1" ht="17.25" customHeight="1"/>
    <row r="62052" customFormat="1" ht="17.25" customHeight="1"/>
    <row r="62053" customFormat="1" ht="17.25" customHeight="1"/>
    <row r="62054" customFormat="1" ht="17.25" customHeight="1"/>
    <row r="62055" customFormat="1" ht="17.25" customHeight="1"/>
    <row r="62056" customFormat="1" ht="17.25" customHeight="1"/>
    <row r="62057" customFormat="1" ht="17.25" customHeight="1"/>
    <row r="62058" customFormat="1" ht="17.25" customHeight="1"/>
    <row r="62059" customFormat="1" ht="17.25" customHeight="1"/>
    <row r="62060" customFormat="1" ht="17.25" customHeight="1"/>
    <row r="62061" customFormat="1" ht="17.25" customHeight="1"/>
    <row r="62062" customFormat="1" ht="17.25" customHeight="1"/>
    <row r="62063" customFormat="1" ht="17.25" customHeight="1"/>
    <row r="62064" customFormat="1" ht="17.25" customHeight="1"/>
    <row r="62065" customFormat="1" ht="17.25" customHeight="1"/>
    <row r="62066" customFormat="1" ht="17.25" customHeight="1"/>
    <row r="62067" customFormat="1" ht="17.25" customHeight="1"/>
    <row r="62068" customFormat="1" ht="17.25" customHeight="1"/>
    <row r="62069" customFormat="1" ht="17.25" customHeight="1"/>
    <row r="62070" customFormat="1" ht="17.25" customHeight="1"/>
    <row r="62071" customFormat="1" ht="17.25" customHeight="1"/>
    <row r="62072" customFormat="1" ht="17.25" customHeight="1"/>
    <row r="62073" customFormat="1" ht="17.25" customHeight="1"/>
    <row r="62074" customFormat="1" ht="17.25" customHeight="1"/>
    <row r="62075" customFormat="1" ht="17.25" customHeight="1"/>
    <row r="62076" customFormat="1" ht="17.25" customHeight="1"/>
    <row r="62077" customFormat="1" ht="17.25" customHeight="1"/>
    <row r="62078" customFormat="1" ht="17.25" customHeight="1"/>
    <row r="62079" customFormat="1" ht="17.25" customHeight="1"/>
    <row r="62080" customFormat="1" ht="17.25" customHeight="1"/>
    <row r="62081" customFormat="1" ht="17.25" customHeight="1"/>
    <row r="62082" customFormat="1" ht="17.25" customHeight="1"/>
    <row r="62083" customFormat="1" ht="17.25" customHeight="1"/>
    <row r="62084" customFormat="1" ht="17.25" customHeight="1"/>
    <row r="62085" customFormat="1" ht="17.25" customHeight="1"/>
    <row r="62086" customFormat="1" ht="17.25" customHeight="1"/>
    <row r="62087" customFormat="1" ht="17.25" customHeight="1"/>
    <row r="62088" customFormat="1" ht="17.25" customHeight="1"/>
    <row r="62089" customFormat="1" ht="17.25" customHeight="1"/>
    <row r="62090" customFormat="1" ht="17.25" customHeight="1"/>
    <row r="62091" customFormat="1" ht="17.25" customHeight="1"/>
    <row r="62092" customFormat="1" ht="17.25" customHeight="1"/>
    <row r="62093" customFormat="1" ht="17.25" customHeight="1"/>
    <row r="62094" customFormat="1" ht="17.25" customHeight="1"/>
    <row r="62095" customFormat="1" ht="17.25" customHeight="1"/>
    <row r="62096" customFormat="1" ht="17.25" customHeight="1"/>
    <row r="62097" customFormat="1" ht="17.25" customHeight="1"/>
    <row r="62098" customFormat="1" ht="17.25" customHeight="1"/>
    <row r="62099" customFormat="1" ht="17.25" customHeight="1"/>
    <row r="62100" customFormat="1" ht="17.25" customHeight="1"/>
    <row r="62101" customFormat="1" ht="17.25" customHeight="1"/>
    <row r="62102" customFormat="1" ht="17.25" customHeight="1"/>
    <row r="62103" customFormat="1" ht="17.25" customHeight="1"/>
    <row r="62104" customFormat="1" ht="17.25" customHeight="1"/>
    <row r="62105" customFormat="1" ht="17.25" customHeight="1"/>
    <row r="62106" customFormat="1" ht="17.25" customHeight="1"/>
    <row r="62107" customFormat="1" ht="17.25" customHeight="1"/>
    <row r="62108" customFormat="1" ht="17.25" customHeight="1"/>
    <row r="62109" customFormat="1" ht="17.25" customHeight="1"/>
    <row r="62110" customFormat="1" ht="17.25" customHeight="1"/>
    <row r="62111" customFormat="1" ht="17.25" customHeight="1"/>
    <row r="62112" customFormat="1" ht="17.25" customHeight="1"/>
    <row r="62113" customFormat="1" ht="17.25" customHeight="1"/>
    <row r="62114" customFormat="1" ht="17.25" customHeight="1"/>
    <row r="62115" customFormat="1" ht="17.25" customHeight="1"/>
    <row r="62116" customFormat="1" ht="17.25" customHeight="1"/>
    <row r="62117" customFormat="1" ht="17.25" customHeight="1"/>
    <row r="62118" customFormat="1" ht="17.25" customHeight="1"/>
    <row r="62119" customFormat="1" ht="17.25" customHeight="1"/>
    <row r="62120" customFormat="1" ht="17.25" customHeight="1"/>
    <row r="62121" customFormat="1" ht="17.25" customHeight="1"/>
    <row r="62122" customFormat="1" ht="17.25" customHeight="1"/>
    <row r="62123" customFormat="1" ht="17.25" customHeight="1"/>
    <row r="62124" customFormat="1" ht="17.25" customHeight="1"/>
    <row r="62125" customFormat="1" ht="17.25" customHeight="1"/>
    <row r="62126" customFormat="1" ht="17.25" customHeight="1"/>
    <row r="62127" customFormat="1" ht="17.25" customHeight="1"/>
    <row r="62128" customFormat="1" ht="17.25" customHeight="1"/>
    <row r="62129" customFormat="1" ht="17.25" customHeight="1"/>
    <row r="62130" customFormat="1" ht="17.25" customHeight="1"/>
    <row r="62131" customFormat="1" ht="17.25" customHeight="1"/>
    <row r="62132" customFormat="1" ht="17.25" customHeight="1"/>
    <row r="62133" customFormat="1" ht="17.25" customHeight="1"/>
    <row r="62134" customFormat="1" ht="17.25" customHeight="1"/>
    <row r="62135" customFormat="1" ht="17.25" customHeight="1"/>
    <row r="62136" customFormat="1" ht="17.25" customHeight="1"/>
    <row r="62137" customFormat="1" ht="17.25" customHeight="1"/>
    <row r="62138" customFormat="1" ht="17.25" customHeight="1"/>
    <row r="62139" customFormat="1" ht="17.25" customHeight="1"/>
    <row r="62140" customFormat="1" ht="17.25" customHeight="1"/>
    <row r="62141" customFormat="1" ht="17.25" customHeight="1"/>
    <row r="62142" customFormat="1" ht="17.25" customHeight="1"/>
    <row r="62143" customFormat="1" ht="17.25" customHeight="1"/>
    <row r="62144" customFormat="1" ht="17.25" customHeight="1"/>
    <row r="62145" customFormat="1" ht="17.25" customHeight="1"/>
    <row r="62146" customFormat="1" ht="17.25" customHeight="1"/>
    <row r="62147" customFormat="1" ht="17.25" customHeight="1"/>
    <row r="62148" customFormat="1" ht="17.25" customHeight="1"/>
    <row r="62149" customFormat="1" ht="17.25" customHeight="1"/>
    <row r="62150" customFormat="1" ht="17.25" customHeight="1"/>
    <row r="62151" customFormat="1" ht="17.25" customHeight="1"/>
    <row r="62152" customFormat="1" ht="17.25" customHeight="1"/>
    <row r="62153" customFormat="1" ht="17.25" customHeight="1"/>
    <row r="62154" customFormat="1" ht="17.25" customHeight="1"/>
    <row r="62155" customFormat="1" ht="17.25" customHeight="1"/>
    <row r="62156" customFormat="1" ht="17.25" customHeight="1"/>
    <row r="62157" customFormat="1" ht="17.25" customHeight="1"/>
    <row r="62158" customFormat="1" ht="17.25" customHeight="1"/>
    <row r="62159" customFormat="1" ht="17.25" customHeight="1"/>
    <row r="62160" customFormat="1" ht="17.25" customHeight="1"/>
    <row r="62161" customFormat="1" ht="17.25" customHeight="1"/>
    <row r="62162" customFormat="1" ht="17.25" customHeight="1"/>
    <row r="62163" customFormat="1" ht="17.25" customHeight="1"/>
    <row r="62164" customFormat="1" ht="17.25" customHeight="1"/>
    <row r="62165" customFormat="1" ht="17.25" customHeight="1"/>
    <row r="62166" customFormat="1" ht="17.25" customHeight="1"/>
    <row r="62167" customFormat="1" ht="17.25" customHeight="1"/>
    <row r="62168" customFormat="1" ht="17.25" customHeight="1"/>
    <row r="62169" customFormat="1" ht="17.25" customHeight="1"/>
    <row r="62170" customFormat="1" ht="17.25" customHeight="1"/>
    <row r="62171" customFormat="1" ht="17.25" customHeight="1"/>
    <row r="62172" customFormat="1" ht="17.25" customHeight="1"/>
    <row r="62173" customFormat="1" ht="17.25" customHeight="1"/>
    <row r="62174" customFormat="1" ht="17.25" customHeight="1"/>
    <row r="62175" customFormat="1" ht="17.25" customHeight="1"/>
    <row r="62176" customFormat="1" ht="17.25" customHeight="1"/>
    <row r="62177" customFormat="1" ht="17.25" customHeight="1"/>
    <row r="62178" customFormat="1" ht="17.25" customHeight="1"/>
    <row r="62179" customFormat="1" ht="17.25" customHeight="1"/>
    <row r="62180" customFormat="1" ht="17.25" customHeight="1"/>
    <row r="62181" customFormat="1" ht="17.25" customHeight="1"/>
    <row r="62182" customFormat="1" ht="17.25" customHeight="1"/>
    <row r="62183" customFormat="1" ht="17.25" customHeight="1"/>
    <row r="62184" customFormat="1" ht="17.25" customHeight="1"/>
    <row r="62185" customFormat="1" ht="17.25" customHeight="1"/>
    <row r="62186" customFormat="1" ht="17.25" customHeight="1"/>
    <row r="62187" customFormat="1" ht="17.25" customHeight="1"/>
    <row r="62188" customFormat="1" ht="17.25" customHeight="1"/>
    <row r="62189" customFormat="1" ht="17.25" customHeight="1"/>
    <row r="62190" customFormat="1" ht="17.25" customHeight="1"/>
    <row r="62191" customFormat="1" ht="17.25" customHeight="1"/>
    <row r="62192" customFormat="1" ht="17.25" customHeight="1"/>
    <row r="62193" customFormat="1" ht="17.25" customHeight="1"/>
    <row r="62194" customFormat="1" ht="17.25" customHeight="1"/>
    <row r="62195" customFormat="1" ht="17.25" customHeight="1"/>
    <row r="62196" customFormat="1" ht="17.25" customHeight="1"/>
    <row r="62197" customFormat="1" ht="17.25" customHeight="1"/>
    <row r="62198" customFormat="1" ht="17.25" customHeight="1"/>
    <row r="62199" customFormat="1" ht="17.25" customHeight="1"/>
    <row r="62200" customFormat="1" ht="17.25" customHeight="1"/>
    <row r="62201" customFormat="1" ht="17.25" customHeight="1"/>
    <row r="62202" customFormat="1" ht="17.25" customHeight="1"/>
    <row r="62203" customFormat="1" ht="17.25" customHeight="1"/>
    <row r="62204" customFormat="1" ht="17.25" customHeight="1"/>
    <row r="62205" customFormat="1" ht="17.25" customHeight="1"/>
    <row r="62206" customFormat="1" ht="17.25" customHeight="1"/>
    <row r="62207" customFormat="1" ht="17.25" customHeight="1"/>
    <row r="62208" customFormat="1" ht="17.25" customHeight="1"/>
    <row r="62209" customFormat="1" ht="17.25" customHeight="1"/>
    <row r="62210" customFormat="1" ht="17.25" customHeight="1"/>
    <row r="62211" customFormat="1" ht="17.25" customHeight="1"/>
    <row r="62212" customFormat="1" ht="17.25" customHeight="1"/>
    <row r="62213" customFormat="1" ht="17.25" customHeight="1"/>
    <row r="62214" customFormat="1" ht="17.25" customHeight="1"/>
    <row r="62215" customFormat="1" ht="17.25" customHeight="1"/>
    <row r="62216" customFormat="1" ht="17.25" customHeight="1"/>
    <row r="62217" customFormat="1" ht="17.25" customHeight="1"/>
    <row r="62218" customFormat="1" ht="17.25" customHeight="1"/>
    <row r="62219" customFormat="1" ht="17.25" customHeight="1"/>
    <row r="62220" customFormat="1" ht="17.25" customHeight="1"/>
    <row r="62221" customFormat="1" ht="17.25" customHeight="1"/>
    <row r="62222" customFormat="1" ht="17.25" customHeight="1"/>
    <row r="62223" customFormat="1" ht="17.25" customHeight="1"/>
    <row r="62224" customFormat="1" ht="17.25" customHeight="1"/>
    <row r="62225" customFormat="1" ht="17.25" customHeight="1"/>
    <row r="62226" customFormat="1" ht="17.25" customHeight="1"/>
    <row r="62227" customFormat="1" ht="17.25" customHeight="1"/>
    <row r="62228" customFormat="1" ht="17.25" customHeight="1"/>
    <row r="62229" customFormat="1" ht="17.25" customHeight="1"/>
    <row r="62230" customFormat="1" ht="17.25" customHeight="1"/>
    <row r="62231" customFormat="1" ht="17.25" customHeight="1"/>
    <row r="62232" customFormat="1" ht="17.25" customHeight="1"/>
    <row r="62233" customFormat="1" ht="17.25" customHeight="1"/>
    <row r="62234" customFormat="1" ht="17.25" customHeight="1"/>
    <row r="62235" customFormat="1" ht="17.25" customHeight="1"/>
    <row r="62236" customFormat="1" ht="17.25" customHeight="1"/>
    <row r="62237" customFormat="1" ht="17.25" customHeight="1"/>
    <row r="62238" customFormat="1" ht="17.25" customHeight="1"/>
    <row r="62239" customFormat="1" ht="17.25" customHeight="1"/>
    <row r="62240" customFormat="1" ht="17.25" customHeight="1"/>
    <row r="62241" customFormat="1" ht="17.25" customHeight="1"/>
    <row r="62242" customFormat="1" ht="17.25" customHeight="1"/>
    <row r="62243" customFormat="1" ht="17.25" customHeight="1"/>
    <row r="62244" customFormat="1" ht="17.25" customHeight="1"/>
    <row r="62245" customFormat="1" ht="17.25" customHeight="1"/>
    <row r="62246" customFormat="1" ht="17.25" customHeight="1"/>
    <row r="62247" customFormat="1" ht="17.25" customHeight="1"/>
    <row r="62248" customFormat="1" ht="17.25" customHeight="1"/>
    <row r="62249" customFormat="1" ht="17.25" customHeight="1"/>
    <row r="62250" customFormat="1" ht="17.25" customHeight="1"/>
    <row r="62251" customFormat="1" ht="17.25" customHeight="1"/>
    <row r="62252" customFormat="1" ht="17.25" customHeight="1"/>
    <row r="62253" customFormat="1" ht="17.25" customHeight="1"/>
    <row r="62254" customFormat="1" ht="17.25" customHeight="1"/>
    <row r="62255" customFormat="1" ht="17.25" customHeight="1"/>
    <row r="62256" customFormat="1" ht="17.25" customHeight="1"/>
    <row r="62257" customFormat="1" ht="17.25" customHeight="1"/>
    <row r="62258" customFormat="1" ht="17.25" customHeight="1"/>
    <row r="62259" customFormat="1" ht="17.25" customHeight="1"/>
    <row r="62260" customFormat="1" ht="17.25" customHeight="1"/>
    <row r="62261" customFormat="1" ht="17.25" customHeight="1"/>
    <row r="62262" customFormat="1" ht="17.25" customHeight="1"/>
    <row r="62263" customFormat="1" ht="17.25" customHeight="1"/>
    <row r="62264" customFormat="1" ht="17.25" customHeight="1"/>
    <row r="62265" customFormat="1" ht="17.25" customHeight="1"/>
    <row r="62266" customFormat="1" ht="17.25" customHeight="1"/>
    <row r="62267" customFormat="1" ht="17.25" customHeight="1"/>
    <row r="62268" customFormat="1" ht="17.25" customHeight="1"/>
    <row r="62269" customFormat="1" ht="17.25" customHeight="1"/>
    <row r="62270" customFormat="1" ht="17.25" customHeight="1"/>
    <row r="62271" customFormat="1" ht="17.25" customHeight="1"/>
    <row r="62272" customFormat="1" ht="17.25" customHeight="1"/>
    <row r="62273" customFormat="1" ht="17.25" customHeight="1"/>
    <row r="62274" customFormat="1" ht="17.25" customHeight="1"/>
    <row r="62275" customFormat="1" ht="17.25" customHeight="1"/>
    <row r="62276" customFormat="1" ht="17.25" customHeight="1"/>
    <row r="62277" customFormat="1" ht="17.25" customHeight="1"/>
    <row r="62278" customFormat="1" ht="17.25" customHeight="1"/>
    <row r="62279" customFormat="1" ht="17.25" customHeight="1"/>
    <row r="62280" customFormat="1" ht="17.25" customHeight="1"/>
    <row r="62281" customFormat="1" ht="17.25" customHeight="1"/>
    <row r="62282" customFormat="1" ht="17.25" customHeight="1"/>
    <row r="62283" customFormat="1" ht="17.25" customHeight="1"/>
    <row r="62284" customFormat="1" ht="17.25" customHeight="1"/>
    <row r="62285" customFormat="1" ht="17.25" customHeight="1"/>
    <row r="62286" customFormat="1" ht="17.25" customHeight="1"/>
    <row r="62287" customFormat="1" ht="17.25" customHeight="1"/>
    <row r="62288" customFormat="1" ht="17.25" customHeight="1"/>
    <row r="62289" customFormat="1" ht="17.25" customHeight="1"/>
    <row r="62290" customFormat="1" ht="17.25" customHeight="1"/>
    <row r="62291" customFormat="1" ht="17.25" customHeight="1"/>
    <row r="62292" customFormat="1" ht="17.25" customHeight="1"/>
    <row r="62293" customFormat="1" ht="17.25" customHeight="1"/>
    <row r="62294" customFormat="1" ht="17.25" customHeight="1"/>
    <row r="62295" customFormat="1" ht="17.25" customHeight="1"/>
    <row r="62296" customFormat="1" ht="17.25" customHeight="1"/>
    <row r="62297" customFormat="1" ht="17.25" customHeight="1"/>
    <row r="62298" customFormat="1" ht="17.25" customHeight="1"/>
    <row r="62299" customFormat="1" ht="17.25" customHeight="1"/>
    <row r="62300" customFormat="1" ht="17.25" customHeight="1"/>
    <row r="62301" customFormat="1" ht="17.25" customHeight="1"/>
    <row r="62302" customFormat="1" ht="17.25" customHeight="1"/>
    <row r="62303" customFormat="1" ht="17.25" customHeight="1"/>
    <row r="62304" customFormat="1" ht="17.25" customHeight="1"/>
    <row r="62305" customFormat="1" ht="17.25" customHeight="1"/>
    <row r="62306" customFormat="1" ht="17.25" customHeight="1"/>
    <row r="62307" customFormat="1" ht="17.25" customHeight="1"/>
    <row r="62308" customFormat="1" ht="17.25" customHeight="1"/>
    <row r="62309" customFormat="1" ht="17.25" customHeight="1"/>
    <row r="62310" customFormat="1" ht="17.25" customHeight="1"/>
    <row r="62311" customFormat="1" ht="17.25" customHeight="1"/>
    <row r="62312" customFormat="1" ht="17.25" customHeight="1"/>
    <row r="62313" customFormat="1" ht="17.25" customHeight="1"/>
    <row r="62314" customFormat="1" ht="17.25" customHeight="1"/>
    <row r="62315" customFormat="1" ht="17.25" customHeight="1"/>
    <row r="62316" customFormat="1" ht="17.25" customHeight="1"/>
    <row r="62317" customFormat="1" ht="17.25" customHeight="1"/>
    <row r="62318" customFormat="1" ht="17.25" customHeight="1"/>
    <row r="62319" customFormat="1" ht="17.25" customHeight="1"/>
    <row r="62320" customFormat="1" ht="17.25" customHeight="1"/>
    <row r="62321" customFormat="1" ht="17.25" customHeight="1"/>
    <row r="62322" customFormat="1" ht="17.25" customHeight="1"/>
    <row r="62323" customFormat="1" ht="17.25" customHeight="1"/>
    <row r="62324" customFormat="1" ht="17.25" customHeight="1"/>
    <row r="62325" customFormat="1" ht="17.25" customHeight="1"/>
    <row r="62326" customFormat="1" ht="17.25" customHeight="1"/>
    <row r="62327" customFormat="1" ht="17.25" customHeight="1"/>
    <row r="62328" customFormat="1" ht="17.25" customHeight="1"/>
    <row r="62329" customFormat="1" ht="17.25" customHeight="1"/>
    <row r="62330" customFormat="1" ht="17.25" customHeight="1"/>
    <row r="62331" customFormat="1" ht="17.25" customHeight="1"/>
    <row r="62332" customFormat="1" ht="17.25" customHeight="1"/>
    <row r="62333" customFormat="1" ht="17.25" customHeight="1"/>
    <row r="62334" customFormat="1" ht="17.25" customHeight="1"/>
    <row r="62335" customFormat="1" ht="17.25" customHeight="1"/>
    <row r="62336" customFormat="1" ht="17.25" customHeight="1"/>
    <row r="62337" customFormat="1" ht="17.25" customHeight="1"/>
    <row r="62338" customFormat="1" ht="17.25" customHeight="1"/>
    <row r="62339" customFormat="1" ht="17.25" customHeight="1"/>
    <row r="62340" customFormat="1" ht="17.25" customHeight="1"/>
    <row r="62341" customFormat="1" ht="17.25" customHeight="1"/>
    <row r="62342" customFormat="1" ht="17.25" customHeight="1"/>
    <row r="62343" customFormat="1" ht="17.25" customHeight="1"/>
    <row r="62344" customFormat="1" ht="17.25" customHeight="1"/>
    <row r="62345" customFormat="1" ht="17.25" customHeight="1"/>
    <row r="62346" customFormat="1" ht="17.25" customHeight="1"/>
    <row r="62347" customFormat="1" ht="17.25" customHeight="1"/>
    <row r="62348" customFormat="1" ht="17.25" customHeight="1"/>
    <row r="62349" customFormat="1" ht="17.25" customHeight="1"/>
    <row r="62350" customFormat="1" ht="17.25" customHeight="1"/>
    <row r="62351" customFormat="1" ht="17.25" customHeight="1"/>
    <row r="62352" customFormat="1" ht="17.25" customHeight="1"/>
    <row r="62353" customFormat="1" ht="17.25" customHeight="1"/>
    <row r="62354" customFormat="1" ht="17.25" customHeight="1"/>
    <row r="62355" customFormat="1" ht="17.25" customHeight="1"/>
    <row r="62356" customFormat="1" ht="17.25" customHeight="1"/>
    <row r="62357" customFormat="1" ht="17.25" customHeight="1"/>
    <row r="62358" customFormat="1" ht="17.25" customHeight="1"/>
    <row r="62359" customFormat="1" ht="17.25" customHeight="1"/>
    <row r="62360" customFormat="1" ht="17.25" customHeight="1"/>
    <row r="62361" customFormat="1" ht="17.25" customHeight="1"/>
    <row r="62362" customFormat="1" ht="17.25" customHeight="1"/>
    <row r="62363" customFormat="1" ht="17.25" customHeight="1"/>
    <row r="62364" customFormat="1" ht="17.25" customHeight="1"/>
    <row r="62365" customFormat="1" ht="17.25" customHeight="1"/>
    <row r="62366" customFormat="1" ht="17.25" customHeight="1"/>
    <row r="62367" customFormat="1" ht="17.25" customHeight="1"/>
    <row r="62368" customFormat="1" ht="17.25" customHeight="1"/>
    <row r="62369" customFormat="1" ht="17.25" customHeight="1"/>
    <row r="62370" customFormat="1" ht="17.25" customHeight="1"/>
    <row r="62371" customFormat="1" ht="17.25" customHeight="1"/>
    <row r="62372" customFormat="1" ht="17.25" customHeight="1"/>
    <row r="62373" customFormat="1" ht="17.25" customHeight="1"/>
    <row r="62374" customFormat="1" ht="17.25" customHeight="1"/>
    <row r="62375" customFormat="1" ht="17.25" customHeight="1"/>
    <row r="62376" customFormat="1" ht="17.25" customHeight="1"/>
    <row r="62377" customFormat="1" ht="17.25" customHeight="1"/>
    <row r="62378" customFormat="1" ht="17.25" customHeight="1"/>
    <row r="62379" customFormat="1" ht="17.25" customHeight="1"/>
    <row r="62380" customFormat="1" ht="17.25" customHeight="1"/>
    <row r="62381" customFormat="1" ht="17.25" customHeight="1"/>
    <row r="62382" customFormat="1" ht="17.25" customHeight="1"/>
    <row r="62383" customFormat="1" ht="17.25" customHeight="1"/>
    <row r="62384" customFormat="1" ht="17.25" customHeight="1"/>
    <row r="62385" customFormat="1" ht="17.25" customHeight="1"/>
    <row r="62386" customFormat="1" ht="17.25" customHeight="1"/>
    <row r="62387" customFormat="1" ht="17.25" customHeight="1"/>
    <row r="62388" customFormat="1" ht="17.25" customHeight="1"/>
    <row r="62389" customFormat="1" ht="17.25" customHeight="1"/>
    <row r="62390" customFormat="1" ht="17.25" customHeight="1"/>
    <row r="62391" customFormat="1" ht="17.25" customHeight="1"/>
    <row r="62392" customFormat="1" ht="17.25" customHeight="1"/>
    <row r="62393" customFormat="1" ht="17.25" customHeight="1"/>
    <row r="62394" customFormat="1" ht="17.25" customHeight="1"/>
    <row r="62395" customFormat="1" ht="17.25" customHeight="1"/>
    <row r="62396" customFormat="1" ht="17.25" customHeight="1"/>
    <row r="62397" customFormat="1" ht="17.25" customHeight="1"/>
    <row r="62398" customFormat="1" ht="17.25" customHeight="1"/>
    <row r="62399" customFormat="1" ht="17.25" customHeight="1"/>
    <row r="62400" customFormat="1" ht="17.25" customHeight="1"/>
    <row r="62401" customFormat="1" ht="17.25" customHeight="1"/>
    <row r="62402" customFormat="1" ht="17.25" customHeight="1"/>
    <row r="62403" customFormat="1" ht="17.25" customHeight="1"/>
    <row r="62404" customFormat="1" ht="17.25" customHeight="1"/>
    <row r="62405" customFormat="1" ht="17.25" customHeight="1"/>
    <row r="62406" customFormat="1" ht="17.25" customHeight="1"/>
    <row r="62407" customFormat="1" ht="17.25" customHeight="1"/>
    <row r="62408" customFormat="1" ht="17.25" customHeight="1"/>
    <row r="62409" customFormat="1" ht="17.25" customHeight="1"/>
    <row r="62410" customFormat="1" ht="17.25" customHeight="1"/>
    <row r="62411" customFormat="1" ht="17.25" customHeight="1"/>
    <row r="62412" customFormat="1" ht="17.25" customHeight="1"/>
    <row r="62413" customFormat="1" ht="17.25" customHeight="1"/>
    <row r="62414" customFormat="1" ht="17.25" customHeight="1"/>
    <row r="62415" customFormat="1" ht="17.25" customHeight="1"/>
    <row r="62416" customFormat="1" ht="17.25" customHeight="1"/>
    <row r="62417" customFormat="1" ht="17.25" customHeight="1"/>
    <row r="62418" customFormat="1" ht="17.25" customHeight="1"/>
    <row r="62419" customFormat="1" ht="17.25" customHeight="1"/>
    <row r="62420" customFormat="1" ht="17.25" customHeight="1"/>
    <row r="62421" customFormat="1" ht="17.25" customHeight="1"/>
    <row r="62422" customFormat="1" ht="17.25" customHeight="1"/>
    <row r="62423" customFormat="1" ht="17.25" customHeight="1"/>
    <row r="62424" customFormat="1" ht="17.25" customHeight="1"/>
    <row r="62425" customFormat="1" ht="17.25" customHeight="1"/>
    <row r="62426" customFormat="1" ht="17.25" customHeight="1"/>
    <row r="62427" customFormat="1" ht="17.25" customHeight="1"/>
    <row r="62428" customFormat="1" ht="17.25" customHeight="1"/>
    <row r="62429" customFormat="1" ht="17.25" customHeight="1"/>
    <row r="62430" customFormat="1" ht="17.25" customHeight="1"/>
    <row r="62431" customFormat="1" ht="17.25" customHeight="1"/>
    <row r="62432" customFormat="1" ht="17.25" customHeight="1"/>
    <row r="62433" customFormat="1" ht="17.25" customHeight="1"/>
    <row r="62434" customFormat="1" ht="17.25" customHeight="1"/>
    <row r="62435" customFormat="1" ht="17.25" customHeight="1"/>
    <row r="62436" customFormat="1" ht="17.25" customHeight="1"/>
    <row r="62437" customFormat="1" ht="17.25" customHeight="1"/>
    <row r="62438" customFormat="1" ht="17.25" customHeight="1"/>
    <row r="62439" customFormat="1" ht="17.25" customHeight="1"/>
    <row r="62440" customFormat="1" ht="17.25" customHeight="1"/>
    <row r="62441" customFormat="1" ht="17.25" customHeight="1"/>
    <row r="62442" customFormat="1" ht="17.25" customHeight="1"/>
    <row r="62443" customFormat="1" ht="17.25" customHeight="1"/>
    <row r="62444" customFormat="1" ht="17.25" customHeight="1"/>
    <row r="62445" customFormat="1" ht="17.25" customHeight="1"/>
    <row r="62446" customFormat="1" ht="17.25" customHeight="1"/>
    <row r="62447" customFormat="1" ht="17.25" customHeight="1"/>
    <row r="62448" customFormat="1" ht="17.25" customHeight="1"/>
    <row r="62449" customFormat="1" ht="17.25" customHeight="1"/>
    <row r="62450" customFormat="1" ht="17.25" customHeight="1"/>
    <row r="62451" customFormat="1" ht="17.25" customHeight="1"/>
    <row r="62452" customFormat="1" ht="17.25" customHeight="1"/>
    <row r="62453" customFormat="1" ht="17.25" customHeight="1"/>
    <row r="62454" customFormat="1" ht="17.25" customHeight="1"/>
    <row r="62455" customFormat="1" ht="17.25" customHeight="1"/>
    <row r="62456" customFormat="1" ht="17.25" customHeight="1"/>
    <row r="62457" customFormat="1" ht="17.25" customHeight="1"/>
    <row r="62458" customFormat="1" ht="17.25" customHeight="1"/>
    <row r="62459" customFormat="1" ht="17.25" customHeight="1"/>
    <row r="62460" customFormat="1" ht="17.25" customHeight="1"/>
    <row r="62461" customFormat="1" ht="17.25" customHeight="1"/>
    <row r="62462" customFormat="1" ht="17.25" customHeight="1"/>
    <row r="62463" customFormat="1" ht="17.25" customHeight="1"/>
    <row r="62464" customFormat="1" ht="17.25" customHeight="1"/>
    <row r="62465" customFormat="1" ht="17.25" customHeight="1"/>
    <row r="62466" customFormat="1" ht="17.25" customHeight="1"/>
    <row r="62467" customFormat="1" ht="17.25" customHeight="1"/>
    <row r="62468" customFormat="1" ht="17.25" customHeight="1"/>
    <row r="62469" customFormat="1" ht="17.25" customHeight="1"/>
    <row r="62470" customFormat="1" ht="17.25" customHeight="1"/>
    <row r="62471" customFormat="1" ht="17.25" customHeight="1"/>
    <row r="62472" customFormat="1" ht="17.25" customHeight="1"/>
    <row r="62473" customFormat="1" ht="17.25" customHeight="1"/>
    <row r="62474" customFormat="1" ht="17.25" customHeight="1"/>
    <row r="62475" customFormat="1" ht="17.25" customHeight="1"/>
    <row r="62476" customFormat="1" ht="17.25" customHeight="1"/>
    <row r="62477" customFormat="1" ht="17.25" customHeight="1"/>
    <row r="62478" customFormat="1" ht="17.25" customHeight="1"/>
    <row r="62479" customFormat="1" ht="17.25" customHeight="1"/>
    <row r="62480" customFormat="1" ht="17.25" customHeight="1"/>
    <row r="62481" customFormat="1" ht="17.25" customHeight="1"/>
    <row r="62482" customFormat="1" ht="17.25" customHeight="1"/>
    <row r="62483" customFormat="1" ht="17.25" customHeight="1"/>
    <row r="62484" customFormat="1" ht="17.25" customHeight="1"/>
    <row r="62485" customFormat="1" ht="17.25" customHeight="1"/>
    <row r="62486" customFormat="1" ht="17.25" customHeight="1"/>
    <row r="62487" customFormat="1" ht="17.25" customHeight="1"/>
    <row r="62488" customFormat="1" ht="17.25" customHeight="1"/>
    <row r="62489" customFormat="1" ht="17.25" customHeight="1"/>
    <row r="62490" customFormat="1" ht="17.25" customHeight="1"/>
    <row r="62491" customFormat="1" ht="17.25" customHeight="1"/>
    <row r="62492" customFormat="1" ht="17.25" customHeight="1"/>
    <row r="62493" customFormat="1" ht="17.25" customHeight="1"/>
    <row r="62494" customFormat="1" ht="17.25" customHeight="1"/>
    <row r="62495" customFormat="1" ht="17.25" customHeight="1"/>
    <row r="62496" customFormat="1" ht="17.25" customHeight="1"/>
    <row r="62497" customFormat="1" ht="17.25" customHeight="1"/>
    <row r="62498" customFormat="1" ht="17.25" customHeight="1"/>
    <row r="62499" customFormat="1" ht="17.25" customHeight="1"/>
    <row r="62500" customFormat="1" ht="17.25" customHeight="1"/>
    <row r="62501" customFormat="1" ht="17.25" customHeight="1"/>
    <row r="62502" customFormat="1" ht="17.25" customHeight="1"/>
    <row r="62503" customFormat="1" ht="17.25" customHeight="1"/>
    <row r="62504" customFormat="1" ht="17.25" customHeight="1"/>
    <row r="62505" customFormat="1" ht="17.25" customHeight="1"/>
    <row r="62506" customFormat="1" ht="17.25" customHeight="1"/>
    <row r="62507" customFormat="1" ht="17.25" customHeight="1"/>
    <row r="62508" customFormat="1" ht="17.25" customHeight="1"/>
    <row r="62509" customFormat="1" ht="17.25" customHeight="1"/>
    <row r="62510" customFormat="1" ht="17.25" customHeight="1"/>
    <row r="62511" customFormat="1" ht="17.25" customHeight="1"/>
    <row r="62512" customFormat="1" ht="17.25" customHeight="1"/>
    <row r="62513" customFormat="1" ht="17.25" customHeight="1"/>
    <row r="62514" customFormat="1" ht="17.25" customHeight="1"/>
    <row r="62515" customFormat="1" ht="17.25" customHeight="1"/>
    <row r="62516" customFormat="1" ht="17.25" customHeight="1"/>
    <row r="62517" customFormat="1" ht="17.25" customHeight="1"/>
    <row r="62518" customFormat="1" ht="17.25" customHeight="1"/>
    <row r="62519" customFormat="1" ht="17.25" customHeight="1"/>
    <row r="62520" customFormat="1" ht="17.25" customHeight="1"/>
    <row r="62521" customFormat="1" ht="17.25" customHeight="1"/>
    <row r="62522" customFormat="1" ht="17.25" customHeight="1"/>
    <row r="62523" customFormat="1" ht="17.25" customHeight="1"/>
    <row r="62524" customFormat="1" ht="17.25" customHeight="1"/>
    <row r="62525" customFormat="1" ht="17.25" customHeight="1"/>
    <row r="62526" customFormat="1" ht="17.25" customHeight="1"/>
    <row r="62527" customFormat="1" ht="17.25" customHeight="1"/>
    <row r="62528" customFormat="1" ht="17.25" customHeight="1"/>
    <row r="62529" customFormat="1" ht="17.25" customHeight="1"/>
    <row r="62530" customFormat="1" ht="17.25" customHeight="1"/>
    <row r="62531" customFormat="1" ht="17.25" customHeight="1"/>
    <row r="62532" customFormat="1" ht="17.25" customHeight="1"/>
    <row r="62533" customFormat="1" ht="17.25" customHeight="1"/>
    <row r="62534" customFormat="1" ht="17.25" customHeight="1"/>
    <row r="62535" customFormat="1" ht="17.25" customHeight="1"/>
    <row r="62536" customFormat="1" ht="17.25" customHeight="1"/>
    <row r="62537" customFormat="1" ht="17.25" customHeight="1"/>
    <row r="62538" customFormat="1" ht="17.25" customHeight="1"/>
    <row r="62539" customFormat="1" ht="17.25" customHeight="1"/>
    <row r="62540" customFormat="1" ht="17.25" customHeight="1"/>
    <row r="62541" customFormat="1" ht="17.25" customHeight="1"/>
    <row r="62542" customFormat="1" ht="17.25" customHeight="1"/>
    <row r="62543" customFormat="1" ht="17.25" customHeight="1"/>
    <row r="62544" customFormat="1" ht="17.25" customHeight="1"/>
    <row r="62545" customFormat="1" ht="17.25" customHeight="1"/>
    <row r="62546" customFormat="1" ht="17.25" customHeight="1"/>
    <row r="62547" customFormat="1" ht="17.25" customHeight="1"/>
    <row r="62548" customFormat="1" ht="17.25" customHeight="1"/>
    <row r="62549" customFormat="1" ht="17.25" customHeight="1"/>
    <row r="62550" customFormat="1" ht="17.25" customHeight="1"/>
    <row r="62551" customFormat="1" ht="17.25" customHeight="1"/>
    <row r="62552" customFormat="1" ht="17.25" customHeight="1"/>
    <row r="62553" customFormat="1" ht="17.25" customHeight="1"/>
    <row r="62554" customFormat="1" ht="17.25" customHeight="1"/>
    <row r="62555" customFormat="1" ht="17.25" customHeight="1"/>
    <row r="62556" customFormat="1" ht="17.25" customHeight="1"/>
    <row r="62557" customFormat="1" ht="17.25" customHeight="1"/>
    <row r="62558" customFormat="1" ht="17.25" customHeight="1"/>
    <row r="62559" customFormat="1" ht="17.25" customHeight="1"/>
    <row r="62560" customFormat="1" ht="17.25" customHeight="1"/>
    <row r="62561" customFormat="1" ht="17.25" customHeight="1"/>
    <row r="62562" customFormat="1" ht="17.25" customHeight="1"/>
    <row r="62563" customFormat="1" ht="17.25" customHeight="1"/>
    <row r="62564" customFormat="1" ht="17.25" customHeight="1"/>
    <row r="62565" customFormat="1" ht="17.25" customHeight="1"/>
    <row r="62566" customFormat="1" ht="17.25" customHeight="1"/>
    <row r="62567" customFormat="1" ht="17.25" customHeight="1"/>
    <row r="62568" customFormat="1" ht="17.25" customHeight="1"/>
    <row r="62569" customFormat="1" ht="17.25" customHeight="1"/>
    <row r="62570" customFormat="1" ht="17.25" customHeight="1"/>
    <row r="62571" customFormat="1" ht="17.25" customHeight="1"/>
    <row r="62572" customFormat="1" ht="17.25" customHeight="1"/>
    <row r="62573" customFormat="1" ht="17.25" customHeight="1"/>
    <row r="62574" customFormat="1" ht="17.25" customHeight="1"/>
    <row r="62575" customFormat="1" ht="17.25" customHeight="1"/>
    <row r="62576" customFormat="1" ht="17.25" customHeight="1"/>
    <row r="62577" customFormat="1" ht="17.25" customHeight="1"/>
    <row r="62578" customFormat="1" ht="17.25" customHeight="1"/>
    <row r="62579" customFormat="1" ht="17.25" customHeight="1"/>
    <row r="62580" customFormat="1" ht="17.25" customHeight="1"/>
    <row r="62581" customFormat="1" ht="17.25" customHeight="1"/>
    <row r="62582" customFormat="1" ht="17.25" customHeight="1"/>
    <row r="62583" customFormat="1" ht="17.25" customHeight="1"/>
    <row r="62584" customFormat="1" ht="17.25" customHeight="1"/>
    <row r="62585" customFormat="1" ht="17.25" customHeight="1"/>
    <row r="62586" customFormat="1" ht="17.25" customHeight="1"/>
    <row r="62587" customFormat="1" ht="17.25" customHeight="1"/>
    <row r="62588" customFormat="1" ht="17.25" customHeight="1"/>
    <row r="62589" customFormat="1" ht="17.25" customHeight="1"/>
    <row r="62590" customFormat="1" ht="17.25" customHeight="1"/>
    <row r="62591" customFormat="1" ht="17.25" customHeight="1"/>
    <row r="62592" customFormat="1" ht="17.25" customHeight="1"/>
    <row r="62593" customFormat="1" ht="17.25" customHeight="1"/>
    <row r="62594" customFormat="1" ht="17.25" customHeight="1"/>
    <row r="62595" customFormat="1" ht="17.25" customHeight="1"/>
    <row r="62596" customFormat="1" ht="17.25" customHeight="1"/>
    <row r="62597" customFormat="1" ht="17.25" customHeight="1"/>
    <row r="62598" customFormat="1" ht="17.25" customHeight="1"/>
    <row r="62599" customFormat="1" ht="17.25" customHeight="1"/>
    <row r="62600" customFormat="1" ht="17.25" customHeight="1"/>
    <row r="62601" customFormat="1" ht="17.25" customHeight="1"/>
    <row r="62602" customFormat="1" ht="17.25" customHeight="1"/>
    <row r="62603" customFormat="1" ht="17.25" customHeight="1"/>
    <row r="62604" customFormat="1" ht="17.25" customHeight="1"/>
    <row r="62605" customFormat="1" ht="17.25" customHeight="1"/>
    <row r="62606" customFormat="1" ht="17.25" customHeight="1"/>
    <row r="62607" customFormat="1" ht="17.25" customHeight="1"/>
    <row r="62608" customFormat="1" ht="17.25" customHeight="1"/>
    <row r="62609" customFormat="1" ht="17.25" customHeight="1"/>
    <row r="62610" customFormat="1" ht="17.25" customHeight="1"/>
    <row r="62611" customFormat="1" ht="17.25" customHeight="1"/>
    <row r="62612" customFormat="1" ht="17.25" customHeight="1"/>
    <row r="62613" customFormat="1" ht="17.25" customHeight="1"/>
    <row r="62614" customFormat="1" ht="17.25" customHeight="1"/>
    <row r="62615" customFormat="1" ht="17.25" customHeight="1"/>
    <row r="62616" customFormat="1" ht="17.25" customHeight="1"/>
    <row r="62617" customFormat="1" ht="17.25" customHeight="1"/>
    <row r="62618" customFormat="1" ht="17.25" customHeight="1"/>
    <row r="62619" customFormat="1" ht="17.25" customHeight="1"/>
    <row r="62620" customFormat="1" ht="17.25" customHeight="1"/>
    <row r="62621" customFormat="1" ht="17.25" customHeight="1"/>
    <row r="62622" customFormat="1" ht="17.25" customHeight="1"/>
    <row r="62623" customFormat="1" ht="17.25" customHeight="1"/>
    <row r="62624" customFormat="1" ht="17.25" customHeight="1"/>
    <row r="62625" customFormat="1" ht="17.25" customHeight="1"/>
    <row r="62626" customFormat="1" ht="17.25" customHeight="1"/>
    <row r="62627" customFormat="1" ht="17.25" customHeight="1"/>
    <row r="62628" customFormat="1" ht="17.25" customHeight="1"/>
    <row r="62629" customFormat="1" ht="17.25" customHeight="1"/>
    <row r="62630" customFormat="1" ht="17.25" customHeight="1"/>
    <row r="62631" customFormat="1" ht="17.25" customHeight="1"/>
    <row r="62632" customFormat="1" ht="17.25" customHeight="1"/>
    <row r="62633" customFormat="1" ht="17.25" customHeight="1"/>
    <row r="62634" customFormat="1" ht="17.25" customHeight="1"/>
    <row r="62635" customFormat="1" ht="17.25" customHeight="1"/>
    <row r="62636" customFormat="1" ht="17.25" customHeight="1"/>
    <row r="62637" customFormat="1" ht="17.25" customHeight="1"/>
    <row r="62638" customFormat="1" ht="17.25" customHeight="1"/>
    <row r="62639" customFormat="1" ht="17.25" customHeight="1"/>
    <row r="62640" customFormat="1" ht="17.25" customHeight="1"/>
    <row r="62641" customFormat="1" ht="17.25" customHeight="1"/>
    <row r="62642" customFormat="1" ht="17.25" customHeight="1"/>
    <row r="62643" customFormat="1" ht="17.25" customHeight="1"/>
    <row r="62644" customFormat="1" ht="17.25" customHeight="1"/>
    <row r="62645" customFormat="1" ht="17.25" customHeight="1"/>
    <row r="62646" customFormat="1" ht="17.25" customHeight="1"/>
    <row r="62647" customFormat="1" ht="17.25" customHeight="1"/>
    <row r="62648" customFormat="1" ht="17.25" customHeight="1"/>
    <row r="62649" customFormat="1" ht="17.25" customHeight="1"/>
    <row r="62650" customFormat="1" ht="17.25" customHeight="1"/>
    <row r="62651" customFormat="1" ht="17.25" customHeight="1"/>
    <row r="62652" customFormat="1" ht="17.25" customHeight="1"/>
    <row r="62653" customFormat="1" ht="17.25" customHeight="1"/>
    <row r="62654" customFormat="1" ht="17.25" customHeight="1"/>
    <row r="62655" customFormat="1" ht="17.25" customHeight="1"/>
    <row r="62656" customFormat="1" ht="17.25" customHeight="1"/>
    <row r="62657" customFormat="1" ht="17.25" customHeight="1"/>
    <row r="62658" customFormat="1" ht="17.25" customHeight="1"/>
    <row r="62659" customFormat="1" ht="17.25" customHeight="1"/>
    <row r="62660" customFormat="1" ht="17.25" customHeight="1"/>
    <row r="62661" customFormat="1" ht="17.25" customHeight="1"/>
    <row r="62662" customFormat="1" ht="17.25" customHeight="1"/>
    <row r="62663" customFormat="1" ht="17.25" customHeight="1"/>
    <row r="62664" customFormat="1" ht="17.25" customHeight="1"/>
    <row r="62665" customFormat="1" ht="17.25" customHeight="1"/>
    <row r="62666" customFormat="1" ht="17.25" customHeight="1"/>
    <row r="62667" customFormat="1" ht="17.25" customHeight="1"/>
    <row r="62668" customFormat="1" ht="17.25" customHeight="1"/>
    <row r="62669" customFormat="1" ht="17.25" customHeight="1"/>
    <row r="62670" customFormat="1" ht="17.25" customHeight="1"/>
    <row r="62671" customFormat="1" ht="17.25" customHeight="1"/>
    <row r="62672" customFormat="1" ht="17.25" customHeight="1"/>
    <row r="62673" customFormat="1" ht="17.25" customHeight="1"/>
    <row r="62674" customFormat="1" ht="17.25" customHeight="1"/>
    <row r="62675" customFormat="1" ht="17.25" customHeight="1"/>
    <row r="62676" customFormat="1" ht="17.25" customHeight="1"/>
    <row r="62677" customFormat="1" ht="17.25" customHeight="1"/>
    <row r="62678" customFormat="1" ht="17.25" customHeight="1"/>
    <row r="62679" customFormat="1" ht="17.25" customHeight="1"/>
    <row r="62680" customFormat="1" ht="17.25" customHeight="1"/>
    <row r="62681" customFormat="1" ht="17.25" customHeight="1"/>
    <row r="62682" customFormat="1" ht="17.25" customHeight="1"/>
    <row r="62683" customFormat="1" ht="17.25" customHeight="1"/>
    <row r="62684" customFormat="1" ht="17.25" customHeight="1"/>
    <row r="62685" customFormat="1" ht="17.25" customHeight="1"/>
    <row r="62686" customFormat="1" ht="17.25" customHeight="1"/>
    <row r="62687" customFormat="1" ht="17.25" customHeight="1"/>
    <row r="62688" customFormat="1" ht="17.25" customHeight="1"/>
    <row r="62689" customFormat="1" ht="17.25" customHeight="1"/>
    <row r="62690" customFormat="1" ht="17.25" customHeight="1"/>
    <row r="62691" customFormat="1" ht="17.25" customHeight="1"/>
    <row r="62692" customFormat="1" ht="17.25" customHeight="1"/>
    <row r="62693" customFormat="1" ht="17.25" customHeight="1"/>
    <row r="62694" customFormat="1" ht="17.25" customHeight="1"/>
    <row r="62695" customFormat="1" ht="17.25" customHeight="1"/>
    <row r="62696" customFormat="1" ht="17.25" customHeight="1"/>
    <row r="62697" customFormat="1" ht="17.25" customHeight="1"/>
    <row r="62698" customFormat="1" ht="17.25" customHeight="1"/>
    <row r="62699" customFormat="1" ht="17.25" customHeight="1"/>
    <row r="62700" customFormat="1" ht="17.25" customHeight="1"/>
    <row r="62701" customFormat="1" ht="17.25" customHeight="1"/>
    <row r="62702" customFormat="1" ht="17.25" customHeight="1"/>
    <row r="62703" customFormat="1" ht="17.25" customHeight="1"/>
    <row r="62704" customFormat="1" ht="17.25" customHeight="1"/>
    <row r="62705" customFormat="1" ht="17.25" customHeight="1"/>
    <row r="62706" customFormat="1" ht="17.25" customHeight="1"/>
    <row r="62707" customFormat="1" ht="17.25" customHeight="1"/>
    <row r="62708" customFormat="1" ht="17.25" customHeight="1"/>
    <row r="62709" customFormat="1" ht="17.25" customHeight="1"/>
    <row r="62710" customFormat="1" ht="17.25" customHeight="1"/>
    <row r="62711" customFormat="1" ht="17.25" customHeight="1"/>
    <row r="62712" customFormat="1" ht="17.25" customHeight="1"/>
    <row r="62713" customFormat="1" ht="17.25" customHeight="1"/>
    <row r="62714" customFormat="1" ht="17.25" customHeight="1"/>
    <row r="62715" customFormat="1" ht="17.25" customHeight="1"/>
    <row r="62716" customFormat="1" ht="17.25" customHeight="1"/>
    <row r="62717" customFormat="1" ht="17.25" customHeight="1"/>
    <row r="62718" customFormat="1" ht="17.25" customHeight="1"/>
    <row r="62719" customFormat="1" ht="17.25" customHeight="1"/>
    <row r="62720" customFormat="1" ht="17.25" customHeight="1"/>
    <row r="62721" customFormat="1" ht="17.25" customHeight="1"/>
    <row r="62722" customFormat="1" ht="17.25" customHeight="1"/>
    <row r="62723" customFormat="1" ht="17.25" customHeight="1"/>
    <row r="62724" customFormat="1" ht="17.25" customHeight="1"/>
    <row r="62725" customFormat="1" ht="17.25" customHeight="1"/>
    <row r="62726" customFormat="1" ht="17.25" customHeight="1"/>
    <row r="62727" customFormat="1" ht="17.25" customHeight="1"/>
    <row r="62728" customFormat="1" ht="17.25" customHeight="1"/>
    <row r="62729" customFormat="1" ht="17.25" customHeight="1"/>
    <row r="62730" customFormat="1" ht="17.25" customHeight="1"/>
    <row r="62731" customFormat="1" ht="17.25" customHeight="1"/>
    <row r="62732" customFormat="1" ht="17.25" customHeight="1"/>
    <row r="62733" customFormat="1" ht="17.25" customHeight="1"/>
    <row r="62734" customFormat="1" ht="17.25" customHeight="1"/>
    <row r="62735" customFormat="1" ht="17.25" customHeight="1"/>
    <row r="62736" customFormat="1" ht="17.25" customHeight="1"/>
    <row r="62737" customFormat="1" ht="17.25" customHeight="1"/>
    <row r="62738" customFormat="1" ht="17.25" customHeight="1"/>
    <row r="62739" customFormat="1" ht="17.25" customHeight="1"/>
    <row r="62740" customFormat="1" ht="17.25" customHeight="1"/>
    <row r="62741" customFormat="1" ht="17.25" customHeight="1"/>
    <row r="62742" customFormat="1" ht="17.25" customHeight="1"/>
    <row r="62743" customFormat="1" ht="17.25" customHeight="1"/>
    <row r="62744" customFormat="1" ht="17.25" customHeight="1"/>
    <row r="62745" customFormat="1" ht="17.25" customHeight="1"/>
    <row r="62746" customFormat="1" ht="17.25" customHeight="1"/>
    <row r="62747" customFormat="1" ht="17.25" customHeight="1"/>
    <row r="62748" customFormat="1" ht="17.25" customHeight="1"/>
    <row r="62749" customFormat="1" ht="17.25" customHeight="1"/>
    <row r="62750" customFormat="1" ht="17.25" customHeight="1"/>
    <row r="62751" customFormat="1" ht="17.25" customHeight="1"/>
    <row r="62752" customFormat="1" ht="17.25" customHeight="1"/>
    <row r="62753" customFormat="1" ht="17.25" customHeight="1"/>
    <row r="62754" customFormat="1" ht="17.25" customHeight="1"/>
    <row r="62755" customFormat="1" ht="17.25" customHeight="1"/>
    <row r="62756" customFormat="1" ht="17.25" customHeight="1"/>
    <row r="62757" customFormat="1" ht="17.25" customHeight="1"/>
    <row r="62758" customFormat="1" ht="17.25" customHeight="1"/>
    <row r="62759" customFormat="1" ht="17.25" customHeight="1"/>
    <row r="62760" customFormat="1" ht="17.25" customHeight="1"/>
    <row r="62761" customFormat="1" ht="17.25" customHeight="1"/>
    <row r="62762" customFormat="1" ht="17.25" customHeight="1"/>
    <row r="62763" customFormat="1" ht="17.25" customHeight="1"/>
    <row r="62764" customFormat="1" ht="17.25" customHeight="1"/>
    <row r="62765" customFormat="1" ht="17.25" customHeight="1"/>
    <row r="62766" customFormat="1" ht="17.25" customHeight="1"/>
    <row r="62767" customFormat="1" ht="17.25" customHeight="1"/>
    <row r="62768" customFormat="1" ht="17.25" customHeight="1"/>
    <row r="62769" customFormat="1" ht="17.25" customHeight="1"/>
    <row r="62770" customFormat="1" ht="17.25" customHeight="1"/>
    <row r="62771" customFormat="1" ht="17.25" customHeight="1"/>
    <row r="62772" customFormat="1" ht="17.25" customHeight="1"/>
    <row r="62773" customFormat="1" ht="17.25" customHeight="1"/>
    <row r="62774" customFormat="1" ht="17.25" customHeight="1"/>
    <row r="62775" customFormat="1" ht="17.25" customHeight="1"/>
    <row r="62776" customFormat="1" ht="17.25" customHeight="1"/>
    <row r="62777" customFormat="1" ht="17.25" customHeight="1"/>
    <row r="62778" customFormat="1" ht="17.25" customHeight="1"/>
    <row r="62779" customFormat="1" ht="17.25" customHeight="1"/>
    <row r="62780" customFormat="1" ht="17.25" customHeight="1"/>
    <row r="62781" customFormat="1" ht="17.25" customHeight="1"/>
    <row r="62782" customFormat="1" ht="17.25" customHeight="1"/>
    <row r="62783" customFormat="1" ht="17.25" customHeight="1"/>
    <row r="62784" customFormat="1" ht="17.25" customHeight="1"/>
    <row r="62785" customFormat="1" ht="17.25" customHeight="1"/>
    <row r="62786" customFormat="1" ht="17.25" customHeight="1"/>
    <row r="62787" customFormat="1" ht="17.25" customHeight="1"/>
    <row r="62788" customFormat="1" ht="17.25" customHeight="1"/>
    <row r="62789" customFormat="1" ht="17.25" customHeight="1"/>
    <row r="62790" customFormat="1" ht="17.25" customHeight="1"/>
    <row r="62791" customFormat="1" ht="17.25" customHeight="1"/>
    <row r="62792" customFormat="1" ht="17.25" customHeight="1"/>
    <row r="62793" customFormat="1" ht="17.25" customHeight="1"/>
    <row r="62794" customFormat="1" ht="17.25" customHeight="1"/>
    <row r="62795" customFormat="1" ht="17.25" customHeight="1"/>
    <row r="62796" customFormat="1" ht="17.25" customHeight="1"/>
    <row r="62797" customFormat="1" ht="17.25" customHeight="1"/>
    <row r="62798" customFormat="1" ht="17.25" customHeight="1"/>
    <row r="62799" customFormat="1" ht="17.25" customHeight="1"/>
    <row r="62800" customFormat="1" ht="17.25" customHeight="1"/>
    <row r="62801" customFormat="1" ht="17.25" customHeight="1"/>
    <row r="62802" customFormat="1" ht="17.25" customHeight="1"/>
    <row r="62803" customFormat="1" ht="17.25" customHeight="1"/>
    <row r="62804" customFormat="1" ht="17.25" customHeight="1"/>
    <row r="62805" customFormat="1" ht="17.25" customHeight="1"/>
    <row r="62806" customFormat="1" ht="17.25" customHeight="1"/>
    <row r="62807" customFormat="1" ht="17.25" customHeight="1"/>
    <row r="62808" customFormat="1" ht="17.25" customHeight="1"/>
    <row r="62809" customFormat="1" ht="17.25" customHeight="1"/>
    <row r="62810" customFormat="1" ht="17.25" customHeight="1"/>
    <row r="62811" customFormat="1" ht="17.25" customHeight="1"/>
    <row r="62812" customFormat="1" ht="17.25" customHeight="1"/>
    <row r="62813" customFormat="1" ht="17.25" customHeight="1"/>
    <row r="62814" customFormat="1" ht="17.25" customHeight="1"/>
    <row r="62815" customFormat="1" ht="17.25" customHeight="1"/>
    <row r="62816" customFormat="1" ht="17.25" customHeight="1"/>
    <row r="62817" customFormat="1" ht="17.25" customHeight="1"/>
    <row r="62818" customFormat="1" ht="17.25" customHeight="1"/>
    <row r="62819" customFormat="1" ht="17.25" customHeight="1"/>
    <row r="62820" customFormat="1" ht="17.25" customHeight="1"/>
    <row r="62821" customFormat="1" ht="17.25" customHeight="1"/>
    <row r="62822" customFormat="1" ht="17.25" customHeight="1"/>
    <row r="62823" customFormat="1" ht="17.25" customHeight="1"/>
    <row r="62824" customFormat="1" ht="17.25" customHeight="1"/>
    <row r="62825" customFormat="1" ht="17.25" customHeight="1"/>
    <row r="62826" customFormat="1" ht="17.25" customHeight="1"/>
    <row r="62827" customFormat="1" ht="17.25" customHeight="1"/>
    <row r="62828" customFormat="1" ht="17.25" customHeight="1"/>
    <row r="62829" customFormat="1" ht="17.25" customHeight="1"/>
    <row r="62830" customFormat="1" ht="17.25" customHeight="1"/>
    <row r="62831" customFormat="1" ht="17.25" customHeight="1"/>
    <row r="62832" customFormat="1" ht="17.25" customHeight="1"/>
    <row r="62833" customFormat="1" ht="17.25" customHeight="1"/>
    <row r="62834" customFormat="1" ht="17.25" customHeight="1"/>
    <row r="62835" customFormat="1" ht="17.25" customHeight="1"/>
    <row r="62836" customFormat="1" ht="17.25" customHeight="1"/>
    <row r="62837" customFormat="1" ht="17.25" customHeight="1"/>
    <row r="62838" customFormat="1" ht="17.25" customHeight="1"/>
    <row r="62839" customFormat="1" ht="17.25" customHeight="1"/>
    <row r="62840" customFormat="1" ht="17.25" customHeight="1"/>
    <row r="62841" customFormat="1" ht="17.25" customHeight="1"/>
    <row r="62842" customFormat="1" ht="17.25" customHeight="1"/>
    <row r="62843" customFormat="1" ht="17.25" customHeight="1"/>
    <row r="62844" customFormat="1" ht="17.25" customHeight="1"/>
    <row r="62845" customFormat="1" ht="17.25" customHeight="1"/>
    <row r="62846" customFormat="1" ht="17.25" customHeight="1"/>
    <row r="62847" customFormat="1" ht="17.25" customHeight="1"/>
    <row r="62848" customFormat="1" ht="17.25" customHeight="1"/>
    <row r="62849" customFormat="1" ht="17.25" customHeight="1"/>
    <row r="62850" customFormat="1" ht="17.25" customHeight="1"/>
    <row r="62851" customFormat="1" ht="17.25" customHeight="1"/>
    <row r="62852" customFormat="1" ht="17.25" customHeight="1"/>
    <row r="62853" customFormat="1" ht="17.25" customHeight="1"/>
    <row r="62854" customFormat="1" ht="17.25" customHeight="1"/>
    <row r="62855" customFormat="1" ht="17.25" customHeight="1"/>
    <row r="62856" customFormat="1" ht="17.25" customHeight="1"/>
    <row r="62857" customFormat="1" ht="17.25" customHeight="1"/>
    <row r="62858" customFormat="1" ht="17.25" customHeight="1"/>
    <row r="62859" customFormat="1" ht="17.25" customHeight="1"/>
    <row r="62860" customFormat="1" ht="17.25" customHeight="1"/>
    <row r="62861" customFormat="1" ht="17.25" customHeight="1"/>
    <row r="62862" customFormat="1" ht="17.25" customHeight="1"/>
    <row r="62863" customFormat="1" ht="17.25" customHeight="1"/>
    <row r="62864" customFormat="1" ht="17.25" customHeight="1"/>
    <row r="62865" customFormat="1" ht="17.25" customHeight="1"/>
    <row r="62866" customFormat="1" ht="17.25" customHeight="1"/>
    <row r="62867" customFormat="1" ht="17.25" customHeight="1"/>
    <row r="62868" customFormat="1" ht="17.25" customHeight="1"/>
    <row r="62869" customFormat="1" ht="17.25" customHeight="1"/>
    <row r="62870" customFormat="1" ht="17.25" customHeight="1"/>
    <row r="62871" customFormat="1" ht="17.25" customHeight="1"/>
    <row r="62872" customFormat="1" ht="17.25" customHeight="1"/>
    <row r="62873" customFormat="1" ht="17.25" customHeight="1"/>
    <row r="62874" customFormat="1" ht="17.25" customHeight="1"/>
    <row r="62875" customFormat="1" ht="17.25" customHeight="1"/>
    <row r="62876" customFormat="1" ht="17.25" customHeight="1"/>
    <row r="62877" customFormat="1" ht="17.25" customHeight="1"/>
    <row r="62878" customFormat="1" ht="17.25" customHeight="1"/>
    <row r="62879" customFormat="1" ht="17.25" customHeight="1"/>
    <row r="62880" customFormat="1" ht="17.25" customHeight="1"/>
    <row r="62881" customFormat="1" ht="17.25" customHeight="1"/>
    <row r="62882" customFormat="1" ht="17.25" customHeight="1"/>
    <row r="62883" customFormat="1" ht="17.25" customHeight="1"/>
    <row r="62884" customFormat="1" ht="17.25" customHeight="1"/>
    <row r="62885" customFormat="1" ht="17.25" customHeight="1"/>
    <row r="62886" customFormat="1" ht="17.25" customHeight="1"/>
    <row r="62887" customFormat="1" ht="17.25" customHeight="1"/>
    <row r="62888" customFormat="1" ht="17.25" customHeight="1"/>
    <row r="62889" customFormat="1" ht="17.25" customHeight="1"/>
    <row r="62890" customFormat="1" ht="17.25" customHeight="1"/>
    <row r="62891" customFormat="1" ht="17.25" customHeight="1"/>
    <row r="62892" customFormat="1" ht="17.25" customHeight="1"/>
    <row r="62893" customFormat="1" ht="17.25" customHeight="1"/>
    <row r="62894" customFormat="1" ht="17.25" customHeight="1"/>
    <row r="62895" customFormat="1" ht="17.25" customHeight="1"/>
    <row r="62896" customFormat="1" ht="17.25" customHeight="1"/>
    <row r="62897" customFormat="1" ht="17.25" customHeight="1"/>
    <row r="62898" customFormat="1" ht="17.25" customHeight="1"/>
    <row r="62899" customFormat="1" ht="17.25" customHeight="1"/>
    <row r="62900" customFormat="1" ht="17.25" customHeight="1"/>
    <row r="62901" customFormat="1" ht="17.25" customHeight="1"/>
    <row r="62902" customFormat="1" ht="17.25" customHeight="1"/>
    <row r="62903" customFormat="1" ht="17.25" customHeight="1"/>
    <row r="62904" customFormat="1" ht="17.25" customHeight="1"/>
    <row r="62905" customFormat="1" ht="17.25" customHeight="1"/>
    <row r="62906" customFormat="1" ht="17.25" customHeight="1"/>
    <row r="62907" customFormat="1" ht="17.25" customHeight="1"/>
    <row r="62908" customFormat="1" ht="17.25" customHeight="1"/>
    <row r="62909" customFormat="1" ht="17.25" customHeight="1"/>
    <row r="62910" customFormat="1" ht="17.25" customHeight="1"/>
    <row r="62911" customFormat="1" ht="17.25" customHeight="1"/>
    <row r="62912" customFormat="1" ht="17.25" customHeight="1"/>
    <row r="62913" customFormat="1" ht="17.25" customHeight="1"/>
    <row r="62914" customFormat="1" ht="17.25" customHeight="1"/>
    <row r="62915" customFormat="1" ht="17.25" customHeight="1"/>
    <row r="62916" customFormat="1" ht="17.25" customHeight="1"/>
    <row r="62917" customFormat="1" ht="17.25" customHeight="1"/>
    <row r="62918" customFormat="1" ht="17.25" customHeight="1"/>
    <row r="62919" customFormat="1" ht="17.25" customHeight="1"/>
    <row r="62920" customFormat="1" ht="17.25" customHeight="1"/>
    <row r="62921" customFormat="1" ht="17.25" customHeight="1"/>
    <row r="62922" customFormat="1" ht="17.25" customHeight="1"/>
    <row r="62923" customFormat="1" ht="17.25" customHeight="1"/>
    <row r="62924" customFormat="1" ht="17.25" customHeight="1"/>
    <row r="62925" customFormat="1" ht="17.25" customHeight="1"/>
    <row r="62926" customFormat="1" ht="17.25" customHeight="1"/>
    <row r="62927" customFormat="1" ht="17.25" customHeight="1"/>
    <row r="62928" customFormat="1" ht="17.25" customHeight="1"/>
    <row r="62929" customFormat="1" ht="17.25" customHeight="1"/>
    <row r="62930" customFormat="1" ht="17.25" customHeight="1"/>
    <row r="62931" customFormat="1" ht="17.25" customHeight="1"/>
    <row r="62932" customFormat="1" ht="17.25" customHeight="1"/>
    <row r="62933" customFormat="1" ht="17.25" customHeight="1"/>
    <row r="62934" customFormat="1" ht="17.25" customHeight="1"/>
    <row r="62935" customFormat="1" ht="17.25" customHeight="1"/>
    <row r="62936" customFormat="1" ht="17.25" customHeight="1"/>
    <row r="62937" customFormat="1" ht="17.25" customHeight="1"/>
    <row r="62938" customFormat="1" ht="17.25" customHeight="1"/>
    <row r="62939" customFormat="1" ht="17.25" customHeight="1"/>
    <row r="62940" customFormat="1" ht="17.25" customHeight="1"/>
    <row r="62941" customFormat="1" ht="17.25" customHeight="1"/>
    <row r="62942" customFormat="1" ht="17.25" customHeight="1"/>
    <row r="62943" customFormat="1" ht="17.25" customHeight="1"/>
    <row r="62944" customFormat="1" ht="17.25" customHeight="1"/>
    <row r="62945" customFormat="1" ht="17.25" customHeight="1"/>
    <row r="62946" customFormat="1" ht="17.25" customHeight="1"/>
    <row r="62947" customFormat="1" ht="17.25" customHeight="1"/>
    <row r="62948" customFormat="1" ht="17.25" customHeight="1"/>
    <row r="62949" customFormat="1" ht="17.25" customHeight="1"/>
    <row r="62950" customFormat="1" ht="17.25" customHeight="1"/>
    <row r="62951" customFormat="1" ht="17.25" customHeight="1"/>
    <row r="62952" customFormat="1" ht="17.25" customHeight="1"/>
    <row r="62953" customFormat="1" ht="17.25" customHeight="1"/>
    <row r="62954" customFormat="1" ht="17.25" customHeight="1"/>
    <row r="62955" customFormat="1" ht="17.25" customHeight="1"/>
    <row r="62956" customFormat="1" ht="17.25" customHeight="1"/>
    <row r="62957" customFormat="1" ht="17.25" customHeight="1"/>
    <row r="62958" customFormat="1" ht="17.25" customHeight="1"/>
    <row r="62959" customFormat="1" ht="17.25" customHeight="1"/>
    <row r="62960" customFormat="1" ht="17.25" customHeight="1"/>
    <row r="62961" customFormat="1" ht="17.25" customHeight="1"/>
    <row r="62962" customFormat="1" ht="17.25" customHeight="1"/>
    <row r="62963" customFormat="1" ht="17.25" customHeight="1"/>
    <row r="62964" customFormat="1" ht="17.25" customHeight="1"/>
    <row r="62965" customFormat="1" ht="17.25" customHeight="1"/>
    <row r="62966" customFormat="1" ht="17.25" customHeight="1"/>
    <row r="62967" customFormat="1" ht="17.25" customHeight="1"/>
    <row r="62968" customFormat="1" ht="17.25" customHeight="1"/>
    <row r="62969" customFormat="1" ht="17.25" customHeight="1"/>
    <row r="62970" customFormat="1" ht="17.25" customHeight="1"/>
    <row r="62971" customFormat="1" ht="17.25" customHeight="1"/>
    <row r="62972" customFormat="1" ht="17.25" customHeight="1"/>
    <row r="62973" customFormat="1" ht="17.25" customHeight="1"/>
    <row r="62974" customFormat="1" ht="17.25" customHeight="1"/>
    <row r="62975" customFormat="1" ht="17.25" customHeight="1"/>
    <row r="62976" customFormat="1" ht="17.25" customHeight="1"/>
    <row r="62977" customFormat="1" ht="17.25" customHeight="1"/>
    <row r="62978" customFormat="1" ht="17.25" customHeight="1"/>
    <row r="62979" customFormat="1" ht="17.25" customHeight="1"/>
    <row r="62980" customFormat="1" ht="17.25" customHeight="1"/>
    <row r="62981" customFormat="1" ht="17.25" customHeight="1"/>
    <row r="62982" customFormat="1" ht="17.25" customHeight="1"/>
    <row r="62983" customFormat="1" ht="17.25" customHeight="1"/>
    <row r="62984" customFormat="1" ht="17.25" customHeight="1"/>
    <row r="62985" customFormat="1" ht="17.25" customHeight="1"/>
    <row r="62986" customFormat="1" ht="17.25" customHeight="1"/>
    <row r="62987" customFormat="1" ht="17.25" customHeight="1"/>
    <row r="62988" customFormat="1" ht="17.25" customHeight="1"/>
    <row r="62989" customFormat="1" ht="17.25" customHeight="1"/>
    <row r="62990" customFormat="1" ht="17.25" customHeight="1"/>
    <row r="62991" customFormat="1" ht="17.25" customHeight="1"/>
    <row r="62992" customFormat="1" ht="17.25" customHeight="1"/>
    <row r="62993" customFormat="1" ht="17.25" customHeight="1"/>
    <row r="62994" customFormat="1" ht="17.25" customHeight="1"/>
    <row r="62995" customFormat="1" ht="17.25" customHeight="1"/>
    <row r="62996" customFormat="1" ht="17.25" customHeight="1"/>
    <row r="62997" customFormat="1" ht="17.25" customHeight="1"/>
    <row r="62998" customFormat="1" ht="17.25" customHeight="1"/>
    <row r="62999" customFormat="1" ht="17.25" customHeight="1"/>
    <row r="63000" customFormat="1" ht="17.25" customHeight="1"/>
    <row r="63001" customFormat="1" ht="17.25" customHeight="1"/>
    <row r="63002" customFormat="1" ht="17.25" customHeight="1"/>
    <row r="63003" customFormat="1" ht="17.25" customHeight="1"/>
    <row r="63004" customFormat="1" ht="17.25" customHeight="1"/>
    <row r="63005" customFormat="1" ht="17.25" customHeight="1"/>
    <row r="63006" customFormat="1" ht="17.25" customHeight="1"/>
    <row r="63007" customFormat="1" ht="17.25" customHeight="1"/>
    <row r="63008" customFormat="1" ht="17.25" customHeight="1"/>
    <row r="63009" customFormat="1" ht="17.25" customHeight="1"/>
    <row r="63010" customFormat="1" ht="17.25" customHeight="1"/>
    <row r="63011" customFormat="1" ht="17.25" customHeight="1"/>
    <row r="63012" customFormat="1" ht="17.25" customHeight="1"/>
    <row r="63013" customFormat="1" ht="17.25" customHeight="1"/>
    <row r="63014" customFormat="1" ht="17.25" customHeight="1"/>
    <row r="63015" customFormat="1" ht="17.25" customHeight="1"/>
    <row r="63016" customFormat="1" ht="17.25" customHeight="1"/>
    <row r="63017" customFormat="1" ht="17.25" customHeight="1"/>
    <row r="63018" customFormat="1" ht="17.25" customHeight="1"/>
    <row r="63019" customFormat="1" ht="17.25" customHeight="1"/>
    <row r="63020" customFormat="1" ht="17.25" customHeight="1"/>
    <row r="63021" customFormat="1" ht="17.25" customHeight="1"/>
    <row r="63022" customFormat="1" ht="17.25" customHeight="1"/>
    <row r="63023" customFormat="1" ht="17.25" customHeight="1"/>
    <row r="63024" customFormat="1" ht="17.25" customHeight="1"/>
    <row r="63025" customFormat="1" ht="17.25" customHeight="1"/>
    <row r="63026" customFormat="1" ht="17.25" customHeight="1"/>
    <row r="63027" customFormat="1" ht="17.25" customHeight="1"/>
    <row r="63028" customFormat="1" ht="17.25" customHeight="1"/>
    <row r="63029" customFormat="1" ht="17.25" customHeight="1"/>
    <row r="63030" customFormat="1" ht="17.25" customHeight="1"/>
    <row r="63031" customFormat="1" ht="17.25" customHeight="1"/>
    <row r="63032" customFormat="1" ht="17.25" customHeight="1"/>
    <row r="63033" customFormat="1" ht="17.25" customHeight="1"/>
    <row r="63034" customFormat="1" ht="17.25" customHeight="1"/>
    <row r="63035" customFormat="1" ht="17.25" customHeight="1"/>
    <row r="63036" customFormat="1" ht="17.25" customHeight="1"/>
    <row r="63037" customFormat="1" ht="17.25" customHeight="1"/>
    <row r="63038" customFormat="1" ht="17.25" customHeight="1"/>
    <row r="63039" customFormat="1" ht="17.25" customHeight="1"/>
    <row r="63040" customFormat="1" ht="17.25" customHeight="1"/>
    <row r="63041" customFormat="1" ht="17.25" customHeight="1"/>
    <row r="63042" customFormat="1" ht="17.25" customHeight="1"/>
    <row r="63043" customFormat="1" ht="17.25" customHeight="1"/>
    <row r="63044" customFormat="1" ht="17.25" customHeight="1"/>
    <row r="63045" customFormat="1" ht="17.25" customHeight="1"/>
    <row r="63046" customFormat="1" ht="17.25" customHeight="1"/>
    <row r="63047" customFormat="1" ht="17.25" customHeight="1"/>
    <row r="63048" customFormat="1" ht="17.25" customHeight="1"/>
    <row r="63049" customFormat="1" ht="17.25" customHeight="1"/>
    <row r="63050" customFormat="1" ht="17.25" customHeight="1"/>
    <row r="63051" customFormat="1" ht="17.25" customHeight="1"/>
    <row r="63052" customFormat="1" ht="17.25" customHeight="1"/>
    <row r="63053" customFormat="1" ht="17.25" customHeight="1"/>
    <row r="63054" customFormat="1" ht="17.25" customHeight="1"/>
    <row r="63055" customFormat="1" ht="17.25" customHeight="1"/>
    <row r="63056" customFormat="1" ht="17.25" customHeight="1"/>
    <row r="63057" customFormat="1" ht="17.25" customHeight="1"/>
    <row r="63058" customFormat="1" ht="17.25" customHeight="1"/>
    <row r="63059" customFormat="1" ht="17.25" customHeight="1"/>
    <row r="63060" customFormat="1" ht="17.25" customHeight="1"/>
    <row r="63061" customFormat="1" ht="17.25" customHeight="1"/>
    <row r="63062" customFormat="1" ht="17.25" customHeight="1"/>
    <row r="63063" customFormat="1" ht="17.25" customHeight="1"/>
    <row r="63064" customFormat="1" ht="17.25" customHeight="1"/>
    <row r="63065" customFormat="1" ht="17.25" customHeight="1"/>
    <row r="63066" customFormat="1" ht="17.25" customHeight="1"/>
    <row r="63067" customFormat="1" ht="17.25" customHeight="1"/>
    <row r="63068" customFormat="1" ht="17.25" customHeight="1"/>
    <row r="63069" customFormat="1" ht="17.25" customHeight="1"/>
    <row r="63070" customFormat="1" ht="17.25" customHeight="1"/>
    <row r="63071" customFormat="1" ht="17.25" customHeight="1"/>
    <row r="63072" customFormat="1" ht="17.25" customHeight="1"/>
    <row r="63073" customFormat="1" ht="17.25" customHeight="1"/>
    <row r="63074" customFormat="1" ht="17.25" customHeight="1"/>
    <row r="63075" customFormat="1" ht="17.25" customHeight="1"/>
    <row r="63076" customFormat="1" ht="17.25" customHeight="1"/>
    <row r="63077" customFormat="1" ht="17.25" customHeight="1"/>
    <row r="63078" customFormat="1" ht="17.25" customHeight="1"/>
    <row r="63079" customFormat="1" ht="17.25" customHeight="1"/>
    <row r="63080" customFormat="1" ht="17.25" customHeight="1"/>
    <row r="63081" customFormat="1" ht="17.25" customHeight="1"/>
    <row r="63082" customFormat="1" ht="17.25" customHeight="1"/>
    <row r="63083" customFormat="1" ht="17.25" customHeight="1"/>
    <row r="63084" customFormat="1" ht="17.25" customHeight="1"/>
    <row r="63085" customFormat="1" ht="17.25" customHeight="1"/>
    <row r="63086" customFormat="1" ht="17.25" customHeight="1"/>
    <row r="63087" customFormat="1" ht="17.25" customHeight="1"/>
    <row r="63088" customFormat="1" ht="17.25" customHeight="1"/>
    <row r="63089" customFormat="1" ht="17.25" customHeight="1"/>
    <row r="63090" customFormat="1" ht="17.25" customHeight="1"/>
    <row r="63091" customFormat="1" ht="17.25" customHeight="1"/>
    <row r="63092" customFormat="1" ht="17.25" customHeight="1"/>
    <row r="63093" customFormat="1" ht="17.25" customHeight="1"/>
    <row r="63094" customFormat="1" ht="17.25" customHeight="1"/>
    <row r="63095" customFormat="1" ht="17.25" customHeight="1"/>
    <row r="63096" customFormat="1" ht="17.25" customHeight="1"/>
    <row r="63097" customFormat="1" ht="17.25" customHeight="1"/>
    <row r="63098" customFormat="1" ht="17.25" customHeight="1"/>
    <row r="63099" customFormat="1" ht="17.25" customHeight="1"/>
    <row r="63100" customFormat="1" ht="17.25" customHeight="1"/>
    <row r="63101" customFormat="1" ht="17.25" customHeight="1"/>
    <row r="63102" customFormat="1" ht="17.25" customHeight="1"/>
    <row r="63103" customFormat="1" ht="17.25" customHeight="1"/>
    <row r="63104" customFormat="1" ht="17.25" customHeight="1"/>
    <row r="63105" customFormat="1" ht="17.25" customHeight="1"/>
    <row r="63106" customFormat="1" ht="17.25" customHeight="1"/>
    <row r="63107" customFormat="1" ht="17.25" customHeight="1"/>
    <row r="63108" customFormat="1" ht="17.25" customHeight="1"/>
    <row r="63109" customFormat="1" ht="17.25" customHeight="1"/>
    <row r="63110" customFormat="1" ht="17.25" customHeight="1"/>
    <row r="63111" customFormat="1" ht="17.25" customHeight="1"/>
    <row r="63112" customFormat="1" ht="17.25" customHeight="1"/>
    <row r="63113" customFormat="1" ht="17.25" customHeight="1"/>
    <row r="63114" customFormat="1" ht="17.25" customHeight="1"/>
    <row r="63115" customFormat="1" ht="17.25" customHeight="1"/>
    <row r="63116" customFormat="1" ht="17.25" customHeight="1"/>
    <row r="63117" customFormat="1" ht="17.25" customHeight="1"/>
    <row r="63118" customFormat="1" ht="17.25" customHeight="1"/>
    <row r="63119" customFormat="1" ht="17.25" customHeight="1"/>
    <row r="63120" customFormat="1" ht="17.25" customHeight="1"/>
    <row r="63121" customFormat="1" ht="17.25" customHeight="1"/>
    <row r="63122" customFormat="1" ht="17.25" customHeight="1"/>
    <row r="63123" customFormat="1" ht="17.25" customHeight="1"/>
    <row r="63124" customFormat="1" ht="17.25" customHeight="1"/>
    <row r="63125" customFormat="1" ht="17.25" customHeight="1"/>
    <row r="63126" customFormat="1" ht="17.25" customHeight="1"/>
    <row r="63127" customFormat="1" ht="17.25" customHeight="1"/>
    <row r="63128" customFormat="1" ht="17.25" customHeight="1"/>
    <row r="63129" customFormat="1" ht="17.25" customHeight="1"/>
    <row r="63130" customFormat="1" ht="17.25" customHeight="1"/>
    <row r="63131" customFormat="1" ht="17.25" customHeight="1"/>
    <row r="63132" customFormat="1" ht="17.25" customHeight="1"/>
    <row r="63133" customFormat="1" ht="17.25" customHeight="1"/>
    <row r="63134" customFormat="1" ht="17.25" customHeight="1"/>
    <row r="63135" customFormat="1" ht="17.25" customHeight="1"/>
    <row r="63136" customFormat="1" ht="17.25" customHeight="1"/>
    <row r="63137" customFormat="1" ht="17.25" customHeight="1"/>
    <row r="63138" customFormat="1" ht="17.25" customHeight="1"/>
    <row r="63139" customFormat="1" ht="17.25" customHeight="1"/>
    <row r="63140" customFormat="1" ht="17.25" customHeight="1"/>
    <row r="63141" customFormat="1" ht="17.25" customHeight="1"/>
    <row r="63142" customFormat="1" ht="17.25" customHeight="1"/>
    <row r="63143" customFormat="1" ht="17.25" customHeight="1"/>
    <row r="63144" customFormat="1" ht="17.25" customHeight="1"/>
    <row r="63145" customFormat="1" ht="17.25" customHeight="1"/>
    <row r="63146" customFormat="1" ht="17.25" customHeight="1"/>
    <row r="63147" customFormat="1" ht="17.25" customHeight="1"/>
    <row r="63148" customFormat="1" ht="17.25" customHeight="1"/>
    <row r="63149" customFormat="1" ht="17.25" customHeight="1"/>
    <row r="63150" customFormat="1" ht="17.25" customHeight="1"/>
    <row r="63151" customFormat="1" ht="17.25" customHeight="1"/>
    <row r="63152" customFormat="1" ht="17.25" customHeight="1"/>
    <row r="63153" customFormat="1" ht="17.25" customHeight="1"/>
    <row r="63154" customFormat="1" ht="17.25" customHeight="1"/>
    <row r="63155" customFormat="1" ht="17.25" customHeight="1"/>
    <row r="63156" customFormat="1" ht="17.25" customHeight="1"/>
    <row r="63157" customFormat="1" ht="17.25" customHeight="1"/>
    <row r="63158" customFormat="1" ht="17.25" customHeight="1"/>
    <row r="63159" customFormat="1" ht="17.25" customHeight="1"/>
    <row r="63160" customFormat="1" ht="17.25" customHeight="1"/>
    <row r="63161" customFormat="1" ht="17.25" customHeight="1"/>
    <row r="63162" customFormat="1" ht="17.25" customHeight="1"/>
    <row r="63163" customFormat="1" ht="17.25" customHeight="1"/>
    <row r="63164" customFormat="1" ht="17.25" customHeight="1"/>
    <row r="63165" customFormat="1" ht="17.25" customHeight="1"/>
    <row r="63166" customFormat="1" ht="17.25" customHeight="1"/>
    <row r="63167" customFormat="1" ht="17.25" customHeight="1"/>
    <row r="63168" customFormat="1" ht="17.25" customHeight="1"/>
    <row r="63169" customFormat="1" ht="17.25" customHeight="1"/>
    <row r="63170" customFormat="1" ht="17.25" customHeight="1"/>
    <row r="63171" customFormat="1" ht="17.25" customHeight="1"/>
    <row r="63172" customFormat="1" ht="17.25" customHeight="1"/>
    <row r="63173" customFormat="1" ht="17.25" customHeight="1"/>
    <row r="63174" customFormat="1" ht="17.25" customHeight="1"/>
    <row r="63175" customFormat="1" ht="17.25" customHeight="1"/>
    <row r="63176" customFormat="1" ht="17.25" customHeight="1"/>
    <row r="63177" customFormat="1" ht="17.25" customHeight="1"/>
    <row r="63178" customFormat="1" ht="17.25" customHeight="1"/>
    <row r="63179" customFormat="1" ht="17.25" customHeight="1"/>
    <row r="63180" customFormat="1" ht="17.25" customHeight="1"/>
    <row r="63181" customFormat="1" ht="17.25" customHeight="1"/>
    <row r="63182" customFormat="1" ht="17.25" customHeight="1"/>
    <row r="63183" customFormat="1" ht="17.25" customHeight="1"/>
    <row r="63184" customFormat="1" ht="17.25" customHeight="1"/>
    <row r="63185" customFormat="1" ht="17.25" customHeight="1"/>
    <row r="63186" customFormat="1" ht="17.25" customHeight="1"/>
    <row r="63187" customFormat="1" ht="17.25" customHeight="1"/>
    <row r="63188" customFormat="1" ht="17.25" customHeight="1"/>
    <row r="63189" customFormat="1" ht="17.25" customHeight="1"/>
    <row r="63190" customFormat="1" ht="17.25" customHeight="1"/>
    <row r="63191" customFormat="1" ht="17.25" customHeight="1"/>
    <row r="63192" customFormat="1" ht="17.25" customHeight="1"/>
    <row r="63193" customFormat="1" ht="17.25" customHeight="1"/>
    <row r="63194" customFormat="1" ht="17.25" customHeight="1"/>
    <row r="63195" customFormat="1" ht="17.25" customHeight="1"/>
    <row r="63196" customFormat="1" ht="17.25" customHeight="1"/>
    <row r="63197" customFormat="1" ht="17.25" customHeight="1"/>
    <row r="63198" customFormat="1" ht="17.25" customHeight="1"/>
    <row r="63199" customFormat="1" ht="17.25" customHeight="1"/>
    <row r="63200" customFormat="1" ht="17.25" customHeight="1"/>
    <row r="63201" customFormat="1" ht="17.25" customHeight="1"/>
    <row r="63202" customFormat="1" ht="17.25" customHeight="1"/>
    <row r="63203" customFormat="1" ht="17.25" customHeight="1"/>
    <row r="63204" customFormat="1" ht="17.25" customHeight="1"/>
    <row r="63205" customFormat="1" ht="17.25" customHeight="1"/>
    <row r="63206" customFormat="1" ht="17.25" customHeight="1"/>
    <row r="63207" customFormat="1" ht="17.25" customHeight="1"/>
    <row r="63208" customFormat="1" ht="17.25" customHeight="1"/>
    <row r="63209" customFormat="1" ht="17.25" customHeight="1"/>
    <row r="63210" customFormat="1" ht="17.25" customHeight="1"/>
    <row r="63211" customFormat="1" ht="17.25" customHeight="1"/>
    <row r="63212" customFormat="1" ht="17.25" customHeight="1"/>
    <row r="63213" customFormat="1" ht="17.25" customHeight="1"/>
    <row r="63214" customFormat="1" ht="17.25" customHeight="1"/>
    <row r="63215" customFormat="1" ht="17.25" customHeight="1"/>
    <row r="63216" customFormat="1" ht="17.25" customHeight="1"/>
    <row r="63217" customFormat="1" ht="17.25" customHeight="1"/>
    <row r="63218" customFormat="1" ht="17.25" customHeight="1"/>
    <row r="63219" customFormat="1" ht="17.25" customHeight="1"/>
    <row r="63220" customFormat="1" ht="17.25" customHeight="1"/>
    <row r="63221" customFormat="1" ht="17.25" customHeight="1"/>
    <row r="63222" customFormat="1" ht="17.25" customHeight="1"/>
    <row r="63223" customFormat="1" ht="17.25" customHeight="1"/>
    <row r="63224" customFormat="1" ht="17.25" customHeight="1"/>
    <row r="63225" customFormat="1" ht="17.25" customHeight="1"/>
    <row r="63226" customFormat="1" ht="17.25" customHeight="1"/>
    <row r="63227" customFormat="1" ht="17.25" customHeight="1"/>
    <row r="63228" customFormat="1" ht="17.25" customHeight="1"/>
    <row r="63229" customFormat="1" ht="17.25" customHeight="1"/>
    <row r="63230" customFormat="1" ht="17.25" customHeight="1"/>
    <row r="63231" customFormat="1" ht="17.25" customHeight="1"/>
    <row r="63232" customFormat="1" ht="17.25" customHeight="1"/>
    <row r="63233" customFormat="1" ht="17.25" customHeight="1"/>
    <row r="63234" customFormat="1" ht="17.25" customHeight="1"/>
    <row r="63235" customFormat="1" ht="17.25" customHeight="1"/>
    <row r="63236" customFormat="1" ht="17.25" customHeight="1"/>
    <row r="63237" customFormat="1" ht="17.25" customHeight="1"/>
    <row r="63238" customFormat="1" ht="17.25" customHeight="1"/>
    <row r="63239" customFormat="1" ht="17.25" customHeight="1"/>
    <row r="63240" customFormat="1" ht="17.25" customHeight="1"/>
    <row r="63241" customFormat="1" ht="17.25" customHeight="1"/>
    <row r="63242" customFormat="1" ht="17.25" customHeight="1"/>
    <row r="63243" customFormat="1" ht="17.25" customHeight="1"/>
    <row r="63244" customFormat="1" ht="17.25" customHeight="1"/>
    <row r="63245" customFormat="1" ht="17.25" customHeight="1"/>
    <row r="63246" customFormat="1" ht="17.25" customHeight="1"/>
    <row r="63247" customFormat="1" ht="17.25" customHeight="1"/>
    <row r="63248" customFormat="1" ht="17.25" customHeight="1"/>
    <row r="63249" customFormat="1" ht="17.25" customHeight="1"/>
    <row r="63250" customFormat="1" ht="17.25" customHeight="1"/>
    <row r="63251" customFormat="1" ht="17.25" customHeight="1"/>
    <row r="63252" customFormat="1" ht="17.25" customHeight="1"/>
    <row r="63253" customFormat="1" ht="17.25" customHeight="1"/>
    <row r="63254" customFormat="1" ht="17.25" customHeight="1"/>
    <row r="63255" customFormat="1" ht="17.25" customHeight="1"/>
    <row r="63256" customFormat="1" ht="17.25" customHeight="1"/>
    <row r="63257" customFormat="1" ht="17.25" customHeight="1"/>
    <row r="63258" customFormat="1" ht="17.25" customHeight="1"/>
    <row r="63259" customFormat="1" ht="17.25" customHeight="1"/>
    <row r="63260" customFormat="1" ht="17.25" customHeight="1"/>
    <row r="63261" customFormat="1" ht="17.25" customHeight="1"/>
    <row r="63262" customFormat="1" ht="17.25" customHeight="1"/>
    <row r="63263" customFormat="1" ht="17.25" customHeight="1"/>
    <row r="63264" customFormat="1" ht="17.25" customHeight="1"/>
    <row r="63265" customFormat="1" ht="17.25" customHeight="1"/>
    <row r="63266" customFormat="1" ht="17.25" customHeight="1"/>
    <row r="63267" customFormat="1" ht="17.25" customHeight="1"/>
    <row r="63268" customFormat="1" ht="17.25" customHeight="1"/>
    <row r="63269" customFormat="1" ht="17.25" customHeight="1"/>
    <row r="63270" customFormat="1" ht="17.25" customHeight="1"/>
    <row r="63271" customFormat="1" ht="17.25" customHeight="1"/>
    <row r="63272" customFormat="1" ht="17.25" customHeight="1"/>
    <row r="63273" customFormat="1" ht="17.25" customHeight="1"/>
    <row r="63274" customFormat="1" ht="17.25" customHeight="1"/>
    <row r="63275" customFormat="1" ht="17.25" customHeight="1"/>
    <row r="63276" customFormat="1" ht="17.25" customHeight="1"/>
    <row r="63277" customFormat="1" ht="17.25" customHeight="1"/>
    <row r="63278" customFormat="1" ht="17.25" customHeight="1"/>
    <row r="63279" customFormat="1" ht="17.25" customHeight="1"/>
    <row r="63280" customFormat="1" ht="17.25" customHeight="1"/>
    <row r="63281" customFormat="1" ht="17.25" customHeight="1"/>
    <row r="63282" customFormat="1" ht="17.25" customHeight="1"/>
    <row r="63283" customFormat="1" ht="17.25" customHeight="1"/>
    <row r="63284" customFormat="1" ht="17.25" customHeight="1"/>
    <row r="63285" customFormat="1" ht="17.25" customHeight="1"/>
    <row r="63286" customFormat="1" ht="17.25" customHeight="1"/>
    <row r="63287" customFormat="1" ht="17.25" customHeight="1"/>
    <row r="63288" customFormat="1" ht="17.25" customHeight="1"/>
    <row r="63289" customFormat="1" ht="17.25" customHeight="1"/>
    <row r="63290" customFormat="1" ht="17.25" customHeight="1"/>
    <row r="63291" customFormat="1" ht="17.25" customHeight="1"/>
    <row r="63292" customFormat="1" ht="17.25" customHeight="1"/>
    <row r="63293" customFormat="1" ht="17.25" customHeight="1"/>
    <row r="63294" customFormat="1" ht="17.25" customHeight="1"/>
    <row r="63295" customFormat="1" ht="17.25" customHeight="1"/>
    <row r="63296" customFormat="1" ht="17.25" customHeight="1"/>
    <row r="63297" customFormat="1" ht="17.25" customHeight="1"/>
    <row r="63298" customFormat="1" ht="17.25" customHeight="1"/>
    <row r="63299" customFormat="1" ht="17.25" customHeight="1"/>
    <row r="63300" customFormat="1" ht="17.25" customHeight="1"/>
    <row r="63301" customFormat="1" ht="17.25" customHeight="1"/>
    <row r="63302" customFormat="1" ht="17.25" customHeight="1"/>
    <row r="63303" customFormat="1" ht="17.25" customHeight="1"/>
    <row r="63304" customFormat="1" ht="17.25" customHeight="1"/>
    <row r="63305" customFormat="1" ht="17.25" customHeight="1"/>
    <row r="63306" customFormat="1" ht="17.25" customHeight="1"/>
    <row r="63307" customFormat="1" ht="17.25" customHeight="1"/>
    <row r="63308" customFormat="1" ht="17.25" customHeight="1"/>
    <row r="63309" customFormat="1" ht="17.25" customHeight="1"/>
    <row r="63310" customFormat="1" ht="17.25" customHeight="1"/>
    <row r="63311" customFormat="1" ht="17.25" customHeight="1"/>
    <row r="63312" customFormat="1" ht="17.25" customHeight="1"/>
    <row r="63313" customFormat="1" ht="17.25" customHeight="1"/>
    <row r="63314" customFormat="1" ht="17.25" customHeight="1"/>
    <row r="63315" customFormat="1" ht="17.25" customHeight="1"/>
    <row r="63316" customFormat="1" ht="17.25" customHeight="1"/>
    <row r="63317" customFormat="1" ht="17.25" customHeight="1"/>
    <row r="63318" customFormat="1" ht="17.25" customHeight="1"/>
    <row r="63319" customFormat="1" ht="17.25" customHeight="1"/>
    <row r="63320" customFormat="1" ht="17.25" customHeight="1"/>
    <row r="63321" customFormat="1" ht="17.25" customHeight="1"/>
    <row r="63322" customFormat="1" ht="17.25" customHeight="1"/>
    <row r="63323" customFormat="1" ht="17.25" customHeight="1"/>
    <row r="63324" customFormat="1" ht="17.25" customHeight="1"/>
    <row r="63325" customFormat="1" ht="17.25" customHeight="1"/>
    <row r="63326" customFormat="1" ht="17.25" customHeight="1"/>
    <row r="63327" customFormat="1" ht="17.25" customHeight="1"/>
    <row r="63328" customFormat="1" ht="17.25" customHeight="1"/>
    <row r="63329" customFormat="1" ht="17.25" customHeight="1"/>
    <row r="63330" customFormat="1" ht="17.25" customHeight="1"/>
    <row r="63331" customFormat="1" ht="17.25" customHeight="1"/>
    <row r="63332" customFormat="1" ht="17.25" customHeight="1"/>
    <row r="63333" customFormat="1" ht="17.25" customHeight="1"/>
    <row r="63334" customFormat="1" ht="17.25" customHeight="1"/>
    <row r="63335" customFormat="1" ht="17.25" customHeight="1"/>
    <row r="63336" customFormat="1" ht="17.25" customHeight="1"/>
    <row r="63337" customFormat="1" ht="17.25" customHeight="1"/>
    <row r="63338" customFormat="1" ht="17.25" customHeight="1"/>
    <row r="63339" customFormat="1" ht="17.25" customHeight="1"/>
    <row r="63340" customFormat="1" ht="17.25" customHeight="1"/>
    <row r="63341" customFormat="1" ht="17.25" customHeight="1"/>
    <row r="63342" customFormat="1" ht="17.25" customHeight="1"/>
    <row r="63343" customFormat="1" ht="17.25" customHeight="1"/>
    <row r="63344" customFormat="1" ht="17.25" customHeight="1"/>
    <row r="63345" customFormat="1" ht="17.25" customHeight="1"/>
    <row r="63346" customFormat="1" ht="17.25" customHeight="1"/>
    <row r="63347" customFormat="1" ht="17.25" customHeight="1"/>
    <row r="63348" customFormat="1" ht="17.25" customHeight="1"/>
    <row r="63349" customFormat="1" ht="17.25" customHeight="1"/>
    <row r="63350" customFormat="1" ht="17.25" customHeight="1"/>
    <row r="63351" customFormat="1" ht="17.25" customHeight="1"/>
    <row r="63352" customFormat="1" ht="17.25" customHeight="1"/>
    <row r="63353" customFormat="1" ht="17.25" customHeight="1"/>
    <row r="63354" customFormat="1" ht="17.25" customHeight="1"/>
    <row r="63355" customFormat="1" ht="17.25" customHeight="1"/>
    <row r="63356" customFormat="1" ht="17.25" customHeight="1"/>
    <row r="63357" customFormat="1" ht="17.25" customHeight="1"/>
    <row r="63358" customFormat="1" ht="17.25" customHeight="1"/>
    <row r="63359" customFormat="1" ht="17.25" customHeight="1"/>
    <row r="63360" customFormat="1" ht="17.25" customHeight="1"/>
    <row r="63361" customFormat="1" ht="17.25" customHeight="1"/>
    <row r="63362" customFormat="1" ht="17.25" customHeight="1"/>
    <row r="63363" customFormat="1" ht="17.25" customHeight="1"/>
    <row r="63364" customFormat="1" ht="17.25" customHeight="1"/>
    <row r="63365" customFormat="1" ht="17.25" customHeight="1"/>
    <row r="63366" customFormat="1" ht="17.25" customHeight="1"/>
    <row r="63367" customFormat="1" ht="17.25" customHeight="1"/>
    <row r="63368" customFormat="1" ht="17.25" customHeight="1"/>
    <row r="63369" customFormat="1" ht="17.25" customHeight="1"/>
    <row r="63370" customFormat="1" ht="17.25" customHeight="1"/>
    <row r="63371" customFormat="1" ht="17.25" customHeight="1"/>
    <row r="63372" customFormat="1" ht="17.25" customHeight="1"/>
    <row r="63373" customFormat="1" ht="17.25" customHeight="1"/>
    <row r="63374" customFormat="1" ht="17.25" customHeight="1"/>
    <row r="63375" customFormat="1" ht="17.25" customHeight="1"/>
    <row r="63376" customFormat="1" ht="17.25" customHeight="1"/>
    <row r="63377" customFormat="1" ht="17.25" customHeight="1"/>
    <row r="63378" customFormat="1" ht="17.25" customHeight="1"/>
    <row r="63379" customFormat="1" ht="17.25" customHeight="1"/>
    <row r="63380" customFormat="1" ht="17.25" customHeight="1"/>
    <row r="63381" customFormat="1" ht="17.25" customHeight="1"/>
    <row r="63382" customFormat="1" ht="17.25" customHeight="1"/>
    <row r="63383" customFormat="1" ht="17.25" customHeight="1"/>
    <row r="63384" customFormat="1" ht="17.25" customHeight="1"/>
    <row r="63385" customFormat="1" ht="17.25" customHeight="1"/>
    <row r="63386" customFormat="1" ht="17.25" customHeight="1"/>
    <row r="63387" customFormat="1" ht="17.25" customHeight="1"/>
    <row r="63388" customFormat="1" ht="17.25" customHeight="1"/>
    <row r="63389" customFormat="1" ht="17.25" customHeight="1"/>
    <row r="63390" customFormat="1" ht="17.25" customHeight="1"/>
    <row r="63391" customFormat="1" ht="17.25" customHeight="1"/>
    <row r="63392" customFormat="1" ht="17.25" customHeight="1"/>
    <row r="63393" customFormat="1" ht="17.25" customHeight="1"/>
    <row r="63394" customFormat="1" ht="17.25" customHeight="1"/>
    <row r="63395" customFormat="1" ht="17.25" customHeight="1"/>
    <row r="63396" customFormat="1" ht="17.25" customHeight="1"/>
    <row r="63397" customFormat="1" ht="17.25" customHeight="1"/>
    <row r="63398" customFormat="1" ht="17.25" customHeight="1"/>
    <row r="63399" customFormat="1" ht="17.25" customHeight="1"/>
    <row r="63400" customFormat="1" ht="17.25" customHeight="1"/>
    <row r="63401" customFormat="1" ht="17.25" customHeight="1"/>
    <row r="63402" customFormat="1" ht="17.25" customHeight="1"/>
    <row r="63403" customFormat="1" ht="17.25" customHeight="1"/>
    <row r="63404" customFormat="1" ht="17.25" customHeight="1"/>
    <row r="63405" customFormat="1" ht="17.25" customHeight="1"/>
    <row r="63406" customFormat="1" ht="17.25" customHeight="1"/>
    <row r="63407" customFormat="1" ht="17.25" customHeight="1"/>
    <row r="63408" customFormat="1" ht="17.25" customHeight="1"/>
    <row r="63409" customFormat="1" ht="17.25" customHeight="1"/>
    <row r="63410" customFormat="1" ht="17.25" customHeight="1"/>
    <row r="63411" customFormat="1" ht="17.25" customHeight="1"/>
    <row r="63412" customFormat="1" ht="17.25" customHeight="1"/>
    <row r="63413" customFormat="1" ht="17.25" customHeight="1"/>
    <row r="63414" customFormat="1" ht="17.25" customHeight="1"/>
    <row r="63415" customFormat="1" ht="17.25" customHeight="1"/>
    <row r="63416" customFormat="1" ht="17.25" customHeight="1"/>
    <row r="63417" customFormat="1" ht="17.25" customHeight="1"/>
    <row r="63418" customFormat="1" ht="17.25" customHeight="1"/>
    <row r="63419" customFormat="1" ht="17.25" customHeight="1"/>
    <row r="63420" customFormat="1" ht="17.25" customHeight="1"/>
    <row r="63421" customFormat="1" ht="17.25" customHeight="1"/>
    <row r="63422" customFormat="1" ht="17.25" customHeight="1"/>
    <row r="63423" customFormat="1" ht="17.25" customHeight="1"/>
    <row r="63424" customFormat="1" ht="17.25" customHeight="1"/>
    <row r="63425" customFormat="1" ht="17.25" customHeight="1"/>
    <row r="63426" customFormat="1" ht="17.25" customHeight="1"/>
    <row r="63427" customFormat="1" ht="17.25" customHeight="1"/>
    <row r="63428" customFormat="1" ht="17.25" customHeight="1"/>
    <row r="63429" customFormat="1" ht="17.25" customHeight="1"/>
    <row r="63430" customFormat="1" ht="17.25" customHeight="1"/>
    <row r="63431" customFormat="1" ht="17.25" customHeight="1"/>
    <row r="63432" customFormat="1" ht="17.25" customHeight="1"/>
    <row r="63433" customFormat="1" ht="17.25" customHeight="1"/>
    <row r="63434" customFormat="1" ht="17.25" customHeight="1"/>
    <row r="63435" customFormat="1" ht="17.25" customHeight="1"/>
    <row r="63436" customFormat="1" ht="17.25" customHeight="1"/>
    <row r="63437" customFormat="1" ht="17.25" customHeight="1"/>
    <row r="63438" customFormat="1" ht="17.25" customHeight="1"/>
    <row r="63439" customFormat="1" ht="17.25" customHeight="1"/>
    <row r="63440" customFormat="1" ht="17.25" customHeight="1"/>
    <row r="63441" customFormat="1" ht="17.25" customHeight="1"/>
    <row r="63442" customFormat="1" ht="17.25" customHeight="1"/>
    <row r="63443" customFormat="1" ht="17.25" customHeight="1"/>
    <row r="63444" customFormat="1" ht="17.25" customHeight="1"/>
    <row r="63445" customFormat="1" ht="17.25" customHeight="1"/>
    <row r="63446" customFormat="1" ht="17.25" customHeight="1"/>
    <row r="63447" customFormat="1" ht="17.25" customHeight="1"/>
    <row r="63448" customFormat="1" ht="17.25" customHeight="1"/>
    <row r="63449" customFormat="1" ht="17.25" customHeight="1"/>
    <row r="63450" customFormat="1" ht="17.25" customHeight="1"/>
    <row r="63451" customFormat="1" ht="17.25" customHeight="1"/>
    <row r="63452" customFormat="1" ht="17.25" customHeight="1"/>
    <row r="63453" customFormat="1" ht="17.25" customHeight="1"/>
    <row r="63454" customFormat="1" ht="17.25" customHeight="1"/>
    <row r="63455" customFormat="1" ht="17.25" customHeight="1"/>
    <row r="63456" customFormat="1" ht="17.25" customHeight="1"/>
    <row r="63457" customFormat="1" ht="17.25" customHeight="1"/>
    <row r="63458" customFormat="1" ht="17.25" customHeight="1"/>
    <row r="63459" customFormat="1" ht="17.25" customHeight="1"/>
    <row r="63460" customFormat="1" ht="17.25" customHeight="1"/>
    <row r="63461" customFormat="1" ht="17.25" customHeight="1"/>
    <row r="63462" customFormat="1" ht="17.25" customHeight="1"/>
    <row r="63463" customFormat="1" ht="17.25" customHeight="1"/>
    <row r="63464" customFormat="1" ht="17.25" customHeight="1"/>
    <row r="63465" customFormat="1" ht="17.25" customHeight="1"/>
    <row r="63466" customFormat="1" ht="17.25" customHeight="1"/>
    <row r="63467" customFormat="1" ht="17.25" customHeight="1"/>
    <row r="63468" customFormat="1" ht="17.25" customHeight="1"/>
    <row r="63469" customFormat="1" ht="17.25" customHeight="1"/>
    <row r="63470" customFormat="1" ht="17.25" customHeight="1"/>
    <row r="63471" customFormat="1" ht="17.25" customHeight="1"/>
    <row r="63472" customFormat="1" ht="17.25" customHeight="1"/>
    <row r="63473" customFormat="1" ht="17.25" customHeight="1"/>
    <row r="63474" customFormat="1" ht="17.25" customHeight="1"/>
    <row r="63475" customFormat="1" ht="17.25" customHeight="1"/>
    <row r="63476" customFormat="1" ht="17.25" customHeight="1"/>
    <row r="63477" customFormat="1" ht="17.25" customHeight="1"/>
    <row r="63478" customFormat="1" ht="17.25" customHeight="1"/>
    <row r="63479" customFormat="1" ht="17.25" customHeight="1"/>
    <row r="63480" customFormat="1" ht="17.25" customHeight="1"/>
    <row r="63481" customFormat="1" ht="17.25" customHeight="1"/>
    <row r="63482" customFormat="1" ht="17.25" customHeight="1"/>
    <row r="63483" customFormat="1" ht="17.25" customHeight="1"/>
    <row r="63484" customFormat="1" ht="17.25" customHeight="1"/>
    <row r="63485" customFormat="1" ht="17.25" customHeight="1"/>
    <row r="63486" customFormat="1" ht="17.25" customHeight="1"/>
    <row r="63487" customFormat="1" ht="17.25" customHeight="1"/>
    <row r="63488" customFormat="1" ht="17.25" customHeight="1"/>
    <row r="63489" customFormat="1" ht="17.25" customHeight="1"/>
    <row r="63490" customFormat="1" ht="17.25" customHeight="1"/>
    <row r="63491" customFormat="1" ht="17.25" customHeight="1"/>
    <row r="63492" customFormat="1" ht="17.25" customHeight="1"/>
    <row r="63493" customFormat="1" ht="17.25" customHeight="1"/>
    <row r="63494" customFormat="1" ht="17.25" customHeight="1"/>
    <row r="63495" customFormat="1" ht="17.25" customHeight="1"/>
    <row r="63496" customFormat="1" ht="17.25" customHeight="1"/>
    <row r="63497" customFormat="1" ht="17.25" customHeight="1"/>
    <row r="63498" customFormat="1" ht="17.25" customHeight="1"/>
    <row r="63499" customFormat="1" ht="17.25" customHeight="1"/>
    <row r="63500" customFormat="1" ht="17.25" customHeight="1"/>
    <row r="63501" customFormat="1" ht="17.25" customHeight="1"/>
    <row r="63502" customFormat="1" ht="17.25" customHeight="1"/>
    <row r="63503" customFormat="1" ht="17.25" customHeight="1"/>
    <row r="63504" customFormat="1" ht="17.25" customHeight="1"/>
    <row r="63505" customFormat="1" ht="17.25" customHeight="1"/>
    <row r="63506" customFormat="1" ht="17.25" customHeight="1"/>
    <row r="63507" customFormat="1" ht="17.25" customHeight="1"/>
    <row r="63508" customFormat="1" ht="17.25" customHeight="1"/>
    <row r="63509" customFormat="1" ht="17.25" customHeight="1"/>
    <row r="63510" customFormat="1" ht="17.25" customHeight="1"/>
    <row r="63511" customFormat="1" ht="17.25" customHeight="1"/>
    <row r="63512" customFormat="1" ht="17.25" customHeight="1"/>
    <row r="63513" customFormat="1" ht="17.25" customHeight="1"/>
    <row r="63514" customFormat="1" ht="17.25" customHeight="1"/>
    <row r="63515" customFormat="1" ht="17.25" customHeight="1"/>
    <row r="63516" customFormat="1" ht="17.25" customHeight="1"/>
    <row r="63517" customFormat="1" ht="17.25" customHeight="1"/>
    <row r="63518" customFormat="1" ht="17.25" customHeight="1"/>
    <row r="63519" customFormat="1" ht="17.25" customHeight="1"/>
    <row r="63520" customFormat="1" ht="17.25" customHeight="1"/>
    <row r="63521" customFormat="1" ht="17.25" customHeight="1"/>
    <row r="63522" customFormat="1" ht="17.25" customHeight="1"/>
    <row r="63523" customFormat="1" ht="17.25" customHeight="1"/>
    <row r="63524" customFormat="1" ht="17.25" customHeight="1"/>
    <row r="63525" customFormat="1" ht="17.25" customHeight="1"/>
    <row r="63526" customFormat="1" ht="17.25" customHeight="1"/>
    <row r="63527" customFormat="1" ht="17.25" customHeight="1"/>
    <row r="63528" customFormat="1" ht="17.25" customHeight="1"/>
    <row r="63529" customFormat="1" ht="17.25" customHeight="1"/>
    <row r="63530" customFormat="1" ht="17.25" customHeight="1"/>
    <row r="63531" customFormat="1" ht="17.25" customHeight="1"/>
    <row r="63532" customFormat="1" ht="17.25" customHeight="1"/>
    <row r="63533" customFormat="1" ht="17.25" customHeight="1"/>
    <row r="63534" customFormat="1" ht="17.25" customHeight="1"/>
    <row r="63535" customFormat="1" ht="17.25" customHeight="1"/>
    <row r="63536" customFormat="1" ht="17.25" customHeight="1"/>
    <row r="63537" customFormat="1" ht="17.25" customHeight="1"/>
    <row r="63538" customFormat="1" ht="17.25" customHeight="1"/>
    <row r="63539" customFormat="1" ht="17.25" customHeight="1"/>
    <row r="63540" customFormat="1" ht="17.25" customHeight="1"/>
    <row r="63541" customFormat="1" ht="17.25" customHeight="1"/>
    <row r="63542" customFormat="1" ht="17.25" customHeight="1"/>
    <row r="63543" customFormat="1" ht="17.25" customHeight="1"/>
    <row r="63544" customFormat="1" ht="17.25" customHeight="1"/>
    <row r="63545" customFormat="1" ht="17.25" customHeight="1"/>
    <row r="63546" customFormat="1" ht="17.25" customHeight="1"/>
    <row r="63547" customFormat="1" ht="17.25" customHeight="1"/>
    <row r="63548" customFormat="1" ht="17.25" customHeight="1"/>
    <row r="63549" customFormat="1" ht="17.25" customHeight="1"/>
    <row r="63550" customFormat="1" ht="17.25" customHeight="1"/>
    <row r="63551" customFormat="1" ht="17.25" customHeight="1"/>
    <row r="63552" customFormat="1" ht="17.25" customHeight="1"/>
    <row r="63553" customFormat="1" ht="17.25" customHeight="1"/>
    <row r="63554" customFormat="1" ht="17.25" customHeight="1"/>
    <row r="63555" customFormat="1" ht="17.25" customHeight="1"/>
    <row r="63556" customFormat="1" ht="17.25" customHeight="1"/>
    <row r="63557" customFormat="1" ht="17.25" customHeight="1"/>
    <row r="63558" customFormat="1" ht="17.25" customHeight="1"/>
    <row r="63559" customFormat="1" ht="17.25" customHeight="1"/>
    <row r="63560" customFormat="1" ht="17.25" customHeight="1"/>
    <row r="63561" customFormat="1" ht="17.25" customHeight="1"/>
    <row r="63562" customFormat="1" ht="17.25" customHeight="1"/>
    <row r="63563" customFormat="1" ht="17.25" customHeight="1"/>
    <row r="63564" customFormat="1" ht="17.25" customHeight="1"/>
    <row r="63565" customFormat="1" ht="17.25" customHeight="1"/>
    <row r="63566" customFormat="1" ht="17.25" customHeight="1"/>
    <row r="63567" customFormat="1" ht="17.25" customHeight="1"/>
    <row r="63568" customFormat="1" ht="17.25" customHeight="1"/>
    <row r="63569" customFormat="1" ht="17.25" customHeight="1"/>
    <row r="63570" customFormat="1" ht="17.25" customHeight="1"/>
    <row r="63571" customFormat="1" ht="17.25" customHeight="1"/>
    <row r="63572" customFormat="1" ht="17.25" customHeight="1"/>
    <row r="63573" customFormat="1" ht="17.25" customHeight="1"/>
    <row r="63574" customFormat="1" ht="17.25" customHeight="1"/>
    <row r="63575" customFormat="1" ht="17.25" customHeight="1"/>
    <row r="63576" customFormat="1" ht="17.25" customHeight="1"/>
    <row r="63577" customFormat="1" ht="17.25" customHeight="1"/>
    <row r="63578" customFormat="1" ht="17.25" customHeight="1"/>
    <row r="63579" customFormat="1" ht="17.25" customHeight="1"/>
    <row r="63580" customFormat="1" ht="17.25" customHeight="1"/>
    <row r="63581" customFormat="1" ht="17.25" customHeight="1"/>
    <row r="63582" customFormat="1" ht="17.25" customHeight="1"/>
    <row r="63583" customFormat="1" ht="17.25" customHeight="1"/>
    <row r="63584" customFormat="1" ht="17.25" customHeight="1"/>
    <row r="63585" customFormat="1" ht="17.25" customHeight="1"/>
    <row r="63586" customFormat="1" ht="17.25" customHeight="1"/>
    <row r="63587" customFormat="1" ht="17.25" customHeight="1"/>
    <row r="63588" customFormat="1" ht="17.25" customHeight="1"/>
    <row r="63589" customFormat="1" ht="17.25" customHeight="1"/>
    <row r="63590" customFormat="1" ht="17.25" customHeight="1"/>
    <row r="63591" customFormat="1" ht="17.25" customHeight="1"/>
    <row r="63592" customFormat="1" ht="17.25" customHeight="1"/>
    <row r="63593" customFormat="1" ht="17.25" customHeight="1"/>
    <row r="63594" customFormat="1" ht="17.25" customHeight="1"/>
    <row r="63595" customFormat="1" ht="17.25" customHeight="1"/>
    <row r="63596" customFormat="1" ht="17.25" customHeight="1"/>
    <row r="63597" customFormat="1" ht="17.25" customHeight="1"/>
    <row r="63598" customFormat="1" ht="17.25" customHeight="1"/>
    <row r="63599" customFormat="1" ht="17.25" customHeight="1"/>
    <row r="63600" customFormat="1" ht="17.25" customHeight="1"/>
    <row r="63601" customFormat="1" ht="17.25" customHeight="1"/>
    <row r="63602" customFormat="1" ht="17.25" customHeight="1"/>
    <row r="63603" customFormat="1" ht="17.25" customHeight="1"/>
    <row r="63604" customFormat="1" ht="17.25" customHeight="1"/>
    <row r="63605" customFormat="1" ht="17.25" customHeight="1"/>
    <row r="63606" customFormat="1" ht="17.25" customHeight="1"/>
    <row r="63607" customFormat="1" ht="17.25" customHeight="1"/>
    <row r="63608" customFormat="1" ht="17.25" customHeight="1"/>
    <row r="63609" customFormat="1" ht="17.25" customHeight="1"/>
    <row r="63610" customFormat="1" ht="17.25" customHeight="1"/>
    <row r="63611" customFormat="1" ht="17.25" customHeight="1"/>
    <row r="63612" customFormat="1" ht="17.25" customHeight="1"/>
    <row r="63613" customFormat="1" ht="17.25" customHeight="1"/>
    <row r="63614" customFormat="1" ht="17.25" customHeight="1"/>
    <row r="63615" customFormat="1" ht="17.25" customHeight="1"/>
    <row r="63616" customFormat="1" ht="17.25" customHeight="1"/>
    <row r="63617" customFormat="1" ht="17.25" customHeight="1"/>
    <row r="63618" customFormat="1" ht="17.25" customHeight="1"/>
    <row r="63619" customFormat="1" ht="17.25" customHeight="1"/>
    <row r="63620" customFormat="1" ht="17.25" customHeight="1"/>
    <row r="63621" customFormat="1" ht="17.25" customHeight="1"/>
    <row r="63622" customFormat="1" ht="17.25" customHeight="1"/>
    <row r="63623" customFormat="1" ht="17.25" customHeight="1"/>
    <row r="63624" customFormat="1" ht="17.25" customHeight="1"/>
    <row r="63625" customFormat="1" ht="17.25" customHeight="1"/>
    <row r="63626" customFormat="1" ht="17.25" customHeight="1"/>
    <row r="63627" customFormat="1" ht="17.25" customHeight="1"/>
    <row r="63628" customFormat="1" ht="17.25" customHeight="1"/>
    <row r="63629" customFormat="1" ht="17.25" customHeight="1"/>
    <row r="63630" customFormat="1" ht="17.25" customHeight="1"/>
    <row r="63631" customFormat="1" ht="17.25" customHeight="1"/>
    <row r="63632" customFormat="1" ht="17.25" customHeight="1"/>
    <row r="63633" customFormat="1" ht="17.25" customHeight="1"/>
    <row r="63634" customFormat="1" ht="17.25" customHeight="1"/>
    <row r="63635" customFormat="1" ht="17.25" customHeight="1"/>
    <row r="63636" customFormat="1" ht="17.25" customHeight="1"/>
    <row r="63637" customFormat="1" ht="17.25" customHeight="1"/>
    <row r="63638" customFormat="1" ht="17.25" customHeight="1"/>
    <row r="63639" customFormat="1" ht="17.25" customHeight="1"/>
    <row r="63640" customFormat="1" ht="17.25" customHeight="1"/>
    <row r="63641" customFormat="1" ht="17.25" customHeight="1"/>
    <row r="63642" customFormat="1" ht="17.25" customHeight="1"/>
    <row r="63643" customFormat="1" ht="17.25" customHeight="1"/>
    <row r="63644" customFormat="1" ht="17.25" customHeight="1"/>
    <row r="63645" customFormat="1" ht="17.25" customHeight="1"/>
    <row r="63646" customFormat="1" ht="17.25" customHeight="1"/>
    <row r="63647" customFormat="1" ht="17.25" customHeight="1"/>
    <row r="63648" customFormat="1" ht="17.25" customHeight="1"/>
    <row r="63649" customFormat="1" ht="17.25" customHeight="1"/>
    <row r="63650" customFormat="1" ht="17.25" customHeight="1"/>
    <row r="63651" customFormat="1" ht="17.25" customHeight="1"/>
    <row r="63652" customFormat="1" ht="17.25" customHeight="1"/>
    <row r="63653" customFormat="1" ht="17.25" customHeight="1"/>
    <row r="63654" customFormat="1" ht="17.25" customHeight="1"/>
    <row r="63655" customFormat="1" ht="17.25" customHeight="1"/>
    <row r="63656" customFormat="1" ht="17.25" customHeight="1"/>
    <row r="63657" customFormat="1" ht="17.25" customHeight="1"/>
    <row r="63658" customFormat="1" ht="17.25" customHeight="1"/>
    <row r="63659" customFormat="1" ht="17.25" customHeight="1"/>
    <row r="63660" customFormat="1" ht="17.25" customHeight="1"/>
    <row r="63661" customFormat="1" ht="17.25" customHeight="1"/>
    <row r="63662" customFormat="1" ht="17.25" customHeight="1"/>
    <row r="63663" customFormat="1" ht="17.25" customHeight="1"/>
    <row r="63664" customFormat="1" ht="17.25" customHeight="1"/>
    <row r="63665" customFormat="1" ht="17.25" customHeight="1"/>
    <row r="63666" customFormat="1" ht="17.25" customHeight="1"/>
    <row r="63667" customFormat="1" ht="17.25" customHeight="1"/>
    <row r="63668" customFormat="1" ht="17.25" customHeight="1"/>
    <row r="63669" customFormat="1" ht="17.25" customHeight="1"/>
    <row r="63670" customFormat="1" ht="17.25" customHeight="1"/>
    <row r="63671" customFormat="1" ht="17.25" customHeight="1"/>
    <row r="63672" customFormat="1" ht="17.25" customHeight="1"/>
    <row r="63673" customFormat="1" ht="17.25" customHeight="1"/>
    <row r="63674" customFormat="1" ht="17.25" customHeight="1"/>
    <row r="63675" customFormat="1" ht="17.25" customHeight="1"/>
    <row r="63676" customFormat="1" ht="17.25" customHeight="1"/>
    <row r="63677" customFormat="1" ht="17.25" customHeight="1"/>
    <row r="63678" customFormat="1" ht="17.25" customHeight="1"/>
    <row r="63679" customFormat="1" ht="17.25" customHeight="1"/>
    <row r="63680" customFormat="1" ht="17.25" customHeight="1"/>
    <row r="63681" customFormat="1" ht="17.25" customHeight="1"/>
    <row r="63682" customFormat="1" ht="17.25" customHeight="1"/>
    <row r="63683" customFormat="1" ht="17.25" customHeight="1"/>
    <row r="63684" customFormat="1" ht="17.25" customHeight="1"/>
    <row r="63685" customFormat="1" ht="17.25" customHeight="1"/>
    <row r="63686" customFormat="1" ht="17.25" customHeight="1"/>
    <row r="63687" customFormat="1" ht="17.25" customHeight="1"/>
    <row r="63688" customFormat="1" ht="17.25" customHeight="1"/>
    <row r="63689" customFormat="1" ht="17.25" customHeight="1"/>
    <row r="63690" customFormat="1" ht="17.25" customHeight="1"/>
    <row r="63691" customFormat="1" ht="17.25" customHeight="1"/>
    <row r="63692" customFormat="1" ht="17.25" customHeight="1"/>
    <row r="63693" customFormat="1" ht="17.25" customHeight="1"/>
    <row r="63694" customFormat="1" ht="17.25" customHeight="1"/>
    <row r="63695" customFormat="1" ht="17.25" customHeight="1"/>
    <row r="63696" customFormat="1" ht="17.25" customHeight="1"/>
    <row r="63697" customFormat="1" ht="17.25" customHeight="1"/>
    <row r="63698" customFormat="1" ht="17.25" customHeight="1"/>
    <row r="63699" customFormat="1" ht="17.25" customHeight="1"/>
    <row r="63700" customFormat="1" ht="17.25" customHeight="1"/>
    <row r="63701" customFormat="1" ht="17.25" customHeight="1"/>
    <row r="63702" customFormat="1" ht="17.25" customHeight="1"/>
    <row r="63703" customFormat="1" ht="17.25" customHeight="1"/>
    <row r="63704" customFormat="1" ht="17.25" customHeight="1"/>
    <row r="63705" customFormat="1" ht="17.25" customHeight="1"/>
    <row r="63706" customFormat="1" ht="17.25" customHeight="1"/>
    <row r="63707" customFormat="1" ht="17.25" customHeight="1"/>
    <row r="63708" customFormat="1" ht="17.25" customHeight="1"/>
    <row r="63709" customFormat="1" ht="17.25" customHeight="1"/>
    <row r="63710" customFormat="1" ht="17.25" customHeight="1"/>
    <row r="63711" customFormat="1" ht="17.25" customHeight="1"/>
    <row r="63712" customFormat="1" ht="17.25" customHeight="1"/>
    <row r="63713" customFormat="1" ht="17.25" customHeight="1"/>
    <row r="63714" customFormat="1" ht="17.25" customHeight="1"/>
    <row r="63715" customFormat="1" ht="17.25" customHeight="1"/>
    <row r="63716" customFormat="1" ht="17.25" customHeight="1"/>
    <row r="63717" customFormat="1" ht="17.25" customHeight="1"/>
    <row r="63718" customFormat="1" ht="17.25" customHeight="1"/>
    <row r="63719" customFormat="1" ht="17.25" customHeight="1"/>
    <row r="63720" customFormat="1" ht="17.25" customHeight="1"/>
    <row r="63721" customFormat="1" ht="17.25" customHeight="1"/>
    <row r="63722" customFormat="1" ht="17.25" customHeight="1"/>
    <row r="63723" customFormat="1" ht="17.25" customHeight="1"/>
    <row r="63724" customFormat="1" ht="17.25" customHeight="1"/>
    <row r="63725" customFormat="1" ht="17.25" customHeight="1"/>
    <row r="63726" customFormat="1" ht="17.25" customHeight="1"/>
    <row r="63727" customFormat="1" ht="17.25" customHeight="1"/>
    <row r="63728" customFormat="1" ht="17.25" customHeight="1"/>
    <row r="63729" customFormat="1" ht="17.25" customHeight="1"/>
    <row r="63730" customFormat="1" ht="17.25" customHeight="1"/>
    <row r="63731" customFormat="1" ht="17.25" customHeight="1"/>
    <row r="63732" customFormat="1" ht="17.25" customHeight="1"/>
    <row r="63733" customFormat="1" ht="17.25" customHeight="1"/>
    <row r="63734" customFormat="1" ht="17.25" customHeight="1"/>
    <row r="63735" customFormat="1" ht="17.25" customHeight="1"/>
    <row r="63736" customFormat="1" ht="17.25" customHeight="1"/>
    <row r="63737" customFormat="1" ht="17.25" customHeight="1"/>
    <row r="63738" customFormat="1" ht="17.25" customHeight="1"/>
    <row r="63739" customFormat="1" ht="17.25" customHeight="1"/>
    <row r="63740" customFormat="1" ht="17.25" customHeight="1"/>
    <row r="63741" customFormat="1" ht="17.25" customHeight="1"/>
    <row r="63742" customFormat="1" ht="17.25" customHeight="1"/>
    <row r="63743" customFormat="1" ht="17.25" customHeight="1"/>
    <row r="63744" customFormat="1" ht="17.25" customHeight="1"/>
    <row r="63745" customFormat="1" ht="17.25" customHeight="1"/>
    <row r="63746" customFormat="1" ht="17.25" customHeight="1"/>
    <row r="63747" customFormat="1" ht="17.25" customHeight="1"/>
    <row r="63748" customFormat="1" ht="17.25" customHeight="1"/>
    <row r="63749" customFormat="1" ht="17.25" customHeight="1"/>
    <row r="63750" customFormat="1" ht="17.25" customHeight="1"/>
    <row r="63751" customFormat="1" ht="17.25" customHeight="1"/>
    <row r="63752" customFormat="1" ht="17.25" customHeight="1"/>
    <row r="63753" customFormat="1" ht="17.25" customHeight="1"/>
    <row r="63754" customFormat="1" ht="17.25" customHeight="1"/>
    <row r="63755" customFormat="1" ht="17.25" customHeight="1"/>
    <row r="63756" customFormat="1" ht="17.25" customHeight="1"/>
    <row r="63757" customFormat="1" ht="17.25" customHeight="1"/>
    <row r="63758" customFormat="1" ht="17.25" customHeight="1"/>
    <row r="63759" customFormat="1" ht="17.25" customHeight="1"/>
    <row r="63760" customFormat="1" ht="17.25" customHeight="1"/>
    <row r="63761" customFormat="1" ht="17.25" customHeight="1"/>
    <row r="63762" customFormat="1" ht="17.25" customHeight="1"/>
    <row r="63763" customFormat="1" ht="17.25" customHeight="1"/>
    <row r="63764" customFormat="1" ht="17.25" customHeight="1"/>
    <row r="63765" customFormat="1" ht="17.25" customHeight="1"/>
    <row r="63766" customFormat="1" ht="17.25" customHeight="1"/>
    <row r="63767" customFormat="1" ht="17.25" customHeight="1"/>
    <row r="63768" customFormat="1" ht="17.25" customHeight="1"/>
    <row r="63769" customFormat="1" ht="17.25" customHeight="1"/>
    <row r="63770" customFormat="1" ht="17.25" customHeight="1"/>
    <row r="63771" customFormat="1" ht="17.25" customHeight="1"/>
    <row r="63772" customFormat="1" ht="17.25" customHeight="1"/>
    <row r="63773" customFormat="1" ht="17.25" customHeight="1"/>
    <row r="63774" customFormat="1" ht="17.25" customHeight="1"/>
    <row r="63775" customFormat="1" ht="17.25" customHeight="1"/>
    <row r="63776" customFormat="1" ht="17.25" customHeight="1"/>
    <row r="63777" customFormat="1" ht="17.25" customHeight="1"/>
    <row r="63778" customFormat="1" ht="17.25" customHeight="1"/>
    <row r="63779" customFormat="1" ht="17.25" customHeight="1"/>
    <row r="63780" customFormat="1" ht="17.25" customHeight="1"/>
    <row r="63781" customFormat="1" ht="17.25" customHeight="1"/>
    <row r="63782" customFormat="1" ht="17.25" customHeight="1"/>
    <row r="63783" customFormat="1" ht="17.25" customHeight="1"/>
    <row r="63784" customFormat="1" ht="17.25" customHeight="1"/>
    <row r="63785" customFormat="1" ht="17.25" customHeight="1"/>
    <row r="63786" customFormat="1" ht="17.25" customHeight="1"/>
    <row r="63787" customFormat="1" ht="17.25" customHeight="1"/>
    <row r="63788" customFormat="1" ht="17.25" customHeight="1"/>
    <row r="63789" customFormat="1" ht="17.25" customHeight="1"/>
    <row r="63790" customFormat="1" ht="17.25" customHeight="1"/>
    <row r="63791" customFormat="1" ht="17.25" customHeight="1"/>
    <row r="63792" customFormat="1" ht="17.25" customHeight="1"/>
    <row r="63793" customFormat="1" ht="17.25" customHeight="1"/>
    <row r="63794" customFormat="1" ht="17.25" customHeight="1"/>
    <row r="63795" customFormat="1" ht="17.25" customHeight="1"/>
    <row r="63796" customFormat="1" ht="17.25" customHeight="1"/>
    <row r="63797" customFormat="1" ht="17.25" customHeight="1"/>
    <row r="63798" customFormat="1" ht="17.25" customHeight="1"/>
    <row r="63799" customFormat="1" ht="17.25" customHeight="1"/>
    <row r="63800" customFormat="1" ht="17.25" customHeight="1"/>
    <row r="63801" customFormat="1" ht="17.25" customHeight="1"/>
    <row r="63802" customFormat="1" ht="17.25" customHeight="1"/>
    <row r="63803" customFormat="1" ht="17.25" customHeight="1"/>
    <row r="63804" customFormat="1" ht="17.25" customHeight="1"/>
    <row r="63805" customFormat="1" ht="17.25" customHeight="1"/>
    <row r="63806" customFormat="1" ht="17.25" customHeight="1"/>
    <row r="63807" customFormat="1" ht="17.25" customHeight="1"/>
    <row r="63808" customFormat="1" ht="17.25" customHeight="1"/>
    <row r="63809" customFormat="1" ht="17.25" customHeight="1"/>
    <row r="63810" customFormat="1" ht="17.25" customHeight="1"/>
    <row r="63811" customFormat="1" ht="17.25" customHeight="1"/>
    <row r="63812" customFormat="1" ht="17.25" customHeight="1"/>
    <row r="63813" customFormat="1" ht="17.25" customHeight="1"/>
    <row r="63814" customFormat="1" ht="17.25" customHeight="1"/>
    <row r="63815" customFormat="1" ht="17.25" customHeight="1"/>
    <row r="63816" customFormat="1" ht="17.25" customHeight="1"/>
    <row r="63817" customFormat="1" ht="17.25" customHeight="1"/>
    <row r="63818" customFormat="1" ht="17.25" customHeight="1"/>
    <row r="63819" customFormat="1" ht="17.25" customHeight="1"/>
    <row r="63820" customFormat="1" ht="17.25" customHeight="1"/>
    <row r="63821" customFormat="1" ht="17.25" customHeight="1"/>
    <row r="63822" customFormat="1" ht="17.25" customHeight="1"/>
    <row r="63823" customFormat="1" ht="17.25" customHeight="1"/>
    <row r="63824" customFormat="1" ht="17.25" customHeight="1"/>
    <row r="63825" customFormat="1" ht="17.25" customHeight="1"/>
    <row r="63826" customFormat="1" ht="17.25" customHeight="1"/>
    <row r="63827" customFormat="1" ht="17.25" customHeight="1"/>
    <row r="63828" customFormat="1" ht="17.25" customHeight="1"/>
    <row r="63829" customFormat="1" ht="17.25" customHeight="1"/>
    <row r="63830" customFormat="1" ht="17.25" customHeight="1"/>
    <row r="63831" customFormat="1" ht="17.25" customHeight="1"/>
    <row r="63832" customFormat="1" ht="17.25" customHeight="1"/>
    <row r="63833" customFormat="1" ht="17.25" customHeight="1"/>
    <row r="63834" customFormat="1" ht="17.25" customHeight="1"/>
    <row r="63835" customFormat="1" ht="17.25" customHeight="1"/>
    <row r="63836" customFormat="1" ht="17.25" customHeight="1"/>
    <row r="63837" customFormat="1" ht="17.25" customHeight="1"/>
    <row r="63838" customFormat="1" ht="17.25" customHeight="1"/>
    <row r="63839" customFormat="1" ht="17.25" customHeight="1"/>
    <row r="63840" customFormat="1" ht="17.25" customHeight="1"/>
    <row r="63841" customFormat="1" ht="17.25" customHeight="1"/>
    <row r="63842" customFormat="1" ht="17.25" customHeight="1"/>
    <row r="63843" customFormat="1" ht="17.25" customHeight="1"/>
    <row r="63844" customFormat="1" ht="17.25" customHeight="1"/>
    <row r="63845" customFormat="1" ht="17.25" customHeight="1"/>
    <row r="63846" customFormat="1" ht="17.25" customHeight="1"/>
    <row r="63847" customFormat="1" ht="17.25" customHeight="1"/>
    <row r="63848" customFormat="1" ht="17.25" customHeight="1"/>
    <row r="63849" customFormat="1" ht="17.25" customHeight="1"/>
    <row r="63850" customFormat="1" ht="17.25" customHeight="1"/>
    <row r="63851" customFormat="1" ht="17.25" customHeight="1"/>
    <row r="63852" customFormat="1" ht="17.25" customHeight="1"/>
    <row r="63853" customFormat="1" ht="17.25" customHeight="1"/>
    <row r="63854" customFormat="1" ht="17.25" customHeight="1"/>
    <row r="63855" customFormat="1" ht="17.25" customHeight="1"/>
    <row r="63856" customFormat="1" ht="17.25" customHeight="1"/>
    <row r="63857" customFormat="1" ht="17.25" customHeight="1"/>
    <row r="63858" customFormat="1" ht="17.25" customHeight="1"/>
    <row r="63859" customFormat="1" ht="17.25" customHeight="1"/>
    <row r="63860" customFormat="1" ht="17.25" customHeight="1"/>
    <row r="63861" customFormat="1" ht="17.25" customHeight="1"/>
    <row r="63862" customFormat="1" ht="17.25" customHeight="1"/>
    <row r="63863" customFormat="1" ht="17.25" customHeight="1"/>
    <row r="63864" customFormat="1" ht="17.25" customHeight="1"/>
    <row r="63865" customFormat="1" ht="17.25" customHeight="1"/>
    <row r="63866" customFormat="1" ht="17.25" customHeight="1"/>
    <row r="63867" customFormat="1" ht="17.25" customHeight="1"/>
    <row r="63868" customFormat="1" ht="17.25" customHeight="1"/>
    <row r="63869" customFormat="1" ht="17.25" customHeight="1"/>
    <row r="63870" customFormat="1" ht="17.25" customHeight="1"/>
    <row r="63871" customFormat="1" ht="17.25" customHeight="1"/>
    <row r="63872" customFormat="1" ht="17.25" customHeight="1"/>
    <row r="63873" customFormat="1" ht="17.25" customHeight="1"/>
    <row r="63874" customFormat="1" ht="17.25" customHeight="1"/>
    <row r="63875" customFormat="1" ht="17.25" customHeight="1"/>
    <row r="63876" customFormat="1" ht="17.25" customHeight="1"/>
    <row r="63877" customFormat="1" ht="17.25" customHeight="1"/>
    <row r="63878" customFormat="1" ht="17.25" customHeight="1"/>
    <row r="63879" customFormat="1" ht="17.25" customHeight="1"/>
    <row r="63880" customFormat="1" ht="17.25" customHeight="1"/>
    <row r="63881" customFormat="1" ht="17.25" customHeight="1"/>
    <row r="63882" customFormat="1" ht="17.25" customHeight="1"/>
    <row r="63883" customFormat="1" ht="17.25" customHeight="1"/>
    <row r="63884" customFormat="1" ht="17.25" customHeight="1"/>
    <row r="63885" customFormat="1" ht="17.25" customHeight="1"/>
    <row r="63886" customFormat="1" ht="17.25" customHeight="1"/>
    <row r="63887" customFormat="1" ht="17.25" customHeight="1"/>
    <row r="63888" customFormat="1" ht="17.25" customHeight="1"/>
    <row r="63889" customFormat="1" ht="17.25" customHeight="1"/>
    <row r="63890" customFormat="1" ht="17.25" customHeight="1"/>
    <row r="63891" customFormat="1" ht="17.25" customHeight="1"/>
    <row r="63892" customFormat="1" ht="17.25" customHeight="1"/>
    <row r="63893" customFormat="1" ht="17.25" customHeight="1"/>
    <row r="63894" customFormat="1" ht="17.25" customHeight="1"/>
    <row r="63895" customFormat="1" ht="17.25" customHeight="1"/>
    <row r="63896" customFormat="1" ht="17.25" customHeight="1"/>
    <row r="63897" customFormat="1" ht="17.25" customHeight="1"/>
    <row r="63898" customFormat="1" ht="17.25" customHeight="1"/>
    <row r="63899" customFormat="1" ht="17.25" customHeight="1"/>
    <row r="63900" customFormat="1" ht="17.25" customHeight="1"/>
    <row r="63901" customFormat="1" ht="17.25" customHeight="1"/>
    <row r="63902" customFormat="1" ht="17.25" customHeight="1"/>
    <row r="63903" customFormat="1" ht="17.25" customHeight="1"/>
    <row r="63904" customFormat="1" ht="17.25" customHeight="1"/>
    <row r="63905" customFormat="1" ht="17.25" customHeight="1"/>
    <row r="63906" customFormat="1" ht="17.25" customHeight="1"/>
    <row r="63907" customFormat="1" ht="17.25" customHeight="1"/>
    <row r="63908" customFormat="1" ht="17.25" customHeight="1"/>
    <row r="63909" customFormat="1" ht="17.25" customHeight="1"/>
    <row r="63910" customFormat="1" ht="17.25" customHeight="1"/>
    <row r="63911" customFormat="1" ht="17.25" customHeight="1"/>
    <row r="63912" customFormat="1" ht="17.25" customHeight="1"/>
    <row r="63913" customFormat="1" ht="17.25" customHeight="1"/>
    <row r="63914" customFormat="1" ht="17.25" customHeight="1"/>
    <row r="63915" customFormat="1" ht="17.25" customHeight="1"/>
    <row r="63916" customFormat="1" ht="17.25" customHeight="1"/>
    <row r="63917" customFormat="1" ht="17.25" customHeight="1"/>
    <row r="63918" customFormat="1" ht="17.25" customHeight="1"/>
    <row r="63919" customFormat="1" ht="17.25" customHeight="1"/>
    <row r="63920" customFormat="1" ht="17.25" customHeight="1"/>
    <row r="63921" customFormat="1" ht="17.25" customHeight="1"/>
    <row r="63922" customFormat="1" ht="17.25" customHeight="1"/>
    <row r="63923" customFormat="1" ht="17.25" customHeight="1"/>
    <row r="63924" customFormat="1" ht="17.25" customHeight="1"/>
    <row r="63925" customFormat="1" ht="17.25" customHeight="1"/>
    <row r="63926" customFormat="1" ht="17.25" customHeight="1"/>
    <row r="63927" customFormat="1" ht="17.25" customHeight="1"/>
    <row r="63928" customFormat="1" ht="17.25" customHeight="1"/>
    <row r="63929" customFormat="1" ht="17.25" customHeight="1"/>
    <row r="63930" customFormat="1" ht="17.25" customHeight="1"/>
    <row r="63931" customFormat="1" ht="17.25" customHeight="1"/>
    <row r="63932" customFormat="1" ht="17.25" customHeight="1"/>
    <row r="63933" customFormat="1" ht="17.25" customHeight="1"/>
    <row r="63934" customFormat="1" ht="17.25" customHeight="1"/>
    <row r="63935" customFormat="1" ht="17.25" customHeight="1"/>
    <row r="63936" customFormat="1" ht="17.25" customHeight="1"/>
    <row r="63937" customFormat="1" ht="17.25" customHeight="1"/>
    <row r="63938" customFormat="1" ht="17.25" customHeight="1"/>
    <row r="63939" customFormat="1" ht="17.25" customHeight="1"/>
    <row r="63940" customFormat="1" ht="17.25" customHeight="1"/>
    <row r="63941" customFormat="1" ht="17.25" customHeight="1"/>
    <row r="63942" customFormat="1" ht="17.25" customHeight="1"/>
    <row r="63943" customFormat="1" ht="17.25" customHeight="1"/>
    <row r="63944" customFormat="1" ht="17.25" customHeight="1"/>
    <row r="63945" customFormat="1" ht="17.25" customHeight="1"/>
    <row r="63946" customFormat="1" ht="17.25" customHeight="1"/>
    <row r="63947" customFormat="1" ht="17.25" customHeight="1"/>
    <row r="63948" customFormat="1" ht="17.25" customHeight="1"/>
    <row r="63949" customFormat="1" ht="17.25" customHeight="1"/>
    <row r="63950" customFormat="1" ht="17.25" customHeight="1"/>
    <row r="63951" customFormat="1" ht="17.25" customHeight="1"/>
    <row r="63952" customFormat="1" ht="17.25" customHeight="1"/>
    <row r="63953" customFormat="1" ht="17.25" customHeight="1"/>
    <row r="63954" customFormat="1" ht="17.25" customHeight="1"/>
    <row r="63955" customFormat="1" ht="17.25" customHeight="1"/>
    <row r="63956" customFormat="1" ht="17.25" customHeight="1"/>
    <row r="63957" customFormat="1" ht="17.25" customHeight="1"/>
    <row r="63958" customFormat="1" ht="17.25" customHeight="1"/>
    <row r="63959" customFormat="1" ht="17.25" customHeight="1"/>
    <row r="63960" customFormat="1" ht="17.25" customHeight="1"/>
    <row r="63961" customFormat="1" ht="17.25" customHeight="1"/>
    <row r="63962" customFormat="1" ht="17.25" customHeight="1"/>
    <row r="63963" customFormat="1" ht="17.25" customHeight="1"/>
    <row r="63964" customFormat="1" ht="17.25" customHeight="1"/>
    <row r="63965" customFormat="1" ht="17.25" customHeight="1"/>
    <row r="63966" customFormat="1" ht="17.25" customHeight="1"/>
    <row r="63967" customFormat="1" ht="17.25" customHeight="1"/>
    <row r="63968" customFormat="1" ht="17.25" customHeight="1"/>
    <row r="63969" customFormat="1" ht="17.25" customHeight="1"/>
    <row r="63970" customFormat="1" ht="17.25" customHeight="1"/>
    <row r="63971" customFormat="1" ht="17.25" customHeight="1"/>
    <row r="63972" customFormat="1" ht="17.25" customHeight="1"/>
    <row r="63973" customFormat="1" ht="17.25" customHeight="1"/>
    <row r="63974" customFormat="1" ht="17.25" customHeight="1"/>
    <row r="63975" customFormat="1" ht="17.25" customHeight="1"/>
    <row r="63976" customFormat="1" ht="17.25" customHeight="1"/>
    <row r="63977" customFormat="1" ht="17.25" customHeight="1"/>
    <row r="63978" customFormat="1" ht="17.25" customHeight="1"/>
    <row r="63979" customFormat="1" ht="17.25" customHeight="1"/>
    <row r="63980" customFormat="1" ht="17.25" customHeight="1"/>
    <row r="63981" customFormat="1" ht="17.25" customHeight="1"/>
    <row r="63982" customFormat="1" ht="17.25" customHeight="1"/>
    <row r="63983" customFormat="1" ht="17.25" customHeight="1"/>
    <row r="63984" customFormat="1" ht="17.25" customHeight="1"/>
    <row r="63985" customFormat="1" ht="17.25" customHeight="1"/>
    <row r="63986" customFormat="1" ht="17.25" customHeight="1"/>
    <row r="63987" customFormat="1" ht="17.25" customHeight="1"/>
    <row r="63988" customFormat="1" ht="17.25" customHeight="1"/>
    <row r="63989" customFormat="1" ht="17.25" customHeight="1"/>
    <row r="63990" customFormat="1" ht="17.25" customHeight="1"/>
    <row r="63991" customFormat="1" ht="17.25" customHeight="1"/>
    <row r="63992" customFormat="1" ht="17.25" customHeight="1"/>
    <row r="63993" customFormat="1" ht="17.25" customHeight="1"/>
    <row r="63994" customFormat="1" ht="17.25" customHeight="1"/>
    <row r="63995" customFormat="1" ht="17.25" customHeight="1"/>
    <row r="63996" customFormat="1" ht="17.25" customHeight="1"/>
    <row r="63997" customFormat="1" ht="17.25" customHeight="1"/>
    <row r="63998" customFormat="1" ht="17.25" customHeight="1"/>
    <row r="63999" customFormat="1" ht="17.25" customHeight="1"/>
    <row r="64000" customFormat="1" ht="17.25" customHeight="1"/>
    <row r="64001" customFormat="1" ht="17.25" customHeight="1"/>
    <row r="64002" customFormat="1" ht="17.25" customHeight="1"/>
    <row r="64003" customFormat="1" ht="17.25" customHeight="1"/>
    <row r="64004" customFormat="1" ht="17.25" customHeight="1"/>
    <row r="64005" customFormat="1" ht="17.25" customHeight="1"/>
    <row r="64006" customFormat="1" ht="17.25" customHeight="1"/>
    <row r="64007" customFormat="1" ht="17.25" customHeight="1"/>
    <row r="64008" customFormat="1" ht="17.25" customHeight="1"/>
    <row r="64009" customFormat="1" ht="17.25" customHeight="1"/>
    <row r="64010" customFormat="1" ht="17.25" customHeight="1"/>
    <row r="64011" customFormat="1" ht="17.25" customHeight="1"/>
    <row r="64012" customFormat="1" ht="17.25" customHeight="1"/>
    <row r="64013" customFormat="1" ht="17.25" customHeight="1"/>
    <row r="64014" customFormat="1" ht="17.25" customHeight="1"/>
    <row r="64015" customFormat="1" ht="17.25" customHeight="1"/>
    <row r="64016" customFormat="1" ht="17.25" customHeight="1"/>
    <row r="64017" customFormat="1" ht="17.25" customHeight="1"/>
    <row r="64018" customFormat="1" ht="17.25" customHeight="1"/>
    <row r="64019" customFormat="1" ht="17.25" customHeight="1"/>
    <row r="64020" customFormat="1" ht="17.25" customHeight="1"/>
    <row r="64021" customFormat="1" ht="17.25" customHeight="1"/>
    <row r="64022" customFormat="1" ht="17.25" customHeight="1"/>
    <row r="64023" customFormat="1" ht="17.25" customHeight="1"/>
    <row r="64024" customFormat="1" ht="17.25" customHeight="1"/>
    <row r="64025" customFormat="1" ht="17.25" customHeight="1"/>
    <row r="64026" customFormat="1" ht="17.25" customHeight="1"/>
    <row r="64027" customFormat="1" ht="17.25" customHeight="1"/>
    <row r="64028" customFormat="1" ht="17.25" customHeight="1"/>
    <row r="64029" customFormat="1" ht="17.25" customHeight="1"/>
    <row r="64030" customFormat="1" ht="17.25" customHeight="1"/>
    <row r="64031" customFormat="1" ht="17.25" customHeight="1"/>
    <row r="64032" customFormat="1" ht="17.25" customHeight="1"/>
    <row r="64033" customFormat="1" ht="17.25" customHeight="1"/>
    <row r="64034" customFormat="1" ht="17.25" customHeight="1"/>
    <row r="64035" customFormat="1" ht="17.25" customHeight="1"/>
    <row r="64036" customFormat="1" ht="17.25" customHeight="1"/>
    <row r="64037" customFormat="1" ht="17.25" customHeight="1"/>
    <row r="64038" customFormat="1" ht="17.25" customHeight="1"/>
    <row r="64039" customFormat="1" ht="17.25" customHeight="1"/>
    <row r="64040" customFormat="1" ht="17.25" customHeight="1"/>
    <row r="64041" customFormat="1" ht="17.25" customHeight="1"/>
    <row r="64042" customFormat="1" ht="17.25" customHeight="1"/>
    <row r="64043" customFormat="1" ht="17.25" customHeight="1"/>
    <row r="64044" customFormat="1" ht="17.25" customHeight="1"/>
    <row r="64045" customFormat="1" ht="17.25" customHeight="1"/>
    <row r="64046" customFormat="1" ht="17.25" customHeight="1"/>
    <row r="64047" customFormat="1" ht="17.25" customHeight="1"/>
    <row r="64048" customFormat="1" ht="17.25" customHeight="1"/>
    <row r="64049" customFormat="1" ht="17.25" customHeight="1"/>
    <row r="64050" customFormat="1" ht="17.25" customHeight="1"/>
    <row r="64051" customFormat="1" ht="17.25" customHeight="1"/>
    <row r="64052" customFormat="1" ht="17.25" customHeight="1"/>
    <row r="64053" customFormat="1" ht="17.25" customHeight="1"/>
    <row r="64054" customFormat="1" ht="17.25" customHeight="1"/>
    <row r="64055" customFormat="1" ht="17.25" customHeight="1"/>
    <row r="64056" customFormat="1" ht="17.25" customHeight="1"/>
    <row r="64057" customFormat="1" ht="17.25" customHeight="1"/>
    <row r="64058" customFormat="1" ht="17.25" customHeight="1"/>
    <row r="64059" customFormat="1" ht="17.25" customHeight="1"/>
    <row r="64060" customFormat="1" ht="17.25" customHeight="1"/>
    <row r="64061" customFormat="1" ht="17.25" customHeight="1"/>
    <row r="64062" customFormat="1" ht="17.25" customHeight="1"/>
    <row r="64063" customFormat="1" ht="17.25" customHeight="1"/>
    <row r="64064" customFormat="1" ht="17.25" customHeight="1"/>
    <row r="64065" customFormat="1" ht="17.25" customHeight="1"/>
    <row r="64066" customFormat="1" ht="17.25" customHeight="1"/>
    <row r="64067" customFormat="1" ht="17.25" customHeight="1"/>
    <row r="64068" customFormat="1" ht="17.25" customHeight="1"/>
    <row r="64069" customFormat="1" ht="17.25" customHeight="1"/>
    <row r="64070" customFormat="1" ht="17.25" customHeight="1"/>
    <row r="64071" customFormat="1" ht="17.25" customHeight="1"/>
    <row r="64072" customFormat="1" ht="17.25" customHeight="1"/>
    <row r="64073" customFormat="1" ht="17.25" customHeight="1"/>
    <row r="64074" customFormat="1" ht="17.25" customHeight="1"/>
    <row r="64075" customFormat="1" ht="17.25" customHeight="1"/>
    <row r="64076" customFormat="1" ht="17.25" customHeight="1"/>
    <row r="64077" customFormat="1" ht="17.25" customHeight="1"/>
    <row r="64078" customFormat="1" ht="17.25" customHeight="1"/>
    <row r="64079" customFormat="1" ht="17.25" customHeight="1"/>
    <row r="64080" customFormat="1" ht="17.25" customHeight="1"/>
    <row r="64081" customFormat="1" ht="17.25" customHeight="1"/>
    <row r="64082" customFormat="1" ht="17.25" customHeight="1"/>
    <row r="64083" customFormat="1" ht="17.25" customHeight="1"/>
    <row r="64084" customFormat="1" ht="17.25" customHeight="1"/>
    <row r="64085" customFormat="1" ht="17.25" customHeight="1"/>
    <row r="64086" customFormat="1" ht="17.25" customHeight="1"/>
    <row r="64087" customFormat="1" ht="17.25" customHeight="1"/>
    <row r="64088" customFormat="1" ht="17.25" customHeight="1"/>
    <row r="64089" customFormat="1" ht="17.25" customHeight="1"/>
    <row r="64090" customFormat="1" ht="17.25" customHeight="1"/>
    <row r="64091" customFormat="1" ht="17.25" customHeight="1"/>
    <row r="64092" customFormat="1" ht="17.25" customHeight="1"/>
    <row r="64093" customFormat="1" ht="17.25" customHeight="1"/>
    <row r="64094" customFormat="1" ht="17.25" customHeight="1"/>
    <row r="64095" customFormat="1" ht="17.25" customHeight="1"/>
    <row r="64096" customFormat="1" ht="17.25" customHeight="1"/>
    <row r="64097" customFormat="1" ht="17.25" customHeight="1"/>
    <row r="64098" customFormat="1" ht="17.25" customHeight="1"/>
    <row r="64099" customFormat="1" ht="17.25" customHeight="1"/>
    <row r="64100" customFormat="1" ht="17.25" customHeight="1"/>
    <row r="64101" customFormat="1" ht="17.25" customHeight="1"/>
    <row r="64102" customFormat="1" ht="17.25" customHeight="1"/>
    <row r="64103" customFormat="1" ht="17.25" customHeight="1"/>
    <row r="64104" customFormat="1" ht="17.25" customHeight="1"/>
    <row r="64105" customFormat="1" ht="17.25" customHeight="1"/>
    <row r="64106" customFormat="1" ht="17.25" customHeight="1"/>
    <row r="64107" customFormat="1" ht="17.25" customHeight="1"/>
    <row r="64108" customFormat="1" ht="17.25" customHeight="1"/>
    <row r="64109" customFormat="1" ht="17.25" customHeight="1"/>
    <row r="64110" customFormat="1" ht="17.25" customHeight="1"/>
    <row r="64111" customFormat="1" ht="17.25" customHeight="1"/>
    <row r="64112" customFormat="1" ht="17.25" customHeight="1"/>
    <row r="64113" customFormat="1" ht="17.25" customHeight="1"/>
    <row r="64114" customFormat="1" ht="17.25" customHeight="1"/>
    <row r="64115" customFormat="1" ht="17.25" customHeight="1"/>
    <row r="64116" customFormat="1" ht="17.25" customHeight="1"/>
    <row r="64117" customFormat="1" ht="17.25" customHeight="1"/>
    <row r="64118" customFormat="1" ht="17.25" customHeight="1"/>
    <row r="64119" customFormat="1" ht="17.25" customHeight="1"/>
    <row r="64120" customFormat="1" ht="17.25" customHeight="1"/>
    <row r="64121" customFormat="1" ht="17.25" customHeight="1"/>
    <row r="64122" customFormat="1" ht="17.25" customHeight="1"/>
    <row r="64123" customFormat="1" ht="17.25" customHeight="1"/>
    <row r="64124" customFormat="1" ht="17.25" customHeight="1"/>
    <row r="64125" customFormat="1" ht="17.25" customHeight="1"/>
    <row r="64126" customFormat="1" ht="17.25" customHeight="1"/>
    <row r="64127" customFormat="1" ht="17.25" customHeight="1"/>
    <row r="64128" customFormat="1" ht="17.25" customHeight="1"/>
    <row r="64129" customFormat="1" ht="17.25" customHeight="1"/>
    <row r="64130" customFormat="1" ht="17.25" customHeight="1"/>
    <row r="64131" customFormat="1" ht="17.25" customHeight="1"/>
    <row r="64132" customFormat="1" ht="17.25" customHeight="1"/>
    <row r="64133" customFormat="1" ht="17.25" customHeight="1"/>
    <row r="64134" customFormat="1" ht="17.25" customHeight="1"/>
    <row r="64135" customFormat="1" ht="17.25" customHeight="1"/>
    <row r="64136" customFormat="1" ht="17.25" customHeight="1"/>
    <row r="64137" customFormat="1" ht="17.25" customHeight="1"/>
    <row r="64138" customFormat="1" ht="17.25" customHeight="1"/>
    <row r="64139" customFormat="1" ht="17.25" customHeight="1"/>
    <row r="64140" customFormat="1" ht="17.25" customHeight="1"/>
    <row r="64141" customFormat="1" ht="17.25" customHeight="1"/>
    <row r="64142" customFormat="1" ht="17.25" customHeight="1"/>
    <row r="64143" customFormat="1" ht="17.25" customHeight="1"/>
    <row r="64144" customFormat="1" ht="17.25" customHeight="1"/>
    <row r="64145" customFormat="1" ht="17.25" customHeight="1"/>
    <row r="64146" customFormat="1" ht="17.25" customHeight="1"/>
    <row r="64147" customFormat="1" ht="17.25" customHeight="1"/>
    <row r="64148" customFormat="1" ht="17.25" customHeight="1"/>
    <row r="64149" customFormat="1" ht="17.25" customHeight="1"/>
    <row r="64150" customFormat="1" ht="17.25" customHeight="1"/>
    <row r="64151" customFormat="1" ht="17.25" customHeight="1"/>
    <row r="64152" customFormat="1" ht="17.25" customHeight="1"/>
    <row r="64153" customFormat="1" ht="17.25" customHeight="1"/>
    <row r="64154" customFormat="1" ht="17.25" customHeight="1"/>
    <row r="64155" customFormat="1" ht="17.25" customHeight="1"/>
    <row r="64156" customFormat="1" ht="17.25" customHeight="1"/>
    <row r="64157" customFormat="1" ht="17.25" customHeight="1"/>
    <row r="64158" customFormat="1" ht="17.25" customHeight="1"/>
    <row r="64159" customFormat="1" ht="17.25" customHeight="1"/>
    <row r="64160" customFormat="1" ht="17.25" customHeight="1"/>
    <row r="64161" customFormat="1" ht="17.25" customHeight="1"/>
    <row r="64162" customFormat="1" ht="17.25" customHeight="1"/>
    <row r="64163" customFormat="1" ht="17.25" customHeight="1"/>
    <row r="64164" customFormat="1" ht="17.25" customHeight="1"/>
    <row r="64165" customFormat="1" ht="17.25" customHeight="1"/>
    <row r="64166" customFormat="1" ht="17.25" customHeight="1"/>
    <row r="64167" customFormat="1" ht="17.25" customHeight="1"/>
    <row r="64168" customFormat="1" ht="17.25" customHeight="1"/>
    <row r="64169" customFormat="1" ht="17.25" customHeight="1"/>
    <row r="64170" customFormat="1" ht="17.25" customHeight="1"/>
    <row r="64171" customFormat="1" ht="17.25" customHeight="1"/>
    <row r="64172" customFormat="1" ht="17.25" customHeight="1"/>
    <row r="64173" customFormat="1" ht="17.25" customHeight="1"/>
    <row r="64174" customFormat="1" ht="17.25" customHeight="1"/>
    <row r="64175" customFormat="1" ht="17.25" customHeight="1"/>
    <row r="64176" customFormat="1" ht="17.25" customHeight="1"/>
    <row r="64177" customFormat="1" ht="17.25" customHeight="1"/>
    <row r="64178" customFormat="1" ht="17.25" customHeight="1"/>
    <row r="64179" customFormat="1" ht="17.25" customHeight="1"/>
    <row r="64180" customFormat="1" ht="17.25" customHeight="1"/>
    <row r="64181" customFormat="1" ht="17.25" customHeight="1"/>
    <row r="64182" customFormat="1" ht="17.25" customHeight="1"/>
    <row r="64183" customFormat="1" ht="17.25" customHeight="1"/>
    <row r="64184" customFormat="1" ht="17.25" customHeight="1"/>
    <row r="64185" customFormat="1" ht="17.25" customHeight="1"/>
    <row r="64186" customFormat="1" ht="17.25" customHeight="1"/>
    <row r="64187" customFormat="1" ht="17.25" customHeight="1"/>
    <row r="64188" customFormat="1" ht="17.25" customHeight="1"/>
    <row r="64189" customFormat="1" ht="17.25" customHeight="1"/>
    <row r="64190" customFormat="1" ht="17.25" customHeight="1"/>
    <row r="64191" customFormat="1" ht="17.25" customHeight="1"/>
    <row r="64192" customFormat="1" ht="17.25" customHeight="1"/>
    <row r="64193" customFormat="1" ht="17.25" customHeight="1"/>
    <row r="64194" customFormat="1" ht="17.25" customHeight="1"/>
    <row r="64195" customFormat="1" ht="17.25" customHeight="1"/>
    <row r="64196" customFormat="1" ht="17.25" customHeight="1"/>
    <row r="64197" customFormat="1" ht="17.25" customHeight="1"/>
    <row r="64198" customFormat="1" ht="17.25" customHeight="1"/>
    <row r="64199" customFormat="1" ht="17.25" customHeight="1"/>
    <row r="64200" customFormat="1" ht="17.25" customHeight="1"/>
    <row r="64201" customFormat="1" ht="17.25" customHeight="1"/>
    <row r="64202" customFormat="1" ht="17.25" customHeight="1"/>
    <row r="64203" customFormat="1" ht="17.25" customHeight="1"/>
    <row r="64204" customFormat="1" ht="17.25" customHeight="1"/>
    <row r="64205" customFormat="1" ht="17.25" customHeight="1"/>
    <row r="64206" customFormat="1" ht="17.25" customHeight="1"/>
    <row r="64207" customFormat="1" ht="17.25" customHeight="1"/>
    <row r="64208" customFormat="1" ht="17.25" customHeight="1"/>
    <row r="64209" customFormat="1" ht="17.25" customHeight="1"/>
    <row r="64210" customFormat="1" ht="17.25" customHeight="1"/>
    <row r="64211" customFormat="1" ht="17.25" customHeight="1"/>
    <row r="64212" customFormat="1" ht="17.25" customHeight="1"/>
    <row r="64213" customFormat="1" ht="17.25" customHeight="1"/>
    <row r="64214" customFormat="1" ht="17.25" customHeight="1"/>
    <row r="64215" customFormat="1" ht="17.25" customHeight="1"/>
    <row r="64216" customFormat="1" ht="17.25" customHeight="1"/>
    <row r="64217" customFormat="1" ht="17.25" customHeight="1"/>
    <row r="64218" customFormat="1" ht="17.25" customHeight="1"/>
    <row r="64219" customFormat="1" ht="17.25" customHeight="1"/>
    <row r="64220" customFormat="1" ht="17.25" customHeight="1"/>
    <row r="64221" customFormat="1" ht="17.25" customHeight="1"/>
    <row r="64222" customFormat="1" ht="17.25" customHeight="1"/>
    <row r="64223" customFormat="1" ht="17.25" customHeight="1"/>
    <row r="64224" customFormat="1" ht="17.25" customHeight="1"/>
    <row r="64225" customFormat="1" ht="17.25" customHeight="1"/>
    <row r="64226" customFormat="1" ht="17.25" customHeight="1"/>
    <row r="64227" customFormat="1" ht="17.25" customHeight="1"/>
    <row r="64228" customFormat="1" ht="17.25" customHeight="1"/>
    <row r="64229" customFormat="1" ht="17.25" customHeight="1"/>
    <row r="64230" customFormat="1" ht="17.25" customHeight="1"/>
    <row r="64231" customFormat="1" ht="17.25" customHeight="1"/>
    <row r="64232" customFormat="1" ht="17.25" customHeight="1"/>
    <row r="64233" customFormat="1" ht="17.25" customHeight="1"/>
    <row r="64234" customFormat="1" ht="17.25" customHeight="1"/>
    <row r="64235" customFormat="1" ht="17.25" customHeight="1"/>
    <row r="64236" customFormat="1" ht="17.25" customHeight="1"/>
    <row r="64237" customFormat="1" ht="17.25" customHeight="1"/>
    <row r="64238" customFormat="1" ht="17.25" customHeight="1"/>
    <row r="64239" customFormat="1" ht="17.25" customHeight="1"/>
    <row r="64240" customFormat="1" ht="17.25" customHeight="1"/>
    <row r="64241" customFormat="1" ht="17.25" customHeight="1"/>
    <row r="64242" customFormat="1" ht="17.25" customHeight="1"/>
    <row r="64243" customFormat="1" ht="17.25" customHeight="1"/>
    <row r="64244" customFormat="1" ht="17.25" customHeight="1"/>
    <row r="64245" customFormat="1" ht="17.25" customHeight="1"/>
    <row r="64246" customFormat="1" ht="17.25" customHeight="1"/>
    <row r="64247" customFormat="1" ht="17.25" customHeight="1"/>
    <row r="64248" customFormat="1" ht="17.25" customHeight="1"/>
    <row r="64249" customFormat="1" ht="17.25" customHeight="1"/>
    <row r="64250" customFormat="1" ht="17.25" customHeight="1"/>
    <row r="64251" customFormat="1" ht="17.25" customHeight="1"/>
    <row r="64252" customFormat="1" ht="17.25" customHeight="1"/>
    <row r="64253" customFormat="1" ht="17.25" customHeight="1"/>
    <row r="64254" customFormat="1" ht="17.25" customHeight="1"/>
    <row r="64255" customFormat="1" ht="17.25" customHeight="1"/>
    <row r="64256" customFormat="1" ht="17.25" customHeight="1"/>
    <row r="64257" customFormat="1" ht="17.25" customHeight="1"/>
    <row r="64258" customFormat="1" ht="17.25" customHeight="1"/>
    <row r="64259" customFormat="1" ht="17.25" customHeight="1"/>
    <row r="64260" customFormat="1" ht="17.25" customHeight="1"/>
    <row r="64261" customFormat="1" ht="17.25" customHeight="1"/>
    <row r="64262" customFormat="1" ht="17.25" customHeight="1"/>
    <row r="64263" customFormat="1" ht="17.25" customHeight="1"/>
    <row r="64264" customFormat="1" ht="17.25" customHeight="1"/>
    <row r="64265" customFormat="1" ht="17.25" customHeight="1"/>
    <row r="64266" customFormat="1" ht="17.25" customHeight="1"/>
    <row r="64267" customFormat="1" ht="17.25" customHeight="1"/>
    <row r="64268" customFormat="1" ht="17.25" customHeight="1"/>
    <row r="64269" customFormat="1" ht="17.25" customHeight="1"/>
    <row r="64270" customFormat="1" ht="17.25" customHeight="1"/>
    <row r="64271" customFormat="1" ht="17.25" customHeight="1"/>
    <row r="64272" customFormat="1" ht="17.25" customHeight="1"/>
    <row r="64273" customFormat="1" ht="17.25" customHeight="1"/>
    <row r="64274" customFormat="1" ht="17.25" customHeight="1"/>
    <row r="64275" customFormat="1" ht="17.25" customHeight="1"/>
    <row r="64276" customFormat="1" ht="17.25" customHeight="1"/>
    <row r="64277" customFormat="1" ht="17.25" customHeight="1"/>
    <row r="64278" customFormat="1" ht="17.25" customHeight="1"/>
    <row r="64279" customFormat="1" ht="17.25" customHeight="1"/>
    <row r="64280" customFormat="1" ht="17.25" customHeight="1"/>
    <row r="64281" customFormat="1" ht="17.25" customHeight="1"/>
    <row r="64282" customFormat="1" ht="17.25" customHeight="1"/>
    <row r="64283" customFormat="1" ht="17.25" customHeight="1"/>
    <row r="64284" customFormat="1" ht="17.25" customHeight="1"/>
    <row r="64285" customFormat="1" ht="17.25" customHeight="1"/>
    <row r="64286" customFormat="1" ht="17.25" customHeight="1"/>
    <row r="64287" customFormat="1" ht="17.25" customHeight="1"/>
    <row r="64288" customFormat="1" ht="17.25" customHeight="1"/>
    <row r="64289" customFormat="1" ht="17.25" customHeight="1"/>
    <row r="64290" customFormat="1" ht="17.25" customHeight="1"/>
    <row r="64291" customFormat="1" ht="17.25" customHeight="1"/>
    <row r="64292" customFormat="1" ht="17.25" customHeight="1"/>
    <row r="64293" customFormat="1" ht="17.25" customHeight="1"/>
    <row r="64294" customFormat="1" ht="17.25" customHeight="1"/>
    <row r="64295" customFormat="1" ht="17.25" customHeight="1"/>
    <row r="64296" customFormat="1" ht="17.25" customHeight="1"/>
    <row r="64297" customFormat="1" ht="17.25" customHeight="1"/>
    <row r="64298" customFormat="1" ht="17.25" customHeight="1"/>
    <row r="64299" customFormat="1" ht="17.25" customHeight="1"/>
    <row r="64300" customFormat="1" ht="17.25" customHeight="1"/>
    <row r="64301" customFormat="1" ht="17.25" customHeight="1"/>
    <row r="64302" customFormat="1" ht="17.25" customHeight="1"/>
    <row r="64303" customFormat="1" ht="17.25" customHeight="1"/>
    <row r="64304" customFormat="1" ht="17.25" customHeight="1"/>
    <row r="64305" customFormat="1" ht="17.25" customHeight="1"/>
    <row r="64306" customFormat="1" ht="17.25" customHeight="1"/>
    <row r="64307" customFormat="1" ht="17.25" customHeight="1"/>
    <row r="64308" customFormat="1" ht="17.25" customHeight="1"/>
    <row r="64309" customFormat="1" ht="17.25" customHeight="1"/>
    <row r="64310" customFormat="1" ht="17.25" customHeight="1"/>
    <row r="64311" customFormat="1" ht="17.25" customHeight="1"/>
    <row r="64312" customFormat="1" ht="17.25" customHeight="1"/>
    <row r="64313" customFormat="1" ht="17.25" customHeight="1"/>
    <row r="64314" customFormat="1" ht="17.25" customHeight="1"/>
    <row r="64315" customFormat="1" ht="17.25" customHeight="1"/>
    <row r="64316" customFormat="1" ht="17.25" customHeight="1"/>
    <row r="64317" customFormat="1" ht="17.25" customHeight="1"/>
    <row r="64318" customFormat="1" ht="17.25" customHeight="1"/>
    <row r="64319" customFormat="1" ht="17.25" customHeight="1"/>
    <row r="64320" customFormat="1" ht="17.25" customHeight="1"/>
    <row r="64321" customFormat="1" ht="17.25" customHeight="1"/>
    <row r="64322" customFormat="1" ht="17.25" customHeight="1"/>
    <row r="64323" customFormat="1" ht="17.25" customHeight="1"/>
    <row r="64324" customFormat="1" ht="17.25" customHeight="1"/>
    <row r="64325" customFormat="1" ht="17.25" customHeight="1"/>
    <row r="64326" customFormat="1" ht="17.25" customHeight="1"/>
    <row r="64327" customFormat="1" ht="17.25" customHeight="1"/>
    <row r="64328" customFormat="1" ht="17.25" customHeight="1"/>
    <row r="64329" customFormat="1" ht="17.25" customHeight="1"/>
    <row r="64330" customFormat="1" ht="17.25" customHeight="1"/>
    <row r="64331" customFormat="1" ht="17.25" customHeight="1"/>
    <row r="64332" customFormat="1" ht="17.25" customHeight="1"/>
    <row r="64333" customFormat="1" ht="17.25" customHeight="1"/>
    <row r="64334" customFormat="1" ht="17.25" customHeight="1"/>
    <row r="64335" customFormat="1" ht="17.25" customHeight="1"/>
    <row r="64336" customFormat="1" ht="17.25" customHeight="1"/>
    <row r="64337" customFormat="1" ht="17.25" customHeight="1"/>
    <row r="64338" customFormat="1" ht="17.25" customHeight="1"/>
    <row r="64339" customFormat="1" ht="17.25" customHeight="1"/>
    <row r="64340" customFormat="1" ht="17.25" customHeight="1"/>
    <row r="64341" customFormat="1" ht="17.25" customHeight="1"/>
    <row r="64342" customFormat="1" ht="17.25" customHeight="1"/>
    <row r="64343" customFormat="1" ht="17.25" customHeight="1"/>
    <row r="64344" customFormat="1" ht="17.25" customHeight="1"/>
    <row r="64345" customFormat="1" ht="17.25" customHeight="1"/>
    <row r="64346" customFormat="1" ht="17.25" customHeight="1"/>
    <row r="64347" customFormat="1" ht="17.25" customHeight="1"/>
    <row r="64348" customFormat="1" ht="17.25" customHeight="1"/>
    <row r="64349" customFormat="1" ht="17.25" customHeight="1"/>
    <row r="64350" customFormat="1" ht="17.25" customHeight="1"/>
    <row r="64351" customFormat="1" ht="17.25" customHeight="1"/>
    <row r="64352" customFormat="1" ht="17.25" customHeight="1"/>
    <row r="64353" customFormat="1" ht="17.25" customHeight="1"/>
    <row r="64354" customFormat="1" ht="17.25" customHeight="1"/>
    <row r="64355" customFormat="1" ht="17.25" customHeight="1"/>
    <row r="64356" customFormat="1" ht="17.25" customHeight="1"/>
    <row r="64357" customFormat="1" ht="17.25" customHeight="1"/>
    <row r="64358" customFormat="1" ht="17.25" customHeight="1"/>
    <row r="64359" customFormat="1" ht="17.25" customHeight="1"/>
    <row r="64360" customFormat="1" ht="17.25" customHeight="1"/>
    <row r="64361" customFormat="1" ht="17.25" customHeight="1"/>
    <row r="64362" customFormat="1" ht="17.25" customHeight="1"/>
    <row r="64363" customFormat="1" ht="17.25" customHeight="1"/>
    <row r="64364" customFormat="1" ht="17.25" customHeight="1"/>
    <row r="64365" customFormat="1" ht="17.25" customHeight="1"/>
    <row r="64366" customFormat="1" ht="17.25" customHeight="1"/>
    <row r="64367" customFormat="1" ht="17.25" customHeight="1"/>
    <row r="64368" customFormat="1" ht="17.25" customHeight="1"/>
    <row r="64369" customFormat="1" ht="17.25" customHeight="1"/>
    <row r="64370" customFormat="1" ht="17.25" customHeight="1"/>
    <row r="64371" customFormat="1" ht="17.25" customHeight="1"/>
    <row r="64372" customFormat="1" ht="17.25" customHeight="1"/>
    <row r="64373" customFormat="1" ht="17.25" customHeight="1"/>
    <row r="64374" customFormat="1" ht="17.25" customHeight="1"/>
    <row r="64375" customFormat="1" ht="17.25" customHeight="1"/>
    <row r="64376" customFormat="1" ht="17.25" customHeight="1"/>
    <row r="64377" customFormat="1" ht="17.25" customHeight="1"/>
    <row r="64378" customFormat="1" ht="17.25" customHeight="1"/>
    <row r="64379" customFormat="1" ht="17.25" customHeight="1"/>
    <row r="64380" customFormat="1" ht="17.25" customHeight="1"/>
    <row r="64381" customFormat="1" ht="17.25" customHeight="1"/>
    <row r="64382" customFormat="1" ht="17.25" customHeight="1"/>
    <row r="64383" customFormat="1" ht="17.25" customHeight="1"/>
    <row r="64384" customFormat="1" ht="17.25" customHeight="1"/>
    <row r="64385" customFormat="1" ht="17.25" customHeight="1"/>
    <row r="64386" customFormat="1" ht="17.25" customHeight="1"/>
    <row r="64387" customFormat="1" ht="17.25" customHeight="1"/>
    <row r="64388" customFormat="1" ht="17.25" customHeight="1"/>
    <row r="64389" customFormat="1" ht="17.25" customHeight="1"/>
    <row r="64390" customFormat="1" ht="17.25" customHeight="1"/>
    <row r="64391" customFormat="1" ht="17.25" customHeight="1"/>
    <row r="64392" customFormat="1" ht="17.25" customHeight="1"/>
    <row r="64393" customFormat="1" ht="17.25" customHeight="1"/>
    <row r="64394" customFormat="1" ht="17.25" customHeight="1"/>
    <row r="64395" customFormat="1" ht="17.25" customHeight="1"/>
    <row r="64396" customFormat="1" ht="17.25" customHeight="1"/>
    <row r="64397" customFormat="1" ht="17.25" customHeight="1"/>
    <row r="64398" customFormat="1" ht="17.25" customHeight="1"/>
    <row r="64399" customFormat="1" ht="17.25" customHeight="1"/>
    <row r="64400" customFormat="1" ht="17.25" customHeight="1"/>
    <row r="64401" customFormat="1" ht="17.25" customHeight="1"/>
    <row r="64402" customFormat="1" ht="17.25" customHeight="1"/>
    <row r="64403" customFormat="1" ht="17.25" customHeight="1"/>
    <row r="64404" customFormat="1" ht="17.25" customHeight="1"/>
    <row r="64405" customFormat="1" ht="17.25" customHeight="1"/>
    <row r="64406" customFormat="1" ht="17.25" customHeight="1"/>
    <row r="64407" customFormat="1" ht="17.25" customHeight="1"/>
    <row r="64408" customFormat="1" ht="17.25" customHeight="1"/>
    <row r="64409" customFormat="1" ht="17.25" customHeight="1"/>
    <row r="64410" customFormat="1" ht="17.25" customHeight="1"/>
    <row r="64411" customFormat="1" ht="17.25" customHeight="1"/>
    <row r="64412" customFormat="1" ht="17.25" customHeight="1"/>
    <row r="64413" customFormat="1" ht="17.25" customHeight="1"/>
    <row r="64414" customFormat="1" ht="17.25" customHeight="1"/>
    <row r="64415" customFormat="1" ht="17.25" customHeight="1"/>
    <row r="64416" customFormat="1" ht="17.25" customHeight="1"/>
    <row r="64417" customFormat="1" ht="17.25" customHeight="1"/>
    <row r="64418" customFormat="1" ht="17.25" customHeight="1"/>
    <row r="64419" customFormat="1" ht="17.25" customHeight="1"/>
    <row r="64420" customFormat="1" ht="17.25" customHeight="1"/>
    <row r="64421" customFormat="1" ht="17.25" customHeight="1"/>
    <row r="64422" customFormat="1" ht="17.25" customHeight="1"/>
    <row r="64423" customFormat="1" ht="17.25" customHeight="1"/>
    <row r="64424" customFormat="1" ht="17.25" customHeight="1"/>
    <row r="64425" customFormat="1" ht="17.25" customHeight="1"/>
    <row r="64426" customFormat="1" ht="17.25" customHeight="1"/>
    <row r="64427" customFormat="1" ht="17.25" customHeight="1"/>
    <row r="64428" customFormat="1" ht="17.25" customHeight="1"/>
    <row r="64429" customFormat="1" ht="17.25" customHeight="1"/>
    <row r="64430" customFormat="1" ht="17.25" customHeight="1"/>
    <row r="64431" customFormat="1" ht="17.25" customHeight="1"/>
    <row r="64432" customFormat="1" ht="17.25" customHeight="1"/>
    <row r="64433" customFormat="1" ht="17.25" customHeight="1"/>
    <row r="64434" customFormat="1" ht="17.25" customHeight="1"/>
    <row r="64435" customFormat="1" ht="17.25" customHeight="1"/>
    <row r="64436" customFormat="1" ht="17.25" customHeight="1"/>
    <row r="64437" customFormat="1" ht="17.25" customHeight="1"/>
    <row r="64438" customFormat="1" ht="17.25" customHeight="1"/>
    <row r="64439" customFormat="1" ht="17.25" customHeight="1"/>
    <row r="64440" customFormat="1" ht="17.25" customHeight="1"/>
    <row r="64441" customFormat="1" ht="17.25" customHeight="1"/>
    <row r="64442" customFormat="1" ht="17.25" customHeight="1"/>
    <row r="64443" customFormat="1" ht="17.25" customHeight="1"/>
    <row r="64444" customFormat="1" ht="17.25" customHeight="1"/>
    <row r="64445" customFormat="1" ht="17.25" customHeight="1"/>
    <row r="64446" customFormat="1" ht="17.25" customHeight="1"/>
    <row r="64447" customFormat="1" ht="17.25" customHeight="1"/>
    <row r="64448" customFormat="1" ht="17.25" customHeight="1"/>
    <row r="64449" customFormat="1" ht="17.25" customHeight="1"/>
    <row r="64450" customFormat="1" ht="17.25" customHeight="1"/>
    <row r="64451" customFormat="1" ht="17.25" customHeight="1"/>
    <row r="64452" customFormat="1" ht="17.25" customHeight="1"/>
    <row r="64453" customFormat="1" ht="17.25" customHeight="1"/>
    <row r="64454" customFormat="1" ht="17.25" customHeight="1"/>
    <row r="64455" customFormat="1" ht="17.25" customHeight="1"/>
    <row r="64456" customFormat="1" ht="17.25" customHeight="1"/>
    <row r="64457" customFormat="1" ht="17.25" customHeight="1"/>
    <row r="64458" customFormat="1" ht="17.25" customHeight="1"/>
    <row r="64459" customFormat="1" ht="17.25" customHeight="1"/>
    <row r="64460" customFormat="1" ht="17.25" customHeight="1"/>
    <row r="64461" customFormat="1" ht="17.25" customHeight="1"/>
    <row r="64462" customFormat="1" ht="17.25" customHeight="1"/>
    <row r="64463" customFormat="1" ht="17.25" customHeight="1"/>
    <row r="64464" customFormat="1" ht="17.25" customHeight="1"/>
    <row r="64465" customFormat="1" ht="17.25" customHeight="1"/>
    <row r="64466" customFormat="1" ht="17.25" customHeight="1"/>
    <row r="64467" customFormat="1" ht="17.25" customHeight="1"/>
    <row r="64468" customFormat="1" ht="17.25" customHeight="1"/>
    <row r="64469" customFormat="1" ht="17.25" customHeight="1"/>
    <row r="64470" customFormat="1" ht="17.25" customHeight="1"/>
    <row r="64471" customFormat="1" ht="17.25" customHeight="1"/>
    <row r="64472" customFormat="1" ht="17.25" customHeight="1"/>
    <row r="64473" customFormat="1" ht="17.25" customHeight="1"/>
    <row r="64474" customFormat="1" ht="17.25" customHeight="1"/>
    <row r="64475" customFormat="1" ht="17.25" customHeight="1"/>
    <row r="64476" customFormat="1" ht="17.25" customHeight="1"/>
    <row r="64477" customFormat="1" ht="17.25" customHeight="1"/>
    <row r="64478" customFormat="1" ht="17.25" customHeight="1"/>
    <row r="64479" customFormat="1" ht="17.25" customHeight="1"/>
    <row r="64480" customFormat="1" ht="17.25" customHeight="1"/>
    <row r="64481" customFormat="1" ht="17.25" customHeight="1"/>
    <row r="64482" customFormat="1" ht="17.25" customHeight="1"/>
    <row r="64483" customFormat="1" ht="17.25" customHeight="1"/>
    <row r="64484" customFormat="1" ht="17.25" customHeight="1"/>
    <row r="64485" customFormat="1" ht="17.25" customHeight="1"/>
    <row r="64486" customFormat="1" ht="17.25" customHeight="1"/>
    <row r="64487" customFormat="1" ht="17.25" customHeight="1"/>
    <row r="64488" customFormat="1" ht="17.25" customHeight="1"/>
    <row r="64489" customFormat="1" ht="17.25" customHeight="1"/>
    <row r="64490" customFormat="1" ht="17.25" customHeight="1"/>
    <row r="64491" customFormat="1" ht="17.25" customHeight="1"/>
    <row r="64492" customFormat="1" ht="17.25" customHeight="1"/>
    <row r="64493" customFormat="1" ht="17.25" customHeight="1"/>
    <row r="64494" customFormat="1" ht="17.25" customHeight="1"/>
    <row r="64495" customFormat="1" ht="17.25" customHeight="1"/>
    <row r="64496" customFormat="1" ht="17.25" customHeight="1"/>
    <row r="64497" customFormat="1" ht="17.25" customHeight="1"/>
    <row r="64498" customFormat="1" ht="17.25" customHeight="1"/>
    <row r="64499" customFormat="1" ht="17.25" customHeight="1"/>
    <row r="64500" customFormat="1" ht="17.25" customHeight="1"/>
    <row r="64501" customFormat="1" ht="17.25" customHeight="1"/>
    <row r="64502" customFormat="1" ht="17.25" customHeight="1"/>
    <row r="64503" customFormat="1" ht="17.25" customHeight="1"/>
    <row r="64504" customFormat="1" ht="17.25" customHeight="1"/>
    <row r="64505" customFormat="1" ht="17.25" customHeight="1"/>
    <row r="64506" customFormat="1" ht="17.25" customHeight="1"/>
    <row r="64507" customFormat="1" ht="17.25" customHeight="1"/>
    <row r="64508" customFormat="1" ht="17.25" customHeight="1"/>
    <row r="64509" customFormat="1" ht="17.25" customHeight="1"/>
    <row r="64510" customFormat="1" ht="17.25" customHeight="1"/>
    <row r="64511" customFormat="1" ht="17.25" customHeight="1"/>
    <row r="64512" customFormat="1" ht="17.25" customHeight="1"/>
    <row r="64513" customFormat="1" ht="17.25" customHeight="1"/>
    <row r="64514" customFormat="1" ht="17.25" customHeight="1"/>
    <row r="64515" customFormat="1" ht="17.25" customHeight="1"/>
    <row r="64516" customFormat="1" ht="17.25" customHeight="1"/>
    <row r="64517" customFormat="1" ht="17.25" customHeight="1"/>
    <row r="64518" customFormat="1" ht="17.25" customHeight="1"/>
    <row r="64519" customFormat="1" ht="17.25" customHeight="1"/>
    <row r="64520" customFormat="1" ht="17.25" customHeight="1"/>
    <row r="64521" customFormat="1" ht="17.25" customHeight="1"/>
    <row r="64522" customFormat="1" ht="17.25" customHeight="1"/>
    <row r="64523" customFormat="1" ht="17.25" customHeight="1"/>
    <row r="64524" customFormat="1" ht="17.25" customHeight="1"/>
    <row r="64525" customFormat="1" ht="17.25" customHeight="1"/>
    <row r="64526" customFormat="1" ht="17.25" customHeight="1"/>
    <row r="64527" customFormat="1" ht="17.25" customHeight="1"/>
    <row r="64528" customFormat="1" ht="17.25" customHeight="1"/>
    <row r="64529" customFormat="1" ht="17.25" customHeight="1"/>
    <row r="64530" customFormat="1" ht="17.25" customHeight="1"/>
    <row r="64531" customFormat="1" ht="17.25" customHeight="1"/>
    <row r="64532" customFormat="1" ht="17.25" customHeight="1"/>
    <row r="64533" customFormat="1" ht="17.25" customHeight="1"/>
    <row r="64534" customFormat="1" ht="17.25" customHeight="1"/>
    <row r="64535" customFormat="1" ht="17.25" customHeight="1"/>
    <row r="64536" customFormat="1" ht="17.25" customHeight="1"/>
    <row r="64537" customFormat="1" ht="17.25" customHeight="1"/>
    <row r="64538" customFormat="1" ht="17.25" customHeight="1"/>
    <row r="64539" customFormat="1" ht="17.25" customHeight="1"/>
    <row r="64540" customFormat="1" ht="17.25" customHeight="1"/>
    <row r="64541" customFormat="1" ht="17.25" customHeight="1"/>
    <row r="64542" customFormat="1" ht="17.25" customHeight="1"/>
    <row r="64543" customFormat="1" ht="17.25" customHeight="1"/>
    <row r="64544" customFormat="1" ht="17.25" customHeight="1"/>
    <row r="64545" customFormat="1" ht="17.25" customHeight="1"/>
    <row r="64546" customFormat="1" ht="17.25" customHeight="1"/>
    <row r="64547" customFormat="1" ht="17.25" customHeight="1"/>
    <row r="64548" customFormat="1" ht="17.25" customHeight="1"/>
    <row r="64549" customFormat="1" ht="17.25" customHeight="1"/>
    <row r="64550" customFormat="1" ht="17.25" customHeight="1"/>
    <row r="64551" customFormat="1" ht="17.25" customHeight="1"/>
    <row r="64552" customFormat="1" ht="17.25" customHeight="1"/>
    <row r="64553" customFormat="1" ht="17.25" customHeight="1"/>
    <row r="64554" customFormat="1" ht="17.25" customHeight="1"/>
    <row r="64555" customFormat="1" ht="17.25" customHeight="1"/>
    <row r="64556" customFormat="1" ht="17.25" customHeight="1"/>
    <row r="64557" customFormat="1" ht="17.25" customHeight="1"/>
    <row r="64558" customFormat="1" ht="17.25" customHeight="1"/>
    <row r="64559" customFormat="1" ht="17.25" customHeight="1"/>
    <row r="64560" customFormat="1" ht="17.25" customHeight="1"/>
    <row r="64561" customFormat="1" ht="17.25" customHeight="1"/>
    <row r="64562" customFormat="1" ht="17.25" customHeight="1"/>
    <row r="64563" customFormat="1" ht="17.25" customHeight="1"/>
    <row r="64564" customFormat="1" ht="17.25" customHeight="1"/>
    <row r="64565" customFormat="1" ht="17.25" customHeight="1"/>
    <row r="64566" customFormat="1" ht="17.25" customHeight="1"/>
    <row r="64567" customFormat="1" ht="17.25" customHeight="1"/>
    <row r="64568" customFormat="1" ht="17.25" customHeight="1"/>
    <row r="64569" customFormat="1" ht="17.25" customHeight="1"/>
    <row r="64570" customFormat="1" ht="17.25" customHeight="1"/>
    <row r="64571" customFormat="1" ht="17.25" customHeight="1"/>
    <row r="64572" customFormat="1" ht="17.25" customHeight="1"/>
    <row r="64573" customFormat="1" ht="17.25" customHeight="1"/>
    <row r="64574" customFormat="1" ht="17.25" customHeight="1"/>
    <row r="64575" customFormat="1" ht="17.25" customHeight="1"/>
    <row r="64576" customFormat="1" ht="17.25" customHeight="1"/>
    <row r="64577" customFormat="1" ht="17.25" customHeight="1"/>
    <row r="64578" customFormat="1" ht="17.25" customHeight="1"/>
    <row r="64579" customFormat="1" ht="17.25" customHeight="1"/>
    <row r="64580" customFormat="1" ht="17.25" customHeight="1"/>
    <row r="64581" customFormat="1" ht="17.25" customHeight="1"/>
    <row r="64582" customFormat="1" ht="17.25" customHeight="1"/>
    <row r="64583" customFormat="1" ht="17.25" customHeight="1"/>
    <row r="64584" customFormat="1" ht="17.25" customHeight="1"/>
    <row r="64585" customFormat="1" ht="17.25" customHeight="1"/>
    <row r="64586" customFormat="1" ht="17.25" customHeight="1"/>
    <row r="64587" customFormat="1" ht="17.25" customHeight="1"/>
    <row r="64588" customFormat="1" ht="17.25" customHeight="1"/>
    <row r="64589" customFormat="1" ht="17.25" customHeight="1"/>
    <row r="64590" customFormat="1" ht="17.25" customHeight="1"/>
    <row r="64591" customFormat="1" ht="17.25" customHeight="1"/>
    <row r="64592" customFormat="1" ht="17.25" customHeight="1"/>
    <row r="64593" customFormat="1" ht="17.25" customHeight="1"/>
    <row r="64594" customFormat="1" ht="17.25" customHeight="1"/>
    <row r="64595" customFormat="1" ht="17.25" customHeight="1"/>
    <row r="64596" customFormat="1" ht="17.25" customHeight="1"/>
    <row r="64597" customFormat="1" ht="17.25" customHeight="1"/>
    <row r="64598" customFormat="1" ht="17.25" customHeight="1"/>
    <row r="64599" customFormat="1" ht="17.25" customHeight="1"/>
    <row r="64600" customFormat="1" ht="17.25" customHeight="1"/>
    <row r="64601" customFormat="1" ht="17.25" customHeight="1"/>
    <row r="64602" customFormat="1" ht="17.25" customHeight="1"/>
    <row r="64603" customFormat="1" ht="17.25" customHeight="1"/>
    <row r="64604" customFormat="1" ht="17.25" customHeight="1"/>
    <row r="64605" customFormat="1" ht="17.25" customHeight="1"/>
    <row r="64606" customFormat="1" ht="17.25" customHeight="1"/>
    <row r="64607" customFormat="1" ht="17.25" customHeight="1"/>
    <row r="64608" customFormat="1" ht="17.25" customHeight="1"/>
    <row r="64609" customFormat="1" ht="17.25" customHeight="1"/>
    <row r="64610" customFormat="1" ht="17.25" customHeight="1"/>
    <row r="64611" customFormat="1" ht="17.25" customHeight="1"/>
    <row r="64612" customFormat="1" ht="17.25" customHeight="1"/>
    <row r="64613" customFormat="1" ht="17.25" customHeight="1"/>
    <row r="64614" customFormat="1" ht="17.25" customHeight="1"/>
    <row r="64615" customFormat="1" ht="17.25" customHeight="1"/>
    <row r="64616" customFormat="1" ht="17.25" customHeight="1"/>
    <row r="64617" customFormat="1" ht="17.25" customHeight="1"/>
    <row r="64618" customFormat="1" ht="17.25" customHeight="1"/>
    <row r="64619" customFormat="1" ht="17.25" customHeight="1"/>
    <row r="64620" customFormat="1" ht="17.25" customHeight="1"/>
    <row r="64621" customFormat="1" ht="17.25" customHeight="1"/>
    <row r="64622" customFormat="1" ht="17.25" customHeight="1"/>
    <row r="64623" customFormat="1" ht="17.25" customHeight="1"/>
    <row r="64624" customFormat="1" ht="17.25" customHeight="1"/>
    <row r="64625" customFormat="1" ht="17.25" customHeight="1"/>
    <row r="64626" customFormat="1" ht="17.25" customHeight="1"/>
    <row r="64627" customFormat="1" ht="17.25" customHeight="1"/>
    <row r="64628" customFormat="1" ht="17.25" customHeight="1"/>
    <row r="64629" customFormat="1" ht="17.25" customHeight="1"/>
    <row r="64630" customFormat="1" ht="17.25" customHeight="1"/>
    <row r="64631" customFormat="1" ht="17.25" customHeight="1"/>
    <row r="64632" customFormat="1" ht="17.25" customHeight="1"/>
    <row r="64633" customFormat="1" ht="17.25" customHeight="1"/>
    <row r="64634" customFormat="1" ht="17.25" customHeight="1"/>
    <row r="64635" customFormat="1" ht="17.25" customHeight="1"/>
    <row r="64636" customFormat="1" ht="17.25" customHeight="1"/>
    <row r="64637" customFormat="1" ht="17.25" customHeight="1"/>
    <row r="64638" customFormat="1" ht="17.25" customHeight="1"/>
    <row r="64639" customFormat="1" ht="17.25" customHeight="1"/>
    <row r="64640" customFormat="1" ht="17.25" customHeight="1"/>
    <row r="64641" customFormat="1" ht="17.25" customHeight="1"/>
    <row r="64642" customFormat="1" ht="17.25" customHeight="1"/>
    <row r="64643" customFormat="1" ht="17.25" customHeight="1"/>
    <row r="64644" customFormat="1" ht="17.25" customHeight="1"/>
    <row r="64645" customFormat="1" ht="17.25" customHeight="1"/>
    <row r="64646" customFormat="1" ht="17.25" customHeight="1"/>
    <row r="64647" customFormat="1" ht="17.25" customHeight="1"/>
    <row r="64648" customFormat="1" ht="17.25" customHeight="1"/>
    <row r="64649" customFormat="1" ht="17.25" customHeight="1"/>
    <row r="64650" customFormat="1" ht="17.25" customHeight="1"/>
    <row r="64651" customFormat="1" ht="17.25" customHeight="1"/>
    <row r="64652" customFormat="1" ht="17.25" customHeight="1"/>
    <row r="64653" customFormat="1" ht="17.25" customHeight="1"/>
    <row r="64654" customFormat="1" ht="17.25" customHeight="1"/>
    <row r="64655" customFormat="1" ht="17.25" customHeight="1"/>
    <row r="64656" customFormat="1" ht="17.25" customHeight="1"/>
    <row r="64657" customFormat="1" ht="17.25" customHeight="1"/>
    <row r="64658" customFormat="1" ht="17.25" customHeight="1"/>
    <row r="64659" customFormat="1" ht="17.25" customHeight="1"/>
    <row r="64660" customFormat="1" ht="17.25" customHeight="1"/>
    <row r="64661" customFormat="1" ht="17.25" customHeight="1"/>
    <row r="64662" customFormat="1" ht="17.25" customHeight="1"/>
    <row r="64663" customFormat="1" ht="17.25" customHeight="1"/>
    <row r="64664" customFormat="1" ht="17.25" customHeight="1"/>
    <row r="64665" customFormat="1" ht="17.25" customHeight="1"/>
    <row r="64666" customFormat="1" ht="17.25" customHeight="1"/>
    <row r="64667" customFormat="1" ht="17.25" customHeight="1"/>
    <row r="64668" customFormat="1" ht="17.25" customHeight="1"/>
    <row r="64669" customFormat="1" ht="17.25" customHeight="1"/>
    <row r="64670" customFormat="1" ht="17.25" customHeight="1"/>
    <row r="64671" customFormat="1" ht="17.25" customHeight="1"/>
    <row r="64672" customFormat="1" ht="17.25" customHeight="1"/>
    <row r="64673" customFormat="1" ht="17.25" customHeight="1"/>
    <row r="64674" customFormat="1" ht="17.25" customHeight="1"/>
    <row r="64675" customFormat="1" ht="17.25" customHeight="1"/>
    <row r="64676" customFormat="1" ht="17.25" customHeight="1"/>
    <row r="64677" customFormat="1" ht="17.25" customHeight="1"/>
    <row r="64678" customFormat="1" ht="17.25" customHeight="1"/>
    <row r="64679" customFormat="1" ht="17.25" customHeight="1"/>
    <row r="64680" customFormat="1" ht="17.25" customHeight="1"/>
    <row r="64681" customFormat="1" ht="17.25" customHeight="1"/>
    <row r="64682" customFormat="1" ht="17.25" customHeight="1"/>
    <row r="64683" customFormat="1" ht="17.25" customHeight="1"/>
    <row r="64684" customFormat="1" ht="17.25" customHeight="1"/>
    <row r="64685" customFormat="1" ht="17.25" customHeight="1"/>
    <row r="64686" customFormat="1" ht="17.25" customHeight="1"/>
    <row r="64687" customFormat="1" ht="17.25" customHeight="1"/>
    <row r="64688" customFormat="1" ht="17.25" customHeight="1"/>
    <row r="64689" customFormat="1" ht="17.25" customHeight="1"/>
    <row r="64690" customFormat="1" ht="17.25" customHeight="1"/>
    <row r="64691" customFormat="1" ht="17.25" customHeight="1"/>
    <row r="64692" customFormat="1" ht="17.25" customHeight="1"/>
    <row r="64693" customFormat="1" ht="17.25" customHeight="1"/>
    <row r="64694" customFormat="1" ht="17.25" customHeight="1"/>
    <row r="64695" customFormat="1" ht="17.25" customHeight="1"/>
    <row r="64696" customFormat="1" ht="17.25" customHeight="1"/>
    <row r="64697" customFormat="1" ht="17.25" customHeight="1"/>
    <row r="64698" customFormat="1" ht="17.25" customHeight="1"/>
    <row r="64699" customFormat="1" ht="17.25" customHeight="1"/>
    <row r="64700" customFormat="1" ht="17.25" customHeight="1"/>
    <row r="64701" customFormat="1" ht="17.25" customHeight="1"/>
    <row r="64702" customFormat="1" ht="17.25" customHeight="1"/>
    <row r="64703" customFormat="1" ht="17.25" customHeight="1"/>
    <row r="64704" customFormat="1" ht="17.25" customHeight="1"/>
    <row r="64705" customFormat="1" ht="17.25" customHeight="1"/>
    <row r="64706" customFormat="1" ht="17.25" customHeight="1"/>
    <row r="64707" customFormat="1" ht="17.25" customHeight="1"/>
    <row r="64708" customFormat="1" ht="17.25" customHeight="1"/>
    <row r="64709" customFormat="1" ht="17.25" customHeight="1"/>
    <row r="64710" customFormat="1" ht="17.25" customHeight="1"/>
    <row r="64711" customFormat="1" ht="17.25" customHeight="1"/>
    <row r="64712" customFormat="1" ht="17.25" customHeight="1"/>
    <row r="64713" customFormat="1" ht="17.25" customHeight="1"/>
    <row r="64714" customFormat="1" ht="17.25" customHeight="1"/>
    <row r="64715" customFormat="1" ht="17.25" customHeight="1"/>
    <row r="64716" customFormat="1" ht="17.25" customHeight="1"/>
    <row r="64717" customFormat="1" ht="17.25" customHeight="1"/>
    <row r="64718" customFormat="1" ht="17.25" customHeight="1"/>
    <row r="64719" customFormat="1" ht="17.25" customHeight="1"/>
    <row r="64720" customFormat="1" ht="17.25" customHeight="1"/>
    <row r="64721" customFormat="1" ht="17.25" customHeight="1"/>
    <row r="64722" customFormat="1" ht="17.25" customHeight="1"/>
    <row r="64723" customFormat="1" ht="17.25" customHeight="1"/>
    <row r="64724" customFormat="1" ht="17.25" customHeight="1"/>
    <row r="64725" customFormat="1" ht="17.25" customHeight="1"/>
    <row r="64726" customFormat="1" ht="17.25" customHeight="1"/>
    <row r="64727" customFormat="1" ht="17.25" customHeight="1"/>
    <row r="64728" customFormat="1" ht="17.25" customHeight="1"/>
    <row r="64729" customFormat="1" ht="17.25" customHeight="1"/>
    <row r="64730" customFormat="1" ht="17.25" customHeight="1"/>
    <row r="64731" customFormat="1" ht="17.25" customHeight="1"/>
    <row r="64732" customFormat="1" ht="17.25" customHeight="1"/>
    <row r="64733" customFormat="1" ht="17.25" customHeight="1"/>
    <row r="64734" customFormat="1" ht="17.25" customHeight="1"/>
    <row r="64735" customFormat="1" ht="17.25" customHeight="1"/>
    <row r="64736" customFormat="1" ht="17.25" customHeight="1"/>
    <row r="64737" customFormat="1" ht="17.25" customHeight="1"/>
    <row r="64738" customFormat="1" ht="17.25" customHeight="1"/>
    <row r="64739" customFormat="1" ht="17.25" customHeight="1"/>
    <row r="64740" customFormat="1" ht="17.25" customHeight="1"/>
    <row r="64741" customFormat="1" ht="17.25" customHeight="1"/>
    <row r="64742" customFormat="1" ht="17.25" customHeight="1"/>
    <row r="64743" customFormat="1" ht="17.25" customHeight="1"/>
    <row r="64744" customFormat="1" ht="17.25" customHeight="1"/>
    <row r="64745" customFormat="1" ht="17.25" customHeight="1"/>
    <row r="64746" customFormat="1" ht="17.25" customHeight="1"/>
    <row r="64747" customFormat="1" ht="17.25" customHeight="1"/>
    <row r="64748" customFormat="1" ht="17.25" customHeight="1"/>
    <row r="64749" customFormat="1" ht="17.25" customHeight="1"/>
    <row r="64750" customFormat="1" ht="17.25" customHeight="1"/>
    <row r="64751" customFormat="1" ht="17.25" customHeight="1"/>
    <row r="64752" customFormat="1" ht="17.25" customHeight="1"/>
    <row r="64753" customFormat="1" ht="17.25" customHeight="1"/>
    <row r="64754" customFormat="1" ht="17.25" customHeight="1"/>
    <row r="64755" customFormat="1" ht="17.25" customHeight="1"/>
    <row r="64756" customFormat="1" ht="17.25" customHeight="1"/>
    <row r="64757" customFormat="1" ht="17.25" customHeight="1"/>
    <row r="64758" customFormat="1" ht="17.25" customHeight="1"/>
    <row r="64759" customFormat="1" ht="17.25" customHeight="1"/>
    <row r="64760" customFormat="1" ht="17.25" customHeight="1"/>
    <row r="64761" customFormat="1" ht="17.25" customHeight="1"/>
    <row r="64762" customFormat="1" ht="17.25" customHeight="1"/>
    <row r="64763" customFormat="1" ht="17.25" customHeight="1"/>
    <row r="64764" customFormat="1" ht="17.25" customHeight="1"/>
    <row r="64765" customFormat="1" ht="17.25" customHeight="1"/>
    <row r="64766" customFormat="1" ht="17.25" customHeight="1"/>
    <row r="64767" customFormat="1" ht="17.25" customHeight="1"/>
    <row r="64768" customFormat="1" ht="17.25" customHeight="1"/>
    <row r="64769" customFormat="1" ht="17.25" customHeight="1"/>
    <row r="64770" customFormat="1" ht="17.25" customHeight="1"/>
    <row r="64771" customFormat="1" ht="17.25" customHeight="1"/>
    <row r="64772" customFormat="1" ht="17.25" customHeight="1"/>
    <row r="64773" customFormat="1" ht="17.25" customHeight="1"/>
    <row r="64774" customFormat="1" ht="17.25" customHeight="1"/>
    <row r="64775" customFormat="1" ht="17.25" customHeight="1"/>
    <row r="64776" customFormat="1" ht="17.25" customHeight="1"/>
    <row r="64777" customFormat="1" ht="17.25" customHeight="1"/>
    <row r="64778" customFormat="1" ht="17.25" customHeight="1"/>
    <row r="64779" customFormat="1" ht="17.25" customHeight="1"/>
    <row r="64780" customFormat="1" ht="17.25" customHeight="1"/>
    <row r="64781" customFormat="1" ht="17.25" customHeight="1"/>
    <row r="64782" customFormat="1" ht="17.25" customHeight="1"/>
    <row r="64783" customFormat="1" ht="17.25" customHeight="1"/>
    <row r="64784" customFormat="1" ht="17.25" customHeight="1"/>
    <row r="64785" customFormat="1" ht="17.25" customHeight="1"/>
    <row r="64786" customFormat="1" ht="17.25" customHeight="1"/>
    <row r="64787" customFormat="1" ht="17.25" customHeight="1"/>
    <row r="64788" customFormat="1" ht="17.25" customHeight="1"/>
    <row r="64789" customFormat="1" ht="17.25" customHeight="1"/>
    <row r="64790" customFormat="1" ht="17.25" customHeight="1"/>
    <row r="64791" customFormat="1" ht="17.25" customHeight="1"/>
    <row r="64792" customFormat="1" ht="17.25" customHeight="1"/>
    <row r="64793" customFormat="1" ht="17.25" customHeight="1"/>
    <row r="64794" customFormat="1" ht="17.25" customHeight="1"/>
    <row r="64795" customFormat="1" ht="17.25" customHeight="1"/>
    <row r="64796" customFormat="1" ht="17.25" customHeight="1"/>
    <row r="64797" customFormat="1" ht="17.25" customHeight="1"/>
    <row r="64798" customFormat="1" ht="17.25" customHeight="1"/>
    <row r="64799" customFormat="1" ht="17.25" customHeight="1"/>
    <row r="64800" customFormat="1" ht="17.25" customHeight="1"/>
    <row r="64801" customFormat="1" ht="17.25" customHeight="1"/>
    <row r="64802" customFormat="1" ht="17.25" customHeight="1"/>
    <row r="64803" customFormat="1" ht="17.25" customHeight="1"/>
    <row r="64804" customFormat="1" ht="17.25" customHeight="1"/>
    <row r="64805" customFormat="1" ht="17.25" customHeight="1"/>
    <row r="64806" customFormat="1" ht="17.25" customHeight="1"/>
    <row r="64807" customFormat="1" ht="17.25" customHeight="1"/>
    <row r="64808" customFormat="1" ht="17.25" customHeight="1"/>
    <row r="64809" customFormat="1" ht="17.25" customHeight="1"/>
    <row r="64810" customFormat="1" ht="17.25" customHeight="1"/>
    <row r="64811" customFormat="1" ht="17.25" customHeight="1"/>
    <row r="64812" customFormat="1" ht="17.25" customHeight="1"/>
    <row r="64813" customFormat="1" ht="17.25" customHeight="1"/>
    <row r="64814" customFormat="1" ht="17.25" customHeight="1"/>
    <row r="64815" customFormat="1" ht="17.25" customHeight="1"/>
    <row r="64816" customFormat="1" ht="17.25" customHeight="1"/>
    <row r="64817" customFormat="1" ht="17.25" customHeight="1"/>
    <row r="64818" customFormat="1" ht="17.25" customHeight="1"/>
    <row r="64819" customFormat="1" ht="17.25" customHeight="1"/>
    <row r="64820" customFormat="1" ht="17.25" customHeight="1"/>
    <row r="64821" customFormat="1" ht="17.25" customHeight="1"/>
    <row r="64822" customFormat="1" ht="17.25" customHeight="1"/>
    <row r="64823" customFormat="1" ht="17.25" customHeight="1"/>
    <row r="64824" customFormat="1" ht="17.25" customHeight="1"/>
    <row r="64825" customFormat="1" ht="17.25" customHeight="1"/>
    <row r="64826" customFormat="1" ht="17.25" customHeight="1"/>
    <row r="64827" customFormat="1" ht="17.25" customHeight="1"/>
    <row r="64828" customFormat="1" ht="17.25" customHeight="1"/>
    <row r="64829" customFormat="1" ht="17.25" customHeight="1"/>
    <row r="64830" customFormat="1" ht="17.25" customHeight="1"/>
    <row r="64831" customFormat="1" ht="17.25" customHeight="1"/>
    <row r="64832" customFormat="1" ht="17.25" customHeight="1"/>
    <row r="64833" customFormat="1" ht="17.25" customHeight="1"/>
    <row r="64834" customFormat="1" ht="17.25" customHeight="1"/>
    <row r="64835" customFormat="1" ht="17.25" customHeight="1"/>
    <row r="64836" customFormat="1" ht="17.25" customHeight="1"/>
    <row r="64837" customFormat="1" ht="17.25" customHeight="1"/>
    <row r="64838" customFormat="1" ht="17.25" customHeight="1"/>
    <row r="64839" customFormat="1" ht="17.25" customHeight="1"/>
    <row r="64840" customFormat="1" ht="17.25" customHeight="1"/>
    <row r="64841" customFormat="1" ht="17.25" customHeight="1"/>
    <row r="64842" customFormat="1" ht="17.25" customHeight="1"/>
    <row r="64843" customFormat="1" ht="17.25" customHeight="1"/>
    <row r="64844" customFormat="1" ht="17.25" customHeight="1"/>
    <row r="64845" customFormat="1" ht="17.25" customHeight="1"/>
    <row r="64846" customFormat="1" ht="17.25" customHeight="1"/>
    <row r="64847" customFormat="1" ht="17.25" customHeight="1"/>
    <row r="64848" customFormat="1" ht="17.25" customHeight="1"/>
    <row r="64849" customFormat="1" ht="17.25" customHeight="1"/>
    <row r="64850" customFormat="1" ht="17.25" customHeight="1"/>
    <row r="64851" customFormat="1" ht="17.25" customHeight="1"/>
    <row r="64852" customFormat="1" ht="17.25" customHeight="1"/>
    <row r="64853" customFormat="1" ht="17.25" customHeight="1"/>
    <row r="64854" customFormat="1" ht="17.25" customHeight="1"/>
    <row r="64855" customFormat="1" ht="17.25" customHeight="1"/>
    <row r="64856" customFormat="1" ht="17.25" customHeight="1"/>
    <row r="64857" customFormat="1" ht="17.25" customHeight="1"/>
    <row r="64858" customFormat="1" ht="17.25" customHeight="1"/>
    <row r="64859" customFormat="1" ht="17.25" customHeight="1"/>
    <row r="64860" customFormat="1" ht="17.25" customHeight="1"/>
    <row r="64861" customFormat="1" ht="17.25" customHeight="1"/>
    <row r="64862" customFormat="1" ht="17.25" customHeight="1"/>
    <row r="64863" customFormat="1" ht="17.25" customHeight="1"/>
    <row r="64864" customFormat="1" ht="17.25" customHeight="1"/>
    <row r="64865" customFormat="1" ht="17.25" customHeight="1"/>
    <row r="64866" customFormat="1" ht="17.25" customHeight="1"/>
    <row r="64867" customFormat="1" ht="17.25" customHeight="1"/>
    <row r="64868" customFormat="1" ht="17.25" customHeight="1"/>
    <row r="64869" customFormat="1" ht="17.25" customHeight="1"/>
    <row r="64870" customFormat="1" ht="17.25" customHeight="1"/>
    <row r="64871" customFormat="1" ht="17.25" customHeight="1"/>
    <row r="64872" customFormat="1" ht="17.25" customHeight="1"/>
    <row r="64873" customFormat="1" ht="17.25" customHeight="1"/>
    <row r="64874" customFormat="1" ht="17.25" customHeight="1"/>
    <row r="64875" customFormat="1" ht="17.25" customHeight="1"/>
    <row r="64876" customFormat="1" ht="17.25" customHeight="1"/>
    <row r="64877" customFormat="1" ht="17.25" customHeight="1"/>
    <row r="64878" customFormat="1" ht="17.25" customHeight="1"/>
    <row r="64879" customFormat="1" ht="17.25" customHeight="1"/>
    <row r="64880" customFormat="1" ht="17.25" customHeight="1"/>
    <row r="64881" customFormat="1" ht="17.25" customHeight="1"/>
    <row r="64882" customFormat="1" ht="17.25" customHeight="1"/>
    <row r="64883" customFormat="1" ht="17.25" customHeight="1"/>
    <row r="64884" customFormat="1" ht="17.25" customHeight="1"/>
    <row r="64885" customFormat="1" ht="17.25" customHeight="1"/>
    <row r="64886" customFormat="1" ht="17.25" customHeight="1"/>
    <row r="64887" customFormat="1" ht="17.25" customHeight="1"/>
    <row r="64888" customFormat="1" ht="17.25" customHeight="1"/>
    <row r="64889" customFormat="1" ht="17.25" customHeight="1"/>
    <row r="64890" customFormat="1" ht="17.25" customHeight="1"/>
    <row r="64891" customFormat="1" ht="17.25" customHeight="1"/>
    <row r="64892" customFormat="1" ht="17.25" customHeight="1"/>
    <row r="64893" customFormat="1" ht="17.25" customHeight="1"/>
    <row r="64894" customFormat="1" ht="17.25" customHeight="1"/>
    <row r="64895" customFormat="1" ht="17.25" customHeight="1"/>
    <row r="64896" customFormat="1" ht="17.25" customHeight="1"/>
    <row r="64897" customFormat="1" ht="17.25" customHeight="1"/>
    <row r="64898" customFormat="1" ht="17.25" customHeight="1"/>
    <row r="64899" customFormat="1" ht="17.25" customHeight="1"/>
    <row r="64900" customFormat="1" ht="17.25" customHeight="1"/>
    <row r="64901" customFormat="1" ht="17.25" customHeight="1"/>
    <row r="64902" customFormat="1" ht="17.25" customHeight="1"/>
    <row r="64903" customFormat="1" ht="17.25" customHeight="1"/>
    <row r="64904" customFormat="1" ht="17.25" customHeight="1"/>
    <row r="64905" customFormat="1" ht="17.25" customHeight="1"/>
    <row r="64906" customFormat="1" ht="17.25" customHeight="1"/>
    <row r="64907" customFormat="1" ht="17.25" customHeight="1"/>
    <row r="64908" customFormat="1" ht="17.25" customHeight="1"/>
    <row r="64909" customFormat="1" ht="17.25" customHeight="1"/>
    <row r="64910" customFormat="1" ht="17.25" customHeight="1"/>
    <row r="64911" customFormat="1" ht="17.25" customHeight="1"/>
    <row r="64912" customFormat="1" ht="17.25" customHeight="1"/>
    <row r="64913" customFormat="1" ht="17.25" customHeight="1"/>
    <row r="64914" customFormat="1" ht="17.25" customHeight="1"/>
    <row r="64915" customFormat="1" ht="17.25" customHeight="1"/>
    <row r="64916" customFormat="1" ht="17.25" customHeight="1"/>
    <row r="64917" customFormat="1" ht="17.25" customHeight="1"/>
    <row r="64918" customFormat="1" ht="17.25" customHeight="1"/>
    <row r="64919" customFormat="1" ht="17.25" customHeight="1"/>
    <row r="64920" customFormat="1" ht="17.25" customHeight="1"/>
    <row r="64921" customFormat="1" ht="17.25" customHeight="1"/>
    <row r="64922" customFormat="1" ht="17.25" customHeight="1"/>
    <row r="64923" customFormat="1" ht="17.25" customHeight="1"/>
    <row r="64924" customFormat="1" ht="17.25" customHeight="1"/>
    <row r="64925" customFormat="1" ht="17.25" customHeight="1"/>
    <row r="64926" customFormat="1" ht="17.25" customHeight="1"/>
    <row r="64927" customFormat="1" ht="17.25" customHeight="1"/>
    <row r="64928" customFormat="1" ht="17.25" customHeight="1"/>
    <row r="64929" customFormat="1" ht="17.25" customHeight="1"/>
    <row r="64930" customFormat="1" ht="17.25" customHeight="1"/>
    <row r="64931" customFormat="1" ht="17.25" customHeight="1"/>
    <row r="64932" customFormat="1" ht="17.25" customHeight="1"/>
    <row r="64933" customFormat="1" ht="17.25" customHeight="1"/>
    <row r="64934" customFormat="1" ht="17.25" customHeight="1"/>
    <row r="64935" customFormat="1" ht="17.25" customHeight="1"/>
    <row r="64936" customFormat="1" ht="17.25" customHeight="1"/>
    <row r="64937" customFormat="1" ht="17.25" customHeight="1"/>
    <row r="64938" customFormat="1" ht="17.25" customHeight="1"/>
    <row r="64939" customFormat="1" ht="17.25" customHeight="1"/>
    <row r="64940" customFormat="1" ht="17.25" customHeight="1"/>
    <row r="64941" customFormat="1" ht="17.25" customHeight="1"/>
    <row r="64942" customFormat="1" ht="17.25" customHeight="1"/>
    <row r="64943" customFormat="1" ht="17.25" customHeight="1"/>
    <row r="64944" customFormat="1" ht="17.25" customHeight="1"/>
    <row r="64945" customFormat="1" ht="17.25" customHeight="1"/>
    <row r="64946" customFormat="1" ht="17.25" customHeight="1"/>
    <row r="64947" customFormat="1" ht="17.25" customHeight="1"/>
    <row r="64948" customFormat="1" ht="17.25" customHeight="1"/>
    <row r="64949" customFormat="1" ht="17.25" customHeight="1"/>
    <row r="64950" customFormat="1" ht="17.25" customHeight="1"/>
    <row r="64951" customFormat="1" ht="17.25" customHeight="1"/>
    <row r="64952" customFormat="1" ht="17.25" customHeight="1"/>
    <row r="64953" customFormat="1" ht="17.25" customHeight="1"/>
    <row r="64954" customFormat="1" ht="17.25" customHeight="1"/>
    <row r="64955" customFormat="1" ht="17.25" customHeight="1"/>
    <row r="64956" customFormat="1" ht="17.25" customHeight="1"/>
    <row r="64957" customFormat="1" ht="17.25" customHeight="1"/>
    <row r="64958" customFormat="1" ht="17.25" customHeight="1"/>
    <row r="64959" customFormat="1" ht="17.25" customHeight="1"/>
    <row r="64960" customFormat="1" ht="17.25" customHeight="1"/>
    <row r="64961" customFormat="1" ht="17.25" customHeight="1"/>
    <row r="64962" customFormat="1" ht="17.25" customHeight="1"/>
    <row r="64963" customFormat="1" ht="17.25" customHeight="1"/>
    <row r="64964" customFormat="1" ht="17.25" customHeight="1"/>
    <row r="64965" customFormat="1" ht="17.25" customHeight="1"/>
    <row r="64966" customFormat="1" ht="17.25" customHeight="1"/>
    <row r="64967" customFormat="1" ht="17.25" customHeight="1"/>
    <row r="64968" customFormat="1" ht="17.25" customHeight="1"/>
    <row r="64969" customFormat="1" ht="17.25" customHeight="1"/>
    <row r="64970" customFormat="1" ht="17.25" customHeight="1"/>
    <row r="64971" customFormat="1" ht="17.25" customHeight="1"/>
    <row r="64972" customFormat="1" ht="17.25" customHeight="1"/>
    <row r="64973" customFormat="1" ht="17.25" customHeight="1"/>
    <row r="64974" customFormat="1" ht="17.25" customHeight="1"/>
    <row r="64975" customFormat="1" ht="17.25" customHeight="1"/>
    <row r="64976" customFormat="1" ht="17.25" customHeight="1"/>
    <row r="64977" customFormat="1" ht="17.25" customHeight="1"/>
    <row r="64978" customFormat="1" ht="17.25" customHeight="1"/>
    <row r="64979" customFormat="1" ht="17.25" customHeight="1"/>
    <row r="64980" customFormat="1" ht="17.25" customHeight="1"/>
    <row r="64981" customFormat="1" ht="17.25" customHeight="1"/>
    <row r="64982" customFormat="1" ht="17.25" customHeight="1"/>
    <row r="64983" customFormat="1" ht="17.25" customHeight="1"/>
    <row r="64984" customFormat="1" ht="17.25" customHeight="1"/>
    <row r="64985" customFormat="1" ht="17.25" customHeight="1"/>
    <row r="64986" customFormat="1" ht="17.25" customHeight="1"/>
    <row r="64987" customFormat="1" ht="17.25" customHeight="1"/>
    <row r="64988" customFormat="1" ht="17.25" customHeight="1"/>
    <row r="64989" customFormat="1" ht="17.25" customHeight="1"/>
    <row r="64990" customFormat="1" ht="17.25" customHeight="1"/>
    <row r="64991" customFormat="1" ht="17.25" customHeight="1"/>
    <row r="64992" customFormat="1" ht="17.25" customHeight="1"/>
    <row r="64993" customFormat="1" ht="17.25" customHeight="1"/>
    <row r="64994" customFormat="1" ht="17.25" customHeight="1"/>
    <row r="64995" customFormat="1" ht="17.25" customHeight="1"/>
    <row r="64996" customFormat="1" ht="17.25" customHeight="1"/>
    <row r="64997" customFormat="1" ht="17.25" customHeight="1"/>
    <row r="64998" customFormat="1" ht="17.25" customHeight="1"/>
    <row r="64999" customFormat="1" ht="17.25" customHeight="1"/>
    <row r="65000" customFormat="1" ht="17.25" customHeight="1"/>
    <row r="65001" customFormat="1" ht="17.25" customHeight="1"/>
    <row r="65002" customFormat="1" ht="17.25" customHeight="1"/>
    <row r="65003" customFormat="1" ht="17.25" customHeight="1"/>
    <row r="65004" customFormat="1" ht="17.25" customHeight="1"/>
    <row r="65005" customFormat="1" ht="17.25" customHeight="1"/>
    <row r="65006" customFormat="1" ht="17.25" customHeight="1"/>
    <row r="65007" customFormat="1" ht="17.25" customHeight="1"/>
    <row r="65008" customFormat="1" ht="17.25" customHeight="1"/>
    <row r="65009" customFormat="1" ht="17.25" customHeight="1"/>
    <row r="65010" customFormat="1" ht="17.25" customHeight="1"/>
    <row r="65011" customFormat="1" ht="17.25" customHeight="1"/>
    <row r="65012" customFormat="1" ht="17.25" customHeight="1"/>
    <row r="65013" customFormat="1" ht="17.25" customHeight="1"/>
    <row r="65014" customFormat="1" ht="17.25" customHeight="1"/>
    <row r="65015" customFormat="1" ht="17.25" customHeight="1"/>
    <row r="65016" customFormat="1" ht="17.25" customHeight="1"/>
    <row r="65017" customFormat="1" ht="17.25" customHeight="1"/>
    <row r="65018" customFormat="1" ht="17.25" customHeight="1"/>
    <row r="65019" customFormat="1" ht="17.25" customHeight="1"/>
    <row r="65020" customFormat="1" ht="17.25" customHeight="1"/>
    <row r="65021" customFormat="1" ht="17.25" customHeight="1"/>
    <row r="65022" customFormat="1" ht="17.25" customHeight="1"/>
    <row r="65023" customFormat="1" ht="17.25" customHeight="1"/>
    <row r="65024" customFormat="1" ht="17.25" customHeight="1"/>
    <row r="65025" customFormat="1" ht="17.25" customHeight="1"/>
    <row r="65026" customFormat="1" ht="17.25" customHeight="1"/>
    <row r="65027" customFormat="1" ht="17.25" customHeight="1"/>
    <row r="65028" customFormat="1" ht="17.25" customHeight="1"/>
    <row r="65029" customFormat="1" ht="17.25" customHeight="1"/>
    <row r="65030" customFormat="1" ht="17.25" customHeight="1"/>
    <row r="65031" customFormat="1" ht="17.25" customHeight="1"/>
    <row r="65032" customFormat="1" ht="17.25" customHeight="1"/>
    <row r="65033" customFormat="1" ht="17.25" customHeight="1"/>
    <row r="65034" customFormat="1" ht="17.25" customHeight="1"/>
    <row r="65035" customFormat="1" ht="17.25" customHeight="1"/>
    <row r="65036" customFormat="1" ht="17.25" customHeight="1"/>
    <row r="65037" customFormat="1" ht="17.25" customHeight="1"/>
    <row r="65038" customFormat="1" ht="17.25" customHeight="1"/>
    <row r="65039" customFormat="1" ht="17.25" customHeight="1"/>
    <row r="65040" customFormat="1" ht="17.25" customHeight="1"/>
    <row r="65041" customFormat="1" ht="17.25" customHeight="1"/>
    <row r="65042" customFormat="1" ht="17.25" customHeight="1"/>
    <row r="65043" customFormat="1" ht="17.25" customHeight="1"/>
    <row r="65044" customFormat="1" ht="17.25" customHeight="1"/>
    <row r="65045" customFormat="1" ht="17.25" customHeight="1"/>
    <row r="65046" customFormat="1" ht="17.25" customHeight="1"/>
    <row r="65047" customFormat="1" ht="17.25" customHeight="1"/>
    <row r="65048" customFormat="1" ht="17.25" customHeight="1"/>
    <row r="65049" customFormat="1" ht="17.25" customHeight="1"/>
    <row r="65050" customFormat="1" ht="17.25" customHeight="1"/>
    <row r="65051" customFormat="1" ht="17.25" customHeight="1"/>
    <row r="65052" customFormat="1" ht="17.25" customHeight="1"/>
    <row r="65053" customFormat="1" ht="17.25" customHeight="1"/>
    <row r="65054" customFormat="1" ht="17.25" customHeight="1"/>
    <row r="65055" customFormat="1" ht="17.25" customHeight="1"/>
    <row r="65056" customFormat="1" ht="17.25" customHeight="1"/>
    <row r="65057" customFormat="1" ht="17.25" customHeight="1"/>
    <row r="65058" customFormat="1" ht="17.25" customHeight="1"/>
    <row r="65059" customFormat="1" ht="17.25" customHeight="1"/>
    <row r="65060" customFormat="1" ht="17.25" customHeight="1"/>
    <row r="65061" customFormat="1" ht="17.25" customHeight="1"/>
    <row r="65062" customFormat="1" ht="17.25" customHeight="1"/>
    <row r="65063" customFormat="1" ht="17.25" customHeight="1"/>
    <row r="65064" customFormat="1" ht="17.25" customHeight="1"/>
    <row r="65065" customFormat="1" ht="17.25" customHeight="1"/>
    <row r="65066" customFormat="1" ht="17.25" customHeight="1"/>
    <row r="65067" customFormat="1" ht="17.25" customHeight="1"/>
    <row r="65068" customFormat="1" ht="17.25" customHeight="1"/>
    <row r="65069" customFormat="1" ht="17.25" customHeight="1"/>
    <row r="65070" customFormat="1" ht="17.25" customHeight="1"/>
    <row r="65071" customFormat="1" ht="17.25" customHeight="1"/>
    <row r="65072" customFormat="1" ht="17.25" customHeight="1"/>
    <row r="65073" customFormat="1" ht="17.25" customHeight="1"/>
    <row r="65074" customFormat="1" ht="17.25" customHeight="1"/>
    <row r="65075" customFormat="1" ht="17.25" customHeight="1"/>
    <row r="65076" customFormat="1" ht="17.25" customHeight="1"/>
    <row r="65077" customFormat="1" ht="17.25" customHeight="1"/>
    <row r="65078" customFormat="1" ht="17.25" customHeight="1"/>
    <row r="65079" customFormat="1" ht="17.25" customHeight="1"/>
    <row r="65080" customFormat="1" ht="17.25" customHeight="1"/>
    <row r="65081" customFormat="1" ht="17.25" customHeight="1"/>
    <row r="65082" customFormat="1" ht="17.25" customHeight="1"/>
    <row r="65083" customFormat="1" ht="17.25" customHeight="1"/>
    <row r="65084" customFormat="1" ht="17.25" customHeight="1"/>
    <row r="65085" customFormat="1" ht="17.25" customHeight="1"/>
    <row r="65086" customFormat="1" ht="17.25" customHeight="1"/>
    <row r="65087" customFormat="1" ht="17.25" customHeight="1"/>
    <row r="65088" customFormat="1" ht="17.25" customHeight="1"/>
    <row r="65089" customFormat="1" ht="17.25" customHeight="1"/>
    <row r="65090" customFormat="1" ht="17.25" customHeight="1"/>
    <row r="65091" customFormat="1" ht="17.25" customHeight="1"/>
    <row r="65092" customFormat="1" ht="17.25" customHeight="1"/>
    <row r="65093" customFormat="1" ht="17.25" customHeight="1"/>
    <row r="65094" customFormat="1" ht="17.25" customHeight="1"/>
    <row r="65095" customFormat="1" ht="17.25" customHeight="1"/>
    <row r="65096" customFormat="1" ht="17.25" customHeight="1"/>
    <row r="65097" customFormat="1" ht="17.25" customHeight="1"/>
    <row r="65098" customFormat="1" ht="17.25" customHeight="1"/>
    <row r="65099" customFormat="1" ht="17.25" customHeight="1"/>
    <row r="65100" customFormat="1" ht="17.25" customHeight="1"/>
    <row r="65101" customFormat="1" ht="17.25" customHeight="1"/>
    <row r="65102" customFormat="1" ht="17.25" customHeight="1"/>
    <row r="65103" customFormat="1" ht="17.25" customHeight="1"/>
    <row r="65104" customFormat="1" ht="17.25" customHeight="1"/>
    <row r="65105" customFormat="1" ht="17.25" customHeight="1"/>
    <row r="65106" customFormat="1" ht="17.25" customHeight="1"/>
    <row r="65107" customFormat="1" ht="17.25" customHeight="1"/>
    <row r="65108" customFormat="1" ht="17.25" customHeight="1"/>
    <row r="65109" customFormat="1" ht="17.25" customHeight="1"/>
    <row r="65110" customFormat="1" ht="17.25" customHeight="1"/>
    <row r="65111" customFormat="1" ht="17.25" customHeight="1"/>
    <row r="65112" customFormat="1" ht="17.25" customHeight="1"/>
    <row r="65113" customFormat="1" ht="17.25" customHeight="1"/>
    <row r="65114" customFormat="1" ht="17.25" customHeight="1"/>
    <row r="65115" customFormat="1" ht="17.25" customHeight="1"/>
    <row r="65116" customFormat="1" ht="17.25" customHeight="1"/>
    <row r="65117" customFormat="1" ht="17.25" customHeight="1"/>
    <row r="65118" customFormat="1" ht="17.25" customHeight="1"/>
    <row r="65119" customFormat="1" ht="17.25" customHeight="1"/>
    <row r="65120" customFormat="1" ht="17.25" customHeight="1"/>
    <row r="65121" customFormat="1" ht="17.25" customHeight="1"/>
    <row r="65122" customFormat="1" ht="17.25" customHeight="1"/>
    <row r="65123" customFormat="1" ht="17.25" customHeight="1"/>
    <row r="65124" customFormat="1" ht="17.25" customHeight="1"/>
    <row r="65125" customFormat="1" ht="17.25" customHeight="1"/>
    <row r="65126" customFormat="1" ht="17.25" customHeight="1"/>
    <row r="65127" customFormat="1" ht="17.25" customHeight="1"/>
    <row r="65128" customFormat="1" ht="17.25" customHeight="1"/>
    <row r="65129" customFormat="1" ht="17.25" customHeight="1"/>
    <row r="65130" customFormat="1" ht="17.25" customHeight="1"/>
    <row r="65131" customFormat="1" ht="17.25" customHeight="1"/>
    <row r="65132" customFormat="1" ht="17.25" customHeight="1"/>
    <row r="65133" customFormat="1" ht="17.25" customHeight="1"/>
    <row r="65134" customFormat="1" ht="17.25" customHeight="1"/>
    <row r="65135" customFormat="1" ht="17.25" customHeight="1"/>
    <row r="65136" customFormat="1" ht="17.25" customHeight="1"/>
    <row r="65137" customFormat="1" ht="17.25" customHeight="1"/>
    <row r="65138" customFormat="1" ht="17.25" customHeight="1"/>
    <row r="65139" customFormat="1" ht="17.25" customHeight="1"/>
    <row r="65140" customFormat="1" ht="17.25" customHeight="1"/>
    <row r="65141" customFormat="1" ht="17.25" customHeight="1"/>
    <row r="65142" customFormat="1" ht="17.25" customHeight="1"/>
    <row r="65143" customFormat="1" ht="17.25" customHeight="1"/>
    <row r="65144" customFormat="1" ht="17.25" customHeight="1"/>
    <row r="65145" customFormat="1" ht="17.25" customHeight="1"/>
    <row r="65146" customFormat="1" ht="17.25" customHeight="1"/>
    <row r="65147" customFormat="1" ht="17.25" customHeight="1"/>
    <row r="65148" customFormat="1" ht="17.25" customHeight="1"/>
    <row r="65149" customFormat="1" ht="17.25" customHeight="1"/>
    <row r="65150" customFormat="1" ht="17.25" customHeight="1"/>
    <row r="65151" customFormat="1" ht="17.25" customHeight="1"/>
    <row r="65152" customFormat="1" ht="17.25" customHeight="1"/>
    <row r="65153" customFormat="1" ht="17.25" customHeight="1"/>
    <row r="65154" customFormat="1" ht="17.25" customHeight="1"/>
    <row r="65155" customFormat="1" ht="17.25" customHeight="1"/>
    <row r="65156" customFormat="1" ht="17.25" customHeight="1"/>
    <row r="65157" customFormat="1" ht="17.25" customHeight="1"/>
    <row r="65158" customFormat="1" ht="17.25" customHeight="1"/>
    <row r="65159" customFormat="1" ht="17.25" customHeight="1"/>
    <row r="65160" customFormat="1" ht="17.25" customHeight="1"/>
    <row r="65161" customFormat="1" ht="17.25" customHeight="1"/>
    <row r="65162" customFormat="1" ht="17.25" customHeight="1"/>
    <row r="65163" customFormat="1" ht="17.25" customHeight="1"/>
    <row r="65164" customFormat="1" ht="17.25" customHeight="1"/>
    <row r="65165" customFormat="1" ht="17.25" customHeight="1"/>
    <row r="65166" customFormat="1" ht="17.25" customHeight="1"/>
    <row r="65167" customFormat="1" ht="17.25" customHeight="1"/>
    <row r="65168" customFormat="1" ht="17.25" customHeight="1"/>
    <row r="65169" customFormat="1" ht="17.25" customHeight="1"/>
    <row r="65170" customFormat="1" ht="17.25" customHeight="1"/>
    <row r="65171" customFormat="1" ht="17.25" customHeight="1"/>
    <row r="65172" customFormat="1" ht="17.25" customHeight="1"/>
    <row r="65173" customFormat="1" ht="17.25" customHeight="1"/>
    <row r="65174" customFormat="1" ht="17.25" customHeight="1"/>
    <row r="65175" customFormat="1" ht="17.25" customHeight="1"/>
    <row r="65176" customFormat="1" ht="17.25" customHeight="1"/>
    <row r="65177" customFormat="1" ht="17.25" customHeight="1"/>
    <row r="65178" customFormat="1" ht="17.25" customHeight="1"/>
    <row r="65179" customFormat="1" ht="17.25" customHeight="1"/>
    <row r="65180" customFormat="1" ht="17.25" customHeight="1"/>
    <row r="65181" customFormat="1" ht="17.25" customHeight="1"/>
    <row r="65182" customFormat="1" ht="17.25" customHeight="1"/>
    <row r="65183" customFormat="1" ht="17.25" customHeight="1"/>
    <row r="65184" customFormat="1" ht="17.25" customHeight="1"/>
    <row r="65185" customFormat="1" ht="17.25" customHeight="1"/>
    <row r="65186" customFormat="1" ht="17.25" customHeight="1"/>
    <row r="65187" customFormat="1" ht="17.25" customHeight="1"/>
    <row r="65188" customFormat="1" ht="17.25" customHeight="1"/>
    <row r="65189" customFormat="1" ht="17.25" customHeight="1"/>
    <row r="65190" customFormat="1" ht="17.25" customHeight="1"/>
    <row r="65191" customFormat="1" ht="17.25" customHeight="1"/>
    <row r="65192" customFormat="1" ht="17.25" customHeight="1"/>
    <row r="65193" customFormat="1" ht="17.25" customHeight="1"/>
    <row r="65194" customFormat="1" ht="17.25" customHeight="1"/>
    <row r="65195" customFormat="1" ht="17.25" customHeight="1"/>
    <row r="65196" customFormat="1" ht="17.25" customHeight="1"/>
    <row r="65197" customFormat="1" ht="17.25" customHeight="1"/>
    <row r="65198" customFormat="1" ht="17.25" customHeight="1"/>
    <row r="65199" customFormat="1" ht="17.25" customHeight="1"/>
    <row r="65200" customFormat="1" ht="17.25" customHeight="1"/>
    <row r="65201" customFormat="1" ht="17.25" customHeight="1"/>
    <row r="65202" customFormat="1" ht="17.25" customHeight="1"/>
    <row r="65203" customFormat="1" ht="17.25" customHeight="1"/>
    <row r="65204" customFormat="1" ht="17.25" customHeight="1"/>
    <row r="65205" customFormat="1" ht="17.25" customHeight="1"/>
    <row r="65206" customFormat="1" ht="17.25" customHeight="1"/>
    <row r="65207" customFormat="1" ht="17.25" customHeight="1"/>
    <row r="65208" customFormat="1" ht="17.25" customHeight="1"/>
    <row r="65209" customFormat="1" ht="17.25" customHeight="1"/>
    <row r="65210" customFormat="1" ht="17.25" customHeight="1"/>
    <row r="65211" customFormat="1" ht="17.25" customHeight="1"/>
    <row r="65212" customFormat="1" ht="17.25" customHeight="1"/>
    <row r="65213" customFormat="1" ht="17.25" customHeight="1"/>
    <row r="65214" customFormat="1" ht="17.25" customHeight="1"/>
    <row r="65215" customFormat="1" ht="17.25" customHeight="1"/>
    <row r="65216" customFormat="1" ht="17.25" customHeight="1"/>
    <row r="65217" customFormat="1" ht="17.25" customHeight="1"/>
    <row r="65218" customFormat="1" ht="17.25" customHeight="1"/>
    <row r="65219" customFormat="1" ht="17.25" customHeight="1"/>
    <row r="65220" customFormat="1" ht="17.25" customHeight="1"/>
    <row r="65221" customFormat="1" ht="17.25" customHeight="1"/>
    <row r="65222" customFormat="1" ht="17.25" customHeight="1"/>
    <row r="65223" customFormat="1" ht="17.25" customHeight="1"/>
    <row r="65224" customFormat="1" ht="17.25" customHeight="1"/>
    <row r="65225" customFormat="1" ht="17.25" customHeight="1"/>
    <row r="65226" customFormat="1" ht="17.25" customHeight="1"/>
    <row r="65227" customFormat="1" ht="17.25" customHeight="1"/>
    <row r="65228" customFormat="1" ht="17.25" customHeight="1"/>
    <row r="65229" customFormat="1" ht="17.25" customHeight="1"/>
    <row r="65230" customFormat="1" ht="17.25" customHeight="1"/>
    <row r="65231" customFormat="1" ht="17.25" customHeight="1"/>
    <row r="65232" customFormat="1" ht="17.25" customHeight="1"/>
    <row r="65233" customFormat="1" ht="17.25" customHeight="1"/>
    <row r="65234" customFormat="1" ht="17.25" customHeight="1"/>
    <row r="65235" customFormat="1" ht="17.25" customHeight="1"/>
    <row r="65236" customFormat="1" ht="17.25" customHeight="1"/>
    <row r="65237" customFormat="1" ht="17.25" customHeight="1"/>
    <row r="65238" customFormat="1" ht="17.25" customHeight="1"/>
    <row r="65239" customFormat="1" ht="17.25" customHeight="1"/>
    <row r="65240" customFormat="1" ht="17.25" customHeight="1"/>
    <row r="65241" customFormat="1" ht="17.25" customHeight="1"/>
    <row r="65242" customFormat="1" ht="17.25" customHeight="1"/>
    <row r="65243" customFormat="1" ht="17.25" customHeight="1"/>
    <row r="65244" customFormat="1" ht="17.25" customHeight="1"/>
    <row r="65245" customFormat="1" ht="17.25" customHeight="1"/>
    <row r="65246" customFormat="1" ht="17.25" customHeight="1"/>
    <row r="65247" customFormat="1" ht="17.25" customHeight="1"/>
    <row r="65248" customFormat="1" ht="17.25" customHeight="1"/>
    <row r="65249" customFormat="1" ht="17.25" customHeight="1"/>
    <row r="65250" customFormat="1" ht="17.25" customHeight="1"/>
    <row r="65251" customFormat="1" ht="17.25" customHeight="1"/>
    <row r="65252" customFormat="1" ht="17.25" customHeight="1"/>
    <row r="65253" customFormat="1" ht="17.25" customHeight="1"/>
    <row r="65254" customFormat="1" ht="17.25" customHeight="1"/>
    <row r="65255" customFormat="1" ht="17.25" customHeight="1"/>
    <row r="65256" customFormat="1" ht="17.25" customHeight="1"/>
    <row r="65257" customFormat="1" ht="17.25" customHeight="1"/>
    <row r="65258" customFormat="1" ht="17.25" customHeight="1"/>
    <row r="65259" customFormat="1" ht="17.25" customHeight="1"/>
    <row r="65260" customFormat="1" ht="17.25" customHeight="1"/>
    <row r="65261" customFormat="1" ht="17.25" customHeight="1"/>
    <row r="65262" customFormat="1" ht="17.25" customHeight="1"/>
    <row r="65263" customFormat="1" ht="17.25" customHeight="1"/>
    <row r="65264" customFormat="1" ht="17.25" customHeight="1"/>
    <row r="65265" customFormat="1" ht="17.25" customHeight="1"/>
    <row r="65266" customFormat="1" ht="17.25" customHeight="1"/>
    <row r="65267" customFormat="1" ht="17.25" customHeight="1"/>
    <row r="65268" customFormat="1" ht="17.25" customHeight="1"/>
    <row r="65269" customFormat="1" ht="17.25" customHeight="1"/>
    <row r="65270" customFormat="1" ht="17.25" customHeight="1"/>
    <row r="65271" customFormat="1" ht="17.25" customHeight="1"/>
    <row r="65272" customFormat="1" ht="17.25" customHeight="1"/>
    <row r="65273" customFormat="1" ht="17.25" customHeight="1"/>
    <row r="65274" customFormat="1" ht="17.25" customHeight="1"/>
    <row r="65275" customFormat="1" ht="17.25" customHeight="1"/>
    <row r="65276" customFormat="1" ht="17.25" customHeight="1"/>
    <row r="65277" customFormat="1" ht="17.25" customHeight="1"/>
    <row r="65278" customFormat="1" ht="17.25" customHeight="1"/>
    <row r="65279" customFormat="1" ht="17.25" customHeight="1"/>
    <row r="65280" customFormat="1" ht="17.25" customHeight="1"/>
    <row r="65281" customFormat="1" ht="17.25" customHeight="1"/>
    <row r="65282" customFormat="1" ht="17.25" customHeight="1"/>
    <row r="65283" customFormat="1" ht="17.25" customHeight="1"/>
    <row r="65284" customFormat="1" ht="17.25" customHeight="1"/>
    <row r="65285" customFormat="1" ht="17.25" customHeight="1"/>
    <row r="65286" customFormat="1" ht="17.25" customHeight="1"/>
    <row r="65287" customFormat="1" ht="17.25" customHeight="1"/>
    <row r="65288" customFormat="1" ht="17.25" customHeight="1"/>
    <row r="65289" customFormat="1" ht="17.25" customHeight="1"/>
    <row r="65290" customFormat="1" ht="17.25" customHeight="1"/>
    <row r="65291" customFormat="1" ht="17.25" customHeight="1"/>
    <row r="65292" customFormat="1" ht="17.25" customHeight="1"/>
    <row r="65293" customFormat="1" ht="17.25" customHeight="1"/>
    <row r="65294" customFormat="1" ht="17.25" customHeight="1"/>
    <row r="65295" customFormat="1" ht="17.25" customHeight="1"/>
    <row r="65296" customFormat="1" ht="17.25" customHeight="1"/>
    <row r="65297" customFormat="1" ht="17.25" customHeight="1"/>
    <row r="65298" customFormat="1" ht="17.25" customHeight="1"/>
    <row r="65299" customFormat="1" ht="17.25" customHeight="1"/>
    <row r="65300" customFormat="1" ht="17.25" customHeight="1"/>
    <row r="65301" customFormat="1" ht="17.25" customHeight="1"/>
    <row r="65302" customFormat="1" ht="17.25" customHeight="1"/>
    <row r="65303" customFormat="1" ht="17.25" customHeight="1"/>
    <row r="65304" customFormat="1" ht="17.25" customHeight="1"/>
    <row r="65305" customFormat="1" ht="17.25" customHeight="1"/>
    <row r="65306" customFormat="1" ht="17.25" customHeight="1"/>
    <row r="65307" customFormat="1" ht="17.25" customHeight="1"/>
    <row r="65308" customFormat="1" ht="17.25" customHeight="1"/>
    <row r="65309" customFormat="1" ht="17.25" customHeight="1"/>
    <row r="65310" customFormat="1" ht="17.25" customHeight="1"/>
    <row r="65311" customFormat="1" ht="17.25" customHeight="1"/>
    <row r="65312" customFormat="1" ht="17.25" customHeight="1"/>
    <row r="65313" customFormat="1" ht="17.25" customHeight="1"/>
    <row r="65314" customFormat="1" ht="17.25" customHeight="1"/>
    <row r="65315" customFormat="1" ht="17.25" customHeight="1"/>
    <row r="65316" customFormat="1" ht="17.25" customHeight="1"/>
    <row r="65317" customFormat="1" ht="17.25" customHeight="1"/>
    <row r="65318" customFormat="1" ht="17.25" customHeight="1"/>
    <row r="65319" customFormat="1" ht="17.25" customHeight="1"/>
    <row r="65320" customFormat="1" ht="17.25" customHeight="1"/>
    <row r="65321" customFormat="1" ht="17.25" customHeight="1"/>
    <row r="65322" customFormat="1" ht="17.25" customHeight="1"/>
    <row r="65323" customFormat="1" ht="17.25" customHeight="1"/>
    <row r="65324" customFormat="1" ht="17.25" customHeight="1"/>
    <row r="65325" customFormat="1" ht="17.25" customHeight="1"/>
    <row r="65326" customFormat="1" ht="17.25" customHeight="1"/>
    <row r="65327" customFormat="1" ht="17.25" customHeight="1"/>
    <row r="65328" customFormat="1" ht="17.25" customHeight="1"/>
    <row r="65329" customFormat="1" ht="17.25" customHeight="1"/>
    <row r="65330" customFormat="1" ht="17.25" customHeight="1"/>
    <row r="65331" customFormat="1" ht="17.25" customHeight="1"/>
    <row r="65332" customFormat="1" ht="17.25" customHeight="1"/>
    <row r="65333" customFormat="1" ht="17.25" customHeight="1"/>
    <row r="65334" customFormat="1" ht="17.25" customHeight="1"/>
    <row r="65335" customFormat="1" ht="17.25" customHeight="1"/>
    <row r="65336" customFormat="1" ht="17.25" customHeight="1"/>
    <row r="65337" customFormat="1" ht="17.25" customHeight="1"/>
    <row r="65338" customFormat="1" ht="17.25" customHeight="1"/>
    <row r="65339" customFormat="1" ht="17.25" customHeight="1"/>
    <row r="65340" customFormat="1" ht="17.25" customHeight="1"/>
    <row r="65341" customFormat="1" ht="17.25" customHeight="1"/>
    <row r="65342" customFormat="1" ht="17.25" customHeight="1"/>
    <row r="65343" customFormat="1" ht="17.25" customHeight="1"/>
    <row r="65344" customFormat="1" ht="17.25" customHeight="1"/>
    <row r="65345" customFormat="1" ht="17.25" customHeight="1"/>
    <row r="65346" customFormat="1" ht="17.25" customHeight="1"/>
    <row r="65347" customFormat="1" ht="17.25" customHeight="1"/>
    <row r="65348" customFormat="1" ht="17.25" customHeight="1"/>
    <row r="65349" customFormat="1" ht="17.25" customHeight="1"/>
    <row r="65350" customFormat="1" ht="17.25" customHeight="1"/>
    <row r="65351" customFormat="1" ht="17.25" customHeight="1"/>
    <row r="65352" customFormat="1" ht="17.25" customHeight="1"/>
    <row r="65353" customFormat="1" ht="17.25" customHeight="1"/>
    <row r="65354" customFormat="1" ht="17.25" customHeight="1"/>
    <row r="65355" customFormat="1" ht="17.25" customHeight="1"/>
    <row r="65356" customFormat="1" ht="17.25" customHeight="1"/>
    <row r="65357" customFormat="1" ht="17.25" customHeight="1"/>
    <row r="65358" customFormat="1" ht="17.25" customHeight="1"/>
    <row r="65359" customFormat="1" ht="17.25" customHeight="1"/>
    <row r="65360" customFormat="1" ht="17.25" customHeight="1"/>
    <row r="65361" customFormat="1" ht="17.25" customHeight="1"/>
    <row r="65362" customFormat="1" ht="17.25" customHeight="1"/>
    <row r="65363" customFormat="1" ht="17.25" customHeight="1"/>
    <row r="65364" customFormat="1" ht="17.25" customHeight="1"/>
    <row r="65365" customFormat="1" ht="17.25" customHeight="1"/>
    <row r="65366" customFormat="1" ht="17.25" customHeight="1"/>
    <row r="65367" customFormat="1" ht="17.25" customHeight="1"/>
    <row r="65368" customFormat="1" ht="17.25" customHeight="1"/>
    <row r="65369" customFormat="1" ht="17.25" customHeight="1"/>
    <row r="65370" customFormat="1" ht="17.25" customHeight="1"/>
    <row r="65371" customFormat="1" ht="17.25" customHeight="1"/>
    <row r="65372" customFormat="1" ht="17.25" customHeight="1"/>
    <row r="65373" customFormat="1" ht="17.25" customHeight="1"/>
    <row r="65374" customFormat="1" ht="17.25" customHeight="1"/>
    <row r="65375" customFormat="1" ht="17.25" customHeight="1"/>
    <row r="65376" customFormat="1" ht="17.25" customHeight="1"/>
    <row r="65377" customFormat="1" ht="17.25" customHeight="1"/>
    <row r="65378" customFormat="1" ht="17.25" customHeight="1"/>
    <row r="65379" customFormat="1" ht="17.25" customHeight="1"/>
    <row r="65380" customFormat="1" ht="17.25" customHeight="1"/>
    <row r="65381" customFormat="1" ht="17.25" customHeight="1"/>
    <row r="65382" customFormat="1" ht="17.25" customHeight="1"/>
    <row r="65383" customFormat="1" ht="17.25" customHeight="1"/>
    <row r="65384" customFormat="1" ht="17.25" customHeight="1"/>
    <row r="65385" customFormat="1" ht="17.25" customHeight="1"/>
    <row r="65386" customFormat="1" ht="17.25" customHeight="1"/>
    <row r="65387" customFormat="1" ht="17.25" customHeight="1"/>
    <row r="65388" customFormat="1" ht="17.25" customHeight="1"/>
    <row r="65389" customFormat="1" ht="17.25" customHeight="1"/>
    <row r="65390" customFormat="1" ht="17.25" customHeight="1"/>
    <row r="65391" customFormat="1" ht="17.25" customHeight="1"/>
    <row r="65392" customFormat="1" ht="17.25" customHeight="1"/>
    <row r="65393" customFormat="1" ht="17.25" customHeight="1"/>
    <row r="65394" customFormat="1" ht="17.25" customHeight="1"/>
    <row r="65395" customFormat="1" ht="17.25" customHeight="1"/>
    <row r="65396" customFormat="1" ht="17.25" customHeight="1"/>
    <row r="65397" customFormat="1" ht="17.25" customHeight="1"/>
    <row r="65398" customFormat="1" ht="17.25" customHeight="1"/>
    <row r="65399" customFormat="1" ht="17.25" customHeight="1"/>
    <row r="65400" customFormat="1" ht="17.25" customHeight="1"/>
    <row r="65401" customFormat="1" ht="17.25" customHeight="1"/>
    <row r="65402" customFormat="1" ht="17.25" customHeight="1"/>
    <row r="65403" customFormat="1" ht="17.25" customHeight="1"/>
    <row r="65404" customFormat="1" ht="17.25" customHeight="1"/>
    <row r="65405" customFormat="1" ht="17.25" customHeight="1"/>
    <row r="65406" customFormat="1" ht="17.25" customHeight="1"/>
    <row r="65407" customFormat="1" ht="17.25" customHeight="1"/>
    <row r="65408" customFormat="1" ht="17.25" customHeight="1"/>
    <row r="65409" customFormat="1" ht="17.25" customHeight="1"/>
    <row r="65410" customFormat="1" ht="17.25" customHeight="1"/>
    <row r="65411" customFormat="1" ht="17.25" customHeight="1"/>
    <row r="65412" customFormat="1" ht="17.25" customHeight="1"/>
    <row r="65413" customFormat="1" ht="17.25" customHeight="1"/>
    <row r="65414" customFormat="1" ht="17.25" customHeight="1"/>
    <row r="65415" customFormat="1" ht="17.25" customHeight="1"/>
    <row r="65416" customFormat="1" ht="17.25" customHeight="1"/>
    <row r="65417" customFormat="1" ht="17.25" customHeight="1"/>
    <row r="65418" customFormat="1" ht="17.25" customHeight="1"/>
    <row r="65419" customFormat="1" ht="17.25" customHeight="1"/>
    <row r="65420" customFormat="1" ht="17.25" customHeight="1"/>
    <row r="65421" customFormat="1" ht="17.25" customHeight="1"/>
    <row r="65422" customFormat="1" ht="17.25" customHeight="1"/>
    <row r="65423" customFormat="1" ht="17.25" customHeight="1"/>
    <row r="65424" customFormat="1" ht="17.25" customHeight="1"/>
    <row r="65425" customFormat="1" ht="17.25" customHeight="1"/>
    <row r="65426" customFormat="1" ht="17.25" customHeight="1"/>
    <row r="65427" customFormat="1" ht="17.25" customHeight="1"/>
    <row r="65428" customFormat="1" ht="17.25" customHeight="1"/>
    <row r="65429" customFormat="1" ht="17.25" customHeight="1"/>
    <row r="65430" customFormat="1" ht="17.25" customHeight="1"/>
    <row r="65431" customFormat="1" ht="17.25" customHeight="1"/>
    <row r="65432" customFormat="1" ht="17.25" customHeight="1"/>
    <row r="65433" customFormat="1" ht="17.25" customHeight="1"/>
    <row r="65434" customFormat="1" ht="17.25" customHeight="1"/>
    <row r="65435" customFormat="1" ht="17.25" customHeight="1"/>
    <row r="65436" customFormat="1" ht="17.25" customHeight="1"/>
    <row r="65437" customFormat="1" ht="17.25" customHeight="1"/>
    <row r="65438" customFormat="1" ht="17.25" customHeight="1"/>
    <row r="65439" customFormat="1" ht="17.25" customHeight="1"/>
    <row r="65440" customFormat="1" ht="17.25" customHeight="1"/>
    <row r="65441" customFormat="1" ht="17.25" customHeight="1"/>
    <row r="65442" customFormat="1" ht="17.25" customHeight="1"/>
    <row r="65443" customFormat="1" ht="17.25" customHeight="1"/>
    <row r="65444" customFormat="1" ht="17.25" customHeight="1"/>
    <row r="65445" customFormat="1" ht="17.25" customHeight="1"/>
    <row r="65446" customFormat="1" ht="17.25" customHeight="1"/>
  </sheetData>
  <phoneticPr fontId="4" type="noConversion"/>
  <pageMargins left="0.75" right="0.75" top="1" bottom="1" header="0.5" footer="0.5"/>
  <pageSetup paperSize="9" orientation="portrait" horizontalDpi="96" verticalDpi="96" r:id="rId1"/>
  <headerFooter alignWithMargins="0"/>
  <ignoredErrors>
    <ignoredError sqref="C1 D4:AK4 E8:AK8 D18:AK20 E17:AK17 E21:G21 D6:H6 L6:AK6 D14:AK14 J6 I21:AK21 D9 F9:AK9 D3:H3 D10:AK12" evalError="1"/>
  </ignoredErrors>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1:IS1164"/>
  <sheetViews>
    <sheetView showGridLines="0" workbookViewId="0">
      <pane xSplit="9" ySplit="6" topLeftCell="J7" activePane="bottomRight" state="frozen"/>
      <selection activeCell="A37" sqref="A37"/>
      <selection pane="topRight" activeCell="A37" sqref="A37"/>
      <selection pane="bottomLeft" activeCell="A37" sqref="A37"/>
      <selection pane="bottomRight" activeCell="A6" sqref="A6"/>
    </sheetView>
  </sheetViews>
  <sheetFormatPr defaultColWidth="9.375" defaultRowHeight="17.25" customHeight="1"/>
  <cols>
    <col min="1" max="1" width="30.875" style="311" customWidth="1"/>
    <col min="2" max="2" width="22" style="315" customWidth="1"/>
    <col min="3" max="3" width="25.375" style="127" hidden="1" customWidth="1"/>
    <col min="4" max="4" width="23.875" style="127" hidden="1" customWidth="1"/>
    <col min="5" max="5" width="21.125" style="127" hidden="1" customWidth="1"/>
    <col min="6" max="6" width="19" style="127" hidden="1" customWidth="1"/>
    <col min="7" max="7" width="16.625" style="127" hidden="1" customWidth="1"/>
    <col min="8" max="8" width="15.5" style="127" hidden="1" customWidth="1"/>
    <col min="9" max="9" width="25.125" style="305" hidden="1" customWidth="1"/>
    <col min="10" max="12" width="15.875" style="127" customWidth="1"/>
    <col min="13" max="15" width="15.875" style="127" hidden="1" customWidth="1"/>
    <col min="16" max="39" width="15.875" style="123" hidden="1" customWidth="1"/>
    <col min="40" max="40" width="12.625" style="123" customWidth="1"/>
    <col min="41" max="16384" width="9.375" style="123"/>
  </cols>
  <sheetData>
    <row r="1" spans="1:42" ht="17.25" customHeight="1">
      <c r="A1" s="322" t="s">
        <v>211</v>
      </c>
      <c r="B1" s="323" t="s">
        <v>207</v>
      </c>
      <c r="C1" s="241"/>
      <c r="D1" s="241"/>
      <c r="E1" s="241"/>
      <c r="F1" s="241"/>
      <c r="G1" s="241"/>
      <c r="H1" s="241"/>
      <c r="I1" s="241"/>
      <c r="J1" s="1161" t="s">
        <v>2745</v>
      </c>
    </row>
    <row r="2" spans="1:42" ht="17.25" customHeight="1">
      <c r="A2" s="306" t="s">
        <v>1030</v>
      </c>
      <c r="B2" s="293"/>
      <c r="C2" s="129"/>
      <c r="D2" s="129"/>
      <c r="E2" s="129"/>
      <c r="F2" s="129"/>
      <c r="G2" s="129"/>
      <c r="H2" s="129"/>
      <c r="I2" s="129"/>
      <c r="J2" s="230">
        <v>1</v>
      </c>
      <c r="K2" s="230">
        <v>2</v>
      </c>
      <c r="L2" s="230">
        <v>3</v>
      </c>
      <c r="M2" s="230">
        <v>4</v>
      </c>
      <c r="N2" s="230">
        <v>5</v>
      </c>
      <c r="O2" s="230">
        <v>6</v>
      </c>
      <c r="P2" s="230">
        <v>7</v>
      </c>
      <c r="Q2" s="230">
        <v>8</v>
      </c>
      <c r="R2" s="230">
        <v>9</v>
      </c>
      <c r="S2" s="230">
        <v>10</v>
      </c>
      <c r="T2" s="230">
        <v>11</v>
      </c>
      <c r="U2" s="230">
        <v>12</v>
      </c>
      <c r="V2" s="230">
        <v>13</v>
      </c>
      <c r="W2" s="230">
        <v>14</v>
      </c>
      <c r="X2" s="230">
        <v>15</v>
      </c>
      <c r="Y2" s="230">
        <v>16</v>
      </c>
      <c r="Z2" s="230">
        <v>17</v>
      </c>
      <c r="AA2" s="230">
        <v>18</v>
      </c>
      <c r="AB2" s="230">
        <v>19</v>
      </c>
      <c r="AC2" s="230">
        <v>20</v>
      </c>
      <c r="AD2" s="230">
        <v>21</v>
      </c>
      <c r="AE2" s="230">
        <v>22</v>
      </c>
      <c r="AF2" s="230">
        <v>23</v>
      </c>
      <c r="AG2" s="230">
        <v>24</v>
      </c>
      <c r="AH2" s="230">
        <v>25</v>
      </c>
      <c r="AI2" s="230">
        <v>26</v>
      </c>
      <c r="AJ2" s="230">
        <v>27</v>
      </c>
      <c r="AK2" s="230">
        <v>28</v>
      </c>
      <c r="AL2" s="230">
        <v>29</v>
      </c>
      <c r="AM2" s="230">
        <v>30</v>
      </c>
    </row>
    <row r="3" spans="1:42" ht="17.25" customHeight="1">
      <c r="A3" s="307" t="s">
        <v>215</v>
      </c>
      <c r="B3" s="308">
        <f>IF(ISNUMBER(假设!I92),假设!I92,5%)</f>
        <v>0.04</v>
      </c>
      <c r="C3" s="129"/>
      <c r="D3" s="129"/>
      <c r="E3" s="129"/>
      <c r="F3" s="129"/>
      <c r="G3" s="129"/>
      <c r="H3" s="129"/>
      <c r="I3" s="129"/>
      <c r="J3" s="781" t="s">
        <v>1204</v>
      </c>
      <c r="L3" s="230"/>
      <c r="M3" s="230"/>
      <c r="N3" s="230"/>
      <c r="O3" s="230"/>
      <c r="P3" s="230"/>
      <c r="Q3" s="230"/>
      <c r="R3" s="230"/>
      <c r="S3" s="230"/>
      <c r="T3" s="230"/>
      <c r="U3" s="230"/>
      <c r="V3" s="230"/>
      <c r="W3" s="230"/>
      <c r="X3" s="230"/>
      <c r="Y3" s="230"/>
      <c r="Z3" s="230"/>
      <c r="AA3" s="230"/>
      <c r="AB3" s="230"/>
      <c r="AC3" s="230"/>
      <c r="AD3" s="230"/>
      <c r="AE3" s="230"/>
      <c r="AF3" s="230"/>
      <c r="AG3" s="230"/>
      <c r="AH3" s="230"/>
      <c r="AI3" s="230"/>
      <c r="AJ3" s="230"/>
      <c r="AK3" s="230"/>
      <c r="AL3" s="230"/>
      <c r="AM3" s="230"/>
    </row>
    <row r="4" spans="1:42" ht="17.25" customHeight="1">
      <c r="A4" s="527" t="s">
        <v>353</v>
      </c>
      <c r="B4" s="308">
        <f>IF(ISNUMBER(假设!I90),1/假设!I90,5%)</f>
        <v>7.5761585290001626E-2</v>
      </c>
      <c r="C4" s="129"/>
      <c r="D4" s="129"/>
      <c r="E4" s="129"/>
      <c r="F4" s="129"/>
      <c r="G4" s="129"/>
      <c r="H4" s="129"/>
      <c r="I4" s="129"/>
      <c r="J4" s="780">
        <v>6</v>
      </c>
      <c r="K4" s="780">
        <v>6</v>
      </c>
      <c r="L4" s="780">
        <v>6</v>
      </c>
      <c r="M4" s="780">
        <v>6</v>
      </c>
      <c r="N4" s="780">
        <v>6</v>
      </c>
      <c r="O4" s="780">
        <v>6</v>
      </c>
      <c r="P4" s="780">
        <v>6</v>
      </c>
      <c r="Q4" s="780">
        <v>6</v>
      </c>
      <c r="R4" s="780">
        <v>6</v>
      </c>
      <c r="S4" s="780">
        <v>6</v>
      </c>
      <c r="T4" s="780">
        <v>6</v>
      </c>
      <c r="U4" s="780">
        <v>6</v>
      </c>
      <c r="V4" s="780">
        <v>6</v>
      </c>
      <c r="W4" s="780">
        <v>6</v>
      </c>
      <c r="X4" s="780">
        <v>6</v>
      </c>
      <c r="Y4" s="780">
        <v>6</v>
      </c>
      <c r="Z4" s="780">
        <v>6</v>
      </c>
      <c r="AA4" s="780">
        <v>6</v>
      </c>
      <c r="AB4" s="780">
        <v>6</v>
      </c>
      <c r="AC4" s="780">
        <v>6</v>
      </c>
      <c r="AD4" s="780">
        <v>6</v>
      </c>
      <c r="AE4" s="780">
        <v>6</v>
      </c>
      <c r="AF4" s="780">
        <v>6</v>
      </c>
      <c r="AG4" s="780">
        <v>6</v>
      </c>
      <c r="AH4" s="780">
        <v>6</v>
      </c>
      <c r="AI4" s="780">
        <v>6</v>
      </c>
      <c r="AJ4" s="780">
        <v>6</v>
      </c>
      <c r="AK4" s="780">
        <v>6</v>
      </c>
      <c r="AL4" s="780">
        <v>6</v>
      </c>
      <c r="AM4" s="780">
        <v>6</v>
      </c>
    </row>
    <row r="5" spans="1:42" ht="17.25" customHeight="1">
      <c r="A5" s="527" t="s">
        <v>354</v>
      </c>
      <c r="B5" s="308">
        <f>IF(ISNUMBER(假设!I95),1/假设!I95,5%)</f>
        <v>2.786146174536272E-2</v>
      </c>
      <c r="C5" s="129"/>
      <c r="D5" s="129"/>
      <c r="E5" s="129"/>
      <c r="F5" s="129"/>
      <c r="G5" s="129"/>
      <c r="H5" s="129"/>
      <c r="I5" s="129"/>
      <c r="J5" s="1296"/>
      <c r="K5" s="1297"/>
      <c r="L5" s="1297"/>
      <c r="M5" s="1297"/>
      <c r="N5" s="1297"/>
      <c r="O5" s="1297"/>
    </row>
    <row r="6" spans="1:42" ht="23.25" customHeight="1">
      <c r="A6" s="527" t="s">
        <v>355</v>
      </c>
      <c r="B6" s="308">
        <f>IF(ISNUMBER(假设!I99),1/假设!I99,5%)</f>
        <v>0.52873570730374486</v>
      </c>
      <c r="C6" s="129"/>
      <c r="D6" s="129"/>
      <c r="E6" s="129"/>
      <c r="F6" s="129"/>
      <c r="G6" s="129"/>
      <c r="H6" s="129"/>
      <c r="I6" s="129"/>
      <c r="J6" s="120" t="str">
        <f>假设!I2</f>
        <v>2023E</v>
      </c>
      <c r="K6" s="120" t="str">
        <f>假设!J2</f>
        <v>2024E</v>
      </c>
      <c r="L6" s="120" t="str">
        <f>假设!K2</f>
        <v>2025E</v>
      </c>
      <c r="M6" s="120" t="str">
        <f>假设!L2</f>
        <v>2026E</v>
      </c>
      <c r="N6" s="120" t="str">
        <f>假设!M2</f>
        <v>2027E</v>
      </c>
      <c r="O6" s="120" t="str">
        <f>假设!N2</f>
        <v>2028E</v>
      </c>
      <c r="P6" s="120" t="str">
        <f>假设!O2</f>
        <v>2029E</v>
      </c>
      <c r="Q6" s="120" t="str">
        <f>假设!P2</f>
        <v>2030E</v>
      </c>
      <c r="R6" s="120" t="str">
        <f>假设!Q2</f>
        <v>2031E</v>
      </c>
      <c r="S6" s="120" t="str">
        <f>假设!R2</f>
        <v>2032E</v>
      </c>
      <c r="T6" s="120" t="str">
        <f>假设!S2</f>
        <v>2033E</v>
      </c>
      <c r="U6" s="120" t="str">
        <f>假设!T2</f>
        <v>2034E</v>
      </c>
      <c r="V6" s="120" t="str">
        <f>假设!U2</f>
        <v>2035E</v>
      </c>
      <c r="W6" s="120" t="str">
        <f>假设!V2</f>
        <v>2036E</v>
      </c>
      <c r="X6" s="120" t="str">
        <f>假设!W2</f>
        <v>2037E</v>
      </c>
      <c r="Y6" s="120" t="str">
        <f>假设!X2</f>
        <v>2038E</v>
      </c>
      <c r="Z6" s="120" t="str">
        <f>假设!Y2</f>
        <v>2039E</v>
      </c>
      <c r="AA6" s="120" t="str">
        <f>假设!Z2</f>
        <v>2040E</v>
      </c>
      <c r="AB6" s="120" t="str">
        <f>假设!AA2</f>
        <v>2041E</v>
      </c>
      <c r="AC6" s="120" t="str">
        <f>假设!AB2</f>
        <v>2042E</v>
      </c>
      <c r="AD6" s="120" t="str">
        <f>假设!AC2</f>
        <v>2043E</v>
      </c>
      <c r="AE6" s="120" t="str">
        <f>假设!AD2</f>
        <v>2044E</v>
      </c>
      <c r="AF6" s="120" t="str">
        <f>假设!AE2</f>
        <v>2045E</v>
      </c>
      <c r="AG6" s="120" t="str">
        <f>假设!AF2</f>
        <v>2046E</v>
      </c>
      <c r="AH6" s="120" t="str">
        <f>假设!AG2</f>
        <v>2047E</v>
      </c>
      <c r="AI6" s="120" t="str">
        <f>假设!AH2</f>
        <v>2048E</v>
      </c>
      <c r="AJ6" s="120" t="str">
        <f>假设!AI2</f>
        <v>2049E</v>
      </c>
      <c r="AK6" s="120" t="str">
        <f>假设!AJ2</f>
        <v>2050E</v>
      </c>
      <c r="AL6" s="120" t="str">
        <f>假设!AK2</f>
        <v>2051E</v>
      </c>
      <c r="AM6" s="120" t="str">
        <f>假设!AL2</f>
        <v>2052E</v>
      </c>
    </row>
    <row r="7" spans="1:42" ht="17.25" customHeight="1">
      <c r="A7" s="309" t="s">
        <v>212</v>
      </c>
      <c r="B7" s="310">
        <f>资产负债!H30</f>
        <v>1953.4169309599999</v>
      </c>
      <c r="C7" s="238"/>
      <c r="D7" s="238"/>
      <c r="E7" s="238"/>
      <c r="F7" s="238"/>
      <c r="G7" s="238"/>
      <c r="H7" s="238"/>
      <c r="I7" s="200"/>
      <c r="J7" s="200">
        <f t="shared" ref="J7:AM7" si="0">IF($B7*(1-J$2*$B$4)&gt;=0,$B7*$B$4*(1-$B$3),0)</f>
        <v>142.07420488498488</v>
      </c>
      <c r="K7" s="200">
        <f t="shared" si="0"/>
        <v>142.07420488498488</v>
      </c>
      <c r="L7" s="200">
        <f t="shared" si="0"/>
        <v>142.07420488498488</v>
      </c>
      <c r="M7" s="200">
        <f t="shared" si="0"/>
        <v>142.07420488498488</v>
      </c>
      <c r="N7" s="200">
        <f t="shared" si="0"/>
        <v>142.07420488498488</v>
      </c>
      <c r="O7" s="200">
        <f t="shared" si="0"/>
        <v>142.07420488498488</v>
      </c>
      <c r="P7" s="200">
        <f t="shared" si="0"/>
        <v>142.07420488498488</v>
      </c>
      <c r="Q7" s="200">
        <f t="shared" si="0"/>
        <v>142.07420488498488</v>
      </c>
      <c r="R7" s="200">
        <f t="shared" si="0"/>
        <v>142.07420488498488</v>
      </c>
      <c r="S7" s="200">
        <f t="shared" si="0"/>
        <v>142.07420488498488</v>
      </c>
      <c r="T7" s="200">
        <f t="shared" si="0"/>
        <v>142.07420488498488</v>
      </c>
      <c r="U7" s="200">
        <f t="shared" si="0"/>
        <v>142.07420488498488</v>
      </c>
      <c r="V7" s="200">
        <f t="shared" si="0"/>
        <v>142.07420488498488</v>
      </c>
      <c r="W7" s="200">
        <f t="shared" si="0"/>
        <v>0</v>
      </c>
      <c r="X7" s="200">
        <f t="shared" si="0"/>
        <v>0</v>
      </c>
      <c r="Y7" s="200">
        <f t="shared" si="0"/>
        <v>0</v>
      </c>
      <c r="Z7" s="200">
        <f t="shared" si="0"/>
        <v>0</v>
      </c>
      <c r="AA7" s="200">
        <f t="shared" si="0"/>
        <v>0</v>
      </c>
      <c r="AB7" s="200">
        <f t="shared" si="0"/>
        <v>0</v>
      </c>
      <c r="AC7" s="200">
        <f t="shared" si="0"/>
        <v>0</v>
      </c>
      <c r="AD7" s="200">
        <f t="shared" si="0"/>
        <v>0</v>
      </c>
      <c r="AE7" s="200">
        <f t="shared" si="0"/>
        <v>0</v>
      </c>
      <c r="AF7" s="200">
        <f t="shared" si="0"/>
        <v>0</v>
      </c>
      <c r="AG7" s="200">
        <f t="shared" si="0"/>
        <v>0</v>
      </c>
      <c r="AH7" s="200">
        <f t="shared" si="0"/>
        <v>0</v>
      </c>
      <c r="AI7" s="200">
        <f t="shared" si="0"/>
        <v>0</v>
      </c>
      <c r="AJ7" s="200">
        <f t="shared" si="0"/>
        <v>0</v>
      </c>
      <c r="AK7" s="200">
        <f t="shared" si="0"/>
        <v>0</v>
      </c>
      <c r="AL7" s="200">
        <f t="shared" si="0"/>
        <v>0</v>
      </c>
      <c r="AM7" s="200">
        <f t="shared" si="0"/>
        <v>0</v>
      </c>
      <c r="AN7" s="200"/>
      <c r="AO7" s="367"/>
      <c r="AP7" s="367"/>
    </row>
    <row r="8" spans="1:42" ht="15" customHeight="1">
      <c r="A8" s="311" t="str">
        <f>CONCATENATE(LEFT(J$6,4),"新增固定资产＋在建工程转")</f>
        <v>2023新增固定资产＋在建工程转</v>
      </c>
      <c r="B8" s="312">
        <f ca="1">J105+J106</f>
        <v>187.48347557639011</v>
      </c>
      <c r="C8" s="129"/>
      <c r="D8" s="129"/>
      <c r="E8" s="129"/>
      <c r="F8" s="129"/>
      <c r="G8" s="129"/>
      <c r="H8" s="129"/>
      <c r="I8" s="200"/>
      <c r="J8" s="200">
        <f ca="1">IF($B8*(1-(J$2-1+0.5)*$B$4/12*J$4)&gt;=0,$B8*$B$4/12*J$4*(1-$B$3),0)</f>
        <v>6.8179417561663751</v>
      </c>
      <c r="K8" s="200">
        <f t="shared" ref="K8:AM8" ca="1" si="1">IF($B8*(1-(K$2-1+0.5)*$B$4)&gt;=0,$B8*$B$4*(1-$B$3),0)</f>
        <v>13.63588351233275</v>
      </c>
      <c r="L8" s="200">
        <f t="shared" ca="1" si="1"/>
        <v>13.63588351233275</v>
      </c>
      <c r="M8" s="200">
        <f t="shared" ca="1" si="1"/>
        <v>13.63588351233275</v>
      </c>
      <c r="N8" s="200">
        <f t="shared" ca="1" si="1"/>
        <v>13.63588351233275</v>
      </c>
      <c r="O8" s="200">
        <f t="shared" ca="1" si="1"/>
        <v>13.63588351233275</v>
      </c>
      <c r="P8" s="200">
        <f t="shared" ca="1" si="1"/>
        <v>13.63588351233275</v>
      </c>
      <c r="Q8" s="200">
        <f t="shared" ca="1" si="1"/>
        <v>13.63588351233275</v>
      </c>
      <c r="R8" s="200">
        <f t="shared" ca="1" si="1"/>
        <v>13.63588351233275</v>
      </c>
      <c r="S8" s="200">
        <f t="shared" ca="1" si="1"/>
        <v>13.63588351233275</v>
      </c>
      <c r="T8" s="200">
        <f t="shared" ca="1" si="1"/>
        <v>13.63588351233275</v>
      </c>
      <c r="U8" s="200">
        <f t="shared" ca="1" si="1"/>
        <v>13.63588351233275</v>
      </c>
      <c r="V8" s="200">
        <f t="shared" ca="1" si="1"/>
        <v>13.63588351233275</v>
      </c>
      <c r="W8" s="200">
        <f t="shared" ca="1" si="1"/>
        <v>0</v>
      </c>
      <c r="X8" s="200">
        <f t="shared" ca="1" si="1"/>
        <v>0</v>
      </c>
      <c r="Y8" s="200">
        <f t="shared" ca="1" si="1"/>
        <v>0</v>
      </c>
      <c r="Z8" s="200">
        <f t="shared" ca="1" si="1"/>
        <v>0</v>
      </c>
      <c r="AA8" s="200">
        <f t="shared" ca="1" si="1"/>
        <v>0</v>
      </c>
      <c r="AB8" s="200">
        <f t="shared" ca="1" si="1"/>
        <v>0</v>
      </c>
      <c r="AC8" s="200">
        <f t="shared" ca="1" si="1"/>
        <v>0</v>
      </c>
      <c r="AD8" s="200">
        <f t="shared" ca="1" si="1"/>
        <v>0</v>
      </c>
      <c r="AE8" s="200">
        <f t="shared" ca="1" si="1"/>
        <v>0</v>
      </c>
      <c r="AF8" s="200">
        <f t="shared" ca="1" si="1"/>
        <v>0</v>
      </c>
      <c r="AG8" s="200">
        <f t="shared" ca="1" si="1"/>
        <v>0</v>
      </c>
      <c r="AH8" s="200">
        <f t="shared" ca="1" si="1"/>
        <v>0</v>
      </c>
      <c r="AI8" s="200">
        <f t="shared" ca="1" si="1"/>
        <v>0</v>
      </c>
      <c r="AJ8" s="200">
        <f t="shared" ca="1" si="1"/>
        <v>0</v>
      </c>
      <c r="AK8" s="200">
        <f t="shared" ca="1" si="1"/>
        <v>0</v>
      </c>
      <c r="AL8" s="200">
        <f t="shared" ca="1" si="1"/>
        <v>0</v>
      </c>
      <c r="AM8" s="200">
        <f t="shared" ca="1" si="1"/>
        <v>0</v>
      </c>
      <c r="AN8" s="200"/>
      <c r="AO8" s="367"/>
      <c r="AP8" s="367"/>
    </row>
    <row r="9" spans="1:42" ht="15" customHeight="1">
      <c r="A9" s="311" t="str">
        <f>CONCATENATE(LEFT(K$6,4),"新增固定资产＋在建工程转")</f>
        <v>2024新增固定资产＋在建工程转</v>
      </c>
      <c r="B9" s="312">
        <f ca="1">K105+K106</f>
        <v>329.29238937752052</v>
      </c>
      <c r="C9" s="129"/>
      <c r="D9" s="129"/>
      <c r="E9" s="129"/>
      <c r="F9" s="129"/>
      <c r="G9" s="129"/>
      <c r="H9" s="129"/>
      <c r="I9" s="200"/>
      <c r="J9" s="445"/>
      <c r="K9" s="200">
        <f ca="1">IF($B9*(1-(K$2-2+0.5)*$B$4/12*K$4)&gt;=0,$B9*$B$4/12*K$4*(1-$B$3),0)</f>
        <v>11.974902452723255</v>
      </c>
      <c r="L9" s="200">
        <f t="shared" ref="L9:AM9" ca="1" si="2">IF($B9*(1-(L$2-2+0.5)*$B$4)&gt;=0,$B9*$B$4*(1-$B$3),0)</f>
        <v>23.949804905446506</v>
      </c>
      <c r="M9" s="200">
        <f t="shared" ca="1" si="2"/>
        <v>23.949804905446506</v>
      </c>
      <c r="N9" s="200">
        <f t="shared" ca="1" si="2"/>
        <v>23.949804905446506</v>
      </c>
      <c r="O9" s="200">
        <f t="shared" ca="1" si="2"/>
        <v>23.949804905446506</v>
      </c>
      <c r="P9" s="200">
        <f t="shared" ca="1" si="2"/>
        <v>23.949804905446506</v>
      </c>
      <c r="Q9" s="200">
        <f t="shared" ca="1" si="2"/>
        <v>23.949804905446506</v>
      </c>
      <c r="R9" s="200">
        <f t="shared" ca="1" si="2"/>
        <v>23.949804905446506</v>
      </c>
      <c r="S9" s="200">
        <f t="shared" ca="1" si="2"/>
        <v>23.949804905446506</v>
      </c>
      <c r="T9" s="200">
        <f t="shared" ca="1" si="2"/>
        <v>23.949804905446506</v>
      </c>
      <c r="U9" s="200">
        <f t="shared" ca="1" si="2"/>
        <v>23.949804905446506</v>
      </c>
      <c r="V9" s="200">
        <f t="shared" ca="1" si="2"/>
        <v>23.949804905446506</v>
      </c>
      <c r="W9" s="200">
        <f t="shared" ca="1" si="2"/>
        <v>23.949804905446506</v>
      </c>
      <c r="X9" s="200">
        <f t="shared" ca="1" si="2"/>
        <v>0</v>
      </c>
      <c r="Y9" s="200">
        <f t="shared" ca="1" si="2"/>
        <v>0</v>
      </c>
      <c r="Z9" s="200">
        <f t="shared" ca="1" si="2"/>
        <v>0</v>
      </c>
      <c r="AA9" s="200">
        <f t="shared" ca="1" si="2"/>
        <v>0</v>
      </c>
      <c r="AB9" s="200">
        <f t="shared" ca="1" si="2"/>
        <v>0</v>
      </c>
      <c r="AC9" s="200">
        <f t="shared" ca="1" si="2"/>
        <v>0</v>
      </c>
      <c r="AD9" s="200">
        <f t="shared" ca="1" si="2"/>
        <v>0</v>
      </c>
      <c r="AE9" s="200">
        <f t="shared" ca="1" si="2"/>
        <v>0</v>
      </c>
      <c r="AF9" s="200">
        <f t="shared" ca="1" si="2"/>
        <v>0</v>
      </c>
      <c r="AG9" s="200">
        <f t="shared" ca="1" si="2"/>
        <v>0</v>
      </c>
      <c r="AH9" s="200">
        <f t="shared" ca="1" si="2"/>
        <v>0</v>
      </c>
      <c r="AI9" s="200">
        <f t="shared" ca="1" si="2"/>
        <v>0</v>
      </c>
      <c r="AJ9" s="200">
        <f t="shared" ca="1" si="2"/>
        <v>0</v>
      </c>
      <c r="AK9" s="200">
        <f t="shared" ca="1" si="2"/>
        <v>0</v>
      </c>
      <c r="AL9" s="200">
        <f t="shared" ca="1" si="2"/>
        <v>0</v>
      </c>
      <c r="AM9" s="200">
        <f t="shared" ca="1" si="2"/>
        <v>0</v>
      </c>
      <c r="AN9" s="200"/>
      <c r="AO9" s="367"/>
      <c r="AP9" s="367"/>
    </row>
    <row r="10" spans="1:42" ht="15" hidden="1" customHeight="1">
      <c r="A10" s="311" t="str">
        <f>CONCATENATE(LEFT(L$6,4),"新增固定资产＋在建工程转")</f>
        <v>2025新增固定资产＋在建工程转</v>
      </c>
      <c r="B10" s="312">
        <f ca="1">L105+L106</f>
        <v>409.59079955934112</v>
      </c>
      <c r="C10" s="129"/>
      <c r="D10" s="129"/>
      <c r="E10" s="129"/>
      <c r="F10" s="129"/>
      <c r="G10" s="129"/>
      <c r="H10" s="129"/>
      <c r="I10" s="200"/>
      <c r="J10" s="445"/>
      <c r="K10" s="445"/>
      <c r="L10" s="200">
        <f ca="1">IF($B10*(1-(L$2-3+0.5)*$B$4/12*L$4)&gt;=0,$B10*$B$4/12*L$4*(1-$B$3),0)</f>
        <v>14.89499918151119</v>
      </c>
      <c r="M10" s="200">
        <f t="shared" ref="M10:AM10" ca="1" si="3">IF($B10*(1-(M$2-3+0.5)*$B$4)&gt;=0,$B10*$B$4*(1-$B$3),0)</f>
        <v>29.789998363022381</v>
      </c>
      <c r="N10" s="200">
        <f t="shared" ca="1" si="3"/>
        <v>29.789998363022381</v>
      </c>
      <c r="O10" s="200">
        <f t="shared" ca="1" si="3"/>
        <v>29.789998363022381</v>
      </c>
      <c r="P10" s="200">
        <f t="shared" ca="1" si="3"/>
        <v>29.789998363022381</v>
      </c>
      <c r="Q10" s="200">
        <f t="shared" ca="1" si="3"/>
        <v>29.789998363022381</v>
      </c>
      <c r="R10" s="200">
        <f t="shared" ca="1" si="3"/>
        <v>29.789998363022381</v>
      </c>
      <c r="S10" s="200">
        <f t="shared" ca="1" si="3"/>
        <v>29.789998363022381</v>
      </c>
      <c r="T10" s="200">
        <f t="shared" ca="1" si="3"/>
        <v>29.789998363022381</v>
      </c>
      <c r="U10" s="200">
        <f t="shared" ca="1" si="3"/>
        <v>29.789998363022381</v>
      </c>
      <c r="V10" s="200">
        <f t="shared" ca="1" si="3"/>
        <v>29.789998363022381</v>
      </c>
      <c r="W10" s="200">
        <f t="shared" ca="1" si="3"/>
        <v>29.789998363022381</v>
      </c>
      <c r="X10" s="200">
        <f t="shared" ca="1" si="3"/>
        <v>29.789998363022381</v>
      </c>
      <c r="Y10" s="200">
        <f t="shared" ca="1" si="3"/>
        <v>0</v>
      </c>
      <c r="Z10" s="200">
        <f t="shared" ca="1" si="3"/>
        <v>0</v>
      </c>
      <c r="AA10" s="200">
        <f t="shared" ca="1" si="3"/>
        <v>0</v>
      </c>
      <c r="AB10" s="200">
        <f t="shared" ca="1" si="3"/>
        <v>0</v>
      </c>
      <c r="AC10" s="200">
        <f t="shared" ca="1" si="3"/>
        <v>0</v>
      </c>
      <c r="AD10" s="200">
        <f t="shared" ca="1" si="3"/>
        <v>0</v>
      </c>
      <c r="AE10" s="200">
        <f t="shared" ca="1" si="3"/>
        <v>0</v>
      </c>
      <c r="AF10" s="200">
        <f t="shared" ca="1" si="3"/>
        <v>0</v>
      </c>
      <c r="AG10" s="200">
        <f t="shared" ca="1" si="3"/>
        <v>0</v>
      </c>
      <c r="AH10" s="200">
        <f t="shared" ca="1" si="3"/>
        <v>0</v>
      </c>
      <c r="AI10" s="200">
        <f t="shared" ca="1" si="3"/>
        <v>0</v>
      </c>
      <c r="AJ10" s="200">
        <f t="shared" ca="1" si="3"/>
        <v>0</v>
      </c>
      <c r="AK10" s="200">
        <f t="shared" ca="1" si="3"/>
        <v>0</v>
      </c>
      <c r="AL10" s="200">
        <f t="shared" ca="1" si="3"/>
        <v>0</v>
      </c>
      <c r="AM10" s="200">
        <f t="shared" ca="1" si="3"/>
        <v>0</v>
      </c>
      <c r="AN10" s="200"/>
      <c r="AO10" s="367"/>
      <c r="AP10" s="367"/>
    </row>
    <row r="11" spans="1:42" ht="15" hidden="1" customHeight="1">
      <c r="A11" s="311" t="str">
        <f>CONCATENATE(LEFT(M$6,4),"新增固定资产＋在建工程转")</f>
        <v>2026新增固定资产＋在建工程转</v>
      </c>
      <c r="B11" s="312">
        <f ca="1">M105+M106</f>
        <v>385.28939823527247</v>
      </c>
      <c r="C11" s="129"/>
      <c r="D11" s="129"/>
      <c r="E11" s="129"/>
      <c r="F11" s="129"/>
      <c r="G11" s="129"/>
      <c r="H11" s="129"/>
      <c r="I11" s="200"/>
      <c r="J11" s="445"/>
      <c r="K11" s="445"/>
      <c r="L11" s="445"/>
      <c r="M11" s="200">
        <f ca="1">IF($B11*(1-(M$2-4+0.5)*$B$4/12*M$4)&gt;=0,$B11*$B$4/12*M$4*(1-$B$3),0)</f>
        <v>14.011265090752801</v>
      </c>
      <c r="N11" s="200">
        <f t="shared" ref="N11:AM11" ca="1" si="4">IF($B11*(1-(N$2-4+0.5)*$B$4)&gt;=0,$B11*$B$4*(1-$B$3),0)</f>
        <v>28.022530181505598</v>
      </c>
      <c r="O11" s="200">
        <f t="shared" ca="1" si="4"/>
        <v>28.022530181505598</v>
      </c>
      <c r="P11" s="200">
        <f t="shared" ca="1" si="4"/>
        <v>28.022530181505598</v>
      </c>
      <c r="Q11" s="200">
        <f t="shared" ca="1" si="4"/>
        <v>28.022530181505598</v>
      </c>
      <c r="R11" s="200">
        <f t="shared" ca="1" si="4"/>
        <v>28.022530181505598</v>
      </c>
      <c r="S11" s="200">
        <f t="shared" ca="1" si="4"/>
        <v>28.022530181505598</v>
      </c>
      <c r="T11" s="200">
        <f t="shared" ca="1" si="4"/>
        <v>28.022530181505598</v>
      </c>
      <c r="U11" s="200">
        <f t="shared" ca="1" si="4"/>
        <v>28.022530181505598</v>
      </c>
      <c r="V11" s="200">
        <f t="shared" ca="1" si="4"/>
        <v>28.022530181505598</v>
      </c>
      <c r="W11" s="200">
        <f t="shared" ca="1" si="4"/>
        <v>28.022530181505598</v>
      </c>
      <c r="X11" s="200">
        <f t="shared" ca="1" si="4"/>
        <v>28.022530181505598</v>
      </c>
      <c r="Y11" s="200">
        <f t="shared" ca="1" si="4"/>
        <v>28.022530181505598</v>
      </c>
      <c r="Z11" s="200">
        <f t="shared" ca="1" si="4"/>
        <v>0</v>
      </c>
      <c r="AA11" s="200">
        <f t="shared" ca="1" si="4"/>
        <v>0</v>
      </c>
      <c r="AB11" s="200">
        <f t="shared" ca="1" si="4"/>
        <v>0</v>
      </c>
      <c r="AC11" s="200">
        <f t="shared" ca="1" si="4"/>
        <v>0</v>
      </c>
      <c r="AD11" s="200">
        <f t="shared" ca="1" si="4"/>
        <v>0</v>
      </c>
      <c r="AE11" s="200">
        <f t="shared" ca="1" si="4"/>
        <v>0</v>
      </c>
      <c r="AF11" s="200">
        <f t="shared" ca="1" si="4"/>
        <v>0</v>
      </c>
      <c r="AG11" s="200">
        <f t="shared" ca="1" si="4"/>
        <v>0</v>
      </c>
      <c r="AH11" s="200">
        <f t="shared" ca="1" si="4"/>
        <v>0</v>
      </c>
      <c r="AI11" s="200">
        <f t="shared" ca="1" si="4"/>
        <v>0</v>
      </c>
      <c r="AJ11" s="200">
        <f t="shared" ca="1" si="4"/>
        <v>0</v>
      </c>
      <c r="AK11" s="200">
        <f t="shared" ca="1" si="4"/>
        <v>0</v>
      </c>
      <c r="AL11" s="200">
        <f t="shared" ca="1" si="4"/>
        <v>0</v>
      </c>
      <c r="AM11" s="200">
        <f t="shared" ca="1" si="4"/>
        <v>0</v>
      </c>
      <c r="AN11" s="200"/>
      <c r="AO11" s="367"/>
      <c r="AP11" s="367"/>
    </row>
    <row r="12" spans="1:42" ht="15" hidden="1" customHeight="1">
      <c r="A12" s="311" t="str">
        <f>CONCATENATE(LEFT(N$6,4),"新增固定资产＋在建工程转")</f>
        <v>2027新增固定资产＋在建工程转</v>
      </c>
      <c r="B12" s="312">
        <f ca="1">N$105+N$106</f>
        <v>363.45835550395748</v>
      </c>
      <c r="C12" s="129"/>
      <c r="D12" s="129"/>
      <c r="E12" s="129"/>
      <c r="F12" s="129"/>
      <c r="G12" s="129"/>
      <c r="H12" s="129"/>
      <c r="I12" s="200"/>
      <c r="J12" s="445"/>
      <c r="K12" s="445"/>
      <c r="L12" s="445"/>
      <c r="M12" s="445"/>
      <c r="N12" s="200">
        <f ca="1">IF($B12*(1-(N$2-5+0.5)*$B$4/12*N$4)&gt;=0,$B12*$B$4/12*N$4*(1-$B$3),0)</f>
        <v>13.217366975940868</v>
      </c>
      <c r="O12" s="200">
        <f t="shared" ref="O12:AM12" ca="1" si="5">IF($B12*(1-(O$2-5+0.5)*$B$4)&gt;=0,$B12*$B$4*(1-$B$3),0)</f>
        <v>26.434733951881736</v>
      </c>
      <c r="P12" s="200">
        <f t="shared" ca="1" si="5"/>
        <v>26.434733951881736</v>
      </c>
      <c r="Q12" s="200">
        <f t="shared" ca="1" si="5"/>
        <v>26.434733951881736</v>
      </c>
      <c r="R12" s="200">
        <f t="shared" ca="1" si="5"/>
        <v>26.434733951881736</v>
      </c>
      <c r="S12" s="200">
        <f t="shared" ca="1" si="5"/>
        <v>26.434733951881736</v>
      </c>
      <c r="T12" s="200">
        <f t="shared" ca="1" si="5"/>
        <v>26.434733951881736</v>
      </c>
      <c r="U12" s="200">
        <f t="shared" ca="1" si="5"/>
        <v>26.434733951881736</v>
      </c>
      <c r="V12" s="200">
        <f t="shared" ca="1" si="5"/>
        <v>26.434733951881736</v>
      </c>
      <c r="W12" s="200">
        <f t="shared" ca="1" si="5"/>
        <v>26.434733951881736</v>
      </c>
      <c r="X12" s="200">
        <f t="shared" ca="1" si="5"/>
        <v>26.434733951881736</v>
      </c>
      <c r="Y12" s="200">
        <f t="shared" ca="1" si="5"/>
        <v>26.434733951881736</v>
      </c>
      <c r="Z12" s="200">
        <f t="shared" ca="1" si="5"/>
        <v>26.434733951881736</v>
      </c>
      <c r="AA12" s="200">
        <f t="shared" ca="1" si="5"/>
        <v>0</v>
      </c>
      <c r="AB12" s="200">
        <f t="shared" ca="1" si="5"/>
        <v>0</v>
      </c>
      <c r="AC12" s="200">
        <f t="shared" ca="1" si="5"/>
        <v>0</v>
      </c>
      <c r="AD12" s="200">
        <f t="shared" ca="1" si="5"/>
        <v>0</v>
      </c>
      <c r="AE12" s="200">
        <f t="shared" ca="1" si="5"/>
        <v>0</v>
      </c>
      <c r="AF12" s="200">
        <f t="shared" ca="1" si="5"/>
        <v>0</v>
      </c>
      <c r="AG12" s="200">
        <f t="shared" ca="1" si="5"/>
        <v>0</v>
      </c>
      <c r="AH12" s="200">
        <f t="shared" ca="1" si="5"/>
        <v>0</v>
      </c>
      <c r="AI12" s="200">
        <f t="shared" ca="1" si="5"/>
        <v>0</v>
      </c>
      <c r="AJ12" s="200">
        <f t="shared" ca="1" si="5"/>
        <v>0</v>
      </c>
      <c r="AK12" s="200">
        <f t="shared" ca="1" si="5"/>
        <v>0</v>
      </c>
      <c r="AL12" s="200">
        <f t="shared" ca="1" si="5"/>
        <v>0</v>
      </c>
      <c r="AM12" s="200">
        <f t="shared" ca="1" si="5"/>
        <v>0</v>
      </c>
      <c r="AN12" s="200"/>
      <c r="AO12" s="367"/>
      <c r="AP12" s="367"/>
    </row>
    <row r="13" spans="1:42" ht="15" hidden="1" customHeight="1">
      <c r="A13" s="311" t="str">
        <f>CONCATENATE(LEFT(O$6,4),"新增固定资产＋在建工程转")</f>
        <v>2028新增固定资产＋在建工程转</v>
      </c>
      <c r="B13" s="312">
        <f ca="1">O$105+O$106</f>
        <v>463.77340633859393</v>
      </c>
      <c r="C13" s="129"/>
      <c r="D13" s="129"/>
      <c r="E13" s="129"/>
      <c r="F13" s="129"/>
      <c r="G13" s="129"/>
      <c r="H13" s="129"/>
      <c r="I13" s="200"/>
      <c r="J13" s="445"/>
      <c r="K13" s="445"/>
      <c r="L13" s="445"/>
      <c r="M13" s="445"/>
      <c r="N13" s="445"/>
      <c r="O13" s="200">
        <f ca="1">IF($B13*(1-(O$2-6+0.5)*$B$4/12*O$4)&gt;=0,$B13*$B$4/12*O$4*(1-$B$3),0)</f>
        <v>16.865380070186863</v>
      </c>
      <c r="P13" s="200">
        <f t="shared" ref="P13:AM13" ca="1" si="6">IF($B13*(1-(P$2-6+0.5)*$B$4)&gt;=0,$B13*$B$4*(1-$B$3),0)</f>
        <v>33.730760140373725</v>
      </c>
      <c r="Q13" s="200">
        <f t="shared" ca="1" si="6"/>
        <v>33.730760140373725</v>
      </c>
      <c r="R13" s="200">
        <f t="shared" ca="1" si="6"/>
        <v>33.730760140373725</v>
      </c>
      <c r="S13" s="200">
        <f t="shared" ca="1" si="6"/>
        <v>33.730760140373725</v>
      </c>
      <c r="T13" s="200">
        <f t="shared" ca="1" si="6"/>
        <v>33.730760140373725</v>
      </c>
      <c r="U13" s="200">
        <f t="shared" ca="1" si="6"/>
        <v>33.730760140373725</v>
      </c>
      <c r="V13" s="200">
        <f t="shared" ca="1" si="6"/>
        <v>33.730760140373725</v>
      </c>
      <c r="W13" s="200">
        <f t="shared" ca="1" si="6"/>
        <v>33.730760140373725</v>
      </c>
      <c r="X13" s="200">
        <f t="shared" ca="1" si="6"/>
        <v>33.730760140373725</v>
      </c>
      <c r="Y13" s="200">
        <f t="shared" ca="1" si="6"/>
        <v>33.730760140373725</v>
      </c>
      <c r="Z13" s="200">
        <f t="shared" ca="1" si="6"/>
        <v>33.730760140373725</v>
      </c>
      <c r="AA13" s="200">
        <f t="shared" ca="1" si="6"/>
        <v>33.730760140373725</v>
      </c>
      <c r="AB13" s="200">
        <f t="shared" ca="1" si="6"/>
        <v>0</v>
      </c>
      <c r="AC13" s="200">
        <f t="shared" ca="1" si="6"/>
        <v>0</v>
      </c>
      <c r="AD13" s="200">
        <f t="shared" ca="1" si="6"/>
        <v>0</v>
      </c>
      <c r="AE13" s="200">
        <f t="shared" ca="1" si="6"/>
        <v>0</v>
      </c>
      <c r="AF13" s="200">
        <f t="shared" ca="1" si="6"/>
        <v>0</v>
      </c>
      <c r="AG13" s="200">
        <f t="shared" ca="1" si="6"/>
        <v>0</v>
      </c>
      <c r="AH13" s="200">
        <f t="shared" ca="1" si="6"/>
        <v>0</v>
      </c>
      <c r="AI13" s="200">
        <f t="shared" ca="1" si="6"/>
        <v>0</v>
      </c>
      <c r="AJ13" s="200">
        <f t="shared" ca="1" si="6"/>
        <v>0</v>
      </c>
      <c r="AK13" s="200">
        <f t="shared" ca="1" si="6"/>
        <v>0</v>
      </c>
      <c r="AL13" s="200">
        <f t="shared" ca="1" si="6"/>
        <v>0</v>
      </c>
      <c r="AM13" s="200">
        <f t="shared" ca="1" si="6"/>
        <v>0</v>
      </c>
      <c r="AN13" s="200"/>
      <c r="AO13" s="367"/>
      <c r="AP13" s="367"/>
    </row>
    <row r="14" spans="1:42" ht="15" hidden="1" customHeight="1">
      <c r="A14" s="311" t="str">
        <f>CONCATENATE(LEFT(P$6,4),"新增固定资产＋在建工程转")</f>
        <v>2029新增固定资产＋在建工程转</v>
      </c>
      <c r="B14" s="312">
        <f ca="1">P$105+P$106</f>
        <v>553.70848311859709</v>
      </c>
      <c r="C14" s="238"/>
      <c r="D14" s="238"/>
      <c r="E14" s="238"/>
      <c r="F14" s="238"/>
      <c r="G14" s="238"/>
      <c r="H14" s="238"/>
      <c r="I14" s="200"/>
      <c r="J14" s="445"/>
      <c r="K14" s="445"/>
      <c r="L14" s="445"/>
      <c r="M14" s="445"/>
      <c r="N14" s="445"/>
      <c r="O14" s="445"/>
      <c r="P14" s="200">
        <f ca="1">IF($B14*(1-(P$2-7+0.5)*$B$4/12*P$4)&gt;=0,$B14*$B$4/12*P$4*(1-$B$3),0)</f>
        <v>20.135919585401769</v>
      </c>
      <c r="Q14" s="200">
        <f t="shared" ref="Q14:AM14" ca="1" si="7">IF($B14*(1-(Q$2-7+0.5)*$B$4)&gt;=0,$B14*$B$4*(1-$B$3),0)</f>
        <v>40.271839170803538</v>
      </c>
      <c r="R14" s="200">
        <f t="shared" ca="1" si="7"/>
        <v>40.271839170803538</v>
      </c>
      <c r="S14" s="200">
        <f t="shared" ca="1" si="7"/>
        <v>40.271839170803538</v>
      </c>
      <c r="T14" s="200">
        <f t="shared" ca="1" si="7"/>
        <v>40.271839170803538</v>
      </c>
      <c r="U14" s="200">
        <f t="shared" ca="1" si="7"/>
        <v>40.271839170803538</v>
      </c>
      <c r="V14" s="200">
        <f t="shared" ca="1" si="7"/>
        <v>40.271839170803538</v>
      </c>
      <c r="W14" s="200">
        <f t="shared" ca="1" si="7"/>
        <v>40.271839170803538</v>
      </c>
      <c r="X14" s="200">
        <f t="shared" ca="1" si="7"/>
        <v>40.271839170803538</v>
      </c>
      <c r="Y14" s="200">
        <f t="shared" ca="1" si="7"/>
        <v>40.271839170803538</v>
      </c>
      <c r="Z14" s="200">
        <f t="shared" ca="1" si="7"/>
        <v>40.271839170803538</v>
      </c>
      <c r="AA14" s="200">
        <f t="shared" ca="1" si="7"/>
        <v>40.271839170803538</v>
      </c>
      <c r="AB14" s="200">
        <f t="shared" ca="1" si="7"/>
        <v>40.271839170803538</v>
      </c>
      <c r="AC14" s="200">
        <f t="shared" ca="1" si="7"/>
        <v>0</v>
      </c>
      <c r="AD14" s="200">
        <f t="shared" ca="1" si="7"/>
        <v>0</v>
      </c>
      <c r="AE14" s="200">
        <f t="shared" ca="1" si="7"/>
        <v>0</v>
      </c>
      <c r="AF14" s="200">
        <f t="shared" ca="1" si="7"/>
        <v>0</v>
      </c>
      <c r="AG14" s="200">
        <f t="shared" ca="1" si="7"/>
        <v>0</v>
      </c>
      <c r="AH14" s="200">
        <f t="shared" ca="1" si="7"/>
        <v>0</v>
      </c>
      <c r="AI14" s="200">
        <f t="shared" ca="1" si="7"/>
        <v>0</v>
      </c>
      <c r="AJ14" s="200">
        <f t="shared" ca="1" si="7"/>
        <v>0</v>
      </c>
      <c r="AK14" s="200">
        <f t="shared" ca="1" si="7"/>
        <v>0</v>
      </c>
      <c r="AL14" s="200">
        <f t="shared" ca="1" si="7"/>
        <v>0</v>
      </c>
      <c r="AM14" s="200">
        <f t="shared" ca="1" si="7"/>
        <v>0</v>
      </c>
      <c r="AN14" s="200"/>
      <c r="AO14" s="367"/>
      <c r="AP14" s="367"/>
    </row>
    <row r="15" spans="1:42" ht="15" hidden="1" customHeight="1">
      <c r="A15" s="311" t="str">
        <f>CONCATENATE(LEFT(Q$6,4),"新增固定资产＋在建工程转")</f>
        <v>2030新增固定资产＋在建工程转</v>
      </c>
      <c r="B15" s="312">
        <f ca="1">Q$105+Q$106</f>
        <v>614.93273792913988</v>
      </c>
      <c r="C15" s="238"/>
      <c r="D15" s="238"/>
      <c r="E15" s="238"/>
      <c r="F15" s="238"/>
      <c r="G15" s="238"/>
      <c r="H15" s="238"/>
      <c r="I15" s="200"/>
      <c r="J15" s="445"/>
      <c r="K15" s="445"/>
      <c r="L15" s="445"/>
      <c r="M15" s="445"/>
      <c r="N15" s="445"/>
      <c r="O15" s="445"/>
      <c r="P15" s="445"/>
      <c r="Q15" s="200">
        <f ca="1">IF($B15*(1-(Q$2-8+0.5)*$B$4/12*Q$4)&gt;=0,$B15*$B$4/12*Q$4*(1-$B$3),0)</f>
        <v>22.362373954671721</v>
      </c>
      <c r="R15" s="200">
        <f t="shared" ref="R15:AM15" ca="1" si="8">IF($B15*(1-(R$2-8+0.5)*$B$4)&gt;=0,$B15*$B$4*(1-$B$3),0)</f>
        <v>44.724747909343442</v>
      </c>
      <c r="S15" s="200">
        <f t="shared" ca="1" si="8"/>
        <v>44.724747909343442</v>
      </c>
      <c r="T15" s="200">
        <f t="shared" ca="1" si="8"/>
        <v>44.724747909343442</v>
      </c>
      <c r="U15" s="200">
        <f t="shared" ca="1" si="8"/>
        <v>44.724747909343442</v>
      </c>
      <c r="V15" s="200">
        <f t="shared" ca="1" si="8"/>
        <v>44.724747909343442</v>
      </c>
      <c r="W15" s="200">
        <f t="shared" ca="1" si="8"/>
        <v>44.724747909343442</v>
      </c>
      <c r="X15" s="200">
        <f t="shared" ca="1" si="8"/>
        <v>44.724747909343442</v>
      </c>
      <c r="Y15" s="200">
        <f t="shared" ca="1" si="8"/>
        <v>44.724747909343442</v>
      </c>
      <c r="Z15" s="200">
        <f t="shared" ca="1" si="8"/>
        <v>44.724747909343442</v>
      </c>
      <c r="AA15" s="200">
        <f t="shared" ca="1" si="8"/>
        <v>44.724747909343442</v>
      </c>
      <c r="AB15" s="200">
        <f t="shared" ca="1" si="8"/>
        <v>44.724747909343442</v>
      </c>
      <c r="AC15" s="200">
        <f t="shared" ca="1" si="8"/>
        <v>44.724747909343442</v>
      </c>
      <c r="AD15" s="200">
        <f t="shared" ca="1" si="8"/>
        <v>0</v>
      </c>
      <c r="AE15" s="200">
        <f t="shared" ca="1" si="8"/>
        <v>0</v>
      </c>
      <c r="AF15" s="200">
        <f t="shared" ca="1" si="8"/>
        <v>0</v>
      </c>
      <c r="AG15" s="200">
        <f t="shared" ca="1" si="8"/>
        <v>0</v>
      </c>
      <c r="AH15" s="200">
        <f t="shared" ca="1" si="8"/>
        <v>0</v>
      </c>
      <c r="AI15" s="200">
        <f t="shared" ca="1" si="8"/>
        <v>0</v>
      </c>
      <c r="AJ15" s="200">
        <f t="shared" ca="1" si="8"/>
        <v>0</v>
      </c>
      <c r="AK15" s="200">
        <f t="shared" ca="1" si="8"/>
        <v>0</v>
      </c>
      <c r="AL15" s="200">
        <f t="shared" ca="1" si="8"/>
        <v>0</v>
      </c>
      <c r="AM15" s="200">
        <f t="shared" ca="1" si="8"/>
        <v>0</v>
      </c>
      <c r="AN15" s="200"/>
      <c r="AO15" s="367"/>
      <c r="AP15" s="367"/>
    </row>
    <row r="16" spans="1:42" ht="15" hidden="1" customHeight="1">
      <c r="A16" s="311" t="str">
        <f>CONCATENATE(LEFT(R$6,4),"新增固定资产＋在建工程转")</f>
        <v>2031新增固定资产＋在建工程转</v>
      </c>
      <c r="B16" s="312">
        <f ca="1">R$105+R$106</f>
        <v>665.69404037753441</v>
      </c>
      <c r="C16" s="238"/>
      <c r="D16" s="238"/>
      <c r="E16" s="238"/>
      <c r="F16" s="238"/>
      <c r="G16" s="238"/>
      <c r="H16" s="238"/>
      <c r="I16" s="200"/>
      <c r="J16" s="445"/>
      <c r="K16" s="445"/>
      <c r="L16" s="445"/>
      <c r="M16" s="445"/>
      <c r="N16" s="445"/>
      <c r="O16" s="445"/>
      <c r="P16" s="445"/>
      <c r="Q16" s="445"/>
      <c r="R16" s="200">
        <f ca="1">IF($B16*(1-(R$2-9+0.5)*$B$4/12*R$4)&gt;=0,$B16*$B$4/12*R$4*(1-$B$3),0)</f>
        <v>24.208337192212014</v>
      </c>
      <c r="S16" s="200">
        <f t="shared" ref="S16:AM16" ca="1" si="9">IF($B16*(1-(S$2-9+0.5)*$B$4)&gt;=0,$B16*$B$4*(1-$B$3),0)</f>
        <v>48.41667438442402</v>
      </c>
      <c r="T16" s="200">
        <f t="shared" ca="1" si="9"/>
        <v>48.41667438442402</v>
      </c>
      <c r="U16" s="200">
        <f t="shared" ca="1" si="9"/>
        <v>48.41667438442402</v>
      </c>
      <c r="V16" s="200">
        <f t="shared" ca="1" si="9"/>
        <v>48.41667438442402</v>
      </c>
      <c r="W16" s="200">
        <f t="shared" ca="1" si="9"/>
        <v>48.41667438442402</v>
      </c>
      <c r="X16" s="200">
        <f t="shared" ca="1" si="9"/>
        <v>48.41667438442402</v>
      </c>
      <c r="Y16" s="200">
        <f t="shared" ca="1" si="9"/>
        <v>48.41667438442402</v>
      </c>
      <c r="Z16" s="200">
        <f t="shared" ca="1" si="9"/>
        <v>48.41667438442402</v>
      </c>
      <c r="AA16" s="200">
        <f t="shared" ca="1" si="9"/>
        <v>48.41667438442402</v>
      </c>
      <c r="AB16" s="200">
        <f t="shared" ca="1" si="9"/>
        <v>48.41667438442402</v>
      </c>
      <c r="AC16" s="200">
        <f t="shared" ca="1" si="9"/>
        <v>48.41667438442402</v>
      </c>
      <c r="AD16" s="200">
        <f t="shared" ca="1" si="9"/>
        <v>48.41667438442402</v>
      </c>
      <c r="AE16" s="200">
        <f t="shared" ca="1" si="9"/>
        <v>0</v>
      </c>
      <c r="AF16" s="200">
        <f t="shared" ca="1" si="9"/>
        <v>0</v>
      </c>
      <c r="AG16" s="200">
        <f t="shared" ca="1" si="9"/>
        <v>0</v>
      </c>
      <c r="AH16" s="200">
        <f t="shared" ca="1" si="9"/>
        <v>0</v>
      </c>
      <c r="AI16" s="200">
        <f t="shared" ca="1" si="9"/>
        <v>0</v>
      </c>
      <c r="AJ16" s="200">
        <f t="shared" ca="1" si="9"/>
        <v>0</v>
      </c>
      <c r="AK16" s="200">
        <f t="shared" ca="1" si="9"/>
        <v>0</v>
      </c>
      <c r="AL16" s="200">
        <f t="shared" ca="1" si="9"/>
        <v>0</v>
      </c>
      <c r="AM16" s="200">
        <f t="shared" ca="1" si="9"/>
        <v>0</v>
      </c>
      <c r="AN16" s="200"/>
      <c r="AO16" s="367"/>
      <c r="AP16" s="367"/>
    </row>
    <row r="17" spans="1:42" ht="15" hidden="1" customHeight="1">
      <c r="A17" s="311" t="str">
        <f>CONCATENATE(LEFT(S$6,4),"新增固定资产＋在建工程转")</f>
        <v>2032新增固定资产＋在建工程转</v>
      </c>
      <c r="B17" s="312">
        <f ca="1">S$105+S$106</f>
        <v>745.12826793993224</v>
      </c>
      <c r="C17" s="238"/>
      <c r="D17" s="238"/>
      <c r="E17" s="238"/>
      <c r="F17" s="238"/>
      <c r="G17" s="238"/>
      <c r="H17" s="238"/>
      <c r="I17" s="200"/>
      <c r="J17" s="445"/>
      <c r="K17" s="445"/>
      <c r="L17" s="445"/>
      <c r="M17" s="445"/>
      <c r="N17" s="445"/>
      <c r="O17" s="445"/>
      <c r="P17" s="445"/>
      <c r="Q17" s="445"/>
      <c r="R17" s="445"/>
      <c r="S17" s="200">
        <f ca="1">IF($B17*(1-(S$2-10+0.5)*$B$4/12*S$4)&gt;=0,$B17*$B$4/12*S$4*(1-$B$3),0)</f>
        <v>27.097007435290735</v>
      </c>
      <c r="T17" s="200">
        <f t="shared" ref="T17:AM17" ca="1" si="10">IF($B17*(1-(T$2-10+0.5)*$B$4)&gt;=0,$B17*$B$4*(1-$B$3),0)</f>
        <v>54.194014870581469</v>
      </c>
      <c r="U17" s="200">
        <f t="shared" ca="1" si="10"/>
        <v>54.194014870581469</v>
      </c>
      <c r="V17" s="200">
        <f t="shared" ca="1" si="10"/>
        <v>54.194014870581469</v>
      </c>
      <c r="W17" s="200">
        <f t="shared" ca="1" si="10"/>
        <v>54.194014870581469</v>
      </c>
      <c r="X17" s="200">
        <f t="shared" ca="1" si="10"/>
        <v>54.194014870581469</v>
      </c>
      <c r="Y17" s="200">
        <f t="shared" ca="1" si="10"/>
        <v>54.194014870581469</v>
      </c>
      <c r="Z17" s="200">
        <f t="shared" ca="1" si="10"/>
        <v>54.194014870581469</v>
      </c>
      <c r="AA17" s="200">
        <f t="shared" ca="1" si="10"/>
        <v>54.194014870581469</v>
      </c>
      <c r="AB17" s="200">
        <f t="shared" ca="1" si="10"/>
        <v>54.194014870581469</v>
      </c>
      <c r="AC17" s="200">
        <f t="shared" ca="1" si="10"/>
        <v>54.194014870581469</v>
      </c>
      <c r="AD17" s="200">
        <f t="shared" ca="1" si="10"/>
        <v>54.194014870581469</v>
      </c>
      <c r="AE17" s="200">
        <f t="shared" ca="1" si="10"/>
        <v>54.194014870581469</v>
      </c>
      <c r="AF17" s="200">
        <f t="shared" ca="1" si="10"/>
        <v>0</v>
      </c>
      <c r="AG17" s="200">
        <f t="shared" ca="1" si="10"/>
        <v>0</v>
      </c>
      <c r="AH17" s="200">
        <f t="shared" ca="1" si="10"/>
        <v>0</v>
      </c>
      <c r="AI17" s="200">
        <f t="shared" ca="1" si="10"/>
        <v>0</v>
      </c>
      <c r="AJ17" s="200">
        <f t="shared" ca="1" si="10"/>
        <v>0</v>
      </c>
      <c r="AK17" s="200">
        <f t="shared" ca="1" si="10"/>
        <v>0</v>
      </c>
      <c r="AL17" s="200">
        <f t="shared" ca="1" si="10"/>
        <v>0</v>
      </c>
      <c r="AM17" s="200">
        <f t="shared" ca="1" si="10"/>
        <v>0</v>
      </c>
      <c r="AN17" s="200"/>
      <c r="AO17" s="367"/>
      <c r="AP17" s="367"/>
    </row>
    <row r="18" spans="1:42" ht="15" hidden="1" customHeight="1">
      <c r="A18" s="311" t="str">
        <f>CONCATENATE(LEFT(T$6,4),"新增固定资产＋在建工程转")</f>
        <v>2033新增固定资产＋在建工程转</v>
      </c>
      <c r="B18" s="312">
        <f ca="1">T$105+T$106</f>
        <v>860.73728185302161</v>
      </c>
      <c r="C18" s="238"/>
      <c r="D18" s="238"/>
      <c r="E18" s="238"/>
      <c r="F18" s="238"/>
      <c r="G18" s="238"/>
      <c r="H18" s="238"/>
      <c r="I18" s="200"/>
      <c r="J18" s="445"/>
      <c r="K18" s="445"/>
      <c r="L18" s="445"/>
      <c r="M18" s="445"/>
      <c r="N18" s="445"/>
      <c r="O18" s="445"/>
      <c r="P18" s="445"/>
      <c r="Q18" s="445"/>
      <c r="R18" s="445"/>
      <c r="S18" s="445"/>
      <c r="T18" s="200">
        <f ca="1">IF($B18*(1-(T$2-11+0.5)*$B$4/12*T$4)&gt;=0,$B18*$B$4/12*T$4*(1-$B$3),0)</f>
        <v>31.301194075868096</v>
      </c>
      <c r="U18" s="200">
        <f t="shared" ref="U18:AM18" ca="1" si="11">IF($B18*(1-(U$2-11+0.5)*$B$4)&gt;=0,$B18*$B$4*(1-$B$3),0)</f>
        <v>62.602388151736193</v>
      </c>
      <c r="V18" s="200">
        <f t="shared" ca="1" si="11"/>
        <v>62.602388151736193</v>
      </c>
      <c r="W18" s="200">
        <f t="shared" ca="1" si="11"/>
        <v>62.602388151736193</v>
      </c>
      <c r="X18" s="200">
        <f t="shared" ca="1" si="11"/>
        <v>62.602388151736193</v>
      </c>
      <c r="Y18" s="200">
        <f t="shared" ca="1" si="11"/>
        <v>62.602388151736193</v>
      </c>
      <c r="Z18" s="200">
        <f t="shared" ca="1" si="11"/>
        <v>62.602388151736193</v>
      </c>
      <c r="AA18" s="200">
        <f t="shared" ca="1" si="11"/>
        <v>62.602388151736193</v>
      </c>
      <c r="AB18" s="200">
        <f t="shared" ca="1" si="11"/>
        <v>62.602388151736193</v>
      </c>
      <c r="AC18" s="200">
        <f t="shared" ca="1" si="11"/>
        <v>62.602388151736193</v>
      </c>
      <c r="AD18" s="200">
        <f t="shared" ca="1" si="11"/>
        <v>62.602388151736193</v>
      </c>
      <c r="AE18" s="200">
        <f t="shared" ca="1" si="11"/>
        <v>62.602388151736193</v>
      </c>
      <c r="AF18" s="200">
        <f t="shared" ca="1" si="11"/>
        <v>62.602388151736193</v>
      </c>
      <c r="AG18" s="200">
        <f t="shared" ca="1" si="11"/>
        <v>0</v>
      </c>
      <c r="AH18" s="200">
        <f t="shared" ca="1" si="11"/>
        <v>0</v>
      </c>
      <c r="AI18" s="200">
        <f t="shared" ca="1" si="11"/>
        <v>0</v>
      </c>
      <c r="AJ18" s="200">
        <f t="shared" ca="1" si="11"/>
        <v>0</v>
      </c>
      <c r="AK18" s="200">
        <f t="shared" ca="1" si="11"/>
        <v>0</v>
      </c>
      <c r="AL18" s="200">
        <f t="shared" ca="1" si="11"/>
        <v>0</v>
      </c>
      <c r="AM18" s="200">
        <f t="shared" ca="1" si="11"/>
        <v>0</v>
      </c>
      <c r="AN18" s="200"/>
      <c r="AO18" s="367"/>
      <c r="AP18" s="367"/>
    </row>
    <row r="19" spans="1:42" ht="15" hidden="1" customHeight="1">
      <c r="A19" s="311" t="str">
        <f>CONCATENATE(LEFT(U$6,4),"新增固定资产＋在建工程转")</f>
        <v>2034新增固定资产＋在建工程转</v>
      </c>
      <c r="B19" s="312">
        <f ca="1">U$105+U$106</f>
        <v>976.0820082390743</v>
      </c>
      <c r="C19" s="238"/>
      <c r="D19" s="238"/>
      <c r="E19" s="238"/>
      <c r="F19" s="238"/>
      <c r="G19" s="238"/>
      <c r="H19" s="238"/>
      <c r="I19" s="200"/>
      <c r="J19" s="445"/>
      <c r="K19" s="445"/>
      <c r="L19" s="445"/>
      <c r="M19" s="445"/>
      <c r="N19" s="445"/>
      <c r="O19" s="445"/>
      <c r="P19" s="445"/>
      <c r="Q19" s="445"/>
      <c r="R19" s="445"/>
      <c r="S19" s="445"/>
      <c r="T19" s="445"/>
      <c r="U19" s="200">
        <f ca="1">IF($B19*(1-(U$2-12+0.5)*$B$4/12*U$4)&gt;=0,$B19*$B$4/12*U$4*(1-$B$3),0)</f>
        <v>35.495769752275535</v>
      </c>
      <c r="V19" s="200">
        <f t="shared" ref="V19:AM19" ca="1" si="12">IF($B19*(1-(V$2-12+0.5)*$B$4)&gt;=0,$B19*$B$4*(1-$B$3),0)</f>
        <v>70.991539504551071</v>
      </c>
      <c r="W19" s="200">
        <f t="shared" ca="1" si="12"/>
        <v>70.991539504551071</v>
      </c>
      <c r="X19" s="200">
        <f t="shared" ca="1" si="12"/>
        <v>70.991539504551071</v>
      </c>
      <c r="Y19" s="200">
        <f t="shared" ca="1" si="12"/>
        <v>70.991539504551071</v>
      </c>
      <c r="Z19" s="200">
        <f t="shared" ca="1" si="12"/>
        <v>70.991539504551071</v>
      </c>
      <c r="AA19" s="200">
        <f t="shared" ca="1" si="12"/>
        <v>70.991539504551071</v>
      </c>
      <c r="AB19" s="200">
        <f t="shared" ca="1" si="12"/>
        <v>70.991539504551071</v>
      </c>
      <c r="AC19" s="200">
        <f t="shared" ca="1" si="12"/>
        <v>70.991539504551071</v>
      </c>
      <c r="AD19" s="200">
        <f t="shared" ca="1" si="12"/>
        <v>70.991539504551071</v>
      </c>
      <c r="AE19" s="200">
        <f t="shared" ca="1" si="12"/>
        <v>70.991539504551071</v>
      </c>
      <c r="AF19" s="200">
        <f t="shared" ca="1" si="12"/>
        <v>70.991539504551071</v>
      </c>
      <c r="AG19" s="200">
        <f t="shared" ca="1" si="12"/>
        <v>70.991539504551071</v>
      </c>
      <c r="AH19" s="200">
        <f t="shared" ca="1" si="12"/>
        <v>0</v>
      </c>
      <c r="AI19" s="200">
        <f t="shared" ca="1" si="12"/>
        <v>0</v>
      </c>
      <c r="AJ19" s="200">
        <f t="shared" ca="1" si="12"/>
        <v>0</v>
      </c>
      <c r="AK19" s="200">
        <f t="shared" ca="1" si="12"/>
        <v>0</v>
      </c>
      <c r="AL19" s="200">
        <f t="shared" ca="1" si="12"/>
        <v>0</v>
      </c>
      <c r="AM19" s="200">
        <f t="shared" ca="1" si="12"/>
        <v>0</v>
      </c>
      <c r="AN19" s="200"/>
      <c r="AO19" s="367"/>
      <c r="AP19" s="367"/>
    </row>
    <row r="20" spans="1:42" ht="15" hidden="1" customHeight="1">
      <c r="A20" s="311" t="str">
        <f>CONCATENATE(LEFT(V$6,4),"新增固定资产＋在建工程转")</f>
        <v>2035新增固定资产＋在建工程转</v>
      </c>
      <c r="B20" s="312">
        <f ca="1">V$105+V$106</f>
        <v>1094.5344112728815</v>
      </c>
      <c r="C20" s="238"/>
      <c r="D20" s="238"/>
      <c r="E20" s="238"/>
      <c r="F20" s="238"/>
      <c r="G20" s="238"/>
      <c r="H20" s="238"/>
      <c r="I20" s="200"/>
      <c r="J20" s="445"/>
      <c r="K20" s="445"/>
      <c r="L20" s="445"/>
      <c r="M20" s="445"/>
      <c r="N20" s="445"/>
      <c r="O20" s="445"/>
      <c r="P20" s="445"/>
      <c r="Q20" s="445"/>
      <c r="R20" s="445"/>
      <c r="S20" s="445"/>
      <c r="T20" s="445"/>
      <c r="U20" s="445"/>
      <c r="V20" s="200">
        <f ca="1">IF($B20*(1-(V$2-13+0.5)*$B$4/12*V$4)&gt;=0,$B20*$B$4/12*V$4*(1-$B$3),0)</f>
        <v>39.803357833196223</v>
      </c>
      <c r="W20" s="200">
        <f t="shared" ref="W20:AM20" ca="1" si="13">IF($B20*(1-(W$2-13+0.5)*$B$4)&gt;=0,$B20*$B$4*(1-$B$3),0)</f>
        <v>79.606715666392446</v>
      </c>
      <c r="X20" s="200">
        <f t="shared" ca="1" si="13"/>
        <v>79.606715666392446</v>
      </c>
      <c r="Y20" s="200">
        <f t="shared" ca="1" si="13"/>
        <v>79.606715666392446</v>
      </c>
      <c r="Z20" s="200">
        <f t="shared" ca="1" si="13"/>
        <v>79.606715666392446</v>
      </c>
      <c r="AA20" s="200">
        <f t="shared" ca="1" si="13"/>
        <v>79.606715666392446</v>
      </c>
      <c r="AB20" s="200">
        <f t="shared" ca="1" si="13"/>
        <v>79.606715666392446</v>
      </c>
      <c r="AC20" s="200">
        <f t="shared" ca="1" si="13"/>
        <v>79.606715666392446</v>
      </c>
      <c r="AD20" s="200">
        <f t="shared" ca="1" si="13"/>
        <v>79.606715666392446</v>
      </c>
      <c r="AE20" s="200">
        <f t="shared" ca="1" si="13"/>
        <v>79.606715666392446</v>
      </c>
      <c r="AF20" s="200">
        <f t="shared" ca="1" si="13"/>
        <v>79.606715666392446</v>
      </c>
      <c r="AG20" s="200">
        <f t="shared" ca="1" si="13"/>
        <v>79.606715666392446</v>
      </c>
      <c r="AH20" s="200">
        <f t="shared" ca="1" si="13"/>
        <v>79.606715666392446</v>
      </c>
      <c r="AI20" s="200">
        <f t="shared" ca="1" si="13"/>
        <v>0</v>
      </c>
      <c r="AJ20" s="200">
        <f t="shared" ca="1" si="13"/>
        <v>0</v>
      </c>
      <c r="AK20" s="200">
        <f t="shared" ca="1" si="13"/>
        <v>0</v>
      </c>
      <c r="AL20" s="200">
        <f t="shared" ca="1" si="13"/>
        <v>0</v>
      </c>
      <c r="AM20" s="200">
        <f t="shared" ca="1" si="13"/>
        <v>0</v>
      </c>
      <c r="AN20" s="200"/>
      <c r="AO20" s="367"/>
      <c r="AP20" s="367"/>
    </row>
    <row r="21" spans="1:42" ht="15" hidden="1" customHeight="1">
      <c r="A21" s="311" t="str">
        <f>CONCATENATE(LEFT(W$6,4),"新增固定资产＋在建工程转")</f>
        <v>2036新增固定资产＋在建工程转</v>
      </c>
      <c r="B21" s="312">
        <f ca="1">W$105+W$106</f>
        <v>1229.5906764557667</v>
      </c>
      <c r="C21" s="238"/>
      <c r="D21" s="238"/>
      <c r="E21" s="238"/>
      <c r="F21" s="238"/>
      <c r="G21" s="238"/>
      <c r="H21" s="238"/>
      <c r="I21" s="200"/>
      <c r="J21" s="445"/>
      <c r="K21" s="445"/>
      <c r="L21" s="445"/>
      <c r="M21" s="445"/>
      <c r="N21" s="445"/>
      <c r="O21" s="445"/>
      <c r="P21" s="445"/>
      <c r="Q21" s="445"/>
      <c r="R21" s="445"/>
      <c r="S21" s="445"/>
      <c r="T21" s="445"/>
      <c r="U21" s="445"/>
      <c r="V21" s="445"/>
      <c r="W21" s="200">
        <f ca="1">IF($B21*(1-(W$2-14+0.5)*$B$4/12*W$4)&gt;=0,$B21*$B$4/12*W$4*(1-$B$3),0)</f>
        <v>44.714754674925288</v>
      </c>
      <c r="X21" s="200">
        <f t="shared" ref="X21:AM21" ca="1" si="14">IF($B21*(1-(X$2-14+0.5)*$B$4)&gt;=0,$B21*$B$4*(1-$B$3),0)</f>
        <v>89.429509349850576</v>
      </c>
      <c r="Y21" s="200">
        <f t="shared" ca="1" si="14"/>
        <v>89.429509349850576</v>
      </c>
      <c r="Z21" s="200">
        <f t="shared" ca="1" si="14"/>
        <v>89.429509349850576</v>
      </c>
      <c r="AA21" s="200">
        <f t="shared" ca="1" si="14"/>
        <v>89.429509349850576</v>
      </c>
      <c r="AB21" s="200">
        <f t="shared" ca="1" si="14"/>
        <v>89.429509349850576</v>
      </c>
      <c r="AC21" s="200">
        <f t="shared" ca="1" si="14"/>
        <v>89.429509349850576</v>
      </c>
      <c r="AD21" s="200">
        <f t="shared" ca="1" si="14"/>
        <v>89.429509349850576</v>
      </c>
      <c r="AE21" s="200">
        <f t="shared" ca="1" si="14"/>
        <v>89.429509349850576</v>
      </c>
      <c r="AF21" s="200">
        <f t="shared" ca="1" si="14"/>
        <v>89.429509349850576</v>
      </c>
      <c r="AG21" s="200">
        <f t="shared" ca="1" si="14"/>
        <v>89.429509349850576</v>
      </c>
      <c r="AH21" s="200">
        <f t="shared" ca="1" si="14"/>
        <v>89.429509349850576</v>
      </c>
      <c r="AI21" s="200">
        <f t="shared" ca="1" si="14"/>
        <v>89.429509349850576</v>
      </c>
      <c r="AJ21" s="200">
        <f t="shared" ca="1" si="14"/>
        <v>0</v>
      </c>
      <c r="AK21" s="200">
        <f t="shared" ca="1" si="14"/>
        <v>0</v>
      </c>
      <c r="AL21" s="200">
        <f t="shared" ca="1" si="14"/>
        <v>0</v>
      </c>
      <c r="AM21" s="200">
        <f t="shared" ca="1" si="14"/>
        <v>0</v>
      </c>
      <c r="AN21" s="200"/>
      <c r="AO21" s="367"/>
      <c r="AP21" s="367"/>
    </row>
    <row r="22" spans="1:42" ht="15" hidden="1" customHeight="1">
      <c r="A22" s="311" t="str">
        <f>CONCATENATE(LEFT(X$6,4),"新增固定资产＋在建工程转")</f>
        <v>2037新增固定资产＋在建工程转</v>
      </c>
      <c r="B22" s="312">
        <f ca="1">X$105+X$106</f>
        <v>1391.4748690356309</v>
      </c>
      <c r="C22" s="238"/>
      <c r="D22" s="238"/>
      <c r="E22" s="238"/>
      <c r="F22" s="238"/>
      <c r="G22" s="238"/>
      <c r="H22" s="238"/>
      <c r="I22" s="200"/>
      <c r="J22" s="445"/>
      <c r="K22" s="445"/>
      <c r="L22" s="445"/>
      <c r="M22" s="445"/>
      <c r="N22" s="445"/>
      <c r="O22" s="445"/>
      <c r="P22" s="445"/>
      <c r="Q22" s="445"/>
      <c r="R22" s="445"/>
      <c r="S22" s="445"/>
      <c r="T22" s="445"/>
      <c r="U22" s="445"/>
      <c r="V22" s="445"/>
      <c r="W22" s="445"/>
      <c r="X22" s="200">
        <f ca="1">IF($B22*(1-(X$2-15+0.5)*$B$4/12*X$4)&gt;=0,$B22*$B$4/12*X$4*(1-$B$3),0)</f>
        <v>50.601764145281656</v>
      </c>
      <c r="Y22" s="200">
        <f t="shared" ref="Y22:AM22" ca="1" si="15">IF($B22*(1-(Y$2-15+0.5)*$B$4)&gt;=0,$B22*$B$4*(1-$B$3),0)</f>
        <v>101.20352829056333</v>
      </c>
      <c r="Z22" s="200">
        <f t="shared" ca="1" si="15"/>
        <v>101.20352829056333</v>
      </c>
      <c r="AA22" s="200">
        <f t="shared" ca="1" si="15"/>
        <v>101.20352829056333</v>
      </c>
      <c r="AB22" s="200">
        <f t="shared" ca="1" si="15"/>
        <v>101.20352829056333</v>
      </c>
      <c r="AC22" s="200">
        <f t="shared" ca="1" si="15"/>
        <v>101.20352829056333</v>
      </c>
      <c r="AD22" s="200">
        <f t="shared" ca="1" si="15"/>
        <v>101.20352829056333</v>
      </c>
      <c r="AE22" s="200">
        <f t="shared" ca="1" si="15"/>
        <v>101.20352829056333</v>
      </c>
      <c r="AF22" s="200">
        <f t="shared" ca="1" si="15"/>
        <v>101.20352829056333</v>
      </c>
      <c r="AG22" s="200">
        <f t="shared" ca="1" si="15"/>
        <v>101.20352829056333</v>
      </c>
      <c r="AH22" s="200">
        <f t="shared" ca="1" si="15"/>
        <v>101.20352829056333</v>
      </c>
      <c r="AI22" s="200">
        <f t="shared" ca="1" si="15"/>
        <v>101.20352829056333</v>
      </c>
      <c r="AJ22" s="200">
        <f t="shared" ca="1" si="15"/>
        <v>101.20352829056333</v>
      </c>
      <c r="AK22" s="200">
        <f t="shared" ca="1" si="15"/>
        <v>0</v>
      </c>
      <c r="AL22" s="200">
        <f t="shared" ca="1" si="15"/>
        <v>0</v>
      </c>
      <c r="AM22" s="200">
        <f t="shared" ca="1" si="15"/>
        <v>0</v>
      </c>
      <c r="AN22" s="200"/>
      <c r="AO22" s="367"/>
      <c r="AP22" s="367"/>
    </row>
    <row r="23" spans="1:42" ht="15" hidden="1" customHeight="1">
      <c r="A23" s="311" t="str">
        <f>CONCATENATE(LEFT(Y$6,4),"新增固定资产＋在建工程转")</f>
        <v>2038新增固定资产＋在建工程转</v>
      </c>
      <c r="B23" s="312">
        <f ca="1">Y$105+Y$106</f>
        <v>1577.750086967063</v>
      </c>
      <c r="C23" s="238"/>
      <c r="D23" s="238"/>
      <c r="E23" s="238"/>
      <c r="F23" s="238"/>
      <c r="G23" s="238"/>
      <c r="H23" s="238"/>
      <c r="I23" s="200"/>
      <c r="J23" s="445"/>
      <c r="K23" s="445"/>
      <c r="L23" s="445"/>
      <c r="M23" s="445"/>
      <c r="N23" s="445"/>
      <c r="O23" s="445"/>
      <c r="P23" s="445"/>
      <c r="Q23" s="445"/>
      <c r="R23" s="445"/>
      <c r="S23" s="445"/>
      <c r="T23" s="445"/>
      <c r="U23" s="445"/>
      <c r="V23" s="445"/>
      <c r="W23" s="445"/>
      <c r="X23" s="445"/>
      <c r="Y23" s="200">
        <f ca="1">IF($B23*(1-(Y$2-16+0.5)*$B$4/12*Y$4)&gt;=0,$B23*$B$4/12*Y$4*(1-$B$3),0)</f>
        <v>57.375766934430061</v>
      </c>
      <c r="Z23" s="200">
        <f t="shared" ref="Z23:AM23" ca="1" si="16">IF($B23*(1-(Z$2-16+0.5)*$B$4)&gt;=0,$B23*$B$4*(1-$B$3),0)</f>
        <v>114.75153386886012</v>
      </c>
      <c r="AA23" s="200">
        <f t="shared" ca="1" si="16"/>
        <v>114.75153386886012</v>
      </c>
      <c r="AB23" s="200">
        <f t="shared" ca="1" si="16"/>
        <v>114.75153386886012</v>
      </c>
      <c r="AC23" s="200">
        <f t="shared" ca="1" si="16"/>
        <v>114.75153386886012</v>
      </c>
      <c r="AD23" s="200">
        <f t="shared" ca="1" si="16"/>
        <v>114.75153386886012</v>
      </c>
      <c r="AE23" s="200">
        <f t="shared" ca="1" si="16"/>
        <v>114.75153386886012</v>
      </c>
      <c r="AF23" s="200">
        <f t="shared" ca="1" si="16"/>
        <v>114.75153386886012</v>
      </c>
      <c r="AG23" s="200">
        <f t="shared" ca="1" si="16"/>
        <v>114.75153386886012</v>
      </c>
      <c r="AH23" s="200">
        <f t="shared" ca="1" si="16"/>
        <v>114.75153386886012</v>
      </c>
      <c r="AI23" s="200">
        <f t="shared" ca="1" si="16"/>
        <v>114.75153386886012</v>
      </c>
      <c r="AJ23" s="200">
        <f t="shared" ca="1" si="16"/>
        <v>114.75153386886012</v>
      </c>
      <c r="AK23" s="200">
        <f t="shared" ca="1" si="16"/>
        <v>114.75153386886012</v>
      </c>
      <c r="AL23" s="200">
        <f t="shared" ca="1" si="16"/>
        <v>0</v>
      </c>
      <c r="AM23" s="200">
        <f t="shared" ca="1" si="16"/>
        <v>0</v>
      </c>
      <c r="AN23" s="200"/>
      <c r="AO23" s="367"/>
      <c r="AP23" s="367"/>
    </row>
    <row r="24" spans="1:42" ht="15" hidden="1" customHeight="1">
      <c r="A24" s="311" t="str">
        <f>CONCATENATE(LEFT(Z$6,4),"新增固定资产＋在建工程转")</f>
        <v>2039新增固定资产＋在建工程转</v>
      </c>
      <c r="B24" s="312">
        <f ca="1">Z$105+Z$106</f>
        <v>1781.9623942814974</v>
      </c>
      <c r="C24" s="238"/>
      <c r="D24" s="238"/>
      <c r="E24" s="238"/>
      <c r="F24" s="238"/>
      <c r="G24" s="238"/>
      <c r="H24" s="238"/>
      <c r="I24" s="200"/>
      <c r="J24" s="445"/>
      <c r="K24" s="445"/>
      <c r="L24" s="445"/>
      <c r="M24" s="445"/>
      <c r="N24" s="445"/>
      <c r="O24" s="445"/>
      <c r="P24" s="445"/>
      <c r="Q24" s="445"/>
      <c r="R24" s="445"/>
      <c r="S24" s="445"/>
      <c r="T24" s="445"/>
      <c r="U24" s="445"/>
      <c r="V24" s="445"/>
      <c r="W24" s="445"/>
      <c r="X24" s="445"/>
      <c r="Y24" s="445"/>
      <c r="Z24" s="200">
        <f ca="1">IF($B24*(1-(Z$2-17+0.5)*$B$4/12*Z$4)&gt;=0,$B24*$B$4/12*Z$4*(1-$B$3),0)</f>
        <v>64.802062040607922</v>
      </c>
      <c r="AA24" s="200">
        <f t="shared" ref="AA24:AM24" ca="1" si="17">IF($B24*(1-(AA$2-17+0.5)*$B$4)&gt;=0,$B24*$B$4*(1-$B$3),0)</f>
        <v>129.60412408121584</v>
      </c>
      <c r="AB24" s="200">
        <f t="shared" ca="1" si="17"/>
        <v>129.60412408121584</v>
      </c>
      <c r="AC24" s="200">
        <f t="shared" ca="1" si="17"/>
        <v>129.60412408121584</v>
      </c>
      <c r="AD24" s="200">
        <f t="shared" ca="1" si="17"/>
        <v>129.60412408121584</v>
      </c>
      <c r="AE24" s="200">
        <f t="shared" ca="1" si="17"/>
        <v>129.60412408121584</v>
      </c>
      <c r="AF24" s="200">
        <f t="shared" ca="1" si="17"/>
        <v>129.60412408121584</v>
      </c>
      <c r="AG24" s="200">
        <f t="shared" ca="1" si="17"/>
        <v>129.60412408121584</v>
      </c>
      <c r="AH24" s="200">
        <f t="shared" ca="1" si="17"/>
        <v>129.60412408121584</v>
      </c>
      <c r="AI24" s="200">
        <f t="shared" ca="1" si="17"/>
        <v>129.60412408121584</v>
      </c>
      <c r="AJ24" s="200">
        <f t="shared" ca="1" si="17"/>
        <v>129.60412408121584</v>
      </c>
      <c r="AK24" s="200">
        <f t="shared" ca="1" si="17"/>
        <v>129.60412408121584</v>
      </c>
      <c r="AL24" s="200">
        <f t="shared" ca="1" si="17"/>
        <v>129.60412408121584</v>
      </c>
      <c r="AM24" s="200">
        <f t="shared" ca="1" si="17"/>
        <v>0</v>
      </c>
      <c r="AN24" s="200"/>
      <c r="AO24" s="367"/>
      <c r="AP24" s="367"/>
    </row>
    <row r="25" spans="1:42" ht="15" hidden="1" customHeight="1">
      <c r="A25" s="311" t="str">
        <f>CONCATENATE(LEFT(AA$6,4),"新增固定资产＋在建工程转")</f>
        <v>2040新增固定资产＋在建工程转</v>
      </c>
      <c r="B25" s="312">
        <f ca="1">AA$105+AA$106</f>
        <v>2010.5353826713069</v>
      </c>
      <c r="C25" s="238"/>
      <c r="D25" s="238"/>
      <c r="E25" s="238"/>
      <c r="F25" s="238"/>
      <c r="G25" s="238"/>
      <c r="H25" s="238"/>
      <c r="I25" s="200"/>
      <c r="J25" s="445"/>
      <c r="K25" s="445"/>
      <c r="L25" s="445"/>
      <c r="M25" s="445"/>
      <c r="N25" s="445"/>
      <c r="O25" s="445"/>
      <c r="P25" s="445"/>
      <c r="Q25" s="445"/>
      <c r="R25" s="445"/>
      <c r="S25" s="445"/>
      <c r="T25" s="445"/>
      <c r="U25" s="445"/>
      <c r="V25" s="445"/>
      <c r="W25" s="445"/>
      <c r="X25" s="445"/>
      <c r="Y25" s="445"/>
      <c r="Z25" s="445"/>
      <c r="AA25" s="200">
        <f ca="1">IF($B25*(1-(AA$2-18+0.5)*$B$4/12*AA$4)&gt;=0,$B25*$B$4/12*AA$4*(1-$B$3),0)</f>
        <v>73.114246978952778</v>
      </c>
      <c r="AB25" s="200">
        <f t="shared" ref="AB25:AM25" ca="1" si="18">IF($B25*(1-(AB$2-18+0.5)*$B$4)&gt;=0,$B25*$B$4*(1-$B$3),0)</f>
        <v>146.22849395790556</v>
      </c>
      <c r="AC25" s="200">
        <f t="shared" ca="1" si="18"/>
        <v>146.22849395790556</v>
      </c>
      <c r="AD25" s="200">
        <f t="shared" ca="1" si="18"/>
        <v>146.22849395790556</v>
      </c>
      <c r="AE25" s="200">
        <f t="shared" ca="1" si="18"/>
        <v>146.22849395790556</v>
      </c>
      <c r="AF25" s="200">
        <f t="shared" ca="1" si="18"/>
        <v>146.22849395790556</v>
      </c>
      <c r="AG25" s="200">
        <f t="shared" ca="1" si="18"/>
        <v>146.22849395790556</v>
      </c>
      <c r="AH25" s="200">
        <f t="shared" ca="1" si="18"/>
        <v>146.22849395790556</v>
      </c>
      <c r="AI25" s="200">
        <f t="shared" ca="1" si="18"/>
        <v>146.22849395790556</v>
      </c>
      <c r="AJ25" s="200">
        <f t="shared" ca="1" si="18"/>
        <v>146.22849395790556</v>
      </c>
      <c r="AK25" s="200">
        <f t="shared" ca="1" si="18"/>
        <v>146.22849395790556</v>
      </c>
      <c r="AL25" s="200">
        <f t="shared" ca="1" si="18"/>
        <v>146.22849395790556</v>
      </c>
      <c r="AM25" s="200">
        <f t="shared" ca="1" si="18"/>
        <v>146.22849395790556</v>
      </c>
      <c r="AN25" s="200"/>
      <c r="AO25" s="367"/>
      <c r="AP25" s="367"/>
    </row>
    <row r="26" spans="1:42" ht="15" hidden="1" customHeight="1">
      <c r="A26" s="311" t="str">
        <f>CONCATENATE(LEFT(AB$6,4),"新增固定资产＋在建工程转")</f>
        <v>2041新增固定资产＋在建工程转</v>
      </c>
      <c r="B26" s="310">
        <f ca="1">AB$105+AB$106</f>
        <v>2270.8345915686391</v>
      </c>
      <c r="C26" s="238"/>
      <c r="D26" s="238"/>
      <c r="E26" s="238"/>
      <c r="F26" s="238"/>
      <c r="G26" s="238"/>
      <c r="H26" s="238"/>
      <c r="I26" s="200"/>
      <c r="J26" s="445"/>
      <c r="K26" s="445"/>
      <c r="L26" s="445"/>
      <c r="M26" s="445"/>
      <c r="N26" s="445"/>
      <c r="O26" s="445"/>
      <c r="P26" s="445"/>
      <c r="Q26" s="445"/>
      <c r="R26" s="445"/>
      <c r="S26" s="445"/>
      <c r="T26" s="445"/>
      <c r="U26" s="445"/>
      <c r="V26" s="445"/>
      <c r="W26" s="445"/>
      <c r="X26" s="445"/>
      <c r="Y26" s="445"/>
      <c r="Z26" s="445"/>
      <c r="AA26" s="445"/>
      <c r="AB26" s="200">
        <f ca="1">IF($B26*(1-(AB$2-19+0.5)*$B$4/12*AB$4)&gt;=0,$B26*$B$4/12*AB$4*(1-$B$3),0)</f>
        <v>82.580173722534454</v>
      </c>
      <c r="AC26" s="200">
        <f t="shared" ref="AC26:AM26" ca="1" si="19">IF($B26*(1-(AC$2-19+0.5)*$B$4)&gt;=0,$B26*$B$4*(1-$B$3),0)</f>
        <v>165.16034744506891</v>
      </c>
      <c r="AD26" s="200">
        <f t="shared" ca="1" si="19"/>
        <v>165.16034744506891</v>
      </c>
      <c r="AE26" s="200">
        <f t="shared" ca="1" si="19"/>
        <v>165.16034744506891</v>
      </c>
      <c r="AF26" s="200">
        <f t="shared" ca="1" si="19"/>
        <v>165.16034744506891</v>
      </c>
      <c r="AG26" s="200">
        <f t="shared" ca="1" si="19"/>
        <v>165.16034744506891</v>
      </c>
      <c r="AH26" s="200">
        <f t="shared" ca="1" si="19"/>
        <v>165.16034744506891</v>
      </c>
      <c r="AI26" s="200">
        <f t="shared" ca="1" si="19"/>
        <v>165.16034744506891</v>
      </c>
      <c r="AJ26" s="200">
        <f t="shared" ca="1" si="19"/>
        <v>165.16034744506891</v>
      </c>
      <c r="AK26" s="200">
        <f t="shared" ca="1" si="19"/>
        <v>165.16034744506891</v>
      </c>
      <c r="AL26" s="200">
        <f t="shared" ca="1" si="19"/>
        <v>165.16034744506891</v>
      </c>
      <c r="AM26" s="200">
        <f t="shared" ca="1" si="19"/>
        <v>165.16034744506891</v>
      </c>
      <c r="AN26" s="200"/>
      <c r="AO26" s="367"/>
      <c r="AP26" s="367"/>
    </row>
    <row r="27" spans="1:42" ht="15" hidden="1" customHeight="1">
      <c r="A27" s="311" t="str">
        <f>CONCATENATE(LEFT(AC$6,4),"新增固定资产＋在建工程转")</f>
        <v>2042新增固定资产＋在建工程转</v>
      </c>
      <c r="B27" s="310">
        <f ca="1">AC$105+AC$106</f>
        <v>2567.3215245150368</v>
      </c>
      <c r="C27" s="238"/>
      <c r="D27" s="238"/>
      <c r="E27" s="238"/>
      <c r="F27" s="238"/>
      <c r="G27" s="238"/>
      <c r="H27" s="238"/>
      <c r="I27" s="200"/>
      <c r="J27" s="445"/>
      <c r="K27" s="445"/>
      <c r="L27" s="445"/>
      <c r="M27" s="445"/>
      <c r="N27" s="445"/>
      <c r="O27" s="445"/>
      <c r="P27" s="445"/>
      <c r="Q27" s="445"/>
      <c r="R27" s="445"/>
      <c r="S27" s="445"/>
      <c r="T27" s="445"/>
      <c r="U27" s="445"/>
      <c r="V27" s="445"/>
      <c r="W27" s="445"/>
      <c r="X27" s="445"/>
      <c r="Y27" s="445"/>
      <c r="Z27" s="445"/>
      <c r="AA27" s="445"/>
      <c r="AB27" s="445"/>
      <c r="AC27" s="200">
        <f ca="1">IF($B27*(1-(AC$2-20+0.5)*$B$4/12*AC$4)&gt;=0,$B27*$B$4/12*AC$4*(1-$B$3),0)</f>
        <v>93.362087350273413</v>
      </c>
      <c r="AD27" s="200">
        <f t="shared" ref="AD27:AM27" ca="1" si="20">IF($B27*(1-(AD$2-20+0.5)*$B$4)&gt;=0,$B27*$B$4*(1-$B$3),0)</f>
        <v>186.72417470054685</v>
      </c>
      <c r="AE27" s="200">
        <f t="shared" ca="1" si="20"/>
        <v>186.72417470054685</v>
      </c>
      <c r="AF27" s="200">
        <f t="shared" ca="1" si="20"/>
        <v>186.72417470054685</v>
      </c>
      <c r="AG27" s="200">
        <f t="shared" ca="1" si="20"/>
        <v>186.72417470054685</v>
      </c>
      <c r="AH27" s="200">
        <f t="shared" ca="1" si="20"/>
        <v>186.72417470054685</v>
      </c>
      <c r="AI27" s="200">
        <f t="shared" ca="1" si="20"/>
        <v>186.72417470054685</v>
      </c>
      <c r="AJ27" s="200">
        <f t="shared" ca="1" si="20"/>
        <v>186.72417470054685</v>
      </c>
      <c r="AK27" s="200">
        <f t="shared" ca="1" si="20"/>
        <v>186.72417470054685</v>
      </c>
      <c r="AL27" s="200">
        <f t="shared" ca="1" si="20"/>
        <v>186.72417470054685</v>
      </c>
      <c r="AM27" s="200">
        <f t="shared" ca="1" si="20"/>
        <v>186.72417470054685</v>
      </c>
      <c r="AN27" s="200"/>
      <c r="AO27" s="367"/>
      <c r="AP27" s="367"/>
    </row>
    <row r="28" spans="1:42" ht="15" hidden="1" customHeight="1">
      <c r="A28" s="311" t="str">
        <f>CONCATENATE(LEFT(AD$6,4),"新增固定资产＋在建工程转")</f>
        <v>2043新增固定资产＋在建工程转</v>
      </c>
      <c r="B28" s="310">
        <f ca="1">AD$105+AD$106</f>
        <v>2901.8359656338539</v>
      </c>
      <c r="C28" s="238"/>
      <c r="D28" s="238"/>
      <c r="E28" s="238"/>
      <c r="F28" s="238"/>
      <c r="G28" s="238"/>
      <c r="H28" s="238"/>
      <c r="I28" s="200"/>
      <c r="J28" s="445"/>
      <c r="K28" s="445"/>
      <c r="L28" s="445"/>
      <c r="M28" s="445"/>
      <c r="N28" s="445"/>
      <c r="O28" s="445"/>
      <c r="P28" s="445"/>
      <c r="Q28" s="445"/>
      <c r="R28" s="445"/>
      <c r="S28" s="445"/>
      <c r="T28" s="445"/>
      <c r="U28" s="445"/>
      <c r="V28" s="445"/>
      <c r="W28" s="445"/>
      <c r="X28" s="445"/>
      <c r="Y28" s="445"/>
      <c r="Z28" s="445"/>
      <c r="AA28" s="445"/>
      <c r="AB28" s="445"/>
      <c r="AC28" s="445"/>
      <c r="AD28" s="200">
        <f ca="1">IF($B28*(1-(AD$2-21+0.5)*$B$4/12*AD$4)&gt;=0,$B28*$B$4/12*AD$4*(1-$B$3),0)</f>
        <v>105.52689264382245</v>
      </c>
      <c r="AE28" s="200">
        <f t="shared" ref="AE28:AM28" ca="1" si="21">IF($B28*(1-(AE$2-21+0.5)*$B$4)&gt;=0,$B28*$B$4*(1-$B$3),0)</f>
        <v>211.0537852876449</v>
      </c>
      <c r="AF28" s="200">
        <f t="shared" ca="1" si="21"/>
        <v>211.0537852876449</v>
      </c>
      <c r="AG28" s="200">
        <f t="shared" ca="1" si="21"/>
        <v>211.0537852876449</v>
      </c>
      <c r="AH28" s="200">
        <f t="shared" ca="1" si="21"/>
        <v>211.0537852876449</v>
      </c>
      <c r="AI28" s="200">
        <f t="shared" ca="1" si="21"/>
        <v>211.0537852876449</v>
      </c>
      <c r="AJ28" s="200">
        <f t="shared" ca="1" si="21"/>
        <v>211.0537852876449</v>
      </c>
      <c r="AK28" s="200">
        <f t="shared" ca="1" si="21"/>
        <v>211.0537852876449</v>
      </c>
      <c r="AL28" s="200">
        <f t="shared" ca="1" si="21"/>
        <v>211.0537852876449</v>
      </c>
      <c r="AM28" s="200">
        <f t="shared" ca="1" si="21"/>
        <v>211.0537852876449</v>
      </c>
      <c r="AN28" s="200"/>
      <c r="AO28" s="367"/>
      <c r="AP28" s="367"/>
    </row>
    <row r="29" spans="1:42" ht="15" hidden="1" customHeight="1">
      <c r="A29" s="311" t="str">
        <f>CONCATENATE(LEFT(AE$6,4),"新增固定资产＋在建工程转")</f>
        <v>2044新增固定资产＋在建工程转</v>
      </c>
      <c r="B29" s="310">
        <f ca="1">AE$105+AE$106</f>
        <v>3277.8417421710783</v>
      </c>
      <c r="C29" s="238"/>
      <c r="D29" s="238"/>
      <c r="E29" s="238"/>
      <c r="F29" s="238"/>
      <c r="G29" s="238"/>
      <c r="H29" s="238"/>
      <c r="I29" s="200"/>
      <c r="J29" s="445"/>
      <c r="K29" s="445"/>
      <c r="L29" s="445"/>
      <c r="M29" s="445"/>
      <c r="N29" s="445"/>
      <c r="O29" s="445"/>
      <c r="P29" s="445"/>
      <c r="Q29" s="445"/>
      <c r="R29" s="445"/>
      <c r="S29" s="445"/>
      <c r="T29" s="445"/>
      <c r="U29" s="445"/>
      <c r="V29" s="445"/>
      <c r="W29" s="445"/>
      <c r="X29" s="445"/>
      <c r="Y29" s="445"/>
      <c r="Z29" s="445"/>
      <c r="AA29" s="445"/>
      <c r="AB29" s="445"/>
      <c r="AC29" s="445"/>
      <c r="AD29" s="445"/>
      <c r="AE29" s="200">
        <f ca="1">IF($B29*(1-(AE$2-22+0.5)*$B$4/12*AE$4)&gt;=0,$B29*$B$4/12*AE$4*(1-$B$3),0)</f>
        <v>119.20055362397839</v>
      </c>
      <c r="AF29" s="200">
        <f t="shared" ref="AF29:AM29" ca="1" si="22">IF($B29*(1-(AF$2-22+0.5)*$B$4)&gt;=0,$B29*$B$4*(1-$B$3),0)</f>
        <v>238.40110724795679</v>
      </c>
      <c r="AG29" s="200">
        <f t="shared" ca="1" si="22"/>
        <v>238.40110724795679</v>
      </c>
      <c r="AH29" s="200">
        <f t="shared" ca="1" si="22"/>
        <v>238.40110724795679</v>
      </c>
      <c r="AI29" s="200">
        <f t="shared" ca="1" si="22"/>
        <v>238.40110724795679</v>
      </c>
      <c r="AJ29" s="200">
        <f t="shared" ca="1" si="22"/>
        <v>238.40110724795679</v>
      </c>
      <c r="AK29" s="200">
        <f t="shared" ca="1" si="22"/>
        <v>238.40110724795679</v>
      </c>
      <c r="AL29" s="200">
        <f t="shared" ca="1" si="22"/>
        <v>238.40110724795679</v>
      </c>
      <c r="AM29" s="200">
        <f t="shared" ca="1" si="22"/>
        <v>238.40110724795679</v>
      </c>
      <c r="AN29" s="200"/>
      <c r="AO29" s="367"/>
      <c r="AP29" s="367"/>
    </row>
    <row r="30" spans="1:42" ht="15" hidden="1" customHeight="1">
      <c r="A30" s="311" t="str">
        <f>CONCATENATE(LEFT(AF$6,4),"新增固定资产＋在建工程转")</f>
        <v>2045新增固定资产＋在建工程转</v>
      </c>
      <c r="B30" s="310">
        <f ca="1">AF$106+AF$105</f>
        <v>3702.682457948421</v>
      </c>
      <c r="C30" s="238"/>
      <c r="D30" s="238"/>
      <c r="E30" s="238"/>
      <c r="F30" s="238"/>
      <c r="G30" s="238"/>
      <c r="H30" s="238"/>
      <c r="I30" s="200"/>
      <c r="J30" s="445"/>
      <c r="K30" s="445"/>
      <c r="L30" s="445"/>
      <c r="M30" s="445"/>
      <c r="N30" s="445"/>
      <c r="O30" s="445"/>
      <c r="P30" s="445"/>
      <c r="Q30" s="445"/>
      <c r="R30" s="445"/>
      <c r="S30" s="445"/>
      <c r="T30" s="445"/>
      <c r="U30" s="445"/>
      <c r="V30" s="445"/>
      <c r="W30" s="445"/>
      <c r="X30" s="445"/>
      <c r="Y30" s="445"/>
      <c r="Z30" s="445"/>
      <c r="AA30" s="445"/>
      <c r="AB30" s="445"/>
      <c r="AC30" s="445"/>
      <c r="AD30" s="445"/>
      <c r="AE30" s="445"/>
      <c r="AF30" s="200">
        <f ca="1">IF($B30*(1-(AF$2-23+0.5)*$B$4/12*AF$4)&gt;=0,$B30*$B$4/12*AF$4*(1-$B$3),0)</f>
        <v>134.65012456303305</v>
      </c>
      <c r="AG30" s="200">
        <f t="shared" ref="AG30:AM30" ca="1" si="23">IF($B30*(1-(AG$2-23+0.5)*$B$4)&gt;=0,$B30*$B$4*(1-$B$3),0)</f>
        <v>269.30024912606609</v>
      </c>
      <c r="AH30" s="200">
        <f t="shared" ca="1" si="23"/>
        <v>269.30024912606609</v>
      </c>
      <c r="AI30" s="200">
        <f t="shared" ca="1" si="23"/>
        <v>269.30024912606609</v>
      </c>
      <c r="AJ30" s="200">
        <f t="shared" ca="1" si="23"/>
        <v>269.30024912606609</v>
      </c>
      <c r="AK30" s="200">
        <f t="shared" ca="1" si="23"/>
        <v>269.30024912606609</v>
      </c>
      <c r="AL30" s="200">
        <f t="shared" ca="1" si="23"/>
        <v>269.30024912606609</v>
      </c>
      <c r="AM30" s="200">
        <f t="shared" ca="1" si="23"/>
        <v>269.30024912606609</v>
      </c>
      <c r="AN30" s="200"/>
      <c r="AO30" s="367"/>
      <c r="AP30" s="367"/>
    </row>
    <row r="31" spans="1:42" ht="15" hidden="1" customHeight="1">
      <c r="A31" s="311" t="str">
        <f>CONCATENATE(LEFT(AG$6,4),"新增固定资产＋在建工程转")</f>
        <v>2046新增固定资产＋在建工程转</v>
      </c>
      <c r="B31" s="310">
        <f ca="1">AG$106+AG$105</f>
        <v>4183.6108680225734</v>
      </c>
      <c r="C31" s="238"/>
      <c r="D31" s="238"/>
      <c r="E31" s="238"/>
      <c r="F31" s="238"/>
      <c r="G31" s="238"/>
      <c r="H31" s="238"/>
      <c r="I31" s="200"/>
      <c r="J31" s="445"/>
      <c r="K31" s="445"/>
      <c r="L31" s="445"/>
      <c r="M31" s="445"/>
      <c r="N31" s="445"/>
      <c r="O31" s="445"/>
      <c r="P31" s="445"/>
      <c r="Q31" s="445"/>
      <c r="R31" s="445"/>
      <c r="S31" s="445"/>
      <c r="T31" s="445"/>
      <c r="U31" s="445"/>
      <c r="V31" s="445"/>
      <c r="W31" s="445"/>
      <c r="X31" s="445"/>
      <c r="Y31" s="445"/>
      <c r="Z31" s="445"/>
      <c r="AA31" s="445"/>
      <c r="AB31" s="445"/>
      <c r="AC31" s="445"/>
      <c r="AD31" s="445"/>
      <c r="AE31" s="445"/>
      <c r="AF31" s="445"/>
      <c r="AG31" s="200">
        <f ca="1">IF($B31*(1-(AG$2-24+0.5)*$B$4/12*AG$4)&gt;=0,$B31*$B$4/12*AG$4*(1-$B$3),0)</f>
        <v>152.13935596697758</v>
      </c>
      <c r="AH31" s="200">
        <f t="shared" ref="AH31:AM31" ca="1" si="24">IF($B31*(1-(AH$2-24+0.5)*$B$4)&gt;=0,$B31*$B$4*(1-$B$3),0)</f>
        <v>304.27871193395515</v>
      </c>
      <c r="AI31" s="200">
        <f t="shared" ca="1" si="24"/>
        <v>304.27871193395515</v>
      </c>
      <c r="AJ31" s="200">
        <f t="shared" ca="1" si="24"/>
        <v>304.27871193395515</v>
      </c>
      <c r="AK31" s="200">
        <f t="shared" ca="1" si="24"/>
        <v>304.27871193395515</v>
      </c>
      <c r="AL31" s="200">
        <f t="shared" ca="1" si="24"/>
        <v>304.27871193395515</v>
      </c>
      <c r="AM31" s="200">
        <f t="shared" ca="1" si="24"/>
        <v>304.27871193395515</v>
      </c>
      <c r="AN31" s="200"/>
      <c r="AO31" s="367"/>
      <c r="AP31" s="367"/>
    </row>
    <row r="32" spans="1:42" ht="15" hidden="1" customHeight="1">
      <c r="A32" s="311" t="str">
        <f>CONCATENATE(LEFT(AH$6,4),"新增固定资产＋在建工程转")</f>
        <v>2047新增固定资产＋在建工程转</v>
      </c>
      <c r="B32" s="310">
        <f ca="1">AH$106+AH$105</f>
        <v>4727.3829395225475</v>
      </c>
      <c r="C32" s="238"/>
      <c r="D32" s="238"/>
      <c r="E32" s="238"/>
      <c r="F32" s="238"/>
      <c r="G32" s="238"/>
      <c r="H32" s="238"/>
      <c r="I32" s="200"/>
      <c r="J32" s="445"/>
      <c r="K32" s="445"/>
      <c r="L32" s="445"/>
      <c r="M32" s="445"/>
      <c r="N32" s="445"/>
      <c r="O32" s="445"/>
      <c r="P32" s="445"/>
      <c r="Q32" s="445"/>
      <c r="R32" s="445"/>
      <c r="S32" s="445"/>
      <c r="T32" s="445"/>
      <c r="U32" s="445"/>
      <c r="V32" s="445"/>
      <c r="W32" s="445"/>
      <c r="X32" s="445"/>
      <c r="Y32" s="445"/>
      <c r="Z32" s="445"/>
      <c r="AA32" s="445"/>
      <c r="AB32" s="445"/>
      <c r="AC32" s="445"/>
      <c r="AD32" s="445"/>
      <c r="AE32" s="445"/>
      <c r="AF32" s="445"/>
      <c r="AG32" s="445"/>
      <c r="AH32" s="200">
        <f ca="1">IF($B32*(1-(AH$2-25+0.5)*$B$4/12*AH$4)&gt;=0,$B32*$B$4/12*AH$4*(1-$B$3),0)</f>
        <v>171.91393237014532</v>
      </c>
      <c r="AI32" s="200">
        <f ca="1">IF($B32*(1-(AI$2-25+0.5)*$B$4)&gt;=0,$B32*$B$4*(1-$B$3),0)</f>
        <v>343.82786474029064</v>
      </c>
      <c r="AJ32" s="200">
        <f ca="1">IF($B32*(1-(AJ$2-25+0.5)*$B$4)&gt;=0,$B32*$B$4*(1-$B$3),0)</f>
        <v>343.82786474029064</v>
      </c>
      <c r="AK32" s="200">
        <f ca="1">IF($B32*(1-(AK$2-25+0.5)*$B$4)&gt;=0,$B32*$B$4*(1-$B$3),0)</f>
        <v>343.82786474029064</v>
      </c>
      <c r="AL32" s="200">
        <f ca="1">IF($B32*(1-(AL$2-25+0.5)*$B$4)&gt;=0,$B32*$B$4*(1-$B$3),0)</f>
        <v>343.82786474029064</v>
      </c>
      <c r="AM32" s="200">
        <f ca="1">IF($B32*(1-(AM$2-25+0.5)*$B$4)&gt;=0,$B32*$B$4*(1-$B$3),0)</f>
        <v>343.82786474029064</v>
      </c>
      <c r="AN32" s="200"/>
      <c r="AO32" s="367"/>
      <c r="AP32" s="367"/>
    </row>
    <row r="33" spans="1:42" ht="15" hidden="1" customHeight="1">
      <c r="A33" s="311" t="str">
        <f>CONCATENATE(LEFT(AI$6,4),"新增固定资产＋在建工程转")</f>
        <v>2048新增固定资产＋在建工程转</v>
      </c>
      <c r="B33" s="310">
        <f ca="1">AI$106+AI$105</f>
        <v>5341.2975176583359</v>
      </c>
      <c r="C33" s="238"/>
      <c r="D33" s="238"/>
      <c r="E33" s="238"/>
      <c r="F33" s="238"/>
      <c r="G33" s="238"/>
      <c r="H33" s="238"/>
      <c r="I33" s="200"/>
      <c r="J33" s="445"/>
      <c r="K33" s="445"/>
      <c r="L33" s="445"/>
      <c r="M33" s="445"/>
      <c r="N33" s="445"/>
      <c r="O33" s="445"/>
      <c r="P33" s="445"/>
      <c r="Q33" s="445"/>
      <c r="R33" s="445"/>
      <c r="S33" s="445"/>
      <c r="T33" s="445"/>
      <c r="U33" s="445"/>
      <c r="V33" s="445"/>
      <c r="W33" s="445"/>
      <c r="X33" s="445"/>
      <c r="Y33" s="445"/>
      <c r="Z33" s="445"/>
      <c r="AA33" s="445"/>
      <c r="AB33" s="445"/>
      <c r="AC33" s="445"/>
      <c r="AD33" s="445"/>
      <c r="AE33" s="445"/>
      <c r="AF33" s="445"/>
      <c r="AG33" s="445"/>
      <c r="AH33" s="445"/>
      <c r="AI33" s="200">
        <f ca="1">IF($B33*(1-(AI$2-26+0.5)*$B$4/12*AI$4)&gt;=0,$B33*$B$4/12*AI$4*(1-$B$3),0)</f>
        <v>194.23928037280606</v>
      </c>
      <c r="AJ33" s="200">
        <f ca="1">IF($B33*(1-(AJ$2-26+0.5)*$B$4)&gt;=0,$B33*$B$4*(1-$B$3),0)</f>
        <v>388.47856074561213</v>
      </c>
      <c r="AK33" s="200">
        <f ca="1">IF($B33*(1-(AK$2-26+0.5)*$B$4)&gt;=0,$B33*$B$4*(1-$B$3),0)</f>
        <v>388.47856074561213</v>
      </c>
      <c r="AL33" s="200">
        <f ca="1">IF($B33*(1-(AL$2-26+0.5)*$B$4)&gt;=0,$B33*$B$4*(1-$B$3),0)</f>
        <v>388.47856074561213</v>
      </c>
      <c r="AM33" s="200">
        <f ca="1">IF($B33*(1-(AM$2-26+0.5)*$B$4)&gt;=0,$B33*$B$4*(1-$B$3),0)</f>
        <v>388.47856074561213</v>
      </c>
      <c r="AN33" s="200"/>
      <c r="AO33" s="367"/>
      <c r="AP33" s="367"/>
    </row>
    <row r="34" spans="1:42" ht="15" hidden="1" customHeight="1">
      <c r="A34" s="311" t="str">
        <f>CONCATENATE(LEFT(AJ$6,4),"新增固定资产＋在建工程转")</f>
        <v>2049新增固定资产＋在建工程转</v>
      </c>
      <c r="B34" s="310">
        <f ca="1">AJ$106+AJ$105</f>
        <v>6034.4892746390033</v>
      </c>
      <c r="C34" s="238"/>
      <c r="D34" s="238"/>
      <c r="E34" s="238"/>
      <c r="F34" s="238"/>
      <c r="G34" s="238"/>
      <c r="H34" s="238"/>
      <c r="I34" s="200"/>
      <c r="J34" s="445"/>
      <c r="K34" s="445"/>
      <c r="L34" s="445"/>
      <c r="M34" s="445"/>
      <c r="N34" s="445"/>
      <c r="O34" s="445"/>
      <c r="P34" s="445"/>
      <c r="Q34" s="445"/>
      <c r="R34" s="445"/>
      <c r="S34" s="445"/>
      <c r="T34" s="445"/>
      <c r="U34" s="445"/>
      <c r="V34" s="445"/>
      <c r="W34" s="445"/>
      <c r="X34" s="445"/>
      <c r="Y34" s="445"/>
      <c r="Z34" s="445"/>
      <c r="AA34" s="445"/>
      <c r="AB34" s="445"/>
      <c r="AC34" s="445"/>
      <c r="AD34" s="445"/>
      <c r="AE34" s="445"/>
      <c r="AF34" s="445"/>
      <c r="AG34" s="445"/>
      <c r="AH34" s="445"/>
      <c r="AI34" s="445"/>
      <c r="AJ34" s="200">
        <f ca="1">IF($B34*(1-(AJ$2-27+0.5)*$B$4/12*AJ$4)&gt;=0,$B34*$B$4/12*AJ$4*(1-$B$3),0)</f>
        <v>219.44758745383817</v>
      </c>
      <c r="AK34" s="200">
        <f ca="1">IF($B34*(1-(AK$2-27+0.5)*$B$4)&gt;=0,$B34*$B$4*(1-$B$3),0)</f>
        <v>438.89517490767639</v>
      </c>
      <c r="AL34" s="200">
        <f ca="1">IF($B34*(1-(AL$2-27+0.5)*$B$4)&gt;=0,$B34*$B$4*(1-$B$3),0)</f>
        <v>438.89517490767639</v>
      </c>
      <c r="AM34" s="200">
        <f ca="1">IF($B34*(1-(AM$2-27+0.5)*$B$4)&gt;=0,$B34*$B$4*(1-$B$3),0)</f>
        <v>438.89517490767639</v>
      </c>
      <c r="AN34" s="200"/>
      <c r="AO34" s="367"/>
      <c r="AP34" s="367"/>
    </row>
    <row r="35" spans="1:42" ht="15" hidden="1" customHeight="1">
      <c r="A35" s="311" t="str">
        <f>CONCATENATE(LEFT(AK$6,4),"新增固定资产＋在建工程转")</f>
        <v>2050新增固定资产＋在建工程转</v>
      </c>
      <c r="B35" s="310">
        <f ca="1">AK$106+AK$105</f>
        <v>6817.9035982607493</v>
      </c>
      <c r="C35" s="238"/>
      <c r="D35" s="238"/>
      <c r="E35" s="238"/>
      <c r="F35" s="238"/>
      <c r="G35" s="238"/>
      <c r="H35" s="238"/>
      <c r="I35" s="200"/>
      <c r="J35" s="445"/>
      <c r="K35" s="445"/>
      <c r="L35" s="445"/>
      <c r="M35" s="445"/>
      <c r="N35" s="445"/>
      <c r="O35" s="445"/>
      <c r="P35" s="445"/>
      <c r="Q35" s="445"/>
      <c r="R35" s="445"/>
      <c r="S35" s="445"/>
      <c r="T35" s="445"/>
      <c r="U35" s="445"/>
      <c r="V35" s="445"/>
      <c r="W35" s="445"/>
      <c r="X35" s="445"/>
      <c r="Y35" s="445"/>
      <c r="Z35" s="445"/>
      <c r="AA35" s="445"/>
      <c r="AB35" s="445"/>
      <c r="AC35" s="445"/>
      <c r="AD35" s="445"/>
      <c r="AE35" s="445"/>
      <c r="AF35" s="445"/>
      <c r="AG35" s="445"/>
      <c r="AH35" s="445"/>
      <c r="AI35" s="445"/>
      <c r="AJ35" s="445"/>
      <c r="AK35" s="200">
        <f ca="1">IF($B35*(1-(AK$2-28+0.5)*$B$4/12*AK$4)&gt;=0,$B35*$B$4/12*AK$4*(1-$B$3),0)</f>
        <v>247.93688878014751</v>
      </c>
      <c r="AL35" s="200">
        <f ca="1">IF($B35*(1-(AL$2-28+0.5)*$B$4)&gt;=0,$B35*$B$4*(1-$B$3),0)</f>
        <v>495.87377756029503</v>
      </c>
      <c r="AM35" s="200">
        <f ca="1">IF($B35*(1-(AM$2-28+0.5)*$B$4)&gt;=0,$B35*$B$4*(1-$B$3),0)</f>
        <v>495.87377756029503</v>
      </c>
      <c r="AN35" s="200"/>
      <c r="AO35" s="367"/>
      <c r="AP35" s="367"/>
    </row>
    <row r="36" spans="1:42" ht="15" hidden="1" customHeight="1">
      <c r="A36" s="311" t="str">
        <f>CONCATENATE(LEFT(AL$6,4),"新增固定资产＋在建工程转")</f>
        <v>2051新增固定资产＋在建工程转</v>
      </c>
      <c r="B36" s="310">
        <f ca="1">AL$106+AL$105</f>
        <v>7703.3203947844477</v>
      </c>
      <c r="C36" s="238"/>
      <c r="D36" s="238"/>
      <c r="E36" s="238"/>
      <c r="F36" s="238"/>
      <c r="G36" s="238"/>
      <c r="H36" s="238"/>
      <c r="I36" s="200"/>
      <c r="J36" s="445"/>
      <c r="K36" s="445"/>
      <c r="L36" s="445"/>
      <c r="M36" s="445"/>
      <c r="N36" s="445"/>
      <c r="O36" s="445"/>
      <c r="P36" s="445"/>
      <c r="Q36" s="445"/>
      <c r="R36" s="445"/>
      <c r="S36" s="445"/>
      <c r="T36" s="445"/>
      <c r="U36" s="445"/>
      <c r="V36" s="445"/>
      <c r="W36" s="445"/>
      <c r="X36" s="445"/>
      <c r="Y36" s="445"/>
      <c r="Z36" s="445"/>
      <c r="AA36" s="445"/>
      <c r="AB36" s="445"/>
      <c r="AC36" s="445"/>
      <c r="AD36" s="445"/>
      <c r="AE36" s="445"/>
      <c r="AF36" s="445"/>
      <c r="AG36" s="445"/>
      <c r="AH36" s="445"/>
      <c r="AI36" s="445"/>
      <c r="AJ36" s="445"/>
      <c r="AK36" s="445"/>
      <c r="AL36" s="200">
        <f ca="1">IF($B36*(1-(AL$2-29+0.5)*$B$4/12*AL$4)&gt;=0,$B36*$B$4/12*AL$4*(1-$B$3),0)</f>
        <v>280.13556725072203</v>
      </c>
      <c r="AM36" s="200">
        <f ca="1">IF($B36*(1-(AM$2-29+0.5)*$B$4)&gt;=0,$B36*$B$4*(1-$B$3),0)</f>
        <v>560.27113450144407</v>
      </c>
      <c r="AN36" s="200"/>
      <c r="AO36" s="367"/>
      <c r="AP36" s="367"/>
    </row>
    <row r="37" spans="1:42" ht="15" hidden="1" customHeight="1">
      <c r="A37" s="311" t="str">
        <f>CONCATENATE(LEFT(AM$6,4),"新增固定资产＋在建工程转")</f>
        <v>2052新增固定资产＋在建工程转</v>
      </c>
      <c r="B37" s="310">
        <f ca="1">AM$106+AM$105</f>
        <v>8703.6978463308715</v>
      </c>
      <c r="C37" s="238"/>
      <c r="D37" s="238"/>
      <c r="E37" s="238"/>
      <c r="F37" s="238"/>
      <c r="G37" s="238"/>
      <c r="H37" s="238"/>
      <c r="I37" s="200"/>
      <c r="J37" s="445"/>
      <c r="K37" s="445"/>
      <c r="L37" s="445"/>
      <c r="M37" s="445"/>
      <c r="N37" s="445"/>
      <c r="O37" s="445"/>
      <c r="P37" s="445"/>
      <c r="Q37" s="445"/>
      <c r="R37" s="445"/>
      <c r="S37" s="445"/>
      <c r="T37" s="445"/>
      <c r="U37" s="445"/>
      <c r="V37" s="445"/>
      <c r="W37" s="445"/>
      <c r="X37" s="445"/>
      <c r="Y37" s="445"/>
      <c r="Z37" s="445"/>
      <c r="AA37" s="445"/>
      <c r="AB37" s="445"/>
      <c r="AC37" s="445"/>
      <c r="AD37" s="445"/>
      <c r="AE37" s="445"/>
      <c r="AF37" s="445"/>
      <c r="AG37" s="445"/>
      <c r="AH37" s="445"/>
      <c r="AI37" s="445"/>
      <c r="AJ37" s="445"/>
      <c r="AK37" s="445"/>
      <c r="AL37" s="445"/>
      <c r="AM37" s="200">
        <f ca="1">IF($B37*(1-(AM$2-30+0.5)*$B$4/12*AM$4)&gt;=0,$B37*$B$4/12*AM$4*(1-$B$3),0)</f>
        <v>316.5148544271359</v>
      </c>
      <c r="AN37" s="200"/>
      <c r="AO37" s="367"/>
      <c r="AP37" s="367"/>
    </row>
    <row r="38" spans="1:42" ht="12.75" customHeight="1">
      <c r="B38" s="310"/>
      <c r="C38" s="238"/>
      <c r="D38" s="238"/>
      <c r="E38" s="238"/>
      <c r="F38" s="238"/>
      <c r="G38" s="238"/>
      <c r="H38" s="238"/>
      <c r="I38" s="200"/>
      <c r="J38" s="200"/>
      <c r="K38" s="200"/>
      <c r="L38" s="200"/>
      <c r="M38" s="200"/>
      <c r="N38" s="200"/>
      <c r="O38" s="200"/>
      <c r="P38" s="200"/>
      <c r="Q38" s="200"/>
      <c r="R38" s="200"/>
      <c r="S38" s="200"/>
      <c r="T38" s="200"/>
      <c r="U38" s="200"/>
      <c r="V38" s="200"/>
      <c r="W38" s="200"/>
      <c r="X38" s="200"/>
      <c r="Y38" s="200"/>
      <c r="Z38" s="200"/>
      <c r="AA38" s="200"/>
      <c r="AB38" s="200"/>
      <c r="AC38" s="200"/>
      <c r="AD38" s="200"/>
      <c r="AE38" s="200"/>
      <c r="AF38" s="200"/>
      <c r="AG38" s="200"/>
      <c r="AH38" s="200"/>
      <c r="AI38" s="200"/>
      <c r="AJ38" s="200"/>
      <c r="AK38" s="200"/>
      <c r="AL38" s="200"/>
      <c r="AM38" s="200"/>
      <c r="AN38" s="200"/>
      <c r="AO38" s="367"/>
      <c r="AP38" s="367"/>
    </row>
    <row r="39" spans="1:42" ht="17.25" customHeight="1">
      <c r="A39" s="309" t="s">
        <v>213</v>
      </c>
      <c r="B39" s="310">
        <f>资产负债!H33</f>
        <v>288.30196711000002</v>
      </c>
      <c r="C39" s="238"/>
      <c r="D39" s="238"/>
      <c r="E39" s="238"/>
      <c r="F39" s="238"/>
      <c r="G39" s="238"/>
      <c r="H39" s="238"/>
      <c r="I39" s="200"/>
      <c r="J39" s="200">
        <f t="shared" ref="J39:AM39" si="25">IF($B39*(1-J$2*$B$5)&gt;=0,$B39*$B$5,0)</f>
        <v>8.0325142277480861</v>
      </c>
      <c r="K39" s="200">
        <f t="shared" si="25"/>
        <v>8.0325142277480861</v>
      </c>
      <c r="L39" s="200">
        <f t="shared" si="25"/>
        <v>8.0325142277480861</v>
      </c>
      <c r="M39" s="200">
        <f t="shared" si="25"/>
        <v>8.0325142277480861</v>
      </c>
      <c r="N39" s="200">
        <f t="shared" si="25"/>
        <v>8.0325142277480861</v>
      </c>
      <c r="O39" s="200">
        <f t="shared" si="25"/>
        <v>8.0325142277480861</v>
      </c>
      <c r="P39" s="200">
        <f t="shared" si="25"/>
        <v>8.0325142277480861</v>
      </c>
      <c r="Q39" s="200">
        <f t="shared" si="25"/>
        <v>8.0325142277480861</v>
      </c>
      <c r="R39" s="200">
        <f t="shared" si="25"/>
        <v>8.0325142277480861</v>
      </c>
      <c r="S39" s="200">
        <f t="shared" si="25"/>
        <v>8.0325142277480861</v>
      </c>
      <c r="T39" s="200">
        <f t="shared" si="25"/>
        <v>8.0325142277480861</v>
      </c>
      <c r="U39" s="200">
        <f t="shared" si="25"/>
        <v>8.0325142277480861</v>
      </c>
      <c r="V39" s="200">
        <f t="shared" si="25"/>
        <v>8.0325142277480861</v>
      </c>
      <c r="W39" s="200">
        <f t="shared" si="25"/>
        <v>8.0325142277480861</v>
      </c>
      <c r="X39" s="200">
        <f t="shared" si="25"/>
        <v>8.0325142277480861</v>
      </c>
      <c r="Y39" s="200">
        <f t="shared" si="25"/>
        <v>8.0325142277480861</v>
      </c>
      <c r="Z39" s="200">
        <f t="shared" si="25"/>
        <v>8.0325142277480861</v>
      </c>
      <c r="AA39" s="200">
        <f t="shared" si="25"/>
        <v>8.0325142277480861</v>
      </c>
      <c r="AB39" s="200">
        <f t="shared" si="25"/>
        <v>8.0325142277480861</v>
      </c>
      <c r="AC39" s="200">
        <f t="shared" si="25"/>
        <v>8.0325142277480861</v>
      </c>
      <c r="AD39" s="200">
        <f t="shared" si="25"/>
        <v>8.0325142277480861</v>
      </c>
      <c r="AE39" s="200">
        <f t="shared" si="25"/>
        <v>8.0325142277480861</v>
      </c>
      <c r="AF39" s="200">
        <f t="shared" si="25"/>
        <v>8.0325142277480861</v>
      </c>
      <c r="AG39" s="200">
        <f t="shared" si="25"/>
        <v>8.0325142277480861</v>
      </c>
      <c r="AH39" s="200">
        <f t="shared" si="25"/>
        <v>8.0325142277480861</v>
      </c>
      <c r="AI39" s="200">
        <f t="shared" si="25"/>
        <v>8.0325142277480861</v>
      </c>
      <c r="AJ39" s="200">
        <f t="shared" si="25"/>
        <v>8.0325142277480861</v>
      </c>
      <c r="AK39" s="200">
        <f t="shared" si="25"/>
        <v>8.0325142277480861</v>
      </c>
      <c r="AL39" s="200">
        <f t="shared" si="25"/>
        <v>8.0325142277480861</v>
      </c>
      <c r="AM39" s="200">
        <f t="shared" si="25"/>
        <v>8.0325142277480861</v>
      </c>
      <c r="AN39" s="200"/>
      <c r="AO39" s="367"/>
      <c r="AP39" s="367"/>
    </row>
    <row r="40" spans="1:42" ht="15" customHeight="1">
      <c r="A40" s="311" t="str">
        <f>CONCATENATE(LEFT(J$6,4),"新增无形资产")</f>
        <v>2023新增无形资产</v>
      </c>
      <c r="B40" s="310">
        <f>J$120</f>
        <v>34.800943970000006</v>
      </c>
      <c r="C40" s="238"/>
      <c r="D40" s="238"/>
      <c r="E40" s="238"/>
      <c r="F40" s="238"/>
      <c r="G40" s="238"/>
      <c r="H40" s="238"/>
      <c r="I40" s="200"/>
      <c r="J40" s="200">
        <f t="shared" ref="J40:AM40" si="26">IF($B40*(1-(J$2-1+0.5)*$B$5)&gt;=0,$B40*$B$5,0)</f>
        <v>0.96960516912266659</v>
      </c>
      <c r="K40" s="200">
        <f t="shared" si="26"/>
        <v>0.96960516912266659</v>
      </c>
      <c r="L40" s="200">
        <f t="shared" si="26"/>
        <v>0.96960516912266659</v>
      </c>
      <c r="M40" s="200">
        <f t="shared" si="26"/>
        <v>0.96960516912266659</v>
      </c>
      <c r="N40" s="200">
        <f t="shared" si="26"/>
        <v>0.96960516912266659</v>
      </c>
      <c r="O40" s="200">
        <f t="shared" si="26"/>
        <v>0.96960516912266659</v>
      </c>
      <c r="P40" s="200">
        <f t="shared" si="26"/>
        <v>0.96960516912266659</v>
      </c>
      <c r="Q40" s="200">
        <f t="shared" si="26"/>
        <v>0.96960516912266659</v>
      </c>
      <c r="R40" s="200">
        <f t="shared" si="26"/>
        <v>0.96960516912266659</v>
      </c>
      <c r="S40" s="200">
        <f t="shared" si="26"/>
        <v>0.96960516912266659</v>
      </c>
      <c r="T40" s="200">
        <f t="shared" si="26"/>
        <v>0.96960516912266659</v>
      </c>
      <c r="U40" s="200">
        <f t="shared" si="26"/>
        <v>0.96960516912266659</v>
      </c>
      <c r="V40" s="200">
        <f t="shared" si="26"/>
        <v>0.96960516912266659</v>
      </c>
      <c r="W40" s="200">
        <f t="shared" si="26"/>
        <v>0.96960516912266659</v>
      </c>
      <c r="X40" s="200">
        <f t="shared" si="26"/>
        <v>0.96960516912266659</v>
      </c>
      <c r="Y40" s="200">
        <f t="shared" si="26"/>
        <v>0.96960516912266659</v>
      </c>
      <c r="Z40" s="200">
        <f t="shared" si="26"/>
        <v>0.96960516912266659</v>
      </c>
      <c r="AA40" s="200">
        <f t="shared" si="26"/>
        <v>0.96960516912266659</v>
      </c>
      <c r="AB40" s="200">
        <f t="shared" si="26"/>
        <v>0.96960516912266659</v>
      </c>
      <c r="AC40" s="200">
        <f t="shared" si="26"/>
        <v>0.96960516912266659</v>
      </c>
      <c r="AD40" s="200">
        <f t="shared" si="26"/>
        <v>0.96960516912266659</v>
      </c>
      <c r="AE40" s="200">
        <f t="shared" si="26"/>
        <v>0.96960516912266659</v>
      </c>
      <c r="AF40" s="200">
        <f t="shared" si="26"/>
        <v>0.96960516912266659</v>
      </c>
      <c r="AG40" s="200">
        <f t="shared" si="26"/>
        <v>0.96960516912266659</v>
      </c>
      <c r="AH40" s="200">
        <f t="shared" si="26"/>
        <v>0.96960516912266659</v>
      </c>
      <c r="AI40" s="200">
        <f t="shared" si="26"/>
        <v>0.96960516912266659</v>
      </c>
      <c r="AJ40" s="200">
        <f t="shared" si="26"/>
        <v>0.96960516912266659</v>
      </c>
      <c r="AK40" s="200">
        <f t="shared" si="26"/>
        <v>0.96960516912266659</v>
      </c>
      <c r="AL40" s="200">
        <f t="shared" si="26"/>
        <v>0.96960516912266659</v>
      </c>
      <c r="AM40" s="200">
        <f t="shared" si="26"/>
        <v>0.96960516912266659</v>
      </c>
      <c r="AN40" s="200"/>
      <c r="AO40" s="367"/>
      <c r="AP40" s="367"/>
    </row>
    <row r="41" spans="1:42" ht="15" customHeight="1">
      <c r="A41" s="311" t="str">
        <f>CONCATENATE(LEFT(K$6,4),"新增无形资产")</f>
        <v>2024新增无形资产</v>
      </c>
      <c r="B41" s="310">
        <f>K$120</f>
        <v>40.464791214000009</v>
      </c>
      <c r="C41" s="238"/>
      <c r="D41" s="238"/>
      <c r="E41" s="238"/>
      <c r="F41" s="238"/>
      <c r="G41" s="238"/>
      <c r="H41" s="238"/>
      <c r="I41" s="200"/>
      <c r="J41" s="445"/>
      <c r="K41" s="200">
        <f t="shared" ref="K41:AM41" si="27">IF($B41*(1-(K$2-2+0.5)*$B$5)&gt;=0,$B41*$B$5,0)</f>
        <v>1.1274082324429509</v>
      </c>
      <c r="L41" s="200">
        <f t="shared" si="27"/>
        <v>1.1274082324429509</v>
      </c>
      <c r="M41" s="200">
        <f t="shared" si="27"/>
        <v>1.1274082324429509</v>
      </c>
      <c r="N41" s="200">
        <f t="shared" si="27"/>
        <v>1.1274082324429509</v>
      </c>
      <c r="O41" s="200">
        <f t="shared" si="27"/>
        <v>1.1274082324429509</v>
      </c>
      <c r="P41" s="200">
        <f t="shared" si="27"/>
        <v>1.1274082324429509</v>
      </c>
      <c r="Q41" s="200">
        <f t="shared" si="27"/>
        <v>1.1274082324429509</v>
      </c>
      <c r="R41" s="200">
        <f t="shared" si="27"/>
        <v>1.1274082324429509</v>
      </c>
      <c r="S41" s="200">
        <f t="shared" si="27"/>
        <v>1.1274082324429509</v>
      </c>
      <c r="T41" s="200">
        <f t="shared" si="27"/>
        <v>1.1274082324429509</v>
      </c>
      <c r="U41" s="200">
        <f t="shared" si="27"/>
        <v>1.1274082324429509</v>
      </c>
      <c r="V41" s="200">
        <f t="shared" si="27"/>
        <v>1.1274082324429509</v>
      </c>
      <c r="W41" s="200">
        <f t="shared" si="27"/>
        <v>1.1274082324429509</v>
      </c>
      <c r="X41" s="200">
        <f t="shared" si="27"/>
        <v>1.1274082324429509</v>
      </c>
      <c r="Y41" s="200">
        <f t="shared" si="27"/>
        <v>1.1274082324429509</v>
      </c>
      <c r="Z41" s="200">
        <f t="shared" si="27"/>
        <v>1.1274082324429509</v>
      </c>
      <c r="AA41" s="200">
        <f t="shared" si="27"/>
        <v>1.1274082324429509</v>
      </c>
      <c r="AB41" s="200">
        <f t="shared" si="27"/>
        <v>1.1274082324429509</v>
      </c>
      <c r="AC41" s="200">
        <f t="shared" si="27"/>
        <v>1.1274082324429509</v>
      </c>
      <c r="AD41" s="200">
        <f t="shared" si="27"/>
        <v>1.1274082324429509</v>
      </c>
      <c r="AE41" s="200">
        <f t="shared" si="27"/>
        <v>1.1274082324429509</v>
      </c>
      <c r="AF41" s="200">
        <f t="shared" si="27"/>
        <v>1.1274082324429509</v>
      </c>
      <c r="AG41" s="200">
        <f t="shared" si="27"/>
        <v>1.1274082324429509</v>
      </c>
      <c r="AH41" s="200">
        <f t="shared" si="27"/>
        <v>1.1274082324429509</v>
      </c>
      <c r="AI41" s="200">
        <f t="shared" si="27"/>
        <v>1.1274082324429509</v>
      </c>
      <c r="AJ41" s="200">
        <f t="shared" si="27"/>
        <v>1.1274082324429509</v>
      </c>
      <c r="AK41" s="200">
        <f t="shared" si="27"/>
        <v>1.1274082324429509</v>
      </c>
      <c r="AL41" s="200">
        <f t="shared" si="27"/>
        <v>1.1274082324429509</v>
      </c>
      <c r="AM41" s="200">
        <f t="shared" si="27"/>
        <v>1.1274082324429509</v>
      </c>
      <c r="AN41" s="200"/>
      <c r="AO41" s="367"/>
      <c r="AP41" s="367"/>
    </row>
    <row r="42" spans="1:42" ht="15" hidden="1" customHeight="1">
      <c r="A42" s="311" t="str">
        <f>CONCATENATE(LEFT(L$6,4),"新增无形资产")</f>
        <v>2025新增无形资产</v>
      </c>
      <c r="B42" s="310">
        <f>L$120</f>
        <v>44.885569580800009</v>
      </c>
      <c r="C42" s="238"/>
      <c r="D42" s="238"/>
      <c r="E42" s="238"/>
      <c r="F42" s="238"/>
      <c r="G42" s="238"/>
      <c r="H42" s="238"/>
      <c r="I42" s="200"/>
      <c r="J42" s="445"/>
      <c r="K42" s="445"/>
      <c r="L42" s="200">
        <f t="shared" ref="L42:AM42" si="28">IF($B42*(1-(L$2-3+0.5)*$B$5)&gt;=0,$B42*$B$5,0)</f>
        <v>1.250577579794276</v>
      </c>
      <c r="M42" s="200">
        <f t="shared" si="28"/>
        <v>1.250577579794276</v>
      </c>
      <c r="N42" s="200">
        <f t="shared" si="28"/>
        <v>1.250577579794276</v>
      </c>
      <c r="O42" s="200">
        <f t="shared" si="28"/>
        <v>1.250577579794276</v>
      </c>
      <c r="P42" s="200">
        <f t="shared" si="28"/>
        <v>1.250577579794276</v>
      </c>
      <c r="Q42" s="200">
        <f t="shared" si="28"/>
        <v>1.250577579794276</v>
      </c>
      <c r="R42" s="200">
        <f t="shared" si="28"/>
        <v>1.250577579794276</v>
      </c>
      <c r="S42" s="200">
        <f t="shared" si="28"/>
        <v>1.250577579794276</v>
      </c>
      <c r="T42" s="200">
        <f t="shared" si="28"/>
        <v>1.250577579794276</v>
      </c>
      <c r="U42" s="200">
        <f t="shared" si="28"/>
        <v>1.250577579794276</v>
      </c>
      <c r="V42" s="200">
        <f t="shared" si="28"/>
        <v>1.250577579794276</v>
      </c>
      <c r="W42" s="200">
        <f t="shared" si="28"/>
        <v>1.250577579794276</v>
      </c>
      <c r="X42" s="200">
        <f t="shared" si="28"/>
        <v>1.250577579794276</v>
      </c>
      <c r="Y42" s="200">
        <f t="shared" si="28"/>
        <v>1.250577579794276</v>
      </c>
      <c r="Z42" s="200">
        <f t="shared" si="28"/>
        <v>1.250577579794276</v>
      </c>
      <c r="AA42" s="200">
        <f t="shared" si="28"/>
        <v>1.250577579794276</v>
      </c>
      <c r="AB42" s="200">
        <f t="shared" si="28"/>
        <v>1.250577579794276</v>
      </c>
      <c r="AC42" s="200">
        <f t="shared" si="28"/>
        <v>1.250577579794276</v>
      </c>
      <c r="AD42" s="200">
        <f t="shared" si="28"/>
        <v>1.250577579794276</v>
      </c>
      <c r="AE42" s="200">
        <f t="shared" si="28"/>
        <v>1.250577579794276</v>
      </c>
      <c r="AF42" s="200">
        <f t="shared" si="28"/>
        <v>1.250577579794276</v>
      </c>
      <c r="AG42" s="200">
        <f t="shared" si="28"/>
        <v>1.250577579794276</v>
      </c>
      <c r="AH42" s="200">
        <f t="shared" si="28"/>
        <v>1.250577579794276</v>
      </c>
      <c r="AI42" s="200">
        <f t="shared" si="28"/>
        <v>1.250577579794276</v>
      </c>
      <c r="AJ42" s="200">
        <f t="shared" si="28"/>
        <v>1.250577579794276</v>
      </c>
      <c r="AK42" s="200">
        <f t="shared" si="28"/>
        <v>1.250577579794276</v>
      </c>
      <c r="AL42" s="200">
        <f t="shared" si="28"/>
        <v>1.250577579794276</v>
      </c>
      <c r="AM42" s="200">
        <f t="shared" si="28"/>
        <v>1.250577579794276</v>
      </c>
      <c r="AN42" s="200"/>
      <c r="AO42" s="367"/>
      <c r="AP42" s="367"/>
    </row>
    <row r="43" spans="1:42" ht="15" hidden="1" customHeight="1">
      <c r="A43" s="311" t="str">
        <f>CONCATENATE(LEFT(M$6,4),"新增无形资产")</f>
        <v>2026新增无形资产</v>
      </c>
      <c r="B43" s="310">
        <f>M$120</f>
        <v>52.225123738960008</v>
      </c>
      <c r="C43" s="238"/>
      <c r="D43" s="238"/>
      <c r="E43" s="238"/>
      <c r="F43" s="238"/>
      <c r="G43" s="238"/>
      <c r="H43" s="238"/>
      <c r="I43" s="200"/>
      <c r="J43" s="445"/>
      <c r="K43" s="445"/>
      <c r="L43" s="445"/>
      <c r="M43" s="200">
        <f t="shared" ref="M43:AM43" si="29">IF($B43*(1-(M$2-4+0.5)*$B$5)&gt;=0,$B43*$B$5,0)</f>
        <v>1.4550682871998688</v>
      </c>
      <c r="N43" s="200">
        <f t="shared" si="29"/>
        <v>1.4550682871998688</v>
      </c>
      <c r="O43" s="200">
        <f t="shared" si="29"/>
        <v>1.4550682871998688</v>
      </c>
      <c r="P43" s="200">
        <f t="shared" si="29"/>
        <v>1.4550682871998688</v>
      </c>
      <c r="Q43" s="200">
        <f t="shared" si="29"/>
        <v>1.4550682871998688</v>
      </c>
      <c r="R43" s="200">
        <f t="shared" si="29"/>
        <v>1.4550682871998688</v>
      </c>
      <c r="S43" s="200">
        <f t="shared" si="29"/>
        <v>1.4550682871998688</v>
      </c>
      <c r="T43" s="200">
        <f t="shared" si="29"/>
        <v>1.4550682871998688</v>
      </c>
      <c r="U43" s="200">
        <f t="shared" si="29"/>
        <v>1.4550682871998688</v>
      </c>
      <c r="V43" s="200">
        <f t="shared" si="29"/>
        <v>1.4550682871998688</v>
      </c>
      <c r="W43" s="200">
        <f t="shared" si="29"/>
        <v>1.4550682871998688</v>
      </c>
      <c r="X43" s="200">
        <f t="shared" si="29"/>
        <v>1.4550682871998688</v>
      </c>
      <c r="Y43" s="200">
        <f t="shared" si="29"/>
        <v>1.4550682871998688</v>
      </c>
      <c r="Z43" s="200">
        <f t="shared" si="29"/>
        <v>1.4550682871998688</v>
      </c>
      <c r="AA43" s="200">
        <f t="shared" si="29"/>
        <v>1.4550682871998688</v>
      </c>
      <c r="AB43" s="200">
        <f t="shared" si="29"/>
        <v>1.4550682871998688</v>
      </c>
      <c r="AC43" s="200">
        <f t="shared" si="29"/>
        <v>1.4550682871998688</v>
      </c>
      <c r="AD43" s="200">
        <f t="shared" si="29"/>
        <v>1.4550682871998688</v>
      </c>
      <c r="AE43" s="200">
        <f t="shared" si="29"/>
        <v>1.4550682871998688</v>
      </c>
      <c r="AF43" s="200">
        <f t="shared" si="29"/>
        <v>1.4550682871998688</v>
      </c>
      <c r="AG43" s="200">
        <f t="shared" si="29"/>
        <v>1.4550682871998688</v>
      </c>
      <c r="AH43" s="200">
        <f t="shared" si="29"/>
        <v>1.4550682871998688</v>
      </c>
      <c r="AI43" s="200">
        <f t="shared" si="29"/>
        <v>1.4550682871998688</v>
      </c>
      <c r="AJ43" s="200">
        <f t="shared" si="29"/>
        <v>1.4550682871998688</v>
      </c>
      <c r="AK43" s="200">
        <f t="shared" si="29"/>
        <v>1.4550682871998688</v>
      </c>
      <c r="AL43" s="200">
        <f t="shared" si="29"/>
        <v>1.4550682871998688</v>
      </c>
      <c r="AM43" s="200">
        <f t="shared" si="29"/>
        <v>1.4550682871998688</v>
      </c>
      <c r="AN43" s="200"/>
      <c r="AO43" s="367"/>
      <c r="AP43" s="367"/>
    </row>
    <row r="44" spans="1:42" ht="15" hidden="1" customHeight="1">
      <c r="A44" s="311" t="str">
        <f>CONCATENATE(LEFT(N$6,4),"新增无形资产")</f>
        <v>2027新增无形资产</v>
      </c>
      <c r="B44" s="310">
        <f>N$120</f>
        <v>63.26689235875201</v>
      </c>
      <c r="C44" s="238"/>
      <c r="D44" s="238"/>
      <c r="E44" s="238"/>
      <c r="F44" s="238"/>
      <c r="G44" s="238"/>
      <c r="H44" s="238"/>
      <c r="I44" s="200"/>
      <c r="J44" s="445"/>
      <c r="K44" s="445"/>
      <c r="L44" s="445"/>
      <c r="M44" s="445"/>
      <c r="N44" s="200">
        <f t="shared" ref="N44:AM44" si="30">IF($B44*(1-(N$2-5+0.5)*$B$5)&gt;=0,$B44*$B$5,0)</f>
        <v>1.7627081012013501</v>
      </c>
      <c r="O44" s="200">
        <f t="shared" si="30"/>
        <v>1.7627081012013501</v>
      </c>
      <c r="P44" s="200">
        <f t="shared" si="30"/>
        <v>1.7627081012013501</v>
      </c>
      <c r="Q44" s="200">
        <f t="shared" si="30"/>
        <v>1.7627081012013501</v>
      </c>
      <c r="R44" s="200">
        <f t="shared" si="30"/>
        <v>1.7627081012013501</v>
      </c>
      <c r="S44" s="200">
        <f t="shared" si="30"/>
        <v>1.7627081012013501</v>
      </c>
      <c r="T44" s="200">
        <f t="shared" si="30"/>
        <v>1.7627081012013501</v>
      </c>
      <c r="U44" s="200">
        <f t="shared" si="30"/>
        <v>1.7627081012013501</v>
      </c>
      <c r="V44" s="200">
        <f t="shared" si="30"/>
        <v>1.7627081012013501</v>
      </c>
      <c r="W44" s="200">
        <f t="shared" si="30"/>
        <v>1.7627081012013501</v>
      </c>
      <c r="X44" s="200">
        <f t="shared" si="30"/>
        <v>1.7627081012013501</v>
      </c>
      <c r="Y44" s="200">
        <f t="shared" si="30"/>
        <v>1.7627081012013501</v>
      </c>
      <c r="Z44" s="200">
        <f t="shared" si="30"/>
        <v>1.7627081012013501</v>
      </c>
      <c r="AA44" s="200">
        <f t="shared" si="30"/>
        <v>1.7627081012013501</v>
      </c>
      <c r="AB44" s="200">
        <f t="shared" si="30"/>
        <v>1.7627081012013501</v>
      </c>
      <c r="AC44" s="200">
        <f t="shared" si="30"/>
        <v>1.7627081012013501</v>
      </c>
      <c r="AD44" s="200">
        <f t="shared" si="30"/>
        <v>1.7627081012013501</v>
      </c>
      <c r="AE44" s="200">
        <f t="shared" si="30"/>
        <v>1.7627081012013501</v>
      </c>
      <c r="AF44" s="200">
        <f t="shared" si="30"/>
        <v>1.7627081012013501</v>
      </c>
      <c r="AG44" s="200">
        <f t="shared" si="30"/>
        <v>1.7627081012013501</v>
      </c>
      <c r="AH44" s="200">
        <f t="shared" si="30"/>
        <v>1.7627081012013501</v>
      </c>
      <c r="AI44" s="200">
        <f t="shared" si="30"/>
        <v>1.7627081012013501</v>
      </c>
      <c r="AJ44" s="200">
        <f t="shared" si="30"/>
        <v>1.7627081012013501</v>
      </c>
      <c r="AK44" s="200">
        <f t="shared" si="30"/>
        <v>1.7627081012013501</v>
      </c>
      <c r="AL44" s="200">
        <f t="shared" si="30"/>
        <v>1.7627081012013501</v>
      </c>
      <c r="AM44" s="200">
        <f t="shared" si="30"/>
        <v>1.7627081012013501</v>
      </c>
      <c r="AN44" s="200"/>
      <c r="AO44" s="367"/>
      <c r="AP44" s="367"/>
    </row>
    <row r="45" spans="1:42" ht="15" hidden="1" customHeight="1">
      <c r="A45" s="311" t="str">
        <f>CONCATENATE(LEFT(O$6,4),"新增无形资产")</f>
        <v>2028新增无形资产</v>
      </c>
      <c r="B45" s="310">
        <f>O$120</f>
        <v>47.128664172502411</v>
      </c>
      <c r="C45" s="238"/>
      <c r="D45" s="238"/>
      <c r="E45" s="238"/>
      <c r="F45" s="238"/>
      <c r="G45" s="238"/>
      <c r="H45" s="238"/>
      <c r="I45" s="200"/>
      <c r="J45" s="445"/>
      <c r="K45" s="445"/>
      <c r="L45" s="445"/>
      <c r="M45" s="445"/>
      <c r="N45" s="445"/>
      <c r="O45" s="200">
        <f t="shared" ref="O45:AM45" si="31">IF($B45*(1-(O$2-6+0.5)*$B$5)&gt;=0,$B45*$B$5,0)</f>
        <v>1.3130734739522225</v>
      </c>
      <c r="P45" s="200">
        <f t="shared" si="31"/>
        <v>1.3130734739522225</v>
      </c>
      <c r="Q45" s="200">
        <f t="shared" si="31"/>
        <v>1.3130734739522225</v>
      </c>
      <c r="R45" s="200">
        <f t="shared" si="31"/>
        <v>1.3130734739522225</v>
      </c>
      <c r="S45" s="200">
        <f t="shared" si="31"/>
        <v>1.3130734739522225</v>
      </c>
      <c r="T45" s="200">
        <f t="shared" si="31"/>
        <v>1.3130734739522225</v>
      </c>
      <c r="U45" s="200">
        <f t="shared" si="31"/>
        <v>1.3130734739522225</v>
      </c>
      <c r="V45" s="200">
        <f t="shared" si="31"/>
        <v>1.3130734739522225</v>
      </c>
      <c r="W45" s="200">
        <f t="shared" si="31"/>
        <v>1.3130734739522225</v>
      </c>
      <c r="X45" s="200">
        <f t="shared" si="31"/>
        <v>1.3130734739522225</v>
      </c>
      <c r="Y45" s="200">
        <f t="shared" si="31"/>
        <v>1.3130734739522225</v>
      </c>
      <c r="Z45" s="200">
        <f t="shared" si="31"/>
        <v>1.3130734739522225</v>
      </c>
      <c r="AA45" s="200">
        <f t="shared" si="31"/>
        <v>1.3130734739522225</v>
      </c>
      <c r="AB45" s="200">
        <f t="shared" si="31"/>
        <v>1.3130734739522225</v>
      </c>
      <c r="AC45" s="200">
        <f t="shared" si="31"/>
        <v>1.3130734739522225</v>
      </c>
      <c r="AD45" s="200">
        <f t="shared" si="31"/>
        <v>1.3130734739522225</v>
      </c>
      <c r="AE45" s="200">
        <f t="shared" si="31"/>
        <v>1.3130734739522225</v>
      </c>
      <c r="AF45" s="200">
        <f t="shared" si="31"/>
        <v>1.3130734739522225</v>
      </c>
      <c r="AG45" s="200">
        <f t="shared" si="31"/>
        <v>1.3130734739522225</v>
      </c>
      <c r="AH45" s="200">
        <f t="shared" si="31"/>
        <v>1.3130734739522225</v>
      </c>
      <c r="AI45" s="200">
        <f t="shared" si="31"/>
        <v>1.3130734739522225</v>
      </c>
      <c r="AJ45" s="200">
        <f t="shared" si="31"/>
        <v>1.3130734739522225</v>
      </c>
      <c r="AK45" s="200">
        <f t="shared" si="31"/>
        <v>1.3130734739522225</v>
      </c>
      <c r="AL45" s="200">
        <f t="shared" si="31"/>
        <v>1.3130734739522225</v>
      </c>
      <c r="AM45" s="200">
        <f t="shared" si="31"/>
        <v>1.3130734739522225</v>
      </c>
      <c r="AN45" s="200"/>
      <c r="AO45" s="367"/>
      <c r="AP45" s="367"/>
    </row>
    <row r="46" spans="1:42" ht="15" hidden="1" customHeight="1">
      <c r="A46" s="311" t="str">
        <f>CONCATENATE(LEFT(P$6,4),"新增无形资产")</f>
        <v>2029新增无形资产</v>
      </c>
      <c r="B46" s="310">
        <f>P$120</f>
        <v>49.594208213002887</v>
      </c>
      <c r="C46" s="238"/>
      <c r="D46" s="238"/>
      <c r="E46" s="238"/>
      <c r="F46" s="238"/>
      <c r="G46" s="238"/>
      <c r="H46" s="238"/>
      <c r="I46" s="200"/>
      <c r="J46" s="445"/>
      <c r="K46" s="445"/>
      <c r="L46" s="445"/>
      <c r="M46" s="445"/>
      <c r="N46" s="445"/>
      <c r="O46" s="445"/>
      <c r="P46" s="200">
        <f t="shared" ref="P46:AM46" si="32">IF($B46*(1-(P$2-7+0.5)*$B$5)&gt;=0,$B46*$B$5,0)</f>
        <v>1.3817671349181335</v>
      </c>
      <c r="Q46" s="200">
        <f t="shared" si="32"/>
        <v>1.3817671349181335</v>
      </c>
      <c r="R46" s="200">
        <f t="shared" si="32"/>
        <v>1.3817671349181335</v>
      </c>
      <c r="S46" s="200">
        <f t="shared" si="32"/>
        <v>1.3817671349181335</v>
      </c>
      <c r="T46" s="200">
        <f t="shared" si="32"/>
        <v>1.3817671349181335</v>
      </c>
      <c r="U46" s="200">
        <f t="shared" si="32"/>
        <v>1.3817671349181335</v>
      </c>
      <c r="V46" s="200">
        <f t="shared" si="32"/>
        <v>1.3817671349181335</v>
      </c>
      <c r="W46" s="200">
        <f t="shared" si="32"/>
        <v>1.3817671349181335</v>
      </c>
      <c r="X46" s="200">
        <f t="shared" si="32"/>
        <v>1.3817671349181335</v>
      </c>
      <c r="Y46" s="200">
        <f t="shared" si="32"/>
        <v>1.3817671349181335</v>
      </c>
      <c r="Z46" s="200">
        <f t="shared" si="32"/>
        <v>1.3817671349181335</v>
      </c>
      <c r="AA46" s="200">
        <f t="shared" si="32"/>
        <v>1.3817671349181335</v>
      </c>
      <c r="AB46" s="200">
        <f t="shared" si="32"/>
        <v>1.3817671349181335</v>
      </c>
      <c r="AC46" s="200">
        <f t="shared" si="32"/>
        <v>1.3817671349181335</v>
      </c>
      <c r="AD46" s="200">
        <f t="shared" si="32"/>
        <v>1.3817671349181335</v>
      </c>
      <c r="AE46" s="200">
        <f t="shared" si="32"/>
        <v>1.3817671349181335</v>
      </c>
      <c r="AF46" s="200">
        <f t="shared" si="32"/>
        <v>1.3817671349181335</v>
      </c>
      <c r="AG46" s="200">
        <f t="shared" si="32"/>
        <v>1.3817671349181335</v>
      </c>
      <c r="AH46" s="200">
        <f t="shared" si="32"/>
        <v>1.3817671349181335</v>
      </c>
      <c r="AI46" s="200">
        <f t="shared" si="32"/>
        <v>1.3817671349181335</v>
      </c>
      <c r="AJ46" s="200">
        <f t="shared" si="32"/>
        <v>1.3817671349181335</v>
      </c>
      <c r="AK46" s="200">
        <f t="shared" si="32"/>
        <v>1.3817671349181335</v>
      </c>
      <c r="AL46" s="200">
        <f t="shared" si="32"/>
        <v>1.3817671349181335</v>
      </c>
      <c r="AM46" s="200">
        <f t="shared" si="32"/>
        <v>1.3817671349181335</v>
      </c>
      <c r="AN46" s="200"/>
      <c r="AO46" s="367"/>
      <c r="AP46" s="367"/>
    </row>
    <row r="47" spans="1:42" ht="15" hidden="1" customHeight="1">
      <c r="A47" s="311" t="str">
        <f>CONCATENATE(LEFT(Q$6,4),"新增无形资产")</f>
        <v>2030新增无形资产</v>
      </c>
      <c r="B47" s="310">
        <f>Q$120</f>
        <v>51.420091612803468</v>
      </c>
      <c r="C47" s="238"/>
      <c r="D47" s="238"/>
      <c r="E47" s="238"/>
      <c r="F47" s="238"/>
      <c r="G47" s="238"/>
      <c r="H47" s="238"/>
      <c r="I47" s="200"/>
      <c r="J47" s="445"/>
      <c r="K47" s="445"/>
      <c r="L47" s="445"/>
      <c r="M47" s="445"/>
      <c r="N47" s="445"/>
      <c r="O47" s="445"/>
      <c r="P47" s="445"/>
      <c r="Q47" s="200">
        <f t="shared" ref="Q47:AM47" si="33">IF($B47*(1-(Q$2-8+0.5)*$B$5)&gt;=0,$B47*$B$5,0)</f>
        <v>1.4326389154131702</v>
      </c>
      <c r="R47" s="200">
        <f t="shared" si="33"/>
        <v>1.4326389154131702</v>
      </c>
      <c r="S47" s="200">
        <f t="shared" si="33"/>
        <v>1.4326389154131702</v>
      </c>
      <c r="T47" s="200">
        <f t="shared" si="33"/>
        <v>1.4326389154131702</v>
      </c>
      <c r="U47" s="200">
        <f t="shared" si="33"/>
        <v>1.4326389154131702</v>
      </c>
      <c r="V47" s="200">
        <f t="shared" si="33"/>
        <v>1.4326389154131702</v>
      </c>
      <c r="W47" s="200">
        <f t="shared" si="33"/>
        <v>1.4326389154131702</v>
      </c>
      <c r="X47" s="200">
        <f t="shared" si="33"/>
        <v>1.4326389154131702</v>
      </c>
      <c r="Y47" s="200">
        <f t="shared" si="33"/>
        <v>1.4326389154131702</v>
      </c>
      <c r="Z47" s="200">
        <f t="shared" si="33"/>
        <v>1.4326389154131702</v>
      </c>
      <c r="AA47" s="200">
        <f t="shared" si="33"/>
        <v>1.4326389154131702</v>
      </c>
      <c r="AB47" s="200">
        <f t="shared" si="33"/>
        <v>1.4326389154131702</v>
      </c>
      <c r="AC47" s="200">
        <f t="shared" si="33"/>
        <v>1.4326389154131702</v>
      </c>
      <c r="AD47" s="200">
        <f t="shared" si="33"/>
        <v>1.4326389154131702</v>
      </c>
      <c r="AE47" s="200">
        <f t="shared" si="33"/>
        <v>1.4326389154131702</v>
      </c>
      <c r="AF47" s="200">
        <f t="shared" si="33"/>
        <v>1.4326389154131702</v>
      </c>
      <c r="AG47" s="200">
        <f t="shared" si="33"/>
        <v>1.4326389154131702</v>
      </c>
      <c r="AH47" s="200">
        <f t="shared" si="33"/>
        <v>1.4326389154131702</v>
      </c>
      <c r="AI47" s="200">
        <f t="shared" si="33"/>
        <v>1.4326389154131702</v>
      </c>
      <c r="AJ47" s="200">
        <f t="shared" si="33"/>
        <v>1.4326389154131702</v>
      </c>
      <c r="AK47" s="200">
        <f t="shared" si="33"/>
        <v>1.4326389154131702</v>
      </c>
      <c r="AL47" s="200">
        <f t="shared" si="33"/>
        <v>1.4326389154131702</v>
      </c>
      <c r="AM47" s="200">
        <f t="shared" si="33"/>
        <v>1.4326389154131702</v>
      </c>
      <c r="AN47" s="200"/>
      <c r="AO47" s="367"/>
      <c r="AP47" s="367"/>
    </row>
    <row r="48" spans="1:42" ht="15" hidden="1" customHeight="1">
      <c r="A48" s="311" t="str">
        <f>CONCATENATE(LEFT(R$6,4),"新增无形资产")</f>
        <v>2031新增无形资产</v>
      </c>
      <c r="B48" s="310">
        <f>R$120</f>
        <v>52.726996019204151</v>
      </c>
      <c r="C48" s="238"/>
      <c r="D48" s="238"/>
      <c r="E48" s="238"/>
      <c r="F48" s="238"/>
      <c r="G48" s="238"/>
      <c r="H48" s="238"/>
      <c r="I48" s="200"/>
      <c r="J48" s="445"/>
      <c r="K48" s="445"/>
      <c r="L48" s="445"/>
      <c r="M48" s="445"/>
      <c r="N48" s="445"/>
      <c r="O48" s="445"/>
      <c r="P48" s="445"/>
      <c r="Q48" s="445"/>
      <c r="R48" s="200">
        <f t="shared" ref="R48:AM48" si="34">IF($B48*(1-(R$2-9+0.5)*$B$5)&gt;=0,$B48*$B$5,0)</f>
        <v>1.4690511825369488</v>
      </c>
      <c r="S48" s="200">
        <f t="shared" si="34"/>
        <v>1.4690511825369488</v>
      </c>
      <c r="T48" s="200">
        <f t="shared" si="34"/>
        <v>1.4690511825369488</v>
      </c>
      <c r="U48" s="200">
        <f t="shared" si="34"/>
        <v>1.4690511825369488</v>
      </c>
      <c r="V48" s="200">
        <f t="shared" si="34"/>
        <v>1.4690511825369488</v>
      </c>
      <c r="W48" s="200">
        <f t="shared" si="34"/>
        <v>1.4690511825369488</v>
      </c>
      <c r="X48" s="200">
        <f t="shared" si="34"/>
        <v>1.4690511825369488</v>
      </c>
      <c r="Y48" s="200">
        <f t="shared" si="34"/>
        <v>1.4690511825369488</v>
      </c>
      <c r="Z48" s="200">
        <f t="shared" si="34"/>
        <v>1.4690511825369488</v>
      </c>
      <c r="AA48" s="200">
        <f t="shared" si="34"/>
        <v>1.4690511825369488</v>
      </c>
      <c r="AB48" s="200">
        <f t="shared" si="34"/>
        <v>1.4690511825369488</v>
      </c>
      <c r="AC48" s="200">
        <f t="shared" si="34"/>
        <v>1.4690511825369488</v>
      </c>
      <c r="AD48" s="200">
        <f t="shared" si="34"/>
        <v>1.4690511825369488</v>
      </c>
      <c r="AE48" s="200">
        <f t="shared" si="34"/>
        <v>1.4690511825369488</v>
      </c>
      <c r="AF48" s="200">
        <f t="shared" si="34"/>
        <v>1.4690511825369488</v>
      </c>
      <c r="AG48" s="200">
        <f t="shared" si="34"/>
        <v>1.4690511825369488</v>
      </c>
      <c r="AH48" s="200">
        <f t="shared" si="34"/>
        <v>1.4690511825369488</v>
      </c>
      <c r="AI48" s="200">
        <f t="shared" si="34"/>
        <v>1.4690511825369488</v>
      </c>
      <c r="AJ48" s="200">
        <f t="shared" si="34"/>
        <v>1.4690511825369488</v>
      </c>
      <c r="AK48" s="200">
        <f t="shared" si="34"/>
        <v>1.4690511825369488</v>
      </c>
      <c r="AL48" s="200">
        <f t="shared" si="34"/>
        <v>1.4690511825369488</v>
      </c>
      <c r="AM48" s="200">
        <f t="shared" si="34"/>
        <v>1.4690511825369488</v>
      </c>
      <c r="AN48" s="200"/>
      <c r="AO48" s="367"/>
      <c r="AP48" s="367"/>
    </row>
    <row r="49" spans="1:42" ht="15" hidden="1" customHeight="1">
      <c r="A49" s="311" t="str">
        <f>CONCATENATE(LEFT(S$6,4),"新增无形资产")</f>
        <v>2032新增无形资产</v>
      </c>
      <c r="B49" s="310">
        <f>S$120</f>
        <v>52.827370475252977</v>
      </c>
      <c r="C49" s="238"/>
      <c r="D49" s="238"/>
      <c r="E49" s="238"/>
      <c r="F49" s="238"/>
      <c r="G49" s="238"/>
      <c r="H49" s="238"/>
      <c r="I49" s="200"/>
      <c r="J49" s="445"/>
      <c r="K49" s="445"/>
      <c r="L49" s="445"/>
      <c r="M49" s="445"/>
      <c r="N49" s="445"/>
      <c r="O49" s="445"/>
      <c r="P49" s="445"/>
      <c r="Q49" s="445"/>
      <c r="R49" s="445"/>
      <c r="S49" s="200">
        <f t="shared" ref="S49:AM49" si="35">IF($B49*(1-(S$2-10+0.5)*$B$5)&gt;=0,$B49*$B$5,0)</f>
        <v>1.4718477616043648</v>
      </c>
      <c r="T49" s="200">
        <f t="shared" si="35"/>
        <v>1.4718477616043648</v>
      </c>
      <c r="U49" s="200">
        <f t="shared" si="35"/>
        <v>1.4718477616043648</v>
      </c>
      <c r="V49" s="200">
        <f t="shared" si="35"/>
        <v>1.4718477616043648</v>
      </c>
      <c r="W49" s="200">
        <f t="shared" si="35"/>
        <v>1.4718477616043648</v>
      </c>
      <c r="X49" s="200">
        <f t="shared" si="35"/>
        <v>1.4718477616043648</v>
      </c>
      <c r="Y49" s="200">
        <f t="shared" si="35"/>
        <v>1.4718477616043648</v>
      </c>
      <c r="Z49" s="200">
        <f t="shared" si="35"/>
        <v>1.4718477616043648</v>
      </c>
      <c r="AA49" s="200">
        <f t="shared" si="35"/>
        <v>1.4718477616043648</v>
      </c>
      <c r="AB49" s="200">
        <f t="shared" si="35"/>
        <v>1.4718477616043648</v>
      </c>
      <c r="AC49" s="200">
        <f t="shared" si="35"/>
        <v>1.4718477616043648</v>
      </c>
      <c r="AD49" s="200">
        <f t="shared" si="35"/>
        <v>1.4718477616043648</v>
      </c>
      <c r="AE49" s="200">
        <f t="shared" si="35"/>
        <v>1.4718477616043648</v>
      </c>
      <c r="AF49" s="200">
        <f t="shared" si="35"/>
        <v>1.4718477616043648</v>
      </c>
      <c r="AG49" s="200">
        <f t="shared" si="35"/>
        <v>1.4718477616043648</v>
      </c>
      <c r="AH49" s="200">
        <f t="shared" si="35"/>
        <v>1.4718477616043648</v>
      </c>
      <c r="AI49" s="200">
        <f t="shared" si="35"/>
        <v>1.4718477616043648</v>
      </c>
      <c r="AJ49" s="200">
        <f t="shared" si="35"/>
        <v>1.4718477616043648</v>
      </c>
      <c r="AK49" s="200">
        <f t="shared" si="35"/>
        <v>1.4718477616043648</v>
      </c>
      <c r="AL49" s="200">
        <f t="shared" si="35"/>
        <v>1.4718477616043648</v>
      </c>
      <c r="AM49" s="200">
        <f t="shared" si="35"/>
        <v>1.4718477616043648</v>
      </c>
      <c r="AN49" s="200"/>
      <c r="AO49" s="367"/>
      <c r="AP49" s="367"/>
    </row>
    <row r="50" spans="1:42" ht="15" hidden="1" customHeight="1">
      <c r="A50" s="311" t="str">
        <f>CONCATENATE(LEFT(T$6,4),"新增无形资产")</f>
        <v>2033新增无形资产</v>
      </c>
      <c r="B50" s="310">
        <f>T$120</f>
        <v>50.73946609855318</v>
      </c>
      <c r="C50" s="238"/>
      <c r="D50" s="238"/>
      <c r="E50" s="238"/>
      <c r="F50" s="238"/>
      <c r="G50" s="238"/>
      <c r="H50" s="238"/>
      <c r="I50" s="200"/>
      <c r="J50" s="445"/>
      <c r="K50" s="445"/>
      <c r="L50" s="445"/>
      <c r="M50" s="445"/>
      <c r="N50" s="445"/>
      <c r="O50" s="445"/>
      <c r="P50" s="445"/>
      <c r="Q50" s="445"/>
      <c r="R50" s="445"/>
      <c r="S50" s="445"/>
      <c r="T50" s="200">
        <f t="shared" ref="T50:AM50" si="36">IF($B50*(1-(T$2-11+0.5)*$B$5)&gt;=0,$B50*$B$5,0)</f>
        <v>1.4136756936849681</v>
      </c>
      <c r="U50" s="200">
        <f t="shared" si="36"/>
        <v>1.4136756936849681</v>
      </c>
      <c r="V50" s="200">
        <f t="shared" si="36"/>
        <v>1.4136756936849681</v>
      </c>
      <c r="W50" s="200">
        <f t="shared" si="36"/>
        <v>1.4136756936849681</v>
      </c>
      <c r="X50" s="200">
        <f t="shared" si="36"/>
        <v>1.4136756936849681</v>
      </c>
      <c r="Y50" s="200">
        <f t="shared" si="36"/>
        <v>1.4136756936849681</v>
      </c>
      <c r="Z50" s="200">
        <f t="shared" si="36"/>
        <v>1.4136756936849681</v>
      </c>
      <c r="AA50" s="200">
        <f t="shared" si="36"/>
        <v>1.4136756936849681</v>
      </c>
      <c r="AB50" s="200">
        <f t="shared" si="36"/>
        <v>1.4136756936849681</v>
      </c>
      <c r="AC50" s="200">
        <f t="shared" si="36"/>
        <v>1.4136756936849681</v>
      </c>
      <c r="AD50" s="200">
        <f t="shared" si="36"/>
        <v>1.4136756936849681</v>
      </c>
      <c r="AE50" s="200">
        <f t="shared" si="36"/>
        <v>1.4136756936849681</v>
      </c>
      <c r="AF50" s="200">
        <f t="shared" si="36"/>
        <v>1.4136756936849681</v>
      </c>
      <c r="AG50" s="200">
        <f t="shared" si="36"/>
        <v>1.4136756936849681</v>
      </c>
      <c r="AH50" s="200">
        <f t="shared" si="36"/>
        <v>1.4136756936849681</v>
      </c>
      <c r="AI50" s="200">
        <f t="shared" si="36"/>
        <v>1.4136756936849681</v>
      </c>
      <c r="AJ50" s="200">
        <f t="shared" si="36"/>
        <v>1.4136756936849681</v>
      </c>
      <c r="AK50" s="200">
        <f t="shared" si="36"/>
        <v>1.4136756936849681</v>
      </c>
      <c r="AL50" s="200">
        <f t="shared" si="36"/>
        <v>1.4136756936849681</v>
      </c>
      <c r="AM50" s="200">
        <f t="shared" si="36"/>
        <v>1.4136756936849681</v>
      </c>
      <c r="AN50" s="200"/>
      <c r="AO50" s="367"/>
      <c r="AP50" s="367"/>
    </row>
    <row r="51" spans="1:42" ht="15" hidden="1" customHeight="1">
      <c r="A51" s="311" t="str">
        <f>CONCATENATE(LEFT(U$6,4),"新增无形资产")</f>
        <v>2034新增无形资产</v>
      </c>
      <c r="B51" s="310">
        <f>U$120</f>
        <v>51.461626483763339</v>
      </c>
      <c r="C51" s="238"/>
      <c r="D51" s="238"/>
      <c r="E51" s="238"/>
      <c r="F51" s="238"/>
      <c r="G51" s="238"/>
      <c r="H51" s="238"/>
      <c r="I51" s="200"/>
      <c r="J51" s="445"/>
      <c r="K51" s="445"/>
      <c r="L51" s="445"/>
      <c r="M51" s="445"/>
      <c r="N51" s="445"/>
      <c r="O51" s="445"/>
      <c r="P51" s="445"/>
      <c r="Q51" s="445"/>
      <c r="R51" s="445"/>
      <c r="S51" s="445"/>
      <c r="T51" s="445"/>
      <c r="U51" s="200">
        <f t="shared" ref="U51:AM51" si="37">IF($B51*(1-(U$2-12+0.5)*$B$5)&gt;=0,$B51*$B$5,0)</f>
        <v>1.4337961376315174</v>
      </c>
      <c r="V51" s="200">
        <f t="shared" si="37"/>
        <v>1.4337961376315174</v>
      </c>
      <c r="W51" s="200">
        <f t="shared" si="37"/>
        <v>1.4337961376315174</v>
      </c>
      <c r="X51" s="200">
        <f t="shared" si="37"/>
        <v>1.4337961376315174</v>
      </c>
      <c r="Y51" s="200">
        <f t="shared" si="37"/>
        <v>1.4337961376315174</v>
      </c>
      <c r="Z51" s="200">
        <f t="shared" si="37"/>
        <v>1.4337961376315174</v>
      </c>
      <c r="AA51" s="200">
        <f t="shared" si="37"/>
        <v>1.4337961376315174</v>
      </c>
      <c r="AB51" s="200">
        <f t="shared" si="37"/>
        <v>1.4337961376315174</v>
      </c>
      <c r="AC51" s="200">
        <f t="shared" si="37"/>
        <v>1.4337961376315174</v>
      </c>
      <c r="AD51" s="200">
        <f t="shared" si="37"/>
        <v>1.4337961376315174</v>
      </c>
      <c r="AE51" s="200">
        <f t="shared" si="37"/>
        <v>1.4337961376315174</v>
      </c>
      <c r="AF51" s="200">
        <f t="shared" si="37"/>
        <v>1.4337961376315174</v>
      </c>
      <c r="AG51" s="200">
        <f t="shared" si="37"/>
        <v>1.4337961376315174</v>
      </c>
      <c r="AH51" s="200">
        <f t="shared" si="37"/>
        <v>1.4337961376315174</v>
      </c>
      <c r="AI51" s="200">
        <f t="shared" si="37"/>
        <v>1.4337961376315174</v>
      </c>
      <c r="AJ51" s="200">
        <f t="shared" si="37"/>
        <v>1.4337961376315174</v>
      </c>
      <c r="AK51" s="200">
        <f t="shared" si="37"/>
        <v>1.4337961376315174</v>
      </c>
      <c r="AL51" s="200">
        <f t="shared" si="37"/>
        <v>1.4337961376315174</v>
      </c>
      <c r="AM51" s="200">
        <f t="shared" si="37"/>
        <v>1.4337961376315174</v>
      </c>
      <c r="AN51" s="200"/>
      <c r="AO51" s="367"/>
      <c r="AP51" s="367"/>
    </row>
    <row r="52" spans="1:42" ht="15" hidden="1" customHeight="1">
      <c r="A52" s="311" t="str">
        <f>CONCATENATE(LEFT(V$6,4),"新增无形资产")</f>
        <v>2035新增无形资产</v>
      </c>
      <c r="B52" s="310">
        <f>V$120</f>
        <v>51.835110137915422</v>
      </c>
      <c r="C52" s="238"/>
      <c r="D52" s="238"/>
      <c r="E52" s="238"/>
      <c r="F52" s="238"/>
      <c r="G52" s="238"/>
      <c r="H52" s="238"/>
      <c r="I52" s="200"/>
      <c r="J52" s="445"/>
      <c r="K52" s="445"/>
      <c r="L52" s="445"/>
      <c r="M52" s="445"/>
      <c r="N52" s="445"/>
      <c r="O52" s="445"/>
      <c r="P52" s="445"/>
      <c r="Q52" s="445"/>
      <c r="R52" s="445"/>
      <c r="S52" s="445"/>
      <c r="T52" s="445"/>
      <c r="U52" s="445"/>
      <c r="V52" s="200">
        <f t="shared" ref="V52:AM52" si="38">IF($B52*(1-(V$2-13+0.5)*$B$5)&gt;=0,$B52*$B$5,0)</f>
        <v>1.4442019381741937</v>
      </c>
      <c r="W52" s="200">
        <f t="shared" si="38"/>
        <v>1.4442019381741937</v>
      </c>
      <c r="X52" s="200">
        <f t="shared" si="38"/>
        <v>1.4442019381741937</v>
      </c>
      <c r="Y52" s="200">
        <f t="shared" si="38"/>
        <v>1.4442019381741937</v>
      </c>
      <c r="Z52" s="200">
        <f t="shared" si="38"/>
        <v>1.4442019381741937</v>
      </c>
      <c r="AA52" s="200">
        <f t="shared" si="38"/>
        <v>1.4442019381741937</v>
      </c>
      <c r="AB52" s="200">
        <f t="shared" si="38"/>
        <v>1.4442019381741937</v>
      </c>
      <c r="AC52" s="200">
        <f t="shared" si="38"/>
        <v>1.4442019381741937</v>
      </c>
      <c r="AD52" s="200">
        <f t="shared" si="38"/>
        <v>1.4442019381741937</v>
      </c>
      <c r="AE52" s="200">
        <f t="shared" si="38"/>
        <v>1.4442019381741937</v>
      </c>
      <c r="AF52" s="200">
        <f t="shared" si="38"/>
        <v>1.4442019381741937</v>
      </c>
      <c r="AG52" s="200">
        <f t="shared" si="38"/>
        <v>1.4442019381741937</v>
      </c>
      <c r="AH52" s="200">
        <f t="shared" si="38"/>
        <v>1.4442019381741937</v>
      </c>
      <c r="AI52" s="200">
        <f t="shared" si="38"/>
        <v>1.4442019381741937</v>
      </c>
      <c r="AJ52" s="200">
        <f t="shared" si="38"/>
        <v>1.4442019381741937</v>
      </c>
      <c r="AK52" s="200">
        <f t="shared" si="38"/>
        <v>1.4442019381741937</v>
      </c>
      <c r="AL52" s="200">
        <f t="shared" si="38"/>
        <v>1.4442019381741937</v>
      </c>
      <c r="AM52" s="200">
        <f t="shared" si="38"/>
        <v>1.4442019381741937</v>
      </c>
      <c r="AN52" s="200"/>
      <c r="AO52" s="367"/>
      <c r="AP52" s="367"/>
    </row>
    <row r="53" spans="1:42" ht="15" hidden="1" customHeight="1">
      <c r="A53" s="311" t="str">
        <f>CONCATENATE(LEFT(W$6,4),"新增无形资产")</f>
        <v>2036新增无形资产</v>
      </c>
      <c r="B53" s="310">
        <f>W$120</f>
        <v>51.918113842937807</v>
      </c>
      <c r="C53" s="238"/>
      <c r="D53" s="238"/>
      <c r="E53" s="238"/>
      <c r="F53" s="238"/>
      <c r="G53" s="238"/>
      <c r="H53" s="238"/>
      <c r="I53" s="200"/>
      <c r="J53" s="445"/>
      <c r="K53" s="445"/>
      <c r="L53" s="445"/>
      <c r="M53" s="445"/>
      <c r="N53" s="445"/>
      <c r="O53" s="445"/>
      <c r="P53" s="445"/>
      <c r="Q53" s="445"/>
      <c r="R53" s="445"/>
      <c r="S53" s="445"/>
      <c r="T53" s="445"/>
      <c r="U53" s="445"/>
      <c r="V53" s="445"/>
      <c r="W53" s="200">
        <f t="shared" ref="W53:AM53" si="39">IF($B53*(1-(W$2-14+0.5)*$B$5)&gt;=0,$B53*$B$5,0)</f>
        <v>1.4465145427263983</v>
      </c>
      <c r="X53" s="200">
        <f t="shared" si="39"/>
        <v>1.4465145427263983</v>
      </c>
      <c r="Y53" s="200">
        <f t="shared" si="39"/>
        <v>1.4465145427263983</v>
      </c>
      <c r="Z53" s="200">
        <f t="shared" si="39"/>
        <v>1.4465145427263983</v>
      </c>
      <c r="AA53" s="200">
        <f t="shared" si="39"/>
        <v>1.4465145427263983</v>
      </c>
      <c r="AB53" s="200">
        <f t="shared" si="39"/>
        <v>1.4465145427263983</v>
      </c>
      <c r="AC53" s="200">
        <f t="shared" si="39"/>
        <v>1.4465145427263983</v>
      </c>
      <c r="AD53" s="200">
        <f t="shared" si="39"/>
        <v>1.4465145427263983</v>
      </c>
      <c r="AE53" s="200">
        <f t="shared" si="39"/>
        <v>1.4465145427263983</v>
      </c>
      <c r="AF53" s="200">
        <f t="shared" si="39"/>
        <v>1.4465145427263983</v>
      </c>
      <c r="AG53" s="200">
        <f t="shared" si="39"/>
        <v>1.4465145427263983</v>
      </c>
      <c r="AH53" s="200">
        <f t="shared" si="39"/>
        <v>1.4465145427263983</v>
      </c>
      <c r="AI53" s="200">
        <f t="shared" si="39"/>
        <v>1.4465145427263983</v>
      </c>
      <c r="AJ53" s="200">
        <f t="shared" si="39"/>
        <v>1.4465145427263983</v>
      </c>
      <c r="AK53" s="200">
        <f t="shared" si="39"/>
        <v>1.4465145427263983</v>
      </c>
      <c r="AL53" s="200">
        <f t="shared" si="39"/>
        <v>1.4465145427263983</v>
      </c>
      <c r="AM53" s="200">
        <f t="shared" si="39"/>
        <v>1.4465145427263983</v>
      </c>
      <c r="AN53" s="200"/>
      <c r="AO53" s="367"/>
      <c r="AP53" s="367"/>
    </row>
    <row r="54" spans="1:42" ht="15" hidden="1" customHeight="1">
      <c r="A54" s="311" t="str">
        <f>CONCATENATE(LEFT(X$6,4),"新增无形资产")</f>
        <v>2037新增无形资产</v>
      </c>
      <c r="B54" s="310">
        <f>X$120</f>
        <v>51.756337407684541</v>
      </c>
      <c r="C54" s="238"/>
      <c r="D54" s="238"/>
      <c r="E54" s="238"/>
      <c r="F54" s="238"/>
      <c r="G54" s="238"/>
      <c r="H54" s="238"/>
      <c r="I54" s="200"/>
      <c r="J54" s="445"/>
      <c r="K54" s="445"/>
      <c r="L54" s="445"/>
      <c r="M54" s="445"/>
      <c r="N54" s="445"/>
      <c r="O54" s="445"/>
      <c r="P54" s="445"/>
      <c r="Q54" s="445"/>
      <c r="R54" s="445"/>
      <c r="S54" s="445"/>
      <c r="T54" s="445"/>
      <c r="U54" s="445"/>
      <c r="V54" s="445"/>
      <c r="W54" s="445"/>
      <c r="X54" s="200">
        <f t="shared" ref="X54:AM54" si="40">IF($B54*(1-(X$2-15+0.5)*$B$5)&gt;=0,$B54*$B$5,0)</f>
        <v>1.4420072147642884</v>
      </c>
      <c r="Y54" s="200">
        <f t="shared" si="40"/>
        <v>1.4420072147642884</v>
      </c>
      <c r="Z54" s="200">
        <f t="shared" si="40"/>
        <v>1.4420072147642884</v>
      </c>
      <c r="AA54" s="200">
        <f t="shared" si="40"/>
        <v>1.4420072147642884</v>
      </c>
      <c r="AB54" s="200">
        <f t="shared" si="40"/>
        <v>1.4420072147642884</v>
      </c>
      <c r="AC54" s="200">
        <f t="shared" si="40"/>
        <v>1.4420072147642884</v>
      </c>
      <c r="AD54" s="200">
        <f t="shared" si="40"/>
        <v>1.4420072147642884</v>
      </c>
      <c r="AE54" s="200">
        <f t="shared" si="40"/>
        <v>1.4420072147642884</v>
      </c>
      <c r="AF54" s="200">
        <f t="shared" si="40"/>
        <v>1.4420072147642884</v>
      </c>
      <c r="AG54" s="200">
        <f t="shared" si="40"/>
        <v>1.4420072147642884</v>
      </c>
      <c r="AH54" s="200">
        <f t="shared" si="40"/>
        <v>1.4420072147642884</v>
      </c>
      <c r="AI54" s="200">
        <f t="shared" si="40"/>
        <v>1.4420072147642884</v>
      </c>
      <c r="AJ54" s="200">
        <f t="shared" si="40"/>
        <v>1.4420072147642884</v>
      </c>
      <c r="AK54" s="200">
        <f t="shared" si="40"/>
        <v>1.4420072147642884</v>
      </c>
      <c r="AL54" s="200">
        <f t="shared" si="40"/>
        <v>1.4420072147642884</v>
      </c>
      <c r="AM54" s="200">
        <f t="shared" si="40"/>
        <v>1.4420072147642884</v>
      </c>
      <c r="AN54" s="200"/>
      <c r="AO54" s="367"/>
      <c r="AP54" s="367"/>
    </row>
    <row r="55" spans="1:42" ht="15" hidden="1" customHeight="1">
      <c r="A55" s="311" t="str">
        <f>CONCATENATE(LEFT(Y$6,4),"新增无形资产")</f>
        <v>2038新增无形资产</v>
      </c>
      <c r="B55" s="310">
        <f>Y$120</f>
        <v>51.542130794170859</v>
      </c>
      <c r="C55" s="238"/>
      <c r="D55" s="238"/>
      <c r="E55" s="238"/>
      <c r="F55" s="238"/>
      <c r="G55" s="238"/>
      <c r="H55" s="238"/>
      <c r="I55" s="200"/>
      <c r="J55" s="445"/>
      <c r="K55" s="445"/>
      <c r="L55" s="445"/>
      <c r="M55" s="445"/>
      <c r="N55" s="445"/>
      <c r="O55" s="445"/>
      <c r="P55" s="445"/>
      <c r="Q55" s="445"/>
      <c r="R55" s="445"/>
      <c r="S55" s="445"/>
      <c r="T55" s="445"/>
      <c r="U55" s="445"/>
      <c r="V55" s="445"/>
      <c r="W55" s="445"/>
      <c r="X55" s="445"/>
      <c r="Y55" s="200">
        <f t="shared" ref="Y55:AM55" si="41">IF($B55*(1-(Y$2-16+0.5)*$B$5)&gt;=0,$B55*$B$5,0)</f>
        <v>1.4360391053962733</v>
      </c>
      <c r="Z55" s="200">
        <f t="shared" si="41"/>
        <v>1.4360391053962733</v>
      </c>
      <c r="AA55" s="200">
        <f t="shared" si="41"/>
        <v>1.4360391053962733</v>
      </c>
      <c r="AB55" s="200">
        <f t="shared" si="41"/>
        <v>1.4360391053962733</v>
      </c>
      <c r="AC55" s="200">
        <f t="shared" si="41"/>
        <v>1.4360391053962733</v>
      </c>
      <c r="AD55" s="200">
        <f t="shared" si="41"/>
        <v>1.4360391053962733</v>
      </c>
      <c r="AE55" s="200">
        <f t="shared" si="41"/>
        <v>1.4360391053962733</v>
      </c>
      <c r="AF55" s="200">
        <f t="shared" si="41"/>
        <v>1.4360391053962733</v>
      </c>
      <c r="AG55" s="200">
        <f t="shared" si="41"/>
        <v>1.4360391053962733</v>
      </c>
      <c r="AH55" s="200">
        <f t="shared" si="41"/>
        <v>1.4360391053962733</v>
      </c>
      <c r="AI55" s="200">
        <f t="shared" si="41"/>
        <v>1.4360391053962733</v>
      </c>
      <c r="AJ55" s="200">
        <f t="shared" si="41"/>
        <v>1.4360391053962733</v>
      </c>
      <c r="AK55" s="200">
        <f t="shared" si="41"/>
        <v>1.4360391053962733</v>
      </c>
      <c r="AL55" s="200">
        <f t="shared" si="41"/>
        <v>1.4360391053962733</v>
      </c>
      <c r="AM55" s="200">
        <f t="shared" si="41"/>
        <v>1.4360391053962733</v>
      </c>
      <c r="AN55" s="200"/>
      <c r="AO55" s="367"/>
      <c r="AP55" s="367"/>
    </row>
    <row r="56" spans="1:42" ht="15" hidden="1" customHeight="1">
      <c r="A56" s="311" t="str">
        <f>CONCATENATE(LEFT(Z$6,4),"新增无形资产")</f>
        <v>2039新增无形资产</v>
      </c>
      <c r="B56" s="310">
        <f>Z$120</f>
        <v>51.702663733294386</v>
      </c>
      <c r="C56" s="238"/>
      <c r="D56" s="238"/>
      <c r="E56" s="238"/>
      <c r="F56" s="238"/>
      <c r="G56" s="238"/>
      <c r="H56" s="238"/>
      <c r="I56" s="200"/>
      <c r="J56" s="445"/>
      <c r="K56" s="445"/>
      <c r="L56" s="445"/>
      <c r="M56" s="445"/>
      <c r="N56" s="445"/>
      <c r="O56" s="445"/>
      <c r="P56" s="445"/>
      <c r="Q56" s="445"/>
      <c r="R56" s="445"/>
      <c r="S56" s="445"/>
      <c r="T56" s="445"/>
      <c r="U56" s="445"/>
      <c r="V56" s="445"/>
      <c r="W56" s="445"/>
      <c r="X56" s="445"/>
      <c r="Y56" s="445"/>
      <c r="Z56" s="200">
        <f t="shared" ref="Z56:AM56" si="42">IF($B56*(1-(Z$2-17+0.5)*$B$5)&gt;=0,$B56*$B$5,0)</f>
        <v>1.4405117877385341</v>
      </c>
      <c r="AA56" s="200">
        <f t="shared" si="42"/>
        <v>1.4405117877385341</v>
      </c>
      <c r="AB56" s="200">
        <f t="shared" si="42"/>
        <v>1.4405117877385341</v>
      </c>
      <c r="AC56" s="200">
        <f t="shared" si="42"/>
        <v>1.4405117877385341</v>
      </c>
      <c r="AD56" s="200">
        <f t="shared" si="42"/>
        <v>1.4405117877385341</v>
      </c>
      <c r="AE56" s="200">
        <f t="shared" si="42"/>
        <v>1.4405117877385341</v>
      </c>
      <c r="AF56" s="200">
        <f t="shared" si="42"/>
        <v>1.4405117877385341</v>
      </c>
      <c r="AG56" s="200">
        <f t="shared" si="42"/>
        <v>1.4405117877385341</v>
      </c>
      <c r="AH56" s="200">
        <f t="shared" si="42"/>
        <v>1.4405117877385341</v>
      </c>
      <c r="AI56" s="200">
        <f t="shared" si="42"/>
        <v>1.4405117877385341</v>
      </c>
      <c r="AJ56" s="200">
        <f t="shared" si="42"/>
        <v>1.4405117877385341</v>
      </c>
      <c r="AK56" s="200">
        <f t="shared" si="42"/>
        <v>1.4405117877385341</v>
      </c>
      <c r="AL56" s="200">
        <f t="shared" si="42"/>
        <v>1.4405117877385341</v>
      </c>
      <c r="AM56" s="200">
        <f t="shared" si="42"/>
        <v>1.4405117877385341</v>
      </c>
      <c r="AN56" s="200"/>
      <c r="AO56" s="367"/>
      <c r="AP56" s="367"/>
    </row>
    <row r="57" spans="1:42" ht="15" hidden="1" customHeight="1">
      <c r="A57" s="311" t="str">
        <f>CONCATENATE(LEFT(AA$6,4),"新增无形资产")</f>
        <v>2040新增无形资产</v>
      </c>
      <c r="B57" s="310">
        <f>AA$120</f>
        <v>51.750871183200594</v>
      </c>
      <c r="C57" s="238"/>
      <c r="D57" s="238"/>
      <c r="E57" s="238"/>
      <c r="F57" s="238"/>
      <c r="G57" s="238"/>
      <c r="H57" s="238"/>
      <c r="I57" s="200"/>
      <c r="J57" s="445"/>
      <c r="K57" s="445"/>
      <c r="L57" s="445"/>
      <c r="M57" s="445"/>
      <c r="N57" s="445"/>
      <c r="O57" s="445"/>
      <c r="P57" s="445"/>
      <c r="Q57" s="445"/>
      <c r="R57" s="445"/>
      <c r="S57" s="445"/>
      <c r="T57" s="445"/>
      <c r="U57" s="445"/>
      <c r="V57" s="445"/>
      <c r="W57" s="445"/>
      <c r="X57" s="445"/>
      <c r="Y57" s="445"/>
      <c r="Z57" s="445"/>
      <c r="AA57" s="200">
        <f t="shared" ref="AA57:AM57" si="43">IF($B57*(1-(AA$2-18+0.5)*$B$5)&gt;=0,$B57*$B$5,0)</f>
        <v>1.4418549177599373</v>
      </c>
      <c r="AB57" s="200">
        <f t="shared" si="43"/>
        <v>1.4418549177599373</v>
      </c>
      <c r="AC57" s="200">
        <f t="shared" si="43"/>
        <v>1.4418549177599373</v>
      </c>
      <c r="AD57" s="200">
        <f t="shared" si="43"/>
        <v>1.4418549177599373</v>
      </c>
      <c r="AE57" s="200">
        <f t="shared" si="43"/>
        <v>1.4418549177599373</v>
      </c>
      <c r="AF57" s="200">
        <f t="shared" si="43"/>
        <v>1.4418549177599373</v>
      </c>
      <c r="AG57" s="200">
        <f t="shared" si="43"/>
        <v>1.4418549177599373</v>
      </c>
      <c r="AH57" s="200">
        <f t="shared" si="43"/>
        <v>1.4418549177599373</v>
      </c>
      <c r="AI57" s="200">
        <f t="shared" si="43"/>
        <v>1.4418549177599373</v>
      </c>
      <c r="AJ57" s="200">
        <f t="shared" si="43"/>
        <v>1.4418549177599373</v>
      </c>
      <c r="AK57" s="200">
        <f t="shared" si="43"/>
        <v>1.4418549177599373</v>
      </c>
      <c r="AL57" s="200">
        <f t="shared" si="43"/>
        <v>1.4418549177599373</v>
      </c>
      <c r="AM57" s="200">
        <f t="shared" si="43"/>
        <v>1.4418549177599373</v>
      </c>
      <c r="AN57" s="200"/>
      <c r="AO57" s="367"/>
      <c r="AP57" s="367"/>
    </row>
    <row r="58" spans="1:42" ht="15" hidden="1" customHeight="1">
      <c r="A58" s="311" t="str">
        <f>CONCATENATE(LEFT(AB$6,4),"新增无形资产")</f>
        <v>2041新增无形资产</v>
      </c>
      <c r="B58" s="310">
        <f>AB$120</f>
        <v>51.73402339225764</v>
      </c>
      <c r="C58" s="238"/>
      <c r="D58" s="238"/>
      <c r="E58" s="238"/>
      <c r="F58" s="238"/>
      <c r="G58" s="238"/>
      <c r="H58" s="238"/>
      <c r="I58" s="200"/>
      <c r="J58" s="445"/>
      <c r="K58" s="445"/>
      <c r="L58" s="445"/>
      <c r="M58" s="445"/>
      <c r="N58" s="445"/>
      <c r="O58" s="445"/>
      <c r="P58" s="445"/>
      <c r="Q58" s="445"/>
      <c r="R58" s="445"/>
      <c r="S58" s="445"/>
      <c r="T58" s="445"/>
      <c r="U58" s="445"/>
      <c r="V58" s="445"/>
      <c r="W58" s="445"/>
      <c r="X58" s="445"/>
      <c r="Y58" s="445"/>
      <c r="Z58" s="445"/>
      <c r="AA58" s="445"/>
      <c r="AB58" s="200">
        <f t="shared" ref="AB58:AM58" si="44">IF($B58*(1-(AB$2-19+0.5)*$B$5)&gt;=0,$B58*$B$5,0)</f>
        <v>1.4413855136770863</v>
      </c>
      <c r="AC58" s="200">
        <f t="shared" si="44"/>
        <v>1.4413855136770863</v>
      </c>
      <c r="AD58" s="200">
        <f t="shared" si="44"/>
        <v>1.4413855136770863</v>
      </c>
      <c r="AE58" s="200">
        <f t="shared" si="44"/>
        <v>1.4413855136770863</v>
      </c>
      <c r="AF58" s="200">
        <f t="shared" si="44"/>
        <v>1.4413855136770863</v>
      </c>
      <c r="AG58" s="200">
        <f t="shared" si="44"/>
        <v>1.4413855136770863</v>
      </c>
      <c r="AH58" s="200">
        <f t="shared" si="44"/>
        <v>1.4413855136770863</v>
      </c>
      <c r="AI58" s="200">
        <f t="shared" si="44"/>
        <v>1.4413855136770863</v>
      </c>
      <c r="AJ58" s="200">
        <f t="shared" si="44"/>
        <v>1.4413855136770863</v>
      </c>
      <c r="AK58" s="200">
        <f t="shared" si="44"/>
        <v>1.4413855136770863</v>
      </c>
      <c r="AL58" s="200">
        <f t="shared" si="44"/>
        <v>1.4413855136770863</v>
      </c>
      <c r="AM58" s="200">
        <f t="shared" si="44"/>
        <v>1.4413855136770863</v>
      </c>
      <c r="AN58" s="200"/>
      <c r="AO58" s="367"/>
      <c r="AP58" s="367"/>
    </row>
    <row r="59" spans="1:42" ht="15" hidden="1" customHeight="1">
      <c r="A59" s="311" t="str">
        <f>CONCATENATE(LEFT(AC$6,4),"新增无形资产")</f>
        <v>2042新增无形资产</v>
      </c>
      <c r="B59" s="310">
        <f>AC$120</f>
        <v>51.69720530212161</v>
      </c>
      <c r="C59" s="238"/>
      <c r="D59" s="238"/>
      <c r="E59" s="238"/>
      <c r="F59" s="238"/>
      <c r="G59" s="238"/>
      <c r="H59" s="238"/>
      <c r="I59" s="200"/>
      <c r="J59" s="445"/>
      <c r="K59" s="445"/>
      <c r="L59" s="445"/>
      <c r="M59" s="445"/>
      <c r="N59" s="445"/>
      <c r="O59" s="445"/>
      <c r="P59" s="445"/>
      <c r="Q59" s="445"/>
      <c r="R59" s="445"/>
      <c r="S59" s="445"/>
      <c r="T59" s="445"/>
      <c r="U59" s="445"/>
      <c r="V59" s="445"/>
      <c r="W59" s="445"/>
      <c r="X59" s="445"/>
      <c r="Y59" s="445"/>
      <c r="Z59" s="445"/>
      <c r="AA59" s="445"/>
      <c r="AB59" s="445"/>
      <c r="AC59" s="200">
        <f t="shared" ref="AC59:AM59" si="45">IF($B59*(1-(AC$2-20+0.5)*$B$5)&gt;=0,$B59*$B$5,0)</f>
        <v>1.4403597078672241</v>
      </c>
      <c r="AD59" s="200">
        <f t="shared" si="45"/>
        <v>1.4403597078672241</v>
      </c>
      <c r="AE59" s="200">
        <f t="shared" si="45"/>
        <v>1.4403597078672241</v>
      </c>
      <c r="AF59" s="200">
        <f t="shared" si="45"/>
        <v>1.4403597078672241</v>
      </c>
      <c r="AG59" s="200">
        <f t="shared" si="45"/>
        <v>1.4403597078672241</v>
      </c>
      <c r="AH59" s="200">
        <f t="shared" si="45"/>
        <v>1.4403597078672241</v>
      </c>
      <c r="AI59" s="200">
        <f t="shared" si="45"/>
        <v>1.4403597078672241</v>
      </c>
      <c r="AJ59" s="200">
        <f t="shared" si="45"/>
        <v>1.4403597078672241</v>
      </c>
      <c r="AK59" s="200">
        <f t="shared" si="45"/>
        <v>1.4403597078672241</v>
      </c>
      <c r="AL59" s="200">
        <f t="shared" si="45"/>
        <v>1.4403597078672241</v>
      </c>
      <c r="AM59" s="200">
        <f t="shared" si="45"/>
        <v>1.4403597078672241</v>
      </c>
      <c r="AN59" s="200"/>
      <c r="AO59" s="367"/>
      <c r="AP59" s="367"/>
    </row>
    <row r="60" spans="1:42" ht="15" hidden="1" customHeight="1">
      <c r="A60" s="311" t="str">
        <f>CONCATENATE(LEFT(AD$6,4),"新增无形资产")</f>
        <v>2043新增无形资产</v>
      </c>
      <c r="B60" s="310">
        <f>AD$120</f>
        <v>51.685378881009022</v>
      </c>
      <c r="C60" s="238"/>
      <c r="D60" s="238"/>
      <c r="E60" s="238"/>
      <c r="F60" s="238"/>
      <c r="G60" s="238"/>
      <c r="H60" s="238"/>
      <c r="I60" s="200"/>
      <c r="J60" s="445"/>
      <c r="K60" s="445"/>
      <c r="L60" s="445"/>
      <c r="M60" s="445"/>
      <c r="N60" s="445"/>
      <c r="O60" s="445"/>
      <c r="P60" s="445"/>
      <c r="Q60" s="445"/>
      <c r="R60" s="445"/>
      <c r="S60" s="445"/>
      <c r="T60" s="445"/>
      <c r="U60" s="445"/>
      <c r="V60" s="445"/>
      <c r="W60" s="445"/>
      <c r="X60" s="445"/>
      <c r="Y60" s="445"/>
      <c r="Z60" s="445"/>
      <c r="AA60" s="445"/>
      <c r="AB60" s="445"/>
      <c r="AC60" s="445"/>
      <c r="AD60" s="200">
        <f t="shared" ref="AD60:AM60" si="46">IF($B60*(1-(AD$2-21+0.5)*$B$5)&gt;=0,$B60*$B$5,0)</f>
        <v>1.440030206487811</v>
      </c>
      <c r="AE60" s="200">
        <f t="shared" si="46"/>
        <v>1.440030206487811</v>
      </c>
      <c r="AF60" s="200">
        <f t="shared" si="46"/>
        <v>1.440030206487811</v>
      </c>
      <c r="AG60" s="200">
        <f t="shared" si="46"/>
        <v>1.440030206487811</v>
      </c>
      <c r="AH60" s="200">
        <f t="shared" si="46"/>
        <v>1.440030206487811</v>
      </c>
      <c r="AI60" s="200">
        <f t="shared" si="46"/>
        <v>1.440030206487811</v>
      </c>
      <c r="AJ60" s="200">
        <f t="shared" si="46"/>
        <v>1.440030206487811</v>
      </c>
      <c r="AK60" s="200">
        <f t="shared" si="46"/>
        <v>1.440030206487811</v>
      </c>
      <c r="AL60" s="200">
        <f t="shared" si="46"/>
        <v>1.440030206487811</v>
      </c>
      <c r="AM60" s="200">
        <f t="shared" si="46"/>
        <v>1.440030206487811</v>
      </c>
      <c r="AN60" s="200"/>
      <c r="AO60" s="367"/>
      <c r="AP60" s="367"/>
    </row>
    <row r="61" spans="1:42" ht="15" hidden="1" customHeight="1">
      <c r="A61" s="311" t="str">
        <f>CONCATENATE(LEFT(AE$6,4),"新增无形资产")</f>
        <v>2044新增无形资产</v>
      </c>
      <c r="B61" s="310">
        <f>AE$120</f>
        <v>51.714028498376649</v>
      </c>
      <c r="C61" s="238"/>
      <c r="D61" s="238"/>
      <c r="E61" s="238"/>
      <c r="F61" s="238"/>
      <c r="G61" s="238"/>
      <c r="H61" s="238"/>
      <c r="I61" s="200"/>
      <c r="J61" s="445"/>
      <c r="K61" s="445"/>
      <c r="L61" s="445"/>
      <c r="M61" s="445"/>
      <c r="N61" s="445"/>
      <c r="O61" s="445"/>
      <c r="P61" s="445"/>
      <c r="Q61" s="445"/>
      <c r="R61" s="445"/>
      <c r="S61" s="445"/>
      <c r="T61" s="445"/>
      <c r="U61" s="445"/>
      <c r="V61" s="445"/>
      <c r="W61" s="445"/>
      <c r="X61" s="445"/>
      <c r="Y61" s="445"/>
      <c r="Z61" s="445"/>
      <c r="AA61" s="445"/>
      <c r="AB61" s="445"/>
      <c r="AC61" s="445"/>
      <c r="AD61" s="445"/>
      <c r="AE61" s="200">
        <f t="shared" ref="AE61:AM61" si="47">IF($B61*(1-(AE$2-22+0.5)*$B$5)&gt;=0,$B61*$B$5,0)</f>
        <v>1.4408284267061184</v>
      </c>
      <c r="AF61" s="200">
        <f t="shared" si="47"/>
        <v>1.4408284267061184</v>
      </c>
      <c r="AG61" s="200">
        <f t="shared" si="47"/>
        <v>1.4408284267061184</v>
      </c>
      <c r="AH61" s="200">
        <f t="shared" si="47"/>
        <v>1.4408284267061184</v>
      </c>
      <c r="AI61" s="200">
        <f t="shared" si="47"/>
        <v>1.4408284267061184</v>
      </c>
      <c r="AJ61" s="200">
        <f t="shared" si="47"/>
        <v>1.4408284267061184</v>
      </c>
      <c r="AK61" s="200">
        <f t="shared" si="47"/>
        <v>1.4408284267061184</v>
      </c>
      <c r="AL61" s="200">
        <f t="shared" si="47"/>
        <v>1.4408284267061184</v>
      </c>
      <c r="AM61" s="200">
        <f t="shared" si="47"/>
        <v>1.4408284267061184</v>
      </c>
      <c r="AN61" s="200"/>
      <c r="AO61" s="367"/>
      <c r="AP61" s="367"/>
    </row>
    <row r="62" spans="1:42" ht="15" hidden="1" customHeight="1">
      <c r="A62" s="311" t="str">
        <f>CONCATENATE(LEFT(AF$6,4),"新增无形资产")</f>
        <v>2045新增无形资产</v>
      </c>
      <c r="B62" s="310">
        <f>AF$120</f>
        <v>51.716301451393107</v>
      </c>
      <c r="C62" s="238"/>
      <c r="D62" s="238"/>
      <c r="E62" s="238"/>
      <c r="F62" s="238"/>
      <c r="G62" s="238"/>
      <c r="H62" s="238"/>
      <c r="I62" s="200"/>
      <c r="J62" s="445"/>
      <c r="K62" s="445"/>
      <c r="L62" s="445"/>
      <c r="M62" s="445"/>
      <c r="N62" s="445"/>
      <c r="O62" s="445"/>
      <c r="P62" s="445"/>
      <c r="Q62" s="445"/>
      <c r="R62" s="445"/>
      <c r="S62" s="445"/>
      <c r="T62" s="445"/>
      <c r="U62" s="445"/>
      <c r="V62" s="445"/>
      <c r="W62" s="445"/>
      <c r="X62" s="445"/>
      <c r="Y62" s="445"/>
      <c r="Z62" s="445"/>
      <c r="AA62" s="445"/>
      <c r="AB62" s="445"/>
      <c r="AC62" s="445"/>
      <c r="AD62" s="445"/>
      <c r="AE62" s="445"/>
      <c r="AF62" s="200">
        <f t="shared" ref="AF62:AM62" si="48">IF($B62*(1-(AF$2-23+0.5)*$B$5)&gt;=0,$B62*$B$5,0)</f>
        <v>1.4408917544996356</v>
      </c>
      <c r="AG62" s="200">
        <f t="shared" si="48"/>
        <v>1.4408917544996356</v>
      </c>
      <c r="AH62" s="200">
        <f t="shared" si="48"/>
        <v>1.4408917544996356</v>
      </c>
      <c r="AI62" s="200">
        <f t="shared" si="48"/>
        <v>1.4408917544996356</v>
      </c>
      <c r="AJ62" s="200">
        <f t="shared" si="48"/>
        <v>1.4408917544996356</v>
      </c>
      <c r="AK62" s="200">
        <f t="shared" si="48"/>
        <v>1.4408917544996356</v>
      </c>
      <c r="AL62" s="200">
        <f t="shared" si="48"/>
        <v>1.4408917544996356</v>
      </c>
      <c r="AM62" s="200">
        <f t="shared" si="48"/>
        <v>1.4408917544996356</v>
      </c>
      <c r="AN62" s="200"/>
      <c r="AO62" s="367"/>
      <c r="AP62" s="367"/>
    </row>
    <row r="63" spans="1:42" ht="15" hidden="1" customHeight="1">
      <c r="A63" s="311" t="str">
        <f>CONCATENATE(LEFT(AG$6,4),"新增无形资产")</f>
        <v>2046新增无形资产</v>
      </c>
      <c r="B63" s="310">
        <f>AG$120</f>
        <v>51.7093875050316</v>
      </c>
      <c r="C63" s="238"/>
      <c r="D63" s="238"/>
      <c r="E63" s="238"/>
      <c r="F63" s="238"/>
      <c r="G63" s="238"/>
      <c r="H63" s="238"/>
      <c r="I63" s="200"/>
      <c r="J63" s="445"/>
      <c r="K63" s="445"/>
      <c r="L63" s="445"/>
      <c r="M63" s="445"/>
      <c r="N63" s="445"/>
      <c r="O63" s="445"/>
      <c r="P63" s="445"/>
      <c r="Q63" s="445"/>
      <c r="R63" s="445"/>
      <c r="S63" s="445"/>
      <c r="T63" s="445"/>
      <c r="U63" s="445"/>
      <c r="V63" s="445"/>
      <c r="W63" s="445"/>
      <c r="X63" s="445"/>
      <c r="Y63" s="445"/>
      <c r="Z63" s="445"/>
      <c r="AA63" s="445"/>
      <c r="AB63" s="445"/>
      <c r="AC63" s="445"/>
      <c r="AD63" s="445"/>
      <c r="AE63" s="445"/>
      <c r="AF63" s="445"/>
      <c r="AG63" s="200">
        <f t="shared" ref="AG63:AM63" si="49">IF($B63*(1-(AG$2-24+0.5)*$B$5)&gt;=0,$B63*$B$5,0)</f>
        <v>1.4406991218475749</v>
      </c>
      <c r="AH63" s="200">
        <f t="shared" si="49"/>
        <v>1.4406991218475749</v>
      </c>
      <c r="AI63" s="200">
        <f t="shared" si="49"/>
        <v>1.4406991218475749</v>
      </c>
      <c r="AJ63" s="200">
        <f t="shared" si="49"/>
        <v>1.4406991218475749</v>
      </c>
      <c r="AK63" s="200">
        <f t="shared" si="49"/>
        <v>1.4406991218475749</v>
      </c>
      <c r="AL63" s="200">
        <f t="shared" si="49"/>
        <v>1.4406991218475749</v>
      </c>
      <c r="AM63" s="200">
        <f t="shared" si="49"/>
        <v>1.4406991218475749</v>
      </c>
      <c r="AN63" s="200"/>
      <c r="AO63" s="367"/>
      <c r="AP63" s="367"/>
    </row>
    <row r="64" spans="1:42" ht="15" hidden="1" customHeight="1">
      <c r="A64" s="311" t="str">
        <f>CONCATENATE(LEFT(AH$6,4),"新增无形资产")</f>
        <v>2047新增无形资产</v>
      </c>
      <c r="B64" s="310">
        <f>AH$120</f>
        <v>51.704460327586403</v>
      </c>
      <c r="C64" s="238"/>
      <c r="D64" s="238"/>
      <c r="E64" s="238"/>
      <c r="F64" s="238"/>
      <c r="G64" s="238"/>
      <c r="H64" s="238"/>
      <c r="I64" s="200"/>
      <c r="J64" s="445"/>
      <c r="K64" s="445"/>
      <c r="L64" s="445"/>
      <c r="M64" s="445"/>
      <c r="N64" s="445"/>
      <c r="O64" s="445"/>
      <c r="P64" s="445"/>
      <c r="Q64" s="445"/>
      <c r="R64" s="445"/>
      <c r="S64" s="445"/>
      <c r="T64" s="445"/>
      <c r="U64" s="445"/>
      <c r="V64" s="445"/>
      <c r="W64" s="445"/>
      <c r="X64" s="445"/>
      <c r="Y64" s="445"/>
      <c r="Z64" s="445"/>
      <c r="AA64" s="445"/>
      <c r="AB64" s="445"/>
      <c r="AC64" s="445"/>
      <c r="AD64" s="445"/>
      <c r="AE64" s="445"/>
      <c r="AF64" s="445"/>
      <c r="AG64" s="445"/>
      <c r="AH64" s="200">
        <f t="shared" ref="AH64:AM64" si="50">IF($B64*(1-(AH$2-25+0.5)*$B$5)&gt;=0,$B64*$B$5,0)</f>
        <v>1.4405618434816729</v>
      </c>
      <c r="AI64" s="200">
        <f t="shared" si="50"/>
        <v>1.4405618434816729</v>
      </c>
      <c r="AJ64" s="200">
        <f t="shared" si="50"/>
        <v>1.4405618434816729</v>
      </c>
      <c r="AK64" s="200">
        <f t="shared" si="50"/>
        <v>1.4405618434816729</v>
      </c>
      <c r="AL64" s="200">
        <f t="shared" si="50"/>
        <v>1.4405618434816729</v>
      </c>
      <c r="AM64" s="200">
        <f t="shared" si="50"/>
        <v>1.4405618434816729</v>
      </c>
      <c r="AN64" s="200"/>
      <c r="AO64" s="367"/>
      <c r="AP64" s="367"/>
    </row>
    <row r="65" spans="1:42" ht="15" hidden="1" customHeight="1">
      <c r="A65" s="311" t="str">
        <f>CONCATENATE(LEFT(AI$6,4),"新增无形资产")</f>
        <v>2048新增无形资产</v>
      </c>
      <c r="B65" s="310">
        <f>AI$120</f>
        <v>51.705911332679349</v>
      </c>
      <c r="C65" s="238"/>
      <c r="D65" s="238"/>
      <c r="E65" s="238"/>
      <c r="F65" s="238"/>
      <c r="G65" s="238"/>
      <c r="H65" s="238"/>
      <c r="I65" s="200"/>
      <c r="J65" s="445"/>
      <c r="K65" s="445"/>
      <c r="L65" s="445"/>
      <c r="M65" s="445"/>
      <c r="N65" s="445"/>
      <c r="O65" s="445"/>
      <c r="P65" s="445"/>
      <c r="Q65" s="445"/>
      <c r="R65" s="445"/>
      <c r="S65" s="445"/>
      <c r="T65" s="445"/>
      <c r="U65" s="445"/>
      <c r="V65" s="445"/>
      <c r="W65" s="445"/>
      <c r="X65" s="445"/>
      <c r="Y65" s="445"/>
      <c r="Z65" s="445"/>
      <c r="AA65" s="445"/>
      <c r="AB65" s="445"/>
      <c r="AC65" s="445"/>
      <c r="AD65" s="445"/>
      <c r="AE65" s="445"/>
      <c r="AF65" s="445"/>
      <c r="AG65" s="445"/>
      <c r="AH65" s="445"/>
      <c r="AI65" s="200">
        <f>IF($B65*(1-(AI$2-26+0.5)*$B$5)&gt;=0,$B65*$B$5,0)</f>
        <v>1.4406022706045625</v>
      </c>
      <c r="AJ65" s="200">
        <f>IF($B65*(1-(AJ$2-26+0.5)*$B$5)&gt;=0,$B65*$B$5,0)</f>
        <v>1.4406022706045625</v>
      </c>
      <c r="AK65" s="200">
        <f>IF($B65*(1-(AK$2-26+0.5)*$B$5)&gt;=0,$B65*$B$5,0)</f>
        <v>1.4406022706045625</v>
      </c>
      <c r="AL65" s="200">
        <f>IF($B65*(1-(AL$2-26+0.5)*$B$5)&gt;=0,$B65*$B$5,0)</f>
        <v>1.4406022706045625</v>
      </c>
      <c r="AM65" s="200">
        <f>IF($B65*(1-(AM$2-26+0.5)*$B$5)&gt;=0,$B65*$B$5,0)</f>
        <v>1.4406022706045625</v>
      </c>
      <c r="AN65" s="200"/>
      <c r="AO65" s="367"/>
      <c r="AP65" s="367"/>
    </row>
    <row r="66" spans="1:42" ht="15" hidden="1" customHeight="1">
      <c r="A66" s="311" t="str">
        <f>CONCATENATE(LEFT(AJ$6,4),"新增无形资产")</f>
        <v>2049新增无形资产</v>
      </c>
      <c r="B66" s="310">
        <f>AJ$120</f>
        <v>51.710017823013423</v>
      </c>
      <c r="C66" s="238"/>
      <c r="D66" s="238"/>
      <c r="E66" s="238"/>
      <c r="F66" s="238"/>
      <c r="G66" s="238"/>
      <c r="H66" s="238"/>
      <c r="I66" s="200"/>
      <c r="J66" s="445"/>
      <c r="K66" s="445"/>
      <c r="L66" s="445"/>
      <c r="M66" s="445"/>
      <c r="N66" s="445"/>
      <c r="O66" s="445"/>
      <c r="P66" s="445"/>
      <c r="Q66" s="445"/>
      <c r="R66" s="445"/>
      <c r="S66" s="445"/>
      <c r="T66" s="445"/>
      <c r="U66" s="445"/>
      <c r="V66" s="445"/>
      <c r="W66" s="445"/>
      <c r="X66" s="445"/>
      <c r="Y66" s="445"/>
      <c r="Z66" s="445"/>
      <c r="AA66" s="445"/>
      <c r="AB66" s="445"/>
      <c r="AC66" s="445"/>
      <c r="AD66" s="445"/>
      <c r="AE66" s="445"/>
      <c r="AF66" s="445"/>
      <c r="AG66" s="445"/>
      <c r="AH66" s="445"/>
      <c r="AI66" s="445"/>
      <c r="AJ66" s="200">
        <f>IF($B66*(1-(AJ$2-27+0.5)*$B$5)&gt;=0,$B66*$B$5,0)</f>
        <v>1.440716683427913</v>
      </c>
      <c r="AK66" s="200">
        <f>IF($B66*(1-(AK$2-27+0.5)*$B$5)&gt;=0,$B66*$B$5,0)</f>
        <v>1.440716683427913</v>
      </c>
      <c r="AL66" s="200">
        <f>IF($B66*(1-(AL$2-27+0.5)*$B$5)&gt;=0,$B66*$B$5,0)</f>
        <v>1.440716683427913</v>
      </c>
      <c r="AM66" s="200">
        <f>IF($B66*(1-(AM$2-27+0.5)*$B$5)&gt;=0,$B66*$B$5,0)</f>
        <v>1.440716683427913</v>
      </c>
      <c r="AN66" s="200"/>
      <c r="AO66" s="367"/>
      <c r="AP66" s="367"/>
    </row>
    <row r="67" spans="1:42" ht="15" hidden="1" customHeight="1">
      <c r="A67" s="311" t="str">
        <f>CONCATENATE(LEFT(AK$6,4),"新增无形资产")</f>
        <v>2050新增无形资产</v>
      </c>
      <c r="B67" s="310">
        <f>AK$120</f>
        <v>51.709215687940777</v>
      </c>
      <c r="C67" s="238"/>
      <c r="D67" s="238"/>
      <c r="E67" s="238"/>
      <c r="F67" s="238"/>
      <c r="G67" s="238"/>
      <c r="H67" s="238"/>
      <c r="I67" s="200"/>
      <c r="J67" s="445"/>
      <c r="K67" s="445"/>
      <c r="L67" s="445"/>
      <c r="M67" s="445"/>
      <c r="N67" s="445"/>
      <c r="O67" s="445"/>
      <c r="P67" s="445"/>
      <c r="Q67" s="445"/>
      <c r="R67" s="445"/>
      <c r="S67" s="445"/>
      <c r="T67" s="445"/>
      <c r="U67" s="445"/>
      <c r="V67" s="445"/>
      <c r="W67" s="445"/>
      <c r="X67" s="445"/>
      <c r="Y67" s="445"/>
      <c r="Z67" s="445"/>
      <c r="AA67" s="445"/>
      <c r="AB67" s="445"/>
      <c r="AC67" s="445"/>
      <c r="AD67" s="445"/>
      <c r="AE67" s="445"/>
      <c r="AF67" s="445"/>
      <c r="AG67" s="445"/>
      <c r="AH67" s="445"/>
      <c r="AI67" s="445"/>
      <c r="AJ67" s="445"/>
      <c r="AK67" s="200">
        <f>IF($B67*(1-(AK$2-28+0.5)*$B$5)&gt;=0,$B67*$B$5,0)</f>
        <v>1.4406943347722718</v>
      </c>
      <c r="AL67" s="200">
        <f>IF($B67*(1-(AL$2-28+0.5)*$B$5)&gt;=0,$B67*$B$5,0)</f>
        <v>1.4406943347722718</v>
      </c>
      <c r="AM67" s="200">
        <f>IF($B67*(1-(AM$2-28+0.5)*$B$5)&gt;=0,$B67*$B$5,0)</f>
        <v>1.4406943347722718</v>
      </c>
      <c r="AN67" s="200"/>
      <c r="AO67" s="367"/>
      <c r="AP67" s="367"/>
    </row>
    <row r="68" spans="1:42" ht="15" hidden="1" customHeight="1">
      <c r="A68" s="311" t="str">
        <f>CONCATENATE(LEFT(AL$6,4),"新增无形资产")</f>
        <v>2051新增无形资产</v>
      </c>
      <c r="B68" s="310">
        <f>AL$120</f>
        <v>51.707798535250312</v>
      </c>
      <c r="C68" s="238"/>
      <c r="D68" s="238"/>
      <c r="E68" s="238"/>
      <c r="F68" s="238"/>
      <c r="G68" s="238"/>
      <c r="H68" s="238"/>
      <c r="I68" s="200"/>
      <c r="J68" s="445"/>
      <c r="K68" s="445"/>
      <c r="L68" s="445"/>
      <c r="M68" s="445"/>
      <c r="N68" s="445"/>
      <c r="O68" s="445"/>
      <c r="P68" s="445"/>
      <c r="Q68" s="445"/>
      <c r="R68" s="445"/>
      <c r="S68" s="445"/>
      <c r="T68" s="445"/>
      <c r="U68" s="445"/>
      <c r="V68" s="445"/>
      <c r="W68" s="445"/>
      <c r="X68" s="445"/>
      <c r="Y68" s="445"/>
      <c r="Z68" s="445"/>
      <c r="AA68" s="445"/>
      <c r="AB68" s="445"/>
      <c r="AC68" s="445"/>
      <c r="AD68" s="445"/>
      <c r="AE68" s="445"/>
      <c r="AF68" s="445"/>
      <c r="AG68" s="445"/>
      <c r="AH68" s="445"/>
      <c r="AI68" s="445"/>
      <c r="AJ68" s="445"/>
      <c r="AK68" s="445"/>
      <c r="AL68" s="200">
        <f>IF($B68*(1-(AL$2-29+0.5)*$B$5)&gt;=0,$B68*$B$5,0)</f>
        <v>1.4406548508267991</v>
      </c>
      <c r="AM68" s="200">
        <f>IF($B68*(1-(AM$2-29+0.5)*$B$5)&gt;=0,$B68*$B$5,0)</f>
        <v>1.4406548508267991</v>
      </c>
      <c r="AN68" s="200"/>
      <c r="AO68" s="367"/>
      <c r="AP68" s="367"/>
    </row>
    <row r="69" spans="1:42" ht="15" hidden="1" customHeight="1">
      <c r="A69" s="311" t="str">
        <f>CONCATENATE(LEFT(AM$6,4),"新增无形资产")</f>
        <v>2052新增无形资产</v>
      </c>
      <c r="B69" s="310">
        <f>AM$120</f>
        <v>51.707480741294049</v>
      </c>
      <c r="C69" s="238"/>
      <c r="D69" s="238"/>
      <c r="E69" s="238"/>
      <c r="F69" s="238"/>
      <c r="G69" s="238"/>
      <c r="H69" s="238"/>
      <c r="I69" s="200"/>
      <c r="J69" s="445"/>
      <c r="K69" s="445"/>
      <c r="L69" s="445"/>
      <c r="M69" s="445"/>
      <c r="N69" s="445"/>
      <c r="O69" s="445"/>
      <c r="P69" s="445"/>
      <c r="Q69" s="445"/>
      <c r="R69" s="445"/>
      <c r="S69" s="445"/>
      <c r="T69" s="445"/>
      <c r="U69" s="445"/>
      <c r="V69" s="445"/>
      <c r="W69" s="445"/>
      <c r="X69" s="445"/>
      <c r="Y69" s="445"/>
      <c r="Z69" s="445"/>
      <c r="AA69" s="445"/>
      <c r="AB69" s="445"/>
      <c r="AC69" s="445"/>
      <c r="AD69" s="445"/>
      <c r="AE69" s="445"/>
      <c r="AF69" s="445"/>
      <c r="AG69" s="445"/>
      <c r="AH69" s="445"/>
      <c r="AI69" s="445"/>
      <c r="AJ69" s="445"/>
      <c r="AK69" s="445"/>
      <c r="AL69" s="445"/>
      <c r="AM69" s="200">
        <f>IF($B69*(1-(AM$2-30+0.5)*$B$5)&gt;=0,$B69*$B$5,0)</f>
        <v>1.4406459966226437</v>
      </c>
      <c r="AN69" s="200"/>
      <c r="AO69" s="367"/>
      <c r="AP69" s="367"/>
    </row>
    <row r="70" spans="1:42" ht="17.25" customHeight="1">
      <c r="B70" s="310"/>
      <c r="C70" s="238"/>
      <c r="D70" s="238"/>
      <c r="E70" s="238"/>
      <c r="F70" s="238"/>
      <c r="G70" s="238"/>
      <c r="H70" s="238"/>
      <c r="I70" s="200"/>
      <c r="J70" s="200"/>
      <c r="K70" s="200"/>
      <c r="L70" s="200"/>
      <c r="M70" s="200"/>
      <c r="N70" s="200"/>
      <c r="O70" s="200"/>
      <c r="P70" s="200"/>
      <c r="Q70" s="200"/>
      <c r="R70" s="200"/>
      <c r="S70" s="200"/>
      <c r="T70" s="200"/>
      <c r="U70" s="200"/>
      <c r="V70" s="200"/>
      <c r="W70" s="200"/>
      <c r="X70" s="200"/>
      <c r="Y70" s="200"/>
      <c r="Z70" s="200"/>
      <c r="AA70" s="200"/>
      <c r="AB70" s="200"/>
      <c r="AC70" s="200"/>
      <c r="AD70" s="200"/>
      <c r="AE70" s="200"/>
      <c r="AF70" s="200"/>
      <c r="AG70" s="200"/>
      <c r="AH70" s="200"/>
      <c r="AI70" s="200"/>
      <c r="AJ70" s="200"/>
      <c r="AK70" s="200"/>
      <c r="AL70" s="200"/>
      <c r="AM70" s="200"/>
      <c r="AN70" s="200"/>
      <c r="AO70" s="367"/>
      <c r="AP70" s="367"/>
    </row>
    <row r="71" spans="1:42" ht="17.25" customHeight="1">
      <c r="A71" s="309" t="s">
        <v>214</v>
      </c>
      <c r="B71" s="310">
        <f>资产负债!H34</f>
        <v>2.45744118</v>
      </c>
      <c r="C71" s="238"/>
      <c r="D71" s="238"/>
      <c r="E71" s="238"/>
      <c r="F71" s="238"/>
      <c r="G71" s="238"/>
      <c r="H71" s="238"/>
      <c r="I71" s="200"/>
      <c r="J71" s="200">
        <f t="shared" ref="J71:AM71" si="51">IF($B71*(1-J$2*$B$6)&gt;=0,$B71*$B$6,0)</f>
        <v>1.2993369004646493</v>
      </c>
      <c r="K71" s="200">
        <f t="shared" si="51"/>
        <v>0</v>
      </c>
      <c r="L71" s="200">
        <f t="shared" si="51"/>
        <v>0</v>
      </c>
      <c r="M71" s="200">
        <f t="shared" si="51"/>
        <v>0</v>
      </c>
      <c r="N71" s="200">
        <f t="shared" si="51"/>
        <v>0</v>
      </c>
      <c r="O71" s="200">
        <f t="shared" si="51"/>
        <v>0</v>
      </c>
      <c r="P71" s="200">
        <f t="shared" si="51"/>
        <v>0</v>
      </c>
      <c r="Q71" s="200">
        <f t="shared" si="51"/>
        <v>0</v>
      </c>
      <c r="R71" s="200">
        <f t="shared" si="51"/>
        <v>0</v>
      </c>
      <c r="S71" s="200">
        <f t="shared" si="51"/>
        <v>0</v>
      </c>
      <c r="T71" s="200">
        <f t="shared" si="51"/>
        <v>0</v>
      </c>
      <c r="U71" s="200">
        <f t="shared" si="51"/>
        <v>0</v>
      </c>
      <c r="V71" s="200">
        <f t="shared" si="51"/>
        <v>0</v>
      </c>
      <c r="W71" s="200">
        <f t="shared" si="51"/>
        <v>0</v>
      </c>
      <c r="X71" s="200">
        <f t="shared" si="51"/>
        <v>0</v>
      </c>
      <c r="Y71" s="200">
        <f t="shared" si="51"/>
        <v>0</v>
      </c>
      <c r="Z71" s="200">
        <f t="shared" si="51"/>
        <v>0</v>
      </c>
      <c r="AA71" s="200">
        <f t="shared" si="51"/>
        <v>0</v>
      </c>
      <c r="AB71" s="200">
        <f t="shared" si="51"/>
        <v>0</v>
      </c>
      <c r="AC71" s="200">
        <f t="shared" si="51"/>
        <v>0</v>
      </c>
      <c r="AD71" s="200">
        <f t="shared" si="51"/>
        <v>0</v>
      </c>
      <c r="AE71" s="200">
        <f t="shared" si="51"/>
        <v>0</v>
      </c>
      <c r="AF71" s="200">
        <f t="shared" si="51"/>
        <v>0</v>
      </c>
      <c r="AG71" s="200">
        <f t="shared" si="51"/>
        <v>0</v>
      </c>
      <c r="AH71" s="200">
        <f t="shared" si="51"/>
        <v>0</v>
      </c>
      <c r="AI71" s="200">
        <f t="shared" si="51"/>
        <v>0</v>
      </c>
      <c r="AJ71" s="200">
        <f t="shared" si="51"/>
        <v>0</v>
      </c>
      <c r="AK71" s="200">
        <f t="shared" si="51"/>
        <v>0</v>
      </c>
      <c r="AL71" s="200">
        <f t="shared" si="51"/>
        <v>0</v>
      </c>
      <c r="AM71" s="200">
        <f t="shared" si="51"/>
        <v>0</v>
      </c>
      <c r="AN71" s="200"/>
      <c r="AO71" s="367"/>
      <c r="AP71" s="367"/>
    </row>
    <row r="72" spans="1:42" ht="15" customHeight="1">
      <c r="A72" s="311" t="str">
        <f>CONCATENATE(LEFT(J$6,4),"新增长期待摊费用")</f>
        <v>2023新增长期待摊费用</v>
      </c>
      <c r="B72" s="310">
        <f>J$126</f>
        <v>0.9117721406682876</v>
      </c>
      <c r="C72" s="238"/>
      <c r="D72" s="238"/>
      <c r="E72" s="238"/>
      <c r="F72" s="238"/>
      <c r="G72" s="238"/>
      <c r="H72" s="238"/>
      <c r="I72" s="200"/>
      <c r="J72" s="200">
        <f t="shared" ref="J72:AM72" si="52">IF($B72*(1-(J$2-1+0.5)*$B$6)&gt;=0,$B72*$B$6,0)</f>
        <v>0.48208648769609658</v>
      </c>
      <c r="K72" s="200">
        <f t="shared" si="52"/>
        <v>0.48208648769609658</v>
      </c>
      <c r="L72" s="200">
        <f t="shared" si="52"/>
        <v>0</v>
      </c>
      <c r="M72" s="200">
        <f t="shared" si="52"/>
        <v>0</v>
      </c>
      <c r="N72" s="200">
        <f t="shared" si="52"/>
        <v>0</v>
      </c>
      <c r="O72" s="200">
        <f t="shared" si="52"/>
        <v>0</v>
      </c>
      <c r="P72" s="200">
        <f t="shared" si="52"/>
        <v>0</v>
      </c>
      <c r="Q72" s="200">
        <f t="shared" si="52"/>
        <v>0</v>
      </c>
      <c r="R72" s="200">
        <f t="shared" si="52"/>
        <v>0</v>
      </c>
      <c r="S72" s="200">
        <f t="shared" si="52"/>
        <v>0</v>
      </c>
      <c r="T72" s="200">
        <f t="shared" si="52"/>
        <v>0</v>
      </c>
      <c r="U72" s="200">
        <f t="shared" si="52"/>
        <v>0</v>
      </c>
      <c r="V72" s="200">
        <f t="shared" si="52"/>
        <v>0</v>
      </c>
      <c r="W72" s="200">
        <f t="shared" si="52"/>
        <v>0</v>
      </c>
      <c r="X72" s="200">
        <f t="shared" si="52"/>
        <v>0</v>
      </c>
      <c r="Y72" s="200">
        <f t="shared" si="52"/>
        <v>0</v>
      </c>
      <c r="Z72" s="200">
        <f t="shared" si="52"/>
        <v>0</v>
      </c>
      <c r="AA72" s="200">
        <f t="shared" si="52"/>
        <v>0</v>
      </c>
      <c r="AB72" s="200">
        <f t="shared" si="52"/>
        <v>0</v>
      </c>
      <c r="AC72" s="200">
        <f t="shared" si="52"/>
        <v>0</v>
      </c>
      <c r="AD72" s="200">
        <f t="shared" si="52"/>
        <v>0</v>
      </c>
      <c r="AE72" s="200">
        <f t="shared" si="52"/>
        <v>0</v>
      </c>
      <c r="AF72" s="200">
        <f t="shared" si="52"/>
        <v>0</v>
      </c>
      <c r="AG72" s="200">
        <f t="shared" si="52"/>
        <v>0</v>
      </c>
      <c r="AH72" s="200">
        <f t="shared" si="52"/>
        <v>0</v>
      </c>
      <c r="AI72" s="200">
        <f t="shared" si="52"/>
        <v>0</v>
      </c>
      <c r="AJ72" s="200">
        <f t="shared" si="52"/>
        <v>0</v>
      </c>
      <c r="AK72" s="200">
        <f t="shared" si="52"/>
        <v>0</v>
      </c>
      <c r="AL72" s="200">
        <f t="shared" si="52"/>
        <v>0</v>
      </c>
      <c r="AM72" s="200">
        <f t="shared" si="52"/>
        <v>0</v>
      </c>
      <c r="AN72" s="200"/>
      <c r="AO72" s="367"/>
      <c r="AP72" s="367"/>
    </row>
    <row r="73" spans="1:42" ht="15" customHeight="1">
      <c r="A73" s="311" t="str">
        <f>CONCATENATE(LEFT(K$6,4),"新增长期待摊费用")</f>
        <v>2024新增长期待摊费用</v>
      </c>
      <c r="B73" s="310">
        <f>K$126</f>
        <v>-1.0360444318938848</v>
      </c>
      <c r="C73" s="238"/>
      <c r="D73" s="238"/>
      <c r="E73" s="238"/>
      <c r="F73" s="238"/>
      <c r="G73" s="238"/>
      <c r="H73" s="238"/>
      <c r="I73" s="200"/>
      <c r="J73" s="445"/>
      <c r="K73" s="200">
        <f t="shared" ref="K73:AM73" si="53">IF($B73*(1-(K$2-2+0.5)*$B$6)&gt;=0,$B73*$B$6,0)</f>
        <v>0</v>
      </c>
      <c r="L73" s="200">
        <f t="shared" si="53"/>
        <v>0</v>
      </c>
      <c r="M73" s="200">
        <f t="shared" si="53"/>
        <v>-0.54779368549551977</v>
      </c>
      <c r="N73" s="200">
        <f t="shared" si="53"/>
        <v>-0.54779368549551977</v>
      </c>
      <c r="O73" s="200">
        <f t="shared" si="53"/>
        <v>-0.54779368549551977</v>
      </c>
      <c r="P73" s="200">
        <f t="shared" si="53"/>
        <v>-0.54779368549551977</v>
      </c>
      <c r="Q73" s="200">
        <f t="shared" si="53"/>
        <v>-0.54779368549551977</v>
      </c>
      <c r="R73" s="200">
        <f t="shared" si="53"/>
        <v>-0.54779368549551977</v>
      </c>
      <c r="S73" s="200">
        <f t="shared" si="53"/>
        <v>-0.54779368549551977</v>
      </c>
      <c r="T73" s="200">
        <f t="shared" si="53"/>
        <v>-0.54779368549551977</v>
      </c>
      <c r="U73" s="200">
        <f t="shared" si="53"/>
        <v>-0.54779368549551977</v>
      </c>
      <c r="V73" s="200">
        <f t="shared" si="53"/>
        <v>-0.54779368549551977</v>
      </c>
      <c r="W73" s="200">
        <f t="shared" si="53"/>
        <v>-0.54779368549551977</v>
      </c>
      <c r="X73" s="200">
        <f t="shared" si="53"/>
        <v>-0.54779368549551977</v>
      </c>
      <c r="Y73" s="200">
        <f t="shared" si="53"/>
        <v>-0.54779368549551977</v>
      </c>
      <c r="Z73" s="200">
        <f t="shared" si="53"/>
        <v>-0.54779368549551977</v>
      </c>
      <c r="AA73" s="200">
        <f t="shared" si="53"/>
        <v>-0.54779368549551977</v>
      </c>
      <c r="AB73" s="200">
        <f t="shared" si="53"/>
        <v>-0.54779368549551977</v>
      </c>
      <c r="AC73" s="200">
        <f t="shared" si="53"/>
        <v>-0.54779368549551977</v>
      </c>
      <c r="AD73" s="200">
        <f t="shared" si="53"/>
        <v>-0.54779368549551977</v>
      </c>
      <c r="AE73" s="200">
        <f t="shared" si="53"/>
        <v>-0.54779368549551977</v>
      </c>
      <c r="AF73" s="200">
        <f t="shared" si="53"/>
        <v>-0.54779368549551977</v>
      </c>
      <c r="AG73" s="200">
        <f t="shared" si="53"/>
        <v>-0.54779368549551977</v>
      </c>
      <c r="AH73" s="200">
        <f t="shared" si="53"/>
        <v>-0.54779368549551977</v>
      </c>
      <c r="AI73" s="200">
        <f t="shared" si="53"/>
        <v>-0.54779368549551977</v>
      </c>
      <c r="AJ73" s="200">
        <f t="shared" si="53"/>
        <v>-0.54779368549551977</v>
      </c>
      <c r="AK73" s="200">
        <f t="shared" si="53"/>
        <v>-0.54779368549551977</v>
      </c>
      <c r="AL73" s="200">
        <f t="shared" si="53"/>
        <v>-0.54779368549551977</v>
      </c>
      <c r="AM73" s="200">
        <f t="shared" si="53"/>
        <v>-0.54779368549551977</v>
      </c>
      <c r="AN73" s="200"/>
      <c r="AO73" s="367"/>
      <c r="AP73" s="367"/>
    </row>
    <row r="74" spans="1:42" ht="15" hidden="1" customHeight="1">
      <c r="A74" s="311" t="str">
        <f>CONCATENATE(LEFT(L$6,4),"新增长期待摊费用")</f>
        <v>2025新增长期待摊费用</v>
      </c>
      <c r="B74" s="310">
        <f>L$126</f>
        <v>1.1359644295377707</v>
      </c>
      <c r="C74" s="238"/>
      <c r="D74" s="238"/>
      <c r="E74" s="238"/>
      <c r="F74" s="238"/>
      <c r="G74" s="238"/>
      <c r="H74" s="238"/>
      <c r="I74" s="200"/>
      <c r="J74" s="445"/>
      <c r="K74" s="445"/>
      <c r="L74" s="200">
        <f t="shared" ref="L74:AM74" si="54">IF($B74*(1-(L$2-3+0.5)*$B$6)&gt;=0,$B74*$B$6,0)</f>
        <v>0.60062495612354816</v>
      </c>
      <c r="M74" s="200">
        <f t="shared" si="54"/>
        <v>0.60062495612354816</v>
      </c>
      <c r="N74" s="200">
        <f t="shared" si="54"/>
        <v>0</v>
      </c>
      <c r="O74" s="200">
        <f t="shared" si="54"/>
        <v>0</v>
      </c>
      <c r="P74" s="200">
        <f t="shared" si="54"/>
        <v>0</v>
      </c>
      <c r="Q74" s="200">
        <f t="shared" si="54"/>
        <v>0</v>
      </c>
      <c r="R74" s="200">
        <f t="shared" si="54"/>
        <v>0</v>
      </c>
      <c r="S74" s="200">
        <f t="shared" si="54"/>
        <v>0</v>
      </c>
      <c r="T74" s="200">
        <f t="shared" si="54"/>
        <v>0</v>
      </c>
      <c r="U74" s="200">
        <f t="shared" si="54"/>
        <v>0</v>
      </c>
      <c r="V74" s="200">
        <f t="shared" si="54"/>
        <v>0</v>
      </c>
      <c r="W74" s="200">
        <f t="shared" si="54"/>
        <v>0</v>
      </c>
      <c r="X74" s="200">
        <f t="shared" si="54"/>
        <v>0</v>
      </c>
      <c r="Y74" s="200">
        <f t="shared" si="54"/>
        <v>0</v>
      </c>
      <c r="Z74" s="200">
        <f t="shared" si="54"/>
        <v>0</v>
      </c>
      <c r="AA74" s="200">
        <f t="shared" si="54"/>
        <v>0</v>
      </c>
      <c r="AB74" s="200">
        <f t="shared" si="54"/>
        <v>0</v>
      </c>
      <c r="AC74" s="200">
        <f t="shared" si="54"/>
        <v>0</v>
      </c>
      <c r="AD74" s="200">
        <f t="shared" si="54"/>
        <v>0</v>
      </c>
      <c r="AE74" s="200">
        <f t="shared" si="54"/>
        <v>0</v>
      </c>
      <c r="AF74" s="200">
        <f t="shared" si="54"/>
        <v>0</v>
      </c>
      <c r="AG74" s="200">
        <f t="shared" si="54"/>
        <v>0</v>
      </c>
      <c r="AH74" s="200">
        <f t="shared" si="54"/>
        <v>0</v>
      </c>
      <c r="AI74" s="200">
        <f t="shared" si="54"/>
        <v>0</v>
      </c>
      <c r="AJ74" s="200">
        <f t="shared" si="54"/>
        <v>0</v>
      </c>
      <c r="AK74" s="200">
        <f t="shared" si="54"/>
        <v>0</v>
      </c>
      <c r="AL74" s="200">
        <f t="shared" si="54"/>
        <v>0</v>
      </c>
      <c r="AM74" s="200">
        <f t="shared" si="54"/>
        <v>0</v>
      </c>
      <c r="AN74" s="200"/>
      <c r="AO74" s="367"/>
      <c r="AP74" s="367"/>
    </row>
    <row r="75" spans="1:42" ht="15" hidden="1" customHeight="1">
      <c r="A75" s="311" t="str">
        <f>CONCATENATE(LEFT(M$6,4),"新增长期待摊费用")</f>
        <v>2026新增长期待摊费用</v>
      </c>
      <c r="B75" s="310">
        <f>M$126</f>
        <v>1.0847784635693161</v>
      </c>
      <c r="C75" s="238"/>
      <c r="D75" s="238"/>
      <c r="E75" s="238"/>
      <c r="F75" s="238"/>
      <c r="G75" s="238"/>
      <c r="H75" s="238"/>
      <c r="I75" s="200"/>
      <c r="J75" s="445"/>
      <c r="K75" s="445"/>
      <c r="L75" s="445"/>
      <c r="M75" s="200">
        <f t="shared" ref="M75:AM75" si="55">IF($B75*(1-(M$2-4+0.5)*$B$6)&gt;=0,$B75*$B$6,0)</f>
        <v>0.57356110820319195</v>
      </c>
      <c r="N75" s="200">
        <f t="shared" si="55"/>
        <v>0.57356110820319195</v>
      </c>
      <c r="O75" s="200">
        <f t="shared" si="55"/>
        <v>0</v>
      </c>
      <c r="P75" s="200">
        <f t="shared" si="55"/>
        <v>0</v>
      </c>
      <c r="Q75" s="200">
        <f t="shared" si="55"/>
        <v>0</v>
      </c>
      <c r="R75" s="200">
        <f t="shared" si="55"/>
        <v>0</v>
      </c>
      <c r="S75" s="200">
        <f t="shared" si="55"/>
        <v>0</v>
      </c>
      <c r="T75" s="200">
        <f t="shared" si="55"/>
        <v>0</v>
      </c>
      <c r="U75" s="200">
        <f t="shared" si="55"/>
        <v>0</v>
      </c>
      <c r="V75" s="200">
        <f t="shared" si="55"/>
        <v>0</v>
      </c>
      <c r="W75" s="200">
        <f t="shared" si="55"/>
        <v>0</v>
      </c>
      <c r="X75" s="200">
        <f t="shared" si="55"/>
        <v>0</v>
      </c>
      <c r="Y75" s="200">
        <f t="shared" si="55"/>
        <v>0</v>
      </c>
      <c r="Z75" s="200">
        <f t="shared" si="55"/>
        <v>0</v>
      </c>
      <c r="AA75" s="200">
        <f t="shared" si="55"/>
        <v>0</v>
      </c>
      <c r="AB75" s="200">
        <f t="shared" si="55"/>
        <v>0</v>
      </c>
      <c r="AC75" s="200">
        <f t="shared" si="55"/>
        <v>0</v>
      </c>
      <c r="AD75" s="200">
        <f t="shared" si="55"/>
        <v>0</v>
      </c>
      <c r="AE75" s="200">
        <f t="shared" si="55"/>
        <v>0</v>
      </c>
      <c r="AF75" s="200">
        <f t="shared" si="55"/>
        <v>0</v>
      </c>
      <c r="AG75" s="200">
        <f t="shared" si="55"/>
        <v>0</v>
      </c>
      <c r="AH75" s="200">
        <f t="shared" si="55"/>
        <v>0</v>
      </c>
      <c r="AI75" s="200">
        <f t="shared" si="55"/>
        <v>0</v>
      </c>
      <c r="AJ75" s="200">
        <f t="shared" si="55"/>
        <v>0</v>
      </c>
      <c r="AK75" s="200">
        <f t="shared" si="55"/>
        <v>0</v>
      </c>
      <c r="AL75" s="200">
        <f t="shared" si="55"/>
        <v>0</v>
      </c>
      <c r="AM75" s="200">
        <f t="shared" si="55"/>
        <v>0</v>
      </c>
      <c r="AN75" s="200"/>
      <c r="AO75" s="367"/>
      <c r="AP75" s="367"/>
    </row>
    <row r="76" spans="1:42" ht="15" hidden="1" customHeight="1">
      <c r="A76" s="311" t="str">
        <f>CONCATENATE(LEFT(N$6,4),"新增长期待摊费用")</f>
        <v>2027新增长期待摊费用</v>
      </c>
      <c r="B76" s="310">
        <f>N$126</f>
        <v>-0.96428092644865016</v>
      </c>
      <c r="C76" s="238"/>
      <c r="D76" s="238"/>
      <c r="E76" s="238"/>
      <c r="F76" s="238"/>
      <c r="G76" s="238"/>
      <c r="H76" s="238"/>
      <c r="I76" s="200"/>
      <c r="J76" s="445"/>
      <c r="K76" s="445"/>
      <c r="L76" s="445"/>
      <c r="M76" s="445"/>
      <c r="N76" s="200">
        <f t="shared" ref="N76:AM76" si="56">IF($B76*(1-(N$2-5+0.5)*$B$6)&gt;=0,$B76*$B$6,0)</f>
        <v>0</v>
      </c>
      <c r="O76" s="200">
        <f t="shared" si="56"/>
        <v>0</v>
      </c>
      <c r="P76" s="200">
        <f t="shared" si="56"/>
        <v>-0.50984975768533747</v>
      </c>
      <c r="Q76" s="200">
        <f t="shared" si="56"/>
        <v>-0.50984975768533747</v>
      </c>
      <c r="R76" s="200">
        <f t="shared" si="56"/>
        <v>-0.50984975768533747</v>
      </c>
      <c r="S76" s="200">
        <f t="shared" si="56"/>
        <v>-0.50984975768533747</v>
      </c>
      <c r="T76" s="200">
        <f t="shared" si="56"/>
        <v>-0.50984975768533747</v>
      </c>
      <c r="U76" s="200">
        <f t="shared" si="56"/>
        <v>-0.50984975768533747</v>
      </c>
      <c r="V76" s="200">
        <f t="shared" si="56"/>
        <v>-0.50984975768533747</v>
      </c>
      <c r="W76" s="200">
        <f t="shared" si="56"/>
        <v>-0.50984975768533747</v>
      </c>
      <c r="X76" s="200">
        <f t="shared" si="56"/>
        <v>-0.50984975768533747</v>
      </c>
      <c r="Y76" s="200">
        <f t="shared" si="56"/>
        <v>-0.50984975768533747</v>
      </c>
      <c r="Z76" s="200">
        <f t="shared" si="56"/>
        <v>-0.50984975768533747</v>
      </c>
      <c r="AA76" s="200">
        <f t="shared" si="56"/>
        <v>-0.50984975768533747</v>
      </c>
      <c r="AB76" s="200">
        <f t="shared" si="56"/>
        <v>-0.50984975768533747</v>
      </c>
      <c r="AC76" s="200">
        <f t="shared" si="56"/>
        <v>-0.50984975768533747</v>
      </c>
      <c r="AD76" s="200">
        <f t="shared" si="56"/>
        <v>-0.50984975768533747</v>
      </c>
      <c r="AE76" s="200">
        <f t="shared" si="56"/>
        <v>-0.50984975768533747</v>
      </c>
      <c r="AF76" s="200">
        <f t="shared" si="56"/>
        <v>-0.50984975768533747</v>
      </c>
      <c r="AG76" s="200">
        <f t="shared" si="56"/>
        <v>-0.50984975768533747</v>
      </c>
      <c r="AH76" s="200">
        <f t="shared" si="56"/>
        <v>-0.50984975768533747</v>
      </c>
      <c r="AI76" s="200">
        <f t="shared" si="56"/>
        <v>-0.50984975768533747</v>
      </c>
      <c r="AJ76" s="200">
        <f t="shared" si="56"/>
        <v>-0.50984975768533747</v>
      </c>
      <c r="AK76" s="200">
        <f t="shared" si="56"/>
        <v>-0.50984975768533747</v>
      </c>
      <c r="AL76" s="200">
        <f t="shared" si="56"/>
        <v>-0.50984975768533747</v>
      </c>
      <c r="AM76" s="200">
        <f t="shared" si="56"/>
        <v>-0.50984975768533747</v>
      </c>
      <c r="AN76" s="200"/>
      <c r="AO76" s="367"/>
      <c r="AP76" s="367"/>
    </row>
    <row r="77" spans="1:42" ht="15" hidden="1" customHeight="1">
      <c r="A77" s="311" t="str">
        <f>CONCATENATE(LEFT(O$6,4),"新增长期待摊费用")</f>
        <v>2028新增长期待摊费用</v>
      </c>
      <c r="B77" s="310">
        <f>O$126</f>
        <v>1.0233750214761153</v>
      </c>
      <c r="C77" s="238"/>
      <c r="D77" s="238"/>
      <c r="E77" s="238"/>
      <c r="F77" s="238"/>
      <c r="G77" s="238"/>
      <c r="H77" s="238"/>
      <c r="I77" s="200"/>
      <c r="J77" s="445"/>
      <c r="K77" s="445"/>
      <c r="L77" s="445"/>
      <c r="M77" s="445"/>
      <c r="N77" s="445"/>
      <c r="O77" s="200">
        <f t="shared" ref="O77:AM77" si="57">IF($B77*(1-(O$2-6+0.5)*$B$6)&gt;=0,$B77*$B$6,0)</f>
        <v>0.54109491581715885</v>
      </c>
      <c r="P77" s="200">
        <f t="shared" si="57"/>
        <v>0.54109491581715885</v>
      </c>
      <c r="Q77" s="200">
        <f t="shared" si="57"/>
        <v>0</v>
      </c>
      <c r="R77" s="200">
        <f t="shared" si="57"/>
        <v>0</v>
      </c>
      <c r="S77" s="200">
        <f t="shared" si="57"/>
        <v>0</v>
      </c>
      <c r="T77" s="200">
        <f t="shared" si="57"/>
        <v>0</v>
      </c>
      <c r="U77" s="200">
        <f t="shared" si="57"/>
        <v>0</v>
      </c>
      <c r="V77" s="200">
        <f t="shared" si="57"/>
        <v>0</v>
      </c>
      <c r="W77" s="200">
        <f t="shared" si="57"/>
        <v>0</v>
      </c>
      <c r="X77" s="200">
        <f t="shared" si="57"/>
        <v>0</v>
      </c>
      <c r="Y77" s="200">
        <f t="shared" si="57"/>
        <v>0</v>
      </c>
      <c r="Z77" s="200">
        <f t="shared" si="57"/>
        <v>0</v>
      </c>
      <c r="AA77" s="200">
        <f t="shared" si="57"/>
        <v>0</v>
      </c>
      <c r="AB77" s="200">
        <f t="shared" si="57"/>
        <v>0</v>
      </c>
      <c r="AC77" s="200">
        <f t="shared" si="57"/>
        <v>0</v>
      </c>
      <c r="AD77" s="200">
        <f t="shared" si="57"/>
        <v>0</v>
      </c>
      <c r="AE77" s="200">
        <f t="shared" si="57"/>
        <v>0</v>
      </c>
      <c r="AF77" s="200">
        <f t="shared" si="57"/>
        <v>0</v>
      </c>
      <c r="AG77" s="200">
        <f t="shared" si="57"/>
        <v>0</v>
      </c>
      <c r="AH77" s="200">
        <f t="shared" si="57"/>
        <v>0</v>
      </c>
      <c r="AI77" s="200">
        <f t="shared" si="57"/>
        <v>0</v>
      </c>
      <c r="AJ77" s="200">
        <f t="shared" si="57"/>
        <v>0</v>
      </c>
      <c r="AK77" s="200">
        <f t="shared" si="57"/>
        <v>0</v>
      </c>
      <c r="AL77" s="200">
        <f t="shared" si="57"/>
        <v>0</v>
      </c>
      <c r="AM77" s="200">
        <f t="shared" si="57"/>
        <v>0</v>
      </c>
      <c r="AN77" s="200"/>
      <c r="AO77" s="367"/>
      <c r="AP77" s="367"/>
    </row>
    <row r="78" spans="1:42" ht="15" hidden="1" customHeight="1">
      <c r="A78" s="311" t="str">
        <f>CONCATENATE(LEFT(P$6,4),"新增长期待摊费用")</f>
        <v>2029新增长期待摊费用</v>
      </c>
      <c r="B78" s="310">
        <f>P$126</f>
        <v>1.0472841031745626</v>
      </c>
      <c r="C78" s="238"/>
      <c r="D78" s="238"/>
      <c r="E78" s="238"/>
      <c r="F78" s="238"/>
      <c r="G78" s="238"/>
      <c r="H78" s="238"/>
      <c r="I78" s="200"/>
      <c r="J78" s="445"/>
      <c r="K78" s="445"/>
      <c r="L78" s="445"/>
      <c r="M78" s="445"/>
      <c r="N78" s="445"/>
      <c r="O78" s="445"/>
      <c r="P78" s="200">
        <f t="shared" ref="P78:AM78" si="58">IF($B78*(1-(P$2-7+0.5)*$B$6)&gt;=0,$B78*$B$6,0)</f>
        <v>0.55373650103997041</v>
      </c>
      <c r="Q78" s="200">
        <f t="shared" si="58"/>
        <v>0.55373650103997041</v>
      </c>
      <c r="R78" s="200">
        <f t="shared" si="58"/>
        <v>0</v>
      </c>
      <c r="S78" s="200">
        <f t="shared" si="58"/>
        <v>0</v>
      </c>
      <c r="T78" s="200">
        <f t="shared" si="58"/>
        <v>0</v>
      </c>
      <c r="U78" s="200">
        <f t="shared" si="58"/>
        <v>0</v>
      </c>
      <c r="V78" s="200">
        <f t="shared" si="58"/>
        <v>0</v>
      </c>
      <c r="W78" s="200">
        <f t="shared" si="58"/>
        <v>0</v>
      </c>
      <c r="X78" s="200">
        <f t="shared" si="58"/>
        <v>0</v>
      </c>
      <c r="Y78" s="200">
        <f t="shared" si="58"/>
        <v>0</v>
      </c>
      <c r="Z78" s="200">
        <f t="shared" si="58"/>
        <v>0</v>
      </c>
      <c r="AA78" s="200">
        <f t="shared" si="58"/>
        <v>0</v>
      </c>
      <c r="AB78" s="200">
        <f t="shared" si="58"/>
        <v>0</v>
      </c>
      <c r="AC78" s="200">
        <f t="shared" si="58"/>
        <v>0</v>
      </c>
      <c r="AD78" s="200">
        <f t="shared" si="58"/>
        <v>0</v>
      </c>
      <c r="AE78" s="200">
        <f t="shared" si="58"/>
        <v>0</v>
      </c>
      <c r="AF78" s="200">
        <f t="shared" si="58"/>
        <v>0</v>
      </c>
      <c r="AG78" s="200">
        <f t="shared" si="58"/>
        <v>0</v>
      </c>
      <c r="AH78" s="200">
        <f t="shared" si="58"/>
        <v>0</v>
      </c>
      <c r="AI78" s="200">
        <f t="shared" si="58"/>
        <v>0</v>
      </c>
      <c r="AJ78" s="200">
        <f t="shared" si="58"/>
        <v>0</v>
      </c>
      <c r="AK78" s="200">
        <f t="shared" si="58"/>
        <v>0</v>
      </c>
      <c r="AL78" s="200">
        <f t="shared" si="58"/>
        <v>0</v>
      </c>
      <c r="AM78" s="200">
        <f t="shared" si="58"/>
        <v>0</v>
      </c>
      <c r="AN78" s="200"/>
      <c r="AO78" s="367"/>
      <c r="AP78" s="367"/>
    </row>
    <row r="79" spans="1:42" ht="15" hidden="1" customHeight="1">
      <c r="A79" s="311" t="str">
        <f>CONCATENATE(LEFT(Q$6,4),"新增长期待摊费用")</f>
        <v>2030新增长期待摊费用</v>
      </c>
      <c r="B79" s="310">
        <f>Q$126</f>
        <v>-1.0495466275209104</v>
      </c>
      <c r="C79" s="238"/>
      <c r="D79" s="238"/>
      <c r="E79" s="238"/>
      <c r="F79" s="238"/>
      <c r="G79" s="238"/>
      <c r="H79" s="238"/>
      <c r="I79" s="200"/>
      <c r="J79" s="445"/>
      <c r="K79" s="445"/>
      <c r="L79" s="445"/>
      <c r="M79" s="445"/>
      <c r="N79" s="445"/>
      <c r="O79" s="445"/>
      <c r="P79" s="445"/>
      <c r="Q79" s="200">
        <f t="shared" ref="Q79:AM79" si="59">IF($B79*(1-(Q$2-8+0.5)*$B$6)&gt;=0,$B79*$B$6,0)</f>
        <v>0</v>
      </c>
      <c r="R79" s="200">
        <f t="shared" si="59"/>
        <v>0</v>
      </c>
      <c r="S79" s="200">
        <f t="shared" si="59"/>
        <v>-0.55493277845052869</v>
      </c>
      <c r="T79" s="200">
        <f t="shared" si="59"/>
        <v>-0.55493277845052869</v>
      </c>
      <c r="U79" s="200">
        <f t="shared" si="59"/>
        <v>-0.55493277845052869</v>
      </c>
      <c r="V79" s="200">
        <f t="shared" si="59"/>
        <v>-0.55493277845052869</v>
      </c>
      <c r="W79" s="200">
        <f t="shared" si="59"/>
        <v>-0.55493277845052869</v>
      </c>
      <c r="X79" s="200">
        <f t="shared" si="59"/>
        <v>-0.55493277845052869</v>
      </c>
      <c r="Y79" s="200">
        <f t="shared" si="59"/>
        <v>-0.55493277845052869</v>
      </c>
      <c r="Z79" s="200">
        <f t="shared" si="59"/>
        <v>-0.55493277845052869</v>
      </c>
      <c r="AA79" s="200">
        <f t="shared" si="59"/>
        <v>-0.55493277845052869</v>
      </c>
      <c r="AB79" s="200">
        <f t="shared" si="59"/>
        <v>-0.55493277845052869</v>
      </c>
      <c r="AC79" s="200">
        <f t="shared" si="59"/>
        <v>-0.55493277845052869</v>
      </c>
      <c r="AD79" s="200">
        <f t="shared" si="59"/>
        <v>-0.55493277845052869</v>
      </c>
      <c r="AE79" s="200">
        <f t="shared" si="59"/>
        <v>-0.55493277845052869</v>
      </c>
      <c r="AF79" s="200">
        <f t="shared" si="59"/>
        <v>-0.55493277845052869</v>
      </c>
      <c r="AG79" s="200">
        <f t="shared" si="59"/>
        <v>-0.55493277845052869</v>
      </c>
      <c r="AH79" s="200">
        <f t="shared" si="59"/>
        <v>-0.55493277845052869</v>
      </c>
      <c r="AI79" s="200">
        <f t="shared" si="59"/>
        <v>-0.55493277845052869</v>
      </c>
      <c r="AJ79" s="200">
        <f t="shared" si="59"/>
        <v>-0.55493277845052869</v>
      </c>
      <c r="AK79" s="200">
        <f t="shared" si="59"/>
        <v>-0.55493277845052869</v>
      </c>
      <c r="AL79" s="200">
        <f t="shared" si="59"/>
        <v>-0.55493277845052869</v>
      </c>
      <c r="AM79" s="200">
        <f t="shared" si="59"/>
        <v>-0.55493277845052869</v>
      </c>
      <c r="AN79" s="200"/>
      <c r="AO79" s="367"/>
      <c r="AP79" s="367"/>
    </row>
    <row r="80" spans="1:42" ht="15" hidden="1" customHeight="1">
      <c r="A80" s="311" t="str">
        <f>CONCATENATE(LEFT(R$6,4),"新增长期待摊费用")</f>
        <v>2031新增长期待摊费用</v>
      </c>
      <c r="B80" s="310">
        <f>R$126</f>
        <v>1.0330685453765547</v>
      </c>
      <c r="C80" s="238"/>
      <c r="D80" s="238"/>
      <c r="E80" s="238"/>
      <c r="F80" s="238"/>
      <c r="G80" s="238"/>
      <c r="H80" s="238"/>
      <c r="I80" s="200"/>
      <c r="J80" s="445"/>
      <c r="K80" s="445"/>
      <c r="L80" s="445"/>
      <c r="M80" s="445"/>
      <c r="N80" s="445"/>
      <c r="O80" s="445"/>
      <c r="P80" s="445"/>
      <c r="Q80" s="445"/>
      <c r="R80" s="200">
        <f t="shared" ref="R80:AM80" si="60">IF($B80*(1-(R$2-9+0.5)*$B$6)&gt;=0,$B80*$B$6,0)</f>
        <v>0.54622022803292347</v>
      </c>
      <c r="S80" s="200">
        <f t="shared" si="60"/>
        <v>0.54622022803292347</v>
      </c>
      <c r="T80" s="200">
        <f t="shared" si="60"/>
        <v>0</v>
      </c>
      <c r="U80" s="200">
        <f t="shared" si="60"/>
        <v>0</v>
      </c>
      <c r="V80" s="200">
        <f t="shared" si="60"/>
        <v>0</v>
      </c>
      <c r="W80" s="200">
        <f t="shared" si="60"/>
        <v>0</v>
      </c>
      <c r="X80" s="200">
        <f t="shared" si="60"/>
        <v>0</v>
      </c>
      <c r="Y80" s="200">
        <f t="shared" si="60"/>
        <v>0</v>
      </c>
      <c r="Z80" s="200">
        <f t="shared" si="60"/>
        <v>0</v>
      </c>
      <c r="AA80" s="200">
        <f t="shared" si="60"/>
        <v>0</v>
      </c>
      <c r="AB80" s="200">
        <f t="shared" si="60"/>
        <v>0</v>
      </c>
      <c r="AC80" s="200">
        <f t="shared" si="60"/>
        <v>0</v>
      </c>
      <c r="AD80" s="200">
        <f t="shared" si="60"/>
        <v>0</v>
      </c>
      <c r="AE80" s="200">
        <f t="shared" si="60"/>
        <v>0</v>
      </c>
      <c r="AF80" s="200">
        <f t="shared" si="60"/>
        <v>0</v>
      </c>
      <c r="AG80" s="200">
        <f t="shared" si="60"/>
        <v>0</v>
      </c>
      <c r="AH80" s="200">
        <f t="shared" si="60"/>
        <v>0</v>
      </c>
      <c r="AI80" s="200">
        <f t="shared" si="60"/>
        <v>0</v>
      </c>
      <c r="AJ80" s="200">
        <f t="shared" si="60"/>
        <v>0</v>
      </c>
      <c r="AK80" s="200">
        <f t="shared" si="60"/>
        <v>0</v>
      </c>
      <c r="AL80" s="200">
        <f t="shared" si="60"/>
        <v>0</v>
      </c>
      <c r="AM80" s="200">
        <f t="shared" si="60"/>
        <v>0</v>
      </c>
      <c r="AN80" s="200"/>
      <c r="AO80" s="367"/>
      <c r="AP80" s="367"/>
    </row>
    <row r="81" spans="1:42" ht="15" hidden="1" customHeight="1">
      <c r="A81" s="311" t="str">
        <f>CONCATENATE(LEFT(S$6,4),"新增长期待摊费用")</f>
        <v>2032新增长期待摊费用</v>
      </c>
      <c r="B81" s="310">
        <f>S$126</f>
        <v>1.0230261976281634</v>
      </c>
      <c r="C81" s="238"/>
      <c r="D81" s="238"/>
      <c r="E81" s="238"/>
      <c r="F81" s="238"/>
      <c r="G81" s="238"/>
      <c r="H81" s="238"/>
      <c r="I81" s="200"/>
      <c r="J81" s="445"/>
      <c r="K81" s="445"/>
      <c r="L81" s="445"/>
      <c r="M81" s="445"/>
      <c r="N81" s="445"/>
      <c r="O81" s="445"/>
      <c r="P81" s="445"/>
      <c r="Q81" s="445"/>
      <c r="R81" s="445"/>
      <c r="S81" s="200">
        <f t="shared" ref="S81:AM81" si="61">IF($B81*(1-(S$2-10+0.5)*$B$6)&gt;=0,$B81*$B$6,0)</f>
        <v>0.54091048019318766</v>
      </c>
      <c r="T81" s="200">
        <f t="shared" si="61"/>
        <v>0.54091048019318766</v>
      </c>
      <c r="U81" s="200">
        <f t="shared" si="61"/>
        <v>0</v>
      </c>
      <c r="V81" s="200">
        <f t="shared" si="61"/>
        <v>0</v>
      </c>
      <c r="W81" s="200">
        <f t="shared" si="61"/>
        <v>0</v>
      </c>
      <c r="X81" s="200">
        <f t="shared" si="61"/>
        <v>0</v>
      </c>
      <c r="Y81" s="200">
        <f t="shared" si="61"/>
        <v>0</v>
      </c>
      <c r="Z81" s="200">
        <f t="shared" si="61"/>
        <v>0</v>
      </c>
      <c r="AA81" s="200">
        <f t="shared" si="61"/>
        <v>0</v>
      </c>
      <c r="AB81" s="200">
        <f t="shared" si="61"/>
        <v>0</v>
      </c>
      <c r="AC81" s="200">
        <f t="shared" si="61"/>
        <v>0</v>
      </c>
      <c r="AD81" s="200">
        <f t="shared" si="61"/>
        <v>0</v>
      </c>
      <c r="AE81" s="200">
        <f t="shared" si="61"/>
        <v>0</v>
      </c>
      <c r="AF81" s="200">
        <f t="shared" si="61"/>
        <v>0</v>
      </c>
      <c r="AG81" s="200">
        <f t="shared" si="61"/>
        <v>0</v>
      </c>
      <c r="AH81" s="200">
        <f t="shared" si="61"/>
        <v>0</v>
      </c>
      <c r="AI81" s="200">
        <f t="shared" si="61"/>
        <v>0</v>
      </c>
      <c r="AJ81" s="200">
        <f t="shared" si="61"/>
        <v>0</v>
      </c>
      <c r="AK81" s="200">
        <f t="shared" si="61"/>
        <v>0</v>
      </c>
      <c r="AL81" s="200">
        <f t="shared" si="61"/>
        <v>0</v>
      </c>
      <c r="AM81" s="200">
        <f t="shared" si="61"/>
        <v>0</v>
      </c>
      <c r="AN81" s="200"/>
      <c r="AO81" s="367"/>
      <c r="AP81" s="367"/>
    </row>
    <row r="82" spans="1:42" ht="15" hidden="1" customHeight="1">
      <c r="A82" s="311" t="str">
        <f>CONCATENATE(LEFT(T$6,4),"新增长期待摊费用")</f>
        <v>2033新增长期待摊费用</v>
      </c>
      <c r="B82" s="310">
        <f>T$126</f>
        <v>-1.0351979207309869</v>
      </c>
      <c r="C82" s="238"/>
      <c r="D82" s="238"/>
      <c r="E82" s="238"/>
      <c r="F82" s="238"/>
      <c r="G82" s="238"/>
      <c r="H82" s="238"/>
      <c r="I82" s="200"/>
      <c r="J82" s="445"/>
      <c r="K82" s="445"/>
      <c r="L82" s="445"/>
      <c r="M82" s="445"/>
      <c r="N82" s="445"/>
      <c r="O82" s="445"/>
      <c r="P82" s="445"/>
      <c r="Q82" s="445"/>
      <c r="R82" s="445"/>
      <c r="S82" s="445"/>
      <c r="T82" s="200">
        <f t="shared" ref="T82:AM82" si="62">IF($B82*(1-(T$2-11+0.5)*$B$6)&gt;=0,$B82*$B$6,0)</f>
        <v>0</v>
      </c>
      <c r="U82" s="200">
        <f t="shared" si="62"/>
        <v>0</v>
      </c>
      <c r="V82" s="200">
        <f t="shared" si="62"/>
        <v>-0.54734610481706436</v>
      </c>
      <c r="W82" s="200">
        <f t="shared" si="62"/>
        <v>-0.54734610481706436</v>
      </c>
      <c r="X82" s="200">
        <f t="shared" si="62"/>
        <v>-0.54734610481706436</v>
      </c>
      <c r="Y82" s="200">
        <f t="shared" si="62"/>
        <v>-0.54734610481706436</v>
      </c>
      <c r="Z82" s="200">
        <f t="shared" si="62"/>
        <v>-0.54734610481706436</v>
      </c>
      <c r="AA82" s="200">
        <f t="shared" si="62"/>
        <v>-0.54734610481706436</v>
      </c>
      <c r="AB82" s="200">
        <f t="shared" si="62"/>
        <v>-0.54734610481706436</v>
      </c>
      <c r="AC82" s="200">
        <f t="shared" si="62"/>
        <v>-0.54734610481706436</v>
      </c>
      <c r="AD82" s="200">
        <f t="shared" si="62"/>
        <v>-0.54734610481706436</v>
      </c>
      <c r="AE82" s="200">
        <f t="shared" si="62"/>
        <v>-0.54734610481706436</v>
      </c>
      <c r="AF82" s="200">
        <f t="shared" si="62"/>
        <v>-0.54734610481706436</v>
      </c>
      <c r="AG82" s="200">
        <f t="shared" si="62"/>
        <v>-0.54734610481706436</v>
      </c>
      <c r="AH82" s="200">
        <f t="shared" si="62"/>
        <v>-0.54734610481706436</v>
      </c>
      <c r="AI82" s="200">
        <f t="shared" si="62"/>
        <v>-0.54734610481706436</v>
      </c>
      <c r="AJ82" s="200">
        <f t="shared" si="62"/>
        <v>-0.54734610481706436</v>
      </c>
      <c r="AK82" s="200">
        <f t="shared" si="62"/>
        <v>-0.54734610481706436</v>
      </c>
      <c r="AL82" s="200">
        <f t="shared" si="62"/>
        <v>-0.54734610481706436</v>
      </c>
      <c r="AM82" s="200">
        <f t="shared" si="62"/>
        <v>-0.54734610481706436</v>
      </c>
      <c r="AN82" s="200"/>
      <c r="AO82" s="367"/>
      <c r="AP82" s="367"/>
    </row>
    <row r="83" spans="1:42" ht="15" hidden="1" customHeight="1">
      <c r="A83" s="311" t="str">
        <f>CONCATENATE(LEFT(U$6,4),"新增长期待摊费用")</f>
        <v>2034新增长期待摊费用</v>
      </c>
      <c r="B83" s="310">
        <f>U$126</f>
        <v>1.0375788409307081</v>
      </c>
      <c r="C83" s="238"/>
      <c r="D83" s="238"/>
      <c r="E83" s="238"/>
      <c r="F83" s="238"/>
      <c r="G83" s="238"/>
      <c r="H83" s="238"/>
      <c r="I83" s="200"/>
      <c r="J83" s="445"/>
      <c r="K83" s="445"/>
      <c r="L83" s="445"/>
      <c r="M83" s="445"/>
      <c r="N83" s="445"/>
      <c r="O83" s="445"/>
      <c r="P83" s="445"/>
      <c r="Q83" s="445"/>
      <c r="R83" s="445"/>
      <c r="S83" s="445"/>
      <c r="T83" s="445"/>
      <c r="U83" s="200">
        <f t="shared" ref="U83:AM83" si="63">IF($B83*(1-(U$2-12+0.5)*$B$6)&gt;=0,$B83*$B$6,0)</f>
        <v>0.54860498234289767</v>
      </c>
      <c r="V83" s="200">
        <f t="shared" si="63"/>
        <v>0.54860498234289767</v>
      </c>
      <c r="W83" s="200">
        <f t="shared" si="63"/>
        <v>0</v>
      </c>
      <c r="X83" s="200">
        <f t="shared" si="63"/>
        <v>0</v>
      </c>
      <c r="Y83" s="200">
        <f t="shared" si="63"/>
        <v>0</v>
      </c>
      <c r="Z83" s="200">
        <f t="shared" si="63"/>
        <v>0</v>
      </c>
      <c r="AA83" s="200">
        <f t="shared" si="63"/>
        <v>0</v>
      </c>
      <c r="AB83" s="200">
        <f t="shared" si="63"/>
        <v>0</v>
      </c>
      <c r="AC83" s="200">
        <f t="shared" si="63"/>
        <v>0</v>
      </c>
      <c r="AD83" s="200">
        <f t="shared" si="63"/>
        <v>0</v>
      </c>
      <c r="AE83" s="200">
        <f t="shared" si="63"/>
        <v>0</v>
      </c>
      <c r="AF83" s="200">
        <f t="shared" si="63"/>
        <v>0</v>
      </c>
      <c r="AG83" s="200">
        <f t="shared" si="63"/>
        <v>0</v>
      </c>
      <c r="AH83" s="200">
        <f t="shared" si="63"/>
        <v>0</v>
      </c>
      <c r="AI83" s="200">
        <f t="shared" si="63"/>
        <v>0</v>
      </c>
      <c r="AJ83" s="200">
        <f t="shared" si="63"/>
        <v>0</v>
      </c>
      <c r="AK83" s="200">
        <f t="shared" si="63"/>
        <v>0</v>
      </c>
      <c r="AL83" s="200">
        <f t="shared" si="63"/>
        <v>0</v>
      </c>
      <c r="AM83" s="200">
        <f t="shared" si="63"/>
        <v>0</v>
      </c>
      <c r="AN83" s="200"/>
      <c r="AO83" s="367"/>
      <c r="AP83" s="367"/>
    </row>
    <row r="84" spans="1:42" ht="15" hidden="1" customHeight="1">
      <c r="A84" s="311" t="str">
        <f>CONCATENATE(LEFT(V$6,4),"新增长期待摊费用")</f>
        <v>2035新增长期待摊费用</v>
      </c>
      <c r="B84" s="310">
        <f>V$126</f>
        <v>1.0356486079942564</v>
      </c>
      <c r="C84" s="238"/>
      <c r="D84" s="238"/>
      <c r="E84" s="238"/>
      <c r="F84" s="238"/>
      <c r="G84" s="238"/>
      <c r="H84" s="238"/>
      <c r="I84" s="200"/>
      <c r="J84" s="445"/>
      <c r="K84" s="445"/>
      <c r="L84" s="445"/>
      <c r="M84" s="445"/>
      <c r="N84" s="445"/>
      <c r="O84" s="445"/>
      <c r="P84" s="445"/>
      <c r="Q84" s="445"/>
      <c r="R84" s="445"/>
      <c r="S84" s="445"/>
      <c r="T84" s="445"/>
      <c r="U84" s="445"/>
      <c r="V84" s="200">
        <f t="shared" ref="V84:AM84" si="64">IF($B84*(1-(V$2-13+0.5)*$B$6)&gt;=0,$B84*$B$6,0)</f>
        <v>0.5475843992659819</v>
      </c>
      <c r="W84" s="200">
        <f t="shared" si="64"/>
        <v>0.5475843992659819</v>
      </c>
      <c r="X84" s="200">
        <f t="shared" si="64"/>
        <v>0</v>
      </c>
      <c r="Y84" s="200">
        <f t="shared" si="64"/>
        <v>0</v>
      </c>
      <c r="Z84" s="200">
        <f t="shared" si="64"/>
        <v>0</v>
      </c>
      <c r="AA84" s="200">
        <f t="shared" si="64"/>
        <v>0</v>
      </c>
      <c r="AB84" s="200">
        <f t="shared" si="64"/>
        <v>0</v>
      </c>
      <c r="AC84" s="200">
        <f t="shared" si="64"/>
        <v>0</v>
      </c>
      <c r="AD84" s="200">
        <f t="shared" si="64"/>
        <v>0</v>
      </c>
      <c r="AE84" s="200">
        <f t="shared" si="64"/>
        <v>0</v>
      </c>
      <c r="AF84" s="200">
        <f t="shared" si="64"/>
        <v>0</v>
      </c>
      <c r="AG84" s="200">
        <f t="shared" si="64"/>
        <v>0</v>
      </c>
      <c r="AH84" s="200">
        <f t="shared" si="64"/>
        <v>0</v>
      </c>
      <c r="AI84" s="200">
        <f t="shared" si="64"/>
        <v>0</v>
      </c>
      <c r="AJ84" s="200">
        <f t="shared" si="64"/>
        <v>0</v>
      </c>
      <c r="AK84" s="200">
        <f t="shared" si="64"/>
        <v>0</v>
      </c>
      <c r="AL84" s="200">
        <f t="shared" si="64"/>
        <v>0</v>
      </c>
      <c r="AM84" s="200">
        <f t="shared" si="64"/>
        <v>0</v>
      </c>
      <c r="AN84" s="200"/>
      <c r="AO84" s="367"/>
      <c r="AP84" s="367"/>
    </row>
    <row r="85" spans="1:42" ht="15" hidden="1" customHeight="1">
      <c r="A85" s="311" t="str">
        <f>CONCATENATE(LEFT(W$6,4),"新增长期待摊费用")</f>
        <v>2036新增长期待摊费用</v>
      </c>
      <c r="B85" s="310">
        <f>W$126</f>
        <v>-1.0328911669277798</v>
      </c>
      <c r="C85" s="238"/>
      <c r="D85" s="238"/>
      <c r="E85" s="238"/>
      <c r="F85" s="238"/>
      <c r="G85" s="238"/>
      <c r="H85" s="238"/>
      <c r="I85" s="200"/>
      <c r="J85" s="445"/>
      <c r="K85" s="445"/>
      <c r="L85" s="445"/>
      <c r="M85" s="445"/>
      <c r="N85" s="445"/>
      <c r="O85" s="445"/>
      <c r="P85" s="445"/>
      <c r="Q85" s="445"/>
      <c r="R85" s="445"/>
      <c r="S85" s="445"/>
      <c r="T85" s="445"/>
      <c r="U85" s="445"/>
      <c r="V85" s="445"/>
      <c r="W85" s="200">
        <f t="shared" ref="W85:AM85" si="65">IF($B85*(1-(W$2-14+0.5)*$B$6)&gt;=0,$B85*$B$6,0)</f>
        <v>0</v>
      </c>
      <c r="X85" s="200">
        <f t="shared" si="65"/>
        <v>0</v>
      </c>
      <c r="Y85" s="200">
        <f t="shared" si="65"/>
        <v>-0.54612644171335012</v>
      </c>
      <c r="Z85" s="200">
        <f t="shared" si="65"/>
        <v>-0.54612644171335012</v>
      </c>
      <c r="AA85" s="200">
        <f t="shared" si="65"/>
        <v>-0.54612644171335012</v>
      </c>
      <c r="AB85" s="200">
        <f t="shared" si="65"/>
        <v>-0.54612644171335012</v>
      </c>
      <c r="AC85" s="200">
        <f t="shared" si="65"/>
        <v>-0.54612644171335012</v>
      </c>
      <c r="AD85" s="200">
        <f t="shared" si="65"/>
        <v>-0.54612644171335012</v>
      </c>
      <c r="AE85" s="200">
        <f t="shared" si="65"/>
        <v>-0.54612644171335012</v>
      </c>
      <c r="AF85" s="200">
        <f t="shared" si="65"/>
        <v>-0.54612644171335012</v>
      </c>
      <c r="AG85" s="200">
        <f t="shared" si="65"/>
        <v>-0.54612644171335012</v>
      </c>
      <c r="AH85" s="200">
        <f t="shared" si="65"/>
        <v>-0.54612644171335012</v>
      </c>
      <c r="AI85" s="200">
        <f t="shared" si="65"/>
        <v>-0.54612644171335012</v>
      </c>
      <c r="AJ85" s="200">
        <f t="shared" si="65"/>
        <v>-0.54612644171335012</v>
      </c>
      <c r="AK85" s="200">
        <f t="shared" si="65"/>
        <v>-0.54612644171335012</v>
      </c>
      <c r="AL85" s="200">
        <f t="shared" si="65"/>
        <v>-0.54612644171335012</v>
      </c>
      <c r="AM85" s="200">
        <f t="shared" si="65"/>
        <v>-0.54612644171335012</v>
      </c>
      <c r="AN85" s="200"/>
      <c r="AO85" s="367"/>
      <c r="AP85" s="367"/>
    </row>
    <row r="86" spans="1:42" ht="15" hidden="1" customHeight="1">
      <c r="A86" s="311" t="str">
        <f>CONCATENATE(LEFT(X$6,4),"新增长期待摊费用")</f>
        <v>2037新增长期待摊费用</v>
      </c>
      <c r="B86" s="310">
        <f>X$126</f>
        <v>1.0328556948929097</v>
      </c>
      <c r="C86" s="238"/>
      <c r="D86" s="238"/>
      <c r="E86" s="238"/>
      <c r="F86" s="238"/>
      <c r="G86" s="238"/>
      <c r="H86" s="238"/>
      <c r="I86" s="200"/>
      <c r="J86" s="445"/>
      <c r="K86" s="445"/>
      <c r="L86" s="445"/>
      <c r="M86" s="445"/>
      <c r="N86" s="445"/>
      <c r="O86" s="445"/>
      <c r="P86" s="445"/>
      <c r="Q86" s="445"/>
      <c r="R86" s="445"/>
      <c r="S86" s="445"/>
      <c r="T86" s="445"/>
      <c r="U86" s="445"/>
      <c r="V86" s="445"/>
      <c r="W86" s="445"/>
      <c r="X86" s="200">
        <f t="shared" ref="X86:AM86" si="66">IF($B86*(1-(X$2-15+0.5)*$B$6)&gt;=0,$B86*$B$6,0)</f>
        <v>0.54610768638190355</v>
      </c>
      <c r="Y86" s="200">
        <f t="shared" si="66"/>
        <v>0.54610768638190355</v>
      </c>
      <c r="Z86" s="200">
        <f t="shared" si="66"/>
        <v>0</v>
      </c>
      <c r="AA86" s="200">
        <f t="shared" si="66"/>
        <v>0</v>
      </c>
      <c r="AB86" s="200">
        <f t="shared" si="66"/>
        <v>0</v>
      </c>
      <c r="AC86" s="200">
        <f t="shared" si="66"/>
        <v>0</v>
      </c>
      <c r="AD86" s="200">
        <f t="shared" si="66"/>
        <v>0</v>
      </c>
      <c r="AE86" s="200">
        <f t="shared" si="66"/>
        <v>0</v>
      </c>
      <c r="AF86" s="200">
        <f t="shared" si="66"/>
        <v>0</v>
      </c>
      <c r="AG86" s="200">
        <f t="shared" si="66"/>
        <v>0</v>
      </c>
      <c r="AH86" s="200">
        <f t="shared" si="66"/>
        <v>0</v>
      </c>
      <c r="AI86" s="200">
        <f t="shared" si="66"/>
        <v>0</v>
      </c>
      <c r="AJ86" s="200">
        <f t="shared" si="66"/>
        <v>0</v>
      </c>
      <c r="AK86" s="200">
        <f t="shared" si="66"/>
        <v>0</v>
      </c>
      <c r="AL86" s="200">
        <f t="shared" si="66"/>
        <v>0</v>
      </c>
      <c r="AM86" s="200">
        <f t="shared" si="66"/>
        <v>0</v>
      </c>
      <c r="AN86" s="200"/>
      <c r="AO86" s="367"/>
      <c r="AP86" s="367"/>
    </row>
    <row r="87" spans="1:42" ht="15" hidden="1" customHeight="1">
      <c r="A87" s="311" t="str">
        <f>CONCATENATE(LEFT(Y$6,4),"新增长期待摊费用")</f>
        <v>2038新增长期待摊费用</v>
      </c>
      <c r="B87" s="310">
        <f>Y$126</f>
        <v>1.0348328987512343</v>
      </c>
      <c r="C87" s="238"/>
      <c r="D87" s="238"/>
      <c r="E87" s="238"/>
      <c r="F87" s="238"/>
      <c r="G87" s="238"/>
      <c r="H87" s="238"/>
      <c r="I87" s="200"/>
      <c r="J87" s="445"/>
      <c r="K87" s="445"/>
      <c r="L87" s="445"/>
      <c r="M87" s="445"/>
      <c r="N87" s="445"/>
      <c r="O87" s="445"/>
      <c r="P87" s="445"/>
      <c r="Q87" s="445"/>
      <c r="R87" s="445"/>
      <c r="S87" s="445"/>
      <c r="T87" s="445"/>
      <c r="U87" s="445"/>
      <c r="V87" s="445"/>
      <c r="W87" s="445"/>
      <c r="X87" s="445"/>
      <c r="Y87" s="200">
        <f t="shared" ref="Y87:AM87" si="67">IF($B87*(1-(Y$2-16+0.5)*$B$6)&gt;=0,$B87*$B$6,0)</f>
        <v>0.54715310466241851</v>
      </c>
      <c r="Z87" s="200">
        <f t="shared" si="67"/>
        <v>0.54715310466241851</v>
      </c>
      <c r="AA87" s="200">
        <f t="shared" si="67"/>
        <v>0</v>
      </c>
      <c r="AB87" s="200">
        <f t="shared" si="67"/>
        <v>0</v>
      </c>
      <c r="AC87" s="200">
        <f t="shared" si="67"/>
        <v>0</v>
      </c>
      <c r="AD87" s="200">
        <f t="shared" si="67"/>
        <v>0</v>
      </c>
      <c r="AE87" s="200">
        <f t="shared" si="67"/>
        <v>0</v>
      </c>
      <c r="AF87" s="200">
        <f t="shared" si="67"/>
        <v>0</v>
      </c>
      <c r="AG87" s="200">
        <f t="shared" si="67"/>
        <v>0</v>
      </c>
      <c r="AH87" s="200">
        <f t="shared" si="67"/>
        <v>0</v>
      </c>
      <c r="AI87" s="200">
        <f t="shared" si="67"/>
        <v>0</v>
      </c>
      <c r="AJ87" s="200">
        <f t="shared" si="67"/>
        <v>0</v>
      </c>
      <c r="AK87" s="200">
        <f t="shared" si="67"/>
        <v>0</v>
      </c>
      <c r="AL87" s="200">
        <f t="shared" si="67"/>
        <v>0</v>
      </c>
      <c r="AM87" s="200">
        <f t="shared" si="67"/>
        <v>0</v>
      </c>
      <c r="AN87" s="200"/>
      <c r="AO87" s="367"/>
      <c r="AP87" s="367"/>
    </row>
    <row r="88" spans="1:42" ht="15" hidden="1" customHeight="1">
      <c r="A88" s="311" t="str">
        <f>CONCATENATE(LEFT(Z$6,4),"新增长期待摊费用")</f>
        <v>2039新增长期待摊费用</v>
      </c>
      <c r="B88" s="310">
        <f>Z$126</f>
        <v>-1.0347599098020202</v>
      </c>
      <c r="C88" s="238"/>
      <c r="D88" s="238"/>
      <c r="E88" s="238"/>
      <c r="F88" s="238"/>
      <c r="G88" s="238"/>
      <c r="H88" s="238"/>
      <c r="I88" s="200"/>
      <c r="J88" s="445"/>
      <c r="K88" s="445"/>
      <c r="L88" s="445"/>
      <c r="M88" s="445"/>
      <c r="N88" s="445"/>
      <c r="O88" s="445"/>
      <c r="P88" s="445"/>
      <c r="Q88" s="445"/>
      <c r="R88" s="445"/>
      <c r="S88" s="445"/>
      <c r="T88" s="445"/>
      <c r="U88" s="445"/>
      <c r="V88" s="445"/>
      <c r="W88" s="445"/>
      <c r="X88" s="445"/>
      <c r="Y88" s="445"/>
      <c r="Z88" s="200">
        <f t="shared" ref="Z88:AM88" si="68">IF($B88*(1-(Z$2-17+0.5)*$B$6)&gt;=0,$B88*$B$6,0)</f>
        <v>0</v>
      </c>
      <c r="AA88" s="200">
        <f t="shared" si="68"/>
        <v>0</v>
      </c>
      <c r="AB88" s="200">
        <f t="shared" si="68"/>
        <v>-0.54711451279873036</v>
      </c>
      <c r="AC88" s="200">
        <f t="shared" si="68"/>
        <v>-0.54711451279873036</v>
      </c>
      <c r="AD88" s="200">
        <f t="shared" si="68"/>
        <v>-0.54711451279873036</v>
      </c>
      <c r="AE88" s="200">
        <f t="shared" si="68"/>
        <v>-0.54711451279873036</v>
      </c>
      <c r="AF88" s="200">
        <f t="shared" si="68"/>
        <v>-0.54711451279873036</v>
      </c>
      <c r="AG88" s="200">
        <f t="shared" si="68"/>
        <v>-0.54711451279873036</v>
      </c>
      <c r="AH88" s="200">
        <f t="shared" si="68"/>
        <v>-0.54711451279873036</v>
      </c>
      <c r="AI88" s="200">
        <f t="shared" si="68"/>
        <v>-0.54711451279873036</v>
      </c>
      <c r="AJ88" s="200">
        <f t="shared" si="68"/>
        <v>-0.54711451279873036</v>
      </c>
      <c r="AK88" s="200">
        <f t="shared" si="68"/>
        <v>-0.54711451279873036</v>
      </c>
      <c r="AL88" s="200">
        <f t="shared" si="68"/>
        <v>-0.54711451279873036</v>
      </c>
      <c r="AM88" s="200">
        <f t="shared" si="68"/>
        <v>-0.54711451279873036</v>
      </c>
      <c r="AN88" s="200"/>
      <c r="AO88" s="367"/>
      <c r="AP88" s="367"/>
    </row>
    <row r="89" spans="1:42" ht="15" hidden="1" customHeight="1">
      <c r="A89" s="311" t="str">
        <f>CONCATENATE(LEFT(AA$6,4),"新增长期待摊费用")</f>
        <v>2040新增长期待摊费用</v>
      </c>
      <c r="B89" s="310">
        <f>AA$126</f>
        <v>1.0341970432716163</v>
      </c>
      <c r="C89" s="238"/>
      <c r="D89" s="238"/>
      <c r="E89" s="238"/>
      <c r="F89" s="238"/>
      <c r="G89" s="238"/>
      <c r="H89" s="238"/>
      <c r="I89" s="200"/>
      <c r="J89" s="445"/>
      <c r="K89" s="445"/>
      <c r="L89" s="445"/>
      <c r="M89" s="445"/>
      <c r="N89" s="445"/>
      <c r="O89" s="445"/>
      <c r="P89" s="445"/>
      <c r="Q89" s="445"/>
      <c r="R89" s="445"/>
      <c r="S89" s="445"/>
      <c r="T89" s="445"/>
      <c r="U89" s="445"/>
      <c r="V89" s="445"/>
      <c r="W89" s="445"/>
      <c r="X89" s="445"/>
      <c r="Y89" s="445"/>
      <c r="Z89" s="445"/>
      <c r="AA89" s="200">
        <f t="shared" ref="AA89:AM89" si="69">IF($B89*(1-(AA$2-18+0.5)*$B$6)&gt;=0,$B89*$B$6,0)</f>
        <v>0.54681690516565973</v>
      </c>
      <c r="AB89" s="200">
        <f t="shared" si="69"/>
        <v>0.54681690516565973</v>
      </c>
      <c r="AC89" s="200">
        <f t="shared" si="69"/>
        <v>0</v>
      </c>
      <c r="AD89" s="200">
        <f t="shared" si="69"/>
        <v>0</v>
      </c>
      <c r="AE89" s="200">
        <f t="shared" si="69"/>
        <v>0</v>
      </c>
      <c r="AF89" s="200">
        <f t="shared" si="69"/>
        <v>0</v>
      </c>
      <c r="AG89" s="200">
        <f t="shared" si="69"/>
        <v>0</v>
      </c>
      <c r="AH89" s="200">
        <f t="shared" si="69"/>
        <v>0</v>
      </c>
      <c r="AI89" s="200">
        <f t="shared" si="69"/>
        <v>0</v>
      </c>
      <c r="AJ89" s="200">
        <f t="shared" si="69"/>
        <v>0</v>
      </c>
      <c r="AK89" s="200">
        <f t="shared" si="69"/>
        <v>0</v>
      </c>
      <c r="AL89" s="200">
        <f t="shared" si="69"/>
        <v>0</v>
      </c>
      <c r="AM89" s="200">
        <f t="shared" si="69"/>
        <v>0</v>
      </c>
      <c r="AN89" s="200"/>
      <c r="AO89" s="367"/>
      <c r="AP89" s="367"/>
    </row>
    <row r="90" spans="1:42" ht="15" hidden="1" customHeight="1">
      <c r="A90" s="311" t="str">
        <f>CONCATENATE(LEFT(AB$6,4),"新增长期待摊费用")</f>
        <v>2041新增长期待摊费用</v>
      </c>
      <c r="B90" s="310">
        <f>AB$126</f>
        <v>1.0339069745599083</v>
      </c>
      <c r="C90" s="238"/>
      <c r="D90" s="238"/>
      <c r="E90" s="238"/>
      <c r="F90" s="238"/>
      <c r="G90" s="238"/>
      <c r="H90" s="238"/>
      <c r="I90" s="200"/>
      <c r="J90" s="445"/>
      <c r="K90" s="445"/>
      <c r="L90" s="445"/>
      <c r="M90" s="445"/>
      <c r="N90" s="445"/>
      <c r="O90" s="445"/>
      <c r="P90" s="445"/>
      <c r="Q90" s="445"/>
      <c r="R90" s="445"/>
      <c r="S90" s="445"/>
      <c r="T90" s="445"/>
      <c r="U90" s="445"/>
      <c r="V90" s="445"/>
      <c r="W90" s="445"/>
      <c r="X90" s="445"/>
      <c r="Y90" s="445"/>
      <c r="Z90" s="445"/>
      <c r="AA90" s="445"/>
      <c r="AB90" s="200">
        <f t="shared" ref="AB90:AM90" si="70">IF($B90*(1-(AB$2-19+0.5)*$B$6)&gt;=0,$B90*$B$6,0)</f>
        <v>0.54666353548020807</v>
      </c>
      <c r="AC90" s="200">
        <f t="shared" si="70"/>
        <v>0.54666353548020807</v>
      </c>
      <c r="AD90" s="200">
        <f t="shared" si="70"/>
        <v>0</v>
      </c>
      <c r="AE90" s="200">
        <f t="shared" si="70"/>
        <v>0</v>
      </c>
      <c r="AF90" s="200">
        <f t="shared" si="70"/>
        <v>0</v>
      </c>
      <c r="AG90" s="200">
        <f t="shared" si="70"/>
        <v>0</v>
      </c>
      <c r="AH90" s="200">
        <f t="shared" si="70"/>
        <v>0</v>
      </c>
      <c r="AI90" s="200">
        <f t="shared" si="70"/>
        <v>0</v>
      </c>
      <c r="AJ90" s="200">
        <f t="shared" si="70"/>
        <v>0</v>
      </c>
      <c r="AK90" s="200">
        <f t="shared" si="70"/>
        <v>0</v>
      </c>
      <c r="AL90" s="200">
        <f t="shared" si="70"/>
        <v>0</v>
      </c>
      <c r="AM90" s="200">
        <f t="shared" si="70"/>
        <v>0</v>
      </c>
      <c r="AN90" s="200"/>
      <c r="AO90" s="367"/>
      <c r="AP90" s="367"/>
    </row>
    <row r="91" spans="1:42" ht="15" hidden="1" customHeight="1">
      <c r="A91" s="311" t="str">
        <f>CONCATENATE(LEFT(AC$6,4),"新增长期待摊费用")</f>
        <v>2042新增长期待摊费用</v>
      </c>
      <c r="B91" s="310">
        <f>AC$126</f>
        <v>-1.0341102559357067</v>
      </c>
      <c r="C91" s="238"/>
      <c r="D91" s="238"/>
      <c r="E91" s="238"/>
      <c r="F91" s="238"/>
      <c r="G91" s="238"/>
      <c r="H91" s="238"/>
      <c r="I91" s="200"/>
      <c r="J91" s="445"/>
      <c r="K91" s="445"/>
      <c r="L91" s="445"/>
      <c r="M91" s="445"/>
      <c r="N91" s="445"/>
      <c r="O91" s="445"/>
      <c r="P91" s="445"/>
      <c r="Q91" s="445"/>
      <c r="R91" s="445"/>
      <c r="S91" s="445"/>
      <c r="T91" s="445"/>
      <c r="U91" s="445"/>
      <c r="V91" s="445"/>
      <c r="W91" s="445"/>
      <c r="X91" s="445"/>
      <c r="Y91" s="445"/>
      <c r="Z91" s="445"/>
      <c r="AA91" s="445"/>
      <c r="AB91" s="445"/>
      <c r="AC91" s="200">
        <f t="shared" ref="AC91:AM91" si="71">IF($B91*(1-(AC$2-20+0.5)*$B$6)&gt;=0,$B91*$B$6,0)</f>
        <v>0</v>
      </c>
      <c r="AD91" s="200">
        <f t="shared" si="71"/>
        <v>0</v>
      </c>
      <c r="AE91" s="200">
        <f t="shared" si="71"/>
        <v>-0.54677101760222246</v>
      </c>
      <c r="AF91" s="200">
        <f t="shared" si="71"/>
        <v>-0.54677101760222246</v>
      </c>
      <c r="AG91" s="200">
        <f t="shared" si="71"/>
        <v>-0.54677101760222246</v>
      </c>
      <c r="AH91" s="200">
        <f t="shared" si="71"/>
        <v>-0.54677101760222246</v>
      </c>
      <c r="AI91" s="200">
        <f t="shared" si="71"/>
        <v>-0.54677101760222246</v>
      </c>
      <c r="AJ91" s="200">
        <f t="shared" si="71"/>
        <v>-0.54677101760222246</v>
      </c>
      <c r="AK91" s="200">
        <f t="shared" si="71"/>
        <v>-0.54677101760222246</v>
      </c>
      <c r="AL91" s="200">
        <f t="shared" si="71"/>
        <v>-0.54677101760222246</v>
      </c>
      <c r="AM91" s="200">
        <f t="shared" si="71"/>
        <v>-0.54677101760222246</v>
      </c>
      <c r="AN91" s="200"/>
      <c r="AO91" s="367"/>
      <c r="AP91" s="367"/>
    </row>
    <row r="92" spans="1:42" ht="15" hidden="1" customHeight="1">
      <c r="A92" s="311" t="str">
        <f>CONCATENATE(LEFT(AD$6,4),"新增长期待摊费用")</f>
        <v>2043新增长期待摊费用</v>
      </c>
      <c r="B92" s="310">
        <f>AD$126</f>
        <v>1.0343613509477951</v>
      </c>
      <c r="C92" s="238"/>
      <c r="D92" s="238"/>
      <c r="E92" s="238"/>
      <c r="F92" s="238"/>
      <c r="G92" s="238"/>
      <c r="H92" s="238"/>
      <c r="I92" s="200"/>
      <c r="J92" s="445"/>
      <c r="K92" s="445"/>
      <c r="L92" s="445"/>
      <c r="M92" s="445"/>
      <c r="N92" s="445"/>
      <c r="O92" s="445"/>
      <c r="P92" s="445"/>
      <c r="Q92" s="445"/>
      <c r="R92" s="445"/>
      <c r="S92" s="445"/>
      <c r="T92" s="445"/>
      <c r="U92" s="445"/>
      <c r="V92" s="445"/>
      <c r="W92" s="445"/>
      <c r="X92" s="445"/>
      <c r="Y92" s="445"/>
      <c r="Z92" s="445"/>
      <c r="AA92" s="445"/>
      <c r="AB92" s="445"/>
      <c r="AC92" s="445"/>
      <c r="AD92" s="200">
        <f t="shared" ref="AD92:AM92" si="72">IF($B92*(1-(AD$2-21+0.5)*$B$6)&gt;=0,$B92*$B$6,0)</f>
        <v>0.54690378050103949</v>
      </c>
      <c r="AE92" s="200">
        <f t="shared" si="72"/>
        <v>0.54690378050103949</v>
      </c>
      <c r="AF92" s="200">
        <f t="shared" si="72"/>
        <v>0</v>
      </c>
      <c r="AG92" s="200">
        <f t="shared" si="72"/>
        <v>0</v>
      </c>
      <c r="AH92" s="200">
        <f t="shared" si="72"/>
        <v>0</v>
      </c>
      <c r="AI92" s="200">
        <f t="shared" si="72"/>
        <v>0</v>
      </c>
      <c r="AJ92" s="200">
        <f t="shared" si="72"/>
        <v>0</v>
      </c>
      <c r="AK92" s="200">
        <f t="shared" si="72"/>
        <v>0</v>
      </c>
      <c r="AL92" s="200">
        <f t="shared" si="72"/>
        <v>0</v>
      </c>
      <c r="AM92" s="200">
        <f t="shared" si="72"/>
        <v>0</v>
      </c>
      <c r="AN92" s="200"/>
      <c r="AO92" s="367"/>
      <c r="AP92" s="367"/>
    </row>
    <row r="93" spans="1:42" ht="15" hidden="1" customHeight="1">
      <c r="A93" s="311" t="str">
        <f>CONCATENATE(LEFT(AE$6,4),"新增长期待摊费用")</f>
        <v>2044新增长期待摊费用</v>
      </c>
      <c r="B93" s="310">
        <f>AE$126</f>
        <v>1.0342670671749641</v>
      </c>
      <c r="C93" s="238"/>
      <c r="D93" s="238"/>
      <c r="E93" s="238"/>
      <c r="F93" s="238"/>
      <c r="G93" s="238"/>
      <c r="H93" s="238"/>
      <c r="I93" s="200"/>
      <c r="J93" s="445"/>
      <c r="K93" s="445"/>
      <c r="L93" s="445"/>
      <c r="M93" s="445"/>
      <c r="N93" s="445"/>
      <c r="O93" s="445"/>
      <c r="P93" s="445"/>
      <c r="Q93" s="445"/>
      <c r="R93" s="445"/>
      <c r="S93" s="445"/>
      <c r="T93" s="445"/>
      <c r="U93" s="445"/>
      <c r="V93" s="445"/>
      <c r="W93" s="445"/>
      <c r="X93" s="445"/>
      <c r="Y93" s="445"/>
      <c r="Z93" s="445"/>
      <c r="AA93" s="445"/>
      <c r="AB93" s="445"/>
      <c r="AC93" s="445"/>
      <c r="AD93" s="445"/>
      <c r="AE93" s="200">
        <f t="shared" ref="AE93:AM93" si="73">IF($B93*(1-(AE$2-22+0.5)*$B$6)&gt;=0,$B93*$B$6,0)</f>
        <v>0.54685392930372445</v>
      </c>
      <c r="AF93" s="200">
        <f t="shared" si="73"/>
        <v>0.54685392930372445</v>
      </c>
      <c r="AG93" s="200">
        <f t="shared" si="73"/>
        <v>0</v>
      </c>
      <c r="AH93" s="200">
        <f t="shared" si="73"/>
        <v>0</v>
      </c>
      <c r="AI93" s="200">
        <f t="shared" si="73"/>
        <v>0</v>
      </c>
      <c r="AJ93" s="200">
        <f t="shared" si="73"/>
        <v>0</v>
      </c>
      <c r="AK93" s="200">
        <f t="shared" si="73"/>
        <v>0</v>
      </c>
      <c r="AL93" s="200">
        <f t="shared" si="73"/>
        <v>0</v>
      </c>
      <c r="AM93" s="200">
        <f t="shared" si="73"/>
        <v>0</v>
      </c>
      <c r="AN93" s="200"/>
      <c r="AO93" s="367"/>
      <c r="AP93" s="367"/>
    </row>
    <row r="94" spans="1:42" ht="15" hidden="1" customHeight="1">
      <c r="A94" s="311" t="str">
        <f>CONCATENATE(LEFT(AF$6,4),"新增长期待摊费用")</f>
        <v>2045新增长期待摊费用</v>
      </c>
      <c r="B94" s="310">
        <f>AF$126</f>
        <v>-1.0341685268212719</v>
      </c>
      <c r="C94" s="238"/>
      <c r="D94" s="238"/>
      <c r="E94" s="238"/>
      <c r="F94" s="238"/>
      <c r="G94" s="238"/>
      <c r="H94" s="238"/>
      <c r="I94" s="200"/>
      <c r="J94" s="445"/>
      <c r="K94" s="445"/>
      <c r="L94" s="445"/>
      <c r="M94" s="445"/>
      <c r="N94" s="445"/>
      <c r="O94" s="445"/>
      <c r="P94" s="445"/>
      <c r="Q94" s="445"/>
      <c r="R94" s="445"/>
      <c r="S94" s="445"/>
      <c r="T94" s="445"/>
      <c r="U94" s="445"/>
      <c r="V94" s="445"/>
      <c r="W94" s="445"/>
      <c r="X94" s="445"/>
      <c r="Y94" s="445"/>
      <c r="Z94" s="445"/>
      <c r="AA94" s="445"/>
      <c r="AB94" s="445"/>
      <c r="AC94" s="445"/>
      <c r="AD94" s="445"/>
      <c r="AE94" s="445"/>
      <c r="AF94" s="200">
        <f t="shared" ref="AF94:AM94" si="74">IF($B94*(1-(AF$2-23+0.5)*$B$6)&gt;=0,$B94*$B$6,0)</f>
        <v>0</v>
      </c>
      <c r="AG94" s="200">
        <f t="shared" si="74"/>
        <v>0</v>
      </c>
      <c r="AH94" s="200">
        <f t="shared" si="74"/>
        <v>-0.54680182750011708</v>
      </c>
      <c r="AI94" s="200">
        <f t="shared" si="74"/>
        <v>-0.54680182750011708</v>
      </c>
      <c r="AJ94" s="200">
        <f t="shared" si="74"/>
        <v>-0.54680182750011708</v>
      </c>
      <c r="AK94" s="200">
        <f t="shared" si="74"/>
        <v>-0.54680182750011708</v>
      </c>
      <c r="AL94" s="200">
        <f t="shared" si="74"/>
        <v>-0.54680182750011708</v>
      </c>
      <c r="AM94" s="200">
        <f t="shared" si="74"/>
        <v>-0.54680182750011708</v>
      </c>
      <c r="AN94" s="200"/>
      <c r="AO94" s="367"/>
      <c r="AP94" s="367"/>
    </row>
    <row r="95" spans="1:42" ht="15" hidden="1" customHeight="1">
      <c r="A95" s="311" t="str">
        <f>CONCATENATE(LEFT(AG$6,4),"新增长期待摊费用")</f>
        <v>2046新增长期待摊费用</v>
      </c>
      <c r="B95" s="310">
        <f>AG$126</f>
        <v>1.0341628236255596</v>
      </c>
      <c r="C95" s="238"/>
      <c r="D95" s="238"/>
      <c r="E95" s="238"/>
      <c r="F95" s="238"/>
      <c r="G95" s="238"/>
      <c r="H95" s="238"/>
      <c r="I95" s="200"/>
      <c r="J95" s="445"/>
      <c r="K95" s="445"/>
      <c r="L95" s="445"/>
      <c r="M95" s="445"/>
      <c r="N95" s="445"/>
      <c r="O95" s="445"/>
      <c r="P95" s="445"/>
      <c r="Q95" s="445"/>
      <c r="R95" s="445"/>
      <c r="S95" s="445"/>
      <c r="T95" s="445"/>
      <c r="U95" s="445"/>
      <c r="V95" s="445"/>
      <c r="W95" s="445"/>
      <c r="X95" s="445"/>
      <c r="Y95" s="445"/>
      <c r="Z95" s="445"/>
      <c r="AA95" s="445"/>
      <c r="AB95" s="445"/>
      <c r="AC95" s="445"/>
      <c r="AD95" s="445"/>
      <c r="AE95" s="445"/>
      <c r="AF95" s="445"/>
      <c r="AG95" s="200">
        <f t="shared" ref="AG95:AM95" si="75">IF($B95*(1-(AG$2-24+0.5)*$B$6)&gt;=0,$B95*$B$6,0)</f>
        <v>0.54679881201689817</v>
      </c>
      <c r="AH95" s="200">
        <f t="shared" si="75"/>
        <v>0.54679881201689817</v>
      </c>
      <c r="AI95" s="200">
        <f t="shared" si="75"/>
        <v>0</v>
      </c>
      <c r="AJ95" s="200">
        <f t="shared" si="75"/>
        <v>0</v>
      </c>
      <c r="AK95" s="200">
        <f t="shared" si="75"/>
        <v>0</v>
      </c>
      <c r="AL95" s="200">
        <f t="shared" si="75"/>
        <v>0</v>
      </c>
      <c r="AM95" s="200">
        <f t="shared" si="75"/>
        <v>0</v>
      </c>
      <c r="AN95" s="200"/>
      <c r="AO95" s="367"/>
      <c r="AP95" s="367"/>
    </row>
    <row r="96" spans="1:42" ht="15" hidden="1" customHeight="1">
      <c r="A96" s="311" t="str">
        <f>CONCATENATE(LEFT(AH$6,4),"新增长期待摊费用")</f>
        <v>2047新增长期待摊费用</v>
      </c>
      <c r="B96" s="310">
        <f>AH$126</f>
        <v>1.0342140010356315</v>
      </c>
      <c r="C96" s="238"/>
      <c r="D96" s="238"/>
      <c r="E96" s="238"/>
      <c r="F96" s="238"/>
      <c r="G96" s="238"/>
      <c r="H96" s="238"/>
      <c r="I96" s="200"/>
      <c r="J96" s="445"/>
      <c r="K96" s="445"/>
      <c r="L96" s="445"/>
      <c r="M96" s="445"/>
      <c r="N96" s="445"/>
      <c r="O96" s="445"/>
      <c r="P96" s="445"/>
      <c r="Q96" s="445"/>
      <c r="R96" s="445"/>
      <c r="S96" s="445"/>
      <c r="T96" s="445"/>
      <c r="U96" s="445"/>
      <c r="V96" s="445"/>
      <c r="W96" s="445"/>
      <c r="X96" s="445"/>
      <c r="Y96" s="445"/>
      <c r="Z96" s="445"/>
      <c r="AA96" s="445"/>
      <c r="AB96" s="445"/>
      <c r="AC96" s="445"/>
      <c r="AD96" s="445"/>
      <c r="AE96" s="445"/>
      <c r="AF96" s="445"/>
      <c r="AG96" s="445"/>
      <c r="AH96" s="200">
        <f t="shared" ref="AH96:AM96" si="76">IF($B96*(1-(AH$2-25+0.5)*$B$6)&gt;=0,$B96*$B$6,0)</f>
        <v>0.54682587134101057</v>
      </c>
      <c r="AI96" s="200">
        <f t="shared" si="76"/>
        <v>0.54682587134101057</v>
      </c>
      <c r="AJ96" s="200">
        <f t="shared" si="76"/>
        <v>0</v>
      </c>
      <c r="AK96" s="200">
        <f t="shared" si="76"/>
        <v>0</v>
      </c>
      <c r="AL96" s="200">
        <f t="shared" si="76"/>
        <v>0</v>
      </c>
      <c r="AM96" s="200">
        <f t="shared" si="76"/>
        <v>0</v>
      </c>
      <c r="AN96" s="200"/>
      <c r="AO96" s="367"/>
      <c r="AP96" s="367"/>
    </row>
    <row r="97" spans="1:217" ht="15" hidden="1" customHeight="1">
      <c r="A97" s="311" t="str">
        <f>CONCATENATE(LEFT(AI$6,4),"新增长期待摊费用")</f>
        <v>2048新增长期待摊费用</v>
      </c>
      <c r="B97" s="310">
        <f>AI$126</f>
        <v>-1.034234751304546</v>
      </c>
      <c r="C97" s="238"/>
      <c r="D97" s="238"/>
      <c r="E97" s="238"/>
      <c r="F97" s="238"/>
      <c r="G97" s="238"/>
      <c r="H97" s="238"/>
      <c r="I97" s="200"/>
      <c r="J97" s="445"/>
      <c r="K97" s="445"/>
      <c r="L97" s="445"/>
      <c r="M97" s="445"/>
      <c r="N97" s="445"/>
      <c r="O97" s="445"/>
      <c r="P97" s="445"/>
      <c r="Q97" s="445"/>
      <c r="R97" s="445"/>
      <c r="S97" s="445"/>
      <c r="T97" s="445"/>
      <c r="U97" s="445"/>
      <c r="V97" s="445"/>
      <c r="W97" s="445"/>
      <c r="X97" s="445"/>
      <c r="Y97" s="445"/>
      <c r="Z97" s="445"/>
      <c r="AA97" s="445"/>
      <c r="AB97" s="445"/>
      <c r="AC97" s="445"/>
      <c r="AD97" s="445"/>
      <c r="AE97" s="445"/>
      <c r="AF97" s="445"/>
      <c r="AG97" s="445"/>
      <c r="AH97" s="445"/>
      <c r="AI97" s="200">
        <f>IF($B97*(1-(AI$2-26+0.5)*$B$6)&gt;=0,$B97*$B$6,0)</f>
        <v>0</v>
      </c>
      <c r="AJ97" s="200">
        <f>IF($B97*(1-(AJ$2-26+0.5)*$B$6)&gt;=0,$B97*$B$6,0)</f>
        <v>0</v>
      </c>
      <c r="AK97" s="200">
        <f>IF($B97*(1-(AK$2-26+0.5)*$B$6)&gt;=0,$B97*$B$6,0)</f>
        <v>-0.54683684274912181</v>
      </c>
      <c r="AL97" s="200">
        <f>IF($B97*(1-(AL$2-26+0.5)*$B$6)&gt;=0,$B97*$B$6,0)</f>
        <v>-0.54683684274912181</v>
      </c>
      <c r="AM97" s="200">
        <f>IF($B97*(1-(AM$2-26+0.5)*$B$6)&gt;=0,$B97*$B$6,0)</f>
        <v>-0.54683684274912181</v>
      </c>
      <c r="AN97" s="200"/>
      <c r="AO97" s="367"/>
      <c r="AP97" s="367"/>
    </row>
    <row r="98" spans="1:217" ht="15" hidden="1" customHeight="1">
      <c r="A98" s="311" t="str">
        <f>CONCATENATE(LEFT(AJ$6,4),"新增长期待摊费用")</f>
        <v>2049新增长期待摊费用</v>
      </c>
      <c r="B98" s="310">
        <f>AJ$126</f>
        <v>1.0342094332353615</v>
      </c>
      <c r="C98" s="238"/>
      <c r="D98" s="238"/>
      <c r="E98" s="238"/>
      <c r="F98" s="238"/>
      <c r="G98" s="238"/>
      <c r="H98" s="238"/>
      <c r="I98" s="200"/>
      <c r="J98" s="445"/>
      <c r="K98" s="445"/>
      <c r="L98" s="445"/>
      <c r="M98" s="445"/>
      <c r="N98" s="445"/>
      <c r="O98" s="445"/>
      <c r="P98" s="445"/>
      <c r="Q98" s="445"/>
      <c r="R98" s="445"/>
      <c r="S98" s="445"/>
      <c r="T98" s="445"/>
      <c r="U98" s="445"/>
      <c r="V98" s="445"/>
      <c r="W98" s="445"/>
      <c r="X98" s="445"/>
      <c r="Y98" s="445"/>
      <c r="Z98" s="445"/>
      <c r="AA98" s="445"/>
      <c r="AB98" s="445"/>
      <c r="AC98" s="445"/>
      <c r="AD98" s="445"/>
      <c r="AE98" s="445"/>
      <c r="AF98" s="445"/>
      <c r="AG98" s="445"/>
      <c r="AH98" s="445"/>
      <c r="AI98" s="445"/>
      <c r="AJ98" s="200">
        <f>IF($B98*(1-(AJ$2-27+0.5)*$B$6)&gt;=0,$B98*$B$6,0)</f>
        <v>0.54682345618190398</v>
      </c>
      <c r="AK98" s="200">
        <f>IF($B98*(1-(AK$2-27+0.5)*$B$6)&gt;=0,$B98*$B$6,0)</f>
        <v>0.54682345618190398</v>
      </c>
      <c r="AL98" s="200">
        <f>IF($B98*(1-(AL$2-27+0.5)*$B$6)&gt;=0,$B98*$B$6,0)</f>
        <v>0</v>
      </c>
      <c r="AM98" s="200">
        <f>IF($B98*(1-(AM$2-27+0.5)*$B$6)&gt;=0,$B98*$B$6,0)</f>
        <v>0</v>
      </c>
      <c r="AN98" s="200"/>
      <c r="AO98" s="367"/>
      <c r="AP98" s="367"/>
    </row>
    <row r="99" spans="1:217" ht="15" hidden="1" customHeight="1">
      <c r="A99" s="311" t="str">
        <f>CONCATENATE(LEFT(AK$6,4),"新增长期待摊费用")</f>
        <v>2050新增长期待摊费用</v>
      </c>
      <c r="B99" s="310">
        <f>AK$126</f>
        <v>1.0341979068328411</v>
      </c>
      <c r="C99" s="238"/>
      <c r="D99" s="238"/>
      <c r="E99" s="238"/>
      <c r="F99" s="238"/>
      <c r="G99" s="238"/>
      <c r="H99" s="238"/>
      <c r="I99" s="200"/>
      <c r="J99" s="445"/>
      <c r="K99" s="445"/>
      <c r="L99" s="445"/>
      <c r="M99" s="445"/>
      <c r="N99" s="445"/>
      <c r="O99" s="445"/>
      <c r="P99" s="445"/>
      <c r="Q99" s="445"/>
      <c r="R99" s="445"/>
      <c r="S99" s="445"/>
      <c r="T99" s="445"/>
      <c r="U99" s="445"/>
      <c r="V99" s="445"/>
      <c r="W99" s="445"/>
      <c r="X99" s="445"/>
      <c r="Y99" s="445"/>
      <c r="Z99" s="445"/>
      <c r="AA99" s="445"/>
      <c r="AB99" s="445"/>
      <c r="AC99" s="445"/>
      <c r="AD99" s="445"/>
      <c r="AE99" s="445"/>
      <c r="AF99" s="445"/>
      <c r="AG99" s="445"/>
      <c r="AH99" s="445"/>
      <c r="AI99" s="445"/>
      <c r="AJ99" s="445"/>
      <c r="AK99" s="200">
        <f>IF($B99*(1-(AK$2-28+0.5)*$B$6)&gt;=0,$B99*$B$6,0)</f>
        <v>0.54681736176131468</v>
      </c>
      <c r="AL99" s="200">
        <f>IF($B99*(1-(AL$2-28+0.5)*$B$6)&gt;=0,$B99*$B$6,0)</f>
        <v>0.54681736176131468</v>
      </c>
      <c r="AM99" s="200">
        <f>IF($B99*(1-(AM$2-28+0.5)*$B$6)&gt;=0,$B99*$B$6,0)</f>
        <v>0</v>
      </c>
      <c r="AN99" s="200"/>
      <c r="AO99" s="367"/>
      <c r="AP99" s="367"/>
    </row>
    <row r="100" spans="1:217" ht="15" hidden="1" customHeight="1">
      <c r="A100" s="311" t="str">
        <f>CONCATENATE(LEFT(AL$6,4),"新增长期待摊费用")</f>
        <v>2051新增长期待摊费用</v>
      </c>
      <c r="B100" s="310">
        <f>AL$126</f>
        <v>-1.0342037829353141</v>
      </c>
      <c r="C100" s="238"/>
      <c r="D100" s="238"/>
      <c r="E100" s="238"/>
      <c r="F100" s="238"/>
      <c r="G100" s="238"/>
      <c r="H100" s="238"/>
      <c r="I100" s="200"/>
      <c r="J100" s="445"/>
      <c r="K100" s="445"/>
      <c r="L100" s="445"/>
      <c r="M100" s="445"/>
      <c r="N100" s="445"/>
      <c r="O100" s="445"/>
      <c r="P100" s="445"/>
      <c r="Q100" s="445"/>
      <c r="R100" s="445"/>
      <c r="S100" s="445"/>
      <c r="T100" s="445"/>
      <c r="U100" s="445"/>
      <c r="V100" s="445"/>
      <c r="W100" s="445"/>
      <c r="X100" s="445"/>
      <c r="Y100" s="445"/>
      <c r="Z100" s="445"/>
      <c r="AA100" s="445"/>
      <c r="AB100" s="445"/>
      <c r="AC100" s="445"/>
      <c r="AD100" s="445"/>
      <c r="AE100" s="445"/>
      <c r="AF100" s="445"/>
      <c r="AG100" s="445"/>
      <c r="AH100" s="445"/>
      <c r="AI100" s="445"/>
      <c r="AJ100" s="445"/>
      <c r="AK100" s="445"/>
      <c r="AL100" s="200">
        <f>IF($B100*(1-(AL$2-29+0.5)*$B$6)&gt;=0,$B100*$B$6,0)</f>
        <v>0</v>
      </c>
      <c r="AM100" s="200">
        <f>IF($B100*(1-(AM$2-29+0.5)*$B$6)&gt;=0,$B100*$B$6,0)</f>
        <v>0</v>
      </c>
      <c r="AN100" s="200"/>
      <c r="AO100" s="367"/>
      <c r="AP100" s="367"/>
    </row>
    <row r="101" spans="1:217" ht="15" hidden="1" customHeight="1">
      <c r="A101" s="311" t="str">
        <f>CONCATENATE(LEFT(AM$6,4),"新增长期待摊费用")</f>
        <v>2052新增长期待摊费用</v>
      </c>
      <c r="B101" s="310">
        <f>AM$126</f>
        <v>1.0342119749919323</v>
      </c>
      <c r="C101" s="238"/>
      <c r="D101" s="238"/>
      <c r="E101" s="238"/>
      <c r="F101" s="238"/>
      <c r="G101" s="238"/>
      <c r="H101" s="238"/>
      <c r="I101" s="200"/>
      <c r="J101" s="445"/>
      <c r="K101" s="445"/>
      <c r="L101" s="445"/>
      <c r="M101" s="445"/>
      <c r="N101" s="445"/>
      <c r="O101" s="445"/>
      <c r="P101" s="445"/>
      <c r="Q101" s="445"/>
      <c r="R101" s="445"/>
      <c r="S101" s="445"/>
      <c r="T101" s="445"/>
      <c r="U101" s="445"/>
      <c r="V101" s="445"/>
      <c r="W101" s="445"/>
      <c r="X101" s="445"/>
      <c r="Y101" s="445"/>
      <c r="Z101" s="445"/>
      <c r="AA101" s="445"/>
      <c r="AB101" s="445"/>
      <c r="AC101" s="445"/>
      <c r="AD101" s="445"/>
      <c r="AE101" s="445"/>
      <c r="AF101" s="445"/>
      <c r="AG101" s="445"/>
      <c r="AH101" s="445"/>
      <c r="AI101" s="445"/>
      <c r="AJ101" s="445"/>
      <c r="AK101" s="445"/>
      <c r="AL101" s="445"/>
      <c r="AM101" s="200">
        <f>IF($B101*(1-(AM$2-30+0.5)*$B$6)&gt;=0,$B101*$B$6,0)</f>
        <v>0.54682480009936218</v>
      </c>
      <c r="AN101" s="200"/>
      <c r="AO101" s="367"/>
      <c r="AP101" s="367"/>
    </row>
    <row r="102" spans="1:217" s="297" customFormat="1" ht="17.25" customHeight="1">
      <c r="A102" s="158"/>
      <c r="B102" s="158"/>
      <c r="C102" s="220"/>
      <c r="D102" s="220"/>
      <c r="E102" s="220"/>
      <c r="F102" s="220"/>
      <c r="G102" s="220"/>
      <c r="H102" s="220"/>
      <c r="I102" s="200"/>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200"/>
      <c r="AO102" s="367"/>
      <c r="AP102" s="367"/>
      <c r="AQ102" s="123"/>
      <c r="AR102" s="123"/>
      <c r="AS102" s="123"/>
      <c r="AT102" s="123"/>
      <c r="AU102" s="123"/>
      <c r="AV102" s="123"/>
      <c r="AW102" s="123"/>
      <c r="AX102" s="123"/>
      <c r="AY102" s="123"/>
      <c r="AZ102" s="123"/>
      <c r="BA102" s="123"/>
      <c r="BB102" s="123"/>
      <c r="BC102" s="123"/>
      <c r="BD102" s="123"/>
      <c r="BE102" s="123"/>
      <c r="BF102" s="123"/>
      <c r="BG102" s="123"/>
      <c r="BH102" s="123"/>
      <c r="BI102" s="123"/>
      <c r="BJ102" s="123"/>
      <c r="BK102" s="123"/>
      <c r="BL102" s="123"/>
      <c r="BM102" s="123"/>
      <c r="BN102" s="123"/>
      <c r="BO102" s="123"/>
      <c r="BP102" s="123"/>
      <c r="BQ102" s="123"/>
      <c r="BR102" s="123"/>
      <c r="BS102" s="123"/>
      <c r="BT102" s="123"/>
      <c r="BU102" s="123"/>
      <c r="BV102" s="123"/>
      <c r="BW102" s="123"/>
      <c r="BX102" s="123"/>
      <c r="BY102" s="123"/>
      <c r="BZ102" s="123"/>
      <c r="CA102" s="123"/>
      <c r="CB102" s="123"/>
      <c r="CC102" s="123"/>
      <c r="CD102" s="123"/>
      <c r="CE102" s="123"/>
      <c r="CF102" s="123"/>
      <c r="CG102" s="123"/>
      <c r="CH102" s="123"/>
      <c r="CI102" s="123"/>
      <c r="CJ102" s="123"/>
      <c r="CK102" s="123"/>
      <c r="CL102" s="123"/>
      <c r="CM102" s="123"/>
      <c r="CN102" s="123"/>
      <c r="CO102" s="123"/>
      <c r="CP102" s="123"/>
      <c r="CQ102" s="123"/>
      <c r="CR102" s="123"/>
      <c r="CS102" s="123"/>
      <c r="CT102" s="123"/>
      <c r="CU102" s="123"/>
      <c r="CV102" s="123"/>
      <c r="CW102" s="123"/>
      <c r="CX102" s="123"/>
      <c r="CY102" s="123"/>
      <c r="CZ102" s="123"/>
      <c r="DA102" s="123"/>
      <c r="DB102" s="123"/>
      <c r="DC102" s="123"/>
      <c r="DD102" s="123"/>
      <c r="DE102" s="123"/>
      <c r="DF102" s="123"/>
      <c r="DG102" s="123"/>
      <c r="DH102" s="123"/>
      <c r="DI102" s="123"/>
      <c r="DJ102" s="123"/>
      <c r="DK102" s="123"/>
      <c r="DL102" s="123"/>
      <c r="DM102" s="123"/>
      <c r="DN102" s="123"/>
      <c r="DO102" s="123"/>
      <c r="DP102" s="123"/>
      <c r="DQ102" s="123"/>
      <c r="DR102" s="123"/>
      <c r="DS102" s="123"/>
      <c r="DT102" s="123"/>
      <c r="DU102" s="123"/>
      <c r="DV102" s="123"/>
      <c r="DW102" s="123"/>
      <c r="DX102" s="123"/>
      <c r="DY102" s="123"/>
      <c r="DZ102" s="123"/>
      <c r="EA102" s="123"/>
      <c r="EB102" s="123"/>
      <c r="EC102" s="123"/>
      <c r="ED102" s="123"/>
      <c r="EE102" s="123"/>
      <c r="EF102" s="123"/>
      <c r="EG102" s="123"/>
      <c r="EH102" s="123"/>
      <c r="EI102" s="123"/>
      <c r="EJ102" s="123"/>
      <c r="EK102" s="123"/>
      <c r="EL102" s="123"/>
      <c r="EM102" s="123"/>
      <c r="EN102" s="123"/>
      <c r="EO102" s="123"/>
      <c r="EP102" s="123"/>
      <c r="EQ102" s="123"/>
      <c r="ER102" s="123"/>
      <c r="ES102" s="123"/>
      <c r="ET102" s="123"/>
      <c r="EU102" s="123"/>
      <c r="EV102" s="123"/>
      <c r="EW102" s="123"/>
      <c r="EX102" s="123"/>
      <c r="EY102" s="123"/>
      <c r="EZ102" s="123"/>
      <c r="FA102" s="123"/>
      <c r="FB102" s="123"/>
      <c r="FC102" s="123"/>
      <c r="FD102" s="123"/>
      <c r="FE102" s="123"/>
      <c r="FF102" s="123"/>
      <c r="FG102" s="123"/>
      <c r="FH102" s="123"/>
      <c r="FI102" s="123"/>
      <c r="FJ102" s="123"/>
      <c r="FK102" s="123"/>
      <c r="FL102" s="123"/>
      <c r="FM102" s="123"/>
      <c r="FN102" s="123"/>
      <c r="FO102" s="123"/>
      <c r="FP102" s="123"/>
      <c r="FQ102" s="123"/>
      <c r="FR102" s="123"/>
      <c r="FS102" s="123"/>
      <c r="FT102" s="123"/>
      <c r="FU102" s="123"/>
      <c r="FV102" s="123"/>
      <c r="FW102" s="123"/>
      <c r="FX102" s="123"/>
      <c r="FY102" s="123"/>
      <c r="FZ102" s="123"/>
      <c r="GA102" s="123"/>
      <c r="GB102" s="123"/>
      <c r="GC102" s="123"/>
      <c r="GD102" s="123"/>
      <c r="GE102" s="123"/>
      <c r="GF102" s="123"/>
      <c r="GG102" s="123"/>
      <c r="GH102" s="123"/>
      <c r="GI102" s="123"/>
      <c r="GJ102" s="123"/>
      <c r="GK102" s="123"/>
      <c r="GL102" s="123"/>
      <c r="GM102" s="123"/>
      <c r="GN102" s="123"/>
      <c r="GO102" s="123"/>
      <c r="GP102" s="123"/>
      <c r="GQ102" s="123"/>
      <c r="GR102" s="123"/>
      <c r="GS102" s="123"/>
      <c r="GT102" s="123"/>
      <c r="GU102" s="123"/>
      <c r="GV102" s="123"/>
      <c r="GW102" s="123"/>
      <c r="GX102" s="123"/>
      <c r="GY102" s="123"/>
      <c r="GZ102" s="123"/>
      <c r="HA102" s="123"/>
      <c r="HB102" s="123"/>
      <c r="HC102" s="123"/>
      <c r="HD102" s="123"/>
      <c r="HE102" s="123"/>
      <c r="HF102" s="123"/>
      <c r="HG102" s="123"/>
      <c r="HH102" s="123"/>
      <c r="HI102" s="123"/>
    </row>
    <row r="103" spans="1:217" ht="17.25" customHeight="1">
      <c r="A103" s="313" t="s">
        <v>1078</v>
      </c>
      <c r="B103" s="293"/>
      <c r="I103" s="200"/>
      <c r="J103" s="200"/>
      <c r="K103" s="200"/>
      <c r="L103" s="200"/>
      <c r="M103" s="200"/>
      <c r="N103" s="200"/>
      <c r="O103" s="200"/>
      <c r="P103" s="200"/>
      <c r="Q103" s="200"/>
      <c r="R103" s="200"/>
      <c r="S103" s="200"/>
      <c r="T103" s="200"/>
      <c r="U103" s="200"/>
      <c r="V103" s="200"/>
      <c r="W103" s="200"/>
      <c r="X103" s="200"/>
      <c r="Y103" s="200"/>
      <c r="Z103" s="200"/>
      <c r="AA103" s="200"/>
      <c r="AB103" s="200"/>
      <c r="AC103" s="200"/>
      <c r="AD103" s="200"/>
      <c r="AE103" s="200"/>
      <c r="AF103" s="200"/>
      <c r="AG103" s="200"/>
      <c r="AH103" s="200"/>
      <c r="AI103" s="200"/>
      <c r="AJ103" s="200"/>
      <c r="AK103" s="200"/>
      <c r="AL103" s="200"/>
      <c r="AM103" s="200"/>
      <c r="AN103" s="200"/>
      <c r="AO103" s="367"/>
      <c r="AP103" s="367"/>
    </row>
    <row r="104" spans="1:217" s="298" customFormat="1" ht="17.25" customHeight="1">
      <c r="A104" s="295" t="s">
        <v>202</v>
      </c>
      <c r="B104" s="293" t="s">
        <v>1037</v>
      </c>
      <c r="C104" s="127"/>
      <c r="D104" s="127"/>
      <c r="E104" s="127"/>
      <c r="F104" s="127"/>
      <c r="G104" s="127"/>
      <c r="H104" s="127"/>
      <c r="I104" s="200"/>
      <c r="J104" s="200">
        <f>资产负债!H30</f>
        <v>1953.4169309599999</v>
      </c>
      <c r="K104" s="200">
        <f ca="1">资产负债!I30</f>
        <v>1992.008259895239</v>
      </c>
      <c r="L104" s="200">
        <f ca="1">资产负债!J30</f>
        <v>2153.6156584227188</v>
      </c>
      <c r="M104" s="200">
        <f ca="1">资产负债!K30</f>
        <v>2368.6515654977848</v>
      </c>
      <c r="N104" s="200">
        <f ca="1">资产负债!L30</f>
        <v>2530.4798069765179</v>
      </c>
      <c r="O104" s="200">
        <f ca="1">资产负债!M30</f>
        <v>2643.2483736572426</v>
      </c>
      <c r="P104" s="200">
        <f ca="1">资产负债!N30</f>
        <v>2826.2492441264762</v>
      </c>
      <c r="Q104" s="200">
        <f ca="1">资产负债!O30</f>
        <v>3062.1838917201239</v>
      </c>
      <c r="R104" s="200">
        <f ca="1">资产负债!P30</f>
        <v>3316.8445005842409</v>
      </c>
      <c r="S104" s="200">
        <f ca="1">资产负债!Q30</f>
        <v>3575.6957007498686</v>
      </c>
      <c r="T104" s="200">
        <f ca="1">资产负债!R30</f>
        <v>3862.6757838503913</v>
      </c>
      <c r="U104" s="200">
        <f ca="1">资产负债!S30</f>
        <v>4206.8666793528446</v>
      </c>
      <c r="V104" s="200">
        <f ca="1">资产负债!T30</f>
        <v>4599.6053374132061</v>
      </c>
      <c r="W104" s="200">
        <f ca="1">资产负债!U30</f>
        <v>5035.4972709219046</v>
      </c>
      <c r="X104" s="200">
        <f ca="1">资产负债!V30</f>
        <v>5677.6374455026835</v>
      </c>
      <c r="Y104" s="200">
        <f ca="1">资产负债!W30</f>
        <v>6410.2950987485665</v>
      </c>
      <c r="Z104" s="200">
        <f ca="1">资产负债!X30</f>
        <v>7251.0404372091925</v>
      </c>
      <c r="AA104" s="200">
        <f ca="1">资产负债!Y30</f>
        <v>8201.8427841907196</v>
      </c>
      <c r="AB104" s="200">
        <f ca="1">资产负债!Z30</f>
        <v>9269.7365444943789</v>
      </c>
      <c r="AC104" s="200">
        <f ca="1">资产负债!AA30</f>
        <v>10475.965853134256</v>
      </c>
      <c r="AD104" s="200">
        <f ca="1">资产负债!AB30</f>
        <v>11843.011672818524</v>
      </c>
      <c r="AE104" s="200">
        <f ca="1">资产负债!AC30</f>
        <v>13390.40770153686</v>
      </c>
      <c r="AF104" s="200">
        <f ca="1">资产负债!AD30</f>
        <v>15137.498734909044</v>
      </c>
      <c r="AG104" s="200">
        <f ca="1">资产负债!AE30</f>
        <v>17109.773820742139</v>
      </c>
      <c r="AH104" s="200">
        <f ca="1">资产负债!AF30</f>
        <v>19338.790224271113</v>
      </c>
      <c r="AI104" s="200">
        <f ca="1">资产负债!AG30</f>
        <v>21858.516950467489</v>
      </c>
      <c r="AJ104" s="200">
        <f ca="1">资产负债!AH30</f>
        <v>24705.611757723098</v>
      </c>
      <c r="AK104" s="200">
        <f ca="1">资产负债!AI30</f>
        <v>27921.640963482576</v>
      </c>
      <c r="AL104" s="200">
        <f ca="1">资产负债!AJ30</f>
        <v>31554.903544920373</v>
      </c>
      <c r="AM104" s="200">
        <f ca="1">资产负债!AK30</f>
        <v>35660.262000719864</v>
      </c>
      <c r="AN104" s="200"/>
      <c r="AO104" s="367"/>
      <c r="AP104" s="367"/>
      <c r="AQ104" s="123"/>
      <c r="AR104" s="123"/>
      <c r="AS104" s="123"/>
      <c r="AT104" s="123"/>
      <c r="AU104" s="123"/>
      <c r="AV104" s="123"/>
      <c r="AW104" s="123"/>
      <c r="AX104" s="123"/>
      <c r="AY104" s="123"/>
      <c r="AZ104" s="123"/>
      <c r="BA104" s="123"/>
      <c r="BB104" s="123"/>
      <c r="BC104" s="123"/>
      <c r="BD104" s="123"/>
      <c r="BE104" s="123"/>
      <c r="BF104" s="123"/>
      <c r="BG104" s="123"/>
      <c r="BH104" s="123"/>
      <c r="BI104" s="123"/>
      <c r="BJ104" s="123"/>
      <c r="BK104" s="123"/>
      <c r="BL104" s="123"/>
      <c r="BM104" s="123"/>
      <c r="BN104" s="123"/>
      <c r="BO104" s="123"/>
      <c r="BP104" s="123"/>
      <c r="BQ104" s="123"/>
      <c r="BR104" s="123"/>
      <c r="BS104" s="123"/>
      <c r="BT104" s="123"/>
      <c r="BU104" s="123"/>
      <c r="BV104" s="123"/>
      <c r="BW104" s="123"/>
      <c r="BX104" s="123"/>
      <c r="BY104" s="123"/>
      <c r="BZ104" s="123"/>
      <c r="CA104" s="123"/>
      <c r="CB104" s="123"/>
      <c r="CC104" s="123"/>
      <c r="CD104" s="123"/>
      <c r="CE104" s="123"/>
      <c r="CF104" s="123"/>
      <c r="CG104" s="123"/>
      <c r="CH104" s="123"/>
      <c r="CI104" s="123"/>
      <c r="CJ104" s="123"/>
      <c r="CK104" s="123"/>
      <c r="CL104" s="123"/>
      <c r="CM104" s="123"/>
      <c r="CN104" s="123"/>
      <c r="CO104" s="123"/>
      <c r="CP104" s="123"/>
      <c r="CQ104" s="123"/>
      <c r="CR104" s="123"/>
      <c r="CS104" s="123"/>
      <c r="CT104" s="123"/>
      <c r="CU104" s="123"/>
      <c r="CV104" s="123"/>
      <c r="CW104" s="123"/>
      <c r="CX104" s="123"/>
      <c r="CY104" s="123"/>
      <c r="CZ104" s="123"/>
      <c r="DA104" s="123"/>
      <c r="DB104" s="123"/>
      <c r="DC104" s="123"/>
      <c r="DD104" s="123"/>
      <c r="DE104" s="123"/>
      <c r="DF104" s="123"/>
      <c r="DG104" s="123"/>
      <c r="DH104" s="123"/>
      <c r="DI104" s="123"/>
      <c r="DJ104" s="123"/>
      <c r="DK104" s="123"/>
      <c r="DL104" s="123"/>
      <c r="DM104" s="123"/>
      <c r="DN104" s="123"/>
      <c r="DO104" s="123"/>
      <c r="DP104" s="123"/>
      <c r="DQ104" s="123"/>
      <c r="DR104" s="123"/>
      <c r="DS104" s="123"/>
      <c r="DT104" s="123"/>
      <c r="DU104" s="123"/>
      <c r="DV104" s="123"/>
      <c r="DW104" s="123"/>
      <c r="DX104" s="123"/>
      <c r="DY104" s="123"/>
      <c r="DZ104" s="123"/>
      <c r="EA104" s="123"/>
      <c r="EB104" s="123"/>
      <c r="EC104" s="123"/>
      <c r="ED104" s="123"/>
      <c r="EE104" s="123"/>
      <c r="EF104" s="123"/>
      <c r="EG104" s="123"/>
      <c r="EH104" s="123"/>
      <c r="EI104" s="123"/>
      <c r="EJ104" s="123"/>
      <c r="EK104" s="123"/>
      <c r="EL104" s="123"/>
      <c r="EM104" s="123"/>
      <c r="EN104" s="123"/>
      <c r="EO104" s="123"/>
      <c r="EP104" s="123"/>
      <c r="EQ104" s="123"/>
      <c r="ER104" s="123"/>
      <c r="ES104" s="123"/>
      <c r="ET104" s="123"/>
      <c r="EU104" s="123"/>
      <c r="EV104" s="123"/>
      <c r="EW104" s="123"/>
      <c r="EX104" s="123"/>
      <c r="EY104" s="123"/>
      <c r="EZ104" s="123"/>
      <c r="FA104" s="123"/>
      <c r="FB104" s="123"/>
      <c r="FC104" s="123"/>
      <c r="FD104" s="123"/>
      <c r="FE104" s="123"/>
      <c r="FF104" s="123"/>
      <c r="FG104" s="123"/>
      <c r="FH104" s="123"/>
      <c r="FI104" s="123"/>
      <c r="FJ104" s="123"/>
      <c r="FK104" s="123"/>
      <c r="FL104" s="123"/>
      <c r="FM104" s="123"/>
      <c r="FN104" s="123"/>
      <c r="FO104" s="123"/>
      <c r="FP104" s="123"/>
      <c r="FQ104" s="123"/>
      <c r="FR104" s="123"/>
      <c r="FS104" s="123"/>
      <c r="FT104" s="123"/>
      <c r="FU104" s="123"/>
      <c r="FV104" s="123"/>
      <c r="FW104" s="123"/>
      <c r="FX104" s="123"/>
      <c r="FY104" s="123"/>
      <c r="FZ104" s="123"/>
      <c r="GA104" s="123"/>
      <c r="GB104" s="123"/>
      <c r="GC104" s="123"/>
      <c r="GD104" s="123"/>
      <c r="GE104" s="123"/>
      <c r="GF104" s="123"/>
      <c r="GG104" s="123"/>
      <c r="GH104" s="123"/>
      <c r="GI104" s="123"/>
      <c r="GJ104" s="123"/>
      <c r="GK104" s="123"/>
      <c r="GL104" s="123"/>
      <c r="GM104" s="123"/>
      <c r="GN104" s="123"/>
      <c r="GO104" s="123"/>
      <c r="GP104" s="123"/>
      <c r="GQ104" s="123"/>
      <c r="GR104" s="123"/>
      <c r="GS104" s="123"/>
      <c r="GT104" s="123"/>
      <c r="GU104" s="123"/>
      <c r="GV104" s="123"/>
      <c r="GW104" s="123"/>
      <c r="GX104" s="123"/>
      <c r="GY104" s="123"/>
      <c r="GZ104" s="123"/>
      <c r="HA104" s="123"/>
      <c r="HB104" s="123"/>
      <c r="HC104" s="123"/>
      <c r="HD104" s="123"/>
      <c r="HE104" s="123"/>
      <c r="HF104" s="123"/>
      <c r="HG104" s="123"/>
      <c r="HH104" s="123"/>
      <c r="HI104" s="123"/>
    </row>
    <row r="105" spans="1:217" ht="17.25" customHeight="1">
      <c r="A105" s="169" t="s">
        <v>1075</v>
      </c>
      <c r="B105" s="170" t="s">
        <v>216</v>
      </c>
      <c r="C105" s="299"/>
      <c r="D105" s="299"/>
      <c r="E105" s="299"/>
      <c r="F105" s="299"/>
      <c r="G105" s="299"/>
      <c r="H105" s="299"/>
      <c r="I105" s="200"/>
      <c r="J105" s="200">
        <f>假设!I91*(利润表!I2-利润表!H2)</f>
        <v>142.27814796688898</v>
      </c>
      <c r="K105" s="200">
        <f>假设!J91*(利润表!J2-利润表!I2)</f>
        <v>274.42559397008824</v>
      </c>
      <c r="L105" s="200">
        <f>假设!K91*(利润表!K2-利润表!J2)</f>
        <v>347.64920312470099</v>
      </c>
      <c r="M105" s="200">
        <f>假设!L91*(利润表!L2-利润表!K2)</f>
        <v>320.36040099789636</v>
      </c>
      <c r="N105" s="200">
        <f>假设!M91*(利润表!M2-利润表!L2)</f>
        <v>297.43220695006005</v>
      </c>
      <c r="O105" s="200">
        <f>假设!N91*(利润表!N2-利润表!M2)</f>
        <v>390.88055436670879</v>
      </c>
      <c r="P105" s="200">
        <f>假设!O91*(利润表!O2-利润表!N2)</f>
        <v>472.59171438439211</v>
      </c>
      <c r="Q105" s="200">
        <f>假设!P91*(利润表!P2-利润表!O2)</f>
        <v>525.57000244010533</v>
      </c>
      <c r="R105" s="200">
        <f>假设!Q91*(利润表!Q2-利润表!P2)</f>
        <v>567.61569941081405</v>
      </c>
      <c r="S105" s="200">
        <f>假设!R91*(利润表!R2-利润表!Q2)</f>
        <v>636.41371390702216</v>
      </c>
      <c r="T105" s="200">
        <f>假设!S91*(利润表!S2-利润表!R2)</f>
        <v>738.34983088117485</v>
      </c>
      <c r="U105" s="200">
        <f>假设!T91*(利润表!T2-利润表!S2)</f>
        <v>838.48792798086151</v>
      </c>
      <c r="V105" s="200">
        <f>假设!U91*(利润表!U2-利润表!T2)</f>
        <v>940.11848820927389</v>
      </c>
      <c r="W105" s="200">
        <f>假设!V91*(利润表!V2-利润表!U2)</f>
        <v>1055.9815687728969</v>
      </c>
      <c r="X105" s="200">
        <f>假设!W91*(利润表!W2-利润表!V2)</f>
        <v>1195.5404584920154</v>
      </c>
      <c r="Y105" s="200">
        <f>假设!X91*(利润表!X2-利润表!W2)</f>
        <v>1356.1405207351795</v>
      </c>
      <c r="Z105" s="200">
        <f>假设!Y91*(利润表!Y2-利润表!X2)</f>
        <v>1531.4791999433132</v>
      </c>
      <c r="AA105" s="200">
        <f>假设!Z91*(利润表!Z2-利润表!Y2)</f>
        <v>1727.5471585215012</v>
      </c>
      <c r="AB105" s="200">
        <f>假设!AA91*(利润表!AA2-利润表!Z2)</f>
        <v>1951.0990747917501</v>
      </c>
      <c r="AC105" s="200">
        <f>假设!AB91*(利润表!AB2-利润表!AA2)</f>
        <v>2205.9872389336952</v>
      </c>
      <c r="AD105" s="200">
        <f>假设!AC91*(利润表!AC2-利润表!AB2)</f>
        <v>2493.5067011239062</v>
      </c>
      <c r="AE105" s="200">
        <f>假设!AD91*(利润表!AD2-利润表!AC2)</f>
        <v>2816.5113710658784</v>
      </c>
      <c r="AF105" s="200">
        <f>假设!AE91*(利润表!AE2-利润表!AD2)</f>
        <v>3181.4970533256455</v>
      </c>
      <c r="AG105" s="200">
        <f>假设!AF91*(利润表!AF2-利润表!AE2)</f>
        <v>3594.7760382713009</v>
      </c>
      <c r="AH105" s="200">
        <f>假设!AG91*(利润表!AG2-利润表!AF2)</f>
        <v>4062.0972357373653</v>
      </c>
      <c r="AI105" s="200">
        <f>假设!AH91*(利润表!AH2-利润表!AG2)</f>
        <v>4589.6522272361708</v>
      </c>
      <c r="AJ105" s="200">
        <f>假设!AI91*(利润表!AI2-利润表!AH2)</f>
        <v>5185.2967900523181</v>
      </c>
      <c r="AK105" s="200">
        <f>假设!AJ91*(利润表!AJ2-利润表!AI2)</f>
        <v>5858.4946929808293</v>
      </c>
      <c r="AL105" s="200">
        <f>假设!AK91*(利润表!AK2-利润表!AJ2)</f>
        <v>6619.3743529465282</v>
      </c>
      <c r="AM105" s="200">
        <f>假设!AL91*(利润表!AL2-利润表!AK2)</f>
        <v>7479.0418527223637</v>
      </c>
      <c r="AN105" s="200"/>
      <c r="AO105" s="367"/>
      <c r="AP105" s="367"/>
    </row>
    <row r="106" spans="1:217" ht="17.25" customHeight="1">
      <c r="A106" s="169" t="s">
        <v>220</v>
      </c>
      <c r="B106" s="227" t="s">
        <v>1357</v>
      </c>
      <c r="C106" s="300"/>
      <c r="D106" s="300"/>
      <c r="E106" s="300"/>
      <c r="F106" s="300"/>
      <c r="G106" s="300"/>
      <c r="H106" s="300"/>
      <c r="I106" s="200"/>
      <c r="J106" s="200">
        <f ca="1">J115</f>
        <v>45.205327609501119</v>
      </c>
      <c r="K106" s="200">
        <f t="shared" ref="K106:AM106" ca="1" si="77">K115</f>
        <v>54.866795407432271</v>
      </c>
      <c r="L106" s="200">
        <f t="shared" ca="1" si="77"/>
        <v>61.941596434640111</v>
      </c>
      <c r="M106" s="200">
        <f t="shared" ca="1" si="77"/>
        <v>64.928997237376095</v>
      </c>
      <c r="N106" s="200">
        <f t="shared" ca="1" si="77"/>
        <v>66.026148553897428</v>
      </c>
      <c r="O106" s="200">
        <f t="shared" ca="1" si="77"/>
        <v>72.892851971885122</v>
      </c>
      <c r="P106" s="200">
        <f t="shared" ca="1" si="77"/>
        <v>81.116768734205039</v>
      </c>
      <c r="Q106" s="200">
        <f t="shared" ca="1" si="77"/>
        <v>89.362735489034492</v>
      </c>
      <c r="R106" s="200">
        <f t="shared" ca="1" si="77"/>
        <v>98.078340966720347</v>
      </c>
      <c r="S106" s="200">
        <f t="shared" ca="1" si="77"/>
        <v>108.71455403291012</v>
      </c>
      <c r="T106" s="200">
        <f t="shared" ca="1" si="77"/>
        <v>122.38745097184676</v>
      </c>
      <c r="U106" s="200">
        <f t="shared" ca="1" si="77"/>
        <v>137.59408025821281</v>
      </c>
      <c r="V106" s="200">
        <f t="shared" ca="1" si="77"/>
        <v>154.41592306360752</v>
      </c>
      <c r="W106" s="200">
        <f t="shared" ca="1" si="77"/>
        <v>173.60910768286976</v>
      </c>
      <c r="X106" s="200">
        <f t="shared" ca="1" si="77"/>
        <v>195.93441054361563</v>
      </c>
      <c r="Y106" s="200">
        <f t="shared" ca="1" si="77"/>
        <v>221.6095662318836</v>
      </c>
      <c r="Z106" s="200">
        <f t="shared" ca="1" si="77"/>
        <v>250.48319433818415</v>
      </c>
      <c r="AA106" s="200">
        <f t="shared" ca="1" si="77"/>
        <v>282.98822414980572</v>
      </c>
      <c r="AB106" s="200">
        <f t="shared" ca="1" si="77"/>
        <v>319.73551677688903</v>
      </c>
      <c r="AC106" s="200">
        <f t="shared" ca="1" si="77"/>
        <v>361.33428558134148</v>
      </c>
      <c r="AD106" s="200">
        <f t="shared" ca="1" si="77"/>
        <v>408.32926450994773</v>
      </c>
      <c r="AE106" s="200">
        <f t="shared" ca="1" si="77"/>
        <v>461.33037110519984</v>
      </c>
      <c r="AF106" s="200">
        <f t="shared" ca="1" si="77"/>
        <v>521.18540462277542</v>
      </c>
      <c r="AG106" s="200">
        <f t="shared" ca="1" si="77"/>
        <v>588.83482975127265</v>
      </c>
      <c r="AH106" s="200">
        <f t="shared" ca="1" si="77"/>
        <v>665.28570378518191</v>
      </c>
      <c r="AI106" s="200">
        <f t="shared" ca="1" si="77"/>
        <v>751.64529042216475</v>
      </c>
      <c r="AJ106" s="200">
        <f t="shared" ca="1" si="77"/>
        <v>849.19248458668505</v>
      </c>
      <c r="AK106" s="200">
        <f t="shared" ca="1" si="77"/>
        <v>959.40890527991985</v>
      </c>
      <c r="AL106" s="200">
        <f t="shared" ca="1" si="77"/>
        <v>1083.9460418379192</v>
      </c>
      <c r="AM106" s="200">
        <f t="shared" ca="1" si="77"/>
        <v>1224.6559936085084</v>
      </c>
      <c r="AN106" s="200"/>
      <c r="AO106" s="367"/>
      <c r="AP106" s="367"/>
    </row>
    <row r="107" spans="1:217" ht="17.25" customHeight="1">
      <c r="A107" s="169" t="s">
        <v>221</v>
      </c>
      <c r="B107" s="170" t="s">
        <v>1358</v>
      </c>
      <c r="C107" s="299"/>
      <c r="D107" s="299"/>
      <c r="E107" s="299"/>
      <c r="F107" s="299"/>
      <c r="G107" s="299"/>
      <c r="H107" s="299"/>
      <c r="I107" s="200"/>
      <c r="J107" s="200">
        <f ca="1">SUM(J7:J37)</f>
        <v>148.89214664115124</v>
      </c>
      <c r="K107" s="200">
        <f t="shared" ref="K107:AM107" ca="1" si="78">SUM(K7:K37)</f>
        <v>167.68499085004089</v>
      </c>
      <c r="L107" s="200">
        <f t="shared" ca="1" si="78"/>
        <v>194.55489248427534</v>
      </c>
      <c r="M107" s="200">
        <f t="shared" ca="1" si="78"/>
        <v>223.46115675653934</v>
      </c>
      <c r="N107" s="200">
        <f t="shared" ca="1" si="78"/>
        <v>250.68978882323302</v>
      </c>
      <c r="O107" s="200">
        <f t="shared" ca="1" si="78"/>
        <v>280.77253586936075</v>
      </c>
      <c r="P107" s="200">
        <f t="shared" ca="1" si="78"/>
        <v>317.77383552494939</v>
      </c>
      <c r="Q107" s="200">
        <f t="shared" ca="1" si="78"/>
        <v>360.27212906502291</v>
      </c>
      <c r="R107" s="200">
        <f t="shared" ca="1" si="78"/>
        <v>406.8428402119066</v>
      </c>
      <c r="S107" s="200">
        <f t="shared" ca="1" si="78"/>
        <v>458.14818483940934</v>
      </c>
      <c r="T107" s="200">
        <f t="shared" ca="1" si="78"/>
        <v>516.54638635056824</v>
      </c>
      <c r="U107" s="200">
        <f t="shared" ca="1" si="78"/>
        <v>583.34335017871183</v>
      </c>
      <c r="V107" s="200">
        <f t="shared" ca="1" si="78"/>
        <v>658.64247776418347</v>
      </c>
      <c r="W107" s="200">
        <f t="shared" ca="1" si="78"/>
        <v>587.45050187498748</v>
      </c>
      <c r="X107" s="200">
        <f t="shared" ca="1" si="78"/>
        <v>658.81721578974793</v>
      </c>
      <c r="Y107" s="200">
        <f t="shared" ca="1" si="78"/>
        <v>737.00474850643729</v>
      </c>
      <c r="Z107" s="200">
        <f t="shared" ca="1" si="78"/>
        <v>831.16004729996951</v>
      </c>
      <c r="AA107" s="200">
        <f t="shared" ca="1" si="78"/>
        <v>942.64162236764844</v>
      </c>
      <c r="AB107" s="200">
        <f t="shared" ca="1" si="78"/>
        <v>1064.6052829287621</v>
      </c>
      <c r="AC107" s="200">
        <f t="shared" ca="1" si="78"/>
        <v>1200.2757048307665</v>
      </c>
      <c r="AD107" s="200">
        <f t="shared" ca="1" si="78"/>
        <v>1354.439936915519</v>
      </c>
      <c r="AE107" s="200">
        <f t="shared" ca="1" si="78"/>
        <v>1530.7507087988956</v>
      </c>
      <c r="AF107" s="200">
        <f t="shared" ca="1" si="78"/>
        <v>1730.4073721153254</v>
      </c>
      <c r="AG107" s="200">
        <f t="shared" ca="1" si="78"/>
        <v>1954.5944644936001</v>
      </c>
      <c r="AH107" s="200">
        <f t="shared" ca="1" si="78"/>
        <v>2207.6562133261718</v>
      </c>
      <c r="AI107" s="200">
        <f t="shared" ca="1" si="78"/>
        <v>2494.2027104027311</v>
      </c>
      <c r="AJ107" s="200">
        <f t="shared" ca="1" si="78"/>
        <v>2818.4600688795244</v>
      </c>
      <c r="AK107" s="200">
        <f t="shared" ca="1" si="78"/>
        <v>3184.6410168229468</v>
      </c>
      <c r="AL107" s="200">
        <f t="shared" ca="1" si="78"/>
        <v>3597.9619389849563</v>
      </c>
      <c r="AM107" s="200">
        <f t="shared" ca="1" si="78"/>
        <v>4065.0082365815983</v>
      </c>
      <c r="AN107" s="200"/>
      <c r="AO107" s="367"/>
      <c r="AP107" s="367"/>
    </row>
    <row r="108" spans="1:217" s="198" customFormat="1" ht="17.25" customHeight="1">
      <c r="A108" s="295" t="s">
        <v>206</v>
      </c>
      <c r="B108" s="202" t="s">
        <v>1031</v>
      </c>
      <c r="C108" s="301"/>
      <c r="D108" s="301"/>
      <c r="E108" s="301"/>
      <c r="F108" s="301"/>
      <c r="G108" s="301"/>
      <c r="H108" s="301"/>
      <c r="I108" s="128"/>
      <c r="J108" s="200">
        <f ca="1">SUM(J104:J106)-J107</f>
        <v>1992.008259895239</v>
      </c>
      <c r="K108" s="200">
        <f ca="1">SUM(K104:K106)-K107</f>
        <v>2153.6156584227188</v>
      </c>
      <c r="L108" s="200">
        <f ca="1">SUM(L104:L106)-L107</f>
        <v>2368.6515654977848</v>
      </c>
      <c r="M108" s="200">
        <f t="shared" ref="M108:AM108" ca="1" si="79">SUM(M104:M106)-M107</f>
        <v>2530.4798069765179</v>
      </c>
      <c r="N108" s="200">
        <f t="shared" ca="1" si="79"/>
        <v>2643.2483736572426</v>
      </c>
      <c r="O108" s="200">
        <f t="shared" ca="1" si="79"/>
        <v>2826.2492441264762</v>
      </c>
      <c r="P108" s="200">
        <f t="shared" ca="1" si="79"/>
        <v>3062.1838917201239</v>
      </c>
      <c r="Q108" s="200">
        <f t="shared" ca="1" si="79"/>
        <v>3316.8445005842409</v>
      </c>
      <c r="R108" s="200">
        <f t="shared" ca="1" si="79"/>
        <v>3575.6957007498686</v>
      </c>
      <c r="S108" s="200">
        <f t="shared" ca="1" si="79"/>
        <v>3862.6757838503913</v>
      </c>
      <c r="T108" s="200">
        <f t="shared" ca="1" si="79"/>
        <v>4206.8666793528446</v>
      </c>
      <c r="U108" s="200">
        <f t="shared" ca="1" si="79"/>
        <v>4599.6053374132061</v>
      </c>
      <c r="V108" s="200">
        <f t="shared" ca="1" si="79"/>
        <v>5035.4972709219046</v>
      </c>
      <c r="W108" s="200">
        <f t="shared" ca="1" si="79"/>
        <v>5677.6374455026835</v>
      </c>
      <c r="X108" s="200">
        <f t="shared" ca="1" si="79"/>
        <v>6410.2950987485665</v>
      </c>
      <c r="Y108" s="200">
        <f t="shared" ca="1" si="79"/>
        <v>7251.0404372091925</v>
      </c>
      <c r="Z108" s="200">
        <f t="shared" ca="1" si="79"/>
        <v>8201.8427841907196</v>
      </c>
      <c r="AA108" s="200">
        <f t="shared" ca="1" si="79"/>
        <v>9269.7365444943789</v>
      </c>
      <c r="AB108" s="200">
        <f t="shared" ca="1" si="79"/>
        <v>10475.965853134256</v>
      </c>
      <c r="AC108" s="200">
        <f t="shared" ca="1" si="79"/>
        <v>11843.011672818524</v>
      </c>
      <c r="AD108" s="200">
        <f t="shared" ca="1" si="79"/>
        <v>13390.40770153686</v>
      </c>
      <c r="AE108" s="200">
        <f t="shared" ca="1" si="79"/>
        <v>15137.498734909044</v>
      </c>
      <c r="AF108" s="200">
        <f t="shared" ca="1" si="79"/>
        <v>17109.773820742139</v>
      </c>
      <c r="AG108" s="200">
        <f t="shared" ca="1" si="79"/>
        <v>19338.790224271113</v>
      </c>
      <c r="AH108" s="200">
        <f t="shared" ca="1" si="79"/>
        <v>21858.516950467489</v>
      </c>
      <c r="AI108" s="200">
        <f t="shared" ca="1" si="79"/>
        <v>24705.611757723098</v>
      </c>
      <c r="AJ108" s="200">
        <f t="shared" ca="1" si="79"/>
        <v>27921.640963482576</v>
      </c>
      <c r="AK108" s="200">
        <f t="shared" ca="1" si="79"/>
        <v>31554.903544920373</v>
      </c>
      <c r="AL108" s="200">
        <f t="shared" ca="1" si="79"/>
        <v>35660.262000719864</v>
      </c>
      <c r="AM108" s="200">
        <f t="shared" ca="1" si="79"/>
        <v>40298.951610469143</v>
      </c>
      <c r="AN108" s="200"/>
      <c r="AO108" s="225"/>
      <c r="AP108" s="225"/>
    </row>
    <row r="109" spans="1:217" ht="17.25" customHeight="1">
      <c r="B109" s="293"/>
      <c r="I109" s="200"/>
      <c r="J109" s="200"/>
      <c r="K109" s="200"/>
      <c r="L109" s="200"/>
      <c r="M109" s="200"/>
      <c r="N109" s="200"/>
      <c r="O109" s="200"/>
      <c r="P109" s="200"/>
      <c r="Q109" s="200"/>
      <c r="R109" s="200"/>
      <c r="S109" s="200"/>
      <c r="T109" s="200"/>
      <c r="U109" s="200"/>
      <c r="V109" s="200"/>
      <c r="W109" s="200"/>
      <c r="X109" s="200"/>
      <c r="Y109" s="200"/>
      <c r="Z109" s="200"/>
      <c r="AA109" s="200"/>
      <c r="AB109" s="200"/>
      <c r="AC109" s="200"/>
      <c r="AD109" s="200"/>
      <c r="AE109" s="200"/>
      <c r="AF109" s="200"/>
      <c r="AG109" s="200"/>
      <c r="AH109" s="200"/>
      <c r="AI109" s="200"/>
      <c r="AJ109" s="200"/>
      <c r="AK109" s="200"/>
      <c r="AL109" s="200"/>
      <c r="AM109" s="200"/>
      <c r="AN109" s="200"/>
      <c r="AO109" s="367"/>
      <c r="AP109" s="367"/>
    </row>
    <row r="110" spans="1:217" ht="17.25" customHeight="1">
      <c r="A110" s="295" t="s">
        <v>203</v>
      </c>
      <c r="B110" s="293"/>
      <c r="I110" s="200"/>
      <c r="J110" s="200"/>
      <c r="K110" s="200"/>
      <c r="L110" s="200"/>
      <c r="M110" s="200"/>
      <c r="N110" s="200"/>
      <c r="O110" s="200"/>
      <c r="P110" s="200"/>
      <c r="Q110" s="200"/>
      <c r="R110" s="200"/>
      <c r="S110" s="200"/>
      <c r="T110" s="200"/>
      <c r="U110" s="200"/>
      <c r="V110" s="200"/>
      <c r="W110" s="200"/>
      <c r="X110" s="200"/>
      <c r="Y110" s="200"/>
      <c r="Z110" s="200"/>
      <c r="AA110" s="200"/>
      <c r="AB110" s="200"/>
      <c r="AC110" s="200"/>
      <c r="AD110" s="200"/>
      <c r="AE110" s="200"/>
      <c r="AF110" s="200"/>
      <c r="AG110" s="200"/>
      <c r="AH110" s="200"/>
      <c r="AI110" s="200"/>
      <c r="AJ110" s="200"/>
      <c r="AK110" s="200"/>
      <c r="AL110" s="200"/>
      <c r="AM110" s="200"/>
      <c r="AN110" s="200"/>
      <c r="AO110" s="367"/>
      <c r="AP110" s="367"/>
    </row>
    <row r="111" spans="1:217" s="298" customFormat="1" ht="17.25" customHeight="1">
      <c r="A111" s="295" t="s">
        <v>205</v>
      </c>
      <c r="B111" s="228" t="s">
        <v>1037</v>
      </c>
      <c r="C111" s="302"/>
      <c r="D111" s="302"/>
      <c r="E111" s="302"/>
      <c r="F111" s="302"/>
      <c r="G111" s="302"/>
      <c r="H111" s="302"/>
      <c r="I111" s="200"/>
      <c r="J111" s="200">
        <f>资产负债!H31</f>
        <v>159.04500887999998</v>
      </c>
      <c r="K111" s="200">
        <f ca="1">资产负债!I31</f>
        <v>180.82131043800445</v>
      </c>
      <c r="L111" s="200">
        <f ca="1">资产负债!J31</f>
        <v>219.46718162972905</v>
      </c>
      <c r="M111" s="200">
        <f ca="1">资产负债!K31</f>
        <v>247.76638573856044</v>
      </c>
      <c r="N111" s="200">
        <f ca="1">资产负债!L31</f>
        <v>259.71598894950432</v>
      </c>
      <c r="O111" s="200">
        <f ca="1">资产负债!M31</f>
        <v>264.10459421558971</v>
      </c>
      <c r="P111" s="200">
        <f ca="1">资产负债!N31</f>
        <v>291.57140788754043</v>
      </c>
      <c r="Q111" s="200">
        <f ca="1">资产负债!O31</f>
        <v>324.46707493682015</v>
      </c>
      <c r="R111" s="200">
        <f ca="1">资产负债!P31</f>
        <v>357.45094195613791</v>
      </c>
      <c r="S111" s="200">
        <f ca="1">资产负债!Q31</f>
        <v>392.31336386688133</v>
      </c>
      <c r="T111" s="200">
        <f ca="1">资产负债!R31</f>
        <v>434.85821613164046</v>
      </c>
      <c r="U111" s="200">
        <f ca="1">资产负债!S31</f>
        <v>489.54980388738704</v>
      </c>
      <c r="V111" s="200">
        <f ca="1">资产负债!T31</f>
        <v>550.37632103285125</v>
      </c>
      <c r="W111" s="200">
        <f ca="1">资产负债!U31</f>
        <v>617.66369225443009</v>
      </c>
      <c r="X111" s="200">
        <f ca="1">资产负债!V31</f>
        <v>694.43643073147894</v>
      </c>
      <c r="Y111" s="200">
        <f ca="1">资产负债!W31</f>
        <v>783.73764217446239</v>
      </c>
      <c r="Z111" s="200">
        <f ca="1">资产负债!X31</f>
        <v>886.43826492753431</v>
      </c>
      <c r="AA111" s="200">
        <f ca="1">资产负债!Y31</f>
        <v>1001.9327773527366</v>
      </c>
      <c r="AB111" s="200">
        <f ca="1">资产负债!Z31</f>
        <v>1131.9528965992226</v>
      </c>
      <c r="AC111" s="200">
        <f ca="1">资产负债!AA31</f>
        <v>1278.9420671075561</v>
      </c>
      <c r="AD111" s="200">
        <f ca="1">资产负债!AB31</f>
        <v>1445.3371423253659</v>
      </c>
      <c r="AE111" s="200">
        <f ca="1">资产负债!AC31</f>
        <v>1633.3170580397909</v>
      </c>
      <c r="AF111" s="200">
        <f ca="1">资产负债!AD31</f>
        <v>1845.3214844207992</v>
      </c>
      <c r="AG111" s="200">
        <f ca="1">资产负债!AE31</f>
        <v>2084.7416184911017</v>
      </c>
      <c r="AH111" s="200">
        <f ca="1">资产负债!AF31</f>
        <v>2355.3393190050906</v>
      </c>
      <c r="AI111" s="200">
        <f ca="1">资产负债!AG31</f>
        <v>2661.1428151407276</v>
      </c>
      <c r="AJ111" s="200">
        <f ca="1">资产负债!AH31</f>
        <v>3006.581161688659</v>
      </c>
      <c r="AK111" s="200">
        <f ca="1">资产负债!AI31</f>
        <v>3396.7699383467398</v>
      </c>
      <c r="AL111" s="200">
        <f ca="1">资产负债!AJ31</f>
        <v>3837.6356211196789</v>
      </c>
      <c r="AM111" s="200">
        <f ca="1">资产负债!AK31</f>
        <v>4335.7841673516768</v>
      </c>
      <c r="AN111" s="200"/>
      <c r="AO111" s="367"/>
      <c r="AP111" s="123"/>
      <c r="AQ111" s="123"/>
      <c r="AR111" s="123"/>
      <c r="AS111" s="123"/>
      <c r="AT111" s="123"/>
      <c r="AU111" s="123"/>
      <c r="AV111" s="123"/>
      <c r="AW111" s="123"/>
      <c r="AX111" s="123"/>
      <c r="AY111" s="123"/>
      <c r="AZ111" s="123"/>
      <c r="BA111" s="123"/>
      <c r="BB111" s="123"/>
      <c r="BC111" s="123"/>
      <c r="BD111" s="123"/>
      <c r="BE111" s="123"/>
      <c r="BF111" s="123"/>
      <c r="BG111" s="123"/>
      <c r="BH111" s="123"/>
      <c r="BI111" s="123"/>
      <c r="BJ111" s="123"/>
      <c r="BK111" s="123"/>
      <c r="BL111" s="123"/>
      <c r="BM111" s="123"/>
      <c r="BN111" s="123"/>
      <c r="BO111" s="123"/>
      <c r="BP111" s="123"/>
      <c r="BQ111" s="123"/>
      <c r="BR111" s="123"/>
      <c r="BS111" s="123"/>
      <c r="BT111" s="123"/>
      <c r="BU111" s="123"/>
      <c r="BV111" s="123"/>
      <c r="BW111" s="123"/>
      <c r="BX111" s="123"/>
      <c r="BY111" s="123"/>
      <c r="BZ111" s="123"/>
      <c r="CA111" s="123"/>
      <c r="CB111" s="123"/>
      <c r="CC111" s="123"/>
      <c r="CD111" s="123"/>
      <c r="CE111" s="123"/>
      <c r="CF111" s="123"/>
      <c r="CG111" s="123"/>
      <c r="CH111" s="123"/>
      <c r="CI111" s="123"/>
      <c r="CJ111" s="123"/>
      <c r="CK111" s="123"/>
      <c r="CL111" s="123"/>
      <c r="CM111" s="123"/>
      <c r="CN111" s="123"/>
      <c r="CO111" s="123"/>
      <c r="CP111" s="123"/>
      <c r="CQ111" s="123"/>
      <c r="CR111" s="123"/>
      <c r="CS111" s="123"/>
      <c r="CT111" s="123"/>
      <c r="CU111" s="123"/>
      <c r="CV111" s="123"/>
      <c r="CW111" s="123"/>
      <c r="CX111" s="123"/>
      <c r="CY111" s="123"/>
      <c r="CZ111" s="123"/>
      <c r="DA111" s="123"/>
      <c r="DB111" s="123"/>
      <c r="DC111" s="123"/>
      <c r="DD111" s="123"/>
      <c r="DE111" s="123"/>
      <c r="DF111" s="123"/>
      <c r="DG111" s="123"/>
      <c r="DH111" s="123"/>
      <c r="DI111" s="123"/>
      <c r="DJ111" s="123"/>
      <c r="DK111" s="123"/>
      <c r="DL111" s="123"/>
      <c r="DM111" s="123"/>
      <c r="DN111" s="123"/>
      <c r="DO111" s="123"/>
      <c r="DP111" s="123"/>
      <c r="DQ111" s="123"/>
      <c r="DR111" s="123"/>
      <c r="DS111" s="123"/>
      <c r="DT111" s="123"/>
      <c r="DU111" s="123"/>
      <c r="DV111" s="123"/>
      <c r="DW111" s="123"/>
      <c r="DX111" s="123"/>
      <c r="DY111" s="123"/>
      <c r="DZ111" s="123"/>
      <c r="EA111" s="123"/>
      <c r="EB111" s="123"/>
      <c r="EC111" s="123"/>
      <c r="ED111" s="123"/>
      <c r="EE111" s="123"/>
      <c r="EF111" s="123"/>
      <c r="EG111" s="123"/>
      <c r="EH111" s="123"/>
      <c r="EI111" s="123"/>
      <c r="EJ111" s="123"/>
      <c r="EK111" s="123"/>
      <c r="EL111" s="123"/>
      <c r="EM111" s="123"/>
      <c r="EN111" s="123"/>
      <c r="EO111" s="123"/>
      <c r="EP111" s="123"/>
      <c r="EQ111" s="123"/>
      <c r="ER111" s="123"/>
      <c r="ES111" s="123"/>
      <c r="ET111" s="123"/>
      <c r="EU111" s="123"/>
      <c r="EV111" s="123"/>
      <c r="EW111" s="123"/>
      <c r="EX111" s="123"/>
      <c r="EY111" s="123"/>
      <c r="EZ111" s="123"/>
      <c r="FA111" s="123"/>
      <c r="FB111" s="123"/>
      <c r="FC111" s="123"/>
      <c r="FD111" s="123"/>
      <c r="FE111" s="123"/>
      <c r="FF111" s="123"/>
      <c r="FG111" s="123"/>
      <c r="FH111" s="123"/>
      <c r="FI111" s="123"/>
      <c r="FJ111" s="123"/>
      <c r="FK111" s="123"/>
      <c r="FL111" s="123"/>
      <c r="FM111" s="123"/>
      <c r="FN111" s="123"/>
      <c r="FO111" s="123"/>
      <c r="FP111" s="123"/>
      <c r="FQ111" s="123"/>
      <c r="FR111" s="123"/>
      <c r="FS111" s="123"/>
      <c r="FT111" s="123"/>
      <c r="FU111" s="123"/>
      <c r="FV111" s="123"/>
      <c r="FW111" s="123"/>
      <c r="FX111" s="123"/>
      <c r="FY111" s="123"/>
      <c r="FZ111" s="123"/>
      <c r="GA111" s="123"/>
      <c r="GB111" s="123"/>
      <c r="GC111" s="123"/>
      <c r="GD111" s="123"/>
      <c r="GE111" s="123"/>
      <c r="GF111" s="123"/>
      <c r="GG111" s="123"/>
      <c r="GH111" s="123"/>
      <c r="GI111" s="123"/>
      <c r="GJ111" s="123"/>
      <c r="GK111" s="123"/>
      <c r="GL111" s="123"/>
      <c r="GM111" s="123"/>
      <c r="GN111" s="123"/>
      <c r="GO111" s="123"/>
      <c r="GP111" s="123"/>
      <c r="GQ111" s="123"/>
      <c r="GR111" s="123"/>
      <c r="GS111" s="123"/>
      <c r="GT111" s="123"/>
      <c r="GU111" s="123"/>
      <c r="GV111" s="123"/>
      <c r="GW111" s="123"/>
      <c r="GX111" s="123"/>
      <c r="GY111" s="123"/>
      <c r="GZ111" s="123"/>
      <c r="HA111" s="123"/>
      <c r="HB111" s="123"/>
      <c r="HC111" s="123"/>
      <c r="HD111" s="123"/>
      <c r="HE111" s="123"/>
      <c r="HF111" s="123"/>
      <c r="HG111" s="123"/>
      <c r="HH111" s="123"/>
      <c r="HI111" s="123"/>
    </row>
    <row r="112" spans="1:217" ht="17.25" customHeight="1">
      <c r="A112" s="169" t="s">
        <v>1076</v>
      </c>
      <c r="B112" s="170" t="s">
        <v>216</v>
      </c>
      <c r="C112" s="302"/>
      <c r="D112" s="302"/>
      <c r="E112" s="302"/>
      <c r="F112" s="302"/>
      <c r="G112" s="302"/>
      <c r="H112" s="302"/>
      <c r="I112" s="200"/>
      <c r="J112" s="200">
        <f ca="1">IF(ISERROR(假设!I89*(利润表!I2-利润表!H2)+(资产负债!H62+资产负债!I62)*假设!I109/2*假设!$I93),0,假设!I89*(利润表!I2-利润表!H2)+(资产负债!H62+资产负债!I62)*假设!I109/2*假设!$I93)</f>
        <v>66.981629167505588</v>
      </c>
      <c r="K112" s="200">
        <f ca="1">IF(ISERROR(假设!J89*(利润表!J2-利润表!I2)+(资产负债!I62+资产负债!J62)*假设!J109/2*假设!$I93),0,假设!J89*(利润表!J2-利润表!I2)+(资产负债!I62+资产负债!J62)*假设!J109/2*假设!$I93)</f>
        <v>93.512666599156901</v>
      </c>
      <c r="L112" s="200">
        <f ca="1">IF(ISERROR(假设!K89*(利润表!K2-利润表!J2)+(资产负债!J62+资产负债!K62)*假设!K109/2*假设!$I93),0,假设!K89*(利润表!K2-利润表!J2)+(资产负债!J62+资产负债!K62)*假设!K109/2*假设!$I93)</f>
        <v>90.240800543471494</v>
      </c>
      <c r="M112" s="200">
        <f ca="1">IF(ISERROR(假设!L89*(利润表!L2-利润表!K2)+(资产负债!K62+资产负债!L62)*假设!L109/2*假设!$I93),0,假设!L89*(利润表!L2-利润表!K2)+(资产负债!K62+资产负债!L62)*假设!L109/2*假设!$I93)</f>
        <v>76.87860044832</v>
      </c>
      <c r="N112" s="200">
        <f ca="1">IF(ISERROR(假设!M89*(利润表!M2-利润表!L2)+(资产负债!L62+资产负债!M62)*假设!M109/2*假设!$I93),0,假设!M89*(利润表!M2-利润表!L2)+(资产负债!L62+资产负债!M62)*假设!M109/2*假设!$I93)</f>
        <v>70.414753819982835</v>
      </c>
      <c r="O112" s="200">
        <f ca="1">IF(ISERROR(假设!N89*(利润表!N2-利润表!M2)+(资产负债!M62+资产负债!N62)*假设!N109/2*假设!$I93),0,假设!N89*(利润表!N2-利润表!M2)+(资产负债!M62+资产负债!N62)*假设!N109/2*假设!$I93)</f>
        <v>100.35966564383585</v>
      </c>
      <c r="P112" s="200">
        <f ca="1">IF(ISERROR(假设!O89*(利润表!O2-利润表!N2)+(资产负债!N62+资产负债!O62)*假设!O109/2*假设!$I93),0,假设!O89*(利润表!O2-利润表!N2)+(资产负债!N62+资产负债!O62)*假设!O109/2*假设!$I93)</f>
        <v>114.01243578348479</v>
      </c>
      <c r="Q112" s="200">
        <f ca="1">IF(ISERROR(假设!P89*(利润表!P2-利润表!O2)+(资产负债!O62+资产负债!P62)*假设!P109/2*假设!$I93),0,假设!P89*(利润表!P2-利润表!O2)+(资产负债!O62+资产负债!P62)*假设!P109/2*假设!$I93)</f>
        <v>122.34660250835228</v>
      </c>
      <c r="R112" s="200">
        <f ca="1">IF(ISERROR(假设!Q89*(利润表!Q2-利润表!P2)+(资产负债!P62+资产负债!Q62)*假设!Q109/2*假设!$I93),0,假设!Q89*(利润表!Q2-利润表!P2)+(资产负债!P62+资产负债!Q62)*假设!Q109/2*假设!$I93)</f>
        <v>132.94076287746378</v>
      </c>
      <c r="S112" s="200">
        <f ca="1">IF(ISERROR(假设!R89*(利润表!R2-利润表!Q2)+(资产负债!Q62+资产负债!R62)*假设!R109/2*假设!$I93),0,假设!R89*(利润表!R2-利润表!Q2)+(资产负债!Q62+资产负债!R62)*假设!R109/2*假设!$I93)</f>
        <v>151.25940629766924</v>
      </c>
      <c r="T112" s="200">
        <f ca="1">IF(ISERROR(假设!S89*(利润表!S2-利润表!R2)+(资产负债!R62+资产负债!S62)*假设!S109/2*假设!$I93),0,假设!S89*(利润表!S2-利润表!R2)+(资产负债!R62+资产负债!S62)*假设!S109/2*假设!$I93)</f>
        <v>177.07903872759334</v>
      </c>
      <c r="U112" s="200">
        <f ca="1">IF(ISERROR(假设!T89*(利润表!T2-利润表!S2)+(资产负债!S62+资产负债!T62)*假设!T109/2*假设!$I93),0,假设!T89*(利润表!T2-利润表!S2)+(资产负债!S62+资产负债!T62)*假设!T109/2*假设!$I93)</f>
        <v>198.42059740367694</v>
      </c>
      <c r="V112" s="200">
        <f ca="1">IF(ISERROR(假设!U89*(利润表!U2-利润表!T2)+(资产负债!T62+资产负债!U62)*假设!U109/2*假设!$I93),0,假设!U89*(利润表!U2-利润表!T2)+(资产负债!T62+资产负债!U62)*假设!U109/2*假设!$I93)</f>
        <v>221.70329428518627</v>
      </c>
      <c r="W112" s="200">
        <f ca="1">IF(ISERROR(假设!V89*(利润表!V2-利润表!U2)+(资产负债!U62+资产负债!V62)*假设!V109/2*假设!$I93),0,假设!V89*(利润表!V2-利润表!U2)+(资产负债!U62+资产负债!V62)*假设!V109/2*假设!$I93)</f>
        <v>250.38184615991858</v>
      </c>
      <c r="X112" s="200">
        <f ca="1">IF(ISERROR(假设!W89*(利润表!W2-利润表!V2)+(资产负债!V62+资产负债!W62)*假设!W109/2*假设!$I93),0,假设!W89*(利润表!W2-利润表!V2)+(资产负债!V62+资产负债!W62)*假设!W109/2*假设!$I93)</f>
        <v>285.23562198659909</v>
      </c>
      <c r="Y112" s="200">
        <f ca="1">IF(ISERROR(假设!X89*(利润表!X2-利润表!W2)+(资产负债!W62+资产负债!X62)*假设!X109/2*假设!$I93),0,假设!X89*(利润表!X2-利润表!W2)+(资产负债!W62+资产负债!X62)*假设!X109/2*假设!$I93)</f>
        <v>324.31018898495546</v>
      </c>
      <c r="Z112" s="200">
        <f ca="1">IF(ISERROR(假设!Y89*(利润表!Y2-利润表!X2)+(资产负债!X62+资产负债!Y62)*假设!Y109/2*假设!$I93),0,假设!Y89*(利润表!Y2-利润表!X2)+(资产负债!X62+资产负债!Y62)*假设!Y109/2*假设!$I93)</f>
        <v>365.97770676338632</v>
      </c>
      <c r="AA112" s="200">
        <f ca="1">IF(ISERROR(假设!Z89*(利润表!Z2-利润表!Y2)+(资产负债!Y62+资产负债!Z62)*假设!Z109/2*假设!$I93),0,假设!Z89*(利润表!Z2-利润表!Y2)+(资产负债!Y62+资产负债!Z62)*假设!Z109/2*假设!$I93)</f>
        <v>413.00834339629193</v>
      </c>
      <c r="AB112" s="200">
        <f ca="1">IF(ISERROR(假设!AA89*(利润表!AA2-利润表!Z2)+(资产负债!Z62+资产负债!AA62)*假设!AA109/2*假设!$I93),0,假设!AA89*(利润表!AA2-利润表!Z2)+(资产负债!Z62+资产负债!AA62)*假设!AA109/2*假设!$I93)</f>
        <v>466.72468728522244</v>
      </c>
      <c r="AC112" s="200">
        <f ca="1">IF(ISERROR(假设!AB89*(利润表!AB2-利润表!AA2)+(资产负债!AA62+资产负债!AB62)*假设!AB109/2*假设!$I93),0,假设!AB89*(利润表!AB2-利润表!AA2)+(资产负债!AA62+资产负债!AB62)*假设!AB109/2*假设!$I93)</f>
        <v>527.72936079915121</v>
      </c>
      <c r="AD112" s="200">
        <f ca="1">IF(ISERROR(假设!AC89*(利润表!AC2-利润表!AB2)+(资产负债!AB62+资产负债!AC62)*假设!AC109/2*假设!$I93),0,假设!AC89*(利润表!AC2-利润表!AB2)+(资产负债!AB62+资产负债!AC62)*假设!AC109/2*假设!$I93)</f>
        <v>596.30918022437288</v>
      </c>
      <c r="AE112" s="200">
        <f ca="1">IF(ISERROR(假设!AD89*(利润表!AD2-利润表!AC2)+(资产负债!AC62+资产负债!AD62)*假设!AD109/2*假设!$I93),0,假设!AD89*(利润表!AD2-利润表!AC2)+(资产负债!AC62+资产负债!AD62)*假设!AD109/2*假设!$I93)</f>
        <v>673.33479748620823</v>
      </c>
      <c r="AF112" s="200">
        <f ca="1">IF(ISERROR(假设!AE89*(利润表!AE2-利润表!AD2)+(资产负债!AD62+资产负债!AE62)*假设!AE109/2*假设!$I93),0,假设!AE89*(利润表!AE2-利润表!AD2)+(资产负债!AD62+资产负债!AE62)*假设!AE109/2*假设!$I93)</f>
        <v>760.60553869307796</v>
      </c>
      <c r="AG112" s="200">
        <f ca="1">IF(ISERROR(假设!AF89*(利润表!AF2-利润表!AE2)+(资产负债!AE62+资产负债!AF62)*假设!AF109/2*假设!$I93),0,假设!AF89*(利润表!AF2-利润表!AE2)+(资产负债!AE62+资产负债!AF62)*假设!AF109/2*假设!$I93)</f>
        <v>859.43253026526156</v>
      </c>
      <c r="AH112" s="200">
        <f ca="1">IF(ISERROR(假设!AG89*(利润表!AG2-利润表!AF2)+(资产负债!AF62+资产负债!AG62)*假设!AG109/2*假设!$I93),0,假设!AG89*(利润表!AG2-利润表!AF2)+(资产负债!AF62+资产负债!AG62)*假设!AG109/2*假设!$I93)</f>
        <v>971.08919992081883</v>
      </c>
      <c r="AI112" s="200">
        <f ca="1">IF(ISERROR(假设!AH89*(利润表!AH2-利润表!AG2)+(资产负债!AG62+资产负债!AH62)*假设!AH109/2*假设!$I93),0,假设!AH89*(利润表!AH2-利润表!AG2)+(资产负债!AG62+资产负债!AH62)*假设!AH109/2*假设!$I93)</f>
        <v>1097.083636970096</v>
      </c>
      <c r="AJ112" s="200">
        <f ca="1">IF(ISERROR(假设!AI89*(利润表!AI2-利润表!AH2)+(资产负债!AH62+资产负债!AI62)*假设!AI109/2*假设!$I93),0,假设!AI89*(利润表!AI2-利润表!AH2)+(资产负债!AH62+资产负债!AI62)*假设!AI109/2*假设!$I93)</f>
        <v>1239.3812612447659</v>
      </c>
      <c r="AK112" s="200">
        <f ca="1">IF(ISERROR(假设!AJ89*(利润表!AJ2-利润表!AI2)+(资产负债!AI62+资产负债!AJ62)*假设!AJ109/2*假设!$I93),0,假设!AJ89*(利润表!AJ2-利润表!AI2)+(资产负债!AI62+资产负债!AJ62)*假设!AJ109/2*假设!$I93)</f>
        <v>1400.2745880528587</v>
      </c>
      <c r="AL112" s="200">
        <f ca="1">IF(ISERROR(假设!AK89*(利润表!AK2-利润表!AJ2)+(资产负债!AJ62+资产负债!AK62)*假设!AK109/2*假设!$I93),0,假设!AK89*(利润表!AK2-利润表!AJ2)+(资产负债!AJ62+资产负债!AK62)*假设!AK109/2*假设!$I93)</f>
        <v>1582.0945880699173</v>
      </c>
      <c r="AM112" s="200">
        <f ca="1">IF(ISERROR(假设!AL89*(利润表!AL2-利润表!AK2)+(资产负债!AK62+资产负债!AL62)*假设!AL109/2*假设!$I93),0,假设!AL89*(利润表!AL2-利润表!AK2)+(资产负债!AK62+资产负债!AL62)*假设!AL109/2*假设!$I93)</f>
        <v>1787.4958006908644</v>
      </c>
      <c r="AN112" s="200"/>
      <c r="AO112" s="367"/>
      <c r="AP112" s="367"/>
    </row>
    <row r="113" spans="1:253" s="198" customFormat="1" ht="17.25" customHeight="1">
      <c r="A113" s="295" t="s">
        <v>208</v>
      </c>
      <c r="B113" s="202" t="s">
        <v>1031</v>
      </c>
      <c r="C113" s="301"/>
      <c r="D113" s="301"/>
      <c r="E113" s="301"/>
      <c r="F113" s="301"/>
      <c r="G113" s="301"/>
      <c r="H113" s="301"/>
      <c r="I113" s="128"/>
      <c r="J113" s="128">
        <f ca="1">J111+J112</f>
        <v>226.02663804750557</v>
      </c>
      <c r="K113" s="128">
        <f t="shared" ref="K113:AM113" ca="1" si="80">K111+K112</f>
        <v>274.33397703716133</v>
      </c>
      <c r="L113" s="128">
        <f t="shared" ca="1" si="80"/>
        <v>309.70798217320055</v>
      </c>
      <c r="M113" s="128">
        <f t="shared" ca="1" si="80"/>
        <v>324.64498618688043</v>
      </c>
      <c r="N113" s="128">
        <f t="shared" ca="1" si="80"/>
        <v>330.13074276948714</v>
      </c>
      <c r="O113" s="128">
        <f t="shared" ca="1" si="80"/>
        <v>364.46425985942557</v>
      </c>
      <c r="P113" s="128">
        <f t="shared" ca="1" si="80"/>
        <v>405.58384367102519</v>
      </c>
      <c r="Q113" s="128">
        <f t="shared" ca="1" si="80"/>
        <v>446.8136774451724</v>
      </c>
      <c r="R113" s="128">
        <f t="shared" ca="1" si="80"/>
        <v>490.39170483360169</v>
      </c>
      <c r="S113" s="128">
        <f t="shared" ca="1" si="80"/>
        <v>543.57277016455055</v>
      </c>
      <c r="T113" s="128">
        <f t="shared" ca="1" si="80"/>
        <v>611.9372548592338</v>
      </c>
      <c r="U113" s="128">
        <f t="shared" ca="1" si="80"/>
        <v>687.97040129106404</v>
      </c>
      <c r="V113" s="128">
        <f t="shared" ca="1" si="80"/>
        <v>772.07961531803755</v>
      </c>
      <c r="W113" s="128">
        <f t="shared" ca="1" si="80"/>
        <v>868.0455384143487</v>
      </c>
      <c r="X113" s="128">
        <f t="shared" ca="1" si="80"/>
        <v>979.67205271807802</v>
      </c>
      <c r="Y113" s="128">
        <f t="shared" ca="1" si="80"/>
        <v>1108.0478311594179</v>
      </c>
      <c r="Z113" s="128">
        <f t="shared" ca="1" si="80"/>
        <v>1252.4159716909207</v>
      </c>
      <c r="AA113" s="128">
        <f t="shared" ca="1" si="80"/>
        <v>1414.9411207490284</v>
      </c>
      <c r="AB113" s="128">
        <f t="shared" ca="1" si="80"/>
        <v>1598.6775838844451</v>
      </c>
      <c r="AC113" s="128">
        <f t="shared" ca="1" si="80"/>
        <v>1806.6714279067073</v>
      </c>
      <c r="AD113" s="128">
        <f t="shared" ca="1" si="80"/>
        <v>2041.6463225497387</v>
      </c>
      <c r="AE113" s="128">
        <f t="shared" ca="1" si="80"/>
        <v>2306.6518555259991</v>
      </c>
      <c r="AF113" s="128">
        <f t="shared" ca="1" si="80"/>
        <v>2605.9270231138771</v>
      </c>
      <c r="AG113" s="128">
        <f t="shared" ca="1" si="80"/>
        <v>2944.1741487563631</v>
      </c>
      <c r="AH113" s="128">
        <f t="shared" ca="1" si="80"/>
        <v>3326.4285189259094</v>
      </c>
      <c r="AI113" s="128">
        <f t="shared" ca="1" si="80"/>
        <v>3758.2264521108236</v>
      </c>
      <c r="AJ113" s="128">
        <f t="shared" ca="1" si="80"/>
        <v>4245.9624229334249</v>
      </c>
      <c r="AK113" s="128">
        <f t="shared" ca="1" si="80"/>
        <v>4797.0445263995989</v>
      </c>
      <c r="AL113" s="128">
        <f t="shared" ca="1" si="80"/>
        <v>5419.7302091895963</v>
      </c>
      <c r="AM113" s="128">
        <f t="shared" ca="1" si="80"/>
        <v>6123.2799680425414</v>
      </c>
      <c r="AN113" s="128"/>
      <c r="AO113" s="225"/>
      <c r="AP113" s="225"/>
    </row>
    <row r="114" spans="1:253" s="240" customFormat="1" ht="17.25" customHeight="1">
      <c r="A114" s="314" t="s">
        <v>1039</v>
      </c>
      <c r="B114" s="229" t="s">
        <v>1163</v>
      </c>
      <c r="C114" s="303"/>
      <c r="D114" s="303"/>
      <c r="E114" s="303"/>
      <c r="F114" s="303"/>
      <c r="G114" s="303"/>
      <c r="H114" s="303"/>
      <c r="I114" s="200"/>
      <c r="J114" s="200">
        <f>1/假设!$I88</f>
        <v>0.2</v>
      </c>
      <c r="K114" s="200">
        <f>1/假设!$I88</f>
        <v>0.2</v>
      </c>
      <c r="L114" s="200">
        <f>1/假设!$I88</f>
        <v>0.2</v>
      </c>
      <c r="M114" s="200">
        <f>1/假设!$I88</f>
        <v>0.2</v>
      </c>
      <c r="N114" s="200">
        <f>1/假设!$I88</f>
        <v>0.2</v>
      </c>
      <c r="O114" s="200">
        <f>1/假设!$I88</f>
        <v>0.2</v>
      </c>
      <c r="P114" s="200">
        <f>1/假设!$I88</f>
        <v>0.2</v>
      </c>
      <c r="Q114" s="200">
        <f>1/假设!$I88</f>
        <v>0.2</v>
      </c>
      <c r="R114" s="200">
        <f>1/假设!$I88</f>
        <v>0.2</v>
      </c>
      <c r="S114" s="200">
        <f>1/假设!$I88</f>
        <v>0.2</v>
      </c>
      <c r="T114" s="200">
        <f>1/假设!$I88</f>
        <v>0.2</v>
      </c>
      <c r="U114" s="200">
        <f>1/假设!$I88</f>
        <v>0.2</v>
      </c>
      <c r="V114" s="200">
        <f>1/假设!$I88</f>
        <v>0.2</v>
      </c>
      <c r="W114" s="200">
        <f>1/假设!$I88</f>
        <v>0.2</v>
      </c>
      <c r="X114" s="200">
        <f>1/假设!$I88</f>
        <v>0.2</v>
      </c>
      <c r="Y114" s="200">
        <f>1/假设!$I88</f>
        <v>0.2</v>
      </c>
      <c r="Z114" s="200">
        <f>1/假设!$I88</f>
        <v>0.2</v>
      </c>
      <c r="AA114" s="200">
        <f>1/假设!$I88</f>
        <v>0.2</v>
      </c>
      <c r="AB114" s="200">
        <f>1/假设!$I88</f>
        <v>0.2</v>
      </c>
      <c r="AC114" s="200">
        <f>1/假设!$I88</f>
        <v>0.2</v>
      </c>
      <c r="AD114" s="200">
        <f>1/假设!$I88</f>
        <v>0.2</v>
      </c>
      <c r="AE114" s="200">
        <f>1/假设!$I88</f>
        <v>0.2</v>
      </c>
      <c r="AF114" s="200">
        <f>1/假设!$I88</f>
        <v>0.2</v>
      </c>
      <c r="AG114" s="200">
        <f>1/假设!$I88</f>
        <v>0.2</v>
      </c>
      <c r="AH114" s="200">
        <f>1/假设!$I88</f>
        <v>0.2</v>
      </c>
      <c r="AI114" s="200">
        <f>1/假设!$I88</f>
        <v>0.2</v>
      </c>
      <c r="AJ114" s="200">
        <f>1/假设!$I88</f>
        <v>0.2</v>
      </c>
      <c r="AK114" s="200">
        <f>1/假设!$I88</f>
        <v>0.2</v>
      </c>
      <c r="AL114" s="200">
        <f>1/假设!$I88</f>
        <v>0.2</v>
      </c>
      <c r="AM114" s="200">
        <f>1/假设!$I88</f>
        <v>0.2</v>
      </c>
      <c r="AN114" s="200"/>
      <c r="AO114" s="367"/>
      <c r="AP114" s="367"/>
      <c r="AS114" s="123"/>
      <c r="AT114" s="123"/>
      <c r="AU114" s="123"/>
      <c r="AV114" s="123"/>
      <c r="AW114" s="123"/>
      <c r="AX114" s="123"/>
      <c r="AY114" s="123"/>
      <c r="AZ114" s="123"/>
      <c r="BA114" s="123"/>
      <c r="BB114" s="123"/>
      <c r="BC114" s="123"/>
      <c r="BD114" s="123"/>
      <c r="BE114" s="123"/>
      <c r="BF114" s="123"/>
      <c r="BG114" s="123"/>
      <c r="BH114" s="123"/>
      <c r="BI114" s="123"/>
      <c r="BJ114" s="123"/>
      <c r="BK114" s="123"/>
      <c r="BL114" s="123"/>
      <c r="BM114" s="123"/>
      <c r="BN114" s="123"/>
      <c r="BO114" s="123"/>
      <c r="BP114" s="123"/>
      <c r="BQ114" s="123"/>
      <c r="BR114" s="123"/>
      <c r="BS114" s="123"/>
      <c r="BT114" s="123"/>
      <c r="BU114" s="123"/>
      <c r="BV114" s="123"/>
      <c r="BW114" s="123"/>
      <c r="BX114" s="123"/>
      <c r="BY114" s="123"/>
      <c r="BZ114" s="123"/>
      <c r="CA114" s="123"/>
      <c r="CB114" s="123"/>
      <c r="CC114" s="123"/>
      <c r="CD114" s="123"/>
      <c r="CE114" s="123"/>
      <c r="CF114" s="123"/>
      <c r="CG114" s="123"/>
      <c r="CH114" s="123"/>
      <c r="CI114" s="123"/>
      <c r="CJ114" s="123"/>
      <c r="CK114" s="123"/>
      <c r="CL114" s="123"/>
      <c r="CM114" s="123"/>
      <c r="CN114" s="123"/>
      <c r="CO114" s="123"/>
      <c r="CP114" s="123"/>
      <c r="CQ114" s="123"/>
      <c r="CR114" s="123"/>
      <c r="CS114" s="123"/>
      <c r="CT114" s="123"/>
      <c r="CU114" s="123"/>
      <c r="CV114" s="123"/>
      <c r="CW114" s="123"/>
      <c r="CX114" s="123"/>
      <c r="CY114" s="123"/>
      <c r="CZ114" s="123"/>
      <c r="DA114" s="123"/>
      <c r="DB114" s="123"/>
      <c r="DC114" s="123"/>
      <c r="DD114" s="123"/>
      <c r="DE114" s="123"/>
      <c r="DF114" s="123"/>
      <c r="DG114" s="123"/>
      <c r="DH114" s="123"/>
      <c r="DI114" s="123"/>
      <c r="DJ114" s="123"/>
      <c r="DK114" s="123"/>
      <c r="DL114" s="123"/>
      <c r="DM114" s="123"/>
      <c r="DN114" s="123"/>
      <c r="DO114" s="123"/>
      <c r="DP114" s="123"/>
      <c r="DQ114" s="123"/>
      <c r="DR114" s="123"/>
      <c r="DS114" s="123"/>
      <c r="DT114" s="123"/>
      <c r="DU114" s="123"/>
      <c r="DV114" s="123"/>
      <c r="DW114" s="123"/>
      <c r="DX114" s="123"/>
      <c r="DY114" s="123"/>
      <c r="DZ114" s="123"/>
      <c r="EA114" s="123"/>
      <c r="EB114" s="123"/>
      <c r="EC114" s="123"/>
      <c r="ED114" s="123"/>
      <c r="EE114" s="123"/>
      <c r="EF114" s="123"/>
      <c r="EG114" s="123"/>
      <c r="EH114" s="123"/>
      <c r="EI114" s="123"/>
      <c r="EJ114" s="123"/>
      <c r="EK114" s="123"/>
      <c r="EL114" s="123"/>
      <c r="EM114" s="123"/>
      <c r="EN114" s="123"/>
      <c r="EO114" s="123"/>
      <c r="EP114" s="123"/>
      <c r="EQ114" s="123"/>
      <c r="ER114" s="123"/>
      <c r="ES114" s="123"/>
      <c r="ET114" s="123"/>
      <c r="EU114" s="123"/>
      <c r="EV114" s="123"/>
      <c r="EW114" s="123"/>
      <c r="EX114" s="123"/>
      <c r="EY114" s="123"/>
      <c r="EZ114" s="123"/>
      <c r="FA114" s="123"/>
      <c r="FB114" s="123"/>
      <c r="FC114" s="123"/>
      <c r="FD114" s="123"/>
      <c r="FE114" s="123"/>
      <c r="FF114" s="123"/>
      <c r="FG114" s="123"/>
      <c r="FH114" s="123"/>
      <c r="FI114" s="123"/>
      <c r="FJ114" s="123"/>
      <c r="FK114" s="123"/>
      <c r="FL114" s="123"/>
      <c r="FM114" s="123"/>
      <c r="FN114" s="123"/>
      <c r="FO114" s="123"/>
      <c r="FP114" s="123"/>
      <c r="FQ114" s="123"/>
      <c r="FR114" s="123"/>
      <c r="FS114" s="123"/>
      <c r="FT114" s="123"/>
      <c r="FU114" s="123"/>
      <c r="FV114" s="123"/>
      <c r="FW114" s="123"/>
      <c r="FX114" s="123"/>
      <c r="FY114" s="123"/>
      <c r="FZ114" s="123"/>
      <c r="GA114" s="123"/>
      <c r="GB114" s="123"/>
      <c r="GC114" s="123"/>
      <c r="GD114" s="123"/>
      <c r="GE114" s="123"/>
      <c r="GF114" s="123"/>
      <c r="GG114" s="123"/>
      <c r="GH114" s="123"/>
      <c r="GI114" s="123"/>
      <c r="GJ114" s="123"/>
      <c r="GK114" s="123"/>
      <c r="GL114" s="123"/>
      <c r="GM114" s="123"/>
      <c r="GN114" s="123"/>
      <c r="GO114" s="123"/>
      <c r="GP114" s="123"/>
      <c r="GQ114" s="123"/>
      <c r="GR114" s="123"/>
      <c r="GS114" s="123"/>
      <c r="GT114" s="123"/>
      <c r="GU114" s="123"/>
      <c r="GV114" s="123"/>
      <c r="GW114" s="123"/>
      <c r="GX114" s="123"/>
      <c r="GY114" s="123"/>
      <c r="GZ114" s="123"/>
      <c r="HA114" s="123"/>
      <c r="HB114" s="123"/>
      <c r="HC114" s="123"/>
      <c r="HD114" s="123"/>
      <c r="HE114" s="123"/>
      <c r="HF114" s="123"/>
      <c r="HG114" s="123"/>
      <c r="HH114" s="123"/>
      <c r="HI114" s="123"/>
      <c r="HJ114" s="123"/>
      <c r="HK114" s="123"/>
      <c r="HL114" s="123"/>
      <c r="HM114" s="123"/>
      <c r="HN114" s="123"/>
      <c r="HO114" s="123"/>
      <c r="HP114" s="123"/>
      <c r="HQ114" s="123"/>
      <c r="HR114" s="123"/>
      <c r="HS114" s="123"/>
      <c r="HT114" s="123"/>
      <c r="HU114" s="123"/>
      <c r="HV114" s="123"/>
      <c r="HW114" s="123"/>
      <c r="HX114" s="123"/>
      <c r="HY114" s="123"/>
      <c r="HZ114" s="123"/>
      <c r="IA114" s="123"/>
      <c r="IB114" s="123"/>
      <c r="IC114" s="123"/>
      <c r="ID114" s="123"/>
      <c r="IE114" s="123"/>
      <c r="IF114" s="123"/>
      <c r="IG114" s="123"/>
      <c r="IH114" s="123"/>
      <c r="II114" s="123"/>
      <c r="IJ114" s="123"/>
      <c r="IK114" s="123"/>
      <c r="IL114" s="123"/>
      <c r="IM114" s="123"/>
      <c r="IN114" s="123"/>
      <c r="IO114" s="123"/>
      <c r="IP114" s="123"/>
      <c r="IQ114" s="123"/>
      <c r="IR114" s="123"/>
      <c r="IS114" s="123"/>
    </row>
    <row r="115" spans="1:253" ht="17.25" customHeight="1">
      <c r="A115" s="169" t="s">
        <v>1038</v>
      </c>
      <c r="B115" s="228" t="s">
        <v>301</v>
      </c>
      <c r="C115" s="302"/>
      <c r="D115" s="302"/>
      <c r="E115" s="302"/>
      <c r="F115" s="302"/>
      <c r="G115" s="302"/>
      <c r="H115" s="302"/>
      <c r="I115" s="200"/>
      <c r="J115" s="200">
        <f ca="1">J113*J114</f>
        <v>45.205327609501119</v>
      </c>
      <c r="K115" s="200">
        <f t="shared" ref="K115:AM115" ca="1" si="81">K113*K114</f>
        <v>54.866795407432271</v>
      </c>
      <c r="L115" s="200">
        <f t="shared" ca="1" si="81"/>
        <v>61.941596434640111</v>
      </c>
      <c r="M115" s="200">
        <f t="shared" ca="1" si="81"/>
        <v>64.928997237376095</v>
      </c>
      <c r="N115" s="200">
        <f t="shared" ca="1" si="81"/>
        <v>66.026148553897428</v>
      </c>
      <c r="O115" s="200">
        <f t="shared" ca="1" si="81"/>
        <v>72.892851971885122</v>
      </c>
      <c r="P115" s="200">
        <f t="shared" ca="1" si="81"/>
        <v>81.116768734205039</v>
      </c>
      <c r="Q115" s="200">
        <f t="shared" ca="1" si="81"/>
        <v>89.362735489034492</v>
      </c>
      <c r="R115" s="200">
        <f t="shared" ca="1" si="81"/>
        <v>98.078340966720347</v>
      </c>
      <c r="S115" s="200">
        <f t="shared" ca="1" si="81"/>
        <v>108.71455403291012</v>
      </c>
      <c r="T115" s="200">
        <f t="shared" ca="1" si="81"/>
        <v>122.38745097184676</v>
      </c>
      <c r="U115" s="200">
        <f t="shared" ca="1" si="81"/>
        <v>137.59408025821281</v>
      </c>
      <c r="V115" s="200">
        <f t="shared" ca="1" si="81"/>
        <v>154.41592306360752</v>
      </c>
      <c r="W115" s="200">
        <f t="shared" ca="1" si="81"/>
        <v>173.60910768286976</v>
      </c>
      <c r="X115" s="200">
        <f t="shared" ca="1" si="81"/>
        <v>195.93441054361563</v>
      </c>
      <c r="Y115" s="200">
        <f t="shared" ca="1" si="81"/>
        <v>221.6095662318836</v>
      </c>
      <c r="Z115" s="200">
        <f t="shared" ca="1" si="81"/>
        <v>250.48319433818415</v>
      </c>
      <c r="AA115" s="200">
        <f t="shared" ca="1" si="81"/>
        <v>282.98822414980572</v>
      </c>
      <c r="AB115" s="200">
        <f t="shared" ca="1" si="81"/>
        <v>319.73551677688903</v>
      </c>
      <c r="AC115" s="200">
        <f t="shared" ca="1" si="81"/>
        <v>361.33428558134148</v>
      </c>
      <c r="AD115" s="200">
        <f t="shared" ca="1" si="81"/>
        <v>408.32926450994773</v>
      </c>
      <c r="AE115" s="200">
        <f t="shared" ca="1" si="81"/>
        <v>461.33037110519984</v>
      </c>
      <c r="AF115" s="200">
        <f t="shared" ca="1" si="81"/>
        <v>521.18540462277542</v>
      </c>
      <c r="AG115" s="200">
        <f t="shared" ca="1" si="81"/>
        <v>588.83482975127265</v>
      </c>
      <c r="AH115" s="200">
        <f t="shared" ca="1" si="81"/>
        <v>665.28570378518191</v>
      </c>
      <c r="AI115" s="200">
        <f t="shared" ca="1" si="81"/>
        <v>751.64529042216475</v>
      </c>
      <c r="AJ115" s="200">
        <f t="shared" ca="1" si="81"/>
        <v>849.19248458668505</v>
      </c>
      <c r="AK115" s="200">
        <f t="shared" ca="1" si="81"/>
        <v>959.40890527991985</v>
      </c>
      <c r="AL115" s="200">
        <f t="shared" ca="1" si="81"/>
        <v>1083.9460418379192</v>
      </c>
      <c r="AM115" s="200">
        <f t="shared" ca="1" si="81"/>
        <v>1224.6559936085084</v>
      </c>
      <c r="AN115" s="200"/>
      <c r="AO115" s="367"/>
      <c r="AP115" s="367"/>
      <c r="AS115" s="198"/>
      <c r="AT115" s="198"/>
      <c r="AU115" s="198"/>
      <c r="AV115" s="198"/>
      <c r="AW115" s="198"/>
      <c r="AX115" s="198"/>
    </row>
    <row r="116" spans="1:253" s="198" customFormat="1" ht="17.25" customHeight="1">
      <c r="A116" s="295" t="s">
        <v>204</v>
      </c>
      <c r="B116" s="202" t="s">
        <v>1031</v>
      </c>
      <c r="C116" s="301"/>
      <c r="D116" s="301"/>
      <c r="E116" s="301"/>
      <c r="F116" s="301"/>
      <c r="G116" s="301"/>
      <c r="H116" s="301"/>
      <c r="I116" s="128"/>
      <c r="J116" s="128">
        <f ca="1">J113-J115</f>
        <v>180.82131043800445</v>
      </c>
      <c r="K116" s="128">
        <f t="shared" ref="K116:AM116" ca="1" si="82">K113-K115</f>
        <v>219.46718162972905</v>
      </c>
      <c r="L116" s="128">
        <f t="shared" ca="1" si="82"/>
        <v>247.76638573856044</v>
      </c>
      <c r="M116" s="128">
        <f t="shared" ca="1" si="82"/>
        <v>259.71598894950432</v>
      </c>
      <c r="N116" s="128">
        <f t="shared" ca="1" si="82"/>
        <v>264.10459421558971</v>
      </c>
      <c r="O116" s="128">
        <f t="shared" ca="1" si="82"/>
        <v>291.57140788754043</v>
      </c>
      <c r="P116" s="128">
        <f t="shared" ca="1" si="82"/>
        <v>324.46707493682015</v>
      </c>
      <c r="Q116" s="128">
        <f t="shared" ca="1" si="82"/>
        <v>357.45094195613791</v>
      </c>
      <c r="R116" s="128">
        <f t="shared" ca="1" si="82"/>
        <v>392.31336386688133</v>
      </c>
      <c r="S116" s="128">
        <f t="shared" ca="1" si="82"/>
        <v>434.85821613164046</v>
      </c>
      <c r="T116" s="128">
        <f t="shared" ca="1" si="82"/>
        <v>489.54980388738704</v>
      </c>
      <c r="U116" s="128">
        <f t="shared" ca="1" si="82"/>
        <v>550.37632103285125</v>
      </c>
      <c r="V116" s="128">
        <f t="shared" ca="1" si="82"/>
        <v>617.66369225443009</v>
      </c>
      <c r="W116" s="128">
        <f t="shared" ca="1" si="82"/>
        <v>694.43643073147894</v>
      </c>
      <c r="X116" s="128">
        <f t="shared" ca="1" si="82"/>
        <v>783.73764217446239</v>
      </c>
      <c r="Y116" s="128">
        <f t="shared" ca="1" si="82"/>
        <v>886.43826492753431</v>
      </c>
      <c r="Z116" s="128">
        <f t="shared" ca="1" si="82"/>
        <v>1001.9327773527366</v>
      </c>
      <c r="AA116" s="128">
        <f t="shared" ca="1" si="82"/>
        <v>1131.9528965992226</v>
      </c>
      <c r="AB116" s="128">
        <f t="shared" ca="1" si="82"/>
        <v>1278.9420671075561</v>
      </c>
      <c r="AC116" s="128">
        <f t="shared" ca="1" si="82"/>
        <v>1445.3371423253659</v>
      </c>
      <c r="AD116" s="128">
        <f t="shared" ca="1" si="82"/>
        <v>1633.3170580397909</v>
      </c>
      <c r="AE116" s="128">
        <f t="shared" ca="1" si="82"/>
        <v>1845.3214844207992</v>
      </c>
      <c r="AF116" s="128">
        <f t="shared" ca="1" si="82"/>
        <v>2084.7416184911017</v>
      </c>
      <c r="AG116" s="128">
        <f t="shared" ca="1" si="82"/>
        <v>2355.3393190050906</v>
      </c>
      <c r="AH116" s="128">
        <f t="shared" ca="1" si="82"/>
        <v>2661.1428151407276</v>
      </c>
      <c r="AI116" s="128">
        <f t="shared" ca="1" si="82"/>
        <v>3006.581161688659</v>
      </c>
      <c r="AJ116" s="128">
        <f t="shared" ca="1" si="82"/>
        <v>3396.7699383467398</v>
      </c>
      <c r="AK116" s="128">
        <f t="shared" ca="1" si="82"/>
        <v>3837.6356211196789</v>
      </c>
      <c r="AL116" s="128">
        <f t="shared" ca="1" si="82"/>
        <v>4335.7841673516768</v>
      </c>
      <c r="AM116" s="128">
        <f t="shared" ca="1" si="82"/>
        <v>4898.6239744340328</v>
      </c>
      <c r="AN116" s="128"/>
      <c r="AO116" s="225"/>
      <c r="AP116" s="225"/>
      <c r="AS116" s="123"/>
      <c r="AT116" s="123"/>
      <c r="AU116" s="123"/>
      <c r="AV116" s="123"/>
      <c r="AW116" s="123"/>
      <c r="AX116" s="123"/>
    </row>
    <row r="117" spans="1:253" ht="17.25" customHeight="1">
      <c r="B117" s="293"/>
      <c r="I117" s="200"/>
      <c r="J117" s="200"/>
      <c r="K117" s="200"/>
      <c r="L117" s="200"/>
      <c r="M117" s="200"/>
      <c r="N117" s="200"/>
      <c r="O117" s="200"/>
      <c r="P117" s="200"/>
      <c r="Q117" s="200"/>
      <c r="R117" s="200"/>
      <c r="S117" s="200"/>
      <c r="T117" s="200"/>
      <c r="U117" s="200"/>
      <c r="V117" s="200"/>
      <c r="W117" s="200"/>
      <c r="X117" s="200"/>
      <c r="Y117" s="200"/>
      <c r="Z117" s="200"/>
      <c r="AA117" s="200"/>
      <c r="AB117" s="200"/>
      <c r="AC117" s="200"/>
      <c r="AD117" s="200"/>
      <c r="AE117" s="200"/>
      <c r="AF117" s="200"/>
      <c r="AG117" s="200"/>
      <c r="AH117" s="200"/>
      <c r="AI117" s="200"/>
      <c r="AJ117" s="200"/>
      <c r="AK117" s="200"/>
      <c r="AL117" s="200"/>
      <c r="AM117" s="200"/>
      <c r="AN117" s="200"/>
      <c r="AO117" s="367"/>
      <c r="AP117" s="367"/>
    </row>
    <row r="118" spans="1:253" ht="17.25" customHeight="1">
      <c r="A118" s="295" t="s">
        <v>209</v>
      </c>
      <c r="B118" s="293"/>
      <c r="I118" s="200"/>
      <c r="J118" s="200"/>
      <c r="K118" s="200"/>
      <c r="L118" s="200"/>
      <c r="M118" s="200"/>
      <c r="N118" s="200"/>
      <c r="O118" s="200"/>
      <c r="P118" s="200"/>
      <c r="Q118" s="200"/>
      <c r="R118" s="200"/>
      <c r="S118" s="200"/>
      <c r="T118" s="200"/>
      <c r="U118" s="200"/>
      <c r="V118" s="200"/>
      <c r="W118" s="200"/>
      <c r="X118" s="200"/>
      <c r="Y118" s="200"/>
      <c r="Z118" s="200"/>
      <c r="AA118" s="200"/>
      <c r="AB118" s="200"/>
      <c r="AC118" s="200"/>
      <c r="AD118" s="200"/>
      <c r="AE118" s="200"/>
      <c r="AF118" s="200"/>
      <c r="AG118" s="200"/>
      <c r="AH118" s="200"/>
      <c r="AI118" s="200"/>
      <c r="AJ118" s="200"/>
      <c r="AK118" s="200"/>
      <c r="AL118" s="200"/>
      <c r="AM118" s="200"/>
      <c r="AN118" s="200"/>
      <c r="AO118" s="367"/>
      <c r="AP118" s="367"/>
    </row>
    <row r="119" spans="1:253" ht="17.25" customHeight="1">
      <c r="A119" s="295" t="s">
        <v>217</v>
      </c>
      <c r="B119" s="170" t="s">
        <v>1037</v>
      </c>
      <c r="C119" s="299"/>
      <c r="D119" s="299"/>
      <c r="E119" s="299"/>
      <c r="F119" s="299"/>
      <c r="G119" s="299"/>
      <c r="H119" s="299"/>
      <c r="I119" s="200"/>
      <c r="J119" s="200">
        <f>资产负债!H33</f>
        <v>288.30196711000002</v>
      </c>
      <c r="K119" s="200">
        <f>资产负债!I33</f>
        <v>314.10079168312927</v>
      </c>
      <c r="L119" s="200">
        <f>资产负债!J33</f>
        <v>344.43605526781556</v>
      </c>
      <c r="M119" s="200">
        <f>资产负债!K33</f>
        <v>377.94151963950759</v>
      </c>
      <c r="N119" s="200">
        <f>资产负债!L33</f>
        <v>417.33146988215975</v>
      </c>
      <c r="O119" s="200">
        <f>资产负债!M33</f>
        <v>466.00048064340257</v>
      </c>
      <c r="P119" s="200">
        <f>资产负债!N33</f>
        <v>497.21818974444352</v>
      </c>
      <c r="Q119" s="200">
        <f>资产负债!O33</f>
        <v>529.51967575106676</v>
      </c>
      <c r="R119" s="200">
        <f>资产负债!P33</f>
        <v>562.21440624207753</v>
      </c>
      <c r="S119" s="200">
        <f>资产负债!Q33</f>
        <v>594.74698995695201</v>
      </c>
      <c r="T119" s="200">
        <f>资产负债!R33</f>
        <v>625.90810036627101</v>
      </c>
      <c r="U119" s="200">
        <f>资产负债!S33</f>
        <v>653.56763070520515</v>
      </c>
      <c r="V119" s="200">
        <f>资产负债!T33</f>
        <v>680.51552529171795</v>
      </c>
      <c r="W119" s="200">
        <f>资产负债!U33</f>
        <v>706.39270159420869</v>
      </c>
      <c r="X119" s="200">
        <f>资产负债!V33</f>
        <v>730.90636705899544</v>
      </c>
      <c r="Y119" s="200">
        <f>资产负债!W33</f>
        <v>753.81624887376461</v>
      </c>
      <c r="Z119" s="200">
        <f>资产负债!X33</f>
        <v>775.07588496962376</v>
      </c>
      <c r="AA119" s="200">
        <f>资产负债!Y33</f>
        <v>795.05554221686793</v>
      </c>
      <c r="AB119" s="200">
        <f>资产负债!Z33</f>
        <v>813.64155199625839</v>
      </c>
      <c r="AC119" s="200">
        <f>资产负债!AA33</f>
        <v>830.76932847102876</v>
      </c>
      <c r="AD119" s="200">
        <f>资产负债!AB33</f>
        <v>846.41992714779587</v>
      </c>
      <c r="AE119" s="200">
        <f>资产负债!AC33</f>
        <v>860.61866919696263</v>
      </c>
      <c r="AF119" s="200">
        <f>资产负债!AD33</f>
        <v>873.40523243679081</v>
      </c>
      <c r="AG119" s="200">
        <f>资产负债!AE33</f>
        <v>884.75317687513586</v>
      </c>
      <c r="AH119" s="200">
        <f>资产负债!AF33</f>
        <v>894.65350824527184</v>
      </c>
      <c r="AI119" s="200">
        <f>资产负债!AG33</f>
        <v>903.10835059448095</v>
      </c>
      <c r="AJ119" s="200">
        <f>资产负债!AH33</f>
        <v>910.1240416781784</v>
      </c>
      <c r="AK119" s="200">
        <f>资产负债!AI33</f>
        <v>915.70312256878208</v>
      </c>
      <c r="AL119" s="200">
        <f>资产负债!AJ33</f>
        <v>919.84070698954076</v>
      </c>
      <c r="AM119" s="200">
        <f>资产负债!AK33</f>
        <v>922.53621940678227</v>
      </c>
      <c r="AN119" s="200"/>
      <c r="AO119" s="367"/>
      <c r="AP119" s="367"/>
    </row>
    <row r="120" spans="1:253" ht="17.25" customHeight="1">
      <c r="A120" s="169" t="s">
        <v>218</v>
      </c>
      <c r="B120" s="170" t="s">
        <v>216</v>
      </c>
      <c r="C120" s="299"/>
      <c r="D120" s="299"/>
      <c r="E120" s="299"/>
      <c r="F120" s="299"/>
      <c r="G120" s="299"/>
      <c r="H120" s="299"/>
      <c r="I120" s="200"/>
      <c r="J120" s="200">
        <f>假设!I96</f>
        <v>34.800943970000006</v>
      </c>
      <c r="K120" s="200">
        <f>假设!J96</f>
        <v>40.464791214000009</v>
      </c>
      <c r="L120" s="200">
        <f>假设!K96</f>
        <v>44.885569580800009</v>
      </c>
      <c r="M120" s="200">
        <f>假设!L96</f>
        <v>52.225123738960008</v>
      </c>
      <c r="N120" s="200">
        <f>假设!M96</f>
        <v>63.26689235875201</v>
      </c>
      <c r="O120" s="200">
        <f>假设!N96</f>
        <v>47.128664172502411</v>
      </c>
      <c r="P120" s="200">
        <f>假设!O96</f>
        <v>49.594208213002887</v>
      </c>
      <c r="Q120" s="200">
        <f>假设!P96</f>
        <v>51.420091612803468</v>
      </c>
      <c r="R120" s="200">
        <f>假设!Q96</f>
        <v>52.726996019204151</v>
      </c>
      <c r="S120" s="200">
        <f>假设!R96</f>
        <v>52.827370475252977</v>
      </c>
      <c r="T120" s="200">
        <f>假设!S96</f>
        <v>50.73946609855318</v>
      </c>
      <c r="U120" s="200">
        <f>假设!T96</f>
        <v>51.461626483763339</v>
      </c>
      <c r="V120" s="200">
        <f>假设!U96</f>
        <v>51.835110137915422</v>
      </c>
      <c r="W120" s="200">
        <f>假设!V96</f>
        <v>51.918113842937807</v>
      </c>
      <c r="X120" s="200">
        <f>假设!W96</f>
        <v>51.756337407684541</v>
      </c>
      <c r="Y120" s="200">
        <f>假设!X96</f>
        <v>51.542130794170859</v>
      </c>
      <c r="Z120" s="200">
        <f>假设!Y96</f>
        <v>51.702663733294386</v>
      </c>
      <c r="AA120" s="200">
        <f>假设!Z96</f>
        <v>51.750871183200594</v>
      </c>
      <c r="AB120" s="200">
        <f>假设!AA96</f>
        <v>51.73402339225764</v>
      </c>
      <c r="AC120" s="200">
        <f>假设!AB96</f>
        <v>51.69720530212161</v>
      </c>
      <c r="AD120" s="200">
        <f>假设!AC96</f>
        <v>51.685378881009022</v>
      </c>
      <c r="AE120" s="200">
        <f>假设!AD96</f>
        <v>51.714028498376649</v>
      </c>
      <c r="AF120" s="200">
        <f>假设!AE96</f>
        <v>51.716301451393107</v>
      </c>
      <c r="AG120" s="200">
        <f>假设!AF96</f>
        <v>51.7093875050316</v>
      </c>
      <c r="AH120" s="200">
        <f>假设!AG96</f>
        <v>51.704460327586403</v>
      </c>
      <c r="AI120" s="200">
        <f>假设!AH96</f>
        <v>51.705911332679349</v>
      </c>
      <c r="AJ120" s="200">
        <f>假设!AI96</f>
        <v>51.710017823013423</v>
      </c>
      <c r="AK120" s="200">
        <f>假设!AJ96</f>
        <v>51.709215687940777</v>
      </c>
      <c r="AL120" s="200">
        <f>假设!AK96</f>
        <v>51.707798535250312</v>
      </c>
      <c r="AM120" s="200">
        <f>假设!AL96</f>
        <v>51.707480741294049</v>
      </c>
      <c r="AN120" s="200"/>
      <c r="AO120" s="367"/>
      <c r="AP120" s="367"/>
      <c r="AS120" s="198"/>
      <c r="AT120" s="198"/>
      <c r="AU120" s="198"/>
      <c r="AV120" s="198"/>
      <c r="AW120" s="198"/>
      <c r="AX120" s="198"/>
    </row>
    <row r="121" spans="1:253" ht="17.25" customHeight="1">
      <c r="A121" s="169" t="s">
        <v>219</v>
      </c>
      <c r="B121" s="170" t="s">
        <v>222</v>
      </c>
      <c r="C121" s="302"/>
      <c r="D121" s="302"/>
      <c r="E121" s="302"/>
      <c r="F121" s="302"/>
      <c r="G121" s="302"/>
      <c r="H121" s="302"/>
      <c r="I121" s="200"/>
      <c r="J121" s="200">
        <f>SUM(J39:J69)</f>
        <v>9.0021193968707536</v>
      </c>
      <c r="K121" s="200">
        <f t="shared" ref="K121:AM121" si="83">SUM(K39:K69)</f>
        <v>10.129527629313705</v>
      </c>
      <c r="L121" s="200">
        <f t="shared" si="83"/>
        <v>11.380105209107981</v>
      </c>
      <c r="M121" s="200">
        <f t="shared" si="83"/>
        <v>12.835173496307849</v>
      </c>
      <c r="N121" s="200">
        <f t="shared" si="83"/>
        <v>14.597881597509199</v>
      </c>
      <c r="O121" s="200">
        <f t="shared" si="83"/>
        <v>15.910955071461421</v>
      </c>
      <c r="P121" s="200">
        <f t="shared" si="83"/>
        <v>17.292722206379555</v>
      </c>
      <c r="Q121" s="200">
        <f t="shared" si="83"/>
        <v>18.725361121792726</v>
      </c>
      <c r="R121" s="200">
        <f t="shared" si="83"/>
        <v>20.194412304329674</v>
      </c>
      <c r="S121" s="200">
        <f t="shared" si="83"/>
        <v>21.66626006593404</v>
      </c>
      <c r="T121" s="200">
        <f t="shared" si="83"/>
        <v>23.079935759619008</v>
      </c>
      <c r="U121" s="200">
        <f t="shared" si="83"/>
        <v>24.513731897250526</v>
      </c>
      <c r="V121" s="200">
        <f t="shared" si="83"/>
        <v>25.957933835424718</v>
      </c>
      <c r="W121" s="200">
        <f t="shared" si="83"/>
        <v>27.404448378151116</v>
      </c>
      <c r="X121" s="200">
        <f t="shared" si="83"/>
        <v>28.846455592915405</v>
      </c>
      <c r="Y121" s="200">
        <f t="shared" si="83"/>
        <v>30.282494698311677</v>
      </c>
      <c r="Z121" s="200">
        <f t="shared" si="83"/>
        <v>31.72300648605021</v>
      </c>
      <c r="AA121" s="200">
        <f t="shared" si="83"/>
        <v>33.16486140381015</v>
      </c>
      <c r="AB121" s="200">
        <f t="shared" si="83"/>
        <v>34.606246917487233</v>
      </c>
      <c r="AC121" s="200">
        <f t="shared" si="83"/>
        <v>36.046606625354457</v>
      </c>
      <c r="AD121" s="200">
        <f t="shared" si="83"/>
        <v>37.486636831842269</v>
      </c>
      <c r="AE121" s="200">
        <f t="shared" si="83"/>
        <v>38.927465258548388</v>
      </c>
      <c r="AF121" s="200">
        <f t="shared" si="83"/>
        <v>40.368357013048026</v>
      </c>
      <c r="AG121" s="200">
        <f t="shared" si="83"/>
        <v>41.809056134895599</v>
      </c>
      <c r="AH121" s="200">
        <f t="shared" si="83"/>
        <v>43.249617978377273</v>
      </c>
      <c r="AI121" s="200">
        <f t="shared" si="83"/>
        <v>44.690220248981838</v>
      </c>
      <c r="AJ121" s="200">
        <f t="shared" si="83"/>
        <v>46.130936932409753</v>
      </c>
      <c r="AK121" s="200">
        <f t="shared" si="83"/>
        <v>47.571631267182028</v>
      </c>
      <c r="AL121" s="200">
        <f t="shared" si="83"/>
        <v>49.012286118008824</v>
      </c>
      <c r="AM121" s="200">
        <f t="shared" si="83"/>
        <v>50.452932114631466</v>
      </c>
      <c r="AN121" s="200"/>
      <c r="AO121" s="367"/>
      <c r="AP121" s="367"/>
    </row>
    <row r="122" spans="1:253" s="304" customFormat="1" ht="17.25" customHeight="1">
      <c r="A122" s="295" t="s">
        <v>223</v>
      </c>
      <c r="B122" s="202" t="s">
        <v>1031</v>
      </c>
      <c r="C122" s="301"/>
      <c r="D122" s="301"/>
      <c r="E122" s="301"/>
      <c r="F122" s="301"/>
      <c r="G122" s="301"/>
      <c r="H122" s="301"/>
      <c r="I122" s="464"/>
      <c r="J122" s="128">
        <f>J119+J120-J121</f>
        <v>314.10079168312927</v>
      </c>
      <c r="K122" s="128">
        <f t="shared" ref="K122:AM122" si="84">K119+K120-K121</f>
        <v>344.43605526781556</v>
      </c>
      <c r="L122" s="128">
        <f t="shared" si="84"/>
        <v>377.94151963950759</v>
      </c>
      <c r="M122" s="128">
        <f t="shared" si="84"/>
        <v>417.33146988215975</v>
      </c>
      <c r="N122" s="128">
        <f t="shared" si="84"/>
        <v>466.00048064340257</v>
      </c>
      <c r="O122" s="128">
        <f t="shared" si="84"/>
        <v>497.21818974444352</v>
      </c>
      <c r="P122" s="128">
        <f t="shared" si="84"/>
        <v>529.51967575106676</v>
      </c>
      <c r="Q122" s="128">
        <f t="shared" si="84"/>
        <v>562.21440624207753</v>
      </c>
      <c r="R122" s="128">
        <f t="shared" si="84"/>
        <v>594.74698995695201</v>
      </c>
      <c r="S122" s="128">
        <f t="shared" si="84"/>
        <v>625.90810036627101</v>
      </c>
      <c r="T122" s="128">
        <f t="shared" si="84"/>
        <v>653.56763070520515</v>
      </c>
      <c r="U122" s="128">
        <f t="shared" si="84"/>
        <v>680.51552529171795</v>
      </c>
      <c r="V122" s="128">
        <f t="shared" si="84"/>
        <v>706.39270159420869</v>
      </c>
      <c r="W122" s="128">
        <f t="shared" si="84"/>
        <v>730.90636705899544</v>
      </c>
      <c r="X122" s="128">
        <f t="shared" si="84"/>
        <v>753.81624887376461</v>
      </c>
      <c r="Y122" s="128">
        <f t="shared" si="84"/>
        <v>775.07588496962376</v>
      </c>
      <c r="Z122" s="128">
        <f t="shared" si="84"/>
        <v>795.05554221686793</v>
      </c>
      <c r="AA122" s="128">
        <f t="shared" si="84"/>
        <v>813.64155199625839</v>
      </c>
      <c r="AB122" s="128">
        <f t="shared" si="84"/>
        <v>830.76932847102876</v>
      </c>
      <c r="AC122" s="128">
        <f t="shared" si="84"/>
        <v>846.41992714779587</v>
      </c>
      <c r="AD122" s="128">
        <f t="shared" si="84"/>
        <v>860.61866919696263</v>
      </c>
      <c r="AE122" s="128">
        <f t="shared" si="84"/>
        <v>873.40523243679081</v>
      </c>
      <c r="AF122" s="128">
        <f t="shared" si="84"/>
        <v>884.75317687513586</v>
      </c>
      <c r="AG122" s="128">
        <f t="shared" si="84"/>
        <v>894.65350824527184</v>
      </c>
      <c r="AH122" s="128">
        <f t="shared" si="84"/>
        <v>903.10835059448095</v>
      </c>
      <c r="AI122" s="128">
        <f t="shared" si="84"/>
        <v>910.1240416781784</v>
      </c>
      <c r="AJ122" s="128">
        <f t="shared" si="84"/>
        <v>915.70312256878208</v>
      </c>
      <c r="AK122" s="128">
        <f t="shared" si="84"/>
        <v>919.84070698954076</v>
      </c>
      <c r="AL122" s="128">
        <f t="shared" si="84"/>
        <v>922.53621940678227</v>
      </c>
      <c r="AM122" s="128">
        <f t="shared" si="84"/>
        <v>923.79076803344481</v>
      </c>
      <c r="AN122" s="128"/>
      <c r="AO122" s="225"/>
      <c r="AP122" s="225"/>
      <c r="AQ122" s="198"/>
      <c r="AR122" s="198"/>
      <c r="AS122" s="123"/>
      <c r="AT122" s="123"/>
      <c r="AU122" s="123"/>
      <c r="AV122" s="123"/>
      <c r="AW122" s="123"/>
      <c r="AX122" s="123"/>
      <c r="AY122" s="198"/>
      <c r="AZ122" s="198"/>
      <c r="BA122" s="198"/>
      <c r="BB122" s="198"/>
      <c r="BC122" s="198"/>
      <c r="BD122" s="198"/>
      <c r="BE122" s="198"/>
      <c r="BF122" s="198"/>
      <c r="BG122" s="198"/>
      <c r="BH122" s="198"/>
      <c r="BI122" s="198"/>
      <c r="BJ122" s="198"/>
      <c r="BK122" s="198"/>
      <c r="BL122" s="198"/>
      <c r="BM122" s="198"/>
      <c r="BN122" s="198"/>
      <c r="BO122" s="198"/>
      <c r="BP122" s="198"/>
      <c r="BQ122" s="198"/>
      <c r="BR122" s="198"/>
      <c r="BS122" s="198"/>
      <c r="BT122" s="198"/>
      <c r="BU122" s="198"/>
      <c r="BV122" s="198"/>
      <c r="BW122" s="198"/>
      <c r="BX122" s="198"/>
      <c r="BY122" s="198"/>
      <c r="BZ122" s="198"/>
      <c r="CA122" s="198"/>
      <c r="CB122" s="198"/>
      <c r="CC122" s="198"/>
      <c r="CD122" s="198"/>
      <c r="CE122" s="198"/>
      <c r="CF122" s="198"/>
      <c r="CG122" s="198"/>
      <c r="CH122" s="198"/>
      <c r="CI122" s="198"/>
      <c r="CJ122" s="198"/>
      <c r="CK122" s="198"/>
      <c r="CL122" s="198"/>
      <c r="CM122" s="198"/>
      <c r="CN122" s="198"/>
      <c r="CO122" s="198"/>
      <c r="CP122" s="198"/>
      <c r="CQ122" s="198"/>
      <c r="CR122" s="198"/>
      <c r="CS122" s="198"/>
      <c r="CT122" s="198"/>
      <c r="CU122" s="198"/>
      <c r="CV122" s="198"/>
      <c r="CW122" s="198"/>
      <c r="CX122" s="198"/>
      <c r="CY122" s="198"/>
      <c r="CZ122" s="198"/>
      <c r="DA122" s="198"/>
      <c r="DB122" s="198"/>
      <c r="DC122" s="198"/>
      <c r="DD122" s="198"/>
      <c r="DE122" s="198"/>
      <c r="DF122" s="198"/>
      <c r="DG122" s="198"/>
      <c r="DH122" s="198"/>
      <c r="DI122" s="198"/>
      <c r="DJ122" s="198"/>
      <c r="DK122" s="198"/>
      <c r="DL122" s="198"/>
      <c r="DM122" s="198"/>
      <c r="DN122" s="198"/>
      <c r="DO122" s="198"/>
      <c r="DP122" s="198"/>
      <c r="DQ122" s="198"/>
      <c r="DR122" s="198"/>
      <c r="DS122" s="198"/>
      <c r="DT122" s="198"/>
      <c r="DU122" s="198"/>
      <c r="DV122" s="198"/>
      <c r="DW122" s="198"/>
      <c r="DX122" s="198"/>
      <c r="DY122" s="198"/>
      <c r="DZ122" s="198"/>
      <c r="EA122" s="198"/>
      <c r="EB122" s="198"/>
      <c r="EC122" s="198"/>
      <c r="ED122" s="198"/>
      <c r="EE122" s="198"/>
      <c r="EF122" s="198"/>
      <c r="EG122" s="198"/>
      <c r="EH122" s="198"/>
      <c r="EI122" s="198"/>
      <c r="EJ122" s="198"/>
      <c r="EK122" s="198"/>
      <c r="EL122" s="198"/>
      <c r="EM122" s="198"/>
      <c r="EN122" s="198"/>
      <c r="EO122" s="198"/>
      <c r="EP122" s="198"/>
      <c r="EQ122" s="198"/>
      <c r="ER122" s="198"/>
      <c r="ES122" s="198"/>
      <c r="ET122" s="198"/>
      <c r="EU122" s="198"/>
      <c r="EV122" s="198"/>
      <c r="EW122" s="198"/>
      <c r="EX122" s="198"/>
      <c r="EY122" s="198"/>
      <c r="EZ122" s="198"/>
      <c r="FA122" s="198"/>
      <c r="FB122" s="198"/>
      <c r="FC122" s="198"/>
      <c r="FD122" s="198"/>
      <c r="FE122" s="198"/>
      <c r="FF122" s="198"/>
      <c r="FG122" s="198"/>
      <c r="FH122" s="198"/>
      <c r="FI122" s="198"/>
      <c r="FJ122" s="198"/>
      <c r="FK122" s="198"/>
      <c r="FL122" s="198"/>
      <c r="FM122" s="198"/>
      <c r="FN122" s="198"/>
      <c r="FO122" s="198"/>
      <c r="FP122" s="198"/>
      <c r="FQ122" s="198"/>
      <c r="FR122" s="198"/>
      <c r="FS122" s="198"/>
      <c r="FT122" s="198"/>
      <c r="FU122" s="198"/>
      <c r="FV122" s="198"/>
      <c r="FW122" s="198"/>
      <c r="FX122" s="198"/>
      <c r="FY122" s="198"/>
      <c r="FZ122" s="198"/>
      <c r="GA122" s="198"/>
      <c r="GB122" s="198"/>
      <c r="GC122" s="198"/>
      <c r="GD122" s="198"/>
      <c r="GE122" s="198"/>
      <c r="GF122" s="198"/>
      <c r="GG122" s="198"/>
      <c r="GH122" s="198"/>
      <c r="GI122" s="198"/>
      <c r="GJ122" s="198"/>
      <c r="GK122" s="198"/>
      <c r="GL122" s="198"/>
      <c r="GM122" s="198"/>
      <c r="GN122" s="198"/>
      <c r="GO122" s="198"/>
      <c r="GP122" s="198"/>
      <c r="GQ122" s="198"/>
      <c r="GR122" s="198"/>
      <c r="GS122" s="198"/>
      <c r="GT122" s="198"/>
      <c r="GU122" s="198"/>
      <c r="GV122" s="198"/>
      <c r="GW122" s="198"/>
      <c r="GX122" s="198"/>
      <c r="GY122" s="198"/>
      <c r="GZ122" s="198"/>
      <c r="HA122" s="198"/>
      <c r="HB122" s="198"/>
      <c r="HC122" s="198"/>
      <c r="HD122" s="198"/>
      <c r="HE122" s="198"/>
      <c r="HF122" s="198"/>
      <c r="HG122" s="198"/>
      <c r="HH122" s="198"/>
      <c r="HI122" s="198"/>
    </row>
    <row r="123" spans="1:253" ht="17.25" customHeight="1">
      <c r="A123" s="306"/>
      <c r="B123" s="293"/>
      <c r="I123" s="1295"/>
      <c r="J123" s="1295"/>
      <c r="K123" s="1295"/>
      <c r="L123" s="1295"/>
      <c r="M123" s="446"/>
      <c r="N123" s="128"/>
      <c r="O123" s="128"/>
      <c r="P123" s="200"/>
      <c r="Q123" s="200"/>
      <c r="R123" s="200"/>
      <c r="S123" s="200"/>
      <c r="T123" s="200"/>
      <c r="U123" s="200"/>
      <c r="V123" s="200"/>
      <c r="W123" s="200"/>
      <c r="X123" s="200"/>
      <c r="Y123" s="200"/>
      <c r="Z123" s="200"/>
      <c r="AA123" s="200"/>
      <c r="AB123" s="200"/>
      <c r="AC123" s="200"/>
      <c r="AD123" s="200"/>
      <c r="AE123" s="200"/>
      <c r="AF123" s="200"/>
      <c r="AG123" s="200"/>
      <c r="AH123" s="200"/>
      <c r="AI123" s="200"/>
      <c r="AJ123" s="200"/>
      <c r="AK123" s="200"/>
      <c r="AL123" s="200"/>
      <c r="AM123" s="200"/>
      <c r="AN123" s="200"/>
      <c r="AO123" s="367"/>
      <c r="AP123" s="367"/>
      <c r="AS123" s="198"/>
      <c r="AT123" s="198"/>
      <c r="AU123" s="198"/>
      <c r="AV123" s="198"/>
      <c r="AW123" s="198"/>
      <c r="AX123" s="198"/>
    </row>
    <row r="124" spans="1:253" ht="17.25" customHeight="1">
      <c r="A124" s="295" t="s">
        <v>210</v>
      </c>
      <c r="B124" s="293"/>
      <c r="I124" s="465"/>
      <c r="J124" s="465"/>
      <c r="K124" s="465"/>
      <c r="L124" s="465"/>
      <c r="M124" s="446"/>
      <c r="N124" s="128"/>
      <c r="O124" s="128"/>
      <c r="P124" s="200"/>
      <c r="Q124" s="200"/>
      <c r="R124" s="200"/>
      <c r="S124" s="200"/>
      <c r="T124" s="200"/>
      <c r="U124" s="200"/>
      <c r="V124" s="200"/>
      <c r="W124" s="200"/>
      <c r="X124" s="200"/>
      <c r="Y124" s="200"/>
      <c r="Z124" s="200"/>
      <c r="AA124" s="200"/>
      <c r="AB124" s="200"/>
      <c r="AC124" s="200"/>
      <c r="AD124" s="200"/>
      <c r="AE124" s="200"/>
      <c r="AF124" s="200"/>
      <c r="AG124" s="200"/>
      <c r="AH124" s="200"/>
      <c r="AI124" s="200"/>
      <c r="AJ124" s="200"/>
      <c r="AK124" s="200"/>
      <c r="AL124" s="200"/>
      <c r="AM124" s="200"/>
      <c r="AN124" s="200"/>
      <c r="AO124" s="367"/>
      <c r="AP124" s="367"/>
    </row>
    <row r="125" spans="1:253" s="298" customFormat="1" ht="17.25" customHeight="1">
      <c r="A125" s="295" t="s">
        <v>1041</v>
      </c>
      <c r="B125" s="170" t="s">
        <v>1037</v>
      </c>
      <c r="C125" s="299"/>
      <c r="D125" s="299"/>
      <c r="E125" s="299"/>
      <c r="F125" s="299"/>
      <c r="G125" s="299"/>
      <c r="H125" s="299"/>
      <c r="I125" s="200"/>
      <c r="J125" s="200">
        <f>资产负债!H34</f>
        <v>2.45744118</v>
      </c>
      <c r="K125" s="200">
        <f>资产负债!I34</f>
        <v>1.5877899325075417</v>
      </c>
      <c r="L125" s="200">
        <f>资产负债!J34</f>
        <v>6.9659012917560326E-2</v>
      </c>
      <c r="M125" s="200">
        <f>资产负债!K34</f>
        <v>0.60499848633178277</v>
      </c>
      <c r="N125" s="200">
        <f>资产负债!L34</f>
        <v>1.0633845710698786</v>
      </c>
      <c r="O125" s="200">
        <f>资产负债!M34</f>
        <v>7.3336221913556265E-2</v>
      </c>
      <c r="P125" s="200">
        <f>资产负债!N34</f>
        <v>1.1034100130680324</v>
      </c>
      <c r="Q125" s="200">
        <f>资产负债!O34</f>
        <v>2.1135061425663229</v>
      </c>
      <c r="R125" s="200">
        <f>资产负债!P34</f>
        <v>1.5678664571862992</v>
      </c>
      <c r="S125" s="200">
        <f>资产负债!Q34</f>
        <v>3.1123582177107876</v>
      </c>
      <c r="T125" s="200">
        <f>资产负债!R34</f>
        <v>4.6608299287442261</v>
      </c>
      <c r="U125" s="200">
        <f>资产负债!S34</f>
        <v>4.6972977494514376</v>
      </c>
      <c r="V125" s="200">
        <f>资产负债!T34</f>
        <v>6.7988478296706338</v>
      </c>
      <c r="W125" s="200">
        <f>资产负债!U34</f>
        <v>8.8982293825044607</v>
      </c>
      <c r="X125" s="200">
        <f>资产负债!V34</f>
        <v>9.4776761427591492</v>
      </c>
      <c r="Y125" s="200">
        <f>资产负债!W34</f>
        <v>12.124346477718605</v>
      </c>
      <c r="Z125" s="200">
        <f>资产负债!X34</f>
        <v>14.771967353587318</v>
      </c>
      <c r="AA125" s="200">
        <f>资产负债!Y34</f>
        <v>15.896103107284681</v>
      </c>
      <c r="AB125" s="200">
        <f>资产负债!Z34</f>
        <v>19.089532013552439</v>
      </c>
      <c r="AC125" s="200">
        <f>资产负债!AA34</f>
        <v>22.28312182842701</v>
      </c>
      <c r="AD125" s="200">
        <f>资产负债!AB34</f>
        <v>23.955511317971624</v>
      </c>
      <c r="AE125" s="200">
        <f>资产负债!AC34</f>
        <v>27.69613216937891</v>
      </c>
      <c r="AF125" s="200">
        <f>资产负债!AD34</f>
        <v>31.436575825311863</v>
      </c>
      <c r="AG125" s="200">
        <f>资产负债!AE34</f>
        <v>33.655487667749618</v>
      </c>
      <c r="AH125" s="200">
        <f>资产负债!AF34</f>
        <v>37.942785977921034</v>
      </c>
      <c r="AI125" s="200">
        <f>资产负债!AG34</f>
        <v>42.230111421661626</v>
      </c>
      <c r="AJ125" s="200">
        <f>资产负债!AH34</f>
        <v>44.995786925078939</v>
      </c>
      <c r="AK125" s="200">
        <f>资产负债!AI34</f>
        <v>49.829909028195267</v>
      </c>
      <c r="AL125" s="200">
        <f>资产负债!AJ34</f>
        <v>54.664039085896889</v>
      </c>
      <c r="AM125" s="200">
        <f>资产负债!AK34</f>
        <v>57.976590910012249</v>
      </c>
      <c r="AN125" s="200"/>
      <c r="AO125" s="367"/>
      <c r="AP125" s="367"/>
      <c r="AQ125" s="123"/>
      <c r="AR125" s="123"/>
      <c r="AS125" s="123"/>
      <c r="AT125" s="123"/>
      <c r="AU125" s="123"/>
      <c r="AV125" s="123"/>
      <c r="AW125" s="123"/>
      <c r="AX125" s="123"/>
      <c r="AY125" s="123"/>
      <c r="AZ125" s="123"/>
      <c r="BA125" s="123"/>
      <c r="BB125" s="123"/>
      <c r="BC125" s="123"/>
      <c r="BD125" s="123"/>
      <c r="BE125" s="123"/>
      <c r="BF125" s="123"/>
      <c r="BG125" s="123"/>
      <c r="BH125" s="123"/>
      <c r="BI125" s="123"/>
      <c r="BJ125" s="123"/>
      <c r="BK125" s="123"/>
      <c r="BL125" s="123"/>
      <c r="BM125" s="123"/>
      <c r="BN125" s="123"/>
      <c r="BO125" s="123"/>
      <c r="BP125" s="123"/>
      <c r="BQ125" s="123"/>
      <c r="BR125" s="123"/>
      <c r="BS125" s="123"/>
      <c r="BT125" s="123"/>
      <c r="BU125" s="123"/>
      <c r="BV125" s="123"/>
      <c r="BW125" s="123"/>
      <c r="BX125" s="123"/>
      <c r="BY125" s="123"/>
      <c r="BZ125" s="123"/>
      <c r="CA125" s="123"/>
      <c r="CB125" s="123"/>
      <c r="CC125" s="123"/>
      <c r="CD125" s="123"/>
      <c r="CE125" s="123"/>
      <c r="CF125" s="123"/>
      <c r="CG125" s="123"/>
      <c r="CH125" s="123"/>
      <c r="CI125" s="123"/>
      <c r="CJ125" s="123"/>
      <c r="CK125" s="123"/>
      <c r="CL125" s="123"/>
      <c r="CM125" s="123"/>
      <c r="CN125" s="123"/>
      <c r="CO125" s="123"/>
      <c r="CP125" s="123"/>
      <c r="CQ125" s="123"/>
      <c r="CR125" s="123"/>
      <c r="CS125" s="123"/>
      <c r="CT125" s="123"/>
      <c r="CU125" s="123"/>
      <c r="CV125" s="123"/>
      <c r="CW125" s="123"/>
      <c r="CX125" s="123"/>
      <c r="CY125" s="123"/>
      <c r="CZ125" s="123"/>
      <c r="DA125" s="123"/>
      <c r="DB125" s="123"/>
      <c r="DC125" s="123"/>
      <c r="DD125" s="123"/>
      <c r="DE125" s="123"/>
      <c r="DF125" s="123"/>
      <c r="DG125" s="123"/>
      <c r="DH125" s="123"/>
      <c r="DI125" s="123"/>
      <c r="DJ125" s="123"/>
      <c r="DK125" s="123"/>
      <c r="DL125" s="123"/>
      <c r="DM125" s="123"/>
      <c r="DN125" s="123"/>
      <c r="DO125" s="123"/>
      <c r="DP125" s="123"/>
      <c r="DQ125" s="123"/>
      <c r="DR125" s="123"/>
      <c r="DS125" s="123"/>
      <c r="DT125" s="123"/>
      <c r="DU125" s="123"/>
      <c r="DV125" s="123"/>
      <c r="DW125" s="123"/>
      <c r="DX125" s="123"/>
      <c r="DY125" s="123"/>
      <c r="DZ125" s="123"/>
      <c r="EA125" s="123"/>
      <c r="EB125" s="123"/>
      <c r="EC125" s="123"/>
      <c r="ED125" s="123"/>
      <c r="EE125" s="123"/>
      <c r="EF125" s="123"/>
      <c r="EG125" s="123"/>
      <c r="EH125" s="123"/>
      <c r="EI125" s="123"/>
      <c r="EJ125" s="123"/>
      <c r="EK125" s="123"/>
      <c r="EL125" s="123"/>
      <c r="EM125" s="123"/>
      <c r="EN125" s="123"/>
      <c r="EO125" s="123"/>
      <c r="EP125" s="123"/>
      <c r="EQ125" s="123"/>
      <c r="ER125" s="123"/>
      <c r="ES125" s="123"/>
      <c r="ET125" s="123"/>
      <c r="EU125" s="123"/>
      <c r="EV125" s="123"/>
      <c r="EW125" s="123"/>
      <c r="EX125" s="123"/>
      <c r="EY125" s="123"/>
      <c r="EZ125" s="123"/>
      <c r="FA125" s="123"/>
      <c r="FB125" s="123"/>
      <c r="FC125" s="123"/>
      <c r="FD125" s="123"/>
      <c r="FE125" s="123"/>
      <c r="FF125" s="123"/>
      <c r="FG125" s="123"/>
      <c r="FH125" s="123"/>
      <c r="FI125" s="123"/>
      <c r="FJ125" s="123"/>
      <c r="FK125" s="123"/>
      <c r="FL125" s="123"/>
      <c r="FM125" s="123"/>
      <c r="FN125" s="123"/>
      <c r="FO125" s="123"/>
      <c r="FP125" s="123"/>
      <c r="FQ125" s="123"/>
      <c r="FR125" s="123"/>
      <c r="FS125" s="123"/>
      <c r="FT125" s="123"/>
      <c r="FU125" s="123"/>
      <c r="FV125" s="123"/>
      <c r="FW125" s="123"/>
      <c r="FX125" s="123"/>
      <c r="FY125" s="123"/>
      <c r="FZ125" s="123"/>
      <c r="GA125" s="123"/>
      <c r="GB125" s="123"/>
      <c r="GC125" s="123"/>
      <c r="GD125" s="123"/>
      <c r="GE125" s="123"/>
      <c r="GF125" s="123"/>
      <c r="GG125" s="123"/>
      <c r="GH125" s="123"/>
      <c r="GI125" s="123"/>
      <c r="GJ125" s="123"/>
      <c r="GK125" s="123"/>
      <c r="GL125" s="123"/>
      <c r="GM125" s="123"/>
      <c r="GN125" s="123"/>
      <c r="GO125" s="123"/>
      <c r="GP125" s="123"/>
      <c r="GQ125" s="123"/>
      <c r="GR125" s="123"/>
      <c r="GS125" s="123"/>
      <c r="GT125" s="123"/>
      <c r="GU125" s="123"/>
      <c r="GV125" s="123"/>
      <c r="GW125" s="123"/>
      <c r="GX125" s="123"/>
      <c r="GY125" s="123"/>
      <c r="GZ125" s="123"/>
      <c r="HA125" s="123"/>
      <c r="HB125" s="123"/>
      <c r="HC125" s="123"/>
      <c r="HD125" s="123"/>
      <c r="HE125" s="123"/>
      <c r="HF125" s="123"/>
      <c r="HG125" s="123"/>
      <c r="HH125" s="123"/>
      <c r="HI125" s="123"/>
    </row>
    <row r="126" spans="1:253" ht="17.25" customHeight="1">
      <c r="A126" s="311" t="s">
        <v>1040</v>
      </c>
      <c r="B126" s="170" t="s">
        <v>216</v>
      </c>
      <c r="C126" s="299"/>
      <c r="D126" s="299"/>
      <c r="E126" s="299"/>
      <c r="F126" s="299"/>
      <c r="G126" s="299"/>
      <c r="H126" s="299"/>
      <c r="I126" s="200"/>
      <c r="J126" s="200">
        <f>假设!I100</f>
        <v>0.9117721406682876</v>
      </c>
      <c r="K126" s="200">
        <f>假设!J100</f>
        <v>-1.0360444318938848</v>
      </c>
      <c r="L126" s="200">
        <f>假设!K100</f>
        <v>1.1359644295377707</v>
      </c>
      <c r="M126" s="200">
        <f>假设!L100</f>
        <v>1.0847784635693161</v>
      </c>
      <c r="N126" s="200">
        <f>假设!M100</f>
        <v>-0.96428092644865016</v>
      </c>
      <c r="O126" s="200">
        <f>假设!N100</f>
        <v>1.0233750214761153</v>
      </c>
      <c r="P126" s="200">
        <f>假设!O100</f>
        <v>1.0472841031745626</v>
      </c>
      <c r="Q126" s="200">
        <f>假设!P100</f>
        <v>-1.0495466275209104</v>
      </c>
      <c r="R126" s="200">
        <f>假设!Q100</f>
        <v>1.0330685453765547</v>
      </c>
      <c r="S126" s="200">
        <f>假设!R100</f>
        <v>1.0230261976281634</v>
      </c>
      <c r="T126" s="200">
        <f>假设!S100</f>
        <v>-1.0351979207309869</v>
      </c>
      <c r="U126" s="200">
        <f>假设!T100</f>
        <v>1.0375788409307081</v>
      </c>
      <c r="V126" s="200">
        <f>假设!U100</f>
        <v>1.0356486079942564</v>
      </c>
      <c r="W126" s="200">
        <f>假设!V100</f>
        <v>-1.0328911669277798</v>
      </c>
      <c r="X126" s="200">
        <f>假设!W100</f>
        <v>1.0328556948929097</v>
      </c>
      <c r="Y126" s="200">
        <f>假设!X100</f>
        <v>1.0348328987512343</v>
      </c>
      <c r="Z126" s="200">
        <f>假设!Y100</f>
        <v>-1.0347599098020202</v>
      </c>
      <c r="AA126" s="200">
        <f>假设!Z100</f>
        <v>1.0341970432716163</v>
      </c>
      <c r="AB126" s="200">
        <f>假设!AA100</f>
        <v>1.0339069745599083</v>
      </c>
      <c r="AC126" s="200">
        <f>假设!AB100</f>
        <v>-1.0341102559357067</v>
      </c>
      <c r="AD126" s="200">
        <f>假设!AC100</f>
        <v>1.0343613509477951</v>
      </c>
      <c r="AE126" s="200">
        <f>假设!AD100</f>
        <v>1.0342670671749641</v>
      </c>
      <c r="AF126" s="200">
        <f>假设!AE100</f>
        <v>-1.0341685268212719</v>
      </c>
      <c r="AG126" s="200">
        <f>假设!AF100</f>
        <v>1.0341628236255596</v>
      </c>
      <c r="AH126" s="200">
        <f>假设!AG100</f>
        <v>1.0342140010356315</v>
      </c>
      <c r="AI126" s="200">
        <f>假设!AH100</f>
        <v>-1.034234751304546</v>
      </c>
      <c r="AJ126" s="200">
        <f>假设!AI100</f>
        <v>1.0342094332353615</v>
      </c>
      <c r="AK126" s="200">
        <f>假设!AJ100</f>
        <v>1.0341979068328411</v>
      </c>
      <c r="AL126" s="200">
        <f>假设!AK100</f>
        <v>-1.0342037829353141</v>
      </c>
      <c r="AM126" s="200">
        <f>假设!AL100</f>
        <v>1.0342119749919323</v>
      </c>
      <c r="AN126" s="200"/>
      <c r="AO126" s="367"/>
      <c r="AP126" s="367"/>
    </row>
    <row r="127" spans="1:253" ht="17.25" customHeight="1">
      <c r="A127" s="169" t="s">
        <v>224</v>
      </c>
      <c r="B127" s="170" t="s">
        <v>222</v>
      </c>
      <c r="C127" s="302"/>
      <c r="D127" s="302"/>
      <c r="E127" s="302"/>
      <c r="F127" s="302"/>
      <c r="G127" s="302"/>
      <c r="H127" s="302"/>
      <c r="I127" s="200"/>
      <c r="J127" s="200">
        <f>SUM(J71:J101)</f>
        <v>1.781423388160746</v>
      </c>
      <c r="K127" s="200">
        <f t="shared" ref="K127:AM127" si="85">SUM(K71:K101)</f>
        <v>0.48208648769609658</v>
      </c>
      <c r="L127" s="200">
        <f t="shared" si="85"/>
        <v>0.60062495612354816</v>
      </c>
      <c r="M127" s="200">
        <f t="shared" si="85"/>
        <v>0.62639237883122034</v>
      </c>
      <c r="N127" s="200">
        <f t="shared" si="85"/>
        <v>2.5767422707672183E-2</v>
      </c>
      <c r="O127" s="200">
        <f t="shared" si="85"/>
        <v>-6.6987696783609163E-3</v>
      </c>
      <c r="P127" s="200">
        <f t="shared" si="85"/>
        <v>3.7187973676272024E-2</v>
      </c>
      <c r="Q127" s="200">
        <f t="shared" si="85"/>
        <v>-0.50390694214088683</v>
      </c>
      <c r="R127" s="200">
        <f t="shared" si="85"/>
        <v>-0.51142321514793376</v>
      </c>
      <c r="S127" s="200">
        <f t="shared" si="85"/>
        <v>-0.52544551340527468</v>
      </c>
      <c r="T127" s="200">
        <f t="shared" si="85"/>
        <v>-1.0716657414381983</v>
      </c>
      <c r="U127" s="200">
        <f t="shared" si="85"/>
        <v>-1.0639712392884881</v>
      </c>
      <c r="V127" s="200">
        <f t="shared" si="85"/>
        <v>-1.0637329448395707</v>
      </c>
      <c r="W127" s="200">
        <f t="shared" si="85"/>
        <v>-1.6123379271824685</v>
      </c>
      <c r="X127" s="200">
        <f t="shared" si="85"/>
        <v>-1.613814640066547</v>
      </c>
      <c r="Y127" s="200">
        <f t="shared" si="85"/>
        <v>-1.6127879771174785</v>
      </c>
      <c r="Z127" s="200">
        <f t="shared" si="85"/>
        <v>-2.1588956634993819</v>
      </c>
      <c r="AA127" s="200">
        <f t="shared" si="85"/>
        <v>-2.1592318629961404</v>
      </c>
      <c r="AB127" s="200">
        <f t="shared" si="85"/>
        <v>-2.1596828403146624</v>
      </c>
      <c r="AC127" s="200">
        <f t="shared" si="85"/>
        <v>-2.7064997454803228</v>
      </c>
      <c r="AD127" s="200">
        <f t="shared" si="85"/>
        <v>-2.7062595004594909</v>
      </c>
      <c r="AE127" s="200">
        <f t="shared" si="85"/>
        <v>-2.7061765887579892</v>
      </c>
      <c r="AF127" s="200">
        <f t="shared" si="85"/>
        <v>-3.2530803692590284</v>
      </c>
      <c r="AG127" s="200">
        <f t="shared" si="85"/>
        <v>-3.253135486545855</v>
      </c>
      <c r="AH127" s="200">
        <f t="shared" si="85"/>
        <v>-3.2531114427049617</v>
      </c>
      <c r="AI127" s="200">
        <f t="shared" si="85"/>
        <v>-3.7999102547218597</v>
      </c>
      <c r="AJ127" s="200">
        <f t="shared" si="85"/>
        <v>-3.7999126698809662</v>
      </c>
      <c r="AK127" s="200">
        <f t="shared" si="85"/>
        <v>-3.799932150868774</v>
      </c>
      <c r="AL127" s="200">
        <f t="shared" si="85"/>
        <v>-4.3467556070506772</v>
      </c>
      <c r="AM127" s="200">
        <f t="shared" si="85"/>
        <v>-4.3467481687126304</v>
      </c>
      <c r="AN127" s="200"/>
      <c r="AO127" s="367"/>
      <c r="AP127" s="367"/>
    </row>
    <row r="128" spans="1:253" s="304" customFormat="1" ht="17.25" customHeight="1">
      <c r="A128" s="295" t="s">
        <v>1042</v>
      </c>
      <c r="B128" s="509" t="s">
        <v>859</v>
      </c>
      <c r="C128" s="301"/>
      <c r="D128" s="301"/>
      <c r="E128" s="301"/>
      <c r="F128" s="301"/>
      <c r="G128" s="301"/>
      <c r="H128" s="301"/>
      <c r="I128" s="464"/>
      <c r="J128" s="128">
        <f>J125+J126-J127</f>
        <v>1.5877899325075417</v>
      </c>
      <c r="K128" s="128">
        <f t="shared" ref="K128:AM128" si="86">K125+K126-K127</f>
        <v>6.9659012917560326E-2</v>
      </c>
      <c r="L128" s="128">
        <f t="shared" si="86"/>
        <v>0.60499848633178277</v>
      </c>
      <c r="M128" s="128">
        <f t="shared" si="86"/>
        <v>1.0633845710698786</v>
      </c>
      <c r="N128" s="128">
        <f t="shared" si="86"/>
        <v>7.3336221913556265E-2</v>
      </c>
      <c r="O128" s="128">
        <f t="shared" si="86"/>
        <v>1.1034100130680324</v>
      </c>
      <c r="P128" s="128">
        <f t="shared" si="86"/>
        <v>2.1135061425663229</v>
      </c>
      <c r="Q128" s="128">
        <f t="shared" si="86"/>
        <v>1.5678664571862992</v>
      </c>
      <c r="R128" s="128">
        <f t="shared" si="86"/>
        <v>3.1123582177107876</v>
      </c>
      <c r="S128" s="128">
        <f t="shared" si="86"/>
        <v>4.6608299287442261</v>
      </c>
      <c r="T128" s="128">
        <f t="shared" si="86"/>
        <v>4.6972977494514376</v>
      </c>
      <c r="U128" s="128">
        <f t="shared" si="86"/>
        <v>6.7988478296706338</v>
      </c>
      <c r="V128" s="128">
        <f t="shared" si="86"/>
        <v>8.8982293825044607</v>
      </c>
      <c r="W128" s="128">
        <f t="shared" si="86"/>
        <v>9.4776761427591492</v>
      </c>
      <c r="X128" s="128">
        <f t="shared" si="86"/>
        <v>12.124346477718605</v>
      </c>
      <c r="Y128" s="128">
        <f t="shared" si="86"/>
        <v>14.771967353587318</v>
      </c>
      <c r="Z128" s="128">
        <f t="shared" si="86"/>
        <v>15.896103107284681</v>
      </c>
      <c r="AA128" s="128">
        <f t="shared" si="86"/>
        <v>19.089532013552439</v>
      </c>
      <c r="AB128" s="128">
        <f t="shared" si="86"/>
        <v>22.28312182842701</v>
      </c>
      <c r="AC128" s="128">
        <f t="shared" si="86"/>
        <v>23.955511317971624</v>
      </c>
      <c r="AD128" s="128">
        <f t="shared" si="86"/>
        <v>27.69613216937891</v>
      </c>
      <c r="AE128" s="128">
        <f t="shared" si="86"/>
        <v>31.436575825311863</v>
      </c>
      <c r="AF128" s="128">
        <f t="shared" si="86"/>
        <v>33.655487667749618</v>
      </c>
      <c r="AG128" s="128">
        <f t="shared" si="86"/>
        <v>37.942785977921034</v>
      </c>
      <c r="AH128" s="128">
        <f t="shared" si="86"/>
        <v>42.230111421661626</v>
      </c>
      <c r="AI128" s="128">
        <f t="shared" si="86"/>
        <v>44.995786925078939</v>
      </c>
      <c r="AJ128" s="128">
        <f t="shared" si="86"/>
        <v>49.829909028195267</v>
      </c>
      <c r="AK128" s="128">
        <f t="shared" si="86"/>
        <v>54.664039085896889</v>
      </c>
      <c r="AL128" s="128">
        <f t="shared" si="86"/>
        <v>57.976590910012249</v>
      </c>
      <c r="AM128" s="128">
        <f t="shared" si="86"/>
        <v>63.357551053716811</v>
      </c>
      <c r="AN128" s="128"/>
      <c r="AO128" s="225"/>
      <c r="AP128" s="225"/>
      <c r="AQ128" s="198"/>
      <c r="AR128" s="198"/>
      <c r="AS128" s="198"/>
      <c r="AT128" s="198"/>
      <c r="AU128" s="198"/>
      <c r="AV128" s="198"/>
      <c r="AW128" s="198"/>
      <c r="AX128" s="198"/>
      <c r="AY128" s="198"/>
      <c r="AZ128" s="198"/>
      <c r="BA128" s="198"/>
      <c r="BB128" s="198"/>
      <c r="BC128" s="198"/>
      <c r="BD128" s="198"/>
      <c r="BE128" s="198"/>
      <c r="BF128" s="198"/>
      <c r="BG128" s="198"/>
      <c r="BH128" s="198"/>
      <c r="BI128" s="198"/>
      <c r="BJ128" s="198"/>
      <c r="BK128" s="198"/>
      <c r="BL128" s="198"/>
      <c r="BM128" s="198"/>
      <c r="BN128" s="198"/>
      <c r="BO128" s="198"/>
      <c r="BP128" s="198"/>
      <c r="BQ128" s="198"/>
      <c r="BR128" s="198"/>
      <c r="BS128" s="198"/>
      <c r="BT128" s="198"/>
      <c r="BU128" s="198"/>
      <c r="BV128" s="198"/>
      <c r="BW128" s="198"/>
      <c r="BX128" s="198"/>
      <c r="BY128" s="198"/>
      <c r="BZ128" s="198"/>
      <c r="CA128" s="198"/>
      <c r="CB128" s="198"/>
      <c r="CC128" s="198"/>
      <c r="CD128" s="198"/>
      <c r="CE128" s="198"/>
      <c r="CF128" s="198"/>
      <c r="CG128" s="198"/>
      <c r="CH128" s="198"/>
      <c r="CI128" s="198"/>
      <c r="CJ128" s="198"/>
      <c r="CK128" s="198"/>
      <c r="CL128" s="198"/>
      <c r="CM128" s="198"/>
      <c r="CN128" s="198"/>
      <c r="CO128" s="198"/>
      <c r="CP128" s="198"/>
      <c r="CQ128" s="198"/>
      <c r="CR128" s="198"/>
      <c r="CS128" s="198"/>
      <c r="CT128" s="198"/>
      <c r="CU128" s="198"/>
      <c r="CV128" s="198"/>
      <c r="CW128" s="198"/>
      <c r="CX128" s="198"/>
      <c r="CY128" s="198"/>
      <c r="CZ128" s="198"/>
      <c r="DA128" s="198"/>
      <c r="DB128" s="198"/>
      <c r="DC128" s="198"/>
      <c r="DD128" s="198"/>
      <c r="DE128" s="198"/>
      <c r="DF128" s="198"/>
      <c r="DG128" s="198"/>
      <c r="DH128" s="198"/>
      <c r="DI128" s="198"/>
      <c r="DJ128" s="198"/>
      <c r="DK128" s="198"/>
      <c r="DL128" s="198"/>
      <c r="DM128" s="198"/>
      <c r="DN128" s="198"/>
      <c r="DO128" s="198"/>
      <c r="DP128" s="198"/>
      <c r="DQ128" s="198"/>
      <c r="DR128" s="198"/>
      <c r="DS128" s="198"/>
      <c r="DT128" s="198"/>
      <c r="DU128" s="198"/>
      <c r="DV128" s="198"/>
      <c r="DW128" s="198"/>
      <c r="DX128" s="198"/>
      <c r="DY128" s="198"/>
      <c r="DZ128" s="198"/>
      <c r="EA128" s="198"/>
      <c r="EB128" s="198"/>
      <c r="EC128" s="198"/>
      <c r="ED128" s="198"/>
      <c r="EE128" s="198"/>
      <c r="EF128" s="198"/>
      <c r="EG128" s="198"/>
      <c r="EH128" s="198"/>
      <c r="EI128" s="198"/>
      <c r="EJ128" s="198"/>
      <c r="EK128" s="198"/>
      <c r="EL128" s="198"/>
      <c r="EM128" s="198"/>
      <c r="EN128" s="198"/>
      <c r="EO128" s="198"/>
      <c r="EP128" s="198"/>
      <c r="EQ128" s="198"/>
      <c r="ER128" s="198"/>
      <c r="ES128" s="198"/>
      <c r="ET128" s="198"/>
      <c r="EU128" s="198"/>
      <c r="EV128" s="198"/>
      <c r="EW128" s="198"/>
      <c r="EX128" s="198"/>
      <c r="EY128" s="198"/>
      <c r="EZ128" s="198"/>
      <c r="FA128" s="198"/>
      <c r="FB128" s="198"/>
      <c r="FC128" s="198"/>
      <c r="FD128" s="198"/>
      <c r="FE128" s="198"/>
      <c r="FF128" s="198"/>
      <c r="FG128" s="198"/>
      <c r="FH128" s="198"/>
      <c r="FI128" s="198"/>
      <c r="FJ128" s="198"/>
      <c r="FK128" s="198"/>
      <c r="FL128" s="198"/>
      <c r="FM128" s="198"/>
      <c r="FN128" s="198"/>
      <c r="FO128" s="198"/>
      <c r="FP128" s="198"/>
      <c r="FQ128" s="198"/>
      <c r="FR128" s="198"/>
      <c r="FS128" s="198"/>
      <c r="FT128" s="198"/>
      <c r="FU128" s="198"/>
      <c r="FV128" s="198"/>
      <c r="FW128" s="198"/>
      <c r="FX128" s="198"/>
      <c r="FY128" s="198"/>
      <c r="FZ128" s="198"/>
      <c r="GA128" s="198"/>
      <c r="GB128" s="198"/>
      <c r="GC128" s="198"/>
      <c r="GD128" s="198"/>
      <c r="GE128" s="198"/>
      <c r="GF128" s="198"/>
      <c r="GG128" s="198"/>
      <c r="GH128" s="198"/>
      <c r="GI128" s="198"/>
      <c r="GJ128" s="198"/>
      <c r="GK128" s="198"/>
      <c r="GL128" s="198"/>
      <c r="GM128" s="198"/>
      <c r="GN128" s="198"/>
      <c r="GO128" s="198"/>
      <c r="GP128" s="198"/>
      <c r="GQ128" s="198"/>
      <c r="GR128" s="198"/>
      <c r="GS128" s="198"/>
      <c r="GT128" s="198"/>
      <c r="GU128" s="198"/>
      <c r="GV128" s="198"/>
      <c r="GW128" s="198"/>
      <c r="GX128" s="198"/>
      <c r="GY128" s="198"/>
      <c r="GZ128" s="198"/>
      <c r="HA128" s="198"/>
      <c r="HB128" s="198"/>
      <c r="HC128" s="198"/>
      <c r="HD128" s="198"/>
      <c r="HE128" s="198"/>
      <c r="HF128" s="198"/>
      <c r="HG128" s="198"/>
      <c r="HH128" s="198"/>
      <c r="HI128" s="198"/>
    </row>
    <row r="129" spans="2:42" ht="17.25" customHeight="1">
      <c r="B129" s="293"/>
      <c r="I129" s="200"/>
      <c r="J129" s="200"/>
      <c r="K129" s="200"/>
      <c r="L129" s="200"/>
      <c r="M129" s="200"/>
      <c r="N129" s="200"/>
      <c r="O129" s="200"/>
      <c r="P129" s="200"/>
      <c r="Q129" s="200"/>
      <c r="R129" s="200"/>
      <c r="S129" s="200"/>
      <c r="T129" s="200"/>
      <c r="U129" s="200"/>
      <c r="V129" s="200"/>
      <c r="W129" s="200"/>
      <c r="X129" s="200"/>
      <c r="Y129" s="200"/>
      <c r="Z129" s="200"/>
      <c r="AA129" s="200"/>
      <c r="AB129" s="200"/>
      <c r="AC129" s="200"/>
      <c r="AD129" s="200"/>
      <c r="AE129" s="200"/>
      <c r="AF129" s="200"/>
      <c r="AG129" s="200"/>
      <c r="AH129" s="200"/>
      <c r="AI129" s="200"/>
      <c r="AJ129" s="200"/>
      <c r="AK129" s="200"/>
      <c r="AL129" s="200"/>
      <c r="AM129" s="200"/>
      <c r="AN129" s="200"/>
      <c r="AO129" s="367"/>
      <c r="AP129" s="367"/>
    </row>
    <row r="130" spans="2:42" customFormat="1" ht="17.25" customHeight="1"/>
    <row r="131" spans="2:42" customFormat="1" ht="17.25" customHeight="1"/>
    <row r="132" spans="2:42" customFormat="1" ht="17.25" customHeight="1"/>
    <row r="133" spans="2:42" customFormat="1" ht="17.25" customHeight="1"/>
    <row r="134" spans="2:42" customFormat="1" ht="17.25" customHeight="1"/>
    <row r="135" spans="2:42" customFormat="1" ht="17.25" customHeight="1"/>
    <row r="136" spans="2:42" customFormat="1" ht="17.25" customHeight="1"/>
    <row r="137" spans="2:42" customFormat="1" ht="17.25" customHeight="1"/>
    <row r="138" spans="2:42" customFormat="1" ht="17.25" customHeight="1"/>
    <row r="139" spans="2:42" customFormat="1" ht="17.25" customHeight="1"/>
    <row r="140" spans="2:42" customFormat="1" ht="17.25" customHeight="1"/>
    <row r="141" spans="2:42" customFormat="1" ht="17.25" customHeight="1"/>
    <row r="142" spans="2:42" customFormat="1" ht="17.25" customHeight="1"/>
    <row r="143" spans="2:42" customFormat="1" ht="17.25" customHeight="1"/>
    <row r="144" spans="2:42" customFormat="1" ht="17.25" customHeight="1"/>
    <row r="145" customFormat="1" ht="17.25" customHeight="1"/>
    <row r="146" customFormat="1" ht="17.25" customHeight="1"/>
    <row r="147" customFormat="1" ht="17.25" customHeight="1"/>
    <row r="148" customFormat="1" ht="17.25" customHeight="1"/>
    <row r="149" customFormat="1" ht="17.25" customHeight="1"/>
    <row r="150" customFormat="1" ht="17.25" customHeight="1"/>
    <row r="151" customFormat="1" ht="17.25" customHeight="1"/>
    <row r="152" customFormat="1" ht="17.25" customHeight="1"/>
    <row r="153" customFormat="1" ht="17.25" customHeight="1"/>
    <row r="154" customFormat="1" ht="17.25" customHeight="1"/>
    <row r="155" customFormat="1" ht="17.25" customHeight="1"/>
    <row r="156" customFormat="1" ht="17.25" customHeight="1"/>
    <row r="157" customFormat="1" ht="17.25" customHeight="1"/>
    <row r="158" customFormat="1" ht="17.25" customHeight="1"/>
    <row r="159" customFormat="1" ht="17.25" customHeight="1"/>
    <row r="160" customFormat="1" ht="17.25" customHeight="1"/>
    <row r="161" customFormat="1" ht="17.25" customHeight="1"/>
    <row r="162" customFormat="1" ht="17.25" customHeight="1"/>
    <row r="163" customFormat="1" ht="17.25" customHeight="1"/>
    <row r="164" customFormat="1" ht="17.25" customHeight="1"/>
    <row r="165" customFormat="1" ht="17.25" customHeight="1"/>
    <row r="166" customFormat="1" ht="17.25" customHeight="1"/>
    <row r="167" customFormat="1" ht="17.25" customHeight="1"/>
    <row r="168" customFormat="1" ht="17.25" customHeight="1"/>
    <row r="169" customFormat="1" ht="17.25" customHeight="1"/>
    <row r="170" customFormat="1" ht="17.25" customHeight="1"/>
    <row r="171" customFormat="1" ht="17.25" customHeight="1"/>
    <row r="172" customFormat="1" ht="17.25" customHeight="1"/>
    <row r="173" customFormat="1" ht="17.25" customHeight="1"/>
    <row r="174" customFormat="1" ht="17.25" customHeight="1"/>
    <row r="175" customFormat="1" ht="17.25" customHeight="1"/>
    <row r="176" customFormat="1" ht="17.25" customHeight="1"/>
    <row r="177" customFormat="1" ht="17.25" customHeight="1"/>
    <row r="178" customFormat="1" ht="17.25" customHeight="1"/>
    <row r="179" customFormat="1" ht="17.25" customHeight="1"/>
    <row r="180" customFormat="1" ht="17.25" customHeight="1"/>
    <row r="181" customFormat="1" ht="17.25" customHeight="1"/>
    <row r="182" customFormat="1" ht="17.25" customHeight="1"/>
    <row r="183" customFormat="1" ht="17.25" customHeight="1"/>
    <row r="184" customFormat="1" ht="17.25" customHeight="1"/>
    <row r="185" customFormat="1" ht="17.25" customHeight="1"/>
    <row r="186" customFormat="1" ht="17.25" customHeight="1"/>
    <row r="187" customFormat="1" ht="17.25" customHeight="1"/>
    <row r="188" customFormat="1" ht="17.25" customHeight="1"/>
    <row r="189" customFormat="1" ht="17.25" customHeight="1"/>
    <row r="190" customFormat="1" ht="17.25" customHeight="1"/>
    <row r="191" customFormat="1" ht="17.25" customHeight="1"/>
    <row r="192" customFormat="1" ht="17.25" customHeight="1"/>
    <row r="193" customFormat="1" ht="17.25" customHeight="1"/>
    <row r="194" customFormat="1" ht="17.25" customHeight="1"/>
    <row r="195" customFormat="1" ht="17.25" customHeight="1"/>
    <row r="196" customFormat="1" ht="17.25" customHeight="1"/>
    <row r="197" customFormat="1" ht="17.25" customHeight="1"/>
    <row r="198" customFormat="1" ht="17.25" customHeight="1"/>
    <row r="199" customFormat="1" ht="17.25" customHeight="1"/>
    <row r="200" customFormat="1" ht="17.25" customHeight="1"/>
    <row r="201" customFormat="1" ht="17.25" customHeight="1"/>
    <row r="202" customFormat="1" ht="17.25" customHeight="1"/>
    <row r="203" customFormat="1" ht="17.25" customHeight="1"/>
    <row r="204" customFormat="1" ht="17.25" customHeight="1"/>
    <row r="205" customFormat="1" ht="17.25" customHeight="1"/>
    <row r="206" customFormat="1" ht="17.25" customHeight="1"/>
    <row r="207" customFormat="1" ht="17.25" customHeight="1"/>
    <row r="208" customFormat="1" ht="17.25" customHeight="1"/>
    <row r="209" customFormat="1" ht="17.25" customHeight="1"/>
    <row r="210" customFormat="1" ht="17.25" customHeight="1"/>
    <row r="211" customFormat="1" ht="17.25" customHeight="1"/>
    <row r="212" customFormat="1" ht="17.25" customHeight="1"/>
    <row r="213" customFormat="1" ht="17.25" customHeight="1"/>
    <row r="214" customFormat="1" ht="17.25" customHeight="1"/>
    <row r="215" customFormat="1" ht="17.25" customHeight="1"/>
    <row r="216" customFormat="1" ht="17.25" customHeight="1"/>
    <row r="217" customFormat="1" ht="17.25" customHeight="1"/>
    <row r="218" customFormat="1" ht="17.25" customHeight="1"/>
    <row r="219" customFormat="1" ht="17.25" customHeight="1"/>
    <row r="220" customFormat="1" ht="17.25" customHeight="1"/>
    <row r="221" customFormat="1" ht="17.25" customHeight="1"/>
    <row r="222" customFormat="1" ht="17.25" customHeight="1"/>
    <row r="223" customFormat="1" ht="17.25" customHeight="1"/>
    <row r="224" customFormat="1" ht="17.25" customHeight="1"/>
    <row r="225" customFormat="1" ht="17.25" customHeight="1"/>
    <row r="226" customFormat="1" ht="17.25" customHeight="1"/>
    <row r="227" customFormat="1" ht="17.25" customHeight="1"/>
    <row r="228" customFormat="1" ht="17.25" customHeight="1"/>
    <row r="229" customFormat="1" ht="17.25" customHeight="1"/>
    <row r="230" customFormat="1" ht="17.25" customHeight="1"/>
    <row r="231" customFormat="1" ht="17.25" customHeight="1"/>
    <row r="232" customFormat="1" ht="17.25" customHeight="1"/>
    <row r="233" customFormat="1" ht="17.25" customHeight="1"/>
    <row r="234" customFormat="1" ht="17.25" customHeight="1"/>
    <row r="235" customFormat="1" ht="17.25" customHeight="1"/>
    <row r="236" customFormat="1" ht="17.25" customHeight="1"/>
    <row r="237" customFormat="1" ht="17.25" customHeight="1"/>
    <row r="238" customFormat="1" ht="17.25" customHeight="1"/>
    <row r="239" customFormat="1" ht="17.25" customHeight="1"/>
    <row r="240" customFormat="1" ht="17.25" customHeight="1"/>
    <row r="241" customFormat="1" ht="17.25" customHeight="1"/>
    <row r="242" customFormat="1" ht="17.25" customHeight="1"/>
    <row r="243" customFormat="1" ht="17.25" customHeight="1"/>
    <row r="244" customFormat="1" ht="17.25" customHeight="1"/>
    <row r="245" customFormat="1" ht="17.25" customHeight="1"/>
    <row r="246" customFormat="1" ht="17.25" customHeight="1"/>
    <row r="247" customFormat="1" ht="17.25" customHeight="1"/>
    <row r="248" customFormat="1" ht="17.25" customHeight="1"/>
    <row r="249" customFormat="1" ht="17.25" customHeight="1"/>
    <row r="250" customFormat="1" ht="17.25" customHeight="1"/>
    <row r="251" customFormat="1" ht="17.25" customHeight="1"/>
    <row r="252" customFormat="1" ht="17.25" customHeight="1"/>
    <row r="253" customFormat="1" ht="17.25" customHeight="1"/>
    <row r="254" customFormat="1" ht="17.25" customHeight="1"/>
    <row r="255" customFormat="1" ht="17.25" customHeight="1"/>
    <row r="256" customFormat="1" ht="17.25" customHeight="1"/>
    <row r="257" customFormat="1" ht="17.25" customHeight="1"/>
    <row r="258" customFormat="1" ht="17.25" customHeight="1"/>
    <row r="259" customFormat="1" ht="17.25" customHeight="1"/>
    <row r="260" customFormat="1" ht="17.25" customHeight="1"/>
    <row r="261" customFormat="1" ht="17.25" customHeight="1"/>
    <row r="262" customFormat="1" ht="17.25" customHeight="1"/>
    <row r="263" customFormat="1" ht="17.25" customHeight="1"/>
    <row r="264" customFormat="1" ht="17.25" customHeight="1"/>
    <row r="265" customFormat="1" ht="17.25" customHeight="1"/>
    <row r="266" customFormat="1" ht="17.25" customHeight="1"/>
    <row r="267" customFormat="1" ht="17.25" customHeight="1"/>
    <row r="268" customFormat="1" ht="17.25" customHeight="1"/>
    <row r="269" customFormat="1" ht="17.25" customHeight="1"/>
    <row r="270" customFormat="1" ht="17.25" customHeight="1"/>
    <row r="271" customFormat="1" ht="17.25" customHeight="1"/>
    <row r="272" customFormat="1" ht="17.25" customHeight="1"/>
    <row r="273" customFormat="1" ht="17.25" customHeight="1"/>
    <row r="274" customFormat="1" ht="17.25" customHeight="1"/>
    <row r="275" customFormat="1" ht="17.25" customHeight="1"/>
    <row r="276" customFormat="1" ht="17.25" customHeight="1"/>
    <row r="277" customFormat="1" ht="17.25" customHeight="1"/>
    <row r="278" customFormat="1" ht="17.25" customHeight="1"/>
    <row r="279" customFormat="1" ht="17.25" customHeight="1"/>
    <row r="280" customFormat="1" ht="17.25" customHeight="1"/>
    <row r="281" customFormat="1" ht="17.25" customHeight="1"/>
    <row r="282" customFormat="1" ht="17.25" customHeight="1"/>
    <row r="283" customFormat="1" ht="17.25" customHeight="1"/>
    <row r="284" customFormat="1" ht="17.25" customHeight="1"/>
    <row r="285" customFormat="1" ht="17.25" customHeight="1"/>
    <row r="286" customFormat="1" ht="17.25" customHeight="1"/>
    <row r="287" customFormat="1" ht="17.25" customHeight="1"/>
    <row r="288" customFormat="1" ht="17.25" customHeight="1"/>
    <row r="289" customFormat="1" ht="17.25" customHeight="1"/>
    <row r="290" customFormat="1" ht="17.25" customHeight="1"/>
    <row r="291" customFormat="1" ht="17.25" customHeight="1"/>
    <row r="292" customFormat="1" ht="17.25" customHeight="1"/>
    <row r="293" customFormat="1" ht="17.25" customHeight="1"/>
    <row r="294" customFormat="1" ht="17.25" customHeight="1"/>
    <row r="295" customFormat="1" ht="17.25" customHeight="1"/>
    <row r="296" customFormat="1" ht="17.25" customHeight="1"/>
    <row r="297" customFormat="1" ht="17.25" customHeight="1"/>
    <row r="298" customFormat="1" ht="17.25" customHeight="1"/>
    <row r="299" customFormat="1" ht="17.25" customHeight="1"/>
    <row r="300" customFormat="1" ht="17.25" customHeight="1"/>
    <row r="301" customFormat="1" ht="17.25" customHeight="1"/>
    <row r="302" customFormat="1" ht="17.25" customHeight="1"/>
    <row r="303" customFormat="1" ht="17.25" customHeight="1"/>
    <row r="304" customFormat="1" ht="17.25" customHeight="1"/>
    <row r="305" customFormat="1" ht="17.25" customHeight="1"/>
    <row r="306" customFormat="1" ht="17.25" customHeight="1"/>
    <row r="307" customFormat="1" ht="17.25" customHeight="1"/>
    <row r="308" customFormat="1" ht="17.25" customHeight="1"/>
    <row r="309" customFormat="1" ht="17.25" customHeight="1"/>
    <row r="310" customFormat="1" ht="17.25" customHeight="1"/>
    <row r="311" customFormat="1" ht="17.25" customHeight="1"/>
    <row r="312" customFormat="1" ht="17.25" customHeight="1"/>
    <row r="313" customFormat="1" ht="17.25" customHeight="1"/>
    <row r="314" customFormat="1" ht="17.25" customHeight="1"/>
    <row r="315" customFormat="1" ht="17.25" customHeight="1"/>
    <row r="316" customFormat="1" ht="17.25" customHeight="1"/>
    <row r="317" customFormat="1" ht="17.25" customHeight="1"/>
    <row r="318" customFormat="1" ht="17.25" customHeight="1"/>
    <row r="319" customFormat="1" ht="17.25" customHeight="1"/>
    <row r="320" customFormat="1" ht="17.25" customHeight="1"/>
    <row r="321" customFormat="1" ht="17.25" customHeight="1"/>
    <row r="322" customFormat="1" ht="17.25" customHeight="1"/>
    <row r="323" customFormat="1" ht="17.25" customHeight="1"/>
    <row r="324" customFormat="1" ht="17.25" customHeight="1"/>
    <row r="325" customFormat="1" ht="17.25" customHeight="1"/>
    <row r="326" customFormat="1" ht="17.25" customHeight="1"/>
    <row r="327" customFormat="1" ht="17.25" customHeight="1"/>
    <row r="328" customFormat="1" ht="17.25" customHeight="1"/>
    <row r="329" customFormat="1" ht="17.25" customHeight="1"/>
    <row r="330" customFormat="1" ht="17.25" customHeight="1"/>
    <row r="331" customFormat="1" ht="17.25" customHeight="1"/>
    <row r="332" customFormat="1" ht="17.25" customHeight="1"/>
    <row r="333" customFormat="1" ht="17.25" customHeight="1"/>
    <row r="334" customFormat="1" ht="17.25" customHeight="1"/>
    <row r="335" customFormat="1" ht="17.25" customHeight="1"/>
    <row r="336" customFormat="1" ht="17.25" customHeight="1"/>
    <row r="337" customFormat="1" ht="17.25" customHeight="1"/>
    <row r="338" customFormat="1" ht="17.25" customHeight="1"/>
    <row r="339" customFormat="1" ht="17.25" customHeight="1"/>
    <row r="340" customFormat="1" ht="17.25" customHeight="1"/>
    <row r="341" customFormat="1" ht="17.25" customHeight="1"/>
    <row r="342" customFormat="1" ht="17.25" customHeight="1"/>
    <row r="343" customFormat="1" ht="17.25" customHeight="1"/>
    <row r="344" customFormat="1" ht="17.25" customHeight="1"/>
    <row r="345" customFormat="1" ht="17.25" customHeight="1"/>
    <row r="346" customFormat="1" ht="17.25" customHeight="1"/>
    <row r="347" customFormat="1" ht="17.25" customHeight="1"/>
    <row r="348" customFormat="1" ht="17.25" customHeight="1"/>
    <row r="349" customFormat="1" ht="17.25" customHeight="1"/>
    <row r="350" customFormat="1" ht="17.25" customHeight="1"/>
    <row r="351" customFormat="1" ht="17.25" customHeight="1"/>
    <row r="352" customFormat="1" ht="17.25" customHeight="1"/>
    <row r="353" customFormat="1" ht="17.25" customHeight="1"/>
    <row r="354" customFormat="1" ht="17.25" customHeight="1"/>
    <row r="355" customFormat="1" ht="17.25" customHeight="1"/>
    <row r="356" customFormat="1" ht="17.25" customHeight="1"/>
    <row r="357" customFormat="1" ht="17.25" customHeight="1"/>
    <row r="358" customFormat="1" ht="17.25" customHeight="1"/>
    <row r="359" customFormat="1" ht="17.25" customHeight="1"/>
    <row r="360" customFormat="1" ht="17.25" customHeight="1"/>
    <row r="361" customFormat="1" ht="17.25" customHeight="1"/>
    <row r="362" customFormat="1" ht="17.25" customHeight="1"/>
    <row r="363" customFormat="1" ht="17.25" customHeight="1"/>
    <row r="364" customFormat="1" ht="17.25" customHeight="1"/>
    <row r="365" customFormat="1" ht="17.25" customHeight="1"/>
    <row r="366" customFormat="1" ht="17.25" customHeight="1"/>
    <row r="367" customFormat="1" ht="17.25" customHeight="1"/>
    <row r="368" customFormat="1" ht="17.25" customHeight="1"/>
    <row r="369" customFormat="1" ht="17.25" customHeight="1"/>
    <row r="370" customFormat="1" ht="17.25" customHeight="1"/>
    <row r="371" customFormat="1" ht="17.25" customHeight="1"/>
    <row r="372" customFormat="1" ht="17.25" customHeight="1"/>
    <row r="373" customFormat="1" ht="17.25" customHeight="1"/>
    <row r="374" customFormat="1" ht="17.25" customHeight="1"/>
    <row r="375" customFormat="1" ht="17.25" customHeight="1"/>
    <row r="376" customFormat="1" ht="17.25" customHeight="1"/>
    <row r="377" customFormat="1" ht="17.25" customHeight="1"/>
    <row r="378" customFormat="1" ht="17.25" customHeight="1"/>
    <row r="379" customFormat="1" ht="17.25" customHeight="1"/>
    <row r="380" customFormat="1" ht="17.25" customHeight="1"/>
    <row r="381" customFormat="1" ht="17.25" customHeight="1"/>
    <row r="382" customFormat="1" ht="17.25" customHeight="1"/>
    <row r="383" customFormat="1" ht="17.25" customHeight="1"/>
    <row r="384" customFormat="1" ht="17.25" customHeight="1"/>
    <row r="385" customFormat="1" ht="17.25" customHeight="1"/>
    <row r="386" customFormat="1" ht="17.25" customHeight="1"/>
    <row r="387" customFormat="1" ht="17.25" customHeight="1"/>
    <row r="388" customFormat="1" ht="17.25" customHeight="1"/>
    <row r="389" customFormat="1" ht="17.25" customHeight="1"/>
    <row r="390" customFormat="1" ht="17.25" customHeight="1"/>
    <row r="391" customFormat="1" ht="17.25" customHeight="1"/>
    <row r="392" customFormat="1" ht="17.25" customHeight="1"/>
    <row r="393" customFormat="1" ht="17.25" customHeight="1"/>
    <row r="394" customFormat="1" ht="17.25" customHeight="1"/>
    <row r="395" customFormat="1" ht="17.25" customHeight="1"/>
    <row r="396" customFormat="1" ht="17.25" customHeight="1"/>
    <row r="397" customFormat="1" ht="17.25" customHeight="1"/>
    <row r="398" customFormat="1" ht="17.25" customHeight="1"/>
    <row r="399" customFormat="1" ht="17.25" customHeight="1"/>
    <row r="400" customFormat="1" ht="17.25" customHeight="1"/>
    <row r="401" customFormat="1" ht="17.25" customHeight="1"/>
    <row r="402" customFormat="1" ht="17.25" customHeight="1"/>
    <row r="403" customFormat="1" ht="17.25" customHeight="1"/>
    <row r="404" customFormat="1" ht="17.25" customHeight="1"/>
    <row r="405" customFormat="1" ht="17.25" customHeight="1"/>
    <row r="406" customFormat="1" ht="17.25" customHeight="1"/>
    <row r="407" customFormat="1" ht="17.25" customHeight="1"/>
    <row r="408" customFormat="1" ht="17.25" customHeight="1"/>
    <row r="409" customFormat="1" ht="17.25" customHeight="1"/>
    <row r="410" customFormat="1" ht="17.25" customHeight="1"/>
    <row r="411" customFormat="1" ht="17.25" customHeight="1"/>
    <row r="412" customFormat="1" ht="17.25" customHeight="1"/>
    <row r="413" customFormat="1" ht="17.25" customHeight="1"/>
    <row r="414" customFormat="1" ht="17.25" customHeight="1"/>
    <row r="415" customFormat="1" ht="17.25" customHeight="1"/>
    <row r="416" customFormat="1" ht="17.25" customHeight="1"/>
    <row r="417" customFormat="1" ht="17.25" customHeight="1"/>
    <row r="418" customFormat="1" ht="17.25" customHeight="1"/>
    <row r="419" customFormat="1" ht="17.25" customHeight="1"/>
    <row r="420" customFormat="1" ht="17.25" customHeight="1"/>
    <row r="421" customFormat="1" ht="17.25" customHeight="1"/>
    <row r="422" customFormat="1" ht="17.25" customHeight="1"/>
    <row r="423" customFormat="1" ht="17.25" customHeight="1"/>
    <row r="424" customFormat="1" ht="17.25" customHeight="1"/>
    <row r="425" customFormat="1" ht="17.25" customHeight="1"/>
    <row r="426" customFormat="1" ht="17.25" customHeight="1"/>
    <row r="427" customFormat="1" ht="17.25" customHeight="1"/>
    <row r="428" customFormat="1" ht="17.25" customHeight="1"/>
    <row r="429" customFormat="1" ht="17.25" customHeight="1"/>
    <row r="430" customFormat="1" ht="17.25" customHeight="1"/>
    <row r="431" customFormat="1" ht="17.25" customHeight="1"/>
    <row r="432" customFormat="1" ht="17.25" customHeight="1"/>
    <row r="433" customFormat="1" ht="17.25" customHeight="1"/>
    <row r="434" customFormat="1" ht="17.25" customHeight="1"/>
    <row r="435" customFormat="1" ht="17.25" customHeight="1"/>
    <row r="436" customFormat="1" ht="17.25" customHeight="1"/>
    <row r="437" customFormat="1" ht="17.25" customHeight="1"/>
    <row r="438" customFormat="1" ht="17.25" customHeight="1"/>
    <row r="439" customFormat="1" ht="17.25" customHeight="1"/>
    <row r="440" customFormat="1" ht="17.25" customHeight="1"/>
    <row r="441" customFormat="1" ht="17.25" customHeight="1"/>
    <row r="442" customFormat="1" ht="17.25" customHeight="1"/>
    <row r="443" customFormat="1" ht="17.25" customHeight="1"/>
    <row r="444" customFormat="1" ht="17.25" customHeight="1"/>
    <row r="445" customFormat="1" ht="17.25" customHeight="1"/>
    <row r="446" customFormat="1" ht="17.25" customHeight="1"/>
    <row r="447" customFormat="1" ht="17.25" customHeight="1"/>
    <row r="448" customFormat="1" ht="17.25" customHeight="1"/>
    <row r="449" customFormat="1" ht="17.25" customHeight="1"/>
    <row r="450" customFormat="1" ht="17.25" customHeight="1"/>
    <row r="451" customFormat="1" ht="17.25" customHeight="1"/>
    <row r="452" customFormat="1" ht="17.25" customHeight="1"/>
    <row r="453" customFormat="1" ht="17.25" customHeight="1"/>
    <row r="454" customFormat="1" ht="17.25" customHeight="1"/>
    <row r="455" customFormat="1" ht="17.25" customHeight="1"/>
    <row r="456" customFormat="1" ht="17.25" customHeight="1"/>
    <row r="457" customFormat="1" ht="17.25" customHeight="1"/>
    <row r="458" customFormat="1" ht="17.25" customHeight="1"/>
    <row r="459" customFormat="1" ht="17.25" customHeight="1"/>
    <row r="460" customFormat="1" ht="17.25" customHeight="1"/>
    <row r="461" customFormat="1" ht="17.25" customHeight="1"/>
    <row r="462" customFormat="1" ht="17.25" customHeight="1"/>
    <row r="463" customFormat="1" ht="17.25" customHeight="1"/>
    <row r="464" customFormat="1" ht="17.25" customHeight="1"/>
    <row r="465" customFormat="1" ht="17.25" customHeight="1"/>
    <row r="466" customFormat="1" ht="17.25" customHeight="1"/>
    <row r="467" customFormat="1" ht="17.25" customHeight="1"/>
    <row r="468" customFormat="1" ht="17.25" customHeight="1"/>
    <row r="469" customFormat="1" ht="17.25" customHeight="1"/>
    <row r="470" customFormat="1" ht="17.25" customHeight="1"/>
    <row r="471" customFormat="1" ht="17.25" customHeight="1"/>
    <row r="472" customFormat="1" ht="17.25" customHeight="1"/>
    <row r="473" customFormat="1" ht="17.25" customHeight="1"/>
    <row r="474" customFormat="1" ht="17.25" customHeight="1"/>
    <row r="475" customFormat="1" ht="17.25" customHeight="1"/>
    <row r="476" customFormat="1" ht="17.25" customHeight="1"/>
    <row r="477" customFormat="1" ht="17.25" customHeight="1"/>
    <row r="478" customFormat="1" ht="17.25" customHeight="1"/>
    <row r="479" customFormat="1" ht="17.25" customHeight="1"/>
    <row r="480" customFormat="1" ht="17.25" customHeight="1"/>
    <row r="481" customFormat="1" ht="17.25" customHeight="1"/>
    <row r="482" customFormat="1" ht="17.25" customHeight="1"/>
    <row r="483" customFormat="1" ht="17.25" customHeight="1"/>
    <row r="484" customFormat="1" ht="17.25" customHeight="1"/>
    <row r="485" customFormat="1" ht="17.25" customHeight="1"/>
    <row r="486" customFormat="1" ht="17.25" customHeight="1"/>
    <row r="487" customFormat="1" ht="17.25" customHeight="1"/>
    <row r="488" customFormat="1" ht="17.25" customHeight="1"/>
    <row r="489" customFormat="1" ht="17.25" customHeight="1"/>
    <row r="490" customFormat="1" ht="17.25" customHeight="1"/>
    <row r="491" customFormat="1" ht="17.25" customHeight="1"/>
    <row r="492" customFormat="1" ht="17.25" customHeight="1"/>
    <row r="493" customFormat="1" ht="17.25" customHeight="1"/>
    <row r="494" customFormat="1" ht="17.25" customHeight="1"/>
    <row r="495" customFormat="1" ht="17.25" customHeight="1"/>
    <row r="496" customFormat="1" ht="17.25" customHeight="1"/>
    <row r="497" customFormat="1" ht="17.25" customHeight="1"/>
    <row r="498" customFormat="1" ht="17.25" customHeight="1"/>
    <row r="499" customFormat="1" ht="17.25" customHeight="1"/>
    <row r="500" customFormat="1" ht="17.25" customHeight="1"/>
    <row r="501" customFormat="1" ht="17.25" customHeight="1"/>
    <row r="502" customFormat="1" ht="17.25" customHeight="1"/>
    <row r="503" customFormat="1" ht="17.25" customHeight="1"/>
    <row r="504" customFormat="1" ht="17.25" customHeight="1"/>
    <row r="505" customFormat="1" ht="17.25" customHeight="1"/>
    <row r="506" customFormat="1" ht="17.25" customHeight="1"/>
    <row r="507" customFormat="1" ht="17.25" customHeight="1"/>
    <row r="508" customFormat="1" ht="17.25" customHeight="1"/>
    <row r="509" customFormat="1" ht="17.25" customHeight="1"/>
    <row r="510" customFormat="1" ht="17.25" customHeight="1"/>
    <row r="511" customFormat="1" ht="17.25" customHeight="1"/>
    <row r="512" customFormat="1" ht="17.25" customHeight="1"/>
    <row r="513" customFormat="1" ht="17.25" customHeight="1"/>
    <row r="514" customFormat="1" ht="17.25" customHeight="1"/>
    <row r="515" customFormat="1" ht="17.25" customHeight="1"/>
    <row r="516" customFormat="1" ht="17.25" customHeight="1"/>
    <row r="517" customFormat="1" ht="17.25" customHeight="1"/>
    <row r="518" customFormat="1" ht="17.25" customHeight="1"/>
    <row r="519" customFormat="1" ht="17.25" customHeight="1"/>
    <row r="520" customFormat="1" ht="17.25" customHeight="1"/>
    <row r="521" customFormat="1" ht="17.25" customHeight="1"/>
    <row r="522" customFormat="1" ht="17.25" customHeight="1"/>
    <row r="523" customFormat="1" ht="17.25" customHeight="1"/>
    <row r="524" customFormat="1" ht="17.25" customHeight="1"/>
    <row r="525" customFormat="1" ht="17.25" customHeight="1"/>
    <row r="526" customFormat="1" ht="17.25" customHeight="1"/>
    <row r="527" customFormat="1" ht="17.25" customHeight="1"/>
    <row r="528" customFormat="1" ht="17.25" customHeight="1"/>
    <row r="529" customFormat="1" ht="17.25" customHeight="1"/>
    <row r="530" customFormat="1" ht="17.25" customHeight="1"/>
    <row r="531" customFormat="1" ht="17.25" customHeight="1"/>
    <row r="532" customFormat="1" ht="17.25" customHeight="1"/>
    <row r="533" customFormat="1" ht="17.25" customHeight="1"/>
    <row r="534" customFormat="1" ht="17.25" customHeight="1"/>
    <row r="535" customFormat="1" ht="17.25" customHeight="1"/>
    <row r="536" customFormat="1" ht="17.25" customHeight="1"/>
    <row r="537" customFormat="1" ht="17.25" customHeight="1"/>
    <row r="538" customFormat="1" ht="17.25" customHeight="1"/>
    <row r="539" customFormat="1" ht="17.25" customHeight="1"/>
    <row r="540" customFormat="1" ht="17.25" customHeight="1"/>
    <row r="541" customFormat="1" ht="17.25" customHeight="1"/>
    <row r="542" customFormat="1" ht="17.25" customHeight="1"/>
    <row r="543" customFormat="1" ht="17.25" customHeight="1"/>
    <row r="544" customFormat="1" ht="17.25" customHeight="1"/>
    <row r="545" customFormat="1" ht="17.25" customHeight="1"/>
    <row r="546" customFormat="1" ht="17.25" customHeight="1"/>
    <row r="547" customFormat="1" ht="17.25" customHeight="1"/>
    <row r="548" customFormat="1" ht="17.25" customHeight="1"/>
    <row r="549" customFormat="1" ht="17.25" customHeight="1"/>
    <row r="550" customFormat="1" ht="17.25" customHeight="1"/>
    <row r="551" customFormat="1" ht="17.25" customHeight="1"/>
    <row r="552" customFormat="1" ht="17.25" customHeight="1"/>
    <row r="553" customFormat="1" ht="17.25" customHeight="1"/>
    <row r="554" customFormat="1" ht="17.25" customHeight="1"/>
    <row r="555" customFormat="1" ht="17.25" customHeight="1"/>
    <row r="556" customFormat="1" ht="17.25" customHeight="1"/>
    <row r="557" customFormat="1" ht="17.25" customHeight="1"/>
    <row r="558" customFormat="1" ht="17.25" customHeight="1"/>
    <row r="559" customFormat="1" ht="17.25" customHeight="1"/>
    <row r="560" customFormat="1" ht="17.25" customHeight="1"/>
    <row r="561" customFormat="1" ht="17.25" customHeight="1"/>
    <row r="562" customFormat="1" ht="17.25" customHeight="1"/>
    <row r="563" customFormat="1" ht="17.25" customHeight="1"/>
    <row r="564" customFormat="1" ht="17.25" customHeight="1"/>
    <row r="565" customFormat="1" ht="17.25" customHeight="1"/>
    <row r="566" customFormat="1" ht="17.25" customHeight="1"/>
    <row r="567" customFormat="1" ht="17.25" customHeight="1"/>
    <row r="568" customFormat="1" ht="17.25" customHeight="1"/>
    <row r="569" customFormat="1" ht="17.25" customHeight="1"/>
    <row r="570" customFormat="1" ht="17.25" customHeight="1"/>
    <row r="571" customFormat="1" ht="17.25" customHeight="1"/>
    <row r="572" customFormat="1" ht="17.25" customHeight="1"/>
    <row r="573" customFormat="1" ht="17.25" customHeight="1"/>
    <row r="574" customFormat="1" ht="17.25" customHeight="1"/>
    <row r="575" customFormat="1" ht="17.25" customHeight="1"/>
    <row r="576" customFormat="1" ht="17.25" customHeight="1"/>
    <row r="577" customFormat="1" ht="17.25" customHeight="1"/>
    <row r="578" customFormat="1" ht="17.25" customHeight="1"/>
    <row r="579" customFormat="1" ht="17.25" customHeight="1"/>
    <row r="580" customFormat="1" ht="17.25" customHeight="1"/>
    <row r="581" customFormat="1" ht="17.25" customHeight="1"/>
    <row r="582" customFormat="1" ht="17.25" customHeight="1"/>
    <row r="583" customFormat="1" ht="17.25" customHeight="1"/>
    <row r="584" customFormat="1" ht="17.25" customHeight="1"/>
    <row r="585" customFormat="1" ht="17.25" customHeight="1"/>
    <row r="586" customFormat="1" ht="17.25" customHeight="1"/>
    <row r="587" customFormat="1" ht="17.25" customHeight="1"/>
    <row r="588" customFormat="1" ht="17.25" customHeight="1"/>
    <row r="589" customFormat="1" ht="17.25" customHeight="1"/>
    <row r="590" customFormat="1" ht="17.25" customHeight="1"/>
    <row r="591" customFormat="1" ht="17.25" customHeight="1"/>
    <row r="592" customFormat="1" ht="17.25" customHeight="1"/>
    <row r="593" customFormat="1" ht="17.25" customHeight="1"/>
    <row r="594" customFormat="1" ht="17.25" customHeight="1"/>
    <row r="595" customFormat="1" ht="17.25" customHeight="1"/>
    <row r="596" customFormat="1" ht="17.25" customHeight="1"/>
    <row r="597" customFormat="1" ht="17.25" customHeight="1"/>
    <row r="598" customFormat="1" ht="17.25" customHeight="1"/>
    <row r="599" customFormat="1" ht="17.25" customHeight="1"/>
    <row r="600" customFormat="1" ht="17.25" customHeight="1"/>
    <row r="601" customFormat="1" ht="17.25" customHeight="1"/>
    <row r="602" customFormat="1" ht="17.25" customHeight="1"/>
    <row r="603" customFormat="1" ht="17.25" customHeight="1"/>
    <row r="604" customFormat="1" ht="17.25" customHeight="1"/>
    <row r="605" customFormat="1" ht="17.25" customHeight="1"/>
    <row r="606" customFormat="1" ht="17.25" customHeight="1"/>
    <row r="607" customFormat="1" ht="17.25" customHeight="1"/>
    <row r="608" customFormat="1" ht="17.25" customHeight="1"/>
    <row r="609" customFormat="1" ht="17.25" customHeight="1"/>
    <row r="610" customFormat="1" ht="17.25" customHeight="1"/>
    <row r="611" customFormat="1" ht="17.25" customHeight="1"/>
    <row r="612" customFormat="1" ht="17.25" customHeight="1"/>
    <row r="613" customFormat="1" ht="17.25" customHeight="1"/>
    <row r="614" customFormat="1" ht="17.25" customHeight="1"/>
    <row r="615" customFormat="1" ht="17.25" customHeight="1"/>
    <row r="616" customFormat="1" ht="17.25" customHeight="1"/>
    <row r="617" customFormat="1" ht="17.25" customHeight="1"/>
    <row r="618" customFormat="1" ht="17.25" customHeight="1"/>
    <row r="619" customFormat="1" ht="17.25" customHeight="1"/>
    <row r="620" customFormat="1" ht="17.25" customHeight="1"/>
    <row r="621" customFormat="1" ht="17.25" customHeight="1"/>
    <row r="622" customFormat="1" ht="17.25" customHeight="1"/>
    <row r="623" customFormat="1" ht="17.25" customHeight="1"/>
    <row r="624" customFormat="1" ht="17.25" customHeight="1"/>
    <row r="625" customFormat="1" ht="17.25" customHeight="1"/>
    <row r="626" customFormat="1" ht="17.25" customHeight="1"/>
    <row r="627" customFormat="1" ht="17.25" customHeight="1"/>
    <row r="628" customFormat="1" ht="17.25" customHeight="1"/>
    <row r="629" customFormat="1" ht="17.25" customHeight="1"/>
    <row r="630" customFormat="1" ht="17.25" customHeight="1"/>
    <row r="631" customFormat="1" ht="17.25" customHeight="1"/>
    <row r="632" customFormat="1" ht="17.25" customHeight="1"/>
    <row r="633" customFormat="1" ht="17.25" customHeight="1"/>
    <row r="634" customFormat="1" ht="17.25" customHeight="1"/>
    <row r="635" customFormat="1" ht="17.25" customHeight="1"/>
    <row r="636" customFormat="1" ht="17.25" customHeight="1"/>
    <row r="637" customFormat="1" ht="17.25" customHeight="1"/>
    <row r="638" customFormat="1" ht="17.25" customHeight="1"/>
    <row r="639" customFormat="1" ht="17.25" customHeight="1"/>
    <row r="640" customFormat="1" ht="17.25" customHeight="1"/>
    <row r="641" customFormat="1" ht="17.25" customHeight="1"/>
    <row r="642" customFormat="1" ht="17.25" customHeight="1"/>
    <row r="643" customFormat="1" ht="17.25" customHeight="1"/>
    <row r="644" customFormat="1" ht="17.25" customHeight="1"/>
    <row r="645" customFormat="1" ht="17.25" customHeight="1"/>
    <row r="646" customFormat="1" ht="17.25" customHeight="1"/>
    <row r="647" customFormat="1" ht="17.25" customHeight="1"/>
    <row r="648" customFormat="1" ht="17.25" customHeight="1"/>
    <row r="649" customFormat="1" ht="17.25" customHeight="1"/>
    <row r="650" customFormat="1" ht="17.25" customHeight="1"/>
    <row r="651" customFormat="1" ht="17.25" customHeight="1"/>
    <row r="652" customFormat="1" ht="17.25" customHeight="1"/>
    <row r="653" customFormat="1" ht="17.25" customHeight="1"/>
    <row r="654" customFormat="1" ht="17.25" customHeight="1"/>
    <row r="655" customFormat="1" ht="17.25" customHeight="1"/>
    <row r="656" customFormat="1" ht="17.25" customHeight="1"/>
    <row r="657" customFormat="1" ht="17.25" customHeight="1"/>
    <row r="658" customFormat="1" ht="17.25" customHeight="1"/>
    <row r="659" customFormat="1" ht="17.25" customHeight="1"/>
    <row r="660" customFormat="1" ht="17.25" customHeight="1"/>
    <row r="661" customFormat="1" ht="17.25" customHeight="1"/>
    <row r="662" customFormat="1" ht="17.25" customHeight="1"/>
    <row r="663" customFormat="1" ht="17.25" customHeight="1"/>
    <row r="664" customFormat="1" ht="17.25" customHeight="1"/>
    <row r="665" customFormat="1" ht="17.25" customHeight="1"/>
    <row r="666" customFormat="1" ht="17.25" customHeight="1"/>
    <row r="667" customFormat="1" ht="17.25" customHeight="1"/>
    <row r="668" customFormat="1" ht="17.25" customHeight="1"/>
    <row r="669" customFormat="1" ht="17.25" customHeight="1"/>
    <row r="670" customFormat="1" ht="17.25" customHeight="1"/>
    <row r="671" customFormat="1" ht="17.25" customHeight="1"/>
    <row r="672" customFormat="1" ht="17.25" customHeight="1"/>
    <row r="673" customFormat="1" ht="17.25" customHeight="1"/>
    <row r="674" customFormat="1" ht="17.25" customHeight="1"/>
    <row r="675" customFormat="1" ht="17.25" customHeight="1"/>
    <row r="676" customFormat="1" ht="17.25" customHeight="1"/>
    <row r="677" customFormat="1" ht="17.25" customHeight="1"/>
    <row r="678" customFormat="1" ht="17.25" customHeight="1"/>
    <row r="679" customFormat="1" ht="17.25" customHeight="1"/>
    <row r="680" customFormat="1" ht="17.25" customHeight="1"/>
    <row r="681" customFormat="1" ht="17.25" customHeight="1"/>
    <row r="682" customFormat="1" ht="17.25" customHeight="1"/>
    <row r="683" customFormat="1" ht="17.25" customHeight="1"/>
    <row r="684" customFormat="1" ht="17.25" customHeight="1"/>
    <row r="685" customFormat="1" ht="17.25" customHeight="1"/>
    <row r="686" customFormat="1" ht="17.25" customHeight="1"/>
    <row r="687" customFormat="1" ht="17.25" customHeight="1"/>
    <row r="688" customFormat="1" ht="17.25" customHeight="1"/>
    <row r="689" customFormat="1" ht="17.25" customHeight="1"/>
    <row r="690" customFormat="1" ht="17.25" customHeight="1"/>
    <row r="691" customFormat="1" ht="17.25" customHeight="1"/>
    <row r="692" customFormat="1" ht="17.25" customHeight="1"/>
    <row r="693" customFormat="1" ht="17.25" customHeight="1"/>
    <row r="694" customFormat="1" ht="17.25" customHeight="1"/>
    <row r="695" customFormat="1" ht="17.25" customHeight="1"/>
    <row r="696" customFormat="1" ht="17.25" customHeight="1"/>
    <row r="697" customFormat="1" ht="17.25" customHeight="1"/>
    <row r="698" customFormat="1" ht="17.25" customHeight="1"/>
    <row r="699" customFormat="1" ht="17.25" customHeight="1"/>
    <row r="700" customFormat="1" ht="17.25" customHeight="1"/>
    <row r="701" customFormat="1" ht="17.25" customHeight="1"/>
    <row r="702" customFormat="1" ht="17.25" customHeight="1"/>
    <row r="703" customFormat="1" ht="17.25" customHeight="1"/>
    <row r="704" customFormat="1" ht="17.25" customHeight="1"/>
    <row r="705" customFormat="1" ht="17.25" customHeight="1"/>
    <row r="706" customFormat="1" ht="17.25" customHeight="1"/>
    <row r="707" customFormat="1" ht="17.25" customHeight="1"/>
    <row r="708" customFormat="1" ht="17.25" customHeight="1"/>
    <row r="709" customFormat="1" ht="17.25" customHeight="1"/>
    <row r="710" customFormat="1" ht="17.25" customHeight="1"/>
    <row r="711" customFormat="1" ht="17.25" customHeight="1"/>
    <row r="712" customFormat="1" ht="17.25" customHeight="1"/>
    <row r="713" customFormat="1" ht="17.25" customHeight="1"/>
    <row r="714" customFormat="1" ht="17.25" customHeight="1"/>
    <row r="715" customFormat="1" ht="17.25" customHeight="1"/>
    <row r="716" customFormat="1" ht="17.25" customHeight="1"/>
    <row r="717" customFormat="1" ht="17.25" customHeight="1"/>
    <row r="718" customFormat="1" ht="17.25" customHeight="1"/>
    <row r="719" customFormat="1" ht="17.25" customHeight="1"/>
    <row r="720" customFormat="1" ht="17.25" customHeight="1"/>
    <row r="721" customFormat="1" ht="17.25" customHeight="1"/>
    <row r="722" customFormat="1" ht="17.25" customHeight="1"/>
    <row r="723" customFormat="1" ht="17.25" customHeight="1"/>
    <row r="724" customFormat="1" ht="17.25" customHeight="1"/>
    <row r="725" customFormat="1" ht="17.25" customHeight="1"/>
    <row r="726" customFormat="1" ht="17.25" customHeight="1"/>
    <row r="727" customFormat="1" ht="17.25" customHeight="1"/>
    <row r="728" customFormat="1" ht="17.25" customHeight="1"/>
    <row r="729" customFormat="1" ht="17.25" customHeight="1"/>
    <row r="730" customFormat="1" ht="17.25" customHeight="1"/>
    <row r="731" customFormat="1" ht="17.25" customHeight="1"/>
    <row r="732" customFormat="1" ht="17.25" customHeight="1"/>
    <row r="733" customFormat="1" ht="17.25" customHeight="1"/>
    <row r="734" customFormat="1" ht="17.25" customHeight="1"/>
    <row r="735" customFormat="1" ht="17.25" customHeight="1"/>
    <row r="736" customFormat="1" ht="17.25" customHeight="1"/>
    <row r="737" customFormat="1" ht="17.25" customHeight="1"/>
    <row r="738" customFormat="1" ht="17.25" customHeight="1"/>
    <row r="739" customFormat="1" ht="17.25" customHeight="1"/>
    <row r="740" customFormat="1" ht="17.25" customHeight="1"/>
    <row r="741" customFormat="1" ht="17.25" customHeight="1"/>
    <row r="742" customFormat="1" ht="17.25" customHeight="1"/>
    <row r="743" customFormat="1" ht="17.25" customHeight="1"/>
    <row r="744" customFormat="1" ht="17.25" customHeight="1"/>
    <row r="745" customFormat="1" ht="17.25" customHeight="1"/>
    <row r="746" customFormat="1" ht="17.25" customHeight="1"/>
    <row r="747" customFormat="1" ht="17.25" customHeight="1"/>
    <row r="748" customFormat="1" ht="17.25" customHeight="1"/>
    <row r="749" customFormat="1" ht="17.25" customHeight="1"/>
    <row r="750" customFormat="1" ht="17.25" customHeight="1"/>
    <row r="751" customFormat="1" ht="17.25" customHeight="1"/>
    <row r="752" customFormat="1" ht="17.25" customHeight="1"/>
    <row r="753" customFormat="1" ht="17.25" customHeight="1"/>
    <row r="754" customFormat="1" ht="17.25" customHeight="1"/>
    <row r="755" customFormat="1" ht="17.25" customHeight="1"/>
    <row r="756" customFormat="1" ht="17.25" customHeight="1"/>
    <row r="757" customFormat="1" ht="17.25" customHeight="1"/>
    <row r="758" customFormat="1" ht="17.25" customHeight="1"/>
    <row r="759" customFormat="1" ht="17.25" customHeight="1"/>
    <row r="760" customFormat="1" ht="17.25" customHeight="1"/>
    <row r="761" customFormat="1" ht="17.25" customHeight="1"/>
    <row r="762" customFormat="1" ht="17.25" customHeight="1"/>
    <row r="763" customFormat="1" ht="17.25" customHeight="1"/>
    <row r="764" customFormat="1" ht="17.25" customHeight="1"/>
    <row r="765" customFormat="1" ht="17.25" customHeight="1"/>
    <row r="766" customFormat="1" ht="17.25" customHeight="1"/>
    <row r="767" customFormat="1" ht="17.25" customHeight="1"/>
    <row r="768" customFormat="1" ht="17.25" customHeight="1"/>
    <row r="769" customFormat="1" ht="17.25" customHeight="1"/>
    <row r="770" customFormat="1" ht="17.25" customHeight="1"/>
    <row r="771" customFormat="1" ht="17.25" customHeight="1"/>
    <row r="772" customFormat="1" ht="17.25" customHeight="1"/>
    <row r="773" customFormat="1" ht="17.25" customHeight="1"/>
    <row r="774" customFormat="1" ht="17.25" customHeight="1"/>
    <row r="775" customFormat="1" ht="17.25" customHeight="1"/>
    <row r="776" customFormat="1" ht="17.25" customHeight="1"/>
    <row r="777" customFormat="1" ht="17.25" customHeight="1"/>
    <row r="778" customFormat="1" ht="17.25" customHeight="1"/>
    <row r="779" customFormat="1" ht="17.25" customHeight="1"/>
    <row r="780" customFormat="1" ht="17.25" customHeight="1"/>
    <row r="781" customFormat="1" ht="17.25" customHeight="1"/>
    <row r="782" customFormat="1" ht="17.25" customHeight="1"/>
    <row r="783" customFormat="1" ht="17.25" customHeight="1"/>
    <row r="784" customFormat="1" ht="17.25" customHeight="1"/>
    <row r="785" customFormat="1" ht="17.25" customHeight="1"/>
    <row r="786" customFormat="1" ht="17.25" customHeight="1"/>
    <row r="787" customFormat="1" ht="17.25" customHeight="1"/>
    <row r="788" customFormat="1" ht="17.25" customHeight="1"/>
    <row r="789" customFormat="1" ht="17.25" customHeight="1"/>
    <row r="790" customFormat="1" ht="17.25" customHeight="1"/>
    <row r="791" customFormat="1" ht="17.25" customHeight="1"/>
    <row r="792" customFormat="1" ht="17.25" customHeight="1"/>
    <row r="793" customFormat="1" ht="17.25" customHeight="1"/>
    <row r="794" customFormat="1" ht="17.25" customHeight="1"/>
    <row r="795" customFormat="1" ht="17.25" customHeight="1"/>
    <row r="796" customFormat="1" ht="17.25" customHeight="1"/>
    <row r="797" customFormat="1" ht="17.25" customHeight="1"/>
    <row r="798" customFormat="1" ht="17.25" customHeight="1"/>
    <row r="799" customFormat="1" ht="17.25" customHeight="1"/>
    <row r="800" customFormat="1" ht="17.25" customHeight="1"/>
    <row r="801" customFormat="1" ht="17.25" customHeight="1"/>
    <row r="802" customFormat="1" ht="17.25" customHeight="1"/>
    <row r="803" customFormat="1" ht="17.25" customHeight="1"/>
    <row r="804" customFormat="1" ht="17.25" customHeight="1"/>
    <row r="805" customFormat="1" ht="17.25" customHeight="1"/>
    <row r="806" customFormat="1" ht="17.25" customHeight="1"/>
    <row r="807" customFormat="1" ht="17.25" customHeight="1"/>
    <row r="808" customFormat="1" ht="17.25" customHeight="1"/>
    <row r="809" customFormat="1" ht="17.25" customHeight="1"/>
    <row r="810" customFormat="1" ht="17.25" customHeight="1"/>
    <row r="811" customFormat="1" ht="17.25" customHeight="1"/>
    <row r="812" customFormat="1" ht="17.25" customHeight="1"/>
    <row r="813" customFormat="1" ht="17.25" customHeight="1"/>
    <row r="814" customFormat="1" ht="17.25" customHeight="1"/>
    <row r="815" customFormat="1" ht="17.25" customHeight="1"/>
    <row r="816" customFormat="1" ht="17.25" customHeight="1"/>
    <row r="817" customFormat="1" ht="17.25" customHeight="1"/>
    <row r="818" customFormat="1" ht="17.25" customHeight="1"/>
    <row r="819" customFormat="1" ht="17.25" customHeight="1"/>
    <row r="820" customFormat="1" ht="17.25" customHeight="1"/>
    <row r="821" customFormat="1" ht="17.25" customHeight="1"/>
    <row r="822" customFormat="1" ht="17.25" customHeight="1"/>
    <row r="823" customFormat="1" ht="17.25" customHeight="1"/>
    <row r="824" customFormat="1" ht="17.25" customHeight="1"/>
    <row r="825" customFormat="1" ht="17.25" customHeight="1"/>
    <row r="826" customFormat="1" ht="17.25" customHeight="1"/>
    <row r="827" customFormat="1" ht="17.25" customHeight="1"/>
    <row r="828" customFormat="1" ht="17.25" customHeight="1"/>
    <row r="829" customFormat="1" ht="17.25" customHeight="1"/>
    <row r="830" customFormat="1" ht="17.25" customHeight="1"/>
    <row r="831" customFormat="1" ht="17.25" customHeight="1"/>
    <row r="832" customFormat="1" ht="17.25" customHeight="1"/>
    <row r="833" customFormat="1" ht="17.25" customHeight="1"/>
    <row r="834" customFormat="1" ht="17.25" customHeight="1"/>
    <row r="835" customFormat="1" ht="17.25" customHeight="1"/>
    <row r="836" customFormat="1" ht="17.25" customHeight="1"/>
    <row r="837" customFormat="1" ht="17.25" customHeight="1"/>
    <row r="838" customFormat="1" ht="17.25" customHeight="1"/>
    <row r="839" customFormat="1" ht="17.25" customHeight="1"/>
    <row r="840" customFormat="1" ht="17.25" customHeight="1"/>
    <row r="841" customFormat="1" ht="17.25" customHeight="1"/>
    <row r="842" customFormat="1" ht="17.25" customHeight="1"/>
    <row r="843" customFormat="1" ht="17.25" customHeight="1"/>
    <row r="844" customFormat="1" ht="17.25" customHeight="1"/>
    <row r="845" customFormat="1" ht="17.25" customHeight="1"/>
    <row r="846" customFormat="1" ht="17.25" customHeight="1"/>
    <row r="847" customFormat="1" ht="17.25" customHeight="1"/>
    <row r="848" customFormat="1" ht="17.25" customHeight="1"/>
    <row r="849" customFormat="1" ht="17.25" customHeight="1"/>
    <row r="850" customFormat="1" ht="17.25" customHeight="1"/>
    <row r="851" customFormat="1" ht="17.25" customHeight="1"/>
    <row r="852" customFormat="1" ht="17.25" customHeight="1"/>
    <row r="853" customFormat="1" ht="17.25" customHeight="1"/>
    <row r="854" customFormat="1" ht="17.25" customHeight="1"/>
    <row r="855" customFormat="1" ht="17.25" customHeight="1"/>
    <row r="856" customFormat="1" ht="17.25" customHeight="1"/>
    <row r="857" customFormat="1" ht="17.25" customHeight="1"/>
    <row r="858" customFormat="1" ht="17.25" customHeight="1"/>
    <row r="859" customFormat="1" ht="17.25" customHeight="1"/>
    <row r="860" customFormat="1" ht="17.25" customHeight="1"/>
    <row r="861" customFormat="1" ht="17.25" customHeight="1"/>
    <row r="862" customFormat="1" ht="17.25" customHeight="1"/>
    <row r="863" customFormat="1" ht="17.25" customHeight="1"/>
    <row r="864" customFormat="1" ht="17.25" customHeight="1"/>
    <row r="865" customFormat="1" ht="17.25" customHeight="1"/>
    <row r="866" customFormat="1" ht="17.25" customHeight="1"/>
    <row r="867" customFormat="1" ht="17.25" customHeight="1"/>
    <row r="868" customFormat="1" ht="17.25" customHeight="1"/>
    <row r="869" customFormat="1" ht="17.25" customHeight="1"/>
    <row r="870" customFormat="1" ht="17.25" customHeight="1"/>
    <row r="871" customFormat="1" ht="17.25" customHeight="1"/>
    <row r="872" customFormat="1" ht="17.25" customHeight="1"/>
    <row r="873" customFormat="1" ht="17.25" customHeight="1"/>
    <row r="874" customFormat="1" ht="17.25" customHeight="1"/>
    <row r="875" customFormat="1" ht="17.25" customHeight="1"/>
    <row r="876" customFormat="1" ht="17.25" customHeight="1"/>
    <row r="877" customFormat="1" ht="17.25" customHeight="1"/>
    <row r="878" customFormat="1" ht="17.25" customHeight="1"/>
    <row r="879" customFormat="1" ht="17.25" customHeight="1"/>
    <row r="880" customFormat="1" ht="17.25" customHeight="1"/>
    <row r="881" customFormat="1" ht="17.25" customHeight="1"/>
    <row r="882" customFormat="1" ht="17.25" customHeight="1"/>
    <row r="883" customFormat="1" ht="17.25" customHeight="1"/>
    <row r="884" customFormat="1" ht="17.25" customHeight="1"/>
    <row r="885" customFormat="1" ht="17.25" customHeight="1"/>
    <row r="886" customFormat="1" ht="17.25" customHeight="1"/>
    <row r="887" customFormat="1" ht="17.25" customHeight="1"/>
    <row r="888" customFormat="1" ht="17.25" customHeight="1"/>
    <row r="889" customFormat="1" ht="17.25" customHeight="1"/>
    <row r="890" customFormat="1" ht="17.25" customHeight="1"/>
    <row r="891" customFormat="1" ht="17.25" customHeight="1"/>
    <row r="892" customFormat="1" ht="17.25" customHeight="1"/>
    <row r="893" customFormat="1" ht="17.25" customHeight="1"/>
    <row r="894" customFormat="1" ht="17.25" customHeight="1"/>
    <row r="895" customFormat="1" ht="17.25" customHeight="1"/>
    <row r="896" customFormat="1" ht="17.25" customHeight="1"/>
    <row r="897" customFormat="1" ht="17.25" customHeight="1"/>
    <row r="898" customFormat="1" ht="17.25" customHeight="1"/>
    <row r="899" customFormat="1" ht="17.25" customHeight="1"/>
    <row r="900" customFormat="1" ht="17.25" customHeight="1"/>
    <row r="901" customFormat="1" ht="17.25" customHeight="1"/>
    <row r="902" customFormat="1" ht="17.25" customHeight="1"/>
    <row r="903" customFormat="1" ht="17.25" customHeight="1"/>
    <row r="904" customFormat="1" ht="17.25" customHeight="1"/>
    <row r="905" customFormat="1" ht="17.25" customHeight="1"/>
    <row r="906" customFormat="1" ht="17.25" customHeight="1"/>
    <row r="907" customFormat="1" ht="17.25" customHeight="1"/>
    <row r="908" customFormat="1" ht="17.25" customHeight="1"/>
    <row r="909" customFormat="1" ht="17.25" customHeight="1"/>
    <row r="910" customFormat="1" ht="17.25" customHeight="1"/>
    <row r="911" customFormat="1" ht="17.25" customHeight="1"/>
    <row r="912" customFormat="1" ht="17.25" customHeight="1"/>
    <row r="913" customFormat="1" ht="17.25" customHeight="1"/>
    <row r="914" customFormat="1" ht="17.25" customHeight="1"/>
    <row r="915" customFormat="1" ht="17.25" customHeight="1"/>
    <row r="916" customFormat="1" ht="17.25" customHeight="1"/>
    <row r="917" customFormat="1" ht="17.25" customHeight="1"/>
    <row r="918" customFormat="1" ht="17.25" customHeight="1"/>
    <row r="919" customFormat="1" ht="17.25" customHeight="1"/>
    <row r="920" customFormat="1" ht="17.25" customHeight="1"/>
    <row r="921" customFormat="1" ht="17.25" customHeight="1"/>
    <row r="922" customFormat="1" ht="17.25" customHeight="1"/>
    <row r="923" customFormat="1" ht="17.25" customHeight="1"/>
    <row r="924" customFormat="1" ht="17.25" customHeight="1"/>
    <row r="925" customFormat="1" ht="17.25" customHeight="1"/>
    <row r="926" customFormat="1" ht="17.25" customHeight="1"/>
    <row r="927" customFormat="1" ht="17.25" customHeight="1"/>
    <row r="928" customFormat="1" ht="17.25" customHeight="1"/>
    <row r="929" customFormat="1" ht="17.25" customHeight="1"/>
    <row r="930" customFormat="1" ht="17.25" customHeight="1"/>
    <row r="931" customFormat="1" ht="17.25" customHeight="1"/>
    <row r="932" customFormat="1" ht="17.25" customHeight="1"/>
    <row r="933" customFormat="1" ht="17.25" customHeight="1"/>
    <row r="934" customFormat="1" ht="17.25" customHeight="1"/>
    <row r="935" customFormat="1" ht="17.25" customHeight="1"/>
    <row r="936" customFormat="1" ht="17.25" customHeight="1"/>
    <row r="937" customFormat="1" ht="17.25" customHeight="1"/>
    <row r="938" customFormat="1" ht="17.25" customHeight="1"/>
    <row r="939" customFormat="1" ht="17.25" customHeight="1"/>
    <row r="940" customFormat="1" ht="17.25" customHeight="1"/>
    <row r="941" customFormat="1" ht="17.25" customHeight="1"/>
    <row r="942" customFormat="1" ht="17.25" customHeight="1"/>
    <row r="943" customFormat="1" ht="17.25" customHeight="1"/>
    <row r="944" customFormat="1" ht="17.25" customHeight="1"/>
    <row r="945" customFormat="1" ht="17.25" customHeight="1"/>
    <row r="946" customFormat="1" ht="17.25" customHeight="1"/>
    <row r="947" customFormat="1" ht="17.25" customHeight="1"/>
    <row r="948" customFormat="1" ht="17.25" customHeight="1"/>
    <row r="949" customFormat="1" ht="17.25" customHeight="1"/>
    <row r="950" customFormat="1" ht="17.25" customHeight="1"/>
    <row r="951" customFormat="1" ht="17.25" customHeight="1"/>
    <row r="952" customFormat="1" ht="17.25" customHeight="1"/>
    <row r="953" customFormat="1" ht="17.25" customHeight="1"/>
    <row r="954" customFormat="1" ht="17.25" customHeight="1"/>
    <row r="955" customFormat="1" ht="17.25" customHeight="1"/>
    <row r="956" customFormat="1" ht="17.25" customHeight="1"/>
    <row r="957" customFormat="1" ht="17.25" customHeight="1"/>
    <row r="958" customFormat="1" ht="17.25" customHeight="1"/>
    <row r="959" customFormat="1" ht="17.25" customHeight="1"/>
    <row r="960" customFormat="1" ht="17.25" customHeight="1"/>
    <row r="961" customFormat="1" ht="17.25" customHeight="1"/>
    <row r="962" customFormat="1" ht="17.25" customHeight="1"/>
    <row r="963" customFormat="1" ht="17.25" customHeight="1"/>
    <row r="964" customFormat="1" ht="17.25" customHeight="1"/>
    <row r="965" customFormat="1" ht="17.25" customHeight="1"/>
    <row r="966" customFormat="1" ht="17.25" customHeight="1"/>
    <row r="967" customFormat="1" ht="17.25" customHeight="1"/>
    <row r="968" customFormat="1" ht="17.25" customHeight="1"/>
    <row r="969" customFormat="1" ht="17.25" customHeight="1"/>
    <row r="970" customFormat="1" ht="17.25" customHeight="1"/>
    <row r="971" customFormat="1" ht="17.25" customHeight="1"/>
    <row r="972" customFormat="1" ht="17.25" customHeight="1"/>
    <row r="973" customFormat="1" ht="17.25" customHeight="1"/>
    <row r="974" customFormat="1" ht="17.25" customHeight="1"/>
    <row r="975" customFormat="1" ht="17.25" customHeight="1"/>
    <row r="976" customFormat="1" ht="17.25" customHeight="1"/>
    <row r="977" customFormat="1" ht="17.25" customHeight="1"/>
    <row r="978" customFormat="1" ht="17.25" customHeight="1"/>
    <row r="979" customFormat="1" ht="17.25" customHeight="1"/>
    <row r="980" customFormat="1" ht="17.25" customHeight="1"/>
    <row r="981" customFormat="1" ht="17.25" customHeight="1"/>
    <row r="982" customFormat="1" ht="17.25" customHeight="1"/>
    <row r="983" customFormat="1" ht="17.25" customHeight="1"/>
    <row r="984" customFormat="1" ht="17.25" customHeight="1"/>
    <row r="985" customFormat="1" ht="17.25" customHeight="1"/>
    <row r="986" customFormat="1" ht="17.25" customHeight="1"/>
    <row r="987" customFormat="1" ht="17.25" customHeight="1"/>
    <row r="988" customFormat="1" ht="17.25" customHeight="1"/>
    <row r="989" customFormat="1" ht="17.25" customHeight="1"/>
    <row r="990" customFormat="1" ht="17.25" customHeight="1"/>
    <row r="991" customFormat="1" ht="17.25" customHeight="1"/>
    <row r="992" customFormat="1" ht="17.25" customHeight="1"/>
    <row r="993" customFormat="1" ht="17.25" customHeight="1"/>
    <row r="994" customFormat="1" ht="17.25" customHeight="1"/>
    <row r="995" customFormat="1" ht="17.25" customHeight="1"/>
    <row r="996" customFormat="1" ht="17.25" customHeight="1"/>
    <row r="997" customFormat="1" ht="17.25" customHeight="1"/>
    <row r="998" customFormat="1" ht="17.25" customHeight="1"/>
    <row r="999" customFormat="1" ht="17.25" customHeight="1"/>
    <row r="1000" customFormat="1" ht="17.25" customHeight="1"/>
    <row r="1001" customFormat="1" ht="17.25" customHeight="1"/>
    <row r="1002" customFormat="1" ht="17.25" customHeight="1"/>
    <row r="1003" customFormat="1" ht="17.25" customHeight="1"/>
    <row r="1004" customFormat="1" ht="17.25" customHeight="1"/>
    <row r="1005" customFormat="1" ht="17.25" customHeight="1"/>
    <row r="1006" customFormat="1" ht="17.25" customHeight="1"/>
    <row r="1007" customFormat="1" ht="17.25" customHeight="1"/>
    <row r="1008" customFormat="1" ht="17.25" customHeight="1"/>
    <row r="1009" customFormat="1" ht="17.25" customHeight="1"/>
    <row r="1010" customFormat="1" ht="17.25" customHeight="1"/>
    <row r="1011" customFormat="1" ht="17.25" customHeight="1"/>
    <row r="1012" customFormat="1" ht="17.25" customHeight="1"/>
    <row r="1013" customFormat="1" ht="17.25" customHeight="1"/>
    <row r="1014" customFormat="1" ht="17.25" customHeight="1"/>
    <row r="1015" customFormat="1" ht="17.25" customHeight="1"/>
    <row r="1016" customFormat="1" ht="17.25" customHeight="1"/>
    <row r="1017" customFormat="1" ht="17.25" customHeight="1"/>
    <row r="1018" customFormat="1" ht="17.25" customHeight="1"/>
    <row r="1019" customFormat="1" ht="17.25" customHeight="1"/>
    <row r="1020" customFormat="1" ht="17.25" customHeight="1"/>
    <row r="1021" customFormat="1" ht="17.25" customHeight="1"/>
    <row r="1022" customFormat="1" ht="17.25" customHeight="1"/>
    <row r="1023" customFormat="1" ht="17.25" customHeight="1"/>
    <row r="1024" customFormat="1" ht="17.25" customHeight="1"/>
    <row r="1025" customFormat="1" ht="17.25" customHeight="1"/>
    <row r="1026" customFormat="1" ht="17.25" customHeight="1"/>
    <row r="1027" customFormat="1" ht="17.25" customHeight="1"/>
    <row r="1028" customFormat="1" ht="17.25" customHeight="1"/>
    <row r="1029" customFormat="1" ht="17.25" customHeight="1"/>
    <row r="1030" customFormat="1" ht="17.25" customHeight="1"/>
    <row r="1031" customFormat="1" ht="17.25" customHeight="1"/>
    <row r="1032" customFormat="1" ht="17.25" customHeight="1"/>
    <row r="1033" customFormat="1" ht="17.25" customHeight="1"/>
    <row r="1034" customFormat="1" ht="17.25" customHeight="1"/>
    <row r="1035" customFormat="1" ht="17.25" customHeight="1"/>
    <row r="1036" customFormat="1" ht="17.25" customHeight="1"/>
    <row r="1037" customFormat="1" ht="17.25" customHeight="1"/>
    <row r="1038" customFormat="1" ht="17.25" customHeight="1"/>
    <row r="1039" customFormat="1" ht="17.25" customHeight="1"/>
    <row r="1040" customFormat="1" ht="17.25" customHeight="1"/>
    <row r="1041" customFormat="1" ht="17.25" customHeight="1"/>
    <row r="1042" customFormat="1" ht="17.25" customHeight="1"/>
    <row r="1043" customFormat="1" ht="17.25" customHeight="1"/>
    <row r="1044" customFormat="1" ht="17.25" customHeight="1"/>
    <row r="1045" customFormat="1" ht="17.25" customHeight="1"/>
    <row r="1046" customFormat="1" ht="17.25" customHeight="1"/>
    <row r="1047" customFormat="1" ht="17.25" customHeight="1"/>
    <row r="1048" customFormat="1" ht="17.25" customHeight="1"/>
    <row r="1049" customFormat="1" ht="17.25" customHeight="1"/>
    <row r="1050" customFormat="1" ht="17.25" customHeight="1"/>
    <row r="1051" customFormat="1" ht="17.25" customHeight="1"/>
    <row r="1052" customFormat="1" ht="17.25" customHeight="1"/>
    <row r="1053" customFormat="1" ht="17.25" customHeight="1"/>
    <row r="1054" customFormat="1" ht="17.25" customHeight="1"/>
    <row r="1055" customFormat="1" ht="17.25" customHeight="1"/>
    <row r="1056" customFormat="1" ht="17.25" customHeight="1"/>
    <row r="1057" customFormat="1" ht="17.25" customHeight="1"/>
    <row r="1058" customFormat="1" ht="17.25" customHeight="1"/>
    <row r="1059" customFormat="1" ht="17.25" customHeight="1"/>
    <row r="1060" customFormat="1" ht="17.25" customHeight="1"/>
    <row r="1061" customFormat="1" ht="17.25" customHeight="1"/>
    <row r="1062" customFormat="1" ht="17.25" customHeight="1"/>
    <row r="1063" customFormat="1" ht="17.25" customHeight="1"/>
    <row r="1064" customFormat="1" ht="17.25" customHeight="1"/>
    <row r="1065" customFormat="1" ht="17.25" customHeight="1"/>
    <row r="1066" customFormat="1" ht="17.25" customHeight="1"/>
    <row r="1067" customFormat="1" ht="17.25" customHeight="1"/>
    <row r="1068" customFormat="1" ht="17.25" customHeight="1"/>
    <row r="1069" customFormat="1" ht="17.25" customHeight="1"/>
    <row r="1070" customFormat="1" ht="17.25" customHeight="1"/>
    <row r="1071" customFormat="1" ht="17.25" customHeight="1"/>
    <row r="1072" customFormat="1" ht="17.25" customHeight="1"/>
    <row r="1073" customFormat="1" ht="17.25" customHeight="1"/>
    <row r="1074" customFormat="1" ht="17.25" customHeight="1"/>
    <row r="1075" customFormat="1" ht="17.25" customHeight="1"/>
    <row r="1076" customFormat="1" ht="17.25" customHeight="1"/>
    <row r="1077" customFormat="1" ht="17.25" customHeight="1"/>
    <row r="1078" customFormat="1" ht="17.25" customHeight="1"/>
    <row r="1079" customFormat="1" ht="17.25" customHeight="1"/>
    <row r="1080" customFormat="1" ht="17.25" customHeight="1"/>
    <row r="1081" customFormat="1" ht="17.25" customHeight="1"/>
    <row r="1082" customFormat="1" ht="17.25" customHeight="1"/>
    <row r="1083" customFormat="1" ht="17.25" customHeight="1"/>
    <row r="1084" customFormat="1" ht="17.25" customHeight="1"/>
    <row r="1085" customFormat="1" ht="17.25" customHeight="1"/>
    <row r="1086" customFormat="1" ht="17.25" customHeight="1"/>
    <row r="1087" customFormat="1" ht="17.25" customHeight="1"/>
    <row r="1088" customFormat="1" ht="17.25" customHeight="1"/>
    <row r="1089" customFormat="1" ht="17.25" customHeight="1"/>
    <row r="1090" customFormat="1" ht="17.25" customHeight="1"/>
    <row r="1091" customFormat="1" ht="17.25" customHeight="1"/>
    <row r="1092" customFormat="1" ht="17.25" customHeight="1"/>
    <row r="1093" customFormat="1" ht="17.25" customHeight="1"/>
    <row r="1094" customFormat="1" ht="17.25" customHeight="1"/>
    <row r="1095" customFormat="1" ht="17.25" customHeight="1"/>
    <row r="1096" customFormat="1" ht="17.25" customHeight="1"/>
    <row r="1097" customFormat="1" ht="17.25" customHeight="1"/>
    <row r="1098" customFormat="1" ht="17.25" customHeight="1"/>
    <row r="1099" customFormat="1" ht="17.25" customHeight="1"/>
    <row r="1100" customFormat="1" ht="17.25" customHeight="1"/>
    <row r="1101" customFormat="1" ht="17.25" customHeight="1"/>
    <row r="1102" customFormat="1" ht="17.25" customHeight="1"/>
    <row r="1103" customFormat="1" ht="17.25" customHeight="1"/>
    <row r="1104" customFormat="1" ht="17.25" customHeight="1"/>
    <row r="1105" customFormat="1" ht="17.25" customHeight="1"/>
    <row r="1106" customFormat="1" ht="17.25" customHeight="1"/>
    <row r="1107" customFormat="1" ht="17.25" customHeight="1"/>
    <row r="1108" customFormat="1" ht="17.25" customHeight="1"/>
    <row r="1109" customFormat="1" ht="17.25" customHeight="1"/>
    <row r="1110" customFormat="1" ht="17.25" customHeight="1"/>
    <row r="1111" customFormat="1" ht="17.25" customHeight="1"/>
    <row r="1112" customFormat="1" ht="17.25" customHeight="1"/>
    <row r="1113" customFormat="1" ht="17.25" customHeight="1"/>
    <row r="1114" customFormat="1" ht="17.25" customHeight="1"/>
    <row r="1115" customFormat="1" ht="17.25" customHeight="1"/>
    <row r="1116" customFormat="1" ht="17.25" customHeight="1"/>
    <row r="1117" customFormat="1" ht="17.25" customHeight="1"/>
    <row r="1118" customFormat="1" ht="17.25" customHeight="1"/>
    <row r="1119" customFormat="1" ht="17.25" customHeight="1"/>
    <row r="1120" customFormat="1" ht="17.25" customHeight="1"/>
    <row r="1121" customFormat="1" ht="17.25" customHeight="1"/>
    <row r="1122" customFormat="1" ht="17.25" customHeight="1"/>
    <row r="1123" customFormat="1" ht="17.25" customHeight="1"/>
    <row r="1124" customFormat="1" ht="17.25" customHeight="1"/>
    <row r="1125" customFormat="1" ht="17.25" customHeight="1"/>
    <row r="1126" customFormat="1" ht="17.25" customHeight="1"/>
    <row r="1127" customFormat="1" ht="17.25" customHeight="1"/>
    <row r="1128" customFormat="1" ht="17.25" customHeight="1"/>
    <row r="1129" customFormat="1" ht="17.25" customHeight="1"/>
    <row r="1130" customFormat="1" ht="17.25" customHeight="1"/>
    <row r="1131" customFormat="1" ht="17.25" customHeight="1"/>
    <row r="1132" customFormat="1" ht="17.25" customHeight="1"/>
    <row r="1133" customFormat="1" ht="17.25" customHeight="1"/>
    <row r="1134" customFormat="1" ht="17.25" customHeight="1"/>
    <row r="1135" customFormat="1" ht="17.25" customHeight="1"/>
    <row r="1136" customFormat="1" ht="17.25" customHeight="1"/>
    <row r="1137" customFormat="1" ht="17.25" customHeight="1"/>
    <row r="1138" customFormat="1" ht="17.25" customHeight="1"/>
    <row r="1139" customFormat="1" ht="17.25" customHeight="1"/>
    <row r="1140" customFormat="1" ht="17.25" customHeight="1"/>
    <row r="1141" customFormat="1" ht="17.25" customHeight="1"/>
    <row r="1142" customFormat="1" ht="17.25" customHeight="1"/>
    <row r="1143" customFormat="1" ht="17.25" customHeight="1"/>
    <row r="1144" customFormat="1" ht="17.25" customHeight="1"/>
    <row r="1145" customFormat="1" ht="17.25" customHeight="1"/>
    <row r="1146" customFormat="1" ht="17.25" customHeight="1"/>
    <row r="1147" customFormat="1" ht="17.25" customHeight="1"/>
    <row r="1148" customFormat="1" ht="17.25" customHeight="1"/>
    <row r="1149" customFormat="1" ht="17.25" customHeight="1"/>
    <row r="1150" customFormat="1" ht="17.25" customHeight="1"/>
    <row r="1151" customFormat="1" ht="17.25" customHeight="1"/>
    <row r="1152" customFormat="1" ht="17.25" customHeight="1"/>
    <row r="1153" customFormat="1" ht="17.25" customHeight="1"/>
    <row r="1154" customFormat="1" ht="17.25" customHeight="1"/>
    <row r="1155" customFormat="1" ht="17.25" customHeight="1"/>
    <row r="1156" customFormat="1" ht="17.25" customHeight="1"/>
    <row r="1157" customFormat="1" ht="17.25" customHeight="1"/>
    <row r="1158" customFormat="1" ht="17.25" customHeight="1"/>
    <row r="1159" customFormat="1" ht="17.25" customHeight="1"/>
    <row r="1160" customFormat="1" ht="17.25" customHeight="1"/>
    <row r="1161" customFormat="1" ht="17.25" customHeight="1"/>
    <row r="1162" customFormat="1" ht="17.25" customHeight="1"/>
    <row r="1163" customFormat="1" ht="17.25" customHeight="1"/>
    <row r="1164" customFormat="1" ht="17.25" customHeight="1"/>
  </sheetData>
  <mergeCells count="2">
    <mergeCell ref="I123:L123"/>
    <mergeCell ref="J5:O5"/>
  </mergeCells>
  <phoneticPr fontId="7" type="noConversion"/>
  <pageMargins left="0.94488188976377963" right="0.74803149606299213" top="0.98425196850393704" bottom="0.98425196850393704" header="0.51181102362204722" footer="0.51181102362204722"/>
  <pageSetup paperSize="9" scale="60" orientation="portrait" r:id="rId1"/>
  <headerFooter alignWithMargins="0"/>
  <ignoredErrors>
    <ignoredError sqref="C128:H128 C7:H7 C8:H8 C9:H9 C10:H10 C11:H11 C12:H12 C13:H13 C14:H14 C15:H15 C16:H16 C17:H17 C18:H18 C19:H19 C20:H20 C21:H21 C22:H22 C23:H23 C24:H24 C25:H25 C26:H26 C27:H27 C28:H28 C29:H29 C30:H30 C31:H31 C32:H32 C33:H33 C34:H34 C35:H35 C36:H36 C37:H37 C102:H102 B103:H103 B104:H104 C105:H105 B106:H106 B107:H107 B108:H108 B109:H109 B110:H110 B111:H111 C112:H112 B113:H113 B114:H114 C115:H115 B116:H116 B117:H117 B118:H118 B119:H119 C120:H120 C121:H121 B122:H122 B123:H123 B124:H124 B125:H125 C126:H126 C127:H127" evalError="1"/>
    <ignoredError sqref="AN106 AN105" evalError="1" emptyCellReference="1"/>
    <ignoredError sqref="I38 I107:AN111 AM121:AM125 I106:AM106 I7 I8 I9 I10 I11 I12 I13 I14 I15 I16 I17 I18 I19 I20 I21 I22 I23 I24 I25 I26 I27 I28 I29 I30 I31 I32 I33 I34 I35 I36 I37 I70:AN70 I39 I102:AN104 I71 AN71 I40 I72 AN72 I41 I73:J73 AN73 I42 I74:K74 AN74 I43 I75:L75 AN75 I44 I76:M76 AN76 I45:N45 AN45 I77:N77 AN77 I46:O46 AN46 I78:O78 AN78 I47:P47 AN47 I79:P79 AN79 I48:Q48 AN48 I80:Q80 AN80 I49:R49 AN49 I81:R81 AN81 I50:S50 AN50 I82:S82 AN82 I51:T51 AN51 I83:T83 AN83 I52:U52 AN52 I84:U84 AN84 I53:V53 AN53 I85:V85 AN85 I54:W54 AN54 I86:W86 AN86 I55:X55 AN55 I87:X87 AN87 I56:Y56 AN56 I88:Y88 AN88 I57:Z57 AN57 I89:Z89 AN89 I58:AA58 AN58 I90:AA90 AN90 I59:AB59 AN59 I91:AB91 AN91 I60:AC60 AN60 I92:AC92 AN92 I61:AD61 AN61 I93:AD93 AN93 I62:AE62 AN62 I94:AE94 AN94 I63:AF63 AN63 I95:AF95 AN95 I64:AG64 AN64 I96:AG96 AN96 I65:AH65 AN65 I97:AH97 AN97 I66:AI66 AN66 I98:AI98 AN98 I67:AJ67 AN67 I99:AJ99 AN99 I68:AK68 AN68 I100:AK100 AN100 I69:AL69 AN69 I101:AL101 AN101 AN44 J44:M44 J38:AN38 AN7 AN8 J9 AN9 J10:K10 AN10 J11:L11 AN11 J12:M12 AN12 J13:N13 AN13 J14:O14 AN14 J15:P15 AN15 J16:Q16 AN16 J17:R17 AN17 J18:S18 AN18 J19:T19 AN19 J20:U20 AN20 J21:V21 AN21 J22:W22 AN22 J23:X23 AN23 J24:Y24 AN24 J25:Z25 AN25 J26:AA26 AN26 J27:AB27 AN27 J28:AC28 AN28 J29:AD29 AN29 J30:AE30 AN30 J31:AF31 AN31 J32:AG32 AN32 J33:AH33 AN33 J34:AI34 AN34 J35:AJ35 AN35 J36:AK36 AN36 J37:AL37 AN37 AN39 AN40 J41 AN41 J42:K42 AN42 J43:L43 AN43 I112 I113:I233 J127:J233 AM127:AM233 K127:K233 J121:J125 L127:L233 K121:K125 M127:M233 L121:L125 N127:N233 M121:M125 O127:O233 N121:N125 P127:P233 O121:O125 Q127:Q233 P121:P125 R127:R233 Q121:Q125 S127:S233 R121:R125 T127:T233 S121:S125 U127:U233 T121:T125 V127:V233 U121:U125 W127:W233 V121:V125 X127:X233 W121:W125 Y127:Y233 X121:X125 Z127:Z233 Y121:Y125 AA127:AA233 Z121:Z125 AB127:AB233 AA121:AA125 AC127:AC233 AB121:AB125 AD127:AD233 AC121:AC125 AE127:AE233 AD121:AD125 AF127:AF233 AE121:AE125 AG127:AG233 AF121:AF125 AH127:AH233 AG121:AG125 AI127:AI233 AH121:AH125 AJ127:AJ233 AI121:AI125 AK127:AK233 AJ121:AJ125 AL127:AL233 AK121:AK125 AN113:AN233 AL121:AL125 J113:J119 K113:K119 L113:L119 M113:M119 N113:N119 O113:O119 P113:P119 Q113:Q119 R113:R119 S113:S119 T113:T119 U113:U119 V113:V119 W113:W119 X113:X119 Y113:Y119 Z113:Z119 AA113:AA119 AB113:AB119 AC113:AC119 AD113:AD119 AE113:AE119 AF113:AF119 AG113:AG119 AH113:AH119 AI113:AI119 AJ113:AJ119 AK113:AK119 AL113:AL119 AM113:AM119 I105" emptyCellReference="1"/>
  </ignoredErrors>
  <drawing r:id="rId2"/>
  <legacyDrawing r:id="rId3"/>
  <controls>
    <mc:AlternateContent xmlns:mc="http://schemas.openxmlformats.org/markup-compatibility/2006">
      <mc:Choice Requires="x14">
        <control shapeId="80929" r:id="rId4" name="cboCalMethod">
          <controlPr defaultSize="0" autoLine="0" r:id="rId5">
            <anchor moveWithCells="1">
              <from>
                <xdr:col>1</xdr:col>
                <xdr:colOff>22860</xdr:colOff>
                <xdr:row>1</xdr:row>
                <xdr:rowOff>22860</xdr:rowOff>
              </from>
              <to>
                <xdr:col>1</xdr:col>
                <xdr:colOff>1226820</xdr:colOff>
                <xdr:row>2</xdr:row>
                <xdr:rowOff>15240</xdr:rowOff>
              </to>
            </anchor>
          </controlPr>
        </control>
      </mc:Choice>
      <mc:Fallback>
        <control shapeId="80929" r:id="rId4" name="cboCalMethod"/>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CU41"/>
  <sheetViews>
    <sheetView showGridLines="0" zoomScale="103" workbookViewId="0">
      <pane xSplit="2" ySplit="1" topLeftCell="C2" activePane="bottomRight" state="frozen"/>
      <selection activeCell="AP58" sqref="AP58"/>
      <selection pane="topRight" activeCell="AP58" sqref="AP58"/>
      <selection pane="bottomLeft" activeCell="AP58" sqref="AP58"/>
      <selection pane="bottomRight" activeCell="I13" sqref="I13"/>
    </sheetView>
  </sheetViews>
  <sheetFormatPr defaultColWidth="9.375" defaultRowHeight="12" outlineLevelRow="1"/>
  <cols>
    <col min="1" max="1" width="33" style="11" customWidth="1"/>
    <col min="2" max="2" width="41.625" style="3" customWidth="1"/>
    <col min="3" max="3" width="15.875" style="127" hidden="1" customWidth="1"/>
    <col min="4" max="4" width="15.875" style="196" hidden="1" customWidth="1"/>
    <col min="5" max="5" width="15.875" style="197" hidden="1" customWidth="1"/>
    <col min="6" max="8" width="15.875" style="197" customWidth="1"/>
    <col min="9" max="11" width="15.875" style="127" customWidth="1"/>
    <col min="12" max="14" width="15.875" style="127" hidden="1" customWidth="1"/>
    <col min="15" max="38" width="15.875" style="123" hidden="1" customWidth="1"/>
    <col min="39" max="39" width="10.5" style="1" customWidth="1"/>
    <col min="40" max="16384" width="9.375" style="1"/>
  </cols>
  <sheetData>
    <row r="1" spans="1:99" ht="17.25" customHeight="1">
      <c r="A1" s="320" t="s">
        <v>1070</v>
      </c>
      <c r="B1" s="115" t="s">
        <v>1360</v>
      </c>
      <c r="C1" s="124" t="str">
        <f>年度数据!C1</f>
        <v>2017-12-31</v>
      </c>
      <c r="D1" s="125" t="str">
        <f>年度数据!D1</f>
        <v>2018-12-31</v>
      </c>
      <c r="E1" s="124" t="str">
        <f>年度数据!E1</f>
        <v>2019-12-31</v>
      </c>
      <c r="F1" s="124" t="str">
        <f>年度数据!F1</f>
        <v>2020-12-31</v>
      </c>
      <c r="G1" s="124" t="str">
        <f>年度数据!G1</f>
        <v>2021-12-31</v>
      </c>
      <c r="H1" s="124" t="str">
        <f>年度数据!H1</f>
        <v>2022-12-31</v>
      </c>
      <c r="I1" s="120" t="str">
        <f>假设!I2</f>
        <v>2023E</v>
      </c>
      <c r="J1" s="120" t="str">
        <f>假设!J2</f>
        <v>2024E</v>
      </c>
      <c r="K1" s="120" t="str">
        <f>假设!K2</f>
        <v>2025E</v>
      </c>
      <c r="L1" s="120" t="str">
        <f>假设!L2</f>
        <v>2026E</v>
      </c>
      <c r="M1" s="120" t="str">
        <f>假设!M2</f>
        <v>2027E</v>
      </c>
      <c r="N1" s="120" t="str">
        <f>假设!N2</f>
        <v>2028E</v>
      </c>
      <c r="O1" s="120" t="str">
        <f>假设!O2</f>
        <v>2029E</v>
      </c>
      <c r="P1" s="120" t="str">
        <f>假设!P2</f>
        <v>2030E</v>
      </c>
      <c r="Q1" s="120" t="str">
        <f>假设!Q2</f>
        <v>2031E</v>
      </c>
      <c r="R1" s="120" t="str">
        <f>假设!R2</f>
        <v>2032E</v>
      </c>
      <c r="S1" s="120" t="str">
        <f>假设!S2</f>
        <v>2033E</v>
      </c>
      <c r="T1" s="120" t="str">
        <f>假设!T2</f>
        <v>2034E</v>
      </c>
      <c r="U1" s="120" t="str">
        <f>假设!U2</f>
        <v>2035E</v>
      </c>
      <c r="V1" s="120" t="str">
        <f>假设!V2</f>
        <v>2036E</v>
      </c>
      <c r="W1" s="120" t="str">
        <f>假设!W2</f>
        <v>2037E</v>
      </c>
      <c r="X1" s="120" t="str">
        <f>假设!X2</f>
        <v>2038E</v>
      </c>
      <c r="Y1" s="120" t="str">
        <f>假设!Y2</f>
        <v>2039E</v>
      </c>
      <c r="Z1" s="120" t="str">
        <f>假设!Z2</f>
        <v>2040E</v>
      </c>
      <c r="AA1" s="120" t="str">
        <f>假设!AA2</f>
        <v>2041E</v>
      </c>
      <c r="AB1" s="120" t="str">
        <f>假设!AB2</f>
        <v>2042E</v>
      </c>
      <c r="AC1" s="120" t="str">
        <f>假设!AC2</f>
        <v>2043E</v>
      </c>
      <c r="AD1" s="120" t="str">
        <f>假设!AD2</f>
        <v>2044E</v>
      </c>
      <c r="AE1" s="120" t="str">
        <f>假设!AE2</f>
        <v>2045E</v>
      </c>
      <c r="AF1" s="120" t="str">
        <f>假设!AF2</f>
        <v>2046E</v>
      </c>
      <c r="AG1" s="120" t="str">
        <f>假设!AG2</f>
        <v>2047E</v>
      </c>
      <c r="AH1" s="120" t="str">
        <f>假设!AH2</f>
        <v>2048E</v>
      </c>
      <c r="AI1" s="120" t="str">
        <f>假设!AI2</f>
        <v>2049E</v>
      </c>
      <c r="AJ1" s="120" t="str">
        <f>假设!AJ2</f>
        <v>2050E</v>
      </c>
      <c r="AK1" s="120" t="str">
        <f>假设!AK2</f>
        <v>2051E</v>
      </c>
      <c r="AL1" s="120" t="str">
        <f>假设!AL2</f>
        <v>2052E</v>
      </c>
    </row>
    <row r="2" spans="1:99" s="18" customFormat="1" ht="18.75" customHeight="1" outlineLevel="1">
      <c r="A2" s="111" t="s">
        <v>996</v>
      </c>
      <c r="B2" s="107" t="s">
        <v>1068</v>
      </c>
      <c r="C2" s="200">
        <f>年度数据!C4</f>
        <v>2038.7881276099999</v>
      </c>
      <c r="D2" s="200">
        <f>年度数据!D4</f>
        <v>3096.7492906900002</v>
      </c>
      <c r="E2" s="200">
        <f>年度数据!E4</f>
        <v>4651.9570119999998</v>
      </c>
      <c r="F2" s="200">
        <f>年度数据!F4</f>
        <v>6237.8785046200001</v>
      </c>
      <c r="G2" s="200">
        <f>年度数据!G4</f>
        <v>7770.7241516800004</v>
      </c>
      <c r="H2" s="200">
        <f>年度数据!H4</f>
        <v>7660.6405554399998</v>
      </c>
      <c r="I2" s="200">
        <f>H2*(1+假设!I3)</f>
        <v>8366.1855505960248</v>
      </c>
      <c r="J2" s="200">
        <f>I2*(1+假设!J3)</f>
        <v>9687.2062490351364</v>
      </c>
      <c r="K2" s="200">
        <f>J2*(1+假设!K3)</f>
        <v>11280.713586890948</v>
      </c>
      <c r="L2" s="200">
        <f>K2*(1+假设!L3)</f>
        <v>12738.320537083449</v>
      </c>
      <c r="M2" s="200">
        <f>L2*(1+假设!M3)</f>
        <v>14087.415468478148</v>
      </c>
      <c r="N2" s="200">
        <f>M2*(1+假设!N3)</f>
        <v>15917.699682554638</v>
      </c>
      <c r="O2" s="200">
        <f>N2*(1+假设!O3)</f>
        <v>18106.192699704279</v>
      </c>
      <c r="P2" s="200">
        <f>O2*(1+假设!P3)</f>
        <v>20521.660641679893</v>
      </c>
      <c r="Q2" s="200">
        <f>P2*(1+假设!Q3)</f>
        <v>23131.760085899103</v>
      </c>
      <c r="R2" s="200">
        <f>Q2*(1+假设!R3)</f>
        <v>26064.464372694092</v>
      </c>
      <c r="S2" s="200">
        <f>R2*(1+假设!S3)</f>
        <v>29477.799449909977</v>
      </c>
      <c r="T2" s="200">
        <f>S2*(1+假设!T3)</f>
        <v>33344.232527300352</v>
      </c>
      <c r="U2" s="200">
        <f>T2*(1+假设!U3)</f>
        <v>37675.631010476092</v>
      </c>
      <c r="V2" s="200">
        <f>U2*(1+假设!V3)</f>
        <v>42543.256670024071</v>
      </c>
      <c r="W2" s="200">
        <f>V2*(1+假设!W3)</f>
        <v>48056.879537078647</v>
      </c>
      <c r="X2" s="200">
        <f>W2*(1+假设!X3)</f>
        <v>54312.153157842935</v>
      </c>
      <c r="Y2" s="200">
        <f>X2*(1+假设!Y3)</f>
        <v>61373.018986351977</v>
      </c>
      <c r="Z2" s="200">
        <f>Y2*(1+假设!Z3)</f>
        <v>69337.608611567659</v>
      </c>
      <c r="AA2" s="200">
        <f>Z2*(1+假设!AA3)</f>
        <v>78334.043211509736</v>
      </c>
      <c r="AB2" s="200">
        <f>AA2*(1+假设!AB3)</f>
        <v>88506.36660977584</v>
      </c>
      <c r="AC2" s="200">
        <f>AB2*(1+假设!AC3)</f>
        <v>100004.21506612485</v>
      </c>
      <c r="AD2" s="200">
        <f>AC2*(1+假设!AD3)</f>
        <v>112990.66480260128</v>
      </c>
      <c r="AE2" s="200">
        <f>AD2*(1+假设!AE3)</f>
        <v>127660.21745836236</v>
      </c>
      <c r="AF2" s="200">
        <f>AE2*(1+假设!AF3)</f>
        <v>144235.75244585538</v>
      </c>
      <c r="AG2" s="200">
        <f>AF2*(1+假设!AG3)</f>
        <v>162966.14820551101</v>
      </c>
      <c r="AH2" s="200">
        <f>AG2*(1+假设!AH3)</f>
        <v>184128.90850497156</v>
      </c>
      <c r="AI2" s="200">
        <f>AH2*(1+假设!AI3)</f>
        <v>208038.02080345343</v>
      </c>
      <c r="AJ2" s="200">
        <f>AI2*(1+假设!AJ3)</f>
        <v>235051.3464596128</v>
      </c>
      <c r="AK2" s="200">
        <f>AJ2*(1+假设!AK3)</f>
        <v>265573.15684304218</v>
      </c>
      <c r="AL2" s="200">
        <f>AK2*(1+假设!AL3)</f>
        <v>300058.84023836779</v>
      </c>
      <c r="AM2" s="443"/>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row>
    <row r="3" spans="1:99" ht="18.75" customHeight="1" outlineLevel="1">
      <c r="A3" s="108" t="s">
        <v>985</v>
      </c>
      <c r="B3" s="109" t="s">
        <v>2877</v>
      </c>
      <c r="C3" s="200">
        <f>年度数据!C5</f>
        <v>1263.5234191700001</v>
      </c>
      <c r="D3" s="200">
        <f>年度数据!D5</f>
        <v>2124.4891360900001</v>
      </c>
      <c r="E3" s="200">
        <f>年度数据!E5</f>
        <v>3092.1497950500002</v>
      </c>
      <c r="F3" s="200">
        <f>年度数据!F5</f>
        <v>3933.6453061799998</v>
      </c>
      <c r="G3" s="200">
        <f>年度数据!G5</f>
        <v>5554.9510171599995</v>
      </c>
      <c r="H3" s="200">
        <f>年度数据!H5</f>
        <v>6035.7600298300003</v>
      </c>
      <c r="I3" s="200">
        <f>I2*假设!I4</f>
        <v>6886.2073266955886</v>
      </c>
      <c r="J3" s="200">
        <f>J2*假设!J4</f>
        <v>7321.9453431410248</v>
      </c>
      <c r="K3" s="200">
        <f>K2*假设!K4</f>
        <v>8645.2223050112862</v>
      </c>
      <c r="L3" s="200">
        <f>L2*假设!L4</f>
        <v>9863.8311878721943</v>
      </c>
      <c r="M3" s="200">
        <f>M2*假设!M4</f>
        <v>10930.712768213256</v>
      </c>
      <c r="N3" s="200">
        <f>N2*假设!N4</f>
        <v>12321.215938489671</v>
      </c>
      <c r="O3" s="200">
        <f>O2*假设!O4</f>
        <v>13984.715435054017</v>
      </c>
      <c r="P3" s="200">
        <f>P2*假设!P4</f>
        <v>15871.328413016432</v>
      </c>
      <c r="Q3" s="200">
        <f>Q2*假设!Q4</f>
        <v>17895.985252894232</v>
      </c>
      <c r="R3" s="200">
        <f>R2*假设!R4</f>
        <v>20161.729644348085</v>
      </c>
      <c r="S3" s="200">
        <f>S2*假设!S4</f>
        <v>22798.654219661134</v>
      </c>
      <c r="T3" s="200">
        <f>T2*假设!T4</f>
        <v>25789.195456307298</v>
      </c>
      <c r="U3" s="200">
        <f>U2*假设!U4</f>
        <v>29141.066367699481</v>
      </c>
      <c r="V3" s="200">
        <f>V2*假设!V4</f>
        <v>32905.872461649858</v>
      </c>
      <c r="W3" s="200">
        <f>W2*假设!W4</f>
        <v>37169.980611941653</v>
      </c>
      <c r="X3" s="200">
        <f>X2*假设!X4</f>
        <v>42008.082407876231</v>
      </c>
      <c r="Y3" s="200">
        <f>Y2*假设!Y4</f>
        <v>47469.526329967826</v>
      </c>
      <c r="Z3" s="200">
        <f>Z2*假设!Z4</f>
        <v>53629.892146623919</v>
      </c>
      <c r="AA3" s="200">
        <f>AA2*假设!AA4</f>
        <v>60588.210070164743</v>
      </c>
      <c r="AB3" s="200">
        <f>AB2*假设!AB4</f>
        <v>68456.060195440674</v>
      </c>
      <c r="AC3" s="200">
        <f>AC2*假设!AC4</f>
        <v>77349.191678477015</v>
      </c>
      <c r="AD3" s="200">
        <f>AD2*假设!AD4</f>
        <v>87393.696825091087</v>
      </c>
      <c r="AE3" s="200">
        <f>AE2*假设!AE4</f>
        <v>98739.99809492589</v>
      </c>
      <c r="AF3" s="200">
        <f>AF2*假设!AF4</f>
        <v>111560.49530798904</v>
      </c>
      <c r="AG3" s="200">
        <f>AG2*假设!AG4</f>
        <v>126047.69599842388</v>
      </c>
      <c r="AH3" s="200">
        <f>AH2*假设!AH4</f>
        <v>142416.23366528697</v>
      </c>
      <c r="AI3" s="200">
        <f>AI2*假设!AI4</f>
        <v>160908.96142732762</v>
      </c>
      <c r="AJ3" s="200">
        <f>AJ2*假设!AJ4</f>
        <v>181802.67114305939</v>
      </c>
      <c r="AK3" s="200">
        <f>AK2*假设!AK4</f>
        <v>205410.05173981952</v>
      </c>
      <c r="AL3" s="200">
        <f>AL2*假设!AL4</f>
        <v>232083.32762301795</v>
      </c>
      <c r="AM3" s="444"/>
    </row>
    <row r="4" spans="1:99" ht="18.75" customHeight="1" outlineLevel="1">
      <c r="A4" s="106" t="s">
        <v>986</v>
      </c>
      <c r="B4" s="109" t="s">
        <v>2876</v>
      </c>
      <c r="C4" s="200">
        <f>年度数据!C6</f>
        <v>18.558996370000003</v>
      </c>
      <c r="D4" s="200">
        <f>年度数据!D6</f>
        <v>20.62809304</v>
      </c>
      <c r="E4" s="200">
        <f>年度数据!E6</f>
        <v>32.896232670000003</v>
      </c>
      <c r="F4" s="200">
        <f>年度数据!F6</f>
        <v>42.402173340000004</v>
      </c>
      <c r="G4" s="200">
        <f>年度数据!G6</f>
        <v>43.490777829999999</v>
      </c>
      <c r="H4" s="200">
        <f>年度数据!H6</f>
        <v>36.744935640000001</v>
      </c>
      <c r="I4" s="200">
        <f>I2*假设!I5</f>
        <v>51.742443541544333</v>
      </c>
      <c r="J4" s="200">
        <f>J2*假设!J5</f>
        <v>58.989390116367368</v>
      </c>
      <c r="K4" s="200">
        <f>K2*假设!K5</f>
        <v>66.477221636107203</v>
      </c>
      <c r="L4" s="200">
        <f>L2*假设!L5</f>
        <v>72.762449536658536</v>
      </c>
      <c r="M4" s="200">
        <f>M2*假设!M5</f>
        <v>80.79358317754324</v>
      </c>
      <c r="N4" s="200">
        <f>N2*假设!N5</f>
        <v>94.278538345096621</v>
      </c>
      <c r="O4" s="200">
        <f>O2*假设!O5</f>
        <v>106.29253407731649</v>
      </c>
      <c r="P4" s="200">
        <f>P2*假设!P5</f>
        <v>119.5740977691494</v>
      </c>
      <c r="Q4" s="200">
        <f>Q2*假设!Q5</f>
        <v>134.47583632196333</v>
      </c>
      <c r="R4" s="200">
        <f>R2*假设!R5</f>
        <v>152.05351631781502</v>
      </c>
      <c r="S4" s="200">
        <f>S2*假设!S5</f>
        <v>172.54728362737185</v>
      </c>
      <c r="T4" s="200">
        <f>T2*假设!T5</f>
        <v>194.71643850040056</v>
      </c>
      <c r="U4" s="200">
        <f>U2*假设!U5</f>
        <v>219.77699084778041</v>
      </c>
      <c r="V4" s="200">
        <f>V2*假设!V5</f>
        <v>248.22857093272947</v>
      </c>
      <c r="W4" s="200">
        <f>W2*假设!W5</f>
        <v>280.60344674768402</v>
      </c>
      <c r="X4" s="200">
        <f>X2*假设!X5</f>
        <v>317.1847994759658</v>
      </c>
      <c r="Y4" s="200">
        <f>Y2*假设!Y5</f>
        <v>358.25562132303816</v>
      </c>
      <c r="Z4" s="200">
        <f>Z2*假设!Z5</f>
        <v>404.71668111303325</v>
      </c>
      <c r="AA4" s="200">
        <f>AA2*假设!AA5</f>
        <v>457.28281630607199</v>
      </c>
      <c r="AB4" s="200">
        <f>AB2*假设!AB5</f>
        <v>516.71551157429133</v>
      </c>
      <c r="AC4" s="200">
        <f>AC2*假设!AC5</f>
        <v>583.82569061880281</v>
      </c>
      <c r="AD4" s="200">
        <f>AD2*假设!AD5</f>
        <v>659.59501394361359</v>
      </c>
      <c r="AE4" s="200">
        <f>AE2*假设!AE5</f>
        <v>745.23670099175206</v>
      </c>
      <c r="AF4" s="200">
        <f>AF2*假设!AF5</f>
        <v>842.02087830620599</v>
      </c>
      <c r="AG4" s="200">
        <f>AG2*假设!AG5</f>
        <v>951.37219808205577</v>
      </c>
      <c r="AH4" s="200">
        <f>AH2*假设!AH5</f>
        <v>1074.9054063734309</v>
      </c>
      <c r="AI4" s="200">
        <f>AI2*假设!AI5</f>
        <v>1214.4724189239366</v>
      </c>
      <c r="AJ4" s="200">
        <f>AJ2*假设!AJ5</f>
        <v>1372.1756703933954</v>
      </c>
      <c r="AK4" s="200">
        <f>AK2*假设!AK5</f>
        <v>1550.3609134322112</v>
      </c>
      <c r="AL4" s="200">
        <f>AL2*假设!AL5</f>
        <v>1751.6801187862334</v>
      </c>
      <c r="AM4" s="444"/>
    </row>
    <row r="5" spans="1:99" ht="18.75" customHeight="1" outlineLevel="1">
      <c r="A5" s="110" t="s">
        <v>1165</v>
      </c>
      <c r="B5" s="109" t="s">
        <v>2873</v>
      </c>
      <c r="C5" s="200">
        <f>年度数据!C7</f>
        <v>260.56178699999998</v>
      </c>
      <c r="D5" s="200">
        <f>年度数据!D7</f>
        <v>416.89349785000002</v>
      </c>
      <c r="E5" s="200">
        <f>年度数据!E7</f>
        <v>575.76474630999996</v>
      </c>
      <c r="F5" s="200">
        <f>年度数据!F7</f>
        <v>389.22984681000003</v>
      </c>
      <c r="G5" s="200">
        <f>年度数据!G7</f>
        <v>472.99545004999999</v>
      </c>
      <c r="H5" s="200">
        <f>年度数据!H7</f>
        <v>509.95078439999997</v>
      </c>
      <c r="I5" s="200">
        <f>I2*假设!I6</f>
        <v>749.98764873923972</v>
      </c>
      <c r="J5" s="200">
        <f>J2*假设!J6</f>
        <v>781.2687986074227</v>
      </c>
      <c r="K5" s="200">
        <f>K2*假设!K6</f>
        <v>812.50241554383399</v>
      </c>
      <c r="L5" s="200">
        <f>L2*假设!L6</f>
        <v>942.01665025122782</v>
      </c>
      <c r="M5" s="200">
        <f>M2*假设!M6</f>
        <v>1078.6438291562085</v>
      </c>
      <c r="N5" s="200">
        <f>N2*假设!N6</f>
        <v>1250.6210695522666</v>
      </c>
      <c r="O5" s="200">
        <f>O2*假设!O6</f>
        <v>1382.4534434935406</v>
      </c>
      <c r="P5" s="200">
        <f>P2*假设!P6</f>
        <v>1549.2440818058337</v>
      </c>
      <c r="Q5" s="200">
        <f>Q2*假设!Q6</f>
        <v>1762.3296393893379</v>
      </c>
      <c r="R5" s="200">
        <f>R2*假设!R6</f>
        <v>1997.4140798374235</v>
      </c>
      <c r="S5" s="200">
        <f>S2*假设!S6</f>
        <v>2259.3776912433377</v>
      </c>
      <c r="T5" s="200">
        <f>T2*假设!T6</f>
        <v>2542.9150768223508</v>
      </c>
      <c r="U5" s="200">
        <f>U2*假设!U6</f>
        <v>2872.5602337206997</v>
      </c>
      <c r="V5" s="200">
        <f>V2*假设!V6</f>
        <v>3250.0834011266493</v>
      </c>
      <c r="W5" s="200">
        <f>W2*假设!W6</f>
        <v>3673.2967539381298</v>
      </c>
      <c r="X5" s="200">
        <f>X2*假设!X6</f>
        <v>4149.2858084092641</v>
      </c>
      <c r="Y5" s="200">
        <f>Y2*假设!Y6</f>
        <v>4685.6492103087858</v>
      </c>
      <c r="Z5" s="200">
        <f>Z2*假设!Z6</f>
        <v>5294.8944983762822</v>
      </c>
      <c r="AA5" s="200">
        <f>AA2*假设!AA6</f>
        <v>5983.7692294291328</v>
      </c>
      <c r="AB5" s="200">
        <f>AB2*假设!AB6</f>
        <v>6760.6882266883958</v>
      </c>
      <c r="AC5" s="200">
        <f>AC2*假设!AC6</f>
        <v>7637.9686094878343</v>
      </c>
      <c r="AD5" s="200">
        <f>AD2*假设!AD6</f>
        <v>8629.3636424478809</v>
      </c>
      <c r="AE5" s="200">
        <f>AE2*假设!AE6</f>
        <v>9750.358075534461</v>
      </c>
      <c r="AF5" s="200">
        <f>AF2*假设!AF6</f>
        <v>11016.74291291685</v>
      </c>
      <c r="AG5" s="200">
        <f>AG2*假设!AG6</f>
        <v>12447.120391627517</v>
      </c>
      <c r="AH5" s="200">
        <f>AH2*假设!AH6</f>
        <v>14063.210780466336</v>
      </c>
      <c r="AI5" s="200">
        <f>AI2*假设!AI6</f>
        <v>15889.338217431456</v>
      </c>
      <c r="AJ5" s="200">
        <f>AJ2*假设!AJ6</f>
        <v>17952.759667069789</v>
      </c>
      <c r="AK5" s="200">
        <f>AK2*假设!AK6</f>
        <v>20283.988115442782</v>
      </c>
      <c r="AL5" s="200">
        <f>AL2*假设!AL6</f>
        <v>22917.823684185354</v>
      </c>
      <c r="AM5" s="444"/>
    </row>
    <row r="6" spans="1:99" ht="18.75" customHeight="1" outlineLevel="1">
      <c r="A6" s="111" t="s">
        <v>1058</v>
      </c>
      <c r="B6" s="109" t="s">
        <v>2874</v>
      </c>
      <c r="C6" s="200">
        <f>年度数据!C8</f>
        <v>102.33023007999999</v>
      </c>
      <c r="D6" s="200">
        <f>年度数据!D8</f>
        <v>135.92366380999999</v>
      </c>
      <c r="E6" s="200">
        <f>年度数据!E8</f>
        <v>205.79558708000002</v>
      </c>
      <c r="F6" s="200">
        <f>年度数据!F8</f>
        <v>243.37358374999999</v>
      </c>
      <c r="G6" s="200">
        <f>年度数据!G8</f>
        <v>289.52784451999997</v>
      </c>
      <c r="H6" s="200">
        <f>年度数据!H8</f>
        <v>300.71854592</v>
      </c>
      <c r="I6" s="200">
        <f>I2*假设!I7</f>
        <v>308.71224681699334</v>
      </c>
      <c r="J6" s="200">
        <f>J2*假设!J7</f>
        <v>381.03221175752003</v>
      </c>
      <c r="K6" s="200">
        <f>K2*假设!K7</f>
        <v>432.64425164369453</v>
      </c>
      <c r="L6" s="200">
        <f>L2*假设!L7</f>
        <v>486.85841277695096</v>
      </c>
      <c r="M6" s="200">
        <f>M2*假设!M7</f>
        <v>541.1289255246536</v>
      </c>
      <c r="N6" s="200">
        <f>N2*假设!N7</f>
        <v>608.75114799183575</v>
      </c>
      <c r="O6" s="200">
        <f>O2*假设!O7</f>
        <v>697.31286370068051</v>
      </c>
      <c r="P6" s="200">
        <f>P2*假设!P7</f>
        <v>786.96803283611621</v>
      </c>
      <c r="Q6" s="200">
        <f>Q2*假设!Q7</f>
        <v>887.0402228960827</v>
      </c>
      <c r="R6" s="200">
        <f>R2*假设!R7</f>
        <v>1000.1650834329841</v>
      </c>
      <c r="S6" s="200">
        <f>S2*假设!S7</f>
        <v>1130.9113967148367</v>
      </c>
      <c r="T6" s="200">
        <f>T2*假设!T7</f>
        <v>1280.0547121059324</v>
      </c>
      <c r="U6" s="200">
        <f>U2*假设!U7</f>
        <v>1445.4040207032424</v>
      </c>
      <c r="V6" s="200">
        <f>V2*假设!V7</f>
        <v>1632.2860647344685</v>
      </c>
      <c r="W6" s="200">
        <f>W2*假设!W7</f>
        <v>1844.0269979776326</v>
      </c>
      <c r="X6" s="200">
        <f>X2*假设!X7</f>
        <v>2084.0421227511574</v>
      </c>
      <c r="Y6" s="200">
        <f>Y2*假设!Y7</f>
        <v>2355.0609326100334</v>
      </c>
      <c r="Z6" s="200">
        <f>Z2*假设!Z7</f>
        <v>2660.460907245782</v>
      </c>
      <c r="AA6" s="200">
        <f>AA2*假设!AA7</f>
        <v>3005.7331743877121</v>
      </c>
      <c r="AB6" s="200">
        <f>AB2*假设!AB7</f>
        <v>3396.1061911932748</v>
      </c>
      <c r="AC6" s="200">
        <f>AC2*假设!AC7</f>
        <v>3837.2850610865835</v>
      </c>
      <c r="AD6" s="200">
        <f>AD2*假设!AD7</f>
        <v>4335.583735725224</v>
      </c>
      <c r="AE6" s="200">
        <f>AE2*假设!AE7</f>
        <v>4898.427279012717</v>
      </c>
      <c r="AF6" s="200">
        <f>AF2*假设!AF7</f>
        <v>5534.4774473497264</v>
      </c>
      <c r="AG6" s="200">
        <f>AG2*假设!AG7</f>
        <v>6253.1934119546468</v>
      </c>
      <c r="AH6" s="200">
        <f>AH2*假设!AH7</f>
        <v>7065.224753033478</v>
      </c>
      <c r="AI6" s="200">
        <f>AI2*假设!AI7</f>
        <v>7982.6367220732645</v>
      </c>
      <c r="AJ6" s="200">
        <f>AJ2*假设!AJ7</f>
        <v>9019.1606583767607</v>
      </c>
      <c r="AK6" s="200">
        <f>AK2*假设!AK7</f>
        <v>10190.324519739286</v>
      </c>
      <c r="AL6" s="200">
        <f>AL2*假设!AL7</f>
        <v>11513.577622483766</v>
      </c>
      <c r="AM6" s="444"/>
    </row>
    <row r="7" spans="1:99" ht="18.75" customHeight="1" outlineLevel="1">
      <c r="A7" s="111" t="s">
        <v>2693</v>
      </c>
      <c r="B7" s="109" t="s">
        <v>2875</v>
      </c>
      <c r="C7" s="200">
        <f>年度数据!C9</f>
        <v>86.071131890000004</v>
      </c>
      <c r="D7" s="200">
        <f>年度数据!D9</f>
        <v>130.69170808000001</v>
      </c>
      <c r="E7" s="200">
        <f>年度数据!E9</f>
        <v>209.50728286</v>
      </c>
      <c r="F7" s="200">
        <f>年度数据!F9</f>
        <v>281.83294932999996</v>
      </c>
      <c r="G7" s="200">
        <f>年度数据!G9</f>
        <v>339.99656446</v>
      </c>
      <c r="H7" s="200">
        <f>年度数据!H9</f>
        <v>343.13398811000002</v>
      </c>
      <c r="I7" s="200">
        <f>I2*假设!I8</f>
        <v>342.1769890193774</v>
      </c>
      <c r="J7" s="200">
        <f>J2*假设!J8</f>
        <v>425.58340362417601</v>
      </c>
      <c r="K7" s="200">
        <f>K2*假设!K8</f>
        <v>493.09974952145177</v>
      </c>
      <c r="L7" s="200">
        <f>L2*假设!L8</f>
        <v>553.07141194847873</v>
      </c>
      <c r="M7" s="200">
        <f>M2*假设!M8</f>
        <v>610.70075938541424</v>
      </c>
      <c r="N7" s="200">
        <f>N2*假设!N8</f>
        <v>685.45752844761819</v>
      </c>
      <c r="O7" s="200">
        <f>O2*假设!O8</f>
        <v>787.531016160126</v>
      </c>
      <c r="P7" s="200">
        <f>P2*假设!P8</f>
        <v>890.79683733520267</v>
      </c>
      <c r="Q7" s="200">
        <f>Q2*假设!Q8</f>
        <v>1002.6881602775629</v>
      </c>
      <c r="R7" s="200">
        <f>R2*假设!R8</f>
        <v>1129.4408878475542</v>
      </c>
      <c r="S7" s="200">
        <f>S2*假设!S8</f>
        <v>1277.2422169069666</v>
      </c>
      <c r="T7" s="200">
        <f>T2*假设!T8</f>
        <v>1446.546994462306</v>
      </c>
      <c r="U7" s="200">
        <f>U2*假设!U8</f>
        <v>1633.6020220625924</v>
      </c>
      <c r="V7" s="200">
        <f>V2*假设!V8</f>
        <v>1844.252191112425</v>
      </c>
      <c r="W7" s="200">
        <f>W2*假设!W8</f>
        <v>2083.2990561858942</v>
      </c>
      <c r="X7" s="200">
        <f>X2*假设!X8</f>
        <v>2354.6660957935619</v>
      </c>
      <c r="Y7" s="200">
        <f>Y2*假设!Y8</f>
        <v>2661.0963573128006</v>
      </c>
      <c r="Z7" s="200">
        <f>Z2*假设!Z8</f>
        <v>3006.1193319507652</v>
      </c>
      <c r="AA7" s="200">
        <f>AA2*假设!AA8</f>
        <v>3396.0824530168998</v>
      </c>
      <c r="AB7" s="200">
        <f>AB2*假设!AB8</f>
        <v>3837.1591808581466</v>
      </c>
      <c r="AC7" s="200">
        <f>AC2*假设!AC8</f>
        <v>4335.7223114038425</v>
      </c>
      <c r="AD7" s="200">
        <f>AD2*假设!AD8</f>
        <v>4898.7794405161594</v>
      </c>
      <c r="AE7" s="200">
        <f>AE2*假设!AE8</f>
        <v>5534.6905482108305</v>
      </c>
      <c r="AF7" s="200">
        <f>AF2*假设!AF8</f>
        <v>6253.3216783765884</v>
      </c>
      <c r="AG7" s="200">
        <f>AG2*假设!AG8</f>
        <v>7065.4085376810017</v>
      </c>
      <c r="AH7" s="200">
        <f>AH2*假设!AH8</f>
        <v>7982.9382791253447</v>
      </c>
      <c r="AI7" s="200">
        <f>AI2*假设!AI8</f>
        <v>9019.5118597623932</v>
      </c>
      <c r="AJ7" s="200">
        <f>AJ2*假设!AJ8</f>
        <v>10190.654166198117</v>
      </c>
      <c r="AK7" s="200">
        <f>AK2*假设!AK8</f>
        <v>11513.935901118</v>
      </c>
      <c r="AL7" s="200">
        <f>AL2*假设!AL8</f>
        <v>13009.074921724918</v>
      </c>
      <c r="AM7" s="444"/>
    </row>
    <row r="8" spans="1:99" ht="18.75" customHeight="1" outlineLevel="1">
      <c r="A8" s="536" t="s">
        <v>987</v>
      </c>
      <c r="B8" s="112" t="s">
        <v>1031</v>
      </c>
      <c r="C8" s="200">
        <f>年度数据!C10</f>
        <v>18.76263307</v>
      </c>
      <c r="D8" s="200">
        <f>年度数据!D10</f>
        <v>27.753008870000002</v>
      </c>
      <c r="E8" s="200">
        <f>年度数据!E10</f>
        <v>20.159173320000001</v>
      </c>
      <c r="F8" s="200">
        <f>年度数据!F10</f>
        <v>27.226078329999996</v>
      </c>
      <c r="G8" s="200">
        <f>年度数据!G10</f>
        <v>42.603031940000001</v>
      </c>
      <c r="H8" s="200">
        <f>年度数据!H10</f>
        <v>75.63140765</v>
      </c>
      <c r="I8" s="200">
        <f ca="1">I9-I10+I11</f>
        <v>125.70179837948498</v>
      </c>
      <c r="J8" s="200">
        <f ca="1">J9-J10+J11</f>
        <v>314.75447313157986</v>
      </c>
      <c r="K8" s="200">
        <f t="shared" ref="K8:AL8" ca="1" si="0">K9-K10+K11</f>
        <v>419.93391906168307</v>
      </c>
      <c r="L8" s="200">
        <f t="shared" ca="1" si="0"/>
        <v>499.85829943044314</v>
      </c>
      <c r="M8" s="200">
        <f t="shared" ca="1" si="0"/>
        <v>599.08886631485598</v>
      </c>
      <c r="N8" s="200">
        <f t="shared" ca="1" si="0"/>
        <v>717.14392854413609</v>
      </c>
      <c r="O8" s="200">
        <f t="shared" ca="1" si="0"/>
        <v>848.83177645886974</v>
      </c>
      <c r="P8" s="200">
        <f t="shared" ca="1" si="0"/>
        <v>1004.1898632546727</v>
      </c>
      <c r="Q8" s="200">
        <f t="shared" ca="1" si="0"/>
        <v>1173.1228701695654</v>
      </c>
      <c r="R8" s="200">
        <f t="shared" ca="1" si="0"/>
        <v>1362.4569331640939</v>
      </c>
      <c r="S8" s="200">
        <f t="shared" ca="1" si="0"/>
        <v>1582.5939097281168</v>
      </c>
      <c r="T8" s="200">
        <f t="shared" ca="1" si="0"/>
        <v>1834.1197578801648</v>
      </c>
      <c r="U8" s="200">
        <f t="shared" ca="1" si="0"/>
        <v>2120.0597896390932</v>
      </c>
      <c r="V8" s="200">
        <f t="shared" ca="1" si="0"/>
        <v>2447.9558090933006</v>
      </c>
      <c r="W8" s="200">
        <f t="shared" ca="1" si="0"/>
        <v>2824.8123359464521</v>
      </c>
      <c r="X8" s="200">
        <f t="shared" ca="1" si="0"/>
        <v>3255.318804780195</v>
      </c>
      <c r="Y8" s="200">
        <f t="shared" ca="1" si="0"/>
        <v>3745.6964099514225</v>
      </c>
      <c r="Z8" s="200">
        <f t="shared" ca="1" si="0"/>
        <v>4302.8026773341098</v>
      </c>
      <c r="AA8" s="200">
        <f t="shared" ca="1" si="0"/>
        <v>4935.7410768259115</v>
      </c>
      <c r="AB8" s="200">
        <f t="shared" ca="1" si="0"/>
        <v>5655.1600593225721</v>
      </c>
      <c r="AC8" s="200">
        <f t="shared" ca="1" si="0"/>
        <v>6472.3514404831431</v>
      </c>
      <c r="AD8" s="200">
        <f t="shared" ca="1" si="0"/>
        <v>7399.863177394529</v>
      </c>
      <c r="AE8" s="200">
        <f t="shared" ca="1" si="0"/>
        <v>8451.939871051989</v>
      </c>
      <c r="AF8" s="200">
        <f t="shared" ca="1" si="0"/>
        <v>9645.1926944194765</v>
      </c>
      <c r="AG8" s="200">
        <f t="shared" ca="1" si="0"/>
        <v>10998.460714023007</v>
      </c>
      <c r="AH8" s="200">
        <f t="shared" ca="1" si="0"/>
        <v>12532.639029686867</v>
      </c>
      <c r="AI8" s="200">
        <f t="shared" ca="1" si="0"/>
        <v>14271.418094168173</v>
      </c>
      <c r="AJ8" s="200">
        <f t="shared" ca="1" si="0"/>
        <v>16241.692327994058</v>
      </c>
      <c r="AK8" s="200">
        <f t="shared" ca="1" si="0"/>
        <v>18473.814999391627</v>
      </c>
      <c r="AL8" s="200">
        <f t="shared" ca="1" si="0"/>
        <v>21002.211240865883</v>
      </c>
      <c r="AM8" s="444"/>
    </row>
    <row r="9" spans="1:99" ht="18.75" customHeight="1" outlineLevel="1">
      <c r="A9" s="108" t="s">
        <v>1534</v>
      </c>
      <c r="B9" s="109" t="s">
        <v>1032</v>
      </c>
      <c r="C9" s="200">
        <f>(资产负债!C42*假设!$I110+资产负债!C62*假设!$I109)</f>
        <v>10.45604081622</v>
      </c>
      <c r="D9" s="200">
        <f>(资产负债!D42*假设!$I110+资产负债!D62*假设!$I109)</f>
        <v>25.710180936065996</v>
      </c>
      <c r="E9" s="200">
        <f>(资产负债!E42*假设!$I110+资产负债!E62*假设!$I109)</f>
        <v>35.817069590603992</v>
      </c>
      <c r="F9" s="200">
        <f>(资产负债!F42*假设!$I110+资产负债!F62*假设!$I109)</f>
        <v>53.897893817843993</v>
      </c>
      <c r="G9" s="200">
        <f>(资产负债!G42*假设!$I110+资产负债!G62*假设!$I109)</f>
        <v>92.62328045532</v>
      </c>
      <c r="H9" s="200">
        <f>(资产负债!H42*假设!$I110+资产负债!H62*假设!$I109)</f>
        <v>117.17574599298598</v>
      </c>
      <c r="I9" s="200">
        <f ca="1">(资产负债!H$42+资产负债!I$42+资产负债!H$58+资产负债!I$58)*假设!I$110/2+(资产负债!H$62+资产负债!I$62+资产负债!H16+资产负债!I16)*假设!I$109/2*(1-假设!$I$93)</f>
        <v>158.29493883112127</v>
      </c>
      <c r="J9" s="200">
        <f ca="1">(资产负债!I$42+资产负债!J$42+资产负债!I$58+资产负债!J$58)*假设!J$110/2+(资产负债!I$62+资产负债!J$62+资产负债!I16+资产负债!J16)*假设!J$109/2*(1-假设!$I$93)</f>
        <v>354.70620399000001</v>
      </c>
      <c r="K9" s="200">
        <f ca="1">(资产负债!J$42+资产负债!K$42+资产负债!J$58+资产负债!K$58)*假设!K$110/2+(资产负债!J$62+资产负债!K$62+资产负债!J16+资产负债!K16)*假设!K$109/2*(1-假设!$I$93)</f>
        <v>467.50719257045961</v>
      </c>
      <c r="L9" s="200">
        <f ca="1">(资产负债!K$42+资产负债!L$42+资产负债!K$58+资产负债!L$58)*假设!L$110/2+(资产负债!K$62+资产负债!L$62+资产负债!K16+资产负债!L16)*假设!L$109/2*(1-假设!$I$93)</f>
        <v>555.93728166081098</v>
      </c>
      <c r="M9" s="200">
        <f ca="1">(资产负债!L$42+资产负债!M$42+资产负债!L$58+资产负债!M$58)*假设!M$110/2+(资产负债!L$62+资产负债!M$62+资产负债!L16+资产负债!M16)*假设!M$109/2*(1-假设!$I$93)</f>
        <v>660.00117760537148</v>
      </c>
      <c r="N9" s="200">
        <f ca="1">(资产负债!M$42+资产负债!N$42+资产负债!M$58+资产负债!N$58)*假设!N$110/2+(资产负债!M$62+资产负债!N$62+资产负债!M16+资产负债!N16)*假设!N$109/2*(1-假设!$I$93)</f>
        <v>783.67794569276202</v>
      </c>
      <c r="O9" s="200">
        <f ca="1">(资产负债!N$42+资产负债!O$42+资产负债!N$58+资产负债!O$58)*假设!O$110/2+(资产负债!N$62+资产负债!O$62+资产负债!N16+资产负债!O16)*假设!O$109/2*(1-假设!$I$93)</f>
        <v>925.70499676353916</v>
      </c>
      <c r="P9" s="200">
        <f ca="1">(资产负债!O$42+资产负债!P$42+资产负债!O$58+资产负债!P$58)*假设!P$110/2+(资产负债!O$62+资产负债!P$62+资产负债!O16+资产负债!P16)*假设!P$109/2*(1-假设!$I$93)</f>
        <v>1091.835217593678</v>
      </c>
      <c r="Q9" s="200">
        <f ca="1">(资产负债!P$42+资产负债!Q$42+资产负债!P$58+资产负债!Q$58)*假设!Q$110/2+(资产负债!P$62+资产负债!Q$62+资产负债!P16+资产负债!Q16)*假设!Q$109/2*(1-假设!$I$93)</f>
        <v>1272.2055368574056</v>
      </c>
      <c r="R9" s="200">
        <f ca="1">(资产负债!Q$42+资产负债!R$42+资产负债!Q$58+资产负债!R$58)*假设!R$110/2+(资产负债!Q$62+资产负债!R$62+资产负债!Q16+资产负债!R16)*假设!R$109/2*(1-假设!$I$93)</f>
        <v>1473.4870748852743</v>
      </c>
      <c r="S9" s="200">
        <f ca="1">(资产负债!R$42+资产负债!S$42+资产负债!R$58+资产负债!S$58)*假设!S$110/2+(资产负债!R$62+资产负债!S$62+资产负债!R16+资产负债!S16)*假设!S$109/2*(1-假设!$I$93)</f>
        <v>1707.806712479234</v>
      </c>
      <c r="T9" s="200">
        <f ca="1">(资产负债!S$42+资产负债!T$42+资产负债!S$58+资产负债!T$58)*假设!T$110/2+(资产负债!S$62+资产负债!T$62+资产负债!S16+资产负债!T16)*假设!T$109/2*(1-假设!$I$93)</f>
        <v>1976.2113588946154</v>
      </c>
      <c r="U9" s="200">
        <f ca="1">(资产负债!T$42+资产负债!U$42+资产负债!T$58+资产负债!U$58)*假设!U$110/2+(资产负债!T$62+资产负债!U$62+资产负债!T16+资产负债!U16)*假设!U$109/2*(1-假设!$I$93)</f>
        <v>2280.7301472328404</v>
      </c>
      <c r="V9" s="200">
        <f ca="1">(资产负债!U$42+资产负债!V$42+资产负债!U$58+资产负债!V$58)*假设!V$110/2+(资产负债!U$62+资产负债!V$62+资产负债!U16+资产负债!V16)*假设!V$109/2*(1-假设!$I$93)</f>
        <v>2629.3322803039946</v>
      </c>
      <c r="W9" s="200">
        <f ca="1">(资产负债!V$42+资产负债!W$42+资产负债!V$58+资产负债!W$58)*假设!W$110/2+(资产负债!V$62+资产负债!W$62+资产负债!V16+资产负债!W16)*假设!W$109/2*(1-假设!$I$93)</f>
        <v>3029.502786582922</v>
      </c>
      <c r="X9" s="200">
        <f ca="1">(资产负债!W$42+资产负债!X$42+资产负债!W$58+资产负债!X$58)*假设!X$110/2+(资产负债!W$62+资产负债!X$62+资产负债!W16+资产负债!X16)*假设!X$109/2*(1-假设!$I$93)</f>
        <v>3486.6481105804378</v>
      </c>
      <c r="Y9" s="200">
        <f ca="1">(资产负债!X$42+资产负债!Y$42+资产负债!X$58+资产负债!Y$58)*假设!Y$110/2+(资产负债!X$62+资产负债!Y$62+资产负债!X16+资产负债!Y16)*假设!Y$109/2*(1-假设!$I$93)</f>
        <v>4007.2416688696094</v>
      </c>
      <c r="Z9" s="200">
        <f ca="1">(资产负债!Y$42+资产负债!Z$42+资产负债!Y$58+资产负债!Z$58)*假设!Z$110/2+(资产负债!Y$62+资产负债!Z$62+资产负债!Y16+资产负债!Z16)*假设!Z$109/2*(1-假设!$I$93)</f>
        <v>4598.2927435168231</v>
      </c>
      <c r="AA9" s="200">
        <f ca="1">(资产负债!Z$42+资产负债!AA$42+资产负债!Z$58+资产负债!AA$58)*假设!AA$110/2+(资产负债!Z$62+资产负债!AA$62+资产负债!Z16+资产负债!AA16)*假设!AA$109/2*(1-假设!$I$93)</f>
        <v>5269.5241664136856</v>
      </c>
      <c r="AB9" s="200">
        <f ca="1">(资产负债!AA$42+资产负债!AB$42+资产负债!AA$58+资产负债!AB$58)*假设!AB$110/2+(资产负债!AA$62+资产负债!AB$62+资产负债!AA16+资产负债!AB16)*假设!AB$109/2*(1-假设!$I$93)</f>
        <v>6032.2466156593109</v>
      </c>
      <c r="AC9" s="200">
        <f ca="1">(资产负债!AB$42+资产负债!AC$42+资产负债!AB$58+资产负债!AC$58)*假设!AC$110/2+(资产负债!AB$62+资产负债!AC$62+资产负债!AB16+资产负债!AC16)*假设!AC$109/2*(1-假设!$I$93)</f>
        <v>6898.4497048192598</v>
      </c>
      <c r="AD9" s="200">
        <f ca="1">(资产负债!AC$42+资产负债!AD$42+资产负债!AC$58+资产负债!AD$58)*假设!AD$110/2+(资产负债!AC$62+资产负债!AD$62+资产负债!AC16+资产负债!AD16)*假设!AD$109/2*(1-假设!$I$93)</f>
        <v>7881.3291409437215</v>
      </c>
      <c r="AE9" s="200">
        <f ca="1">(资产负债!AD$42+资产负债!AE$42+资产负债!AD$58+资产负债!AE$58)*假设!AE$110/2+(资产负债!AD$62+资产负债!AE$62+资产负债!AD16+资产负债!AE16)*假设!AE$109/2*(1-假设!$I$93)</f>
        <v>8995.9028526605907</v>
      </c>
      <c r="AF9" s="200">
        <f ca="1">(资产负债!AE$42+资产负债!AF$42+资产负债!AE$58+资产负债!AF$58)*假设!AF$110/2+(资产负债!AE$62+资产负债!AF$62+资产负债!AE16+资产负债!AF16)*假设!AF$109/2*(1-假设!$I$93)</f>
        <v>10259.76733771106</v>
      </c>
      <c r="AG9" s="200">
        <f ca="1">(资产负债!AF$42+资产负债!AG$42+资产负债!AF$58+资产负债!AG$58)*假设!AG$110/2+(资产负债!AF$62+资产负债!AG$62+资产负债!AF16+资产负债!AG16)*假设!AG$109/2*(1-假设!$I$93)</f>
        <v>11692.839910742927</v>
      </c>
      <c r="AH9" s="200">
        <f ca="1">(资产负债!AG$42+资产负债!AH$42+资产负债!AG$58+资产负债!AH$58)*假设!AH$110/2+(资产负债!AG$62+资产负债!AH$62+资产负债!AG16+资产负债!AH16)*假设!AH$109/2*(1-假设!$I$93)</f>
        <v>13317.202044984846</v>
      </c>
      <c r="AI9" s="200">
        <f ca="1">(资产负债!AH$42+资产负债!AI$42+资产负债!AH$58+资产负债!AI$58)*假设!AI$110/2+(资产负债!AH$62+资产负债!AI$62+资产负债!AH16+资产负债!AI16)*假设!AI$109/2*(1-假设!$I$93)</f>
        <v>15157.862380477114</v>
      </c>
      <c r="AJ9" s="200">
        <f ca="1">(资产负债!AI$42+资产负债!AJ$42+资产负债!AI$58+资产负债!AJ$58)*假设!AJ$110/2+(资产负债!AI$62+资产负债!AJ$62+资产负债!AI16+资产负债!AJ16)*假设!AJ$109/2*(1-假设!$I$93)</f>
        <v>17243.233058833626</v>
      </c>
      <c r="AK9" s="200">
        <f ca="1">(资产负债!AJ$42+资产负债!AK$42+资产负债!AJ$58+资产负债!AK$58)*假设!AK$110/2+(资产负债!AJ$62+资产负债!AK$62+资产负债!AJ16+资产负债!AK16)*假设!AK$109/2*(1-假设!$I$93)</f>
        <v>19605.403355759951</v>
      </c>
      <c r="AL9" s="200">
        <f ca="1">(资产负债!AK$42+资产负债!AL$42+资产负债!AK$58+资产负债!AL$58)*假设!AL$110/2+(资产负债!AK$62+资产负债!AL$62+资产负债!AK16+资产负债!AL16)*假设!AL$109/2*(1-假设!$I$93)</f>
        <v>22280.742164121079</v>
      </c>
      <c r="AM9" s="200"/>
    </row>
    <row r="10" spans="1:99" ht="18.75" customHeight="1" outlineLevel="1">
      <c r="A10" s="108" t="s">
        <v>715</v>
      </c>
      <c r="B10" s="109" t="s">
        <v>1032</v>
      </c>
      <c r="C10" s="200">
        <f>资产负债!C3*假设!$I111</f>
        <v>10.3799303508</v>
      </c>
      <c r="D10" s="200">
        <f>资产负债!D3*假设!$I111</f>
        <v>27.169230162599998</v>
      </c>
      <c r="E10" s="200">
        <f>资产负债!E3*假设!$I111</f>
        <v>33.028965710100003</v>
      </c>
      <c r="F10" s="200">
        <f>资产负债!F3*假设!$I111</f>
        <v>42.604488570299999</v>
      </c>
      <c r="G10" s="200">
        <f>资产负债!G3*假设!$I111</f>
        <v>65.680617486599999</v>
      </c>
      <c r="H10" s="200">
        <f>资产负债!H3*假设!$I111</f>
        <v>70.007625930299994</v>
      </c>
      <c r="I10" s="200">
        <f ca="1">(资产负债!H$3+资产负债!I$3)*假设!I$111/2</f>
        <v>68.487902849314565</v>
      </c>
      <c r="J10" s="200">
        <f ca="1">(资产负债!I$3+资产负债!J$3)*假设!J$111/2</f>
        <v>71.550637963026375</v>
      </c>
      <c r="K10" s="200">
        <f ca="1">(资产负债!J$3+资产负债!K$3)*假设!K$111/2</f>
        <v>83.30467925275569</v>
      </c>
      <c r="L10" s="200">
        <f ca="1">(资产负债!K$3+资产负债!L$3)*假设!L$111/2</f>
        <v>97.98979746541589</v>
      </c>
      <c r="M10" s="200">
        <f ca="1">(资产负债!L$3+资产负债!M$3)*假设!M$111/2</f>
        <v>110.8536535391143</v>
      </c>
      <c r="N10" s="200">
        <f ca="1">(资产负债!M$3+资产负债!N$3)*假设!N$111/2</f>
        <v>122.4213672072535</v>
      </c>
      <c r="O10" s="200">
        <f ca="1">(资产负债!N$3+资产负债!O$3)*假设!O$111/2</f>
        <v>137.62188016085534</v>
      </c>
      <c r="P10" s="200">
        <f ca="1">(资产负债!O$3+资产负债!P$3)*假设!P$111/2</f>
        <v>156.88079210628487</v>
      </c>
      <c r="Q10" s="200">
        <f ca="1">(资产负债!P$3+资产负债!Q$3)*假设!Q$111/2</f>
        <v>178.07838803514605</v>
      </c>
      <c r="R10" s="200">
        <f ca="1">(资产负债!Q$3+资产负债!R$3)*假设!R$111/2</f>
        <v>200.69221534099731</v>
      </c>
      <c r="S10" s="200">
        <f ca="1">(资产负债!R$3+资产负债!S$3)*假设!S$111/2</f>
        <v>225.99721950129569</v>
      </c>
      <c r="T10" s="200">
        <f ca="1">(资产负债!S$3+资产负债!T$3)*假设!T$111/2</f>
        <v>255.4816260008962</v>
      </c>
      <c r="U10" s="200">
        <f ca="1">(资产负债!T$3+资产负债!U$3)*假设!U$111/2</f>
        <v>289.13221371647904</v>
      </c>
      <c r="V10" s="200">
        <f ca="1">(资产负债!U$3+资产负债!V$3)*假设!V$111/2</f>
        <v>326.74089162730371</v>
      </c>
      <c r="W10" s="200">
        <f ca="1">(资产负债!V$3+资产负债!W$3)*假设!W$111/2</f>
        <v>368.91173391445648</v>
      </c>
      <c r="X10" s="200">
        <f ca="1">(资产负债!W$3+资产负债!X$3)*假设!X$111/2</f>
        <v>416.67878313797121</v>
      </c>
      <c r="Y10" s="200">
        <f ca="1">(资产负债!X$3+资产负债!Y$3)*假设!Y$111/2</f>
        <v>470.91352547076104</v>
      </c>
      <c r="Z10" s="200">
        <f ca="1">(资产负债!Y$3+资产负债!Z$3)*假设!Z$111/2</f>
        <v>532.17878214533209</v>
      </c>
      <c r="AA10" s="200">
        <f ca="1">(资产负债!Z$3+资产负债!AA$3)*假设!AA$111/2</f>
        <v>601.24268129284781</v>
      </c>
      <c r="AB10" s="200">
        <f ca="1">(资产负债!AA$3+资产负债!AB$3)*假设!AB$111/2</f>
        <v>679.23347326099315</v>
      </c>
      <c r="AC10" s="200">
        <f ca="1">(资产负债!AB$3+资产负债!AC$3)*假设!AC$111/2</f>
        <v>767.42936814398377</v>
      </c>
      <c r="AD10" s="200">
        <f ca="1">(资产负债!AC$3+资产负债!AD$3)*假设!AD$111/2</f>
        <v>867.13321739974197</v>
      </c>
      <c r="AE10" s="200">
        <f ca="1">(资产负债!AD$3+资产负债!AE$3)*假设!AE$111/2</f>
        <v>979.74883925704955</v>
      </c>
      <c r="AF10" s="200">
        <f ca="1">(资产负债!AE$3+资产负债!AF$3)*假设!AF$111/2</f>
        <v>1106.9453969514461</v>
      </c>
      <c r="AG10" s="200">
        <f ca="1">(资产负债!AF$3+资产负债!AG$3)*假设!AG$111/2</f>
        <v>1250.6663883607216</v>
      </c>
      <c r="AH10" s="200">
        <f ca="1">(资产负债!AG$3+资产负债!AH$3)*假设!AH$111/2</f>
        <v>1413.0774247657637</v>
      </c>
      <c r="AI10" s="200">
        <f ca="1">(资产负债!AH$3+资产负债!AI$3)*假设!AI$111/2</f>
        <v>1596.5828759471874</v>
      </c>
      <c r="AJ10" s="200">
        <f ca="1">(资产负债!AI$3+资产负债!AJ$3)*假设!AJ$111/2</f>
        <v>1803.9005699659331</v>
      </c>
      <c r="AK10" s="200">
        <f ca="1">(资产负债!AJ$3+资产负债!AK$3)*假设!AK$111/2</f>
        <v>2038.1313227594076</v>
      </c>
      <c r="AL10" s="200">
        <f ca="1">(资产负债!AK$3+资产负债!AL$3)*假设!AL$111/2</f>
        <v>2302.7848119816995</v>
      </c>
      <c r="AM10" s="200"/>
    </row>
    <row r="11" spans="1:99" ht="18.75" customHeight="1" outlineLevel="1">
      <c r="A11" s="108" t="s">
        <v>292</v>
      </c>
      <c r="B11" s="113" t="s">
        <v>995</v>
      </c>
      <c r="C11" s="200">
        <f t="shared" ref="C11:H11" si="1">C8-C9+C10</f>
        <v>18.686522604579999</v>
      </c>
      <c r="D11" s="200">
        <f t="shared" si="1"/>
        <v>29.212058096534005</v>
      </c>
      <c r="E11" s="200">
        <f t="shared" si="1"/>
        <v>17.371069439496011</v>
      </c>
      <c r="F11" s="200">
        <f t="shared" si="1"/>
        <v>15.932673082456002</v>
      </c>
      <c r="G11" s="200">
        <f t="shared" si="1"/>
        <v>15.66036897128</v>
      </c>
      <c r="H11" s="200">
        <f t="shared" si="1"/>
        <v>28.463287587314014</v>
      </c>
      <c r="I11" s="200">
        <f>I2*假设!I9</f>
        <v>35.894762397678285</v>
      </c>
      <c r="J11" s="200">
        <f>J2*假设!J9</f>
        <v>31.598907104606184</v>
      </c>
      <c r="K11" s="200">
        <f>K2*假设!K9</f>
        <v>35.731405743979167</v>
      </c>
      <c r="L11" s="200">
        <f>L2*假设!L9</f>
        <v>41.910815235048048</v>
      </c>
      <c r="M11" s="200">
        <f>M2*假设!M9</f>
        <v>49.941342248598801</v>
      </c>
      <c r="N11" s="200">
        <f>N2*假设!N9</f>
        <v>55.887350058627575</v>
      </c>
      <c r="O11" s="200">
        <f>O2*假设!O9</f>
        <v>60.748659856185895</v>
      </c>
      <c r="P11" s="200">
        <f>P2*假设!P9</f>
        <v>69.235437767279507</v>
      </c>
      <c r="Q11" s="200">
        <f>Q2*假设!Q9</f>
        <v>78.995721347305818</v>
      </c>
      <c r="R11" s="200">
        <f>R2*假设!R9</f>
        <v>89.662073619816894</v>
      </c>
      <c r="S11" s="200">
        <f>S2*假设!S9</f>
        <v>100.78441675017839</v>
      </c>
      <c r="T11" s="200">
        <f>T2*假设!T9</f>
        <v>113.3900249864456</v>
      </c>
      <c r="U11" s="200">
        <f>U2*假设!U9</f>
        <v>128.46185612273186</v>
      </c>
      <c r="V11" s="200">
        <f>V2*假设!V9</f>
        <v>145.36442041660962</v>
      </c>
      <c r="W11" s="200">
        <f>W2*假设!W9</f>
        <v>164.2212832779864</v>
      </c>
      <c r="X11" s="200">
        <f>X2*假设!X9</f>
        <v>185.34947733772847</v>
      </c>
      <c r="Y11" s="200">
        <f>Y2*假设!Y9</f>
        <v>209.36826655257423</v>
      </c>
      <c r="Z11" s="200">
        <f>Z2*假设!Z9</f>
        <v>236.6887159626192</v>
      </c>
      <c r="AA11" s="200">
        <f>AA2*假设!AA9</f>
        <v>267.45959170507371</v>
      </c>
      <c r="AB11" s="200">
        <f>AB2*假设!AB9</f>
        <v>302.14691692425424</v>
      </c>
      <c r="AC11" s="200">
        <f>AC2*假设!AC9</f>
        <v>341.33110380786695</v>
      </c>
      <c r="AD11" s="200">
        <f>AD2*假设!AD9</f>
        <v>385.66725385054878</v>
      </c>
      <c r="AE11" s="200">
        <f>AE2*假设!AE9</f>
        <v>435.78585764844786</v>
      </c>
      <c r="AF11" s="200">
        <f>AF2*假设!AF9</f>
        <v>492.37075365986129</v>
      </c>
      <c r="AG11" s="200">
        <f>AG2*假设!AG9</f>
        <v>556.28719164080303</v>
      </c>
      <c r="AH11" s="200">
        <f>AH2*假设!AH9</f>
        <v>628.51440946778484</v>
      </c>
      <c r="AI11" s="200">
        <f>AI2*假设!AI9</f>
        <v>710.1385896382468</v>
      </c>
      <c r="AJ11" s="200">
        <f>AJ2*假设!AJ9</f>
        <v>802.35983912636652</v>
      </c>
      <c r="AK11" s="200">
        <f>AK2*假设!AK9</f>
        <v>906.54296639108486</v>
      </c>
      <c r="AL11" s="200">
        <f>AL2*假设!AL9</f>
        <v>1024.2538887265039</v>
      </c>
      <c r="AM11" s="444"/>
    </row>
    <row r="12" spans="1:99" ht="18.75" customHeight="1" outlineLevel="1">
      <c r="A12" s="110" t="s">
        <v>2882</v>
      </c>
      <c r="B12" s="109" t="s">
        <v>2878</v>
      </c>
      <c r="C12" s="200">
        <f>年度数据!C13</f>
        <v>29.382289420000003</v>
      </c>
      <c r="D12" s="200">
        <f>年度数据!D13</f>
        <v>-55.363089659999993</v>
      </c>
      <c r="E12" s="200">
        <f>年度数据!E13</f>
        <v>-15.15286098</v>
      </c>
      <c r="F12" s="200">
        <f>年度数据!F13</f>
        <v>-34.924672479999998</v>
      </c>
      <c r="G12" s="200">
        <f>年度数据!G13</f>
        <v>-26.00877388</v>
      </c>
      <c r="H12" s="200">
        <f>年度数据!H13</f>
        <v>-38.068680430000001</v>
      </c>
      <c r="I12" s="200">
        <f>I2*假设!I10</f>
        <v>0</v>
      </c>
      <c r="J12" s="200">
        <f>J2*假设!J10</f>
        <v>0</v>
      </c>
      <c r="K12" s="200">
        <f>K2*假设!K10</f>
        <v>0</v>
      </c>
      <c r="L12" s="200">
        <f>L2*假设!L10</f>
        <v>0</v>
      </c>
      <c r="M12" s="200">
        <f>M2*假设!M10</f>
        <v>0</v>
      </c>
      <c r="N12" s="200">
        <f>N2*假设!N10</f>
        <v>0</v>
      </c>
      <c r="O12" s="200">
        <f>O2*假设!O10</f>
        <v>0</v>
      </c>
      <c r="P12" s="200">
        <f>P2*假设!P10</f>
        <v>0</v>
      </c>
      <c r="Q12" s="200">
        <f>Q2*假设!Q10</f>
        <v>0</v>
      </c>
      <c r="R12" s="200">
        <f>R2*假设!R10</f>
        <v>0</v>
      </c>
      <c r="S12" s="200">
        <f>S2*假设!S10</f>
        <v>0</v>
      </c>
      <c r="T12" s="200">
        <f>T2*假设!T10</f>
        <v>0</v>
      </c>
      <c r="U12" s="200">
        <f>U2*假设!U10</f>
        <v>0</v>
      </c>
      <c r="V12" s="200">
        <f>V2*假设!V10</f>
        <v>0</v>
      </c>
      <c r="W12" s="200">
        <f>W2*假设!W10</f>
        <v>0</v>
      </c>
      <c r="X12" s="200">
        <f>X2*假设!X10</f>
        <v>0</v>
      </c>
      <c r="Y12" s="200">
        <f>Y2*假设!Y10</f>
        <v>0</v>
      </c>
      <c r="Z12" s="200">
        <f>Z2*假设!Z10</f>
        <v>0</v>
      </c>
      <c r="AA12" s="200">
        <f>AA2*假设!AA10</f>
        <v>0</v>
      </c>
      <c r="AB12" s="200">
        <f>AB2*假设!AB10</f>
        <v>0</v>
      </c>
      <c r="AC12" s="200">
        <f>AC2*假设!AC10</f>
        <v>0</v>
      </c>
      <c r="AD12" s="200">
        <f>AD2*假设!AD10</f>
        <v>0</v>
      </c>
      <c r="AE12" s="200">
        <f>AE2*假设!AE10</f>
        <v>0</v>
      </c>
      <c r="AF12" s="200">
        <f>AF2*假设!AF10</f>
        <v>0</v>
      </c>
      <c r="AG12" s="200">
        <f>AG2*假设!AG10</f>
        <v>0</v>
      </c>
      <c r="AH12" s="200">
        <f>AH2*假设!AH10</f>
        <v>0</v>
      </c>
      <c r="AI12" s="200">
        <f>AI2*假设!AI10</f>
        <v>0</v>
      </c>
      <c r="AJ12" s="200">
        <f>AJ2*假设!AJ10</f>
        <v>0</v>
      </c>
      <c r="AK12" s="200">
        <f>AK2*假设!AK10</f>
        <v>0</v>
      </c>
      <c r="AL12" s="200">
        <f>AL2*假设!AL10</f>
        <v>0</v>
      </c>
      <c r="AM12" s="444"/>
    </row>
    <row r="13" spans="1:99" ht="18.75" customHeight="1" outlineLevel="1">
      <c r="A13" s="110" t="s">
        <v>2883</v>
      </c>
      <c r="B13" s="109" t="s">
        <v>2879</v>
      </c>
      <c r="C13" s="200">
        <f>年度数据!C14</f>
        <v>0</v>
      </c>
      <c r="D13" s="200">
        <f>年度数据!D14</f>
        <v>0</v>
      </c>
      <c r="E13" s="200">
        <f>年度数据!E14</f>
        <v>-103.78077293000001</v>
      </c>
      <c r="F13" s="200">
        <f>年度数据!F14</f>
        <v>-242.67915744999999</v>
      </c>
      <c r="G13" s="200">
        <f>年度数据!G14</f>
        <v>-249.34916158999999</v>
      </c>
      <c r="H13" s="200">
        <f>年度数据!H14</f>
        <v>-223.97339441</v>
      </c>
      <c r="I13" s="200">
        <f>I2*假设!I11</f>
        <v>-205.03572191821601</v>
      </c>
      <c r="J13" s="200">
        <f>J2*假设!J11</f>
        <v>-284.89303489092276</v>
      </c>
      <c r="K13" s="200">
        <f>K2*假设!K11</f>
        <v>-347.775766822538</v>
      </c>
      <c r="L13" s="200">
        <f>L2*假设!L11</f>
        <v>-372.14058487853794</v>
      </c>
      <c r="M13" s="200">
        <f>M2*假设!M11</f>
        <v>-403.45588851439084</v>
      </c>
      <c r="N13" s="200">
        <f>N2*假设!N11</f>
        <v>-453.97223108845236</v>
      </c>
      <c r="O13" s="200">
        <f>O2*假设!O11</f>
        <v>-530.91744701500841</v>
      </c>
      <c r="P13" s="200">
        <f>P2*假设!P11</f>
        <v>-601.38863948938263</v>
      </c>
      <c r="Q13" s="200">
        <f>Q2*假设!Q11</f>
        <v>-670.82644203756422</v>
      </c>
      <c r="R13" s="200">
        <f>R2*假设!R11</f>
        <v>-754.75986283544739</v>
      </c>
      <c r="S13" s="200">
        <f>S2*假设!S11</f>
        <v>-855.47590625145654</v>
      </c>
      <c r="T13" s="200">
        <f>T2*假设!T11</f>
        <v>-971.02523496015601</v>
      </c>
      <c r="U13" s="200">
        <f>U2*假设!U11</f>
        <v>-1095.644929996781</v>
      </c>
      <c r="V13" s="200">
        <f>V2*假设!V11</f>
        <v>-1235.2938101811246</v>
      </c>
      <c r="W13" s="200">
        <f>W2*假设!W11</f>
        <v>-1395.7339061805769</v>
      </c>
      <c r="X13" s="200">
        <f>X2*假设!X11</f>
        <v>-1578.3417277727124</v>
      </c>
      <c r="Y13" s="200">
        <f>Y2*假设!Y11</f>
        <v>-1784.0197901269903</v>
      </c>
      <c r="Z13" s="200">
        <f>Z2*假设!Z11</f>
        <v>-2014.8065136982925</v>
      </c>
      <c r="AA13" s="200">
        <f>AA2*假设!AA11</f>
        <v>-2275.8625797382915</v>
      </c>
      <c r="AB13" s="200">
        <f>AB2*假设!AB11</f>
        <v>-2571.7051692427967</v>
      </c>
      <c r="AC13" s="200">
        <f>AC2*假设!AC11</f>
        <v>-2906.0620342479492</v>
      </c>
      <c r="AD13" s="200">
        <f>AD2*假设!AD11</f>
        <v>-3283.4140375122329</v>
      </c>
      <c r="AE13" s="200">
        <f>AE2*假设!AE11</f>
        <v>-3709.4612819248159</v>
      </c>
      <c r="AF13" s="200">
        <f>AF2*假设!AF11</f>
        <v>-4191.083776419262</v>
      </c>
      <c r="AG13" s="200">
        <f>AG2*假设!AG11</f>
        <v>-4735.4625101194442</v>
      </c>
      <c r="AH13" s="200">
        <f>AH2*假设!AH11</f>
        <v>-5350.4541618003095</v>
      </c>
      <c r="AI13" s="200">
        <f>AI2*假设!AI11</f>
        <v>-6045.1600147624104</v>
      </c>
      <c r="AJ13" s="200">
        <f>AJ2*假设!AJ11</f>
        <v>-6830.0554748939694</v>
      </c>
      <c r="AK13" s="200">
        <f>AK2*假设!AK11</f>
        <v>-7716.9717223203343</v>
      </c>
      <c r="AL13" s="200">
        <f>AL2*假设!AL11</f>
        <v>-8719.0872218194181</v>
      </c>
      <c r="AM13" s="444"/>
    </row>
    <row r="14" spans="1:99" ht="18.75" customHeight="1" outlineLevel="1">
      <c r="A14" s="110" t="s">
        <v>643</v>
      </c>
      <c r="B14" s="113" t="s">
        <v>2696</v>
      </c>
      <c r="C14" s="200">
        <f>年度数据!C15</f>
        <v>0</v>
      </c>
      <c r="D14" s="200">
        <f>年度数据!D15</f>
        <v>9.9251041600000001</v>
      </c>
      <c r="E14" s="200">
        <f>年度数据!E15</f>
        <v>0</v>
      </c>
      <c r="F14" s="200">
        <f>年度数据!F15</f>
        <v>0.19637222000000001</v>
      </c>
      <c r="G14" s="200">
        <f>年度数据!G15</f>
        <v>8.8465899999999997E-3</v>
      </c>
      <c r="H14" s="200">
        <f>年度数据!H15</f>
        <v>40.805791849999999</v>
      </c>
      <c r="I14" s="200">
        <f>假设!I12</f>
        <v>20.407319219999998</v>
      </c>
      <c r="J14" s="200">
        <f>假设!J12</f>
        <v>30.606555534999998</v>
      </c>
      <c r="K14" s="200">
        <f>假设!K12</f>
        <v>25.506937377499998</v>
      </c>
      <c r="L14" s="200">
        <f>假设!L12</f>
        <v>28.056746456249996</v>
      </c>
      <c r="M14" s="200">
        <f>假设!M12</f>
        <v>26.781841916874995</v>
      </c>
      <c r="N14" s="200">
        <f>假设!N12</f>
        <v>27.419294186562496</v>
      </c>
      <c r="O14" s="200">
        <f>假设!O12</f>
        <v>27.100568051718746</v>
      </c>
      <c r="P14" s="200">
        <f>假设!P12</f>
        <v>27.259931119140621</v>
      </c>
      <c r="Q14" s="200">
        <f>假设!Q12</f>
        <v>27.180249585429685</v>
      </c>
      <c r="R14" s="200">
        <f>假设!R12</f>
        <v>27.220090352285155</v>
      </c>
      <c r="S14" s="200">
        <f>假设!S12</f>
        <v>27.20016996885742</v>
      </c>
      <c r="T14" s="200">
        <f>假设!T12</f>
        <v>27.210130160571289</v>
      </c>
      <c r="U14" s="200">
        <f>假设!U12</f>
        <v>27.205150064714353</v>
      </c>
      <c r="V14" s="200">
        <f>假设!V12</f>
        <v>27.207640112642821</v>
      </c>
      <c r="W14" s="200">
        <f>假设!W12</f>
        <v>27.206395088678587</v>
      </c>
      <c r="X14" s="200">
        <f>假设!X12</f>
        <v>27.207017600660706</v>
      </c>
      <c r="Y14" s="200">
        <f>假设!Y12</f>
        <v>27.206706344669648</v>
      </c>
      <c r="Z14" s="200">
        <f>假设!Z12</f>
        <v>27.206861972665177</v>
      </c>
      <c r="AA14" s="200">
        <f>假设!AA12</f>
        <v>27.206784158667411</v>
      </c>
      <c r="AB14" s="200">
        <f>假设!AB12</f>
        <v>27.206823065666292</v>
      </c>
      <c r="AC14" s="200">
        <f>假设!AC12</f>
        <v>27.206803612166851</v>
      </c>
      <c r="AD14" s="200">
        <f>假设!AD12</f>
        <v>27.206813338916572</v>
      </c>
      <c r="AE14" s="200">
        <f>假设!AE12</f>
        <v>27.206808475541713</v>
      </c>
      <c r="AF14" s="200">
        <f>假设!AF12</f>
        <v>27.206810907229141</v>
      </c>
      <c r="AG14" s="200">
        <f>假设!AG12</f>
        <v>27.206809691385427</v>
      </c>
      <c r="AH14" s="200">
        <f>假设!AH12</f>
        <v>27.206810299307286</v>
      </c>
      <c r="AI14" s="200">
        <f>假设!AI12</f>
        <v>27.206809995346354</v>
      </c>
      <c r="AJ14" s="200">
        <f>假设!AJ12</f>
        <v>27.20681014732682</v>
      </c>
      <c r="AK14" s="200">
        <f>假设!AK12</f>
        <v>27.206810071336587</v>
      </c>
      <c r="AL14" s="200">
        <f>假设!AL12</f>
        <v>27.206810109331705</v>
      </c>
      <c r="AM14" s="444"/>
    </row>
    <row r="15" spans="1:99" ht="18.75" customHeight="1" outlineLevel="1">
      <c r="A15" s="110" t="s">
        <v>2694</v>
      </c>
      <c r="B15" s="113" t="s">
        <v>2697</v>
      </c>
      <c r="C15" s="200">
        <f>年度数据!C16</f>
        <v>3.6594302500000002</v>
      </c>
      <c r="D15" s="200">
        <f>年度数据!D16</f>
        <v>5.7467323099999996</v>
      </c>
      <c r="E15" s="200">
        <f>年度数据!E16</f>
        <v>11.18085157</v>
      </c>
      <c r="F15" s="200">
        <f>年度数据!F16</f>
        <v>26.001949019999998</v>
      </c>
      <c r="G15" s="200">
        <f>年度数据!G16</f>
        <v>68.307599120000006</v>
      </c>
      <c r="H15" s="200">
        <f>年度数据!H16</f>
        <v>53.544000429999997</v>
      </c>
      <c r="I15" s="200">
        <f>假设!I15</f>
        <v>43.137645409333331</v>
      </c>
      <c r="J15" s="200">
        <f>假设!J15</f>
        <v>46.53145171577777</v>
      </c>
      <c r="K15" s="200">
        <f>假设!K15</f>
        <v>48.563799251081484</v>
      </c>
      <c r="L15" s="200">
        <f>假设!L15</f>
        <v>48.916889288434554</v>
      </c>
      <c r="M15" s="200">
        <f>假设!M15</f>
        <v>47.883552656166579</v>
      </c>
      <c r="N15" s="200">
        <f>假设!N15</f>
        <v>47.798484468580305</v>
      </c>
      <c r="O15" s="200">
        <f>假设!O15</f>
        <v>48.062423403387477</v>
      </c>
      <c r="P15" s="200">
        <f>假设!P15</f>
        <v>48.103619379180593</v>
      </c>
      <c r="Q15" s="200">
        <f>假设!Q15</f>
        <v>48.056482567730761</v>
      </c>
      <c r="R15" s="200">
        <f>假设!R15</f>
        <v>48.024312143924384</v>
      </c>
      <c r="S15" s="200">
        <f>假设!S15</f>
        <v>48.038778693562804</v>
      </c>
      <c r="T15" s="200">
        <f>假设!T15</f>
        <v>48.048683460563502</v>
      </c>
      <c r="U15" s="200">
        <f>假设!U15</f>
        <v>48.045870201565592</v>
      </c>
      <c r="V15" s="200">
        <f>假设!V15</f>
        <v>48.043035185756658</v>
      </c>
      <c r="W15" s="200">
        <f>假设!W15</f>
        <v>48.043105109852405</v>
      </c>
      <c r="X15" s="200">
        <f>假设!X15</f>
        <v>48.044094834111675</v>
      </c>
      <c r="Y15" s="200">
        <f>假设!Y15</f>
        <v>48.044161602062182</v>
      </c>
      <c r="Z15" s="200">
        <f>假设!Z15</f>
        <v>48.043896216626244</v>
      </c>
      <c r="AA15" s="200">
        <f>假设!AA15</f>
        <v>48.04384382661177</v>
      </c>
      <c r="AB15" s="200">
        <f>假设!AB15</f>
        <v>48.043905572255071</v>
      </c>
      <c r="AC15" s="200">
        <f>假设!AC15</f>
        <v>48.043933990389142</v>
      </c>
      <c r="AD15" s="200">
        <f>假设!AD15</f>
        <v>48.043918517074403</v>
      </c>
      <c r="AE15" s="200">
        <f>假设!AE15</f>
        <v>48.043908608902896</v>
      </c>
      <c r="AF15" s="200">
        <f>假设!AF15</f>
        <v>48.043911603673429</v>
      </c>
      <c r="AG15" s="200">
        <f>假设!AG15</f>
        <v>48.043914770549016</v>
      </c>
      <c r="AH15" s="200">
        <f>假设!AH15</f>
        <v>48.043914474579033</v>
      </c>
      <c r="AI15" s="200">
        <f>假设!AI15</f>
        <v>48.043913466732775</v>
      </c>
      <c r="AJ15" s="200">
        <f>假设!AJ15</f>
        <v>48.043913423991789</v>
      </c>
      <c r="AK15" s="200">
        <f>假设!AK15</f>
        <v>48.043913703693242</v>
      </c>
      <c r="AL15" s="200">
        <f>假设!AL15</f>
        <v>48.043913755622583</v>
      </c>
      <c r="AM15" s="444"/>
    </row>
    <row r="16" spans="1:99" ht="18.75" customHeight="1" outlineLevel="1">
      <c r="A16" s="110" t="s">
        <v>974</v>
      </c>
      <c r="B16" s="113" t="s">
        <v>995</v>
      </c>
      <c r="C16" s="200">
        <f>年度数据!C17</f>
        <v>-2.3558941</v>
      </c>
      <c r="D16" s="200">
        <f>年度数据!D17</f>
        <v>19.26902291</v>
      </c>
      <c r="E16" s="200">
        <f>年度数据!E17</f>
        <v>20.729962159999999</v>
      </c>
      <c r="F16" s="200">
        <f>年度数据!F17</f>
        <v>-27.984675469999999</v>
      </c>
      <c r="G16" s="200">
        <f>年度数据!G17</f>
        <v>-2.9488163599999999</v>
      </c>
      <c r="H16" s="200">
        <f>年度数据!H17</f>
        <v>3.80244553</v>
      </c>
      <c r="I16" s="200">
        <f>假设!I13+假设!I14</f>
        <v>2.5735877540000005</v>
      </c>
      <c r="J16" s="200">
        <f>假设!J13+假设!J14</f>
        <v>-0.76549927719999955</v>
      </c>
      <c r="K16" s="200">
        <f>假设!K13+假设!K14</f>
        <v>-5.0645915646399997</v>
      </c>
      <c r="L16" s="200">
        <f>假设!L13+假设!L14</f>
        <v>-0.48057478356799965</v>
      </c>
      <c r="M16" s="200">
        <f>假设!M13+假设!M14</f>
        <v>1.3073531718400422E-2</v>
      </c>
      <c r="N16" s="200">
        <f>假设!N13+假设!N14</f>
        <v>-0.74480086793791966</v>
      </c>
      <c r="O16" s="200">
        <f>假设!O13+假设!O14</f>
        <v>-1.4084785923255039</v>
      </c>
      <c r="P16" s="200">
        <f>假设!P13+假设!P14</f>
        <v>-1.5370744553506044</v>
      </c>
      <c r="Q16" s="200">
        <f>假设!Q13+假设!Q14</f>
        <v>-0.83157103349272532</v>
      </c>
      <c r="R16" s="200">
        <f>假设!R13+假设!R14</f>
        <v>-0.90177028347767052</v>
      </c>
      <c r="S16" s="200">
        <f>假设!S13+假设!S14</f>
        <v>-1.0847390465168847</v>
      </c>
      <c r="T16" s="200">
        <f>假设!T13+假设!T14</f>
        <v>-1.1527266822326778</v>
      </c>
      <c r="U16" s="200">
        <f>假设!U13+假设!U14</f>
        <v>-1.1015763002141126</v>
      </c>
      <c r="V16" s="200">
        <f>假设!V13+假设!V14</f>
        <v>-1.0144766691868141</v>
      </c>
      <c r="W16" s="200">
        <f>假设!W13+假设!W14</f>
        <v>-1.0510577963256318</v>
      </c>
      <c r="X16" s="200">
        <f>假设!X13+假设!X14</f>
        <v>-1.080915298895224</v>
      </c>
      <c r="Y16" s="200">
        <f>假设!Y13+假设!Y14</f>
        <v>-1.0801505493708921</v>
      </c>
      <c r="Z16" s="200">
        <f>假设!Z13+假设!Z14</f>
        <v>-1.0656353227985349</v>
      </c>
      <c r="AA16" s="200">
        <f>假设!AA13+假设!AA14</f>
        <v>-1.0584471273154192</v>
      </c>
      <c r="AB16" s="200">
        <f>假设!AB13+假设!AB14</f>
        <v>-1.0672412189411404</v>
      </c>
      <c r="AC16" s="200">
        <f>假设!AC13+假设!AC14</f>
        <v>-1.0704779034642422</v>
      </c>
      <c r="AD16" s="200">
        <f>假设!AD13+假设!AD14</f>
        <v>-1.0683904243780455</v>
      </c>
      <c r="AE16" s="200">
        <f>假设!AE13+假设!AE14</f>
        <v>-1.0660383993794764</v>
      </c>
      <c r="AF16" s="200">
        <f>假设!AF13+假设!AF14</f>
        <v>-1.0661190146956647</v>
      </c>
      <c r="AG16" s="200">
        <f>假设!AG13+假设!AG14</f>
        <v>-1.067653392171714</v>
      </c>
      <c r="AH16" s="200">
        <f>假设!AH13+假设!AH14</f>
        <v>-1.0677358268178285</v>
      </c>
      <c r="AI16" s="200">
        <f>假设!AI13+假设!AI14</f>
        <v>-1.0671874114885458</v>
      </c>
      <c r="AJ16" s="200">
        <f>假设!AJ13+假设!AJ14</f>
        <v>-1.0669468089106457</v>
      </c>
      <c r="AK16" s="200">
        <f>假设!AK13+假设!AK14</f>
        <v>-1.0671284908168799</v>
      </c>
      <c r="AL16" s="200">
        <f>假设!AL13+假设!AL14</f>
        <v>-1.0673303860411227</v>
      </c>
      <c r="AM16" s="444"/>
    </row>
    <row r="17" spans="1:99" s="4" customFormat="1" ht="18.75" customHeight="1" outlineLevel="1">
      <c r="A17" s="205" t="s">
        <v>729</v>
      </c>
      <c r="B17" s="113" t="s">
        <v>995</v>
      </c>
      <c r="C17" s="200">
        <f>年度数据!C18</f>
        <v>0</v>
      </c>
      <c r="D17" s="200">
        <f>年度数据!D18</f>
        <v>0</v>
      </c>
      <c r="E17" s="200">
        <f>年度数据!E18</f>
        <v>0</v>
      </c>
      <c r="F17" s="200">
        <f>年度数据!F18</f>
        <v>0</v>
      </c>
      <c r="G17" s="200">
        <f>年度数据!G18</f>
        <v>-0.5837291899999999</v>
      </c>
      <c r="H17" s="200">
        <f>年度数据!H18</f>
        <v>-1.17312824</v>
      </c>
      <c r="I17" s="200">
        <f>假设!I13</f>
        <v>-0.35137148600000001</v>
      </c>
      <c r="J17" s="200">
        <f>假设!J13</f>
        <v>-0.42164578319999996</v>
      </c>
      <c r="K17" s="200">
        <f>假设!K13</f>
        <v>-0.50597493983999997</v>
      </c>
      <c r="L17" s="200">
        <f>假设!L13</f>
        <v>-0.60716992780800005</v>
      </c>
      <c r="M17" s="200">
        <f>假设!M13</f>
        <v>-0.61185807536960002</v>
      </c>
      <c r="N17" s="200">
        <f>假设!N13</f>
        <v>-0.49960404244352008</v>
      </c>
      <c r="O17" s="200">
        <f>假设!O13</f>
        <v>-0.52925055373222407</v>
      </c>
      <c r="P17" s="200">
        <f>假设!P13</f>
        <v>-0.55077150783866879</v>
      </c>
      <c r="Q17" s="200">
        <f>假设!Q13</f>
        <v>-0.55973082143840258</v>
      </c>
      <c r="R17" s="200">
        <f>假设!R13</f>
        <v>-0.55024300016448313</v>
      </c>
      <c r="S17" s="200">
        <f>假设!S13</f>
        <v>-0.53791998512345973</v>
      </c>
      <c r="T17" s="200">
        <f>假设!T13</f>
        <v>-0.54558317365944764</v>
      </c>
      <c r="U17" s="200">
        <f>假设!U13</f>
        <v>-0.54884969764489233</v>
      </c>
      <c r="V17" s="200">
        <f>假设!V13</f>
        <v>-0.54846533560613708</v>
      </c>
      <c r="W17" s="200">
        <f>假设!W13</f>
        <v>-0.54621223843968392</v>
      </c>
      <c r="X17" s="200">
        <f>假设!X13</f>
        <v>-0.54540608609472407</v>
      </c>
      <c r="Y17" s="200">
        <f>假设!Y13</f>
        <v>-0.54690330628897699</v>
      </c>
      <c r="Z17" s="200">
        <f>假设!Z13</f>
        <v>-0.54716733281488295</v>
      </c>
      <c r="AA17" s="200">
        <f>假设!AA13</f>
        <v>-0.54683085984888091</v>
      </c>
      <c r="AB17" s="200">
        <f>假设!AB13</f>
        <v>-0.54650396469742968</v>
      </c>
      <c r="AC17" s="200">
        <f>假设!AC13</f>
        <v>-0.54656230994897892</v>
      </c>
      <c r="AD17" s="200">
        <f>假设!AD13</f>
        <v>-0.54679355471982982</v>
      </c>
      <c r="AE17" s="200">
        <f>假设!AE13</f>
        <v>-0.54677160440600048</v>
      </c>
      <c r="AF17" s="200">
        <f>假设!AF13</f>
        <v>-0.5466924587242239</v>
      </c>
      <c r="AG17" s="200">
        <f>假设!AG13</f>
        <v>-0.54666477849929263</v>
      </c>
      <c r="AH17" s="200">
        <f>假设!AH13</f>
        <v>-0.54669694125966506</v>
      </c>
      <c r="AI17" s="200">
        <f>假设!AI13</f>
        <v>-0.54672386752180224</v>
      </c>
      <c r="AJ17" s="200">
        <f>假设!AJ13</f>
        <v>-0.54670993008219682</v>
      </c>
      <c r="AK17" s="200">
        <f>假设!AK13</f>
        <v>-0.54669759521743622</v>
      </c>
      <c r="AL17" s="200">
        <f>假设!AL13</f>
        <v>-0.54669862251607859</v>
      </c>
    </row>
    <row r="18" spans="1:99" s="4" customFormat="1" ht="18.75" customHeight="1" outlineLevel="1">
      <c r="A18" s="1130" t="s">
        <v>2695</v>
      </c>
      <c r="B18" s="113" t="s">
        <v>2697</v>
      </c>
      <c r="C18" s="200">
        <f>年度数据!C19</f>
        <v>-0.65853287000000005</v>
      </c>
      <c r="D18" s="200">
        <f>年度数据!D19</f>
        <v>1.5737352499999999</v>
      </c>
      <c r="E18" s="200">
        <f>年度数据!E19</f>
        <v>-1.3935956999999999</v>
      </c>
      <c r="F18" s="200">
        <f>年度数据!F19</f>
        <v>-7.6598693300000003</v>
      </c>
      <c r="G18" s="200">
        <f>年度数据!G19</f>
        <v>-6.4920323499999997</v>
      </c>
      <c r="H18" s="200">
        <f>年度数据!H19</f>
        <v>-3.3414100899999997</v>
      </c>
      <c r="I18" s="200">
        <f>假设!I16</f>
        <v>-3.4626344439999999</v>
      </c>
      <c r="J18" s="200">
        <f>假设!J16</f>
        <v>-4.469908382799999</v>
      </c>
      <c r="K18" s="200">
        <f>假设!K16</f>
        <v>-5.0851709193599994</v>
      </c>
      <c r="L18" s="200">
        <f>假设!L16</f>
        <v>-4.5702312372319991</v>
      </c>
      <c r="M18" s="200">
        <f>假设!M16</f>
        <v>-4.1858710146783995</v>
      </c>
      <c r="N18" s="200">
        <f>假设!N16</f>
        <v>-4.3547631996140792</v>
      </c>
      <c r="O18" s="200">
        <f>假设!O16</f>
        <v>-4.5331889507368954</v>
      </c>
      <c r="P18" s="200">
        <f>假设!P16</f>
        <v>-4.5458450643242747</v>
      </c>
      <c r="Q18" s="200">
        <f>假设!Q16</f>
        <v>-4.4379798933171299</v>
      </c>
      <c r="R18" s="200">
        <f>假设!R16</f>
        <v>-4.4115296245341558</v>
      </c>
      <c r="S18" s="200">
        <f>假设!S16</f>
        <v>-4.4566613465053075</v>
      </c>
      <c r="T18" s="200">
        <f>假设!T16</f>
        <v>-4.4770409758835532</v>
      </c>
      <c r="U18" s="200">
        <f>假设!U16</f>
        <v>-4.4658113809128839</v>
      </c>
      <c r="V18" s="200">
        <f>假设!V16</f>
        <v>-4.4498046442306052</v>
      </c>
      <c r="W18" s="200">
        <f>假设!W16</f>
        <v>-4.4521695944133013</v>
      </c>
      <c r="X18" s="200">
        <f>假设!X16</f>
        <v>-4.46029758838913</v>
      </c>
      <c r="Y18" s="200">
        <f>假设!Y16</f>
        <v>-4.4610248367658949</v>
      </c>
      <c r="Z18" s="200">
        <f>假设!Z16</f>
        <v>-4.4578216089423632</v>
      </c>
      <c r="AA18" s="200">
        <f>假设!AA16</f>
        <v>-4.4562236545482588</v>
      </c>
      <c r="AB18" s="200">
        <f>假设!AB16</f>
        <v>-4.4575074566117898</v>
      </c>
      <c r="AC18" s="200">
        <f>假设!AC16</f>
        <v>-4.4585750290514863</v>
      </c>
      <c r="AD18" s="200">
        <f>假设!AD16</f>
        <v>-4.4582305171839582</v>
      </c>
      <c r="AE18" s="200">
        <f>假设!AE16</f>
        <v>-4.4576716532675711</v>
      </c>
      <c r="AF18" s="200">
        <f>假设!AF16</f>
        <v>-4.4576416621326134</v>
      </c>
      <c r="AG18" s="200">
        <f>假设!AG16</f>
        <v>-4.4579252636494839</v>
      </c>
      <c r="AH18" s="200">
        <f>假设!AH16</f>
        <v>-4.4580088250570231</v>
      </c>
      <c r="AI18" s="200">
        <f>假设!AI16</f>
        <v>-4.4578955842581296</v>
      </c>
      <c r="AJ18" s="200">
        <f>假设!AJ16</f>
        <v>-4.4578285976729646</v>
      </c>
      <c r="AK18" s="200">
        <f>假设!AK16</f>
        <v>-4.4578599865540429</v>
      </c>
      <c r="AL18" s="200">
        <f>假设!AL16</f>
        <v>-4.457903651438329</v>
      </c>
    </row>
    <row r="19" spans="1:99" s="18" customFormat="1" ht="18.75" customHeight="1">
      <c r="A19" s="114" t="s">
        <v>1008</v>
      </c>
      <c r="B19" s="112" t="s">
        <v>1031</v>
      </c>
      <c r="C19" s="200">
        <f>年度数据!C21</f>
        <v>260.24264389000001</v>
      </c>
      <c r="D19" s="200">
        <f>年度数据!D21</f>
        <v>221.52168791999998</v>
      </c>
      <c r="E19" s="200">
        <f>年度数据!E21</f>
        <v>427.26777883</v>
      </c>
      <c r="F19" s="200">
        <f>年度数据!F21</f>
        <v>1033.1185133900001</v>
      </c>
      <c r="G19" s="200">
        <f>年度数据!G21</f>
        <v>810.67712725000001</v>
      </c>
      <c r="H19" s="200">
        <f>年度数据!H21</f>
        <v>191.46961677000002</v>
      </c>
      <c r="I19" s="200">
        <f ca="1">I2-I3-I4-I5-I6-I8+I12+I13+I14+I16-I7+I15+I18</f>
        <v>-240.72270657508631</v>
      </c>
      <c r="J19" s="200">
        <f t="shared" ref="J19:P19" ca="1" si="2">J2-J3-J4-J5-J6-J8+J12+J13+J14+J16-J7+J15+J18</f>
        <v>190.64219335690083</v>
      </c>
      <c r="K19" s="200">
        <f t="shared" ca="1" si="2"/>
        <v>126.97893179493485</v>
      </c>
      <c r="L19" s="200">
        <f t="shared" ca="1" si="2"/>
        <v>19.704370112842412</v>
      </c>
      <c r="M19" s="200">
        <f t="shared" ca="1" si="2"/>
        <v>-86.616554718092644</v>
      </c>
      <c r="N19" s="200">
        <f t="shared" ca="1" si="2"/>
        <v>-143.62248531684858</v>
      </c>
      <c r="O19" s="200">
        <f t="shared" ca="1" si="2"/>
        <v>-162.64049234323525</v>
      </c>
      <c r="P19" s="200">
        <f t="shared" ca="1" si="2"/>
        <v>-232.54869284825025</v>
      </c>
      <c r="Q19" s="200">
        <f t="shared" ref="Q19" ca="1" si="3">Q2-Q3-Q4-Q5-Q6-Q8+Q12+Q13+Q14+Q16-Q7+Q15+Q18</f>
        <v>-324.74115686085554</v>
      </c>
      <c r="R19" s="200">
        <f t="shared" ref="R19" ca="1" si="4">R2-R3-R4-R5-R6-R8+R12+R13+R14+R16-R7+R15+R18</f>
        <v>-423.62453250111253</v>
      </c>
      <c r="S19" s="200">
        <f t="shared" ref="S19" ca="1" si="5">S2-S3-S4-S5-S6-S8+S12+S13+S14+S16-S7+S15+S18</f>
        <v>-529.30562595384538</v>
      </c>
      <c r="T19" s="200">
        <f t="shared" ref="T19" ca="1" si="6">T2-T3-T4-T5-T6-T8+T12+T13+T14+T16-T7+T15+T18</f>
        <v>-644.71209777523836</v>
      </c>
      <c r="U19" s="200">
        <f t="shared" ref="U19" ca="1" si="7">U2-U3-U4-U5-U6-U8+U12+U13+U14+U16-U7+U15+U18</f>
        <v>-782.7997116084249</v>
      </c>
      <c r="V19" s="200">
        <f t="shared" ref="V19" ca="1" si="8">V2-V3-V4-V5-V6-V8+V12+V13+V14+V16-V7+V15+V18</f>
        <v>-950.92924482150249</v>
      </c>
      <c r="W19" s="200">
        <f t="shared" ref="W19" ca="1" si="9">W2-W3-W4-W5-W6-W8+W12+W13+W14+W16-W7+W15+W18</f>
        <v>-1145.1272990315847</v>
      </c>
      <c r="X19" s="200">
        <f t="shared" ref="X19" ca="1" si="10">X2-X3-X4-X5-X6-X8+X12+X13+X14+X16-X7+X15+X18</f>
        <v>-1365.0587094686653</v>
      </c>
      <c r="Y19" s="200">
        <f t="shared" ref="Y19" ca="1" si="11">Y2-Y3-Y4-Y5-Y6-Y8+Y12+Y13+Y14+Y16-Y7+Y15+Y18</f>
        <v>-1616.5759726883246</v>
      </c>
      <c r="Z19" s="200">
        <f t="shared" ref="Z19" ca="1" si="12">Z2-Z3-Z4-Z5-Z6-Z8+Z12+Z13+Z14+Z16-Z7+Z15+Z18</f>
        <v>-1906.3568435169743</v>
      </c>
      <c r="AA19" s="200">
        <f t="shared" ref="AA19" ca="1" si="13">AA2-AA3-AA4-AA5-AA6-AA8+AA12+AA13+AA14+AA16-AA7+AA15+AA18</f>
        <v>-2238.9022311556132</v>
      </c>
      <c r="AB19" s="200">
        <f t="shared" ref="AB19" ca="1" si="14">AB2-AB3-AB4-AB5-AB6-AB8+AB12+AB13+AB14+AB16-AB7+AB15+AB18</f>
        <v>-2617.5019445819403</v>
      </c>
      <c r="AC19" s="200">
        <f t="shared" ref="AC19" ca="1" si="15">AC2-AC3-AC4-AC5-AC6-AC8+AC12+AC13+AC14+AC16-AC7+AC15+AC18</f>
        <v>-3048.4700750102843</v>
      </c>
      <c r="AD19" s="200">
        <f t="shared" ref="AD19" ca="1" si="16">AD2-AD3-AD4-AD5-AD6-AD8+AD12+AD13+AD14+AD16-AD7+AD15+AD18</f>
        <v>-3539.9069591150133</v>
      </c>
      <c r="AE19" s="200">
        <f t="shared" ref="AE19" ca="1" si="17">AE2-AE3-AE4-AE5-AE6-AE8+AE12+AE13+AE14+AE16-AE7+AE15+AE18</f>
        <v>-4100.1673862582993</v>
      </c>
      <c r="AF19" s="200">
        <f t="shared" ref="AF19" ca="1" si="18">AF2-AF3-AF4-AF5-AF6-AF8+AF12+AF13+AF14+AF16-AF7+AF15+AF18</f>
        <v>-4737.855288087696</v>
      </c>
      <c r="AG19" s="200">
        <f t="shared" ref="AG19" ca="1" si="19">AG2-AG3-AG4-AG5-AG6-AG8+AG12+AG13+AG14+AG16-AG7+AG15+AG18</f>
        <v>-5462.8404105944282</v>
      </c>
      <c r="AH19" s="200">
        <f t="shared" ref="AH19" ca="1" si="20">AH2-AH3-AH4-AH5-AH6-AH8+AH12+AH13+AH14+AH16-AH7+AH15+AH18</f>
        <v>-6286.9725906791591</v>
      </c>
      <c r="AI19" s="200">
        <f t="shared" ref="AI19" ca="1" si="21">AI2-AI3-AI4-AI5-AI6-AI8+AI12+AI13+AI14+AI16-AI7+AI15+AI18</f>
        <v>-7223.7523105294913</v>
      </c>
      <c r="AJ19" s="200">
        <f t="shared" ref="AJ19" ca="1" si="22">AJ2-AJ3-AJ4-AJ5-AJ6-AJ8+AJ12+AJ13+AJ14+AJ16-AJ7+AJ15+AJ18</f>
        <v>-8288.096700207936</v>
      </c>
      <c r="AK19" s="200">
        <f t="shared" ref="AK19" ca="1" si="23">AK2-AK3-AK4-AK5-AK6-AK8+AK12+AK13+AK14+AK16-AK7+AK15+AK18</f>
        <v>-9496.5653329239249</v>
      </c>
      <c r="AL19" s="200">
        <f t="shared" ref="AL19" ca="1" si="24">AL2-AL3-AL4-AL5-AL6-AL8+AL12+AL13+AL14+AL16-AL7+AL15+AL18</f>
        <v>-10868.21670468825</v>
      </c>
      <c r="AM19" s="443"/>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row>
    <row r="20" spans="1:99" ht="18.75" customHeight="1" outlineLevel="1">
      <c r="A20" s="108" t="s">
        <v>989</v>
      </c>
      <c r="B20" s="113" t="s">
        <v>995</v>
      </c>
      <c r="C20" s="200">
        <f>年度数据!C22</f>
        <v>1.4058637</v>
      </c>
      <c r="D20" s="200">
        <f>年度数据!D22</f>
        <v>2.9020750099999999</v>
      </c>
      <c r="E20" s="200">
        <f>年度数据!E22</f>
        <v>5.3923089600000003</v>
      </c>
      <c r="F20" s="200">
        <f>年度数据!F22</f>
        <v>8.3436985200000002</v>
      </c>
      <c r="G20" s="200">
        <f>年度数据!G22</f>
        <v>12.447954749999999</v>
      </c>
      <c r="H20" s="200">
        <f>年度数据!H22</f>
        <v>11.99548611</v>
      </c>
      <c r="I20" s="200">
        <f>假设!I17</f>
        <v>8.2163046699999995</v>
      </c>
      <c r="J20" s="200">
        <f>假设!J17</f>
        <v>9.2791506019999996</v>
      </c>
      <c r="K20" s="200">
        <f>假设!K17</f>
        <v>10.056518930399999</v>
      </c>
      <c r="L20" s="200">
        <f>假设!L17</f>
        <v>10.39908301248</v>
      </c>
      <c r="M20" s="200">
        <f>假设!M17</f>
        <v>9.9893086649760008</v>
      </c>
      <c r="N20" s="200">
        <f>假设!N17</f>
        <v>9.5880731759711999</v>
      </c>
      <c r="O20" s="200">
        <f>假设!O17</f>
        <v>9.8624268771654418</v>
      </c>
      <c r="P20" s="200">
        <f>假设!P17</f>
        <v>9.9790821321985277</v>
      </c>
      <c r="Q20" s="200">
        <f>假设!Q17</f>
        <v>9.9635947725582348</v>
      </c>
      <c r="R20" s="200">
        <f>假设!R17</f>
        <v>9.8764971245738806</v>
      </c>
      <c r="S20" s="200">
        <f>假设!S17</f>
        <v>9.8539348164934584</v>
      </c>
      <c r="T20" s="200">
        <f>假设!T17</f>
        <v>9.9071071445979086</v>
      </c>
      <c r="U20" s="200">
        <f>假设!U17</f>
        <v>9.9160431980844006</v>
      </c>
      <c r="V20" s="200">
        <f>假设!V17</f>
        <v>9.9034354112615777</v>
      </c>
      <c r="W20" s="200">
        <f>假设!W17</f>
        <v>9.8914035390022441</v>
      </c>
      <c r="X20" s="200">
        <f>假设!X17</f>
        <v>9.8943848218879182</v>
      </c>
      <c r="Y20" s="200">
        <f>假设!Y17</f>
        <v>9.9024748229668109</v>
      </c>
      <c r="Z20" s="200">
        <f>假设!Z17</f>
        <v>9.901548358640591</v>
      </c>
      <c r="AA20" s="200">
        <f>假设!AA17</f>
        <v>9.898649390751828</v>
      </c>
      <c r="AB20" s="200">
        <f>假设!AB17</f>
        <v>9.897692186649877</v>
      </c>
      <c r="AC20" s="200">
        <f>假设!AC17</f>
        <v>9.8989499161794043</v>
      </c>
      <c r="AD20" s="200">
        <f>假设!AD17</f>
        <v>9.8998629350377012</v>
      </c>
      <c r="AE20" s="200">
        <f>假设!AE17</f>
        <v>9.8993405574518807</v>
      </c>
      <c r="AF20" s="200">
        <f>假设!AF17</f>
        <v>9.8988989972141379</v>
      </c>
      <c r="AG20" s="200">
        <f>假设!AG17</f>
        <v>9.8989489185066013</v>
      </c>
      <c r="AH20" s="200">
        <f>假设!AH17</f>
        <v>9.899200264877944</v>
      </c>
      <c r="AI20" s="200">
        <f>假设!AI17</f>
        <v>9.899250334617653</v>
      </c>
      <c r="AJ20" s="200">
        <f>假设!AJ17</f>
        <v>9.8991278145336423</v>
      </c>
      <c r="AK20" s="200">
        <f>假设!AK17</f>
        <v>9.8990852659499957</v>
      </c>
      <c r="AL20" s="200">
        <f>假设!AL17</f>
        <v>9.8991225196971673</v>
      </c>
      <c r="AM20" s="444"/>
    </row>
    <row r="21" spans="1:99" ht="18.75" customHeight="1" outlineLevel="1">
      <c r="A21" s="108" t="s">
        <v>1009</v>
      </c>
      <c r="B21" s="113" t="s">
        <v>995</v>
      </c>
      <c r="C21" s="200">
        <f>年度数据!C23</f>
        <v>0.93300488999999998</v>
      </c>
      <c r="D21" s="200">
        <f>年度数据!D23</f>
        <v>1.2279948700000001</v>
      </c>
      <c r="E21" s="200">
        <f>年度数据!E23</f>
        <v>1.04424881</v>
      </c>
      <c r="F21" s="200">
        <f>年度数据!F23</f>
        <v>2.6082265599999999</v>
      </c>
      <c r="G21" s="200">
        <f>年度数据!G23</f>
        <v>2.6184784300000001</v>
      </c>
      <c r="H21" s="200">
        <f>年度数据!H23</f>
        <v>2.8726492100000001</v>
      </c>
      <c r="I21" s="200">
        <f>假设!I18</f>
        <v>2.6997847333333334</v>
      </c>
      <c r="J21" s="200">
        <f>假设!J18</f>
        <v>2.7303041244444444</v>
      </c>
      <c r="K21" s="200">
        <f>假设!K18</f>
        <v>2.7675793559259261</v>
      </c>
      <c r="L21" s="200">
        <f>假设!L18</f>
        <v>2.7325560712345678</v>
      </c>
      <c r="M21" s="200">
        <f>假设!M18</f>
        <v>2.7434798505349796</v>
      </c>
      <c r="N21" s="200">
        <f>假设!N18</f>
        <v>2.7478717592318245</v>
      </c>
      <c r="O21" s="200">
        <f>假设!O18</f>
        <v>2.7413025603337906</v>
      </c>
      <c r="P21" s="200">
        <f>假设!P18</f>
        <v>2.7442180567001984</v>
      </c>
      <c r="Q21" s="200">
        <f>假设!Q18</f>
        <v>2.744464125421938</v>
      </c>
      <c r="R21" s="200">
        <f>假设!R18</f>
        <v>2.7433282474853091</v>
      </c>
      <c r="S21" s="200">
        <f>假设!S18</f>
        <v>2.744003476535815</v>
      </c>
      <c r="T21" s="200">
        <f>假设!T18</f>
        <v>2.7439319498143537</v>
      </c>
      <c r="U21" s="200">
        <f>假设!U18</f>
        <v>2.7437545579451594</v>
      </c>
      <c r="V21" s="200">
        <f>假设!V18</f>
        <v>2.7438966614317759</v>
      </c>
      <c r="W21" s="200">
        <f>假设!W18</f>
        <v>2.7438610563970962</v>
      </c>
      <c r="X21" s="200">
        <f>假设!X18</f>
        <v>2.7438374252580107</v>
      </c>
      <c r="Y21" s="200">
        <f>假设!Y18</f>
        <v>2.7438650476956279</v>
      </c>
      <c r="Z21" s="200">
        <f>假设!Z18</f>
        <v>2.7438545097835783</v>
      </c>
      <c r="AA21" s="200">
        <f>假设!AA18</f>
        <v>2.7438523275790723</v>
      </c>
      <c r="AB21" s="200">
        <f>假设!AB18</f>
        <v>2.743857295019426</v>
      </c>
      <c r="AC21" s="200">
        <f>假设!AC18</f>
        <v>2.7438547107940252</v>
      </c>
      <c r="AD21" s="200">
        <f>假设!AD18</f>
        <v>2.7438547777975075</v>
      </c>
      <c r="AE21" s="200">
        <f>假设!AE18</f>
        <v>2.7438555945369862</v>
      </c>
      <c r="AF21" s="200">
        <f>假设!AF18</f>
        <v>2.7438550277095062</v>
      </c>
      <c r="AG21" s="200">
        <f>假设!AG18</f>
        <v>2.7438551333479997</v>
      </c>
      <c r="AH21" s="200">
        <f>假设!AH18</f>
        <v>2.7438552518648307</v>
      </c>
      <c r="AI21" s="200">
        <f>假设!AI18</f>
        <v>2.7438551376407787</v>
      </c>
      <c r="AJ21" s="200">
        <f>假设!AJ18</f>
        <v>2.7438551742845365</v>
      </c>
      <c r="AK21" s="200">
        <f>假设!AK18</f>
        <v>2.7438551879300488</v>
      </c>
      <c r="AL21" s="200">
        <f>假设!AL18</f>
        <v>2.7438551666184545</v>
      </c>
      <c r="AM21" s="444"/>
    </row>
    <row r="22" spans="1:99" s="18" customFormat="1" ht="18.75" customHeight="1">
      <c r="A22" s="114" t="s">
        <v>983</v>
      </c>
      <c r="B22" s="112" t="s">
        <v>1031</v>
      </c>
      <c r="C22" s="200">
        <f>年度数据!C25</f>
        <v>260.7155027</v>
      </c>
      <c r="D22" s="200">
        <f>年度数据!D25</f>
        <v>223.19576806000001</v>
      </c>
      <c r="E22" s="200">
        <f>年度数据!E25</f>
        <v>431.61583898000004</v>
      </c>
      <c r="F22" s="200">
        <f>年度数据!F25</f>
        <v>1038.8539853500001</v>
      </c>
      <c r="G22" s="200">
        <f>年度数据!G25</f>
        <v>820.50660357000004</v>
      </c>
      <c r="H22" s="200">
        <f>年度数据!H25</f>
        <v>200.59245367</v>
      </c>
      <c r="I22" s="200">
        <f ca="1">I19+I20-I21</f>
        <v>-235.20618663841964</v>
      </c>
      <c r="J22" s="200">
        <f t="shared" ref="J22:AL22" ca="1" si="25">J19+J20-J21</f>
        <v>197.19103983445638</v>
      </c>
      <c r="K22" s="200">
        <f t="shared" ca="1" si="25"/>
        <v>134.26787136940891</v>
      </c>
      <c r="L22" s="200">
        <f t="shared" ca="1" si="25"/>
        <v>27.370897054087841</v>
      </c>
      <c r="M22" s="200">
        <f t="shared" ca="1" si="25"/>
        <v>-79.370725903651618</v>
      </c>
      <c r="N22" s="200">
        <f t="shared" ca="1" si="25"/>
        <v>-136.78228390010921</v>
      </c>
      <c r="O22" s="200">
        <f t="shared" ca="1" si="25"/>
        <v>-155.51936802640361</v>
      </c>
      <c r="P22" s="200">
        <f t="shared" ca="1" si="25"/>
        <v>-225.31382877275192</v>
      </c>
      <c r="Q22" s="200">
        <f t="shared" ca="1" si="25"/>
        <v>-317.52202621371924</v>
      </c>
      <c r="R22" s="200">
        <f t="shared" ca="1" si="25"/>
        <v>-416.49136362402396</v>
      </c>
      <c r="S22" s="200">
        <f t="shared" ca="1" si="25"/>
        <v>-522.19569461388767</v>
      </c>
      <c r="T22" s="200">
        <f t="shared" ca="1" si="25"/>
        <v>-637.54892258045481</v>
      </c>
      <c r="U22" s="200">
        <f t="shared" ca="1" si="25"/>
        <v>-775.62742296828571</v>
      </c>
      <c r="V22" s="200">
        <f t="shared" ca="1" si="25"/>
        <v>-943.76970607167266</v>
      </c>
      <c r="W22" s="200">
        <f t="shared" ca="1" si="25"/>
        <v>-1137.9797565489794</v>
      </c>
      <c r="X22" s="200">
        <f t="shared" ca="1" si="25"/>
        <v>-1357.9081620720353</v>
      </c>
      <c r="Y22" s="200">
        <f t="shared" ca="1" si="25"/>
        <v>-1609.4173629130535</v>
      </c>
      <c r="Z22" s="200">
        <f t="shared" ca="1" si="25"/>
        <v>-1899.1991496681173</v>
      </c>
      <c r="AA22" s="200">
        <f t="shared" ca="1" si="25"/>
        <v>-2231.7474340924405</v>
      </c>
      <c r="AB22" s="200">
        <f t="shared" ca="1" si="25"/>
        <v>-2610.3481096903101</v>
      </c>
      <c r="AC22" s="200">
        <f t="shared" ca="1" si="25"/>
        <v>-3041.3149798048989</v>
      </c>
      <c r="AD22" s="200">
        <f t="shared" ca="1" si="25"/>
        <v>-3532.7509509577731</v>
      </c>
      <c r="AE22" s="200">
        <f t="shared" ca="1" si="25"/>
        <v>-4093.0119012953842</v>
      </c>
      <c r="AF22" s="200">
        <f t="shared" ca="1" si="25"/>
        <v>-4730.7002441181912</v>
      </c>
      <c r="AG22" s="200">
        <f t="shared" ca="1" si="25"/>
        <v>-5455.6853168092694</v>
      </c>
      <c r="AH22" s="200">
        <f t="shared" ca="1" si="25"/>
        <v>-6279.8172456661459</v>
      </c>
      <c r="AI22" s="200">
        <f t="shared" ca="1" si="25"/>
        <v>-7216.5969153325141</v>
      </c>
      <c r="AJ22" s="200">
        <f t="shared" ca="1" si="25"/>
        <v>-8280.9414275676882</v>
      </c>
      <c r="AK22" s="200">
        <f t="shared" ca="1" si="25"/>
        <v>-9489.4101028459045</v>
      </c>
      <c r="AL22" s="200">
        <f t="shared" ca="1" si="25"/>
        <v>-10861.061437335171</v>
      </c>
      <c r="AM22" s="443"/>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row>
    <row r="23" spans="1:99" ht="18" customHeight="1" outlineLevel="1">
      <c r="A23" s="108" t="s">
        <v>1026</v>
      </c>
      <c r="B23" s="109" t="s">
        <v>1439</v>
      </c>
      <c r="C23" s="200">
        <f>年度数据!C26</f>
        <v>43.278019</v>
      </c>
      <c r="D23" s="200">
        <f>年度数据!D26</f>
        <v>37.928520749999997</v>
      </c>
      <c r="E23" s="200">
        <f>年度数据!E26</f>
        <v>68.254323889999995</v>
      </c>
      <c r="F23" s="200">
        <f>年度数据!F26</f>
        <v>148.51984997999998</v>
      </c>
      <c r="G23" s="200">
        <f>年度数据!G26</f>
        <v>147.88746504</v>
      </c>
      <c r="H23" s="200">
        <f>年度数据!H26</f>
        <v>22.677695249999999</v>
      </c>
      <c r="I23" s="200">
        <f ca="1">I22*假设!I19</f>
        <v>-35.954958226013567</v>
      </c>
      <c r="J23" s="200">
        <f ca="1">J22*假设!J19</f>
        <v>29.470608139822264</v>
      </c>
      <c r="K23" s="200">
        <f ca="1">K22*假设!K19</f>
        <v>19.833395968726165</v>
      </c>
      <c r="L23" s="200">
        <f ca="1">L22*假设!L19</f>
        <v>4.0690981805531505</v>
      </c>
      <c r="M23" s="200">
        <f ca="1">M22*假设!M19</f>
        <v>-11.298448433491492</v>
      </c>
      <c r="N23" s="200">
        <f ca="1">N22*假设!N19</f>
        <v>-20.272457270882136</v>
      </c>
      <c r="O23" s="200">
        <f ca="1">O22*假设!O19</f>
        <v>-22.904653816618843</v>
      </c>
      <c r="P23" s="200">
        <f ca="1">P22*假设!P19</f>
        <v>-33.085926436486922</v>
      </c>
      <c r="Q23" s="200">
        <f ca="1">Q22*假设!Q19</f>
        <v>-46.570786745394251</v>
      </c>
      <c r="R23" s="200">
        <f ca="1">R22*假设!R19</f>
        <v>-60.920331016857297</v>
      </c>
      <c r="S23" s="200">
        <f ca="1">S22*假设!S19</f>
        <v>-76.791141512710695</v>
      </c>
      <c r="T23" s="200">
        <f ca="1">T22*假设!T19</f>
        <v>-93.60701753917381</v>
      </c>
      <c r="U23" s="200">
        <f ca="1">U22*假设!U19</f>
        <v>-113.80954209480835</v>
      </c>
      <c r="V23" s="200">
        <f ca="1">V22*假设!V19</f>
        <v>-138.46038564992642</v>
      </c>
      <c r="W23" s="200">
        <f ca="1">W22*假设!W19</f>
        <v>-166.96213665602826</v>
      </c>
      <c r="X23" s="200">
        <f ca="1">X22*假设!X19</f>
        <v>-199.35118004129399</v>
      </c>
      <c r="Y23" s="200">
        <f ca="1">Y22*假设!Y19</f>
        <v>-236.19519712246955</v>
      </c>
      <c r="Z23" s="200">
        <f ca="1">Z22*假设!Z19</f>
        <v>-278.69833518432802</v>
      </c>
      <c r="AA23" s="200">
        <f ca="1">AA22*假设!AA19</f>
        <v>-327.50397866608944</v>
      </c>
      <c r="AB23" s="200">
        <f ca="1">AB22*假设!AB19</f>
        <v>-383.08254754977071</v>
      </c>
      <c r="AC23" s="200">
        <f ca="1">AC22*假设!AC19</f>
        <v>-446.35194672440571</v>
      </c>
      <c r="AD23" s="200">
        <f ca="1">AD22*假设!AD19</f>
        <v>-518.44486030390067</v>
      </c>
      <c r="AE23" s="200">
        <f ca="1">AE22*假设!AE19</f>
        <v>-600.66177219753115</v>
      </c>
      <c r="AF23" s="200">
        <f ca="1">AF22*假设!AF19</f>
        <v>-694.25184005989627</v>
      </c>
      <c r="AG23" s="200">
        <f ca="1">AG22*假设!AG19</f>
        <v>-800.65410747163082</v>
      </c>
      <c r="AH23" s="200">
        <f ca="1">AH22*假设!AH19</f>
        <v>-921.60106021595095</v>
      </c>
      <c r="AI23" s="200">
        <f ca="1">AI22*假设!AI19</f>
        <v>-1059.0693376720576</v>
      </c>
      <c r="AJ23" s="200">
        <f ca="1">AJ22*假设!AJ19</f>
        <v>-1215.2682112506054</v>
      </c>
      <c r="AK23" s="200">
        <f ca="1">AK22*假设!AK19</f>
        <v>-1392.6203233655426</v>
      </c>
      <c r="AL23" s="200">
        <f ca="1">AL22*假设!AL19</f>
        <v>-1593.9186932984067</v>
      </c>
      <c r="AM23" s="444"/>
    </row>
    <row r="24" spans="1:99" ht="15.75" hidden="1" customHeight="1" outlineLevel="1">
      <c r="A24" s="108"/>
      <c r="B24" s="113"/>
      <c r="C24" s="200"/>
      <c r="D24" s="200"/>
      <c r="E24" s="200"/>
      <c r="F24" s="200"/>
      <c r="G24" s="200"/>
      <c r="H24" s="200"/>
      <c r="I24" s="200"/>
      <c r="J24" s="200"/>
      <c r="K24" s="200"/>
      <c r="L24" s="200"/>
      <c r="M24" s="200"/>
      <c r="N24" s="200"/>
      <c r="O24" s="200"/>
      <c r="P24" s="200"/>
      <c r="Q24" s="200"/>
      <c r="R24" s="200"/>
      <c r="S24" s="200"/>
      <c r="T24" s="200"/>
      <c r="U24" s="200"/>
      <c r="V24" s="200"/>
      <c r="W24" s="200"/>
      <c r="X24" s="200"/>
      <c r="Y24" s="200"/>
      <c r="Z24" s="200"/>
      <c r="AA24" s="200"/>
      <c r="AB24" s="200"/>
      <c r="AC24" s="200"/>
      <c r="AD24" s="200"/>
      <c r="AE24" s="200"/>
      <c r="AF24" s="200"/>
      <c r="AG24" s="200"/>
      <c r="AH24" s="200"/>
      <c r="AI24" s="200"/>
      <c r="AJ24" s="200"/>
      <c r="AK24" s="200"/>
      <c r="AL24" s="200"/>
      <c r="AM24" s="444"/>
    </row>
    <row r="25" spans="1:99" s="18" customFormat="1" ht="18.75" customHeight="1">
      <c r="A25" s="114" t="s">
        <v>1025</v>
      </c>
      <c r="B25" s="112" t="s">
        <v>716</v>
      </c>
      <c r="C25" s="200">
        <f>年度数据!C28</f>
        <v>217.4374837</v>
      </c>
      <c r="D25" s="200">
        <f>年度数据!D28</f>
        <v>185.26724731000002</v>
      </c>
      <c r="E25" s="200">
        <f>年度数据!E28</f>
        <v>363.36151508999995</v>
      </c>
      <c r="F25" s="200">
        <f>年度数据!F28</f>
        <v>890.33413537000001</v>
      </c>
      <c r="G25" s="200">
        <f>年度数据!G28</f>
        <v>672.61913852999999</v>
      </c>
      <c r="H25" s="200">
        <f>年度数据!H28</f>
        <v>177.91475842</v>
      </c>
      <c r="I25" s="200">
        <f ca="1">I22-I23</f>
        <v>-199.25122841240608</v>
      </c>
      <c r="J25" s="200">
        <f t="shared" ref="J25:AL25" ca="1" si="26">J22-J23</f>
        <v>167.7204316946341</v>
      </c>
      <c r="K25" s="200">
        <f t="shared" ca="1" si="26"/>
        <v>114.43447540068274</v>
      </c>
      <c r="L25" s="200">
        <f t="shared" ca="1" si="26"/>
        <v>23.30179887353469</v>
      </c>
      <c r="M25" s="200">
        <f t="shared" ca="1" si="26"/>
        <v>-68.072277470160131</v>
      </c>
      <c r="N25" s="200">
        <f t="shared" ca="1" si="26"/>
        <v>-116.50982662922706</v>
      </c>
      <c r="O25" s="200">
        <f t="shared" ca="1" si="26"/>
        <v>-132.61471420978478</v>
      </c>
      <c r="P25" s="200">
        <f t="shared" ca="1" si="26"/>
        <v>-192.227902336265</v>
      </c>
      <c r="Q25" s="200">
        <f t="shared" ca="1" si="26"/>
        <v>-270.95123946832501</v>
      </c>
      <c r="R25" s="200">
        <f t="shared" ca="1" si="26"/>
        <v>-355.57103260716667</v>
      </c>
      <c r="S25" s="200">
        <f t="shared" ca="1" si="26"/>
        <v>-445.40455310117699</v>
      </c>
      <c r="T25" s="200">
        <f t="shared" ca="1" si="26"/>
        <v>-543.94190504128096</v>
      </c>
      <c r="U25" s="200">
        <f t="shared" ca="1" si="26"/>
        <v>-661.81788087347741</v>
      </c>
      <c r="V25" s="200">
        <f t="shared" ca="1" si="26"/>
        <v>-805.30932042174618</v>
      </c>
      <c r="W25" s="200">
        <f t="shared" ca="1" si="26"/>
        <v>-971.01761989295107</v>
      </c>
      <c r="X25" s="200">
        <f t="shared" ca="1" si="26"/>
        <v>-1158.5569820307414</v>
      </c>
      <c r="Y25" s="200">
        <f t="shared" ca="1" si="26"/>
        <v>-1373.2221657905839</v>
      </c>
      <c r="Z25" s="200">
        <f t="shared" ca="1" si="26"/>
        <v>-1620.5008144837893</v>
      </c>
      <c r="AA25" s="200">
        <f t="shared" ca="1" si="26"/>
        <v>-1904.2434554263509</v>
      </c>
      <c r="AB25" s="200">
        <f t="shared" ca="1" si="26"/>
        <v>-2227.2655621405393</v>
      </c>
      <c r="AC25" s="200">
        <f t="shared" ca="1" si="26"/>
        <v>-2594.963033080493</v>
      </c>
      <c r="AD25" s="200">
        <f t="shared" ca="1" si="26"/>
        <v>-3014.3060906538722</v>
      </c>
      <c r="AE25" s="200">
        <f t="shared" ca="1" si="26"/>
        <v>-3492.3501290978529</v>
      </c>
      <c r="AF25" s="200">
        <f t="shared" ca="1" si="26"/>
        <v>-4036.4484040582947</v>
      </c>
      <c r="AG25" s="200">
        <f t="shared" ca="1" si="26"/>
        <v>-4655.0312093376388</v>
      </c>
      <c r="AH25" s="200">
        <f t="shared" ca="1" si="26"/>
        <v>-5358.2161854501946</v>
      </c>
      <c r="AI25" s="200">
        <f t="shared" ca="1" si="26"/>
        <v>-6157.5275776604567</v>
      </c>
      <c r="AJ25" s="200">
        <f t="shared" ca="1" si="26"/>
        <v>-7065.6732163170827</v>
      </c>
      <c r="AK25" s="200">
        <f t="shared" ca="1" si="26"/>
        <v>-8096.7897794803621</v>
      </c>
      <c r="AL25" s="200">
        <f t="shared" ca="1" si="26"/>
        <v>-9267.1427440367643</v>
      </c>
      <c r="AM25" s="200"/>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row>
    <row r="26" spans="1:99" s="4" customFormat="1" ht="18.75" customHeight="1" outlineLevel="1">
      <c r="A26" s="108" t="s">
        <v>860</v>
      </c>
      <c r="B26" s="112" t="s">
        <v>716</v>
      </c>
      <c r="C26" s="200">
        <f t="shared" ref="C26:H26" si="27">C25+C9-C10+C23</f>
        <v>260.79161316542002</v>
      </c>
      <c r="D26" s="200">
        <f t="shared" si="27"/>
        <v>221.736718833466</v>
      </c>
      <c r="E26" s="200">
        <f t="shared" si="27"/>
        <v>434.40394286050389</v>
      </c>
      <c r="F26" s="200">
        <f t="shared" si="27"/>
        <v>1050.147390597544</v>
      </c>
      <c r="G26" s="200">
        <f t="shared" si="27"/>
        <v>847.44926653871994</v>
      </c>
      <c r="H26" s="200">
        <f t="shared" si="27"/>
        <v>247.760573732686</v>
      </c>
      <c r="I26" s="200">
        <f t="shared" ref="I26:AL26" ca="1" si="28">I25+I9-I10+I23</f>
        <v>-145.39915065661293</v>
      </c>
      <c r="J26" s="200">
        <f t="shared" ca="1" si="28"/>
        <v>480.34660586143002</v>
      </c>
      <c r="K26" s="200">
        <f t="shared" ca="1" si="28"/>
        <v>518.47038468711276</v>
      </c>
      <c r="L26" s="200">
        <f t="shared" ca="1" si="28"/>
        <v>485.31838124948297</v>
      </c>
      <c r="M26" s="200">
        <f t="shared" ca="1" si="28"/>
        <v>469.77679816260559</v>
      </c>
      <c r="N26" s="200">
        <f t="shared" ca="1" si="28"/>
        <v>524.47429458539932</v>
      </c>
      <c r="O26" s="200">
        <f t="shared" ca="1" si="28"/>
        <v>632.5637485762802</v>
      </c>
      <c r="P26" s="200">
        <f t="shared" ca="1" si="28"/>
        <v>709.64059671464111</v>
      </c>
      <c r="Q26" s="200">
        <f t="shared" ca="1" si="28"/>
        <v>776.60512260854034</v>
      </c>
      <c r="R26" s="200">
        <f t="shared" ca="1" si="28"/>
        <v>856.303495920253</v>
      </c>
      <c r="S26" s="200">
        <f t="shared" ca="1" si="28"/>
        <v>959.61379836405058</v>
      </c>
      <c r="T26" s="200">
        <f t="shared" ca="1" si="28"/>
        <v>1083.1808103132644</v>
      </c>
      <c r="U26" s="200">
        <f t="shared" ca="1" si="28"/>
        <v>1215.9705105480755</v>
      </c>
      <c r="V26" s="200">
        <f t="shared" ca="1" si="28"/>
        <v>1358.8216826050184</v>
      </c>
      <c r="W26" s="200">
        <f t="shared" ca="1" si="28"/>
        <v>1522.6112961194863</v>
      </c>
      <c r="X26" s="200">
        <f t="shared" ca="1" si="28"/>
        <v>1712.0611653704314</v>
      </c>
      <c r="Y26" s="200">
        <f t="shared" ca="1" si="28"/>
        <v>1926.9107804857947</v>
      </c>
      <c r="Z26" s="200">
        <f t="shared" ca="1" si="28"/>
        <v>2166.9148117033737</v>
      </c>
      <c r="AA26" s="200">
        <f t="shared" ca="1" si="28"/>
        <v>2436.5340510283972</v>
      </c>
      <c r="AB26" s="200">
        <f t="shared" ca="1" si="28"/>
        <v>2742.6650327080074</v>
      </c>
      <c r="AC26" s="200">
        <f t="shared" ca="1" si="28"/>
        <v>3089.7053568703768</v>
      </c>
      <c r="AD26" s="200">
        <f t="shared" ca="1" si="28"/>
        <v>3481.4449725862069</v>
      </c>
      <c r="AE26" s="200">
        <f t="shared" ca="1" si="28"/>
        <v>3923.1421121081571</v>
      </c>
      <c r="AF26" s="200">
        <f t="shared" ca="1" si="28"/>
        <v>4422.1216966414231</v>
      </c>
      <c r="AG26" s="200">
        <f t="shared" ca="1" si="28"/>
        <v>4986.4882055729358</v>
      </c>
      <c r="AH26" s="200">
        <f t="shared" ca="1" si="28"/>
        <v>5624.3073745529364</v>
      </c>
      <c r="AI26" s="200">
        <f t="shared" ca="1" si="28"/>
        <v>6344.6825891974131</v>
      </c>
      <c r="AJ26" s="200">
        <f t="shared" ca="1" si="28"/>
        <v>7158.3910613000053</v>
      </c>
      <c r="AK26" s="200">
        <f t="shared" ca="1" si="28"/>
        <v>8077.8619301546396</v>
      </c>
      <c r="AL26" s="200">
        <f t="shared" ca="1" si="28"/>
        <v>9116.8959148042086</v>
      </c>
    </row>
    <row r="27" spans="1:99" s="4" customFormat="1" ht="18.75" customHeight="1" outlineLevel="1">
      <c r="A27" s="536" t="s">
        <v>717</v>
      </c>
      <c r="B27" s="107" t="s">
        <v>718</v>
      </c>
      <c r="C27" s="200">
        <f>年度数据!C137+年度数据!C138+年度数据!C139</f>
        <v>24.228083850000001</v>
      </c>
      <c r="D27" s="200">
        <f>年度数据!D137+年度数据!D138+年度数据!D139</f>
        <v>41.629124089999998</v>
      </c>
      <c r="E27" s="200">
        <f>年度数据!E137+年度数据!E138+年度数据!E139</f>
        <v>65.684099119999999</v>
      </c>
      <c r="F27" s="200">
        <f>年度数据!F137+年度数据!F138+年度数据!F139</f>
        <v>101.36520949</v>
      </c>
      <c r="G27" s="200">
        <f>年度数据!G137+年度数据!G138+年度数据!G139</f>
        <v>155.60443329</v>
      </c>
      <c r="H27" s="200">
        <f>年度数据!H137+年度数据!H138+年度数据!H139</f>
        <v>203.49755551999996</v>
      </c>
      <c r="I27" s="200">
        <f ca="1">资本投资!J107+资本投资!J121+资本投资!J127</f>
        <v>159.67568942618274</v>
      </c>
      <c r="J27" s="200">
        <f ca="1">资本投资!K107+资本投资!K121+资本投资!K127</f>
        <v>178.29660496705071</v>
      </c>
      <c r="K27" s="200">
        <f ca="1">资本投资!L107+资本投资!L121+资本投资!L127</f>
        <v>206.53562264950685</v>
      </c>
      <c r="L27" s="200">
        <f ca="1">资本投资!M107+资本投资!M121+资本投资!M127</f>
        <v>236.9227226316784</v>
      </c>
      <c r="M27" s="200">
        <f ca="1">资本投资!N107+资本投资!N121+资本投资!N127</f>
        <v>265.31343784344983</v>
      </c>
      <c r="N27" s="200">
        <f ca="1">资本投资!O107+资本投资!O121+资本投资!O127</f>
        <v>296.67679217114386</v>
      </c>
      <c r="O27" s="200">
        <f ca="1">资本投资!P107+资本投资!P121+资本投资!P127</f>
        <v>335.10374570500522</v>
      </c>
      <c r="P27" s="200">
        <f ca="1">资本投资!Q107+资本投资!Q121+资本投资!Q127</f>
        <v>378.49358324467477</v>
      </c>
      <c r="Q27" s="200">
        <f ca="1">资本投资!R107+资本投资!R121+资本投资!R127</f>
        <v>426.52582930108832</v>
      </c>
      <c r="R27" s="200">
        <f ca="1">资本投资!S107+资本投资!S121+资本投资!S127</f>
        <v>479.28899939193815</v>
      </c>
      <c r="S27" s="200">
        <f ca="1">资本投资!T107+资本投资!T121+资本投资!T127</f>
        <v>538.55465636874908</v>
      </c>
      <c r="T27" s="200">
        <f ca="1">资本投资!U107+资本投资!U121+资本投资!U127</f>
        <v>606.79311083667392</v>
      </c>
      <c r="U27" s="200">
        <f ca="1">资本投资!V107+资本投资!V121+资本投资!V127</f>
        <v>683.53667865476859</v>
      </c>
      <c r="V27" s="200">
        <f ca="1">资本投资!W107+资本投资!W121+资本投资!W127</f>
        <v>613.24261232595609</v>
      </c>
      <c r="W27" s="200">
        <f ca="1">资本投资!X107+资本投资!X121+资本投资!X127</f>
        <v>686.04985674259683</v>
      </c>
      <c r="X27" s="200">
        <f ca="1">资本投资!Y107+资本投资!Y121+资本投资!Y127</f>
        <v>765.67445522763148</v>
      </c>
      <c r="Y27" s="200">
        <f ca="1">资本投资!Z107+资本投资!Z121+资本投资!Z127</f>
        <v>860.72415812252029</v>
      </c>
      <c r="Z27" s="200">
        <f ca="1">资本投资!AA107+资本投资!AA121+资本投资!AA127</f>
        <v>973.64725190846241</v>
      </c>
      <c r="AA27" s="200">
        <f ca="1">资本投资!AB107+资本投资!AB121+资本投资!AB127</f>
        <v>1097.0518470059346</v>
      </c>
      <c r="AB27" s="200">
        <f ca="1">资本投资!AC107+资本投资!AC121+资本投资!AC127</f>
        <v>1233.6158117106406</v>
      </c>
      <c r="AC27" s="200">
        <f ca="1">资本投资!AD107+资本投资!AD121+资本投资!AD127</f>
        <v>1389.2203142469018</v>
      </c>
      <c r="AD27" s="200">
        <f ca="1">资本投资!AE107+资本投资!AE121+资本投资!AE127</f>
        <v>1566.9719974686861</v>
      </c>
      <c r="AE27" s="200">
        <f ca="1">资本投资!AF107+资本投资!AF121+资本投资!AF127</f>
        <v>1767.5226487591144</v>
      </c>
      <c r="AF27" s="200">
        <f ca="1">资本投资!AG107+资本投资!AG121+资本投资!AG127</f>
        <v>1993.1503851419498</v>
      </c>
      <c r="AG27" s="200">
        <f ca="1">资本投资!AH107+资本投资!AH121+资本投资!AH127</f>
        <v>2247.6527198618437</v>
      </c>
      <c r="AH27" s="200">
        <f ca="1">资本投资!AI107+资本投资!AI121+资本投资!AI127</f>
        <v>2535.0930203969911</v>
      </c>
      <c r="AI27" s="200">
        <f ca="1">资本投资!AJ107+资本投资!AJ121+资本投资!AJ127</f>
        <v>2860.7910931420533</v>
      </c>
      <c r="AJ27" s="200">
        <f ca="1">资本投资!AK107+资本投资!AK121+资本投资!AK127</f>
        <v>3228.4127159392601</v>
      </c>
      <c r="AK27" s="200">
        <f ca="1">资本投资!AL107+资本投资!AL121+资本投资!AL127</f>
        <v>3642.6274694959147</v>
      </c>
      <c r="AL27" s="200">
        <f ca="1">资本投资!AM107+资本投资!AM121+资本投资!AM127</f>
        <v>4111.1144205275168</v>
      </c>
    </row>
    <row r="28" spans="1:99" s="4" customFormat="1" ht="18.75" customHeight="1" outlineLevel="1">
      <c r="A28" s="108" t="s">
        <v>719</v>
      </c>
      <c r="B28" s="112" t="s">
        <v>716</v>
      </c>
      <c r="C28" s="200">
        <f t="shared" ref="C28:I28" si="29">C26+C27</f>
        <v>285.01969701542004</v>
      </c>
      <c r="D28" s="200">
        <f t="shared" si="29"/>
        <v>263.365842923466</v>
      </c>
      <c r="E28" s="200">
        <f t="shared" si="29"/>
        <v>500.08804198050387</v>
      </c>
      <c r="F28" s="200">
        <f t="shared" si="29"/>
        <v>1151.5126000875441</v>
      </c>
      <c r="G28" s="200">
        <f t="shared" si="29"/>
        <v>1003.0536998287199</v>
      </c>
      <c r="H28" s="200">
        <f t="shared" si="29"/>
        <v>451.25812925268599</v>
      </c>
      <c r="I28" s="200">
        <f t="shared" ca="1" si="29"/>
        <v>14.276538769569811</v>
      </c>
      <c r="J28" s="200">
        <f t="shared" ref="J28:AL28" ca="1" si="30">J26+J27</f>
        <v>658.64321082848073</v>
      </c>
      <c r="K28" s="200">
        <f t="shared" ca="1" si="30"/>
        <v>725.00600733661963</v>
      </c>
      <c r="L28" s="200">
        <f t="shared" ca="1" si="30"/>
        <v>722.24110388116139</v>
      </c>
      <c r="M28" s="200">
        <f t="shared" ca="1" si="30"/>
        <v>735.09023600605542</v>
      </c>
      <c r="N28" s="200">
        <f t="shared" ca="1" si="30"/>
        <v>821.15108675654324</v>
      </c>
      <c r="O28" s="200">
        <f t="shared" ca="1" si="30"/>
        <v>967.66749428128537</v>
      </c>
      <c r="P28" s="200">
        <f t="shared" ca="1" si="30"/>
        <v>1088.1341799593158</v>
      </c>
      <c r="Q28" s="200">
        <f t="shared" ca="1" si="30"/>
        <v>1203.1309519096287</v>
      </c>
      <c r="R28" s="200">
        <f t="shared" ca="1" si="30"/>
        <v>1335.5924953121912</v>
      </c>
      <c r="S28" s="200">
        <f t="shared" ca="1" si="30"/>
        <v>1498.1684547327995</v>
      </c>
      <c r="T28" s="200">
        <f t="shared" ca="1" si="30"/>
        <v>1689.9739211499382</v>
      </c>
      <c r="U28" s="200">
        <f t="shared" ca="1" si="30"/>
        <v>1899.5071892028441</v>
      </c>
      <c r="V28" s="200">
        <f t="shared" ca="1" si="30"/>
        <v>1972.0642949309745</v>
      </c>
      <c r="W28" s="200">
        <f t="shared" ca="1" si="30"/>
        <v>2208.6611528620833</v>
      </c>
      <c r="X28" s="200">
        <f t="shared" ca="1" si="30"/>
        <v>2477.7356205980627</v>
      </c>
      <c r="Y28" s="200">
        <f t="shared" ca="1" si="30"/>
        <v>2787.6349386083148</v>
      </c>
      <c r="Z28" s="200">
        <f t="shared" ca="1" si="30"/>
        <v>3140.562063611836</v>
      </c>
      <c r="AA28" s="200">
        <f t="shared" ca="1" si="30"/>
        <v>3533.5858980343319</v>
      </c>
      <c r="AB28" s="200">
        <f t="shared" ca="1" si="30"/>
        <v>3976.280844418648</v>
      </c>
      <c r="AC28" s="200">
        <f t="shared" ca="1" si="30"/>
        <v>4478.9256711172784</v>
      </c>
      <c r="AD28" s="200">
        <f t="shared" ca="1" si="30"/>
        <v>5048.4169700548928</v>
      </c>
      <c r="AE28" s="200">
        <f t="shared" ca="1" si="30"/>
        <v>5690.664760867272</v>
      </c>
      <c r="AF28" s="200">
        <f t="shared" ca="1" si="30"/>
        <v>6415.2720817833724</v>
      </c>
      <c r="AG28" s="200">
        <f t="shared" ca="1" si="30"/>
        <v>7234.14092543478</v>
      </c>
      <c r="AH28" s="200">
        <f t="shared" ca="1" si="30"/>
        <v>8159.4003949499274</v>
      </c>
      <c r="AI28" s="200">
        <f t="shared" ca="1" si="30"/>
        <v>9205.4736823394669</v>
      </c>
      <c r="AJ28" s="200">
        <f t="shared" ca="1" si="30"/>
        <v>10386.803777239265</v>
      </c>
      <c r="AK28" s="200">
        <f t="shared" ca="1" si="30"/>
        <v>11720.489399650554</v>
      </c>
      <c r="AL28" s="200">
        <f t="shared" ca="1" si="30"/>
        <v>13228.010335331724</v>
      </c>
    </row>
    <row r="29" spans="1:99" ht="18.75" customHeight="1" outlineLevel="1">
      <c r="A29" s="111" t="s">
        <v>720</v>
      </c>
      <c r="B29" s="113" t="s">
        <v>721</v>
      </c>
      <c r="C29" s="200">
        <f>年度数据!C29</f>
        <v>-0.24247639000000001</v>
      </c>
      <c r="D29" s="200">
        <f>年度数据!D29</f>
        <v>0</v>
      </c>
      <c r="E29" s="200">
        <f>年度数据!E29</f>
        <v>-1.3039999999999999E-5</v>
      </c>
      <c r="F29" s="200">
        <f>年度数据!F29</f>
        <v>0</v>
      </c>
      <c r="G29" s="200">
        <f>年度数据!G29</f>
        <v>0</v>
      </c>
      <c r="H29" s="200">
        <f>年度数据!H29</f>
        <v>-0.27017777000000004</v>
      </c>
      <c r="I29" s="200">
        <f ca="1">I25*假设!I21</f>
        <v>6.0517210859111235E-2</v>
      </c>
      <c r="J29" s="200">
        <f ca="1">J25*假设!J21</f>
        <v>-6.1128693525966907E-2</v>
      </c>
      <c r="K29" s="200">
        <f ca="1">K25*假设!K21</f>
        <v>-5.0048393803664652E-2</v>
      </c>
      <c r="L29" s="200">
        <f ca="1">L25*假设!L21</f>
        <v>-1.2229366392668365E-2</v>
      </c>
      <c r="M29" s="200">
        <f ca="1">M25*假设!M21</f>
        <v>4.2871238922835578E-2</v>
      </c>
      <c r="N29" s="200">
        <f ca="1">N25*假设!N21</f>
        <v>5.2666171625260938E-2</v>
      </c>
      <c r="O29" s="200">
        <f ca="1">O25*假设!O21</f>
        <v>6.3879683915650104E-2</v>
      </c>
      <c r="P29" s="200">
        <f ca="1">P25*假设!P21</f>
        <v>9.7101808127467396E-2</v>
      </c>
      <c r="Q29" s="200">
        <f ca="1">Q25*假设!Q21</f>
        <v>0.14054131169213988</v>
      </c>
      <c r="R29" s="200">
        <f ca="1">R25*假设!R21</f>
        <v>0.18399739442034183</v>
      </c>
      <c r="S29" s="200">
        <f ca="1">S25*假设!S21</f>
        <v>0.22047800556643229</v>
      </c>
      <c r="T29" s="200">
        <f ca="1">T25*假设!T21</f>
        <v>0.27392969326041761</v>
      </c>
      <c r="U29" s="200">
        <f ca="1">U25*假设!U21</f>
        <v>0.3361918723387623</v>
      </c>
      <c r="V29" s="200">
        <f ca="1">V25*假设!V21</f>
        <v>0.4095409803107779</v>
      </c>
      <c r="W29" s="200">
        <f ca="1">W25*假设!W21</f>
        <v>0.49184196953887327</v>
      </c>
      <c r="X29" s="200">
        <f ca="1">X25*假设!X21</f>
        <v>0.5842980508307869</v>
      </c>
      <c r="Y29" s="200">
        <f ca="1">Y25*假设!Y21</f>
        <v>0.69512214916600668</v>
      </c>
      <c r="Z29" s="200">
        <f ca="1">Z25*假设!Z21</f>
        <v>0.82113572262640344</v>
      </c>
      <c r="AA29" s="200">
        <f ca="1">AA25*假设!AA21</f>
        <v>0.96443116400450857</v>
      </c>
      <c r="AB29" s="200">
        <f ca="1">AB25*假设!AB21</f>
        <v>1.1271006692658585</v>
      </c>
      <c r="AC29" s="200">
        <f ca="1">AC25*假设!AC21</f>
        <v>1.3129260982859672</v>
      </c>
      <c r="AD29" s="200">
        <f ca="1">AD25*假设!AD21</f>
        <v>1.5260695811656455</v>
      </c>
      <c r="AE29" s="200">
        <f ca="1">AE25*假设!AE21</f>
        <v>1.7681458816438034</v>
      </c>
      <c r="AF29" s="200">
        <f ca="1">AF25*假设!AF21</f>
        <v>2.0432740022148996</v>
      </c>
      <c r="AG29" s="200">
        <f ca="1">AG25*假设!AG21</f>
        <v>2.3561637783186296</v>
      </c>
      <c r="AH29" s="200">
        <f ca="1">AH25*假设!AH21</f>
        <v>2.7121989424001738</v>
      </c>
      <c r="AI29" s="200">
        <f ca="1">AI25*假设!AI21</f>
        <v>3.1170667797399068</v>
      </c>
      <c r="AJ29" s="200">
        <f ca="1">AJ25*假设!AJ21</f>
        <v>3.5767109098303274</v>
      </c>
      <c r="AK29" s="200">
        <f ca="1">AK25*假设!AK21</f>
        <v>4.098539728325755</v>
      </c>
      <c r="AL29" s="200">
        <f ca="1">AL25*假设!AL21</f>
        <v>4.6909408250847093</v>
      </c>
      <c r="AM29" s="444"/>
    </row>
    <row r="30" spans="1:99" s="18" customFormat="1" ht="18.75" customHeight="1">
      <c r="A30" s="454" t="s">
        <v>722</v>
      </c>
      <c r="B30" s="112" t="s">
        <v>716</v>
      </c>
      <c r="C30" s="200">
        <f>年度数据!C30</f>
        <v>217.67996009000001</v>
      </c>
      <c r="D30" s="200">
        <f>年度数据!D30</f>
        <v>185.26724731000002</v>
      </c>
      <c r="E30" s="200">
        <f>年度数据!E30</f>
        <v>363.36152813000001</v>
      </c>
      <c r="F30" s="200">
        <f>年度数据!F30</f>
        <v>890.33413537000001</v>
      </c>
      <c r="G30" s="200">
        <f>年度数据!G30</f>
        <v>672.61913852999999</v>
      </c>
      <c r="H30" s="200">
        <f>年度数据!H30</f>
        <v>178.18493619</v>
      </c>
      <c r="I30" s="200">
        <f ca="1">I25-I29</f>
        <v>-199.31174562326518</v>
      </c>
      <c r="J30" s="200">
        <f t="shared" ref="J30:AL30" ca="1" si="31">J25-J29</f>
        <v>167.78156038816007</v>
      </c>
      <c r="K30" s="200">
        <f t="shared" ca="1" si="31"/>
        <v>114.48452379448641</v>
      </c>
      <c r="L30" s="200">
        <f t="shared" ca="1" si="31"/>
        <v>23.314028239927357</v>
      </c>
      <c r="M30" s="200">
        <f t="shared" ca="1" si="31"/>
        <v>-68.115148709082973</v>
      </c>
      <c r="N30" s="200">
        <f t="shared" ca="1" si="31"/>
        <v>-116.56249280085233</v>
      </c>
      <c r="O30" s="200">
        <f t="shared" ca="1" si="31"/>
        <v>-132.67859389370042</v>
      </c>
      <c r="P30" s="200">
        <f t="shared" ca="1" si="31"/>
        <v>-192.32500414439247</v>
      </c>
      <c r="Q30" s="200">
        <f t="shared" ca="1" si="31"/>
        <v>-271.09178078001713</v>
      </c>
      <c r="R30" s="200">
        <f t="shared" ca="1" si="31"/>
        <v>-355.75503000158699</v>
      </c>
      <c r="S30" s="200">
        <f t="shared" ca="1" si="31"/>
        <v>-445.62503110674339</v>
      </c>
      <c r="T30" s="200">
        <f t="shared" ca="1" si="31"/>
        <v>-544.21583473454143</v>
      </c>
      <c r="U30" s="200">
        <f t="shared" ca="1" si="31"/>
        <v>-662.15407274581617</v>
      </c>
      <c r="V30" s="200">
        <f t="shared" ca="1" si="31"/>
        <v>-805.71886140205697</v>
      </c>
      <c r="W30" s="200">
        <f t="shared" ca="1" si="31"/>
        <v>-971.50946186248996</v>
      </c>
      <c r="X30" s="200">
        <f t="shared" ca="1" si="31"/>
        <v>-1159.1412800815722</v>
      </c>
      <c r="Y30" s="200">
        <f t="shared" ca="1" si="31"/>
        <v>-1373.9172879397499</v>
      </c>
      <c r="Z30" s="200">
        <f t="shared" ca="1" si="31"/>
        <v>-1621.3219502064157</v>
      </c>
      <c r="AA30" s="200">
        <f t="shared" ca="1" si="31"/>
        <v>-1905.2078865903554</v>
      </c>
      <c r="AB30" s="200">
        <f t="shared" ca="1" si="31"/>
        <v>-2228.3926628098052</v>
      </c>
      <c r="AC30" s="200">
        <f t="shared" ca="1" si="31"/>
        <v>-2596.275959178779</v>
      </c>
      <c r="AD30" s="200">
        <f t="shared" ca="1" si="31"/>
        <v>-3015.8321602350379</v>
      </c>
      <c r="AE30" s="200">
        <f t="shared" ca="1" si="31"/>
        <v>-3494.1182749794966</v>
      </c>
      <c r="AF30" s="200">
        <f t="shared" ca="1" si="31"/>
        <v>-4038.4916780605095</v>
      </c>
      <c r="AG30" s="200">
        <f t="shared" ca="1" si="31"/>
        <v>-4657.3873731159574</v>
      </c>
      <c r="AH30" s="200">
        <f t="shared" ca="1" si="31"/>
        <v>-5360.928384392595</v>
      </c>
      <c r="AI30" s="200">
        <f t="shared" ca="1" si="31"/>
        <v>-6160.6446444401963</v>
      </c>
      <c r="AJ30" s="200">
        <f t="shared" ca="1" si="31"/>
        <v>-7069.2499272269133</v>
      </c>
      <c r="AK30" s="200">
        <f t="shared" ca="1" si="31"/>
        <v>-8100.8883192086878</v>
      </c>
      <c r="AL30" s="200">
        <f t="shared" ca="1" si="31"/>
        <v>-9271.8336848618492</v>
      </c>
      <c r="AM30" s="443"/>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row>
    <row r="31" spans="1:99" s="6" customFormat="1" ht="20.25" customHeight="1">
      <c r="A31" s="455" t="s">
        <v>723</v>
      </c>
      <c r="B31" s="107" t="s">
        <v>724</v>
      </c>
      <c r="C31" s="200">
        <f>C30/年度数据!C118</f>
        <v>0.47528375565502184</v>
      </c>
      <c r="D31" s="200">
        <f>D30/年度数据!D118</f>
        <v>0.30338526343179734</v>
      </c>
      <c r="E31" s="200">
        <f>E30/年度数据!E118</f>
        <v>0.59790590348967854</v>
      </c>
      <c r="F31" s="200">
        <f>F30/年度数据!F118</f>
        <v>1.4553374745901901</v>
      </c>
      <c r="G31" s="200">
        <f>G30/年度数据!G118</f>
        <v>0.58428333878770544</v>
      </c>
      <c r="H31" s="200">
        <f>H30/年度数据!H118</f>
        <v>0.15089182928365422</v>
      </c>
      <c r="I31" s="200">
        <f ca="1">IF(ISERROR(I30/假设!I136),0,I30/假设!I136)</f>
        <v>-0.16878258363402929</v>
      </c>
      <c r="J31" s="200">
        <f ca="1">IF(ISERROR(J30/假设!J136),0,J30/假设!J136)</f>
        <v>0.14208196892715891</v>
      </c>
      <c r="K31" s="200">
        <f ca="1">IF(ISERROR(K30/假设!K136),0,K30/假设!K136)</f>
        <v>9.694859503498017E-2</v>
      </c>
      <c r="L31" s="200">
        <f ca="1">IF(ISERROR(L30/假设!L136),0,L30/假设!L136)</f>
        <v>1.9742950466599778E-2</v>
      </c>
      <c r="M31" s="200">
        <f ca="1">IF(ISERROR(M30/假设!M136),0,M30/假设!M136)</f>
        <v>-5.7681752511795581E-2</v>
      </c>
      <c r="N31" s="200">
        <f ca="1">IF(ISERROR(N30/假设!N136),0,N30/假设!N136)</f>
        <v>-9.8708275461786579E-2</v>
      </c>
      <c r="O31" s="200">
        <f ca="1">IF(ISERROR(O30/假设!O136),0,O30/假设!O136)</f>
        <v>-0.11235582629754923</v>
      </c>
      <c r="P31" s="200">
        <f ca="1">IF(ISERROR(P30/假设!P136),0,P30/假设!P136)</f>
        <v>-0.16286602174602019</v>
      </c>
      <c r="Q31" s="200">
        <f ca="1">IF(ISERROR(Q30/假设!Q136),0,Q30/假设!Q136)</f>
        <v>-0.22956786123627346</v>
      </c>
      <c r="R31" s="200">
        <f ca="1">IF(ISERROR(R30/假设!R136),0,R30/假设!R136)</f>
        <v>-0.30126299339109552</v>
      </c>
      <c r="S31" s="200">
        <f ca="1">IF(ISERROR(S30/假设!S136),0,S30/假设!S136)</f>
        <v>-0.37736734404182198</v>
      </c>
      <c r="T31" s="200">
        <f ca="1">IF(ISERROR(T30/假设!T136),0,T30/假设!T136)</f>
        <v>-0.46085670643147425</v>
      </c>
      <c r="U31" s="200">
        <f ca="1">IF(ISERROR(U30/假设!U136),0,U30/假设!U136)</f>
        <v>-0.56073000019316643</v>
      </c>
      <c r="V31" s="200">
        <f ca="1">IF(ISERROR(V30/假设!V136),0,V30/假设!V136)</f>
        <v>-0.68230455101805898</v>
      </c>
      <c r="W31" s="200">
        <f ca="1">IF(ISERROR(W30/假设!W136),0,W30/假设!W136)</f>
        <v>-0.82270052116244285</v>
      </c>
      <c r="X31" s="200">
        <f ca="1">IF(ISERROR(X30/假设!X136),0,X30/假设!X136)</f>
        <v>-0.98159222597359463</v>
      </c>
      <c r="Y31" s="200">
        <f ca="1">IF(ISERROR(Y30/假设!Y136),0,Y30/假设!Y136)</f>
        <v>-1.1634703656464347</v>
      </c>
      <c r="Z31" s="200">
        <f ca="1">IF(ISERROR(Z30/假设!Z136),0,Z30/假设!Z136)</f>
        <v>-1.372979333469142</v>
      </c>
      <c r="AA31" s="200">
        <f ca="1">IF(ISERROR(AA30/假设!AA136),0,AA30/假设!AA136)</f>
        <v>-1.6133816321415693</v>
      </c>
      <c r="AB31" s="200">
        <f ca="1">IF(ISERROR(AB30/假设!AB136),0,AB30/假设!AB136)</f>
        <v>-1.8870632526147033</v>
      </c>
      <c r="AC31" s="200">
        <f ca="1">IF(ISERROR(AC30/假设!AC136),0,AC30/假设!AC136)</f>
        <v>-2.1985967904039123</v>
      </c>
      <c r="AD31" s="200">
        <f ca="1">IF(ISERROR(AD30/假设!AD136),0,AD30/假设!AD136)</f>
        <v>-2.5538883432048411</v>
      </c>
      <c r="AE31" s="200">
        <f ca="1">IF(ISERROR(AE30/假设!AE136),0,AE30/假设!AE136)</f>
        <v>-2.9589139773460365</v>
      </c>
      <c r="AF31" s="200">
        <f ca="1">IF(ISERROR(AF30/假设!AF136),0,AF30/假设!AF136)</f>
        <v>-3.419904116920315</v>
      </c>
      <c r="AG31" s="200">
        <f ca="1">IF(ISERROR(AG30/假设!AG136),0,AG30/假设!AG136)</f>
        <v>-3.9440017514314425</v>
      </c>
      <c r="AH31" s="200">
        <f ca="1">IF(ISERROR(AH30/假设!AH136),0,AH30/假设!AH136)</f>
        <v>-4.5397793319470372</v>
      </c>
      <c r="AI31" s="200">
        <f ca="1">IF(ISERROR(AI30/假设!AI136),0,AI30/假设!AI136)</f>
        <v>-5.2170007175853446</v>
      </c>
      <c r="AJ31" s="200">
        <f ca="1">IF(ISERROR(AJ30/假设!AJ136),0,AJ30/假设!AJ136)</f>
        <v>-5.98643227643658</v>
      </c>
      <c r="AK31" s="200">
        <f ca="1">IF(ISERROR(AK30/假设!AK136),0,AK30/假设!AK136)</f>
        <v>-6.8600516039390449</v>
      </c>
      <c r="AL31" s="200">
        <f ca="1">IF(ISERROR(AL30/假设!AL136),0,AL30/假设!AL136)</f>
        <v>-7.851639849233929</v>
      </c>
      <c r="AM31" s="444"/>
    </row>
    <row r="32" spans="1:99" ht="18.75" customHeight="1">
      <c r="A32" s="455" t="s">
        <v>725</v>
      </c>
      <c r="B32" s="107"/>
      <c r="C32" s="200">
        <f>年度数据!C31</f>
        <v>0.48</v>
      </c>
      <c r="D32" s="200">
        <f>年度数据!D31</f>
        <v>0.31</v>
      </c>
      <c r="E32" s="200">
        <f>年度数据!E31</f>
        <v>0.6</v>
      </c>
      <c r="F32" s="200">
        <f>年度数据!F31</f>
        <v>0.82</v>
      </c>
      <c r="G32" s="200">
        <f>年度数据!G31</f>
        <v>0.59599999999999997</v>
      </c>
      <c r="H32" s="200">
        <f>年度数据!H31</f>
        <v>0.15</v>
      </c>
      <c r="I32" s="200"/>
      <c r="J32" s="200"/>
      <c r="K32" s="200"/>
      <c r="L32" s="200"/>
      <c r="M32" s="200"/>
      <c r="N32" s="200"/>
      <c r="O32" s="367"/>
      <c r="P32" s="367"/>
      <c r="Q32" s="367"/>
      <c r="R32" s="367"/>
      <c r="S32" s="367"/>
      <c r="T32" s="367"/>
      <c r="U32" s="367"/>
      <c r="V32" s="367"/>
      <c r="W32" s="367"/>
      <c r="X32" s="367"/>
      <c r="Y32" s="367"/>
      <c r="Z32" s="367"/>
      <c r="AA32" s="367"/>
      <c r="AB32" s="367"/>
      <c r="AC32" s="367"/>
      <c r="AD32" s="367"/>
      <c r="AE32" s="367"/>
      <c r="AF32" s="367"/>
      <c r="AG32" s="367"/>
      <c r="AH32" s="367"/>
      <c r="AI32" s="367"/>
      <c r="AJ32" s="367"/>
      <c r="AK32" s="367"/>
      <c r="AL32" s="367"/>
      <c r="AM32" s="444"/>
    </row>
    <row r="33" spans="1:39" ht="18.75" customHeight="1">
      <c r="A33" s="107" t="s">
        <v>726</v>
      </c>
      <c r="B33" s="107"/>
      <c r="C33" s="200">
        <f>年度数据!C33*年度数据!C118</f>
        <v>22.900000000000002</v>
      </c>
      <c r="D33" s="200">
        <f>年度数据!D33*年度数据!D118</f>
        <v>30.533330000000003</v>
      </c>
      <c r="E33" s="200">
        <f>年度数据!E33*年度数据!E118</f>
        <v>0</v>
      </c>
      <c r="F33" s="200">
        <f>年度数据!F33*年度数据!F118</f>
        <v>91.765740000000008</v>
      </c>
      <c r="G33" s="200">
        <f>年度数据!G33*年度数据!G118</f>
        <v>0</v>
      </c>
      <c r="H33" s="200">
        <f>年度数据!H33*年度数据!H118</f>
        <v>59.043931350000008</v>
      </c>
      <c r="I33" s="200">
        <f>假设!I22*假设!I136</f>
        <v>59.043931350000008</v>
      </c>
      <c r="J33" s="200">
        <f>假设!J22*假设!J136</f>
        <v>73.804914187500003</v>
      </c>
      <c r="K33" s="200">
        <f>假设!K22*假设!K136</f>
        <v>47.973194221875005</v>
      </c>
      <c r="L33" s="200">
        <f>假设!L22*假设!L136</f>
        <v>59.966492777343753</v>
      </c>
      <c r="M33" s="200">
        <f>假设!M22*假设!M136</f>
        <v>60.197133134179694</v>
      </c>
      <c r="N33" s="200">
        <f>假设!N22*假设!N136</f>
        <v>60.485433580224615</v>
      </c>
      <c r="O33" s="200">
        <f>假设!O22*假设!O136</f>
        <v>57.155563428405763</v>
      </c>
      <c r="P33" s="200">
        <f>假设!P22*假设!P136</f>
        <v>59.451155730038458</v>
      </c>
      <c r="Q33" s="200">
        <f>假设!Q22*假设!Q136</f>
        <v>59.322321468212131</v>
      </c>
      <c r="R33" s="200">
        <f>假设!R22*假设!R136</f>
        <v>59.103618551720245</v>
      </c>
      <c r="S33" s="200">
        <f>假设!S22*假设!S136</f>
        <v>58.758164794594151</v>
      </c>
      <c r="T33" s="200">
        <f>假设!T22*假设!T136</f>
        <v>59.158815136141243</v>
      </c>
      <c r="U33" s="200">
        <f>假设!U22*假设!U136</f>
        <v>59.085729987666944</v>
      </c>
      <c r="V33" s="200">
        <f>假设!V22*假设!V136</f>
        <v>59.026582117530644</v>
      </c>
      <c r="W33" s="200">
        <f>假设!W22*假设!W136</f>
        <v>59.007323008983249</v>
      </c>
      <c r="X33" s="200">
        <f>假设!X22*假设!X136</f>
        <v>59.069612562580524</v>
      </c>
      <c r="Y33" s="200">
        <f>假设!Y22*假设!Y136</f>
        <v>59.047311919190335</v>
      </c>
      <c r="Z33" s="200">
        <f>假设!Z22*假设!Z136</f>
        <v>59.037707402071185</v>
      </c>
      <c r="AA33" s="200">
        <f>假设!AA22*假设!AA136</f>
        <v>59.040488723206323</v>
      </c>
      <c r="AB33" s="200">
        <f>假设!AB22*假设!AB136</f>
        <v>59.048780151762095</v>
      </c>
      <c r="AC33" s="200">
        <f>假设!AC22*假设!AC136</f>
        <v>59.043572049057488</v>
      </c>
      <c r="AD33" s="200">
        <f>假设!AD22*假设!AD136</f>
        <v>59.042637081524269</v>
      </c>
      <c r="AE33" s="200">
        <f>假设!AE22*假设!AE136</f>
        <v>59.04386950138754</v>
      </c>
      <c r="AF33" s="200">
        <f>假设!AF22*假设!AF136</f>
        <v>59.044714695932846</v>
      </c>
      <c r="AG33" s="200">
        <f>假设!AG22*假设!AG136</f>
        <v>59.043698331975541</v>
      </c>
      <c r="AH33" s="200">
        <f>假设!AH22*假设!AH136</f>
        <v>59.043729902705053</v>
      </c>
      <c r="AI33" s="200">
        <f>假设!AI22*假设!AI136</f>
        <v>59.04400310800024</v>
      </c>
      <c r="AJ33" s="200">
        <f>假设!AJ22*假设!AJ136</f>
        <v>59.044036509653417</v>
      </c>
      <c r="AK33" s="200">
        <f>假设!AK22*假设!AK136</f>
        <v>59.043866963083559</v>
      </c>
      <c r="AL33" s="200">
        <f>假设!AL22*假设!AL136</f>
        <v>59.043909120860562</v>
      </c>
      <c r="AM33" s="444"/>
    </row>
    <row r="34" spans="1:39" ht="18.75" customHeight="1">
      <c r="A34" s="107" t="s">
        <v>727</v>
      </c>
      <c r="B34" s="107" t="s">
        <v>728</v>
      </c>
      <c r="C34" s="200">
        <f>C26*(1-假设!D19)</f>
        <v>216.47428494120581</v>
      </c>
      <c r="D34" s="200">
        <f>D26*(1-假设!D19)</f>
        <v>184.05613996580934</v>
      </c>
      <c r="E34" s="200">
        <f>E26*(1-假设!E19)</f>
        <v>365.70871729796892</v>
      </c>
      <c r="F34" s="200">
        <f>F26*(1-假设!F19)</f>
        <v>900.01297795832352</v>
      </c>
      <c r="G34" s="200">
        <f>G26*(1-假设!G19)</f>
        <v>694.70567711101285</v>
      </c>
      <c r="H34" s="200">
        <f>H26*(1-假设!H19)</f>
        <v>219.75035359091345</v>
      </c>
      <c r="I34" s="200">
        <f ca="1">I26*(1-假设!I19)</f>
        <v>-123.1726077978868</v>
      </c>
      <c r="J34" s="200">
        <f ca="1">J26*(1-假设!J19)</f>
        <v>408.55781360940864</v>
      </c>
      <c r="K34" s="200">
        <f ca="1">K26*(1-假设!K19)</f>
        <v>441.88446481901741</v>
      </c>
      <c r="L34" s="200">
        <f ca="1">L26*(1-假设!L19)</f>
        <v>413.16845725434177</v>
      </c>
      <c r="M34" s="200">
        <f ca="1">M26*(1-假设!M19)</f>
        <v>402.90391941718457</v>
      </c>
      <c r="N34" s="200">
        <f ca="1">N26*(1-假设!N19)</f>
        <v>446.74213203119541</v>
      </c>
      <c r="O34" s="200">
        <f ca="1">O26*(1-假设!O19)</f>
        <v>539.40073060656619</v>
      </c>
      <c r="P34" s="200">
        <f ca="1">P26*(1-假设!P19)</f>
        <v>605.43431382853396</v>
      </c>
      <c r="Q34" s="200">
        <f ca="1">Q26*(1-假设!Q19)</f>
        <v>662.70086222806663</v>
      </c>
      <c r="R34" s="200">
        <f ca="1">R26*(1-假设!R19)</f>
        <v>731.05169725523763</v>
      </c>
      <c r="S34" s="200">
        <f ca="1">S26*(1-假设!S19)</f>
        <v>818.49842773233752</v>
      </c>
      <c r="T34" s="200">
        <f ca="1">T26*(1-假设!T19)</f>
        <v>924.1446618421719</v>
      </c>
      <c r="U34" s="200">
        <f ca="1">U26*(1-假设!U19)</f>
        <v>1037.548444865226</v>
      </c>
      <c r="V34" s="200">
        <f ca="1">V26*(1-假设!V19)</f>
        <v>1159.4690513512614</v>
      </c>
      <c r="W34" s="200">
        <f ca="1">W26*(1-假设!W19)</f>
        <v>1299.2167815565444</v>
      </c>
      <c r="X34" s="200">
        <f ca="1">X26*(1-假设!X19)</f>
        <v>1460.7176480749201</v>
      </c>
      <c r="Y34" s="200">
        <f ca="1">Y26*(1-假设!Y19)</f>
        <v>1644.1208205151431</v>
      </c>
      <c r="Z34" s="200">
        <f ca="1">Z26*(1-假设!Z19)</f>
        <v>1848.9304915158223</v>
      </c>
      <c r="AA34" s="200">
        <f ca="1">AA26*(1-假设!AA19)</f>
        <v>2078.9780912108799</v>
      </c>
      <c r="AB34" s="200">
        <f ca="1">AB26*(1-假设!AB19)</f>
        <v>2340.1642689573409</v>
      </c>
      <c r="AC34" s="200">
        <f ca="1">AC26*(1-假设!AC19)</f>
        <v>2636.2515022050547</v>
      </c>
      <c r="AD34" s="200">
        <f ca="1">AD26*(1-假设!AD19)</f>
        <v>2970.5294629664777</v>
      </c>
      <c r="AE34" s="200">
        <f ca="1">AE26*(1-假设!AE19)</f>
        <v>3347.4092409440505</v>
      </c>
      <c r="AF34" s="200">
        <f ca="1">AF26*(1-假设!AF19)</f>
        <v>3773.1551660143359</v>
      </c>
      <c r="AG34" s="200">
        <f ca="1">AG26*(1-假设!AG19)</f>
        <v>4254.6915509253795</v>
      </c>
      <c r="AH34" s="200">
        <f ca="1">AH26*(1-假设!AH19)</f>
        <v>4798.9063419121303</v>
      </c>
      <c r="AI34" s="200">
        <f ca="1">AI26*(1-假设!AI19)</f>
        <v>5413.5707554181909</v>
      </c>
      <c r="AJ34" s="200">
        <f ca="1">AJ26*(1-假设!AJ19)</f>
        <v>6107.8625463249155</v>
      </c>
      <c r="AK34" s="200">
        <f ca="1">AK26*(1-假设!AK19)</f>
        <v>6892.3936480007851</v>
      </c>
      <c r="AL34" s="200">
        <f ca="1">AL26*(1-假设!AL19)</f>
        <v>7778.9428144277026</v>
      </c>
      <c r="AM34" s="444"/>
    </row>
    <row r="35" spans="1:39" ht="15" customHeight="1">
      <c r="A35" s="532" t="s">
        <v>363</v>
      </c>
      <c r="B35" s="531" t="s">
        <v>1297</v>
      </c>
      <c r="C35" s="200">
        <f>C30/目录!$F8</f>
        <v>0.18489972359431409</v>
      </c>
      <c r="D35" s="200">
        <f>D30/目录!$F8</f>
        <v>0.15736801313513338</v>
      </c>
      <c r="E35" s="200">
        <f>E30/目录!$F8</f>
        <v>0.30864323058616278</v>
      </c>
      <c r="F35" s="200">
        <f>F30/目录!$F8</f>
        <v>0.75625948970420731</v>
      </c>
      <c r="G35" s="200">
        <f>G30/目录!$F8</f>
        <v>0.57133000551370439</v>
      </c>
      <c r="H35" s="200">
        <f>H30/目录!$F8</f>
        <v>0.15135222110744503</v>
      </c>
      <c r="I35" s="200">
        <f ca="1">I30/目录!$F8</f>
        <v>-0.16929756262177367</v>
      </c>
      <c r="J35" s="200">
        <f ca="1">J30/目录!$F8</f>
        <v>0.14251548064951464</v>
      </c>
      <c r="K35" s="200">
        <f ca="1">K30/目录!$F8</f>
        <v>9.724439859633939E-2</v>
      </c>
      <c r="L35" s="200">
        <f ca="1">L30/目录!$F8</f>
        <v>1.9803188936870046E-2</v>
      </c>
      <c r="M35" s="200">
        <f ca="1">M30/目录!$F8</f>
        <v>-5.7857747510096216E-2</v>
      </c>
      <c r="N35" s="200">
        <f ca="1">N30/目录!$F8</f>
        <v>-9.9009448051308763E-2</v>
      </c>
      <c r="O35" s="200">
        <f ca="1">O30/目录!$F8</f>
        <v>-0.11269863945070818</v>
      </c>
      <c r="P35" s="200">
        <f ca="1">P30/目录!$F8</f>
        <v>-0.1633629484857991</v>
      </c>
      <c r="Q35" s="200">
        <f ca="1">Q30/目录!$F8</f>
        <v>-0.23026830450626418</v>
      </c>
      <c r="R35" s="200">
        <f ca="1">R30/目录!$F8</f>
        <v>-0.30218218841727068</v>
      </c>
      <c r="S35" s="200">
        <f ca="1">S30/目录!$F8</f>
        <v>-0.37851874395914892</v>
      </c>
      <c r="T35" s="200">
        <f ca="1">T30/目录!$F8</f>
        <v>-0.46226284393134748</v>
      </c>
      <c r="U35" s="200">
        <f ca="1">U30/目录!$F8</f>
        <v>-0.56244086491439571</v>
      </c>
      <c r="V35" s="200">
        <f ca="1">V30/目录!$F8</f>
        <v>-0.68438635649497093</v>
      </c>
      <c r="W35" s="200">
        <f ca="1">W30/目录!$F8</f>
        <v>-0.825210694146426</v>
      </c>
      <c r="X35" s="200">
        <f ca="1">X30/目录!$F8</f>
        <v>-0.98458719950715368</v>
      </c>
      <c r="Y35" s="200">
        <f ca="1">Y30/目录!$F8</f>
        <v>-1.1670202745189662</v>
      </c>
      <c r="Z35" s="200">
        <f ca="1">Z30/目录!$F8</f>
        <v>-1.3771684831558006</v>
      </c>
      <c r="AA35" s="200">
        <f ca="1">AA30/目录!$F8</f>
        <v>-1.6183042824641121</v>
      </c>
      <c r="AB35" s="200">
        <f ca="1">AB30/目录!$F8</f>
        <v>-1.8928209433830134</v>
      </c>
      <c r="AC35" s="200">
        <f ca="1">AC30/目录!$F8</f>
        <v>-2.2053050130487044</v>
      </c>
      <c r="AD35" s="200">
        <f ca="1">AD30/目录!$F8</f>
        <v>-2.5616806094770981</v>
      </c>
      <c r="AE35" s="200">
        <f ca="1">AE30/目录!$F8</f>
        <v>-2.9679420328009782</v>
      </c>
      <c r="AF35" s="200">
        <f ca="1">AF30/目录!$F8</f>
        <v>-3.4303387169980888</v>
      </c>
      <c r="AG35" s="200">
        <f ca="1">AG30/目录!$F8</f>
        <v>-3.9560354458203038</v>
      </c>
      <c r="AH35" s="200">
        <f ca="1">AH30/目录!$F8</f>
        <v>-4.5536308260681269</v>
      </c>
      <c r="AI35" s="200">
        <f ca="1">AI30/目录!$F8</f>
        <v>-5.2329185077432987</v>
      </c>
      <c r="AJ35" s="200">
        <f ca="1">AJ30/目录!$F8</f>
        <v>-6.0046977086129489</v>
      </c>
      <c r="AK35" s="200">
        <f ca="1">AK30/目录!$F8</f>
        <v>-6.8809825694143152</v>
      </c>
      <c r="AL35" s="200">
        <f ca="1">AL30/目录!$F8</f>
        <v>-7.8755962874791177</v>
      </c>
      <c r="AM35" s="200"/>
    </row>
    <row r="36" spans="1:39">
      <c r="A36" s="962"/>
      <c r="B36" s="107"/>
      <c r="C36" s="448"/>
      <c r="D36" s="155"/>
      <c r="E36" s="386"/>
      <c r="F36" s="386"/>
      <c r="G36" s="386"/>
      <c r="H36" s="386"/>
      <c r="I36" s="200"/>
      <c r="J36" s="200"/>
      <c r="K36" s="200"/>
      <c r="L36" s="200"/>
      <c r="M36" s="200"/>
      <c r="N36" s="200"/>
      <c r="O36" s="367"/>
      <c r="P36" s="367"/>
      <c r="Q36" s="367"/>
      <c r="R36" s="367"/>
      <c r="S36" s="367"/>
      <c r="T36" s="367"/>
      <c r="U36" s="367"/>
      <c r="V36" s="367"/>
      <c r="W36" s="367"/>
      <c r="X36" s="367"/>
      <c r="Y36" s="367"/>
      <c r="Z36" s="367"/>
      <c r="AA36" s="367"/>
      <c r="AB36" s="367"/>
      <c r="AC36" s="367"/>
      <c r="AD36" s="367"/>
      <c r="AE36" s="367"/>
      <c r="AF36" s="367"/>
      <c r="AG36" s="367"/>
      <c r="AH36" s="367"/>
      <c r="AI36" s="367"/>
      <c r="AJ36" s="367"/>
      <c r="AK36" s="367"/>
      <c r="AL36" s="367"/>
      <c r="AM36" s="444"/>
    </row>
    <row r="37" spans="1:39">
      <c r="A37" s="107"/>
      <c r="B37" s="107"/>
      <c r="C37" s="155"/>
      <c r="D37" s="155"/>
      <c r="E37" s="155"/>
      <c r="F37" s="155"/>
      <c r="G37" s="155"/>
      <c r="H37" s="155"/>
      <c r="I37" s="155"/>
      <c r="J37" s="155"/>
      <c r="K37" s="155"/>
      <c r="L37" s="155"/>
      <c r="M37" s="155"/>
      <c r="N37" s="200"/>
      <c r="O37" s="367"/>
      <c r="P37" s="367"/>
      <c r="Q37" s="367"/>
      <c r="R37" s="367"/>
      <c r="S37" s="367"/>
      <c r="T37" s="367"/>
      <c r="U37" s="367"/>
      <c r="V37" s="367"/>
      <c r="W37" s="367"/>
      <c r="X37" s="367"/>
      <c r="Y37" s="367"/>
      <c r="Z37" s="367"/>
      <c r="AA37" s="367"/>
      <c r="AB37" s="367"/>
      <c r="AC37" s="367"/>
      <c r="AD37" s="367"/>
      <c r="AE37" s="367"/>
      <c r="AF37" s="367"/>
      <c r="AG37" s="367"/>
      <c r="AH37" s="367"/>
      <c r="AI37" s="367"/>
      <c r="AJ37" s="367"/>
      <c r="AK37" s="367"/>
      <c r="AL37" s="367"/>
      <c r="AM37" s="444"/>
    </row>
    <row r="38" spans="1:39">
      <c r="A38" s="963"/>
      <c r="B38" s="531"/>
      <c r="C38" s="200"/>
      <c r="D38" s="200"/>
      <c r="E38" s="200"/>
      <c r="F38" s="200"/>
      <c r="G38" s="200"/>
      <c r="H38" s="200"/>
      <c r="I38" s="200"/>
      <c r="J38" s="200"/>
      <c r="K38" s="200"/>
      <c r="L38" s="200"/>
      <c r="M38" s="200"/>
      <c r="N38" s="200"/>
      <c r="O38" s="367"/>
      <c r="P38" s="367"/>
      <c r="Q38" s="367"/>
      <c r="R38" s="367"/>
      <c r="S38" s="367"/>
      <c r="T38" s="367"/>
      <c r="U38" s="367"/>
      <c r="V38" s="367"/>
      <c r="W38" s="367"/>
      <c r="X38" s="367"/>
      <c r="Y38" s="367"/>
      <c r="Z38" s="367"/>
      <c r="AA38" s="367"/>
      <c r="AB38" s="367"/>
      <c r="AC38" s="367"/>
      <c r="AD38" s="367"/>
      <c r="AE38" s="367"/>
      <c r="AF38" s="367"/>
      <c r="AG38" s="367"/>
      <c r="AH38" s="367"/>
      <c r="AI38" s="367"/>
      <c r="AJ38" s="367"/>
      <c r="AK38" s="367"/>
      <c r="AL38" s="367"/>
      <c r="AM38" s="444"/>
    </row>
    <row r="39" spans="1:39">
      <c r="A39" s="107"/>
      <c r="B39" s="107"/>
      <c r="C39" s="155"/>
      <c r="D39" s="155"/>
      <c r="E39" s="155"/>
      <c r="F39" s="155"/>
      <c r="G39" s="155"/>
      <c r="H39" s="155"/>
      <c r="I39" s="200"/>
      <c r="J39" s="200"/>
      <c r="K39" s="200"/>
      <c r="L39" s="200"/>
      <c r="M39" s="200"/>
      <c r="N39" s="200"/>
      <c r="O39" s="367"/>
      <c r="P39" s="367"/>
      <c r="Q39" s="367"/>
      <c r="R39" s="367"/>
      <c r="S39" s="367"/>
      <c r="T39" s="367"/>
      <c r="U39" s="367"/>
      <c r="V39" s="367"/>
      <c r="W39" s="367"/>
      <c r="X39" s="367"/>
      <c r="Y39" s="367"/>
      <c r="Z39" s="367"/>
      <c r="AA39" s="367"/>
      <c r="AB39" s="367"/>
      <c r="AC39" s="367"/>
      <c r="AD39" s="367"/>
      <c r="AE39" s="367"/>
      <c r="AF39" s="367"/>
      <c r="AG39" s="367"/>
      <c r="AH39" s="367"/>
      <c r="AI39" s="367"/>
      <c r="AJ39" s="367"/>
      <c r="AK39" s="367"/>
      <c r="AL39" s="367"/>
      <c r="AM39" s="444"/>
    </row>
    <row r="40" spans="1:39">
      <c r="A40" s="963"/>
      <c r="B40" s="531"/>
      <c r="D40" s="964"/>
    </row>
    <row r="41" spans="1:39">
      <c r="A41" s="107"/>
      <c r="B41" s="107"/>
      <c r="D41" s="127"/>
      <c r="E41" s="127"/>
      <c r="F41" s="127"/>
      <c r="G41" s="127"/>
      <c r="H41" s="127"/>
    </row>
  </sheetData>
  <phoneticPr fontId="7" type="noConversion"/>
  <pageMargins left="0.94488188976377963" right="0.35433070866141736" top="0.98425196850393704" bottom="0.78740157480314965" header="0.51181102362204722" footer="0.51181102362204722"/>
  <pageSetup paperSize="9" scale="60" orientation="portrait" r:id="rId1"/>
  <headerFooter alignWithMargins="0"/>
  <ignoredErrors>
    <ignoredError sqref="C1:AL1 C8:H8 C28 K8:AM8 D34:AM34 I32:AM32 I27 J27:AM28 AM26 AM29:AM31 I16:AM17 I20:AM23 C6:F6 H6:AL6 AM11:AM12 C3:AL5 C2:H2 J2:AL2 AM19 I14:AM14" evalError="1"/>
  </ignoredErrors>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dimension ref="A1:BG64"/>
  <sheetViews>
    <sheetView showGridLines="0" workbookViewId="0">
      <pane xSplit="8" ySplit="1" topLeftCell="I2" activePane="bottomRight" state="frozen"/>
      <selection activeCell="AP58" sqref="AP58"/>
      <selection pane="topRight" activeCell="AP58" sqref="AP58"/>
      <selection pane="bottomLeft" activeCell="AP58" sqref="AP58"/>
      <selection pane="bottomRight" activeCell="B37" sqref="B37"/>
    </sheetView>
  </sheetViews>
  <sheetFormatPr defaultColWidth="9.375" defaultRowHeight="18" customHeight="1"/>
  <cols>
    <col min="1" max="1" width="43.125" style="8" customWidth="1"/>
    <col min="2" max="2" width="30" style="12" customWidth="1"/>
    <col min="3" max="3" width="18.125" style="7" hidden="1" customWidth="1"/>
    <col min="4" max="4" width="19.375" style="7" hidden="1" customWidth="1"/>
    <col min="5" max="5" width="23" style="7" hidden="1" customWidth="1"/>
    <col min="6" max="6" width="20.875" style="7" hidden="1" customWidth="1"/>
    <col min="7" max="7" width="19" style="7" hidden="1" customWidth="1"/>
    <col min="8" max="8" width="19.5" style="7" hidden="1" customWidth="1"/>
    <col min="9" max="9" width="0.625" style="7" hidden="1" customWidth="1"/>
    <col min="10" max="12" width="15.875" style="16" customWidth="1"/>
    <col min="13" max="15" width="15.875" style="16" hidden="1" customWidth="1"/>
    <col min="16" max="39" width="15.875" style="1" hidden="1" customWidth="1"/>
    <col min="40" max="40" width="12.875" style="1" customWidth="1"/>
    <col min="41" max="16384" width="9.375" style="1"/>
  </cols>
  <sheetData>
    <row r="1" spans="1:59" ht="18" customHeight="1">
      <c r="A1" s="322" t="s">
        <v>226</v>
      </c>
      <c r="B1" s="323" t="s">
        <v>1062</v>
      </c>
      <c r="C1" s="241"/>
      <c r="D1" s="241"/>
      <c r="E1" s="241"/>
      <c r="F1" s="241"/>
      <c r="G1" s="241"/>
      <c r="H1" s="241"/>
      <c r="I1" s="241"/>
      <c r="J1" s="230">
        <v>1</v>
      </c>
      <c r="K1" s="230">
        <v>2</v>
      </c>
      <c r="L1" s="230">
        <v>3</v>
      </c>
      <c r="M1" s="230">
        <v>4</v>
      </c>
      <c r="N1" s="230">
        <v>5</v>
      </c>
      <c r="O1" s="230">
        <v>6</v>
      </c>
      <c r="P1" s="230">
        <v>7</v>
      </c>
      <c r="Q1" s="230">
        <v>8</v>
      </c>
      <c r="R1" s="230">
        <v>9</v>
      </c>
      <c r="S1" s="230">
        <v>10</v>
      </c>
      <c r="T1" s="230">
        <v>11</v>
      </c>
      <c r="U1" s="230">
        <v>12</v>
      </c>
      <c r="V1" s="230">
        <v>13</v>
      </c>
      <c r="W1" s="230">
        <v>14</v>
      </c>
      <c r="X1" s="230">
        <v>15</v>
      </c>
      <c r="Y1" s="230">
        <v>16</v>
      </c>
      <c r="Z1" s="230">
        <v>17</v>
      </c>
      <c r="AA1" s="230">
        <v>18</v>
      </c>
      <c r="AB1" s="230">
        <v>19</v>
      </c>
      <c r="AC1" s="230">
        <v>20</v>
      </c>
      <c r="AD1" s="230">
        <v>21</v>
      </c>
      <c r="AE1" s="230">
        <v>22</v>
      </c>
      <c r="AF1" s="230">
        <v>23</v>
      </c>
      <c r="AG1" s="230">
        <v>24</v>
      </c>
      <c r="AH1" s="230">
        <v>25</v>
      </c>
      <c r="AI1" s="230">
        <v>26</v>
      </c>
      <c r="AJ1" s="230">
        <v>27</v>
      </c>
      <c r="AK1" s="230">
        <v>28</v>
      </c>
      <c r="AL1" s="230">
        <v>29</v>
      </c>
      <c r="AM1" s="230">
        <v>30</v>
      </c>
    </row>
    <row r="2" spans="1:59" ht="18" customHeight="1">
      <c r="A2" s="316" t="s">
        <v>227</v>
      </c>
      <c r="B2" s="317">
        <f>IF(ISNUMBER(假设!I104),假设!I104,2)</f>
        <v>5</v>
      </c>
      <c r="C2" s="129"/>
      <c r="D2" s="129"/>
      <c r="E2" s="129"/>
      <c r="F2" s="129"/>
      <c r="G2" s="129"/>
      <c r="H2" s="129"/>
      <c r="I2" s="129"/>
      <c r="J2" s="120" t="str">
        <f>假设!I2</f>
        <v>2023E</v>
      </c>
      <c r="K2" s="120" t="str">
        <f>假设!J2</f>
        <v>2024E</v>
      </c>
      <c r="L2" s="120" t="str">
        <f>假设!K2</f>
        <v>2025E</v>
      </c>
      <c r="M2" s="120" t="str">
        <f>假设!L2</f>
        <v>2026E</v>
      </c>
      <c r="N2" s="120" t="str">
        <f>假设!M2</f>
        <v>2027E</v>
      </c>
      <c r="O2" s="120" t="str">
        <f>假设!N2</f>
        <v>2028E</v>
      </c>
      <c r="P2" s="120" t="str">
        <f>假设!O2</f>
        <v>2029E</v>
      </c>
      <c r="Q2" s="120" t="str">
        <f>假设!P2</f>
        <v>2030E</v>
      </c>
      <c r="R2" s="120" t="str">
        <f>假设!Q2</f>
        <v>2031E</v>
      </c>
      <c r="S2" s="120" t="str">
        <f>假设!R2</f>
        <v>2032E</v>
      </c>
      <c r="T2" s="120" t="str">
        <f>假设!S2</f>
        <v>2033E</v>
      </c>
      <c r="U2" s="120" t="str">
        <f>假设!T2</f>
        <v>2034E</v>
      </c>
      <c r="V2" s="120" t="str">
        <f>假设!U2</f>
        <v>2035E</v>
      </c>
      <c r="W2" s="120" t="str">
        <f>假设!V2</f>
        <v>2036E</v>
      </c>
      <c r="X2" s="120" t="str">
        <f>假设!W2</f>
        <v>2037E</v>
      </c>
      <c r="Y2" s="120" t="str">
        <f>假设!X2</f>
        <v>2038E</v>
      </c>
      <c r="Z2" s="120" t="str">
        <f>假设!Y2</f>
        <v>2039E</v>
      </c>
      <c r="AA2" s="120" t="str">
        <f>假设!Z2</f>
        <v>2040E</v>
      </c>
      <c r="AB2" s="120" t="str">
        <f>假设!AA2</f>
        <v>2041E</v>
      </c>
      <c r="AC2" s="120" t="str">
        <f>假设!AB2</f>
        <v>2042E</v>
      </c>
      <c r="AD2" s="120" t="str">
        <f>假设!AC2</f>
        <v>2043E</v>
      </c>
      <c r="AE2" s="120" t="str">
        <f>假设!AD2</f>
        <v>2044E</v>
      </c>
      <c r="AF2" s="120" t="str">
        <f>假设!AE2</f>
        <v>2045E</v>
      </c>
      <c r="AG2" s="120" t="str">
        <f>假设!AF2</f>
        <v>2046E</v>
      </c>
      <c r="AH2" s="120" t="str">
        <f>假设!AG2</f>
        <v>2047E</v>
      </c>
      <c r="AI2" s="120" t="str">
        <f>假设!AH2</f>
        <v>2048E</v>
      </c>
      <c r="AJ2" s="120" t="str">
        <f>假设!AI2</f>
        <v>2049E</v>
      </c>
      <c r="AK2" s="120" t="str">
        <f>假设!AJ2</f>
        <v>2050E</v>
      </c>
      <c r="AL2" s="120" t="str">
        <f>假设!AK2</f>
        <v>2051E</v>
      </c>
      <c r="AM2" s="120" t="str">
        <f>假设!AL2</f>
        <v>2052E</v>
      </c>
      <c r="AN2" s="123"/>
      <c r="AO2" s="123"/>
      <c r="AP2" s="123"/>
      <c r="AQ2" s="123"/>
      <c r="AR2" s="123"/>
    </row>
    <row r="3" spans="1:59" ht="18" customHeight="1">
      <c r="A3" s="318" t="s">
        <v>228</v>
      </c>
      <c r="B3" s="538">
        <f>J37</f>
        <v>708.48547254999994</v>
      </c>
      <c r="C3" s="238"/>
      <c r="D3" s="238"/>
      <c r="E3" s="238"/>
      <c r="F3" s="238"/>
      <c r="G3" s="238"/>
      <c r="H3" s="129"/>
      <c r="I3" s="129"/>
      <c r="J3" s="200">
        <f>IF(B3*(1-J1/B2)&gt;=0,B3/B2,0)</f>
        <v>141.69709451</v>
      </c>
      <c r="K3" s="200">
        <f>IF(B3*(1-K1/B2)&gt;=0,B3/B2,0)</f>
        <v>141.69709451</v>
      </c>
      <c r="L3" s="200">
        <f>IF(B3*(1-L1/B2)&gt;=0,B3/B2,0)</f>
        <v>141.69709451</v>
      </c>
      <c r="M3" s="200">
        <f>IF(B3*(1-M1/B2)&gt;=0,B3/B2,0)</f>
        <v>141.69709451</v>
      </c>
      <c r="N3" s="200">
        <f>IF(B3*(1-N1/B2)&gt;=0,B3/B2,0)</f>
        <v>141.69709451</v>
      </c>
      <c r="O3" s="200">
        <f>IF(B3*(1-O1/B2)&gt;=0,B3/B2,0)</f>
        <v>0</v>
      </c>
      <c r="P3" s="200">
        <f>IF(B3*(1-P1/B2)&gt;=0,B3/B2,0)</f>
        <v>0</v>
      </c>
      <c r="Q3" s="200">
        <f>IF(B3*(1-Q1/B2)&gt;=0,B3/B2,0)</f>
        <v>0</v>
      </c>
      <c r="R3" s="200">
        <f>IF(B3*(1-R1/B2)&gt;=0,B3/B2,0)</f>
        <v>0</v>
      </c>
      <c r="S3" s="200">
        <f>IF(B3*(1-S1/B2)&gt;=0,B3/B2,0)</f>
        <v>0</v>
      </c>
      <c r="T3" s="200">
        <f>IF(B3*(1-T1/B2)&gt;=0,B3/B2,0)</f>
        <v>0</v>
      </c>
      <c r="U3" s="200">
        <f>IF(B3*(1-U1/B2)&gt;=0,B3/B2,0)</f>
        <v>0</v>
      </c>
      <c r="V3" s="200">
        <f>IF(B3*(1-V1/B2)&gt;=0,B3/B2,0)</f>
        <v>0</v>
      </c>
      <c r="W3" s="200">
        <f>IF(B3*(1-W1/B2)&gt;=0,B3/B2,0)</f>
        <v>0</v>
      </c>
      <c r="X3" s="200">
        <f>IF(B3*(1-X1/B2)&gt;=0,B3/B2,0)</f>
        <v>0</v>
      </c>
      <c r="Y3" s="200">
        <f>IF(B3*(1-Y1/B2)&gt;=0,B3/B2,0)</f>
        <v>0</v>
      </c>
      <c r="Z3" s="200">
        <f>IF(B3*(1-Z1/B2)&gt;=0,B3/B2,0)</f>
        <v>0</v>
      </c>
      <c r="AA3" s="200">
        <f>IF(B3*(1-AA1/B2)&gt;=0,B3/B2,0)</f>
        <v>0</v>
      </c>
      <c r="AB3" s="200">
        <f>IF(B3*(1-AB1/B2)&gt;=0,B3/B2,0)</f>
        <v>0</v>
      </c>
      <c r="AC3" s="200">
        <f>IF(B3*(1-AC1/B2)&gt;=0,B3/B2,0)</f>
        <v>0</v>
      </c>
      <c r="AD3" s="200">
        <f>IF(B3*(1-AD1/B2)&gt;=0,B3/B2,0)</f>
        <v>0</v>
      </c>
      <c r="AE3" s="200">
        <f>IF(B3*(1-AE1/B2)&gt;=0,B3/B2,0)</f>
        <v>0</v>
      </c>
      <c r="AF3" s="200">
        <f>IF(B3*(1-AF1/B2)&gt;=0,B3/B2,0)</f>
        <v>0</v>
      </c>
      <c r="AG3" s="200">
        <f>IF(B3*(1-AG1/B2)&gt;=0,B3/B2,0)</f>
        <v>0</v>
      </c>
      <c r="AH3" s="200">
        <f>IF(B3*(1-AH1/B2)&gt;=0,B3/B2,0)</f>
        <v>0</v>
      </c>
      <c r="AI3" s="200">
        <f>IF(B3*(1-AI1/B2)&gt;=0,B3/B2,0)</f>
        <v>0</v>
      </c>
      <c r="AJ3" s="200">
        <f>IF(B3*(1-AJ1/B2)&gt;=0,B3/B2,0)</f>
        <v>0</v>
      </c>
      <c r="AK3" s="200">
        <f>IF(B3*(1-AK1/B2)&gt;=0,B3/B2,0)</f>
        <v>0</v>
      </c>
      <c r="AL3" s="200">
        <f>IF(B3*(1-AL1/B2)&gt;=0,B3/B2,0)</f>
        <v>0</v>
      </c>
      <c r="AM3" s="200">
        <f>IF(B3*(1-AM1/B2)&gt;=0,B3/B2,0)</f>
        <v>0</v>
      </c>
      <c r="AN3" s="367"/>
      <c r="AO3" s="367"/>
      <c r="AP3" s="123"/>
      <c r="AQ3" s="123"/>
      <c r="AR3" s="123"/>
    </row>
    <row r="4" spans="1:59" ht="15" customHeight="1">
      <c r="A4" s="311" t="str">
        <f>CONCATENATE(LEFT(J$2,4),"新增长期借款")</f>
        <v>2023新增长期借款</v>
      </c>
      <c r="B4" s="538">
        <f ca="1">J$38</f>
        <v>1.9014458752770098</v>
      </c>
      <c r="C4" s="129"/>
      <c r="D4" s="129"/>
      <c r="E4" s="129"/>
      <c r="F4" s="129"/>
      <c r="G4" s="129"/>
      <c r="H4" s="238"/>
      <c r="I4" s="296"/>
      <c r="J4" s="200">
        <f ca="1">IF($B4*(1-(J$1-1+0.5)/$B$2)&gt;=0,$B4/$B$2,0)</f>
        <v>0.38028917505540194</v>
      </c>
      <c r="K4" s="200">
        <f t="shared" ref="K4:AM4" ca="1" si="0">IF($B4*(1-(K$1-1+0.5)/$B$2)&gt;=0,$B4/$B$2,0)</f>
        <v>0.38028917505540194</v>
      </c>
      <c r="L4" s="200">
        <f t="shared" ca="1" si="0"/>
        <v>0.38028917505540194</v>
      </c>
      <c r="M4" s="200">
        <f t="shared" ca="1" si="0"/>
        <v>0.38028917505540194</v>
      </c>
      <c r="N4" s="200">
        <f t="shared" ca="1" si="0"/>
        <v>0.38028917505540194</v>
      </c>
      <c r="O4" s="200">
        <f t="shared" ca="1" si="0"/>
        <v>0</v>
      </c>
      <c r="P4" s="200">
        <f t="shared" ca="1" si="0"/>
        <v>0</v>
      </c>
      <c r="Q4" s="200">
        <f t="shared" ca="1" si="0"/>
        <v>0</v>
      </c>
      <c r="R4" s="200">
        <f t="shared" ca="1" si="0"/>
        <v>0</v>
      </c>
      <c r="S4" s="200">
        <f t="shared" ca="1" si="0"/>
        <v>0</v>
      </c>
      <c r="T4" s="200">
        <f t="shared" ca="1" si="0"/>
        <v>0</v>
      </c>
      <c r="U4" s="200">
        <f t="shared" ca="1" si="0"/>
        <v>0</v>
      </c>
      <c r="V4" s="200">
        <f t="shared" ca="1" si="0"/>
        <v>0</v>
      </c>
      <c r="W4" s="200">
        <f t="shared" ca="1" si="0"/>
        <v>0</v>
      </c>
      <c r="X4" s="200">
        <f t="shared" ca="1" si="0"/>
        <v>0</v>
      </c>
      <c r="Y4" s="200">
        <f t="shared" ca="1" si="0"/>
        <v>0</v>
      </c>
      <c r="Z4" s="200">
        <f t="shared" ca="1" si="0"/>
        <v>0</v>
      </c>
      <c r="AA4" s="200">
        <f t="shared" ca="1" si="0"/>
        <v>0</v>
      </c>
      <c r="AB4" s="200">
        <f t="shared" ca="1" si="0"/>
        <v>0</v>
      </c>
      <c r="AC4" s="200">
        <f t="shared" ca="1" si="0"/>
        <v>0</v>
      </c>
      <c r="AD4" s="200">
        <f t="shared" ca="1" si="0"/>
        <v>0</v>
      </c>
      <c r="AE4" s="200">
        <f t="shared" ca="1" si="0"/>
        <v>0</v>
      </c>
      <c r="AF4" s="200">
        <f t="shared" ca="1" si="0"/>
        <v>0</v>
      </c>
      <c r="AG4" s="200">
        <f t="shared" ca="1" si="0"/>
        <v>0</v>
      </c>
      <c r="AH4" s="200">
        <f t="shared" ca="1" si="0"/>
        <v>0</v>
      </c>
      <c r="AI4" s="200">
        <f t="shared" ca="1" si="0"/>
        <v>0</v>
      </c>
      <c r="AJ4" s="200">
        <f t="shared" ca="1" si="0"/>
        <v>0</v>
      </c>
      <c r="AK4" s="200">
        <f t="shared" ca="1" si="0"/>
        <v>0</v>
      </c>
      <c r="AL4" s="200">
        <f t="shared" ca="1" si="0"/>
        <v>0</v>
      </c>
      <c r="AM4" s="200">
        <f t="shared" ca="1" si="0"/>
        <v>0</v>
      </c>
      <c r="AN4" s="367"/>
      <c r="AO4" s="367"/>
      <c r="AP4" s="123"/>
      <c r="AQ4" s="123"/>
      <c r="AR4" s="123"/>
    </row>
    <row r="5" spans="1:59" ht="15" customHeight="1">
      <c r="A5" s="311" t="str">
        <f>CONCATENATE(LEFT(K$2,4),"新增长期借款")</f>
        <v>2024新增长期借款</v>
      </c>
      <c r="B5" s="538">
        <f ca="1">K$38</f>
        <v>82.120761440849975</v>
      </c>
      <c r="C5" s="129"/>
      <c r="D5" s="129"/>
      <c r="E5" s="129"/>
      <c r="F5" s="129"/>
      <c r="G5" s="129"/>
      <c r="H5" s="129"/>
      <c r="I5" s="296"/>
      <c r="J5" s="445"/>
      <c r="K5" s="200">
        <f ca="1">IF($B5*(1-(K$1-2+0.5)/$B$2)&gt;=0,$B5/$B$2,0)</f>
        <v>16.424152288169996</v>
      </c>
      <c r="L5" s="200">
        <f t="shared" ref="L5:AM5" ca="1" si="1">IF($B5*(1-(L$1-2+0.5)/$B$2)&gt;=0,$B5/$B$2,0)</f>
        <v>16.424152288169996</v>
      </c>
      <c r="M5" s="200">
        <f t="shared" ca="1" si="1"/>
        <v>16.424152288169996</v>
      </c>
      <c r="N5" s="200">
        <f t="shared" ca="1" si="1"/>
        <v>16.424152288169996</v>
      </c>
      <c r="O5" s="200">
        <f t="shared" ca="1" si="1"/>
        <v>16.424152288169996</v>
      </c>
      <c r="P5" s="200">
        <f t="shared" ca="1" si="1"/>
        <v>0</v>
      </c>
      <c r="Q5" s="200">
        <f t="shared" ca="1" si="1"/>
        <v>0</v>
      </c>
      <c r="R5" s="200">
        <f t="shared" ca="1" si="1"/>
        <v>0</v>
      </c>
      <c r="S5" s="200">
        <f t="shared" ca="1" si="1"/>
        <v>0</v>
      </c>
      <c r="T5" s="200">
        <f t="shared" ca="1" si="1"/>
        <v>0</v>
      </c>
      <c r="U5" s="200">
        <f t="shared" ca="1" si="1"/>
        <v>0</v>
      </c>
      <c r="V5" s="200">
        <f t="shared" ca="1" si="1"/>
        <v>0</v>
      </c>
      <c r="W5" s="200">
        <f t="shared" ca="1" si="1"/>
        <v>0</v>
      </c>
      <c r="X5" s="200">
        <f t="shared" ca="1" si="1"/>
        <v>0</v>
      </c>
      <c r="Y5" s="200">
        <f t="shared" ca="1" si="1"/>
        <v>0</v>
      </c>
      <c r="Z5" s="200">
        <f t="shared" ca="1" si="1"/>
        <v>0</v>
      </c>
      <c r="AA5" s="200">
        <f t="shared" ca="1" si="1"/>
        <v>0</v>
      </c>
      <c r="AB5" s="200">
        <f t="shared" ca="1" si="1"/>
        <v>0</v>
      </c>
      <c r="AC5" s="200">
        <f t="shared" ca="1" si="1"/>
        <v>0</v>
      </c>
      <c r="AD5" s="200">
        <f t="shared" ca="1" si="1"/>
        <v>0</v>
      </c>
      <c r="AE5" s="200">
        <f t="shared" ca="1" si="1"/>
        <v>0</v>
      </c>
      <c r="AF5" s="200">
        <f t="shared" ca="1" si="1"/>
        <v>0</v>
      </c>
      <c r="AG5" s="200">
        <f t="shared" ca="1" si="1"/>
        <v>0</v>
      </c>
      <c r="AH5" s="200">
        <f t="shared" ca="1" si="1"/>
        <v>0</v>
      </c>
      <c r="AI5" s="200">
        <f t="shared" ca="1" si="1"/>
        <v>0</v>
      </c>
      <c r="AJ5" s="200">
        <f t="shared" ca="1" si="1"/>
        <v>0</v>
      </c>
      <c r="AK5" s="200">
        <f t="shared" ca="1" si="1"/>
        <v>0</v>
      </c>
      <c r="AL5" s="200">
        <f t="shared" ca="1" si="1"/>
        <v>0</v>
      </c>
      <c r="AM5" s="200">
        <f t="shared" ca="1" si="1"/>
        <v>0</v>
      </c>
      <c r="AN5" s="367"/>
      <c r="AO5" s="367"/>
      <c r="AP5" s="123"/>
      <c r="AQ5" s="123"/>
      <c r="AR5" s="123"/>
    </row>
    <row r="6" spans="1:59" ht="15" hidden="1" customHeight="1">
      <c r="A6" s="311" t="str">
        <f>CONCATENATE(LEFT(L$2,4),"新增长期借款")</f>
        <v>2025新增长期借款</v>
      </c>
      <c r="B6" s="538">
        <f ca="1">L$38</f>
        <v>85.937764279360891</v>
      </c>
      <c r="C6" s="129"/>
      <c r="D6" s="129"/>
      <c r="E6" s="129"/>
      <c r="F6" s="129"/>
      <c r="G6" s="129"/>
      <c r="H6" s="129"/>
      <c r="I6" s="296"/>
      <c r="J6" s="445"/>
      <c r="K6" s="445"/>
      <c r="L6" s="200">
        <f ca="1">IF($B6*(1-(L$1-3+0.5)/$B$2)&gt;=0,$B6/$B$2,0)</f>
        <v>17.187552855872177</v>
      </c>
      <c r="M6" s="200">
        <f t="shared" ref="M6:AM6" ca="1" si="2">IF($B6*(1-(M$1-3+0.5)/$B$2)&gt;=0,$B6/$B$2,0)</f>
        <v>17.187552855872177</v>
      </c>
      <c r="N6" s="200">
        <f t="shared" ca="1" si="2"/>
        <v>17.187552855872177</v>
      </c>
      <c r="O6" s="200">
        <f t="shared" ca="1" si="2"/>
        <v>17.187552855872177</v>
      </c>
      <c r="P6" s="200">
        <f t="shared" ca="1" si="2"/>
        <v>17.187552855872177</v>
      </c>
      <c r="Q6" s="200">
        <f t="shared" ca="1" si="2"/>
        <v>0</v>
      </c>
      <c r="R6" s="200">
        <f t="shared" ca="1" si="2"/>
        <v>0</v>
      </c>
      <c r="S6" s="200">
        <f t="shared" ca="1" si="2"/>
        <v>0</v>
      </c>
      <c r="T6" s="200">
        <f t="shared" ca="1" si="2"/>
        <v>0</v>
      </c>
      <c r="U6" s="200">
        <f t="shared" ca="1" si="2"/>
        <v>0</v>
      </c>
      <c r="V6" s="200">
        <f t="shared" ca="1" si="2"/>
        <v>0</v>
      </c>
      <c r="W6" s="200">
        <f t="shared" ca="1" si="2"/>
        <v>0</v>
      </c>
      <c r="X6" s="200">
        <f t="shared" ca="1" si="2"/>
        <v>0</v>
      </c>
      <c r="Y6" s="200">
        <f t="shared" ca="1" si="2"/>
        <v>0</v>
      </c>
      <c r="Z6" s="200">
        <f t="shared" ca="1" si="2"/>
        <v>0</v>
      </c>
      <c r="AA6" s="200">
        <f t="shared" ca="1" si="2"/>
        <v>0</v>
      </c>
      <c r="AB6" s="200">
        <f t="shared" ca="1" si="2"/>
        <v>0</v>
      </c>
      <c r="AC6" s="200">
        <f t="shared" ca="1" si="2"/>
        <v>0</v>
      </c>
      <c r="AD6" s="200">
        <f t="shared" ca="1" si="2"/>
        <v>0</v>
      </c>
      <c r="AE6" s="200">
        <f t="shared" ca="1" si="2"/>
        <v>0</v>
      </c>
      <c r="AF6" s="200">
        <f t="shared" ca="1" si="2"/>
        <v>0</v>
      </c>
      <c r="AG6" s="200">
        <f t="shared" ca="1" si="2"/>
        <v>0</v>
      </c>
      <c r="AH6" s="200">
        <f t="shared" ca="1" si="2"/>
        <v>0</v>
      </c>
      <c r="AI6" s="200">
        <f t="shared" ca="1" si="2"/>
        <v>0</v>
      </c>
      <c r="AJ6" s="200">
        <f t="shared" ca="1" si="2"/>
        <v>0</v>
      </c>
      <c r="AK6" s="200">
        <f t="shared" ca="1" si="2"/>
        <v>0</v>
      </c>
      <c r="AL6" s="200">
        <f t="shared" ca="1" si="2"/>
        <v>0</v>
      </c>
      <c r="AM6" s="200">
        <f t="shared" ca="1" si="2"/>
        <v>0</v>
      </c>
      <c r="AN6" s="225"/>
      <c r="AO6" s="367"/>
      <c r="AP6" s="123"/>
      <c r="AQ6" s="123"/>
      <c r="AR6" s="123"/>
    </row>
    <row r="7" spans="1:59" s="18" customFormat="1" ht="15" hidden="1" customHeight="1">
      <c r="A7" s="311" t="str">
        <f>CONCATENATE(LEFT(M$2,4),"新增长期借款")</f>
        <v>2026新增长期借款</v>
      </c>
      <c r="B7" s="538">
        <f ca="1">M$38</f>
        <v>68.377874688947756</v>
      </c>
      <c r="C7" s="129"/>
      <c r="D7" s="129"/>
      <c r="E7" s="129"/>
      <c r="F7" s="129"/>
      <c r="G7" s="129"/>
      <c r="H7" s="129"/>
      <c r="I7" s="296"/>
      <c r="J7" s="445"/>
      <c r="K7" s="445"/>
      <c r="L7" s="445"/>
      <c r="M7" s="200">
        <f ca="1">IF($B7*(1-(M$1-4+0.5)/$B$2)&gt;=0,$B7/$B$2,0)</f>
        <v>13.675574937789552</v>
      </c>
      <c r="N7" s="200">
        <f t="shared" ref="N7:AM7" ca="1" si="3">IF($B7*(1-(N$1-4+0.5)/$B$2)&gt;=0,$B7/$B$2,0)</f>
        <v>13.675574937789552</v>
      </c>
      <c r="O7" s="200">
        <f t="shared" ca="1" si="3"/>
        <v>13.675574937789552</v>
      </c>
      <c r="P7" s="200">
        <f t="shared" ca="1" si="3"/>
        <v>13.675574937789552</v>
      </c>
      <c r="Q7" s="200">
        <f t="shared" ca="1" si="3"/>
        <v>13.675574937789552</v>
      </c>
      <c r="R7" s="200">
        <f t="shared" ca="1" si="3"/>
        <v>0</v>
      </c>
      <c r="S7" s="200">
        <f t="shared" ca="1" si="3"/>
        <v>0</v>
      </c>
      <c r="T7" s="200">
        <f t="shared" ca="1" si="3"/>
        <v>0</v>
      </c>
      <c r="U7" s="200">
        <f t="shared" ca="1" si="3"/>
        <v>0</v>
      </c>
      <c r="V7" s="200">
        <f t="shared" ca="1" si="3"/>
        <v>0</v>
      </c>
      <c r="W7" s="200">
        <f t="shared" ca="1" si="3"/>
        <v>0</v>
      </c>
      <c r="X7" s="200">
        <f t="shared" ca="1" si="3"/>
        <v>0</v>
      </c>
      <c r="Y7" s="200">
        <f t="shared" ca="1" si="3"/>
        <v>0</v>
      </c>
      <c r="Z7" s="200">
        <f t="shared" ca="1" si="3"/>
        <v>0</v>
      </c>
      <c r="AA7" s="200">
        <f t="shared" ca="1" si="3"/>
        <v>0</v>
      </c>
      <c r="AB7" s="200">
        <f t="shared" ca="1" si="3"/>
        <v>0</v>
      </c>
      <c r="AC7" s="200">
        <f t="shared" ca="1" si="3"/>
        <v>0</v>
      </c>
      <c r="AD7" s="200">
        <f t="shared" ca="1" si="3"/>
        <v>0</v>
      </c>
      <c r="AE7" s="200">
        <f t="shared" ca="1" si="3"/>
        <v>0</v>
      </c>
      <c r="AF7" s="200">
        <f t="shared" ca="1" si="3"/>
        <v>0</v>
      </c>
      <c r="AG7" s="200">
        <f t="shared" ca="1" si="3"/>
        <v>0</v>
      </c>
      <c r="AH7" s="200">
        <f t="shared" ca="1" si="3"/>
        <v>0</v>
      </c>
      <c r="AI7" s="200">
        <f t="shared" ca="1" si="3"/>
        <v>0</v>
      </c>
      <c r="AJ7" s="200">
        <f t="shared" ca="1" si="3"/>
        <v>0</v>
      </c>
      <c r="AK7" s="200">
        <f t="shared" ca="1" si="3"/>
        <v>0</v>
      </c>
      <c r="AL7" s="200">
        <f t="shared" ca="1" si="3"/>
        <v>0</v>
      </c>
      <c r="AM7" s="200">
        <f t="shared" ca="1" si="3"/>
        <v>0</v>
      </c>
      <c r="AN7" s="367"/>
      <c r="AO7" s="225"/>
      <c r="AP7" s="198"/>
      <c r="AQ7" s="198"/>
      <c r="AR7" s="198"/>
      <c r="AS7" s="2"/>
      <c r="AT7" s="2"/>
      <c r="AU7" s="2"/>
      <c r="AV7" s="2"/>
      <c r="AW7" s="2"/>
      <c r="AX7" s="2"/>
      <c r="AY7" s="2"/>
      <c r="AZ7" s="2"/>
      <c r="BA7" s="2"/>
      <c r="BB7" s="2"/>
      <c r="BC7" s="2"/>
      <c r="BD7" s="2"/>
      <c r="BE7" s="2"/>
      <c r="BF7" s="2"/>
      <c r="BG7" s="2"/>
    </row>
    <row r="8" spans="1:59" ht="15" hidden="1" customHeight="1">
      <c r="A8" s="311" t="str">
        <f>CONCATENATE(LEFT(N$2,4),"新增长期借款")</f>
        <v>2027新增长期借款</v>
      </c>
      <c r="B8" s="312">
        <f ca="1">N$38</f>
        <v>48.987373764364278</v>
      </c>
      <c r="C8" s="129"/>
      <c r="D8" s="129"/>
      <c r="E8" s="129"/>
      <c r="F8" s="129"/>
      <c r="G8" s="129"/>
      <c r="H8" s="129"/>
      <c r="I8" s="296"/>
      <c r="J8" s="445"/>
      <c r="K8" s="445"/>
      <c r="L8" s="445"/>
      <c r="M8" s="445"/>
      <c r="N8" s="200">
        <f ca="1">IF($B8*(1-(N$1-5+0.5)/$B$2)&gt;=0,$B8/$B$2,0)</f>
        <v>9.797474752872855</v>
      </c>
      <c r="O8" s="200">
        <f t="shared" ref="O8:AM8" ca="1" si="4">IF($B8*(1-(O$1-5+0.5)/$B$2)&gt;=0,$B8/$B$2,0)</f>
        <v>9.797474752872855</v>
      </c>
      <c r="P8" s="200">
        <f t="shared" ca="1" si="4"/>
        <v>9.797474752872855</v>
      </c>
      <c r="Q8" s="200">
        <f t="shared" ca="1" si="4"/>
        <v>9.797474752872855</v>
      </c>
      <c r="R8" s="200">
        <f t="shared" ca="1" si="4"/>
        <v>9.797474752872855</v>
      </c>
      <c r="S8" s="200">
        <f t="shared" ca="1" si="4"/>
        <v>0</v>
      </c>
      <c r="T8" s="200">
        <f t="shared" ca="1" si="4"/>
        <v>0</v>
      </c>
      <c r="U8" s="200">
        <f t="shared" ca="1" si="4"/>
        <v>0</v>
      </c>
      <c r="V8" s="200">
        <f t="shared" ca="1" si="4"/>
        <v>0</v>
      </c>
      <c r="W8" s="200">
        <f t="shared" ca="1" si="4"/>
        <v>0</v>
      </c>
      <c r="X8" s="200">
        <f t="shared" ca="1" si="4"/>
        <v>0</v>
      </c>
      <c r="Y8" s="200">
        <f t="shared" ca="1" si="4"/>
        <v>0</v>
      </c>
      <c r="Z8" s="200">
        <f t="shared" ca="1" si="4"/>
        <v>0</v>
      </c>
      <c r="AA8" s="200">
        <f t="shared" ca="1" si="4"/>
        <v>0</v>
      </c>
      <c r="AB8" s="200">
        <f t="shared" ca="1" si="4"/>
        <v>0</v>
      </c>
      <c r="AC8" s="200">
        <f t="shared" ca="1" si="4"/>
        <v>0</v>
      </c>
      <c r="AD8" s="200">
        <f t="shared" ca="1" si="4"/>
        <v>0</v>
      </c>
      <c r="AE8" s="200">
        <f t="shared" ca="1" si="4"/>
        <v>0</v>
      </c>
      <c r="AF8" s="200">
        <f t="shared" ca="1" si="4"/>
        <v>0</v>
      </c>
      <c r="AG8" s="200">
        <f t="shared" ca="1" si="4"/>
        <v>0</v>
      </c>
      <c r="AH8" s="200">
        <f t="shared" ca="1" si="4"/>
        <v>0</v>
      </c>
      <c r="AI8" s="200">
        <f t="shared" ca="1" si="4"/>
        <v>0</v>
      </c>
      <c r="AJ8" s="200">
        <f t="shared" ca="1" si="4"/>
        <v>0</v>
      </c>
      <c r="AK8" s="200">
        <f t="shared" ca="1" si="4"/>
        <v>0</v>
      </c>
      <c r="AL8" s="200">
        <f t="shared" ca="1" si="4"/>
        <v>0</v>
      </c>
      <c r="AM8" s="200">
        <f t="shared" ca="1" si="4"/>
        <v>0</v>
      </c>
      <c r="AN8" s="367"/>
      <c r="AO8" s="367"/>
      <c r="AP8" s="123"/>
      <c r="AQ8" s="123"/>
      <c r="AR8" s="123"/>
    </row>
    <row r="9" spans="1:59" ht="15" hidden="1" customHeight="1">
      <c r="A9" s="311" t="str">
        <f>CONCATENATE(LEFT(O$2,4),"新增长期借款")</f>
        <v>2028新增长期借款</v>
      </c>
      <c r="B9" s="312">
        <f ca="1">O$38</f>
        <v>76.867547537600885</v>
      </c>
      <c r="C9" s="129"/>
      <c r="D9" s="129"/>
      <c r="E9" s="129"/>
      <c r="F9" s="129"/>
      <c r="G9" s="129"/>
      <c r="H9" s="129"/>
      <c r="I9" s="296"/>
      <c r="J9" s="445"/>
      <c r="K9" s="445"/>
      <c r="L9" s="445"/>
      <c r="M9" s="445"/>
      <c r="N9" s="445"/>
      <c r="O9" s="200">
        <f ca="1">IF($B9*(1-(O$1-6+0.5)/$B$2)&gt;=0,$B9/$B$2,0)</f>
        <v>15.373509507520177</v>
      </c>
      <c r="P9" s="200">
        <f t="shared" ref="P9:AM9" ca="1" si="5">IF($B9*(1-(P$1-6+0.5)/$B$2)&gt;=0,$B9/$B$2,0)</f>
        <v>15.373509507520177</v>
      </c>
      <c r="Q9" s="200">
        <f t="shared" ca="1" si="5"/>
        <v>15.373509507520177</v>
      </c>
      <c r="R9" s="200">
        <f t="shared" ca="1" si="5"/>
        <v>15.373509507520177</v>
      </c>
      <c r="S9" s="200">
        <f t="shared" ca="1" si="5"/>
        <v>15.373509507520177</v>
      </c>
      <c r="T9" s="200">
        <f t="shared" ca="1" si="5"/>
        <v>0</v>
      </c>
      <c r="U9" s="200">
        <f t="shared" ca="1" si="5"/>
        <v>0</v>
      </c>
      <c r="V9" s="200">
        <f t="shared" ca="1" si="5"/>
        <v>0</v>
      </c>
      <c r="W9" s="200">
        <f t="shared" ca="1" si="5"/>
        <v>0</v>
      </c>
      <c r="X9" s="200">
        <f t="shared" ca="1" si="5"/>
        <v>0</v>
      </c>
      <c r="Y9" s="200">
        <f t="shared" ca="1" si="5"/>
        <v>0</v>
      </c>
      <c r="Z9" s="200">
        <f t="shared" ca="1" si="5"/>
        <v>0</v>
      </c>
      <c r="AA9" s="200">
        <f t="shared" ca="1" si="5"/>
        <v>0</v>
      </c>
      <c r="AB9" s="200">
        <f t="shared" ca="1" si="5"/>
        <v>0</v>
      </c>
      <c r="AC9" s="200">
        <f t="shared" ca="1" si="5"/>
        <v>0</v>
      </c>
      <c r="AD9" s="200">
        <f t="shared" ca="1" si="5"/>
        <v>0</v>
      </c>
      <c r="AE9" s="200">
        <f t="shared" ca="1" si="5"/>
        <v>0</v>
      </c>
      <c r="AF9" s="200">
        <f t="shared" ca="1" si="5"/>
        <v>0</v>
      </c>
      <c r="AG9" s="200">
        <f t="shared" ca="1" si="5"/>
        <v>0</v>
      </c>
      <c r="AH9" s="200">
        <f t="shared" ca="1" si="5"/>
        <v>0</v>
      </c>
      <c r="AI9" s="200">
        <f t="shared" ca="1" si="5"/>
        <v>0</v>
      </c>
      <c r="AJ9" s="200">
        <f t="shared" ca="1" si="5"/>
        <v>0</v>
      </c>
      <c r="AK9" s="200">
        <f t="shared" ca="1" si="5"/>
        <v>0</v>
      </c>
      <c r="AL9" s="200">
        <f t="shared" ca="1" si="5"/>
        <v>0</v>
      </c>
      <c r="AM9" s="200">
        <f t="shared" ca="1" si="5"/>
        <v>0</v>
      </c>
      <c r="AN9" s="367"/>
      <c r="AO9" s="367"/>
      <c r="AP9" s="123"/>
      <c r="AQ9" s="123"/>
      <c r="AR9" s="123"/>
    </row>
    <row r="10" spans="1:59" ht="15" hidden="1" customHeight="1">
      <c r="A10" s="311" t="str">
        <f>CONCATENATE(LEFT(P$2,4),"新增长期借款")</f>
        <v>2029新增长期借款</v>
      </c>
      <c r="B10" s="312">
        <f ca="1">P$38</f>
        <v>95.335411373095624</v>
      </c>
      <c r="C10" s="238"/>
      <c r="D10" s="238"/>
      <c r="E10" s="238"/>
      <c r="F10" s="238"/>
      <c r="G10" s="238"/>
      <c r="H10" s="129"/>
      <c r="I10" s="296"/>
      <c r="J10" s="445"/>
      <c r="K10" s="445"/>
      <c r="L10" s="445"/>
      <c r="M10" s="445"/>
      <c r="N10" s="445"/>
      <c r="O10" s="445"/>
      <c r="P10" s="200">
        <f ca="1">IF($B10*(1-(P$1-7+0.5)/$B$2)&gt;=0,$B10/$B$2,0)</f>
        <v>19.067082274619125</v>
      </c>
      <c r="Q10" s="200">
        <f t="shared" ref="Q10:AM10" ca="1" si="6">IF($B10*(1-(Q$1-7+0.5)/$B$2)&gt;=0,$B10/$B$2,0)</f>
        <v>19.067082274619125</v>
      </c>
      <c r="R10" s="200">
        <f t="shared" ca="1" si="6"/>
        <v>19.067082274619125</v>
      </c>
      <c r="S10" s="200">
        <f t="shared" ca="1" si="6"/>
        <v>19.067082274619125</v>
      </c>
      <c r="T10" s="200">
        <f t="shared" ca="1" si="6"/>
        <v>19.067082274619125</v>
      </c>
      <c r="U10" s="200">
        <f t="shared" ca="1" si="6"/>
        <v>0</v>
      </c>
      <c r="V10" s="200">
        <f t="shared" ca="1" si="6"/>
        <v>0</v>
      </c>
      <c r="W10" s="200">
        <f t="shared" ca="1" si="6"/>
        <v>0</v>
      </c>
      <c r="X10" s="200">
        <f t="shared" ca="1" si="6"/>
        <v>0</v>
      </c>
      <c r="Y10" s="200">
        <f t="shared" ca="1" si="6"/>
        <v>0</v>
      </c>
      <c r="Z10" s="200">
        <f t="shared" ca="1" si="6"/>
        <v>0</v>
      </c>
      <c r="AA10" s="200">
        <f t="shared" ca="1" si="6"/>
        <v>0</v>
      </c>
      <c r="AB10" s="200">
        <f t="shared" ca="1" si="6"/>
        <v>0</v>
      </c>
      <c r="AC10" s="200">
        <f t="shared" ca="1" si="6"/>
        <v>0</v>
      </c>
      <c r="AD10" s="200">
        <f t="shared" ca="1" si="6"/>
        <v>0</v>
      </c>
      <c r="AE10" s="200">
        <f t="shared" ca="1" si="6"/>
        <v>0</v>
      </c>
      <c r="AF10" s="200">
        <f t="shared" ca="1" si="6"/>
        <v>0</v>
      </c>
      <c r="AG10" s="200">
        <f t="shared" ca="1" si="6"/>
        <v>0</v>
      </c>
      <c r="AH10" s="200">
        <f t="shared" ca="1" si="6"/>
        <v>0</v>
      </c>
      <c r="AI10" s="200">
        <f t="shared" ca="1" si="6"/>
        <v>0</v>
      </c>
      <c r="AJ10" s="200">
        <f t="shared" ca="1" si="6"/>
        <v>0</v>
      </c>
      <c r="AK10" s="200">
        <f t="shared" ca="1" si="6"/>
        <v>0</v>
      </c>
      <c r="AL10" s="200">
        <f t="shared" ca="1" si="6"/>
        <v>0</v>
      </c>
      <c r="AM10" s="200">
        <f t="shared" ca="1" si="6"/>
        <v>0</v>
      </c>
      <c r="AN10" s="367"/>
      <c r="AO10" s="367"/>
      <c r="AP10" s="123"/>
      <c r="AQ10" s="123"/>
      <c r="AR10" s="123"/>
    </row>
    <row r="11" spans="1:59" ht="15" hidden="1" customHeight="1">
      <c r="A11" s="311" t="str">
        <f>CONCATENATE(LEFT(Q$2,4),"新增长期借款")</f>
        <v>2030新增长期借款</v>
      </c>
      <c r="B11" s="312">
        <f ca="1">Q$38</f>
        <v>100.15793026938168</v>
      </c>
      <c r="C11" s="238"/>
      <c r="D11" s="238"/>
      <c r="E11" s="238"/>
      <c r="F11" s="238"/>
      <c r="G11" s="238"/>
      <c r="H11" s="238"/>
      <c r="I11" s="296"/>
      <c r="J11" s="445"/>
      <c r="K11" s="445"/>
      <c r="L11" s="445"/>
      <c r="M11" s="445"/>
      <c r="N11" s="445"/>
      <c r="O11" s="445"/>
      <c r="P11" s="445"/>
      <c r="Q11" s="200">
        <f ca="1">IF($B11*(1-(Q$1-8+0.5)/$B$2)&gt;=0,$B11/$B$2,0)</f>
        <v>20.031586053876335</v>
      </c>
      <c r="R11" s="200">
        <f t="shared" ref="R11:AM11" ca="1" si="7">IF($B11*(1-(R$1-8+0.5)/$B$2)&gt;=0,$B11/$B$2,0)</f>
        <v>20.031586053876335</v>
      </c>
      <c r="S11" s="200">
        <f t="shared" ca="1" si="7"/>
        <v>20.031586053876335</v>
      </c>
      <c r="T11" s="200">
        <f t="shared" ca="1" si="7"/>
        <v>20.031586053876335</v>
      </c>
      <c r="U11" s="200">
        <f t="shared" ca="1" si="7"/>
        <v>20.031586053876335</v>
      </c>
      <c r="V11" s="200">
        <f t="shared" ca="1" si="7"/>
        <v>0</v>
      </c>
      <c r="W11" s="200">
        <f t="shared" ca="1" si="7"/>
        <v>0</v>
      </c>
      <c r="X11" s="200">
        <f t="shared" ca="1" si="7"/>
        <v>0</v>
      </c>
      <c r="Y11" s="200">
        <f t="shared" ca="1" si="7"/>
        <v>0</v>
      </c>
      <c r="Z11" s="200">
        <f t="shared" ca="1" si="7"/>
        <v>0</v>
      </c>
      <c r="AA11" s="200">
        <f t="shared" ca="1" si="7"/>
        <v>0</v>
      </c>
      <c r="AB11" s="200">
        <f t="shared" ca="1" si="7"/>
        <v>0</v>
      </c>
      <c r="AC11" s="200">
        <f t="shared" ca="1" si="7"/>
        <v>0</v>
      </c>
      <c r="AD11" s="200">
        <f t="shared" ca="1" si="7"/>
        <v>0</v>
      </c>
      <c r="AE11" s="200">
        <f t="shared" ca="1" si="7"/>
        <v>0</v>
      </c>
      <c r="AF11" s="200">
        <f t="shared" ca="1" si="7"/>
        <v>0</v>
      </c>
      <c r="AG11" s="200">
        <f t="shared" ca="1" si="7"/>
        <v>0</v>
      </c>
      <c r="AH11" s="200">
        <f t="shared" ca="1" si="7"/>
        <v>0</v>
      </c>
      <c r="AI11" s="200">
        <f t="shared" ca="1" si="7"/>
        <v>0</v>
      </c>
      <c r="AJ11" s="200">
        <f t="shared" ca="1" si="7"/>
        <v>0</v>
      </c>
      <c r="AK11" s="200">
        <f t="shared" ca="1" si="7"/>
        <v>0</v>
      </c>
      <c r="AL11" s="200">
        <f t="shared" ca="1" si="7"/>
        <v>0</v>
      </c>
      <c r="AM11" s="200">
        <f t="shared" ca="1" si="7"/>
        <v>0</v>
      </c>
      <c r="AN11" s="225"/>
      <c r="AO11" s="367"/>
      <c r="AP11" s="123"/>
      <c r="AQ11" s="123"/>
      <c r="AR11" s="123"/>
    </row>
    <row r="12" spans="1:59" s="18" customFormat="1" ht="15" hidden="1" customHeight="1">
      <c r="A12" s="311" t="str">
        <f>CONCATENATE(LEFT(R$2,4),"新增长期借款")</f>
        <v>2031新增长期借款</v>
      </c>
      <c r="B12" s="312">
        <f ca="1">R$38</f>
        <v>102.33443573824164</v>
      </c>
      <c r="C12" s="238"/>
      <c r="D12" s="238"/>
      <c r="E12" s="238"/>
      <c r="F12" s="238"/>
      <c r="G12" s="238"/>
      <c r="H12" s="238"/>
      <c r="I12" s="296"/>
      <c r="J12" s="445"/>
      <c r="K12" s="445"/>
      <c r="L12" s="445"/>
      <c r="M12" s="445"/>
      <c r="N12" s="445"/>
      <c r="O12" s="445"/>
      <c r="P12" s="445"/>
      <c r="Q12" s="445"/>
      <c r="R12" s="200">
        <f ca="1">IF($B12*(1-(R$1-9+0.5)/$B$2)&gt;=0,$B12/$B$2,0)</f>
        <v>20.466887147648329</v>
      </c>
      <c r="S12" s="200">
        <f t="shared" ref="S12:AM12" ca="1" si="8">IF($B12*(1-(S$1-9+0.5)/$B$2)&gt;=0,$B12/$B$2,0)</f>
        <v>20.466887147648329</v>
      </c>
      <c r="T12" s="200">
        <f t="shared" ca="1" si="8"/>
        <v>20.466887147648329</v>
      </c>
      <c r="U12" s="200">
        <f t="shared" ca="1" si="8"/>
        <v>20.466887147648329</v>
      </c>
      <c r="V12" s="200">
        <f t="shared" ca="1" si="8"/>
        <v>20.466887147648329</v>
      </c>
      <c r="W12" s="200">
        <f t="shared" ca="1" si="8"/>
        <v>0</v>
      </c>
      <c r="X12" s="200">
        <f t="shared" ca="1" si="8"/>
        <v>0</v>
      </c>
      <c r="Y12" s="200">
        <f t="shared" ca="1" si="8"/>
        <v>0</v>
      </c>
      <c r="Z12" s="200">
        <f t="shared" ca="1" si="8"/>
        <v>0</v>
      </c>
      <c r="AA12" s="200">
        <f t="shared" ca="1" si="8"/>
        <v>0</v>
      </c>
      <c r="AB12" s="200">
        <f t="shared" ca="1" si="8"/>
        <v>0</v>
      </c>
      <c r="AC12" s="200">
        <f t="shared" ca="1" si="8"/>
        <v>0</v>
      </c>
      <c r="AD12" s="200">
        <f t="shared" ca="1" si="8"/>
        <v>0</v>
      </c>
      <c r="AE12" s="200">
        <f t="shared" ca="1" si="8"/>
        <v>0</v>
      </c>
      <c r="AF12" s="200">
        <f t="shared" ca="1" si="8"/>
        <v>0</v>
      </c>
      <c r="AG12" s="200">
        <f t="shared" ca="1" si="8"/>
        <v>0</v>
      </c>
      <c r="AH12" s="200">
        <f t="shared" ca="1" si="8"/>
        <v>0</v>
      </c>
      <c r="AI12" s="200">
        <f t="shared" ca="1" si="8"/>
        <v>0</v>
      </c>
      <c r="AJ12" s="200">
        <f t="shared" ca="1" si="8"/>
        <v>0</v>
      </c>
      <c r="AK12" s="200">
        <f t="shared" ca="1" si="8"/>
        <v>0</v>
      </c>
      <c r="AL12" s="200">
        <f t="shared" ca="1" si="8"/>
        <v>0</v>
      </c>
      <c r="AM12" s="200">
        <f t="shared" ca="1" si="8"/>
        <v>0</v>
      </c>
      <c r="AN12" s="225"/>
      <c r="AO12" s="225"/>
      <c r="AP12" s="198"/>
      <c r="AQ12" s="198"/>
      <c r="AR12" s="198"/>
      <c r="AS12" s="2"/>
      <c r="AT12" s="2"/>
      <c r="AU12" s="2"/>
      <c r="AV12" s="2"/>
      <c r="AW12" s="2"/>
      <c r="AX12" s="2"/>
      <c r="AY12" s="2"/>
      <c r="AZ12" s="2"/>
      <c r="BA12" s="2"/>
      <c r="BB12" s="2"/>
      <c r="BC12" s="2"/>
      <c r="BD12" s="2"/>
      <c r="BE12" s="2"/>
      <c r="BF12" s="2"/>
      <c r="BG12" s="2"/>
    </row>
    <row r="13" spans="1:59" s="2" customFormat="1" ht="15" hidden="1" customHeight="1">
      <c r="A13" s="311" t="str">
        <f>CONCATENATE(LEFT(S$2,4),"新增长期借款")</f>
        <v>2032新增长期借款</v>
      </c>
      <c r="B13" s="312">
        <f ca="1">S$38</f>
        <v>113.89383452406355</v>
      </c>
      <c r="C13" s="238"/>
      <c r="D13" s="238"/>
      <c r="E13" s="238"/>
      <c r="F13" s="238"/>
      <c r="G13" s="238"/>
      <c r="H13" s="238"/>
      <c r="I13" s="296"/>
      <c r="J13" s="445"/>
      <c r="K13" s="445"/>
      <c r="L13" s="445"/>
      <c r="M13" s="445"/>
      <c r="N13" s="445"/>
      <c r="O13" s="445"/>
      <c r="P13" s="445"/>
      <c r="Q13" s="445"/>
      <c r="R13" s="445"/>
      <c r="S13" s="200">
        <f ca="1">IF($B13*(1-(S$1-10+0.5)/$B$2)&gt;=0,$B13/$B$2,0)</f>
        <v>22.778766904812709</v>
      </c>
      <c r="T13" s="200">
        <f t="shared" ref="T13:AM13" ca="1" si="9">IF($B13*(1-(T$1-10+0.5)/$B$2)&gt;=0,$B13/$B$2,0)</f>
        <v>22.778766904812709</v>
      </c>
      <c r="U13" s="200">
        <f t="shared" ca="1" si="9"/>
        <v>22.778766904812709</v>
      </c>
      <c r="V13" s="200">
        <f t="shared" ca="1" si="9"/>
        <v>22.778766904812709</v>
      </c>
      <c r="W13" s="200">
        <f t="shared" ca="1" si="9"/>
        <v>22.778766904812709</v>
      </c>
      <c r="X13" s="200">
        <f t="shared" ca="1" si="9"/>
        <v>0</v>
      </c>
      <c r="Y13" s="200">
        <f t="shared" ca="1" si="9"/>
        <v>0</v>
      </c>
      <c r="Z13" s="200">
        <f t="shared" ca="1" si="9"/>
        <v>0</v>
      </c>
      <c r="AA13" s="200">
        <f t="shared" ca="1" si="9"/>
        <v>0</v>
      </c>
      <c r="AB13" s="200">
        <f t="shared" ca="1" si="9"/>
        <v>0</v>
      </c>
      <c r="AC13" s="200">
        <f t="shared" ca="1" si="9"/>
        <v>0</v>
      </c>
      <c r="AD13" s="200">
        <f t="shared" ca="1" si="9"/>
        <v>0</v>
      </c>
      <c r="AE13" s="200">
        <f t="shared" ca="1" si="9"/>
        <v>0</v>
      </c>
      <c r="AF13" s="200">
        <f t="shared" ca="1" si="9"/>
        <v>0</v>
      </c>
      <c r="AG13" s="200">
        <f t="shared" ca="1" si="9"/>
        <v>0</v>
      </c>
      <c r="AH13" s="200">
        <f t="shared" ca="1" si="9"/>
        <v>0</v>
      </c>
      <c r="AI13" s="200">
        <f t="shared" ca="1" si="9"/>
        <v>0</v>
      </c>
      <c r="AJ13" s="200">
        <f t="shared" ca="1" si="9"/>
        <v>0</v>
      </c>
      <c r="AK13" s="200">
        <f t="shared" ca="1" si="9"/>
        <v>0</v>
      </c>
      <c r="AL13" s="200">
        <f t="shared" ca="1" si="9"/>
        <v>0</v>
      </c>
      <c r="AM13" s="200">
        <f t="shared" ca="1" si="9"/>
        <v>0</v>
      </c>
      <c r="AN13" s="225"/>
      <c r="AO13" s="225"/>
      <c r="AP13" s="198"/>
      <c r="AQ13" s="198"/>
      <c r="AR13" s="198"/>
    </row>
    <row r="14" spans="1:59" s="2" customFormat="1" ht="15" hidden="1" customHeight="1">
      <c r="A14" s="311" t="str">
        <f>CONCATENATE(LEFT(T$2,4),"新增长期借款")</f>
        <v>2033新增长期借款</v>
      </c>
      <c r="B14" s="312">
        <f ca="1">T$38</f>
        <v>133.814827482759</v>
      </c>
      <c r="C14" s="238"/>
      <c r="D14" s="238"/>
      <c r="E14" s="238"/>
      <c r="F14" s="238"/>
      <c r="G14" s="238"/>
      <c r="H14" s="238"/>
      <c r="I14" s="296"/>
      <c r="J14" s="445"/>
      <c r="K14" s="445"/>
      <c r="L14" s="445"/>
      <c r="M14" s="445"/>
      <c r="N14" s="445"/>
      <c r="O14" s="445"/>
      <c r="P14" s="445"/>
      <c r="Q14" s="445"/>
      <c r="R14" s="445"/>
      <c r="S14" s="445"/>
      <c r="T14" s="200">
        <f ca="1">IF($B14*(1-(T$1-11+0.5)/$B$2)&gt;=0,$B14/$B$2,0)</f>
        <v>26.7629654965518</v>
      </c>
      <c r="U14" s="200">
        <f t="shared" ref="U14:AM14" ca="1" si="10">IF($B14*(1-(U$1-11+0.5)/$B$2)&gt;=0,$B14/$B$2,0)</f>
        <v>26.7629654965518</v>
      </c>
      <c r="V14" s="200">
        <f t="shared" ca="1" si="10"/>
        <v>26.7629654965518</v>
      </c>
      <c r="W14" s="200">
        <f t="shared" ca="1" si="10"/>
        <v>26.7629654965518</v>
      </c>
      <c r="X14" s="200">
        <f t="shared" ca="1" si="10"/>
        <v>26.7629654965518</v>
      </c>
      <c r="Y14" s="200">
        <f t="shared" ca="1" si="10"/>
        <v>0</v>
      </c>
      <c r="Z14" s="200">
        <f t="shared" ca="1" si="10"/>
        <v>0</v>
      </c>
      <c r="AA14" s="200">
        <f t="shared" ca="1" si="10"/>
        <v>0</v>
      </c>
      <c r="AB14" s="200">
        <f t="shared" ca="1" si="10"/>
        <v>0</v>
      </c>
      <c r="AC14" s="200">
        <f t="shared" ca="1" si="10"/>
        <v>0</v>
      </c>
      <c r="AD14" s="200">
        <f t="shared" ca="1" si="10"/>
        <v>0</v>
      </c>
      <c r="AE14" s="200">
        <f t="shared" ca="1" si="10"/>
        <v>0</v>
      </c>
      <c r="AF14" s="200">
        <f t="shared" ca="1" si="10"/>
        <v>0</v>
      </c>
      <c r="AG14" s="200">
        <f t="shared" ca="1" si="10"/>
        <v>0</v>
      </c>
      <c r="AH14" s="200">
        <f t="shared" ca="1" si="10"/>
        <v>0</v>
      </c>
      <c r="AI14" s="200">
        <f t="shared" ca="1" si="10"/>
        <v>0</v>
      </c>
      <c r="AJ14" s="200">
        <f t="shared" ca="1" si="10"/>
        <v>0</v>
      </c>
      <c r="AK14" s="200">
        <f t="shared" ca="1" si="10"/>
        <v>0</v>
      </c>
      <c r="AL14" s="200">
        <f t="shared" ca="1" si="10"/>
        <v>0</v>
      </c>
      <c r="AM14" s="200">
        <f t="shared" ca="1" si="10"/>
        <v>0</v>
      </c>
      <c r="AN14" s="367"/>
      <c r="AO14" s="225"/>
      <c r="AP14" s="198"/>
      <c r="AQ14" s="198"/>
      <c r="AR14" s="198"/>
    </row>
    <row r="15" spans="1:59" ht="15" hidden="1" customHeight="1">
      <c r="A15" s="311" t="str">
        <f>CONCATENATE(LEFT(U$2,4),"新增长期借款")</f>
        <v>2034新增长期借款</v>
      </c>
      <c r="B15" s="312">
        <f ca="1">U$38</f>
        <v>151.24285666555127</v>
      </c>
      <c r="C15" s="238"/>
      <c r="D15" s="238"/>
      <c r="E15" s="238"/>
      <c r="F15" s="238"/>
      <c r="G15" s="238"/>
      <c r="H15" s="238"/>
      <c r="I15" s="296"/>
      <c r="J15" s="445"/>
      <c r="K15" s="445"/>
      <c r="L15" s="445"/>
      <c r="M15" s="445"/>
      <c r="N15" s="445"/>
      <c r="O15" s="445"/>
      <c r="P15" s="445"/>
      <c r="Q15" s="445"/>
      <c r="R15" s="445"/>
      <c r="S15" s="445"/>
      <c r="T15" s="445"/>
      <c r="U15" s="200">
        <f ca="1">IF($B15*(1-(U$1-12+0.5)/$B$2)&gt;=0,$B15/$B$2,0)</f>
        <v>30.248571333110256</v>
      </c>
      <c r="V15" s="200">
        <f t="shared" ref="V15:AM15" ca="1" si="11">IF($B15*(1-(V$1-12+0.5)/$B$2)&gt;=0,$B15/$B$2,0)</f>
        <v>30.248571333110256</v>
      </c>
      <c r="W15" s="200">
        <f t="shared" ca="1" si="11"/>
        <v>30.248571333110256</v>
      </c>
      <c r="X15" s="200">
        <f t="shared" ca="1" si="11"/>
        <v>30.248571333110256</v>
      </c>
      <c r="Y15" s="200">
        <f t="shared" ca="1" si="11"/>
        <v>30.248571333110256</v>
      </c>
      <c r="Z15" s="200">
        <f t="shared" ca="1" si="11"/>
        <v>0</v>
      </c>
      <c r="AA15" s="200">
        <f t="shared" ca="1" si="11"/>
        <v>0</v>
      </c>
      <c r="AB15" s="200">
        <f t="shared" ca="1" si="11"/>
        <v>0</v>
      </c>
      <c r="AC15" s="200">
        <f t="shared" ca="1" si="11"/>
        <v>0</v>
      </c>
      <c r="AD15" s="200">
        <f t="shared" ca="1" si="11"/>
        <v>0</v>
      </c>
      <c r="AE15" s="200">
        <f t="shared" ca="1" si="11"/>
        <v>0</v>
      </c>
      <c r="AF15" s="200">
        <f t="shared" ca="1" si="11"/>
        <v>0</v>
      </c>
      <c r="AG15" s="200">
        <f t="shared" ca="1" si="11"/>
        <v>0</v>
      </c>
      <c r="AH15" s="200">
        <f t="shared" ca="1" si="11"/>
        <v>0</v>
      </c>
      <c r="AI15" s="200">
        <f t="shared" ca="1" si="11"/>
        <v>0</v>
      </c>
      <c r="AJ15" s="200">
        <f t="shared" ca="1" si="11"/>
        <v>0</v>
      </c>
      <c r="AK15" s="200">
        <f t="shared" ca="1" si="11"/>
        <v>0</v>
      </c>
      <c r="AL15" s="200">
        <f t="shared" ca="1" si="11"/>
        <v>0</v>
      </c>
      <c r="AM15" s="200">
        <f t="shared" ca="1" si="11"/>
        <v>0</v>
      </c>
      <c r="AN15" s="367"/>
      <c r="AO15" s="367"/>
      <c r="AP15" s="123"/>
      <c r="AQ15" s="123"/>
      <c r="AR15" s="123"/>
    </row>
    <row r="16" spans="1:59" ht="15" hidden="1" customHeight="1">
      <c r="A16" s="311" t="str">
        <f>CONCATENATE(LEFT(V$2,4),"新增长期借款")</f>
        <v>2035新增长期借款</v>
      </c>
      <c r="B16" s="312">
        <f ca="1">V$38</f>
        <v>166.55410706340265</v>
      </c>
      <c r="C16" s="238"/>
      <c r="D16" s="238"/>
      <c r="E16" s="238"/>
      <c r="F16" s="238"/>
      <c r="G16" s="238"/>
      <c r="H16" s="238"/>
      <c r="I16" s="296"/>
      <c r="J16" s="445"/>
      <c r="K16" s="445"/>
      <c r="L16" s="445"/>
      <c r="M16" s="445"/>
      <c r="N16" s="445"/>
      <c r="O16" s="445"/>
      <c r="P16" s="445"/>
      <c r="Q16" s="445"/>
      <c r="R16" s="445"/>
      <c r="S16" s="445"/>
      <c r="T16" s="445"/>
      <c r="U16" s="445"/>
      <c r="V16" s="200">
        <f ca="1">IF($B16*(1-(V$1-13+0.5)/$B$2)&gt;=0,$B16/$B$2,0)</f>
        <v>33.310821412680532</v>
      </c>
      <c r="W16" s="200">
        <f t="shared" ref="W16:AM16" ca="1" si="12">IF($B16*(1-(W$1-13+0.5)/$B$2)&gt;=0,$B16/$B$2,0)</f>
        <v>33.310821412680532</v>
      </c>
      <c r="X16" s="200">
        <f t="shared" ca="1" si="12"/>
        <v>33.310821412680532</v>
      </c>
      <c r="Y16" s="200">
        <f t="shared" ca="1" si="12"/>
        <v>33.310821412680532</v>
      </c>
      <c r="Z16" s="200">
        <f t="shared" ca="1" si="12"/>
        <v>33.310821412680532</v>
      </c>
      <c r="AA16" s="200">
        <f t="shared" ca="1" si="12"/>
        <v>0</v>
      </c>
      <c r="AB16" s="200">
        <f t="shared" ca="1" si="12"/>
        <v>0</v>
      </c>
      <c r="AC16" s="200">
        <f t="shared" ca="1" si="12"/>
        <v>0</v>
      </c>
      <c r="AD16" s="200">
        <f t="shared" ca="1" si="12"/>
        <v>0</v>
      </c>
      <c r="AE16" s="200">
        <f t="shared" ca="1" si="12"/>
        <v>0</v>
      </c>
      <c r="AF16" s="200">
        <f t="shared" ca="1" si="12"/>
        <v>0</v>
      </c>
      <c r="AG16" s="200">
        <f t="shared" ca="1" si="12"/>
        <v>0</v>
      </c>
      <c r="AH16" s="200">
        <f t="shared" ca="1" si="12"/>
        <v>0</v>
      </c>
      <c r="AI16" s="200">
        <f t="shared" ca="1" si="12"/>
        <v>0</v>
      </c>
      <c r="AJ16" s="200">
        <f t="shared" ca="1" si="12"/>
        <v>0</v>
      </c>
      <c r="AK16" s="200">
        <f t="shared" ca="1" si="12"/>
        <v>0</v>
      </c>
      <c r="AL16" s="200">
        <f t="shared" ca="1" si="12"/>
        <v>0</v>
      </c>
      <c r="AM16" s="200">
        <f t="shared" ca="1" si="12"/>
        <v>0</v>
      </c>
      <c r="AN16" s="367"/>
      <c r="AO16" s="367"/>
      <c r="AP16" s="123"/>
      <c r="AQ16" s="123"/>
      <c r="AR16" s="123"/>
    </row>
    <row r="17" spans="1:59" ht="15" hidden="1" customHeight="1">
      <c r="A17" s="311" t="str">
        <f>CONCATENATE(LEFT(W$2,4),"新增长期借款")</f>
        <v>2036新增长期借款</v>
      </c>
      <c r="B17" s="312">
        <f ca="1">W$38</f>
        <v>233.3522919559972</v>
      </c>
      <c r="C17" s="238"/>
      <c r="D17" s="238"/>
      <c r="E17" s="238"/>
      <c r="F17" s="238"/>
      <c r="G17" s="238"/>
      <c r="H17" s="238"/>
      <c r="I17" s="296"/>
      <c r="J17" s="445"/>
      <c r="K17" s="445"/>
      <c r="L17" s="445"/>
      <c r="M17" s="445"/>
      <c r="N17" s="445"/>
      <c r="O17" s="445"/>
      <c r="P17" s="445"/>
      <c r="Q17" s="445"/>
      <c r="R17" s="445"/>
      <c r="S17" s="445"/>
      <c r="T17" s="445"/>
      <c r="U17" s="445"/>
      <c r="V17" s="445"/>
      <c r="W17" s="200">
        <f ca="1">IF($B17*(1-(W$1-14+0.5)/$B$2)&gt;=0,$B17/$B$2,0)</f>
        <v>46.670458391199439</v>
      </c>
      <c r="X17" s="200">
        <f t="shared" ref="X17:AM17" ca="1" si="13">IF($B17*(1-(X$1-14+0.5)/$B$2)&gt;=0,$B17/$B$2,0)</f>
        <v>46.670458391199439</v>
      </c>
      <c r="Y17" s="200">
        <f t="shared" ca="1" si="13"/>
        <v>46.670458391199439</v>
      </c>
      <c r="Z17" s="200">
        <f t="shared" ca="1" si="13"/>
        <v>46.670458391199439</v>
      </c>
      <c r="AA17" s="200">
        <f t="shared" ca="1" si="13"/>
        <v>46.670458391199439</v>
      </c>
      <c r="AB17" s="200">
        <f t="shared" ca="1" si="13"/>
        <v>0</v>
      </c>
      <c r="AC17" s="200">
        <f t="shared" ca="1" si="13"/>
        <v>0</v>
      </c>
      <c r="AD17" s="200">
        <f t="shared" ca="1" si="13"/>
        <v>0</v>
      </c>
      <c r="AE17" s="200">
        <f t="shared" ca="1" si="13"/>
        <v>0</v>
      </c>
      <c r="AF17" s="200">
        <f t="shared" ca="1" si="13"/>
        <v>0</v>
      </c>
      <c r="AG17" s="200">
        <f t="shared" ca="1" si="13"/>
        <v>0</v>
      </c>
      <c r="AH17" s="200">
        <f t="shared" ca="1" si="13"/>
        <v>0</v>
      </c>
      <c r="AI17" s="200">
        <f t="shared" ca="1" si="13"/>
        <v>0</v>
      </c>
      <c r="AJ17" s="200">
        <f t="shared" ca="1" si="13"/>
        <v>0</v>
      </c>
      <c r="AK17" s="200">
        <f t="shared" ca="1" si="13"/>
        <v>0</v>
      </c>
      <c r="AL17" s="200">
        <f t="shared" ca="1" si="13"/>
        <v>0</v>
      </c>
      <c r="AM17" s="200">
        <f t="shared" ca="1" si="13"/>
        <v>0</v>
      </c>
      <c r="AN17" s="367"/>
      <c r="AO17" s="367"/>
      <c r="AP17" s="123"/>
      <c r="AQ17" s="123"/>
      <c r="AR17" s="123"/>
    </row>
    <row r="18" spans="1:59" ht="15" hidden="1" customHeight="1">
      <c r="A18" s="311" t="str">
        <f>CONCATENATE(LEFT(X$2,4),"新增长期借款")</f>
        <v>2037新增长期借款</v>
      </c>
      <c r="B18" s="312">
        <f ca="1">X$38</f>
        <v>265.75931465477612</v>
      </c>
      <c r="C18" s="238"/>
      <c r="D18" s="238"/>
      <c r="E18" s="238"/>
      <c r="F18" s="238"/>
      <c r="G18" s="238"/>
      <c r="H18" s="238"/>
      <c r="I18" s="296"/>
      <c r="J18" s="445"/>
      <c r="K18" s="445"/>
      <c r="L18" s="445"/>
      <c r="M18" s="445"/>
      <c r="N18" s="445"/>
      <c r="O18" s="445"/>
      <c r="P18" s="445"/>
      <c r="Q18" s="445"/>
      <c r="R18" s="445"/>
      <c r="S18" s="445"/>
      <c r="T18" s="445"/>
      <c r="U18" s="445"/>
      <c r="V18" s="445"/>
      <c r="W18" s="445"/>
      <c r="X18" s="200">
        <f ca="1">IF($B18*(1-(X$1-15+0.5)/$B$2)&gt;=0,$B18/$B$2,0)</f>
        <v>53.151862930955225</v>
      </c>
      <c r="Y18" s="200">
        <f t="shared" ref="Y18:AM18" ca="1" si="14">IF($B18*(1-(Y$1-15+0.5)/$B$2)&gt;=0,$B18/$B$2,0)</f>
        <v>53.151862930955225</v>
      </c>
      <c r="Z18" s="200">
        <f t="shared" ca="1" si="14"/>
        <v>53.151862930955225</v>
      </c>
      <c r="AA18" s="200">
        <f t="shared" ca="1" si="14"/>
        <v>53.151862930955225</v>
      </c>
      <c r="AB18" s="200">
        <f t="shared" ca="1" si="14"/>
        <v>53.151862930955225</v>
      </c>
      <c r="AC18" s="200">
        <f t="shared" ca="1" si="14"/>
        <v>0</v>
      </c>
      <c r="AD18" s="200">
        <f t="shared" ca="1" si="14"/>
        <v>0</v>
      </c>
      <c r="AE18" s="200">
        <f t="shared" ca="1" si="14"/>
        <v>0</v>
      </c>
      <c r="AF18" s="200">
        <f t="shared" ca="1" si="14"/>
        <v>0</v>
      </c>
      <c r="AG18" s="200">
        <f t="shared" ca="1" si="14"/>
        <v>0</v>
      </c>
      <c r="AH18" s="200">
        <f t="shared" ca="1" si="14"/>
        <v>0</v>
      </c>
      <c r="AI18" s="200">
        <f t="shared" ca="1" si="14"/>
        <v>0</v>
      </c>
      <c r="AJ18" s="200">
        <f t="shared" ca="1" si="14"/>
        <v>0</v>
      </c>
      <c r="AK18" s="200">
        <f t="shared" ca="1" si="14"/>
        <v>0</v>
      </c>
      <c r="AL18" s="200">
        <f t="shared" ca="1" si="14"/>
        <v>0</v>
      </c>
      <c r="AM18" s="200">
        <f t="shared" ca="1" si="14"/>
        <v>0</v>
      </c>
      <c r="AN18" s="225"/>
      <c r="AO18" s="367"/>
      <c r="AP18" s="123"/>
      <c r="AQ18" s="123"/>
      <c r="AR18" s="123"/>
    </row>
    <row r="19" spans="1:59" s="18" customFormat="1" ht="15" hidden="1" customHeight="1">
      <c r="A19" s="311" t="str">
        <f>CONCATENATE(LEFT(Y$2,4),"新增长期借款")</f>
        <v>2038新增长期借款</v>
      </c>
      <c r="B19" s="312">
        <f ca="1">Y$38</f>
        <v>303.34199010775404</v>
      </c>
      <c r="C19" s="238"/>
      <c r="D19" s="238"/>
      <c r="E19" s="238"/>
      <c r="F19" s="238"/>
      <c r="G19" s="238"/>
      <c r="H19" s="238"/>
      <c r="I19" s="296"/>
      <c r="J19" s="445"/>
      <c r="K19" s="445"/>
      <c r="L19" s="445"/>
      <c r="M19" s="445"/>
      <c r="N19" s="445"/>
      <c r="O19" s="445"/>
      <c r="P19" s="445"/>
      <c r="Q19" s="445"/>
      <c r="R19" s="445"/>
      <c r="S19" s="445"/>
      <c r="T19" s="445"/>
      <c r="U19" s="445"/>
      <c r="V19" s="445"/>
      <c r="W19" s="445"/>
      <c r="X19" s="445"/>
      <c r="Y19" s="200">
        <f ca="1">IF($B19*(1-(Y$1-16+0.5)/$B$2)&gt;=0,$B19/$B$2,0)</f>
        <v>60.668398021550807</v>
      </c>
      <c r="Z19" s="200">
        <f t="shared" ref="Z19:AM19" ca="1" si="15">IF($B19*(1-(Z$1-16+0.5)/$B$2)&gt;=0,$B19/$B$2,0)</f>
        <v>60.668398021550807</v>
      </c>
      <c r="AA19" s="200">
        <f t="shared" ca="1" si="15"/>
        <v>60.668398021550807</v>
      </c>
      <c r="AB19" s="200">
        <f t="shared" ca="1" si="15"/>
        <v>60.668398021550807</v>
      </c>
      <c r="AC19" s="200">
        <f t="shared" ca="1" si="15"/>
        <v>60.668398021550807</v>
      </c>
      <c r="AD19" s="200">
        <f t="shared" ca="1" si="15"/>
        <v>0</v>
      </c>
      <c r="AE19" s="200">
        <f t="shared" ca="1" si="15"/>
        <v>0</v>
      </c>
      <c r="AF19" s="200">
        <f t="shared" ca="1" si="15"/>
        <v>0</v>
      </c>
      <c r="AG19" s="200">
        <f t="shared" ca="1" si="15"/>
        <v>0</v>
      </c>
      <c r="AH19" s="200">
        <f t="shared" ca="1" si="15"/>
        <v>0</v>
      </c>
      <c r="AI19" s="200">
        <f t="shared" ca="1" si="15"/>
        <v>0</v>
      </c>
      <c r="AJ19" s="200">
        <f t="shared" ca="1" si="15"/>
        <v>0</v>
      </c>
      <c r="AK19" s="200">
        <f t="shared" ca="1" si="15"/>
        <v>0</v>
      </c>
      <c r="AL19" s="200">
        <f t="shared" ca="1" si="15"/>
        <v>0</v>
      </c>
      <c r="AM19" s="200">
        <f t="shared" ca="1" si="15"/>
        <v>0</v>
      </c>
      <c r="AN19" s="367"/>
      <c r="AO19" s="225"/>
      <c r="AP19" s="198"/>
      <c r="AQ19" s="198"/>
      <c r="AR19" s="198"/>
      <c r="AS19" s="2"/>
      <c r="AT19" s="2"/>
      <c r="AU19" s="2"/>
      <c r="AV19" s="2"/>
      <c r="AW19" s="2"/>
      <c r="AX19" s="2"/>
      <c r="AY19" s="2"/>
      <c r="AZ19" s="2"/>
      <c r="BA19" s="2"/>
      <c r="BB19" s="2"/>
      <c r="BC19" s="2"/>
      <c r="BD19" s="2"/>
      <c r="BE19" s="2"/>
      <c r="BF19" s="2"/>
      <c r="BG19" s="2"/>
    </row>
    <row r="20" spans="1:59" ht="15" hidden="1" customHeight="1">
      <c r="A20" s="311" t="str">
        <f>CONCATENATE(LEFT(Z$2,4),"新增长期借款")</f>
        <v>2039新增长期借款</v>
      </c>
      <c r="B20" s="312">
        <f ca="1">Z$38</f>
        <v>340.99224070775051</v>
      </c>
      <c r="C20" s="238"/>
      <c r="D20" s="238"/>
      <c r="E20" s="238"/>
      <c r="F20" s="238"/>
      <c r="G20" s="238"/>
      <c r="H20" s="238"/>
      <c r="I20" s="296"/>
      <c r="J20" s="445"/>
      <c r="K20" s="445"/>
      <c r="L20" s="445"/>
      <c r="M20" s="445"/>
      <c r="N20" s="445"/>
      <c r="O20" s="445"/>
      <c r="P20" s="445"/>
      <c r="Q20" s="445"/>
      <c r="R20" s="445"/>
      <c r="S20" s="445"/>
      <c r="T20" s="445"/>
      <c r="U20" s="445"/>
      <c r="V20" s="445"/>
      <c r="W20" s="445"/>
      <c r="X20" s="445"/>
      <c r="Y20" s="445"/>
      <c r="Z20" s="200">
        <f ca="1">IF($B20*(1-(Z$1-17+0.5)/$B$2)&gt;=0,$B20/$B$2,0)</f>
        <v>68.198448141550102</v>
      </c>
      <c r="AA20" s="200">
        <f t="shared" ref="AA20:AM20" ca="1" si="16">IF($B20*(1-(AA$1-17+0.5)/$B$2)&gt;=0,$B20/$B$2,0)</f>
        <v>68.198448141550102</v>
      </c>
      <c r="AB20" s="200">
        <f t="shared" ca="1" si="16"/>
        <v>68.198448141550102</v>
      </c>
      <c r="AC20" s="200">
        <f t="shared" ca="1" si="16"/>
        <v>68.198448141550102</v>
      </c>
      <c r="AD20" s="200">
        <f t="shared" ca="1" si="16"/>
        <v>68.198448141550102</v>
      </c>
      <c r="AE20" s="200">
        <f t="shared" ca="1" si="16"/>
        <v>0</v>
      </c>
      <c r="AF20" s="200">
        <f t="shared" ca="1" si="16"/>
        <v>0</v>
      </c>
      <c r="AG20" s="200">
        <f t="shared" ca="1" si="16"/>
        <v>0</v>
      </c>
      <c r="AH20" s="200">
        <f t="shared" ca="1" si="16"/>
        <v>0</v>
      </c>
      <c r="AI20" s="200">
        <f t="shared" ca="1" si="16"/>
        <v>0</v>
      </c>
      <c r="AJ20" s="200">
        <f t="shared" ca="1" si="16"/>
        <v>0</v>
      </c>
      <c r="AK20" s="200">
        <f t="shared" ca="1" si="16"/>
        <v>0</v>
      </c>
      <c r="AL20" s="200">
        <f t="shared" ca="1" si="16"/>
        <v>0</v>
      </c>
      <c r="AM20" s="200">
        <f t="shared" ca="1" si="16"/>
        <v>0</v>
      </c>
      <c r="AN20" s="367"/>
      <c r="AO20" s="367"/>
      <c r="AP20" s="123"/>
      <c r="AQ20" s="123"/>
      <c r="AR20" s="123"/>
    </row>
    <row r="21" spans="1:59" ht="15" hidden="1" customHeight="1">
      <c r="A21" s="311" t="str">
        <f>CONCATENATE(LEFT(AA$2,4),"新增长期借款")</f>
        <v>2040新增长期借款</v>
      </c>
      <c r="B21" s="312">
        <f ca="1">AA$38</f>
        <v>382.48496603420898</v>
      </c>
      <c r="C21" s="238"/>
      <c r="D21" s="238"/>
      <c r="E21" s="238"/>
      <c r="F21" s="238"/>
      <c r="G21" s="238"/>
      <c r="H21" s="238"/>
      <c r="I21" s="296"/>
      <c r="J21" s="445"/>
      <c r="K21" s="445"/>
      <c r="L21" s="445"/>
      <c r="M21" s="445"/>
      <c r="N21" s="445"/>
      <c r="O21" s="445"/>
      <c r="P21" s="445"/>
      <c r="Q21" s="445"/>
      <c r="R21" s="445"/>
      <c r="S21" s="445"/>
      <c r="T21" s="445"/>
      <c r="U21" s="445"/>
      <c r="V21" s="445"/>
      <c r="W21" s="445"/>
      <c r="X21" s="445"/>
      <c r="Y21" s="445"/>
      <c r="Z21" s="445"/>
      <c r="AA21" s="200">
        <f ca="1">IF($B21*(1-(AA$1-18+0.5)/$B$2)&gt;=0,$B21/$B$2,0)</f>
        <v>76.496993206841793</v>
      </c>
      <c r="AB21" s="200">
        <f t="shared" ref="AB21:AM21" ca="1" si="17">IF($B21*(1-(AB$1-18+0.5)/$B$2)&gt;=0,$B21/$B$2,0)</f>
        <v>76.496993206841793</v>
      </c>
      <c r="AC21" s="200">
        <f t="shared" ca="1" si="17"/>
        <v>76.496993206841793</v>
      </c>
      <c r="AD21" s="200">
        <f t="shared" ca="1" si="17"/>
        <v>76.496993206841793</v>
      </c>
      <c r="AE21" s="200">
        <f t="shared" ca="1" si="17"/>
        <v>76.496993206841793</v>
      </c>
      <c r="AF21" s="200">
        <f t="shared" ca="1" si="17"/>
        <v>0</v>
      </c>
      <c r="AG21" s="200">
        <f t="shared" ca="1" si="17"/>
        <v>0</v>
      </c>
      <c r="AH21" s="200">
        <f t="shared" ca="1" si="17"/>
        <v>0</v>
      </c>
      <c r="AI21" s="200">
        <f t="shared" ca="1" si="17"/>
        <v>0</v>
      </c>
      <c r="AJ21" s="200">
        <f t="shared" ca="1" si="17"/>
        <v>0</v>
      </c>
      <c r="AK21" s="200">
        <f t="shared" ca="1" si="17"/>
        <v>0</v>
      </c>
      <c r="AL21" s="200">
        <f t="shared" ca="1" si="17"/>
        <v>0</v>
      </c>
      <c r="AM21" s="200">
        <f t="shared" ca="1" si="17"/>
        <v>0</v>
      </c>
      <c r="AN21" s="225"/>
      <c r="AO21" s="367"/>
      <c r="AP21" s="123"/>
      <c r="AQ21" s="123"/>
      <c r="AR21" s="123"/>
    </row>
    <row r="22" spans="1:59" s="2" customFormat="1" ht="15" hidden="1" customHeight="1">
      <c r="A22" s="311" t="str">
        <f>CONCATENATE(LEFT(AB$2,4),"新增长期借款")</f>
        <v>2041新增长期借款</v>
      </c>
      <c r="B22" s="312">
        <f ca="1">AB$38</f>
        <v>430.72327107654741</v>
      </c>
      <c r="C22" s="238"/>
      <c r="D22" s="238"/>
      <c r="E22" s="238"/>
      <c r="F22" s="238"/>
      <c r="G22" s="238"/>
      <c r="H22" s="238"/>
      <c r="I22" s="296"/>
      <c r="J22" s="445"/>
      <c r="K22" s="445"/>
      <c r="L22" s="445"/>
      <c r="M22" s="445"/>
      <c r="N22" s="445"/>
      <c r="O22" s="445"/>
      <c r="P22" s="445"/>
      <c r="Q22" s="445"/>
      <c r="R22" s="445"/>
      <c r="S22" s="445"/>
      <c r="T22" s="445"/>
      <c r="U22" s="445"/>
      <c r="V22" s="445"/>
      <c r="W22" s="445"/>
      <c r="X22" s="445"/>
      <c r="Y22" s="445"/>
      <c r="Z22" s="445"/>
      <c r="AA22" s="445"/>
      <c r="AB22" s="200">
        <f ca="1">IF($B22*(1-(AB$1-19+0.5)/$B$2)&gt;=0,$B22/$B$2,0)</f>
        <v>86.144654215309487</v>
      </c>
      <c r="AC22" s="200">
        <f t="shared" ref="AC22:AM22" ca="1" si="18">IF($B22*(1-(AC$1-19+0.5)/$B$2)&gt;=0,$B22/$B$2,0)</f>
        <v>86.144654215309487</v>
      </c>
      <c r="AD22" s="200">
        <f t="shared" ca="1" si="18"/>
        <v>86.144654215309487</v>
      </c>
      <c r="AE22" s="200">
        <f t="shared" ca="1" si="18"/>
        <v>86.144654215309487</v>
      </c>
      <c r="AF22" s="200">
        <f t="shared" ca="1" si="18"/>
        <v>86.144654215309487</v>
      </c>
      <c r="AG22" s="200">
        <f t="shared" ca="1" si="18"/>
        <v>0</v>
      </c>
      <c r="AH22" s="200">
        <f t="shared" ca="1" si="18"/>
        <v>0</v>
      </c>
      <c r="AI22" s="200">
        <f t="shared" ca="1" si="18"/>
        <v>0</v>
      </c>
      <c r="AJ22" s="200">
        <f t="shared" ca="1" si="18"/>
        <v>0</v>
      </c>
      <c r="AK22" s="200">
        <f t="shared" ca="1" si="18"/>
        <v>0</v>
      </c>
      <c r="AL22" s="200">
        <f t="shared" ca="1" si="18"/>
        <v>0</v>
      </c>
      <c r="AM22" s="200">
        <f t="shared" ca="1" si="18"/>
        <v>0</v>
      </c>
      <c r="AN22" s="225"/>
      <c r="AO22" s="225"/>
      <c r="AP22" s="198"/>
      <c r="AQ22" s="198"/>
      <c r="AR22" s="198"/>
    </row>
    <row r="23" spans="1:59" s="2" customFormat="1" ht="15" hidden="1" customHeight="1">
      <c r="A23" s="311" t="str">
        <f>CONCATENATE(LEFT(AC$2,4),"新增长期借款")</f>
        <v>2042新增长期借款</v>
      </c>
      <c r="B23" s="312">
        <f ca="1">AC$38</f>
        <v>486.29533596115783</v>
      </c>
      <c r="C23" s="238"/>
      <c r="D23" s="238"/>
      <c r="E23" s="238"/>
      <c r="F23" s="238"/>
      <c r="G23" s="238"/>
      <c r="H23" s="238"/>
      <c r="I23" s="296"/>
      <c r="J23" s="445"/>
      <c r="K23" s="445"/>
      <c r="L23" s="445"/>
      <c r="M23" s="445"/>
      <c r="N23" s="445"/>
      <c r="O23" s="445"/>
      <c r="P23" s="445"/>
      <c r="Q23" s="445"/>
      <c r="R23" s="445"/>
      <c r="S23" s="445"/>
      <c r="T23" s="445"/>
      <c r="U23" s="445"/>
      <c r="V23" s="445"/>
      <c r="W23" s="445"/>
      <c r="X23" s="445"/>
      <c r="Y23" s="445"/>
      <c r="Z23" s="445"/>
      <c r="AA23" s="445"/>
      <c r="AB23" s="445"/>
      <c r="AC23" s="200">
        <f ca="1">IF($B23*(1-(AC$1-20+0.5)/$B$2)&gt;=0,$B23/$B$2,0)</f>
        <v>97.259067192231569</v>
      </c>
      <c r="AD23" s="200">
        <f t="shared" ref="AD23:AM23" ca="1" si="19">IF($B23*(1-(AD$1-20+0.5)/$B$2)&gt;=0,$B23/$B$2,0)</f>
        <v>97.259067192231569</v>
      </c>
      <c r="AE23" s="200">
        <f t="shared" ca="1" si="19"/>
        <v>97.259067192231569</v>
      </c>
      <c r="AF23" s="200">
        <f t="shared" ca="1" si="19"/>
        <v>97.259067192231569</v>
      </c>
      <c r="AG23" s="200">
        <f t="shared" ca="1" si="19"/>
        <v>97.259067192231569</v>
      </c>
      <c r="AH23" s="200">
        <f t="shared" ca="1" si="19"/>
        <v>0</v>
      </c>
      <c r="AI23" s="200">
        <f t="shared" ca="1" si="19"/>
        <v>0</v>
      </c>
      <c r="AJ23" s="200">
        <f t="shared" ca="1" si="19"/>
        <v>0</v>
      </c>
      <c r="AK23" s="200">
        <f t="shared" ca="1" si="19"/>
        <v>0</v>
      </c>
      <c r="AL23" s="200">
        <f t="shared" ca="1" si="19"/>
        <v>0</v>
      </c>
      <c r="AM23" s="200">
        <f t="shared" ca="1" si="19"/>
        <v>0</v>
      </c>
      <c r="AN23" s="367"/>
      <c r="AO23" s="225"/>
      <c r="AP23" s="198"/>
      <c r="AQ23" s="198"/>
      <c r="AR23" s="198"/>
    </row>
    <row r="24" spans="1:59" ht="15" hidden="1" customHeight="1">
      <c r="A24" s="311" t="str">
        <f>CONCATENATE(LEFT(AD$2,4),"新增长期借款")</f>
        <v>2043新增长期借款</v>
      </c>
      <c r="B24" s="312">
        <f ca="1">AD$38</f>
        <v>549.81642544196234</v>
      </c>
      <c r="C24" s="238"/>
      <c r="D24" s="238"/>
      <c r="E24" s="238"/>
      <c r="F24" s="238"/>
      <c r="G24" s="238"/>
      <c r="H24" s="238"/>
      <c r="I24" s="296"/>
      <c r="J24" s="445"/>
      <c r="K24" s="445"/>
      <c r="L24" s="445"/>
      <c r="M24" s="445"/>
      <c r="N24" s="445"/>
      <c r="O24" s="445"/>
      <c r="P24" s="445"/>
      <c r="Q24" s="445"/>
      <c r="R24" s="445"/>
      <c r="S24" s="445"/>
      <c r="T24" s="445"/>
      <c r="U24" s="445"/>
      <c r="V24" s="445"/>
      <c r="W24" s="445"/>
      <c r="X24" s="445"/>
      <c r="Y24" s="445"/>
      <c r="Z24" s="445"/>
      <c r="AA24" s="445"/>
      <c r="AB24" s="445"/>
      <c r="AC24" s="445"/>
      <c r="AD24" s="200">
        <f ca="1">IF($B24*(1-(AD$1-21+0.5)/$B$2)&gt;=0,$B24/$B$2,0)</f>
        <v>109.96328508839247</v>
      </c>
      <c r="AE24" s="200">
        <f t="shared" ref="AE24:AM24" ca="1" si="20">IF($B24*(1-(AE$1-21+0.5)/$B$2)&gt;=0,$B24/$B$2,0)</f>
        <v>109.96328508839247</v>
      </c>
      <c r="AF24" s="200">
        <f t="shared" ca="1" si="20"/>
        <v>109.96328508839247</v>
      </c>
      <c r="AG24" s="200">
        <f t="shared" ca="1" si="20"/>
        <v>109.96328508839247</v>
      </c>
      <c r="AH24" s="200">
        <f t="shared" ca="1" si="20"/>
        <v>109.96328508839247</v>
      </c>
      <c r="AI24" s="200">
        <f t="shared" ca="1" si="20"/>
        <v>0</v>
      </c>
      <c r="AJ24" s="200">
        <f t="shared" ca="1" si="20"/>
        <v>0</v>
      </c>
      <c r="AK24" s="200">
        <f t="shared" ca="1" si="20"/>
        <v>0</v>
      </c>
      <c r="AL24" s="200">
        <f t="shared" ca="1" si="20"/>
        <v>0</v>
      </c>
      <c r="AM24" s="200">
        <f t="shared" ca="1" si="20"/>
        <v>0</v>
      </c>
      <c r="AN24" s="367"/>
      <c r="AO24" s="367"/>
      <c r="AP24" s="123"/>
      <c r="AQ24" s="123"/>
      <c r="AR24" s="123"/>
    </row>
    <row r="25" spans="1:59" ht="15" hidden="1" customHeight="1">
      <c r="A25" s="311" t="str">
        <f>CONCATENATE(LEFT(AE$2,4),"新增长期借款")</f>
        <v>2044新增长期借款</v>
      </c>
      <c r="B25" s="312">
        <f ca="1">AE$38</f>
        <v>619.5297227209636</v>
      </c>
      <c r="C25" s="238"/>
      <c r="D25" s="238"/>
      <c r="E25" s="238"/>
      <c r="F25" s="238"/>
      <c r="G25" s="238"/>
      <c r="H25" s="238"/>
      <c r="I25" s="296"/>
      <c r="J25" s="445"/>
      <c r="K25" s="445"/>
      <c r="L25" s="445"/>
      <c r="M25" s="445"/>
      <c r="N25" s="445"/>
      <c r="O25" s="445"/>
      <c r="P25" s="445"/>
      <c r="Q25" s="445"/>
      <c r="R25" s="445"/>
      <c r="S25" s="445"/>
      <c r="T25" s="445"/>
      <c r="U25" s="445"/>
      <c r="V25" s="445"/>
      <c r="W25" s="445"/>
      <c r="X25" s="445"/>
      <c r="Y25" s="445"/>
      <c r="Z25" s="445"/>
      <c r="AA25" s="445"/>
      <c r="AB25" s="445"/>
      <c r="AC25" s="445"/>
      <c r="AD25" s="445"/>
      <c r="AE25" s="200">
        <f ca="1">IF($B25*(1-(AE$1-22+0.5)/$B$2)&gt;=0,$B25/$B$2,0)</f>
        <v>123.90594454419272</v>
      </c>
      <c r="AF25" s="200">
        <f t="shared" ref="AF25:AM25" ca="1" si="21">IF($B25*(1-(AF$1-22+0.5)/$B$2)&gt;=0,$B25/$B$2,0)</f>
        <v>123.90594454419272</v>
      </c>
      <c r="AG25" s="200">
        <f t="shared" ca="1" si="21"/>
        <v>123.90594454419272</v>
      </c>
      <c r="AH25" s="200">
        <f t="shared" ca="1" si="21"/>
        <v>123.90594454419272</v>
      </c>
      <c r="AI25" s="200">
        <f t="shared" ca="1" si="21"/>
        <v>123.90594454419272</v>
      </c>
      <c r="AJ25" s="200">
        <f t="shared" ca="1" si="21"/>
        <v>0</v>
      </c>
      <c r="AK25" s="200">
        <f t="shared" ca="1" si="21"/>
        <v>0</v>
      </c>
      <c r="AL25" s="200">
        <f t="shared" ca="1" si="21"/>
        <v>0</v>
      </c>
      <c r="AM25" s="200">
        <f t="shared" ca="1" si="21"/>
        <v>0</v>
      </c>
      <c r="AN25" s="225"/>
      <c r="AO25" s="367"/>
      <c r="AP25" s="123"/>
      <c r="AQ25" s="123"/>
      <c r="AR25" s="123"/>
    </row>
    <row r="26" spans="1:59" s="18" customFormat="1" ht="15" hidden="1" customHeight="1">
      <c r="A26" s="311" t="str">
        <f>CONCATENATE(LEFT(AF$2,4),"新增长期借款")</f>
        <v>2045新增长期借款</v>
      </c>
      <c r="B26" s="312">
        <f ca="1">AF$38</f>
        <v>697.81090252550496</v>
      </c>
      <c r="C26" s="238"/>
      <c r="D26" s="238"/>
      <c r="E26" s="238"/>
      <c r="F26" s="238"/>
      <c r="G26" s="238"/>
      <c r="H26" s="238"/>
      <c r="I26" s="296"/>
      <c r="J26" s="445"/>
      <c r="K26" s="445"/>
      <c r="L26" s="445"/>
      <c r="M26" s="445"/>
      <c r="N26" s="445"/>
      <c r="O26" s="445"/>
      <c r="P26" s="445"/>
      <c r="Q26" s="445"/>
      <c r="R26" s="445"/>
      <c r="S26" s="445"/>
      <c r="T26" s="445"/>
      <c r="U26" s="445"/>
      <c r="V26" s="445"/>
      <c r="W26" s="445"/>
      <c r="X26" s="445"/>
      <c r="Y26" s="445"/>
      <c r="Z26" s="445"/>
      <c r="AA26" s="445"/>
      <c r="AB26" s="445"/>
      <c r="AC26" s="445"/>
      <c r="AD26" s="445"/>
      <c r="AE26" s="445"/>
      <c r="AF26" s="200">
        <f ca="1">IF($B26*(1-(AF$1-23+0.5)/$B$2)&gt;=0,$B26/$B$2,0)</f>
        <v>139.562180505101</v>
      </c>
      <c r="AG26" s="200">
        <f t="shared" ref="AG26:AM26" ca="1" si="22">IF($B26*(1-(AG$1-23+0.5)/$B$2)&gt;=0,$B26/$B$2,0)</f>
        <v>139.562180505101</v>
      </c>
      <c r="AH26" s="200">
        <f t="shared" ca="1" si="22"/>
        <v>139.562180505101</v>
      </c>
      <c r="AI26" s="200">
        <f t="shared" ca="1" si="22"/>
        <v>139.562180505101</v>
      </c>
      <c r="AJ26" s="200">
        <f t="shared" ca="1" si="22"/>
        <v>139.562180505101</v>
      </c>
      <c r="AK26" s="200">
        <f t="shared" ca="1" si="22"/>
        <v>0</v>
      </c>
      <c r="AL26" s="200">
        <f t="shared" ca="1" si="22"/>
        <v>0</v>
      </c>
      <c r="AM26" s="200">
        <f t="shared" ca="1" si="22"/>
        <v>0</v>
      </c>
      <c r="AN26" s="225"/>
      <c r="AO26" s="225"/>
      <c r="AP26" s="198"/>
      <c r="AQ26" s="198"/>
      <c r="AR26" s="198"/>
      <c r="AS26" s="2"/>
      <c r="AT26" s="2"/>
      <c r="AU26" s="2"/>
      <c r="AV26" s="2"/>
      <c r="AW26" s="2"/>
      <c r="AX26" s="2"/>
      <c r="AY26" s="2"/>
      <c r="AZ26" s="2"/>
      <c r="BA26" s="2"/>
      <c r="BB26" s="2"/>
      <c r="BC26" s="2"/>
      <c r="BD26" s="2"/>
      <c r="BE26" s="2"/>
      <c r="BF26" s="2"/>
      <c r="BG26" s="2"/>
    </row>
    <row r="27" spans="1:59" s="2" customFormat="1" ht="15" hidden="1" customHeight="1">
      <c r="A27" s="311" t="str">
        <f>CONCATENATE(LEFT(AG$2,4),"新增长期借款")</f>
        <v>2046新增长期借款</v>
      </c>
      <c r="B27" s="312">
        <f ca="1">AG$38</f>
        <v>788.29369199614371</v>
      </c>
      <c r="C27" s="238"/>
      <c r="D27" s="238"/>
      <c r="E27" s="238"/>
      <c r="F27" s="238"/>
      <c r="G27" s="238"/>
      <c r="H27" s="238"/>
      <c r="I27" s="296"/>
      <c r="J27" s="445"/>
      <c r="K27" s="445"/>
      <c r="L27" s="445"/>
      <c r="M27" s="445"/>
      <c r="N27" s="445"/>
      <c r="O27" s="445"/>
      <c r="P27" s="445"/>
      <c r="Q27" s="445"/>
      <c r="R27" s="445"/>
      <c r="S27" s="445"/>
      <c r="T27" s="445"/>
      <c r="U27" s="445"/>
      <c r="V27" s="445"/>
      <c r="W27" s="445"/>
      <c r="X27" s="445"/>
      <c r="Y27" s="445"/>
      <c r="Z27" s="445"/>
      <c r="AA27" s="445"/>
      <c r="AB27" s="445"/>
      <c r="AC27" s="445"/>
      <c r="AD27" s="445"/>
      <c r="AE27" s="445"/>
      <c r="AF27" s="445"/>
      <c r="AG27" s="200">
        <f ca="1">IF($B27*(1-(AG$1-24+0.5)/$B$2)&gt;=0,$B27/$B$2,0)</f>
        <v>157.65873839922875</v>
      </c>
      <c r="AH27" s="200">
        <f t="shared" ref="AH27:AM27" ca="1" si="23">IF($B27*(1-(AH$1-24+0.5)/$B$2)&gt;=0,$B27/$B$2,0)</f>
        <v>157.65873839922875</v>
      </c>
      <c r="AI27" s="200">
        <f t="shared" ca="1" si="23"/>
        <v>157.65873839922875</v>
      </c>
      <c r="AJ27" s="200">
        <f t="shared" ca="1" si="23"/>
        <v>157.65873839922875</v>
      </c>
      <c r="AK27" s="200">
        <f t="shared" ca="1" si="23"/>
        <v>157.65873839922875</v>
      </c>
      <c r="AL27" s="200">
        <f t="shared" ca="1" si="23"/>
        <v>0</v>
      </c>
      <c r="AM27" s="200">
        <f t="shared" ca="1" si="23"/>
        <v>0</v>
      </c>
      <c r="AN27" s="367"/>
      <c r="AO27" s="225"/>
      <c r="AP27" s="198"/>
      <c r="AQ27" s="198"/>
      <c r="AR27" s="198"/>
    </row>
    <row r="28" spans="1:59" ht="15" hidden="1" customHeight="1">
      <c r="A28" s="311" t="str">
        <f>CONCATENATE(LEFT(AH$2,4),"新增长期借款")</f>
        <v>2047新增长期借款</v>
      </c>
      <c r="B28" s="312">
        <f ca="1">AH$38</f>
        <v>890.043853598032</v>
      </c>
      <c r="C28" s="238"/>
      <c r="D28" s="238"/>
      <c r="E28" s="238"/>
      <c r="F28" s="238"/>
      <c r="G28" s="238"/>
      <c r="H28" s="238"/>
      <c r="I28" s="296"/>
      <c r="J28" s="445"/>
      <c r="K28" s="445"/>
      <c r="L28" s="445"/>
      <c r="M28" s="445"/>
      <c r="N28" s="445"/>
      <c r="O28" s="445"/>
      <c r="P28" s="445"/>
      <c r="Q28" s="445"/>
      <c r="R28" s="445"/>
      <c r="S28" s="445"/>
      <c r="T28" s="445"/>
      <c r="U28" s="445"/>
      <c r="V28" s="445"/>
      <c r="W28" s="445"/>
      <c r="X28" s="445"/>
      <c r="Y28" s="445"/>
      <c r="Z28" s="445"/>
      <c r="AA28" s="445"/>
      <c r="AB28" s="445"/>
      <c r="AC28" s="445"/>
      <c r="AD28" s="445"/>
      <c r="AE28" s="445"/>
      <c r="AF28" s="445"/>
      <c r="AG28" s="445"/>
      <c r="AH28" s="200">
        <f t="shared" ref="AH28:AM28" ca="1" si="24">IF($B28*(1-(AH$1-25+0.5)/$B$2)&gt;=0,$B28/$B$2,0)</f>
        <v>178.00877071960639</v>
      </c>
      <c r="AI28" s="200">
        <f t="shared" ca="1" si="24"/>
        <v>178.00877071960639</v>
      </c>
      <c r="AJ28" s="200">
        <f t="shared" ca="1" si="24"/>
        <v>178.00877071960639</v>
      </c>
      <c r="AK28" s="200">
        <f t="shared" ca="1" si="24"/>
        <v>178.00877071960639</v>
      </c>
      <c r="AL28" s="200">
        <f t="shared" ca="1" si="24"/>
        <v>178.00877071960639</v>
      </c>
      <c r="AM28" s="200">
        <f t="shared" ca="1" si="24"/>
        <v>0</v>
      </c>
      <c r="AN28" s="444"/>
      <c r="AO28" s="367"/>
      <c r="AP28" s="123"/>
      <c r="AQ28" s="123"/>
      <c r="AR28" s="123"/>
    </row>
    <row r="29" spans="1:59" ht="15" hidden="1" customHeight="1">
      <c r="A29" s="311" t="str">
        <f>CONCATENATE(LEFT(AI$2,4),"新增长期借款")</f>
        <v>2048新增长期借款</v>
      </c>
      <c r="B29" s="312">
        <f ca="1">AI$38</f>
        <v>1004.2021239727263</v>
      </c>
      <c r="C29" s="238"/>
      <c r="D29" s="238"/>
      <c r="E29" s="238"/>
      <c r="F29" s="238"/>
      <c r="G29" s="238"/>
      <c r="H29" s="238"/>
      <c r="I29" s="296"/>
      <c r="J29" s="445"/>
      <c r="K29" s="445"/>
      <c r="L29" s="445"/>
      <c r="M29" s="445"/>
      <c r="N29" s="445"/>
      <c r="O29" s="445"/>
      <c r="P29" s="445"/>
      <c r="Q29" s="445"/>
      <c r="R29" s="445"/>
      <c r="S29" s="445"/>
      <c r="T29" s="445"/>
      <c r="U29" s="445"/>
      <c r="V29" s="445"/>
      <c r="W29" s="445"/>
      <c r="X29" s="445"/>
      <c r="Y29" s="445"/>
      <c r="Z29" s="445"/>
      <c r="AA29" s="445"/>
      <c r="AB29" s="445"/>
      <c r="AC29" s="445"/>
      <c r="AD29" s="445"/>
      <c r="AE29" s="445"/>
      <c r="AF29" s="445"/>
      <c r="AG29" s="445"/>
      <c r="AH29" s="445"/>
      <c r="AI29" s="200">
        <f ca="1">IF($B29*(1-(AI$1-26+0.5)/$B$2)&gt;=0,$B29/$B$2,0)</f>
        <v>200.84042479454527</v>
      </c>
      <c r="AJ29" s="200">
        <f ca="1">IF($B29*(1-(AJ$1-26+0.5)/$B$2)&gt;=0,$B29/$B$2,0)</f>
        <v>200.84042479454527</v>
      </c>
      <c r="AK29" s="200">
        <f ca="1">IF($B29*(1-(AK$1-26+0.5)/$B$2)&gt;=0,$B29/$B$2,0)</f>
        <v>200.84042479454527</v>
      </c>
      <c r="AL29" s="200">
        <f ca="1">IF($B29*(1-(AL$1-26+0.5)/$B$2)&gt;=0,$B29/$B$2,0)</f>
        <v>200.84042479454527</v>
      </c>
      <c r="AM29" s="200">
        <f ca="1">IF($B29*(1-(AM$1-26+0.5)/$B$2)&gt;=0,$B29/$B$2,0)</f>
        <v>200.84042479454527</v>
      </c>
      <c r="AN29" s="444"/>
      <c r="AO29" s="444"/>
    </row>
    <row r="30" spans="1:59" ht="15" hidden="1" customHeight="1">
      <c r="A30" s="311" t="str">
        <f>CONCATENATE(LEFT(AJ$2,4),"新增长期借款")</f>
        <v>2049新增长期借款</v>
      </c>
      <c r="B30" s="312">
        <f ca="1">AJ$38</f>
        <v>1134.1260775234957</v>
      </c>
      <c r="C30" s="238"/>
      <c r="D30" s="238"/>
      <c r="E30" s="238"/>
      <c r="F30" s="238"/>
      <c r="G30" s="238"/>
      <c r="H30" s="238"/>
      <c r="I30" s="296"/>
      <c r="J30" s="445"/>
      <c r="K30" s="445"/>
      <c r="L30" s="445"/>
      <c r="M30" s="445"/>
      <c r="N30" s="445"/>
      <c r="O30" s="445"/>
      <c r="P30" s="445"/>
      <c r="Q30" s="445"/>
      <c r="R30" s="445"/>
      <c r="S30" s="445"/>
      <c r="T30" s="445"/>
      <c r="U30" s="445"/>
      <c r="V30" s="445"/>
      <c r="W30" s="445"/>
      <c r="X30" s="445"/>
      <c r="Y30" s="445"/>
      <c r="Z30" s="445"/>
      <c r="AA30" s="445"/>
      <c r="AB30" s="445"/>
      <c r="AC30" s="445"/>
      <c r="AD30" s="445"/>
      <c r="AE30" s="445"/>
      <c r="AF30" s="445"/>
      <c r="AG30" s="445"/>
      <c r="AH30" s="445"/>
      <c r="AI30" s="445"/>
      <c r="AJ30" s="200">
        <f ca="1">IF($B30*(1-(AJ$1-27+0.5)/$B$2)&gt;=0,$B30/$B$2,0)</f>
        <v>226.82521550469914</v>
      </c>
      <c r="AK30" s="200">
        <f ca="1">IF($B30*(1-(AK$1-27+0.5)/$B$2)&gt;=0,$B30/$B$2,0)</f>
        <v>226.82521550469914</v>
      </c>
      <c r="AL30" s="200">
        <f ca="1">IF($B30*(1-(AL$1-27+0.5)/$B$2)&gt;=0,$B30/$B$2,0)</f>
        <v>226.82521550469914</v>
      </c>
      <c r="AM30" s="200">
        <f ca="1">IF($B30*(1-(AM$1-27+0.5)/$B$2)&gt;=0,$B30/$B$2,0)</f>
        <v>226.82521550469914</v>
      </c>
      <c r="AN30" s="444"/>
      <c r="AO30" s="444"/>
    </row>
    <row r="31" spans="1:59" ht="15" hidden="1" customHeight="1">
      <c r="A31" s="311" t="str">
        <f>CONCATENATE(LEFT(AK$2,4),"新增长期借款")</f>
        <v>2050新增长期借款</v>
      </c>
      <c r="B31" s="312">
        <f ca="1">AK$38</f>
        <v>1280.4044481930111</v>
      </c>
      <c r="C31" s="238"/>
      <c r="D31" s="238"/>
      <c r="E31" s="238"/>
      <c r="F31" s="238"/>
      <c r="G31" s="238"/>
      <c r="H31" s="238"/>
      <c r="I31" s="296"/>
      <c r="J31" s="445"/>
      <c r="K31" s="445"/>
      <c r="L31" s="445"/>
      <c r="M31" s="445"/>
      <c r="N31" s="445"/>
      <c r="O31" s="445"/>
      <c r="P31" s="445"/>
      <c r="Q31" s="445"/>
      <c r="R31" s="445"/>
      <c r="S31" s="445"/>
      <c r="T31" s="445"/>
      <c r="U31" s="445"/>
      <c r="V31" s="445"/>
      <c r="W31" s="445"/>
      <c r="X31" s="445"/>
      <c r="Y31" s="445"/>
      <c r="Z31" s="445"/>
      <c r="AA31" s="445"/>
      <c r="AB31" s="445"/>
      <c r="AC31" s="445"/>
      <c r="AD31" s="445"/>
      <c r="AE31" s="445"/>
      <c r="AF31" s="445"/>
      <c r="AG31" s="445"/>
      <c r="AH31" s="445"/>
      <c r="AI31" s="445"/>
      <c r="AJ31" s="445"/>
      <c r="AK31" s="200">
        <f ca="1">IF($B31*(1-(AK$1-28+0.5)/$B$2)&gt;=0,$B31/$B$2,0)</f>
        <v>256.08088963860223</v>
      </c>
      <c r="AL31" s="200">
        <f ca="1">IF($B31*(1-(AL$1-28+0.5)/$B$2)&gt;=0,$B31/$B$2,0)</f>
        <v>256.08088963860223</v>
      </c>
      <c r="AM31" s="200">
        <f ca="1">IF($B31*(1-(AM$1-28+0.5)/$B$2)&gt;=0,$B31/$B$2,0)</f>
        <v>256.08088963860223</v>
      </c>
      <c r="AN31" s="444"/>
      <c r="AO31" s="444"/>
    </row>
    <row r="32" spans="1:59" ht="15" hidden="1" customHeight="1">
      <c r="A32" s="311" t="str">
        <f>CONCATENATE(LEFT(AL$2,4),"新增长期借款")</f>
        <v>2051新增长期借款</v>
      </c>
      <c r="B32" s="312">
        <f ca="1">AL$38</f>
        <v>1445.4810405902874</v>
      </c>
      <c r="C32" s="238"/>
      <c r="D32" s="238"/>
      <c r="E32" s="238"/>
      <c r="F32" s="238"/>
      <c r="G32" s="238"/>
      <c r="H32" s="238"/>
      <c r="I32" s="296"/>
      <c r="J32" s="445"/>
      <c r="K32" s="445"/>
      <c r="L32" s="445"/>
      <c r="M32" s="445"/>
      <c r="N32" s="445"/>
      <c r="O32" s="445"/>
      <c r="P32" s="445"/>
      <c r="Q32" s="445"/>
      <c r="R32" s="445"/>
      <c r="S32" s="445"/>
      <c r="T32" s="445"/>
      <c r="U32" s="445"/>
      <c r="V32" s="445"/>
      <c r="W32" s="445"/>
      <c r="X32" s="445"/>
      <c r="Y32" s="445"/>
      <c r="Z32" s="445"/>
      <c r="AA32" s="445"/>
      <c r="AB32" s="445"/>
      <c r="AC32" s="445"/>
      <c r="AD32" s="445"/>
      <c r="AE32" s="445"/>
      <c r="AF32" s="445"/>
      <c r="AG32" s="445"/>
      <c r="AH32" s="445"/>
      <c r="AI32" s="445"/>
      <c r="AJ32" s="445"/>
      <c r="AK32" s="445"/>
      <c r="AL32" s="200">
        <f ca="1">IF($B32*(1-(AL$1-29+0.5)/$B$2)&gt;=0,$B32/$B$2,0)</f>
        <v>289.09620811805746</v>
      </c>
      <c r="AM32" s="200">
        <f ca="1">IF($B32*(1-(AM$1-29+0.5)/$B$2)&gt;=0,$B32/$B$2,0)</f>
        <v>289.09620811805746</v>
      </c>
      <c r="AN32" s="444"/>
      <c r="AO32" s="444"/>
    </row>
    <row r="33" spans="1:41" ht="15" hidden="1" customHeight="1">
      <c r="A33" s="311" t="str">
        <f>CONCATENATE(LEFT(AM$2,4),"新增长期借款")</f>
        <v>2052新增长期借款</v>
      </c>
      <c r="B33" s="312">
        <f ca="1">AM$38</f>
        <v>1633.2094564863824</v>
      </c>
      <c r="C33" s="238"/>
      <c r="D33" s="238"/>
      <c r="E33" s="238"/>
      <c r="F33" s="238"/>
      <c r="G33" s="238"/>
      <c r="H33" s="238"/>
      <c r="I33" s="296"/>
      <c r="J33" s="445"/>
      <c r="K33" s="445"/>
      <c r="L33" s="445"/>
      <c r="M33" s="445"/>
      <c r="N33" s="445"/>
      <c r="O33" s="445"/>
      <c r="P33" s="445"/>
      <c r="Q33" s="445"/>
      <c r="R33" s="445"/>
      <c r="S33" s="445"/>
      <c r="T33" s="445"/>
      <c r="U33" s="445"/>
      <c r="V33" s="445"/>
      <c r="W33" s="445"/>
      <c r="X33" s="445"/>
      <c r="Y33" s="445"/>
      <c r="Z33" s="445"/>
      <c r="AA33" s="445"/>
      <c r="AB33" s="445"/>
      <c r="AC33" s="445"/>
      <c r="AD33" s="445"/>
      <c r="AE33" s="445"/>
      <c r="AF33" s="445"/>
      <c r="AG33" s="445"/>
      <c r="AH33" s="445"/>
      <c r="AI33" s="445"/>
      <c r="AJ33" s="445"/>
      <c r="AK33" s="445"/>
      <c r="AL33" s="445"/>
      <c r="AM33" s="200">
        <f ca="1">IF($B33*(1-(AM$1-30+0.5)/$B$2)&gt;=0,$B33/$B$2,0)</f>
        <v>326.64189129727646</v>
      </c>
      <c r="AN33" s="444"/>
      <c r="AO33" s="444"/>
    </row>
    <row r="34" spans="1:41" ht="18" customHeight="1">
      <c r="A34" s="311"/>
      <c r="B34" s="310"/>
      <c r="C34" s="238"/>
      <c r="D34" s="238"/>
      <c r="E34" s="238"/>
      <c r="F34" s="238"/>
      <c r="G34" s="238"/>
      <c r="H34" s="238"/>
      <c r="I34" s="296"/>
      <c r="J34" s="200"/>
      <c r="K34" s="200"/>
      <c r="L34" s="200"/>
      <c r="M34" s="200"/>
      <c r="N34" s="200"/>
      <c r="O34" s="200"/>
      <c r="P34" s="200"/>
      <c r="Q34" s="200"/>
      <c r="R34" s="200"/>
      <c r="S34" s="200"/>
      <c r="T34" s="200"/>
      <c r="U34" s="200"/>
      <c r="V34" s="200"/>
      <c r="W34" s="200"/>
      <c r="X34" s="200"/>
      <c r="Y34" s="200"/>
      <c r="Z34" s="200"/>
      <c r="AA34" s="200"/>
      <c r="AB34" s="200"/>
      <c r="AC34" s="200"/>
      <c r="AD34" s="200"/>
      <c r="AE34" s="200"/>
      <c r="AF34" s="200"/>
      <c r="AG34" s="200"/>
      <c r="AH34" s="200"/>
      <c r="AI34" s="200"/>
      <c r="AJ34" s="200"/>
      <c r="AK34" s="200"/>
      <c r="AL34" s="200"/>
      <c r="AM34" s="200"/>
      <c r="AN34" s="444"/>
      <c r="AO34" s="444"/>
    </row>
    <row r="35" spans="1:41" ht="18" customHeight="1">
      <c r="A35" s="158"/>
      <c r="B35" s="158"/>
      <c r="C35" s="220"/>
      <c r="D35" s="220"/>
      <c r="E35" s="220"/>
      <c r="F35" s="220"/>
      <c r="G35" s="220"/>
      <c r="H35" s="238"/>
      <c r="I35" s="296"/>
      <c r="J35" s="225"/>
      <c r="K35" s="225"/>
      <c r="L35" s="225"/>
      <c r="M35" s="225"/>
      <c r="N35" s="225"/>
      <c r="O35" s="225"/>
      <c r="P35" s="225"/>
      <c r="Q35" s="225"/>
      <c r="R35" s="225"/>
      <c r="S35" s="225"/>
      <c r="T35" s="225"/>
      <c r="U35" s="225"/>
      <c r="V35" s="225"/>
      <c r="W35" s="225"/>
      <c r="X35" s="225"/>
      <c r="Y35" s="225"/>
      <c r="Z35" s="225"/>
      <c r="AA35" s="225"/>
      <c r="AB35" s="225"/>
      <c r="AC35" s="225"/>
      <c r="AD35" s="225"/>
      <c r="AE35" s="225"/>
      <c r="AF35" s="225"/>
      <c r="AG35" s="225"/>
      <c r="AH35" s="225"/>
      <c r="AI35" s="225"/>
      <c r="AJ35" s="225"/>
      <c r="AK35" s="225"/>
      <c r="AL35" s="225"/>
      <c r="AM35" s="225"/>
      <c r="AN35" s="444"/>
      <c r="AO35" s="444"/>
    </row>
    <row r="36" spans="1:41" ht="18" customHeight="1">
      <c r="A36" s="313" t="s">
        <v>229</v>
      </c>
      <c r="B36" s="293"/>
      <c r="C36" s="127"/>
      <c r="D36" s="127"/>
      <c r="E36" s="127"/>
      <c r="F36" s="127"/>
      <c r="G36" s="127"/>
      <c r="H36" s="220"/>
      <c r="I36" s="123"/>
      <c r="J36" s="200"/>
      <c r="K36" s="200"/>
      <c r="L36" s="200"/>
      <c r="M36" s="200"/>
      <c r="N36" s="200"/>
      <c r="O36" s="200"/>
      <c r="P36" s="200"/>
      <c r="Q36" s="200"/>
      <c r="R36" s="200"/>
      <c r="S36" s="200"/>
      <c r="T36" s="200"/>
      <c r="U36" s="200"/>
      <c r="V36" s="200"/>
      <c r="W36" s="200"/>
      <c r="X36" s="200"/>
      <c r="Y36" s="200"/>
      <c r="Z36" s="200"/>
      <c r="AA36" s="200"/>
      <c r="AB36" s="200"/>
      <c r="AC36" s="200"/>
      <c r="AD36" s="200"/>
      <c r="AE36" s="200"/>
      <c r="AF36" s="200"/>
      <c r="AG36" s="200"/>
      <c r="AH36" s="200"/>
      <c r="AI36" s="200"/>
      <c r="AJ36" s="200"/>
      <c r="AK36" s="200"/>
      <c r="AL36" s="200"/>
      <c r="AM36" s="200"/>
      <c r="AN36" s="444"/>
      <c r="AO36" s="444"/>
    </row>
    <row r="37" spans="1:41" ht="18" customHeight="1">
      <c r="A37" s="295" t="s">
        <v>230</v>
      </c>
      <c r="B37" s="293" t="s">
        <v>1037</v>
      </c>
      <c r="C37" s="127"/>
      <c r="D37" s="127"/>
      <c r="E37" s="127"/>
      <c r="F37" s="127"/>
      <c r="G37" s="127"/>
      <c r="H37" s="127"/>
      <c r="I37" s="123"/>
      <c r="J37" s="367">
        <f>资产负债!H62</f>
        <v>708.48547254999994</v>
      </c>
      <c r="K37" s="367">
        <f ca="1">资产负债!I62</f>
        <v>568.30953474022158</v>
      </c>
      <c r="L37" s="367">
        <f ca="1">资产负债!J62</f>
        <v>491.92876020784615</v>
      </c>
      <c r="M37" s="367">
        <f ca="1">资产负债!K62</f>
        <v>402.1774356581094</v>
      </c>
      <c r="N37" s="367">
        <f ca="1">资产负债!L62</f>
        <v>281.19064658017004</v>
      </c>
      <c r="O37" s="367">
        <f ca="1">资产负债!M62</f>
        <v>131.01588182477434</v>
      </c>
      <c r="P37" s="367">
        <f ca="1">资产负债!N62</f>
        <v>135.42516502015047</v>
      </c>
      <c r="Q37" s="367">
        <f ca="1">资产负债!O62</f>
        <v>155.65938206457218</v>
      </c>
      <c r="R37" s="367">
        <f ca="1">资产负债!P62</f>
        <v>177.87208480727583</v>
      </c>
      <c r="S37" s="367">
        <f ca="1">资产负债!Q62</f>
        <v>195.46998080898067</v>
      </c>
      <c r="T37" s="367">
        <f ca="1">资产负债!R62</f>
        <v>211.64598344456755</v>
      </c>
      <c r="U37" s="367">
        <f ca="1">资产负债!S62</f>
        <v>236.35352304981822</v>
      </c>
      <c r="V37" s="367">
        <f ca="1">资产负债!T62</f>
        <v>267.30760277937009</v>
      </c>
      <c r="W37" s="367">
        <f ca="1">资产负债!U62</f>
        <v>300.29369754796909</v>
      </c>
      <c r="X37" s="367">
        <f ca="1">资产负债!V62</f>
        <v>373.87440596561157</v>
      </c>
      <c r="Y37" s="367">
        <f ca="1">资产负债!W62</f>
        <v>449.48904105589054</v>
      </c>
      <c r="Z37" s="367">
        <f ca="1">资产负债!X62</f>
        <v>528.78091907414841</v>
      </c>
      <c r="AA37" s="367">
        <f ca="1">资产负债!Y62</f>
        <v>607.77317088396285</v>
      </c>
      <c r="AB37" s="367">
        <f ca="1">资产负债!Z62</f>
        <v>685.07197622607453</v>
      </c>
      <c r="AC37" s="367">
        <f ca="1">资产负债!AA62</f>
        <v>771.13489078641442</v>
      </c>
      <c r="AD37" s="367">
        <f ca="1">资产负债!AB62</f>
        <v>868.6626659700886</v>
      </c>
      <c r="AE37" s="367">
        <f ca="1">资产负债!AC62</f>
        <v>980.41664356772537</v>
      </c>
      <c r="AF37" s="367">
        <f ca="1">资产负债!AD62</f>
        <v>1106.176422041721</v>
      </c>
      <c r="AG37" s="367">
        <f ca="1">资产负债!AE62</f>
        <v>1247.1521930219988</v>
      </c>
      <c r="AH37" s="367">
        <f ca="1">资产负债!AF62</f>
        <v>1407.0966692889961</v>
      </c>
      <c r="AI37" s="367">
        <f ca="1">资产负债!AG62</f>
        <v>1588.0416036305066</v>
      </c>
      <c r="AJ37" s="367">
        <f ca="1">资产负债!AH62</f>
        <v>1792.2676686405589</v>
      </c>
      <c r="AK37" s="367">
        <f ca="1">资产负债!AI62</f>
        <v>2023.4984162408737</v>
      </c>
      <c r="AL37" s="367">
        <f ca="1">资产负债!AJ62</f>
        <v>2284.4888253772033</v>
      </c>
      <c r="AM37" s="367">
        <f ca="1">资产负债!AK62</f>
        <v>2579.1183571919801</v>
      </c>
      <c r="AN37" s="367"/>
      <c r="AO37" s="444"/>
    </row>
    <row r="38" spans="1:41" ht="18" customHeight="1">
      <c r="A38" s="169" t="s">
        <v>231</v>
      </c>
      <c r="B38" s="667" t="s">
        <v>1300</v>
      </c>
      <c r="C38" s="299"/>
      <c r="D38" s="299"/>
      <c r="E38" s="299"/>
      <c r="F38" s="299"/>
      <c r="G38" s="299"/>
      <c r="H38" s="127"/>
      <c r="I38" s="123"/>
      <c r="J38" s="367">
        <f ca="1">假设!I105*(资产负债!I30+资产负债!I31+资产负债!I33+资产负债!I34+资产负债!I35+资产负债!I37-资产负债!H30-资产负债!H31-资产负债!H33-资产负债!H34-资产负债!H35-资产负债!H37)</f>
        <v>1.9014458752770098</v>
      </c>
      <c r="K38" s="367">
        <f ca="1">假设!J105*(资产负债!J30+资产负债!J31+资产负债!J33+资产负债!J34+资产负债!J35+资产负债!J37-资产负债!I30-资产负债!I31-资产负债!I33-资产负债!I34-资产负债!I35-资产负债!I37)</f>
        <v>82.120761440849975</v>
      </c>
      <c r="L38" s="367">
        <f ca="1">假设!K105*(资产负债!K30+资产负债!K31+资产负债!K33+资产负债!K34+资产负债!K35+资产负债!K37-资产负债!J30-资产负债!J31-资产负债!J33-资产负债!J34-资产负债!J35-资产负债!J37)</f>
        <v>85.937764279360891</v>
      </c>
      <c r="M38" s="367">
        <f ca="1">假设!L105*(资产负债!L30+资产负债!L31+资产负债!L33+资产负债!L34+资产负债!L35+资产负债!L37-资产负债!K30-资产负债!K31-资产负债!K33-资产负债!K34-资产负债!K35-资产负债!K37)</f>
        <v>68.377874688947756</v>
      </c>
      <c r="N38" s="367">
        <f ca="1">假设!M105*(资产负债!M30+资产负债!M31+资产负债!M33+资产负债!M34+资产负债!M35+资产负债!M37-资产负债!L30-资产负债!L31-资产负债!L33-资产负债!L34-资产负债!L35-资产负债!L37)</f>
        <v>48.987373764364278</v>
      </c>
      <c r="O38" s="367">
        <f ca="1">假设!N105*(资产负债!N30+资产负债!N31+资产负债!N33+资产负债!N34+资产负债!N35+资产负债!N37-资产负债!M30-资产负债!M31-资产负债!M33-资产负债!M34-资产负债!M35-资产负债!M37)</f>
        <v>76.867547537600885</v>
      </c>
      <c r="P38" s="367">
        <f ca="1">假设!O105*(资产负债!O30+资产负债!O31+资产负债!O33+资产负债!O34+资产负债!O35+资产负债!O37-资产负债!N30-资产负债!N31-资产负债!N33-资产负债!N34-资产负债!N35-资产负债!N37)</f>
        <v>95.335411373095624</v>
      </c>
      <c r="Q38" s="367">
        <f ca="1">假设!P105*(资产负债!P30+资产负债!P31+资产负债!P33+资产负债!P34+资产负债!P35+资产负债!P37-资产负债!O30-资产负债!O31-资产负债!O33-资产负债!O34-资产负债!O35-资产负债!O37)</f>
        <v>100.15793026938168</v>
      </c>
      <c r="R38" s="367">
        <f ca="1">假设!Q105*(资产负债!Q30+资产负债!Q31+资产负债!Q33+资产负债!Q34+资产负债!Q35+资产负债!Q37-资产负债!P30-资产负债!P31-资产负债!P33-资产负债!P34-资产负债!P35-资产负债!P37)</f>
        <v>102.33443573824164</v>
      </c>
      <c r="S38" s="367">
        <f ca="1">假设!R105*(资产负债!R30+资产负债!R31+资产负债!R33+资产负债!R34+资产负债!R35+资产负债!R37-资产负债!Q30-资产负债!Q31-资产负债!Q33-资产负债!Q34-资产负债!Q35-资产负债!Q37)</f>
        <v>113.89383452406355</v>
      </c>
      <c r="T38" s="367">
        <f ca="1">假设!S105*(资产负债!S30+资产负债!S31+资产负债!S33+资产负债!S34+资产负债!S35+资产负债!S37-资产负债!R30-资产负债!R31-资产负债!R33-资产负债!R34-资产负债!R35-资产负债!R37)</f>
        <v>133.814827482759</v>
      </c>
      <c r="U38" s="367">
        <f ca="1">假设!T105*(资产负债!T30+资产负债!T31+资产负债!T33+资产负债!T34+资产负债!T35+资产负债!T37-资产负债!S30-资产负债!S31-资产负债!S33-资产负债!S34-资产负债!S35-资产负债!S37)</f>
        <v>151.24285666555127</v>
      </c>
      <c r="V38" s="367">
        <f ca="1">假设!U105*(资产负债!U30+资产负债!U31+资产负债!U33+资产负债!U34+资产负债!U35+资产负债!U37-资产负债!T30-资产负债!T31-资产负债!T33-资产负债!T34-资产负债!T35-资产负债!T37)</f>
        <v>166.55410706340265</v>
      </c>
      <c r="W38" s="367">
        <f ca="1">假设!V105*(资产负债!V30+资产负债!V31+资产负债!V33+资产负债!V34+资产负债!V35+资产负债!V37-资产负债!U30-资产负债!U31-资产负债!U33-资产负债!U34-资产负债!U35-资产负债!U37)</f>
        <v>233.3522919559972</v>
      </c>
      <c r="X38" s="367">
        <f ca="1">假设!W105*(资产负债!W30+资产负债!W31+资产负债!W33+资产负债!W34+资产负债!W35+资产负债!W37-资产负债!V30-资产负债!V31-资产负债!V33-资产负债!V34-资产负债!V35-资产负债!V37)</f>
        <v>265.75931465477612</v>
      </c>
      <c r="Y38" s="367">
        <f ca="1">假设!X105*(资产负债!X30+资产负债!X31+资产负债!X33+资产负债!X34+资产负债!X35+资产负债!X37-资产负债!W30-资产负债!W31-资产负债!W33-资产负债!W34-资产负债!W35-资产负债!W37)</f>
        <v>303.34199010775404</v>
      </c>
      <c r="Z38" s="367">
        <f ca="1">假设!Y105*(资产负债!Y30+资产负债!Y31+资产负债!Y33+资产负债!Y34+资产负债!Y35+资产负债!Y37-资产负债!X30-资产负债!X31-资产负债!X33-资产负债!X34-资产负债!X35-资产负债!X37)</f>
        <v>340.99224070775051</v>
      </c>
      <c r="AA38" s="367">
        <f ca="1">假设!Z105*(资产负债!Z30+资产负债!Z31+资产负债!Z33+资产负债!Z34+资产负债!Z35+资产负债!Z37-资产负债!Y30-资产负债!Y31-资产负债!Y33-资产负债!Y34-资产负债!Y35-资产负债!Y37)</f>
        <v>382.48496603420898</v>
      </c>
      <c r="AB38" s="367">
        <f ca="1">假设!AA105*(资产负债!AA30+资产负债!AA31+资产负债!AA33+资产负债!AA34+资产负债!AA35+资产负债!AA37-资产负债!Z30-资产负债!Z31-资产负债!Z33-资产负债!Z34-资产负债!Z35-资产负债!Z37)</f>
        <v>430.72327107654741</v>
      </c>
      <c r="AC38" s="367">
        <f ca="1">假设!AB105*(资产负债!AB30+资产负债!AB31+资产负债!AB33+资产负债!AB34+资产负债!AB35+资产负债!AB37-资产负债!AA30-资产负债!AA31-资产负债!AA33-资产负债!AA34-资产负债!AA35-资产负债!AA37)</f>
        <v>486.29533596115783</v>
      </c>
      <c r="AD38" s="367">
        <f ca="1">假设!AC105*(资产负债!AC30+资产负债!AC31+资产负债!AC33+资产负债!AC34+资产负债!AC35+资产负债!AC37-资产负债!AB30-资产负债!AB31-资产负债!AB33-资产负债!AB34-资产负债!AB35-资产负债!AB37)</f>
        <v>549.81642544196234</v>
      </c>
      <c r="AE38" s="367">
        <f ca="1">假设!AD105*(资产负债!AD30+资产负债!AD31+资产负债!AD33+资产负债!AD34+资产负债!AD35+资产负债!AD37-资产负债!AC30-资产负债!AC31-资产负债!AC33-资产负债!AC34-资产负债!AC35-资产负债!AC37)</f>
        <v>619.5297227209636</v>
      </c>
      <c r="AF38" s="367">
        <f ca="1">假设!AE105*(资产负债!AE30+资产负债!AE31+资产负债!AE33+资产负债!AE34+资产负债!AE35+资产负债!AE37-资产负债!AD30-资产负债!AD31-资产负债!AD33-资产负债!AD34-资产负债!AD35-资产负债!AD37)</f>
        <v>697.81090252550496</v>
      </c>
      <c r="AG38" s="367">
        <f ca="1">假设!AF105*(资产负债!AF30+资产负债!AF31+资产负债!AF33+资产负债!AF34+资产负债!AF35+资产负债!AF37-资产负债!AE30-资产负债!AE31-资产负债!AE33-资产负债!AE34-资产负债!AE35-资产负债!AE37)</f>
        <v>788.29369199614371</v>
      </c>
      <c r="AH38" s="367">
        <f ca="1">假设!AG105*(资产负债!AG30+资产负债!AG31+资产负债!AG33+资产负债!AG34+资产负债!AG35+资产负债!AG37-资产负债!AF30-资产负债!AF31-资产负债!AF33-资产负债!AF34-资产负债!AF35-资产负债!AF37)</f>
        <v>890.043853598032</v>
      </c>
      <c r="AI38" s="367">
        <f ca="1">假设!AH105*(资产负债!AH30+资产负债!AH31+资产负债!AH33+资产负债!AH34+资产负债!AH35+资产负债!AH37-资产负债!AG30-资产负债!AG31-资产负债!AG33-资产负债!AG34-资产负债!AG35-资产负债!AG37)</f>
        <v>1004.2021239727263</v>
      </c>
      <c r="AJ38" s="367">
        <f ca="1">假设!AI105*(资产负债!AI30+资产负债!AI31+资产负债!AI33+资产负债!AI34+资产负债!AI35+资产负债!AI37-资产负债!AH30-资产负债!AH31-资产负债!AH33-资产负债!AH34-资产负债!AH35-资产负债!AH37)</f>
        <v>1134.1260775234957</v>
      </c>
      <c r="AK38" s="367">
        <f ca="1">假设!AJ105*(资产负债!AJ30+资产负债!AJ31+资产负债!AJ33+资产负债!AJ34+资产负债!AJ35+资产负债!AJ37-资产负债!AI30-资产负债!AI31-资产负债!AI33-资产负债!AI34-资产负债!AI35-资产负债!AI37)</f>
        <v>1280.4044481930111</v>
      </c>
      <c r="AL38" s="367">
        <f ca="1">假设!AK105*(资产负债!AK30+资产负债!AK31+资产负债!AK33+资产负债!AK34+资产负债!AK35+资产负债!AK37-资产负债!AJ30-资产负债!AJ31-资产负债!AJ33-资产负债!AJ34-资产负债!AJ35-资产负债!AJ37)</f>
        <v>1445.4810405902874</v>
      </c>
      <c r="AM38" s="367">
        <f ca="1">假设!AL105*(资产负债!AL30+资产负债!AL31+资产负债!AL33+资产负债!AL34+资产负债!AL35+资产负债!AL37-资产负债!AK30-资产负债!AK31-资产负债!AK33-资产负债!AK34-资产负债!AK35-资产负债!AK37)</f>
        <v>1633.2094564863824</v>
      </c>
      <c r="AN38" s="444"/>
      <c r="AO38" s="444"/>
    </row>
    <row r="39" spans="1:41" ht="18" customHeight="1">
      <c r="A39" s="169" t="s">
        <v>232</v>
      </c>
      <c r="B39" s="170" t="s">
        <v>233</v>
      </c>
      <c r="C39" s="299"/>
      <c r="D39" s="299"/>
      <c r="E39" s="299"/>
      <c r="F39" s="299"/>
      <c r="G39" s="299"/>
      <c r="H39" s="300"/>
      <c r="I39" s="123"/>
      <c r="J39" s="367">
        <f ca="1">SUM(J3:J33)</f>
        <v>142.07738368505539</v>
      </c>
      <c r="K39" s="367">
        <f t="shared" ref="K39:AM39" ca="1" si="25">SUM(K3:K33)</f>
        <v>158.5015359732254</v>
      </c>
      <c r="L39" s="367">
        <f t="shared" ca="1" si="25"/>
        <v>175.68908882909759</v>
      </c>
      <c r="M39" s="367">
        <f t="shared" ca="1" si="25"/>
        <v>189.36466376688713</v>
      </c>
      <c r="N39" s="367">
        <f t="shared" ca="1" si="25"/>
        <v>199.16213851975999</v>
      </c>
      <c r="O39" s="367">
        <f t="shared" ca="1" si="25"/>
        <v>72.458264342224766</v>
      </c>
      <c r="P39" s="367">
        <f t="shared" ca="1" si="25"/>
        <v>75.101194328673884</v>
      </c>
      <c r="Q39" s="367">
        <f t="shared" ca="1" si="25"/>
        <v>77.945227526678039</v>
      </c>
      <c r="R39" s="367">
        <f t="shared" ca="1" si="25"/>
        <v>84.736539736536827</v>
      </c>
      <c r="S39" s="367">
        <f t="shared" ca="1" si="25"/>
        <v>97.717831888476681</v>
      </c>
      <c r="T39" s="367">
        <f t="shared" ca="1" si="25"/>
        <v>109.1072878775083</v>
      </c>
      <c r="U39" s="367">
        <f t="shared" ca="1" si="25"/>
        <v>120.28877693599944</v>
      </c>
      <c r="V39" s="367">
        <f t="shared" ca="1" si="25"/>
        <v>133.56801229480362</v>
      </c>
      <c r="W39" s="367">
        <f t="shared" ca="1" si="25"/>
        <v>159.77158353835475</v>
      </c>
      <c r="X39" s="367">
        <f t="shared" ca="1" si="25"/>
        <v>190.14467956449724</v>
      </c>
      <c r="Y39" s="367">
        <f t="shared" ca="1" si="25"/>
        <v>224.05011208949625</v>
      </c>
      <c r="Z39" s="367">
        <f t="shared" ca="1" si="25"/>
        <v>261.99998889793608</v>
      </c>
      <c r="AA39" s="367">
        <f t="shared" ca="1" si="25"/>
        <v>305.18616069209736</v>
      </c>
      <c r="AB39" s="367">
        <f t="shared" ca="1" si="25"/>
        <v>344.66035651620746</v>
      </c>
      <c r="AC39" s="367">
        <f t="shared" ca="1" si="25"/>
        <v>388.76756077748371</v>
      </c>
      <c r="AD39" s="367">
        <f t="shared" ca="1" si="25"/>
        <v>438.06244784432545</v>
      </c>
      <c r="AE39" s="367">
        <f t="shared" ca="1" si="25"/>
        <v>493.76994424696801</v>
      </c>
      <c r="AF39" s="367">
        <f t="shared" ca="1" si="25"/>
        <v>556.83513154522723</v>
      </c>
      <c r="AG39" s="367">
        <f t="shared" ca="1" si="25"/>
        <v>628.34921572914641</v>
      </c>
      <c r="AH39" s="367">
        <f t="shared" ca="1" si="25"/>
        <v>709.09891925652141</v>
      </c>
      <c r="AI39" s="367">
        <f t="shared" ca="1" si="25"/>
        <v>799.97605896267407</v>
      </c>
      <c r="AJ39" s="367">
        <f t="shared" ca="1" si="25"/>
        <v>902.89532992318061</v>
      </c>
      <c r="AK39" s="367">
        <f t="shared" ca="1" si="25"/>
        <v>1019.4140390566818</v>
      </c>
      <c r="AL39" s="367">
        <f t="shared" ca="1" si="25"/>
        <v>1150.8515087755104</v>
      </c>
      <c r="AM39" s="367">
        <f t="shared" ca="1" si="25"/>
        <v>1299.4846293531805</v>
      </c>
      <c r="AN39" s="444"/>
      <c r="AO39" s="444"/>
    </row>
    <row r="40" spans="1:41" ht="18" customHeight="1">
      <c r="A40" s="295" t="s">
        <v>234</v>
      </c>
      <c r="B40" s="202" t="s">
        <v>1031</v>
      </c>
      <c r="C40" s="301"/>
      <c r="D40" s="301"/>
      <c r="E40" s="301"/>
      <c r="F40" s="301"/>
      <c r="G40" s="301"/>
      <c r="H40" s="299"/>
      <c r="I40" s="123"/>
      <c r="J40" s="367">
        <f t="shared" ref="J40:AM40" ca="1" si="26">SUM(J37:J38)-J39</f>
        <v>568.30953474022158</v>
      </c>
      <c r="K40" s="367">
        <f t="shared" ca="1" si="26"/>
        <v>491.92876020784615</v>
      </c>
      <c r="L40" s="367">
        <f t="shared" ca="1" si="26"/>
        <v>402.1774356581094</v>
      </c>
      <c r="M40" s="367">
        <f t="shared" ca="1" si="26"/>
        <v>281.19064658017004</v>
      </c>
      <c r="N40" s="367">
        <f t="shared" ca="1" si="26"/>
        <v>131.01588182477434</v>
      </c>
      <c r="O40" s="367">
        <f t="shared" ca="1" si="26"/>
        <v>135.42516502015047</v>
      </c>
      <c r="P40" s="367">
        <f t="shared" ca="1" si="26"/>
        <v>155.65938206457218</v>
      </c>
      <c r="Q40" s="367">
        <f t="shared" ca="1" si="26"/>
        <v>177.87208480727583</v>
      </c>
      <c r="R40" s="367">
        <f t="shared" ca="1" si="26"/>
        <v>195.46998080898067</v>
      </c>
      <c r="S40" s="367">
        <f t="shared" ca="1" si="26"/>
        <v>211.64598344456755</v>
      </c>
      <c r="T40" s="367">
        <f t="shared" ca="1" si="26"/>
        <v>236.35352304981822</v>
      </c>
      <c r="U40" s="367">
        <f t="shared" ca="1" si="26"/>
        <v>267.30760277937009</v>
      </c>
      <c r="V40" s="367">
        <f t="shared" ca="1" si="26"/>
        <v>300.29369754796909</v>
      </c>
      <c r="W40" s="367">
        <f t="shared" ca="1" si="26"/>
        <v>373.87440596561157</v>
      </c>
      <c r="X40" s="367">
        <f t="shared" ca="1" si="26"/>
        <v>449.48904105589054</v>
      </c>
      <c r="Y40" s="367">
        <f t="shared" ca="1" si="26"/>
        <v>528.78091907414841</v>
      </c>
      <c r="Z40" s="367">
        <f t="shared" ca="1" si="26"/>
        <v>607.77317088396285</v>
      </c>
      <c r="AA40" s="367">
        <f t="shared" ca="1" si="26"/>
        <v>685.07197622607453</v>
      </c>
      <c r="AB40" s="367">
        <f t="shared" ca="1" si="26"/>
        <v>771.13489078641442</v>
      </c>
      <c r="AC40" s="367">
        <f t="shared" ca="1" si="26"/>
        <v>868.6626659700886</v>
      </c>
      <c r="AD40" s="367">
        <f t="shared" ca="1" si="26"/>
        <v>980.41664356772537</v>
      </c>
      <c r="AE40" s="367">
        <f t="shared" ca="1" si="26"/>
        <v>1106.176422041721</v>
      </c>
      <c r="AF40" s="367">
        <f t="shared" ca="1" si="26"/>
        <v>1247.1521930219988</v>
      </c>
      <c r="AG40" s="367">
        <f t="shared" ca="1" si="26"/>
        <v>1407.0966692889961</v>
      </c>
      <c r="AH40" s="367">
        <f t="shared" ca="1" si="26"/>
        <v>1588.0416036305066</v>
      </c>
      <c r="AI40" s="367">
        <f t="shared" ca="1" si="26"/>
        <v>1792.2676686405589</v>
      </c>
      <c r="AJ40" s="367">
        <f t="shared" ca="1" si="26"/>
        <v>2023.4984162408737</v>
      </c>
      <c r="AK40" s="367">
        <f t="shared" ca="1" si="26"/>
        <v>2284.4888253772033</v>
      </c>
      <c r="AL40" s="367">
        <f t="shared" ca="1" si="26"/>
        <v>2579.1183571919801</v>
      </c>
      <c r="AM40" s="367">
        <f t="shared" ca="1" si="26"/>
        <v>2912.8431843251824</v>
      </c>
      <c r="AN40" s="444"/>
      <c r="AO40" s="444"/>
    </row>
    <row r="41" spans="1:41" ht="18" customHeight="1">
      <c r="H41" s="301"/>
      <c r="I41" s="198"/>
      <c r="P41" s="444"/>
      <c r="Q41" s="444"/>
      <c r="R41" s="444"/>
      <c r="S41" s="444"/>
      <c r="T41" s="444"/>
      <c r="U41" s="444"/>
      <c r="V41" s="444"/>
      <c r="W41" s="444"/>
      <c r="X41" s="444"/>
      <c r="Y41" s="444"/>
      <c r="Z41" s="444"/>
      <c r="AA41" s="444"/>
      <c r="AB41" s="444"/>
      <c r="AC41" s="444"/>
      <c r="AD41" s="444"/>
      <c r="AE41" s="444"/>
      <c r="AF41" s="444"/>
      <c r="AG41" s="444"/>
      <c r="AH41" s="444"/>
      <c r="AI41" s="444"/>
      <c r="AJ41" s="444"/>
      <c r="AK41" s="444"/>
      <c r="AL41" s="444"/>
      <c r="AM41" s="444"/>
      <c r="AN41" s="444"/>
      <c r="AO41" s="444"/>
    </row>
    <row r="42" spans="1:41" ht="18" customHeight="1">
      <c r="P42" s="444"/>
      <c r="Q42" s="444"/>
      <c r="R42" s="444"/>
      <c r="S42" s="444"/>
      <c r="T42" s="444"/>
      <c r="U42" s="444"/>
      <c r="V42" s="444"/>
      <c r="W42" s="444"/>
      <c r="X42" s="444"/>
      <c r="Y42" s="444"/>
      <c r="Z42" s="444"/>
      <c r="AA42" s="444"/>
      <c r="AB42" s="444"/>
      <c r="AC42" s="444"/>
      <c r="AD42" s="444"/>
      <c r="AE42" s="444"/>
      <c r="AF42" s="444"/>
      <c r="AG42" s="444"/>
      <c r="AH42" s="444"/>
      <c r="AI42" s="444"/>
      <c r="AJ42" s="444"/>
      <c r="AK42" s="444"/>
      <c r="AL42" s="444"/>
      <c r="AM42" s="444"/>
      <c r="AN42" s="444"/>
      <c r="AO42" s="444"/>
    </row>
    <row r="43" spans="1:41" ht="18" customHeight="1">
      <c r="P43" s="444"/>
      <c r="Q43" s="444"/>
      <c r="R43" s="444"/>
      <c r="S43" s="444"/>
      <c r="T43" s="444"/>
      <c r="U43" s="444"/>
      <c r="V43" s="444"/>
      <c r="W43" s="444"/>
      <c r="X43" s="444"/>
      <c r="Y43" s="444"/>
      <c r="Z43" s="444"/>
      <c r="AA43" s="444"/>
      <c r="AB43" s="444"/>
      <c r="AC43" s="444"/>
      <c r="AD43" s="444"/>
      <c r="AE43" s="444"/>
      <c r="AF43" s="444"/>
      <c r="AG43" s="444"/>
      <c r="AH43" s="444"/>
      <c r="AI43" s="444"/>
      <c r="AJ43" s="444"/>
      <c r="AK43" s="444"/>
      <c r="AL43" s="444"/>
      <c r="AM43" s="444"/>
      <c r="AN43" s="444"/>
      <c r="AO43" s="444"/>
    </row>
    <row r="44" spans="1:41" ht="18" customHeight="1">
      <c r="P44" s="444"/>
      <c r="Q44" s="444"/>
      <c r="R44" s="444"/>
      <c r="S44" s="444"/>
      <c r="T44" s="444"/>
      <c r="U44" s="444"/>
      <c r="V44" s="444"/>
      <c r="W44" s="444"/>
      <c r="X44" s="444"/>
      <c r="Y44" s="444"/>
      <c r="Z44" s="444"/>
      <c r="AA44" s="444"/>
      <c r="AB44" s="444"/>
      <c r="AC44" s="444"/>
      <c r="AD44" s="444"/>
      <c r="AE44" s="444"/>
      <c r="AF44" s="444"/>
      <c r="AG44" s="444"/>
      <c r="AH44" s="444"/>
      <c r="AI44" s="444"/>
      <c r="AJ44" s="444"/>
      <c r="AK44" s="444"/>
      <c r="AL44" s="444"/>
      <c r="AM44" s="444"/>
      <c r="AN44" s="444"/>
      <c r="AO44" s="444"/>
    </row>
    <row r="45" spans="1:41" ht="18" customHeight="1">
      <c r="P45" s="444"/>
      <c r="Q45" s="444"/>
      <c r="R45" s="444"/>
      <c r="S45" s="444"/>
      <c r="T45" s="444"/>
      <c r="U45" s="444"/>
      <c r="V45" s="444"/>
      <c r="W45" s="444"/>
      <c r="X45" s="444"/>
      <c r="Y45" s="444"/>
      <c r="Z45" s="444"/>
      <c r="AA45" s="444"/>
      <c r="AB45" s="444"/>
      <c r="AC45" s="444"/>
      <c r="AD45" s="444"/>
      <c r="AE45" s="444"/>
      <c r="AF45" s="444"/>
      <c r="AG45" s="444"/>
      <c r="AH45" s="444"/>
      <c r="AI45" s="444"/>
      <c r="AJ45" s="444"/>
      <c r="AK45" s="444"/>
      <c r="AL45" s="444"/>
      <c r="AM45" s="444"/>
      <c r="AN45" s="444"/>
      <c r="AO45" s="444"/>
    </row>
    <row r="46" spans="1:41" ht="18" customHeight="1">
      <c r="P46" s="444"/>
      <c r="Q46" s="444"/>
      <c r="R46" s="444"/>
      <c r="S46" s="444"/>
      <c r="T46" s="444"/>
      <c r="U46" s="444"/>
      <c r="V46" s="444"/>
      <c r="W46" s="444"/>
      <c r="X46" s="444"/>
      <c r="Y46" s="444"/>
      <c r="Z46" s="444"/>
      <c r="AA46" s="444"/>
      <c r="AB46" s="444"/>
      <c r="AC46" s="444"/>
      <c r="AD46" s="444"/>
      <c r="AE46" s="444"/>
      <c r="AF46" s="444"/>
      <c r="AG46" s="444"/>
      <c r="AH46" s="444"/>
      <c r="AI46" s="444"/>
      <c r="AJ46" s="444"/>
      <c r="AK46" s="444"/>
      <c r="AL46" s="444"/>
      <c r="AM46" s="444"/>
      <c r="AN46" s="444"/>
      <c r="AO46" s="444"/>
    </row>
    <row r="47" spans="1:41" ht="18" customHeight="1">
      <c r="P47" s="444"/>
      <c r="Q47" s="444"/>
      <c r="R47" s="444"/>
      <c r="S47" s="444"/>
      <c r="T47" s="444"/>
      <c r="U47" s="444"/>
      <c r="V47" s="444"/>
      <c r="W47" s="444"/>
      <c r="X47" s="444"/>
      <c r="Y47" s="444"/>
      <c r="Z47" s="444"/>
      <c r="AA47" s="444"/>
      <c r="AB47" s="444"/>
      <c r="AC47" s="444"/>
      <c r="AD47" s="444"/>
      <c r="AE47" s="444"/>
      <c r="AF47" s="444"/>
      <c r="AG47" s="444"/>
      <c r="AH47" s="444"/>
      <c r="AI47" s="444"/>
      <c r="AJ47" s="444"/>
      <c r="AK47" s="444"/>
      <c r="AL47" s="444"/>
      <c r="AM47" s="444"/>
      <c r="AN47" s="444"/>
      <c r="AO47" s="444"/>
    </row>
    <row r="60" spans="11:43" ht="18" customHeight="1">
      <c r="AP60" s="16"/>
      <c r="AQ60" s="16"/>
    </row>
    <row r="61" spans="11:43" ht="18" customHeight="1">
      <c r="AP61" s="16"/>
      <c r="AQ61" s="16"/>
    </row>
    <row r="64" spans="11:43" ht="18" customHeight="1">
      <c r="K64" s="1"/>
    </row>
  </sheetData>
  <dataConsolidate/>
  <phoneticPr fontId="7" type="noConversion"/>
  <pageMargins left="0.94488188976377963" right="0.74803149606299213" top="0.98425196850393704" bottom="0.98425196850393704" header="0.51181102362204722" footer="0.51181102362204722"/>
  <pageSetup paperSize="9" scale="65" orientation="portrait" r:id="rId1"/>
  <headerFooter alignWithMargins="0"/>
  <ignoredErrors>
    <ignoredError sqref="AN2:AN26 AO2:AO27" evalError="1"/>
    <ignoredError sqref="J39:AN40" emptyCellReference="1"/>
  </ignoredError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CQ304"/>
  <sheetViews>
    <sheetView showGridLines="0" zoomScaleNormal="100" workbookViewId="0">
      <pane xSplit="2" ySplit="1" topLeftCell="C2" activePane="bottomRight" state="frozen"/>
      <selection activeCell="AP58" sqref="AP58"/>
      <selection pane="topRight" activeCell="AP58" sqref="AP58"/>
      <selection pane="bottomLeft" activeCell="AP58" sqref="AP58"/>
      <selection pane="bottomRight" activeCell="I8" sqref="I8"/>
    </sheetView>
  </sheetViews>
  <sheetFormatPr defaultColWidth="9.375" defaultRowHeight="17.25" customHeight="1" outlineLevelRow="1"/>
  <cols>
    <col min="1" max="1" width="28.375" style="388" customWidth="1"/>
    <col min="2" max="2" width="55.625" style="389" customWidth="1"/>
    <col min="3" max="3" width="15.875" style="200" hidden="1" customWidth="1"/>
    <col min="4" max="4" width="15.875" style="199" hidden="1" customWidth="1"/>
    <col min="5" max="5" width="15.875" style="200" hidden="1" customWidth="1"/>
    <col min="6" max="6" width="15.875" style="200" customWidth="1"/>
    <col min="7" max="8" width="15.875" style="386" customWidth="1"/>
    <col min="9" max="11" width="15.875" style="200" customWidth="1"/>
    <col min="12" max="14" width="15.875" style="200" hidden="1" customWidth="1"/>
    <col min="15" max="15" width="15.875" style="387" hidden="1" customWidth="1"/>
    <col min="16" max="38" width="15.875" style="367" hidden="1" customWidth="1"/>
    <col min="39" max="39" width="11.625" style="367" customWidth="1"/>
    <col min="40" max="16384" width="9.375" style="277"/>
  </cols>
  <sheetData>
    <row r="1" spans="1:40" ht="17.25" customHeight="1">
      <c r="A1" s="364" t="s">
        <v>1069</v>
      </c>
      <c r="B1" s="364" t="s">
        <v>1360</v>
      </c>
      <c r="C1" s="363" t="str">
        <f>年度数据!C1</f>
        <v>2017-12-31</v>
      </c>
      <c r="D1" s="363" t="str">
        <f>年度数据!D1</f>
        <v>2018-12-31</v>
      </c>
      <c r="E1" s="363" t="str">
        <f>年度数据!E1</f>
        <v>2019-12-31</v>
      </c>
      <c r="F1" s="363" t="str">
        <f>年度数据!F1</f>
        <v>2020-12-31</v>
      </c>
      <c r="G1" s="363" t="str">
        <f>年度数据!G1</f>
        <v>2021-12-31</v>
      </c>
      <c r="H1" s="363" t="str">
        <f>年度数据!H1</f>
        <v>2022-12-31</v>
      </c>
      <c r="I1" s="122" t="str">
        <f>假设!I2</f>
        <v>2023E</v>
      </c>
      <c r="J1" s="122" t="str">
        <f>假设!J2</f>
        <v>2024E</v>
      </c>
      <c r="K1" s="122" t="str">
        <f>假设!K2</f>
        <v>2025E</v>
      </c>
      <c r="L1" s="122" t="str">
        <f>假设!L2</f>
        <v>2026E</v>
      </c>
      <c r="M1" s="122" t="str">
        <f>假设!M2</f>
        <v>2027E</v>
      </c>
      <c r="N1" s="122" t="str">
        <f>假设!N2</f>
        <v>2028E</v>
      </c>
      <c r="O1" s="122" t="str">
        <f>假设!O2</f>
        <v>2029E</v>
      </c>
      <c r="P1" s="122" t="str">
        <f>假设!P2</f>
        <v>2030E</v>
      </c>
      <c r="Q1" s="122" t="str">
        <f>假设!Q2</f>
        <v>2031E</v>
      </c>
      <c r="R1" s="122" t="str">
        <f>假设!R2</f>
        <v>2032E</v>
      </c>
      <c r="S1" s="122" t="str">
        <f>假设!S2</f>
        <v>2033E</v>
      </c>
      <c r="T1" s="122" t="str">
        <f>假设!T2</f>
        <v>2034E</v>
      </c>
      <c r="U1" s="122" t="str">
        <f>假设!U2</f>
        <v>2035E</v>
      </c>
      <c r="V1" s="122" t="str">
        <f>假设!V2</f>
        <v>2036E</v>
      </c>
      <c r="W1" s="122" t="str">
        <f>假设!W2</f>
        <v>2037E</v>
      </c>
      <c r="X1" s="122" t="str">
        <f>假设!X2</f>
        <v>2038E</v>
      </c>
      <c r="Y1" s="122" t="str">
        <f>假设!Y2</f>
        <v>2039E</v>
      </c>
      <c r="Z1" s="122" t="str">
        <f>假设!Z2</f>
        <v>2040E</v>
      </c>
      <c r="AA1" s="122" t="str">
        <f>假设!AA2</f>
        <v>2041E</v>
      </c>
      <c r="AB1" s="122" t="str">
        <f>假设!AB2</f>
        <v>2042E</v>
      </c>
      <c r="AC1" s="122" t="str">
        <f>假设!AC2</f>
        <v>2043E</v>
      </c>
      <c r="AD1" s="122" t="str">
        <f>假设!AD2</f>
        <v>2044E</v>
      </c>
      <c r="AE1" s="122" t="str">
        <f>假设!AE2</f>
        <v>2045E</v>
      </c>
      <c r="AF1" s="122" t="str">
        <f>假设!AF2</f>
        <v>2046E</v>
      </c>
      <c r="AG1" s="122" t="str">
        <f>假设!AG2</f>
        <v>2047E</v>
      </c>
      <c r="AH1" s="122" t="str">
        <f>假设!AH2</f>
        <v>2048E</v>
      </c>
      <c r="AI1" s="122" t="str">
        <f>假设!AI2</f>
        <v>2049E</v>
      </c>
      <c r="AJ1" s="122" t="str">
        <f>假设!AJ2</f>
        <v>2050E</v>
      </c>
      <c r="AK1" s="122" t="str">
        <f>假设!AK2</f>
        <v>2051E</v>
      </c>
      <c r="AL1" s="122" t="str">
        <f>假设!AL2</f>
        <v>2052E</v>
      </c>
      <c r="AM1" s="277"/>
    </row>
    <row r="2" spans="1:40" ht="17.25" customHeight="1">
      <c r="A2" s="365" t="s">
        <v>933</v>
      </c>
      <c r="B2" s="366"/>
      <c r="C2" s="152"/>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L2" s="277"/>
      <c r="AM2" s="277"/>
    </row>
    <row r="3" spans="1:40" s="368" customFormat="1" ht="17.25" customHeight="1" outlineLevel="1">
      <c r="A3" s="366" t="s">
        <v>939</v>
      </c>
      <c r="B3" s="369" t="s">
        <v>1440</v>
      </c>
      <c r="C3" s="152">
        <f>年度数据!C43</f>
        <v>345.99767836000001</v>
      </c>
      <c r="D3" s="152">
        <f>年度数据!D43</f>
        <v>905.64100541999994</v>
      </c>
      <c r="E3" s="152">
        <f>年度数据!E43</f>
        <v>1100.96552367</v>
      </c>
      <c r="F3" s="152">
        <f>年度数据!F43</f>
        <v>1420.1496190099999</v>
      </c>
      <c r="G3" s="152">
        <f>年度数据!G43</f>
        <v>2189.35391622</v>
      </c>
      <c r="H3" s="152">
        <f>年度数据!H43</f>
        <v>2333.58753101</v>
      </c>
      <c r="I3" s="152">
        <f ca="1">现金流量!I65</f>
        <v>2232.272658944305</v>
      </c>
      <c r="J3" s="152">
        <f ca="1">现金流量!J65</f>
        <v>2537.7698719241203</v>
      </c>
      <c r="K3" s="152">
        <f ca="1">现金流量!K65</f>
        <v>3015.8754115929255</v>
      </c>
      <c r="L3" s="152">
        <f ca="1">现金流量!L65</f>
        <v>3516.7777527681346</v>
      </c>
      <c r="M3" s="152">
        <f ca="1">现金流量!M65</f>
        <v>3873.4658165061528</v>
      </c>
      <c r="N3" s="152">
        <f ca="1">现金流量!N65</f>
        <v>4287.9586639774143</v>
      </c>
      <c r="O3" s="152">
        <f ca="1">现金流量!O65</f>
        <v>4886.8333467462753</v>
      </c>
      <c r="P3" s="152">
        <f ca="1">现金流量!P65</f>
        <v>5571.8861270060506</v>
      </c>
      <c r="Q3" s="152">
        <f ca="1">现金流量!Q65</f>
        <v>6300.0064086703524</v>
      </c>
      <c r="R3" s="152">
        <f ca="1">现金流量!R65</f>
        <v>7079.4746140628013</v>
      </c>
      <c r="S3" s="152">
        <f ca="1">现金流量!S65</f>
        <v>7987.0066860235775</v>
      </c>
      <c r="T3" s="152">
        <f ca="1">现金流量!T65</f>
        <v>9045.1017140361691</v>
      </c>
      <c r="U3" s="152">
        <f ca="1">现金流量!U65</f>
        <v>10230.379200395768</v>
      </c>
      <c r="V3" s="152">
        <f ca="1">现金流量!V65</f>
        <v>11552.346908091145</v>
      </c>
      <c r="W3" s="152">
        <f ca="1">现金流量!W65</f>
        <v>13041.768686205953</v>
      </c>
      <c r="X3" s="152">
        <f ca="1">现金流量!X65</f>
        <v>14736.816856325464</v>
      </c>
      <c r="Y3" s="152">
        <f ca="1">现金流量!Y65</f>
        <v>16657.41817505861</v>
      </c>
      <c r="Z3" s="152">
        <f ca="1">现金流量!Z65</f>
        <v>18821.167301296864</v>
      </c>
      <c r="AA3" s="152">
        <f ca="1">现金流量!AA65</f>
        <v>21261.678118226326</v>
      </c>
      <c r="AB3" s="152">
        <f ca="1">现金流量!AB65</f>
        <v>24020.553432506553</v>
      </c>
      <c r="AC3" s="152">
        <f ca="1">现金流量!AC65</f>
        <v>27141.404443759031</v>
      </c>
      <c r="AD3" s="152">
        <f ca="1">现金流量!AD65</f>
        <v>30667.476716223766</v>
      </c>
      <c r="AE3" s="152">
        <f ca="1">现金流量!AE65</f>
        <v>34649.112567579534</v>
      </c>
      <c r="AF3" s="152">
        <f ca="1">现金流量!AF65</f>
        <v>39147.247229183544</v>
      </c>
      <c r="AG3" s="152">
        <f ca="1">现金流量!AG65</f>
        <v>44230.511994864581</v>
      </c>
      <c r="AH3" s="152">
        <f ca="1">现金流量!AH65</f>
        <v>49974.649656186339</v>
      </c>
      <c r="AI3" s="152">
        <f ca="1">现金流量!AI65</f>
        <v>56464.20874029283</v>
      </c>
      <c r="AJ3" s="152">
        <f ca="1">现金流量!AJ65</f>
        <v>63795.829257436046</v>
      </c>
      <c r="AK3" s="152">
        <f ca="1">现金流量!AK65</f>
        <v>72079.592259857804</v>
      </c>
      <c r="AL3" s="152">
        <f ca="1">现金流量!AL65</f>
        <v>81439.395205588822</v>
      </c>
    </row>
    <row r="4" spans="1:40" s="368" customFormat="1" ht="17.25" customHeight="1" outlineLevel="1">
      <c r="A4" s="366" t="s">
        <v>928</v>
      </c>
      <c r="B4" s="369" t="s">
        <v>995</v>
      </c>
      <c r="C4" s="152">
        <f>年度数据!C44</f>
        <v>0</v>
      </c>
      <c r="D4" s="152">
        <f>年度数据!D44</f>
        <v>584.92510415999993</v>
      </c>
      <c r="E4" s="152">
        <f>年度数据!E44</f>
        <v>0</v>
      </c>
      <c r="F4" s="152">
        <f>年度数据!F44</f>
        <v>217.19637222</v>
      </c>
      <c r="G4" s="152">
        <f>年度数据!G44</f>
        <v>5.4218209999999996E-2</v>
      </c>
      <c r="H4" s="152">
        <f>年度数据!H44</f>
        <v>74.012589969999993</v>
      </c>
      <c r="I4" s="152">
        <f>假设!I31</f>
        <v>72.815795100000003</v>
      </c>
      <c r="J4" s="152">
        <f>假设!J31</f>
        <v>91.019743874999989</v>
      </c>
      <c r="K4" s="152">
        <f>假设!K31</f>
        <v>59.475586788749993</v>
      </c>
      <c r="L4" s="152">
        <f>假设!L31</f>
        <v>74.330928933437491</v>
      </c>
      <c r="M4" s="152">
        <f>假设!M31</f>
        <v>74.41051367429688</v>
      </c>
      <c r="N4" s="152">
        <f>假设!N31</f>
        <v>74.809193317871092</v>
      </c>
      <c r="O4" s="152">
        <f>假设!O31</f>
        <v>70.756555678588867</v>
      </c>
      <c r="P4" s="152">
        <f>假设!P31</f>
        <v>73.576797901048579</v>
      </c>
      <c r="Q4" s="152">
        <f>假设!Q31</f>
        <v>73.388265142951354</v>
      </c>
      <c r="R4" s="152">
        <f>假设!R31</f>
        <v>73.132703010114966</v>
      </c>
      <c r="S4" s="152">
        <f>假设!S31</f>
        <v>72.713580433175949</v>
      </c>
      <c r="T4" s="152">
        <f>假设!T31</f>
        <v>73.202836621822712</v>
      </c>
      <c r="U4" s="152">
        <f>假设!U31</f>
        <v>73.109346302016235</v>
      </c>
      <c r="V4" s="152">
        <f>假设!V31</f>
        <v>73.039616591782476</v>
      </c>
      <c r="W4" s="152">
        <f>假设!W31</f>
        <v>73.016344987199346</v>
      </c>
      <c r="X4" s="152">
        <f>假设!X31</f>
        <v>73.092036125705192</v>
      </c>
      <c r="Y4" s="152">
        <f>假设!Y31</f>
        <v>73.064336001675812</v>
      </c>
      <c r="Z4" s="152">
        <f>假设!Z31</f>
        <v>73.053083426590717</v>
      </c>
      <c r="AA4" s="152">
        <f>假设!AA31</f>
        <v>73.056450135292778</v>
      </c>
      <c r="AB4" s="152">
        <f>假设!AB31</f>
        <v>73.066476422316128</v>
      </c>
      <c r="AC4" s="152">
        <f>假设!AC31</f>
        <v>73.060086496468855</v>
      </c>
      <c r="AD4" s="152">
        <f>假设!AD31</f>
        <v>73.059024120167123</v>
      </c>
      <c r="AE4" s="152">
        <f>假设!AE31</f>
        <v>73.060509293561211</v>
      </c>
      <c r="AF4" s="152">
        <f>假设!AF31</f>
        <v>73.061524083128319</v>
      </c>
      <c r="AG4" s="152">
        <f>假设!AG31</f>
        <v>73.060285998331381</v>
      </c>
      <c r="AH4" s="152">
        <f>假设!AH31</f>
        <v>73.060335873797015</v>
      </c>
      <c r="AI4" s="152">
        <f>假设!AI31</f>
        <v>73.060663812204481</v>
      </c>
      <c r="AJ4" s="152">
        <f>假设!AJ31</f>
        <v>73.060702441865288</v>
      </c>
      <c r="AK4" s="152">
        <f>假设!AK31</f>
        <v>73.060497031549545</v>
      </c>
      <c r="AL4" s="152">
        <f>假设!AL31</f>
        <v>73.060549789854093</v>
      </c>
    </row>
    <row r="5" spans="1:40" s="368" customFormat="1" ht="17.25" customHeight="1" outlineLevel="1">
      <c r="A5" s="366" t="s">
        <v>2785</v>
      </c>
      <c r="B5" s="369" t="s">
        <v>995</v>
      </c>
      <c r="C5" s="152">
        <f>年度数据!C45</f>
        <v>0</v>
      </c>
      <c r="D5" s="152">
        <f>年度数据!D45</f>
        <v>0</v>
      </c>
      <c r="E5" s="152">
        <f>年度数据!E45</f>
        <v>0</v>
      </c>
      <c r="F5" s="152">
        <f>年度数据!F45</f>
        <v>0</v>
      </c>
      <c r="G5" s="152">
        <f>年度数据!G45</f>
        <v>0</v>
      </c>
      <c r="H5" s="152">
        <f>年度数据!H45</f>
        <v>0</v>
      </c>
      <c r="I5" s="152">
        <f>假设!I32</f>
        <v>0</v>
      </c>
      <c r="J5" s="152">
        <f>假设!J32</f>
        <v>0</v>
      </c>
      <c r="K5" s="152">
        <f>假设!K32</f>
        <v>0</v>
      </c>
      <c r="L5" s="152">
        <f>假设!L32</f>
        <v>0</v>
      </c>
      <c r="M5" s="152">
        <f>假设!M32</f>
        <v>0</v>
      </c>
      <c r="N5" s="152">
        <f>假设!N32</f>
        <v>0</v>
      </c>
      <c r="O5" s="152">
        <f>假设!O32</f>
        <v>0</v>
      </c>
      <c r="P5" s="152">
        <f>假设!P32</f>
        <v>0</v>
      </c>
      <c r="Q5" s="152">
        <f>假设!Q32</f>
        <v>0</v>
      </c>
      <c r="R5" s="152">
        <f>假设!R32</f>
        <v>0</v>
      </c>
      <c r="S5" s="152">
        <f>假设!S32</f>
        <v>0</v>
      </c>
      <c r="T5" s="152">
        <f>假设!T32</f>
        <v>0</v>
      </c>
      <c r="U5" s="152">
        <f>假设!U32</f>
        <v>0</v>
      </c>
      <c r="V5" s="152">
        <f>假设!V32</f>
        <v>0</v>
      </c>
      <c r="W5" s="152">
        <f>假设!W32</f>
        <v>0</v>
      </c>
      <c r="X5" s="152">
        <f>假设!X32</f>
        <v>0</v>
      </c>
      <c r="Y5" s="152">
        <f>假设!Y32</f>
        <v>0</v>
      </c>
      <c r="Z5" s="152">
        <f>假设!Z32</f>
        <v>0</v>
      </c>
      <c r="AA5" s="152">
        <f>假设!AA32</f>
        <v>0</v>
      </c>
      <c r="AB5" s="152">
        <f>假设!AB32</f>
        <v>0</v>
      </c>
      <c r="AC5" s="152">
        <f>假设!AC32</f>
        <v>0</v>
      </c>
      <c r="AD5" s="152">
        <f>假设!AD32</f>
        <v>0</v>
      </c>
      <c r="AE5" s="152">
        <f>假设!AE32</f>
        <v>0</v>
      </c>
      <c r="AF5" s="152">
        <f>假设!AF32</f>
        <v>0</v>
      </c>
      <c r="AG5" s="152">
        <f>假设!AG32</f>
        <v>0</v>
      </c>
      <c r="AH5" s="152">
        <f>假设!AH32</f>
        <v>0</v>
      </c>
      <c r="AI5" s="152">
        <f>假设!AI32</f>
        <v>0</v>
      </c>
      <c r="AJ5" s="152">
        <f>假设!AJ32</f>
        <v>0</v>
      </c>
      <c r="AK5" s="152">
        <f>假设!AK32</f>
        <v>0</v>
      </c>
      <c r="AL5" s="152">
        <f>假设!AL32</f>
        <v>0</v>
      </c>
    </row>
    <row r="6" spans="1:40" s="451" customFormat="1" ht="17.25" customHeight="1" outlineLevel="1">
      <c r="A6" s="366" t="s">
        <v>2701</v>
      </c>
      <c r="B6" s="369" t="s">
        <v>2702</v>
      </c>
      <c r="C6" s="152">
        <f>年度数据!C50</f>
        <v>1118.63807929</v>
      </c>
      <c r="D6" s="152">
        <f>年度数据!D50</f>
        <v>1639.9401205499998</v>
      </c>
      <c r="E6" s="152">
        <f>年度数据!E50</f>
        <v>2357.7931440000002</v>
      </c>
      <c r="F6" s="152">
        <f>年度数据!F50</f>
        <v>2996.6353225799999</v>
      </c>
      <c r="G6" s="152">
        <f>年度数据!G50</f>
        <v>4103.0949344999999</v>
      </c>
      <c r="H6" s="152">
        <f>年度数据!H50</f>
        <v>4877.6828907700001</v>
      </c>
      <c r="I6" s="370">
        <f t="shared" ref="I6:AL6" si="0">I7+I8</f>
        <v>2961.9618911083203</v>
      </c>
      <c r="J6" s="370">
        <f t="shared" si="0"/>
        <v>6549.8130535712671</v>
      </c>
      <c r="K6" s="370">
        <f t="shared" si="0"/>
        <v>4956.5978307899804</v>
      </c>
      <c r="L6" s="370">
        <f t="shared" si="0"/>
        <v>7488.2872264723819</v>
      </c>
      <c r="M6" s="370">
        <f t="shared" si="0"/>
        <v>6492.948467432705</v>
      </c>
      <c r="N6" s="370">
        <f t="shared" si="0"/>
        <v>9365.3354948876713</v>
      </c>
      <c r="O6" s="370">
        <f t="shared" si="0"/>
        <v>8530.6303727750055</v>
      </c>
      <c r="P6" s="370">
        <f t="shared" si="0"/>
        <v>11834.531136628877</v>
      </c>
      <c r="Q6" s="370">
        <f t="shared" si="0"/>
        <v>11120.022854828343</v>
      </c>
      <c r="R6" s="370">
        <f t="shared" si="0"/>
        <v>14710.479866064412</v>
      </c>
      <c r="S6" s="370">
        <f t="shared" si="0"/>
        <v>14528.951136789601</v>
      </c>
      <c r="T6" s="370">
        <f t="shared" si="0"/>
        <v>18540.480895479544</v>
      </c>
      <c r="U6" s="370">
        <f t="shared" si="0"/>
        <v>18817.348498756426</v>
      </c>
      <c r="V6" s="370">
        <f t="shared" si="0"/>
        <v>23374.749256015559</v>
      </c>
      <c r="W6" s="370">
        <f t="shared" si="0"/>
        <v>24282.76532080242</v>
      </c>
      <c r="X6" s="370">
        <f t="shared" si="0"/>
        <v>29576.792100148414</v>
      </c>
      <c r="Y6" s="370">
        <f t="shared" si="0"/>
        <v>31286.879580831119</v>
      </c>
      <c r="Z6" s="370">
        <f t="shared" si="0"/>
        <v>37474.239917964813</v>
      </c>
      <c r="AA6" s="370">
        <f t="shared" si="0"/>
        <v>40208.412033338944</v>
      </c>
      <c r="AB6" s="370">
        <f t="shared" si="0"/>
        <v>47562.496304695305</v>
      </c>
      <c r="AC6" s="370">
        <f t="shared" si="0"/>
        <v>51610.368455908334</v>
      </c>
      <c r="AD6" s="370">
        <f t="shared" si="0"/>
        <v>60441.02847011522</v>
      </c>
      <c r="AE6" s="370">
        <f t="shared" si="0"/>
        <v>66158.093875465958</v>
      </c>
      <c r="AF6" s="370">
        <f t="shared" si="0"/>
        <v>76878.683761690176</v>
      </c>
      <c r="AG6" s="370">
        <f t="shared" si="0"/>
        <v>84732.821021948752</v>
      </c>
      <c r="AH6" s="370">
        <f t="shared" si="0"/>
        <v>97865.552952418278</v>
      </c>
      <c r="AI6" s="370">
        <f t="shared" si="0"/>
        <v>108443.16387571853</v>
      </c>
      <c r="AJ6" s="370">
        <f t="shared" si="0"/>
        <v>124654.34466531604</v>
      </c>
      <c r="AK6" s="370">
        <f t="shared" si="0"/>
        <v>138711.26818976988</v>
      </c>
      <c r="AL6" s="370">
        <f t="shared" si="0"/>
        <v>158853.36235917796</v>
      </c>
      <c r="AN6" s="368"/>
    </row>
    <row r="7" spans="1:40" s="451" customFormat="1" ht="17.25" customHeight="1" outlineLevel="1">
      <c r="A7" s="366" t="s">
        <v>2753</v>
      </c>
      <c r="B7" s="369" t="s">
        <v>2759</v>
      </c>
      <c r="C7" s="152">
        <f>年度数据!C46</f>
        <v>198.94267625000001</v>
      </c>
      <c r="D7" s="152">
        <f>年度数据!D46</f>
        <v>198.33964404</v>
      </c>
      <c r="E7" s="152">
        <f>年度数据!E46</f>
        <v>504.12437187</v>
      </c>
      <c r="F7" s="152">
        <f>年度数据!F46</f>
        <v>608.26395978999994</v>
      </c>
      <c r="G7" s="152">
        <f>年度数据!G46</f>
        <v>682.40249487000006</v>
      </c>
      <c r="H7" s="152">
        <f>年度数据!H46</f>
        <v>209.23874165000001</v>
      </c>
      <c r="I7" s="370">
        <f>IF(假设!I34&lt;&gt;0,IF(2*利润表!I2/假设!I34-资产负债!H7&gt;0,2*利润表!I2/假设!I34-资产负债!H7,0),0)</f>
        <v>946.73989474824748</v>
      </c>
      <c r="J7" s="370">
        <f>IF(假设!J34&lt;&gt;0,IF(2*利润表!J2/假设!J34-资产负债!I7&gt;0,2*利润表!J2/假设!J34-资产负债!I7,0),0)</f>
        <v>347.30610906917627</v>
      </c>
      <c r="K7" s="370">
        <f>IF(假设!K34&lt;&gt;0,IF(2*利润表!K2/假设!K34-资产负债!J7&gt;0,2*利润表!K2/假设!K34-资产负债!J7,0),0)</f>
        <v>1139.4696424550989</v>
      </c>
      <c r="L7" s="370">
        <f>IF(假设!L34&lt;&gt;0,IF(2*利润表!L2/假设!L34-资产负债!K7&gt;0,2*利润表!L2/假设!L34-资产负债!K7,0),0)</f>
        <v>560.05376975535978</v>
      </c>
      <c r="M7" s="370">
        <f>IF(假设!M34&lt;&gt;0,IF(2*利润表!M2/假设!M34-资产负债!L7&gt;0,2*利润表!M2/假设!M34-资产负债!L7,0),0)</f>
        <v>1312.1768751587388</v>
      </c>
      <c r="N7" s="370">
        <f>IF(假设!N34&lt;&gt;0,IF(2*利润表!N2/假设!N34-资产负债!M7&gt;0,2*利润表!N2/假设!N34-资产负债!M7,0),0)</f>
        <v>803.08359560967438</v>
      </c>
      <c r="O7" s="370">
        <f>IF(假设!O34&lt;&gt;0,IF(2*利润表!O2/假设!O34-资产负债!N7&gt;0,2*利润表!O2/假设!O34-资产负债!N7,0),0)</f>
        <v>1604.6787255071358</v>
      </c>
      <c r="P7" s="370">
        <f>IF(假设!P34&lt;&gt;0,IF(2*利润表!P2/假设!P34-资产负债!O7&gt;0,2*利润表!P2/假设!P34-资产负债!O7,0),0)</f>
        <v>1123.3874569935756</v>
      </c>
      <c r="Q7" s="370">
        <f>IF(假设!Q34&lt;&gt;0,IF(2*利润表!Q2/假设!Q34-资产负债!P7&gt;0,2*利润表!Q2/假设!Q34-资产负债!P7,0),0)</f>
        <v>1951.8072395258473</v>
      </c>
      <c r="R7" s="370">
        <f>IF(假设!R34&lt;&gt;0,IF(2*利润表!R2/假设!R34-资产负债!Q7&gt;0,2*利润表!R2/假设!R34-资产负债!Q7,0),0)</f>
        <v>1513.3742303156246</v>
      </c>
      <c r="S7" s="370">
        <f>IF(假设!S34&lt;&gt;0,IF(2*利润表!S2/假设!S34-资产负债!R7&gt;0,2*利润表!S2/假设!S34-资产负债!R7,0),0)</f>
        <v>2405.5063399384235</v>
      </c>
      <c r="T7" s="370">
        <f>IF(假设!T34&lt;&gt;0,IF(2*利润表!T2/假设!T34-资产负债!S7&gt;0,2*利润表!T2/假设!T34-资产负债!S7,0),0)</f>
        <v>2027.4207936557941</v>
      </c>
      <c r="U7" s="370">
        <f>IF(假设!U34&lt;&gt;0,IF(2*利润表!U2/假设!U34-资产负债!T7&gt;0,2*利润表!U2/假设!U34-资产负债!T7,0),0)</f>
        <v>2981.3441846413034</v>
      </c>
      <c r="V7" s="370">
        <f>IF(假设!V34&lt;&gt;0,IF(2*利润表!V2/假设!V34-资产负债!U7&gt;0,2*利润表!V2/假设!V34-资产负债!U7,0),0)</f>
        <v>2674.5365368173989</v>
      </c>
      <c r="W7" s="370">
        <f>IF(假设!W34&lt;&gt;0,IF(2*利润表!W2/假设!W34-资产负债!V7&gt;0,2*利润表!W2/假设!W34-资产负债!V7,0),0)</f>
        <v>3714.3524225967949</v>
      </c>
      <c r="X7" s="370">
        <f>IF(假设!X34&lt;&gt;0,IF(2*利润表!X2/假设!X34-资产负债!W7&gt;0,2*利润表!X2/假设!X34-资产负债!W7,0),0)</f>
        <v>3506.1391128716832</v>
      </c>
      <c r="Y7" s="370">
        <f>IF(假设!Y34&lt;&gt;0,IF(2*利润表!Y2/假设!Y34-资产负债!X7&gt;0,2*利润表!Y2/假设!Y34-资产负债!X7,0),0)</f>
        <v>4653.0537904888643</v>
      </c>
      <c r="Z7" s="370">
        <f>IF(假设!Z34&lt;&gt;0,IF(2*利润表!Z2/假设!Z34-资产负债!Y7&gt;0,2*利润表!Z2/假设!Z34-资产负债!Y7,0),0)</f>
        <v>4564.9862984502033</v>
      </c>
      <c r="AA7" s="370">
        <f>IF(假设!AA34&lt;&gt;0,IF(2*利润表!AA2/假设!AA34-资产负债!Z7&gt;0,2*利润表!AA2/假设!AA34-资产负债!Z7,0),0)</f>
        <v>5849.0784059518355</v>
      </c>
      <c r="AB7" s="370">
        <f>IF(假设!AB34&lt;&gt;0,IF(2*利润表!AB2/假设!AB34-资产负债!AA7&gt;0,2*利润表!AB2/假设!AB34-资产负债!AA7,0),0)</f>
        <v>5917.3387118015671</v>
      </c>
      <c r="AC7" s="370">
        <f>IF(假设!AC34&lt;&gt;0,IF(2*利润表!AC2/假设!AC34-资产负债!AB7&gt;0,2*利润表!AC2/假设!AC34-资产负债!AB7,0),0)</f>
        <v>7377.6518787338464</v>
      </c>
      <c r="AD7" s="370">
        <f>IF(假设!AD34&lt;&gt;0,IF(2*利润表!AD2/假设!AD34-资产负债!AC7&gt;0,2*利润表!AD2/假设!AD34-资产负债!AC7,0),0)</f>
        <v>7643.8131939068899</v>
      </c>
      <c r="AE7" s="370">
        <f>IF(假设!AE34&lt;&gt;0,IF(2*利润表!AE2/假设!AE34-资产负债!AD7&gt;0,2*利润表!AE2/假设!AE34-资产负债!AD7,0),0)</f>
        <v>9327.8853196010004</v>
      </c>
      <c r="AF7" s="370">
        <f>IF(假设!AF34&lt;&gt;0,IF(2*利润表!AF2/假设!AF34-资产负债!AE7&gt;0,2*利润表!AF2/假设!AF34-资产负债!AE7,0),0)</f>
        <v>9847.4361271488178</v>
      </c>
      <c r="AG7" s="370">
        <f>IF(假设!AG34&lt;&gt;0,IF(2*利润表!AG2/假设!AG34-资产负债!AF7&gt;0,2*利润表!AG2/假设!AG34-资产负债!AF7,0),0)</f>
        <v>11817.984710099425</v>
      </c>
      <c r="AH7" s="370">
        <f>IF(假设!AH34&lt;&gt;0,IF(2*利润表!AH2/假设!AH34-资产负债!AG7&gt;0,2*利润表!AH2/假设!AH34-资产负债!AG7,0),0)</f>
        <v>12660.904525881104</v>
      </c>
      <c r="AI7" s="370">
        <f>IF(假设!AI34&lt;&gt;0,IF(2*利润表!AI2/假设!AI34-资产负债!AH7&gt;0,2*利润表!AI2/假设!AI34-资产负债!AH7,0),0)</f>
        <v>14996.564958369729</v>
      </c>
      <c r="AJ7" s="370">
        <f>IF(假设!AJ34&lt;&gt;0,IF(2*利润表!AJ2/假设!AJ34-资产负债!AI7&gt;0,2*利润表!AJ2/假设!AJ34-资产负债!AI7,0),0)</f>
        <v>16252.172252243834</v>
      </c>
      <c r="AK7" s="370">
        <f>IF(假设!AK34&lt;&gt;0,IF(2*利润表!AK2/假设!AK34-资产负债!AJ7&gt;0,2*利润表!AK2/假设!AK34-资产负债!AJ7,0),0)</f>
        <v>19054.26573841575</v>
      </c>
      <c r="AL7" s="370">
        <f>IF(假设!AL34&lt;&gt;0,IF(2*利润表!AL2/假设!AL34-资产负债!AK7&gt;0,2*利润表!AL2/假设!AL34-资产负债!AK7,0),0)</f>
        <v>20836.84736337178</v>
      </c>
      <c r="AN7" s="368"/>
    </row>
    <row r="8" spans="1:40" s="451" customFormat="1" ht="17.25" customHeight="1" outlineLevel="1">
      <c r="A8" s="167" t="s">
        <v>2754</v>
      </c>
      <c r="B8" s="369" t="s">
        <v>2760</v>
      </c>
      <c r="C8" s="152">
        <f>年度数据!C47</f>
        <v>919.69540303999997</v>
      </c>
      <c r="D8" s="152">
        <f>年度数据!D47</f>
        <v>1441.6004765099999</v>
      </c>
      <c r="E8" s="152">
        <f>年度数据!E47</f>
        <v>1853.6687721300002</v>
      </c>
      <c r="F8" s="152">
        <f>年度数据!F47</f>
        <v>2388.3713627900001</v>
      </c>
      <c r="G8" s="152">
        <f>年度数据!G47</f>
        <v>3420.6924396300001</v>
      </c>
      <c r="H8" s="152">
        <f>年度数据!H47</f>
        <v>4668.4441491199996</v>
      </c>
      <c r="I8" s="370">
        <f>IF(假设!I35&lt;&gt;0,IF(2*利润表!I2/假设!I35-资产负债!H8&gt;0,2*利润表!I2/假设!I35-资产负债!H8,0),0)</f>
        <v>2015.2219963600728</v>
      </c>
      <c r="J8" s="370">
        <f>IF(假设!J35&lt;&gt;0,IF(2*利润表!J2/假设!J35-资产负债!I8&gt;0,2*利润表!J2/假设!J35-资产负债!I8,0),0)</f>
        <v>6202.5069445020908</v>
      </c>
      <c r="K8" s="370">
        <f>IF(假设!K35&lt;&gt;0,IF(2*利润表!K2/假设!K35-资产负债!J8&gt;0,2*利润表!K2/假设!K35-资产负债!J8,0),0)</f>
        <v>3817.128188334882</v>
      </c>
      <c r="L8" s="370">
        <f>IF(假设!L35&lt;&gt;0,IF(2*利润表!L2/假设!L35-资产负债!K8&gt;0,2*利润表!L2/假设!L35-资产负债!K8,0),0)</f>
        <v>6928.2334567170219</v>
      </c>
      <c r="M8" s="370">
        <f>IF(假设!M35&lt;&gt;0,IF(2*利润表!M2/假设!M35-资产负债!L8&gt;0,2*利润表!M2/假设!M35-资产负债!L8,0),0)</f>
        <v>5180.7715922739662</v>
      </c>
      <c r="N8" s="370">
        <f>IF(假设!N35&lt;&gt;0,IF(2*利润表!N2/假设!N35-资产负债!M8&gt;0,2*利润表!N2/假设!N35-资产负债!M8,0),0)</f>
        <v>8562.2518992779969</v>
      </c>
      <c r="O8" s="370">
        <f>IF(假设!O35&lt;&gt;0,IF(2*利润表!O2/假设!O35-资产负债!N8&gt;0,2*利润表!O2/假设!O35-资产负债!N8,0),0)</f>
        <v>6925.9516472678697</v>
      </c>
      <c r="P8" s="370">
        <f>IF(假设!P35&lt;&gt;0,IF(2*利润表!P2/假设!P35-资产负债!O8&gt;0,2*利润表!P2/假设!P35-资产负债!O8,0),0)</f>
        <v>10711.143679635301</v>
      </c>
      <c r="Q8" s="370">
        <f>IF(假设!Q35&lt;&gt;0,IF(2*利润表!Q2/假设!Q35-资产负债!P8&gt;0,2*利润表!Q2/假设!Q35-资产负债!P8,0),0)</f>
        <v>9168.2156153024953</v>
      </c>
      <c r="R8" s="370">
        <f>IF(假设!R35&lt;&gt;0,IF(2*利润表!R2/假设!R35-资产负债!Q8&gt;0,2*利润表!R2/假设!R35-资产负债!Q8,0),0)</f>
        <v>13197.105635748787</v>
      </c>
      <c r="S8" s="370">
        <f>IF(假设!S35&lt;&gt;0,IF(2*利润表!S2/假设!S35-资产负债!R8&gt;0,2*利润表!S2/假设!S35-资产负债!R8,0),0)</f>
        <v>12123.444796851178</v>
      </c>
      <c r="T8" s="370">
        <f>IF(假设!T35&lt;&gt;0,IF(2*利润表!T2/假设!T35-资产负债!S8&gt;0,2*利润表!T2/假设!T35-资产负债!S8,0),0)</f>
        <v>16513.06010182375</v>
      </c>
      <c r="U8" s="370">
        <f>IF(假设!U35&lt;&gt;0,IF(2*利润表!U2/假设!U35-资产负债!T8&gt;0,2*利润表!U2/假设!U35-资产负债!T8,0),0)</f>
        <v>15836.004314115122</v>
      </c>
      <c r="V8" s="370">
        <f>IF(假设!V35&lt;&gt;0,IF(2*利润表!V2/假设!V35-资产负债!U8&gt;0,2*利润表!V2/假设!V35-资产负债!U8,0),0)</f>
        <v>20700.21271919816</v>
      </c>
      <c r="W8" s="370">
        <f>IF(假设!W35&lt;&gt;0,IF(2*利润表!W2/假设!W35-资产负债!V8&gt;0,2*利润表!W2/假设!W35-资产负债!V8,0),0)</f>
        <v>20568.412898205625</v>
      </c>
      <c r="X8" s="370">
        <f>IF(假设!X35&lt;&gt;0,IF(2*利润表!X2/假设!X35-资产负债!W8&gt;0,2*利润表!X2/假设!X35-资产负债!W8,0),0)</f>
        <v>26070.652987276731</v>
      </c>
      <c r="Y8" s="370">
        <f>IF(假设!Y35&lt;&gt;0,IF(2*利润表!Y2/假设!Y35-资产负债!X8&gt;0,2*利润表!Y2/假设!Y35-资产负债!X8,0),0)</f>
        <v>26633.825790342253</v>
      </c>
      <c r="Z8" s="370">
        <f>IF(假设!Z35&lt;&gt;0,IF(2*利润表!Z2/假设!Z35-资产负债!Y8&gt;0,2*利润表!Z2/假设!Z35-资产负债!Y8,0),0)</f>
        <v>32909.253619514609</v>
      </c>
      <c r="AA8" s="370">
        <f>IF(假设!AA35&lt;&gt;0,IF(2*利润表!AA2/假设!AA35-资产负债!Z8&gt;0,2*利润表!AA2/假设!AA35-资产负债!Z8,0),0)</f>
        <v>34359.33362738711</v>
      </c>
      <c r="AB8" s="370">
        <f>IF(假设!AB35&lt;&gt;0,IF(2*利润表!AB2/假设!AB35-资产负债!AA8&gt;0,2*利润表!AB2/假设!AB35-资产负债!AA8,0),0)</f>
        <v>41645.157592893738</v>
      </c>
      <c r="AC8" s="370">
        <f>IF(假设!AC35&lt;&gt;0,IF(2*利润表!AC2/假设!AC35-资产负债!AB8&gt;0,2*利润表!AC2/假设!AC35-资产负债!AB8,0),0)</f>
        <v>44232.716577174491</v>
      </c>
      <c r="AD8" s="370">
        <f>IF(假设!AD35&lt;&gt;0,IF(2*利润表!AD2/假设!AD35-资产负债!AC8&gt;0,2*利润表!AD2/假设!AD35-资产负债!AC8,0),0)</f>
        <v>52797.215276208328</v>
      </c>
      <c r="AE8" s="370">
        <f>IF(假设!AE35&lt;&gt;0,IF(2*利润表!AE2/假设!AE35-资产负债!AD8&gt;0,2*利润表!AE2/假设!AE35-资产负债!AD8,0),0)</f>
        <v>56830.208555864956</v>
      </c>
      <c r="AF8" s="370">
        <f>IF(假设!AF35&lt;&gt;0,IF(2*利润表!AF2/假设!AF35-资产负债!AE8&gt;0,2*利润表!AF2/假设!AF35-资产负债!AE8,0),0)</f>
        <v>67031.24763454136</v>
      </c>
      <c r="AG8" s="370">
        <f>IF(假设!AG35&lt;&gt;0,IF(2*利润表!AG2/假设!AG35-资产负债!AF8&gt;0,2*利润表!AG2/假设!AG35-资产负债!AF8,0),0)</f>
        <v>72914.836311849329</v>
      </c>
      <c r="AH8" s="370">
        <f>IF(假设!AH35&lt;&gt;0,IF(2*利润表!AH2/假设!AH35-资产负债!AG8&gt;0,2*利润表!AH2/假设!AH35-资产负债!AG8,0),0)</f>
        <v>85204.648426537169</v>
      </c>
      <c r="AI8" s="370">
        <f>IF(假设!AI35&lt;&gt;0,IF(2*利润表!AI2/假设!AI35-资产负债!AH8&gt;0,2*利润表!AI2/假设!AI35-资产负债!AH8,0),0)</f>
        <v>93446.598917348805</v>
      </c>
      <c r="AJ8" s="370">
        <f>IF(假设!AJ35&lt;&gt;0,IF(2*利润表!AJ2/假设!AJ35-资产负债!AI8&gt;0,2*利润表!AJ2/假设!AJ35-资产负债!AI8,0),0)</f>
        <v>108402.1724130722</v>
      </c>
      <c r="AK8" s="370">
        <f>IF(假设!AK35&lt;&gt;0,IF(2*利润表!AK2/假设!AK35-资产负债!AJ8&gt;0,2*利润表!AK2/假设!AK35-资产负债!AJ8,0),0)</f>
        <v>119657.00245135414</v>
      </c>
      <c r="AL8" s="370">
        <f>IF(假设!AL35&lt;&gt;0,IF(2*利润表!AL2/假设!AL35-资产负债!AK8&gt;0,2*利润表!AL2/假设!AL35-资产负债!AK8,0),0)</f>
        <v>138016.51499580618</v>
      </c>
      <c r="AM8" s="375"/>
      <c r="AN8" s="368"/>
    </row>
    <row r="9" spans="1:40" s="451" customFormat="1" ht="17.25" hidden="1" customHeight="1" outlineLevel="1">
      <c r="A9" s="167"/>
      <c r="B9" s="369"/>
      <c r="C9" s="152"/>
      <c r="D9" s="152"/>
      <c r="E9" s="152"/>
      <c r="F9" s="152"/>
      <c r="G9" s="152"/>
      <c r="H9" s="152"/>
      <c r="I9" s="370"/>
      <c r="J9" s="370"/>
      <c r="K9" s="370"/>
      <c r="L9" s="370"/>
      <c r="M9" s="370"/>
      <c r="N9" s="370"/>
      <c r="O9" s="370"/>
      <c r="P9" s="370"/>
      <c r="Q9" s="370"/>
      <c r="R9" s="370"/>
      <c r="S9" s="370"/>
      <c r="T9" s="370"/>
      <c r="U9" s="370"/>
      <c r="V9" s="370"/>
      <c r="W9" s="370"/>
      <c r="X9" s="370"/>
      <c r="Y9" s="370"/>
      <c r="Z9" s="370"/>
      <c r="AA9" s="370"/>
      <c r="AB9" s="370"/>
      <c r="AC9" s="370"/>
      <c r="AD9" s="370"/>
      <c r="AE9" s="370"/>
      <c r="AF9" s="370"/>
      <c r="AG9" s="370"/>
      <c r="AH9" s="370"/>
      <c r="AI9" s="370"/>
      <c r="AJ9" s="370"/>
      <c r="AK9" s="370"/>
      <c r="AL9" s="370"/>
      <c r="AM9" s="375"/>
      <c r="AN9" s="368"/>
    </row>
    <row r="10" spans="1:40" s="451" customFormat="1" ht="17.25" customHeight="1" outlineLevel="1">
      <c r="A10" s="167" t="s">
        <v>2822</v>
      </c>
      <c r="B10" s="369" t="s">
        <v>995</v>
      </c>
      <c r="C10" s="152">
        <f>年度数据!C51</f>
        <v>0</v>
      </c>
      <c r="D10" s="152">
        <f>年度数据!D51</f>
        <v>100.10192768</v>
      </c>
      <c r="E10" s="152">
        <f>年度数据!E51</f>
        <v>61.93058345</v>
      </c>
      <c r="F10" s="152">
        <f>年度数据!F51</f>
        <v>226.60601586000001</v>
      </c>
      <c r="G10" s="152">
        <f>年度数据!G51</f>
        <v>229.29043228999998</v>
      </c>
      <c r="H10" s="152">
        <f>年度数据!H51</f>
        <v>319.27647168999999</v>
      </c>
      <c r="I10" s="370">
        <f>假设!I37</f>
        <v>319.27647168999999</v>
      </c>
      <c r="J10" s="370">
        <f>假设!J37</f>
        <v>319.27647168999999</v>
      </c>
      <c r="K10" s="370">
        <f>假设!K37</f>
        <v>319.27647168999999</v>
      </c>
      <c r="L10" s="370">
        <f>假设!L37</f>
        <v>319.27647168999999</v>
      </c>
      <c r="M10" s="370">
        <f>假设!M37</f>
        <v>319.27647168999999</v>
      </c>
      <c r="N10" s="370">
        <f>假设!N37</f>
        <v>319.27647168999999</v>
      </c>
      <c r="O10" s="370">
        <f>假设!O37</f>
        <v>319.27647168999999</v>
      </c>
      <c r="P10" s="370">
        <f>假设!P37</f>
        <v>319.27647168999999</v>
      </c>
      <c r="Q10" s="370">
        <f>假设!Q37</f>
        <v>319.27647168999999</v>
      </c>
      <c r="R10" s="370">
        <f>假设!R37</f>
        <v>319.27647168999999</v>
      </c>
      <c r="S10" s="370">
        <f>假设!S37</f>
        <v>319.27647168999999</v>
      </c>
      <c r="T10" s="370">
        <f>假设!T37</f>
        <v>319.27647168999999</v>
      </c>
      <c r="U10" s="370">
        <f>假设!U37</f>
        <v>319.27647168999999</v>
      </c>
      <c r="V10" s="370">
        <f>假设!V37</f>
        <v>319.27647168999999</v>
      </c>
      <c r="W10" s="370">
        <f>假设!W37</f>
        <v>319.27647168999999</v>
      </c>
      <c r="X10" s="370">
        <f>假设!X37</f>
        <v>319.27647168999999</v>
      </c>
      <c r="Y10" s="370">
        <f>假设!Y37</f>
        <v>319.27647168999999</v>
      </c>
      <c r="Z10" s="370">
        <f>假设!Z37</f>
        <v>319.27647168999999</v>
      </c>
      <c r="AA10" s="370">
        <f>假设!AA37</f>
        <v>319.27647168999999</v>
      </c>
      <c r="AB10" s="370">
        <f>假设!AB37</f>
        <v>319.27647168999999</v>
      </c>
      <c r="AC10" s="370">
        <f>假设!AC37</f>
        <v>319.27647168999999</v>
      </c>
      <c r="AD10" s="370">
        <f>假设!AD37</f>
        <v>319.27647168999999</v>
      </c>
      <c r="AE10" s="370">
        <f>假设!AE37</f>
        <v>319.27647168999999</v>
      </c>
      <c r="AF10" s="370">
        <f>假设!AF37</f>
        <v>319.27647168999999</v>
      </c>
      <c r="AG10" s="370">
        <f>假设!AG37</f>
        <v>319.27647168999999</v>
      </c>
      <c r="AH10" s="370">
        <f>假设!AH37</f>
        <v>319.27647168999999</v>
      </c>
      <c r="AI10" s="370">
        <f>假设!AI37</f>
        <v>319.27647168999999</v>
      </c>
      <c r="AJ10" s="370">
        <f>假设!AJ37</f>
        <v>319.27647168999999</v>
      </c>
      <c r="AK10" s="370">
        <f>假设!AK37</f>
        <v>319.27647168999999</v>
      </c>
      <c r="AL10" s="370">
        <f>假设!AL37</f>
        <v>319.27647168999999</v>
      </c>
      <c r="AM10" s="375"/>
      <c r="AN10" s="368"/>
    </row>
    <row r="11" spans="1:40" s="451" customFormat="1" ht="17.25" customHeight="1" outlineLevel="1">
      <c r="A11" s="546" t="s">
        <v>634</v>
      </c>
      <c r="B11" s="547" t="s">
        <v>636</v>
      </c>
      <c r="C11" s="152">
        <f>年度数据!C53</f>
        <v>29.288199039999999</v>
      </c>
      <c r="D11" s="152">
        <f>年度数据!D53</f>
        <v>63.251528</v>
      </c>
      <c r="E11" s="152">
        <f>年度数据!E53</f>
        <v>88.378514540000012</v>
      </c>
      <c r="F11" s="152">
        <f>年度数据!F53</f>
        <v>150.91073331999999</v>
      </c>
      <c r="G11" s="152">
        <f>年度数据!G53</f>
        <v>156.05778677000001</v>
      </c>
      <c r="H11" s="152">
        <f>年度数据!H53</f>
        <v>138.46268200999998</v>
      </c>
      <c r="I11" s="370">
        <f>IF(假设!I39&lt;&gt;0,IF(2*利润表!I2/假设!I39-资产负债!H11&gt;0,2*利润表!I2/假设!I39-资产负债!H11,0),0)</f>
        <v>183.183121944638</v>
      </c>
      <c r="J11" s="370">
        <f>IF(假设!J39&lt;&gt;0,IF(2*利润表!J2/假设!J39-资产负债!I11&gt;0,2*利润表!J2/假设!J39-资产负债!I11,0),0)</f>
        <v>189.25055445443729</v>
      </c>
      <c r="K11" s="370">
        <f>IF(假设!K39&lt;&gt;0,IF(2*利润表!K2/假设!K39-资产负债!J11&gt;0,2*利润表!K2/假设!K39-资产负债!J11,0),0)</f>
        <v>244.44699730247453</v>
      </c>
      <c r="L11" s="370">
        <f>IF(假设!L39&lt;&gt;0,IF(2*利润表!L2/假设!L39-资产负债!K11&gt;0,2*利润表!L2/假设!L39-资产负债!K11,0),0)</f>
        <v>245.28961269778864</v>
      </c>
      <c r="M11" s="370">
        <f>IF(假设!M39&lt;&gt;0,IF(2*利润表!M2/假设!M39-资产负债!L11&gt;0,2*利润表!M2/假设!M39-资产负债!L11,0),0)</f>
        <v>296.3142098087356</v>
      </c>
      <c r="N11" s="370">
        <f>IF(假设!N39&lt;&gt;0,IF(2*利润表!N2/假设!N39-资产负债!M11&gt;0,2*利润表!N2/假设!N39-资产负债!M11,0),0)</f>
        <v>315.65659582789323</v>
      </c>
      <c r="O11" s="370">
        <f>IF(假设!O39&lt;&gt;0,IF(2*利润表!O2/假设!O39-资产负债!N11&gt;0,2*利润表!O2/假设!O39-资产负债!N11,0),0)</f>
        <v>380.45286435962106</v>
      </c>
      <c r="P11" s="370">
        <f>IF(假设!P39&lt;&gt;0,IF(2*利润表!P2/假设!P39-资产负债!O11&gt;0,2*利润表!P2/假设!P39-资产负债!O11,0),0)</f>
        <v>408.52151299053622</v>
      </c>
      <c r="Q11" s="370">
        <f>IF(假设!Q39&lt;&gt;0,IF(2*利润表!Q2/假设!Q39-资产负债!P11&gt;0,2*利润表!Q2/假设!Q39-资产负债!P11,0),0)</f>
        <v>480.80057109649016</v>
      </c>
      <c r="R11" s="370">
        <f>IF(假设!R39&lt;&gt;0,IF(2*利润表!R2/假设!R39-资产负债!Q11&gt;0,2*利润表!R2/假设!R39-资产负债!Q11,0),0)</f>
        <v>521.27206369045302</v>
      </c>
      <c r="S11" s="370">
        <f>IF(假设!S39&lt;&gt;0,IF(2*利润表!S2/假设!S39-资产负债!R11&gt;0,2*利润表!S2/假设!S39-资产负债!R11,0),0)</f>
        <v>612.0294206645533</v>
      </c>
      <c r="T11" s="370">
        <f>IF(假设!T39&lt;&gt;0,IF(2*利润表!T2/假设!T39-资产负债!S11&gt;0,2*利润表!T2/假设!T39-资产负债!S11,0),0)</f>
        <v>669.92068833462349</v>
      </c>
      <c r="U11" s="370">
        <f>IF(假设!U39&lt;&gt;0,IF(2*利润表!U2/假设!U39-资产负债!T11&gt;0,2*利润表!U2/假设!U39-资产负债!T11,0),0)</f>
        <v>778.55407385847025</v>
      </c>
      <c r="V11" s="370">
        <f>IF(假设!V39&lt;&gt;0,IF(2*利润表!V2/假设!V39-资产负债!U11&gt;0,2*利润表!V2/假设!V39-资产负债!U11,0),0)</f>
        <v>857.06109529153036</v>
      </c>
      <c r="W11" s="370">
        <f>IF(假设!W39&lt;&gt;0,IF(2*利润表!W2/假设!W39-资产负债!V11&gt;0,2*利润表!W2/假设!W39-资产负债!V11,0),0)</f>
        <v>990.53044577268179</v>
      </c>
      <c r="X11" s="370">
        <f>IF(假设!X39&lt;&gt;0,IF(2*利润表!X2/假设!X39-资产负债!W11&gt;0,2*利润表!X2/假设!X39-资产负债!W11,0),0)</f>
        <v>1097.5509219322546</v>
      </c>
      <c r="Y11" s="370">
        <f>IF(假设!Y39&lt;&gt;0,IF(2*利润表!Y2/假设!Y39-资产负债!X11&gt;0,2*利润表!Y2/假设!Y39-资产负债!X11,0),0)</f>
        <v>1261.9920159580122</v>
      </c>
      <c r="Z11" s="370">
        <f>IF(假设!Z39&lt;&gt;0,IF(2*利润表!Z2/假设!Z39-资产负债!Y11&gt;0,2*利润表!Z2/假设!Z39-资产负债!Y11,0),0)</f>
        <v>1403.7569960957378</v>
      </c>
      <c r="AA11" s="370">
        <f>IF(假设!AA39&lt;&gt;0,IF(2*利润表!AA2/假设!AA39-资产负债!Z11&gt;0,2*利润表!AA2/假设!AA39-资产负债!Z11,0),0)</f>
        <v>1607.8683322462086</v>
      </c>
      <c r="AB11" s="370">
        <f>IF(假设!AB39&lt;&gt;0,IF(2*利润表!AB2/假设!AB39-资产负债!AA11&gt;0,2*利润表!AB2/假设!AB39-资产负债!AA11,0),0)</f>
        <v>1794.8414536104031</v>
      </c>
      <c r="AC11" s="370">
        <f>IF(假设!AC39&lt;&gt;0,IF(2*利润表!AC2/假设!AC39-资产负债!AB11&gt;0,2*利润表!AC2/假设!AC39-资产负债!AB11,0),0)</f>
        <v>2049.9138365115905</v>
      </c>
      <c r="AD11" s="370">
        <f>IF(假设!AD39&lt;&gt;0,IF(2*利润表!AD2/假设!AD39-资产负债!AC11&gt;0,2*利润表!AD2/假设!AD39-资产负债!AC11,0),0)</f>
        <v>2294.1176220319703</v>
      </c>
      <c r="AE11" s="370">
        <f>IF(假设!AE39&lt;&gt;0,IF(2*利润表!AE2/假设!AE39-资产负债!AD11&gt;0,2*利润表!AE2/假设!AE39-资产负债!AD11,0),0)</f>
        <v>2613.8984659561302</v>
      </c>
      <c r="AF11" s="370">
        <f>IF(假设!AF39&lt;&gt;0,IF(2*利润表!AF2/假设!AF39-资产负债!AE11&gt;0,2*利润表!AF2/假设!AF39-资产负债!AE11,0),0)</f>
        <v>2931.3795193192709</v>
      </c>
      <c r="AG11" s="370">
        <f>IF(假设!AG39&lt;&gt;0,IF(2*利润表!AG2/假设!AG39-资产负债!AF11&gt;0,2*利润表!AG2/假设!AG39-资产负债!AF11,0),0)</f>
        <v>3334.0059947777663</v>
      </c>
      <c r="AH11" s="370">
        <f>IF(假设!AH39&lt;&gt;0,IF(2*利润表!AH2/假设!AH39-资产负债!AG11&gt;0,2*利润表!AH2/假设!AH39-资产负债!AG11,0),0)</f>
        <v>3745.0015707611428</v>
      </c>
      <c r="AI11" s="370">
        <f>IF(假设!AI39&lt;&gt;0,IF(2*利润表!AI2/假设!AI39-资产负债!AH11&gt;0,2*利润表!AI2/假设!AI39-资产负债!AH11,0),0)</f>
        <v>4253.2141094649969</v>
      </c>
      <c r="AJ11" s="370">
        <f>IF(假设!AJ39&lt;&gt;0,IF(2*利润表!AJ2/假设!AJ39-资产负债!AI11&gt;0,2*利润表!AJ2/假设!AJ39-资产负债!AI11,0),0)</f>
        <v>4783.5540622899525</v>
      </c>
      <c r="AK11" s="370">
        <f>IF(假设!AK39&lt;&gt;0,IF(2*利润表!AK2/假设!AK39-资产负债!AJ11&gt;0,2*利润表!AK2/假设!AK39-资产负债!AJ11,0),0)</f>
        <v>5426.6535675738078</v>
      </c>
      <c r="AL11" s="370">
        <f>IF(假设!AL39&lt;&gt;0,IF(2*利润表!AL2/假设!AL39-资产负债!AK11&gt;0,2*利润表!AL2/假设!AL39-资产负债!AK11,0),0)</f>
        <v>6109.3883141760334</v>
      </c>
      <c r="AN11" s="368"/>
    </row>
    <row r="12" spans="1:40" s="451" customFormat="1" ht="17.25" customHeight="1" outlineLevel="1">
      <c r="A12" s="366" t="s">
        <v>2703</v>
      </c>
      <c r="B12" s="369" t="s">
        <v>1355</v>
      </c>
      <c r="C12" s="152">
        <f>年度数据!C52</f>
        <v>29.964596320000002</v>
      </c>
      <c r="D12" s="152">
        <f>年度数据!D52</f>
        <v>147.69473619999999</v>
      </c>
      <c r="E12" s="152">
        <f>年度数据!E52</f>
        <v>156.62066966999998</v>
      </c>
      <c r="F12" s="152">
        <f>年度数据!F52</f>
        <v>135.12294227000001</v>
      </c>
      <c r="G12" s="152">
        <f>年度数据!G52</f>
        <v>279.69450638999996</v>
      </c>
      <c r="H12" s="152">
        <f>年度数据!H52</f>
        <v>286.87363082999997</v>
      </c>
      <c r="I12" s="370">
        <f>IF(假设!I38&lt;&gt;0,IF(2*利润表!I2/假设!I38-资产负债!H12&gt;0,2*利润表!I2/假设!I38-资产负债!H12,0),0)</f>
        <v>331.87543182796202</v>
      </c>
      <c r="J12" s="370">
        <f>IF(假设!J38&lt;&gt;0,IF(2*利润表!J2/假设!J38-资产负债!I12&gt;0,2*利润表!J2/假设!J38-资产负债!I12,0),0)</f>
        <v>384.57410782369215</v>
      </c>
      <c r="K12" s="370">
        <f>IF(假设!K38&lt;&gt;0,IF(2*利润表!K2/假设!K38-资产负债!J12&gt;0,2*利润表!K2/假设!K38-资产负债!J12,0),0)</f>
        <v>449.72856401992311</v>
      </c>
      <c r="L12" s="370">
        <f>IF(假设!L38&lt;&gt;0,IF(2*利润表!L2/假设!L38-资产负债!K12&gt;0,2*利润表!L2/假设!L38-资产负债!K12,0),0)</f>
        <v>492.37627509585928</v>
      </c>
      <c r="M12" s="370">
        <f>IF(假设!M38&lt;&gt;0,IF(2*利润表!M2/假设!M38-资产负债!L12&gt;0,2*利润表!M2/假设!M38-资产负债!L12,0),0)</f>
        <v>549.5053642341627</v>
      </c>
      <c r="N12" s="370">
        <f>IF(假设!N38&lt;&gt;0,IF(2*利润表!N2/假设!N38-资产负债!M12&gt;0,2*利润表!N2/假设!N38-资产负债!M12,0),0)</f>
        <v>627.74102824513784</v>
      </c>
      <c r="O12" s="370">
        <f>IF(假设!O38&lt;&gt;0,IF(2*利润表!O2/假设!O38-资产负债!N12&gt;0,2*利润表!O2/假设!O38-资产负债!N12,0),0)</f>
        <v>711.36264014628568</v>
      </c>
      <c r="P12" s="370">
        <f>IF(假设!P38&lt;&gt;0,IF(2*利润表!P2/假设!P38-资产负债!O12&gt;0,2*利润表!P2/假设!P38-资产负债!O12,0),0)</f>
        <v>806.38498921625091</v>
      </c>
      <c r="Q12" s="370">
        <f>IF(假设!Q38&lt;&gt;0,IF(2*利润表!Q2/假设!Q38-资产负债!P12&gt;0,2*利润表!Q2/假设!Q38-资产负债!P12,0),0)</f>
        <v>904.40122084566406</v>
      </c>
      <c r="R12" s="370">
        <f>IF(假设!R38&lt;&gt;0,IF(2*利润表!R2/假设!R38-资产负债!Q12&gt;0,2*利润表!R2/假设!R38-资产负债!Q12,0),0)</f>
        <v>1023.2828834278023</v>
      </c>
      <c r="S12" s="370">
        <f>IF(假设!S38&lt;&gt;0,IF(2*利润表!S2/假设!S38-资产负债!R12&gt;0,2*利润表!S2/假设!S38-资产负债!R12,0),0)</f>
        <v>1156.8457628406006</v>
      </c>
      <c r="T12" s="370">
        <f>IF(假设!T38&lt;&gt;0,IF(2*利润表!T2/假设!T38-资产负债!S12&gt;0,2*利润表!T2/假设!T38-资产负债!S12,0),0)</f>
        <v>1309.2377941809589</v>
      </c>
      <c r="U12" s="370">
        <f>IF(假设!U38&lt;&gt;0,IF(2*利润表!U2/假设!U38-资产负债!T12&gt;0,2*利润表!U2/假设!U38-资产负债!T12,0),0)</f>
        <v>1477.1887357826934</v>
      </c>
      <c r="V12" s="370">
        <f>IF(假设!V38&lt;&gt;0,IF(2*利润表!V2/假设!V38-资产负债!U12&gt;0,2*利润表!V2/假设!V38-资产负债!U12,0),0)</f>
        <v>1669.2392304389184</v>
      </c>
      <c r="W12" s="370">
        <f>IF(假设!W38&lt;&gt;0,IF(2*利润表!W2/假设!W38-资产负债!V12&gt;0,2*利润表!W2/假设!W38-资产负债!V12,0),0)</f>
        <v>1884.9670428985899</v>
      </c>
      <c r="X12" s="370">
        <f>IF(假设!X38&lt;&gt;0,IF(2*利润表!X2/假设!X38-资产负债!W12&gt;0,2*利润表!X2/假设!X38-资产负债!W12,0),0)</f>
        <v>2131.8687843867438</v>
      </c>
      <c r="Y12" s="370">
        <f>IF(假设!Y38&lt;&gt;0,IF(2*利润表!Y2/假设!Y38-资产负债!X12&gt;0,2*利润表!Y2/假设!Y38-资产负债!X12,0),0)</f>
        <v>2407.1768464610213</v>
      </c>
      <c r="Z12" s="370">
        <f>IF(假设!Z38&lt;&gt;0,IF(2*利润表!Z2/假设!Z38-资产负债!Y12&gt;0,2*利润表!Z2/假设!Z38-资产负债!Y12,0),0)</f>
        <v>2720.9164854273267</v>
      </c>
      <c r="AA12" s="370">
        <f>IF(假设!AA38&lt;&gt;0,IF(2*利润表!AA2/假设!AA38-资产负债!Z12&gt;0,2*利润表!AA2/假设!AA38-资产负债!Z12,0),0)</f>
        <v>3072.5380725912792</v>
      </c>
      <c r="AB12" s="370">
        <f>IF(假设!AB38&lt;&gt;0,IF(2*利润表!AB2/假设!AB38-资产负债!AA12&gt;0,2*利润表!AB2/假设!AB38-资产负债!AA12,0),0)</f>
        <v>3473.2444764413922</v>
      </c>
      <c r="AC12" s="370">
        <f>IF(假设!AC38&lt;&gt;0,IF(2*利润表!AC2/假设!AC38-资产负债!AB12&gt;0,2*利润表!AC2/假设!AC38-资产负债!AB12,0),0)</f>
        <v>3922.8996754895561</v>
      </c>
      <c r="AD12" s="370">
        <f>IF(假设!AD38&lt;&gt;0,IF(2*利润表!AD2/假设!AD38-资产负债!AC12&gt;0,2*利润表!AD2/假设!AD38-资产负债!AC12,0),0)</f>
        <v>4433.7005353112654</v>
      </c>
      <c r="AE12" s="370">
        <f>IF(假设!AE38&lt;&gt;0,IF(2*利润表!AE2/假设!AE38-资产负债!AD12&gt;0,2*利润表!AE2/假设!AE38-资产负债!AD12,0),0)</f>
        <v>5007.8352056030526</v>
      </c>
      <c r="AF12" s="370">
        <f>IF(假设!AF38&lt;&gt;0,IF(2*利润表!AF2/假设!AF38-资产负债!AE12&gt;0,2*利润表!AF2/假设!AF38-资产负债!AE12,0),0)</f>
        <v>5659.5993244954116</v>
      </c>
      <c r="AG12" s="370">
        <f>IF(假设!AG38&lt;&gt;0,IF(2*利润表!AG2/假设!AG38-资产负债!AF12&gt;0,2*利润表!AG2/假设!AG38-资产负债!AF12,0),0)</f>
        <v>6393.1038862234509</v>
      </c>
      <c r="AH12" s="370">
        <f>IF(假设!AH38&lt;&gt;0,IF(2*利润表!AH2/假设!AH38-资产负债!AG12&gt;0,2*利润表!AH2/假设!AH38-资产负债!AG12,0),0)</f>
        <v>7224.7616101458261</v>
      </c>
      <c r="AI12" s="370">
        <f>IF(假设!AI38&lt;&gt;0,IF(2*利润表!AI2/假设!AI38-资产负债!AH12&gt;0,2*利润表!AI2/假设!AI38-资产负债!AH12,0),0)</f>
        <v>8161.3817631844358</v>
      </c>
      <c r="AJ12" s="370">
        <f>IF(假设!AJ38&lt;&gt;0,IF(2*利润表!AJ2/假设!AJ38-资产负债!AI12&gt;0,2*利润表!AJ2/假设!AJ38-资产负债!AI12,0),0)</f>
        <v>9222.6219047734194</v>
      </c>
      <c r="AK12" s="370">
        <f>IF(假设!AK38&lt;&gt;0,IF(2*利润表!AK2/假设!AK38-资产负债!AJ12&gt;0,2*利润表!AK2/假设!AK38-资产负债!AJ12,0),0)</f>
        <v>10418.723708466241</v>
      </c>
      <c r="AL12" s="370">
        <f>IF(假设!AL38&lt;&gt;0,IF(2*利润表!AL2/假设!AL38-资产负债!AK12&gt;0,2*利润表!AL2/假设!AL38-资产负债!AK12,0),0)</f>
        <v>11773.125255067487</v>
      </c>
      <c r="AN12" s="368"/>
    </row>
    <row r="13" spans="1:40" s="451" customFormat="1" ht="17.25" customHeight="1" outlineLevel="1">
      <c r="A13" s="366" t="s">
        <v>1206</v>
      </c>
      <c r="B13" s="369" t="s">
        <v>1296</v>
      </c>
      <c r="C13" s="152">
        <f>年度数据!C54</f>
        <v>219.68890333000002</v>
      </c>
      <c r="D13" s="152">
        <f>年度数据!D54</f>
        <v>303.24559275000001</v>
      </c>
      <c r="E13" s="152">
        <f>年度数据!E54</f>
        <v>287.05192177999999</v>
      </c>
      <c r="F13" s="152">
        <f>年度数据!F54</f>
        <v>339.79064145999996</v>
      </c>
      <c r="G13" s="152">
        <f>年度数据!G54</f>
        <v>403.83215932000002</v>
      </c>
      <c r="H13" s="152">
        <f>年度数据!H54</f>
        <v>554.36499835000006</v>
      </c>
      <c r="I13" s="370">
        <f>IF(假设!I40&lt;&gt;0,IF(2*利润表!I3/假设!I40-资产负债!H13&gt;0,2*利润表!I3/假设!I40-资产负债!H13,0),0)</f>
        <v>643.29202894404114</v>
      </c>
      <c r="J13" s="370">
        <f>IF(假设!J40&lt;&gt;0,IF(2*利润表!J3/假设!J40-资产负债!I13&gt;0,2*利润表!J3/假设!J40-资产负债!I13,0),0)</f>
        <v>544.69247240001425</v>
      </c>
      <c r="K13" s="370">
        <f>IF(假设!K40&lt;&gt;0,IF(2*利润表!K3/假设!K40-资产负债!J13&gt;0,2*利润表!K3/假设!K40-资产负债!J13,0),0)</f>
        <v>813.10573158010504</v>
      </c>
      <c r="L13" s="370">
        <f>IF(假设!L40&lt;&gt;0,IF(2*利润表!L3/假设!L40-资产负债!K13&gt;0,2*利润表!L3/假设!L40-资产负债!K13,0),0)</f>
        <v>731.59322231373437</v>
      </c>
      <c r="M13" s="370">
        <f>IF(假设!M40&lt;&gt;0,IF(2*利润表!M3/假设!M40-资产负债!L13&gt;0,2*利润表!M3/假设!M40-资产负债!L13,0),0)</f>
        <v>1034.7368183379499</v>
      </c>
      <c r="N13" s="370">
        <f>IF(假设!N40&lt;&gt;0,IF(2*利润表!N3/假设!N40-资产负债!M13&gt;0,2*利润表!N3/假设!N40-资产负债!M13,0),0)</f>
        <v>963.36232582096159</v>
      </c>
      <c r="O13" s="370">
        <f>IF(假设!O40&lt;&gt;0,IF(2*利润表!O3/假设!O40-资产负债!N13&gt;0,2*利润表!O3/假设!O40-资产负债!N13,0),0)</f>
        <v>1272.9853210699259</v>
      </c>
      <c r="P13" s="370">
        <f>IF(假设!P40&lt;&gt;0,IF(2*利润表!P3/假设!P40-资产负债!O13&gt;0,2*利润表!P3/假设!P40-资产负债!O13,0),0)</f>
        <v>1257.7063726517033</v>
      </c>
      <c r="Q13" s="370">
        <f>IF(假设!Q40&lt;&gt;0,IF(2*利润表!Q3/假设!Q40-资产负债!P13&gt;0,2*利润表!Q3/假设!Q40-资产负债!P13,0),0)</f>
        <v>1604.460520827244</v>
      </c>
      <c r="R13" s="370">
        <f>IF(假设!R40&lt;&gt;0,IF(2*利润表!R3/假设!R40-资产负债!Q13&gt;0,2*利润表!R3/假设!R40-资产负债!Q13,0),0)</f>
        <v>1633.6774662991854</v>
      </c>
      <c r="S13" s="370">
        <f>IF(假设!S40&lt;&gt;0,IF(2*利润表!S3/假设!S40-资产负债!R13&gt;0,2*利润表!S3/假设!S40-资产负债!R13,0),0)</f>
        <v>2023.4964595139465</v>
      </c>
      <c r="T13" s="370">
        <f>IF(假设!T40&lt;&gt;0,IF(2*利润表!T3/假设!T40-资产负债!S13&gt;0,2*利润表!T3/假设!T40-资产负债!S13,0),0)</f>
        <v>2104.3998951515432</v>
      </c>
      <c r="U13" s="370">
        <f>IF(假设!U40&lt;&gt;0,IF(2*利润表!U3/假设!U40-资产负债!T13&gt;0,2*利润表!U3/假设!U40-资产负债!T13,0),0)</f>
        <v>2560.8777175448904</v>
      </c>
      <c r="V13" s="370">
        <f>IF(假设!V40&lt;&gt;0,IF(2*利润表!V3/假设!V40-资产负债!U13&gt;0,2*利润表!V3/假设!V40-资产负债!U13,0),0)</f>
        <v>2711.3563163143235</v>
      </c>
      <c r="W13" s="370">
        <f>IF(假设!W40&lt;&gt;0,IF(2*利润表!W3/假设!W40-资产负债!V13&gt;0,2*利润表!W3/假设!W40-资产负债!V13,0),0)</f>
        <v>3246.2251618727814</v>
      </c>
      <c r="X13" s="370">
        <f>IF(假设!X40&lt;&gt;0,IF(2*利润表!X3/假设!X40-资产负债!W13&gt;0,2*利润表!X3/假设!X40-资产负债!W13,0),0)</f>
        <v>3484.0455250863424</v>
      </c>
      <c r="Y13" s="370">
        <f>IF(假设!Y40&lt;&gt;0,IF(2*利润表!Y3/假设!Y40-资产负债!X13&gt;0,2*利润表!Y3/假设!Y40-资产负债!X13,0),0)</f>
        <v>4119.3437665322244</v>
      </c>
      <c r="Z13" s="370">
        <f>IF(假设!Z40&lt;&gt;0,IF(2*利润表!Z3/假设!Z40-资产负债!Y13&gt;0,2*利润表!Z3/假设!Z40-资产负债!Y13,0),0)</f>
        <v>4471.9688027580059</v>
      </c>
      <c r="AA13" s="370">
        <f>IF(假设!AA40&lt;&gt;0,IF(2*利润表!AA3/假设!AA40-资产负债!Z13&gt;0,2*利润表!AA3/假设!AA40-资产负债!Z13,0),0)</f>
        <v>5235.29490032997</v>
      </c>
      <c r="AB13" s="370">
        <f>IF(假设!AB40&lt;&gt;0,IF(2*利润表!AB3/假设!AB40-资产负债!AA13&gt;0,2*利润表!AB3/假设!AB40-资产负债!AA13,0),0)</f>
        <v>5732.4690000643632</v>
      </c>
      <c r="AC13" s="370">
        <f>IF(假设!AC40&lt;&gt;0,IF(2*利润表!AC3/假设!AC40-资产负债!AB13&gt;0,2*利润表!AC3/假设!AC40-资产负债!AB13,0),0)</f>
        <v>6659.139356315688</v>
      </c>
      <c r="AD13" s="370">
        <f>IF(假设!AD40&lt;&gt;0,IF(2*利润表!AD3/假设!AD40-资产负债!AC13&gt;0,2*利润表!AD3/假设!AD40-资产负债!AC13,0),0)</f>
        <v>7341.454426043384</v>
      </c>
      <c r="AE13" s="370">
        <f>IF(假设!AE40&lt;&gt;0,IF(2*利润表!AE3/假设!AE40-资产负债!AD13&gt;0,2*利润表!AE3/假设!AE40-资产负债!AD13,0),0)</f>
        <v>8477.3720430975518</v>
      </c>
      <c r="AF13" s="370">
        <f>IF(假设!AF40&lt;&gt;0,IF(2*利润表!AF3/假设!AF40-资产负债!AE13&gt;0,2*利润表!AF3/假设!AF40-资产负债!AE13,0),0)</f>
        <v>9395.6212100042867</v>
      </c>
      <c r="AG13" s="370">
        <f>IF(假设!AG40&lt;&gt;0,IF(2*利润表!AG3/假设!AG40-资产负债!AF13&gt;0,2*利润表!AG3/假设!AG40-资产负债!AF13,0),0)</f>
        <v>10798.148527448342</v>
      </c>
      <c r="AH13" s="370">
        <f>IF(假设!AH40&lt;&gt;0,IF(2*利润表!AH3/假设!AH40-资产负债!AG13&gt;0,2*利润表!AH3/假设!AH40-资产负债!AG13,0),0)</f>
        <v>12017.732501927789</v>
      </c>
      <c r="AI13" s="370">
        <f>IF(假设!AI40&lt;&gt;0,IF(2*利润表!AI3/假设!AI40-资产负债!AH13&gt;0,2*利润表!AI3/假设!AI40-资产负债!AH13,0),0)</f>
        <v>13760.856871258202</v>
      </c>
      <c r="AJ13" s="370">
        <f>IF(假设!AJ40&lt;&gt;0,IF(2*利润表!AJ3/假设!AJ40-资产负债!AI13&gt;0,2*利润表!AJ3/假设!AJ40-资产负债!AI13,0),0)</f>
        <v>15365.199875694088</v>
      </c>
      <c r="AK13" s="370">
        <f>IF(假设!AK40&lt;&gt;0,IF(2*利润表!AK3/假设!AK40-资产负债!AJ13&gt;0,2*利润表!AK3/假设!AK40-资产负债!AJ13,0),0)</f>
        <v>17542.928307890841</v>
      </c>
      <c r="AL13" s="370">
        <f>IF(假设!AL40&lt;&gt;0,IF(2*利润表!AL3/假设!AL40-资产负债!AK13&gt;0,2*利润表!AL3/假设!AL40-资产负债!AK13,0),0)</f>
        <v>19638.353451440889</v>
      </c>
      <c r="AN13" s="368"/>
    </row>
    <row r="14" spans="1:40" s="451" customFormat="1" ht="17.25" customHeight="1" outlineLevel="1">
      <c r="A14" s="366" t="s">
        <v>2776</v>
      </c>
      <c r="B14" s="369" t="s">
        <v>2783</v>
      </c>
      <c r="C14" s="152">
        <f>年度数据!C55</f>
        <v>0</v>
      </c>
      <c r="D14" s="152">
        <f>年度数据!D55</f>
        <v>0</v>
      </c>
      <c r="E14" s="152">
        <f>年度数据!E55</f>
        <v>277.34186788</v>
      </c>
      <c r="F14" s="152">
        <f>年度数据!F55</f>
        <v>364.58548263</v>
      </c>
      <c r="G14" s="152">
        <f>年度数据!G55</f>
        <v>393.26869975</v>
      </c>
      <c r="H14" s="152">
        <f>年度数据!H55</f>
        <v>409.59265257999999</v>
      </c>
      <c r="I14" s="370">
        <f>IF(假设!I41&lt;&gt;0,IF(2*利润表!I2/假设!I41-资产负债!H14&gt;0,2*利润表!I2/假设!I41-资产负债!H14,0),0)</f>
        <v>313.40580658330435</v>
      </c>
      <c r="J14" s="370">
        <f>IF(假设!J41&lt;&gt;0,IF(2*利润表!J2/假设!J41-资产负债!I14&gt;0,2*利润表!J2/假设!J41-资产负债!I14,0),0)</f>
        <v>629.75069953890352</v>
      </c>
      <c r="K14" s="370">
        <f>IF(假设!K41&lt;&gt;0,IF(2*利润表!K2/假设!K41-资产负债!J14&gt;0,2*利润表!K2/假设!K41-资产负债!J14,0),0)</f>
        <v>453.94803537490293</v>
      </c>
      <c r="L14" s="370">
        <f>IF(假设!L41&lt;&gt;0,IF(2*利润表!L2/假设!L41-资产负债!K14&gt;0,2*利润表!L2/假设!L41-资产负债!K14,0),0)</f>
        <v>765.21406949826519</v>
      </c>
      <c r="M14" s="370">
        <f>IF(假设!M41&lt;&gt;0,IF(2*利润表!M2/假设!M41-资产负债!L14&gt;0,2*利润表!M2/假设!M41-资产负债!L14,0),0)</f>
        <v>554.43659200054981</v>
      </c>
      <c r="N14" s="370">
        <f>IF(假设!N41&lt;&gt;0,IF(2*利润表!N2/假设!N41-资产负债!M14&gt;0,2*利润表!N2/假设!N41-资产负债!M14,0),0)</f>
        <v>968.64120428118235</v>
      </c>
      <c r="O14" s="370">
        <f>IF(假设!O41&lt;&gt;0,IF(2*利润表!O2/假设!O41-资产负债!N14&gt;0,2*利润表!O2/假设!O41-资产负债!N14,0),0)</f>
        <v>756.41541999946276</v>
      </c>
      <c r="P14" s="370">
        <f>IF(假设!P41&lt;&gt;0,IF(2*利润表!P2/假设!P41-资产负债!O14&gt;0,2*利润表!P2/假设!P41-资产负债!O14,0),0)</f>
        <v>1194.7514224576673</v>
      </c>
      <c r="Q14" s="370">
        <f>IF(假设!Q41&lt;&gt;0,IF(2*利润表!Q2/假设!Q41-资产负债!P14&gt;0,2*利润表!Q2/假设!Q41-资产负债!P14,0),0)</f>
        <v>1000.96721886207</v>
      </c>
      <c r="R14" s="370">
        <f>IF(假设!R41&lt;&gt;0,IF(2*利润表!R2/假设!R41-资产负债!Q14&gt;0,2*利润表!R2/假设!R41-资产负债!Q14,0),0)</f>
        <v>1481.3874773690829</v>
      </c>
      <c r="S14" s="370">
        <f>IF(假设!S41&lt;&gt;0,IF(2*利润表!S2/假设!S41-资产负债!R14&gt;0,2*利润表!S2/假设!S41-资产负债!R14,0),0)</f>
        <v>1322.786012711975</v>
      </c>
      <c r="T14" s="370">
        <f>IF(假设!T41&lt;&gt;0,IF(2*利润表!T2/假设!T41-资产负债!S14&gt;0,2*利润表!T2/假设!T41-资产负债!S14,0),0)</f>
        <v>1847.9793516766351</v>
      </c>
      <c r="U14" s="370">
        <f>IF(假设!U41&lt;&gt;0,IF(2*利润表!U2/假设!U41-资产负债!T14&gt;0,2*利润表!U2/假设!U41-资产负债!T14,0),0)</f>
        <v>1734.793580295641</v>
      </c>
      <c r="V14" s="370">
        <f>IF(假设!V41&lt;&gt;0,IF(2*利润表!V2/假设!V41-资产负债!U14&gt;0,2*利润表!V2/假设!V41-资产负债!U14,0),0)</f>
        <v>2312.7113987160155</v>
      </c>
      <c r="W14" s="370">
        <f>IF(假设!W41&lt;&gt;0,IF(2*利润表!W2/假设!W41-资产负债!V14&gt;0,2*利润表!W2/假设!W41-资产负债!V14,0),0)</f>
        <v>2258.1463924068848</v>
      </c>
      <c r="X14" s="370">
        <f>IF(假设!X41&lt;&gt;0,IF(2*利润表!X2/假设!X41-资产负债!W14&gt;0,2*利润表!X2/假设!X41-资产负债!W14,0),0)</f>
        <v>2907.471110339965</v>
      </c>
      <c r="Y14" s="370">
        <f>IF(假设!Y41&lt;&gt;0,IF(2*利润表!Y2/假设!Y41-资产负债!X14&gt;0,2*利润表!Y2/假设!Y41-资产负债!X14,0),0)</f>
        <v>2929.9789111061291</v>
      </c>
      <c r="Z14" s="370">
        <f>IF(假设!Z41&lt;&gt;0,IF(2*利润表!Z2/假设!Z41-资产负债!Y14&gt;0,2*利润表!Z2/假设!Z41-资产负债!Y14,0),0)</f>
        <v>3665.3473562425506</v>
      </c>
      <c r="AA14" s="370">
        <f>IF(假设!AA41&lt;&gt;0,IF(2*利润表!AA2/假设!AA41-资产负债!Z14&gt;0,2*利润表!AA2/假设!AA41-资产负债!Z14,0),0)</f>
        <v>3785.3283868353801</v>
      </c>
      <c r="AB14" s="370">
        <f>IF(假设!AB41&lt;&gt;0,IF(2*利润表!AB2/假设!AB41-资产负债!AA14&gt;0,2*利润表!AB2/假设!AB41-资产负债!AA14,0),0)</f>
        <v>4632.8936542321035</v>
      </c>
      <c r="AC14" s="370">
        <f>IF(假设!AC41&lt;&gt;0,IF(2*利润表!AC2/假设!AC41-资产负债!AB14&gt;0,2*利润表!AC2/假设!AC41-资产负债!AB14,0),0)</f>
        <v>4879.0513316179467</v>
      </c>
      <c r="AD14" s="370">
        <f>IF(假设!AD41&lt;&gt;0,IF(2*利润表!AD2/假设!AD41-资产负债!AC14&gt;0,2*利润表!AD2/假设!AD41-资产负债!AC14,0),0)</f>
        <v>5868.1385567123934</v>
      </c>
      <c r="AE14" s="370">
        <f>IF(假设!AE41&lt;&gt;0,IF(2*利润表!AE2/假设!AE41-资产负债!AD14&gt;0,2*利润表!AE2/假设!AE41-资产负债!AD14,0),0)</f>
        <v>6274.2512699163899</v>
      </c>
      <c r="AF14" s="370">
        <f>IF(假设!AF41&lt;&gt;0,IF(2*利润表!AF2/假设!AF41-资产负债!AE14&gt;0,2*利润表!AF2/假设!AF41-资产负债!AE14,0),0)</f>
        <v>7444.7464588888533</v>
      </c>
      <c r="AG14" s="370">
        <f>IF(假设!AG41&lt;&gt;0,IF(2*利润表!AG2/假设!AG41-资产负债!AF14&gt;0,2*利润表!AG2/假设!AG41-资产负债!AF14,0),0)</f>
        <v>8055.8267795740767</v>
      </c>
      <c r="AH14" s="370">
        <f>IF(假设!AH41&lt;&gt;0,IF(2*利润表!AH2/假设!AH41-资产负债!AG14&gt;0,2*利润表!AH2/假设!AH41-资产负债!AG14,0),0)</f>
        <v>9457.6419323023219</v>
      </c>
      <c r="AI14" s="370">
        <f>IF(假设!AI41&lt;&gt;0,IF(2*利润表!AI2/假设!AI41-资产负债!AH14&gt;0,2*利润表!AI2/假设!AI41-资产负债!AH14,0),0)</f>
        <v>10329.923498221346</v>
      </c>
      <c r="AJ14" s="370">
        <f>IF(假设!AJ41&lt;&gt;0,IF(2*利润表!AJ2/假设!AJ41-资产负债!AI14&gt;0,2*利润表!AJ2/假设!AJ41-资产负债!AI14,0),0)</f>
        <v>12027.031804637594</v>
      </c>
      <c r="AK14" s="370">
        <f>IF(假设!AK41&lt;&gt;0,IF(2*利润表!AK2/假设!AK41-资产负债!AJ14&gt;0,2*利润表!AK2/假设!AK41-资产负债!AJ14,0),0)</f>
        <v>13233.018152570108</v>
      </c>
      <c r="AL14" s="370">
        <f>IF(假设!AL41&lt;&gt;0,IF(2*利润表!AL2/假设!AL41-资产负债!AK14&gt;0,2*利润表!AL2/假设!AL41-资产负债!AK14,0),0)</f>
        <v>15307.139848216138</v>
      </c>
      <c r="AN14" s="368"/>
    </row>
    <row r="15" spans="1:40" s="451" customFormat="1" ht="17.25" customHeight="1" outlineLevel="1">
      <c r="A15" s="366" t="s">
        <v>2787</v>
      </c>
      <c r="B15" s="369" t="s">
        <v>995</v>
      </c>
      <c r="C15" s="152">
        <f>年度数据!C56</f>
        <v>0</v>
      </c>
      <c r="D15" s="152">
        <f>年度数据!D56</f>
        <v>0</v>
      </c>
      <c r="E15" s="152">
        <f>年度数据!E56</f>
        <v>0</v>
      </c>
      <c r="F15" s="152">
        <f>年度数据!F56</f>
        <v>0</v>
      </c>
      <c r="G15" s="152">
        <f>年度数据!G56</f>
        <v>0</v>
      </c>
      <c r="H15" s="152">
        <f>年度数据!H56</f>
        <v>0</v>
      </c>
      <c r="I15" s="370">
        <f>假设!I42</f>
        <v>0</v>
      </c>
      <c r="J15" s="370">
        <f>假设!J42</f>
        <v>0</v>
      </c>
      <c r="K15" s="370">
        <f>假设!K42</f>
        <v>0</v>
      </c>
      <c r="L15" s="370">
        <f>假设!L42</f>
        <v>0</v>
      </c>
      <c r="M15" s="370">
        <f>假设!M42</f>
        <v>0</v>
      </c>
      <c r="N15" s="370">
        <f>假设!N42</f>
        <v>0</v>
      </c>
      <c r="O15" s="370">
        <f>假设!O42</f>
        <v>0</v>
      </c>
      <c r="P15" s="370">
        <f>假设!P42</f>
        <v>0</v>
      </c>
      <c r="Q15" s="370">
        <f>假设!Q42</f>
        <v>0</v>
      </c>
      <c r="R15" s="370">
        <f>假设!R42</f>
        <v>0</v>
      </c>
      <c r="S15" s="370">
        <f>假设!S42</f>
        <v>0</v>
      </c>
      <c r="T15" s="370">
        <f>假设!T42</f>
        <v>0</v>
      </c>
      <c r="U15" s="370">
        <f>假设!U42</f>
        <v>0</v>
      </c>
      <c r="V15" s="370">
        <f>假设!V42</f>
        <v>0</v>
      </c>
      <c r="W15" s="370">
        <f>假设!W42</f>
        <v>0</v>
      </c>
      <c r="X15" s="370">
        <f>假设!X42</f>
        <v>0</v>
      </c>
      <c r="Y15" s="370">
        <f>假设!Y42</f>
        <v>0</v>
      </c>
      <c r="Z15" s="370">
        <f>假设!Z42</f>
        <v>0</v>
      </c>
      <c r="AA15" s="370">
        <f>假设!AA42</f>
        <v>0</v>
      </c>
      <c r="AB15" s="370">
        <f>假设!AB42</f>
        <v>0</v>
      </c>
      <c r="AC15" s="370">
        <f>假设!AC42</f>
        <v>0</v>
      </c>
      <c r="AD15" s="370">
        <f>假设!AD42</f>
        <v>0</v>
      </c>
      <c r="AE15" s="370">
        <f>假设!AE42</f>
        <v>0</v>
      </c>
      <c r="AF15" s="370">
        <f>假设!AF42</f>
        <v>0</v>
      </c>
      <c r="AG15" s="370">
        <f>假设!AG42</f>
        <v>0</v>
      </c>
      <c r="AH15" s="370">
        <f>假设!AH42</f>
        <v>0</v>
      </c>
      <c r="AI15" s="370">
        <f>假设!AI42</f>
        <v>0</v>
      </c>
      <c r="AJ15" s="370">
        <f>假设!AJ42</f>
        <v>0</v>
      </c>
      <c r="AK15" s="370">
        <f>假设!AK42</f>
        <v>0</v>
      </c>
      <c r="AL15" s="370">
        <f>假设!AL42</f>
        <v>0</v>
      </c>
      <c r="AN15" s="368"/>
    </row>
    <row r="16" spans="1:40" s="451" customFormat="1" ht="17.25" customHeight="1" outlineLevel="1">
      <c r="A16" s="167" t="s">
        <v>1377</v>
      </c>
      <c r="B16" s="369" t="s">
        <v>995</v>
      </c>
      <c r="C16" s="152">
        <f>年度数据!C57</f>
        <v>0</v>
      </c>
      <c r="D16" s="152">
        <f>年度数据!D57</f>
        <v>0</v>
      </c>
      <c r="E16" s="152">
        <f>年度数据!E57</f>
        <v>0</v>
      </c>
      <c r="F16" s="152">
        <f>年度数据!F57</f>
        <v>0</v>
      </c>
      <c r="G16" s="152">
        <f>年度数据!G57</f>
        <v>0</v>
      </c>
      <c r="H16" s="152">
        <f>年度数据!H57</f>
        <v>0</v>
      </c>
      <c r="I16" s="370">
        <f>假设!I43</f>
        <v>0</v>
      </c>
      <c r="J16" s="370">
        <f>假设!J43</f>
        <v>0</v>
      </c>
      <c r="K16" s="370">
        <f>假设!K43</f>
        <v>0</v>
      </c>
      <c r="L16" s="370">
        <f>假设!L43</f>
        <v>0</v>
      </c>
      <c r="M16" s="370">
        <f>假设!M43</f>
        <v>0</v>
      </c>
      <c r="N16" s="370">
        <f>假设!N43</f>
        <v>0</v>
      </c>
      <c r="O16" s="370">
        <f>假设!O43</f>
        <v>0</v>
      </c>
      <c r="P16" s="370">
        <f>假设!P43</f>
        <v>0</v>
      </c>
      <c r="Q16" s="370">
        <f>假设!Q43</f>
        <v>0</v>
      </c>
      <c r="R16" s="370">
        <f>假设!R43</f>
        <v>0</v>
      </c>
      <c r="S16" s="370">
        <f>假设!S43</f>
        <v>0</v>
      </c>
      <c r="T16" s="370">
        <f>假设!T43</f>
        <v>0</v>
      </c>
      <c r="U16" s="370">
        <f>假设!U43</f>
        <v>0</v>
      </c>
      <c r="V16" s="370">
        <f>假设!V43</f>
        <v>0</v>
      </c>
      <c r="W16" s="370">
        <f>假设!W43</f>
        <v>0</v>
      </c>
      <c r="X16" s="370">
        <f>假设!X43</f>
        <v>0</v>
      </c>
      <c r="Y16" s="370">
        <f>假设!Y43</f>
        <v>0</v>
      </c>
      <c r="Z16" s="370">
        <f>假设!Z43</f>
        <v>0</v>
      </c>
      <c r="AA16" s="370">
        <f>假设!AA43</f>
        <v>0</v>
      </c>
      <c r="AB16" s="370">
        <f>假设!AB43</f>
        <v>0</v>
      </c>
      <c r="AC16" s="370">
        <f>假设!AC43</f>
        <v>0</v>
      </c>
      <c r="AD16" s="370">
        <f>假设!AD43</f>
        <v>0</v>
      </c>
      <c r="AE16" s="370">
        <f>假设!AE43</f>
        <v>0</v>
      </c>
      <c r="AF16" s="370">
        <f>假设!AF43</f>
        <v>0</v>
      </c>
      <c r="AG16" s="370">
        <f>假设!AG43</f>
        <v>0</v>
      </c>
      <c r="AH16" s="370">
        <f>假设!AH43</f>
        <v>0</v>
      </c>
      <c r="AI16" s="370">
        <f>假设!AI43</f>
        <v>0</v>
      </c>
      <c r="AJ16" s="370">
        <f>假设!AJ43</f>
        <v>0</v>
      </c>
      <c r="AK16" s="370">
        <f>假设!AK43</f>
        <v>0</v>
      </c>
      <c r="AL16" s="370">
        <f>假设!AL43</f>
        <v>0</v>
      </c>
      <c r="AM16" s="375"/>
      <c r="AN16" s="368"/>
    </row>
    <row r="17" spans="1:95" ht="17.25" customHeight="1" outlineLevel="1">
      <c r="A17" s="366" t="s">
        <v>1235</v>
      </c>
      <c r="B17" s="369" t="s">
        <v>995</v>
      </c>
      <c r="C17" s="152">
        <f>C19-(SUM(C3:C6)+SUM(C10:C16))</f>
        <v>68.858698080000067</v>
      </c>
      <c r="D17" s="152">
        <f t="shared" ref="D17:H17" si="1">D19-(SUM(D3:D6)+SUM(D10:D16))</f>
        <v>61.022313480000321</v>
      </c>
      <c r="E17" s="152">
        <f t="shared" si="1"/>
        <v>122.62370714999997</v>
      </c>
      <c r="F17" s="152">
        <f t="shared" si="1"/>
        <v>237.41562565000004</v>
      </c>
      <c r="G17" s="152">
        <f t="shared" si="1"/>
        <v>478.40061567999965</v>
      </c>
      <c r="H17" s="152">
        <f t="shared" si="1"/>
        <v>499.32768233000024</v>
      </c>
      <c r="I17" s="370">
        <f>假设!I44</f>
        <v>361.91716527333335</v>
      </c>
      <c r="J17" s="370">
        <f>假设!J44</f>
        <v>389.30355741177777</v>
      </c>
      <c r="K17" s="370">
        <f>假设!K44</f>
        <v>405.7590901434815</v>
      </c>
      <c r="L17" s="370">
        <f>假设!L44</f>
        <v>409.92114376830125</v>
      </c>
      <c r="M17" s="370">
        <f>假设!M44</f>
        <v>404.24765096849552</v>
      </c>
      <c r="N17" s="370">
        <f>假设!N44</f>
        <v>401.24829202953441</v>
      </c>
      <c r="O17" s="370">
        <f>假设!O44</f>
        <v>403.5878155350199</v>
      </c>
      <c r="P17" s="370">
        <f>假设!P44</f>
        <v>404.08510509192052</v>
      </c>
      <c r="Q17" s="370">
        <f>假设!Q44</f>
        <v>403.79587395957185</v>
      </c>
      <c r="R17" s="370">
        <f>假设!R44</f>
        <v>403.52183145321101</v>
      </c>
      <c r="S17" s="370">
        <f>假设!S44</f>
        <v>403.56479276531189</v>
      </c>
      <c r="T17" s="370">
        <f>假设!T44</f>
        <v>403.67046248246533</v>
      </c>
      <c r="U17" s="370">
        <f>假设!U44</f>
        <v>403.65692205628483</v>
      </c>
      <c r="V17" s="370">
        <f>假设!V44</f>
        <v>403.63335835821437</v>
      </c>
      <c r="W17" s="370">
        <f>假设!W44</f>
        <v>403.63048562982942</v>
      </c>
      <c r="X17" s="370">
        <f>假设!X44</f>
        <v>403.63748969874007</v>
      </c>
      <c r="Y17" s="370">
        <f>假设!Y44</f>
        <v>403.63958484551301</v>
      </c>
      <c r="Z17" s="370">
        <f>假设!Z44</f>
        <v>403.63753191231518</v>
      </c>
      <c r="AA17" s="370">
        <f>假设!AA44</f>
        <v>403.63685317718142</v>
      </c>
      <c r="AB17" s="370">
        <f>假设!AB44</f>
        <v>403.63724087326773</v>
      </c>
      <c r="AC17" s="370">
        <f>假设!AC44</f>
        <v>403.63752481345171</v>
      </c>
      <c r="AD17" s="370">
        <f>假设!AD44</f>
        <v>403.63745305080118</v>
      </c>
      <c r="AE17" s="370">
        <f>假设!AE44</f>
        <v>403.63735502628629</v>
      </c>
      <c r="AF17" s="370">
        <f>假设!AF44</f>
        <v>403.63736644658053</v>
      </c>
      <c r="AG17" s="370">
        <f>假设!AG44</f>
        <v>403.63739346604149</v>
      </c>
      <c r="AH17" s="370">
        <f>假设!AH44</f>
        <v>403.63739527402947</v>
      </c>
      <c r="AI17" s="370">
        <f>假设!AI44</f>
        <v>403.63738751182859</v>
      </c>
      <c r="AJ17" s="370">
        <f>假设!AJ44</f>
        <v>403.6373857981888</v>
      </c>
      <c r="AK17" s="370">
        <f>假设!AK44</f>
        <v>403.63738788260071</v>
      </c>
      <c r="AL17" s="370">
        <f>假设!AL44</f>
        <v>403.63738861035637</v>
      </c>
      <c r="AM17" s="277"/>
      <c r="AN17" s="368"/>
    </row>
    <row r="18" spans="1:95" ht="17.25" customHeight="1" outlineLevel="1">
      <c r="A18" s="366" t="s">
        <v>143</v>
      </c>
      <c r="B18" s="369" t="s">
        <v>142</v>
      </c>
      <c r="C18" s="152">
        <f>C19-(SUM(C3:C6)+SUM(C10:C17))</f>
        <v>0</v>
      </c>
      <c r="D18" s="152">
        <f t="shared" ref="D18:H18" si="2">D19-(SUM(D3:D6)+SUM(D10:D17))</f>
        <v>0</v>
      </c>
      <c r="E18" s="152">
        <f t="shared" si="2"/>
        <v>0</v>
      </c>
      <c r="F18" s="152">
        <f t="shared" si="2"/>
        <v>0</v>
      </c>
      <c r="G18" s="152">
        <f t="shared" si="2"/>
        <v>0</v>
      </c>
      <c r="H18" s="152">
        <f t="shared" si="2"/>
        <v>0</v>
      </c>
      <c r="I18" s="152">
        <f t="shared" ref="I18" ca="1" si="3">I19-(SUM(I3:I6)+SUM(I10:I17))</f>
        <v>0</v>
      </c>
      <c r="J18" s="152">
        <f t="shared" ref="J18" ca="1" si="4">J19-(SUM(J3:J6)+SUM(J10:J17))</f>
        <v>0</v>
      </c>
      <c r="K18" s="152">
        <f t="shared" ref="K18" ca="1" si="5">K19-(SUM(K3:K6)+SUM(K10:K17))</f>
        <v>0</v>
      </c>
      <c r="L18" s="152">
        <f t="shared" ref="L18" ca="1" si="6">L19-(SUM(L3:L6)+SUM(L10:L17))</f>
        <v>0</v>
      </c>
      <c r="M18" s="152">
        <f t="shared" ref="M18" ca="1" si="7">M19-(SUM(M3:M6)+SUM(M10:M17))</f>
        <v>0</v>
      </c>
      <c r="N18" s="152">
        <f t="shared" ref="N18" ca="1" si="8">N19-(SUM(N3:N6)+SUM(N10:N17))</f>
        <v>0</v>
      </c>
      <c r="O18" s="152">
        <f t="shared" ref="O18" ca="1" si="9">O19-(SUM(O3:O6)+SUM(O10:O17))</f>
        <v>0</v>
      </c>
      <c r="P18" s="152">
        <f t="shared" ref="P18" ca="1" si="10">P19-(SUM(P3:P6)+SUM(P10:P17))</f>
        <v>0</v>
      </c>
      <c r="Q18" s="152">
        <f t="shared" ref="Q18" ca="1" si="11">Q19-(SUM(Q3:Q6)+SUM(Q10:Q17))</f>
        <v>0</v>
      </c>
      <c r="R18" s="152">
        <f t="shared" ref="R18" ca="1" si="12">R19-(SUM(R3:R6)+SUM(R10:R17))</f>
        <v>0</v>
      </c>
      <c r="S18" s="152">
        <f t="shared" ref="S18" ca="1" si="13">S19-(SUM(S3:S6)+SUM(S10:S17))</f>
        <v>0</v>
      </c>
      <c r="T18" s="152">
        <f t="shared" ref="T18" ca="1" si="14">T19-(SUM(T3:T6)+SUM(T10:T17))</f>
        <v>0</v>
      </c>
      <c r="U18" s="152">
        <f t="shared" ref="U18" ca="1" si="15">U19-(SUM(U3:U6)+SUM(U10:U17))</f>
        <v>0</v>
      </c>
      <c r="V18" s="152">
        <f t="shared" ref="V18" ca="1" si="16">V19-(SUM(V3:V6)+SUM(V10:V17))</f>
        <v>0</v>
      </c>
      <c r="W18" s="152">
        <f t="shared" ref="W18" ca="1" si="17">W19-(SUM(W3:W6)+SUM(W10:W17))</f>
        <v>0</v>
      </c>
      <c r="X18" s="152">
        <f t="shared" ref="X18" ca="1" si="18">X19-(SUM(X3:X6)+SUM(X10:X17))</f>
        <v>0</v>
      </c>
      <c r="Y18" s="152">
        <f t="shared" ref="Y18" ca="1" si="19">Y19-(SUM(Y3:Y6)+SUM(Y10:Y17))</f>
        <v>0</v>
      </c>
      <c r="Z18" s="152">
        <f t="shared" ref="Z18" ca="1" si="20">Z19-(SUM(Z3:Z6)+SUM(Z10:Z17))</f>
        <v>0</v>
      </c>
      <c r="AA18" s="152">
        <f t="shared" ref="AA18" ca="1" si="21">AA19-(SUM(AA3:AA6)+SUM(AA10:AA17))</f>
        <v>0</v>
      </c>
      <c r="AB18" s="152">
        <f t="shared" ref="AB18" ca="1" si="22">AB19-(SUM(AB3:AB6)+SUM(AB10:AB17))</f>
        <v>0</v>
      </c>
      <c r="AC18" s="152">
        <f t="shared" ref="AC18" ca="1" si="23">AC19-(SUM(AC3:AC6)+SUM(AC10:AC17))</f>
        <v>0</v>
      </c>
      <c r="AD18" s="152">
        <f t="shared" ref="AD18" ca="1" si="24">AD19-(SUM(AD3:AD6)+SUM(AD10:AD17))</f>
        <v>0</v>
      </c>
      <c r="AE18" s="152">
        <f t="shared" ref="AE18" ca="1" si="25">AE19-(SUM(AE3:AE6)+SUM(AE10:AE17))</f>
        <v>0</v>
      </c>
      <c r="AF18" s="152">
        <f t="shared" ref="AF18" ca="1" si="26">AF19-(SUM(AF3:AF6)+SUM(AF10:AF17))</f>
        <v>0</v>
      </c>
      <c r="AG18" s="152">
        <f t="shared" ref="AG18" ca="1" si="27">AG19-(SUM(AG3:AG6)+SUM(AG10:AG17))</f>
        <v>0</v>
      </c>
      <c r="AH18" s="152">
        <f t="shared" ref="AH18" ca="1" si="28">AH19-(SUM(AH3:AH6)+SUM(AH10:AH17))</f>
        <v>0</v>
      </c>
      <c r="AI18" s="152">
        <f t="shared" ref="AI18" ca="1" si="29">AI19-(SUM(AI3:AI6)+SUM(AI10:AI17))</f>
        <v>0</v>
      </c>
      <c r="AJ18" s="152">
        <f t="shared" ref="AJ18" ca="1" si="30">AJ19-(SUM(AJ3:AJ6)+SUM(AJ10:AJ17))</f>
        <v>0</v>
      </c>
      <c r="AK18" s="152">
        <f t="shared" ref="AK18" ca="1" si="31">AK19-(SUM(AK3:AK6)+SUM(AK10:AK17))</f>
        <v>0</v>
      </c>
      <c r="AL18" s="152">
        <f t="shared" ref="AL18" ca="1" si="32">AL19-(SUM(AL3:AL6)+SUM(AL10:AL17))</f>
        <v>0</v>
      </c>
      <c r="AM18" s="277"/>
      <c r="AN18" s="368"/>
    </row>
    <row r="19" spans="1:95" s="372" customFormat="1" ht="17.25" customHeight="1">
      <c r="A19" s="365" t="s">
        <v>944</v>
      </c>
      <c r="B19" s="371" t="s">
        <v>1031</v>
      </c>
      <c r="C19" s="152">
        <f>年度数据!C59</f>
        <v>1812.4361544200001</v>
      </c>
      <c r="D19" s="152">
        <f>年度数据!D59</f>
        <v>3805.8223282399999</v>
      </c>
      <c r="E19" s="152">
        <f>年度数据!E59</f>
        <v>4452.7059321400002</v>
      </c>
      <c r="F19" s="152">
        <f>年度数据!F59</f>
        <v>6088.4127550000003</v>
      </c>
      <c r="G19" s="152">
        <f>年度数据!G59</f>
        <v>8233.0472691300001</v>
      </c>
      <c r="H19" s="152">
        <f>年度数据!H59</f>
        <v>9493.1811295400003</v>
      </c>
      <c r="I19" s="152">
        <f ca="1">SUM(I3:I6)+SUM(I10:I17)</f>
        <v>7420.0003714159047</v>
      </c>
      <c r="J19" s="152">
        <f t="shared" ref="J19:AL19" ca="1" si="33">SUM(J3:J6)+SUM(J10:J17)</f>
        <v>11635.450532689214</v>
      </c>
      <c r="K19" s="152">
        <f t="shared" ca="1" si="33"/>
        <v>10718.213719282543</v>
      </c>
      <c r="L19" s="152">
        <f t="shared" ca="1" si="33"/>
        <v>14043.066703237902</v>
      </c>
      <c r="M19" s="152">
        <f t="shared" ca="1" si="33"/>
        <v>13599.341904653049</v>
      </c>
      <c r="N19" s="152">
        <f t="shared" ca="1" si="33"/>
        <v>17324.029270077666</v>
      </c>
      <c r="O19" s="152">
        <f t="shared" ca="1" si="33"/>
        <v>17332.300808000185</v>
      </c>
      <c r="P19" s="152">
        <f t="shared" ca="1" si="33"/>
        <v>21870.719935634057</v>
      </c>
      <c r="Q19" s="152">
        <f t="shared" ca="1" si="33"/>
        <v>22207.119405922687</v>
      </c>
      <c r="R19" s="152">
        <f t="shared" ca="1" si="33"/>
        <v>27245.505377067064</v>
      </c>
      <c r="S19" s="152">
        <f t="shared" ca="1" si="33"/>
        <v>28426.67032343274</v>
      </c>
      <c r="T19" s="152">
        <f t="shared" ca="1" si="33"/>
        <v>34313.270109653764</v>
      </c>
      <c r="U19" s="152">
        <f t="shared" ca="1" si="33"/>
        <v>36395.184546682191</v>
      </c>
      <c r="V19" s="152">
        <f t="shared" ca="1" si="33"/>
        <v>43273.413651507493</v>
      </c>
      <c r="W19" s="152">
        <f t="shared" ca="1" si="33"/>
        <v>46500.326352266347</v>
      </c>
      <c r="X19" s="152">
        <f t="shared" ca="1" si="33"/>
        <v>54730.551295733625</v>
      </c>
      <c r="Y19" s="152">
        <f t="shared" ca="1" si="33"/>
        <v>59458.76968848431</v>
      </c>
      <c r="Z19" s="152">
        <f t="shared" ca="1" si="33"/>
        <v>69353.363946814206</v>
      </c>
      <c r="AA19" s="152">
        <f t="shared" ca="1" si="33"/>
        <v>75967.089618570579</v>
      </c>
      <c r="AB19" s="152">
        <f t="shared" ca="1" si="33"/>
        <v>88012.4785105357</v>
      </c>
      <c r="AC19" s="152">
        <f t="shared" ca="1" si="33"/>
        <v>97058.751182602064</v>
      </c>
      <c r="AD19" s="152">
        <f t="shared" ca="1" si="33"/>
        <v>111841.88927529896</v>
      </c>
      <c r="AE19" s="152">
        <f t="shared" ca="1" si="33"/>
        <v>123976.53776362847</v>
      </c>
      <c r="AF19" s="152">
        <f t="shared" ca="1" si="33"/>
        <v>142253.25286580125</v>
      </c>
      <c r="AG19" s="152">
        <f t="shared" ca="1" si="33"/>
        <v>158340.39235599132</v>
      </c>
      <c r="AH19" s="152">
        <f t="shared" ca="1" si="33"/>
        <v>181081.31442657954</v>
      </c>
      <c r="AI19" s="152">
        <f t="shared" ca="1" si="33"/>
        <v>202208.72338115438</v>
      </c>
      <c r="AJ19" s="152">
        <f t="shared" ca="1" si="33"/>
        <v>230644.55613007717</v>
      </c>
      <c r="AK19" s="152">
        <f t="shared" ca="1" si="33"/>
        <v>258208.15854273282</v>
      </c>
      <c r="AL19" s="152">
        <f t="shared" ca="1" si="33"/>
        <v>293916.73884375754</v>
      </c>
      <c r="AM19" s="152"/>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68"/>
      <c r="BP19" s="368"/>
      <c r="BQ19" s="368"/>
      <c r="BR19" s="368"/>
      <c r="BS19" s="368"/>
      <c r="BT19" s="368"/>
      <c r="BU19" s="368"/>
      <c r="BV19" s="368"/>
      <c r="BW19" s="368"/>
      <c r="BX19" s="368"/>
      <c r="BY19" s="368"/>
      <c r="BZ19" s="368"/>
      <c r="CA19" s="368"/>
      <c r="CB19" s="368"/>
      <c r="CC19" s="368"/>
      <c r="CD19" s="368"/>
      <c r="CE19" s="368"/>
      <c r="CF19" s="368"/>
      <c r="CG19" s="368"/>
      <c r="CH19" s="368"/>
      <c r="CI19" s="368"/>
      <c r="CJ19" s="368"/>
      <c r="CK19" s="368"/>
      <c r="CL19" s="368"/>
      <c r="CM19" s="368"/>
      <c r="CN19" s="368"/>
      <c r="CO19" s="368"/>
      <c r="CP19" s="368"/>
      <c r="CQ19" s="368"/>
    </row>
    <row r="20" spans="1:95" ht="17.25" customHeight="1">
      <c r="A20" s="365" t="s">
        <v>1018</v>
      </c>
      <c r="B20" s="369"/>
      <c r="C20" s="152"/>
      <c r="D20" s="152"/>
      <c r="E20" s="152"/>
      <c r="F20" s="152"/>
      <c r="G20" s="152"/>
      <c r="H20" s="152"/>
      <c r="I20" s="152"/>
      <c r="J20" s="152"/>
      <c r="K20" s="152"/>
      <c r="L20" s="152"/>
      <c r="M20" s="152"/>
      <c r="N20" s="152"/>
      <c r="O20" s="152"/>
      <c r="P20" s="152"/>
      <c r="Q20" s="152"/>
      <c r="R20" s="152"/>
      <c r="S20" s="152"/>
      <c r="T20" s="152"/>
      <c r="U20" s="152"/>
      <c r="V20" s="152"/>
      <c r="W20" s="152"/>
      <c r="X20" s="152"/>
      <c r="Y20" s="152"/>
      <c r="Z20" s="152"/>
      <c r="AA20" s="152"/>
      <c r="AB20" s="152"/>
      <c r="AC20" s="152"/>
      <c r="AD20" s="152"/>
      <c r="AF20" s="277"/>
      <c r="AG20" s="277"/>
      <c r="AH20" s="277"/>
      <c r="AI20" s="277"/>
      <c r="AJ20" s="277"/>
      <c r="AK20" s="277"/>
      <c r="AL20" s="277"/>
      <c r="AM20" s="277"/>
      <c r="AN20" s="368"/>
    </row>
    <row r="21" spans="1:95" ht="17.25" customHeight="1">
      <c r="A21" s="366" t="s">
        <v>2788</v>
      </c>
      <c r="B21" s="369" t="s">
        <v>995</v>
      </c>
      <c r="C21" s="152">
        <f>年度数据!C61</f>
        <v>0</v>
      </c>
      <c r="D21" s="152">
        <f>年度数据!D61</f>
        <v>0</v>
      </c>
      <c r="E21" s="152">
        <f>年度数据!E61</f>
        <v>0</v>
      </c>
      <c r="F21" s="152">
        <f>年度数据!F61</f>
        <v>0</v>
      </c>
      <c r="G21" s="152">
        <f>年度数据!G61</f>
        <v>147.13758333999999</v>
      </c>
      <c r="H21" s="152">
        <f>年度数据!H61</f>
        <v>139.52350000000001</v>
      </c>
      <c r="I21" s="152">
        <f>假设!I46</f>
        <v>71.665270835000001</v>
      </c>
      <c r="J21" s="152">
        <f>假设!J46</f>
        <v>89.581588543750001</v>
      </c>
      <c r="K21" s="152">
        <f>假设!K46</f>
        <v>111.9769856796875</v>
      </c>
      <c r="L21" s="152">
        <f>假设!L46</f>
        <v>103.18683626460938</v>
      </c>
      <c r="M21" s="152">
        <f>假设!M46</f>
        <v>94.102670330761725</v>
      </c>
      <c r="N21" s="152">
        <f>假设!N46</f>
        <v>99.712020204702156</v>
      </c>
      <c r="O21" s="152">
        <f>假设!O46</f>
        <v>102.2446281199402</v>
      </c>
      <c r="P21" s="152">
        <f>假设!P46</f>
        <v>99.811538730003363</v>
      </c>
      <c r="Q21" s="152">
        <f>假设!Q46</f>
        <v>98.967714346351869</v>
      </c>
      <c r="R21" s="152">
        <f>假设!R46</f>
        <v>100.1839753502494</v>
      </c>
      <c r="S21" s="152">
        <f>假设!S46</f>
        <v>100.30196413663622</v>
      </c>
      <c r="T21" s="152">
        <f>假设!T46</f>
        <v>99.816298140810204</v>
      </c>
      <c r="U21" s="152">
        <f>假设!U46</f>
        <v>99.817487993511918</v>
      </c>
      <c r="V21" s="152">
        <f>假设!V46</f>
        <v>100.02993140530194</v>
      </c>
      <c r="W21" s="152">
        <f>假设!W46</f>
        <v>99.991420419065065</v>
      </c>
      <c r="X21" s="152">
        <f>假设!X46</f>
        <v>99.913784489672281</v>
      </c>
      <c r="Y21" s="152">
        <f>假设!Y46</f>
        <v>99.938156076887793</v>
      </c>
      <c r="Z21" s="152">
        <f>假设!Z46</f>
        <v>99.968323097731769</v>
      </c>
      <c r="AA21" s="152">
        <f>假设!AA46</f>
        <v>99.952921020839227</v>
      </c>
      <c r="AB21" s="152">
        <f>假设!AB46</f>
        <v>99.943296171282753</v>
      </c>
      <c r="AC21" s="152">
        <f>假设!AC46</f>
        <v>99.950674091685386</v>
      </c>
      <c r="AD21" s="152">
        <f>假设!AD46</f>
        <v>99.953803595384784</v>
      </c>
      <c r="AE21" s="152">
        <f>假设!AE46</f>
        <v>99.950173719798045</v>
      </c>
      <c r="AF21" s="152">
        <f>假设!AF46</f>
        <v>99.949486894537756</v>
      </c>
      <c r="AG21" s="152">
        <f>假设!AG46</f>
        <v>99.951034575351486</v>
      </c>
      <c r="AH21" s="152">
        <f>假设!AH46</f>
        <v>99.95112469626801</v>
      </c>
      <c r="AI21" s="152">
        <f>假设!AI46</f>
        <v>99.950454971488824</v>
      </c>
      <c r="AJ21" s="152">
        <f>假设!AJ46</f>
        <v>99.950525284411512</v>
      </c>
      <c r="AK21" s="152">
        <f>假设!AK46</f>
        <v>99.950784881879969</v>
      </c>
      <c r="AL21" s="152">
        <f>假设!AL46</f>
        <v>99.950722458512075</v>
      </c>
      <c r="AM21" s="277"/>
      <c r="AN21" s="368"/>
    </row>
    <row r="22" spans="1:95" ht="17.25" customHeight="1">
      <c r="A22" s="366" t="s">
        <v>2823</v>
      </c>
      <c r="B22" s="369" t="s">
        <v>995</v>
      </c>
      <c r="C22" s="152">
        <f>年度数据!C62</f>
        <v>0</v>
      </c>
      <c r="D22" s="152">
        <f>年度数据!D62</f>
        <v>0</v>
      </c>
      <c r="E22" s="152">
        <f>年度数据!E62</f>
        <v>0</v>
      </c>
      <c r="F22" s="152">
        <f>年度数据!F62</f>
        <v>0</v>
      </c>
      <c r="G22" s="152">
        <f>年度数据!G62</f>
        <v>0</v>
      </c>
      <c r="H22" s="152">
        <f>年度数据!H62</f>
        <v>0</v>
      </c>
      <c r="I22" s="152">
        <f>假设!I47</f>
        <v>0</v>
      </c>
      <c r="J22" s="152">
        <f>假设!J47</f>
        <v>0</v>
      </c>
      <c r="K22" s="152">
        <f>假设!K47</f>
        <v>0</v>
      </c>
      <c r="L22" s="152">
        <f>假设!L47</f>
        <v>0</v>
      </c>
      <c r="M22" s="152">
        <f>假设!M47</f>
        <v>0</v>
      </c>
      <c r="N22" s="152">
        <f>假设!N47</f>
        <v>0</v>
      </c>
      <c r="O22" s="152">
        <f>假设!O47</f>
        <v>0</v>
      </c>
      <c r="P22" s="152">
        <f>假设!P47</f>
        <v>0</v>
      </c>
      <c r="Q22" s="152">
        <f>假设!Q47</f>
        <v>0</v>
      </c>
      <c r="R22" s="152">
        <f>假设!R47</f>
        <v>0</v>
      </c>
      <c r="S22" s="152">
        <f>假设!S47</f>
        <v>0</v>
      </c>
      <c r="T22" s="152">
        <f>假设!T47</f>
        <v>0</v>
      </c>
      <c r="U22" s="152">
        <f>假设!U47</f>
        <v>0</v>
      </c>
      <c r="V22" s="152">
        <f>假设!V47</f>
        <v>0</v>
      </c>
      <c r="W22" s="152">
        <f>假设!W47</f>
        <v>0</v>
      </c>
      <c r="X22" s="152">
        <f>假设!X47</f>
        <v>0</v>
      </c>
      <c r="Y22" s="152">
        <f>假设!Y47</f>
        <v>0</v>
      </c>
      <c r="Z22" s="152">
        <f>假设!Z47</f>
        <v>0</v>
      </c>
      <c r="AA22" s="152">
        <f>假设!AA47</f>
        <v>0</v>
      </c>
      <c r="AB22" s="152">
        <f>假设!AB47</f>
        <v>0</v>
      </c>
      <c r="AC22" s="152">
        <f>假设!AC47</f>
        <v>0</v>
      </c>
      <c r="AD22" s="152">
        <f>假设!AD47</f>
        <v>0</v>
      </c>
      <c r="AE22" s="152">
        <f>假设!AE47</f>
        <v>0</v>
      </c>
      <c r="AF22" s="152">
        <f>假设!AF47</f>
        <v>0</v>
      </c>
      <c r="AG22" s="152">
        <f>假设!AG47</f>
        <v>0</v>
      </c>
      <c r="AH22" s="152">
        <f>假设!AH47</f>
        <v>0</v>
      </c>
      <c r="AI22" s="152">
        <f>假设!AI47</f>
        <v>0</v>
      </c>
      <c r="AJ22" s="152">
        <f>假设!AJ47</f>
        <v>0</v>
      </c>
      <c r="AK22" s="152">
        <f>假设!AK47</f>
        <v>0</v>
      </c>
      <c r="AL22" s="152">
        <f>假设!AL47</f>
        <v>0</v>
      </c>
      <c r="AM22" s="277"/>
      <c r="AN22" s="368"/>
    </row>
    <row r="23" spans="1:95" ht="17.25" customHeight="1" outlineLevel="1">
      <c r="A23" s="366" t="s">
        <v>1252</v>
      </c>
      <c r="B23" s="369" t="s">
        <v>2821</v>
      </c>
      <c r="C23" s="152">
        <f>年度数据!C63</f>
        <v>30</v>
      </c>
      <c r="D23" s="152">
        <f>年度数据!D63</f>
        <v>0</v>
      </c>
      <c r="E23" s="152">
        <f>年度数据!E63</f>
        <v>0</v>
      </c>
      <c r="F23" s="152">
        <f>年度数据!F63</f>
        <v>0</v>
      </c>
      <c r="G23" s="152">
        <f>年度数据!G63</f>
        <v>0</v>
      </c>
      <c r="H23" s="152">
        <f>年度数据!H63</f>
        <v>0</v>
      </c>
      <c r="I23" s="152">
        <f>假设!I48</f>
        <v>0</v>
      </c>
      <c r="J23" s="152">
        <f>假设!J48</f>
        <v>0</v>
      </c>
      <c r="K23" s="152">
        <f>假设!K48</f>
        <v>0</v>
      </c>
      <c r="L23" s="152">
        <f>假设!L48</f>
        <v>0</v>
      </c>
      <c r="M23" s="152">
        <f>假设!M48</f>
        <v>0</v>
      </c>
      <c r="N23" s="152">
        <f>假设!N48</f>
        <v>0</v>
      </c>
      <c r="O23" s="152">
        <f>假设!O48</f>
        <v>0</v>
      </c>
      <c r="P23" s="152">
        <f>假设!P48</f>
        <v>0</v>
      </c>
      <c r="Q23" s="152">
        <f>假设!Q48</f>
        <v>0</v>
      </c>
      <c r="R23" s="152">
        <f>假设!R48</f>
        <v>0</v>
      </c>
      <c r="S23" s="152">
        <f>假设!S48</f>
        <v>0</v>
      </c>
      <c r="T23" s="152">
        <f>假设!T48</f>
        <v>0</v>
      </c>
      <c r="U23" s="152">
        <f>假设!U48</f>
        <v>0</v>
      </c>
      <c r="V23" s="152">
        <f>假设!V48</f>
        <v>0</v>
      </c>
      <c r="W23" s="152">
        <f>假设!W48</f>
        <v>0</v>
      </c>
      <c r="X23" s="152">
        <f>假设!X48</f>
        <v>0</v>
      </c>
      <c r="Y23" s="152">
        <f>假设!Y48</f>
        <v>0</v>
      </c>
      <c r="Z23" s="152">
        <f>假设!Z48</f>
        <v>0</v>
      </c>
      <c r="AA23" s="152">
        <f>假设!AA48</f>
        <v>0</v>
      </c>
      <c r="AB23" s="152">
        <f>假设!AB48</f>
        <v>0</v>
      </c>
      <c r="AC23" s="152">
        <f>假设!AC48</f>
        <v>0</v>
      </c>
      <c r="AD23" s="152">
        <f>假设!AD48</f>
        <v>0</v>
      </c>
      <c r="AE23" s="152">
        <f>假设!AE48</f>
        <v>0</v>
      </c>
      <c r="AF23" s="152">
        <f>假设!AF48</f>
        <v>0</v>
      </c>
      <c r="AG23" s="152">
        <f>假设!AG48</f>
        <v>0</v>
      </c>
      <c r="AH23" s="152">
        <f>假设!AH48</f>
        <v>0</v>
      </c>
      <c r="AI23" s="152">
        <f>假设!AI48</f>
        <v>0</v>
      </c>
      <c r="AJ23" s="152">
        <f>假设!AJ48</f>
        <v>0</v>
      </c>
      <c r="AK23" s="152">
        <f>假设!AK48</f>
        <v>0</v>
      </c>
      <c r="AL23" s="152">
        <f>假设!AL48</f>
        <v>0</v>
      </c>
      <c r="AM23" s="277"/>
      <c r="AN23" s="368"/>
    </row>
    <row r="24" spans="1:95" ht="17.25" customHeight="1" outlineLevel="1">
      <c r="A24" s="366" t="s">
        <v>2791</v>
      </c>
      <c r="B24" s="369" t="s">
        <v>995</v>
      </c>
      <c r="C24" s="152">
        <f>年度数据!C64</f>
        <v>0</v>
      </c>
      <c r="D24" s="152">
        <f>年度数据!D64</f>
        <v>89.58</v>
      </c>
      <c r="E24" s="152">
        <f>年度数据!E64</f>
        <v>18.115979129999999</v>
      </c>
      <c r="F24" s="152">
        <f>年度数据!F64</f>
        <v>32.205050219999997</v>
      </c>
      <c r="G24" s="152">
        <f>年度数据!G64</f>
        <v>19.609246120000002</v>
      </c>
      <c r="H24" s="152">
        <f>年度数据!H64</f>
        <v>0</v>
      </c>
      <c r="I24" s="152">
        <f>假设!I49</f>
        <v>0</v>
      </c>
      <c r="J24" s="152">
        <f>假设!J49</f>
        <v>0</v>
      </c>
      <c r="K24" s="152">
        <f>假设!K49</f>
        <v>0</v>
      </c>
      <c r="L24" s="152">
        <f>假设!L49</f>
        <v>0</v>
      </c>
      <c r="M24" s="152">
        <f>假设!M49</f>
        <v>0</v>
      </c>
      <c r="N24" s="152">
        <f>假设!N49</f>
        <v>0</v>
      </c>
      <c r="O24" s="152">
        <f>假设!O49</f>
        <v>0</v>
      </c>
      <c r="P24" s="152">
        <f>假设!P49</f>
        <v>0</v>
      </c>
      <c r="Q24" s="152">
        <f>假设!Q49</f>
        <v>0</v>
      </c>
      <c r="R24" s="152">
        <f>假设!R49</f>
        <v>0</v>
      </c>
      <c r="S24" s="152">
        <f>假设!S49</f>
        <v>0</v>
      </c>
      <c r="T24" s="152">
        <f>假设!T49</f>
        <v>0</v>
      </c>
      <c r="U24" s="152">
        <f>假设!U49</f>
        <v>0</v>
      </c>
      <c r="V24" s="152">
        <f>假设!V49</f>
        <v>0</v>
      </c>
      <c r="W24" s="152">
        <f>假设!W49</f>
        <v>0</v>
      </c>
      <c r="X24" s="152">
        <f>假设!X49</f>
        <v>0</v>
      </c>
      <c r="Y24" s="152">
        <f>假设!Y49</f>
        <v>0</v>
      </c>
      <c r="Z24" s="152">
        <f>假设!Z49</f>
        <v>0</v>
      </c>
      <c r="AA24" s="152">
        <f>假设!AA49</f>
        <v>0</v>
      </c>
      <c r="AB24" s="152">
        <f>假设!AB49</f>
        <v>0</v>
      </c>
      <c r="AC24" s="152">
        <f>假设!AC49</f>
        <v>0</v>
      </c>
      <c r="AD24" s="152">
        <f>假设!AD49</f>
        <v>0</v>
      </c>
      <c r="AE24" s="152">
        <f>假设!AE49</f>
        <v>0</v>
      </c>
      <c r="AF24" s="152">
        <f>假设!AF49</f>
        <v>0</v>
      </c>
      <c r="AG24" s="152">
        <f>假设!AG49</f>
        <v>0</v>
      </c>
      <c r="AH24" s="152">
        <f>假设!AH49</f>
        <v>0</v>
      </c>
      <c r="AI24" s="152">
        <f>假设!AI49</f>
        <v>0</v>
      </c>
      <c r="AJ24" s="152">
        <f>假设!AJ49</f>
        <v>0</v>
      </c>
      <c r="AK24" s="152">
        <f>假设!AK49</f>
        <v>0</v>
      </c>
      <c r="AL24" s="152">
        <f>假设!AL49</f>
        <v>0</v>
      </c>
      <c r="AM24" s="277"/>
      <c r="AN24" s="368"/>
    </row>
    <row r="25" spans="1:95" ht="17.25" customHeight="1" outlineLevel="1">
      <c r="A25" s="366" t="s">
        <v>980</v>
      </c>
      <c r="B25" s="369" t="s">
        <v>995</v>
      </c>
      <c r="C25" s="152">
        <f>年度数据!C65</f>
        <v>0</v>
      </c>
      <c r="D25" s="152">
        <f>年度数据!D65</f>
        <v>0</v>
      </c>
      <c r="E25" s="152">
        <f>年度数据!E65</f>
        <v>0</v>
      </c>
      <c r="F25" s="152">
        <f>年度数据!F65</f>
        <v>0</v>
      </c>
      <c r="G25" s="152">
        <f>年度数据!G65</f>
        <v>0</v>
      </c>
      <c r="H25" s="152">
        <f>年度数据!H65</f>
        <v>0</v>
      </c>
      <c r="I25" s="152">
        <f>假设!I50</f>
        <v>0</v>
      </c>
      <c r="J25" s="152">
        <f>假设!J50</f>
        <v>0</v>
      </c>
      <c r="K25" s="152">
        <f>假设!K50</f>
        <v>0</v>
      </c>
      <c r="L25" s="152">
        <f>假设!L50</f>
        <v>0</v>
      </c>
      <c r="M25" s="152">
        <f>假设!M50</f>
        <v>0</v>
      </c>
      <c r="N25" s="152">
        <f>假设!N50</f>
        <v>0</v>
      </c>
      <c r="O25" s="152">
        <f>假设!O50</f>
        <v>0</v>
      </c>
      <c r="P25" s="152">
        <f>假设!P50</f>
        <v>0</v>
      </c>
      <c r="Q25" s="152">
        <f>假设!Q50</f>
        <v>0</v>
      </c>
      <c r="R25" s="152">
        <f>假设!R50</f>
        <v>0</v>
      </c>
      <c r="S25" s="152">
        <f>假设!S50</f>
        <v>0</v>
      </c>
      <c r="T25" s="152">
        <f>假设!T50</f>
        <v>0</v>
      </c>
      <c r="U25" s="152">
        <f>假设!U50</f>
        <v>0</v>
      </c>
      <c r="V25" s="152">
        <f>假设!V50</f>
        <v>0</v>
      </c>
      <c r="W25" s="152">
        <f>假设!W50</f>
        <v>0</v>
      </c>
      <c r="X25" s="152">
        <f>假设!X50</f>
        <v>0</v>
      </c>
      <c r="Y25" s="152">
        <f>假设!Y50</f>
        <v>0</v>
      </c>
      <c r="Z25" s="152">
        <f>假设!Z50</f>
        <v>0</v>
      </c>
      <c r="AA25" s="152">
        <f>假设!AA50</f>
        <v>0</v>
      </c>
      <c r="AB25" s="152">
        <f>假设!AB50</f>
        <v>0</v>
      </c>
      <c r="AC25" s="152">
        <f>假设!AC50</f>
        <v>0</v>
      </c>
      <c r="AD25" s="152">
        <f>假设!AD50</f>
        <v>0</v>
      </c>
      <c r="AE25" s="152">
        <f>假设!AE50</f>
        <v>0</v>
      </c>
      <c r="AF25" s="152">
        <f>假设!AF50</f>
        <v>0</v>
      </c>
      <c r="AG25" s="152">
        <f>假设!AG50</f>
        <v>0</v>
      </c>
      <c r="AH25" s="152">
        <f>假设!AH50</f>
        <v>0</v>
      </c>
      <c r="AI25" s="152">
        <f>假设!AI50</f>
        <v>0</v>
      </c>
      <c r="AJ25" s="152">
        <f>假设!AJ50</f>
        <v>0</v>
      </c>
      <c r="AK25" s="152">
        <f>假设!AK50</f>
        <v>0</v>
      </c>
      <c r="AL25" s="152">
        <f>假设!AL50</f>
        <v>0</v>
      </c>
      <c r="AM25" s="277"/>
      <c r="AN25" s="368"/>
    </row>
    <row r="26" spans="1:95" ht="17.25" customHeight="1" outlineLevel="1">
      <c r="A26" s="366" t="s">
        <v>2792</v>
      </c>
      <c r="B26" s="369" t="s">
        <v>995</v>
      </c>
      <c r="C26" s="152">
        <f>年度数据!C66</f>
        <v>0</v>
      </c>
      <c r="D26" s="152">
        <f>年度数据!D66</f>
        <v>0</v>
      </c>
      <c r="E26" s="152">
        <f>年度数据!E66</f>
        <v>0</v>
      </c>
      <c r="F26" s="152">
        <f>年度数据!F66</f>
        <v>0</v>
      </c>
      <c r="G26" s="152">
        <f>年度数据!G66</f>
        <v>0</v>
      </c>
      <c r="H26" s="152">
        <f>年度数据!H66</f>
        <v>0</v>
      </c>
      <c r="I26" s="152">
        <f>假设!I51</f>
        <v>0</v>
      </c>
      <c r="J26" s="152">
        <f>假设!J51</f>
        <v>0</v>
      </c>
      <c r="K26" s="152">
        <f>假设!K51</f>
        <v>0</v>
      </c>
      <c r="L26" s="152">
        <f>假设!L51</f>
        <v>0</v>
      </c>
      <c r="M26" s="152">
        <f>假设!M51</f>
        <v>0</v>
      </c>
      <c r="N26" s="152">
        <f>假设!N51</f>
        <v>0</v>
      </c>
      <c r="O26" s="152">
        <f>假设!O51</f>
        <v>0</v>
      </c>
      <c r="P26" s="152">
        <f>假设!P51</f>
        <v>0</v>
      </c>
      <c r="Q26" s="152">
        <f>假设!Q51</f>
        <v>0</v>
      </c>
      <c r="R26" s="152">
        <f>假设!R51</f>
        <v>0</v>
      </c>
      <c r="S26" s="152">
        <f>假设!S51</f>
        <v>0</v>
      </c>
      <c r="T26" s="152">
        <f>假设!T51</f>
        <v>0</v>
      </c>
      <c r="U26" s="152">
        <f>假设!U51</f>
        <v>0</v>
      </c>
      <c r="V26" s="152">
        <f>假设!V51</f>
        <v>0</v>
      </c>
      <c r="W26" s="152">
        <f>假设!W51</f>
        <v>0</v>
      </c>
      <c r="X26" s="152">
        <f>假设!X51</f>
        <v>0</v>
      </c>
      <c r="Y26" s="152">
        <f>假设!Y51</f>
        <v>0</v>
      </c>
      <c r="Z26" s="152">
        <f>假设!Z51</f>
        <v>0</v>
      </c>
      <c r="AA26" s="152">
        <f>假设!AA51</f>
        <v>0</v>
      </c>
      <c r="AB26" s="152">
        <f>假设!AB51</f>
        <v>0</v>
      </c>
      <c r="AC26" s="152">
        <f>假设!AC51</f>
        <v>0</v>
      </c>
      <c r="AD26" s="152">
        <f>假设!AD51</f>
        <v>0</v>
      </c>
      <c r="AE26" s="152">
        <f>假设!AE51</f>
        <v>0</v>
      </c>
      <c r="AF26" s="152">
        <f>假设!AF51</f>
        <v>0</v>
      </c>
      <c r="AG26" s="152">
        <f>假设!AG51</f>
        <v>0</v>
      </c>
      <c r="AH26" s="152">
        <f>假设!AH51</f>
        <v>0</v>
      </c>
      <c r="AI26" s="152">
        <f>假设!AI51</f>
        <v>0</v>
      </c>
      <c r="AJ26" s="152">
        <f>假设!AJ51</f>
        <v>0</v>
      </c>
      <c r="AK26" s="152">
        <f>假设!AK51</f>
        <v>0</v>
      </c>
      <c r="AL26" s="152">
        <f>假设!AL51</f>
        <v>0</v>
      </c>
      <c r="AM26" s="277"/>
      <c r="AN26" s="368"/>
    </row>
    <row r="27" spans="1:95" ht="17.25" customHeight="1" outlineLevel="1">
      <c r="A27" s="366" t="s">
        <v>929</v>
      </c>
      <c r="B27" s="369" t="s">
        <v>995</v>
      </c>
      <c r="C27" s="152">
        <f>年度数据!C67</f>
        <v>0</v>
      </c>
      <c r="D27" s="152">
        <f>年度数据!D67</f>
        <v>0</v>
      </c>
      <c r="E27" s="152">
        <f>年度数据!E67</f>
        <v>0</v>
      </c>
      <c r="F27" s="152">
        <f>年度数据!F67</f>
        <v>0</v>
      </c>
      <c r="G27" s="152">
        <f>年度数据!G67</f>
        <v>0</v>
      </c>
      <c r="H27" s="152">
        <f>年度数据!H67</f>
        <v>101.52110451</v>
      </c>
      <c r="I27" s="152">
        <f>假设!I52</f>
        <v>25.3802761275</v>
      </c>
      <c r="J27" s="152">
        <f>假设!J52</f>
        <v>31.725345159374999</v>
      </c>
      <c r="K27" s="152">
        <f>假设!K52</f>
        <v>39.656681449218752</v>
      </c>
      <c r="L27" s="152">
        <f>假设!L52</f>
        <v>49.57085181152344</v>
      </c>
      <c r="M27" s="152">
        <f>假设!M52</f>
        <v>36.5832886369043</v>
      </c>
      <c r="N27" s="152">
        <f>假设!N52</f>
        <v>39.384041764255372</v>
      </c>
      <c r="O27" s="152">
        <f>假设!O52</f>
        <v>41.298715915475469</v>
      </c>
      <c r="P27" s="152">
        <f>假设!P52</f>
        <v>41.709224532039642</v>
      </c>
      <c r="Q27" s="152">
        <f>假设!Q52</f>
        <v>39.743817712168692</v>
      </c>
      <c r="R27" s="152">
        <f>假设!R52</f>
        <v>40.533949980984794</v>
      </c>
      <c r="S27" s="152">
        <f>假设!S52</f>
        <v>40.821427035167147</v>
      </c>
      <c r="T27" s="152">
        <f>假设!T52</f>
        <v>40.702104815090067</v>
      </c>
      <c r="U27" s="152">
        <f>假设!U52</f>
        <v>40.450324885852673</v>
      </c>
      <c r="V27" s="152">
        <f>假设!V52</f>
        <v>40.626951679273674</v>
      </c>
      <c r="W27" s="152">
        <f>假设!W52</f>
        <v>40.650202103845885</v>
      </c>
      <c r="X27" s="152">
        <f>假设!X52</f>
        <v>40.607395871015569</v>
      </c>
      <c r="Y27" s="152">
        <f>假设!Y52</f>
        <v>40.583718634996949</v>
      </c>
      <c r="Z27" s="152">
        <f>假设!Z52</f>
        <v>40.617067072283021</v>
      </c>
      <c r="AA27" s="152">
        <f>假设!AA52</f>
        <v>40.614595920535358</v>
      </c>
      <c r="AB27" s="152">
        <f>假设!AB52</f>
        <v>40.605694374707724</v>
      </c>
      <c r="AC27" s="152">
        <f>假设!AC52</f>
        <v>40.605269000630763</v>
      </c>
      <c r="AD27" s="152">
        <f>假设!AD52</f>
        <v>40.610656592039213</v>
      </c>
      <c r="AE27" s="152">
        <f>假设!AE52</f>
        <v>40.609053971978263</v>
      </c>
      <c r="AF27" s="152">
        <f>假设!AF52</f>
        <v>40.607668484838989</v>
      </c>
      <c r="AG27" s="152">
        <f>假设!AG52</f>
        <v>40.608162012371807</v>
      </c>
      <c r="AH27" s="152">
        <f>假设!AH52</f>
        <v>40.608885265307066</v>
      </c>
      <c r="AI27" s="152">
        <f>假设!AI52</f>
        <v>40.608442433624028</v>
      </c>
      <c r="AJ27" s="152">
        <f>假设!AJ52</f>
        <v>40.608289549035469</v>
      </c>
      <c r="AK27" s="152">
        <f>假设!AK52</f>
        <v>40.608444815084596</v>
      </c>
      <c r="AL27" s="152">
        <f>假设!AL52</f>
        <v>40.60851551576279</v>
      </c>
      <c r="AM27" s="277"/>
      <c r="AN27" s="368"/>
    </row>
    <row r="28" spans="1:95" ht="17.25" customHeight="1" outlineLevel="1">
      <c r="A28" s="373" t="s">
        <v>908</v>
      </c>
      <c r="B28" s="369" t="s">
        <v>995</v>
      </c>
      <c r="C28" s="152">
        <f>年度数据!C80</f>
        <v>0</v>
      </c>
      <c r="D28" s="152">
        <f>年度数据!D80</f>
        <v>0</v>
      </c>
      <c r="E28" s="152">
        <f>年度数据!E80</f>
        <v>0</v>
      </c>
      <c r="F28" s="152">
        <f>年度数据!F80</f>
        <v>0</v>
      </c>
      <c r="G28" s="152">
        <f>年度数据!G80</f>
        <v>0</v>
      </c>
      <c r="H28" s="152">
        <f>年度数据!H80</f>
        <v>0</v>
      </c>
      <c r="I28" s="152">
        <f>假设!I54</f>
        <v>0</v>
      </c>
      <c r="J28" s="152">
        <f>假设!J54</f>
        <v>0</v>
      </c>
      <c r="K28" s="152">
        <f>假设!K54</f>
        <v>0</v>
      </c>
      <c r="L28" s="152">
        <f>假设!L54</f>
        <v>0</v>
      </c>
      <c r="M28" s="152">
        <f>假设!M54</f>
        <v>0</v>
      </c>
      <c r="N28" s="152">
        <f>假设!N54</f>
        <v>0</v>
      </c>
      <c r="O28" s="152">
        <f>假设!O54</f>
        <v>0</v>
      </c>
      <c r="P28" s="152">
        <f>假设!P54</f>
        <v>0</v>
      </c>
      <c r="Q28" s="152">
        <f>假设!Q54</f>
        <v>0</v>
      </c>
      <c r="R28" s="152">
        <f>假设!R54</f>
        <v>0</v>
      </c>
      <c r="S28" s="152">
        <f>假设!S54</f>
        <v>0</v>
      </c>
      <c r="T28" s="152">
        <f>假设!T54</f>
        <v>0</v>
      </c>
      <c r="U28" s="152">
        <f>假设!U54</f>
        <v>0</v>
      </c>
      <c r="V28" s="152">
        <f>假设!V54</f>
        <v>0</v>
      </c>
      <c r="W28" s="152">
        <f>假设!W54</f>
        <v>0</v>
      </c>
      <c r="X28" s="152">
        <f>假设!X54</f>
        <v>0</v>
      </c>
      <c r="Y28" s="152">
        <f>假设!Y54</f>
        <v>0</v>
      </c>
      <c r="Z28" s="152">
        <f>假设!Z54</f>
        <v>0</v>
      </c>
      <c r="AA28" s="152">
        <f>假设!AA54</f>
        <v>0</v>
      </c>
      <c r="AB28" s="152">
        <f>假设!AB54</f>
        <v>0</v>
      </c>
      <c r="AC28" s="152">
        <f>假设!AC54</f>
        <v>0</v>
      </c>
      <c r="AD28" s="152">
        <f>假设!AD54</f>
        <v>0</v>
      </c>
      <c r="AE28" s="152">
        <f>假设!AE54</f>
        <v>0</v>
      </c>
      <c r="AF28" s="152">
        <f>假设!AF54</f>
        <v>0</v>
      </c>
      <c r="AG28" s="152">
        <f>假设!AG54</f>
        <v>0</v>
      </c>
      <c r="AH28" s="152">
        <f>假设!AH54</f>
        <v>0</v>
      </c>
      <c r="AI28" s="152">
        <f>假设!AI54</f>
        <v>0</v>
      </c>
      <c r="AJ28" s="152">
        <f>假设!AJ54</f>
        <v>0</v>
      </c>
      <c r="AK28" s="152">
        <f>假设!AK54</f>
        <v>0</v>
      </c>
      <c r="AL28" s="152">
        <f>假设!AL54</f>
        <v>0</v>
      </c>
      <c r="AM28" s="277"/>
      <c r="AN28" s="368"/>
    </row>
    <row r="29" spans="1:95" ht="17.25" customHeight="1" outlineLevel="1">
      <c r="A29" s="373" t="s">
        <v>930</v>
      </c>
      <c r="B29" s="787" t="s">
        <v>1594</v>
      </c>
      <c r="C29" s="152">
        <f>年度数据!C68</f>
        <v>0</v>
      </c>
      <c r="D29" s="152">
        <f>年度数据!D68</f>
        <v>0</v>
      </c>
      <c r="E29" s="152">
        <f>年度数据!E68</f>
        <v>0</v>
      </c>
      <c r="F29" s="152">
        <f>年度数据!F68</f>
        <v>0</v>
      </c>
      <c r="G29" s="152">
        <f>年度数据!G68</f>
        <v>24.483474050000002</v>
      </c>
      <c r="H29" s="152">
        <f>年度数据!H68</f>
        <v>32.961611179999998</v>
      </c>
      <c r="I29" s="152">
        <f>H29+假设!I13+假设!I53</f>
        <v>41.088376823999994</v>
      </c>
      <c r="J29" s="152">
        <f>I29+假设!J13+假设!J53</f>
        <v>49.144868170799995</v>
      </c>
      <c r="K29" s="152">
        <f>J29+假设!K13+假设!K53</f>
        <v>57.117030360959987</v>
      </c>
      <c r="L29" s="152">
        <f>K29+假设!L13+假设!L53</f>
        <v>64.987997563151978</v>
      </c>
      <c r="M29" s="152">
        <f>L29+假设!M13+假设!M53</f>
        <v>72.854276617782375</v>
      </c>
      <c r="N29" s="152">
        <f>M29+假设!N13+假设!N53</f>
        <v>80.832809705338846</v>
      </c>
      <c r="O29" s="152">
        <f>N29+假设!O13+假设!O53</f>
        <v>88.781696281606614</v>
      </c>
      <c r="P29" s="152">
        <f>O29+假设!P13+假设!P53</f>
        <v>96.709061903767932</v>
      </c>
      <c r="Q29" s="152">
        <f>P29+假设!Q13+假设!Q53</f>
        <v>104.62746821232952</v>
      </c>
      <c r="R29" s="152">
        <f>Q29+假设!R13+假设!R53</f>
        <v>112.55536234216503</v>
      </c>
      <c r="S29" s="152">
        <f>R29+假设!S13+假设!S53</f>
        <v>120.49557948704155</v>
      </c>
      <c r="T29" s="152">
        <f>S29+假设!T13+假设!T53</f>
        <v>128.42813344338211</v>
      </c>
      <c r="U29" s="152">
        <f>T29+假设!U13+假设!U53</f>
        <v>136.3574208757372</v>
      </c>
      <c r="V29" s="152">
        <f>U29+假设!V13+假设!V53</f>
        <v>144.28709267013107</v>
      </c>
      <c r="W29" s="152">
        <f>V29+假设!W13+假设!W53</f>
        <v>152.21901756169137</v>
      </c>
      <c r="X29" s="152">
        <f>W29+假设!X13+假设!X53</f>
        <v>160.15174860559665</v>
      </c>
      <c r="Y29" s="152">
        <f>X29+假设!Y13+假设!Y53</f>
        <v>168.08298242930766</v>
      </c>
      <c r="Z29" s="152">
        <f>Y29+假设!Z13+假设!Z53</f>
        <v>176.01395222649276</v>
      </c>
      <c r="AA29" s="152">
        <f>Z29+假设!AA13+假设!AA53</f>
        <v>183.94525849664387</v>
      </c>
      <c r="AB29" s="152">
        <f>AA29+假设!AB13+假设!AB53</f>
        <v>191.87689166194644</v>
      </c>
      <c r="AC29" s="152">
        <f>AB29+假设!AC13+假设!AC53</f>
        <v>199.80846648199747</v>
      </c>
      <c r="AD29" s="152">
        <f>AC29+假设!AD13+假设!AD53</f>
        <v>207.73981005727762</v>
      </c>
      <c r="AE29" s="152">
        <f>AD29+假设!AE13+假设!AE53</f>
        <v>215.67117558287163</v>
      </c>
      <c r="AF29" s="152">
        <f>AE29+假设!AF13+假设!AF53</f>
        <v>223.60262025414738</v>
      </c>
      <c r="AG29" s="152">
        <f>AF29+假设!AG13+假设!AG53</f>
        <v>231.53409260564808</v>
      </c>
      <c r="AH29" s="152">
        <f>AG29+假设!AH13+假设!AH53</f>
        <v>239.46553279438842</v>
      </c>
      <c r="AI29" s="152">
        <f>AH29+假设!AI13+假设!AI53</f>
        <v>247.39694605686662</v>
      </c>
      <c r="AJ29" s="152">
        <f>AI29+假设!AJ13+假设!AJ53</f>
        <v>255.32837325678443</v>
      </c>
      <c r="AK29" s="152">
        <f>AJ29+假设!AK13+假设!AK53</f>
        <v>263.25981279156701</v>
      </c>
      <c r="AL29" s="152">
        <f>AK29+假设!AL13+假设!AL53</f>
        <v>271.19125129905092</v>
      </c>
      <c r="AM29" s="277"/>
      <c r="AN29" s="368"/>
    </row>
    <row r="30" spans="1:95" ht="17.25" customHeight="1" outlineLevel="1">
      <c r="A30" s="537" t="s">
        <v>1401</v>
      </c>
      <c r="B30" s="369" t="s">
        <v>1234</v>
      </c>
      <c r="C30" s="152">
        <f>年度数据!C69+年度数据!C73+年度数据!C74+年度数据!C75</f>
        <v>344.71215820999998</v>
      </c>
      <c r="D30" s="152">
        <f>年度数据!D69+年度数据!D73+年度数据!D74+年度数据!D75</f>
        <v>530.33319089999998</v>
      </c>
      <c r="E30" s="152">
        <f>年度数据!E69+年度数据!E73+年度数据!E74+年度数据!E75</f>
        <v>723.82126173999995</v>
      </c>
      <c r="F30" s="152">
        <f>年度数据!F69+年度数据!F73+年度数据!F74+年度数据!F75</f>
        <v>1310.3937749600002</v>
      </c>
      <c r="G30" s="152">
        <f>年度数据!G69+年度数据!G73+年度数据!G74+年度数据!G75</f>
        <v>1681.3613859899999</v>
      </c>
      <c r="H30" s="152">
        <f>年度数据!H69+年度数据!H73+年度数据!H74+年度数据!H75</f>
        <v>1953.4169309599999</v>
      </c>
      <c r="I30" s="152">
        <f ca="1">资本投资!J108</f>
        <v>1992.008259895239</v>
      </c>
      <c r="J30" s="152">
        <f ca="1">资本投资!K108</f>
        <v>2153.6156584227188</v>
      </c>
      <c r="K30" s="152">
        <f ca="1">资本投资!L108</f>
        <v>2368.6515654977848</v>
      </c>
      <c r="L30" s="152">
        <f ca="1">资本投资!M108</f>
        <v>2530.4798069765179</v>
      </c>
      <c r="M30" s="152">
        <f ca="1">资本投资!N108</f>
        <v>2643.2483736572426</v>
      </c>
      <c r="N30" s="152">
        <f ca="1">资本投资!O108</f>
        <v>2826.2492441264762</v>
      </c>
      <c r="O30" s="152">
        <f ca="1">资本投资!P108</f>
        <v>3062.1838917201239</v>
      </c>
      <c r="P30" s="152">
        <f ca="1">资本投资!Q108</f>
        <v>3316.8445005842409</v>
      </c>
      <c r="Q30" s="152">
        <f ca="1">资本投资!R108</f>
        <v>3575.6957007498686</v>
      </c>
      <c r="R30" s="152">
        <f ca="1">资本投资!S108</f>
        <v>3862.6757838503913</v>
      </c>
      <c r="S30" s="152">
        <f ca="1">资本投资!T108</f>
        <v>4206.8666793528446</v>
      </c>
      <c r="T30" s="152">
        <f ca="1">资本投资!U108</f>
        <v>4599.6053374132061</v>
      </c>
      <c r="U30" s="152">
        <f ca="1">资本投资!V108</f>
        <v>5035.4972709219046</v>
      </c>
      <c r="V30" s="152">
        <f ca="1">资本投资!W108</f>
        <v>5677.6374455026835</v>
      </c>
      <c r="W30" s="152">
        <f ca="1">资本投资!X108</f>
        <v>6410.2950987485665</v>
      </c>
      <c r="X30" s="152">
        <f ca="1">资本投资!Y108</f>
        <v>7251.0404372091925</v>
      </c>
      <c r="Y30" s="152">
        <f ca="1">资本投资!Z108</f>
        <v>8201.8427841907196</v>
      </c>
      <c r="Z30" s="152">
        <f ca="1">资本投资!AA108</f>
        <v>9269.7365444943789</v>
      </c>
      <c r="AA30" s="152">
        <f ca="1">资本投资!AB108</f>
        <v>10475.965853134256</v>
      </c>
      <c r="AB30" s="152">
        <f ca="1">资本投资!AC108</f>
        <v>11843.011672818524</v>
      </c>
      <c r="AC30" s="152">
        <f ca="1">资本投资!AD108</f>
        <v>13390.40770153686</v>
      </c>
      <c r="AD30" s="152">
        <f ca="1">资本投资!AE108</f>
        <v>15137.498734909044</v>
      </c>
      <c r="AE30" s="152">
        <f ca="1">资本投资!AF108</f>
        <v>17109.773820742139</v>
      </c>
      <c r="AF30" s="152">
        <f ca="1">资本投资!AG108</f>
        <v>19338.790224271113</v>
      </c>
      <c r="AG30" s="152">
        <f ca="1">资本投资!AH108</f>
        <v>21858.516950467489</v>
      </c>
      <c r="AH30" s="152">
        <f ca="1">资本投资!AI108</f>
        <v>24705.611757723098</v>
      </c>
      <c r="AI30" s="152">
        <f ca="1">资本投资!AJ108</f>
        <v>27921.640963482576</v>
      </c>
      <c r="AJ30" s="152">
        <f ca="1">资本投资!AK108</f>
        <v>31554.903544920373</v>
      </c>
      <c r="AK30" s="152">
        <f ca="1">资本投资!AL108</f>
        <v>35660.262000719864</v>
      </c>
      <c r="AL30" s="152">
        <f ca="1">资本投资!AM108</f>
        <v>40298.951610469143</v>
      </c>
      <c r="AM30" s="277"/>
      <c r="AN30" s="368"/>
    </row>
    <row r="31" spans="1:95" ht="17.25" customHeight="1" outlineLevel="1">
      <c r="A31" s="537" t="s">
        <v>1259</v>
      </c>
      <c r="B31" s="369" t="s">
        <v>1234</v>
      </c>
      <c r="C31" s="152">
        <f>年度数据!C71+年度数据!C70</f>
        <v>209.09179740000002</v>
      </c>
      <c r="D31" s="152">
        <f>年度数据!D71+年度数据!D70</f>
        <v>318.13739208999999</v>
      </c>
      <c r="E31" s="152">
        <f>年度数据!E71+年度数据!E70</f>
        <v>504.32519667000003</v>
      </c>
      <c r="F31" s="152">
        <f>年度数据!F71+年度数据!F70</f>
        <v>369.26259205000002</v>
      </c>
      <c r="G31" s="152">
        <f>年度数据!G71+年度数据!G70</f>
        <v>266.38864294999996</v>
      </c>
      <c r="H31" s="152">
        <f>年度数据!H71+年度数据!H70</f>
        <v>159.04500887999998</v>
      </c>
      <c r="I31" s="152">
        <f ca="1">资本投资!J116</f>
        <v>180.82131043800445</v>
      </c>
      <c r="J31" s="152">
        <f ca="1">资本投资!K116</f>
        <v>219.46718162972905</v>
      </c>
      <c r="K31" s="152">
        <f ca="1">资本投资!L116</f>
        <v>247.76638573856044</v>
      </c>
      <c r="L31" s="152">
        <f ca="1">资本投资!M116</f>
        <v>259.71598894950432</v>
      </c>
      <c r="M31" s="152">
        <f ca="1">资本投资!N116</f>
        <v>264.10459421558971</v>
      </c>
      <c r="N31" s="152">
        <f ca="1">资本投资!O116</f>
        <v>291.57140788754043</v>
      </c>
      <c r="O31" s="152">
        <f ca="1">资本投资!P116</f>
        <v>324.46707493682015</v>
      </c>
      <c r="P31" s="152">
        <f ca="1">资本投资!Q116</f>
        <v>357.45094195613791</v>
      </c>
      <c r="Q31" s="152">
        <f ca="1">资本投资!R116</f>
        <v>392.31336386688133</v>
      </c>
      <c r="R31" s="152">
        <f ca="1">资本投资!S116</f>
        <v>434.85821613164046</v>
      </c>
      <c r="S31" s="152">
        <f ca="1">资本投资!T116</f>
        <v>489.54980388738704</v>
      </c>
      <c r="T31" s="152">
        <f ca="1">资本投资!U116</f>
        <v>550.37632103285125</v>
      </c>
      <c r="U31" s="152">
        <f ca="1">资本投资!V116</f>
        <v>617.66369225443009</v>
      </c>
      <c r="V31" s="152">
        <f ca="1">资本投资!W116</f>
        <v>694.43643073147894</v>
      </c>
      <c r="W31" s="152">
        <f ca="1">资本投资!X116</f>
        <v>783.73764217446239</v>
      </c>
      <c r="X31" s="152">
        <f ca="1">资本投资!Y116</f>
        <v>886.43826492753431</v>
      </c>
      <c r="Y31" s="152">
        <f ca="1">资本投资!Z116</f>
        <v>1001.9327773527366</v>
      </c>
      <c r="Z31" s="152">
        <f ca="1">资本投资!AA116</f>
        <v>1131.9528965992226</v>
      </c>
      <c r="AA31" s="152">
        <f ca="1">资本投资!AB116</f>
        <v>1278.9420671075561</v>
      </c>
      <c r="AB31" s="152">
        <f ca="1">资本投资!AC116</f>
        <v>1445.3371423253659</v>
      </c>
      <c r="AC31" s="152">
        <f ca="1">资本投资!AD116</f>
        <v>1633.3170580397909</v>
      </c>
      <c r="AD31" s="152">
        <f ca="1">资本投资!AE116</f>
        <v>1845.3214844207992</v>
      </c>
      <c r="AE31" s="152">
        <f ca="1">资本投资!AF116</f>
        <v>2084.7416184911017</v>
      </c>
      <c r="AF31" s="152">
        <f ca="1">资本投资!AG116</f>
        <v>2355.3393190050906</v>
      </c>
      <c r="AG31" s="152">
        <f ca="1">资本投资!AH116</f>
        <v>2661.1428151407276</v>
      </c>
      <c r="AH31" s="152">
        <f ca="1">资本投资!AI116</f>
        <v>3006.581161688659</v>
      </c>
      <c r="AI31" s="152">
        <f ca="1">资本投资!AJ116</f>
        <v>3396.7699383467398</v>
      </c>
      <c r="AJ31" s="152">
        <f ca="1">资本投资!AK116</f>
        <v>3837.6356211196789</v>
      </c>
      <c r="AK31" s="152">
        <f ca="1">资本投资!AL116</f>
        <v>4335.7841673516768</v>
      </c>
      <c r="AL31" s="152">
        <f ca="1">资本投资!AM116</f>
        <v>4898.6239744340328</v>
      </c>
      <c r="AM31" s="277"/>
      <c r="AN31" s="368"/>
    </row>
    <row r="32" spans="1:95" ht="17.25" customHeight="1" outlineLevel="1">
      <c r="A32" s="366" t="s">
        <v>2793</v>
      </c>
      <c r="B32" s="369" t="s">
        <v>995</v>
      </c>
      <c r="C32" s="152">
        <f>年度数据!C72</f>
        <v>0</v>
      </c>
      <c r="D32" s="152">
        <f>年度数据!D72</f>
        <v>0</v>
      </c>
      <c r="E32" s="152">
        <f>年度数据!E72</f>
        <v>0</v>
      </c>
      <c r="F32" s="152">
        <f>年度数据!F72</f>
        <v>18.577870539999999</v>
      </c>
      <c r="G32" s="152">
        <f>年度数据!G72</f>
        <v>19.665207809999998</v>
      </c>
      <c r="H32" s="152">
        <f>年度数据!H72</f>
        <v>42.679903590000002</v>
      </c>
      <c r="I32" s="152">
        <f>假设!I57</f>
        <v>42.679903590000002</v>
      </c>
      <c r="J32" s="152">
        <f>假设!J57</f>
        <v>42.679903590000002</v>
      </c>
      <c r="K32" s="152">
        <f>假设!K57</f>
        <v>42.679903590000002</v>
      </c>
      <c r="L32" s="152">
        <f>假设!L57</f>
        <v>42.679903590000002</v>
      </c>
      <c r="M32" s="152">
        <f>假设!M57</f>
        <v>42.679903590000002</v>
      </c>
      <c r="N32" s="152">
        <f>假设!N57</f>
        <v>42.679903590000002</v>
      </c>
      <c r="O32" s="152">
        <f>假设!O57</f>
        <v>42.679903590000002</v>
      </c>
      <c r="P32" s="152">
        <f>假设!P57</f>
        <v>42.679903590000002</v>
      </c>
      <c r="Q32" s="152">
        <f>假设!Q57</f>
        <v>42.679903590000002</v>
      </c>
      <c r="R32" s="152">
        <f>假设!R57</f>
        <v>42.679903590000002</v>
      </c>
      <c r="S32" s="152">
        <f>假设!S57</f>
        <v>42.679903590000002</v>
      </c>
      <c r="T32" s="152">
        <f>假设!T57</f>
        <v>42.679903590000002</v>
      </c>
      <c r="U32" s="152">
        <f>假设!U57</f>
        <v>42.679903590000002</v>
      </c>
      <c r="V32" s="152">
        <f>假设!V57</f>
        <v>42.679903590000002</v>
      </c>
      <c r="W32" s="152">
        <f>假设!W57</f>
        <v>42.679903590000002</v>
      </c>
      <c r="X32" s="152">
        <f>假设!X57</f>
        <v>42.679903590000002</v>
      </c>
      <c r="Y32" s="152">
        <f>假设!Y57</f>
        <v>42.679903590000002</v>
      </c>
      <c r="Z32" s="152">
        <f>假设!Z57</f>
        <v>42.679903590000002</v>
      </c>
      <c r="AA32" s="152">
        <f>假设!AA57</f>
        <v>42.679903590000002</v>
      </c>
      <c r="AB32" s="152">
        <f>假设!AB57</f>
        <v>42.679903590000002</v>
      </c>
      <c r="AC32" s="152">
        <f>假设!AC57</f>
        <v>42.679903590000002</v>
      </c>
      <c r="AD32" s="152">
        <f>假设!AD57</f>
        <v>42.679903590000002</v>
      </c>
      <c r="AE32" s="152">
        <f>假设!AE57</f>
        <v>42.679903590000002</v>
      </c>
      <c r="AF32" s="152">
        <f>假设!AF57</f>
        <v>42.679903590000002</v>
      </c>
      <c r="AG32" s="152">
        <f>假设!AG57</f>
        <v>42.679903590000002</v>
      </c>
      <c r="AH32" s="152">
        <f>假设!AH57</f>
        <v>42.679903590000002</v>
      </c>
      <c r="AI32" s="152">
        <f>假设!AI57</f>
        <v>42.679903590000002</v>
      </c>
      <c r="AJ32" s="152">
        <f>假设!AJ57</f>
        <v>42.679903590000002</v>
      </c>
      <c r="AK32" s="152">
        <f>假设!AK57</f>
        <v>42.679903590000002</v>
      </c>
      <c r="AL32" s="152">
        <f>假设!AL57</f>
        <v>42.679903590000002</v>
      </c>
      <c r="AM32" s="277"/>
      <c r="AN32" s="368"/>
    </row>
    <row r="33" spans="1:95" ht="17.25" customHeight="1" outlineLevel="1">
      <c r="A33" s="537" t="s">
        <v>1263</v>
      </c>
      <c r="B33" s="369" t="s">
        <v>1234</v>
      </c>
      <c r="C33" s="152">
        <f>年度数据!C76+年度数据!C77</f>
        <v>114.29724726000001</v>
      </c>
      <c r="D33" s="152">
        <f>年度数据!D76+年度数据!D77</f>
        <v>120.77895501</v>
      </c>
      <c r="E33" s="152">
        <f>年度数据!E76+年度数据!E77</f>
        <v>139.13985438999998</v>
      </c>
      <c r="F33" s="152">
        <f>年度数据!F76+年度数据!F77</f>
        <v>147.32765318</v>
      </c>
      <c r="G33" s="152">
        <f>年度数据!G76+年度数据!G77</f>
        <v>144.34393381999999</v>
      </c>
      <c r="H33" s="152">
        <f>年度数据!H76+年度数据!H77</f>
        <v>288.30196711000002</v>
      </c>
      <c r="I33" s="152">
        <f>资本投资!J122</f>
        <v>314.10079168312927</v>
      </c>
      <c r="J33" s="152">
        <f>资本投资!K122</f>
        <v>344.43605526781556</v>
      </c>
      <c r="K33" s="152">
        <f>资本投资!L122</f>
        <v>377.94151963950759</v>
      </c>
      <c r="L33" s="152">
        <f>资本投资!M122</f>
        <v>417.33146988215975</v>
      </c>
      <c r="M33" s="152">
        <f>资本投资!N122</f>
        <v>466.00048064340257</v>
      </c>
      <c r="N33" s="152">
        <f>资本投资!O122</f>
        <v>497.21818974444352</v>
      </c>
      <c r="O33" s="152">
        <f>资本投资!P122</f>
        <v>529.51967575106676</v>
      </c>
      <c r="P33" s="152">
        <f>资本投资!Q122</f>
        <v>562.21440624207753</v>
      </c>
      <c r="Q33" s="152">
        <f>资本投资!R122</f>
        <v>594.74698995695201</v>
      </c>
      <c r="R33" s="152">
        <f>资本投资!S122</f>
        <v>625.90810036627101</v>
      </c>
      <c r="S33" s="152">
        <f>资本投资!T122</f>
        <v>653.56763070520515</v>
      </c>
      <c r="T33" s="152">
        <f>资本投资!U122</f>
        <v>680.51552529171795</v>
      </c>
      <c r="U33" s="152">
        <f>资本投资!V122</f>
        <v>706.39270159420869</v>
      </c>
      <c r="V33" s="152">
        <f>资本投资!W122</f>
        <v>730.90636705899544</v>
      </c>
      <c r="W33" s="152">
        <f>资本投资!X122</f>
        <v>753.81624887376461</v>
      </c>
      <c r="X33" s="152">
        <f>资本投资!Y122</f>
        <v>775.07588496962376</v>
      </c>
      <c r="Y33" s="152">
        <f>资本投资!Z122</f>
        <v>795.05554221686793</v>
      </c>
      <c r="Z33" s="152">
        <f>资本投资!AA122</f>
        <v>813.64155199625839</v>
      </c>
      <c r="AA33" s="152">
        <f>资本投资!AB122</f>
        <v>830.76932847102876</v>
      </c>
      <c r="AB33" s="152">
        <f>资本投资!AC122</f>
        <v>846.41992714779587</v>
      </c>
      <c r="AC33" s="152">
        <f>资本投资!AD122</f>
        <v>860.61866919696263</v>
      </c>
      <c r="AD33" s="152">
        <f>资本投资!AE122</f>
        <v>873.40523243679081</v>
      </c>
      <c r="AE33" s="152">
        <f>资本投资!AF122</f>
        <v>884.75317687513586</v>
      </c>
      <c r="AF33" s="152">
        <f>资本投资!AG122</f>
        <v>894.65350824527184</v>
      </c>
      <c r="AG33" s="152">
        <f>资本投资!AH122</f>
        <v>903.10835059448095</v>
      </c>
      <c r="AH33" s="152">
        <f>资本投资!AI122</f>
        <v>910.1240416781784</v>
      </c>
      <c r="AI33" s="152">
        <f>资本投资!AJ122</f>
        <v>915.70312256878208</v>
      </c>
      <c r="AJ33" s="152">
        <f>资本投资!AK122</f>
        <v>919.84070698954076</v>
      </c>
      <c r="AK33" s="152">
        <f>资本投资!AL122</f>
        <v>922.53621940678227</v>
      </c>
      <c r="AL33" s="152">
        <f>资本投资!AM122</f>
        <v>923.79076803344481</v>
      </c>
      <c r="AM33" s="277"/>
      <c r="AN33" s="368"/>
    </row>
    <row r="34" spans="1:95" ht="17.25" customHeight="1" outlineLevel="1">
      <c r="A34" s="537" t="s">
        <v>1268</v>
      </c>
      <c r="B34" s="369" t="s">
        <v>1234</v>
      </c>
      <c r="C34" s="152">
        <f>年度数据!C79</f>
        <v>2.0927113500000001</v>
      </c>
      <c r="D34" s="152">
        <f>年度数据!D79</f>
        <v>1.6114001100000002</v>
      </c>
      <c r="E34" s="152">
        <f>年度数据!E79</f>
        <v>2.2652026800000002</v>
      </c>
      <c r="F34" s="152">
        <f>年度数据!F79</f>
        <v>3.69568707</v>
      </c>
      <c r="G34" s="152">
        <f>年度数据!G79</f>
        <v>1.7412196100000001</v>
      </c>
      <c r="H34" s="152">
        <f>年度数据!H79</f>
        <v>2.45744118</v>
      </c>
      <c r="I34" s="152">
        <f>资本投资!J128</f>
        <v>1.5877899325075417</v>
      </c>
      <c r="J34" s="152">
        <f>资本投资!K128</f>
        <v>6.9659012917560326E-2</v>
      </c>
      <c r="K34" s="152">
        <f>资本投资!L128</f>
        <v>0.60499848633178277</v>
      </c>
      <c r="L34" s="152">
        <f>资本投资!M128</f>
        <v>1.0633845710698786</v>
      </c>
      <c r="M34" s="152">
        <f>资本投资!N128</f>
        <v>7.3336221913556265E-2</v>
      </c>
      <c r="N34" s="152">
        <f>资本投资!O128</f>
        <v>1.1034100130680324</v>
      </c>
      <c r="O34" s="152">
        <f>资本投资!P128</f>
        <v>2.1135061425663229</v>
      </c>
      <c r="P34" s="152">
        <f>资本投资!Q128</f>
        <v>1.5678664571862992</v>
      </c>
      <c r="Q34" s="152">
        <f>资本投资!R128</f>
        <v>3.1123582177107876</v>
      </c>
      <c r="R34" s="152">
        <f>资本投资!S128</f>
        <v>4.6608299287442261</v>
      </c>
      <c r="S34" s="152">
        <f>资本投资!T128</f>
        <v>4.6972977494514376</v>
      </c>
      <c r="T34" s="152">
        <f>资本投资!U128</f>
        <v>6.7988478296706338</v>
      </c>
      <c r="U34" s="152">
        <f>资本投资!V128</f>
        <v>8.8982293825044607</v>
      </c>
      <c r="V34" s="152">
        <f>资本投资!W128</f>
        <v>9.4776761427591492</v>
      </c>
      <c r="W34" s="152">
        <f>资本投资!X128</f>
        <v>12.124346477718605</v>
      </c>
      <c r="X34" s="152">
        <f>资本投资!Y128</f>
        <v>14.771967353587318</v>
      </c>
      <c r="Y34" s="152">
        <f>资本投资!Z128</f>
        <v>15.896103107284681</v>
      </c>
      <c r="Z34" s="152">
        <f>资本投资!AA128</f>
        <v>19.089532013552439</v>
      </c>
      <c r="AA34" s="152">
        <f>资本投资!AB128</f>
        <v>22.28312182842701</v>
      </c>
      <c r="AB34" s="152">
        <f>资本投资!AC128</f>
        <v>23.955511317971624</v>
      </c>
      <c r="AC34" s="152">
        <f>资本投资!AD128</f>
        <v>27.69613216937891</v>
      </c>
      <c r="AD34" s="152">
        <f>资本投资!AE128</f>
        <v>31.436575825311863</v>
      </c>
      <c r="AE34" s="152">
        <f>资本投资!AF128</f>
        <v>33.655487667749618</v>
      </c>
      <c r="AF34" s="152">
        <f>资本投资!AG128</f>
        <v>37.942785977921034</v>
      </c>
      <c r="AG34" s="152">
        <f>资本投资!AH128</f>
        <v>42.230111421661626</v>
      </c>
      <c r="AH34" s="152">
        <f>资本投资!AI128</f>
        <v>44.995786925078939</v>
      </c>
      <c r="AI34" s="152">
        <f>资本投资!AJ128</f>
        <v>49.829909028195267</v>
      </c>
      <c r="AJ34" s="152">
        <f>资本投资!AK128</f>
        <v>54.664039085896889</v>
      </c>
      <c r="AK34" s="152">
        <f>资本投资!AL128</f>
        <v>57.976590910012249</v>
      </c>
      <c r="AL34" s="152">
        <f>资本投资!AM128</f>
        <v>63.357551053716811</v>
      </c>
      <c r="AM34" s="277"/>
      <c r="AN34" s="368"/>
    </row>
    <row r="35" spans="1:95" ht="17.25" customHeight="1" outlineLevel="1">
      <c r="A35" s="366" t="s">
        <v>1266</v>
      </c>
      <c r="B35" s="369" t="s">
        <v>995</v>
      </c>
      <c r="C35" s="152">
        <f>年度数据!C78</f>
        <v>0</v>
      </c>
      <c r="D35" s="152">
        <f>年度数据!D78</f>
        <v>0</v>
      </c>
      <c r="E35" s="152">
        <f>年度数据!E78</f>
        <v>0</v>
      </c>
      <c r="F35" s="152">
        <f>年度数据!F78</f>
        <v>0</v>
      </c>
      <c r="G35" s="152">
        <f>年度数据!G78</f>
        <v>0</v>
      </c>
      <c r="H35" s="152">
        <f>年度数据!H78</f>
        <v>101.09582881</v>
      </c>
      <c r="I35" s="152">
        <f>假设!I55</f>
        <v>72.88</v>
      </c>
      <c r="J35" s="152">
        <f>假设!J55</f>
        <v>86.987914404999998</v>
      </c>
      <c r="K35" s="152">
        <f>假设!K55</f>
        <v>79.933957202499997</v>
      </c>
      <c r="L35" s="152">
        <f>假设!L55</f>
        <v>83.460935803750004</v>
      </c>
      <c r="M35" s="152">
        <f>假设!M55</f>
        <v>81.697446503125008</v>
      </c>
      <c r="N35" s="152">
        <f>假设!N55</f>
        <v>82.579191153437506</v>
      </c>
      <c r="O35" s="152">
        <f>假设!O55</f>
        <v>82.138318828281257</v>
      </c>
      <c r="P35" s="152">
        <f>假设!P55</f>
        <v>82.358754990859381</v>
      </c>
      <c r="Q35" s="152">
        <f>假设!Q55</f>
        <v>82.248536909570319</v>
      </c>
      <c r="R35" s="152">
        <f>假设!R55</f>
        <v>82.303645950214843</v>
      </c>
      <c r="S35" s="152">
        <f>假设!S55</f>
        <v>82.276091429892574</v>
      </c>
      <c r="T35" s="152">
        <f>假设!T55</f>
        <v>82.289868690053709</v>
      </c>
      <c r="U35" s="152">
        <f>假设!U55</f>
        <v>82.282980059973141</v>
      </c>
      <c r="V35" s="152">
        <f>假设!V55</f>
        <v>82.286424375013425</v>
      </c>
      <c r="W35" s="152">
        <f>假设!W55</f>
        <v>82.284702217493276</v>
      </c>
      <c r="X35" s="152">
        <f>假设!X55</f>
        <v>82.285563296253343</v>
      </c>
      <c r="Y35" s="152">
        <f>假设!Y55</f>
        <v>82.28513275687331</v>
      </c>
      <c r="Z35" s="152">
        <f>假设!Z55</f>
        <v>82.285348026563327</v>
      </c>
      <c r="AA35" s="152">
        <f>假设!AA55</f>
        <v>82.285240391718318</v>
      </c>
      <c r="AB35" s="152">
        <f>假设!AB55</f>
        <v>82.285294209140829</v>
      </c>
      <c r="AC35" s="152">
        <f>假设!AC55</f>
        <v>82.285267300429581</v>
      </c>
      <c r="AD35" s="152">
        <f>假设!AD55</f>
        <v>82.285280754785205</v>
      </c>
      <c r="AE35" s="152">
        <f>假设!AE55</f>
        <v>82.285274027607386</v>
      </c>
      <c r="AF35" s="152">
        <f>假设!AF55</f>
        <v>82.285277391196303</v>
      </c>
      <c r="AG35" s="152">
        <f>假设!AG55</f>
        <v>82.285275709401844</v>
      </c>
      <c r="AH35" s="152">
        <f>假设!AH55</f>
        <v>82.285276550299074</v>
      </c>
      <c r="AI35" s="152">
        <f>假设!AI55</f>
        <v>82.285276129850459</v>
      </c>
      <c r="AJ35" s="152">
        <f>假设!AJ55</f>
        <v>82.285276340074773</v>
      </c>
      <c r="AK35" s="152">
        <f>假设!AK55</f>
        <v>82.285276234962623</v>
      </c>
      <c r="AL35" s="152">
        <f>假设!AL55</f>
        <v>82.285276287518698</v>
      </c>
      <c r="AM35" s="277"/>
      <c r="AN35" s="368"/>
    </row>
    <row r="36" spans="1:95" ht="17.25" customHeight="1" outlineLevel="1">
      <c r="A36" s="373" t="s">
        <v>909</v>
      </c>
      <c r="B36" s="369" t="s">
        <v>995</v>
      </c>
      <c r="C36" s="152">
        <f>年度数据!C81</f>
        <v>32.132332390000002</v>
      </c>
      <c r="D36" s="152">
        <f>年度数据!D81</f>
        <v>56.109602119999998</v>
      </c>
      <c r="E36" s="152">
        <f>年度数据!E81</f>
        <v>111.72724604999999</v>
      </c>
      <c r="F36" s="152">
        <f>年度数据!F81</f>
        <v>180.1339705</v>
      </c>
      <c r="G36" s="152">
        <f>年度数据!G81</f>
        <v>175.10562186999999</v>
      </c>
      <c r="H36" s="152">
        <f>年度数据!H81</f>
        <v>218.83819929000001</v>
      </c>
      <c r="I36" s="152">
        <f>假设!I56</f>
        <v>218.83819929000001</v>
      </c>
      <c r="J36" s="152">
        <f>假设!J56</f>
        <v>218.83819929000001</v>
      </c>
      <c r="K36" s="152">
        <f>假设!K56</f>
        <v>218.83819929000001</v>
      </c>
      <c r="L36" s="152">
        <f>假设!L56</f>
        <v>218.83819929000001</v>
      </c>
      <c r="M36" s="152">
        <f>假设!M56</f>
        <v>218.83819929000001</v>
      </c>
      <c r="N36" s="152">
        <f>假设!N56</f>
        <v>218.83819929000001</v>
      </c>
      <c r="O36" s="152">
        <f>假设!O56</f>
        <v>218.83819929000001</v>
      </c>
      <c r="P36" s="152">
        <f>假设!P56</f>
        <v>218.83819929000001</v>
      </c>
      <c r="Q36" s="152">
        <f>假设!Q56</f>
        <v>218.83819929000001</v>
      </c>
      <c r="R36" s="152">
        <f>假设!R56</f>
        <v>218.83819929000001</v>
      </c>
      <c r="S36" s="152">
        <f>假设!S56</f>
        <v>218.83819929000001</v>
      </c>
      <c r="T36" s="152">
        <f>假设!T56</f>
        <v>218.83819929000001</v>
      </c>
      <c r="U36" s="152">
        <f>假设!U56</f>
        <v>218.83819929000001</v>
      </c>
      <c r="V36" s="152">
        <f>假设!V56</f>
        <v>218.83819929000001</v>
      </c>
      <c r="W36" s="152">
        <f>假设!W56</f>
        <v>218.83819929000001</v>
      </c>
      <c r="X36" s="152">
        <f>假设!X56</f>
        <v>218.83819929000001</v>
      </c>
      <c r="Y36" s="152">
        <f>假设!Y56</f>
        <v>218.83819929000001</v>
      </c>
      <c r="Z36" s="152">
        <f>假设!Z56</f>
        <v>218.83819929000001</v>
      </c>
      <c r="AA36" s="152">
        <f>假设!AA56</f>
        <v>218.83819929000001</v>
      </c>
      <c r="AB36" s="152">
        <f>假设!AB56</f>
        <v>218.83819929000001</v>
      </c>
      <c r="AC36" s="152">
        <f>假设!AC56</f>
        <v>218.83819929000001</v>
      </c>
      <c r="AD36" s="152">
        <f>假设!AD56</f>
        <v>218.83819929000001</v>
      </c>
      <c r="AE36" s="152">
        <f>假设!AE56</f>
        <v>218.83819929000001</v>
      </c>
      <c r="AF36" s="152">
        <f>假设!AF56</f>
        <v>218.83819929000001</v>
      </c>
      <c r="AG36" s="152">
        <f>假设!AG56</f>
        <v>218.83819929000001</v>
      </c>
      <c r="AH36" s="152">
        <f>假设!AH56</f>
        <v>218.83819929000001</v>
      </c>
      <c r="AI36" s="152">
        <f>假设!AI56</f>
        <v>218.83819929000001</v>
      </c>
      <c r="AJ36" s="152">
        <f>假设!AJ56</f>
        <v>218.83819929000001</v>
      </c>
      <c r="AK36" s="152">
        <f>假设!AK56</f>
        <v>218.83819929000001</v>
      </c>
      <c r="AL36" s="152">
        <f>假设!AL56</f>
        <v>218.83819929000001</v>
      </c>
      <c r="AM36" s="277"/>
      <c r="AN36" s="368"/>
    </row>
    <row r="37" spans="1:95" ht="17.25" customHeight="1" outlineLevel="1">
      <c r="A37" s="373" t="s">
        <v>976</v>
      </c>
      <c r="B37" s="369" t="s">
        <v>995</v>
      </c>
      <c r="C37" s="152">
        <f>C39-SUM(C21:C36)</f>
        <v>0.72000000000014097</v>
      </c>
      <c r="D37" s="152">
        <f t="shared" ref="D37:E37" si="34">D39-SUM(D21:D36)</f>
        <v>1.2363000000000284</v>
      </c>
      <c r="E37" s="152">
        <f t="shared" si="34"/>
        <v>23.24610959000006</v>
      </c>
      <c r="F37" s="152">
        <f>F39-SUM(F21:F36)</f>
        <v>15.113123739999992</v>
      </c>
      <c r="G37" s="152">
        <f t="shared" ref="G37:H37" si="35">G39-SUM(G21:G36)</f>
        <v>76.606523689999904</v>
      </c>
      <c r="H37" s="152">
        <f t="shared" si="35"/>
        <v>106.37376504000031</v>
      </c>
      <c r="I37" s="152">
        <f>假设!I58</f>
        <v>55.334880515000066</v>
      </c>
      <c r="J37" s="152">
        <f>假设!J58</f>
        <v>63.357073246250067</v>
      </c>
      <c r="K37" s="152">
        <f>假设!K58</f>
        <v>75.41806062281259</v>
      </c>
      <c r="L37" s="152">
        <f>假设!L58</f>
        <v>75.120944856015754</v>
      </c>
      <c r="M37" s="152">
        <f>假设!M58</f>
        <v>67.307739810019626</v>
      </c>
      <c r="N37" s="152">
        <f>假设!N58</f>
        <v>70.300954633774509</v>
      </c>
      <c r="O37" s="152">
        <f>假设!O58</f>
        <v>72.036924980655613</v>
      </c>
      <c r="P37" s="152">
        <f>假设!P58</f>
        <v>71.191641070116376</v>
      </c>
      <c r="Q37" s="152">
        <f>假设!Q58</f>
        <v>70.209315123641517</v>
      </c>
      <c r="R37" s="152">
        <f>假设!R58</f>
        <v>70.934708952047004</v>
      </c>
      <c r="S37" s="152">
        <f>假设!S58</f>
        <v>71.093147531615131</v>
      </c>
      <c r="T37" s="152">
        <f>假设!T58</f>
        <v>70.857203169355003</v>
      </c>
      <c r="U37" s="152">
        <f>假设!U58</f>
        <v>70.773593694164674</v>
      </c>
      <c r="V37" s="152">
        <f>假设!V58</f>
        <v>70.914663336795456</v>
      </c>
      <c r="W37" s="152">
        <f>假设!W58</f>
        <v>70.90965193298257</v>
      </c>
      <c r="X37" s="152">
        <f>假设!X58</f>
        <v>70.863778033324422</v>
      </c>
      <c r="Y37" s="152">
        <f>假设!Y58</f>
        <v>70.865421749316781</v>
      </c>
      <c r="Z37" s="152">
        <f>假设!Z58</f>
        <v>70.888378763104811</v>
      </c>
      <c r="AA37" s="152">
        <f>假设!AA58</f>
        <v>70.881807619682149</v>
      </c>
      <c r="AB37" s="152">
        <f>假设!AB58</f>
        <v>70.874846541357044</v>
      </c>
      <c r="AC37" s="152">
        <f>假设!AC58</f>
        <v>70.8776136683652</v>
      </c>
      <c r="AD37" s="152">
        <f>假设!AD58</f>
        <v>70.880661648127301</v>
      </c>
      <c r="AE37" s="152">
        <f>假设!AE58</f>
        <v>70.878732369382931</v>
      </c>
      <c r="AF37" s="152">
        <f>假设!AF58</f>
        <v>70.877963556808112</v>
      </c>
      <c r="AG37" s="152">
        <f>假设!AG58</f>
        <v>70.878742810670886</v>
      </c>
      <c r="AH37" s="152">
        <f>假设!AH58</f>
        <v>70.879025096247318</v>
      </c>
      <c r="AI37" s="152">
        <f>假设!AI58</f>
        <v>70.878615958277322</v>
      </c>
      <c r="AJ37" s="152">
        <f>假设!AJ58</f>
        <v>70.878586855500913</v>
      </c>
      <c r="AK37" s="152">
        <f>假设!AK58</f>
        <v>70.878742680174113</v>
      </c>
      <c r="AL37" s="152">
        <f>假设!AL58</f>
        <v>70.878742647549913</v>
      </c>
      <c r="AM37" s="277"/>
      <c r="AN37" s="368"/>
    </row>
    <row r="38" spans="1:95" ht="17.25" customHeight="1" outlineLevel="1">
      <c r="A38" s="374" t="s">
        <v>713</v>
      </c>
      <c r="B38" s="452" t="s">
        <v>707</v>
      </c>
      <c r="C38" s="152">
        <f>资产负债!C39-SUM(资产负债!C21:C37)</f>
        <v>0</v>
      </c>
      <c r="D38" s="152">
        <f>资产负债!D39-SUM(资产负债!D21:D37)</f>
        <v>0</v>
      </c>
      <c r="E38" s="152">
        <f>资产负债!E39-SUM(资产负债!E21:E37)</f>
        <v>0</v>
      </c>
      <c r="F38" s="152">
        <f>资产负债!F39-SUM(资产负债!F21:F37)</f>
        <v>0</v>
      </c>
      <c r="G38" s="152">
        <f>资产负债!G39-SUM(资产负债!G21:G37)</f>
        <v>0</v>
      </c>
      <c r="H38" s="152">
        <f>资产负债!H39-SUM(资产负债!H21:H37)</f>
        <v>0</v>
      </c>
      <c r="I38" s="152">
        <f ca="1">假设!I12+I39-SUM(I21:I37)</f>
        <v>20.407319219999863</v>
      </c>
      <c r="J38" s="152">
        <f ca="1">假设!J12+J39-SUM(J21:J37)</f>
        <v>30.606555535000098</v>
      </c>
      <c r="K38" s="152">
        <f ca="1">假设!K12+K39-SUM(K21:K37)</f>
        <v>25.50693737749998</v>
      </c>
      <c r="L38" s="152">
        <f ca="1">假设!L12+L39-SUM(L21:L37)</f>
        <v>28.056746456250039</v>
      </c>
      <c r="M38" s="152">
        <f ca="1">假设!M12+M39-SUM(M21:M37)</f>
        <v>26.781841916874782</v>
      </c>
      <c r="N38" s="152">
        <f ca="1">假设!N12+N39-SUM(N21:N37)</f>
        <v>27.419294186562183</v>
      </c>
      <c r="O38" s="152">
        <f ca="1">假设!O12+O39-SUM(O21:O37)</f>
        <v>27.100568051719165</v>
      </c>
      <c r="P38" s="152">
        <f ca="1">假设!P12+P39-SUM(P21:P37)</f>
        <v>27.259931119140674</v>
      </c>
      <c r="Q38" s="152">
        <f ca="1">假设!Q12+Q39-SUM(Q21:Q37)</f>
        <v>27.18024958542992</v>
      </c>
      <c r="R38" s="152">
        <f ca="1">假设!R12+R39-SUM(R21:R37)</f>
        <v>27.220090352285297</v>
      </c>
      <c r="S38" s="152">
        <f ca="1">假设!S12+S39-SUM(S21:S37)</f>
        <v>27.200169968857153</v>
      </c>
      <c r="T38" s="152">
        <f ca="1">假设!T12+T39-SUM(T21:T37)</f>
        <v>27.21013016057168</v>
      </c>
      <c r="U38" s="152">
        <f ca="1">假设!U12+U39-SUM(U21:U37)</f>
        <v>27.205150064713962</v>
      </c>
      <c r="V38" s="152">
        <f ca="1">假设!V12+V39-SUM(V21:V37)</f>
        <v>27.207640112642366</v>
      </c>
      <c r="W38" s="152">
        <f ca="1">假设!W12+W39-SUM(W21:W37)</f>
        <v>27.206395088678619</v>
      </c>
      <c r="X38" s="152">
        <f ca="1">假设!X12+X39-SUM(X21:X37)</f>
        <v>27.207017600660038</v>
      </c>
      <c r="Y38" s="152">
        <f ca="1">假设!Y12+Y39-SUM(Y21:Y37)</f>
        <v>27.206706344670238</v>
      </c>
      <c r="Z38" s="152">
        <f ca="1">假设!Z12+Z39-SUM(Z21:Z37)</f>
        <v>27.206861972665138</v>
      </c>
      <c r="AA38" s="152">
        <f ca="1">假设!AA12+AA39-SUM(AA21:AA37)</f>
        <v>27.206784158666778</v>
      </c>
      <c r="AB38" s="152">
        <f ca="1">假设!AB12+AB39-SUM(AB21:AB37)</f>
        <v>27.206823065665958</v>
      </c>
      <c r="AC38" s="152">
        <f ca="1">假设!AC12+AC39-SUM(AC21:AC37)</f>
        <v>27.206803612167278</v>
      </c>
      <c r="AD38" s="152">
        <f ca="1">假设!AD12+AD39-SUM(AD21:AD37)</f>
        <v>27.206813338914799</v>
      </c>
      <c r="AE38" s="152">
        <f ca="1">假设!AE12+AE39-SUM(AE21:AE37)</f>
        <v>27.206808475541038</v>
      </c>
      <c r="AF38" s="152">
        <f ca="1">假设!AF12+AF39-SUM(AF21:AF37)</f>
        <v>27.206810907227919</v>
      </c>
      <c r="AG38" s="152">
        <f ca="1">假设!AG12+AG39-SUM(AG21:AG37)</f>
        <v>27.206809691386297</v>
      </c>
      <c r="AH38" s="152">
        <f ca="1">假设!AH12+AH39-SUM(AH21:AH37)</f>
        <v>27.206810299307108</v>
      </c>
      <c r="AI38" s="152">
        <f ca="1">假设!AI12+AI39-SUM(AI21:AI37)</f>
        <v>27.206809995346703</v>
      </c>
      <c r="AJ38" s="152">
        <f ca="1">假设!AJ12+AJ39-SUM(AJ21:AJ37)</f>
        <v>27.206810147326905</v>
      </c>
      <c r="AK38" s="152">
        <f ca="1">假设!AK12+AK39-SUM(AK21:AK37)</f>
        <v>27.206810071336804</v>
      </c>
      <c r="AL38" s="152">
        <f ca="1">假设!AL12+AL39-SUM(AL21:AL37)</f>
        <v>27.206810109331855</v>
      </c>
      <c r="AM38" s="277"/>
      <c r="AN38" s="368"/>
    </row>
    <row r="39" spans="1:95" s="372" customFormat="1" ht="17.25" customHeight="1">
      <c r="A39" s="365" t="s">
        <v>934</v>
      </c>
      <c r="B39" s="371" t="s">
        <v>1031</v>
      </c>
      <c r="C39" s="152">
        <f>年度数据!C83</f>
        <v>733.04624661000003</v>
      </c>
      <c r="D39" s="152">
        <f>年度数据!D83</f>
        <v>1117.7868402300001</v>
      </c>
      <c r="E39" s="152">
        <f>年度数据!E83</f>
        <v>1522.6408502500001</v>
      </c>
      <c r="F39" s="152">
        <f>年度数据!F83</f>
        <v>2076.70972226</v>
      </c>
      <c r="G39" s="152">
        <f>年度数据!G83</f>
        <v>2556.4428392499999</v>
      </c>
      <c r="H39" s="152">
        <f>年度数据!H83</f>
        <v>3146.21526055</v>
      </c>
      <c r="I39" s="152">
        <f ca="1">SUM(I21:I37)</f>
        <v>3016.3850591303799</v>
      </c>
      <c r="J39" s="152">
        <f ca="1">SUM(J21:J37)</f>
        <v>3299.9034467383558</v>
      </c>
      <c r="K39" s="152">
        <f t="shared" ref="K39:AL39" ca="1" si="36">SUM(K21:K37)</f>
        <v>3620.5852875573628</v>
      </c>
      <c r="L39" s="152">
        <f t="shared" ca="1" si="36"/>
        <v>3846.4363195583019</v>
      </c>
      <c r="M39" s="152">
        <f t="shared" ca="1" si="36"/>
        <v>3987.490309516741</v>
      </c>
      <c r="N39" s="152">
        <f t="shared" ca="1" si="36"/>
        <v>4250.4693721130361</v>
      </c>
      <c r="O39" s="152">
        <f t="shared" ca="1" si="36"/>
        <v>4566.3025355565369</v>
      </c>
      <c r="P39" s="152">
        <f t="shared" ca="1" si="36"/>
        <v>4891.376039346429</v>
      </c>
      <c r="Q39" s="152">
        <f t="shared" ca="1" si="36"/>
        <v>5223.1833679754754</v>
      </c>
      <c r="R39" s="152">
        <f t="shared" ca="1" si="36"/>
        <v>5596.1326757327097</v>
      </c>
      <c r="S39" s="152">
        <f t="shared" ca="1" si="36"/>
        <v>6031.1877241952407</v>
      </c>
      <c r="T39" s="152">
        <f t="shared" ca="1" si="36"/>
        <v>6520.9077427061375</v>
      </c>
      <c r="U39" s="152">
        <f t="shared" ca="1" si="36"/>
        <v>7059.651804542289</v>
      </c>
      <c r="V39" s="152">
        <f t="shared" ca="1" si="36"/>
        <v>7812.1210857824344</v>
      </c>
      <c r="W39" s="152">
        <f t="shared" ca="1" si="36"/>
        <v>8667.5464333895907</v>
      </c>
      <c r="X39" s="152">
        <f t="shared" ca="1" si="36"/>
        <v>9642.6669276357989</v>
      </c>
      <c r="Y39" s="152">
        <f t="shared" ca="1" si="36"/>
        <v>10738.00072139499</v>
      </c>
      <c r="Z39" s="152">
        <f t="shared" ca="1" si="36"/>
        <v>11965.71169716959</v>
      </c>
      <c r="AA39" s="152">
        <f t="shared" ca="1" si="36"/>
        <v>13347.158296870688</v>
      </c>
      <c r="AB39" s="152">
        <f t="shared" ca="1" si="36"/>
        <v>14905.828379448094</v>
      </c>
      <c r="AC39" s="152">
        <f t="shared" ca="1" si="36"/>
        <v>16667.084954366102</v>
      </c>
      <c r="AD39" s="152">
        <f t="shared" ca="1" si="36"/>
        <v>18650.65034311956</v>
      </c>
      <c r="AE39" s="152">
        <f t="shared" ca="1" si="36"/>
        <v>20883.836616327764</v>
      </c>
      <c r="AF39" s="152">
        <f t="shared" ca="1" si="36"/>
        <v>23405.566956960927</v>
      </c>
      <c r="AG39" s="152">
        <f t="shared" ca="1" si="36"/>
        <v>26251.773638217797</v>
      </c>
      <c r="AH39" s="152">
        <f t="shared" ca="1" si="36"/>
        <v>29462.020695297524</v>
      </c>
      <c r="AI39" s="152">
        <f t="shared" ca="1" si="36"/>
        <v>33086.581771856399</v>
      </c>
      <c r="AJ39" s="152">
        <f t="shared" ca="1" si="36"/>
        <v>37177.613066281287</v>
      </c>
      <c r="AK39" s="152">
        <f t="shared" ca="1" si="36"/>
        <v>41795.060142672002</v>
      </c>
      <c r="AL39" s="152">
        <f t="shared" ca="1" si="36"/>
        <v>47011.156515078736</v>
      </c>
      <c r="AM39" s="368"/>
      <c r="AN39" s="368"/>
      <c r="AO39" s="368"/>
      <c r="AP39" s="368"/>
      <c r="AQ39" s="368"/>
      <c r="AR39" s="368"/>
      <c r="AS39" s="368"/>
      <c r="AT39" s="368"/>
      <c r="AU39" s="368"/>
      <c r="AV39" s="368"/>
      <c r="AW39" s="368"/>
      <c r="AX39" s="368"/>
      <c r="AY39" s="368"/>
      <c r="AZ39" s="368"/>
      <c r="BA39" s="368"/>
      <c r="BB39" s="368"/>
      <c r="BC39" s="368"/>
      <c r="BD39" s="368"/>
      <c r="BE39" s="368"/>
      <c r="BF39" s="368"/>
      <c r="BG39" s="368"/>
      <c r="BH39" s="368"/>
      <c r="BI39" s="368"/>
      <c r="BJ39" s="368"/>
      <c r="BK39" s="368"/>
      <c r="BL39" s="368"/>
      <c r="BM39" s="368"/>
      <c r="BN39" s="368"/>
      <c r="BO39" s="368"/>
      <c r="BP39" s="368"/>
      <c r="BQ39" s="368"/>
      <c r="BR39" s="368"/>
      <c r="BS39" s="368"/>
      <c r="BT39" s="368"/>
      <c r="BU39" s="368"/>
      <c r="BV39" s="368"/>
      <c r="BW39" s="368"/>
      <c r="BX39" s="368"/>
      <c r="BY39" s="368"/>
      <c r="BZ39" s="368"/>
      <c r="CA39" s="368"/>
      <c r="CB39" s="368"/>
      <c r="CC39" s="368"/>
      <c r="CD39" s="368"/>
      <c r="CE39" s="368"/>
      <c r="CF39" s="368"/>
      <c r="CG39" s="368"/>
      <c r="CH39" s="368"/>
      <c r="CI39" s="368"/>
      <c r="CJ39" s="368"/>
      <c r="CK39" s="368"/>
      <c r="CL39" s="368"/>
      <c r="CM39" s="368"/>
      <c r="CN39" s="368"/>
      <c r="CO39" s="368"/>
      <c r="CP39" s="368"/>
      <c r="CQ39" s="368"/>
    </row>
    <row r="40" spans="1:95" s="372" customFormat="1" ht="17.25" customHeight="1">
      <c r="A40" s="365" t="s">
        <v>935</v>
      </c>
      <c r="B40" s="371" t="s">
        <v>1031</v>
      </c>
      <c r="C40" s="152">
        <f>年度数据!C85</f>
        <v>2545.4824010300003</v>
      </c>
      <c r="D40" s="152">
        <f>年度数据!D85</f>
        <v>4923.6091684700004</v>
      </c>
      <c r="E40" s="152">
        <f>年度数据!E85</f>
        <v>5975.34678239</v>
      </c>
      <c r="F40" s="152">
        <f>年度数据!F85</f>
        <v>8165.1224772599999</v>
      </c>
      <c r="G40" s="152">
        <f>年度数据!G85</f>
        <v>10789.49010838</v>
      </c>
      <c r="H40" s="152">
        <f>年度数据!H85</f>
        <v>12639.39639009</v>
      </c>
      <c r="I40" s="152">
        <f ca="1">I19+I39</f>
        <v>10436.385430546285</v>
      </c>
      <c r="J40" s="152">
        <f t="shared" ref="J40:AL40" ca="1" si="37">J19+J39</f>
        <v>14935.353979427569</v>
      </c>
      <c r="K40" s="152">
        <f t="shared" ca="1" si="37"/>
        <v>14338.799006839905</v>
      </c>
      <c r="L40" s="152">
        <f t="shared" ca="1" si="37"/>
        <v>17889.503022796205</v>
      </c>
      <c r="M40" s="152">
        <f t="shared" ca="1" si="37"/>
        <v>17586.83221416979</v>
      </c>
      <c r="N40" s="152">
        <f t="shared" ca="1" si="37"/>
        <v>21574.498642190702</v>
      </c>
      <c r="O40" s="152">
        <f t="shared" ca="1" si="37"/>
        <v>21898.603343556722</v>
      </c>
      <c r="P40" s="152">
        <f t="shared" ca="1" si="37"/>
        <v>26762.095974980486</v>
      </c>
      <c r="Q40" s="152">
        <f t="shared" ca="1" si="37"/>
        <v>27430.302773898162</v>
      </c>
      <c r="R40" s="152">
        <f t="shared" ca="1" si="37"/>
        <v>32841.638052799775</v>
      </c>
      <c r="S40" s="152">
        <f t="shared" ca="1" si="37"/>
        <v>34457.858047627982</v>
      </c>
      <c r="T40" s="152">
        <f t="shared" ca="1" si="37"/>
        <v>40834.177852359899</v>
      </c>
      <c r="U40" s="152">
        <f t="shared" ca="1" si="37"/>
        <v>43454.836351224483</v>
      </c>
      <c r="V40" s="152">
        <f t="shared" ca="1" si="37"/>
        <v>51085.534737289927</v>
      </c>
      <c r="W40" s="152">
        <f t="shared" ca="1" si="37"/>
        <v>55167.872785655942</v>
      </c>
      <c r="X40" s="152">
        <f t="shared" ca="1" si="37"/>
        <v>64373.218223369426</v>
      </c>
      <c r="Y40" s="152">
        <f t="shared" ca="1" si="37"/>
        <v>70196.770409879304</v>
      </c>
      <c r="Z40" s="152">
        <f t="shared" ca="1" si="37"/>
        <v>81319.075643983801</v>
      </c>
      <c r="AA40" s="152">
        <f t="shared" ca="1" si="37"/>
        <v>89314.247915441272</v>
      </c>
      <c r="AB40" s="152">
        <f t="shared" ca="1" si="37"/>
        <v>102918.3068899838</v>
      </c>
      <c r="AC40" s="152">
        <f t="shared" ca="1" si="37"/>
        <v>113725.83613696817</v>
      </c>
      <c r="AD40" s="152">
        <f t="shared" ca="1" si="37"/>
        <v>130492.53961841852</v>
      </c>
      <c r="AE40" s="152">
        <f t="shared" ca="1" si="37"/>
        <v>144860.37437995622</v>
      </c>
      <c r="AF40" s="152">
        <f t="shared" ca="1" si="37"/>
        <v>165658.81982276216</v>
      </c>
      <c r="AG40" s="152">
        <f t="shared" ca="1" si="37"/>
        <v>184592.16599420912</v>
      </c>
      <c r="AH40" s="152">
        <f t="shared" ca="1" si="37"/>
        <v>210543.33512187705</v>
      </c>
      <c r="AI40" s="152">
        <f t="shared" ca="1" si="37"/>
        <v>235295.30515301079</v>
      </c>
      <c r="AJ40" s="152">
        <f t="shared" ca="1" si="37"/>
        <v>267822.16919635847</v>
      </c>
      <c r="AK40" s="152">
        <f t="shared" ca="1" si="37"/>
        <v>300003.21868540481</v>
      </c>
      <c r="AL40" s="152">
        <f t="shared" ca="1" si="37"/>
        <v>340927.89535883628</v>
      </c>
      <c r="AM40" s="368"/>
      <c r="AN40" s="368"/>
      <c r="AO40" s="368"/>
      <c r="AP40" s="368"/>
      <c r="AQ40" s="368"/>
      <c r="AR40" s="368"/>
      <c r="AS40" s="368"/>
      <c r="AT40" s="368"/>
      <c r="AU40" s="368"/>
      <c r="AV40" s="368"/>
      <c r="AW40" s="368"/>
      <c r="AX40" s="368"/>
      <c r="AY40" s="368"/>
      <c r="AZ40" s="368"/>
      <c r="BA40" s="368"/>
      <c r="BB40" s="368"/>
      <c r="BC40" s="368"/>
      <c r="BD40" s="368"/>
      <c r="BE40" s="368"/>
      <c r="BF40" s="368"/>
      <c r="BG40" s="368"/>
      <c r="BH40" s="368"/>
      <c r="BI40" s="368"/>
      <c r="BJ40" s="368"/>
      <c r="BK40" s="368"/>
      <c r="BL40" s="368"/>
      <c r="BM40" s="368"/>
      <c r="BN40" s="368"/>
      <c r="BO40" s="368"/>
      <c r="BP40" s="368"/>
      <c r="BQ40" s="368"/>
      <c r="BR40" s="368"/>
      <c r="BS40" s="368"/>
      <c r="BT40" s="368"/>
      <c r="BU40" s="368"/>
      <c r="BV40" s="368"/>
      <c r="BW40" s="368"/>
      <c r="BX40" s="368"/>
      <c r="BY40" s="368"/>
      <c r="BZ40" s="368"/>
      <c r="CA40" s="368"/>
      <c r="CB40" s="368"/>
      <c r="CC40" s="368"/>
      <c r="CD40" s="368"/>
      <c r="CE40" s="368"/>
      <c r="CF40" s="368"/>
      <c r="CG40" s="368"/>
      <c r="CH40" s="368"/>
      <c r="CI40" s="368"/>
      <c r="CJ40" s="368"/>
      <c r="CK40" s="368"/>
      <c r="CL40" s="368"/>
      <c r="CM40" s="368"/>
      <c r="CN40" s="368"/>
      <c r="CO40" s="368"/>
      <c r="CP40" s="368"/>
      <c r="CQ40" s="368"/>
    </row>
    <row r="41" spans="1:95" ht="17.25" customHeight="1">
      <c r="A41" s="365" t="s">
        <v>708</v>
      </c>
      <c r="B41" s="369"/>
      <c r="C41" s="152"/>
      <c r="D41" s="152"/>
      <c r="E41" s="152"/>
      <c r="F41" s="152"/>
      <c r="G41" s="152"/>
      <c r="H41" s="152"/>
      <c r="I41" s="152"/>
      <c r="J41" s="152"/>
      <c r="K41" s="152"/>
      <c r="L41" s="152"/>
      <c r="M41" s="152"/>
      <c r="N41" s="152"/>
      <c r="O41" s="152"/>
      <c r="P41" s="152"/>
      <c r="Q41" s="152"/>
      <c r="R41" s="152"/>
      <c r="S41" s="152"/>
      <c r="T41" s="152"/>
      <c r="U41" s="152"/>
      <c r="V41" s="152"/>
      <c r="W41" s="152"/>
      <c r="X41" s="152"/>
      <c r="Y41" s="152"/>
      <c r="Z41" s="152"/>
      <c r="AA41" s="152"/>
      <c r="AB41" s="152"/>
      <c r="AC41" s="152"/>
      <c r="AD41" s="152"/>
      <c r="AF41" s="277"/>
      <c r="AG41" s="277"/>
      <c r="AH41" s="277"/>
      <c r="AI41" s="277"/>
      <c r="AJ41" s="277"/>
      <c r="AK41" s="277"/>
      <c r="AL41" s="277"/>
      <c r="AM41" s="277"/>
    </row>
    <row r="42" spans="1:95" s="368" customFormat="1" ht="17.25" customHeight="1" outlineLevel="1">
      <c r="A42" s="366" t="s">
        <v>1239</v>
      </c>
      <c r="B42" s="369" t="s">
        <v>298</v>
      </c>
      <c r="C42" s="152">
        <f>年度数据!C87</f>
        <v>153</v>
      </c>
      <c r="D42" s="152">
        <f>年度数据!D87</f>
        <v>286.71851020999998</v>
      </c>
      <c r="E42" s="152">
        <f>年度数据!E87</f>
        <v>510.76333983999996</v>
      </c>
      <c r="F42" s="152">
        <f>年度数据!F87</f>
        <v>659.19128383999998</v>
      </c>
      <c r="G42" s="152">
        <f>年度数据!G87</f>
        <v>595.51845549999996</v>
      </c>
      <c r="H42" s="152">
        <f>年度数据!H87</f>
        <v>1161.9753268099998</v>
      </c>
      <c r="I42" s="152">
        <f ca="1">假设!I60+现金流量!I64</f>
        <v>3228.5417177481845</v>
      </c>
      <c r="J42" s="152">
        <f ca="1">假设!J60+现金流量!J64</f>
        <v>7700.9640738841808</v>
      </c>
      <c r="K42" s="152">
        <f ca="1">假设!K60+现金流量!K64</f>
        <v>7069.3107945012607</v>
      </c>
      <c r="L42" s="152">
        <f ca="1">假设!L60+现金流量!L64</f>
        <v>10744.221991543325</v>
      </c>
      <c r="M42" s="152">
        <f ca="1">假设!M60+现金流量!M64</f>
        <v>10643.283143128936</v>
      </c>
      <c r="N42" s="152">
        <f ca="1">假设!N60+现金流量!N64</f>
        <v>14904.471847047502</v>
      </c>
      <c r="O42" s="152">
        <f ca="1">假设!O60+现金流量!O64</f>
        <v>15319.187274992444</v>
      </c>
      <c r="P42" s="152">
        <f ca="1">假设!P60+现金流量!P64</f>
        <v>20364.100158658403</v>
      </c>
      <c r="Q42" s="152">
        <f ca="1">假设!Q60+现金流量!Q64</f>
        <v>21249.883773312311</v>
      </c>
      <c r="R42" s="152">
        <f ca="1">假设!R60+现金流量!R64</f>
        <v>26988.762186620555</v>
      </c>
      <c r="S42" s="152">
        <f ca="1">假设!S60+现金流量!S64</f>
        <v>28961.024952376203</v>
      </c>
      <c r="T42" s="152">
        <f ca="1">假设!T60+现金流量!T64</f>
        <v>35816.655103242098</v>
      </c>
      <c r="U42" s="152">
        <f ca="1">假设!U60+现金流量!U64</f>
        <v>38976.317539978678</v>
      </c>
      <c r="V42" s="152">
        <f ca="1">假设!V60+现金流量!V64</f>
        <v>47263.655013813834</v>
      </c>
      <c r="W42" s="152">
        <f ca="1">假设!W60+现金流量!W64</f>
        <v>52102.021291683915</v>
      </c>
      <c r="X42" s="152">
        <f ca="1">假设!X60+现金流量!X64</f>
        <v>62266.601820935764</v>
      </c>
      <c r="Y42" s="152">
        <f ca="1">假设!Y60+现金流量!Y64</f>
        <v>69197.13262156531</v>
      </c>
      <c r="Z42" s="152">
        <f ca="1">假设!Z60+现金流量!Z64</f>
        <v>81688.129535167973</v>
      </c>
      <c r="AA42" s="152">
        <f ca="1">假设!AA60+现金流量!AA64</f>
        <v>91261.025389858303</v>
      </c>
      <c r="AB42" s="152">
        <f ca="1">假设!AB60+现金流量!AB64</f>
        <v>106760.51235603985</v>
      </c>
      <c r="AC42" s="152">
        <f ca="1">假设!AC60+现金流量!AC64</f>
        <v>119734.62082261642</v>
      </c>
      <c r="AD42" s="152">
        <f ca="1">假设!AD60+现金流量!AD64</f>
        <v>139069.4384189712</v>
      </c>
      <c r="AE42" s="152">
        <f ca="1">假设!AE60+现金流量!AE64</f>
        <v>156373.97972504349</v>
      </c>
      <c r="AF42" s="152">
        <f ca="1">假设!AF60+现金流量!AF64</f>
        <v>180617.27013219483</v>
      </c>
      <c r="AG42" s="152">
        <f ca="1">假设!AG60+现金流量!AG64</f>
        <v>203484.4714035716</v>
      </c>
      <c r="AH42" s="152">
        <f ca="1">假设!AH60+现金流量!AH64</f>
        <v>234016.83490941825</v>
      </c>
      <c r="AI42" s="152">
        <f ca="1">假设!AI60+现金流量!AI64</f>
        <v>263995.20731317869</v>
      </c>
      <c r="AJ42" s="152">
        <f ca="1">假设!AJ60+现金流量!AJ64</f>
        <v>302572.90848284343</v>
      </c>
      <c r="AK42" s="152">
        <f ca="1">假设!AK60+现金流量!AK64</f>
        <v>341652.05773909244</v>
      </c>
      <c r="AL42" s="152">
        <f ca="1">假设!AL60+现金流量!AL64</f>
        <v>390525.74549395696</v>
      </c>
    </row>
    <row r="43" spans="1:95" s="368" customFormat="1" ht="17.25" customHeight="1" outlineLevel="1">
      <c r="A43" s="366" t="s">
        <v>1269</v>
      </c>
      <c r="B43" s="369" t="s">
        <v>995</v>
      </c>
      <c r="C43" s="152">
        <f>年度数据!C88</f>
        <v>0</v>
      </c>
      <c r="D43" s="152">
        <f>年度数据!D88</f>
        <v>0</v>
      </c>
      <c r="E43" s="152">
        <f>年度数据!E88</f>
        <v>0</v>
      </c>
      <c r="F43" s="152">
        <f>年度数据!F88</f>
        <v>0</v>
      </c>
      <c r="G43" s="152">
        <f>年度数据!G88</f>
        <v>0</v>
      </c>
      <c r="H43" s="152">
        <f>年度数据!H88</f>
        <v>0</v>
      </c>
      <c r="I43" s="152">
        <f>假设!I61</f>
        <v>0</v>
      </c>
      <c r="J43" s="152">
        <f>假设!J61</f>
        <v>0</v>
      </c>
      <c r="K43" s="152">
        <f>假设!K61</f>
        <v>0</v>
      </c>
      <c r="L43" s="152">
        <f>假设!L61</f>
        <v>0</v>
      </c>
      <c r="M43" s="152">
        <f>假设!M61</f>
        <v>0</v>
      </c>
      <c r="N43" s="152">
        <f>假设!N61</f>
        <v>0</v>
      </c>
      <c r="O43" s="152">
        <f>假设!O61</f>
        <v>0</v>
      </c>
      <c r="P43" s="152">
        <f>假设!P61</f>
        <v>0</v>
      </c>
      <c r="Q43" s="152">
        <f>假设!Q61</f>
        <v>0</v>
      </c>
      <c r="R43" s="152">
        <f>假设!R61</f>
        <v>0</v>
      </c>
      <c r="S43" s="152">
        <f>假设!S61</f>
        <v>0</v>
      </c>
      <c r="T43" s="152">
        <f>假设!T61</f>
        <v>0</v>
      </c>
      <c r="U43" s="152">
        <f>假设!U61</f>
        <v>0</v>
      </c>
      <c r="V43" s="152">
        <f>假设!V61</f>
        <v>0</v>
      </c>
      <c r="W43" s="152">
        <f>假设!W61</f>
        <v>0</v>
      </c>
      <c r="X43" s="152">
        <f>假设!X61</f>
        <v>0</v>
      </c>
      <c r="Y43" s="152">
        <f>假设!Y61</f>
        <v>0</v>
      </c>
      <c r="Z43" s="152">
        <f>假设!Z61</f>
        <v>0</v>
      </c>
      <c r="AA43" s="152">
        <f>假设!AA61</f>
        <v>0</v>
      </c>
      <c r="AB43" s="152">
        <f>假设!AB61</f>
        <v>0</v>
      </c>
      <c r="AC43" s="152">
        <f>假设!AC61</f>
        <v>0</v>
      </c>
      <c r="AD43" s="152">
        <f>假设!AD61</f>
        <v>0</v>
      </c>
      <c r="AE43" s="152">
        <f>假设!AE61</f>
        <v>0</v>
      </c>
      <c r="AF43" s="152">
        <f>假设!AF61</f>
        <v>0</v>
      </c>
      <c r="AG43" s="152">
        <f>假设!AG61</f>
        <v>0</v>
      </c>
      <c r="AH43" s="152">
        <f>假设!AH61</f>
        <v>0</v>
      </c>
      <c r="AI43" s="152">
        <f>假设!AI61</f>
        <v>0</v>
      </c>
      <c r="AJ43" s="152">
        <f>假设!AJ61</f>
        <v>0</v>
      </c>
      <c r="AK43" s="152">
        <f>假设!AK61</f>
        <v>0</v>
      </c>
      <c r="AL43" s="152">
        <f>假设!AL61</f>
        <v>0</v>
      </c>
    </row>
    <row r="44" spans="1:95" s="368" customFormat="1" ht="17.25" customHeight="1" outlineLevel="1">
      <c r="A44" s="366" t="s">
        <v>2794</v>
      </c>
      <c r="B44" s="369" t="s">
        <v>995</v>
      </c>
      <c r="C44" s="152">
        <f>年度数据!C89</f>
        <v>0</v>
      </c>
      <c r="D44" s="152">
        <f>年度数据!D89</f>
        <v>0</v>
      </c>
      <c r="E44" s="152">
        <f>年度数据!E89</f>
        <v>0</v>
      </c>
      <c r="F44" s="152">
        <f>年度数据!F89</f>
        <v>0</v>
      </c>
      <c r="G44" s="152">
        <f>年度数据!G89</f>
        <v>0</v>
      </c>
      <c r="H44" s="152">
        <f>年度数据!H89</f>
        <v>0</v>
      </c>
      <c r="I44" s="152">
        <f>假设!I62</f>
        <v>0</v>
      </c>
      <c r="J44" s="152">
        <f>假设!J62</f>
        <v>0</v>
      </c>
      <c r="K44" s="152">
        <f>假设!K62</f>
        <v>0</v>
      </c>
      <c r="L44" s="152">
        <f>假设!L62</f>
        <v>0</v>
      </c>
      <c r="M44" s="152">
        <f>假设!M62</f>
        <v>0</v>
      </c>
      <c r="N44" s="152">
        <f>假设!N62</f>
        <v>0</v>
      </c>
      <c r="O44" s="152">
        <f>假设!O62</f>
        <v>0</v>
      </c>
      <c r="P44" s="152">
        <f>假设!P62</f>
        <v>0</v>
      </c>
      <c r="Q44" s="152">
        <f>假设!Q62</f>
        <v>0</v>
      </c>
      <c r="R44" s="152">
        <f>假设!R62</f>
        <v>0</v>
      </c>
      <c r="S44" s="152">
        <f>假设!S62</f>
        <v>0</v>
      </c>
      <c r="T44" s="152">
        <f>假设!T62</f>
        <v>0</v>
      </c>
      <c r="U44" s="152">
        <f>假设!U62</f>
        <v>0</v>
      </c>
      <c r="V44" s="152">
        <f>假设!V62</f>
        <v>0</v>
      </c>
      <c r="W44" s="152">
        <f>假设!W62</f>
        <v>0</v>
      </c>
      <c r="X44" s="152">
        <f>假设!X62</f>
        <v>0</v>
      </c>
      <c r="Y44" s="152">
        <f>假设!Y62</f>
        <v>0</v>
      </c>
      <c r="Z44" s="152">
        <f>假设!Z62</f>
        <v>0</v>
      </c>
      <c r="AA44" s="152">
        <f>假设!AA62</f>
        <v>0</v>
      </c>
      <c r="AB44" s="152">
        <f>假设!AB62</f>
        <v>0</v>
      </c>
      <c r="AC44" s="152">
        <f>假设!AC62</f>
        <v>0</v>
      </c>
      <c r="AD44" s="152">
        <f>假设!AD62</f>
        <v>0</v>
      </c>
      <c r="AE44" s="152">
        <f>假设!AE62</f>
        <v>0</v>
      </c>
      <c r="AF44" s="152">
        <f>假设!AF62</f>
        <v>0</v>
      </c>
      <c r="AG44" s="152">
        <f>假设!AG62</f>
        <v>0</v>
      </c>
      <c r="AH44" s="152">
        <f>假设!AH62</f>
        <v>0</v>
      </c>
      <c r="AI44" s="152">
        <f>假设!AI62</f>
        <v>0</v>
      </c>
      <c r="AJ44" s="152">
        <f>假设!AJ62</f>
        <v>0</v>
      </c>
      <c r="AK44" s="152">
        <f>假设!AK62</f>
        <v>0</v>
      </c>
      <c r="AL44" s="152">
        <f>假设!AL62</f>
        <v>0</v>
      </c>
    </row>
    <row r="45" spans="1:95" s="451" customFormat="1" ht="17.25" customHeight="1" outlineLevel="1">
      <c r="A45" s="366" t="s">
        <v>2704</v>
      </c>
      <c r="B45" s="369" t="s">
        <v>2705</v>
      </c>
      <c r="C45" s="152">
        <f>年度数据!C92</f>
        <v>728.65527474999999</v>
      </c>
      <c r="D45" s="152">
        <f>年度数据!D92</f>
        <v>1169.69060405</v>
      </c>
      <c r="E45" s="152">
        <f>年度数据!E92</f>
        <v>1584.0040659000001</v>
      </c>
      <c r="F45" s="152">
        <f>年度数据!F92</f>
        <v>2011.14535411</v>
      </c>
      <c r="G45" s="152">
        <f>年度数据!G92</f>
        <v>3424.6985691499999</v>
      </c>
      <c r="H45" s="152">
        <f>年度数据!H92</f>
        <v>3614.6237455300002</v>
      </c>
      <c r="I45" s="370">
        <f t="shared" ref="I45:AL45" si="38">I46+I47</f>
        <v>0</v>
      </c>
      <c r="J45" s="370">
        <f t="shared" si="38"/>
        <v>0</v>
      </c>
      <c r="K45" s="370">
        <f t="shared" si="38"/>
        <v>0</v>
      </c>
      <c r="L45" s="370">
        <f t="shared" si="38"/>
        <v>0</v>
      </c>
      <c r="M45" s="370">
        <f t="shared" si="38"/>
        <v>0</v>
      </c>
      <c r="N45" s="370">
        <f t="shared" si="38"/>
        <v>0</v>
      </c>
      <c r="O45" s="370">
        <f t="shared" si="38"/>
        <v>0</v>
      </c>
      <c r="P45" s="370">
        <f t="shared" si="38"/>
        <v>0</v>
      </c>
      <c r="Q45" s="370">
        <f t="shared" si="38"/>
        <v>0</v>
      </c>
      <c r="R45" s="370">
        <f t="shared" si="38"/>
        <v>0</v>
      </c>
      <c r="S45" s="370">
        <f t="shared" si="38"/>
        <v>0</v>
      </c>
      <c r="T45" s="370">
        <f t="shared" si="38"/>
        <v>0</v>
      </c>
      <c r="U45" s="370">
        <f t="shared" si="38"/>
        <v>0</v>
      </c>
      <c r="V45" s="370">
        <f t="shared" si="38"/>
        <v>0</v>
      </c>
      <c r="W45" s="370">
        <f t="shared" si="38"/>
        <v>0</v>
      </c>
      <c r="X45" s="370">
        <f t="shared" si="38"/>
        <v>0</v>
      </c>
      <c r="Y45" s="370">
        <f t="shared" si="38"/>
        <v>0</v>
      </c>
      <c r="Z45" s="370">
        <f t="shared" si="38"/>
        <v>0</v>
      </c>
      <c r="AA45" s="370">
        <f t="shared" si="38"/>
        <v>0</v>
      </c>
      <c r="AB45" s="370">
        <f t="shared" si="38"/>
        <v>0</v>
      </c>
      <c r="AC45" s="370">
        <f t="shared" si="38"/>
        <v>0</v>
      </c>
      <c r="AD45" s="370">
        <f t="shared" si="38"/>
        <v>0</v>
      </c>
      <c r="AE45" s="370">
        <f t="shared" si="38"/>
        <v>0</v>
      </c>
      <c r="AF45" s="370">
        <f t="shared" si="38"/>
        <v>0</v>
      </c>
      <c r="AG45" s="370">
        <f t="shared" si="38"/>
        <v>0</v>
      </c>
      <c r="AH45" s="370">
        <f t="shared" si="38"/>
        <v>0</v>
      </c>
      <c r="AI45" s="370">
        <f t="shared" si="38"/>
        <v>0</v>
      </c>
      <c r="AJ45" s="370">
        <f t="shared" si="38"/>
        <v>0</v>
      </c>
      <c r="AK45" s="370">
        <f t="shared" si="38"/>
        <v>0</v>
      </c>
      <c r="AL45" s="370">
        <f t="shared" si="38"/>
        <v>0</v>
      </c>
      <c r="AN45" s="368"/>
    </row>
    <row r="46" spans="1:95" s="451" customFormat="1" ht="17.25" customHeight="1" outlineLevel="1">
      <c r="A46" s="366" t="s">
        <v>2755</v>
      </c>
      <c r="B46" s="369" t="s">
        <v>2761</v>
      </c>
      <c r="C46" s="152">
        <f>年度数据!C90</f>
        <v>299.29391779000002</v>
      </c>
      <c r="D46" s="152">
        <f>年度数据!D90</f>
        <v>583.97580605999997</v>
      </c>
      <c r="E46" s="152">
        <f>年度数据!E90</f>
        <v>764.64001441999994</v>
      </c>
      <c r="F46" s="152">
        <f>年度数据!F90</f>
        <v>924.59193949999997</v>
      </c>
      <c r="G46" s="152">
        <f>年度数据!G90</f>
        <v>1982.96374745</v>
      </c>
      <c r="H46" s="152">
        <f>年度数据!H90</f>
        <v>1824.1881965</v>
      </c>
      <c r="I46" s="370">
        <f>IF(假设!I64&lt;&gt;0,IF(2*利润表!I3/假设!I64-资产负债!H46&gt;0,2*利润表!I3/假设!I64-资产负债!H46,0),0)</f>
        <v>0</v>
      </c>
      <c r="J46" s="370">
        <f>IF(假设!J64&lt;&gt;0,IF(2*利润表!J3/假设!J64-资产负债!I46&gt;0,2*利润表!J3/假设!J64-资产负债!I46,0),0)</f>
        <v>0</v>
      </c>
      <c r="K46" s="370">
        <f>IF(假设!K64&lt;&gt;0,IF(2*利润表!K3/假设!K64-资产负债!J46&gt;0,2*利润表!K3/假设!K64-资产负债!J46,0),0)</f>
        <v>0</v>
      </c>
      <c r="L46" s="370">
        <f>IF(假设!L64&lt;&gt;0,IF(2*利润表!L3/假设!L64-资产负债!K46&gt;0,2*利润表!L3/假设!L64-资产负债!K46,0),0)</f>
        <v>0</v>
      </c>
      <c r="M46" s="370">
        <f>IF(假设!M64&lt;&gt;0,IF(2*利润表!M3/假设!M64-资产负债!L46&gt;0,2*利润表!M3/假设!M64-资产负债!L46,0),0)</f>
        <v>0</v>
      </c>
      <c r="N46" s="370">
        <f>IF(假设!N64&lt;&gt;0,IF(2*利润表!N3/假设!N64-资产负债!M46&gt;0,2*利润表!N3/假设!N64-资产负债!M46,0),0)</f>
        <v>0</v>
      </c>
      <c r="O46" s="370">
        <f>IF(假设!O64&lt;&gt;0,IF(2*利润表!O3/假设!O64-资产负债!N46&gt;0,2*利润表!O3/假设!O64-资产负债!N46,0),0)</f>
        <v>0</v>
      </c>
      <c r="P46" s="370">
        <f>IF(假设!P64&lt;&gt;0,IF(2*利润表!P3/假设!P64-资产负债!O46&gt;0,2*利润表!P3/假设!P64-资产负债!O46,0),0)</f>
        <v>0</v>
      </c>
      <c r="Q46" s="370">
        <f>IF(假设!Q64&lt;&gt;0,IF(2*利润表!Q3/假设!Q64-资产负债!P46&gt;0,2*利润表!Q3/假设!Q64-资产负债!P46,0),0)</f>
        <v>0</v>
      </c>
      <c r="R46" s="370">
        <f>IF(假设!R64&lt;&gt;0,IF(2*利润表!R3/假设!R64-资产负债!Q46&gt;0,2*利润表!R3/假设!R64-资产负债!Q46,0),0)</f>
        <v>0</v>
      </c>
      <c r="S46" s="370">
        <f>IF(假设!S64&lt;&gt;0,IF(2*利润表!S3/假设!S64-资产负债!R46&gt;0,2*利润表!S3/假设!S64-资产负债!R46,0),0)</f>
        <v>0</v>
      </c>
      <c r="T46" s="370">
        <f>IF(假设!T64&lt;&gt;0,IF(2*利润表!T3/假设!T64-资产负债!S46&gt;0,2*利润表!T3/假设!T64-资产负债!S46,0),0)</f>
        <v>0</v>
      </c>
      <c r="U46" s="370">
        <f>IF(假设!U64&lt;&gt;0,IF(2*利润表!U3/假设!U64-资产负债!T46&gt;0,2*利润表!U3/假设!U64-资产负债!T46,0),0)</f>
        <v>0</v>
      </c>
      <c r="V46" s="370">
        <f>IF(假设!V64&lt;&gt;0,IF(2*利润表!V3/假设!V64-资产负债!U46&gt;0,2*利润表!V3/假设!V64-资产负债!U46,0),0)</f>
        <v>0</v>
      </c>
      <c r="W46" s="370">
        <f>IF(假设!W64&lt;&gt;0,IF(2*利润表!W3/假设!W64-资产负债!V46&gt;0,2*利润表!W3/假设!W64-资产负债!V46,0),0)</f>
        <v>0</v>
      </c>
      <c r="X46" s="370">
        <f>IF(假设!X64&lt;&gt;0,IF(2*利润表!X3/假设!X64-资产负债!W46&gt;0,2*利润表!X3/假设!X64-资产负债!W46,0),0)</f>
        <v>0</v>
      </c>
      <c r="Y46" s="370">
        <f>IF(假设!Y64&lt;&gt;0,IF(2*利润表!Y3/假设!Y64-资产负债!X46&gt;0,2*利润表!Y3/假设!Y64-资产负债!X46,0),0)</f>
        <v>0</v>
      </c>
      <c r="Z46" s="370">
        <f>IF(假设!Z64&lt;&gt;0,IF(2*利润表!Z3/假设!Z64-资产负债!Y46&gt;0,2*利润表!Z3/假设!Z64-资产负债!Y46,0),0)</f>
        <v>0</v>
      </c>
      <c r="AA46" s="370">
        <f>IF(假设!AA64&lt;&gt;0,IF(2*利润表!AA3/假设!AA64-资产负债!Z46&gt;0,2*利润表!AA3/假设!AA64-资产负债!Z46,0),0)</f>
        <v>0</v>
      </c>
      <c r="AB46" s="370">
        <f>IF(假设!AB64&lt;&gt;0,IF(2*利润表!AB3/假设!AB64-资产负债!AA46&gt;0,2*利润表!AB3/假设!AB64-资产负债!AA46,0),0)</f>
        <v>0</v>
      </c>
      <c r="AC46" s="370">
        <f>IF(假设!AC64&lt;&gt;0,IF(2*利润表!AC3/假设!AC64-资产负债!AB46&gt;0,2*利润表!AC3/假设!AC64-资产负债!AB46,0),0)</f>
        <v>0</v>
      </c>
      <c r="AD46" s="370">
        <f>IF(假设!AD64&lt;&gt;0,IF(2*利润表!AD3/假设!AD64-资产负债!AC46&gt;0,2*利润表!AD3/假设!AD64-资产负债!AC46,0),0)</f>
        <v>0</v>
      </c>
      <c r="AE46" s="370">
        <f>IF(假设!AE64&lt;&gt;0,IF(2*利润表!AE3/假设!AE64-资产负债!AD46&gt;0,2*利润表!AE3/假设!AE64-资产负债!AD46,0),0)</f>
        <v>0</v>
      </c>
      <c r="AF46" s="370">
        <f>IF(假设!AF64&lt;&gt;0,IF(2*利润表!AF3/假设!AF64-资产负债!AE46&gt;0,2*利润表!AF3/假设!AF64-资产负债!AE46,0),0)</f>
        <v>0</v>
      </c>
      <c r="AG46" s="370">
        <f>IF(假设!AG64&lt;&gt;0,IF(2*利润表!AG3/假设!AG64-资产负债!AF46&gt;0,2*利润表!AG3/假设!AG64-资产负债!AF46,0),0)</f>
        <v>0</v>
      </c>
      <c r="AH46" s="370">
        <f>IF(假设!AH64&lt;&gt;0,IF(2*利润表!AH3/假设!AH64-资产负债!AG46&gt;0,2*利润表!AH3/假设!AH64-资产负债!AG46,0),0)</f>
        <v>0</v>
      </c>
      <c r="AI46" s="370">
        <f>IF(假设!AI64&lt;&gt;0,IF(2*利润表!AI3/假设!AI64-资产负债!AH46&gt;0,2*利润表!AI3/假设!AI64-资产负债!AH46,0),0)</f>
        <v>0</v>
      </c>
      <c r="AJ46" s="370">
        <f>IF(假设!AJ64&lt;&gt;0,IF(2*利润表!AJ3/假设!AJ64-资产负债!AI46&gt;0,2*利润表!AJ3/假设!AJ64-资产负债!AI46,0),0)</f>
        <v>0</v>
      </c>
      <c r="AK46" s="370">
        <f>IF(假设!AK64&lt;&gt;0,IF(2*利润表!AK3/假设!AK64-资产负债!AJ46&gt;0,2*利润表!AK3/假设!AK64-资产负债!AJ46,0),0)</f>
        <v>0</v>
      </c>
      <c r="AL46" s="370">
        <f>IF(假设!AL64&lt;&gt;0,IF(2*利润表!AL3/假设!AL64-资产负债!AK46&gt;0,2*利润表!AL3/假设!AL64-资产负债!AK46,0),0)</f>
        <v>0</v>
      </c>
      <c r="AN46" s="368"/>
    </row>
    <row r="47" spans="1:95" s="451" customFormat="1" ht="17.25" customHeight="1" outlineLevel="1">
      <c r="A47" s="366" t="s">
        <v>2756</v>
      </c>
      <c r="B47" s="369" t="s">
        <v>2762</v>
      </c>
      <c r="C47" s="152">
        <f>年度数据!C91</f>
        <v>429.36135695999997</v>
      </c>
      <c r="D47" s="152">
        <f>年度数据!D91</f>
        <v>585.71479798999997</v>
      </c>
      <c r="E47" s="152">
        <f>年度数据!E91</f>
        <v>819.36405148000006</v>
      </c>
      <c r="F47" s="152">
        <f>年度数据!F91</f>
        <v>1086.5534146099999</v>
      </c>
      <c r="G47" s="152">
        <f>年度数据!G91</f>
        <v>1441.7348217000001</v>
      </c>
      <c r="H47" s="152">
        <f>年度数据!H91</f>
        <v>1790.4355490299999</v>
      </c>
      <c r="I47" s="370">
        <f>IF(假设!I65&lt;&gt;0,IF(2*利润表!I3/假设!I65-资产负债!H47&gt;0,2*利润表!I3/假设!I65-资产负债!H47,0),0)</f>
        <v>0</v>
      </c>
      <c r="J47" s="370">
        <f>IF(假设!J65&lt;&gt;0,IF(2*利润表!J3/假设!J65-资产负债!I47&gt;0,2*利润表!J3/假设!J65-资产负债!I47,0),0)</f>
        <v>0</v>
      </c>
      <c r="K47" s="370">
        <f>IF(假设!K65&lt;&gt;0,IF(2*利润表!K3/假设!K65-资产负债!J47&gt;0,2*利润表!K3/假设!K65-资产负债!J47,0),0)</f>
        <v>0</v>
      </c>
      <c r="L47" s="370">
        <f>IF(假设!L65&lt;&gt;0,IF(2*利润表!L3/假设!L65-资产负债!K47&gt;0,2*利润表!L3/假设!L65-资产负债!K47,0),0)</f>
        <v>0</v>
      </c>
      <c r="M47" s="370">
        <f>IF(假设!M65&lt;&gt;0,IF(2*利润表!M3/假设!M65-资产负债!L47&gt;0,2*利润表!M3/假设!M65-资产负债!L47,0),0)</f>
        <v>0</v>
      </c>
      <c r="N47" s="370">
        <f>IF(假设!N65&lt;&gt;0,IF(2*利润表!N3/假设!N65-资产负债!M47&gt;0,2*利润表!N3/假设!N65-资产负债!M47,0),0)</f>
        <v>0</v>
      </c>
      <c r="O47" s="370">
        <f>IF(假设!O65&lt;&gt;0,IF(2*利润表!O3/假设!O65-资产负债!N47&gt;0,2*利润表!O3/假设!O65-资产负债!N47,0),0)</f>
        <v>0</v>
      </c>
      <c r="P47" s="370">
        <f>IF(假设!P65&lt;&gt;0,IF(2*利润表!P3/假设!P65-资产负债!O47&gt;0,2*利润表!P3/假设!P65-资产负债!O47,0),0)</f>
        <v>0</v>
      </c>
      <c r="Q47" s="370">
        <f>IF(假设!Q65&lt;&gt;0,IF(2*利润表!Q3/假设!Q65-资产负债!P47&gt;0,2*利润表!Q3/假设!Q65-资产负债!P47,0),0)</f>
        <v>0</v>
      </c>
      <c r="R47" s="370">
        <f>IF(假设!R65&lt;&gt;0,IF(2*利润表!R3/假设!R65-资产负债!Q47&gt;0,2*利润表!R3/假设!R65-资产负债!Q47,0),0)</f>
        <v>0</v>
      </c>
      <c r="S47" s="370">
        <f>IF(假设!S65&lt;&gt;0,IF(2*利润表!S3/假设!S65-资产负债!R47&gt;0,2*利润表!S3/假设!S65-资产负债!R47,0),0)</f>
        <v>0</v>
      </c>
      <c r="T47" s="370">
        <f>IF(假设!T65&lt;&gt;0,IF(2*利润表!T3/假设!T65-资产负债!S47&gt;0,2*利润表!T3/假设!T65-资产负债!S47,0),0)</f>
        <v>0</v>
      </c>
      <c r="U47" s="370">
        <f>IF(假设!U65&lt;&gt;0,IF(2*利润表!U3/假设!U65-资产负债!T47&gt;0,2*利润表!U3/假设!U65-资产负债!T47,0),0)</f>
        <v>0</v>
      </c>
      <c r="V47" s="370">
        <f>IF(假设!V65&lt;&gt;0,IF(2*利润表!V3/假设!V65-资产负债!U47&gt;0,2*利润表!V3/假设!V65-资产负债!U47,0),0)</f>
        <v>0</v>
      </c>
      <c r="W47" s="370">
        <f>IF(假设!W65&lt;&gt;0,IF(2*利润表!W3/假设!W65-资产负债!V47&gt;0,2*利润表!W3/假设!W65-资产负债!V47,0),0)</f>
        <v>0</v>
      </c>
      <c r="X47" s="370">
        <f>IF(假设!X65&lt;&gt;0,IF(2*利润表!X3/假设!X65-资产负债!W47&gt;0,2*利润表!X3/假设!X65-资产负债!W47,0),0)</f>
        <v>0</v>
      </c>
      <c r="Y47" s="370">
        <f>IF(假设!Y65&lt;&gt;0,IF(2*利润表!Y3/假设!Y65-资产负债!X47&gt;0,2*利润表!Y3/假设!Y65-资产负债!X47,0),0)</f>
        <v>0</v>
      </c>
      <c r="Z47" s="370">
        <f>IF(假设!Z65&lt;&gt;0,IF(2*利润表!Z3/假设!Z65-资产负债!Y47&gt;0,2*利润表!Z3/假设!Z65-资产负债!Y47,0),0)</f>
        <v>0</v>
      </c>
      <c r="AA47" s="370">
        <f>IF(假设!AA65&lt;&gt;0,IF(2*利润表!AA3/假设!AA65-资产负债!Z47&gt;0,2*利润表!AA3/假设!AA65-资产负债!Z47,0),0)</f>
        <v>0</v>
      </c>
      <c r="AB47" s="370">
        <f>IF(假设!AB65&lt;&gt;0,IF(2*利润表!AB3/假设!AB65-资产负债!AA47&gt;0,2*利润表!AB3/假设!AB65-资产负债!AA47,0),0)</f>
        <v>0</v>
      </c>
      <c r="AC47" s="370">
        <f>IF(假设!AC65&lt;&gt;0,IF(2*利润表!AC3/假设!AC65-资产负债!AB47&gt;0,2*利润表!AC3/假设!AC65-资产负债!AB47,0),0)</f>
        <v>0</v>
      </c>
      <c r="AD47" s="370">
        <f>IF(假设!AD65&lt;&gt;0,IF(2*利润表!AD3/假设!AD65-资产负债!AC47&gt;0,2*利润表!AD3/假设!AD65-资产负债!AC47,0),0)</f>
        <v>0</v>
      </c>
      <c r="AE47" s="370">
        <f>IF(假设!AE65&lt;&gt;0,IF(2*利润表!AE3/假设!AE65-资产负债!AD47&gt;0,2*利润表!AE3/假设!AE65-资产负债!AD47,0),0)</f>
        <v>0</v>
      </c>
      <c r="AF47" s="370">
        <f>IF(假设!AF65&lt;&gt;0,IF(2*利润表!AF3/假设!AF65-资产负债!AE47&gt;0,2*利润表!AF3/假设!AF65-资产负债!AE47,0),0)</f>
        <v>0</v>
      </c>
      <c r="AG47" s="370">
        <f>IF(假设!AG65&lt;&gt;0,IF(2*利润表!AG3/假设!AG65-资产负债!AF47&gt;0,2*利润表!AG3/假设!AG65-资产负债!AF47,0),0)</f>
        <v>0</v>
      </c>
      <c r="AH47" s="370">
        <f>IF(假设!AH65&lt;&gt;0,IF(2*利润表!AH3/假设!AH65-资产负债!AG47&gt;0,2*利润表!AH3/假设!AH65-资产负债!AG47,0),0)</f>
        <v>0</v>
      </c>
      <c r="AI47" s="370">
        <f>IF(假设!AI65&lt;&gt;0,IF(2*利润表!AI3/假设!AI65-资产负债!AH47&gt;0,2*利润表!AI3/假设!AI65-资产负债!AH47,0),0)</f>
        <v>0</v>
      </c>
      <c r="AJ47" s="370">
        <f>IF(假设!AJ65&lt;&gt;0,IF(2*利润表!AJ3/假设!AJ65-资产负债!AI47&gt;0,2*利润表!AJ3/假设!AJ65-资产负债!AI47,0),0)</f>
        <v>0</v>
      </c>
      <c r="AK47" s="370">
        <f>IF(假设!AK65&lt;&gt;0,IF(2*利润表!AK3/假设!AK65-资产负债!AJ47&gt;0,2*利润表!AK3/假设!AK65-资产负债!AJ47,0),0)</f>
        <v>0</v>
      </c>
      <c r="AL47" s="370">
        <f>IF(假设!AL65&lt;&gt;0,IF(2*利润表!AL3/假设!AL65-资产负债!AK47&gt;0,2*利润表!AL3/假设!AL65-资产负债!AK47,0),0)</f>
        <v>0</v>
      </c>
      <c r="AN47" s="368"/>
    </row>
    <row r="48" spans="1:95" ht="17.25" customHeight="1" outlineLevel="1">
      <c r="A48" s="366" t="s">
        <v>2706</v>
      </c>
      <c r="B48" s="369" t="s">
        <v>299</v>
      </c>
      <c r="C48" s="152">
        <f>年度数据!C100</f>
        <v>59.63513949</v>
      </c>
      <c r="D48" s="152">
        <f>年度数据!D100</f>
        <v>126.75621274</v>
      </c>
      <c r="E48" s="152">
        <f>年度数据!E100</f>
        <v>218.45996815999999</v>
      </c>
      <c r="F48" s="152">
        <f>年度数据!F100</f>
        <v>192.13872108999999</v>
      </c>
      <c r="G48" s="152">
        <f>年度数据!G100</f>
        <v>174.84511971000001</v>
      </c>
      <c r="H48" s="152">
        <f>年度数据!H100</f>
        <v>215.83231194000001</v>
      </c>
      <c r="I48" s="370">
        <f>IF(假设!I66&lt;&gt;0,IF(2*利润表!I3/假设!I66-资产负债!H48&gt;0,2*利润表!I3/假设!I66-资产负债!H48,0),0)</f>
        <v>229.89213351622834</v>
      </c>
      <c r="J48" s="370">
        <f>IF(假设!J66&lt;&gt;0,IF(2*利润表!J3/假设!J66-资产负债!I48&gt;0,2*利润表!J3/假设!J66-资产负债!I48,0),0)</f>
        <v>244.03638372148919</v>
      </c>
      <c r="K48" s="370">
        <f>IF(假设!K66&lt;&gt;0,IF(2*利润表!K3/假设!K66-资产负债!J48&gt;0,2*利润表!K3/假设!K66-资产负债!J48,0),0)</f>
        <v>315.54405510855338</v>
      </c>
      <c r="L48" s="370">
        <f>IF(假设!L66&lt;&gt;0,IF(2*利润表!L3/假设!L66-资产负债!K48&gt;0,2*利润表!L3/假设!L66-资产负债!K48,0),0)</f>
        <v>322.91344082599176</v>
      </c>
      <c r="M48" s="370">
        <f>IF(假设!M66&lt;&gt;0,IF(2*利润表!M3/假设!M66-资产负债!L48&gt;0,2*利润表!M3/假设!M66-资产负债!L48,0),0)</f>
        <v>384.60023918850243</v>
      </c>
      <c r="N48" s="370">
        <f>IF(假设!N66&lt;&gt;0,IF(2*利润表!N3/假设!N66-资产负债!M48&gt;0,2*利润表!N3/假设!N66-资产负债!M48,0),0)</f>
        <v>412.91672203332519</v>
      </c>
      <c r="O48" s="370">
        <f>IF(假设!O66&lt;&gt;0,IF(2*利润表!O3/假设!O66-资产负债!N48&gt;0,2*利润表!O3/假设!O66-资产负债!N48,0),0)</f>
        <v>492.27378943849988</v>
      </c>
      <c r="P48" s="370">
        <f>IF(假设!P66&lt;&gt;0,IF(2*利润表!P3/假设!P66-资产负债!O48&gt;0,2*利润表!P3/假设!P66-资产负债!O48,0),0)</f>
        <v>535.03176787763016</v>
      </c>
      <c r="Q48" s="370">
        <f>IF(假设!Q66&lt;&gt;0,IF(2*利润表!Q3/假设!Q66-资产负债!P48&gt;0,2*利润表!Q3/假设!Q66-资产负债!P48,0),0)</f>
        <v>623.32401845138918</v>
      </c>
      <c r="R48" s="370">
        <f>IF(假设!R66&lt;&gt;0,IF(2*利润表!R3/假设!R66-资产负债!Q48&gt;0,2*利润表!R3/假设!R66-资产负债!Q48,0),0)</f>
        <v>681.68690248435075</v>
      </c>
      <c r="S48" s="370">
        <f>IF(假设!S66&lt;&gt;0,IF(2*利润表!S3/假设!S66-资产负债!R48&gt;0,2*利润表!S3/假设!S66-资产负债!R48,0),0)</f>
        <v>794.00458153651323</v>
      </c>
      <c r="T48" s="370">
        <f>IF(假设!T66&lt;&gt;0,IF(2*利润表!T3/假设!T66-资产负债!S48&gt;0,2*利润表!T3/假设!T66-资产负债!S48,0),0)</f>
        <v>875.25605762010343</v>
      </c>
      <c r="U48" s="370">
        <f>IF(假设!U66&lt;&gt;0,IF(2*利润表!U3/假设!U66-资产负债!T48&gt;0,2*利润表!U3/假设!U66-资产负债!T48,0),0)</f>
        <v>1010.9615699544119</v>
      </c>
      <c r="V48" s="370">
        <f>IF(假设!V66&lt;&gt;0,IF(2*利润表!V3/假设!V66-资产负债!U48&gt;0,2*利润表!V3/假设!V66-资产负债!U48,0),0)</f>
        <v>1118.9411557975782</v>
      </c>
      <c r="W48" s="370">
        <f>IF(假设!W66&lt;&gt;0,IF(2*利润表!W3/假设!W66-资产负债!V48&gt;0,2*利润表!W3/假设!W66-资产负债!V48,0),0)</f>
        <v>1286.9650578665633</v>
      </c>
      <c r="X48" s="370">
        <f>IF(假设!X66&lt;&gt;0,IF(2*利润表!X3/假设!X66-资产负债!W48&gt;0,2*利润表!X3/假设!X66-资产负债!W48,0),0)</f>
        <v>1432.0976057484572</v>
      </c>
      <c r="Y48" s="370">
        <f>IF(假设!Y66&lt;&gt;0,IF(2*利润表!Y3/假设!Y66-资产负债!X48&gt;0,2*利润表!Y3/假设!Y66-资产负债!X48,0),0)</f>
        <v>1640.468655431449</v>
      </c>
      <c r="Z48" s="370">
        <f>IF(假设!Z66&lt;&gt;0,IF(2*利润表!Z3/假设!Z66-资产负债!Y48&gt;0,2*利润表!Z3/假设!Z66-资产负债!Y48,0),0)</f>
        <v>1830.8404125169764</v>
      </c>
      <c r="AA48" s="370">
        <f>IF(假设!AA66&lt;&gt;0,IF(2*利润表!AA3/假设!AA66-资产负债!Z48&gt;0,2*利润表!AA3/假设!AA66-资产负债!Z48,0),0)</f>
        <v>2090.8606129542627</v>
      </c>
      <c r="AB48" s="370">
        <f>IF(假设!AB66&lt;&gt;0,IF(2*利润表!AB3/假设!AB66-资产负债!AA48&gt;0,2*利润表!AB3/假设!AB66-资产负债!AA48,0),0)</f>
        <v>2340.1037802384576</v>
      </c>
      <c r="AC48" s="370">
        <f>IF(假设!AC66&lt;&gt;0,IF(2*利润表!AC3/假设!AC66-资产负债!AB48&gt;0,2*利润表!AC3/假设!AC66-资产负债!AB48,0),0)</f>
        <v>2666.4875016886458</v>
      </c>
      <c r="AD48" s="370">
        <f>IF(假设!AD66&lt;&gt;0,IF(2*利润表!AD3/假设!AD66-资产负债!AC48&gt;0,2*利润表!AD3/假设!AD66-资产负债!AC48,0),0)</f>
        <v>2990.255783214116</v>
      </c>
      <c r="AE48" s="370">
        <f>IF(假设!AE66&lt;&gt;0,IF(2*利润表!AE3/假设!AE66-资产负债!AD48&gt;0,2*利润表!AE3/假设!AE66-资产负债!AD48,0),0)</f>
        <v>3400.9010331939803</v>
      </c>
      <c r="AF48" s="370">
        <f>IF(假设!AF66&lt;&gt;0,IF(2*利润表!AF3/假设!AF66-资产负债!AE48&gt;0,2*利润表!AF3/假设!AF66-资产负债!AE48,0),0)</f>
        <v>3820.0897890263991</v>
      </c>
      <c r="AG48" s="370">
        <f>IF(假设!AG66&lt;&gt;0,IF(2*利润表!AG3/假设!AG66-资产负债!AF48&gt;0,2*利润表!AG3/假设!AG66-资产负债!AF48,0),0)</f>
        <v>4338.6159737425041</v>
      </c>
      <c r="AH48" s="370">
        <f>IF(假设!AH66&lt;&gt;0,IF(2*利润表!AH3/假设!AH66-资产负债!AG48&gt;0,2*利润表!AH3/假设!AH66-资产负债!AG48,0),0)</f>
        <v>4879.5782749754453</v>
      </c>
      <c r="AI48" s="370">
        <f>IF(假设!AI66&lt;&gt;0,IF(2*利润表!AI3/假设!AI66-资产负债!AH48&gt;0,2*利润表!AI3/假设!AI66-资产负债!AH48,0),0)</f>
        <v>5535.5971907840594</v>
      </c>
      <c r="AJ48" s="370">
        <f>IF(假设!AJ66&lt;&gt;0,IF(2*利润表!AJ3/假设!AJ66-资产负债!AI48&gt;0,2*利润表!AJ3/假设!AJ66-资产负债!AI48,0),0)</f>
        <v>6231.9681660647111</v>
      </c>
      <c r="AK48" s="370">
        <f>IF(假设!AK66&lt;&gt;0,IF(2*利润表!AK3/假设!AK66-资产负债!AJ48&gt;0,2*利润表!AK3/假设!AK66-资产负债!AJ48,0),0)</f>
        <v>7063.6352131615095</v>
      </c>
      <c r="AL48" s="370">
        <f>IF(假设!AL66&lt;&gt;0,IF(2*利润表!AL3/假设!AL66-资产负债!AK48&gt;0,2*利润表!AL3/假设!AL66-资产负债!AK48,0),0)</f>
        <v>7958.4527950490992</v>
      </c>
      <c r="AM48" s="277"/>
      <c r="AN48" s="368"/>
    </row>
    <row r="49" spans="1:95" ht="17.25" customHeight="1" outlineLevel="1">
      <c r="A49" s="366" t="s">
        <v>1014</v>
      </c>
      <c r="B49" s="369" t="s">
        <v>300</v>
      </c>
      <c r="C49" s="152">
        <f>年度数据!C93</f>
        <v>54.915374130000004</v>
      </c>
      <c r="D49" s="152">
        <f>年度数据!D93</f>
        <v>135.1631849</v>
      </c>
      <c r="E49" s="152">
        <f>年度数据!E93</f>
        <v>0</v>
      </c>
      <c r="F49" s="152">
        <f>年度数据!F93</f>
        <v>0</v>
      </c>
      <c r="G49" s="152">
        <f>年度数据!G93</f>
        <v>0</v>
      </c>
      <c r="H49" s="152">
        <f>年度数据!H93</f>
        <v>0</v>
      </c>
      <c r="I49" s="370">
        <f>IF(假设!I67&lt;&gt;0,IF(2*利润表!I3/假设!I67-资产负债!H49&gt;0,2*利润表!I3/假设!I67-资产负债!H49,0),0)</f>
        <v>0</v>
      </c>
      <c r="J49" s="370">
        <f>IF(假设!J67&lt;&gt;0,IF(2*利润表!J3/假设!J67-资产负债!I49&gt;0,2*利润表!J3/假设!J67-资产负债!I49,0),0)</f>
        <v>0</v>
      </c>
      <c r="K49" s="370">
        <f>IF(假设!K67&lt;&gt;0,IF(2*利润表!K3/假设!K67-资产负债!J49&gt;0,2*利润表!K3/假设!K67-资产负债!J49,0),0)</f>
        <v>0</v>
      </c>
      <c r="L49" s="370">
        <f>IF(假设!L67&lt;&gt;0,IF(2*利润表!L3/假设!L67-资产负债!K49&gt;0,2*利润表!L3/假设!L67-资产负债!K49,0),0)</f>
        <v>0</v>
      </c>
      <c r="M49" s="370">
        <f>IF(假设!M67&lt;&gt;0,IF(2*利润表!M3/假设!M67-资产负债!L49&gt;0,2*利润表!M3/假设!M67-资产负债!L49,0),0)</f>
        <v>0</v>
      </c>
      <c r="N49" s="370">
        <f>IF(假设!N67&lt;&gt;0,IF(2*利润表!N3/假设!N67-资产负债!M49&gt;0,2*利润表!N3/假设!N67-资产负债!M49,0),0)</f>
        <v>0</v>
      </c>
      <c r="O49" s="370">
        <f>IF(假设!O67&lt;&gt;0,IF(2*利润表!O3/假设!O67-资产负债!N49&gt;0,2*利润表!O3/假设!O67-资产负债!N49,0),0)</f>
        <v>0</v>
      </c>
      <c r="P49" s="370">
        <f>IF(假设!P67&lt;&gt;0,IF(2*利润表!P3/假设!P67-资产负债!O49&gt;0,2*利润表!P3/假设!P67-资产负债!O49,0),0)</f>
        <v>0</v>
      </c>
      <c r="Q49" s="370">
        <f>IF(假设!Q67&lt;&gt;0,IF(2*利润表!Q3/假设!Q67-资产负债!P49&gt;0,2*利润表!Q3/假设!Q67-资产负债!P49,0),0)</f>
        <v>0</v>
      </c>
      <c r="R49" s="370">
        <f>IF(假设!R67&lt;&gt;0,IF(2*利润表!R3/假设!R67-资产负债!Q49&gt;0,2*利润表!R3/假设!R67-资产负债!Q49,0),0)</f>
        <v>0</v>
      </c>
      <c r="S49" s="370">
        <f>IF(假设!S67&lt;&gt;0,IF(2*利润表!S3/假设!S67-资产负债!R49&gt;0,2*利润表!S3/假设!S67-资产负债!R49,0),0)</f>
        <v>0</v>
      </c>
      <c r="T49" s="370">
        <f>IF(假设!T67&lt;&gt;0,IF(2*利润表!T3/假设!T67-资产负债!S49&gt;0,2*利润表!T3/假设!T67-资产负债!S49,0),0)</f>
        <v>0</v>
      </c>
      <c r="U49" s="370">
        <f>IF(假设!U67&lt;&gt;0,IF(2*利润表!U3/假设!U67-资产负债!T49&gt;0,2*利润表!U3/假设!U67-资产负债!T49,0),0)</f>
        <v>0</v>
      </c>
      <c r="V49" s="370">
        <f>IF(假设!V67&lt;&gt;0,IF(2*利润表!V3/假设!V67-资产负债!U49&gt;0,2*利润表!V3/假设!V67-资产负债!U49,0),0)</f>
        <v>0</v>
      </c>
      <c r="W49" s="370">
        <f>IF(假设!W67&lt;&gt;0,IF(2*利润表!W3/假设!W67-资产负债!V49&gt;0,2*利润表!W3/假设!W67-资产负债!V49,0),0)</f>
        <v>0</v>
      </c>
      <c r="X49" s="370">
        <f>IF(假设!X67&lt;&gt;0,IF(2*利润表!X3/假设!X67-资产负债!W49&gt;0,2*利润表!X3/假设!X67-资产负债!W49,0),0)</f>
        <v>0</v>
      </c>
      <c r="Y49" s="370">
        <f>IF(假设!Y67&lt;&gt;0,IF(2*利润表!Y3/假设!Y67-资产负债!X49&gt;0,2*利润表!Y3/假设!Y67-资产负债!X49,0),0)</f>
        <v>0</v>
      </c>
      <c r="Z49" s="370">
        <f>IF(假设!Z67&lt;&gt;0,IF(2*利润表!Z3/假设!Z67-资产负债!Y49&gt;0,2*利润表!Z3/假设!Z67-资产负债!Y49,0),0)</f>
        <v>0</v>
      </c>
      <c r="AA49" s="370">
        <f>IF(假设!AA67&lt;&gt;0,IF(2*利润表!AA3/假设!AA67-资产负债!Z49&gt;0,2*利润表!AA3/假设!AA67-资产负债!Z49,0),0)</f>
        <v>0</v>
      </c>
      <c r="AB49" s="370">
        <f>IF(假设!AB67&lt;&gt;0,IF(2*利润表!AB3/假设!AB67-资产负债!AA49&gt;0,2*利润表!AB3/假设!AB67-资产负债!AA49,0),0)</f>
        <v>0</v>
      </c>
      <c r="AC49" s="370">
        <f>IF(假设!AC67&lt;&gt;0,IF(2*利润表!AC3/假设!AC67-资产负债!AB49&gt;0,2*利润表!AC3/假设!AC67-资产负债!AB49,0),0)</f>
        <v>0</v>
      </c>
      <c r="AD49" s="370">
        <f>IF(假设!AD67&lt;&gt;0,IF(2*利润表!AD3/假设!AD67-资产负债!AC49&gt;0,2*利润表!AD3/假设!AD67-资产负债!AC49,0),0)</f>
        <v>0</v>
      </c>
      <c r="AE49" s="370">
        <f>IF(假设!AE67&lt;&gt;0,IF(2*利润表!AE3/假设!AE67-资产负债!AD49&gt;0,2*利润表!AE3/假设!AE67-资产负债!AD49,0),0)</f>
        <v>0</v>
      </c>
      <c r="AF49" s="370">
        <f>IF(假设!AF67&lt;&gt;0,IF(2*利润表!AF3/假设!AF67-资产负债!AE49&gt;0,2*利润表!AF3/假设!AF67-资产负债!AE49,0),0)</f>
        <v>0</v>
      </c>
      <c r="AG49" s="370">
        <f>IF(假设!AG67&lt;&gt;0,IF(2*利润表!AG3/假设!AG67-资产负债!AF49&gt;0,2*利润表!AG3/假设!AG67-资产负债!AF49,0),0)</f>
        <v>0</v>
      </c>
      <c r="AH49" s="370">
        <f>IF(假设!AH67&lt;&gt;0,IF(2*利润表!AH3/假设!AH67-资产负债!AG49&gt;0,2*利润表!AH3/假设!AH67-资产负债!AG49,0),0)</f>
        <v>0</v>
      </c>
      <c r="AI49" s="370">
        <f>IF(假设!AI67&lt;&gt;0,IF(2*利润表!AI3/假设!AI67-资产负债!AH49&gt;0,2*利润表!AI3/假设!AI67-资产负债!AH49,0),0)</f>
        <v>0</v>
      </c>
      <c r="AJ49" s="370">
        <f>IF(假设!AJ67&lt;&gt;0,IF(2*利润表!AJ3/假设!AJ67-资产负债!AI49&gt;0,2*利润表!AJ3/假设!AJ67-资产负债!AI49,0),0)</f>
        <v>0</v>
      </c>
      <c r="AK49" s="370">
        <f>IF(假设!AK67&lt;&gt;0,IF(2*利润表!AK3/假设!AK67-资产负债!AJ49&gt;0,2*利润表!AK3/假设!AK67-资产负债!AJ49,0),0)</f>
        <v>0</v>
      </c>
      <c r="AL49" s="370">
        <f>IF(假设!AL67&lt;&gt;0,IF(2*利润表!AL3/假设!AL67-资产负债!AK49&gt;0,2*利润表!AL3/假设!AL67-资产负债!AK49,0),0)</f>
        <v>0</v>
      </c>
      <c r="AM49" s="277"/>
      <c r="AN49" s="368"/>
    </row>
    <row r="50" spans="1:95" ht="17.25" customHeight="1" outlineLevel="1">
      <c r="A50" s="366" t="s">
        <v>2795</v>
      </c>
      <c r="B50" s="369" t="s">
        <v>995</v>
      </c>
      <c r="C50" s="152">
        <f>年度数据!C94</f>
        <v>0</v>
      </c>
      <c r="D50" s="152">
        <f>年度数据!D94</f>
        <v>0</v>
      </c>
      <c r="E50" s="152">
        <f>年度数据!E94</f>
        <v>116.01423120999999</v>
      </c>
      <c r="F50" s="152">
        <f>年度数据!F94</f>
        <v>235.12773419999999</v>
      </c>
      <c r="G50" s="152">
        <f>年度数据!G94</f>
        <v>342.35697177999998</v>
      </c>
      <c r="H50" s="152">
        <f>年度数据!H94</f>
        <v>389.80979294000002</v>
      </c>
      <c r="I50" s="370">
        <f>假设!I68</f>
        <v>426.13</v>
      </c>
      <c r="J50" s="370">
        <f>假设!J68</f>
        <v>407.96989646999998</v>
      </c>
      <c r="K50" s="370">
        <f>假设!K68</f>
        <v>417.04994823499999</v>
      </c>
      <c r="L50" s="370">
        <f>假设!L68</f>
        <v>412.50992235249998</v>
      </c>
      <c r="M50" s="370">
        <f>假设!M68</f>
        <v>414.77993529374999</v>
      </c>
      <c r="N50" s="370">
        <f>假设!N68</f>
        <v>413.64492882312499</v>
      </c>
      <c r="O50" s="370">
        <f>假设!O68</f>
        <v>414.21243205843746</v>
      </c>
      <c r="P50" s="370">
        <f>假设!P68</f>
        <v>413.92868044078125</v>
      </c>
      <c r="Q50" s="370">
        <f>假设!Q68</f>
        <v>414.07055624960935</v>
      </c>
      <c r="R50" s="370">
        <f>假设!R68</f>
        <v>413.9996183451953</v>
      </c>
      <c r="S50" s="370">
        <f>假设!S68</f>
        <v>414.03508729740236</v>
      </c>
      <c r="T50" s="370">
        <f>假设!T68</f>
        <v>414.0173528212988</v>
      </c>
      <c r="U50" s="370">
        <f>假设!U68</f>
        <v>414.02622005935058</v>
      </c>
      <c r="V50" s="370">
        <f>假设!V68</f>
        <v>414.02178644032472</v>
      </c>
      <c r="W50" s="370">
        <f>假设!W68</f>
        <v>414.02400324983762</v>
      </c>
      <c r="X50" s="370">
        <f>假设!X68</f>
        <v>414.02289484508117</v>
      </c>
      <c r="Y50" s="370">
        <f>假设!Y68</f>
        <v>414.02344904745939</v>
      </c>
      <c r="Z50" s="370">
        <f>假设!Z68</f>
        <v>414.02317194627028</v>
      </c>
      <c r="AA50" s="370">
        <f>假设!AA68</f>
        <v>414.02331049686484</v>
      </c>
      <c r="AB50" s="370">
        <f>假设!AB68</f>
        <v>414.02324122156756</v>
      </c>
      <c r="AC50" s="370">
        <f>假设!AC68</f>
        <v>414.0232758592162</v>
      </c>
      <c r="AD50" s="370">
        <f>假设!AD68</f>
        <v>414.02325854039191</v>
      </c>
      <c r="AE50" s="370">
        <f>假设!AE68</f>
        <v>414.02326719980408</v>
      </c>
      <c r="AF50" s="370">
        <f>假设!AF68</f>
        <v>414.02326287009799</v>
      </c>
      <c r="AG50" s="370">
        <f>假设!AG68</f>
        <v>414.02326503495101</v>
      </c>
      <c r="AH50" s="370">
        <f>假设!AH68</f>
        <v>414.02326395252453</v>
      </c>
      <c r="AI50" s="370">
        <f>假设!AI68</f>
        <v>414.02326449373777</v>
      </c>
      <c r="AJ50" s="370">
        <f>假设!AJ68</f>
        <v>414.02326422313115</v>
      </c>
      <c r="AK50" s="370">
        <f>假设!AK68</f>
        <v>414.02326435843446</v>
      </c>
      <c r="AL50" s="370">
        <f>假设!AL68</f>
        <v>414.02326429078278</v>
      </c>
      <c r="AM50" s="277"/>
      <c r="AN50" s="368"/>
    </row>
    <row r="51" spans="1:95" s="451" customFormat="1" ht="17.25" customHeight="1" outlineLevel="1">
      <c r="A51" s="373" t="s">
        <v>977</v>
      </c>
      <c r="B51" s="369" t="s">
        <v>995</v>
      </c>
      <c r="C51" s="152">
        <f>年度数据!C101</f>
        <v>0</v>
      </c>
      <c r="D51" s="152">
        <f>年度数据!D101</f>
        <v>0</v>
      </c>
      <c r="E51" s="152">
        <f>年度数据!E101</f>
        <v>0</v>
      </c>
      <c r="F51" s="152">
        <f>年度数据!F101</f>
        <v>0</v>
      </c>
      <c r="G51" s="152">
        <f>年度数据!G101</f>
        <v>0</v>
      </c>
      <c r="H51" s="152">
        <f>年度数据!H101</f>
        <v>0</v>
      </c>
      <c r="I51" s="370">
        <f>假设!I69</f>
        <v>0</v>
      </c>
      <c r="J51" s="370">
        <f>假设!J69</f>
        <v>0</v>
      </c>
      <c r="K51" s="370">
        <f>假设!K69</f>
        <v>0</v>
      </c>
      <c r="L51" s="370">
        <f>假设!L69</f>
        <v>0</v>
      </c>
      <c r="M51" s="370">
        <f>假设!M69</f>
        <v>0</v>
      </c>
      <c r="N51" s="370">
        <f>假设!N69</f>
        <v>0</v>
      </c>
      <c r="O51" s="370">
        <f>假设!O69</f>
        <v>0</v>
      </c>
      <c r="P51" s="370">
        <f>假设!P69</f>
        <v>0</v>
      </c>
      <c r="Q51" s="370">
        <f>假设!Q69</f>
        <v>0</v>
      </c>
      <c r="R51" s="370">
        <f>假设!R69</f>
        <v>0</v>
      </c>
      <c r="S51" s="370">
        <f>假设!S69</f>
        <v>0</v>
      </c>
      <c r="T51" s="370">
        <f>假设!T69</f>
        <v>0</v>
      </c>
      <c r="U51" s="370">
        <f>假设!U69</f>
        <v>0</v>
      </c>
      <c r="V51" s="370">
        <f>假设!V69</f>
        <v>0</v>
      </c>
      <c r="W51" s="370">
        <f>假设!W69</f>
        <v>0</v>
      </c>
      <c r="X51" s="370">
        <f>假设!X69</f>
        <v>0</v>
      </c>
      <c r="Y51" s="370">
        <f>假设!Y69</f>
        <v>0</v>
      </c>
      <c r="Z51" s="370">
        <f>假设!Z69</f>
        <v>0</v>
      </c>
      <c r="AA51" s="370">
        <f>假设!AA69</f>
        <v>0</v>
      </c>
      <c r="AB51" s="370">
        <f>假设!AB69</f>
        <v>0</v>
      </c>
      <c r="AC51" s="370">
        <f>假设!AC69</f>
        <v>0</v>
      </c>
      <c r="AD51" s="370">
        <f>假设!AD69</f>
        <v>0</v>
      </c>
      <c r="AE51" s="370">
        <f>假设!AE69</f>
        <v>0</v>
      </c>
      <c r="AF51" s="370">
        <f>假设!AF69</f>
        <v>0</v>
      </c>
      <c r="AG51" s="370">
        <f>假设!AG69</f>
        <v>0</v>
      </c>
      <c r="AH51" s="370">
        <f>假设!AH69</f>
        <v>0</v>
      </c>
      <c r="AI51" s="370">
        <f>假设!AI69</f>
        <v>0</v>
      </c>
      <c r="AJ51" s="370">
        <f>假设!AJ69</f>
        <v>0</v>
      </c>
      <c r="AK51" s="370">
        <f>假设!AK69</f>
        <v>0</v>
      </c>
      <c r="AL51" s="370">
        <f>假设!AL69</f>
        <v>0</v>
      </c>
      <c r="AN51" s="368"/>
    </row>
    <row r="52" spans="1:95" ht="17.25" customHeight="1" outlineLevel="1">
      <c r="A52" s="366" t="s">
        <v>1379</v>
      </c>
      <c r="B52" s="369" t="s">
        <v>1441</v>
      </c>
      <c r="C52" s="152">
        <f>年度数据!C102</f>
        <v>3.8812528799999999</v>
      </c>
      <c r="D52" s="152">
        <f>年度数据!D102</f>
        <v>35.944653439999996</v>
      </c>
      <c r="E52" s="152">
        <f>年度数据!E102</f>
        <v>21.633062640000002</v>
      </c>
      <c r="F52" s="152">
        <f>年度数据!F102</f>
        <v>32.750740190000002</v>
      </c>
      <c r="G52" s="152">
        <f>年度数据!G102</f>
        <v>90.693011680000012</v>
      </c>
      <c r="H52" s="152">
        <f>年度数据!H102</f>
        <v>540.9064181</v>
      </c>
      <c r="I52" s="370">
        <f ca="1">债务!J39</f>
        <v>142.07738368505539</v>
      </c>
      <c r="J52" s="370">
        <f ca="1">债务!K39</f>
        <v>158.5015359732254</v>
      </c>
      <c r="K52" s="370">
        <f ca="1">债务!L39</f>
        <v>175.68908882909759</v>
      </c>
      <c r="L52" s="370">
        <f ca="1">债务!M39</f>
        <v>189.36466376688713</v>
      </c>
      <c r="M52" s="370">
        <f ca="1">债务!N39</f>
        <v>199.16213851975999</v>
      </c>
      <c r="N52" s="370">
        <f ca="1">债务!O39</f>
        <v>72.458264342224766</v>
      </c>
      <c r="O52" s="370">
        <f ca="1">债务!P39</f>
        <v>75.101194328673884</v>
      </c>
      <c r="P52" s="370">
        <f ca="1">债务!Q39</f>
        <v>77.945227526678039</v>
      </c>
      <c r="Q52" s="370">
        <f ca="1">债务!R39</f>
        <v>84.736539736536827</v>
      </c>
      <c r="R52" s="370">
        <f ca="1">债务!S39</f>
        <v>97.717831888476681</v>
      </c>
      <c r="S52" s="370">
        <f ca="1">债务!T39</f>
        <v>109.1072878775083</v>
      </c>
      <c r="T52" s="370">
        <f ca="1">债务!U39</f>
        <v>120.28877693599944</v>
      </c>
      <c r="U52" s="370">
        <f ca="1">债务!V39</f>
        <v>133.56801229480362</v>
      </c>
      <c r="V52" s="370">
        <f ca="1">债务!W39</f>
        <v>159.77158353835475</v>
      </c>
      <c r="W52" s="370">
        <f ca="1">债务!X39</f>
        <v>190.14467956449724</v>
      </c>
      <c r="X52" s="370">
        <f ca="1">债务!Y39</f>
        <v>224.05011208949625</v>
      </c>
      <c r="Y52" s="370">
        <f ca="1">债务!Z39</f>
        <v>261.99998889793608</v>
      </c>
      <c r="Z52" s="370">
        <f ca="1">债务!AA39</f>
        <v>305.18616069209736</v>
      </c>
      <c r="AA52" s="370">
        <f ca="1">债务!AB39</f>
        <v>344.66035651620746</v>
      </c>
      <c r="AB52" s="370">
        <f ca="1">债务!AC39</f>
        <v>388.76756077748371</v>
      </c>
      <c r="AC52" s="370">
        <f ca="1">债务!AD39</f>
        <v>438.06244784432545</v>
      </c>
      <c r="AD52" s="370">
        <f ca="1">债务!AE39</f>
        <v>493.76994424696801</v>
      </c>
      <c r="AE52" s="370">
        <f ca="1">债务!AF39</f>
        <v>556.83513154522723</v>
      </c>
      <c r="AF52" s="370">
        <f ca="1">债务!AG39</f>
        <v>628.34921572914641</v>
      </c>
      <c r="AG52" s="370">
        <f ca="1">债务!AH39</f>
        <v>709.09891925652141</v>
      </c>
      <c r="AH52" s="370">
        <f ca="1">债务!AI39</f>
        <v>799.97605896267407</v>
      </c>
      <c r="AI52" s="370">
        <f ca="1">债务!AJ39</f>
        <v>902.89532992318061</v>
      </c>
      <c r="AJ52" s="370">
        <f ca="1">债务!AK39</f>
        <v>1019.4140390566818</v>
      </c>
      <c r="AK52" s="370">
        <f ca="1">债务!AL39</f>
        <v>1150.8515087755104</v>
      </c>
      <c r="AL52" s="370">
        <f ca="1">债务!AM39</f>
        <v>1299.4846293531805</v>
      </c>
      <c r="AM52" s="277"/>
      <c r="AN52" s="368"/>
    </row>
    <row r="53" spans="1:95" ht="17.25" customHeight="1" outlineLevel="1">
      <c r="A53" s="703" t="s">
        <v>1344</v>
      </c>
      <c r="B53" s="369" t="s">
        <v>995</v>
      </c>
      <c r="C53" s="152">
        <f>年度数据!C95</f>
        <v>43.121252560000002</v>
      </c>
      <c r="D53" s="152">
        <f>年度数据!D95</f>
        <v>66.565953190000002</v>
      </c>
      <c r="E53" s="152">
        <f>年度数据!E95</f>
        <v>97.031073669999998</v>
      </c>
      <c r="F53" s="152">
        <f>年度数据!F95</f>
        <v>133.32870431000001</v>
      </c>
      <c r="G53" s="152">
        <f>年度数据!G95</f>
        <v>131.00957848000002</v>
      </c>
      <c r="H53" s="152">
        <f>年度数据!H95</f>
        <v>103.80260558000001</v>
      </c>
      <c r="I53" s="370">
        <f>假设!I70</f>
        <v>103.80260558000001</v>
      </c>
      <c r="J53" s="370">
        <f>假设!J70</f>
        <v>103.80260558000001</v>
      </c>
      <c r="K53" s="370">
        <f>假设!K70</f>
        <v>103.80260558000001</v>
      </c>
      <c r="L53" s="370">
        <f>假设!L70</f>
        <v>103.80260558000001</v>
      </c>
      <c r="M53" s="370">
        <f>假设!M70</f>
        <v>103.80260558000001</v>
      </c>
      <c r="N53" s="370">
        <f>假设!N70</f>
        <v>103.80260558000001</v>
      </c>
      <c r="O53" s="370">
        <f>假设!O70</f>
        <v>103.80260558000001</v>
      </c>
      <c r="P53" s="370">
        <f>假设!P70</f>
        <v>103.80260558000001</v>
      </c>
      <c r="Q53" s="370">
        <f>假设!Q70</f>
        <v>103.80260558000001</v>
      </c>
      <c r="R53" s="370">
        <f>假设!R70</f>
        <v>103.80260558000001</v>
      </c>
      <c r="S53" s="370">
        <f>假设!S70</f>
        <v>103.80260558000001</v>
      </c>
      <c r="T53" s="370">
        <f>假设!T70</f>
        <v>103.80260558000001</v>
      </c>
      <c r="U53" s="370">
        <f>假设!U70</f>
        <v>103.80260558000001</v>
      </c>
      <c r="V53" s="370">
        <f>假设!V70</f>
        <v>103.80260558000001</v>
      </c>
      <c r="W53" s="370">
        <f>假设!W70</f>
        <v>103.80260558000001</v>
      </c>
      <c r="X53" s="370">
        <f>假设!X70</f>
        <v>103.80260558000001</v>
      </c>
      <c r="Y53" s="370">
        <f>假设!Y70</f>
        <v>103.80260558000001</v>
      </c>
      <c r="Z53" s="370">
        <f>假设!Z70</f>
        <v>103.80260558000001</v>
      </c>
      <c r="AA53" s="370">
        <f>假设!AA70</f>
        <v>103.80260558000001</v>
      </c>
      <c r="AB53" s="370">
        <f>假设!AB70</f>
        <v>103.80260558000001</v>
      </c>
      <c r="AC53" s="370">
        <f>假设!AC70</f>
        <v>103.80260558000001</v>
      </c>
      <c r="AD53" s="370">
        <f>假设!AD70</f>
        <v>103.80260558000001</v>
      </c>
      <c r="AE53" s="370">
        <f>假设!AE70</f>
        <v>103.80260558000001</v>
      </c>
      <c r="AF53" s="370">
        <f>假设!AF70</f>
        <v>103.80260558000001</v>
      </c>
      <c r="AG53" s="370">
        <f>假设!AG70</f>
        <v>103.80260558000001</v>
      </c>
      <c r="AH53" s="370">
        <f>假设!AH70</f>
        <v>103.80260558000001</v>
      </c>
      <c r="AI53" s="370">
        <f>假设!AI70</f>
        <v>103.80260558000001</v>
      </c>
      <c r="AJ53" s="370">
        <f>假设!AJ70</f>
        <v>103.80260558000001</v>
      </c>
      <c r="AK53" s="370">
        <f>假设!AK70</f>
        <v>103.80260558000001</v>
      </c>
      <c r="AL53" s="370">
        <f>假设!AL70</f>
        <v>103.80260558000001</v>
      </c>
      <c r="AM53" s="375"/>
      <c r="AN53" s="368"/>
    </row>
    <row r="54" spans="1:95" ht="14.25" hidden="1" customHeight="1" outlineLevel="1">
      <c r="A54" s="167"/>
      <c r="B54" s="369"/>
      <c r="C54" s="152"/>
      <c r="D54" s="152"/>
      <c r="E54" s="152"/>
      <c r="F54" s="152"/>
      <c r="G54" s="152"/>
      <c r="H54" s="152"/>
      <c r="I54" s="370"/>
      <c r="J54" s="370"/>
      <c r="K54" s="370"/>
      <c r="L54" s="370"/>
      <c r="M54" s="370"/>
      <c r="N54" s="370"/>
      <c r="O54" s="370"/>
      <c r="P54" s="370"/>
      <c r="Q54" s="370"/>
      <c r="R54" s="370"/>
      <c r="S54" s="370"/>
      <c r="T54" s="370"/>
      <c r="U54" s="370"/>
      <c r="V54" s="370"/>
      <c r="W54" s="370"/>
      <c r="X54" s="370"/>
      <c r="Y54" s="370"/>
      <c r="Z54" s="370"/>
      <c r="AA54" s="370"/>
      <c r="AB54" s="370"/>
      <c r="AC54" s="370"/>
      <c r="AD54" s="370"/>
      <c r="AE54" s="370"/>
      <c r="AF54" s="370"/>
      <c r="AG54" s="370"/>
      <c r="AH54" s="370"/>
      <c r="AI54" s="370"/>
      <c r="AJ54" s="370"/>
      <c r="AK54" s="370"/>
      <c r="AL54" s="370"/>
      <c r="AM54" s="375"/>
      <c r="AN54" s="368"/>
    </row>
    <row r="55" spans="1:95" ht="17.25" customHeight="1" outlineLevel="1">
      <c r="A55" s="703" t="s">
        <v>632</v>
      </c>
      <c r="B55" s="369" t="s">
        <v>995</v>
      </c>
      <c r="C55" s="152">
        <f>年度数据!C97</f>
        <v>28.082651579999997</v>
      </c>
      <c r="D55" s="152">
        <f>年度数据!D97</f>
        <v>45.711320780000001</v>
      </c>
      <c r="E55" s="152">
        <f>年度数据!E97</f>
        <v>79.78226592</v>
      </c>
      <c r="F55" s="152">
        <f>年度数据!F97</f>
        <v>113.66805642</v>
      </c>
      <c r="G55" s="152">
        <f>年度数据!G97</f>
        <v>74.914306089999997</v>
      </c>
      <c r="H55" s="152">
        <f>年度数据!H97</f>
        <v>48.82855043</v>
      </c>
      <c r="I55" s="370">
        <f>假设!I72</f>
        <v>48.82855043</v>
      </c>
      <c r="J55" s="370">
        <f>假设!J72</f>
        <v>48.82855043</v>
      </c>
      <c r="K55" s="370">
        <f>假设!K72</f>
        <v>48.82855043</v>
      </c>
      <c r="L55" s="370">
        <f>假设!L72</f>
        <v>48.82855043</v>
      </c>
      <c r="M55" s="370">
        <f>假设!M72</f>
        <v>48.82855043</v>
      </c>
      <c r="N55" s="370">
        <f>假设!N72</f>
        <v>48.82855043</v>
      </c>
      <c r="O55" s="370">
        <f>假设!O72</f>
        <v>48.82855043</v>
      </c>
      <c r="P55" s="370">
        <f>假设!P72</f>
        <v>48.82855043</v>
      </c>
      <c r="Q55" s="370">
        <f>假设!Q72</f>
        <v>48.82855043</v>
      </c>
      <c r="R55" s="370">
        <f>假设!R72</f>
        <v>48.82855043</v>
      </c>
      <c r="S55" s="370">
        <f>假设!S72</f>
        <v>48.82855043</v>
      </c>
      <c r="T55" s="370">
        <f>假设!T72</f>
        <v>48.82855043</v>
      </c>
      <c r="U55" s="370">
        <f>假设!U72</f>
        <v>48.82855043</v>
      </c>
      <c r="V55" s="370">
        <f>假设!V72</f>
        <v>48.82855043</v>
      </c>
      <c r="W55" s="370">
        <f>假设!W72</f>
        <v>48.82855043</v>
      </c>
      <c r="X55" s="370">
        <f>假设!X72</f>
        <v>48.82855043</v>
      </c>
      <c r="Y55" s="370">
        <f>假设!Y72</f>
        <v>48.82855043</v>
      </c>
      <c r="Z55" s="370">
        <f>假设!Z72</f>
        <v>48.82855043</v>
      </c>
      <c r="AA55" s="370">
        <f>假设!AA72</f>
        <v>48.82855043</v>
      </c>
      <c r="AB55" s="370">
        <f>假设!AB72</f>
        <v>48.82855043</v>
      </c>
      <c r="AC55" s="370">
        <f>假设!AC72</f>
        <v>48.82855043</v>
      </c>
      <c r="AD55" s="370">
        <f>假设!AD72</f>
        <v>48.82855043</v>
      </c>
      <c r="AE55" s="370">
        <f>假设!AE72</f>
        <v>48.82855043</v>
      </c>
      <c r="AF55" s="370">
        <f>假设!AF72</f>
        <v>48.82855043</v>
      </c>
      <c r="AG55" s="370">
        <f>假设!AG72</f>
        <v>48.82855043</v>
      </c>
      <c r="AH55" s="370">
        <f>假设!AH72</f>
        <v>48.82855043</v>
      </c>
      <c r="AI55" s="370">
        <f>假设!AI72</f>
        <v>48.82855043</v>
      </c>
      <c r="AJ55" s="370">
        <f>假设!AJ72</f>
        <v>48.82855043</v>
      </c>
      <c r="AK55" s="370">
        <f>假设!AK72</f>
        <v>48.82855043</v>
      </c>
      <c r="AL55" s="370">
        <f>假设!AL72</f>
        <v>48.82855043</v>
      </c>
      <c r="AM55" s="375"/>
      <c r="AN55" s="368"/>
    </row>
    <row r="56" spans="1:95" ht="28.5" hidden="1" customHeight="1" outlineLevel="1">
      <c r="A56" s="167"/>
      <c r="B56" s="369"/>
      <c r="C56" s="152"/>
      <c r="D56" s="152"/>
      <c r="E56" s="152"/>
      <c r="F56" s="152"/>
      <c r="G56" s="152"/>
      <c r="H56" s="152"/>
      <c r="I56" s="370"/>
      <c r="J56" s="370"/>
      <c r="K56" s="370"/>
      <c r="L56" s="370"/>
      <c r="M56" s="370"/>
      <c r="N56" s="370"/>
      <c r="O56" s="370"/>
      <c r="P56" s="370"/>
      <c r="Q56" s="370"/>
      <c r="R56" s="370"/>
      <c r="S56" s="370"/>
      <c r="T56" s="370"/>
      <c r="U56" s="370"/>
      <c r="V56" s="370"/>
      <c r="W56" s="370"/>
      <c r="X56" s="370"/>
      <c r="Y56" s="370"/>
      <c r="Z56" s="370"/>
      <c r="AA56" s="370"/>
      <c r="AB56" s="370"/>
      <c r="AC56" s="370"/>
      <c r="AD56" s="370"/>
      <c r="AE56" s="370"/>
      <c r="AF56" s="370"/>
      <c r="AG56" s="370"/>
      <c r="AH56" s="370"/>
      <c r="AI56" s="370"/>
      <c r="AJ56" s="370"/>
      <c r="AK56" s="370"/>
      <c r="AL56" s="370"/>
      <c r="AM56" s="375"/>
      <c r="AN56" s="368"/>
    </row>
    <row r="57" spans="1:95" ht="17.25" customHeight="1" outlineLevel="1">
      <c r="A57" s="167" t="s">
        <v>2796</v>
      </c>
      <c r="B57" s="369" t="s">
        <v>995</v>
      </c>
      <c r="C57" s="152">
        <f>年度数据!C98</f>
        <v>0.26807819999999999</v>
      </c>
      <c r="D57" s="152">
        <f>年度数据!D98</f>
        <v>0</v>
      </c>
      <c r="E57" s="152">
        <f>年度数据!E98</f>
        <v>0</v>
      </c>
      <c r="F57" s="152">
        <f>年度数据!F98</f>
        <v>0</v>
      </c>
      <c r="G57" s="152">
        <f>年度数据!G98</f>
        <v>0</v>
      </c>
      <c r="H57" s="152">
        <f>年度数据!H98</f>
        <v>0</v>
      </c>
      <c r="I57" s="370">
        <f>假设!I74</f>
        <v>0</v>
      </c>
      <c r="J57" s="370">
        <f>假设!J74</f>
        <v>0</v>
      </c>
      <c r="K57" s="370">
        <f>假设!K74</f>
        <v>0</v>
      </c>
      <c r="L57" s="370">
        <f>假设!L74</f>
        <v>0</v>
      </c>
      <c r="M57" s="370">
        <f>假设!M74</f>
        <v>0</v>
      </c>
      <c r="N57" s="370">
        <f>假设!N74</f>
        <v>0</v>
      </c>
      <c r="O57" s="370">
        <f>假设!O74</f>
        <v>0</v>
      </c>
      <c r="P57" s="370">
        <f>假设!P74</f>
        <v>0</v>
      </c>
      <c r="Q57" s="370">
        <f>假设!Q74</f>
        <v>0</v>
      </c>
      <c r="R57" s="370">
        <f>假设!R74</f>
        <v>0</v>
      </c>
      <c r="S57" s="370">
        <f>假设!S74</f>
        <v>0</v>
      </c>
      <c r="T57" s="370">
        <f>假设!T74</f>
        <v>0</v>
      </c>
      <c r="U57" s="370">
        <f>假设!U74</f>
        <v>0</v>
      </c>
      <c r="V57" s="370">
        <f>假设!V74</f>
        <v>0</v>
      </c>
      <c r="W57" s="370">
        <f>假设!W74</f>
        <v>0</v>
      </c>
      <c r="X57" s="370">
        <f>假设!X74</f>
        <v>0</v>
      </c>
      <c r="Y57" s="370">
        <f>假设!Y74</f>
        <v>0</v>
      </c>
      <c r="Z57" s="370">
        <f>假设!Z74</f>
        <v>0</v>
      </c>
      <c r="AA57" s="370">
        <f>假设!AA74</f>
        <v>0</v>
      </c>
      <c r="AB57" s="370">
        <f>假设!AB74</f>
        <v>0</v>
      </c>
      <c r="AC57" s="370">
        <f>假设!AC74</f>
        <v>0</v>
      </c>
      <c r="AD57" s="370">
        <f>假设!AD74</f>
        <v>0</v>
      </c>
      <c r="AE57" s="370">
        <f>假设!AE74</f>
        <v>0</v>
      </c>
      <c r="AF57" s="370">
        <f>假设!AF74</f>
        <v>0</v>
      </c>
      <c r="AG57" s="370">
        <f>假设!AG74</f>
        <v>0</v>
      </c>
      <c r="AH57" s="370">
        <f>假设!AH74</f>
        <v>0</v>
      </c>
      <c r="AI57" s="370">
        <f>假设!AI74</f>
        <v>0</v>
      </c>
      <c r="AJ57" s="370">
        <f>假设!AJ74</f>
        <v>0</v>
      </c>
      <c r="AK57" s="370">
        <f>假设!AK74</f>
        <v>0</v>
      </c>
      <c r="AL57" s="370">
        <f>假设!AL74</f>
        <v>0</v>
      </c>
      <c r="AM57" s="375"/>
      <c r="AN57" s="368"/>
    </row>
    <row r="58" spans="1:95" ht="17.25" customHeight="1" outlineLevel="1">
      <c r="A58" s="366" t="s">
        <v>1209</v>
      </c>
      <c r="B58" s="369" t="s">
        <v>995</v>
      </c>
      <c r="C58" s="152">
        <f>C60-(SUM(C42:C45)+SUM(C48:C53)+C55+C57)</f>
        <v>-0.26807819999999083</v>
      </c>
      <c r="D58" s="152">
        <f t="shared" ref="D58:H58" si="39">D60-(SUM(D42:D45)+SUM(D48:D53)+D55+D57)</f>
        <v>0</v>
      </c>
      <c r="E58" s="152">
        <f t="shared" si="39"/>
        <v>114.74209792000056</v>
      </c>
      <c r="F58" s="152">
        <f t="shared" si="39"/>
        <v>369.66927443999975</v>
      </c>
      <c r="G58" s="152">
        <f t="shared" si="39"/>
        <v>24.072084589999577</v>
      </c>
      <c r="H58" s="152">
        <f t="shared" si="39"/>
        <v>32.731616029998804</v>
      </c>
      <c r="I58" s="370">
        <f>假设!I75</f>
        <v>105.7223364689994</v>
      </c>
      <c r="J58" s="370">
        <f>假设!J75</f>
        <v>93.889763758599287</v>
      </c>
      <c r="K58" s="370">
        <f>假设!K75</f>
        <v>78.226138109139256</v>
      </c>
      <c r="L58" s="370">
        <f>假设!L75</f>
        <v>83.875013268035246</v>
      </c>
      <c r="M58" s="370">
        <f>假设!M75</f>
        <v>86.368033138575669</v>
      </c>
      <c r="N58" s="370">
        <f>假设!N75</f>
        <v>84.743921233528624</v>
      </c>
      <c r="O58" s="370">
        <f>假设!O75</f>
        <v>84.405594899505118</v>
      </c>
      <c r="P58" s="370">
        <f>假设!P75</f>
        <v>84.84652228437929</v>
      </c>
      <c r="Q58" s="370">
        <f>假设!Q75</f>
        <v>84.845874944166553</v>
      </c>
      <c r="R58" s="370">
        <f>假设!R75</f>
        <v>84.747817766234292</v>
      </c>
      <c r="S58" s="370">
        <f>假设!S75</f>
        <v>84.762753536570045</v>
      </c>
      <c r="T58" s="370">
        <f>假设!T75</f>
        <v>84.783273961769538</v>
      </c>
      <c r="U58" s="370">
        <f>假设!U75</f>
        <v>84.776286693342342</v>
      </c>
      <c r="V58" s="370">
        <f>假设!V75</f>
        <v>84.772829349805249</v>
      </c>
      <c r="W58" s="370">
        <f>假设!W75</f>
        <v>84.774947893935703</v>
      </c>
      <c r="X58" s="370">
        <f>假设!X75</f>
        <v>84.775412697361276</v>
      </c>
      <c r="Y58" s="370">
        <f>假设!Y75</f>
        <v>84.774843986420507</v>
      </c>
      <c r="Z58" s="370">
        <f>假设!Z75</f>
        <v>84.774833917544242</v>
      </c>
      <c r="AA58" s="370">
        <f>假设!AA75</f>
        <v>84.774964091809679</v>
      </c>
      <c r="AB58" s="370">
        <f>假设!AB75</f>
        <v>84.774945879007362</v>
      </c>
      <c r="AC58" s="370">
        <f>假设!AC75</f>
        <v>84.774918761296732</v>
      </c>
      <c r="AD58" s="370">
        <f>假设!AD75</f>
        <v>84.774927478337275</v>
      </c>
      <c r="AE58" s="370">
        <f>假设!AE75</f>
        <v>84.774932204706374</v>
      </c>
      <c r="AF58" s="370">
        <f>假设!AF75</f>
        <v>84.774929465543821</v>
      </c>
      <c r="AG58" s="370">
        <f>假设!AG75</f>
        <v>84.774928819426577</v>
      </c>
      <c r="AH58" s="370">
        <f>假设!AH75</f>
        <v>84.774929556208775</v>
      </c>
      <c r="AI58" s="370">
        <f>假设!AI75</f>
        <v>84.774929581890888</v>
      </c>
      <c r="AJ58" s="370">
        <f>假设!AJ75</f>
        <v>84.774929410058675</v>
      </c>
      <c r="AK58" s="370">
        <f>假设!AK75</f>
        <v>84.774929431775149</v>
      </c>
      <c r="AL58" s="370">
        <f>假设!AL75</f>
        <v>84.774929467726707</v>
      </c>
      <c r="AM58" s="277"/>
      <c r="AN58" s="368"/>
    </row>
    <row r="59" spans="1:95" ht="17.25" customHeight="1" outlineLevel="1">
      <c r="A59" s="366" t="s">
        <v>143</v>
      </c>
      <c r="B59" s="369" t="s">
        <v>144</v>
      </c>
      <c r="C59" s="152">
        <f>C60-(SUM(C42:C45)+SUM(C48:C53)+C55+C57+C58)</f>
        <v>0</v>
      </c>
      <c r="D59" s="152">
        <f t="shared" ref="D59:H59" si="40">D60-(SUM(D42:D45)+SUM(D48:D53)+D55+D57+D58)</f>
        <v>0</v>
      </c>
      <c r="E59" s="152">
        <f t="shared" si="40"/>
        <v>0</v>
      </c>
      <c r="F59" s="152">
        <f t="shared" si="40"/>
        <v>0</v>
      </c>
      <c r="G59" s="152">
        <f t="shared" si="40"/>
        <v>0</v>
      </c>
      <c r="H59" s="152">
        <f t="shared" si="40"/>
        <v>0</v>
      </c>
      <c r="I59" s="152">
        <f t="shared" ref="I59" ca="1" si="41">I60-(SUM(I42:I45)+SUM(I48:I53)+I55+I57+I58)</f>
        <v>0</v>
      </c>
      <c r="J59" s="152">
        <f t="shared" ref="J59" ca="1" si="42">J60-(SUM(J42:J45)+SUM(J48:J53)+J55+J57+J58)</f>
        <v>0</v>
      </c>
      <c r="K59" s="152">
        <f t="shared" ref="K59" ca="1" si="43">K60-(SUM(K42:K45)+SUM(K48:K53)+K55+K57+K58)</f>
        <v>0</v>
      </c>
      <c r="L59" s="152">
        <f t="shared" ref="L59" ca="1" si="44">L60-(SUM(L42:L45)+SUM(L48:L53)+L55+L57+L58)</f>
        <v>0</v>
      </c>
      <c r="M59" s="152">
        <f t="shared" ref="M59" ca="1" si="45">M60-(SUM(M42:M45)+SUM(M48:M53)+M55+M57+M58)</f>
        <v>0</v>
      </c>
      <c r="N59" s="152">
        <f t="shared" ref="N59" ca="1" si="46">N60-(SUM(N42:N45)+SUM(N48:N53)+N55+N57+N58)</f>
        <v>0</v>
      </c>
      <c r="O59" s="152">
        <f t="shared" ref="O59" ca="1" si="47">O60-(SUM(O42:O45)+SUM(O48:O53)+O55+O57+O58)</f>
        <v>0</v>
      </c>
      <c r="P59" s="152">
        <f t="shared" ref="P59" ca="1" si="48">P60-(SUM(P42:P45)+SUM(P48:P53)+P55+P57+P58)</f>
        <v>0</v>
      </c>
      <c r="Q59" s="152">
        <f t="shared" ref="Q59" ca="1" si="49">Q60-(SUM(Q42:Q45)+SUM(Q48:Q53)+Q55+Q57+Q58)</f>
        <v>0</v>
      </c>
      <c r="R59" s="152">
        <f t="shared" ref="R59" ca="1" si="50">R60-(SUM(R42:R45)+SUM(R48:R53)+R55+R57+R58)</f>
        <v>0</v>
      </c>
      <c r="S59" s="152">
        <f t="shared" ref="S59" ca="1" si="51">S60-(SUM(S42:S45)+SUM(S48:S53)+S55+S57+S58)</f>
        <v>0</v>
      </c>
      <c r="T59" s="152">
        <f t="shared" ref="T59" ca="1" si="52">T60-(SUM(T42:T45)+SUM(T48:T53)+T55+T57+T58)</f>
        <v>0</v>
      </c>
      <c r="U59" s="152">
        <f t="shared" ref="U59" ca="1" si="53">U60-(SUM(U42:U45)+SUM(U48:U53)+U55+U57+U58)</f>
        <v>0</v>
      </c>
      <c r="V59" s="152">
        <f t="shared" ref="V59" ca="1" si="54">V60-(SUM(V42:V45)+SUM(V48:V53)+V55+V57+V58)</f>
        <v>0</v>
      </c>
      <c r="W59" s="152">
        <f t="shared" ref="W59" ca="1" si="55">W60-(SUM(W42:W45)+SUM(W48:W53)+W55+W57+W58)</f>
        <v>0</v>
      </c>
      <c r="X59" s="152">
        <f t="shared" ref="X59" ca="1" si="56">X60-(SUM(X42:X45)+SUM(X48:X53)+X55+X57+X58)</f>
        <v>0</v>
      </c>
      <c r="Y59" s="152">
        <f t="shared" ref="Y59" ca="1" si="57">Y60-(SUM(Y42:Y45)+SUM(Y48:Y53)+Y55+Y57+Y58)</f>
        <v>0</v>
      </c>
      <c r="Z59" s="152">
        <f t="shared" ref="Z59" ca="1" si="58">Z60-(SUM(Z42:Z45)+SUM(Z48:Z53)+Z55+Z57+Z58)</f>
        <v>0</v>
      </c>
      <c r="AA59" s="152">
        <f t="shared" ref="AA59" ca="1" si="59">AA60-(SUM(AA42:AA45)+SUM(AA48:AA53)+AA55+AA57+AA58)</f>
        <v>0</v>
      </c>
      <c r="AB59" s="152">
        <f t="shared" ref="AB59" ca="1" si="60">AB60-(SUM(AB42:AB45)+SUM(AB48:AB53)+AB55+AB57+AB58)</f>
        <v>0</v>
      </c>
      <c r="AC59" s="152">
        <f t="shared" ref="AC59" ca="1" si="61">AC60-(SUM(AC42:AC45)+SUM(AC48:AC53)+AC55+AC57+AC58)</f>
        <v>0</v>
      </c>
      <c r="AD59" s="152">
        <f t="shared" ref="AD59" ca="1" si="62">AD60-(SUM(AD42:AD45)+SUM(AD48:AD53)+AD55+AD57+AD58)</f>
        <v>0</v>
      </c>
      <c r="AE59" s="152">
        <f t="shared" ref="AE59" ca="1" si="63">AE60-(SUM(AE42:AE45)+SUM(AE48:AE53)+AE55+AE57+AE58)</f>
        <v>0</v>
      </c>
      <c r="AF59" s="152">
        <f t="shared" ref="AF59" ca="1" si="64">AF60-(SUM(AF42:AF45)+SUM(AF48:AF53)+AF55+AF57+AF58)</f>
        <v>0</v>
      </c>
      <c r="AG59" s="152">
        <f t="shared" ref="AG59" ca="1" si="65">AG60-(SUM(AG42:AG45)+SUM(AG48:AG53)+AG55+AG57+AG58)</f>
        <v>0</v>
      </c>
      <c r="AH59" s="152">
        <f t="shared" ref="AH59" ca="1" si="66">AH60-(SUM(AH42:AH45)+SUM(AH48:AH53)+AH55+AH57+AH58)</f>
        <v>0</v>
      </c>
      <c r="AI59" s="152">
        <f t="shared" ref="AI59" ca="1" si="67">AI60-(SUM(AI42:AI45)+SUM(AI48:AI53)+AI55+AI57+AI58)</f>
        <v>0</v>
      </c>
      <c r="AJ59" s="152">
        <f t="shared" ref="AJ59" ca="1" si="68">AJ60-(SUM(AJ42:AJ45)+SUM(AJ48:AJ53)+AJ55+AJ57+AJ58)</f>
        <v>0</v>
      </c>
      <c r="AK59" s="152">
        <f t="shared" ref="AK59" ca="1" si="69">AK60-(SUM(AK42:AK45)+SUM(AK48:AK53)+AK55+AK57+AK58)</f>
        <v>0</v>
      </c>
      <c r="AL59" s="152">
        <f t="shared" ref="AL59" ca="1" si="70">AL60-(SUM(AL42:AL45)+SUM(AL48:AL53)+AL55+AL57+AL58)</f>
        <v>0</v>
      </c>
      <c r="AM59" s="277"/>
      <c r="AN59" s="368"/>
    </row>
    <row r="60" spans="1:95" s="372" customFormat="1" ht="17.25" customHeight="1">
      <c r="A60" s="365" t="s">
        <v>960</v>
      </c>
      <c r="B60" s="371" t="s">
        <v>1031</v>
      </c>
      <c r="C60" s="152">
        <f>年度数据!C104</f>
        <v>1071.2909453899999</v>
      </c>
      <c r="D60" s="152">
        <f>年度数据!D104</f>
        <v>1866.55043931</v>
      </c>
      <c r="E60" s="152">
        <f>年度数据!E104</f>
        <v>2742.4301052600003</v>
      </c>
      <c r="F60" s="152">
        <f>年度数据!F104</f>
        <v>3747.0198685999999</v>
      </c>
      <c r="G60" s="152">
        <f>年度数据!G104</f>
        <v>4858.1080969799996</v>
      </c>
      <c r="H60" s="152">
        <f>年度数据!H104</f>
        <v>6108.5103673599997</v>
      </c>
      <c r="I60" s="152">
        <f ca="1">(SUM(I42:I45)+SUM(I48:I53)+I55+I57+I58)</f>
        <v>4284.9947274284677</v>
      </c>
      <c r="J60" s="152">
        <f t="shared" ref="J60:AL60" ca="1" si="71">(SUM(J42:J45)+SUM(J48:J53)+J55+J57+J58)</f>
        <v>8757.9928098174951</v>
      </c>
      <c r="K60" s="152">
        <f t="shared" ca="1" si="71"/>
        <v>8208.4511807930503</v>
      </c>
      <c r="L60" s="152">
        <f t="shared" ca="1" si="71"/>
        <v>11905.51618776674</v>
      </c>
      <c r="M60" s="152">
        <f t="shared" ca="1" si="71"/>
        <v>11880.824645279523</v>
      </c>
      <c r="N60" s="152">
        <f t="shared" ca="1" si="71"/>
        <v>16040.866839489705</v>
      </c>
      <c r="O60" s="152">
        <f t="shared" ca="1" si="71"/>
        <v>16537.811441727561</v>
      </c>
      <c r="P60" s="152">
        <f t="shared" ca="1" si="71"/>
        <v>21628.483512797873</v>
      </c>
      <c r="Q60" s="152">
        <f t="shared" ca="1" si="71"/>
        <v>22609.491918704014</v>
      </c>
      <c r="R60" s="152">
        <f t="shared" ca="1" si="71"/>
        <v>28419.545513114812</v>
      </c>
      <c r="S60" s="152">
        <f t="shared" ca="1" si="71"/>
        <v>30515.565818634201</v>
      </c>
      <c r="T60" s="152">
        <f t="shared" ca="1" si="71"/>
        <v>37463.631720591264</v>
      </c>
      <c r="U60" s="152">
        <f t="shared" ca="1" si="71"/>
        <v>40772.280784990588</v>
      </c>
      <c r="V60" s="152">
        <f t="shared" ca="1" si="71"/>
        <v>49193.793524949899</v>
      </c>
      <c r="W60" s="152">
        <f t="shared" ca="1" si="71"/>
        <v>54230.561136268749</v>
      </c>
      <c r="X60" s="152">
        <f t="shared" ca="1" si="71"/>
        <v>64574.179002326156</v>
      </c>
      <c r="Y60" s="152">
        <f t="shared" ca="1" si="71"/>
        <v>71751.030714938577</v>
      </c>
      <c r="Z60" s="152">
        <f t="shared" ca="1" si="71"/>
        <v>84475.585270250856</v>
      </c>
      <c r="AA60" s="152">
        <f t="shared" ca="1" si="71"/>
        <v>94347.975789927441</v>
      </c>
      <c r="AB60" s="152">
        <f t="shared" ca="1" si="71"/>
        <v>110140.81304016637</v>
      </c>
      <c r="AC60" s="152">
        <f t="shared" ca="1" si="71"/>
        <v>123490.6001227799</v>
      </c>
      <c r="AD60" s="152">
        <f t="shared" ca="1" si="71"/>
        <v>143204.89348846101</v>
      </c>
      <c r="AE60" s="152">
        <f t="shared" ca="1" si="71"/>
        <v>160983.1452451972</v>
      </c>
      <c r="AF60" s="152">
        <f t="shared" ca="1" si="71"/>
        <v>185717.13848529602</v>
      </c>
      <c r="AG60" s="152">
        <f t="shared" ca="1" si="71"/>
        <v>209183.61564643498</v>
      </c>
      <c r="AH60" s="152">
        <f t="shared" ca="1" si="71"/>
        <v>240347.81859287509</v>
      </c>
      <c r="AI60" s="152">
        <f t="shared" ca="1" si="71"/>
        <v>271085.12918397161</v>
      </c>
      <c r="AJ60" s="152">
        <f t="shared" ca="1" si="71"/>
        <v>310475.72003760806</v>
      </c>
      <c r="AK60" s="152">
        <f t="shared" ca="1" si="71"/>
        <v>350517.97381082969</v>
      </c>
      <c r="AL60" s="152">
        <f t="shared" ca="1" si="71"/>
        <v>400435.11226812773</v>
      </c>
      <c r="AM60" s="368"/>
      <c r="AN60" s="368"/>
      <c r="AO60" s="368"/>
      <c r="AP60" s="368"/>
      <c r="AQ60" s="368"/>
      <c r="AR60" s="368"/>
      <c r="AS60" s="368"/>
      <c r="AT60" s="368"/>
      <c r="AU60" s="368"/>
      <c r="AV60" s="368"/>
      <c r="AW60" s="368"/>
      <c r="AX60" s="368"/>
      <c r="AY60" s="368"/>
      <c r="AZ60" s="368"/>
      <c r="BA60" s="368"/>
      <c r="BB60" s="368"/>
      <c r="BC60" s="368"/>
      <c r="BD60" s="368"/>
      <c r="BE60" s="368"/>
      <c r="BF60" s="368"/>
      <c r="BG60" s="368"/>
      <c r="BH60" s="368"/>
      <c r="BI60" s="368"/>
      <c r="BJ60" s="368"/>
      <c r="BK60" s="368"/>
      <c r="BL60" s="368"/>
      <c r="BM60" s="368"/>
      <c r="BN60" s="368"/>
      <c r="BO60" s="368"/>
      <c r="BP60" s="368"/>
      <c r="BQ60" s="368"/>
      <c r="BR60" s="368"/>
      <c r="BS60" s="368"/>
      <c r="BT60" s="368"/>
      <c r="BU60" s="368"/>
      <c r="BV60" s="368"/>
      <c r="BW60" s="368"/>
      <c r="BX60" s="368"/>
      <c r="BY60" s="368"/>
      <c r="BZ60" s="368"/>
      <c r="CA60" s="368"/>
      <c r="CB60" s="368"/>
      <c r="CC60" s="368"/>
      <c r="CD60" s="368"/>
      <c r="CE60" s="368"/>
      <c r="CF60" s="368"/>
      <c r="CG60" s="368"/>
      <c r="CH60" s="368"/>
      <c r="CI60" s="368"/>
      <c r="CJ60" s="368"/>
      <c r="CK60" s="368"/>
      <c r="CL60" s="368"/>
      <c r="CM60" s="368"/>
      <c r="CN60" s="368"/>
      <c r="CO60" s="368"/>
      <c r="CP60" s="368"/>
      <c r="CQ60" s="368"/>
    </row>
    <row r="61" spans="1:95" ht="17.25" customHeight="1">
      <c r="A61" s="376" t="s">
        <v>709</v>
      </c>
      <c r="B61" s="369"/>
      <c r="C61" s="152"/>
      <c r="D61" s="152"/>
      <c r="E61" s="375"/>
      <c r="F61" s="375"/>
      <c r="G61" s="375"/>
      <c r="H61" s="375"/>
      <c r="I61" s="375"/>
      <c r="J61" s="375"/>
      <c r="K61" s="375"/>
      <c r="L61" s="375"/>
      <c r="M61" s="375"/>
      <c r="N61" s="375"/>
      <c r="O61" s="375"/>
      <c r="P61" s="375"/>
      <c r="Q61" s="375"/>
      <c r="R61" s="375"/>
      <c r="S61" s="375"/>
      <c r="T61" s="375"/>
      <c r="U61" s="375"/>
      <c r="V61" s="375"/>
      <c r="W61" s="375"/>
      <c r="X61" s="375"/>
      <c r="Y61" s="375"/>
      <c r="Z61" s="375"/>
      <c r="AA61" s="375"/>
      <c r="AB61" s="375"/>
      <c r="AC61" s="375"/>
      <c r="AD61" s="375"/>
      <c r="AF61" s="277"/>
      <c r="AG61" s="277"/>
      <c r="AH61" s="277"/>
      <c r="AI61" s="277"/>
      <c r="AJ61" s="277"/>
      <c r="AK61" s="277"/>
      <c r="AL61" s="277"/>
      <c r="AM61" s="277"/>
      <c r="AN61" s="368"/>
    </row>
    <row r="62" spans="1:95" ht="17.25" customHeight="1" outlineLevel="1">
      <c r="A62" s="537" t="s">
        <v>1288</v>
      </c>
      <c r="B62" s="369" t="s">
        <v>1441</v>
      </c>
      <c r="C62" s="152">
        <f>年度数据!C106+年度数据!C107</f>
        <v>17.943042670000001</v>
      </c>
      <c r="D62" s="152">
        <f>年度数据!D106+年度数据!D107</f>
        <v>126.28847298999999</v>
      </c>
      <c r="E62" s="152">
        <f>年度数据!E106+年度数据!E107</f>
        <v>73.709260549999996</v>
      </c>
      <c r="F62" s="152">
        <f>年度数据!F106+年度数据!F107</f>
        <v>211.37730328999999</v>
      </c>
      <c r="G62" s="152">
        <f>年度数据!G106+年度数据!G107</f>
        <v>856.58881897000003</v>
      </c>
      <c r="H62" s="152">
        <f>年度数据!H106+年度数据!H107</f>
        <v>708.48547254999994</v>
      </c>
      <c r="I62" s="152">
        <f ca="1">债务!J40</f>
        <v>568.30953474022158</v>
      </c>
      <c r="J62" s="152">
        <f ca="1">债务!K40</f>
        <v>491.92876020784615</v>
      </c>
      <c r="K62" s="152">
        <f ca="1">债务!L40</f>
        <v>402.1774356581094</v>
      </c>
      <c r="L62" s="152">
        <f ca="1">债务!M40</f>
        <v>281.19064658017004</v>
      </c>
      <c r="M62" s="152">
        <f ca="1">债务!N40</f>
        <v>131.01588182477434</v>
      </c>
      <c r="N62" s="152">
        <f ca="1">债务!O40</f>
        <v>135.42516502015047</v>
      </c>
      <c r="O62" s="152">
        <f ca="1">债务!P40</f>
        <v>155.65938206457218</v>
      </c>
      <c r="P62" s="152">
        <f ca="1">债务!Q40</f>
        <v>177.87208480727583</v>
      </c>
      <c r="Q62" s="152">
        <f ca="1">债务!R40</f>
        <v>195.46998080898067</v>
      </c>
      <c r="R62" s="152">
        <f ca="1">债务!S40</f>
        <v>211.64598344456755</v>
      </c>
      <c r="S62" s="152">
        <f ca="1">债务!T40</f>
        <v>236.35352304981822</v>
      </c>
      <c r="T62" s="152">
        <f ca="1">债务!U40</f>
        <v>267.30760277937009</v>
      </c>
      <c r="U62" s="152">
        <f ca="1">债务!V40</f>
        <v>300.29369754796909</v>
      </c>
      <c r="V62" s="152">
        <f ca="1">债务!W40</f>
        <v>373.87440596561157</v>
      </c>
      <c r="W62" s="152">
        <f ca="1">债务!X40</f>
        <v>449.48904105589054</v>
      </c>
      <c r="X62" s="152">
        <f ca="1">债务!Y40</f>
        <v>528.78091907414841</v>
      </c>
      <c r="Y62" s="152">
        <f ca="1">债务!Z40</f>
        <v>607.77317088396285</v>
      </c>
      <c r="Z62" s="152">
        <f ca="1">债务!AA40</f>
        <v>685.07197622607453</v>
      </c>
      <c r="AA62" s="152">
        <f ca="1">债务!AB40</f>
        <v>771.13489078641442</v>
      </c>
      <c r="AB62" s="152">
        <f ca="1">债务!AC40</f>
        <v>868.6626659700886</v>
      </c>
      <c r="AC62" s="152">
        <f ca="1">债务!AD40</f>
        <v>980.41664356772537</v>
      </c>
      <c r="AD62" s="152">
        <f ca="1">债务!AE40</f>
        <v>1106.176422041721</v>
      </c>
      <c r="AE62" s="152">
        <f ca="1">债务!AF40</f>
        <v>1247.1521930219988</v>
      </c>
      <c r="AF62" s="152">
        <f ca="1">债务!AG40</f>
        <v>1407.0966692889961</v>
      </c>
      <c r="AG62" s="152">
        <f ca="1">债务!AH40</f>
        <v>1588.0416036305066</v>
      </c>
      <c r="AH62" s="152">
        <f ca="1">债务!AI40</f>
        <v>1792.2676686405589</v>
      </c>
      <c r="AI62" s="152">
        <f ca="1">债务!AJ40</f>
        <v>2023.4984162408737</v>
      </c>
      <c r="AJ62" s="152">
        <f ca="1">债务!AK40</f>
        <v>2284.4888253772033</v>
      </c>
      <c r="AK62" s="152">
        <f ca="1">债务!AL40</f>
        <v>2579.1183571919801</v>
      </c>
      <c r="AL62" s="152">
        <f ca="1">债务!AM40</f>
        <v>2912.8431843251824</v>
      </c>
      <c r="AM62" s="277"/>
      <c r="AN62" s="368"/>
    </row>
    <row r="63" spans="1:95" ht="17.25" customHeight="1" outlineLevel="1">
      <c r="A63" s="366" t="s">
        <v>2797</v>
      </c>
      <c r="B63" s="369" t="s">
        <v>995</v>
      </c>
      <c r="C63" s="152">
        <f>年度数据!C108</f>
        <v>0</v>
      </c>
      <c r="D63" s="152">
        <f>年度数据!D108</f>
        <v>0</v>
      </c>
      <c r="E63" s="152">
        <f>年度数据!E108</f>
        <v>0</v>
      </c>
      <c r="F63" s="152">
        <f>年度数据!F108</f>
        <v>10.820055029999999</v>
      </c>
      <c r="G63" s="152">
        <f>年度数据!G108</f>
        <v>10.031441019999999</v>
      </c>
      <c r="H63" s="152">
        <f>年度数据!H108</f>
        <v>7.97619262</v>
      </c>
      <c r="I63" s="152">
        <f>假设!I77</f>
        <v>8.6612754200000008</v>
      </c>
      <c r="J63" s="152">
        <f>假设!J77</f>
        <v>8.4329144866666663</v>
      </c>
      <c r="K63" s="152">
        <f>假设!K77</f>
        <v>8.5090347977777778</v>
      </c>
      <c r="L63" s="152">
        <f>假设!L77</f>
        <v>8.4836613607407401</v>
      </c>
      <c r="M63" s="152">
        <f>假设!M77</f>
        <v>8.4921191730864205</v>
      </c>
      <c r="N63" s="152">
        <f>假设!N77</f>
        <v>8.489299902304527</v>
      </c>
      <c r="O63" s="152">
        <f>假设!O77</f>
        <v>8.4902396592318254</v>
      </c>
      <c r="P63" s="152">
        <f>假设!P77</f>
        <v>8.4899264069227254</v>
      </c>
      <c r="Q63" s="152">
        <f>假设!Q77</f>
        <v>8.4900308243590921</v>
      </c>
      <c r="R63" s="152">
        <f>假设!R77</f>
        <v>8.4899960185469698</v>
      </c>
      <c r="S63" s="152">
        <f>假设!S77</f>
        <v>8.4900076204843433</v>
      </c>
      <c r="T63" s="152">
        <f>假设!T77</f>
        <v>8.4900037531718855</v>
      </c>
      <c r="U63" s="152">
        <f>假设!U77</f>
        <v>8.4900050422760387</v>
      </c>
      <c r="V63" s="152">
        <f>假设!V77</f>
        <v>8.4900046125746531</v>
      </c>
      <c r="W63" s="152">
        <f>假设!W77</f>
        <v>8.4900047558084477</v>
      </c>
      <c r="X63" s="152">
        <f>假设!X77</f>
        <v>8.4900047080638501</v>
      </c>
      <c r="Y63" s="152">
        <f>假设!Y77</f>
        <v>8.490004723978716</v>
      </c>
      <c r="Z63" s="152">
        <f>假设!Z77</f>
        <v>8.4900047186737613</v>
      </c>
      <c r="AA63" s="152">
        <f>假设!AA77</f>
        <v>8.4900047204420801</v>
      </c>
      <c r="AB63" s="152">
        <f>假设!AB77</f>
        <v>8.4900047198526405</v>
      </c>
      <c r="AC63" s="152">
        <f>假设!AC77</f>
        <v>8.4900047200491198</v>
      </c>
      <c r="AD63" s="152">
        <f>假设!AD77</f>
        <v>8.4900047199836255</v>
      </c>
      <c r="AE63" s="152">
        <f>假设!AE77</f>
        <v>8.4900047200054569</v>
      </c>
      <c r="AF63" s="152">
        <f>假设!AF77</f>
        <v>8.490004719998181</v>
      </c>
      <c r="AG63" s="152">
        <f>假设!AG77</f>
        <v>8.4900047200006057</v>
      </c>
      <c r="AH63" s="152">
        <f>假设!AH77</f>
        <v>8.4900047199997974</v>
      </c>
      <c r="AI63" s="152">
        <f>假设!AI77</f>
        <v>8.4900047200000675</v>
      </c>
      <c r="AJ63" s="152">
        <f>假设!AJ77</f>
        <v>8.4900047199999786</v>
      </c>
      <c r="AK63" s="152">
        <f>假设!AK77</f>
        <v>8.4900047200000088</v>
      </c>
      <c r="AL63" s="152">
        <f>假设!AL77</f>
        <v>8.4900047199999999</v>
      </c>
      <c r="AM63" s="277"/>
      <c r="AN63" s="368"/>
    </row>
    <row r="64" spans="1:95" ht="17.25" customHeight="1" outlineLevel="1">
      <c r="A64" s="366" t="s">
        <v>1024</v>
      </c>
      <c r="B64" s="369" t="s">
        <v>995</v>
      </c>
      <c r="C64" s="152">
        <f>年度数据!C109</f>
        <v>0</v>
      </c>
      <c r="D64" s="152">
        <f>年度数据!D109</f>
        <v>0</v>
      </c>
      <c r="E64" s="152">
        <f>年度数据!E109</f>
        <v>0</v>
      </c>
      <c r="F64" s="152">
        <f>年度数据!F109</f>
        <v>0</v>
      </c>
      <c r="G64" s="152">
        <f>年度数据!G109</f>
        <v>0</v>
      </c>
      <c r="H64" s="152">
        <f>年度数据!H109</f>
        <v>0</v>
      </c>
      <c r="I64" s="370">
        <f>假设!I78</f>
        <v>0</v>
      </c>
      <c r="J64" s="370">
        <f>假设!J78</f>
        <v>0</v>
      </c>
      <c r="K64" s="370">
        <f>假设!K78</f>
        <v>0</v>
      </c>
      <c r="L64" s="370">
        <f>假设!L78</f>
        <v>0</v>
      </c>
      <c r="M64" s="370">
        <f>假设!M78</f>
        <v>0</v>
      </c>
      <c r="N64" s="370">
        <f>假设!N78</f>
        <v>0</v>
      </c>
      <c r="O64" s="370">
        <f>假设!O78</f>
        <v>0</v>
      </c>
      <c r="P64" s="370">
        <f>假设!P78</f>
        <v>0</v>
      </c>
      <c r="Q64" s="370">
        <f>假设!Q78</f>
        <v>0</v>
      </c>
      <c r="R64" s="370">
        <f>假设!R78</f>
        <v>0</v>
      </c>
      <c r="S64" s="370">
        <f>假设!S78</f>
        <v>0</v>
      </c>
      <c r="T64" s="370">
        <f>假设!T78</f>
        <v>0</v>
      </c>
      <c r="U64" s="370">
        <f>假设!U78</f>
        <v>0</v>
      </c>
      <c r="V64" s="370">
        <f>假设!V78</f>
        <v>0</v>
      </c>
      <c r="W64" s="370">
        <f>假设!W78</f>
        <v>0</v>
      </c>
      <c r="X64" s="370">
        <f>假设!X78</f>
        <v>0</v>
      </c>
      <c r="Y64" s="370">
        <f>假设!Y78</f>
        <v>0</v>
      </c>
      <c r="Z64" s="370">
        <f>假设!Z78</f>
        <v>0</v>
      </c>
      <c r="AA64" s="370">
        <f>假设!AA78</f>
        <v>0</v>
      </c>
      <c r="AB64" s="370">
        <f>假设!AB78</f>
        <v>0</v>
      </c>
      <c r="AC64" s="370">
        <f>假设!AC78</f>
        <v>0</v>
      </c>
      <c r="AD64" s="370">
        <f>假设!AD78</f>
        <v>0</v>
      </c>
      <c r="AE64" s="370">
        <f>假设!AE78</f>
        <v>0</v>
      </c>
      <c r="AF64" s="370">
        <f>假设!AF78</f>
        <v>0</v>
      </c>
      <c r="AG64" s="370">
        <f>假设!AG78</f>
        <v>0</v>
      </c>
      <c r="AH64" s="370">
        <f>假设!AH78</f>
        <v>0</v>
      </c>
      <c r="AI64" s="370">
        <f>假设!AI78</f>
        <v>0</v>
      </c>
      <c r="AJ64" s="370">
        <f>假设!AJ78</f>
        <v>0</v>
      </c>
      <c r="AK64" s="370">
        <f>假设!AK78</f>
        <v>0</v>
      </c>
      <c r="AL64" s="370">
        <f>假设!AL78</f>
        <v>0</v>
      </c>
      <c r="AM64" s="277"/>
      <c r="AN64" s="368"/>
    </row>
    <row r="65" spans="1:95" ht="17.25" customHeight="1" outlineLevel="1">
      <c r="A65" s="373" t="s">
        <v>910</v>
      </c>
      <c r="B65" s="369" t="s">
        <v>995</v>
      </c>
      <c r="C65" s="152">
        <f>年度数据!C112</f>
        <v>0</v>
      </c>
      <c r="D65" s="152">
        <f>年度数据!D112</f>
        <v>1.4887656200000001</v>
      </c>
      <c r="E65" s="152">
        <f>年度数据!E112</f>
        <v>0</v>
      </c>
      <c r="F65" s="152">
        <f>年度数据!F112</f>
        <v>2.9455830000000002E-2</v>
      </c>
      <c r="G65" s="152">
        <f>年度数据!G112</f>
        <v>1.3269900000000001E-3</v>
      </c>
      <c r="H65" s="152">
        <f>年度数据!H112</f>
        <v>14.9259705</v>
      </c>
      <c r="I65" s="370">
        <f>假设!I79</f>
        <v>16.43</v>
      </c>
      <c r="J65" s="370">
        <f>假设!J79</f>
        <v>15.928656833333333</v>
      </c>
      <c r="K65" s="370">
        <f>假设!K79</f>
        <v>16.095771222222222</v>
      </c>
      <c r="L65" s="370">
        <f>假设!L79</f>
        <v>16.040066425925925</v>
      </c>
      <c r="M65" s="370">
        <f>假设!M79</f>
        <v>16.058634691358023</v>
      </c>
      <c r="N65" s="370">
        <f>假设!N79</f>
        <v>16.052445269547324</v>
      </c>
      <c r="O65" s="370">
        <f>假设!O79</f>
        <v>16.054508410150891</v>
      </c>
      <c r="P65" s="370">
        <f>假设!P79</f>
        <v>16.05382069661637</v>
      </c>
      <c r="Q65" s="370">
        <f>假设!Q79</f>
        <v>16.054049934461208</v>
      </c>
      <c r="R65" s="370">
        <f>假设!R79</f>
        <v>16.053973521846263</v>
      </c>
      <c r="S65" s="370">
        <f>假设!S79</f>
        <v>16.053998992717911</v>
      </c>
      <c r="T65" s="370">
        <f>假设!T79</f>
        <v>16.053990502427364</v>
      </c>
      <c r="U65" s="370">
        <f>假设!U79</f>
        <v>16.053993332524215</v>
      </c>
      <c r="V65" s="370">
        <f>假设!V79</f>
        <v>16.053992389158598</v>
      </c>
      <c r="W65" s="370">
        <f>假设!W79</f>
        <v>16.053992703613805</v>
      </c>
      <c r="X65" s="370">
        <f>假设!X79</f>
        <v>16.053992598795404</v>
      </c>
      <c r="Y65" s="370">
        <f>假设!Y79</f>
        <v>16.053992633734868</v>
      </c>
      <c r="Z65" s="370">
        <f>假设!Z79</f>
        <v>16.05399262208838</v>
      </c>
      <c r="AA65" s="370">
        <f>假设!AA79</f>
        <v>16.05399262597054</v>
      </c>
      <c r="AB65" s="370">
        <f>假设!AB79</f>
        <v>16.053992624676486</v>
      </c>
      <c r="AC65" s="370">
        <f>假设!AC79</f>
        <v>16.053992625107838</v>
      </c>
      <c r="AD65" s="370">
        <f>假设!AD79</f>
        <v>16.053992624964053</v>
      </c>
      <c r="AE65" s="370">
        <f>假设!AE79</f>
        <v>16.053992625011983</v>
      </c>
      <c r="AF65" s="370">
        <f>假设!AF79</f>
        <v>16.053992624996006</v>
      </c>
      <c r="AG65" s="370">
        <f>假设!AG79</f>
        <v>16.053992625001332</v>
      </c>
      <c r="AH65" s="370">
        <f>假设!AH79</f>
        <v>16.053992624999555</v>
      </c>
      <c r="AI65" s="370">
        <f>假设!AI79</f>
        <v>16.053992625000149</v>
      </c>
      <c r="AJ65" s="370">
        <f>假设!AJ79</f>
        <v>16.05399262499995</v>
      </c>
      <c r="AK65" s="370">
        <f>假设!AK79</f>
        <v>16.053992625000017</v>
      </c>
      <c r="AL65" s="370">
        <f>假设!AL79</f>
        <v>16.053992624999996</v>
      </c>
      <c r="AM65" s="277"/>
      <c r="AN65" s="368"/>
    </row>
    <row r="66" spans="1:95" ht="17.25" customHeight="1" outlineLevel="1">
      <c r="A66" s="167" t="s">
        <v>1036</v>
      </c>
      <c r="B66" s="369" t="s">
        <v>995</v>
      </c>
      <c r="C66" s="152">
        <f>年度数据!C110</f>
        <v>0</v>
      </c>
      <c r="D66" s="152">
        <f>年度数据!D110</f>
        <v>0</v>
      </c>
      <c r="E66" s="152">
        <f>年度数据!E110</f>
        <v>0</v>
      </c>
      <c r="F66" s="152">
        <f>年度数据!F110</f>
        <v>0</v>
      </c>
      <c r="G66" s="152">
        <f>年度数据!G110</f>
        <v>0</v>
      </c>
      <c r="H66" s="152">
        <f>年度数据!H110</f>
        <v>0</v>
      </c>
      <c r="I66" s="370">
        <f>假设!I80</f>
        <v>0</v>
      </c>
      <c r="J66" s="370">
        <f>假设!J80</f>
        <v>0</v>
      </c>
      <c r="K66" s="370">
        <f>假设!K80</f>
        <v>0</v>
      </c>
      <c r="L66" s="370">
        <f>假设!L80</f>
        <v>0</v>
      </c>
      <c r="M66" s="370">
        <f>假设!M80</f>
        <v>0</v>
      </c>
      <c r="N66" s="370">
        <f>假设!N80</f>
        <v>0</v>
      </c>
      <c r="O66" s="370">
        <f>假设!O80</f>
        <v>0</v>
      </c>
      <c r="P66" s="370">
        <f>假设!P80</f>
        <v>0</v>
      </c>
      <c r="Q66" s="370">
        <f>假设!Q80</f>
        <v>0</v>
      </c>
      <c r="R66" s="370">
        <f>假设!R80</f>
        <v>0</v>
      </c>
      <c r="S66" s="370">
        <f>假设!S80</f>
        <v>0</v>
      </c>
      <c r="T66" s="370">
        <f>假设!T80</f>
        <v>0</v>
      </c>
      <c r="U66" s="370">
        <f>假设!U80</f>
        <v>0</v>
      </c>
      <c r="V66" s="370">
        <f>假设!V80</f>
        <v>0</v>
      </c>
      <c r="W66" s="370">
        <f>假设!W80</f>
        <v>0</v>
      </c>
      <c r="X66" s="370">
        <f>假设!X80</f>
        <v>0</v>
      </c>
      <c r="Y66" s="370">
        <f>假设!Y80</f>
        <v>0</v>
      </c>
      <c r="Z66" s="370">
        <f>假设!Z80</f>
        <v>0</v>
      </c>
      <c r="AA66" s="370">
        <f>假设!AA80</f>
        <v>0</v>
      </c>
      <c r="AB66" s="370">
        <f>假设!AB80</f>
        <v>0</v>
      </c>
      <c r="AC66" s="370">
        <f>假设!AC80</f>
        <v>0</v>
      </c>
      <c r="AD66" s="370">
        <f>假设!AD80</f>
        <v>0</v>
      </c>
      <c r="AE66" s="370">
        <f>假设!AE80</f>
        <v>0</v>
      </c>
      <c r="AF66" s="370">
        <f>假设!AF80</f>
        <v>0</v>
      </c>
      <c r="AG66" s="370">
        <f>假设!AG80</f>
        <v>0</v>
      </c>
      <c r="AH66" s="370">
        <f>假设!AH80</f>
        <v>0</v>
      </c>
      <c r="AI66" s="370">
        <f>假设!AI80</f>
        <v>0</v>
      </c>
      <c r="AJ66" s="370">
        <f>假设!AJ80</f>
        <v>0</v>
      </c>
      <c r="AK66" s="370">
        <f>假设!AK80</f>
        <v>0</v>
      </c>
      <c r="AL66" s="370">
        <f>假设!AL80</f>
        <v>0</v>
      </c>
      <c r="AM66" s="277"/>
      <c r="AN66" s="368"/>
    </row>
    <row r="67" spans="1:95" ht="17.25" customHeight="1" outlineLevel="1">
      <c r="A67" s="167" t="s">
        <v>917</v>
      </c>
      <c r="B67" s="369" t="s">
        <v>995</v>
      </c>
      <c r="C67" s="152">
        <f>年度数据!C111</f>
        <v>11.80061177</v>
      </c>
      <c r="D67" s="152">
        <f>年度数据!D111</f>
        <v>18.411667619999999</v>
      </c>
      <c r="E67" s="152">
        <f>年度数据!E111</f>
        <v>26.436019010000003</v>
      </c>
      <c r="F67" s="152">
        <f>年度数据!F111</f>
        <v>40.489262490000002</v>
      </c>
      <c r="G67" s="152">
        <f>年度数据!G111</f>
        <v>65.091196390000007</v>
      </c>
      <c r="H67" s="152">
        <f>年度数据!H111</f>
        <v>97.583334340000008</v>
      </c>
      <c r="I67" s="370">
        <f>假设!I81</f>
        <v>114.37</v>
      </c>
      <c r="J67" s="370">
        <f>假设!J81</f>
        <v>108.77444478000001</v>
      </c>
      <c r="K67" s="370">
        <f>假设!K81</f>
        <v>110.63962985333335</v>
      </c>
      <c r="L67" s="370">
        <f>假设!L81</f>
        <v>110.01790149555556</v>
      </c>
      <c r="M67" s="370">
        <f>假设!M81</f>
        <v>110.22514428148149</v>
      </c>
      <c r="N67" s="370">
        <f>假设!N81</f>
        <v>110.15606335283951</v>
      </c>
      <c r="O67" s="370">
        <f>假设!O81</f>
        <v>110.17909032905351</v>
      </c>
      <c r="P67" s="370">
        <f>假设!P81</f>
        <v>110.17141467031551</v>
      </c>
      <c r="Q67" s="370">
        <f>假设!Q81</f>
        <v>110.17397322322817</v>
      </c>
      <c r="R67" s="370">
        <f>假设!R81</f>
        <v>110.17312037225729</v>
      </c>
      <c r="S67" s="370">
        <f>假设!S81</f>
        <v>110.17340465591424</v>
      </c>
      <c r="T67" s="370">
        <f>假设!T81</f>
        <v>110.17330989469525</v>
      </c>
      <c r="U67" s="370">
        <f>假设!U81</f>
        <v>110.17334148176825</v>
      </c>
      <c r="V67" s="370">
        <f>假设!V81</f>
        <v>110.17333095274391</v>
      </c>
      <c r="W67" s="370">
        <f>假设!W81</f>
        <v>110.17333446241868</v>
      </c>
      <c r="X67" s="370">
        <f>假设!X81</f>
        <v>110.17333329252709</v>
      </c>
      <c r="Y67" s="370">
        <f>假设!Y81</f>
        <v>110.17333368249096</v>
      </c>
      <c r="Z67" s="370">
        <f>假设!Z81</f>
        <v>110.173333552503</v>
      </c>
      <c r="AA67" s="370">
        <f>假设!AA81</f>
        <v>110.17333359583232</v>
      </c>
      <c r="AB67" s="370">
        <f>假设!AB81</f>
        <v>110.17333358138922</v>
      </c>
      <c r="AC67" s="370">
        <f>假设!AC81</f>
        <v>110.17333358620358</v>
      </c>
      <c r="AD67" s="370">
        <f>假设!AD81</f>
        <v>110.17333358459878</v>
      </c>
      <c r="AE67" s="370">
        <f>假设!AE81</f>
        <v>110.17333358513372</v>
      </c>
      <c r="AF67" s="370">
        <f>假设!AF81</f>
        <v>110.1733335849554</v>
      </c>
      <c r="AG67" s="370">
        <f>假设!AG81</f>
        <v>110.17333358501484</v>
      </c>
      <c r="AH67" s="370">
        <f>假设!AH81</f>
        <v>110.17333358499502</v>
      </c>
      <c r="AI67" s="370">
        <f>假设!AI81</f>
        <v>110.17333358500163</v>
      </c>
      <c r="AJ67" s="370">
        <f>假设!AJ81</f>
        <v>110.17333358499941</v>
      </c>
      <c r="AK67" s="370">
        <f>假设!AK81</f>
        <v>110.17333358500015</v>
      </c>
      <c r="AL67" s="370">
        <f>假设!AL81</f>
        <v>110.17333358499991</v>
      </c>
      <c r="AM67" s="277"/>
      <c r="AN67" s="368"/>
    </row>
    <row r="68" spans="1:95" ht="17.25" customHeight="1" outlineLevel="1">
      <c r="A68" s="373" t="s">
        <v>981</v>
      </c>
      <c r="B68" s="369" t="s">
        <v>995</v>
      </c>
      <c r="C68" s="152">
        <f>年度数据!C113</f>
        <v>0</v>
      </c>
      <c r="D68" s="152">
        <f>年度数据!D113</f>
        <v>0</v>
      </c>
      <c r="E68" s="152">
        <f>年度数据!E113</f>
        <v>0</v>
      </c>
      <c r="F68" s="152">
        <f>F70-SUM(F62:F67)</f>
        <v>2.8977348200000392</v>
      </c>
      <c r="G68" s="152">
        <f>G70-SUM(G62:G67)</f>
        <v>31.793796479999855</v>
      </c>
      <c r="H68" s="152">
        <f>H70-SUM(H62:H67)</f>
        <v>84.036498590000178</v>
      </c>
      <c r="I68" s="370">
        <f>假设!I82</f>
        <v>84.036498590000178</v>
      </c>
      <c r="J68" s="370">
        <f>假设!J82</f>
        <v>84.036498590000178</v>
      </c>
      <c r="K68" s="370">
        <f>假设!K82</f>
        <v>84.036498590000178</v>
      </c>
      <c r="L68" s="370">
        <f>假设!L82</f>
        <v>84.036498590000178</v>
      </c>
      <c r="M68" s="370">
        <f>假设!M82</f>
        <v>84.036498590000178</v>
      </c>
      <c r="N68" s="370">
        <f>假设!N82</f>
        <v>84.036498590000178</v>
      </c>
      <c r="O68" s="370">
        <f>假设!O82</f>
        <v>84.036498590000178</v>
      </c>
      <c r="P68" s="370">
        <f>假设!P82</f>
        <v>84.036498590000178</v>
      </c>
      <c r="Q68" s="370">
        <f>假设!Q82</f>
        <v>84.036498590000178</v>
      </c>
      <c r="R68" s="370">
        <f>假设!R82</f>
        <v>84.036498590000178</v>
      </c>
      <c r="S68" s="370">
        <f>假设!S82</f>
        <v>84.036498590000178</v>
      </c>
      <c r="T68" s="370">
        <f>假设!T82</f>
        <v>84.036498590000178</v>
      </c>
      <c r="U68" s="370">
        <f>假设!U82</f>
        <v>84.036498590000178</v>
      </c>
      <c r="V68" s="370">
        <f>假设!V82</f>
        <v>84.036498590000178</v>
      </c>
      <c r="W68" s="370">
        <f>假设!W82</f>
        <v>84.036498590000178</v>
      </c>
      <c r="X68" s="370">
        <f>假设!X82</f>
        <v>84.036498590000178</v>
      </c>
      <c r="Y68" s="370">
        <f>假设!Y82</f>
        <v>84.036498590000178</v>
      </c>
      <c r="Z68" s="370">
        <f>假设!Z82</f>
        <v>84.036498590000178</v>
      </c>
      <c r="AA68" s="370">
        <f>假设!AA82</f>
        <v>84.036498590000178</v>
      </c>
      <c r="AB68" s="370">
        <f>假设!AB82</f>
        <v>84.036498590000178</v>
      </c>
      <c r="AC68" s="370">
        <f>假设!AC82</f>
        <v>84.036498590000178</v>
      </c>
      <c r="AD68" s="370">
        <f>假设!AD82</f>
        <v>84.036498590000178</v>
      </c>
      <c r="AE68" s="370">
        <f>假设!AE82</f>
        <v>84.036498590000178</v>
      </c>
      <c r="AF68" s="370">
        <f>假设!AF82</f>
        <v>84.036498590000178</v>
      </c>
      <c r="AG68" s="370">
        <f>假设!AG82</f>
        <v>84.036498590000178</v>
      </c>
      <c r="AH68" s="370">
        <f>假设!AH82</f>
        <v>84.036498590000178</v>
      </c>
      <c r="AI68" s="370">
        <f>假设!AI82</f>
        <v>84.036498590000178</v>
      </c>
      <c r="AJ68" s="370">
        <f>假设!AJ82</f>
        <v>84.036498590000178</v>
      </c>
      <c r="AK68" s="370">
        <f>假设!AK82</f>
        <v>84.036498590000178</v>
      </c>
      <c r="AL68" s="370">
        <f>假设!AL82</f>
        <v>84.036498590000178</v>
      </c>
      <c r="AM68" s="277"/>
      <c r="AN68" s="368"/>
    </row>
    <row r="69" spans="1:95" ht="17.25" customHeight="1" outlineLevel="1">
      <c r="A69" s="366" t="s">
        <v>143</v>
      </c>
      <c r="B69" s="369" t="s">
        <v>145</v>
      </c>
      <c r="C69" s="152">
        <f t="shared" ref="C69:AL69" si="72">C70-SUM(C62:C68)</f>
        <v>1.3458889599999999</v>
      </c>
      <c r="D69" s="152">
        <f t="shared" si="72"/>
        <v>0</v>
      </c>
      <c r="E69" s="152">
        <f t="shared" si="72"/>
        <v>0</v>
      </c>
      <c r="F69" s="152">
        <f t="shared" si="72"/>
        <v>0</v>
      </c>
      <c r="G69" s="152">
        <f t="shared" si="72"/>
        <v>0</v>
      </c>
      <c r="H69" s="152">
        <f t="shared" si="72"/>
        <v>0</v>
      </c>
      <c r="I69" s="370">
        <f t="shared" ca="1" si="72"/>
        <v>0</v>
      </c>
      <c r="J69" s="370">
        <f t="shared" ca="1" si="72"/>
        <v>0</v>
      </c>
      <c r="K69" s="370">
        <f t="shared" ca="1" si="72"/>
        <v>0</v>
      </c>
      <c r="L69" s="370">
        <f t="shared" ca="1" si="72"/>
        <v>0</v>
      </c>
      <c r="M69" s="370">
        <f t="shared" ca="1" si="72"/>
        <v>0</v>
      </c>
      <c r="N69" s="370">
        <f t="shared" ca="1" si="72"/>
        <v>0</v>
      </c>
      <c r="O69" s="370">
        <f t="shared" ca="1" si="72"/>
        <v>0</v>
      </c>
      <c r="P69" s="370">
        <f t="shared" ca="1" si="72"/>
        <v>0</v>
      </c>
      <c r="Q69" s="370">
        <f t="shared" ca="1" si="72"/>
        <v>0</v>
      </c>
      <c r="R69" s="370">
        <f t="shared" ca="1" si="72"/>
        <v>0</v>
      </c>
      <c r="S69" s="370">
        <f t="shared" ca="1" si="72"/>
        <v>0</v>
      </c>
      <c r="T69" s="370">
        <f t="shared" ca="1" si="72"/>
        <v>0</v>
      </c>
      <c r="U69" s="370">
        <f t="shared" ca="1" si="72"/>
        <v>0</v>
      </c>
      <c r="V69" s="370">
        <f t="shared" ca="1" si="72"/>
        <v>0</v>
      </c>
      <c r="W69" s="370">
        <f t="shared" ca="1" si="72"/>
        <v>0</v>
      </c>
      <c r="X69" s="370">
        <f t="shared" ca="1" si="72"/>
        <v>0</v>
      </c>
      <c r="Y69" s="370">
        <f t="shared" ca="1" si="72"/>
        <v>0</v>
      </c>
      <c r="Z69" s="370">
        <f t="shared" ca="1" si="72"/>
        <v>0</v>
      </c>
      <c r="AA69" s="370">
        <f t="shared" ca="1" si="72"/>
        <v>0</v>
      </c>
      <c r="AB69" s="370">
        <f t="shared" ca="1" si="72"/>
        <v>0</v>
      </c>
      <c r="AC69" s="370">
        <f t="shared" ca="1" si="72"/>
        <v>0</v>
      </c>
      <c r="AD69" s="370">
        <f t="shared" ca="1" si="72"/>
        <v>0</v>
      </c>
      <c r="AE69" s="370">
        <f t="shared" ca="1" si="72"/>
        <v>0</v>
      </c>
      <c r="AF69" s="370">
        <f t="shared" ca="1" si="72"/>
        <v>0</v>
      </c>
      <c r="AG69" s="370">
        <f t="shared" ca="1" si="72"/>
        <v>0</v>
      </c>
      <c r="AH69" s="370">
        <f t="shared" ca="1" si="72"/>
        <v>0</v>
      </c>
      <c r="AI69" s="370">
        <f t="shared" ca="1" si="72"/>
        <v>0</v>
      </c>
      <c r="AJ69" s="370">
        <f t="shared" ca="1" si="72"/>
        <v>0</v>
      </c>
      <c r="AK69" s="370">
        <f t="shared" ca="1" si="72"/>
        <v>0</v>
      </c>
      <c r="AL69" s="370">
        <f t="shared" ca="1" si="72"/>
        <v>0</v>
      </c>
      <c r="AM69" s="277"/>
      <c r="AN69" s="368"/>
    </row>
    <row r="70" spans="1:95" s="372" customFormat="1" ht="17.25" customHeight="1">
      <c r="A70" s="376" t="s">
        <v>962</v>
      </c>
      <c r="B70" s="371" t="s">
        <v>1031</v>
      </c>
      <c r="C70" s="152">
        <f>年度数据!C114</f>
        <v>31.0895434</v>
      </c>
      <c r="D70" s="152">
        <f t="shared" ref="D70:E70" si="73">SUM(D62:D68)</f>
        <v>146.18890622999999</v>
      </c>
      <c r="E70" s="152">
        <f t="shared" si="73"/>
        <v>100.14527956000001</v>
      </c>
      <c r="F70" s="152">
        <f>年度数据!F114</f>
        <v>265.61381146000002</v>
      </c>
      <c r="G70" s="152">
        <f>年度数据!G114</f>
        <v>963.50657984999998</v>
      </c>
      <c r="H70" s="152">
        <f>年度数据!H114</f>
        <v>913.00746860000004</v>
      </c>
      <c r="I70" s="152">
        <f ca="1">SUM(I62:I68)</f>
        <v>791.80730875022175</v>
      </c>
      <c r="J70" s="152">
        <f t="shared" ref="J70:AL70" ca="1" si="74">SUM(J62:J68)</f>
        <v>709.10127489784634</v>
      </c>
      <c r="K70" s="152">
        <f t="shared" ca="1" si="74"/>
        <v>621.45837012144284</v>
      </c>
      <c r="L70" s="152">
        <f t="shared" ca="1" si="74"/>
        <v>499.76877445239251</v>
      </c>
      <c r="M70" s="152">
        <f t="shared" ca="1" si="74"/>
        <v>349.82827856070048</v>
      </c>
      <c r="N70" s="152">
        <f t="shared" ca="1" si="74"/>
        <v>354.15947213484202</v>
      </c>
      <c r="O70" s="152">
        <f t="shared" ca="1" si="74"/>
        <v>374.41971905300863</v>
      </c>
      <c r="P70" s="152">
        <f t="shared" ca="1" si="74"/>
        <v>396.62374517113062</v>
      </c>
      <c r="Q70" s="152">
        <f t="shared" ca="1" si="74"/>
        <v>414.22453338102929</v>
      </c>
      <c r="R70" s="152">
        <f t="shared" ca="1" si="74"/>
        <v>430.39957194721825</v>
      </c>
      <c r="S70" s="152">
        <f t="shared" ca="1" si="74"/>
        <v>455.10743290893487</v>
      </c>
      <c r="T70" s="152">
        <f t="shared" ca="1" si="74"/>
        <v>486.06140551966479</v>
      </c>
      <c r="U70" s="152">
        <f t="shared" ca="1" si="74"/>
        <v>519.04753599453784</v>
      </c>
      <c r="V70" s="152">
        <f t="shared" ca="1" si="74"/>
        <v>592.62823251008899</v>
      </c>
      <c r="W70" s="152">
        <f t="shared" ca="1" si="74"/>
        <v>668.24287156773164</v>
      </c>
      <c r="X70" s="152">
        <f t="shared" ca="1" si="74"/>
        <v>747.53474826353499</v>
      </c>
      <c r="Y70" s="152">
        <f t="shared" ca="1" si="74"/>
        <v>826.52700051416753</v>
      </c>
      <c r="Z70" s="152">
        <f t="shared" ca="1" si="74"/>
        <v>903.82580570933976</v>
      </c>
      <c r="AA70" s="152">
        <f t="shared" ca="1" si="74"/>
        <v>989.88872031865958</v>
      </c>
      <c r="AB70" s="152">
        <f t="shared" ca="1" si="74"/>
        <v>1087.4164954860071</v>
      </c>
      <c r="AC70" s="152">
        <f t="shared" ca="1" si="74"/>
        <v>1199.170473089086</v>
      </c>
      <c r="AD70" s="152">
        <f t="shared" ca="1" si="74"/>
        <v>1324.9302515612676</v>
      </c>
      <c r="AE70" s="152">
        <f t="shared" ca="1" si="74"/>
        <v>1465.9060225421499</v>
      </c>
      <c r="AF70" s="152">
        <f t="shared" ca="1" si="74"/>
        <v>1625.8504988089458</v>
      </c>
      <c r="AG70" s="152">
        <f t="shared" ca="1" si="74"/>
        <v>1806.7954331505234</v>
      </c>
      <c r="AH70" s="152">
        <f t="shared" ca="1" si="74"/>
        <v>2011.0214981605536</v>
      </c>
      <c r="AI70" s="152">
        <f t="shared" ca="1" si="74"/>
        <v>2242.2522457608757</v>
      </c>
      <c r="AJ70" s="152">
        <f t="shared" ca="1" si="74"/>
        <v>2503.2426548972026</v>
      </c>
      <c r="AK70" s="152">
        <f t="shared" ca="1" si="74"/>
        <v>2797.8721867119802</v>
      </c>
      <c r="AL70" s="152">
        <f t="shared" ca="1" si="74"/>
        <v>3131.5970138451821</v>
      </c>
      <c r="AM70" s="368"/>
      <c r="AN70" s="368"/>
      <c r="AO70" s="368"/>
      <c r="AP70" s="368"/>
      <c r="AQ70" s="368"/>
      <c r="AR70" s="368"/>
      <c r="AS70" s="368"/>
      <c r="AT70" s="368"/>
      <c r="AU70" s="368"/>
      <c r="AV70" s="368"/>
      <c r="AW70" s="368"/>
      <c r="AX70" s="368"/>
      <c r="AY70" s="368"/>
      <c r="AZ70" s="368"/>
      <c r="BA70" s="368"/>
      <c r="BB70" s="368"/>
      <c r="BC70" s="368"/>
      <c r="BD70" s="368"/>
      <c r="BE70" s="368"/>
      <c r="BF70" s="368"/>
      <c r="BG70" s="368"/>
      <c r="BH70" s="368"/>
      <c r="BI70" s="368"/>
      <c r="BJ70" s="368"/>
      <c r="BK70" s="368"/>
      <c r="BL70" s="368"/>
      <c r="BM70" s="368"/>
      <c r="BN70" s="368"/>
      <c r="BO70" s="368"/>
      <c r="BP70" s="368"/>
      <c r="BQ70" s="368"/>
      <c r="BR70" s="368"/>
      <c r="BS70" s="368"/>
      <c r="BT70" s="368"/>
      <c r="BU70" s="368"/>
      <c r="BV70" s="368"/>
      <c r="BW70" s="368"/>
      <c r="BX70" s="368"/>
      <c r="BY70" s="368"/>
      <c r="BZ70" s="368"/>
      <c r="CA70" s="368"/>
      <c r="CB70" s="368"/>
      <c r="CC70" s="368"/>
      <c r="CD70" s="368"/>
      <c r="CE70" s="368"/>
      <c r="CF70" s="368"/>
      <c r="CG70" s="368"/>
      <c r="CH70" s="368"/>
      <c r="CI70" s="368"/>
      <c r="CJ70" s="368"/>
      <c r="CK70" s="368"/>
      <c r="CL70" s="368"/>
      <c r="CM70" s="368"/>
      <c r="CN70" s="368"/>
      <c r="CO70" s="368"/>
      <c r="CP70" s="368"/>
      <c r="CQ70" s="368"/>
    </row>
    <row r="71" spans="1:95" ht="17.25" customHeight="1">
      <c r="A71" s="365" t="s">
        <v>710</v>
      </c>
      <c r="B71" s="377"/>
      <c r="C71" s="152"/>
      <c r="D71" s="152"/>
      <c r="E71" s="375"/>
      <c r="F71" s="375"/>
      <c r="G71" s="375"/>
      <c r="H71" s="375"/>
      <c r="I71" s="375"/>
      <c r="J71" s="375"/>
      <c r="K71" s="375"/>
      <c r="L71" s="375"/>
      <c r="M71" s="375"/>
      <c r="N71" s="375"/>
      <c r="O71" s="375"/>
      <c r="P71" s="375"/>
      <c r="Q71" s="375"/>
      <c r="R71" s="375"/>
      <c r="S71" s="375"/>
      <c r="T71" s="375"/>
      <c r="U71" s="375"/>
      <c r="V71" s="375"/>
      <c r="W71" s="375"/>
      <c r="X71" s="375"/>
      <c r="Y71" s="375"/>
      <c r="Z71" s="375"/>
      <c r="AA71" s="375"/>
      <c r="AB71" s="375"/>
      <c r="AC71" s="375"/>
      <c r="AD71" s="375"/>
      <c r="AF71" s="277"/>
      <c r="AG71" s="277"/>
      <c r="AH71" s="277"/>
      <c r="AI71" s="277"/>
      <c r="AJ71" s="277"/>
      <c r="AK71" s="277"/>
      <c r="AL71" s="277"/>
      <c r="AM71" s="277"/>
      <c r="AN71" s="368"/>
    </row>
    <row r="72" spans="1:95" s="372" customFormat="1" ht="17.25" customHeight="1">
      <c r="A72" s="365" t="s">
        <v>1053</v>
      </c>
      <c r="B72" s="371" t="s">
        <v>1031</v>
      </c>
      <c r="C72" s="152">
        <f>年度数据!C116</f>
        <v>1102.3804887900001</v>
      </c>
      <c r="D72" s="152">
        <f>年度数据!D116</f>
        <v>2013.68423454</v>
      </c>
      <c r="E72" s="152">
        <f>年度数据!E116</f>
        <v>2844.7569589299997</v>
      </c>
      <c r="F72" s="152">
        <f>年度数据!F116</f>
        <v>4012.6336800599997</v>
      </c>
      <c r="G72" s="152">
        <f>年度数据!G116</f>
        <v>5821.6146768299996</v>
      </c>
      <c r="H72" s="152">
        <f>年度数据!H116</f>
        <v>7021.5178359600004</v>
      </c>
      <c r="I72" s="152">
        <f t="shared" ref="I72:AL72" ca="1" si="75">I60+I70</f>
        <v>5076.8020361786894</v>
      </c>
      <c r="J72" s="152">
        <f t="shared" ca="1" si="75"/>
        <v>9467.0940847153415</v>
      </c>
      <c r="K72" s="152">
        <f t="shared" ca="1" si="75"/>
        <v>8829.9095509144936</v>
      </c>
      <c r="L72" s="152">
        <f t="shared" ca="1" si="75"/>
        <v>12405.284962219132</v>
      </c>
      <c r="M72" s="152">
        <f t="shared" ca="1" si="75"/>
        <v>12230.652923840224</v>
      </c>
      <c r="N72" s="152">
        <f t="shared" ca="1" si="75"/>
        <v>16395.026311624548</v>
      </c>
      <c r="O72" s="152">
        <f t="shared" ca="1" si="75"/>
        <v>16912.231160780571</v>
      </c>
      <c r="P72" s="152">
        <f t="shared" ca="1" si="75"/>
        <v>22025.107257969004</v>
      </c>
      <c r="Q72" s="152">
        <f t="shared" ca="1" si="75"/>
        <v>23023.716452085042</v>
      </c>
      <c r="R72" s="152">
        <f t="shared" ca="1" si="75"/>
        <v>28849.945085062031</v>
      </c>
      <c r="S72" s="152">
        <f t="shared" ca="1" si="75"/>
        <v>30970.673251543136</v>
      </c>
      <c r="T72" s="152">
        <f t="shared" ca="1" si="75"/>
        <v>37949.693126110928</v>
      </c>
      <c r="U72" s="152">
        <f t="shared" ca="1" si="75"/>
        <v>41291.328320985129</v>
      </c>
      <c r="V72" s="152">
        <f t="shared" ca="1" si="75"/>
        <v>49786.42175745999</v>
      </c>
      <c r="W72" s="152">
        <f t="shared" ca="1" si="75"/>
        <v>54898.804007836479</v>
      </c>
      <c r="X72" s="152">
        <f t="shared" ca="1" si="75"/>
        <v>65321.71375058969</v>
      </c>
      <c r="Y72" s="152">
        <f t="shared" ca="1" si="75"/>
        <v>72577.557715452742</v>
      </c>
      <c r="Z72" s="152">
        <f t="shared" ca="1" si="75"/>
        <v>85379.41107596019</v>
      </c>
      <c r="AA72" s="152">
        <f t="shared" ca="1" si="75"/>
        <v>95337.864510246101</v>
      </c>
      <c r="AB72" s="152">
        <f t="shared" ca="1" si="75"/>
        <v>111228.22953565237</v>
      </c>
      <c r="AC72" s="152">
        <f t="shared" ca="1" si="75"/>
        <v>124689.77059586899</v>
      </c>
      <c r="AD72" s="152">
        <f t="shared" ca="1" si="75"/>
        <v>144529.82374002229</v>
      </c>
      <c r="AE72" s="152">
        <f t="shared" ca="1" si="75"/>
        <v>162449.05126773936</v>
      </c>
      <c r="AF72" s="152">
        <f t="shared" ca="1" si="75"/>
        <v>187342.98898410497</v>
      </c>
      <c r="AG72" s="152">
        <f t="shared" ca="1" si="75"/>
        <v>210990.41107958549</v>
      </c>
      <c r="AH72" s="152">
        <f t="shared" ca="1" si="75"/>
        <v>242358.84009103564</v>
      </c>
      <c r="AI72" s="152">
        <f t="shared" ca="1" si="75"/>
        <v>273327.38142973249</v>
      </c>
      <c r="AJ72" s="152">
        <f t="shared" ca="1" si="75"/>
        <v>312978.96269250527</v>
      </c>
      <c r="AK72" s="152">
        <f t="shared" ca="1" si="75"/>
        <v>353315.84599754168</v>
      </c>
      <c r="AL72" s="152">
        <f t="shared" ca="1" si="75"/>
        <v>403566.7092819729</v>
      </c>
      <c r="AM72" s="152"/>
      <c r="AN72" s="368"/>
      <c r="AO72" s="368"/>
      <c r="AP72" s="368"/>
      <c r="AQ72" s="368"/>
      <c r="AR72" s="368"/>
      <c r="AS72" s="368"/>
      <c r="AT72" s="368"/>
      <c r="AU72" s="368"/>
      <c r="AV72" s="368"/>
      <c r="AW72" s="368"/>
      <c r="AX72" s="368"/>
      <c r="AY72" s="368"/>
      <c r="AZ72" s="368"/>
      <c r="BA72" s="368"/>
      <c r="BB72" s="368"/>
      <c r="BC72" s="368"/>
      <c r="BD72" s="368"/>
      <c r="BE72" s="368"/>
      <c r="BF72" s="368"/>
      <c r="BG72" s="368"/>
      <c r="BH72" s="368"/>
      <c r="BI72" s="368"/>
      <c r="BJ72" s="368"/>
      <c r="BK72" s="368"/>
      <c r="BL72" s="368"/>
      <c r="BM72" s="368"/>
      <c r="BN72" s="368"/>
      <c r="BO72" s="368"/>
      <c r="BP72" s="368"/>
      <c r="BQ72" s="368"/>
      <c r="BR72" s="368"/>
      <c r="BS72" s="368"/>
      <c r="BT72" s="368"/>
      <c r="BU72" s="368"/>
      <c r="BV72" s="368"/>
      <c r="BW72" s="368"/>
      <c r="BX72" s="368"/>
      <c r="BY72" s="368"/>
      <c r="BZ72" s="368"/>
      <c r="CA72" s="368"/>
      <c r="CB72" s="368"/>
      <c r="CC72" s="368"/>
      <c r="CD72" s="368"/>
      <c r="CE72" s="368"/>
      <c r="CF72" s="368"/>
      <c r="CG72" s="368"/>
      <c r="CH72" s="368"/>
      <c r="CI72" s="368"/>
      <c r="CJ72" s="368"/>
      <c r="CK72" s="368"/>
      <c r="CL72" s="368"/>
      <c r="CM72" s="368"/>
      <c r="CN72" s="368"/>
      <c r="CO72" s="368"/>
      <c r="CP72" s="368"/>
      <c r="CQ72" s="368"/>
    </row>
    <row r="73" spans="1:95" s="368" customFormat="1" ht="17.25" customHeight="1">
      <c r="A73" s="365" t="s">
        <v>711</v>
      </c>
      <c r="B73" s="378"/>
      <c r="C73" s="152"/>
      <c r="D73" s="152"/>
      <c r="E73" s="152"/>
      <c r="F73" s="152"/>
      <c r="G73" s="152"/>
      <c r="H73" s="152"/>
      <c r="I73" s="152"/>
      <c r="J73" s="152"/>
      <c r="K73" s="152"/>
      <c r="L73" s="152"/>
      <c r="M73" s="152"/>
      <c r="N73" s="152"/>
      <c r="O73" s="153"/>
      <c r="P73" s="153"/>
      <c r="Q73" s="153"/>
      <c r="R73" s="153"/>
      <c r="S73" s="153"/>
      <c r="T73" s="153"/>
      <c r="U73" s="153"/>
      <c r="V73" s="153"/>
      <c r="W73" s="153"/>
      <c r="X73" s="153"/>
      <c r="Y73" s="153"/>
      <c r="Z73" s="153"/>
      <c r="AA73" s="153"/>
      <c r="AB73" s="153"/>
      <c r="AC73" s="153"/>
      <c r="AD73" s="153"/>
      <c r="AE73" s="225"/>
    </row>
    <row r="74" spans="1:95" s="368" customFormat="1" ht="17.25" customHeight="1">
      <c r="A74" s="366" t="s">
        <v>2315</v>
      </c>
      <c r="B74" s="378"/>
      <c r="C74" s="152">
        <f>年度数据!C118</f>
        <v>458</v>
      </c>
      <c r="D74" s="152">
        <f>年度数据!D118</f>
        <v>610.66660000000002</v>
      </c>
      <c r="E74" s="152">
        <f>年度数据!E118</f>
        <v>607.72360000000003</v>
      </c>
      <c r="F74" s="152">
        <f>年度数据!F118</f>
        <v>611.77160000000003</v>
      </c>
      <c r="G74" s="152">
        <f>年度数据!G118</f>
        <v>1151.18658</v>
      </c>
      <c r="H74" s="152">
        <f>年度数据!H118</f>
        <v>1180.8786270000001</v>
      </c>
      <c r="I74" s="152">
        <f>假设!I136</f>
        <v>1180.8786270000001</v>
      </c>
      <c r="J74" s="152">
        <f>假设!J136</f>
        <v>1180.8786270000001</v>
      </c>
      <c r="K74" s="152">
        <f>假设!K136</f>
        <v>1180.8786270000001</v>
      </c>
      <c r="L74" s="152">
        <f>假设!L136</f>
        <v>1180.8786270000001</v>
      </c>
      <c r="M74" s="152">
        <f>假设!M136</f>
        <v>1180.8786270000001</v>
      </c>
      <c r="N74" s="152">
        <f>假设!N136</f>
        <v>1180.8786270000001</v>
      </c>
      <c r="O74" s="152">
        <f>假设!O136</f>
        <v>1180.8786270000001</v>
      </c>
      <c r="P74" s="152">
        <f>假设!P136</f>
        <v>1180.8786270000001</v>
      </c>
      <c r="Q74" s="152">
        <f>假设!Q136</f>
        <v>1180.8786270000001</v>
      </c>
      <c r="R74" s="152">
        <f>假设!R136</f>
        <v>1180.8786270000001</v>
      </c>
      <c r="S74" s="152">
        <f>假设!S136</f>
        <v>1180.8786270000001</v>
      </c>
      <c r="T74" s="152">
        <f>假设!T136</f>
        <v>1180.8786270000001</v>
      </c>
      <c r="U74" s="152">
        <f>假设!U136</f>
        <v>1180.8786270000001</v>
      </c>
      <c r="V74" s="152">
        <f>假设!V136</f>
        <v>1180.8786270000001</v>
      </c>
      <c r="W74" s="152">
        <f>假设!W136</f>
        <v>1180.8786270000001</v>
      </c>
      <c r="X74" s="152">
        <f>假设!X136</f>
        <v>1180.8786270000001</v>
      </c>
      <c r="Y74" s="152">
        <f>假设!Y136</f>
        <v>1180.8786270000001</v>
      </c>
      <c r="Z74" s="152">
        <f>假设!Z136</f>
        <v>1180.8786270000001</v>
      </c>
      <c r="AA74" s="152">
        <f>假设!AA136</f>
        <v>1180.8786270000001</v>
      </c>
      <c r="AB74" s="152">
        <f>假设!AB136</f>
        <v>1180.8786270000001</v>
      </c>
      <c r="AC74" s="152">
        <f>假设!AC136</f>
        <v>1180.8786270000001</v>
      </c>
      <c r="AD74" s="152">
        <f>假设!AD136</f>
        <v>1180.8786270000001</v>
      </c>
      <c r="AE74" s="152">
        <f>假设!AE136</f>
        <v>1180.8786270000001</v>
      </c>
      <c r="AF74" s="152">
        <f>假设!AF136</f>
        <v>1180.8786270000001</v>
      </c>
      <c r="AG74" s="152">
        <f>假设!AG136</f>
        <v>1180.8786270000001</v>
      </c>
      <c r="AH74" s="152">
        <f>假设!AH136</f>
        <v>1180.8786270000001</v>
      </c>
      <c r="AI74" s="152">
        <f>假设!AI136</f>
        <v>1180.8786270000001</v>
      </c>
      <c r="AJ74" s="152">
        <f>假设!AJ136</f>
        <v>1180.8786270000001</v>
      </c>
      <c r="AK74" s="152">
        <f>假设!AK136</f>
        <v>1180.8786270000001</v>
      </c>
      <c r="AL74" s="152">
        <f>假设!AL136</f>
        <v>1180.8786270000001</v>
      </c>
    </row>
    <row r="75" spans="1:95" s="368" customFormat="1" ht="17.25" customHeight="1">
      <c r="A75" s="366" t="s">
        <v>2798</v>
      </c>
      <c r="B75" s="369" t="s">
        <v>2824</v>
      </c>
      <c r="C75" s="152">
        <f>年度数据!C119</f>
        <v>0</v>
      </c>
      <c r="D75" s="152">
        <f>年度数据!D119</f>
        <v>0</v>
      </c>
      <c r="E75" s="152">
        <f>年度数据!E119</f>
        <v>0</v>
      </c>
      <c r="F75" s="152">
        <f>年度数据!F119</f>
        <v>0</v>
      </c>
      <c r="G75" s="152">
        <f>年度数据!G119</f>
        <v>0</v>
      </c>
      <c r="H75" s="152">
        <f>年度数据!H119</f>
        <v>0</v>
      </c>
      <c r="I75" s="152">
        <f>H75</f>
        <v>0</v>
      </c>
      <c r="J75" s="152">
        <f t="shared" ref="J75:AL77" si="76">I75</f>
        <v>0</v>
      </c>
      <c r="K75" s="152">
        <f t="shared" si="76"/>
        <v>0</v>
      </c>
      <c r="L75" s="152">
        <f t="shared" si="76"/>
        <v>0</v>
      </c>
      <c r="M75" s="152">
        <f t="shared" si="76"/>
        <v>0</v>
      </c>
      <c r="N75" s="152">
        <f t="shared" si="76"/>
        <v>0</v>
      </c>
      <c r="O75" s="152">
        <f t="shared" si="76"/>
        <v>0</v>
      </c>
      <c r="P75" s="152">
        <f t="shared" si="76"/>
        <v>0</v>
      </c>
      <c r="Q75" s="152">
        <f t="shared" si="76"/>
        <v>0</v>
      </c>
      <c r="R75" s="152">
        <f t="shared" si="76"/>
        <v>0</v>
      </c>
      <c r="S75" s="152">
        <f t="shared" si="76"/>
        <v>0</v>
      </c>
      <c r="T75" s="152">
        <f t="shared" si="76"/>
        <v>0</v>
      </c>
      <c r="U75" s="152">
        <f t="shared" si="76"/>
        <v>0</v>
      </c>
      <c r="V75" s="152">
        <f t="shared" si="76"/>
        <v>0</v>
      </c>
      <c r="W75" s="152">
        <f t="shared" si="76"/>
        <v>0</v>
      </c>
      <c r="X75" s="152">
        <f t="shared" si="76"/>
        <v>0</v>
      </c>
      <c r="Y75" s="152">
        <f t="shared" si="76"/>
        <v>0</v>
      </c>
      <c r="Z75" s="152">
        <f t="shared" si="76"/>
        <v>0</v>
      </c>
      <c r="AA75" s="152">
        <f t="shared" si="76"/>
        <v>0</v>
      </c>
      <c r="AB75" s="152">
        <f t="shared" si="76"/>
        <v>0</v>
      </c>
      <c r="AC75" s="152">
        <f t="shared" si="76"/>
        <v>0</v>
      </c>
      <c r="AD75" s="152">
        <f t="shared" si="76"/>
        <v>0</v>
      </c>
      <c r="AE75" s="152">
        <f t="shared" si="76"/>
        <v>0</v>
      </c>
      <c r="AF75" s="152">
        <f t="shared" si="76"/>
        <v>0</v>
      </c>
      <c r="AG75" s="152">
        <f t="shared" si="76"/>
        <v>0</v>
      </c>
      <c r="AH75" s="152">
        <f t="shared" si="76"/>
        <v>0</v>
      </c>
      <c r="AI75" s="152">
        <f t="shared" si="76"/>
        <v>0</v>
      </c>
      <c r="AJ75" s="152">
        <f t="shared" si="76"/>
        <v>0</v>
      </c>
      <c r="AK75" s="152">
        <f t="shared" si="76"/>
        <v>0</v>
      </c>
      <c r="AL75" s="152">
        <f t="shared" si="76"/>
        <v>0</v>
      </c>
    </row>
    <row r="76" spans="1:95" s="368" customFormat="1" ht="17.25" customHeight="1">
      <c r="A76" s="366" t="s">
        <v>2803</v>
      </c>
      <c r="B76" s="369" t="s">
        <v>2824</v>
      </c>
      <c r="C76" s="152">
        <f>年度数据!C120</f>
        <v>0</v>
      </c>
      <c r="D76" s="152">
        <f>年度数据!D120</f>
        <v>0</v>
      </c>
      <c r="E76" s="152">
        <f>年度数据!E120</f>
        <v>0</v>
      </c>
      <c r="F76" s="152">
        <f>年度数据!F120</f>
        <v>0</v>
      </c>
      <c r="G76" s="152">
        <f>年度数据!G120</f>
        <v>0</v>
      </c>
      <c r="H76" s="152">
        <f>年度数据!H120</f>
        <v>0</v>
      </c>
      <c r="I76" s="152">
        <f t="shared" ref="I76:X77" si="77">H76</f>
        <v>0</v>
      </c>
      <c r="J76" s="152">
        <f t="shared" si="77"/>
        <v>0</v>
      </c>
      <c r="K76" s="152">
        <f t="shared" si="77"/>
        <v>0</v>
      </c>
      <c r="L76" s="152">
        <f t="shared" si="77"/>
        <v>0</v>
      </c>
      <c r="M76" s="152">
        <f t="shared" si="77"/>
        <v>0</v>
      </c>
      <c r="N76" s="152">
        <f t="shared" si="77"/>
        <v>0</v>
      </c>
      <c r="O76" s="152">
        <f t="shared" si="77"/>
        <v>0</v>
      </c>
      <c r="P76" s="152">
        <f t="shared" si="77"/>
        <v>0</v>
      </c>
      <c r="Q76" s="152">
        <f t="shared" si="77"/>
        <v>0</v>
      </c>
      <c r="R76" s="152">
        <f t="shared" si="77"/>
        <v>0</v>
      </c>
      <c r="S76" s="152">
        <f t="shared" si="77"/>
        <v>0</v>
      </c>
      <c r="T76" s="152">
        <f t="shared" si="77"/>
        <v>0</v>
      </c>
      <c r="U76" s="152">
        <f t="shared" si="77"/>
        <v>0</v>
      </c>
      <c r="V76" s="152">
        <f t="shared" si="77"/>
        <v>0</v>
      </c>
      <c r="W76" s="152">
        <f t="shared" si="77"/>
        <v>0</v>
      </c>
      <c r="X76" s="152">
        <f t="shared" si="77"/>
        <v>0</v>
      </c>
      <c r="Y76" s="152">
        <f t="shared" si="76"/>
        <v>0</v>
      </c>
      <c r="Z76" s="152">
        <f t="shared" si="76"/>
        <v>0</v>
      </c>
      <c r="AA76" s="152">
        <f t="shared" si="76"/>
        <v>0</v>
      </c>
      <c r="AB76" s="152">
        <f t="shared" si="76"/>
        <v>0</v>
      </c>
      <c r="AC76" s="152">
        <f t="shared" si="76"/>
        <v>0</v>
      </c>
      <c r="AD76" s="152">
        <f t="shared" si="76"/>
        <v>0</v>
      </c>
      <c r="AE76" s="152">
        <f t="shared" si="76"/>
        <v>0</v>
      </c>
      <c r="AF76" s="152">
        <f t="shared" si="76"/>
        <v>0</v>
      </c>
      <c r="AG76" s="152">
        <f t="shared" si="76"/>
        <v>0</v>
      </c>
      <c r="AH76" s="152">
        <f t="shared" si="76"/>
        <v>0</v>
      </c>
      <c r="AI76" s="152">
        <f t="shared" si="76"/>
        <v>0</v>
      </c>
      <c r="AJ76" s="152">
        <f t="shared" si="76"/>
        <v>0</v>
      </c>
      <c r="AK76" s="152">
        <f t="shared" si="76"/>
        <v>0</v>
      </c>
      <c r="AL76" s="152">
        <f t="shared" si="76"/>
        <v>0</v>
      </c>
    </row>
    <row r="77" spans="1:95" s="368" customFormat="1" ht="17.25" customHeight="1">
      <c r="A77" s="366" t="s">
        <v>2804</v>
      </c>
      <c r="B77" s="369" t="s">
        <v>2824</v>
      </c>
      <c r="C77" s="152">
        <f>年度数据!C121</f>
        <v>0</v>
      </c>
      <c r="D77" s="152">
        <f>年度数据!D121</f>
        <v>0</v>
      </c>
      <c r="E77" s="152">
        <f>年度数据!E121</f>
        <v>0</v>
      </c>
      <c r="F77" s="152">
        <f>年度数据!F121</f>
        <v>0</v>
      </c>
      <c r="G77" s="152">
        <f>年度数据!G121</f>
        <v>0</v>
      </c>
      <c r="H77" s="152">
        <f>年度数据!H121</f>
        <v>0</v>
      </c>
      <c r="I77" s="152">
        <f t="shared" si="77"/>
        <v>0</v>
      </c>
      <c r="J77" s="152">
        <f t="shared" si="76"/>
        <v>0</v>
      </c>
      <c r="K77" s="152">
        <f t="shared" si="76"/>
        <v>0</v>
      </c>
      <c r="L77" s="152">
        <f t="shared" si="76"/>
        <v>0</v>
      </c>
      <c r="M77" s="152">
        <f t="shared" si="76"/>
        <v>0</v>
      </c>
      <c r="N77" s="152">
        <f t="shared" si="76"/>
        <v>0</v>
      </c>
      <c r="O77" s="152">
        <f t="shared" si="76"/>
        <v>0</v>
      </c>
      <c r="P77" s="152">
        <f t="shared" si="76"/>
        <v>0</v>
      </c>
      <c r="Q77" s="152">
        <f t="shared" si="76"/>
        <v>0</v>
      </c>
      <c r="R77" s="152">
        <f t="shared" si="76"/>
        <v>0</v>
      </c>
      <c r="S77" s="152">
        <f t="shared" si="76"/>
        <v>0</v>
      </c>
      <c r="T77" s="152">
        <f t="shared" si="76"/>
        <v>0</v>
      </c>
      <c r="U77" s="152">
        <f t="shared" si="76"/>
        <v>0</v>
      </c>
      <c r="V77" s="152">
        <f t="shared" si="76"/>
        <v>0</v>
      </c>
      <c r="W77" s="152">
        <f t="shared" si="76"/>
        <v>0</v>
      </c>
      <c r="X77" s="152">
        <f t="shared" si="76"/>
        <v>0</v>
      </c>
      <c r="Y77" s="152">
        <f t="shared" si="76"/>
        <v>0</v>
      </c>
      <c r="Z77" s="152">
        <f t="shared" si="76"/>
        <v>0</v>
      </c>
      <c r="AA77" s="152">
        <f t="shared" si="76"/>
        <v>0</v>
      </c>
      <c r="AB77" s="152">
        <f t="shared" si="76"/>
        <v>0</v>
      </c>
      <c r="AC77" s="152">
        <f t="shared" si="76"/>
        <v>0</v>
      </c>
      <c r="AD77" s="152">
        <f t="shared" si="76"/>
        <v>0</v>
      </c>
      <c r="AE77" s="152">
        <f t="shared" si="76"/>
        <v>0</v>
      </c>
      <c r="AF77" s="152">
        <f t="shared" si="76"/>
        <v>0</v>
      </c>
      <c r="AG77" s="152">
        <f t="shared" si="76"/>
        <v>0</v>
      </c>
      <c r="AH77" s="152">
        <f t="shared" si="76"/>
        <v>0</v>
      </c>
      <c r="AI77" s="152">
        <f t="shared" si="76"/>
        <v>0</v>
      </c>
      <c r="AJ77" s="152">
        <f t="shared" si="76"/>
        <v>0</v>
      </c>
      <c r="AK77" s="152">
        <f t="shared" si="76"/>
        <v>0</v>
      </c>
      <c r="AL77" s="152">
        <f t="shared" si="76"/>
        <v>0</v>
      </c>
    </row>
    <row r="78" spans="1:95" s="368" customFormat="1" ht="17.25" customHeight="1">
      <c r="A78" s="366" t="s">
        <v>2316</v>
      </c>
      <c r="B78" s="369"/>
      <c r="C78" s="152">
        <f>年度数据!C122</f>
        <v>588.92393775999994</v>
      </c>
      <c r="D78" s="152">
        <f>年度数据!D122</f>
        <v>1843.06637875</v>
      </c>
      <c r="E78" s="152">
        <f>年度数据!E122</f>
        <v>1830.68615363</v>
      </c>
      <c r="F78" s="152">
        <f>年度数据!F122</f>
        <v>1909.0041427900001</v>
      </c>
      <c r="G78" s="152">
        <f>年度数据!G122</f>
        <v>1680.9903678599999</v>
      </c>
      <c r="H78" s="152">
        <f>年度数据!H122</f>
        <v>2072.21509741</v>
      </c>
      <c r="I78" s="152">
        <f>假设!I153</f>
        <v>2072.21509741</v>
      </c>
      <c r="J78" s="152">
        <f>假设!J153</f>
        <v>2072.21509741</v>
      </c>
      <c r="K78" s="152">
        <f>假设!K153</f>
        <v>2072.21509741</v>
      </c>
      <c r="L78" s="152">
        <f>假设!L153</f>
        <v>2072.21509741</v>
      </c>
      <c r="M78" s="152">
        <f>假设!M153</f>
        <v>2072.21509741</v>
      </c>
      <c r="N78" s="152">
        <f>假设!N153</f>
        <v>2072.21509741</v>
      </c>
      <c r="O78" s="152">
        <f>假设!O153</f>
        <v>2072.21509741</v>
      </c>
      <c r="P78" s="152">
        <f>假设!P153</f>
        <v>2072.21509741</v>
      </c>
      <c r="Q78" s="152">
        <f>假设!Q153</f>
        <v>2072.21509741</v>
      </c>
      <c r="R78" s="152">
        <f>假设!R153</f>
        <v>2072.21509741</v>
      </c>
      <c r="S78" s="152">
        <f>假设!S153</f>
        <v>2072.21509741</v>
      </c>
      <c r="T78" s="152">
        <f>假设!T153</f>
        <v>2072.21509741</v>
      </c>
      <c r="U78" s="152">
        <f>假设!U153</f>
        <v>2072.21509741</v>
      </c>
      <c r="V78" s="152">
        <f>假设!V153</f>
        <v>2072.21509741</v>
      </c>
      <c r="W78" s="152">
        <f>假设!W153</f>
        <v>2072.21509741</v>
      </c>
      <c r="X78" s="152">
        <f>假设!X153</f>
        <v>2072.21509741</v>
      </c>
      <c r="Y78" s="152">
        <f>假设!Y153</f>
        <v>2072.21509741</v>
      </c>
      <c r="Z78" s="152">
        <f>假设!Z153</f>
        <v>2072.21509741</v>
      </c>
      <c r="AA78" s="152">
        <f>假设!AA153</f>
        <v>2072.21509741</v>
      </c>
      <c r="AB78" s="152">
        <f>假设!AB153</f>
        <v>2072.21509741</v>
      </c>
      <c r="AC78" s="152">
        <f>假设!AC153</f>
        <v>2072.21509741</v>
      </c>
      <c r="AD78" s="152">
        <f>假设!AD153</f>
        <v>2072.21509741</v>
      </c>
      <c r="AE78" s="152">
        <f>假设!AE153</f>
        <v>2072.21509741</v>
      </c>
      <c r="AF78" s="152">
        <f>假设!AF153</f>
        <v>2072.21509741</v>
      </c>
      <c r="AG78" s="152">
        <f>假设!AG153</f>
        <v>2072.21509741</v>
      </c>
      <c r="AH78" s="152">
        <f>假设!AH153</f>
        <v>2072.21509741</v>
      </c>
      <c r="AI78" s="152">
        <f>假设!AI153</f>
        <v>2072.21509741</v>
      </c>
      <c r="AJ78" s="152">
        <f>假设!AJ153</f>
        <v>2072.21509741</v>
      </c>
      <c r="AK78" s="152">
        <f>假设!AK153</f>
        <v>2072.21509741</v>
      </c>
      <c r="AL78" s="152">
        <f>假设!AL153</f>
        <v>2072.21509741</v>
      </c>
    </row>
    <row r="79" spans="1:95" s="368" customFormat="1" ht="17.25" customHeight="1">
      <c r="A79" s="366" t="s">
        <v>2801</v>
      </c>
      <c r="B79" s="369" t="s">
        <v>2824</v>
      </c>
      <c r="C79" s="152">
        <f>年度数据!C124</f>
        <v>0</v>
      </c>
      <c r="D79" s="152">
        <f>年度数据!D124</f>
        <v>0</v>
      </c>
      <c r="E79" s="152">
        <f>年度数据!E124</f>
        <v>-71.202198680000009</v>
      </c>
      <c r="F79" s="152">
        <f>年度数据!F124</f>
        <v>-57.719113310000004</v>
      </c>
      <c r="G79" s="152">
        <f>年度数据!G124</f>
        <v>-76.931451840000008</v>
      </c>
      <c r="H79" s="152">
        <f>年度数据!H124</f>
        <v>-43.28223706</v>
      </c>
      <c r="I79" s="152">
        <f>H79</f>
        <v>-43.28223706</v>
      </c>
      <c r="J79" s="152">
        <f t="shared" ref="J79:AL79" si="78">I79</f>
        <v>-43.28223706</v>
      </c>
      <c r="K79" s="152">
        <f t="shared" si="78"/>
        <v>-43.28223706</v>
      </c>
      <c r="L79" s="152">
        <f t="shared" si="78"/>
        <v>-43.28223706</v>
      </c>
      <c r="M79" s="152">
        <f t="shared" si="78"/>
        <v>-43.28223706</v>
      </c>
      <c r="N79" s="152">
        <f t="shared" si="78"/>
        <v>-43.28223706</v>
      </c>
      <c r="O79" s="152">
        <f t="shared" si="78"/>
        <v>-43.28223706</v>
      </c>
      <c r="P79" s="152">
        <f t="shared" si="78"/>
        <v>-43.28223706</v>
      </c>
      <c r="Q79" s="152">
        <f t="shared" si="78"/>
        <v>-43.28223706</v>
      </c>
      <c r="R79" s="152">
        <f t="shared" si="78"/>
        <v>-43.28223706</v>
      </c>
      <c r="S79" s="152">
        <f t="shared" si="78"/>
        <v>-43.28223706</v>
      </c>
      <c r="T79" s="152">
        <f t="shared" si="78"/>
        <v>-43.28223706</v>
      </c>
      <c r="U79" s="152">
        <f t="shared" si="78"/>
        <v>-43.28223706</v>
      </c>
      <c r="V79" s="152">
        <f t="shared" si="78"/>
        <v>-43.28223706</v>
      </c>
      <c r="W79" s="152">
        <f t="shared" si="78"/>
        <v>-43.28223706</v>
      </c>
      <c r="X79" s="152">
        <f t="shared" si="78"/>
        <v>-43.28223706</v>
      </c>
      <c r="Y79" s="152">
        <f t="shared" si="78"/>
        <v>-43.28223706</v>
      </c>
      <c r="Z79" s="152">
        <f t="shared" si="78"/>
        <v>-43.28223706</v>
      </c>
      <c r="AA79" s="152">
        <f t="shared" si="78"/>
        <v>-43.28223706</v>
      </c>
      <c r="AB79" s="152">
        <f t="shared" si="78"/>
        <v>-43.28223706</v>
      </c>
      <c r="AC79" s="152">
        <f t="shared" si="78"/>
        <v>-43.28223706</v>
      </c>
      <c r="AD79" s="152">
        <f t="shared" si="78"/>
        <v>-43.28223706</v>
      </c>
      <c r="AE79" s="152">
        <f t="shared" si="78"/>
        <v>-43.28223706</v>
      </c>
      <c r="AF79" s="152">
        <f t="shared" si="78"/>
        <v>-43.28223706</v>
      </c>
      <c r="AG79" s="152">
        <f t="shared" si="78"/>
        <v>-43.28223706</v>
      </c>
      <c r="AH79" s="152">
        <f t="shared" si="78"/>
        <v>-43.28223706</v>
      </c>
      <c r="AI79" s="152">
        <f t="shared" si="78"/>
        <v>-43.28223706</v>
      </c>
      <c r="AJ79" s="152">
        <f t="shared" si="78"/>
        <v>-43.28223706</v>
      </c>
      <c r="AK79" s="152">
        <f t="shared" si="78"/>
        <v>-43.28223706</v>
      </c>
      <c r="AL79" s="152">
        <f t="shared" si="78"/>
        <v>-43.28223706</v>
      </c>
    </row>
    <row r="80" spans="1:95" s="368" customFormat="1" ht="17.25" customHeight="1">
      <c r="A80" s="366" t="s">
        <v>2802</v>
      </c>
      <c r="B80" s="369" t="s">
        <v>2824</v>
      </c>
      <c r="C80" s="152">
        <f>年度数据!C125</f>
        <v>11.107581119999999</v>
      </c>
      <c r="D80" s="152">
        <f>年度数据!D125</f>
        <v>13.123650269999999</v>
      </c>
      <c r="E80" s="152">
        <f>年度数据!E125</f>
        <v>20.78614129</v>
      </c>
      <c r="F80" s="152">
        <f>年度数据!F125</f>
        <v>23.18182886</v>
      </c>
      <c r="G80" s="152">
        <f>年度数据!G125</f>
        <v>24.925726530000002</v>
      </c>
      <c r="H80" s="152">
        <f>年度数据!H125</f>
        <v>30.54517002</v>
      </c>
      <c r="I80" s="152">
        <f>H80</f>
        <v>30.54517002</v>
      </c>
      <c r="J80" s="152">
        <f t="shared" ref="J80:AL80" si="79">I80</f>
        <v>30.54517002</v>
      </c>
      <c r="K80" s="152">
        <f t="shared" si="79"/>
        <v>30.54517002</v>
      </c>
      <c r="L80" s="152">
        <f t="shared" si="79"/>
        <v>30.54517002</v>
      </c>
      <c r="M80" s="152">
        <f t="shared" si="79"/>
        <v>30.54517002</v>
      </c>
      <c r="N80" s="152">
        <f t="shared" si="79"/>
        <v>30.54517002</v>
      </c>
      <c r="O80" s="152">
        <f t="shared" si="79"/>
        <v>30.54517002</v>
      </c>
      <c r="P80" s="152">
        <f t="shared" si="79"/>
        <v>30.54517002</v>
      </c>
      <c r="Q80" s="152">
        <f t="shared" si="79"/>
        <v>30.54517002</v>
      </c>
      <c r="R80" s="152">
        <f t="shared" si="79"/>
        <v>30.54517002</v>
      </c>
      <c r="S80" s="152">
        <f t="shared" si="79"/>
        <v>30.54517002</v>
      </c>
      <c r="T80" s="152">
        <f t="shared" si="79"/>
        <v>30.54517002</v>
      </c>
      <c r="U80" s="152">
        <f t="shared" si="79"/>
        <v>30.54517002</v>
      </c>
      <c r="V80" s="152">
        <f t="shared" si="79"/>
        <v>30.54517002</v>
      </c>
      <c r="W80" s="152">
        <f t="shared" si="79"/>
        <v>30.54517002</v>
      </c>
      <c r="X80" s="152">
        <f t="shared" si="79"/>
        <v>30.54517002</v>
      </c>
      <c r="Y80" s="152">
        <f t="shared" si="79"/>
        <v>30.54517002</v>
      </c>
      <c r="Z80" s="152">
        <f t="shared" si="79"/>
        <v>30.54517002</v>
      </c>
      <c r="AA80" s="152">
        <f t="shared" si="79"/>
        <v>30.54517002</v>
      </c>
      <c r="AB80" s="152">
        <f t="shared" si="79"/>
        <v>30.54517002</v>
      </c>
      <c r="AC80" s="152">
        <f t="shared" si="79"/>
        <v>30.54517002</v>
      </c>
      <c r="AD80" s="152">
        <f t="shared" si="79"/>
        <v>30.54517002</v>
      </c>
      <c r="AE80" s="152">
        <f t="shared" si="79"/>
        <v>30.54517002</v>
      </c>
      <c r="AF80" s="152">
        <f t="shared" si="79"/>
        <v>30.54517002</v>
      </c>
      <c r="AG80" s="152">
        <f t="shared" si="79"/>
        <v>30.54517002</v>
      </c>
      <c r="AH80" s="152">
        <f t="shared" si="79"/>
        <v>30.54517002</v>
      </c>
      <c r="AI80" s="152">
        <f t="shared" si="79"/>
        <v>30.54517002</v>
      </c>
      <c r="AJ80" s="152">
        <f t="shared" si="79"/>
        <v>30.54517002</v>
      </c>
      <c r="AK80" s="152">
        <f t="shared" si="79"/>
        <v>30.54517002</v>
      </c>
      <c r="AL80" s="152">
        <f t="shared" si="79"/>
        <v>30.54517002</v>
      </c>
    </row>
    <row r="81" spans="1:95" s="368" customFormat="1" ht="17.25" customHeight="1">
      <c r="A81" s="366" t="s">
        <v>2330</v>
      </c>
      <c r="B81" s="369" t="s">
        <v>2327</v>
      </c>
      <c r="C81" s="152">
        <f>年度数据!C126</f>
        <v>62.704281270000003</v>
      </c>
      <c r="D81" s="152">
        <f>年度数据!D126</f>
        <v>77.559960160000003</v>
      </c>
      <c r="E81" s="152">
        <f>年度数据!E126</f>
        <v>111.05415608</v>
      </c>
      <c r="F81" s="152">
        <f>年度数据!F126</f>
        <v>155.84860455</v>
      </c>
      <c r="G81" s="152">
        <f>年度数据!G126</f>
        <v>188.14980750000001</v>
      </c>
      <c r="H81" s="152">
        <f>年度数据!H126</f>
        <v>191.48255053</v>
      </c>
      <c r="I81" s="152">
        <f ca="1">H81+利润表!I25*假设!I24</f>
        <v>101.60827309037872</v>
      </c>
      <c r="J81" s="152">
        <f ca="1">I81+利润表!J25*假设!J24</f>
        <v>178.34782681149233</v>
      </c>
      <c r="K81" s="152">
        <f ca="1">J81+利润表!K25*假设!K24</f>
        <v>234.18353835342026</v>
      </c>
      <c r="L81" s="152">
        <f ca="1">K81+利润表!L25*假设!L24</f>
        <v>247.01126759754004</v>
      </c>
      <c r="M81" s="152">
        <f ca="1">L81+利润表!M25*假设!M24</f>
        <v>205.85074151239408</v>
      </c>
      <c r="N81" s="152">
        <f ca="1">M81+利润表!N25*假设!N24</f>
        <v>146.39123574697425</v>
      </c>
      <c r="O81" s="152">
        <f ca="1">N81+利润表!O25*假设!O24</f>
        <v>77.140527641094067</v>
      </c>
      <c r="P81" s="152">
        <f ca="1">O81+利润表!P25*假设!P24</f>
        <v>-25.725392829464994</v>
      </c>
      <c r="Q81" s="152">
        <f ca="1">P81+利润表!Q25*假设!Q24</f>
        <v>-173.27576613209456</v>
      </c>
      <c r="R81" s="152">
        <f ca="1">Q81+利润表!R25*假设!R24</f>
        <v>-366.48467446500695</v>
      </c>
      <c r="S81" s="152">
        <f ca="1">R81+利润表!S25*假设!S24</f>
        <v>-603.04787408290031</v>
      </c>
      <c r="T81" s="152">
        <f ca="1">S81+利润表!T25*假设!T24</f>
        <v>-894.2069348677386</v>
      </c>
      <c r="U81" s="152">
        <f ca="1">T81+利润表!U25*假设!U24</f>
        <v>-1250.1936632180316</v>
      </c>
      <c r="V81" s="152">
        <f ca="1">U81+利润表!V25*假设!V24</f>
        <v>-1683.8090621435042</v>
      </c>
      <c r="W81" s="152">
        <f ca="1">V81+利润表!W25*假设!W24</f>
        <v>-2205.4611537971987</v>
      </c>
      <c r="X81" s="152">
        <f ca="1">W81+利润表!X25*假设!X24</f>
        <v>-2826.4374991615177</v>
      </c>
      <c r="Y81" s="152">
        <f ca="1">X81+利润表!Y25*假设!Y24</f>
        <v>-3563.8103822934577</v>
      </c>
      <c r="Z81" s="152">
        <f ca="1">Y81+利润表!Z25*假设!Z24</f>
        <v>-4434.5109095723783</v>
      </c>
      <c r="AA81" s="152">
        <f ca="1">Z81+利润表!AA25*假设!AA24</f>
        <v>-5457.4430199599301</v>
      </c>
      <c r="AB81" s="152">
        <f ca="1">AA81+利润表!AB25*假设!AB24</f>
        <v>-6653.336585617616</v>
      </c>
      <c r="AC81" s="152">
        <f ca="1">AB81+利润表!AC25*假设!AC24</f>
        <v>-8046.5095064324105</v>
      </c>
      <c r="AD81" s="152">
        <f ca="1">AC81+利润表!AD25*假设!AD24</f>
        <v>-9665.3508848554829</v>
      </c>
      <c r="AE81" s="152">
        <f ca="1">AD81+利润表!AE25*假设!AE24</f>
        <v>-11540.988093708134</v>
      </c>
      <c r="AF81" s="152">
        <f ca="1">AE81+利润表!AF25*假设!AF24</f>
        <v>-13708.656057127837</v>
      </c>
      <c r="AG81" s="152">
        <f ca="1">AF81+利润表!AG25*假设!AG24</f>
        <v>-16208.366753869524</v>
      </c>
      <c r="AH81" s="152">
        <f ca="1">AG81+利润表!AH25*假设!AH24</f>
        <v>-19085.743356436706</v>
      </c>
      <c r="AI81" s="152">
        <f ca="1">AH81+利润表!AI25*假设!AI24</f>
        <v>-22392.508597870932</v>
      </c>
      <c r="AJ81" s="152">
        <f ca="1">AI81+利润表!AJ25*假设!AJ24</f>
        <v>-26186.93869538865</v>
      </c>
      <c r="AK81" s="152">
        <f ca="1">AJ81+利润表!AK25*假设!AK24</f>
        <v>-30535.026058330561</v>
      </c>
      <c r="AL81" s="152">
        <f ca="1">AK81+利润表!AL25*假设!AL24</f>
        <v>-35511.590810839334</v>
      </c>
    </row>
    <row r="82" spans="1:95" s="368" customFormat="1" ht="22.5" customHeight="1">
      <c r="A82" s="366" t="s">
        <v>2331</v>
      </c>
      <c r="B82" s="369" t="s">
        <v>2333</v>
      </c>
      <c r="C82" s="152">
        <f>年度数据!C127</f>
        <v>322.36611209</v>
      </c>
      <c r="D82" s="152">
        <f>年度数据!D127</f>
        <v>462.24435051</v>
      </c>
      <c r="E82" s="152">
        <f>年度数据!E127</f>
        <v>743.64327729999991</v>
      </c>
      <c r="F82" s="152">
        <f>年度数据!F127</f>
        <v>1589.1829642</v>
      </c>
      <c r="G82" s="152">
        <f>年度数据!G127</f>
        <v>2133.5219347799998</v>
      </c>
      <c r="H82" s="152">
        <f>年度数据!H127</f>
        <v>2318.3434342399996</v>
      </c>
      <c r="I82" s="152">
        <f ca="1">H82+利润表!I25-利润表!I25*假设!I24-利润表!I25*假设!I23</f>
        <v>2230.6067647432264</v>
      </c>
      <c r="J82" s="152">
        <f ca="1">I82+利润表!J25-利润表!J25*假设!J24-利润表!J25*假设!J23</f>
        <v>2298.8179126373561</v>
      </c>
      <c r="K82" s="152">
        <f ca="1">J82+利润表!K25-利润表!K25*假设!K24-利润表!K25*假设!K23</f>
        <v>2340.9458006106015</v>
      </c>
      <c r="L82" s="152">
        <f ca="1">K82+利润表!L25-利润表!L25*假设!L24-利润表!L25*假设!L23</f>
        <v>2347.2275034312897</v>
      </c>
      <c r="M82" s="152">
        <f ca="1">L82+利润表!M25-利润表!M25*假设!M24-利润表!M25*假设!M23</f>
        <v>2329.9857062214815</v>
      </c>
      <c r="N82" s="152">
        <f ca="1">M82+利润表!N25-利润表!N25*假设!N24-利润表!N25*假设!N23</f>
        <v>2290.460300408181</v>
      </c>
      <c r="O82" s="152">
        <f ca="1">N82+利润表!O25-利润表!O25*假设!O24-利润表!O25*假设!O23</f>
        <v>2247.5295301647939</v>
      </c>
      <c r="P82" s="152">
        <f ca="1">O82+利润表!P25-利润表!P25*假设!P24-利润表!P25*假设!P23</f>
        <v>2188.2735954187829</v>
      </c>
      <c r="Q82" s="152">
        <f ca="1">P82+利润表!Q25-利润表!Q25*假设!Q24-利润表!Q25*假设!Q23</f>
        <v>2105.7298809692115</v>
      </c>
      <c r="R82" s="152">
        <f ca="1">Q82+利润表!R25-利润表!R25*假设!R24-利润表!R25*假设!R23</f>
        <v>1997.7615400550237</v>
      </c>
      <c r="S82" s="152">
        <f ca="1">R82+利润表!S25-利润表!S25*假设!S24-利润表!S25*假设!S23</f>
        <v>1857.341398498563</v>
      </c>
      <c r="T82" s="152">
        <f ca="1">S82+利润表!T25-利润表!T25*假设!T24-利润表!T25*假设!T23</f>
        <v>1688.0535946858631</v>
      </c>
      <c r="U82" s="152">
        <f ca="1">T82+利润表!U25-利润表!U25*假设!U24-利润表!U25*假设!U23</f>
        <v>1483.2957963497097</v>
      </c>
      <c r="V82" s="152">
        <f ca="1">U82+利润表!V25-利润表!V25*假设!V24-利润表!V25*假设!V23</f>
        <v>1234.9777703770558</v>
      </c>
      <c r="W82" s="152">
        <f ca="1">V82+利润表!W25-利润表!W25*假设!W24-利润表!W25*假设!W23</f>
        <v>934.43033279688188</v>
      </c>
      <c r="X82" s="152">
        <f ca="1">W82+利润表!X25-利润表!X25*假设!X24-利润表!X25*假设!X23</f>
        <v>574.30695862685434</v>
      </c>
      <c r="Y82" s="152">
        <f ca="1">X82+利润表!Y25-利润表!Y25*假设!Y24-利润表!Y25*假设!Y23</f>
        <v>148.68246506849565</v>
      </c>
      <c r="Z82" s="152">
        <f ca="1">Y82+利润表!Z25-利润表!Z25*假设!Z24-利润表!Z25*假设!Z23</f>
        <v>-352.8884227219479</v>
      </c>
      <c r="AA82" s="152">
        <f ca="1">Z82+利润表!AA25-利润表!AA25*假设!AA24-利润表!AA25*假设!AA23</f>
        <v>-942.51716565927507</v>
      </c>
      <c r="AB82" s="152">
        <f ca="1">AA82+利润表!AB25-利润表!AB25*假设!AB24-利润表!AB25*假设!AB23</f>
        <v>-1632.774887029959</v>
      </c>
      <c r="AC82" s="152">
        <f ca="1">AB82+利润表!AC25-利润表!AC25*假设!AC24-利润表!AC25*假设!AC23</f>
        <v>-2437.1475375894365</v>
      </c>
      <c r="AD82" s="152">
        <f ca="1">AC82+利润表!AD25-利润表!AD25*假设!AD24-利润表!AD25*假设!AD23</f>
        <v>-3370.9267100416005</v>
      </c>
      <c r="AE82" s="152">
        <f ca="1">AD82+利润表!AE25-利润表!AE25*假设!AE24-利润表!AE25*假设!AE23</f>
        <v>-4452.7484485772056</v>
      </c>
      <c r="AF82" s="152">
        <f ca="1">AE82+利润表!AF25-利润表!AF25*假设!AF24-利润表!AF25*假设!AF23</f>
        <v>-5703.3175498466317</v>
      </c>
      <c r="AG82" s="152">
        <f ca="1">AF82+利润表!AG25-利润表!AG25*假设!AG24-利润表!AG25*假设!AG23</f>
        <v>-7145.6823132267491</v>
      </c>
      <c r="AH82" s="152">
        <f ca="1">AG82+利润表!AH25-利润表!AH25*假设!AH24-利润表!AH25*假设!AH23</f>
        <v>-8805.8562339069013</v>
      </c>
      <c r="AI82" s="152">
        <f ca="1">AH82+利润表!AI25-利润表!AI25*假设!AI24-利润表!AI25*假设!AI23</f>
        <v>-10713.537183877017</v>
      </c>
      <c r="AJ82" s="152">
        <f ca="1">AI82+利润表!AJ25-利润表!AJ25*假设!AJ24-利润表!AJ25*假设!AJ23</f>
        <v>-12902.611170077889</v>
      </c>
      <c r="AK82" s="152">
        <f ca="1">AJ82+利润表!AK25-利润表!AK25*假设!AK24-利润表!AK25*假设!AK23</f>
        <v>-15411.217130544052</v>
      </c>
      <c r="AL82" s="152">
        <f ca="1">AK82+利润表!AL25-利润表!AL25*假设!AL24-利润表!AL25*假设!AL23</f>
        <v>-18282.446398880147</v>
      </c>
    </row>
    <row r="83" spans="1:95" s="1024" customFormat="1" ht="25.5" hidden="1" customHeight="1">
      <c r="A83" s="1021" t="s">
        <v>2314</v>
      </c>
      <c r="B83" s="1025" t="s">
        <v>2332</v>
      </c>
      <c r="C83" s="1011">
        <f>SUM( 年度数据!C126:C127)</f>
        <v>385.07039336000003</v>
      </c>
      <c r="D83" s="1011">
        <f>SUM( 年度数据!D126:D127)</f>
        <v>539.80431066999995</v>
      </c>
      <c r="E83" s="1011">
        <f>SUM( 年度数据!E126:E127)</f>
        <v>854.69743337999989</v>
      </c>
      <c r="F83" s="1011">
        <f>SUM( 年度数据!F126:F127)</f>
        <v>1745.0315687500001</v>
      </c>
      <c r="G83" s="1011">
        <f>SUM( 年度数据!G126:G127)</f>
        <v>2321.6717422799998</v>
      </c>
      <c r="H83" s="1011">
        <f>SUM( 年度数据!H126:H127)</f>
        <v>2509.8259847699996</v>
      </c>
      <c r="I83" s="1011">
        <f ca="1">SUM(I81:I82)</f>
        <v>2332.215037833605</v>
      </c>
      <c r="J83" s="1011">
        <f ca="1">SUM(J81:J82)</f>
        <v>2477.1657394488484</v>
      </c>
      <c r="K83" s="1011">
        <f ca="1">SUM(K81:K82)</f>
        <v>2575.1293389640218</v>
      </c>
      <c r="L83" s="1011"/>
      <c r="M83" s="1011"/>
      <c r="N83" s="1011"/>
      <c r="O83" s="1022"/>
      <c r="P83" s="1022"/>
      <c r="Q83" s="1022"/>
      <c r="R83" s="1022"/>
      <c r="S83" s="1022"/>
      <c r="T83" s="1022"/>
      <c r="U83" s="1022"/>
      <c r="V83" s="1022"/>
      <c r="W83" s="1022"/>
      <c r="X83" s="1022"/>
      <c r="Y83" s="1022"/>
      <c r="Z83" s="1022"/>
      <c r="AA83" s="1022"/>
      <c r="AB83" s="1022"/>
      <c r="AC83" s="1022"/>
      <c r="AD83" s="1022"/>
      <c r="AE83" s="1023"/>
    </row>
    <row r="84" spans="1:95" s="34" customFormat="1" ht="17.25" customHeight="1" outlineLevel="1">
      <c r="A84" s="537" t="s">
        <v>875</v>
      </c>
      <c r="B84" s="369" t="s">
        <v>2746</v>
      </c>
      <c r="C84" s="152">
        <f>年度数据!C129</f>
        <v>1443.10191224</v>
      </c>
      <c r="D84" s="152">
        <f>年度数据!D129</f>
        <v>2909.92493393</v>
      </c>
      <c r="E84" s="152">
        <f>年度数据!E129</f>
        <v>3130.5898234599999</v>
      </c>
      <c r="F84" s="152">
        <f>年度数据!F129</f>
        <v>4152.4887971999997</v>
      </c>
      <c r="G84" s="152">
        <f>年度数据!G129</f>
        <v>4967.87543155</v>
      </c>
      <c r="H84" s="152">
        <f>年度数据!H129</f>
        <v>5616.8441891000002</v>
      </c>
      <c r="I84" s="152">
        <f ca="1">H84+利润表!I30+SUM(假设!G131:'假设'!I131)-利润表!H33+假设!I83</f>
        <v>5358.4885121267353</v>
      </c>
      <c r="J84" s="152">
        <f ca="1">I84+利润表!J30-利润表!I33+假设!J83+假设!J131</f>
        <v>5467.2261411648951</v>
      </c>
      <c r="K84" s="152">
        <f ca="1">J84+利润表!K30-利润表!J33+假设!K83</f>
        <v>5507.9057507718817</v>
      </c>
      <c r="L84" s="152">
        <f ca="1">K84+利润表!L30-利润表!K33+假设!L83</f>
        <v>5483.2465847899339</v>
      </c>
      <c r="M84" s="152">
        <f ca="1">L84+利润表!M30-利润表!L33+假设!M83</f>
        <v>5355.1649433035072</v>
      </c>
      <c r="N84" s="152">
        <f ca="1">M84+利润表!N30-利润表!M33+假设!N83</f>
        <v>5178.4053173684752</v>
      </c>
      <c r="O84" s="152">
        <f ca="1">N84+利润表!O30-利润表!N33+假设!O83</f>
        <v>4985.2412898945504</v>
      </c>
      <c r="P84" s="152">
        <f ca="1">O84+利润表!P30-利润表!O33+假设!P83</f>
        <v>4735.7607223217519</v>
      </c>
      <c r="Q84" s="152">
        <f ca="1">P84+利润表!Q30-利润表!P33+假设!Q83</f>
        <v>4405.2177858116966</v>
      </c>
      <c r="R84" s="152">
        <f ca="1">Q84+利润表!R30-利润表!Q33+假设!R83</f>
        <v>3990.1404343418976</v>
      </c>
      <c r="S84" s="152">
        <f ca="1">R84+利润表!S30-利润表!R33+假设!S83</f>
        <v>3485.4117846834342</v>
      </c>
      <c r="T84" s="152">
        <f ca="1">S84+利润表!T30-利润表!S33+假设!T83</f>
        <v>2882.437785154299</v>
      </c>
      <c r="U84" s="152">
        <f ca="1">T84+利润表!U30-利润表!T33+假设!U83</f>
        <v>2161.1248972723415</v>
      </c>
      <c r="V84" s="152">
        <f ca="1">U84+利润表!V30-利润表!U33+假设!V83</f>
        <v>1296.3203058826175</v>
      </c>
      <c r="W84" s="152">
        <f ca="1">V84+利润表!W30-利润表!V33+假设!W83</f>
        <v>265.78426190259688</v>
      </c>
      <c r="X84" s="152">
        <f ca="1">W84+利润表!X30-利润表!W33+假设!X83</f>
        <v>-952.36434118795853</v>
      </c>
      <c r="Y84" s="152">
        <f ca="1">X84+利润表!Y30-利润表!X33+假设!Y83</f>
        <v>-2385.351241690289</v>
      </c>
      <c r="Z84" s="152">
        <f ca="1">Y84+利润表!Z30-利润表!Y33+假设!Z83</f>
        <v>-4065.720503815895</v>
      </c>
      <c r="AA84" s="152">
        <f ca="1">Z84+利润表!AA30-利润表!Z33+假设!AA83</f>
        <v>-6029.9660978083211</v>
      </c>
      <c r="AB84" s="152">
        <f ca="1">AA84+利润表!AB30-利润表!AA33+假设!AB83</f>
        <v>-8317.3992493413334</v>
      </c>
      <c r="AC84" s="152">
        <f ca="1">AB84+利润表!AC30-利润表!AB33+假设!AC83</f>
        <v>-10972.723988671874</v>
      </c>
      <c r="AD84" s="152">
        <f ca="1">AC84+利润表!AD30-利润表!AC33+假设!AD83</f>
        <v>-14047.599720955968</v>
      </c>
      <c r="AE84" s="152">
        <f ca="1">AD84+利润表!AE30-利润表!AD33+假设!AE83</f>
        <v>-17600.760633016991</v>
      </c>
      <c r="AF84" s="152">
        <f ca="1">AE84+利润表!AF30-利润表!AE33+假设!AF83</f>
        <v>-21698.296180578887</v>
      </c>
      <c r="AG84" s="152">
        <f ca="1">AF84+利润表!AG30-利润表!AF33+假设!AG83</f>
        <v>-26414.72826839078</v>
      </c>
      <c r="AH84" s="152">
        <f ca="1">AG84+利润表!AH30-利润表!AG33+假设!AH83</f>
        <v>-31834.700351115349</v>
      </c>
      <c r="AI84" s="152">
        <f ca="1">AH84+利润表!AI30-利润表!AH33+假设!AI83</f>
        <v>-38054.388725458251</v>
      </c>
      <c r="AJ84" s="152">
        <f ca="1">AI84+利润表!AJ30-利润表!AI33+假设!AJ83</f>
        <v>-45182.682655793164</v>
      </c>
      <c r="AK84" s="152">
        <f ca="1">AJ84+利润表!AK30-利润表!AJ33+假设!AK83</f>
        <v>-53342.615011511502</v>
      </c>
      <c r="AL84" s="152">
        <f ca="1">AK84+利润表!AL30-利润表!AK33+假设!AL83</f>
        <v>-62673.492563336433</v>
      </c>
      <c r="AM84" s="152"/>
      <c r="AN84" s="368"/>
      <c r="AO84" s="117"/>
      <c r="AP84" s="117"/>
      <c r="AQ84" s="117"/>
      <c r="AR84" s="117"/>
      <c r="AS84" s="117"/>
      <c r="AT84" s="117"/>
      <c r="AU84" s="117"/>
      <c r="AV84" s="117"/>
      <c r="AW84" s="117"/>
      <c r="AX84" s="117"/>
      <c r="AY84" s="117"/>
      <c r="AZ84" s="117"/>
      <c r="BA84" s="117"/>
      <c r="BB84" s="117"/>
      <c r="BC84" s="117"/>
      <c r="BD84" s="117"/>
      <c r="BE84" s="117"/>
      <c r="BF84" s="117"/>
      <c r="BG84" s="117"/>
      <c r="BH84" s="117"/>
      <c r="BI84" s="117"/>
      <c r="BJ84" s="117"/>
      <c r="BK84" s="117"/>
      <c r="BL84" s="117"/>
      <c r="BM84" s="117"/>
      <c r="BN84" s="117"/>
      <c r="BO84" s="117"/>
      <c r="BP84" s="117"/>
      <c r="BQ84" s="117"/>
      <c r="BR84" s="117"/>
      <c r="BS84" s="117"/>
      <c r="BT84" s="117"/>
      <c r="BU84" s="117"/>
      <c r="BV84" s="117"/>
      <c r="BW84" s="117"/>
      <c r="BX84" s="117"/>
      <c r="BY84" s="117"/>
      <c r="BZ84" s="117"/>
      <c r="CA84" s="117"/>
      <c r="CB84" s="117"/>
      <c r="CC84" s="117"/>
      <c r="CD84" s="117"/>
      <c r="CE84" s="117"/>
      <c r="CF84" s="117"/>
      <c r="CG84" s="117"/>
      <c r="CH84" s="117"/>
      <c r="CI84" s="117"/>
      <c r="CJ84" s="117"/>
      <c r="CK84" s="117"/>
      <c r="CL84" s="117"/>
      <c r="CM84" s="117"/>
      <c r="CN84" s="117"/>
      <c r="CO84" s="117"/>
      <c r="CP84" s="117"/>
      <c r="CQ84" s="117"/>
    </row>
    <row r="85" spans="1:95" s="4" customFormat="1" ht="17.25" customHeight="1" outlineLevel="1">
      <c r="A85" s="374" t="s">
        <v>1061</v>
      </c>
      <c r="B85" s="379" t="s">
        <v>714</v>
      </c>
      <c r="C85" s="152">
        <f>年度数据!C130</f>
        <v>0</v>
      </c>
      <c r="D85" s="152">
        <f>年度数据!D130</f>
        <v>0</v>
      </c>
      <c r="E85" s="152">
        <f>年度数据!E130</f>
        <v>0</v>
      </c>
      <c r="F85" s="152">
        <f>年度数据!F130</f>
        <v>0</v>
      </c>
      <c r="G85" s="152">
        <f>年度数据!G130</f>
        <v>0</v>
      </c>
      <c r="H85" s="152">
        <f>年度数据!H130</f>
        <v>1.03436503</v>
      </c>
      <c r="I85" s="152">
        <f ca="1">H85+利润表!I29</f>
        <v>1.0948822408591112</v>
      </c>
      <c r="J85" s="152">
        <f ca="1">I85+利润表!J29</f>
        <v>1.0337535473331443</v>
      </c>
      <c r="K85" s="152">
        <f ca="1">J85+利润表!K29</f>
        <v>0.98370515352947963</v>
      </c>
      <c r="L85" s="152">
        <f ca="1">K85+利润表!L29</f>
        <v>0.97147578713681126</v>
      </c>
      <c r="M85" s="152">
        <f ca="1">L85+利润表!M29</f>
        <v>1.0143470260596468</v>
      </c>
      <c r="N85" s="152">
        <f ca="1">M85+利润表!N29</f>
        <v>1.0670131976849078</v>
      </c>
      <c r="O85" s="152">
        <f ca="1">N85+利润表!O29</f>
        <v>1.1308928816005579</v>
      </c>
      <c r="P85" s="152">
        <f ca="1">O85+利润表!P29</f>
        <v>1.2279946897280254</v>
      </c>
      <c r="Q85" s="152">
        <f ca="1">P85+利润表!Q29</f>
        <v>1.3685360014201653</v>
      </c>
      <c r="R85" s="152">
        <f ca="1">Q85+利润表!R29</f>
        <v>1.5525333958405072</v>
      </c>
      <c r="S85" s="152">
        <f ca="1">R85+利润表!S29</f>
        <v>1.7730114014069396</v>
      </c>
      <c r="T85" s="152">
        <f ca="1">S85+利润表!T29</f>
        <v>2.046941094667357</v>
      </c>
      <c r="U85" s="152">
        <f ca="1">T85+利润表!U29</f>
        <v>2.3831329670061194</v>
      </c>
      <c r="V85" s="152">
        <f ca="1">U85+利润表!V29</f>
        <v>2.7926739473168976</v>
      </c>
      <c r="W85" s="152">
        <f ca="1">V85+利润表!W29</f>
        <v>3.2845159168557707</v>
      </c>
      <c r="X85" s="152">
        <f ca="1">W85+利润表!X29</f>
        <v>3.8688139676865578</v>
      </c>
      <c r="Y85" s="152">
        <f ca="1">X85+利润表!Y29</f>
        <v>4.563936116852565</v>
      </c>
      <c r="Z85" s="152">
        <f ca="1">Y85+利润表!Z29</f>
        <v>5.3850718394789681</v>
      </c>
      <c r="AA85" s="152">
        <f ca="1">Z85+利润表!AA29</f>
        <v>6.349503003483477</v>
      </c>
      <c r="AB85" s="152">
        <f ca="1">AA85+利润表!AB29</f>
        <v>7.4766036727493352</v>
      </c>
      <c r="AC85" s="152">
        <f ca="1">AB85+利润表!AC29</f>
        <v>8.7895297710353031</v>
      </c>
      <c r="AD85" s="152">
        <f ca="1">AC85+利润表!AD29</f>
        <v>10.315599352200948</v>
      </c>
      <c r="AE85" s="152">
        <f ca="1">AD85+利润表!AE29</f>
        <v>12.083745233844752</v>
      </c>
      <c r="AF85" s="152">
        <f ca="1">AE85+利润表!AF29</f>
        <v>14.127019236059652</v>
      </c>
      <c r="AG85" s="152">
        <f ca="1">AF85+利润表!AG29</f>
        <v>16.483183014378284</v>
      </c>
      <c r="AH85" s="152">
        <f ca="1">AG85+利润表!AH29</f>
        <v>19.195381956778458</v>
      </c>
      <c r="AI85" s="152">
        <f ca="1">AH85+利润表!AI29</f>
        <v>22.312448736518366</v>
      </c>
      <c r="AJ85" s="152">
        <f ca="1">AI85+利润表!AJ29</f>
        <v>25.889159646348695</v>
      </c>
      <c r="AK85" s="152">
        <f ca="1">AJ85+利润表!AK29</f>
        <v>29.987699374674449</v>
      </c>
      <c r="AL85" s="152">
        <f ca="1">AK85+利润表!AL29</f>
        <v>34.678640199759158</v>
      </c>
      <c r="AN85" s="368"/>
    </row>
    <row r="86" spans="1:95" s="372" customFormat="1" ht="17.25" customHeight="1">
      <c r="A86" s="365" t="s">
        <v>965</v>
      </c>
      <c r="B86" s="380" t="s">
        <v>1031</v>
      </c>
      <c r="C86" s="152">
        <f>年度数据!C131</f>
        <v>1443.10191224</v>
      </c>
      <c r="D86" s="152">
        <f>年度数据!D131</f>
        <v>2909.92493393</v>
      </c>
      <c r="E86" s="152">
        <f>年度数据!E131</f>
        <v>3130.5898234599999</v>
      </c>
      <c r="F86" s="152">
        <f>年度数据!F131</f>
        <v>4152.4887971999997</v>
      </c>
      <c r="G86" s="152">
        <f>年度数据!G131</f>
        <v>4967.87543155</v>
      </c>
      <c r="H86" s="152">
        <f>年度数据!H131</f>
        <v>5617.8785541300003</v>
      </c>
      <c r="I86" s="152">
        <f ca="1">I84+I85</f>
        <v>5359.5833943675943</v>
      </c>
      <c r="J86" s="152">
        <f t="shared" ref="J86:AL86" ca="1" si="80">J84+J85</f>
        <v>5468.2598947122278</v>
      </c>
      <c r="K86" s="152">
        <f t="shared" ca="1" si="80"/>
        <v>5508.8894559254113</v>
      </c>
      <c r="L86" s="152">
        <f t="shared" ca="1" si="80"/>
        <v>5484.2180605770709</v>
      </c>
      <c r="M86" s="152">
        <f t="shared" ca="1" si="80"/>
        <v>5356.1792903295673</v>
      </c>
      <c r="N86" s="152">
        <f t="shared" ca="1" si="80"/>
        <v>5179.4723305661601</v>
      </c>
      <c r="O86" s="152">
        <f t="shared" ca="1" si="80"/>
        <v>4986.372182776151</v>
      </c>
      <c r="P86" s="152">
        <f t="shared" ca="1" si="80"/>
        <v>4736.9887170114798</v>
      </c>
      <c r="Q86" s="152">
        <f t="shared" ca="1" si="80"/>
        <v>4406.5863218131171</v>
      </c>
      <c r="R86" s="152">
        <f t="shared" ca="1" si="80"/>
        <v>3991.6929677377379</v>
      </c>
      <c r="S86" s="152">
        <f t="shared" ca="1" si="80"/>
        <v>3487.1847960848413</v>
      </c>
      <c r="T86" s="152">
        <f t="shared" ca="1" si="80"/>
        <v>2884.4847262489666</v>
      </c>
      <c r="U86" s="152">
        <f t="shared" ca="1" si="80"/>
        <v>2163.5080302393476</v>
      </c>
      <c r="V86" s="152">
        <f t="shared" ca="1" si="80"/>
        <v>1299.1129798299344</v>
      </c>
      <c r="W86" s="152">
        <f t="shared" ca="1" si="80"/>
        <v>269.06877781945263</v>
      </c>
      <c r="X86" s="152">
        <f t="shared" ca="1" si="80"/>
        <v>-948.49552722027192</v>
      </c>
      <c r="Y86" s="152">
        <f t="shared" ca="1" si="80"/>
        <v>-2380.7873055734367</v>
      </c>
      <c r="Z86" s="152">
        <f t="shared" ca="1" si="80"/>
        <v>-4060.3354319764162</v>
      </c>
      <c r="AA86" s="152">
        <f t="shared" ca="1" si="80"/>
        <v>-6023.6165948048374</v>
      </c>
      <c r="AB86" s="152">
        <f t="shared" ca="1" si="80"/>
        <v>-8309.9226456685847</v>
      </c>
      <c r="AC86" s="152">
        <f t="shared" ca="1" si="80"/>
        <v>-10963.93445890084</v>
      </c>
      <c r="AD86" s="152">
        <f t="shared" ca="1" si="80"/>
        <v>-14037.284121603767</v>
      </c>
      <c r="AE86" s="152">
        <f t="shared" ca="1" si="80"/>
        <v>-17588.676887783146</v>
      </c>
      <c r="AF86" s="152">
        <f t="shared" ca="1" si="80"/>
        <v>-21684.169161342827</v>
      </c>
      <c r="AG86" s="152">
        <f t="shared" ca="1" si="80"/>
        <v>-26398.245085376402</v>
      </c>
      <c r="AH86" s="152">
        <f t="shared" ca="1" si="80"/>
        <v>-31815.50496915857</v>
      </c>
      <c r="AI86" s="152">
        <f t="shared" ca="1" si="80"/>
        <v>-38032.076276721731</v>
      </c>
      <c r="AJ86" s="152">
        <f t="shared" ca="1" si="80"/>
        <v>-45156.793496146813</v>
      </c>
      <c r="AK86" s="152">
        <f t="shared" ca="1" si="80"/>
        <v>-53312.627312136829</v>
      </c>
      <c r="AL86" s="152">
        <f t="shared" ca="1" si="80"/>
        <v>-62638.813923136673</v>
      </c>
      <c r="AM86" s="368"/>
      <c r="AN86" s="368"/>
      <c r="AO86" s="368"/>
      <c r="AP86" s="368"/>
      <c r="AQ86" s="368"/>
      <c r="AR86" s="368"/>
      <c r="AS86" s="368"/>
      <c r="AT86" s="368"/>
      <c r="AU86" s="368"/>
      <c r="AV86" s="368"/>
      <c r="AW86" s="368"/>
      <c r="AX86" s="368"/>
      <c r="AY86" s="368"/>
      <c r="AZ86" s="368"/>
      <c r="BA86" s="368"/>
      <c r="BB86" s="368"/>
      <c r="BC86" s="368"/>
      <c r="BD86" s="368"/>
      <c r="BE86" s="368"/>
      <c r="BF86" s="368"/>
      <c r="BG86" s="368"/>
      <c r="BH86" s="368"/>
      <c r="BI86" s="368"/>
      <c r="BJ86" s="368"/>
      <c r="BK86" s="368"/>
      <c r="BL86" s="368"/>
      <c r="BM86" s="368"/>
      <c r="BN86" s="368"/>
      <c r="BO86" s="368"/>
      <c r="BP86" s="368"/>
      <c r="BQ86" s="368"/>
      <c r="BR86" s="368"/>
      <c r="BS86" s="368"/>
      <c r="BT86" s="368"/>
      <c r="BU86" s="368"/>
      <c r="BV86" s="368"/>
      <c r="BW86" s="368"/>
      <c r="BX86" s="368"/>
      <c r="BY86" s="368"/>
      <c r="BZ86" s="368"/>
      <c r="CA86" s="368"/>
      <c r="CB86" s="368"/>
      <c r="CC86" s="368"/>
      <c r="CD86" s="368"/>
      <c r="CE86" s="368"/>
      <c r="CF86" s="368"/>
      <c r="CG86" s="368"/>
      <c r="CH86" s="368"/>
      <c r="CI86" s="368"/>
      <c r="CJ86" s="368"/>
      <c r="CK86" s="368"/>
      <c r="CL86" s="368"/>
      <c r="CM86" s="368"/>
      <c r="CN86" s="368"/>
      <c r="CO86" s="368"/>
      <c r="CP86" s="368"/>
      <c r="CQ86" s="368"/>
    </row>
    <row r="87" spans="1:95" s="368" customFormat="1" ht="17.25" customHeight="1">
      <c r="A87" s="365" t="s">
        <v>712</v>
      </c>
      <c r="B87" s="378"/>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225"/>
    </row>
    <row r="88" spans="1:95" s="372" customFormat="1" ht="17.25" customHeight="1">
      <c r="A88" s="365" t="s">
        <v>967</v>
      </c>
      <c r="B88" s="380" t="s">
        <v>1031</v>
      </c>
      <c r="C88" s="152">
        <f>年度数据!C133</f>
        <v>2545.4824010300003</v>
      </c>
      <c r="D88" s="152">
        <f>年度数据!D133</f>
        <v>4923.6091684700004</v>
      </c>
      <c r="E88" s="152">
        <f>年度数据!E133</f>
        <v>5975.34678239</v>
      </c>
      <c r="F88" s="152">
        <f>年度数据!F133</f>
        <v>8165.1224772599999</v>
      </c>
      <c r="G88" s="152">
        <f>年度数据!G133</f>
        <v>10789.49010838</v>
      </c>
      <c r="H88" s="152">
        <f>年度数据!H133</f>
        <v>12639.39639009</v>
      </c>
      <c r="I88" s="152">
        <f ca="1">I72+I86</f>
        <v>10436.385430546285</v>
      </c>
      <c r="J88" s="152">
        <f t="shared" ref="J88:AL88" ca="1" si="81">J72+J86</f>
        <v>14935.353979427569</v>
      </c>
      <c r="K88" s="152">
        <f t="shared" ca="1" si="81"/>
        <v>14338.799006839905</v>
      </c>
      <c r="L88" s="152">
        <f t="shared" ca="1" si="81"/>
        <v>17889.503022796202</v>
      </c>
      <c r="M88" s="152">
        <f t="shared" ca="1" si="81"/>
        <v>17586.83221416979</v>
      </c>
      <c r="N88" s="152">
        <f t="shared" ca="1" si="81"/>
        <v>21574.498642190709</v>
      </c>
      <c r="O88" s="152">
        <f t="shared" ca="1" si="81"/>
        <v>21898.603343556722</v>
      </c>
      <c r="P88" s="152">
        <f t="shared" ca="1" si="81"/>
        <v>26762.095974980482</v>
      </c>
      <c r="Q88" s="152">
        <f t="shared" ca="1" si="81"/>
        <v>27430.302773898158</v>
      </c>
      <c r="R88" s="152">
        <f t="shared" ca="1" si="81"/>
        <v>32841.638052799768</v>
      </c>
      <c r="S88" s="152">
        <f t="shared" ca="1" si="81"/>
        <v>34457.858047627975</v>
      </c>
      <c r="T88" s="152">
        <f t="shared" ca="1" si="81"/>
        <v>40834.177852359891</v>
      </c>
      <c r="U88" s="152">
        <f t="shared" ca="1" si="81"/>
        <v>43454.836351224476</v>
      </c>
      <c r="V88" s="152">
        <f t="shared" ca="1" si="81"/>
        <v>51085.534737289927</v>
      </c>
      <c r="W88" s="152">
        <f t="shared" ca="1" si="81"/>
        <v>55167.872785655934</v>
      </c>
      <c r="X88" s="152">
        <f t="shared" ca="1" si="81"/>
        <v>64373.218223369418</v>
      </c>
      <c r="Y88" s="152">
        <f t="shared" ca="1" si="81"/>
        <v>70196.770409879304</v>
      </c>
      <c r="Z88" s="152">
        <f t="shared" ca="1" si="81"/>
        <v>81319.075643983771</v>
      </c>
      <c r="AA88" s="152">
        <f t="shared" ca="1" si="81"/>
        <v>89314.247915441258</v>
      </c>
      <c r="AB88" s="152">
        <f t="shared" ca="1" si="81"/>
        <v>102918.30688998378</v>
      </c>
      <c r="AC88" s="152">
        <f t="shared" ca="1" si="81"/>
        <v>113725.83613696815</v>
      </c>
      <c r="AD88" s="152">
        <f t="shared" ca="1" si="81"/>
        <v>130492.53961841852</v>
      </c>
      <c r="AE88" s="152">
        <f t="shared" ca="1" si="81"/>
        <v>144860.37437995622</v>
      </c>
      <c r="AF88" s="152">
        <f t="shared" ca="1" si="81"/>
        <v>165658.81982276216</v>
      </c>
      <c r="AG88" s="152">
        <f t="shared" ca="1" si="81"/>
        <v>184592.16599420909</v>
      </c>
      <c r="AH88" s="152">
        <f t="shared" ca="1" si="81"/>
        <v>210543.33512187708</v>
      </c>
      <c r="AI88" s="152">
        <f t="shared" ca="1" si="81"/>
        <v>235295.30515301076</v>
      </c>
      <c r="AJ88" s="152">
        <f t="shared" ca="1" si="81"/>
        <v>267822.16919635847</v>
      </c>
      <c r="AK88" s="152">
        <f t="shared" ca="1" si="81"/>
        <v>300003.21868540486</v>
      </c>
      <c r="AL88" s="152">
        <f t="shared" ca="1" si="81"/>
        <v>340927.89535883622</v>
      </c>
      <c r="AM88" s="368"/>
      <c r="AN88" s="368"/>
      <c r="AO88" s="368"/>
      <c r="AP88" s="368"/>
      <c r="AQ88" s="368"/>
      <c r="AR88" s="368"/>
      <c r="AS88" s="368"/>
      <c r="AT88" s="368"/>
      <c r="AU88" s="368"/>
      <c r="AV88" s="368"/>
      <c r="AW88" s="368"/>
      <c r="AX88" s="368"/>
      <c r="AY88" s="368"/>
      <c r="AZ88" s="368"/>
      <c r="BA88" s="368"/>
      <c r="BB88" s="368"/>
      <c r="BC88" s="368"/>
      <c r="BD88" s="368"/>
      <c r="BE88" s="368"/>
      <c r="BF88" s="368"/>
      <c r="BG88" s="368"/>
      <c r="BH88" s="368"/>
      <c r="BI88" s="368"/>
      <c r="BJ88" s="368"/>
      <c r="BK88" s="368"/>
      <c r="BL88" s="368"/>
      <c r="BM88" s="368"/>
      <c r="BN88" s="368"/>
      <c r="BO88" s="368"/>
      <c r="BP88" s="368"/>
      <c r="BQ88" s="368"/>
      <c r="BR88" s="368"/>
      <c r="BS88" s="368"/>
      <c r="BT88" s="368"/>
      <c r="BU88" s="368"/>
      <c r="BV88" s="368"/>
      <c r="BW88" s="368"/>
      <c r="BX88" s="368"/>
      <c r="BY88" s="368"/>
      <c r="BZ88" s="368"/>
      <c r="CA88" s="368"/>
      <c r="CB88" s="368"/>
      <c r="CC88" s="368"/>
      <c r="CD88" s="368"/>
      <c r="CE88" s="368"/>
      <c r="CF88" s="368"/>
      <c r="CG88" s="368"/>
      <c r="CH88" s="368"/>
      <c r="CI88" s="368"/>
      <c r="CJ88" s="368"/>
      <c r="CK88" s="368"/>
      <c r="CL88" s="368"/>
      <c r="CM88" s="368"/>
      <c r="CN88" s="368"/>
      <c r="CO88" s="368"/>
      <c r="CP88" s="368"/>
      <c r="CQ88" s="368"/>
    </row>
    <row r="89" spans="1:95" ht="17.25" customHeight="1">
      <c r="A89" s="385" t="s">
        <v>2046</v>
      </c>
      <c r="B89" s="385"/>
      <c r="G89" s="200"/>
      <c r="H89" s="200"/>
      <c r="I89" s="200">
        <f ca="1">I19+I39-I72-I86</f>
        <v>0</v>
      </c>
      <c r="J89" s="200">
        <f ca="1">J19+J39-J72-J86</f>
        <v>0</v>
      </c>
      <c r="K89" s="200">
        <f ca="1">K19+K39-K72-K86</f>
        <v>0</v>
      </c>
      <c r="L89" s="200">
        <f ca="1">L19+L39-L72-L86</f>
        <v>0</v>
      </c>
      <c r="M89" s="200">
        <f t="shared" ref="M89:AL89" ca="1" si="82">M19+M39-M72-M86</f>
        <v>0</v>
      </c>
      <c r="N89" s="200">
        <f t="shared" ca="1" si="82"/>
        <v>0</v>
      </c>
      <c r="O89" s="200">
        <f t="shared" ca="1" si="82"/>
        <v>0</v>
      </c>
      <c r="P89" s="200">
        <f t="shared" ca="1" si="82"/>
        <v>0</v>
      </c>
      <c r="Q89" s="200">
        <f t="shared" ca="1" si="82"/>
        <v>0</v>
      </c>
      <c r="R89" s="200">
        <f t="shared" ca="1" si="82"/>
        <v>6.8212102632969618E-12</v>
      </c>
      <c r="S89" s="200">
        <f t="shared" ca="1" si="82"/>
        <v>5.0022208597511053E-12</v>
      </c>
      <c r="T89" s="200">
        <f t="shared" ca="1" si="82"/>
        <v>4.5474735088646412E-12</v>
      </c>
      <c r="U89" s="200">
        <f t="shared" ca="1" si="82"/>
        <v>6.8212102632969618E-12</v>
      </c>
      <c r="V89" s="200">
        <f t="shared" ca="1" si="82"/>
        <v>2.7284841053187847E-12</v>
      </c>
      <c r="W89" s="200">
        <f t="shared" ca="1" si="82"/>
        <v>9.7770680440589786E-12</v>
      </c>
      <c r="X89" s="200">
        <f t="shared" ca="1" si="82"/>
        <v>7.73070496506989E-12</v>
      </c>
      <c r="Y89" s="200">
        <f t="shared" ca="1" si="82"/>
        <v>0</v>
      </c>
      <c r="Z89" s="200">
        <f t="shared" ca="1" si="82"/>
        <v>2.6830093702301383E-11</v>
      </c>
      <c r="AA89" s="200">
        <f t="shared" ca="1" si="82"/>
        <v>8.1854523159563541E-12</v>
      </c>
      <c r="AB89" s="200">
        <f t="shared" ca="1" si="82"/>
        <v>0</v>
      </c>
      <c r="AC89" s="200">
        <f t="shared" ca="1" si="82"/>
        <v>1.4551915228366852E-11</v>
      </c>
      <c r="AD89" s="200">
        <f t="shared" ca="1" si="82"/>
        <v>0</v>
      </c>
      <c r="AE89" s="200">
        <f t="shared" ca="1" si="82"/>
        <v>0</v>
      </c>
      <c r="AF89" s="200">
        <f t="shared" ca="1" si="82"/>
        <v>0</v>
      </c>
      <c r="AG89" s="200">
        <f t="shared" ca="1" si="82"/>
        <v>2.9103830456733704E-11</v>
      </c>
      <c r="AH89" s="200">
        <f t="shared" ca="1" si="82"/>
        <v>0</v>
      </c>
      <c r="AI89" s="200">
        <f t="shared" ca="1" si="82"/>
        <v>0</v>
      </c>
      <c r="AJ89" s="200">
        <f t="shared" ca="1" si="82"/>
        <v>0</v>
      </c>
      <c r="AK89" s="200">
        <f t="shared" ca="1" si="82"/>
        <v>0</v>
      </c>
      <c r="AL89" s="200">
        <f t="shared" ca="1" si="82"/>
        <v>0</v>
      </c>
      <c r="AM89" s="277"/>
    </row>
    <row r="90" spans="1:95" s="392" customFormat="1" ht="17.25" customHeight="1">
      <c r="A90" s="390" t="s">
        <v>146</v>
      </c>
      <c r="B90" s="391" t="s">
        <v>2476</v>
      </c>
      <c r="C90" s="393">
        <f t="shared" ref="C90:H90" si="83">C18+C38+C59+C69</f>
        <v>1.3458889599999999</v>
      </c>
      <c r="D90" s="393">
        <f t="shared" si="83"/>
        <v>0</v>
      </c>
      <c r="E90" s="393">
        <f t="shared" si="83"/>
        <v>0</v>
      </c>
      <c r="F90" s="393">
        <f t="shared" si="83"/>
        <v>0</v>
      </c>
      <c r="G90" s="393">
        <f t="shared" si="83"/>
        <v>0</v>
      </c>
      <c r="H90" s="393">
        <f t="shared" si="83"/>
        <v>0</v>
      </c>
      <c r="I90" s="393">
        <f ca="1">I18+I38+I59+I69-利润表!I14</f>
        <v>-1.3500311979441904E-13</v>
      </c>
      <c r="J90" s="393">
        <f ca="1">J18+J38+J59+J69-利润表!J14</f>
        <v>9.9475983006414026E-14</v>
      </c>
      <c r="K90" s="393">
        <f ca="1">K18+K38+K59+K69-利润表!K14</f>
        <v>0</v>
      </c>
      <c r="L90" s="393">
        <f ca="1">L18+L38+L59+L69-利润表!L14</f>
        <v>4.2632564145606011E-14</v>
      </c>
      <c r="M90" s="393">
        <f ca="1">M18+M38+M59+M69-利润表!M14</f>
        <v>-2.1316282072803006E-13</v>
      </c>
      <c r="N90" s="393">
        <f ca="1">N18+N38+N59+N69-利润表!N14</f>
        <v>-3.1263880373444408E-13</v>
      </c>
      <c r="O90" s="393">
        <f ca="1">O18+O38+O59+O69-利润表!O14</f>
        <v>4.1922021409845911E-13</v>
      </c>
      <c r="P90" s="393">
        <f ca="1">P18+P38+P59+P69-利润表!P14</f>
        <v>5.3290705182007514E-14</v>
      </c>
      <c r="Q90" s="393">
        <f ca="1">Q18+Q38+Q59+Q69-利润表!Q14</f>
        <v>2.3447910280083306E-13</v>
      </c>
      <c r="R90" s="393">
        <f ca="1">R18+R38+R59+R69-利润表!R14</f>
        <v>1.4210854715202004E-13</v>
      </c>
      <c r="S90" s="393">
        <f ca="1">S18+S38+S59+S69-利润表!S14</f>
        <v>-2.6645352591003757E-13</v>
      </c>
      <c r="T90" s="393">
        <f ca="1">T18+T38+T59+T69-利润表!T14</f>
        <v>3.907985046680551E-13</v>
      </c>
      <c r="U90" s="393">
        <f ca="1">U18+U38+U59+U69-利润表!U14</f>
        <v>-3.907985046680551E-13</v>
      </c>
      <c r="V90" s="393">
        <f ca="1">V18+V38+V59+V69-利润表!V14</f>
        <v>-4.5474735088646412E-13</v>
      </c>
      <c r="W90" s="393">
        <f ca="1">W18+W38+W59+W69-利润表!W14</f>
        <v>3.1974423109204508E-14</v>
      </c>
      <c r="X90" s="393">
        <f ca="1">X18+X38+X59+X69-利润表!X14</f>
        <v>-6.6791017161449417E-13</v>
      </c>
      <c r="Y90" s="393">
        <f ca="1">Y18+Y38+Y59+Y69-利润表!Y14</f>
        <v>5.8975047068088315E-13</v>
      </c>
      <c r="Z90" s="393">
        <f ca="1">Z18+Z38+Z59+Z69-利润表!Z14</f>
        <v>-3.907985046680551E-14</v>
      </c>
      <c r="AA90" s="393">
        <f ca="1">AA18+AA38+AA59+AA69-利润表!AA14</f>
        <v>-6.3238303482648917E-13</v>
      </c>
      <c r="AB90" s="393">
        <f ca="1">AB18+AB38+AB59+AB69-利润表!AB14</f>
        <v>-3.3395508580724709E-13</v>
      </c>
      <c r="AC90" s="393">
        <f ca="1">AC18+AC38+AC59+AC69-利润表!AC14</f>
        <v>4.2632564145606011E-13</v>
      </c>
      <c r="AD90" s="393">
        <f ca="1">AD18+AD38+AD59+AD69-利润表!AD14</f>
        <v>-1.77280412572145E-12</v>
      </c>
      <c r="AE90" s="393">
        <f ca="1">AE18+AE38+AE59+AE69-利润表!AE14</f>
        <v>-6.7501559897209518E-13</v>
      </c>
      <c r="AF90" s="393">
        <f ca="1">AF18+AF38+AF59+AF69-利润表!AF14</f>
        <v>-1.2221335055073723E-12</v>
      </c>
      <c r="AG90" s="393">
        <f ca="1">AG18+AG38+AG59+AG69-利润表!AG14</f>
        <v>8.7041485130612273E-13</v>
      </c>
      <c r="AH90" s="393">
        <f ca="1">AH18+AH38+AH59+AH69-利润表!AH14</f>
        <v>-1.7763568394002505E-13</v>
      </c>
      <c r="AI90" s="393">
        <f ca="1">AI18+AI38+AI59+AI69-利润表!AI14</f>
        <v>3.4816594052244909E-13</v>
      </c>
      <c r="AJ90" s="393">
        <f ca="1">AJ18+AJ38+AJ59+AJ69-利润表!AJ14</f>
        <v>8.5265128291212022E-14</v>
      </c>
      <c r="AK90" s="393">
        <f ca="1">AK18+AK38+AK59+AK69-利润表!AK14</f>
        <v>2.1671553440683056E-13</v>
      </c>
      <c r="AL90" s="393">
        <f ca="1">AL18+AL38+AL59+AL69-利润表!AL14</f>
        <v>1.4921397450962104E-13</v>
      </c>
    </row>
    <row r="91" spans="1:95" s="392" customFormat="1" ht="17.25" customHeight="1">
      <c r="A91" s="390" t="s">
        <v>1035</v>
      </c>
      <c r="B91" s="391" t="s">
        <v>2477</v>
      </c>
      <c r="C91" s="453">
        <f t="shared" ref="C91:AL91" si="84">C40-C88</f>
        <v>0</v>
      </c>
      <c r="D91" s="453">
        <f t="shared" si="84"/>
        <v>0</v>
      </c>
      <c r="E91" s="453">
        <f t="shared" si="84"/>
        <v>0</v>
      </c>
      <c r="F91" s="453">
        <f t="shared" si="84"/>
        <v>0</v>
      </c>
      <c r="G91" s="453">
        <f t="shared" si="84"/>
        <v>0</v>
      </c>
      <c r="H91" s="453">
        <f t="shared" si="84"/>
        <v>0</v>
      </c>
      <c r="I91" s="453">
        <f ca="1">I40-I88</f>
        <v>0</v>
      </c>
      <c r="J91" s="453">
        <f t="shared" ca="1" si="84"/>
        <v>0</v>
      </c>
      <c r="K91" s="453">
        <f t="shared" ca="1" si="84"/>
        <v>0</v>
      </c>
      <c r="L91" s="453">
        <f t="shared" ca="1" si="84"/>
        <v>0</v>
      </c>
      <c r="M91" s="453">
        <f t="shared" ca="1" si="84"/>
        <v>0</v>
      </c>
      <c r="N91" s="453">
        <f t="shared" ca="1" si="84"/>
        <v>0</v>
      </c>
      <c r="O91" s="453">
        <f t="shared" ca="1" si="84"/>
        <v>0</v>
      </c>
      <c r="P91" s="453">
        <f t="shared" ca="1" si="84"/>
        <v>0</v>
      </c>
      <c r="Q91" s="453">
        <f t="shared" ca="1" si="84"/>
        <v>0</v>
      </c>
      <c r="R91" s="453">
        <f t="shared" ca="1" si="84"/>
        <v>0</v>
      </c>
      <c r="S91" s="453">
        <f t="shared" ca="1" si="84"/>
        <v>0</v>
      </c>
      <c r="T91" s="453">
        <f t="shared" ca="1" si="84"/>
        <v>0</v>
      </c>
      <c r="U91" s="453">
        <f t="shared" ca="1" si="84"/>
        <v>0</v>
      </c>
      <c r="V91" s="453">
        <f t="shared" ca="1" si="84"/>
        <v>0</v>
      </c>
      <c r="W91" s="453">
        <f t="shared" ca="1" si="84"/>
        <v>0</v>
      </c>
      <c r="X91" s="453">
        <f t="shared" ca="1" si="84"/>
        <v>0</v>
      </c>
      <c r="Y91" s="453">
        <f t="shared" ca="1" si="84"/>
        <v>0</v>
      </c>
      <c r="Z91" s="453">
        <f t="shared" ca="1" si="84"/>
        <v>0</v>
      </c>
      <c r="AA91" s="453">
        <f t="shared" ca="1" si="84"/>
        <v>0</v>
      </c>
      <c r="AB91" s="453">
        <f t="shared" ca="1" si="84"/>
        <v>0</v>
      </c>
      <c r="AC91" s="453">
        <f t="shared" ca="1" si="84"/>
        <v>0</v>
      </c>
      <c r="AD91" s="453">
        <f t="shared" ca="1" si="84"/>
        <v>0</v>
      </c>
      <c r="AE91" s="453">
        <f t="shared" ca="1" si="84"/>
        <v>0</v>
      </c>
      <c r="AF91" s="453">
        <f t="shared" ca="1" si="84"/>
        <v>0</v>
      </c>
      <c r="AG91" s="453">
        <f t="shared" ca="1" si="84"/>
        <v>0</v>
      </c>
      <c r="AH91" s="453">
        <f t="shared" ca="1" si="84"/>
        <v>0</v>
      </c>
      <c r="AI91" s="453">
        <f t="shared" ca="1" si="84"/>
        <v>0</v>
      </c>
      <c r="AJ91" s="453">
        <f t="shared" ca="1" si="84"/>
        <v>0</v>
      </c>
      <c r="AK91" s="453">
        <f t="shared" ca="1" si="84"/>
        <v>0</v>
      </c>
      <c r="AL91" s="453">
        <f t="shared" ca="1" si="84"/>
        <v>0</v>
      </c>
      <c r="AM91" s="973"/>
    </row>
    <row r="92" spans="1:95" ht="17.25" customHeight="1">
      <c r="A92" s="381"/>
      <c r="B92" s="382"/>
      <c r="C92" s="383"/>
      <c r="O92" s="225"/>
    </row>
    <row r="93" spans="1:95" ht="17.25" customHeight="1">
      <c r="A93" s="385"/>
      <c r="B93" s="385"/>
      <c r="C93" s="383"/>
      <c r="D93" s="384"/>
      <c r="G93" s="200"/>
      <c r="H93" s="200"/>
      <c r="O93" s="225"/>
    </row>
    <row r="94" spans="1:95" ht="17.25" customHeight="1">
      <c r="A94" s="385"/>
      <c r="B94" s="385"/>
      <c r="F94" s="152"/>
      <c r="G94" s="152"/>
      <c r="H94" s="152"/>
      <c r="I94" s="152"/>
      <c r="J94" s="152"/>
      <c r="K94" s="152"/>
      <c r="O94" s="225"/>
    </row>
    <row r="95" spans="1:95" ht="17.25" customHeight="1">
      <c r="A95" s="385"/>
      <c r="B95" s="385"/>
      <c r="F95" s="199"/>
      <c r="G95" s="200"/>
      <c r="H95" s="200"/>
      <c r="O95" s="225"/>
    </row>
    <row r="96" spans="1:95" ht="17.25" customHeight="1">
      <c r="A96" s="385"/>
      <c r="B96" s="385"/>
      <c r="G96" s="200"/>
      <c r="H96" s="200"/>
    </row>
    <row r="97" spans="1:2" ht="17.25" customHeight="1">
      <c r="A97" s="385"/>
      <c r="B97" s="385"/>
    </row>
    <row r="98" spans="1:2" ht="17.25" customHeight="1">
      <c r="A98" s="385"/>
      <c r="B98" s="385"/>
    </row>
    <row r="99" spans="1:2" ht="17.25" customHeight="1">
      <c r="A99" s="385"/>
      <c r="B99" s="385"/>
    </row>
    <row r="100" spans="1:2" ht="17.25" customHeight="1">
      <c r="A100" s="385"/>
      <c r="B100" s="385"/>
    </row>
    <row r="101" spans="1:2" ht="17.25" customHeight="1">
      <c r="A101" s="385"/>
      <c r="B101" s="385"/>
    </row>
    <row r="102" spans="1:2" ht="17.25" customHeight="1">
      <c r="A102" s="385"/>
      <c r="B102" s="385"/>
    </row>
    <row r="103" spans="1:2" ht="17.25" customHeight="1">
      <c r="A103" s="385"/>
      <c r="B103" s="385"/>
    </row>
    <row r="104" spans="1:2" ht="17.25" customHeight="1">
      <c r="A104" s="385"/>
      <c r="B104" s="385"/>
    </row>
    <row r="105" spans="1:2" ht="17.25" customHeight="1">
      <c r="A105" s="385"/>
      <c r="B105" s="385"/>
    </row>
    <row r="106" spans="1:2" ht="17.25" customHeight="1">
      <c r="A106" s="385"/>
      <c r="B106" s="385"/>
    </row>
    <row r="107" spans="1:2" ht="17.25" customHeight="1">
      <c r="A107" s="385"/>
      <c r="B107" s="385"/>
    </row>
    <row r="108" spans="1:2" ht="17.25" customHeight="1">
      <c r="A108" s="385"/>
      <c r="B108" s="385"/>
    </row>
    <row r="109" spans="1:2" ht="17.25" customHeight="1">
      <c r="A109" s="385"/>
      <c r="B109" s="385"/>
    </row>
    <row r="110" spans="1:2" ht="17.25" customHeight="1">
      <c r="A110" s="385"/>
      <c r="B110" s="385"/>
    </row>
    <row r="111" spans="1:2" ht="17.25" customHeight="1">
      <c r="A111" s="385"/>
      <c r="B111" s="385"/>
    </row>
    <row r="112" spans="1:2" ht="17.25" customHeight="1">
      <c r="A112" s="385"/>
      <c r="B112" s="385"/>
    </row>
    <row r="113" spans="1:2" ht="17.25" customHeight="1">
      <c r="A113" s="385"/>
      <c r="B113" s="385"/>
    </row>
    <row r="114" spans="1:2" ht="17.25" customHeight="1">
      <c r="A114" s="385"/>
      <c r="B114" s="385"/>
    </row>
    <row r="115" spans="1:2" ht="17.25" customHeight="1">
      <c r="A115" s="385"/>
      <c r="B115" s="385"/>
    </row>
    <row r="116" spans="1:2" ht="17.25" customHeight="1">
      <c r="A116" s="385"/>
      <c r="B116" s="385"/>
    </row>
    <row r="117" spans="1:2" ht="17.25" customHeight="1">
      <c r="A117" s="385"/>
      <c r="B117" s="385"/>
    </row>
    <row r="118" spans="1:2" ht="17.25" customHeight="1">
      <c r="A118" s="385"/>
      <c r="B118" s="385"/>
    </row>
    <row r="119" spans="1:2" ht="17.25" customHeight="1">
      <c r="A119" s="385"/>
      <c r="B119" s="385"/>
    </row>
    <row r="120" spans="1:2" ht="17.25" customHeight="1">
      <c r="A120" s="385"/>
      <c r="B120" s="385"/>
    </row>
    <row r="121" spans="1:2" ht="17.25" customHeight="1">
      <c r="A121" s="385"/>
      <c r="B121" s="385"/>
    </row>
    <row r="122" spans="1:2" ht="17.25" customHeight="1">
      <c r="A122" s="385"/>
      <c r="B122" s="385"/>
    </row>
    <row r="123" spans="1:2" ht="17.25" customHeight="1">
      <c r="A123" s="385"/>
      <c r="B123" s="385"/>
    </row>
    <row r="124" spans="1:2" ht="17.25" customHeight="1">
      <c r="A124" s="385"/>
      <c r="B124" s="385"/>
    </row>
    <row r="125" spans="1:2" ht="17.25" customHeight="1">
      <c r="A125" s="385"/>
      <c r="B125" s="385"/>
    </row>
    <row r="126" spans="1:2" ht="17.25" customHeight="1">
      <c r="A126" s="385"/>
      <c r="B126" s="385"/>
    </row>
    <row r="127" spans="1:2" ht="17.25" customHeight="1">
      <c r="A127" s="385"/>
      <c r="B127" s="385"/>
    </row>
    <row r="128" spans="1:2" ht="17.25" customHeight="1">
      <c r="A128" s="385"/>
      <c r="B128" s="385"/>
    </row>
    <row r="129" spans="1:2" ht="17.25" customHeight="1">
      <c r="A129" s="385"/>
      <c r="B129" s="385"/>
    </row>
    <row r="130" spans="1:2" ht="17.25" customHeight="1">
      <c r="A130" s="385"/>
      <c r="B130" s="385"/>
    </row>
    <row r="131" spans="1:2" ht="17.25" customHeight="1">
      <c r="A131" s="385"/>
      <c r="B131" s="385"/>
    </row>
    <row r="132" spans="1:2" ht="17.25" customHeight="1">
      <c r="A132" s="385"/>
      <c r="B132" s="385"/>
    </row>
    <row r="133" spans="1:2" ht="17.25" customHeight="1">
      <c r="A133" s="385"/>
      <c r="B133" s="385"/>
    </row>
    <row r="134" spans="1:2" ht="17.25" customHeight="1">
      <c r="A134" s="385"/>
      <c r="B134" s="385"/>
    </row>
    <row r="135" spans="1:2" ht="17.25" customHeight="1">
      <c r="A135" s="385"/>
      <c r="B135" s="385"/>
    </row>
    <row r="136" spans="1:2" ht="17.25" customHeight="1">
      <c r="A136" s="385"/>
      <c r="B136" s="385"/>
    </row>
    <row r="137" spans="1:2" ht="17.25" customHeight="1">
      <c r="A137" s="385"/>
      <c r="B137" s="385"/>
    </row>
    <row r="138" spans="1:2" ht="17.25" customHeight="1">
      <c r="A138" s="385"/>
      <c r="B138" s="385"/>
    </row>
    <row r="139" spans="1:2" ht="17.25" customHeight="1">
      <c r="A139" s="385"/>
      <c r="B139" s="385"/>
    </row>
    <row r="140" spans="1:2" ht="17.25" customHeight="1">
      <c r="A140" s="385"/>
      <c r="B140" s="385"/>
    </row>
    <row r="141" spans="1:2" ht="17.25" customHeight="1">
      <c r="A141" s="385"/>
      <c r="B141" s="385"/>
    </row>
    <row r="142" spans="1:2" ht="17.25" customHeight="1">
      <c r="A142" s="385"/>
      <c r="B142" s="385"/>
    </row>
    <row r="143" spans="1:2" ht="17.25" customHeight="1">
      <c r="A143" s="385"/>
      <c r="B143" s="385"/>
    </row>
    <row r="144" spans="1:2" ht="17.25" customHeight="1">
      <c r="A144" s="385"/>
      <c r="B144" s="385"/>
    </row>
    <row r="145" spans="1:2" ht="17.25" customHeight="1">
      <c r="A145" s="385"/>
      <c r="B145" s="385"/>
    </row>
    <row r="146" spans="1:2" ht="17.25" customHeight="1">
      <c r="A146" s="385"/>
      <c r="B146" s="385"/>
    </row>
    <row r="147" spans="1:2" ht="17.25" customHeight="1">
      <c r="A147" s="385"/>
      <c r="B147" s="385"/>
    </row>
    <row r="148" spans="1:2" ht="17.25" customHeight="1">
      <c r="A148" s="385"/>
      <c r="B148" s="385"/>
    </row>
    <row r="149" spans="1:2" ht="17.25" customHeight="1">
      <c r="A149" s="385"/>
      <c r="B149" s="385"/>
    </row>
    <row r="150" spans="1:2" ht="17.25" customHeight="1">
      <c r="A150" s="385"/>
      <c r="B150" s="385"/>
    </row>
    <row r="151" spans="1:2" ht="17.25" customHeight="1">
      <c r="A151" s="385"/>
      <c r="B151" s="385"/>
    </row>
    <row r="152" spans="1:2" ht="17.25" customHeight="1">
      <c r="A152" s="385"/>
      <c r="B152" s="385"/>
    </row>
    <row r="153" spans="1:2" ht="17.25" customHeight="1">
      <c r="A153" s="385"/>
      <c r="B153" s="385"/>
    </row>
    <row r="154" spans="1:2" ht="17.25" customHeight="1">
      <c r="A154" s="385"/>
      <c r="B154" s="385"/>
    </row>
    <row r="155" spans="1:2" ht="17.25" customHeight="1">
      <c r="A155" s="385"/>
      <c r="B155" s="385"/>
    </row>
    <row r="156" spans="1:2" ht="17.25" customHeight="1">
      <c r="A156" s="385"/>
      <c r="B156" s="385"/>
    </row>
    <row r="157" spans="1:2" ht="17.25" customHeight="1">
      <c r="A157" s="385"/>
      <c r="B157" s="385"/>
    </row>
    <row r="158" spans="1:2" ht="17.25" customHeight="1">
      <c r="A158" s="385"/>
      <c r="B158" s="385"/>
    </row>
    <row r="159" spans="1:2" ht="17.25" customHeight="1">
      <c r="A159" s="385"/>
      <c r="B159" s="385"/>
    </row>
    <row r="160" spans="1:2" ht="17.25" customHeight="1">
      <c r="A160" s="385"/>
      <c r="B160" s="385"/>
    </row>
    <row r="161" spans="1:2" ht="17.25" customHeight="1">
      <c r="A161" s="385"/>
      <c r="B161" s="385"/>
    </row>
    <row r="162" spans="1:2" ht="17.25" customHeight="1">
      <c r="A162" s="385"/>
      <c r="B162" s="385"/>
    </row>
    <row r="163" spans="1:2" ht="17.25" customHeight="1">
      <c r="A163" s="385"/>
      <c r="B163" s="385"/>
    </row>
    <row r="164" spans="1:2" ht="17.25" customHeight="1">
      <c r="A164" s="385"/>
      <c r="B164" s="385"/>
    </row>
    <row r="165" spans="1:2" ht="17.25" customHeight="1">
      <c r="A165" s="385"/>
      <c r="B165" s="385"/>
    </row>
    <row r="166" spans="1:2" ht="17.25" customHeight="1">
      <c r="A166" s="385"/>
      <c r="B166" s="385"/>
    </row>
    <row r="167" spans="1:2" ht="17.25" customHeight="1">
      <c r="A167" s="385"/>
      <c r="B167" s="385"/>
    </row>
    <row r="168" spans="1:2" ht="17.25" customHeight="1">
      <c r="A168" s="385"/>
      <c r="B168" s="385"/>
    </row>
    <row r="169" spans="1:2" ht="17.25" customHeight="1">
      <c r="A169" s="385"/>
      <c r="B169" s="385"/>
    </row>
    <row r="170" spans="1:2" ht="17.25" customHeight="1">
      <c r="A170" s="385"/>
      <c r="B170" s="385"/>
    </row>
    <row r="171" spans="1:2" ht="17.25" customHeight="1">
      <c r="A171" s="385"/>
      <c r="B171" s="385"/>
    </row>
    <row r="172" spans="1:2" ht="17.25" customHeight="1">
      <c r="A172" s="385"/>
      <c r="B172" s="385"/>
    </row>
    <row r="173" spans="1:2" ht="17.25" customHeight="1">
      <c r="A173" s="385"/>
      <c r="B173" s="385"/>
    </row>
    <row r="174" spans="1:2" ht="17.25" customHeight="1">
      <c r="A174" s="385"/>
      <c r="B174" s="385"/>
    </row>
    <row r="175" spans="1:2" ht="17.25" customHeight="1">
      <c r="A175" s="385"/>
      <c r="B175" s="385"/>
    </row>
    <row r="176" spans="1:2" ht="17.25" customHeight="1">
      <c r="A176" s="385"/>
      <c r="B176" s="385"/>
    </row>
    <row r="177" spans="1:2" ht="17.25" customHeight="1">
      <c r="A177" s="385"/>
      <c r="B177" s="385"/>
    </row>
    <row r="178" spans="1:2" ht="17.25" customHeight="1">
      <c r="A178" s="385"/>
      <c r="B178" s="385"/>
    </row>
    <row r="179" spans="1:2" ht="17.25" customHeight="1">
      <c r="A179" s="385"/>
      <c r="B179" s="385"/>
    </row>
    <row r="180" spans="1:2" ht="17.25" customHeight="1">
      <c r="A180" s="385"/>
      <c r="B180" s="385"/>
    </row>
    <row r="181" spans="1:2" ht="17.25" customHeight="1">
      <c r="A181" s="385"/>
      <c r="B181" s="385"/>
    </row>
    <row r="182" spans="1:2" ht="17.25" customHeight="1">
      <c r="A182" s="385"/>
      <c r="B182" s="385"/>
    </row>
    <row r="183" spans="1:2" ht="17.25" customHeight="1">
      <c r="A183" s="385"/>
      <c r="B183" s="385"/>
    </row>
    <row r="184" spans="1:2" ht="17.25" customHeight="1">
      <c r="A184" s="385"/>
      <c r="B184" s="385"/>
    </row>
    <row r="185" spans="1:2" ht="17.25" customHeight="1">
      <c r="A185" s="385"/>
      <c r="B185" s="385"/>
    </row>
    <row r="186" spans="1:2" ht="17.25" customHeight="1">
      <c r="A186" s="385"/>
      <c r="B186" s="385"/>
    </row>
    <row r="187" spans="1:2" ht="17.25" customHeight="1">
      <c r="A187" s="385"/>
      <c r="B187" s="385"/>
    </row>
    <row r="188" spans="1:2" ht="17.25" customHeight="1">
      <c r="A188" s="385"/>
      <c r="B188" s="385"/>
    </row>
    <row r="189" spans="1:2" ht="17.25" customHeight="1">
      <c r="A189" s="385"/>
      <c r="B189" s="385"/>
    </row>
    <row r="190" spans="1:2" ht="17.25" customHeight="1">
      <c r="A190" s="385"/>
      <c r="B190" s="385"/>
    </row>
    <row r="191" spans="1:2" ht="17.25" customHeight="1">
      <c r="A191" s="385"/>
      <c r="B191" s="385"/>
    </row>
    <row r="192" spans="1:2" ht="17.25" customHeight="1">
      <c r="A192" s="385"/>
      <c r="B192" s="385"/>
    </row>
    <row r="193" spans="1:2" ht="17.25" customHeight="1">
      <c r="A193" s="385"/>
      <c r="B193" s="385"/>
    </row>
    <row r="194" spans="1:2" ht="17.25" customHeight="1">
      <c r="A194" s="385"/>
      <c r="B194" s="385"/>
    </row>
    <row r="195" spans="1:2" ht="17.25" customHeight="1">
      <c r="A195" s="385"/>
      <c r="B195" s="385"/>
    </row>
    <row r="196" spans="1:2" ht="17.25" customHeight="1">
      <c r="A196" s="385"/>
      <c r="B196" s="385"/>
    </row>
    <row r="197" spans="1:2" ht="17.25" customHeight="1">
      <c r="A197" s="385"/>
      <c r="B197" s="385"/>
    </row>
    <row r="198" spans="1:2" ht="17.25" customHeight="1">
      <c r="A198" s="385"/>
      <c r="B198" s="385"/>
    </row>
    <row r="199" spans="1:2" ht="17.25" customHeight="1">
      <c r="A199" s="385"/>
      <c r="B199" s="385"/>
    </row>
    <row r="200" spans="1:2" ht="17.25" customHeight="1">
      <c r="A200" s="385"/>
      <c r="B200" s="385"/>
    </row>
    <row r="201" spans="1:2" ht="17.25" customHeight="1">
      <c r="A201" s="385"/>
      <c r="B201" s="385"/>
    </row>
    <row r="202" spans="1:2" ht="17.25" customHeight="1">
      <c r="A202" s="385"/>
      <c r="B202" s="385"/>
    </row>
    <row r="203" spans="1:2" ht="17.25" customHeight="1">
      <c r="A203" s="385"/>
      <c r="B203" s="385"/>
    </row>
    <row r="204" spans="1:2" ht="17.25" customHeight="1">
      <c r="A204" s="385"/>
      <c r="B204" s="385"/>
    </row>
    <row r="205" spans="1:2" ht="17.25" customHeight="1">
      <c r="A205" s="385"/>
      <c r="B205" s="385"/>
    </row>
    <row r="206" spans="1:2" ht="17.25" customHeight="1">
      <c r="A206" s="385"/>
      <c r="B206" s="385"/>
    </row>
    <row r="207" spans="1:2" ht="17.25" customHeight="1">
      <c r="A207" s="385"/>
      <c r="B207" s="385"/>
    </row>
    <row r="208" spans="1:2" ht="17.25" customHeight="1">
      <c r="A208" s="385"/>
      <c r="B208" s="385"/>
    </row>
    <row r="209" spans="1:2" ht="17.25" customHeight="1">
      <c r="A209" s="385"/>
      <c r="B209" s="385"/>
    </row>
    <row r="210" spans="1:2" ht="17.25" customHeight="1">
      <c r="A210" s="385"/>
      <c r="B210" s="385"/>
    </row>
    <row r="211" spans="1:2" ht="17.25" customHeight="1">
      <c r="A211" s="385"/>
      <c r="B211" s="385"/>
    </row>
    <row r="212" spans="1:2" ht="17.25" customHeight="1">
      <c r="A212" s="385"/>
      <c r="B212" s="385"/>
    </row>
    <row r="213" spans="1:2" ht="17.25" customHeight="1">
      <c r="A213" s="385"/>
      <c r="B213" s="385"/>
    </row>
    <row r="214" spans="1:2" ht="17.25" customHeight="1">
      <c r="A214" s="385"/>
      <c r="B214" s="385"/>
    </row>
    <row r="215" spans="1:2" ht="17.25" customHeight="1">
      <c r="A215" s="385"/>
      <c r="B215" s="385"/>
    </row>
    <row r="216" spans="1:2" ht="17.25" customHeight="1">
      <c r="A216" s="385"/>
      <c r="B216" s="385"/>
    </row>
    <row r="217" spans="1:2" ht="17.25" customHeight="1">
      <c r="A217" s="385"/>
      <c r="B217" s="385"/>
    </row>
    <row r="218" spans="1:2" ht="17.25" customHeight="1">
      <c r="A218" s="385"/>
      <c r="B218" s="385"/>
    </row>
    <row r="219" spans="1:2" ht="17.25" customHeight="1">
      <c r="A219" s="385"/>
      <c r="B219" s="385"/>
    </row>
    <row r="220" spans="1:2" ht="17.25" customHeight="1">
      <c r="A220" s="385"/>
      <c r="B220" s="385"/>
    </row>
    <row r="221" spans="1:2" ht="17.25" customHeight="1">
      <c r="A221" s="385"/>
      <c r="B221" s="385"/>
    </row>
    <row r="222" spans="1:2" ht="17.25" customHeight="1">
      <c r="A222" s="385"/>
      <c r="B222" s="385"/>
    </row>
    <row r="223" spans="1:2" ht="17.25" customHeight="1">
      <c r="A223" s="385"/>
      <c r="B223" s="385"/>
    </row>
    <row r="224" spans="1:2" ht="17.25" customHeight="1">
      <c r="A224" s="385"/>
      <c r="B224" s="385"/>
    </row>
    <row r="225" spans="1:2" ht="17.25" customHeight="1">
      <c r="A225" s="385"/>
      <c r="B225" s="385"/>
    </row>
    <row r="226" spans="1:2" ht="17.25" customHeight="1">
      <c r="A226" s="385"/>
      <c r="B226" s="385"/>
    </row>
    <row r="227" spans="1:2" ht="17.25" customHeight="1">
      <c r="A227" s="385"/>
      <c r="B227" s="385"/>
    </row>
    <row r="228" spans="1:2" ht="17.25" customHeight="1">
      <c r="A228" s="385"/>
      <c r="B228" s="385"/>
    </row>
    <row r="229" spans="1:2" ht="17.25" customHeight="1">
      <c r="A229" s="385"/>
      <c r="B229" s="385"/>
    </row>
    <row r="230" spans="1:2" ht="17.25" customHeight="1">
      <c r="A230" s="385"/>
      <c r="B230" s="385"/>
    </row>
    <row r="231" spans="1:2" ht="17.25" customHeight="1">
      <c r="A231" s="385"/>
      <c r="B231" s="385"/>
    </row>
    <row r="232" spans="1:2" ht="17.25" customHeight="1">
      <c r="A232" s="385"/>
      <c r="B232" s="385"/>
    </row>
    <row r="233" spans="1:2" ht="17.25" customHeight="1">
      <c r="A233" s="385"/>
      <c r="B233" s="385"/>
    </row>
    <row r="234" spans="1:2" ht="17.25" customHeight="1">
      <c r="A234" s="385"/>
      <c r="B234" s="385"/>
    </row>
    <row r="235" spans="1:2" ht="17.25" customHeight="1">
      <c r="A235" s="385"/>
      <c r="B235" s="385"/>
    </row>
    <row r="236" spans="1:2" ht="17.25" customHeight="1">
      <c r="A236" s="385"/>
      <c r="B236" s="385"/>
    </row>
    <row r="237" spans="1:2" ht="17.25" customHeight="1">
      <c r="A237" s="385"/>
      <c r="B237" s="385"/>
    </row>
    <row r="238" spans="1:2" ht="17.25" customHeight="1">
      <c r="A238" s="385"/>
      <c r="B238" s="385"/>
    </row>
    <row r="239" spans="1:2" ht="17.25" customHeight="1">
      <c r="A239" s="385"/>
      <c r="B239" s="385"/>
    </row>
    <row r="240" spans="1:2" ht="17.25" customHeight="1">
      <c r="A240" s="385"/>
      <c r="B240" s="385"/>
    </row>
    <row r="241" spans="1:2" ht="17.25" customHeight="1">
      <c r="A241" s="385"/>
      <c r="B241" s="385"/>
    </row>
    <row r="242" spans="1:2" ht="17.25" customHeight="1">
      <c r="A242" s="385"/>
      <c r="B242" s="385"/>
    </row>
    <row r="243" spans="1:2" ht="17.25" customHeight="1">
      <c r="A243" s="385"/>
      <c r="B243" s="385"/>
    </row>
    <row r="244" spans="1:2" ht="17.25" customHeight="1">
      <c r="A244" s="385"/>
      <c r="B244" s="385"/>
    </row>
    <row r="245" spans="1:2" ht="17.25" customHeight="1">
      <c r="A245" s="385"/>
      <c r="B245" s="385"/>
    </row>
    <row r="246" spans="1:2" ht="17.25" customHeight="1">
      <c r="A246" s="385"/>
      <c r="B246" s="385"/>
    </row>
    <row r="247" spans="1:2" ht="17.25" customHeight="1">
      <c r="A247" s="385"/>
      <c r="B247" s="385"/>
    </row>
    <row r="248" spans="1:2" ht="17.25" customHeight="1">
      <c r="A248" s="385"/>
      <c r="B248" s="385"/>
    </row>
    <row r="249" spans="1:2" ht="17.25" customHeight="1">
      <c r="A249" s="385"/>
      <c r="B249" s="385"/>
    </row>
    <row r="250" spans="1:2" ht="17.25" customHeight="1">
      <c r="A250" s="385"/>
      <c r="B250" s="385"/>
    </row>
    <row r="251" spans="1:2" ht="17.25" customHeight="1">
      <c r="A251" s="385"/>
      <c r="B251" s="385"/>
    </row>
    <row r="252" spans="1:2" ht="17.25" customHeight="1">
      <c r="A252" s="385"/>
      <c r="B252" s="385"/>
    </row>
    <row r="253" spans="1:2" ht="17.25" customHeight="1">
      <c r="A253" s="385"/>
      <c r="B253" s="385"/>
    </row>
    <row r="254" spans="1:2" ht="17.25" customHeight="1">
      <c r="A254" s="385"/>
      <c r="B254" s="385"/>
    </row>
    <row r="255" spans="1:2" ht="17.25" customHeight="1">
      <c r="A255" s="385"/>
      <c r="B255" s="385"/>
    </row>
    <row r="256" spans="1:2" ht="17.25" customHeight="1">
      <c r="A256" s="385"/>
      <c r="B256" s="385"/>
    </row>
    <row r="257" spans="1:2" ht="17.25" customHeight="1">
      <c r="A257" s="385"/>
      <c r="B257" s="385"/>
    </row>
    <row r="258" spans="1:2" ht="17.25" customHeight="1">
      <c r="A258" s="385"/>
      <c r="B258" s="385"/>
    </row>
    <row r="259" spans="1:2" ht="17.25" customHeight="1">
      <c r="A259" s="385"/>
      <c r="B259" s="385"/>
    </row>
    <row r="260" spans="1:2" ht="17.25" customHeight="1">
      <c r="A260" s="385"/>
      <c r="B260" s="385"/>
    </row>
    <row r="261" spans="1:2" ht="17.25" customHeight="1">
      <c r="A261" s="385"/>
      <c r="B261" s="385"/>
    </row>
    <row r="262" spans="1:2" ht="17.25" customHeight="1">
      <c r="A262" s="385"/>
      <c r="B262" s="385"/>
    </row>
    <row r="263" spans="1:2" ht="17.25" customHeight="1">
      <c r="A263" s="385"/>
      <c r="B263" s="385"/>
    </row>
    <row r="264" spans="1:2" ht="17.25" customHeight="1">
      <c r="A264" s="385"/>
      <c r="B264" s="385"/>
    </row>
    <row r="265" spans="1:2" ht="17.25" customHeight="1">
      <c r="A265" s="385"/>
      <c r="B265" s="385"/>
    </row>
    <row r="266" spans="1:2" ht="17.25" customHeight="1">
      <c r="A266" s="385"/>
      <c r="B266" s="385"/>
    </row>
    <row r="267" spans="1:2" ht="17.25" customHeight="1">
      <c r="A267" s="385"/>
      <c r="B267" s="385"/>
    </row>
    <row r="268" spans="1:2" ht="17.25" customHeight="1">
      <c r="A268" s="385"/>
      <c r="B268" s="385"/>
    </row>
    <row r="269" spans="1:2" ht="17.25" customHeight="1">
      <c r="A269" s="385"/>
      <c r="B269" s="385"/>
    </row>
    <row r="270" spans="1:2" ht="17.25" customHeight="1">
      <c r="A270" s="385"/>
      <c r="B270" s="385"/>
    </row>
    <row r="271" spans="1:2" ht="17.25" customHeight="1">
      <c r="A271" s="385"/>
      <c r="B271" s="385"/>
    </row>
    <row r="272" spans="1:2" ht="17.25" customHeight="1">
      <c r="A272" s="385"/>
      <c r="B272" s="385"/>
    </row>
    <row r="273" spans="1:2" ht="17.25" customHeight="1">
      <c r="A273" s="385"/>
      <c r="B273" s="385"/>
    </row>
    <row r="274" spans="1:2" ht="17.25" customHeight="1">
      <c r="A274" s="385"/>
      <c r="B274" s="385"/>
    </row>
    <row r="275" spans="1:2" ht="17.25" customHeight="1">
      <c r="A275" s="385"/>
      <c r="B275" s="385"/>
    </row>
    <row r="276" spans="1:2" ht="17.25" customHeight="1">
      <c r="A276" s="385"/>
      <c r="B276" s="385"/>
    </row>
    <row r="277" spans="1:2" ht="17.25" customHeight="1">
      <c r="A277" s="385"/>
      <c r="B277" s="385"/>
    </row>
    <row r="278" spans="1:2" ht="17.25" customHeight="1">
      <c r="A278" s="385"/>
      <c r="B278" s="385"/>
    </row>
    <row r="279" spans="1:2" ht="17.25" customHeight="1">
      <c r="A279" s="385"/>
      <c r="B279" s="385"/>
    </row>
    <row r="280" spans="1:2" ht="17.25" customHeight="1">
      <c r="A280" s="385"/>
      <c r="B280" s="385"/>
    </row>
    <row r="281" spans="1:2" ht="17.25" customHeight="1">
      <c r="A281" s="385"/>
      <c r="B281" s="385"/>
    </row>
    <row r="282" spans="1:2" ht="17.25" customHeight="1">
      <c r="A282" s="385"/>
      <c r="B282" s="385"/>
    </row>
    <row r="283" spans="1:2" ht="17.25" customHeight="1">
      <c r="A283" s="385"/>
      <c r="B283" s="385"/>
    </row>
    <row r="284" spans="1:2" ht="17.25" customHeight="1">
      <c r="A284" s="385"/>
      <c r="B284" s="385"/>
    </row>
    <row r="285" spans="1:2" ht="17.25" customHeight="1">
      <c r="A285" s="385"/>
      <c r="B285" s="385"/>
    </row>
    <row r="286" spans="1:2" ht="17.25" customHeight="1">
      <c r="A286" s="385"/>
      <c r="B286" s="385"/>
    </row>
    <row r="287" spans="1:2" ht="17.25" customHeight="1">
      <c r="A287" s="385"/>
      <c r="B287" s="385"/>
    </row>
    <row r="288" spans="1:2" ht="17.25" customHeight="1">
      <c r="A288" s="385"/>
      <c r="B288" s="385"/>
    </row>
    <row r="289" spans="1:2" ht="17.25" customHeight="1">
      <c r="A289" s="385"/>
      <c r="B289" s="385"/>
    </row>
    <row r="290" spans="1:2" ht="17.25" customHeight="1">
      <c r="A290" s="385"/>
      <c r="B290" s="385"/>
    </row>
    <row r="291" spans="1:2" ht="17.25" customHeight="1">
      <c r="A291" s="385"/>
      <c r="B291" s="385"/>
    </row>
    <row r="292" spans="1:2" ht="17.25" customHeight="1">
      <c r="A292" s="385"/>
      <c r="B292" s="385"/>
    </row>
    <row r="293" spans="1:2" ht="17.25" customHeight="1">
      <c r="A293" s="385"/>
      <c r="B293" s="385"/>
    </row>
    <row r="294" spans="1:2" ht="17.25" customHeight="1">
      <c r="A294" s="385"/>
      <c r="B294" s="385"/>
    </row>
    <row r="295" spans="1:2" ht="17.25" customHeight="1">
      <c r="A295" s="385"/>
      <c r="B295" s="385"/>
    </row>
    <row r="296" spans="1:2" ht="17.25" customHeight="1">
      <c r="A296" s="385"/>
      <c r="B296" s="385"/>
    </row>
    <row r="297" spans="1:2" ht="17.25" customHeight="1">
      <c r="A297" s="385"/>
      <c r="B297" s="385"/>
    </row>
    <row r="298" spans="1:2" ht="17.25" customHeight="1">
      <c r="A298" s="385"/>
      <c r="B298" s="385"/>
    </row>
    <row r="299" spans="1:2" ht="17.25" customHeight="1">
      <c r="A299" s="385"/>
      <c r="B299" s="385"/>
    </row>
    <row r="300" spans="1:2" ht="17.25" customHeight="1">
      <c r="A300" s="385"/>
      <c r="B300" s="385"/>
    </row>
    <row r="301" spans="1:2" ht="17.25" customHeight="1">
      <c r="A301" s="385"/>
      <c r="B301" s="385"/>
    </row>
    <row r="302" spans="1:2" ht="17.25" customHeight="1">
      <c r="A302" s="385"/>
      <c r="B302" s="385"/>
    </row>
    <row r="303" spans="1:2" ht="17.25" customHeight="1">
      <c r="A303" s="385"/>
      <c r="B303" s="385"/>
    </row>
    <row r="304" spans="1:2" ht="17.25" customHeight="1">
      <c r="A304" s="385"/>
      <c r="B304" s="385"/>
    </row>
  </sheetData>
  <phoneticPr fontId="7" type="noConversion"/>
  <pageMargins left="0.94488188976377963" right="0.55118110236220474" top="0.98425196850393704" bottom="0.78740157480314965" header="0.51181102362204722" footer="0.51181102362204722"/>
  <pageSetup paperSize="9" scale="55" orientation="portrait" r:id="rId1"/>
  <headerFooter alignWithMargins="0"/>
  <ignoredErrors>
    <ignoredError sqref="C1:AL1 C41:AL41 I40 J40:AL40 I37:AL37 I31:AL31 C87 D84 I43:AL43 C61:AL61 J62:AL62 I68:AL68 I65:AL65 C71:AL71 I70:AL70 I58:AL58 K52:AL52 I4:AL4 L3:AL3 C73:H73 J73:AL73 C20:AL20 I51:AL51 C91:H91 C90:I90 J85:AL85 C69 I69:AL69 I64:AL64 I17:AL17 I30:AL30 I23:AL23 I25:AL25 I27:AL27 I28:AL28 I33:AL33 I34:AL34 I35:AL35 I36:AL36 C89:H89 J88:AL88 I87:AL87 J91:AL91 I2:AL2" evalError="1"/>
  </ignoredErrors>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EI71"/>
  <sheetViews>
    <sheetView showGridLines="0" zoomScaleNormal="100" workbookViewId="0">
      <pane xSplit="1" ySplit="1" topLeftCell="D2" activePane="bottomRight" state="frozen"/>
      <selection activeCell="AP58" sqref="AP58"/>
      <selection pane="topRight" activeCell="AP58" sqref="AP58"/>
      <selection pane="bottomLeft" activeCell="AP58" sqref="AP58"/>
      <selection pane="bottomRight" activeCell="H6" sqref="H6"/>
    </sheetView>
  </sheetViews>
  <sheetFormatPr defaultColWidth="9.375" defaultRowHeight="17.25" customHeight="1" outlineLevelRow="1"/>
  <cols>
    <col min="1" max="1" width="43.125" style="234" customWidth="1"/>
    <col min="2" max="2" width="26.5" style="237" hidden="1" customWidth="1"/>
    <col min="3" max="3" width="15.875" style="237" hidden="1" customWidth="1"/>
    <col min="4" max="4" width="15.875" style="268" hidden="1" customWidth="1"/>
    <col min="5" max="5" width="15.875" style="278" hidden="1" customWidth="1"/>
    <col min="6" max="8" width="15.875" style="278" customWidth="1"/>
    <col min="9" max="11" width="15.875" style="269" customWidth="1"/>
    <col min="12" max="14" width="15.875" style="243" hidden="1" customWidth="1"/>
    <col min="15" max="16" width="15.875" style="266" hidden="1" customWidth="1"/>
    <col min="17" max="28" width="15.875" style="277" hidden="1" customWidth="1"/>
    <col min="29" max="38" width="15.875" style="118" hidden="1" customWidth="1"/>
    <col min="39" max="39" width="13.625" style="118" customWidth="1"/>
    <col min="40" max="16384" width="9.375" style="118"/>
  </cols>
  <sheetData>
    <row r="1" spans="1:139" s="232" customFormat="1" ht="17.25" customHeight="1">
      <c r="A1" s="321" t="s">
        <v>237</v>
      </c>
      <c r="B1" s="456"/>
      <c r="C1" s="456"/>
      <c r="D1" s="121" t="str">
        <f>年度数据!D1</f>
        <v>2018-12-31</v>
      </c>
      <c r="E1" s="121" t="str">
        <f>年度数据!E1</f>
        <v>2019-12-31</v>
      </c>
      <c r="F1" s="121" t="str">
        <f>年度数据!F1</f>
        <v>2020-12-31</v>
      </c>
      <c r="G1" s="121" t="str">
        <f>年度数据!G1</f>
        <v>2021-12-31</v>
      </c>
      <c r="H1" s="121" t="str">
        <f>年度数据!H1</f>
        <v>2022-12-31</v>
      </c>
      <c r="I1" s="120" t="str">
        <f>假设!I2</f>
        <v>2023E</v>
      </c>
      <c r="J1" s="120" t="str">
        <f>假设!J2</f>
        <v>2024E</v>
      </c>
      <c r="K1" s="120" t="str">
        <f>假设!K2</f>
        <v>2025E</v>
      </c>
      <c r="L1" s="120" t="str">
        <f>假设!L2</f>
        <v>2026E</v>
      </c>
      <c r="M1" s="120" t="str">
        <f>假设!M2</f>
        <v>2027E</v>
      </c>
      <c r="N1" s="120" t="str">
        <f>假设!N2</f>
        <v>2028E</v>
      </c>
      <c r="O1" s="120" t="str">
        <f>假设!O2</f>
        <v>2029E</v>
      </c>
      <c r="P1" s="120" t="str">
        <f>假设!P2</f>
        <v>2030E</v>
      </c>
      <c r="Q1" s="120" t="str">
        <f>假设!Q2</f>
        <v>2031E</v>
      </c>
      <c r="R1" s="120" t="str">
        <f>假设!R2</f>
        <v>2032E</v>
      </c>
      <c r="S1" s="120" t="str">
        <f>假设!S2</f>
        <v>2033E</v>
      </c>
      <c r="T1" s="120" t="str">
        <f>假设!T2</f>
        <v>2034E</v>
      </c>
      <c r="U1" s="120" t="str">
        <f>假设!U2</f>
        <v>2035E</v>
      </c>
      <c r="V1" s="120" t="str">
        <f>假设!V2</f>
        <v>2036E</v>
      </c>
      <c r="W1" s="120" t="str">
        <f>假设!W2</f>
        <v>2037E</v>
      </c>
      <c r="X1" s="120" t="str">
        <f>假设!X2</f>
        <v>2038E</v>
      </c>
      <c r="Y1" s="120" t="str">
        <f>假设!Y2</f>
        <v>2039E</v>
      </c>
      <c r="Z1" s="120" t="str">
        <f>假设!Z2</f>
        <v>2040E</v>
      </c>
      <c r="AA1" s="120" t="str">
        <f>假设!AA2</f>
        <v>2041E</v>
      </c>
      <c r="AB1" s="120" t="str">
        <f>假设!AB2</f>
        <v>2042E</v>
      </c>
      <c r="AC1" s="120" t="str">
        <f>假设!AC2</f>
        <v>2043E</v>
      </c>
      <c r="AD1" s="120" t="str">
        <f>假设!AD2</f>
        <v>2044E</v>
      </c>
      <c r="AE1" s="120" t="str">
        <f>假设!AE2</f>
        <v>2045E</v>
      </c>
      <c r="AF1" s="120" t="str">
        <f>假设!AF2</f>
        <v>2046E</v>
      </c>
      <c r="AG1" s="120" t="str">
        <f>假设!AG2</f>
        <v>2047E</v>
      </c>
      <c r="AH1" s="120" t="str">
        <f>假设!AH2</f>
        <v>2048E</v>
      </c>
      <c r="AI1" s="120" t="str">
        <f>假设!AI2</f>
        <v>2049E</v>
      </c>
      <c r="AJ1" s="120" t="str">
        <f>假设!AJ2</f>
        <v>2050E</v>
      </c>
      <c r="AK1" s="120" t="str">
        <f>假设!AK2</f>
        <v>2051E</v>
      </c>
      <c r="AL1" s="120" t="str">
        <f>假设!AL2</f>
        <v>2052E</v>
      </c>
    </row>
    <row r="2" spans="1:139" ht="17.25" customHeight="1">
      <c r="A2" s="244" t="s">
        <v>1074</v>
      </c>
      <c r="B2" s="267"/>
      <c r="C2" s="267"/>
      <c r="D2" s="394"/>
      <c r="E2" s="457"/>
      <c r="F2" s="457"/>
      <c r="G2" s="458"/>
      <c r="H2" s="458"/>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29"/>
      <c r="AK2" s="129"/>
      <c r="AL2" s="129"/>
    </row>
    <row r="3" spans="1:139" s="233" customFormat="1" ht="17.25" customHeight="1" outlineLevel="1">
      <c r="A3" s="974" t="s">
        <v>1067</v>
      </c>
      <c r="B3" s="267"/>
      <c r="C3" s="267"/>
      <c r="D3" s="199">
        <f>利润表!D25</f>
        <v>185.26724731000002</v>
      </c>
      <c r="E3" s="199">
        <f>利润表!E25</f>
        <v>363.36151508999995</v>
      </c>
      <c r="F3" s="199">
        <f>利润表!F25</f>
        <v>890.33413537000001</v>
      </c>
      <c r="G3" s="199">
        <f>利润表!G25</f>
        <v>672.61913852999999</v>
      </c>
      <c r="H3" s="199">
        <f>利润表!H25</f>
        <v>177.91475842</v>
      </c>
      <c r="I3" s="199">
        <f ca="1">利润表!I25</f>
        <v>-199.25122841240608</v>
      </c>
      <c r="J3" s="199">
        <f ca="1">利润表!J25</f>
        <v>167.7204316946341</v>
      </c>
      <c r="K3" s="199">
        <f ca="1">利润表!K25</f>
        <v>114.43447540068274</v>
      </c>
      <c r="L3" s="199">
        <f ca="1">利润表!L25</f>
        <v>23.30179887353469</v>
      </c>
      <c r="M3" s="199">
        <f ca="1">利润表!M25</f>
        <v>-68.072277470160131</v>
      </c>
      <c r="N3" s="199">
        <f ca="1">利润表!N25</f>
        <v>-116.50982662922706</v>
      </c>
      <c r="O3" s="199">
        <f ca="1">利润表!O25</f>
        <v>-132.61471420978478</v>
      </c>
      <c r="P3" s="199">
        <f ca="1">利润表!P25</f>
        <v>-192.227902336265</v>
      </c>
      <c r="Q3" s="199">
        <f ca="1">利润表!Q25</f>
        <v>-270.95123946832501</v>
      </c>
      <c r="R3" s="199">
        <f ca="1">利润表!R25</f>
        <v>-355.57103260716667</v>
      </c>
      <c r="S3" s="199">
        <f ca="1">利润表!S25</f>
        <v>-445.40455310117699</v>
      </c>
      <c r="T3" s="199">
        <f ca="1">利润表!T25</f>
        <v>-543.94190504128096</v>
      </c>
      <c r="U3" s="199">
        <f ca="1">利润表!U25</f>
        <v>-661.81788087347741</v>
      </c>
      <c r="V3" s="199">
        <f ca="1">利润表!V25</f>
        <v>-805.30932042174618</v>
      </c>
      <c r="W3" s="199">
        <f ca="1">利润表!W25</f>
        <v>-971.01761989295107</v>
      </c>
      <c r="X3" s="199">
        <f ca="1">利润表!X25</f>
        <v>-1158.5569820307414</v>
      </c>
      <c r="Y3" s="199">
        <f ca="1">利润表!Y25</f>
        <v>-1373.2221657905839</v>
      </c>
      <c r="Z3" s="199">
        <f ca="1">利润表!Z25</f>
        <v>-1620.5008144837893</v>
      </c>
      <c r="AA3" s="199">
        <f ca="1">利润表!AA25</f>
        <v>-1904.2434554263509</v>
      </c>
      <c r="AB3" s="199">
        <f ca="1">利润表!AB25</f>
        <v>-2227.2655621405393</v>
      </c>
      <c r="AC3" s="199">
        <f ca="1">利润表!AC25</f>
        <v>-2594.963033080493</v>
      </c>
      <c r="AD3" s="199">
        <f ca="1">利润表!AD25</f>
        <v>-3014.3060906538722</v>
      </c>
      <c r="AE3" s="199">
        <f ca="1">利润表!AE25</f>
        <v>-3492.3501290978529</v>
      </c>
      <c r="AF3" s="199">
        <f ca="1">利润表!AF25</f>
        <v>-4036.4484040582947</v>
      </c>
      <c r="AG3" s="199">
        <f ca="1">利润表!AG25</f>
        <v>-4655.0312093376388</v>
      </c>
      <c r="AH3" s="199">
        <f ca="1">利润表!AH25</f>
        <v>-5358.2161854501946</v>
      </c>
      <c r="AI3" s="199">
        <f ca="1">利润表!AI25</f>
        <v>-6157.5275776604567</v>
      </c>
      <c r="AJ3" s="199">
        <f ca="1">利润表!AJ25</f>
        <v>-7065.6732163170827</v>
      </c>
      <c r="AK3" s="199">
        <f ca="1">利润表!AK25</f>
        <v>-8096.7897794803621</v>
      </c>
      <c r="AL3" s="199">
        <f ca="1">利润表!AL25</f>
        <v>-9267.1427440367643</v>
      </c>
      <c r="AM3" s="368"/>
    </row>
    <row r="4" spans="1:139" ht="17.25" customHeight="1" outlineLevel="1">
      <c r="A4" s="975" t="s">
        <v>1073</v>
      </c>
      <c r="B4" s="270"/>
      <c r="C4" s="270"/>
      <c r="D4" s="199">
        <f>利润表!D27</f>
        <v>41.629124089999998</v>
      </c>
      <c r="E4" s="199">
        <f>利润表!E27</f>
        <v>65.684099119999999</v>
      </c>
      <c r="F4" s="199">
        <f>利润表!F27</f>
        <v>101.36520949</v>
      </c>
      <c r="G4" s="199">
        <f>利润表!G27</f>
        <v>155.60443329</v>
      </c>
      <c r="H4" s="199">
        <f>利润表!H27</f>
        <v>203.49755551999996</v>
      </c>
      <c r="I4" s="199">
        <f ca="1">利润表!I27</f>
        <v>159.67568942618274</v>
      </c>
      <c r="J4" s="199">
        <f ca="1">利润表!J27</f>
        <v>178.29660496705071</v>
      </c>
      <c r="K4" s="199">
        <f ca="1">利润表!K27</f>
        <v>206.53562264950685</v>
      </c>
      <c r="L4" s="199">
        <f ca="1">利润表!L27</f>
        <v>236.9227226316784</v>
      </c>
      <c r="M4" s="199">
        <f ca="1">利润表!M27</f>
        <v>265.31343784344983</v>
      </c>
      <c r="N4" s="199">
        <f ca="1">利润表!N27</f>
        <v>296.67679217114386</v>
      </c>
      <c r="O4" s="199">
        <f ca="1">利润表!O27</f>
        <v>335.10374570500522</v>
      </c>
      <c r="P4" s="199">
        <f ca="1">利润表!P27</f>
        <v>378.49358324467477</v>
      </c>
      <c r="Q4" s="199">
        <f ca="1">利润表!Q27</f>
        <v>426.52582930108832</v>
      </c>
      <c r="R4" s="199">
        <f ca="1">利润表!R27</f>
        <v>479.28899939193815</v>
      </c>
      <c r="S4" s="199">
        <f ca="1">利润表!S27</f>
        <v>538.55465636874908</v>
      </c>
      <c r="T4" s="199">
        <f ca="1">利润表!T27</f>
        <v>606.79311083667392</v>
      </c>
      <c r="U4" s="199">
        <f ca="1">利润表!U27</f>
        <v>683.53667865476859</v>
      </c>
      <c r="V4" s="199">
        <f ca="1">利润表!V27</f>
        <v>613.24261232595609</v>
      </c>
      <c r="W4" s="199">
        <f ca="1">利润表!W27</f>
        <v>686.04985674259683</v>
      </c>
      <c r="X4" s="199">
        <f ca="1">利润表!X27</f>
        <v>765.67445522763148</v>
      </c>
      <c r="Y4" s="199">
        <f ca="1">利润表!Y27</f>
        <v>860.72415812252029</v>
      </c>
      <c r="Z4" s="199">
        <f ca="1">利润表!Z27</f>
        <v>973.64725190846241</v>
      </c>
      <c r="AA4" s="199">
        <f ca="1">利润表!AA27</f>
        <v>1097.0518470059346</v>
      </c>
      <c r="AB4" s="199">
        <f ca="1">利润表!AB27</f>
        <v>1233.6158117106406</v>
      </c>
      <c r="AC4" s="199">
        <f ca="1">利润表!AC27</f>
        <v>1389.2203142469018</v>
      </c>
      <c r="AD4" s="199">
        <f ca="1">利润表!AD27</f>
        <v>1566.9719974686861</v>
      </c>
      <c r="AE4" s="199">
        <f ca="1">利润表!AE27</f>
        <v>1767.5226487591144</v>
      </c>
      <c r="AF4" s="199">
        <f ca="1">利润表!AF27</f>
        <v>1993.1503851419498</v>
      </c>
      <c r="AG4" s="199">
        <f ca="1">利润表!AG27</f>
        <v>2247.6527198618437</v>
      </c>
      <c r="AH4" s="199">
        <f ca="1">利润表!AH27</f>
        <v>2535.0930203969911</v>
      </c>
      <c r="AI4" s="199">
        <f ca="1">利润表!AI27</f>
        <v>2860.7910931420533</v>
      </c>
      <c r="AJ4" s="199">
        <f ca="1">利润表!AJ27</f>
        <v>3228.4127159392601</v>
      </c>
      <c r="AK4" s="199">
        <f ca="1">利润表!AK27</f>
        <v>3642.6274694959147</v>
      </c>
      <c r="AL4" s="199">
        <f ca="1">利润表!AL27</f>
        <v>4111.1144205275168</v>
      </c>
      <c r="AM4" s="277"/>
    </row>
    <row r="5" spans="1:139" ht="17.25" customHeight="1" outlineLevel="1">
      <c r="A5" s="975" t="s">
        <v>2699</v>
      </c>
      <c r="B5" s="270"/>
      <c r="C5" s="270"/>
      <c r="D5" s="199">
        <f>-利润表!D18</f>
        <v>-1.5737352499999999</v>
      </c>
      <c r="E5" s="199">
        <f>-利润表!E18</f>
        <v>1.3935956999999999</v>
      </c>
      <c r="F5" s="199">
        <f>-利润表!F18</f>
        <v>7.6598693300000003</v>
      </c>
      <c r="G5" s="199">
        <f>-利润表!G18</f>
        <v>6.4920323499999997</v>
      </c>
      <c r="H5" s="199">
        <f>-利润表!H18</f>
        <v>3.3414100899999997</v>
      </c>
      <c r="I5" s="199">
        <f>-利润表!I18</f>
        <v>3.4626344439999999</v>
      </c>
      <c r="J5" s="199">
        <f>-利润表!J18</f>
        <v>4.469908382799999</v>
      </c>
      <c r="K5" s="199">
        <f>-利润表!K18</f>
        <v>5.0851709193599994</v>
      </c>
      <c r="L5" s="199">
        <f>-利润表!L18</f>
        <v>4.5702312372319991</v>
      </c>
      <c r="M5" s="199">
        <f>-利润表!M18</f>
        <v>4.1858710146783995</v>
      </c>
      <c r="N5" s="199">
        <f>-利润表!N18</f>
        <v>4.3547631996140792</v>
      </c>
      <c r="O5" s="199">
        <f>-利润表!O18</f>
        <v>4.5331889507368954</v>
      </c>
      <c r="P5" s="199">
        <f>-利润表!P18</f>
        <v>4.5458450643242747</v>
      </c>
      <c r="Q5" s="199">
        <f>-利润表!Q18</f>
        <v>4.4379798933171299</v>
      </c>
      <c r="R5" s="199">
        <f>-利润表!R18</f>
        <v>4.4115296245341558</v>
      </c>
      <c r="S5" s="199">
        <f>-利润表!S18</f>
        <v>4.4566613465053075</v>
      </c>
      <c r="T5" s="199">
        <f>-利润表!T18</f>
        <v>4.4770409758835532</v>
      </c>
      <c r="U5" s="199">
        <f>-利润表!U18</f>
        <v>4.4658113809128839</v>
      </c>
      <c r="V5" s="199">
        <f>-利润表!V18</f>
        <v>4.4498046442306052</v>
      </c>
      <c r="W5" s="199">
        <f>-利润表!W18</f>
        <v>4.4521695944133013</v>
      </c>
      <c r="X5" s="199">
        <f>-利润表!X18</f>
        <v>4.46029758838913</v>
      </c>
      <c r="Y5" s="199">
        <f>-利润表!Y18</f>
        <v>4.4610248367658949</v>
      </c>
      <c r="Z5" s="199">
        <f>-利润表!Z18</f>
        <v>4.4578216089423632</v>
      </c>
      <c r="AA5" s="199">
        <f>-利润表!AA18</f>
        <v>4.4562236545482588</v>
      </c>
      <c r="AB5" s="199">
        <f>-利润表!AB18</f>
        <v>4.4575074566117898</v>
      </c>
      <c r="AC5" s="199">
        <f>-利润表!AC18</f>
        <v>4.4585750290514863</v>
      </c>
      <c r="AD5" s="199">
        <f>-利润表!AD18</f>
        <v>4.4582305171839582</v>
      </c>
      <c r="AE5" s="199">
        <f>-利润表!AE18</f>
        <v>4.4576716532675711</v>
      </c>
      <c r="AF5" s="199">
        <f>-利润表!AF18</f>
        <v>4.4576416621326134</v>
      </c>
      <c r="AG5" s="199">
        <f>-利润表!AG18</f>
        <v>4.4579252636494839</v>
      </c>
      <c r="AH5" s="199">
        <f>-利润表!AH18</f>
        <v>4.4580088250570231</v>
      </c>
      <c r="AI5" s="199">
        <f>-利润表!AI18</f>
        <v>4.4578955842581296</v>
      </c>
      <c r="AJ5" s="199">
        <f>-利润表!AJ18</f>
        <v>4.4578285976729646</v>
      </c>
      <c r="AK5" s="199">
        <f>-利润表!AK18</f>
        <v>4.4578599865540429</v>
      </c>
      <c r="AL5" s="199">
        <f>-利润表!AL18</f>
        <v>4.457903651438329</v>
      </c>
      <c r="AM5" s="277"/>
    </row>
    <row r="6" spans="1:139" ht="17.25" customHeight="1" outlineLevel="1">
      <c r="A6" s="975" t="s">
        <v>2884</v>
      </c>
      <c r="B6" s="270"/>
      <c r="C6" s="270"/>
      <c r="D6" s="199">
        <f>IF(假设!D2&lt;2019,1,-1)*利润表!D13</f>
        <v>0</v>
      </c>
      <c r="E6" s="199">
        <f>IF(假设!E2&lt;2019,1,-1)*利润表!E13</f>
        <v>103.78077293000001</v>
      </c>
      <c r="F6" s="199">
        <f>IF(假设!F2&lt;2019,1,-1)*利润表!F13</f>
        <v>242.67915744999999</v>
      </c>
      <c r="G6" s="199">
        <f>IF(假设!G2&lt;2019,1,-1)*利润表!G13</f>
        <v>249.34916158999999</v>
      </c>
      <c r="H6" s="199">
        <f>IF(假设!H2&lt;2019,1,-1)*利润表!H13</f>
        <v>223.97339441</v>
      </c>
      <c r="I6" s="199">
        <f>-利润表!I13</f>
        <v>205.03572191821601</v>
      </c>
      <c r="J6" s="199">
        <f>-利润表!J13</f>
        <v>284.89303489092276</v>
      </c>
      <c r="K6" s="199">
        <f>-利润表!K13</f>
        <v>347.775766822538</v>
      </c>
      <c r="L6" s="199">
        <f>-利润表!L13</f>
        <v>372.14058487853794</v>
      </c>
      <c r="M6" s="199">
        <f>-利润表!M13</f>
        <v>403.45588851439084</v>
      </c>
      <c r="N6" s="199">
        <f>-利润表!N13</f>
        <v>453.97223108845236</v>
      </c>
      <c r="O6" s="199">
        <f>-利润表!O13</f>
        <v>530.91744701500841</v>
      </c>
      <c r="P6" s="199">
        <f>-利润表!P13</f>
        <v>601.38863948938263</v>
      </c>
      <c r="Q6" s="199">
        <f>-利润表!Q13</f>
        <v>670.82644203756422</v>
      </c>
      <c r="R6" s="199">
        <f>-利润表!R13</f>
        <v>754.75986283544739</v>
      </c>
      <c r="S6" s="199">
        <f>-利润表!S13</f>
        <v>855.47590625145654</v>
      </c>
      <c r="T6" s="199">
        <f>-利润表!T13</f>
        <v>971.02523496015601</v>
      </c>
      <c r="U6" s="199">
        <f>-利润表!U13</f>
        <v>1095.644929996781</v>
      </c>
      <c r="V6" s="199">
        <f>-利润表!V13</f>
        <v>1235.2938101811246</v>
      </c>
      <c r="W6" s="199">
        <f>-利润表!W13</f>
        <v>1395.7339061805769</v>
      </c>
      <c r="X6" s="199">
        <f>-利润表!X13</f>
        <v>1578.3417277727124</v>
      </c>
      <c r="Y6" s="199">
        <f>-利润表!Y13</f>
        <v>1784.0197901269903</v>
      </c>
      <c r="Z6" s="199">
        <f>-利润表!Z13</f>
        <v>2014.8065136982925</v>
      </c>
      <c r="AA6" s="199">
        <f>-利润表!AA13</f>
        <v>2275.8625797382915</v>
      </c>
      <c r="AB6" s="199">
        <f>-利润表!AB13</f>
        <v>2571.7051692427967</v>
      </c>
      <c r="AC6" s="199">
        <f>-利润表!AC13</f>
        <v>2906.0620342479492</v>
      </c>
      <c r="AD6" s="199">
        <f>-利润表!AD13</f>
        <v>3283.4140375122329</v>
      </c>
      <c r="AE6" s="199">
        <f>-利润表!AE13</f>
        <v>3709.4612819248159</v>
      </c>
      <c r="AF6" s="199">
        <f>-利润表!AF13</f>
        <v>4191.083776419262</v>
      </c>
      <c r="AG6" s="199">
        <f>-利润表!AG13</f>
        <v>4735.4625101194442</v>
      </c>
      <c r="AH6" s="199">
        <f>-利润表!AH13</f>
        <v>5350.4541618003095</v>
      </c>
      <c r="AI6" s="199">
        <f>-利润表!AI13</f>
        <v>6045.1600147624104</v>
      </c>
      <c r="AJ6" s="199">
        <f>-利润表!AJ13</f>
        <v>6830.0554748939694</v>
      </c>
      <c r="AK6" s="199">
        <f>-利润表!AK13</f>
        <v>7716.9717223203343</v>
      </c>
      <c r="AL6" s="199">
        <f>-利润表!AL13</f>
        <v>8719.0872218194181</v>
      </c>
      <c r="AM6" s="277"/>
    </row>
    <row r="7" spans="1:139" ht="17.25" customHeight="1" outlineLevel="1">
      <c r="A7" s="975" t="s">
        <v>919</v>
      </c>
      <c r="B7" s="270"/>
      <c r="C7" s="270"/>
      <c r="D7" s="199">
        <f>-利润表!D14</f>
        <v>-9.9251041600000001</v>
      </c>
      <c r="E7" s="199">
        <f>-利润表!E14</f>
        <v>0</v>
      </c>
      <c r="F7" s="199">
        <f>-利润表!F14</f>
        <v>-0.19637222000000001</v>
      </c>
      <c r="G7" s="199">
        <f>-利润表!G14</f>
        <v>-8.8465899999999997E-3</v>
      </c>
      <c r="H7" s="199">
        <f>-利润表!H14</f>
        <v>-40.805791849999999</v>
      </c>
      <c r="I7" s="199">
        <f>-利润表!I14</f>
        <v>-20.407319219999998</v>
      </c>
      <c r="J7" s="199">
        <f>-利润表!J14</f>
        <v>-30.606555534999998</v>
      </c>
      <c r="K7" s="199">
        <f>-利润表!K14</f>
        <v>-25.506937377499998</v>
      </c>
      <c r="L7" s="199">
        <f>-利润表!L14</f>
        <v>-28.056746456249996</v>
      </c>
      <c r="M7" s="199">
        <f>-利润表!M14</f>
        <v>-26.781841916874995</v>
      </c>
      <c r="N7" s="199">
        <f>-利润表!N14</f>
        <v>-27.419294186562496</v>
      </c>
      <c r="O7" s="199">
        <f>-利润表!O14</f>
        <v>-27.100568051718746</v>
      </c>
      <c r="P7" s="199">
        <f>-利润表!P14</f>
        <v>-27.259931119140621</v>
      </c>
      <c r="Q7" s="199">
        <f>-利润表!Q14</f>
        <v>-27.180249585429685</v>
      </c>
      <c r="R7" s="199">
        <f>-利润表!R14</f>
        <v>-27.220090352285155</v>
      </c>
      <c r="S7" s="199">
        <f>-利润表!S14</f>
        <v>-27.20016996885742</v>
      </c>
      <c r="T7" s="199">
        <f>-利润表!T14</f>
        <v>-27.210130160571289</v>
      </c>
      <c r="U7" s="199">
        <f>-利润表!U14</f>
        <v>-27.205150064714353</v>
      </c>
      <c r="V7" s="199">
        <f>-利润表!V14</f>
        <v>-27.207640112642821</v>
      </c>
      <c r="W7" s="199">
        <f>-利润表!W14</f>
        <v>-27.206395088678587</v>
      </c>
      <c r="X7" s="199">
        <f>-利润表!X14</f>
        <v>-27.207017600660706</v>
      </c>
      <c r="Y7" s="199">
        <f>-利润表!Y14</f>
        <v>-27.206706344669648</v>
      </c>
      <c r="Z7" s="199">
        <f>-利润表!Z14</f>
        <v>-27.206861972665177</v>
      </c>
      <c r="AA7" s="199">
        <f>-利润表!AA14</f>
        <v>-27.206784158667411</v>
      </c>
      <c r="AB7" s="199">
        <f>-利润表!AB14</f>
        <v>-27.206823065666292</v>
      </c>
      <c r="AC7" s="199">
        <f>-利润表!AC14</f>
        <v>-27.206803612166851</v>
      </c>
      <c r="AD7" s="199">
        <f>-利润表!AD14</f>
        <v>-27.206813338916572</v>
      </c>
      <c r="AE7" s="199">
        <f>-利润表!AE14</f>
        <v>-27.206808475541713</v>
      </c>
      <c r="AF7" s="199">
        <f>-利润表!AF14</f>
        <v>-27.206810907229141</v>
      </c>
      <c r="AG7" s="199">
        <f>-利润表!AG14</f>
        <v>-27.206809691385427</v>
      </c>
      <c r="AH7" s="199">
        <f>-利润表!AH14</f>
        <v>-27.206810299307286</v>
      </c>
      <c r="AI7" s="199">
        <f>-利润表!AI14</f>
        <v>-27.206809995346354</v>
      </c>
      <c r="AJ7" s="199">
        <f>-利润表!AJ14</f>
        <v>-27.20681014732682</v>
      </c>
      <c r="AK7" s="199">
        <f>-利润表!AK14</f>
        <v>-27.206810071336587</v>
      </c>
      <c r="AL7" s="199">
        <f>-利润表!AL14</f>
        <v>-27.206810109331705</v>
      </c>
      <c r="AM7" s="277"/>
    </row>
    <row r="8" spans="1:139" ht="17.25" customHeight="1" outlineLevel="1">
      <c r="A8" s="975" t="s">
        <v>1045</v>
      </c>
      <c r="B8" s="270"/>
      <c r="C8" s="270"/>
      <c r="D8" s="199">
        <f>利润表!D8</f>
        <v>27.753008870000002</v>
      </c>
      <c r="E8" s="199">
        <f>利润表!E8</f>
        <v>20.159173320000001</v>
      </c>
      <c r="F8" s="199">
        <f>利润表!F8</f>
        <v>27.226078329999996</v>
      </c>
      <c r="G8" s="199">
        <f>利润表!G8</f>
        <v>42.603031940000001</v>
      </c>
      <c r="H8" s="199">
        <f>利润表!H8</f>
        <v>75.63140765</v>
      </c>
      <c r="I8" s="199">
        <f ca="1">利润表!I8</f>
        <v>125.70179837948498</v>
      </c>
      <c r="J8" s="199">
        <f ca="1">利润表!J8</f>
        <v>314.75447313157986</v>
      </c>
      <c r="K8" s="199">
        <f ca="1">利润表!K8</f>
        <v>419.93391906168307</v>
      </c>
      <c r="L8" s="199">
        <f ca="1">利润表!L8</f>
        <v>499.85829943044314</v>
      </c>
      <c r="M8" s="199">
        <f ca="1">利润表!M8</f>
        <v>599.08886631485598</v>
      </c>
      <c r="N8" s="199">
        <f ca="1">利润表!N8</f>
        <v>717.14392854413609</v>
      </c>
      <c r="O8" s="199">
        <f ca="1">利润表!O8</f>
        <v>848.83177645886974</v>
      </c>
      <c r="P8" s="199">
        <f ca="1">利润表!P8</f>
        <v>1004.1898632546727</v>
      </c>
      <c r="Q8" s="199">
        <f ca="1">利润表!Q8</f>
        <v>1173.1228701695654</v>
      </c>
      <c r="R8" s="199">
        <f ca="1">利润表!R8</f>
        <v>1362.4569331640939</v>
      </c>
      <c r="S8" s="199">
        <f ca="1">利润表!S8</f>
        <v>1582.5939097281168</v>
      </c>
      <c r="T8" s="199">
        <f ca="1">利润表!T8</f>
        <v>1834.1197578801648</v>
      </c>
      <c r="U8" s="199">
        <f ca="1">利润表!U8</f>
        <v>2120.0597896390932</v>
      </c>
      <c r="V8" s="199">
        <f ca="1">利润表!V8</f>
        <v>2447.9558090933006</v>
      </c>
      <c r="W8" s="199">
        <f ca="1">利润表!W8</f>
        <v>2824.8123359464521</v>
      </c>
      <c r="X8" s="199">
        <f ca="1">利润表!X8</f>
        <v>3255.318804780195</v>
      </c>
      <c r="Y8" s="199">
        <f ca="1">利润表!Y8</f>
        <v>3745.6964099514225</v>
      </c>
      <c r="Z8" s="199">
        <f ca="1">利润表!Z8</f>
        <v>4302.8026773341098</v>
      </c>
      <c r="AA8" s="199">
        <f ca="1">利润表!AA8</f>
        <v>4935.7410768259115</v>
      </c>
      <c r="AB8" s="199">
        <f ca="1">利润表!AB8</f>
        <v>5655.1600593225721</v>
      </c>
      <c r="AC8" s="199">
        <f ca="1">利润表!AC8</f>
        <v>6472.3514404831431</v>
      </c>
      <c r="AD8" s="199">
        <f ca="1">利润表!AD8</f>
        <v>7399.863177394529</v>
      </c>
      <c r="AE8" s="199">
        <f ca="1">利润表!AE8</f>
        <v>8451.939871051989</v>
      </c>
      <c r="AF8" s="199">
        <f ca="1">利润表!AF8</f>
        <v>9645.1926944194765</v>
      </c>
      <c r="AG8" s="199">
        <f ca="1">利润表!AG8</f>
        <v>10998.460714023007</v>
      </c>
      <c r="AH8" s="199">
        <f ca="1">利润表!AH8</f>
        <v>12532.639029686867</v>
      </c>
      <c r="AI8" s="199">
        <f ca="1">利润表!AI8</f>
        <v>14271.418094168173</v>
      </c>
      <c r="AJ8" s="199">
        <f ca="1">利润表!AJ8</f>
        <v>16241.692327994058</v>
      </c>
      <c r="AK8" s="199">
        <f ca="1">利润表!AK8</f>
        <v>18473.814999391627</v>
      </c>
      <c r="AL8" s="199">
        <f ca="1">利润表!AL8</f>
        <v>21002.211240865883</v>
      </c>
      <c r="AM8" s="277"/>
    </row>
    <row r="9" spans="1:139" ht="17.25" customHeight="1" outlineLevel="1">
      <c r="A9" s="975" t="s">
        <v>912</v>
      </c>
      <c r="B9" s="270"/>
      <c r="C9" s="270"/>
      <c r="D9" s="199">
        <f>-利润表!D16</f>
        <v>-19.26902291</v>
      </c>
      <c r="E9" s="199">
        <f>-利润表!E16</f>
        <v>-20.729962159999999</v>
      </c>
      <c r="F9" s="199">
        <f>-利润表!F16</f>
        <v>27.984675469999999</v>
      </c>
      <c r="G9" s="199">
        <f>-利润表!G16</f>
        <v>2.9488163599999999</v>
      </c>
      <c r="H9" s="199">
        <f>-利润表!H16</f>
        <v>-3.80244553</v>
      </c>
      <c r="I9" s="199">
        <f>-利润表!I16</f>
        <v>-2.5735877540000005</v>
      </c>
      <c r="J9" s="199">
        <f>-利润表!J16</f>
        <v>0.76549927719999955</v>
      </c>
      <c r="K9" s="199">
        <f>-利润表!K16</f>
        <v>5.0645915646399997</v>
      </c>
      <c r="L9" s="199">
        <f>-利润表!L16</f>
        <v>0.48057478356799965</v>
      </c>
      <c r="M9" s="199">
        <f>-利润表!M16</f>
        <v>-1.3073531718400422E-2</v>
      </c>
      <c r="N9" s="199">
        <f>-利润表!N16</f>
        <v>0.74480086793791966</v>
      </c>
      <c r="O9" s="199">
        <f>-利润表!O16</f>
        <v>1.4084785923255039</v>
      </c>
      <c r="P9" s="199">
        <f>-利润表!P16</f>
        <v>1.5370744553506044</v>
      </c>
      <c r="Q9" s="199">
        <f>-利润表!Q16</f>
        <v>0.83157103349272532</v>
      </c>
      <c r="R9" s="199">
        <f>-利润表!R16</f>
        <v>0.90177028347767052</v>
      </c>
      <c r="S9" s="199">
        <f>-利润表!S16</f>
        <v>1.0847390465168847</v>
      </c>
      <c r="T9" s="199">
        <f>-利润表!T16</f>
        <v>1.1527266822326778</v>
      </c>
      <c r="U9" s="199">
        <f>-利润表!U16</f>
        <v>1.1015763002141126</v>
      </c>
      <c r="V9" s="199">
        <f>-利润表!V16</f>
        <v>1.0144766691868141</v>
      </c>
      <c r="W9" s="199">
        <f>-利润表!W16</f>
        <v>1.0510577963256318</v>
      </c>
      <c r="X9" s="199">
        <f>-利润表!X16</f>
        <v>1.080915298895224</v>
      </c>
      <c r="Y9" s="199">
        <f>-利润表!Y16</f>
        <v>1.0801505493708921</v>
      </c>
      <c r="Z9" s="199">
        <f>-利润表!Z16</f>
        <v>1.0656353227985349</v>
      </c>
      <c r="AA9" s="199">
        <f>-利润表!AA16</f>
        <v>1.0584471273154192</v>
      </c>
      <c r="AB9" s="199">
        <f>-利润表!AB16</f>
        <v>1.0672412189411404</v>
      </c>
      <c r="AC9" s="199">
        <f>-利润表!AC16</f>
        <v>1.0704779034642422</v>
      </c>
      <c r="AD9" s="199">
        <f>-利润表!AD16</f>
        <v>1.0683904243780455</v>
      </c>
      <c r="AE9" s="199">
        <f>-利润表!AE16</f>
        <v>1.0660383993794764</v>
      </c>
      <c r="AF9" s="199">
        <f>-利润表!AF16</f>
        <v>1.0661190146956647</v>
      </c>
      <c r="AG9" s="199">
        <f>-利润表!AG16</f>
        <v>1.067653392171714</v>
      </c>
      <c r="AH9" s="199">
        <f>-利润表!AH16</f>
        <v>1.0677358268178285</v>
      </c>
      <c r="AI9" s="199">
        <f>-利润表!AI16</f>
        <v>1.0671874114885458</v>
      </c>
      <c r="AJ9" s="199">
        <f>-利润表!AJ16</f>
        <v>1.0669468089106457</v>
      </c>
      <c r="AK9" s="199">
        <f>-利润表!AK16</f>
        <v>1.0671284908168799</v>
      </c>
      <c r="AL9" s="199">
        <f>-利润表!AL16</f>
        <v>1.0673303860411227</v>
      </c>
      <c r="AM9" s="277"/>
    </row>
    <row r="10" spans="1:139" ht="17.25" customHeight="1" outlineLevel="1">
      <c r="A10" s="975" t="s">
        <v>1404</v>
      </c>
      <c r="B10" s="270"/>
      <c r="C10" s="270"/>
      <c r="D10" s="199">
        <f>-营运资本!D21</f>
        <v>-219.34015944999953</v>
      </c>
      <c r="E10" s="199">
        <f>-营运资本!E21</f>
        <v>-370.33776268999986</v>
      </c>
      <c r="F10" s="199">
        <f>-营运资本!F21</f>
        <v>-254.28221351000138</v>
      </c>
      <c r="G10" s="199">
        <f>-营运资本!G21</f>
        <v>-475.75358570000026</v>
      </c>
      <c r="H10" s="199">
        <f>-营运资本!H21</f>
        <v>-808.20988121000028</v>
      </c>
      <c r="I10" s="199">
        <f ca="1">-营运资本!I21</f>
        <v>-1725.6196271845865</v>
      </c>
      <c r="J10" s="199">
        <f ca="1">-营运资本!J21</f>
        <v>-4192.4904604445564</v>
      </c>
      <c r="K10" s="199">
        <f ca="1">-营运资本!K21</f>
        <v>1080.9465266692932</v>
      </c>
      <c r="L10" s="199">
        <f ca="1">-营运资本!L21</f>
        <v>-3172.757650520165</v>
      </c>
      <c r="M10" s="199">
        <f ca="1">-营运资本!M21</f>
        <v>463.48638972363733</v>
      </c>
      <c r="N10" s="199">
        <f ca="1">-营运资本!N21</f>
        <v>-3738.2107049290862</v>
      </c>
      <c r="O10" s="199">
        <f ca="1">-营运资本!O21</f>
        <v>135.21930449852152</v>
      </c>
      <c r="P10" s="199">
        <f ca="1">-营运资本!P21</f>
        <v>-4409.0195904346674</v>
      </c>
      <c r="Q10" s="199">
        <f ca="1">-营运资本!Q21</f>
        <v>-190.86068437761787</v>
      </c>
      <c r="R10" s="199">
        <f ca="1">-营运资本!R21</f>
        <v>-4955.7393017695977</v>
      </c>
      <c r="S10" s="199">
        <f ca="1">-营运资本!S21</f>
        <v>-1017.1598194585858</v>
      </c>
      <c r="T10" s="199">
        <f ca="1">-营运资本!T21</f>
        <v>-5717.7864749472647</v>
      </c>
      <c r="U10" s="199">
        <f ca="1">-营运资本!U21</f>
        <v>-1856.6679786814711</v>
      </c>
      <c r="V10" s="199">
        <f ca="1">-营运资本!V21</f>
        <v>-6683.653242140681</v>
      </c>
      <c r="W10" s="199">
        <f ca="1">-营运资本!W21</f>
        <v>-2965.2198630065832</v>
      </c>
      <c r="X10" s="199">
        <f ca="1">-营运资本!X21</f>
        <v>-7968.3109057014153</v>
      </c>
      <c r="Y10" s="199">
        <f ca="1">-营运资本!Y21</f>
        <v>-4383.2935290941314</v>
      </c>
      <c r="Z10" s="199">
        <f ca="1">-营运资本!Z21</f>
        <v>-9555.2914284495491</v>
      </c>
      <c r="AA10" s="199">
        <f ca="1">-营运资本!AA21</f>
        <v>-6189.0535986943723</v>
      </c>
      <c r="AB10" s="199">
        <f ca="1">-营运资本!AB21</f>
        <v>-11608.965640844559</v>
      </c>
      <c r="AC10" s="199">
        <f ca="1">-营运资本!AC21</f>
        <v>-8505.1063560175389</v>
      </c>
      <c r="AD10" s="199">
        <f ca="1">-营运资本!AD21</f>
        <v>-14216.71264719704</v>
      </c>
      <c r="AE10" s="199">
        <f ca="1">-营运资本!AE21</f>
        <v>-11451.827170359495</v>
      </c>
      <c r="AF10" s="199">
        <f ca="1">-营运资本!AF21</f>
        <v>-17550.474453434887</v>
      </c>
      <c r="AG10" s="199">
        <f ca="1">-营运资本!AG21</f>
        <v>-15220.812286478496</v>
      </c>
      <c r="AH10" s="199">
        <f ca="1">-营运资本!AH21</f>
        <v>-21806.276220303989</v>
      </c>
      <c r="AI10" s="199">
        <f ca="1">-营运资本!AI21</f>
        <v>-20026.990640916774</v>
      </c>
      <c r="AJ10" s="199">
        <f ca="1">-营运资本!AJ21</f>
        <v>-27237.896693205694</v>
      </c>
      <c r="AK10" s="199">
        <f ca="1">-营运资本!AK21</f>
        <v>-26165.14429071077</v>
      </c>
      <c r="AL10" s="199">
        <f ca="1">-营运资本!AL21</f>
        <v>-34173.046942498913</v>
      </c>
      <c r="AM10" s="277"/>
    </row>
    <row r="11" spans="1:139" ht="17.25" customHeight="1" outlineLevel="1">
      <c r="A11" s="975" t="s">
        <v>1406</v>
      </c>
      <c r="B11" s="270"/>
      <c r="C11" s="270"/>
      <c r="D11" s="199">
        <f>营运资本!D27</f>
        <v>-22.488504109999994</v>
      </c>
      <c r="E11" s="199">
        <f>营运资本!E27</f>
        <v>-57.106409549999995</v>
      </c>
      <c r="F11" s="199">
        <f>营运资本!F27</f>
        <v>-68.377268620000024</v>
      </c>
      <c r="G11" s="199">
        <f>营运资本!G27</f>
        <v>5.0002197900000169</v>
      </c>
      <c r="H11" s="199">
        <f>营运资本!H27</f>
        <v>-28.807933910000003</v>
      </c>
      <c r="I11" s="199">
        <f>营运资本!I27</f>
        <v>1.5040295000000015</v>
      </c>
      <c r="J11" s="199">
        <f>营运资本!J27</f>
        <v>-0.5013431666666861</v>
      </c>
      <c r="K11" s="199">
        <f>营运资本!K27</f>
        <v>0.16711438888890484</v>
      </c>
      <c r="L11" s="199">
        <f>营运资本!L27</f>
        <v>-5.5704796296311088E-2</v>
      </c>
      <c r="M11" s="199">
        <f>营运资本!M27</f>
        <v>1.8568265432122644E-2</v>
      </c>
      <c r="N11" s="199">
        <f>营运资本!N27</f>
        <v>-6.1894218107170218E-3</v>
      </c>
      <c r="O11" s="199">
        <f>营运资本!O27</f>
        <v>2.0631406035818145E-3</v>
      </c>
      <c r="P11" s="199">
        <f>营运资本!P27</f>
        <v>-6.877135345177976E-4</v>
      </c>
      <c r="Q11" s="199">
        <f>营运资本!Q27</f>
        <v>2.2923784482031806E-4</v>
      </c>
      <c r="R11" s="199">
        <f>营运资本!R27</f>
        <v>-7.6412614930632117E-5</v>
      </c>
      <c r="S11" s="199">
        <f>营运资本!S27</f>
        <v>2.5470871634070136E-5</v>
      </c>
      <c r="T11" s="199">
        <f>营运资本!T27</f>
        <v>-8.4902905541639484E-6</v>
      </c>
      <c r="U11" s="199">
        <f>营运资本!U27</f>
        <v>2.8300968608618859E-6</v>
      </c>
      <c r="V11" s="199">
        <f>营运资本!V27</f>
        <v>-9.4336562028729531E-7</v>
      </c>
      <c r="W11" s="199">
        <f>营运资本!W27</f>
        <v>3.1445520676243177E-7</v>
      </c>
      <c r="X11" s="199">
        <f>营运资本!X27</f>
        <v>-1.0481838330633764E-7</v>
      </c>
      <c r="Y11" s="199">
        <f>营运资本!Y27</f>
        <v>3.4939461102112546E-8</v>
      </c>
      <c r="Z11" s="199">
        <f>营运资本!Z27</f>
        <v>-1.1646505981843802E-8</v>
      </c>
      <c r="AA11" s="199">
        <f>营运资本!AA27</f>
        <v>3.8821781345177442E-9</v>
      </c>
      <c r="AB11" s="199">
        <f>营运资本!AB27</f>
        <v>-1.2940688520757249E-9</v>
      </c>
      <c r="AC11" s="199">
        <f>营运资本!AC27</f>
        <v>4.3135628402524162E-10</v>
      </c>
      <c r="AD11" s="199">
        <f>营运资本!AD27</f>
        <v>-1.4378542800841387E-10</v>
      </c>
      <c r="AE11" s="199">
        <f>营运资本!AE27</f>
        <v>4.7919002099661157E-11</v>
      </c>
      <c r="AF11" s="199">
        <f>营运资本!AF27</f>
        <v>-1.5973000699887052E-11</v>
      </c>
      <c r="AG11" s="199">
        <f>营运资本!AG27</f>
        <v>5.3432813729159534E-12</v>
      </c>
      <c r="AH11" s="199">
        <f>营运资本!AH27</f>
        <v>-1.7905676941154525E-12</v>
      </c>
      <c r="AI11" s="199">
        <f>营运资本!AI27</f>
        <v>5.9685589803848416E-13</v>
      </c>
      <c r="AJ11" s="199">
        <f>营运资本!AJ27</f>
        <v>0</v>
      </c>
      <c r="AK11" s="199">
        <f>营运资本!AK27</f>
        <v>0</v>
      </c>
      <c r="AL11" s="199">
        <f>营运资本!AL27</f>
        <v>0</v>
      </c>
      <c r="AM11" s="277"/>
    </row>
    <row r="12" spans="1:139" ht="17.25" customHeight="1" outlineLevel="1">
      <c r="A12" s="975" t="s">
        <v>826</v>
      </c>
      <c r="B12" s="270"/>
      <c r="C12" s="270"/>
      <c r="D12" s="199">
        <f>年度数据!D128</f>
        <v>0</v>
      </c>
      <c r="E12" s="199">
        <f>年度数据!E128</f>
        <v>0</v>
      </c>
      <c r="F12" s="199">
        <f>年度数据!F128</f>
        <v>0</v>
      </c>
      <c r="G12" s="199">
        <f>年度数据!G128</f>
        <v>0</v>
      </c>
      <c r="H12" s="199">
        <f>年度数据!H128</f>
        <v>0</v>
      </c>
      <c r="I12" s="199">
        <f>假设!I83</f>
        <v>0</v>
      </c>
      <c r="J12" s="199">
        <f>假设!J83</f>
        <v>0</v>
      </c>
      <c r="K12" s="199">
        <f>假设!K83</f>
        <v>0</v>
      </c>
      <c r="L12" s="199">
        <f>假设!L83</f>
        <v>0</v>
      </c>
      <c r="M12" s="199">
        <f>假设!M83</f>
        <v>0</v>
      </c>
      <c r="N12" s="199">
        <f>假设!N83</f>
        <v>0</v>
      </c>
      <c r="O12" s="199">
        <f>假设!O83</f>
        <v>0</v>
      </c>
      <c r="P12" s="199">
        <f>假设!P83</f>
        <v>0</v>
      </c>
      <c r="Q12" s="199">
        <f>假设!Q83</f>
        <v>0</v>
      </c>
      <c r="R12" s="199">
        <f>假设!R83</f>
        <v>0</v>
      </c>
      <c r="S12" s="199">
        <f>假设!S83</f>
        <v>0</v>
      </c>
      <c r="T12" s="199">
        <f>假设!T83</f>
        <v>0</v>
      </c>
      <c r="U12" s="199">
        <f>假设!U83</f>
        <v>0</v>
      </c>
      <c r="V12" s="199">
        <f>假设!V83</f>
        <v>0</v>
      </c>
      <c r="W12" s="199">
        <f>假设!W83</f>
        <v>0</v>
      </c>
      <c r="X12" s="199">
        <f>假设!X83</f>
        <v>0</v>
      </c>
      <c r="Y12" s="199">
        <f>假设!Y83</f>
        <v>0</v>
      </c>
      <c r="Z12" s="199">
        <f>假设!Z83</f>
        <v>0</v>
      </c>
      <c r="AA12" s="199">
        <f>假设!AA83</f>
        <v>0</v>
      </c>
      <c r="AB12" s="199">
        <f>假设!AB83</f>
        <v>0</v>
      </c>
      <c r="AC12" s="199">
        <f>假设!AC83</f>
        <v>0</v>
      </c>
      <c r="AD12" s="199">
        <f>假设!AD83</f>
        <v>0</v>
      </c>
      <c r="AE12" s="199">
        <f>假设!AE83</f>
        <v>0</v>
      </c>
      <c r="AF12" s="199">
        <f>假设!AF83</f>
        <v>0</v>
      </c>
      <c r="AG12" s="199">
        <f>假设!AG83</f>
        <v>0</v>
      </c>
      <c r="AH12" s="199">
        <f>假设!AH83</f>
        <v>0</v>
      </c>
      <c r="AI12" s="199">
        <f>假设!AI83</f>
        <v>0</v>
      </c>
      <c r="AJ12" s="199">
        <f>假设!AJ83</f>
        <v>0</v>
      </c>
      <c r="AK12" s="199">
        <f>假设!AK83</f>
        <v>0</v>
      </c>
      <c r="AL12" s="199">
        <f>假设!AL83</f>
        <v>0</v>
      </c>
      <c r="AM12" s="277"/>
    </row>
    <row r="13" spans="1:139" s="236" customFormat="1" ht="17.25" customHeight="1" outlineLevel="1">
      <c r="A13" s="235" t="s">
        <v>1071</v>
      </c>
      <c r="B13" s="271"/>
      <c r="C13" s="271"/>
      <c r="D13" s="201">
        <f>SUM(D3:D12)</f>
        <v>-17.947145609999481</v>
      </c>
      <c r="E13" s="201">
        <f t="shared" ref="E13:AL13" si="0">SUM(E3:E12)</f>
        <v>106.20502176000011</v>
      </c>
      <c r="F13" s="201">
        <f t="shared" si="0"/>
        <v>974.39327108999851</v>
      </c>
      <c r="G13" s="201">
        <f t="shared" si="0"/>
        <v>658.85440155999959</v>
      </c>
      <c r="H13" s="201">
        <f t="shared" si="0"/>
        <v>-197.26752641000022</v>
      </c>
      <c r="I13" s="201">
        <f t="shared" ca="1" si="0"/>
        <v>-1452.4718889031087</v>
      </c>
      <c r="J13" s="201">
        <f t="shared" ca="1" si="0"/>
        <v>-3272.6984068020356</v>
      </c>
      <c r="K13" s="201">
        <f t="shared" ca="1" si="0"/>
        <v>2154.4362500990928</v>
      </c>
      <c r="L13" s="201">
        <f t="shared" ca="1" si="0"/>
        <v>-2063.5958899377169</v>
      </c>
      <c r="M13" s="201">
        <f t="shared" ca="1" si="0"/>
        <v>1640.6818287576909</v>
      </c>
      <c r="N13" s="201">
        <f t="shared" ca="1" si="0"/>
        <v>-2409.253499295402</v>
      </c>
      <c r="O13" s="201">
        <f t="shared" ca="1" si="0"/>
        <v>1696.3007220995673</v>
      </c>
      <c r="P13" s="201">
        <f t="shared" ca="1" si="0"/>
        <v>-2638.3531060952027</v>
      </c>
      <c r="Q13" s="201">
        <f t="shared" ca="1" si="0"/>
        <v>1786.7527482415003</v>
      </c>
      <c r="R13" s="201">
        <f t="shared" ca="1" si="0"/>
        <v>-2736.711405842173</v>
      </c>
      <c r="S13" s="201">
        <f t="shared" ca="1" si="0"/>
        <v>1492.4013556835962</v>
      </c>
      <c r="T13" s="201">
        <f t="shared" ca="1" si="0"/>
        <v>-2871.3706473042962</v>
      </c>
      <c r="U13" s="201">
        <f t="shared" ca="1" si="0"/>
        <v>1359.1177791822038</v>
      </c>
      <c r="V13" s="201">
        <f t="shared" ca="1" si="0"/>
        <v>-3214.213690704637</v>
      </c>
      <c r="W13" s="201">
        <f t="shared" ca="1" si="0"/>
        <v>948.65544858660689</v>
      </c>
      <c r="X13" s="201">
        <f t="shared" ca="1" si="0"/>
        <v>-3549.198704769813</v>
      </c>
      <c r="Y13" s="201">
        <f t="shared" ca="1" si="0"/>
        <v>612.25913239262479</v>
      </c>
      <c r="Z13" s="201">
        <f t="shared" ca="1" si="0"/>
        <v>-3906.2192050450444</v>
      </c>
      <c r="AA13" s="201">
        <f t="shared" ca="1" si="0"/>
        <v>193.66633607649192</v>
      </c>
      <c r="AB13" s="201">
        <f t="shared" ca="1" si="0"/>
        <v>-4397.4322371004955</v>
      </c>
      <c r="AC13" s="201">
        <f t="shared" ca="1" si="0"/>
        <v>-354.11335079925789</v>
      </c>
      <c r="AD13" s="201">
        <f t="shared" ca="1" si="0"/>
        <v>-5002.4497178729634</v>
      </c>
      <c r="AE13" s="201">
        <f t="shared" ca="1" si="0"/>
        <v>-1036.9365961442738</v>
      </c>
      <c r="AF13" s="201">
        <f t="shared" ca="1" si="0"/>
        <v>-5779.1790517429108</v>
      </c>
      <c r="AG13" s="201">
        <f t="shared" ca="1" si="0"/>
        <v>-1915.9487828473975</v>
      </c>
      <c r="AH13" s="201">
        <f t="shared" ca="1" si="0"/>
        <v>-6767.9872595174511</v>
      </c>
      <c r="AI13" s="201">
        <f t="shared" ca="1" si="0"/>
        <v>-3028.8307435041929</v>
      </c>
      <c r="AJ13" s="201">
        <f t="shared" ca="1" si="0"/>
        <v>-8025.0914254362324</v>
      </c>
      <c r="AK13" s="201">
        <f t="shared" ca="1" si="0"/>
        <v>-4450.2017005772213</v>
      </c>
      <c r="AL13" s="201">
        <f t="shared" ca="1" si="0"/>
        <v>-9629.4583793947095</v>
      </c>
      <c r="AM13" s="368"/>
      <c r="AN13" s="233"/>
      <c r="AO13" s="233"/>
      <c r="AP13" s="233"/>
      <c r="AQ13" s="233"/>
      <c r="AR13" s="233"/>
      <c r="AS13" s="233"/>
      <c r="AT13" s="233"/>
      <c r="AU13" s="233"/>
      <c r="AV13" s="233"/>
      <c r="AW13" s="233"/>
      <c r="AX13" s="233"/>
      <c r="AY13" s="233"/>
      <c r="AZ13" s="233"/>
      <c r="BA13" s="233"/>
      <c r="BB13" s="233"/>
      <c r="BC13" s="233"/>
      <c r="BD13" s="233"/>
      <c r="BE13" s="233"/>
      <c r="BF13" s="233"/>
      <c r="BG13" s="233"/>
      <c r="BH13" s="233"/>
      <c r="BI13" s="233"/>
      <c r="BJ13" s="233"/>
      <c r="BK13" s="233"/>
      <c r="BL13" s="233"/>
      <c r="BM13" s="233"/>
      <c r="BN13" s="233"/>
      <c r="BO13" s="233"/>
      <c r="BP13" s="233"/>
      <c r="BQ13" s="233"/>
      <c r="BR13" s="233"/>
      <c r="BS13" s="233"/>
      <c r="BT13" s="233"/>
      <c r="BU13" s="233"/>
      <c r="BV13" s="233"/>
      <c r="BW13" s="233"/>
      <c r="BX13" s="233"/>
      <c r="BY13" s="233"/>
      <c r="BZ13" s="233"/>
      <c r="CA13" s="233"/>
      <c r="CB13" s="233"/>
      <c r="CC13" s="233"/>
      <c r="CD13" s="233"/>
      <c r="CE13" s="233"/>
      <c r="CF13" s="233"/>
      <c r="CG13" s="233"/>
      <c r="CH13" s="233"/>
      <c r="CI13" s="233"/>
      <c r="CJ13" s="233"/>
      <c r="CK13" s="233"/>
      <c r="CL13" s="233"/>
      <c r="CM13" s="233"/>
      <c r="CN13" s="233"/>
      <c r="CO13" s="233"/>
      <c r="CP13" s="233"/>
      <c r="CQ13" s="233"/>
      <c r="CR13" s="233"/>
      <c r="CS13" s="233"/>
      <c r="CT13" s="233"/>
      <c r="CU13" s="233"/>
      <c r="CV13" s="233"/>
      <c r="CW13" s="233"/>
      <c r="CX13" s="233"/>
      <c r="CY13" s="233"/>
      <c r="CZ13" s="233"/>
      <c r="DA13" s="233"/>
      <c r="DB13" s="233"/>
      <c r="DC13" s="233"/>
      <c r="DD13" s="233"/>
      <c r="DE13" s="233"/>
      <c r="DF13" s="233"/>
      <c r="DG13" s="233"/>
      <c r="DH13" s="233"/>
      <c r="DI13" s="233"/>
      <c r="DJ13" s="233"/>
      <c r="DK13" s="233"/>
      <c r="DL13" s="233"/>
      <c r="DM13" s="233"/>
      <c r="DN13" s="233"/>
      <c r="DO13" s="233"/>
      <c r="DP13" s="233"/>
      <c r="DQ13" s="233"/>
      <c r="DR13" s="233"/>
      <c r="DS13" s="233"/>
      <c r="DT13" s="233"/>
      <c r="DU13" s="233"/>
      <c r="DV13" s="233"/>
      <c r="DW13" s="233"/>
      <c r="DX13" s="233"/>
      <c r="DY13" s="233"/>
      <c r="DZ13" s="233"/>
      <c r="EA13" s="233"/>
      <c r="EB13" s="233"/>
      <c r="EC13" s="233"/>
      <c r="ED13" s="233"/>
      <c r="EE13" s="233"/>
      <c r="EF13" s="233"/>
      <c r="EG13" s="233"/>
      <c r="EH13" s="233"/>
      <c r="EI13" s="233"/>
    </row>
    <row r="14" spans="1:139" ht="17.25" customHeight="1">
      <c r="D14" s="199"/>
      <c r="E14" s="200"/>
      <c r="F14" s="200"/>
      <c r="G14" s="200"/>
      <c r="H14" s="200"/>
      <c r="I14" s="199"/>
      <c r="J14" s="200"/>
      <c r="K14" s="200"/>
      <c r="L14" s="200"/>
      <c r="M14" s="386"/>
      <c r="N14" s="386"/>
      <c r="O14" s="386"/>
      <c r="P14" s="386"/>
      <c r="Q14" s="386"/>
      <c r="R14" s="386"/>
      <c r="S14" s="386"/>
      <c r="T14" s="386"/>
      <c r="U14" s="386"/>
      <c r="V14" s="386"/>
      <c r="W14" s="386"/>
      <c r="X14" s="386"/>
      <c r="Y14" s="386"/>
      <c r="Z14" s="386"/>
      <c r="AA14" s="386"/>
      <c r="AB14" s="386"/>
      <c r="AC14" s="386"/>
      <c r="AD14" s="386"/>
      <c r="AE14" s="386"/>
      <c r="AF14" s="386"/>
      <c r="AG14" s="386"/>
      <c r="AH14" s="386"/>
      <c r="AI14" s="386"/>
      <c r="AJ14" s="386"/>
      <c r="AK14" s="386"/>
      <c r="AL14" s="386"/>
      <c r="AM14" s="277"/>
    </row>
    <row r="15" spans="1:139" ht="17.25" customHeight="1">
      <c r="A15" s="244" t="s">
        <v>1054</v>
      </c>
      <c r="B15" s="267"/>
      <c r="C15" s="267"/>
      <c r="D15" s="224"/>
      <c r="E15" s="149"/>
      <c r="F15" s="149"/>
      <c r="G15" s="149"/>
      <c r="H15" s="149"/>
      <c r="I15" s="199"/>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277"/>
    </row>
    <row r="16" spans="1:139" ht="17.25" customHeight="1" outlineLevel="1">
      <c r="A16" s="234" t="s">
        <v>825</v>
      </c>
      <c r="B16" s="267"/>
      <c r="C16" s="267"/>
      <c r="D16" s="199">
        <f>-D4</f>
        <v>-41.629124089999998</v>
      </c>
      <c r="E16" s="199">
        <f t="shared" ref="E16:AL16" si="1">-E4</f>
        <v>-65.684099119999999</v>
      </c>
      <c r="F16" s="199">
        <f t="shared" si="1"/>
        <v>-101.36520949</v>
      </c>
      <c r="G16" s="199">
        <f t="shared" si="1"/>
        <v>-155.60443329</v>
      </c>
      <c r="H16" s="199">
        <f t="shared" si="1"/>
        <v>-203.49755551999996</v>
      </c>
      <c r="I16" s="199">
        <f t="shared" ca="1" si="1"/>
        <v>-159.67568942618274</v>
      </c>
      <c r="J16" s="199">
        <f t="shared" ca="1" si="1"/>
        <v>-178.29660496705071</v>
      </c>
      <c r="K16" s="199">
        <f t="shared" ca="1" si="1"/>
        <v>-206.53562264950685</v>
      </c>
      <c r="L16" s="199">
        <f t="shared" ca="1" si="1"/>
        <v>-236.9227226316784</v>
      </c>
      <c r="M16" s="199">
        <f t="shared" ca="1" si="1"/>
        <v>-265.31343784344983</v>
      </c>
      <c r="N16" s="199">
        <f t="shared" ca="1" si="1"/>
        <v>-296.67679217114386</v>
      </c>
      <c r="O16" s="199">
        <f t="shared" ca="1" si="1"/>
        <v>-335.10374570500522</v>
      </c>
      <c r="P16" s="199">
        <f t="shared" ca="1" si="1"/>
        <v>-378.49358324467477</v>
      </c>
      <c r="Q16" s="199">
        <f t="shared" ca="1" si="1"/>
        <v>-426.52582930108832</v>
      </c>
      <c r="R16" s="199">
        <f t="shared" ca="1" si="1"/>
        <v>-479.28899939193815</v>
      </c>
      <c r="S16" s="199">
        <f t="shared" ca="1" si="1"/>
        <v>-538.55465636874908</v>
      </c>
      <c r="T16" s="199">
        <f t="shared" ca="1" si="1"/>
        <v>-606.79311083667392</v>
      </c>
      <c r="U16" s="199">
        <f t="shared" ca="1" si="1"/>
        <v>-683.53667865476859</v>
      </c>
      <c r="V16" s="199">
        <f t="shared" ca="1" si="1"/>
        <v>-613.24261232595609</v>
      </c>
      <c r="W16" s="199">
        <f t="shared" ca="1" si="1"/>
        <v>-686.04985674259683</v>
      </c>
      <c r="X16" s="199">
        <f t="shared" ca="1" si="1"/>
        <v>-765.67445522763148</v>
      </c>
      <c r="Y16" s="199">
        <f t="shared" ca="1" si="1"/>
        <v>-860.72415812252029</v>
      </c>
      <c r="Z16" s="199">
        <f t="shared" ca="1" si="1"/>
        <v>-973.64725190846241</v>
      </c>
      <c r="AA16" s="199">
        <f t="shared" ca="1" si="1"/>
        <v>-1097.0518470059346</v>
      </c>
      <c r="AB16" s="199">
        <f t="shared" ca="1" si="1"/>
        <v>-1233.6158117106406</v>
      </c>
      <c r="AC16" s="199">
        <f t="shared" ca="1" si="1"/>
        <v>-1389.2203142469018</v>
      </c>
      <c r="AD16" s="199">
        <f t="shared" ca="1" si="1"/>
        <v>-1566.9719974686861</v>
      </c>
      <c r="AE16" s="199">
        <f t="shared" ca="1" si="1"/>
        <v>-1767.5226487591144</v>
      </c>
      <c r="AF16" s="199">
        <f t="shared" ca="1" si="1"/>
        <v>-1993.1503851419498</v>
      </c>
      <c r="AG16" s="199">
        <f t="shared" ca="1" si="1"/>
        <v>-2247.6527198618437</v>
      </c>
      <c r="AH16" s="199">
        <f t="shared" ca="1" si="1"/>
        <v>-2535.0930203969911</v>
      </c>
      <c r="AI16" s="199">
        <f t="shared" ca="1" si="1"/>
        <v>-2860.7910931420533</v>
      </c>
      <c r="AJ16" s="199">
        <f t="shared" ca="1" si="1"/>
        <v>-3228.4127159392601</v>
      </c>
      <c r="AK16" s="199">
        <f t="shared" ca="1" si="1"/>
        <v>-3642.6274694959147</v>
      </c>
      <c r="AL16" s="199">
        <f t="shared" ca="1" si="1"/>
        <v>-4111.1144205275168</v>
      </c>
      <c r="AM16" s="199"/>
    </row>
    <row r="17" spans="1:43" ht="17.25" customHeight="1" outlineLevel="1">
      <c r="A17" s="234" t="s">
        <v>182</v>
      </c>
      <c r="D17" s="199">
        <f>利润表!D16</f>
        <v>19.26902291</v>
      </c>
      <c r="E17" s="199">
        <f>利润表!E16</f>
        <v>20.729962159999999</v>
      </c>
      <c r="F17" s="199">
        <f>利润表!F16</f>
        <v>-27.984675469999999</v>
      </c>
      <c r="G17" s="199">
        <f>利润表!G16</f>
        <v>-2.9488163599999999</v>
      </c>
      <c r="H17" s="199">
        <f>利润表!H16</f>
        <v>3.80244553</v>
      </c>
      <c r="I17" s="199">
        <f>利润表!I16</f>
        <v>2.5735877540000005</v>
      </c>
      <c r="J17" s="199">
        <f>利润表!J16</f>
        <v>-0.76549927719999955</v>
      </c>
      <c r="K17" s="199">
        <f>利润表!K16</f>
        <v>-5.0645915646399997</v>
      </c>
      <c r="L17" s="199">
        <f>利润表!L16</f>
        <v>-0.48057478356799965</v>
      </c>
      <c r="M17" s="199">
        <f>利润表!M16</f>
        <v>1.3073531718400422E-2</v>
      </c>
      <c r="N17" s="199">
        <f>利润表!N16</f>
        <v>-0.74480086793791966</v>
      </c>
      <c r="O17" s="199">
        <f>利润表!O16</f>
        <v>-1.4084785923255039</v>
      </c>
      <c r="P17" s="199">
        <f>利润表!P16</f>
        <v>-1.5370744553506044</v>
      </c>
      <c r="Q17" s="199">
        <f>利润表!Q16</f>
        <v>-0.83157103349272532</v>
      </c>
      <c r="R17" s="199">
        <f>利润表!R16</f>
        <v>-0.90177028347767052</v>
      </c>
      <c r="S17" s="199">
        <f>利润表!S16</f>
        <v>-1.0847390465168847</v>
      </c>
      <c r="T17" s="199">
        <f>利润表!T16</f>
        <v>-1.1527266822326778</v>
      </c>
      <c r="U17" s="199">
        <f>利润表!U16</f>
        <v>-1.1015763002141126</v>
      </c>
      <c r="V17" s="199">
        <f>利润表!V16</f>
        <v>-1.0144766691868141</v>
      </c>
      <c r="W17" s="199">
        <f>利润表!W16</f>
        <v>-1.0510577963256318</v>
      </c>
      <c r="X17" s="199">
        <f>利润表!X16</f>
        <v>-1.080915298895224</v>
      </c>
      <c r="Y17" s="199">
        <f>利润表!Y16</f>
        <v>-1.0801505493708921</v>
      </c>
      <c r="Z17" s="199">
        <f>利润表!Z16</f>
        <v>-1.0656353227985349</v>
      </c>
      <c r="AA17" s="199">
        <f>利润表!AA16</f>
        <v>-1.0584471273154192</v>
      </c>
      <c r="AB17" s="199">
        <f>利润表!AB16</f>
        <v>-1.0672412189411404</v>
      </c>
      <c r="AC17" s="199">
        <f>利润表!AC16</f>
        <v>-1.0704779034642422</v>
      </c>
      <c r="AD17" s="199">
        <f>利润表!AD16</f>
        <v>-1.0683904243780455</v>
      </c>
      <c r="AE17" s="199">
        <f>利润表!AE16</f>
        <v>-1.0660383993794764</v>
      </c>
      <c r="AF17" s="199">
        <f>利润表!AF16</f>
        <v>-1.0661190146956647</v>
      </c>
      <c r="AG17" s="199">
        <f>利润表!AG16</f>
        <v>-1.067653392171714</v>
      </c>
      <c r="AH17" s="199">
        <f>利润表!AH16</f>
        <v>-1.0677358268178285</v>
      </c>
      <c r="AI17" s="199">
        <f>利润表!AI16</f>
        <v>-1.0671874114885458</v>
      </c>
      <c r="AJ17" s="199">
        <f>利润表!AJ16</f>
        <v>-1.0669468089106457</v>
      </c>
      <c r="AK17" s="199">
        <f>利润表!AK16</f>
        <v>-1.0671284908168799</v>
      </c>
      <c r="AL17" s="199">
        <f>利润表!AL16</f>
        <v>-1.0673303860411227</v>
      </c>
      <c r="AM17" s="277"/>
    </row>
    <row r="18" spans="1:43" ht="17.25" customHeight="1" outlineLevel="1">
      <c r="A18" s="234" t="s">
        <v>1411</v>
      </c>
      <c r="D18" s="199">
        <f>利润表!D14</f>
        <v>9.9251041600000001</v>
      </c>
      <c r="E18" s="199">
        <f>利润表!E14</f>
        <v>0</v>
      </c>
      <c r="F18" s="199">
        <f>利润表!F14</f>
        <v>0.19637222000000001</v>
      </c>
      <c r="G18" s="199">
        <f>利润表!G14</f>
        <v>8.8465899999999997E-3</v>
      </c>
      <c r="H18" s="199">
        <f>利润表!H14</f>
        <v>40.805791849999999</v>
      </c>
      <c r="I18" s="199">
        <f>利润表!I14</f>
        <v>20.407319219999998</v>
      </c>
      <c r="J18" s="199">
        <f>利润表!J14</f>
        <v>30.606555534999998</v>
      </c>
      <c r="K18" s="199">
        <f>利润表!K14</f>
        <v>25.506937377499998</v>
      </c>
      <c r="L18" s="199">
        <f>利润表!L14</f>
        <v>28.056746456249996</v>
      </c>
      <c r="M18" s="199">
        <f>利润表!M14</f>
        <v>26.781841916874995</v>
      </c>
      <c r="N18" s="199">
        <f>利润表!N14</f>
        <v>27.419294186562496</v>
      </c>
      <c r="O18" s="199">
        <f>利润表!O14</f>
        <v>27.100568051718746</v>
      </c>
      <c r="P18" s="199">
        <f>利润表!P14</f>
        <v>27.259931119140621</v>
      </c>
      <c r="Q18" s="199">
        <f>利润表!Q14</f>
        <v>27.180249585429685</v>
      </c>
      <c r="R18" s="199">
        <f>利润表!R14</f>
        <v>27.220090352285155</v>
      </c>
      <c r="S18" s="199">
        <f>利润表!S14</f>
        <v>27.20016996885742</v>
      </c>
      <c r="T18" s="199">
        <f>利润表!T14</f>
        <v>27.210130160571289</v>
      </c>
      <c r="U18" s="199">
        <f>利润表!U14</f>
        <v>27.205150064714353</v>
      </c>
      <c r="V18" s="199">
        <f>利润表!V14</f>
        <v>27.207640112642821</v>
      </c>
      <c r="W18" s="199">
        <f>利润表!W14</f>
        <v>27.206395088678587</v>
      </c>
      <c r="X18" s="199">
        <f>利润表!X14</f>
        <v>27.207017600660706</v>
      </c>
      <c r="Y18" s="199">
        <f>利润表!Y14</f>
        <v>27.206706344669648</v>
      </c>
      <c r="Z18" s="199">
        <f>利润表!Z14</f>
        <v>27.206861972665177</v>
      </c>
      <c r="AA18" s="199">
        <f>利润表!AA14</f>
        <v>27.206784158667411</v>
      </c>
      <c r="AB18" s="199">
        <f>利润表!AB14</f>
        <v>27.206823065666292</v>
      </c>
      <c r="AC18" s="199">
        <f>利润表!AC14</f>
        <v>27.206803612166851</v>
      </c>
      <c r="AD18" s="199">
        <f>利润表!AD14</f>
        <v>27.206813338916572</v>
      </c>
      <c r="AE18" s="199">
        <f>利润表!AE14</f>
        <v>27.206808475541713</v>
      </c>
      <c r="AF18" s="199">
        <f>利润表!AF14</f>
        <v>27.206810907229141</v>
      </c>
      <c r="AG18" s="199">
        <f>利润表!AG14</f>
        <v>27.206809691385427</v>
      </c>
      <c r="AH18" s="199">
        <f>利润表!AH14</f>
        <v>27.206810299307286</v>
      </c>
      <c r="AI18" s="199">
        <f>利润表!AI14</f>
        <v>27.206809995346354</v>
      </c>
      <c r="AJ18" s="199">
        <f>利润表!AJ14</f>
        <v>27.20681014732682</v>
      </c>
      <c r="AK18" s="199">
        <f>利润表!AK14</f>
        <v>27.206810071336587</v>
      </c>
      <c r="AL18" s="199">
        <f>利润表!AL14</f>
        <v>27.206810109331705</v>
      </c>
      <c r="AM18" s="277"/>
    </row>
    <row r="19" spans="1:43" ht="17.25" customHeight="1" outlineLevel="1">
      <c r="A19" s="234" t="s">
        <v>187</v>
      </c>
      <c r="D19" s="199">
        <f>资产负债!C4-资产负债!D4</f>
        <v>-584.92510415999993</v>
      </c>
      <c r="E19" s="199">
        <f>资产负债!D4-资产负债!E4</f>
        <v>584.92510415999993</v>
      </c>
      <c r="F19" s="199">
        <f>资产负债!E4-资产负债!F4</f>
        <v>-217.19637222</v>
      </c>
      <c r="G19" s="199">
        <f>资产负债!F4-资产负债!G4</f>
        <v>217.14215401000001</v>
      </c>
      <c r="H19" s="199">
        <f>资产负债!G4-资产负债!H4</f>
        <v>-73.958371759999991</v>
      </c>
      <c r="I19" s="199">
        <f>资产负债!H4-资产负债!I4</f>
        <v>1.1967948699999909</v>
      </c>
      <c r="J19" s="199">
        <f>资产负债!I4-资产负债!J4</f>
        <v>-18.203948774999986</v>
      </c>
      <c r="K19" s="199">
        <f>资产负债!J4-资产负债!K4</f>
        <v>31.544157086249996</v>
      </c>
      <c r="L19" s="199">
        <f>资产负债!K4-资产负债!L4</f>
        <v>-14.855342144687498</v>
      </c>
      <c r="M19" s="199">
        <f>资产负债!L4-资产负债!M4</f>
        <v>-7.9584740859388603E-2</v>
      </c>
      <c r="N19" s="199">
        <f>资产负债!M4-资产负债!N4</f>
        <v>-0.39867964357421215</v>
      </c>
      <c r="O19" s="199">
        <f>资产负债!N4-资产负债!O4</f>
        <v>4.0526376392822243</v>
      </c>
      <c r="P19" s="199">
        <f>资产负债!O4-资产负债!P4</f>
        <v>-2.8202422224597115</v>
      </c>
      <c r="Q19" s="199">
        <f>资产负债!P4-资产负债!Q4</f>
        <v>0.18853275809722447</v>
      </c>
      <c r="R19" s="199">
        <f>资产负债!Q4-资产负债!R4</f>
        <v>0.2555621328363884</v>
      </c>
      <c r="S19" s="199">
        <f>资产负债!R4-资产负债!S4</f>
        <v>0.41912257693901722</v>
      </c>
      <c r="T19" s="199">
        <f>资产负债!S4-资产负债!T4</f>
        <v>-0.48925618864676323</v>
      </c>
      <c r="U19" s="199">
        <f>资产负债!T4-资产负债!U4</f>
        <v>9.3490319806477373E-2</v>
      </c>
      <c r="V19" s="199">
        <f>资产负债!U4-资产负债!V4</f>
        <v>6.9729710233758624E-2</v>
      </c>
      <c r="W19" s="199">
        <f>资产负债!V4-资产负债!W4</f>
        <v>2.3271604583129601E-2</v>
      </c>
      <c r="X19" s="199">
        <f>资产负债!W4-资产负债!X4</f>
        <v>-7.5691138505845856E-2</v>
      </c>
      <c r="Y19" s="199">
        <f>资产负债!X4-资产负债!Y4</f>
        <v>2.7700124029379936E-2</v>
      </c>
      <c r="Z19" s="199">
        <f>资产负债!Y4-资产负债!Z4</f>
        <v>1.1252575085094918E-2</v>
      </c>
      <c r="AA19" s="199">
        <f>资产负债!Z4-资产负债!AA4</f>
        <v>-3.3667087020603503E-3</v>
      </c>
      <c r="AB19" s="199">
        <f>资产负债!AA4-资产负债!AB4</f>
        <v>-1.0026287023350733E-2</v>
      </c>
      <c r="AC19" s="199">
        <f>资产负债!AB4-资产负债!AC4</f>
        <v>6.389925847273048E-3</v>
      </c>
      <c r="AD19" s="199">
        <f>资产负债!AC4-资产负债!AD4</f>
        <v>1.0623763017321153E-3</v>
      </c>
      <c r="AE19" s="199">
        <f>资产负债!AD4-资产负债!AE4</f>
        <v>-1.4851733940872691E-3</v>
      </c>
      <c r="AF19" s="199">
        <f>资产负债!AE4-资产负债!AF4</f>
        <v>-1.0147895671082097E-3</v>
      </c>
      <c r="AG19" s="199">
        <f>资产负债!AF4-资产负债!AG4</f>
        <v>1.2380847969382103E-3</v>
      </c>
      <c r="AH19" s="199">
        <f>资产负债!AG4-资产负债!AH4</f>
        <v>-4.9875465634841021E-5</v>
      </c>
      <c r="AI19" s="199">
        <f>资产负债!AH4-资产负债!AI4</f>
        <v>-3.2793840746592196E-4</v>
      </c>
      <c r="AJ19" s="199">
        <f>资产负债!AI4-资产负债!AJ4</f>
        <v>-3.8629660807032451E-5</v>
      </c>
      <c r="AK19" s="199">
        <f>资产负债!AJ4-资产负债!AK4</f>
        <v>2.0541031574339286E-4</v>
      </c>
      <c r="AL19" s="199">
        <f>资产负债!AK4-资产负债!AL4</f>
        <v>-5.275830454820607E-5</v>
      </c>
      <c r="AM19" s="277"/>
    </row>
    <row r="20" spans="1:43" ht="17.25" customHeight="1" outlineLevel="1">
      <c r="A20" s="234" t="s">
        <v>2826</v>
      </c>
      <c r="D20" s="199">
        <f>资产负债!C5-资产负债!D5</f>
        <v>0</v>
      </c>
      <c r="E20" s="199">
        <f>资产负债!D5-资产负债!E5</f>
        <v>0</v>
      </c>
      <c r="F20" s="199">
        <f>资产负债!E5-资产负债!F5</f>
        <v>0</v>
      </c>
      <c r="G20" s="199">
        <f>资产负债!F5-资产负债!G5</f>
        <v>0</v>
      </c>
      <c r="H20" s="199">
        <f>资产负债!G5-资产负债!H5</f>
        <v>0</v>
      </c>
      <c r="I20" s="199">
        <f>资产负债!H5-资产负债!I5</f>
        <v>0</v>
      </c>
      <c r="J20" s="199">
        <f>资产负债!I5-资产负债!J5</f>
        <v>0</v>
      </c>
      <c r="K20" s="199">
        <f>资产负债!J5-资产负债!K5</f>
        <v>0</v>
      </c>
      <c r="L20" s="199">
        <f>资产负债!K5-资产负债!L5</f>
        <v>0</v>
      </c>
      <c r="M20" s="199">
        <f>资产负债!L5-资产负债!M5</f>
        <v>0</v>
      </c>
      <c r="N20" s="199">
        <f>资产负债!M5-资产负债!N5</f>
        <v>0</v>
      </c>
      <c r="O20" s="199">
        <f>资产负债!N5-资产负债!O5</f>
        <v>0</v>
      </c>
      <c r="P20" s="199">
        <f>资产负债!O5-资产负债!P5</f>
        <v>0</v>
      </c>
      <c r="Q20" s="199">
        <f>资产负债!P5-资产负债!Q5</f>
        <v>0</v>
      </c>
      <c r="R20" s="199">
        <f>资产负债!Q5-资产负债!R5</f>
        <v>0</v>
      </c>
      <c r="S20" s="199">
        <f>资产负债!R5-资产负债!S5</f>
        <v>0</v>
      </c>
      <c r="T20" s="199">
        <f>资产负债!S5-资产负债!T5</f>
        <v>0</v>
      </c>
      <c r="U20" s="199">
        <f>资产负债!T5-资产负债!U5</f>
        <v>0</v>
      </c>
      <c r="V20" s="199">
        <f>资产负债!U5-资产负债!V5</f>
        <v>0</v>
      </c>
      <c r="W20" s="199">
        <f>资产负债!V5-资产负债!W5</f>
        <v>0</v>
      </c>
      <c r="X20" s="199">
        <f>资产负债!W5-资产负债!X5</f>
        <v>0</v>
      </c>
      <c r="Y20" s="199">
        <f>资产负债!X5-资产负债!Y5</f>
        <v>0</v>
      </c>
      <c r="Z20" s="199">
        <f>资产负债!Y5-资产负债!Z5</f>
        <v>0</v>
      </c>
      <c r="AA20" s="199">
        <f>资产负债!Z5-资产负债!AA5</f>
        <v>0</v>
      </c>
      <c r="AB20" s="199">
        <f>资产负债!AA5-资产负债!AB5</f>
        <v>0</v>
      </c>
      <c r="AC20" s="199">
        <f>资产负债!AB5-资产负债!AC5</f>
        <v>0</v>
      </c>
      <c r="AD20" s="199">
        <f>资产负债!AC5-资产负债!AD5</f>
        <v>0</v>
      </c>
      <c r="AE20" s="199">
        <f>资产负债!AD5-资产负债!AE5</f>
        <v>0</v>
      </c>
      <c r="AF20" s="199">
        <f>资产负债!AE5-资产负债!AF5</f>
        <v>0</v>
      </c>
      <c r="AG20" s="199">
        <f>资产负债!AF5-资产负债!AG5</f>
        <v>0</v>
      </c>
      <c r="AH20" s="199">
        <f>资产负债!AG5-资产负债!AH5</f>
        <v>0</v>
      </c>
      <c r="AI20" s="199">
        <f>资产负债!AH5-资产负债!AI5</f>
        <v>0</v>
      </c>
      <c r="AJ20" s="199">
        <f>资产负债!AI5-资产负债!AJ5</f>
        <v>0</v>
      </c>
      <c r="AK20" s="199">
        <f>资产负债!AJ5-资产负债!AK5</f>
        <v>0</v>
      </c>
      <c r="AL20" s="199">
        <f>资产负债!AK5-资产负债!AL5</f>
        <v>0</v>
      </c>
      <c r="AM20" s="277"/>
    </row>
    <row r="21" spans="1:43" ht="17.25" customHeight="1" outlineLevel="1">
      <c r="A21" s="234" t="s">
        <v>1412</v>
      </c>
      <c r="D21" s="199">
        <f>资产负债!C29-资产负债!D29</f>
        <v>0</v>
      </c>
      <c r="E21" s="199">
        <f>资产负债!D29-资产负债!E29</f>
        <v>0</v>
      </c>
      <c r="F21" s="199">
        <f>资产负债!E29-资产负债!F29</f>
        <v>0</v>
      </c>
      <c r="G21" s="199">
        <f>资产负债!F29-资产负债!G29</f>
        <v>-24.483474050000002</v>
      </c>
      <c r="H21" s="199">
        <f>资产负债!G29-资产负债!H29</f>
        <v>-8.4781371299999968</v>
      </c>
      <c r="I21" s="199">
        <f>资产负债!H29-资产负债!I29</f>
        <v>-8.1267656439999953</v>
      </c>
      <c r="J21" s="199">
        <f>资产负债!I29-资产负债!J29</f>
        <v>-8.0564913468000015</v>
      </c>
      <c r="K21" s="199">
        <f>资产负债!J29-资产负债!K29</f>
        <v>-7.9721621901599917</v>
      </c>
      <c r="L21" s="199">
        <f>资产负债!K29-资产负债!L29</f>
        <v>-7.8709672021919914</v>
      </c>
      <c r="M21" s="199">
        <f>资产负债!L29-资产负债!M29</f>
        <v>-7.8662790546303967</v>
      </c>
      <c r="N21" s="199">
        <f>资产负债!M29-资产负债!N29</f>
        <v>-7.9785330875564711</v>
      </c>
      <c r="O21" s="199">
        <f>资产负债!N29-资产负债!O29</f>
        <v>-7.9488865762677676</v>
      </c>
      <c r="P21" s="199">
        <f>资产负债!O29-资产负债!P29</f>
        <v>-7.927365622161318</v>
      </c>
      <c r="Q21" s="199">
        <f>资产负债!P29-资产负债!Q29</f>
        <v>-7.9184063085615861</v>
      </c>
      <c r="R21" s="199">
        <f>资产负债!Q29-资产负债!R29</f>
        <v>-7.9278941298355079</v>
      </c>
      <c r="S21" s="199">
        <f>资产负债!R29-资产负债!S29</f>
        <v>-7.9402171448765273</v>
      </c>
      <c r="T21" s="199">
        <f>资产负债!S29-资产负债!T29</f>
        <v>-7.9325539563405556</v>
      </c>
      <c r="U21" s="199">
        <f>资产负债!T29-资产负债!U29</f>
        <v>-7.9292874323550961</v>
      </c>
      <c r="V21" s="199">
        <f>资产负债!U29-资产负债!V29</f>
        <v>-7.9296717943938688</v>
      </c>
      <c r="W21" s="199">
        <f>资产负债!V29-资产负债!W29</f>
        <v>-7.9319248915602998</v>
      </c>
      <c r="X21" s="199">
        <f>资产负债!W29-资产负债!X29</f>
        <v>-7.9327310439052781</v>
      </c>
      <c r="Y21" s="199">
        <f>资产负债!X29-资产负债!Y29</f>
        <v>-7.9312338237110112</v>
      </c>
      <c r="Z21" s="199">
        <f>资产负债!Y29-资产负债!Z29</f>
        <v>-7.9309697971850994</v>
      </c>
      <c r="AA21" s="199">
        <f>资产负债!Z29-资产负债!AA29</f>
        <v>-7.9313062701511114</v>
      </c>
      <c r="AB21" s="199">
        <f>资产负债!AA29-资产负债!AB29</f>
        <v>-7.9316331653025713</v>
      </c>
      <c r="AC21" s="199">
        <f>资产负债!AB29-资产负债!AC29</f>
        <v>-7.9315748200510257</v>
      </c>
      <c r="AD21" s="199">
        <f>资产负债!AC29-资产负债!AD29</f>
        <v>-7.9313435752801524</v>
      </c>
      <c r="AE21" s="199">
        <f>资产负债!AD29-资产负债!AE29</f>
        <v>-7.9313655255940034</v>
      </c>
      <c r="AF21" s="199">
        <f>资产负债!AE29-资产负债!AF29</f>
        <v>-7.9314446712757558</v>
      </c>
      <c r="AG21" s="199">
        <f>资产负债!AF29-资产负债!AG29</f>
        <v>-7.9314723515007017</v>
      </c>
      <c r="AH21" s="199">
        <f>资产负债!AG29-资产负债!AH29</f>
        <v>-7.9314401887403392</v>
      </c>
      <c r="AI21" s="199">
        <f>资产负债!AH29-资产负债!AI29</f>
        <v>-7.9314132624782019</v>
      </c>
      <c r="AJ21" s="199">
        <f>资产负债!AI29-资产负债!AJ29</f>
        <v>-7.9314271999178061</v>
      </c>
      <c r="AK21" s="199">
        <f>资产负债!AJ29-资产负债!AK29</f>
        <v>-7.9314395347825837</v>
      </c>
      <c r="AL21" s="199">
        <f>资产负债!AK29-资产负债!AL29</f>
        <v>-7.9314385074839038</v>
      </c>
      <c r="AM21" s="277"/>
    </row>
    <row r="22" spans="1:43" ht="17.25" customHeight="1" outlineLevel="1">
      <c r="A22" s="234" t="s">
        <v>2827</v>
      </c>
      <c r="D22" s="199">
        <f>资产负债!C21-资产负债!D21</f>
        <v>0</v>
      </c>
      <c r="E22" s="199">
        <f>资产负债!D21-资产负债!E21</f>
        <v>0</v>
      </c>
      <c r="F22" s="199">
        <f>资产负债!E21-资产负债!F21</f>
        <v>0</v>
      </c>
      <c r="G22" s="199">
        <f>资产负债!F21-资产负债!G21</f>
        <v>-147.13758333999999</v>
      </c>
      <c r="H22" s="199">
        <f>资产负债!G21-资产负债!H21</f>
        <v>7.6140833399999792</v>
      </c>
      <c r="I22" s="199">
        <f>资产负债!H21-资产负债!I21</f>
        <v>67.858229165000012</v>
      </c>
      <c r="J22" s="199">
        <f>资产负债!I21-资产负债!J21</f>
        <v>-17.91631770875</v>
      </c>
      <c r="K22" s="199">
        <f>资产负债!J21-资产负债!K21</f>
        <v>-22.3953971359375</v>
      </c>
      <c r="L22" s="199">
        <f>资产负债!K21-资产负债!L21</f>
        <v>8.790149415078119</v>
      </c>
      <c r="M22" s="199">
        <f>资产负债!L21-资产负债!M21</f>
        <v>9.0841659338476575</v>
      </c>
      <c r="N22" s="199">
        <f>资产负债!M21-资产负债!N21</f>
        <v>-5.6093498739404311</v>
      </c>
      <c r="O22" s="199">
        <f>资产负债!N21-资产负债!O21</f>
        <v>-2.5326079152380458</v>
      </c>
      <c r="P22" s="199">
        <f>资产负债!O21-资产负债!P21</f>
        <v>2.4330893899368391</v>
      </c>
      <c r="Q22" s="199">
        <f>资产负债!P21-资产负债!Q21</f>
        <v>0.84382438365149426</v>
      </c>
      <c r="R22" s="199">
        <f>资产负债!Q21-资产负债!R21</f>
        <v>-1.2162610038975288</v>
      </c>
      <c r="S22" s="199">
        <f>资产负债!R21-资产负债!S21</f>
        <v>-0.11798878638681742</v>
      </c>
      <c r="T22" s="199">
        <f>资产负债!S21-资产负债!T21</f>
        <v>0.485665995826011</v>
      </c>
      <c r="U22" s="199">
        <f>资产负债!T21-资产负债!U21</f>
        <v>-1.1898527017137894E-3</v>
      </c>
      <c r="V22" s="199">
        <f>资产负债!U21-资产负债!V21</f>
        <v>-0.21244341179001935</v>
      </c>
      <c r="W22" s="199">
        <f>资产负债!V21-资产负债!W21</f>
        <v>3.8510986236872213E-2</v>
      </c>
      <c r="X22" s="199">
        <f>资产负债!W21-资产负债!X21</f>
        <v>7.7635929392783964E-2</v>
      </c>
      <c r="Y22" s="199">
        <f>资产负债!X21-资产负债!Y21</f>
        <v>-2.4371587215512136E-2</v>
      </c>
      <c r="Z22" s="199">
        <f>资产负债!Y21-资产负债!Z21</f>
        <v>-3.0167020843975934E-2</v>
      </c>
      <c r="AA22" s="199">
        <f>资产负债!Z21-资产负债!AA21</f>
        <v>1.5402076892542027E-2</v>
      </c>
      <c r="AB22" s="199">
        <f>资产负债!AA21-资产负债!AB21</f>
        <v>9.6248495564736913E-3</v>
      </c>
      <c r="AC22" s="199">
        <f>资产负债!AB21-资产负债!AC21</f>
        <v>-7.3779204026322986E-3</v>
      </c>
      <c r="AD22" s="199">
        <f>资产负债!AC21-资产负债!AD21</f>
        <v>-3.1295036993981284E-3</v>
      </c>
      <c r="AE22" s="199">
        <f>资产负债!AD21-资产负债!AE21</f>
        <v>3.6298755867392174E-3</v>
      </c>
      <c r="AF22" s="199">
        <f>资产负债!AE21-资产负债!AF21</f>
        <v>6.8682526028851498E-4</v>
      </c>
      <c r="AG22" s="199">
        <f>资产负债!AF21-资产负债!AG21</f>
        <v>-1.5476808137293574E-3</v>
      </c>
      <c r="AH22" s="199">
        <f>资产负债!AG21-资产负债!AH21</f>
        <v>-9.0120916524938366E-5</v>
      </c>
      <c r="AI22" s="199">
        <f>资产负债!AH21-资产负债!AI21</f>
        <v>6.6972477918625373E-4</v>
      </c>
      <c r="AJ22" s="199">
        <f>资产负债!AI21-资产负债!AJ21</f>
        <v>-7.0312922687776336E-5</v>
      </c>
      <c r="AK22" s="199">
        <f>资产负债!AJ21-资产负债!AK21</f>
        <v>-2.5959746845671816E-4</v>
      </c>
      <c r="AL22" s="199">
        <f>资产负债!AK21-资产负债!AL21</f>
        <v>6.2423367893416071E-5</v>
      </c>
      <c r="AM22" s="277"/>
    </row>
    <row r="23" spans="1:43" ht="17.25" customHeight="1" outlineLevel="1">
      <c r="A23" s="234" t="s">
        <v>2828</v>
      </c>
      <c r="D23" s="199">
        <f>资产负债!C22-资产负债!D22</f>
        <v>0</v>
      </c>
      <c r="E23" s="199">
        <f>资产负债!D22-资产负债!E22</f>
        <v>0</v>
      </c>
      <c r="F23" s="199">
        <f>资产负债!E22-资产负债!F22</f>
        <v>0</v>
      </c>
      <c r="G23" s="199">
        <f>资产负债!F22-资产负债!G22</f>
        <v>0</v>
      </c>
      <c r="H23" s="199">
        <f>资产负债!G22-资产负债!H22</f>
        <v>0</v>
      </c>
      <c r="I23" s="199">
        <f>资产负债!H22-资产负债!I22</f>
        <v>0</v>
      </c>
      <c r="J23" s="199">
        <f>资产负债!I22-资产负债!J22</f>
        <v>0</v>
      </c>
      <c r="K23" s="199">
        <f>资产负债!J22-资产负债!K22</f>
        <v>0</v>
      </c>
      <c r="L23" s="199">
        <f>资产负债!K22-资产负债!L22</f>
        <v>0</v>
      </c>
      <c r="M23" s="199">
        <f>资产负债!L22-资产负债!M22</f>
        <v>0</v>
      </c>
      <c r="N23" s="199">
        <f>资产负债!M22-资产负债!N22</f>
        <v>0</v>
      </c>
      <c r="O23" s="199">
        <f>资产负债!N22-资产负债!O22</f>
        <v>0</v>
      </c>
      <c r="P23" s="199">
        <f>资产负债!O22-资产负债!P22</f>
        <v>0</v>
      </c>
      <c r="Q23" s="199">
        <f>资产负债!P22-资产负债!Q22</f>
        <v>0</v>
      </c>
      <c r="R23" s="199">
        <f>资产负债!Q22-资产负债!R22</f>
        <v>0</v>
      </c>
      <c r="S23" s="199">
        <f>资产负债!R22-资产负债!S22</f>
        <v>0</v>
      </c>
      <c r="T23" s="199">
        <f>资产负债!S22-资产负债!T22</f>
        <v>0</v>
      </c>
      <c r="U23" s="199">
        <f>资产负债!T22-资产负债!U22</f>
        <v>0</v>
      </c>
      <c r="V23" s="199">
        <f>资产负债!U22-资产负债!V22</f>
        <v>0</v>
      </c>
      <c r="W23" s="199">
        <f>资产负债!V22-资产负债!W22</f>
        <v>0</v>
      </c>
      <c r="X23" s="199">
        <f>资产负债!W22-资产负债!X22</f>
        <v>0</v>
      </c>
      <c r="Y23" s="199">
        <f>资产负债!X22-资产负债!Y22</f>
        <v>0</v>
      </c>
      <c r="Z23" s="199">
        <f>资产负债!Y22-资产负债!Z22</f>
        <v>0</v>
      </c>
      <c r="AA23" s="199">
        <f>资产负债!Z22-资产负债!AA22</f>
        <v>0</v>
      </c>
      <c r="AB23" s="199">
        <f>资产负债!AA22-资产负债!AB22</f>
        <v>0</v>
      </c>
      <c r="AC23" s="199">
        <f>资产负债!AB22-资产负债!AC22</f>
        <v>0</v>
      </c>
      <c r="AD23" s="199">
        <f>资产负债!AC22-资产负债!AD22</f>
        <v>0</v>
      </c>
      <c r="AE23" s="199">
        <f>资产负债!AD22-资产负债!AE22</f>
        <v>0</v>
      </c>
      <c r="AF23" s="199">
        <f>资产负债!AE22-资产负债!AF22</f>
        <v>0</v>
      </c>
      <c r="AG23" s="199">
        <f>资产负债!AF22-资产负债!AG22</f>
        <v>0</v>
      </c>
      <c r="AH23" s="199">
        <f>资产负债!AG22-资产负债!AH22</f>
        <v>0</v>
      </c>
      <c r="AI23" s="199">
        <f>资产负债!AH22-资产负债!AI22</f>
        <v>0</v>
      </c>
      <c r="AJ23" s="199">
        <f>资产负债!AI22-资产负债!AJ22</f>
        <v>0</v>
      </c>
      <c r="AK23" s="199">
        <f>资产负债!AJ22-资产负债!AK22</f>
        <v>0</v>
      </c>
      <c r="AL23" s="199">
        <f>资产负债!AK22-资产负债!AL22</f>
        <v>0</v>
      </c>
      <c r="AM23" s="277"/>
    </row>
    <row r="24" spans="1:43" ht="17.25" customHeight="1" outlineLevel="1">
      <c r="A24" s="234" t="s">
        <v>183</v>
      </c>
      <c r="D24" s="199">
        <f>资产负债!C23-资产负债!D23</f>
        <v>30</v>
      </c>
      <c r="E24" s="199">
        <f>资产负债!D23-资产负债!E23</f>
        <v>0</v>
      </c>
      <c r="F24" s="199">
        <f>资产负债!E23-资产负债!F23</f>
        <v>0</v>
      </c>
      <c r="G24" s="199">
        <f>资产负债!F23-资产负债!G23</f>
        <v>0</v>
      </c>
      <c r="H24" s="199">
        <f>资产负债!G23-资产负债!H23</f>
        <v>0</v>
      </c>
      <c r="I24" s="199">
        <f>资产负债!H23-资产负债!I23</f>
        <v>0</v>
      </c>
      <c r="J24" s="199">
        <f>资产负债!I23-资产负债!J23</f>
        <v>0</v>
      </c>
      <c r="K24" s="199">
        <f>资产负债!J23-资产负债!K23</f>
        <v>0</v>
      </c>
      <c r="L24" s="199">
        <f>资产负债!K23-资产负债!L23</f>
        <v>0</v>
      </c>
      <c r="M24" s="199">
        <f>资产负债!L23-资产负债!M23</f>
        <v>0</v>
      </c>
      <c r="N24" s="199">
        <f>资产负债!M23-资产负债!N23</f>
        <v>0</v>
      </c>
      <c r="O24" s="199">
        <f>资产负债!N23-资产负债!O23</f>
        <v>0</v>
      </c>
      <c r="P24" s="199">
        <f>资产负债!O23-资产负债!P23</f>
        <v>0</v>
      </c>
      <c r="Q24" s="199">
        <f>资产负债!P23-资产负债!Q23</f>
        <v>0</v>
      </c>
      <c r="R24" s="199">
        <f>资产负债!Q23-资产负债!R23</f>
        <v>0</v>
      </c>
      <c r="S24" s="199">
        <f>资产负债!R23-资产负债!S23</f>
        <v>0</v>
      </c>
      <c r="T24" s="199">
        <f>资产负债!S23-资产负债!T23</f>
        <v>0</v>
      </c>
      <c r="U24" s="199">
        <f>资产负债!T23-资产负债!U23</f>
        <v>0</v>
      </c>
      <c r="V24" s="199">
        <f>资产负债!U23-资产负债!V23</f>
        <v>0</v>
      </c>
      <c r="W24" s="199">
        <f>资产负债!V23-资产负债!W23</f>
        <v>0</v>
      </c>
      <c r="X24" s="199">
        <f>资产负债!W23-资产负债!X23</f>
        <v>0</v>
      </c>
      <c r="Y24" s="199">
        <f>资产负债!X23-资产负债!Y23</f>
        <v>0</v>
      </c>
      <c r="Z24" s="199">
        <f>资产负债!Y23-资产负债!Z23</f>
        <v>0</v>
      </c>
      <c r="AA24" s="199">
        <f>资产负债!Z23-资产负债!AA23</f>
        <v>0</v>
      </c>
      <c r="AB24" s="199">
        <f>资产负债!AA23-资产负债!AB23</f>
        <v>0</v>
      </c>
      <c r="AC24" s="199">
        <f>资产负债!AB23-资产负债!AC23</f>
        <v>0</v>
      </c>
      <c r="AD24" s="199">
        <f>资产负债!AC23-资产负债!AD23</f>
        <v>0</v>
      </c>
      <c r="AE24" s="199">
        <f>资产负债!AD23-资产负债!AE23</f>
        <v>0</v>
      </c>
      <c r="AF24" s="199">
        <f>资产负债!AE23-资产负债!AF23</f>
        <v>0</v>
      </c>
      <c r="AG24" s="199">
        <f>资产负债!AF23-资产负债!AG23</f>
        <v>0</v>
      </c>
      <c r="AH24" s="199">
        <f>资产负债!AG23-资产负债!AH23</f>
        <v>0</v>
      </c>
      <c r="AI24" s="199">
        <f>资产负债!AH23-资产负债!AI23</f>
        <v>0</v>
      </c>
      <c r="AJ24" s="199">
        <f>资产负债!AI23-资产负债!AJ23</f>
        <v>0</v>
      </c>
      <c r="AK24" s="199">
        <f>资产负债!AJ23-资产负债!AK23</f>
        <v>0</v>
      </c>
      <c r="AL24" s="199">
        <f>资产负债!AK23-资产负债!AL23</f>
        <v>0</v>
      </c>
      <c r="AM24" s="277"/>
    </row>
    <row r="25" spans="1:43" ht="17.25" customHeight="1" outlineLevel="1">
      <c r="A25" s="234" t="s">
        <v>2829</v>
      </c>
      <c r="D25" s="199">
        <f>资产负债!C24-资产负债!D24</f>
        <v>-89.58</v>
      </c>
      <c r="E25" s="199">
        <f>资产负债!D24-资产负债!E24</f>
        <v>71.464020869999999</v>
      </c>
      <c r="F25" s="199">
        <f>资产负债!E24-资产负债!F24</f>
        <v>-14.089071089999997</v>
      </c>
      <c r="G25" s="199">
        <f>资产负债!F24-资产负债!G24</f>
        <v>12.595804099999995</v>
      </c>
      <c r="H25" s="199">
        <f>资产负债!G24-资产负债!H24</f>
        <v>19.609246120000002</v>
      </c>
      <c r="I25" s="199">
        <f>资产负债!H24-资产负债!I24</f>
        <v>0</v>
      </c>
      <c r="J25" s="199">
        <f>资产负债!I24-资产负债!J24</f>
        <v>0</v>
      </c>
      <c r="K25" s="199">
        <f>资产负债!J24-资产负债!K24</f>
        <v>0</v>
      </c>
      <c r="L25" s="199">
        <f>资产负债!K24-资产负债!L24</f>
        <v>0</v>
      </c>
      <c r="M25" s="199">
        <f>资产负债!L24-资产负债!M24</f>
        <v>0</v>
      </c>
      <c r="N25" s="199">
        <f>资产负债!M24-资产负债!N24</f>
        <v>0</v>
      </c>
      <c r="O25" s="199">
        <f>资产负债!N24-资产负债!O24</f>
        <v>0</v>
      </c>
      <c r="P25" s="199">
        <f>资产负债!O24-资产负债!P24</f>
        <v>0</v>
      </c>
      <c r="Q25" s="199">
        <f>资产负债!P24-资产负债!Q24</f>
        <v>0</v>
      </c>
      <c r="R25" s="199">
        <f>资产负债!Q24-资产负债!R24</f>
        <v>0</v>
      </c>
      <c r="S25" s="199">
        <f>资产负债!R24-资产负债!S24</f>
        <v>0</v>
      </c>
      <c r="T25" s="199">
        <f>资产负债!S24-资产负债!T24</f>
        <v>0</v>
      </c>
      <c r="U25" s="199">
        <f>资产负债!T24-资产负债!U24</f>
        <v>0</v>
      </c>
      <c r="V25" s="199">
        <f>资产负债!U24-资产负债!V24</f>
        <v>0</v>
      </c>
      <c r="W25" s="199">
        <f>资产负债!V24-资产负债!W24</f>
        <v>0</v>
      </c>
      <c r="X25" s="199">
        <f>资产负债!W24-资产负债!X24</f>
        <v>0</v>
      </c>
      <c r="Y25" s="199">
        <f>资产负债!X24-资产负债!Y24</f>
        <v>0</v>
      </c>
      <c r="Z25" s="199">
        <f>资产负债!Y24-资产负债!Z24</f>
        <v>0</v>
      </c>
      <c r="AA25" s="199">
        <f>资产负债!Z24-资产负债!AA24</f>
        <v>0</v>
      </c>
      <c r="AB25" s="199">
        <f>资产负债!AA24-资产负债!AB24</f>
        <v>0</v>
      </c>
      <c r="AC25" s="199">
        <f>资产负债!AB24-资产负债!AC24</f>
        <v>0</v>
      </c>
      <c r="AD25" s="199">
        <f>资产负债!AC24-资产负债!AD24</f>
        <v>0</v>
      </c>
      <c r="AE25" s="199">
        <f>资产负债!AD24-资产负债!AE24</f>
        <v>0</v>
      </c>
      <c r="AF25" s="199">
        <f>资产负债!AE24-资产负债!AF24</f>
        <v>0</v>
      </c>
      <c r="AG25" s="199">
        <f>资产负债!AF24-资产负债!AG24</f>
        <v>0</v>
      </c>
      <c r="AH25" s="199">
        <f>资产负债!AG24-资产负债!AH24</f>
        <v>0</v>
      </c>
      <c r="AI25" s="199">
        <f>资产负债!AH24-资产负债!AI24</f>
        <v>0</v>
      </c>
      <c r="AJ25" s="199">
        <f>资产负债!AI24-资产负债!AJ24</f>
        <v>0</v>
      </c>
      <c r="AK25" s="199">
        <f>资产负债!AJ24-资产负债!AK24</f>
        <v>0</v>
      </c>
      <c r="AL25" s="199">
        <f>资产负债!AK24-资产负债!AL24</f>
        <v>0</v>
      </c>
      <c r="AM25" s="277"/>
    </row>
    <row r="26" spans="1:43" ht="17.25" customHeight="1" outlineLevel="1">
      <c r="A26" s="234" t="s">
        <v>184</v>
      </c>
      <c r="D26" s="199">
        <f>资产负债!C25-资产负债!D25</f>
        <v>0</v>
      </c>
      <c r="E26" s="199">
        <f>资产负债!D25-资产负债!E25</f>
        <v>0</v>
      </c>
      <c r="F26" s="199">
        <f>资产负债!E25-资产负债!F25</f>
        <v>0</v>
      </c>
      <c r="G26" s="199">
        <f>资产负债!F25-资产负债!G25</f>
        <v>0</v>
      </c>
      <c r="H26" s="199">
        <f>资产负债!G25-资产负债!H25</f>
        <v>0</v>
      </c>
      <c r="I26" s="199">
        <f>资产负债!H25-资产负债!I25</f>
        <v>0</v>
      </c>
      <c r="J26" s="199">
        <f>资产负债!I25-资产负债!J25</f>
        <v>0</v>
      </c>
      <c r="K26" s="199">
        <f>资产负债!J25-资产负债!K25</f>
        <v>0</v>
      </c>
      <c r="L26" s="199">
        <f>资产负债!K25-资产负债!L25</f>
        <v>0</v>
      </c>
      <c r="M26" s="199">
        <f>资产负债!L25-资产负债!M25</f>
        <v>0</v>
      </c>
      <c r="N26" s="199">
        <f>资产负债!M25-资产负债!N25</f>
        <v>0</v>
      </c>
      <c r="O26" s="199">
        <f>资产负债!N25-资产负债!O25</f>
        <v>0</v>
      </c>
      <c r="P26" s="199">
        <f>资产负债!O25-资产负债!P25</f>
        <v>0</v>
      </c>
      <c r="Q26" s="199">
        <f>资产负债!P25-资产负债!Q25</f>
        <v>0</v>
      </c>
      <c r="R26" s="199">
        <f>资产负债!Q25-资产负债!R25</f>
        <v>0</v>
      </c>
      <c r="S26" s="199">
        <f>资产负债!R25-资产负债!S25</f>
        <v>0</v>
      </c>
      <c r="T26" s="199">
        <f>资产负债!S25-资产负债!T25</f>
        <v>0</v>
      </c>
      <c r="U26" s="199">
        <f>资产负债!T25-资产负债!U25</f>
        <v>0</v>
      </c>
      <c r="V26" s="199">
        <f>资产负债!U25-资产负债!V25</f>
        <v>0</v>
      </c>
      <c r="W26" s="199">
        <f>资产负债!V25-资产负债!W25</f>
        <v>0</v>
      </c>
      <c r="X26" s="199">
        <f>资产负债!W25-资产负债!X25</f>
        <v>0</v>
      </c>
      <c r="Y26" s="199">
        <f>资产负债!X25-资产负债!Y25</f>
        <v>0</v>
      </c>
      <c r="Z26" s="199">
        <f>资产负债!Y25-资产负债!Z25</f>
        <v>0</v>
      </c>
      <c r="AA26" s="199">
        <f>资产负债!Z25-资产负债!AA25</f>
        <v>0</v>
      </c>
      <c r="AB26" s="199">
        <f>资产负债!AA25-资产负债!AB25</f>
        <v>0</v>
      </c>
      <c r="AC26" s="199">
        <f>资产负债!AB25-资产负债!AC25</f>
        <v>0</v>
      </c>
      <c r="AD26" s="199">
        <f>资产负债!AC25-资产负债!AD25</f>
        <v>0</v>
      </c>
      <c r="AE26" s="199">
        <f>资产负债!AD25-资产负债!AE25</f>
        <v>0</v>
      </c>
      <c r="AF26" s="199">
        <f>资产负债!AE25-资产负债!AF25</f>
        <v>0</v>
      </c>
      <c r="AG26" s="199">
        <f>资产负债!AF25-资产负债!AG25</f>
        <v>0</v>
      </c>
      <c r="AH26" s="199">
        <f>资产负债!AG25-资产负债!AH25</f>
        <v>0</v>
      </c>
      <c r="AI26" s="199">
        <f>资产负债!AH25-资产负债!AI25</f>
        <v>0</v>
      </c>
      <c r="AJ26" s="199">
        <f>资产负债!AI25-资产负债!AJ25</f>
        <v>0</v>
      </c>
      <c r="AK26" s="199">
        <f>资产负债!AJ25-资产负债!AK25</f>
        <v>0</v>
      </c>
      <c r="AL26" s="199">
        <f>资产负债!AK25-资产负债!AL25</f>
        <v>0</v>
      </c>
      <c r="AM26" s="277"/>
    </row>
    <row r="27" spans="1:43" ht="17.25" customHeight="1" outlineLevel="1">
      <c r="A27" s="234" t="s">
        <v>2830</v>
      </c>
      <c r="D27" s="199">
        <f>资产负债!C26-资产负债!D26</f>
        <v>0</v>
      </c>
      <c r="E27" s="199">
        <f>资产负债!D26-资产负债!E26</f>
        <v>0</v>
      </c>
      <c r="F27" s="199">
        <f>资产负债!E26-资产负债!F26</f>
        <v>0</v>
      </c>
      <c r="G27" s="199">
        <f>资产负债!F26-资产负债!G26</f>
        <v>0</v>
      </c>
      <c r="H27" s="199">
        <f>资产负债!G26-资产负债!H26</f>
        <v>0</v>
      </c>
      <c r="I27" s="199">
        <f>资产负债!H26-资产负债!I26</f>
        <v>0</v>
      </c>
      <c r="J27" s="199">
        <f>资产负债!I26-资产负债!J26</f>
        <v>0</v>
      </c>
      <c r="K27" s="199">
        <f>资产负债!J26-资产负债!K26</f>
        <v>0</v>
      </c>
      <c r="L27" s="199">
        <f>资产负债!K26-资产负债!L26</f>
        <v>0</v>
      </c>
      <c r="M27" s="199">
        <f>资产负债!L26-资产负债!M26</f>
        <v>0</v>
      </c>
      <c r="N27" s="199">
        <f>资产负债!M26-资产负债!N26</f>
        <v>0</v>
      </c>
      <c r="O27" s="199">
        <f>资产负债!N26-资产负债!O26</f>
        <v>0</v>
      </c>
      <c r="P27" s="199">
        <f>资产负债!O26-资产负债!P26</f>
        <v>0</v>
      </c>
      <c r="Q27" s="199">
        <f>资产负债!P26-资产负债!Q26</f>
        <v>0</v>
      </c>
      <c r="R27" s="199">
        <f>资产负债!Q26-资产负债!R26</f>
        <v>0</v>
      </c>
      <c r="S27" s="199">
        <f>资产负债!R26-资产负债!S26</f>
        <v>0</v>
      </c>
      <c r="T27" s="199">
        <f>资产负债!S26-资产负债!T26</f>
        <v>0</v>
      </c>
      <c r="U27" s="199">
        <f>资产负债!T26-资产负债!U26</f>
        <v>0</v>
      </c>
      <c r="V27" s="199">
        <f>资产负债!U26-资产负债!V26</f>
        <v>0</v>
      </c>
      <c r="W27" s="199">
        <f>资产负债!V26-资产负债!W26</f>
        <v>0</v>
      </c>
      <c r="X27" s="199">
        <f>资产负债!W26-资产负债!X26</f>
        <v>0</v>
      </c>
      <c r="Y27" s="199">
        <f>资产负债!X26-资产负债!Y26</f>
        <v>0</v>
      </c>
      <c r="Z27" s="199">
        <f>资产负债!Y26-资产负债!Z26</f>
        <v>0</v>
      </c>
      <c r="AA27" s="199">
        <f>资产负债!Z26-资产负债!AA26</f>
        <v>0</v>
      </c>
      <c r="AB27" s="199">
        <f>资产负债!AA26-资产负债!AB26</f>
        <v>0</v>
      </c>
      <c r="AC27" s="199">
        <f>资产负债!AB26-资产负债!AC26</f>
        <v>0</v>
      </c>
      <c r="AD27" s="199">
        <f>资产负债!AC26-资产负债!AD26</f>
        <v>0</v>
      </c>
      <c r="AE27" s="199">
        <f>资产负债!AD26-资产负债!AE26</f>
        <v>0</v>
      </c>
      <c r="AF27" s="199">
        <f>资产负债!AE26-资产负债!AF26</f>
        <v>0</v>
      </c>
      <c r="AG27" s="199">
        <f>资产负债!AF26-资产负债!AG26</f>
        <v>0</v>
      </c>
      <c r="AH27" s="199">
        <f>资产负债!AG26-资产负债!AH26</f>
        <v>0</v>
      </c>
      <c r="AI27" s="199">
        <f>资产负债!AH26-资产负债!AI26</f>
        <v>0</v>
      </c>
      <c r="AJ27" s="199">
        <f>资产负债!AI26-资产负债!AJ26</f>
        <v>0</v>
      </c>
      <c r="AK27" s="199">
        <f>资产负债!AJ26-资产负债!AK26</f>
        <v>0</v>
      </c>
      <c r="AL27" s="199">
        <f>资产负债!AK26-资产负债!AL26</f>
        <v>0</v>
      </c>
      <c r="AM27" s="277"/>
    </row>
    <row r="28" spans="1:43" ht="17.25" customHeight="1" outlineLevel="1">
      <c r="A28" s="234" t="s">
        <v>185</v>
      </c>
      <c r="D28" s="199">
        <f>资产负债!C27-资产负债!D27</f>
        <v>0</v>
      </c>
      <c r="E28" s="199">
        <f>资产负债!D27-资产负债!E27</f>
        <v>0</v>
      </c>
      <c r="F28" s="199">
        <f>资产负债!E27-资产负债!F27</f>
        <v>0</v>
      </c>
      <c r="G28" s="199">
        <f>资产负债!F27-资产负债!G27</f>
        <v>0</v>
      </c>
      <c r="H28" s="199">
        <f>资产负债!G27-资产负债!H27</f>
        <v>-101.52110451</v>
      </c>
      <c r="I28" s="199">
        <f>资产负债!H27-资产负债!I27</f>
        <v>76.140828382500004</v>
      </c>
      <c r="J28" s="199">
        <f>资产负债!I27-资产负债!J27</f>
        <v>-6.3450690318749992</v>
      </c>
      <c r="K28" s="199">
        <f>资产负债!J27-资产负债!K27</f>
        <v>-7.9313362898437525</v>
      </c>
      <c r="L28" s="199">
        <f>资产负债!K27-资产负债!L27</f>
        <v>-9.914170362304688</v>
      </c>
      <c r="M28" s="199">
        <f>资产负债!L27-资产负债!M27</f>
        <v>12.98756317461914</v>
      </c>
      <c r="N28" s="199">
        <f>资产负债!M27-资产负债!N27</f>
        <v>-2.8007531273510722</v>
      </c>
      <c r="O28" s="199">
        <f>资产负债!N27-资产负债!O27</f>
        <v>-1.9146741512200975</v>
      </c>
      <c r="P28" s="199">
        <f>资产负债!O27-资产负债!P27</f>
        <v>-0.41050861656417226</v>
      </c>
      <c r="Q28" s="199">
        <f>资产负债!P27-资产负债!Q27</f>
        <v>1.9654068198709496</v>
      </c>
      <c r="R28" s="199">
        <f>资产负债!Q27-资产负债!R27</f>
        <v>-0.79013226881610166</v>
      </c>
      <c r="S28" s="199">
        <f>资产负债!R27-资产负债!S27</f>
        <v>-0.2874770541823537</v>
      </c>
      <c r="T28" s="199">
        <f>资产负债!S27-资产负债!T27</f>
        <v>0.11932222007708049</v>
      </c>
      <c r="U28" s="199">
        <f>资产负债!T27-资产负债!U27</f>
        <v>0.25177992923739367</v>
      </c>
      <c r="V28" s="199">
        <f>资产负债!U27-资产负债!V27</f>
        <v>-0.17662679342100063</v>
      </c>
      <c r="W28" s="199">
        <f>资产负债!V27-资产负债!W27</f>
        <v>-2.3250424572211159E-2</v>
      </c>
      <c r="X28" s="199">
        <f>资产负债!W27-资产负债!X27</f>
        <v>4.2806232830315594E-2</v>
      </c>
      <c r="Y28" s="199">
        <f>资产负债!X27-资产负债!Y27</f>
        <v>2.3677236018620818E-2</v>
      </c>
      <c r="Z28" s="199">
        <f>资产负债!Y27-资产负债!Z27</f>
        <v>-3.3348437286072397E-2</v>
      </c>
      <c r="AA28" s="199">
        <f>资产负债!Z27-资产负债!AA27</f>
        <v>2.4711517476632139E-3</v>
      </c>
      <c r="AB28" s="199">
        <f>资产负债!AA27-资产负债!AB27</f>
        <v>8.9015458276335835E-3</v>
      </c>
      <c r="AC28" s="199">
        <f>资产负债!AB27-资产负债!AC27</f>
        <v>4.2537407696130458E-4</v>
      </c>
      <c r="AD28" s="199">
        <f>资产负债!AC27-资产负债!AD27</f>
        <v>-5.3875914084500209E-3</v>
      </c>
      <c r="AE28" s="199">
        <f>资产负债!AD27-资产负债!AE27</f>
        <v>1.6026200609502439E-3</v>
      </c>
      <c r="AF28" s="199">
        <f>资产负债!AE27-资产负债!AF27</f>
        <v>1.3854871392737778E-3</v>
      </c>
      <c r="AG28" s="199">
        <f>资产负债!AF27-资产负债!AG27</f>
        <v>-4.9352753281795003E-4</v>
      </c>
      <c r="AH28" s="199">
        <f>资产负债!AG27-资产负债!AH27</f>
        <v>-7.2325293525921097E-4</v>
      </c>
      <c r="AI28" s="199">
        <f>资产负债!AH27-资产负债!AI27</f>
        <v>4.4283168303849152E-4</v>
      </c>
      <c r="AJ28" s="199">
        <f>资产负债!AI27-资产负债!AJ27</f>
        <v>1.5288458855877707E-4</v>
      </c>
      <c r="AK28" s="199">
        <f>资产负债!AJ27-资产负债!AK27</f>
        <v>-1.5526604912707853E-4</v>
      </c>
      <c r="AL28" s="199">
        <f>资产负债!AK27-资产负债!AL27</f>
        <v>-7.0700678193702515E-5</v>
      </c>
      <c r="AM28" s="277"/>
    </row>
    <row r="29" spans="1:43" ht="17.25" customHeight="1" outlineLevel="1">
      <c r="A29" s="234" t="s">
        <v>186</v>
      </c>
      <c r="D29" s="199">
        <f>资产负债!C28-资产负债!D28</f>
        <v>0</v>
      </c>
      <c r="E29" s="199">
        <f>资产负债!D28-资产负债!E28</f>
        <v>0</v>
      </c>
      <c r="F29" s="199">
        <f>资产负债!E28-资产负债!F28</f>
        <v>0</v>
      </c>
      <c r="G29" s="199">
        <f>资产负债!F28-资产负债!G28</f>
        <v>0</v>
      </c>
      <c r="H29" s="199">
        <f>资产负债!G28-资产负债!H28</f>
        <v>0</v>
      </c>
      <c r="I29" s="199">
        <f>资产负债!H28-资产负债!I28</f>
        <v>0</v>
      </c>
      <c r="J29" s="199">
        <f>资产负债!I28-资产负债!J28</f>
        <v>0</v>
      </c>
      <c r="K29" s="199">
        <f>资产负债!J28-资产负债!K28</f>
        <v>0</v>
      </c>
      <c r="L29" s="199">
        <f>资产负债!K28-资产负债!L28</f>
        <v>0</v>
      </c>
      <c r="M29" s="199">
        <f>资产负债!L28-资产负债!M28</f>
        <v>0</v>
      </c>
      <c r="N29" s="199">
        <f>资产负债!M28-资产负债!N28</f>
        <v>0</v>
      </c>
      <c r="O29" s="199">
        <f>资产负债!N28-资产负债!O28</f>
        <v>0</v>
      </c>
      <c r="P29" s="199">
        <f>资产负债!O28-资产负债!P28</f>
        <v>0</v>
      </c>
      <c r="Q29" s="199">
        <f>资产负债!P28-资产负债!Q28</f>
        <v>0</v>
      </c>
      <c r="R29" s="199">
        <f>资产负债!Q28-资产负债!R28</f>
        <v>0</v>
      </c>
      <c r="S29" s="199">
        <f>资产负债!R28-资产负债!S28</f>
        <v>0</v>
      </c>
      <c r="T29" s="199">
        <f>资产负债!S28-资产负债!T28</f>
        <v>0</v>
      </c>
      <c r="U29" s="199">
        <f>资产负债!T28-资产负债!U28</f>
        <v>0</v>
      </c>
      <c r="V29" s="199">
        <f>资产负债!U28-资产负债!V28</f>
        <v>0</v>
      </c>
      <c r="W29" s="199">
        <f>资产负债!V28-资产负债!W28</f>
        <v>0</v>
      </c>
      <c r="X29" s="199">
        <f>资产负债!W28-资产负债!X28</f>
        <v>0</v>
      </c>
      <c r="Y29" s="199">
        <f>资产负债!X28-资产负债!Y28</f>
        <v>0</v>
      </c>
      <c r="Z29" s="199">
        <f>资产负债!Y28-资产负债!Z28</f>
        <v>0</v>
      </c>
      <c r="AA29" s="199">
        <f>资产负债!Z28-资产负债!AA28</f>
        <v>0</v>
      </c>
      <c r="AB29" s="199">
        <f>资产负债!AA28-资产负债!AB28</f>
        <v>0</v>
      </c>
      <c r="AC29" s="199">
        <f>资产负债!AB28-资产负债!AC28</f>
        <v>0</v>
      </c>
      <c r="AD29" s="199">
        <f>资产负债!AC28-资产负债!AD28</f>
        <v>0</v>
      </c>
      <c r="AE29" s="199">
        <f>资产负债!AD28-资产负债!AE28</f>
        <v>0</v>
      </c>
      <c r="AF29" s="199">
        <f>资产负债!AE28-资产负债!AF28</f>
        <v>0</v>
      </c>
      <c r="AG29" s="199">
        <f>资产负债!AF28-资产负债!AG28</f>
        <v>0</v>
      </c>
      <c r="AH29" s="199">
        <f>资产负债!AG28-资产负债!AH28</f>
        <v>0</v>
      </c>
      <c r="AI29" s="199">
        <f>资产负债!AH28-资产负债!AI28</f>
        <v>0</v>
      </c>
      <c r="AJ29" s="199">
        <f>资产负债!AI28-资产负债!AJ28</f>
        <v>0</v>
      </c>
      <c r="AK29" s="199">
        <f>资产负债!AJ28-资产负债!AK28</f>
        <v>0</v>
      </c>
      <c r="AL29" s="199">
        <f>资产负债!AK28-资产负债!AL28</f>
        <v>0</v>
      </c>
      <c r="AM29" s="367"/>
      <c r="AN29" s="123"/>
      <c r="AO29" s="123"/>
    </row>
    <row r="30" spans="1:43" ht="17.25" customHeight="1" outlineLevel="1">
      <c r="A30" s="234" t="s">
        <v>2443</v>
      </c>
      <c r="D30" s="199">
        <f>资产负债!C30-资产负债!D30</f>
        <v>-185.62103268999999</v>
      </c>
      <c r="E30" s="199">
        <f>资产负债!D30-资产负债!E30</f>
        <v>-193.48807083999998</v>
      </c>
      <c r="F30" s="199">
        <f>资产负债!E30-资产负债!F30</f>
        <v>-586.57251322000025</v>
      </c>
      <c r="G30" s="199">
        <f>资产负债!F30-资产负债!G30</f>
        <v>-370.96761102999972</v>
      </c>
      <c r="H30" s="199">
        <f>资产负债!G30-资产负债!H30</f>
        <v>-272.05554497000003</v>
      </c>
      <c r="I30" s="199">
        <f ca="1">资产负债!H30-资产负债!I30</f>
        <v>-38.591328935239062</v>
      </c>
      <c r="J30" s="199">
        <f ca="1">资产负债!I30-资产负债!J30</f>
        <v>-161.60739852747975</v>
      </c>
      <c r="K30" s="199">
        <f ca="1">资产负债!J30-资产负债!K30</f>
        <v>-215.03590707506601</v>
      </c>
      <c r="L30" s="199">
        <f ca="1">资产负债!K30-资产负债!L30</f>
        <v>-161.82824147873316</v>
      </c>
      <c r="M30" s="199">
        <f ca="1">资产负债!L30-资产负债!M30</f>
        <v>-112.76856668072469</v>
      </c>
      <c r="N30" s="199">
        <f ca="1">资产负债!M30-资产负债!N30</f>
        <v>-183.00087046923363</v>
      </c>
      <c r="O30" s="199">
        <f ca="1">资产负债!N30-资产负债!O30</f>
        <v>-235.9346475936477</v>
      </c>
      <c r="P30" s="199">
        <f ca="1">资产负债!O30-资产负债!P30</f>
        <v>-254.66060886411697</v>
      </c>
      <c r="Q30" s="199">
        <f ca="1">资产负债!P30-资产负债!Q30</f>
        <v>-258.85120016562769</v>
      </c>
      <c r="R30" s="199">
        <f ca="1">资产负债!Q30-资产负债!R30</f>
        <v>-286.98008310052273</v>
      </c>
      <c r="S30" s="199">
        <f ca="1">资产负债!R30-资产负债!S30</f>
        <v>-344.19089550245326</v>
      </c>
      <c r="T30" s="199">
        <f ca="1">资产负债!S30-资产负债!T30</f>
        <v>-392.73865806036156</v>
      </c>
      <c r="U30" s="199">
        <f ca="1">资产负债!T30-资产负债!U30</f>
        <v>-435.89193350869846</v>
      </c>
      <c r="V30" s="199">
        <f ca="1">资产负债!U30-资产负债!V30</f>
        <v>-642.14017458077888</v>
      </c>
      <c r="W30" s="199">
        <f ca="1">资产负债!V30-资产负债!W30</f>
        <v>-732.65765324588301</v>
      </c>
      <c r="X30" s="199">
        <f ca="1">资产负债!W30-资产负债!X30</f>
        <v>-840.74533846062604</v>
      </c>
      <c r="Y30" s="199">
        <f ca="1">资产负债!X30-资产负债!Y30</f>
        <v>-950.80234698152708</v>
      </c>
      <c r="Z30" s="199">
        <f ca="1">资产负债!Y30-资产负债!Z30</f>
        <v>-1067.8937603036593</v>
      </c>
      <c r="AA30" s="199">
        <f ca="1">资产负债!Z30-资产负债!AA30</f>
        <v>-1206.2293086398768</v>
      </c>
      <c r="AB30" s="199">
        <f ca="1">资产负债!AA30-资产负债!AB30</f>
        <v>-1367.0458196842683</v>
      </c>
      <c r="AC30" s="199">
        <f ca="1">资产负债!AB30-资产负债!AC30</f>
        <v>-1547.3960287183363</v>
      </c>
      <c r="AD30" s="199">
        <f ca="1">资产负债!AC30-资产负债!AD30</f>
        <v>-1747.091033372184</v>
      </c>
      <c r="AE30" s="199">
        <f ca="1">资产负债!AD30-资产负债!AE30</f>
        <v>-1972.2750858330946</v>
      </c>
      <c r="AF30" s="199">
        <f ca="1">资产负债!AE30-资产负债!AF30</f>
        <v>-2229.0164035289745</v>
      </c>
      <c r="AG30" s="199">
        <f ca="1">资产负债!AF30-资产负债!AG30</f>
        <v>-2519.7267261963752</v>
      </c>
      <c r="AH30" s="199">
        <f ca="1">资产负债!AG30-资产负债!AH30</f>
        <v>-2847.0948072556093</v>
      </c>
      <c r="AI30" s="199">
        <f ca="1">资产负债!AH30-资产负债!AI30</f>
        <v>-3216.0292057594779</v>
      </c>
      <c r="AJ30" s="199">
        <f ca="1">资产负债!AI30-资产负债!AJ30</f>
        <v>-3633.2625814377971</v>
      </c>
      <c r="AK30" s="199">
        <f ca="1">资产负债!AJ30-资产负债!AK30</f>
        <v>-4105.3584557994909</v>
      </c>
      <c r="AL30" s="199">
        <f ca="1">资产负债!AK30-资产负债!AL30</f>
        <v>-4638.689609749279</v>
      </c>
      <c r="AM30" s="367"/>
      <c r="AN30" s="367"/>
      <c r="AO30" s="367"/>
      <c r="AP30" s="277"/>
      <c r="AQ30" s="277"/>
    </row>
    <row r="31" spans="1:43" ht="17.25" customHeight="1" outlineLevel="1">
      <c r="A31" s="234" t="s">
        <v>188</v>
      </c>
      <c r="D31" s="199">
        <f>资产负债!C31-资产负债!D31</f>
        <v>-109.04559468999997</v>
      </c>
      <c r="E31" s="199">
        <f>资产负债!D31-资产负债!E31</f>
        <v>-186.18780458000003</v>
      </c>
      <c r="F31" s="199">
        <f>资产负债!E31-资产负债!F31</f>
        <v>135.06260462</v>
      </c>
      <c r="G31" s="199">
        <f>资产负债!F31-资产负债!G31</f>
        <v>102.87394910000006</v>
      </c>
      <c r="H31" s="199">
        <f>资产负债!G31-资产负债!H31</f>
        <v>107.34363406999998</v>
      </c>
      <c r="I31" s="199">
        <f ca="1">资产负债!H31-资产负债!I31</f>
        <v>-21.776301558004462</v>
      </c>
      <c r="J31" s="199">
        <f ca="1">资产负债!I31-资产负债!J31</f>
        <v>-38.645871191724609</v>
      </c>
      <c r="K31" s="199">
        <f ca="1">资产负债!J31-资产负债!K31</f>
        <v>-28.29920410883139</v>
      </c>
      <c r="L31" s="199">
        <f ca="1">资产负债!K31-资产负债!L31</f>
        <v>-11.949603210943877</v>
      </c>
      <c r="M31" s="199">
        <f ca="1">资产负债!L31-资产负债!M31</f>
        <v>-4.388605266085392</v>
      </c>
      <c r="N31" s="199">
        <f ca="1">资产负债!M31-资产负债!N31</f>
        <v>-27.466813671950717</v>
      </c>
      <c r="O31" s="199">
        <f ca="1">资产负债!N31-资产负债!O31</f>
        <v>-32.895667049279723</v>
      </c>
      <c r="P31" s="199">
        <f ca="1">资产负债!O31-资产负债!P31</f>
        <v>-32.983867019317756</v>
      </c>
      <c r="Q31" s="199">
        <f ca="1">资产负债!P31-资产负债!Q31</f>
        <v>-34.862421910743421</v>
      </c>
      <c r="R31" s="199">
        <f ca="1">资产负债!Q31-资产负债!R31</f>
        <v>-42.544852264759129</v>
      </c>
      <c r="S31" s="199">
        <f ca="1">资产负债!R31-资产负债!S31</f>
        <v>-54.691587755746582</v>
      </c>
      <c r="T31" s="199">
        <f ca="1">资产负债!S31-资产负债!T31</f>
        <v>-60.826517145464209</v>
      </c>
      <c r="U31" s="199">
        <f ca="1">资产负债!T31-资产负债!U31</f>
        <v>-67.287371221578837</v>
      </c>
      <c r="V31" s="199">
        <f ca="1">资产负债!U31-资产负债!V31</f>
        <v>-76.772738477048847</v>
      </c>
      <c r="W31" s="199">
        <f ca="1">资产负债!V31-资产负债!W31</f>
        <v>-89.301211442983458</v>
      </c>
      <c r="X31" s="199">
        <f ca="1">资产负债!W31-资产负债!X31</f>
        <v>-102.70062275307191</v>
      </c>
      <c r="Y31" s="199">
        <f ca="1">资产负债!X31-资产负债!Y31</f>
        <v>-115.49451242520229</v>
      </c>
      <c r="Z31" s="199">
        <f ca="1">资产负债!Y31-资产负债!Z31</f>
        <v>-130.02011924648605</v>
      </c>
      <c r="AA31" s="199">
        <f ca="1">资产负债!Z31-资产负债!AA31</f>
        <v>-146.98917050833347</v>
      </c>
      <c r="AB31" s="199">
        <f ca="1">资产负债!AA31-资产负债!AB31</f>
        <v>-166.39507521780979</v>
      </c>
      <c r="AC31" s="199">
        <f ca="1">资产负债!AB31-资产负债!AC31</f>
        <v>-187.97991571442503</v>
      </c>
      <c r="AD31" s="199">
        <f ca="1">资产负债!AC31-资产负债!AD31</f>
        <v>-212.00442638100822</v>
      </c>
      <c r="AE31" s="199">
        <f ca="1">资产负债!AD31-资产负债!AE31</f>
        <v>-239.42013407030254</v>
      </c>
      <c r="AF31" s="199">
        <f ca="1">资产负债!AE31-资产负债!AF31</f>
        <v>-270.59770051398891</v>
      </c>
      <c r="AG31" s="199">
        <f ca="1">资产负债!AF31-资产负债!AG31</f>
        <v>-305.80349613563703</v>
      </c>
      <c r="AH31" s="199">
        <f ca="1">资产负债!AG31-资产负债!AH31</f>
        <v>-345.43834654793136</v>
      </c>
      <c r="AI31" s="199">
        <f ca="1">资产负债!AH31-资产负债!AI31</f>
        <v>-390.18877665808077</v>
      </c>
      <c r="AJ31" s="199">
        <f ca="1">资产负债!AI31-资产负债!AJ31</f>
        <v>-440.86568277293918</v>
      </c>
      <c r="AK31" s="199">
        <f ca="1">资产负债!AJ31-资产负债!AK31</f>
        <v>-498.1485462319979</v>
      </c>
      <c r="AL31" s="199">
        <f ca="1">资产负债!AK31-资产负债!AL31</f>
        <v>-562.83980708235595</v>
      </c>
      <c r="AM31" s="367"/>
      <c r="AN31" s="367"/>
      <c r="AO31" s="367"/>
      <c r="AP31" s="277"/>
      <c r="AQ31" s="277"/>
    </row>
    <row r="32" spans="1:43" ht="17.25" customHeight="1" outlineLevel="1">
      <c r="A32" s="234" t="s">
        <v>2831</v>
      </c>
      <c r="D32" s="199">
        <f>资产负债!C32-资产负债!D32</f>
        <v>0</v>
      </c>
      <c r="E32" s="199">
        <f>资产负债!D32-资产负债!E32</f>
        <v>0</v>
      </c>
      <c r="F32" s="199">
        <f>资产负债!E32-资产负债!F32</f>
        <v>-18.577870539999999</v>
      </c>
      <c r="G32" s="199">
        <f>资产负债!F32-资产负债!G32</f>
        <v>-1.087337269999999</v>
      </c>
      <c r="H32" s="199">
        <f>资产负债!G32-资产负债!H32</f>
        <v>-23.014695780000004</v>
      </c>
      <c r="I32" s="199">
        <f>资产负债!H32-资产负债!I32</f>
        <v>0</v>
      </c>
      <c r="J32" s="199">
        <f>资产负债!I32-资产负债!J32</f>
        <v>0</v>
      </c>
      <c r="K32" s="199">
        <f>资产负债!J32-资产负债!K32</f>
        <v>0</v>
      </c>
      <c r="L32" s="199">
        <f>资产负债!K32-资产负债!L32</f>
        <v>0</v>
      </c>
      <c r="M32" s="199">
        <f>资产负债!L32-资产负债!M32</f>
        <v>0</v>
      </c>
      <c r="N32" s="199">
        <f>资产负债!M32-资产负债!N32</f>
        <v>0</v>
      </c>
      <c r="O32" s="199">
        <f>资产负债!N32-资产负债!O32</f>
        <v>0</v>
      </c>
      <c r="P32" s="199">
        <f>资产负债!O32-资产负债!P32</f>
        <v>0</v>
      </c>
      <c r="Q32" s="199">
        <f>资产负债!P32-资产负债!Q32</f>
        <v>0</v>
      </c>
      <c r="R32" s="199">
        <f>资产负债!Q32-资产负债!R32</f>
        <v>0</v>
      </c>
      <c r="S32" s="199">
        <f>资产负债!R32-资产负债!S32</f>
        <v>0</v>
      </c>
      <c r="T32" s="199">
        <f>资产负债!S32-资产负债!T32</f>
        <v>0</v>
      </c>
      <c r="U32" s="199">
        <f>资产负债!T32-资产负债!U32</f>
        <v>0</v>
      </c>
      <c r="V32" s="199">
        <f>资产负债!U32-资产负债!V32</f>
        <v>0</v>
      </c>
      <c r="W32" s="199">
        <f>资产负债!V32-资产负债!W32</f>
        <v>0</v>
      </c>
      <c r="X32" s="199">
        <f>资产负债!W32-资产负债!X32</f>
        <v>0</v>
      </c>
      <c r="Y32" s="199">
        <f>资产负债!X32-资产负债!Y32</f>
        <v>0</v>
      </c>
      <c r="Z32" s="199">
        <f>资产负债!Y32-资产负债!Z32</f>
        <v>0</v>
      </c>
      <c r="AA32" s="199">
        <f>资产负债!Z32-资产负债!AA32</f>
        <v>0</v>
      </c>
      <c r="AB32" s="199">
        <f>资产负债!AA32-资产负债!AB32</f>
        <v>0</v>
      </c>
      <c r="AC32" s="199">
        <f>资产负债!AB32-资产负债!AC32</f>
        <v>0</v>
      </c>
      <c r="AD32" s="199">
        <f>资产负债!AC32-资产负债!AD32</f>
        <v>0</v>
      </c>
      <c r="AE32" s="199">
        <f>资产负债!AD32-资产负债!AE32</f>
        <v>0</v>
      </c>
      <c r="AF32" s="199">
        <f>资产负债!AE32-资产负债!AF32</f>
        <v>0</v>
      </c>
      <c r="AG32" s="199">
        <f>资产负债!AF32-资产负债!AG32</f>
        <v>0</v>
      </c>
      <c r="AH32" s="199">
        <f>资产负债!AG32-资产负债!AH32</f>
        <v>0</v>
      </c>
      <c r="AI32" s="199">
        <f>资产负债!AH32-资产负债!AI32</f>
        <v>0</v>
      </c>
      <c r="AJ32" s="199">
        <f>资产负债!AI32-资产负债!AJ32</f>
        <v>0</v>
      </c>
      <c r="AK32" s="199">
        <f>资产负债!AJ32-资产负债!AK32</f>
        <v>0</v>
      </c>
      <c r="AL32" s="199">
        <f>资产负债!AK32-资产负债!AL32</f>
        <v>0</v>
      </c>
      <c r="AM32" s="367"/>
      <c r="AN32" s="367"/>
      <c r="AO32" s="367"/>
      <c r="AP32" s="277"/>
      <c r="AQ32" s="277"/>
    </row>
    <row r="33" spans="1:139" ht="17.25" customHeight="1" outlineLevel="1">
      <c r="A33" s="234" t="s">
        <v>189</v>
      </c>
      <c r="D33" s="199">
        <f>资产负债!C33-资产负债!D33</f>
        <v>-6.4817077499999982</v>
      </c>
      <c r="E33" s="199">
        <f>资产负债!D33-资产负债!E33</f>
        <v>-18.360899379999978</v>
      </c>
      <c r="F33" s="199">
        <f>资产负债!E33-资产负债!F33</f>
        <v>-8.1877987900000164</v>
      </c>
      <c r="G33" s="199">
        <f>资产负债!F33-资产负债!G33</f>
        <v>2.9837193600000091</v>
      </c>
      <c r="H33" s="199">
        <f>资产负债!G33-资产负债!H33</f>
        <v>-143.95803329000003</v>
      </c>
      <c r="I33" s="199">
        <f>资产负债!H33-资产负债!I33</f>
        <v>-25.798824573129252</v>
      </c>
      <c r="J33" s="199">
        <f>资产负债!I33-资产负债!J33</f>
        <v>-30.335263584686288</v>
      </c>
      <c r="K33" s="199">
        <f>资产负债!J33-资产负债!K33</f>
        <v>-33.505464371692028</v>
      </c>
      <c r="L33" s="199">
        <f>资产负债!K33-资产负债!L33</f>
        <v>-39.389950242652162</v>
      </c>
      <c r="M33" s="199">
        <f>资产负债!L33-资产负债!M33</f>
        <v>-48.669010761242816</v>
      </c>
      <c r="N33" s="199">
        <f>资产负债!M33-资产负债!N33</f>
        <v>-31.217709101040953</v>
      </c>
      <c r="O33" s="199">
        <f>资产负债!N33-资产负债!O33</f>
        <v>-32.301486006623236</v>
      </c>
      <c r="P33" s="199">
        <f>资产负债!O33-资产负债!P33</f>
        <v>-32.694730491010773</v>
      </c>
      <c r="Q33" s="199">
        <f>资产负债!P33-资产负债!Q33</f>
        <v>-32.532583714874477</v>
      </c>
      <c r="R33" s="199">
        <f>资产负债!Q33-资产负债!R33</f>
        <v>-31.161110409319008</v>
      </c>
      <c r="S33" s="199">
        <f>资产负债!R33-资产负债!S33</f>
        <v>-27.659530338934132</v>
      </c>
      <c r="T33" s="199">
        <f>资产负债!S33-资产负债!T33</f>
        <v>-26.947894586512803</v>
      </c>
      <c r="U33" s="199">
        <f>资产负债!T33-资产负债!U33</f>
        <v>-25.877176302490739</v>
      </c>
      <c r="V33" s="199">
        <f>资产负债!U33-资产负债!V33</f>
        <v>-24.513665464786754</v>
      </c>
      <c r="W33" s="199">
        <f>资产负债!V33-资产负债!W33</f>
        <v>-22.909881814769165</v>
      </c>
      <c r="X33" s="199">
        <f>资产负债!W33-资产负债!X33</f>
        <v>-21.25963609585915</v>
      </c>
      <c r="Y33" s="199">
        <f>资产负债!X33-资产负债!Y33</f>
        <v>-19.979657247244177</v>
      </c>
      <c r="Z33" s="199">
        <f>资产负债!Y33-资产负债!Z33</f>
        <v>-18.586009779390452</v>
      </c>
      <c r="AA33" s="199">
        <f>资产负债!Z33-资产负债!AA33</f>
        <v>-17.127776474770371</v>
      </c>
      <c r="AB33" s="199">
        <f>资产负债!AA33-资产负债!AB33</f>
        <v>-15.650598676767117</v>
      </c>
      <c r="AC33" s="199">
        <f>资产负债!AB33-资产负债!AC33</f>
        <v>-14.198742049166754</v>
      </c>
      <c r="AD33" s="199">
        <f>资产负债!AC33-资产负债!AD33</f>
        <v>-12.786563239828183</v>
      </c>
      <c r="AE33" s="199">
        <f>资产负债!AD33-资产负债!AE33</f>
        <v>-11.347944438345053</v>
      </c>
      <c r="AF33" s="199">
        <f>资产负债!AE33-资产负债!AF33</f>
        <v>-9.900331370135973</v>
      </c>
      <c r="AG33" s="199">
        <f>资产负债!AF33-资产负债!AG33</f>
        <v>-8.454842349209116</v>
      </c>
      <c r="AH33" s="199">
        <f>资产负债!AG33-资产负债!AH33</f>
        <v>-7.0156910836974475</v>
      </c>
      <c r="AI33" s="199">
        <f>资产负债!AH33-资产负债!AI33</f>
        <v>-5.5790808906036773</v>
      </c>
      <c r="AJ33" s="199">
        <f>资产负债!AI33-资产负债!AJ33</f>
        <v>-4.1375844207586852</v>
      </c>
      <c r="AK33" s="199">
        <f>资产负债!AJ33-资产负债!AK33</f>
        <v>-2.6955124172415026</v>
      </c>
      <c r="AL33" s="199">
        <f>资产负债!AK33-资产负债!AL33</f>
        <v>-1.2545486266625403</v>
      </c>
      <c r="AM33" s="367"/>
      <c r="AN33" s="367"/>
      <c r="AO33" s="367"/>
      <c r="AP33" s="277"/>
      <c r="AQ33" s="277"/>
    </row>
    <row r="34" spans="1:139" ht="17.25" customHeight="1" outlineLevel="1">
      <c r="A34" s="234" t="s">
        <v>821</v>
      </c>
      <c r="D34" s="199">
        <f>资产负债!C34-资产负债!D34</f>
        <v>0.48131123999999992</v>
      </c>
      <c r="E34" s="199">
        <f>资产负债!D34-资产负债!E34</f>
        <v>-0.65380257000000008</v>
      </c>
      <c r="F34" s="199">
        <f>资产负债!E34-资产负债!F34</f>
        <v>-1.4304843899999997</v>
      </c>
      <c r="G34" s="199">
        <f>资产负债!F34-资产负债!G34</f>
        <v>1.9544674599999998</v>
      </c>
      <c r="H34" s="199">
        <f>资产负债!G34-资产负债!H34</f>
        <v>-0.71622156999999986</v>
      </c>
      <c r="I34" s="199">
        <f>资产负债!H34-资产负债!I34</f>
        <v>0.86965124749245826</v>
      </c>
      <c r="J34" s="199">
        <f>资产负债!I34-资产负债!J34</f>
        <v>1.5181309195899815</v>
      </c>
      <c r="K34" s="199">
        <f>资产负债!J34-资产负债!K34</f>
        <v>-0.5353394734142225</v>
      </c>
      <c r="L34" s="199">
        <f>资产负债!K34-资产负债!L34</f>
        <v>-0.45838608473809583</v>
      </c>
      <c r="M34" s="199">
        <f>资产负债!L34-资产负债!M34</f>
        <v>0.99004834915632234</v>
      </c>
      <c r="N34" s="199">
        <f>资产负债!M34-资产负债!N34</f>
        <v>-1.0300737911544762</v>
      </c>
      <c r="O34" s="199">
        <f>资产负债!N34-资产负债!O34</f>
        <v>-1.0100961294982904</v>
      </c>
      <c r="P34" s="199">
        <f>资产负债!O34-资产负债!P34</f>
        <v>0.54563968538002361</v>
      </c>
      <c r="Q34" s="199">
        <f>资产负债!P34-资产负债!Q34</f>
        <v>-1.5444917605244883</v>
      </c>
      <c r="R34" s="199">
        <f>资产负债!Q34-资产负债!R34</f>
        <v>-1.5484717110334385</v>
      </c>
      <c r="S34" s="199">
        <f>资产负债!R34-资产负债!S34</f>
        <v>-3.6467820707211551E-2</v>
      </c>
      <c r="T34" s="199">
        <f>资产负债!S34-资产负债!T34</f>
        <v>-2.1015500802191962</v>
      </c>
      <c r="U34" s="199">
        <f>资产负债!T34-资产负债!U34</f>
        <v>-2.0993815528338269</v>
      </c>
      <c r="V34" s="199">
        <f>资产负债!U34-资产负债!V34</f>
        <v>-0.57944676025468844</v>
      </c>
      <c r="W34" s="199">
        <f>资产负债!V34-资产负债!W34</f>
        <v>-2.646670334959456</v>
      </c>
      <c r="X34" s="199">
        <f>资产负债!W34-资产负债!X34</f>
        <v>-2.6476208758687125</v>
      </c>
      <c r="Y34" s="199">
        <f>资产负债!X34-资产负债!Y34</f>
        <v>-1.1241357536973631</v>
      </c>
      <c r="Z34" s="199">
        <f>资产负债!Y34-资产负债!Z34</f>
        <v>-3.1934289062677585</v>
      </c>
      <c r="AA34" s="199">
        <f>资产负债!Z34-资产负债!AA34</f>
        <v>-3.1935898148745707</v>
      </c>
      <c r="AB34" s="199">
        <f>资产负债!AA34-资产负债!AB34</f>
        <v>-1.6723894895446136</v>
      </c>
      <c r="AC34" s="199">
        <f>资产负债!AB34-资产负债!AC34</f>
        <v>-3.7406208514072858</v>
      </c>
      <c r="AD34" s="199">
        <f>资产负债!AC34-资产负债!AD34</f>
        <v>-3.7404436559329532</v>
      </c>
      <c r="AE34" s="199">
        <f>资产负债!AD34-资产负债!AE34</f>
        <v>-2.2189118424377554</v>
      </c>
      <c r="AF34" s="199">
        <f>资产负债!AE34-资产负债!AF34</f>
        <v>-4.2872983101714155</v>
      </c>
      <c r="AG34" s="199">
        <f>资产负债!AF34-资产负债!AG34</f>
        <v>-4.2873254437405919</v>
      </c>
      <c r="AH34" s="199">
        <f>资产负债!AG34-资产负债!AH34</f>
        <v>-2.7656755034173131</v>
      </c>
      <c r="AI34" s="199">
        <f>资产负债!AH34-资产负债!AI34</f>
        <v>-4.8341221031163286</v>
      </c>
      <c r="AJ34" s="199">
        <f>资产负债!AI34-资产负债!AJ34</f>
        <v>-4.8341300577016213</v>
      </c>
      <c r="AK34" s="199">
        <f>资产负债!AJ34-资产负债!AK34</f>
        <v>-3.31255182411536</v>
      </c>
      <c r="AL34" s="199">
        <f>资产负债!AK34-资产负债!AL34</f>
        <v>-5.3809601437045629</v>
      </c>
      <c r="AM34" s="367"/>
      <c r="AN34" s="367"/>
      <c r="AO34" s="367"/>
      <c r="AP34" s="277"/>
      <c r="AQ34" s="277"/>
    </row>
    <row r="35" spans="1:139" ht="17.25" customHeight="1" outlineLevel="1">
      <c r="A35" s="234" t="s">
        <v>191</v>
      </c>
      <c r="D35" s="199">
        <f>资产负债!C35-资产负债!D35</f>
        <v>0</v>
      </c>
      <c r="E35" s="199">
        <f>资产负债!D35-资产负债!E35</f>
        <v>0</v>
      </c>
      <c r="F35" s="199">
        <f>资产负债!E35-资产负债!F35</f>
        <v>0</v>
      </c>
      <c r="G35" s="199">
        <f>资产负债!F35-资产负债!G35</f>
        <v>0</v>
      </c>
      <c r="H35" s="199">
        <f>资产负债!G35-资产负债!H35</f>
        <v>-101.09582881</v>
      </c>
      <c r="I35" s="199">
        <f>资产负债!H35-资产负债!I35*(1-假设!I84)</f>
        <v>28.215828810000005</v>
      </c>
      <c r="J35" s="199">
        <f>资产负债!I35*(1-假设!I84)-资产负债!J35*(1-假设!J84)</f>
        <v>-14.107914405000002</v>
      </c>
      <c r="K35" s="199">
        <f>资产负债!J35*(1-假设!J84)-资产负债!K35*(1-假设!K84)</f>
        <v>7.0539572025000012</v>
      </c>
      <c r="L35" s="199">
        <f>资产负债!K35*(1-假设!K84)-资产负债!L35*(1-假设!L84)</f>
        <v>-3.5269786012500077</v>
      </c>
      <c r="M35" s="199">
        <f>资产负债!L35*(1-假设!L84)-资产负债!M35*(1-假设!M84)</f>
        <v>1.7634893006249968</v>
      </c>
      <c r="N35" s="199">
        <f>资产负债!M35*(1-假设!M84)-资产负债!N35*(1-假设!N84)</f>
        <v>-0.88174465031249838</v>
      </c>
      <c r="O35" s="199">
        <f>资产负债!N35*(1-假设!N84)-资产负债!O35*(1-假设!O84)</f>
        <v>0.44087232515624919</v>
      </c>
      <c r="P35" s="199">
        <f>资产负债!O35*(1-假设!O84)-资产负债!P35*(1-假设!P84)</f>
        <v>-0.22043616257812459</v>
      </c>
      <c r="Q35" s="199">
        <f>资产负债!P35*(1-假设!P84)-资产负债!Q35*(1-假设!Q84)</f>
        <v>0.1102180812890623</v>
      </c>
      <c r="R35" s="199">
        <f>资产负债!Q35*(1-假设!Q84)-资产负债!R35*(1-假设!R84)</f>
        <v>-5.5109040644524043E-2</v>
      </c>
      <c r="S35" s="199">
        <f>资产负债!R35*(1-假设!R84)-资产负债!S35*(1-假设!S84)</f>
        <v>2.7554520322269127E-2</v>
      </c>
      <c r="T35" s="199">
        <f>资产负债!S35*(1-假设!S84)-资产负债!T35*(1-假设!T84)</f>
        <v>-1.3777260161134564E-2</v>
      </c>
      <c r="U35" s="199">
        <f>资产负债!T35*(1-假设!T84)-资产负债!U35*(1-假设!U84)</f>
        <v>6.8886300805672818E-3</v>
      </c>
      <c r="V35" s="199">
        <f>资产负债!U35*(1-假设!U84)-资产负债!V35*(1-假设!V84)</f>
        <v>-3.4443150402836409E-3</v>
      </c>
      <c r="W35" s="199">
        <f>资产负债!V35*(1-假设!V84)-资产负债!W35*(1-假设!W84)</f>
        <v>1.7221575201489259E-3</v>
      </c>
      <c r="X35" s="199">
        <f>资产负债!W35*(1-假设!W84)-资产负债!X35*(1-假设!X84)</f>
        <v>-8.6107876006735751E-4</v>
      </c>
      <c r="Y35" s="199">
        <f>资产负债!X35*(1-假设!X84)-资产负债!Y35*(1-假设!Y84)</f>
        <v>4.3053938003367875E-4</v>
      </c>
      <c r="Z35" s="199">
        <f>资产负债!Y35*(1-假设!Y84)-资产负债!Z35*(1-假设!Z84)</f>
        <v>-2.1526969001683938E-4</v>
      </c>
      <c r="AA35" s="199">
        <f>资产负债!Z35*(1-假设!Z84)-资产负债!AA35*(1-假设!AA84)</f>
        <v>1.0763484500841969E-4</v>
      </c>
      <c r="AB35" s="199">
        <f>资产负债!AA35*(1-假设!AA84)-资产负债!AB35*(1-假设!AB84)</f>
        <v>-5.3817422511315272E-5</v>
      </c>
      <c r="AC35" s="199">
        <f>资产负债!AB35*(1-假设!AB84)-资产负债!AC35*(1-假设!AC84)</f>
        <v>2.6908711248552208E-5</v>
      </c>
      <c r="AD35" s="199">
        <f>资产负债!AC35*(1-假设!AC84)-资产负债!AD35*(1-假设!AD84)</f>
        <v>-1.3454355624276104E-5</v>
      </c>
      <c r="AE35" s="199">
        <f>资产负债!AD35*(1-假设!AD84)-资产负债!AE35*(1-假设!AE84)</f>
        <v>6.7271778192434795E-6</v>
      </c>
      <c r="AF35" s="199">
        <f>资产负债!AE35*(1-假设!AE84)-资产负债!AF35*(1-假设!AF84)</f>
        <v>-3.3635889167271671E-6</v>
      </c>
      <c r="AG35" s="199">
        <f>资产负债!AF35*(1-假设!AF84)-资产负债!AG35*(1-假设!AG84)</f>
        <v>1.6817944583635835E-6</v>
      </c>
      <c r="AH35" s="199">
        <f>资产负债!AG35*(1-假设!AG84)-资产负债!AH35*(1-假设!AH84)</f>
        <v>-8.4089722918179177E-7</v>
      </c>
      <c r="AI35" s="199">
        <f>资产负债!AH35*(1-假设!AH84)-资产负债!AI35*(1-假设!AI84)</f>
        <v>4.2044861459089589E-7</v>
      </c>
      <c r="AJ35" s="199">
        <f>资产负债!AI35*(1-假设!AI84)-资产负债!AJ35*(1-假设!AJ84)</f>
        <v>-2.102243144008753E-7</v>
      </c>
      <c r="AK35" s="199">
        <f>资产负债!AJ35*(1-假设!AJ84)-资产负债!AK35*(1-假设!AK84)</f>
        <v>1.0511215009501029E-7</v>
      </c>
      <c r="AL35" s="199">
        <f>资产负债!AK35*(1-假设!AK84)-资产负债!AL35*(1-假设!AL84)</f>
        <v>-5.2556075047505146E-8</v>
      </c>
      <c r="AM35" s="367"/>
      <c r="AN35" s="367"/>
      <c r="AO35" s="367"/>
      <c r="AP35" s="277"/>
      <c r="AQ35" s="277"/>
    </row>
    <row r="36" spans="1:139" ht="17.25" customHeight="1" outlineLevel="1">
      <c r="A36" s="234" t="s">
        <v>822</v>
      </c>
      <c r="D36" s="199">
        <f>资产负债!C37-资产负债!D37</f>
        <v>-0.5162999999998874</v>
      </c>
      <c r="E36" s="199">
        <f>资产负债!D37-资产负债!E37</f>
        <v>-22.009809590000032</v>
      </c>
      <c r="F36" s="199">
        <f>资产负债!E37-资产负债!F37</f>
        <v>8.1329858500000682</v>
      </c>
      <c r="G36" s="199">
        <f>资产负债!F37-资产负债!G37</f>
        <v>-61.493399949999912</v>
      </c>
      <c r="H36" s="199">
        <f>资产负债!G37-资产负债!H37</f>
        <v>-29.767241350000404</v>
      </c>
      <c r="I36" s="199">
        <f>资产负债!H37-资产负债!I37</f>
        <v>51.038884525000242</v>
      </c>
      <c r="J36" s="199">
        <f>资产负债!I37-资产负债!J37</f>
        <v>-8.0221927312500014</v>
      </c>
      <c r="K36" s="199">
        <f>资产负债!J37-资产负债!K37</f>
        <v>-12.060987376562522</v>
      </c>
      <c r="L36" s="199">
        <f>资产负债!K37-资产负债!L37</f>
        <v>0.2971157667968356</v>
      </c>
      <c r="M36" s="199">
        <f>资产负债!L37-资产负债!M37</f>
        <v>7.8132050459961278</v>
      </c>
      <c r="N36" s="199">
        <f>资产负债!M37-资产负债!N37</f>
        <v>-2.993214823754883</v>
      </c>
      <c r="O36" s="199">
        <f>资产负债!N37-资产负债!O37</f>
        <v>-1.7359703468811034</v>
      </c>
      <c r="P36" s="199">
        <f>资产负债!O37-资产负债!P37</f>
        <v>0.84528391053923713</v>
      </c>
      <c r="Q36" s="199">
        <f>资产负债!P37-资产负债!Q37</f>
        <v>0.98232594647485882</v>
      </c>
      <c r="R36" s="199">
        <f>资产负债!Q37-资产负债!R37</f>
        <v>-0.72539382840548683</v>
      </c>
      <c r="S36" s="199">
        <f>资产负债!R37-资产负债!S37</f>
        <v>-0.15843857956812712</v>
      </c>
      <c r="T36" s="199">
        <f>资产负债!S37-资产负债!T37</f>
        <v>0.2359443622601276</v>
      </c>
      <c r="U36" s="199">
        <f>资产负债!T37-资产负债!U37</f>
        <v>8.3609475190328908E-2</v>
      </c>
      <c r="V36" s="199">
        <f>资产负债!U37-资产负债!V37</f>
        <v>-0.14106964263078225</v>
      </c>
      <c r="W36" s="199">
        <f>资产负债!V37-资产负债!W37</f>
        <v>5.0114038128867833E-3</v>
      </c>
      <c r="X36" s="199">
        <f>资产负债!W37-资产负债!X37</f>
        <v>4.5873899658147366E-2</v>
      </c>
      <c r="Y36" s="199">
        <f>资产负债!X37-资产负债!Y37</f>
        <v>-1.6437159923583522E-3</v>
      </c>
      <c r="Z36" s="199">
        <f>资产负债!Y37-资产负债!Z37</f>
        <v>-2.2957013788030167E-2</v>
      </c>
      <c r="AA36" s="199">
        <f>资产负债!Z37-资产负债!AA37</f>
        <v>6.5711434226614074E-3</v>
      </c>
      <c r="AB36" s="199">
        <f>资产负债!AA37-资产负债!AB37</f>
        <v>6.9610783251050634E-3</v>
      </c>
      <c r="AC36" s="199">
        <f>资产负债!AB37-资产负债!AC37</f>
        <v>-2.7671270081555122E-3</v>
      </c>
      <c r="AD36" s="199">
        <f>资产负债!AC37-资产负债!AD37</f>
        <v>-3.0479797621012494E-3</v>
      </c>
      <c r="AE36" s="199">
        <f>资产负债!AD37-资产负债!AE37</f>
        <v>1.9292787443703219E-3</v>
      </c>
      <c r="AF36" s="199">
        <f>资产负债!AE37-资产负债!AF37</f>
        <v>7.6881257481886678E-4</v>
      </c>
      <c r="AG36" s="199">
        <f>资产负债!AF37-资产负债!AG37</f>
        <v>-7.7925386277399866E-4</v>
      </c>
      <c r="AH36" s="199">
        <f>资产负债!AG37-资产负债!AH37</f>
        <v>-2.82285576432173E-4</v>
      </c>
      <c r="AI36" s="199">
        <f>资产负债!AH37-资产负债!AI37</f>
        <v>4.0913796999575425E-4</v>
      </c>
      <c r="AJ36" s="199">
        <f>资产负债!AI37-资产负债!AJ37</f>
        <v>2.9102776409217768E-5</v>
      </c>
      <c r="AK36" s="199">
        <f>资产负债!AJ37-资产负债!AK37</f>
        <v>-1.5582467320029991E-4</v>
      </c>
      <c r="AL36" s="199">
        <f>资产负债!AK37-资产负债!AL37</f>
        <v>3.2624200230202405E-8</v>
      </c>
      <c r="AM36" s="199"/>
      <c r="AN36" s="367"/>
      <c r="AO36" s="367"/>
      <c r="AP36" s="277"/>
      <c r="AQ36" s="277"/>
    </row>
    <row r="37" spans="1:139" ht="17.25" customHeight="1" outlineLevel="1">
      <c r="A37" s="234" t="s">
        <v>2700</v>
      </c>
      <c r="D37" s="199">
        <f>利润表!D18</f>
        <v>1.5737352499999999</v>
      </c>
      <c r="E37" s="199">
        <f>利润表!E18</f>
        <v>-1.3935956999999999</v>
      </c>
      <c r="F37" s="199">
        <f>利润表!F18</f>
        <v>-7.6598693300000003</v>
      </c>
      <c r="G37" s="199">
        <f>利润表!G18</f>
        <v>-6.4920323499999997</v>
      </c>
      <c r="H37" s="199">
        <f>利润表!H18</f>
        <v>-3.3414100899999997</v>
      </c>
      <c r="I37" s="199">
        <f>利润表!I18</f>
        <v>-3.4626344439999999</v>
      </c>
      <c r="J37" s="199">
        <f>利润表!J18</f>
        <v>-4.469908382799999</v>
      </c>
      <c r="K37" s="199">
        <f>利润表!K18</f>
        <v>-5.0851709193599994</v>
      </c>
      <c r="L37" s="199">
        <f>利润表!L18</f>
        <v>-4.5702312372319991</v>
      </c>
      <c r="M37" s="199">
        <f>利润表!M18</f>
        <v>-4.1858710146783995</v>
      </c>
      <c r="N37" s="199">
        <f>利润表!N18</f>
        <v>-4.3547631996140792</v>
      </c>
      <c r="O37" s="199">
        <f>利润表!O18</f>
        <v>-4.5331889507368954</v>
      </c>
      <c r="P37" s="199">
        <f>利润表!P18</f>
        <v>-4.5458450643242747</v>
      </c>
      <c r="Q37" s="199">
        <f>利润表!Q18</f>
        <v>-4.4379798933171299</v>
      </c>
      <c r="R37" s="199">
        <f>利润表!R18</f>
        <v>-4.4115296245341558</v>
      </c>
      <c r="S37" s="199">
        <f>利润表!S18</f>
        <v>-4.4566613465053075</v>
      </c>
      <c r="T37" s="199">
        <f>利润表!T18</f>
        <v>-4.4770409758835532</v>
      </c>
      <c r="U37" s="199">
        <f>利润表!U18</f>
        <v>-4.4658113809128839</v>
      </c>
      <c r="V37" s="199">
        <f>利润表!V18</f>
        <v>-4.4498046442306052</v>
      </c>
      <c r="W37" s="199">
        <f>利润表!W18</f>
        <v>-4.4521695944133013</v>
      </c>
      <c r="X37" s="199">
        <f>利润表!X18</f>
        <v>-4.46029758838913</v>
      </c>
      <c r="Y37" s="199">
        <f>利润表!Y18</f>
        <v>-4.4610248367658949</v>
      </c>
      <c r="Z37" s="199">
        <f>利润表!Z18</f>
        <v>-4.4578216089423632</v>
      </c>
      <c r="AA37" s="199">
        <f>利润表!AA18</f>
        <v>-4.4562236545482588</v>
      </c>
      <c r="AB37" s="199">
        <f>利润表!AB18</f>
        <v>-4.4575074566117898</v>
      </c>
      <c r="AC37" s="199">
        <f>利润表!AC18</f>
        <v>-4.4585750290514863</v>
      </c>
      <c r="AD37" s="199">
        <f>利润表!AD18</f>
        <v>-4.4582305171839582</v>
      </c>
      <c r="AE37" s="199">
        <f>利润表!AE18</f>
        <v>-4.4576716532675711</v>
      </c>
      <c r="AF37" s="199">
        <f>利润表!AF18</f>
        <v>-4.4576416621326134</v>
      </c>
      <c r="AG37" s="199">
        <f>利润表!AG18</f>
        <v>-4.4579252636494839</v>
      </c>
      <c r="AH37" s="199">
        <f>利润表!AH18</f>
        <v>-4.4580088250570231</v>
      </c>
      <c r="AI37" s="199">
        <f>利润表!AI18</f>
        <v>-4.4578955842581296</v>
      </c>
      <c r="AJ37" s="199">
        <f>利润表!AJ18</f>
        <v>-4.4578285976729646</v>
      </c>
      <c r="AK37" s="199">
        <f>利润表!AK18</f>
        <v>-4.4578599865540429</v>
      </c>
      <c r="AL37" s="199">
        <f>利润表!AL18</f>
        <v>-4.457903651438329</v>
      </c>
      <c r="AM37" s="199"/>
      <c r="AN37" s="367"/>
      <c r="AO37" s="367"/>
      <c r="AP37" s="277"/>
      <c r="AQ37" s="277"/>
    </row>
    <row r="38" spans="1:139" s="236" customFormat="1" ht="17.25" customHeight="1" outlineLevel="1">
      <c r="A38" s="235" t="s">
        <v>1027</v>
      </c>
      <c r="B38" s="272"/>
      <c r="C38" s="272"/>
      <c r="D38" s="128">
        <f>SUM(D16:D37)</f>
        <v>-956.5496898199998</v>
      </c>
      <c r="E38" s="128">
        <f>SUM(E16:E37)</f>
        <v>189.34100540999989</v>
      </c>
      <c r="F38" s="128">
        <f t="shared" ref="F38:O38" si="2">SUM(F16:F37)</f>
        <v>-839.67190185000015</v>
      </c>
      <c r="G38" s="128">
        <f t="shared" si="2"/>
        <v>-432.65574701999952</v>
      </c>
      <c r="H38" s="128">
        <f t="shared" si="2"/>
        <v>-782.22894387000042</v>
      </c>
      <c r="I38" s="128">
        <f t="shared" ca="1" si="2"/>
        <v>-9.1304206065628044</v>
      </c>
      <c r="J38" s="128">
        <f t="shared" ca="1" si="2"/>
        <v>-454.64779347502633</v>
      </c>
      <c r="K38" s="128">
        <f t="shared" ca="1" si="2"/>
        <v>-480.31613148876437</v>
      </c>
      <c r="L38" s="128">
        <f t="shared" ca="1" si="2"/>
        <v>-454.62315634185484</v>
      </c>
      <c r="M38" s="128">
        <f t="shared" ca="1" si="2"/>
        <v>-383.83796810883325</v>
      </c>
      <c r="N38" s="128">
        <f t="shared" ca="1" si="2"/>
        <v>-537.73480429200276</v>
      </c>
      <c r="O38" s="128">
        <f t="shared" ca="1" si="2"/>
        <v>-625.72537100056616</v>
      </c>
      <c r="P38" s="128">
        <f t="shared" ref="P38" ca="1" si="3">SUM(P16:P37)</f>
        <v>-685.21031765756175</v>
      </c>
      <c r="Q38" s="128">
        <f t="shared" ref="Q38" ca="1" si="4">SUM(Q16:Q37)</f>
        <v>-736.23392651341658</v>
      </c>
      <c r="R38" s="128">
        <f t="shared" ref="R38" ca="1" si="5">SUM(R16:R37)</f>
        <v>-830.07595457206196</v>
      </c>
      <c r="S38" s="128">
        <f t="shared" ref="S38" ca="1" si="6">SUM(S16:S37)</f>
        <v>-951.53181267850766</v>
      </c>
      <c r="T38" s="128">
        <f t="shared" ref="T38" ca="1" si="7">SUM(T16:T37)</f>
        <v>-1075.4220230337617</v>
      </c>
      <c r="U38" s="128">
        <f t="shared" ref="U38" ca="1" si="8">SUM(U16:U37)</f>
        <v>-1200.5494877875251</v>
      </c>
      <c r="V38" s="128">
        <f t="shared" ref="V38" ca="1" si="9">SUM(V16:V37)</f>
        <v>-1343.898805056642</v>
      </c>
      <c r="W38" s="128">
        <f t="shared" ref="W38" ca="1" si="10">SUM(W16:W37)</f>
        <v>-1519.7487650472317</v>
      </c>
      <c r="X38" s="128">
        <f t="shared" ref="X38" ca="1" si="11">SUM(X16:X37)</f>
        <v>-1719.2048358989709</v>
      </c>
      <c r="Y38" s="128">
        <f t="shared" ref="Y38" ca="1" si="12">SUM(Y16:Y37)</f>
        <v>-1934.3647207991489</v>
      </c>
      <c r="Z38" s="128">
        <f t="shared" ref="Z38" ca="1" si="13">SUM(Z16:Z37)</f>
        <v>-2179.6635700670495</v>
      </c>
      <c r="AA38" s="128">
        <f t="shared" ref="AA38" ca="1" si="14">SUM(AA16:AA37)</f>
        <v>-2456.8097000389312</v>
      </c>
      <c r="AB38" s="128">
        <f t="shared" ref="AB38" ca="1" si="15">SUM(AB16:AB37)</f>
        <v>-2770.6138461849559</v>
      </c>
      <c r="AC38" s="128">
        <f t="shared" ref="AC38" ca="1" si="16">SUM(AC16:AC37)</f>
        <v>-3128.7927485594123</v>
      </c>
      <c r="AD38" s="128">
        <f t="shared" ref="AD38" ca="1" si="17">SUM(AD16:AD37)</f>
        <v>-3528.8561314484896</v>
      </c>
      <c r="AE38" s="128">
        <f t="shared" ref="AE38" ca="1" si="18">SUM(AE16:AE37)</f>
        <v>-3979.027308717818</v>
      </c>
      <c r="AF38" s="128">
        <f t="shared" ref="AF38" ca="1" si="19">SUM(AF16:AF37)</f>
        <v>-4493.1986903342777</v>
      </c>
      <c r="AG38" s="128">
        <f t="shared" ref="AG38" ca="1" si="20">SUM(AG16:AG37)</f>
        <v>-5072.1769319983596</v>
      </c>
      <c r="AH38" s="128">
        <f t="shared" ref="AH38" ca="1" si="21">SUM(AH16:AH37)</f>
        <v>-5723.6590617047459</v>
      </c>
      <c r="AI38" s="128">
        <f t="shared" ref="AI38" ca="1" si="22">SUM(AI16:AI37)</f>
        <v>-6463.6707706397383</v>
      </c>
      <c r="AJ38" s="128">
        <f t="shared" ref="AJ38" ca="1" si="23">SUM(AJ16:AJ37)</f>
        <v>-7297.7620142530741</v>
      </c>
      <c r="AK38" s="128">
        <f t="shared" ref="AK38:AL38" ca="1" si="24">SUM(AK16:AK37)</f>
        <v>-8238.3925188823414</v>
      </c>
      <c r="AL38" s="128">
        <f t="shared" ca="1" si="24"/>
        <v>-9305.529269620698</v>
      </c>
      <c r="AM38" s="225"/>
      <c r="AN38" s="225"/>
      <c r="AO38" s="225"/>
      <c r="AP38" s="368"/>
      <c r="AQ38" s="368"/>
      <c r="AR38" s="233"/>
      <c r="AS38" s="233"/>
      <c r="AT38" s="233"/>
      <c r="AU38" s="233"/>
      <c r="AV38" s="233"/>
      <c r="AW38" s="233"/>
      <c r="AX38" s="233"/>
      <c r="AY38" s="233"/>
      <c r="AZ38" s="233"/>
      <c r="BA38" s="233"/>
      <c r="BB38" s="233"/>
      <c r="BC38" s="233"/>
      <c r="BD38" s="233"/>
      <c r="BE38" s="233"/>
      <c r="BF38" s="233"/>
      <c r="BG38" s="233"/>
      <c r="BH38" s="233"/>
      <c r="BI38" s="233"/>
      <c r="BJ38" s="233"/>
      <c r="BK38" s="233"/>
      <c r="BL38" s="233"/>
      <c r="BM38" s="233"/>
      <c r="BN38" s="233"/>
      <c r="BO38" s="233"/>
      <c r="BP38" s="233"/>
      <c r="BQ38" s="233"/>
      <c r="BR38" s="233"/>
      <c r="BS38" s="233"/>
      <c r="BT38" s="233"/>
      <c r="BU38" s="233"/>
      <c r="BV38" s="233"/>
      <c r="BW38" s="233"/>
      <c r="BX38" s="233"/>
      <c r="BY38" s="233"/>
      <c r="BZ38" s="233"/>
      <c r="CA38" s="233"/>
      <c r="CB38" s="233"/>
      <c r="CC38" s="233"/>
      <c r="CD38" s="233"/>
      <c r="CE38" s="233"/>
      <c r="CF38" s="233"/>
      <c r="CG38" s="233"/>
      <c r="CH38" s="233"/>
      <c r="CI38" s="233"/>
      <c r="CJ38" s="233"/>
      <c r="CK38" s="233"/>
      <c r="CL38" s="233"/>
      <c r="CM38" s="233"/>
      <c r="CN38" s="233"/>
      <c r="CO38" s="233"/>
      <c r="CP38" s="233"/>
      <c r="CQ38" s="233"/>
      <c r="CR38" s="233"/>
      <c r="CS38" s="233"/>
      <c r="CT38" s="233"/>
      <c r="CU38" s="233"/>
      <c r="CV38" s="233"/>
      <c r="CW38" s="233"/>
      <c r="CX38" s="233"/>
      <c r="CY38" s="233"/>
      <c r="CZ38" s="233"/>
      <c r="DA38" s="233"/>
      <c r="DB38" s="233"/>
      <c r="DC38" s="233"/>
      <c r="DD38" s="233"/>
      <c r="DE38" s="233"/>
      <c r="DF38" s="233"/>
      <c r="DG38" s="233"/>
      <c r="DH38" s="233"/>
      <c r="DI38" s="233"/>
      <c r="DJ38" s="233"/>
      <c r="DK38" s="233"/>
      <c r="DL38" s="233"/>
      <c r="DM38" s="233"/>
      <c r="DN38" s="233"/>
      <c r="DO38" s="233"/>
      <c r="DP38" s="233"/>
      <c r="DQ38" s="233"/>
      <c r="DR38" s="233"/>
      <c r="DS38" s="233"/>
      <c r="DT38" s="233"/>
      <c r="DU38" s="233"/>
      <c r="DV38" s="233"/>
      <c r="DW38" s="233"/>
      <c r="DX38" s="233"/>
      <c r="DY38" s="233"/>
      <c r="DZ38" s="233"/>
      <c r="EA38" s="233"/>
      <c r="EB38" s="233"/>
      <c r="EC38" s="233"/>
      <c r="ED38" s="233"/>
      <c r="EE38" s="233"/>
      <c r="EF38" s="233"/>
      <c r="EG38" s="233"/>
      <c r="EH38" s="233"/>
      <c r="EI38" s="233"/>
    </row>
    <row r="39" spans="1:139" ht="17.25" customHeight="1">
      <c r="D39" s="224"/>
      <c r="E39" s="149"/>
      <c r="F39" s="149"/>
      <c r="G39" s="149"/>
      <c r="H39" s="149"/>
      <c r="I39" s="128"/>
      <c r="J39" s="200"/>
      <c r="K39" s="200"/>
      <c r="L39" s="200"/>
      <c r="M39" s="200"/>
      <c r="N39" s="200"/>
      <c r="O39" s="200"/>
      <c r="P39" s="200"/>
      <c r="Q39" s="200"/>
      <c r="R39" s="200"/>
      <c r="S39" s="200"/>
      <c r="T39" s="200"/>
      <c r="U39" s="200"/>
      <c r="V39" s="200"/>
      <c r="W39" s="200"/>
      <c r="X39" s="200"/>
      <c r="Y39" s="200"/>
      <c r="Z39" s="200"/>
      <c r="AA39" s="200"/>
      <c r="AB39" s="200"/>
      <c r="AC39" s="200"/>
      <c r="AD39" s="200"/>
      <c r="AE39" s="200"/>
      <c r="AF39" s="200"/>
      <c r="AG39" s="200"/>
      <c r="AH39" s="200"/>
      <c r="AI39" s="200"/>
      <c r="AJ39" s="200"/>
      <c r="AK39" s="200"/>
      <c r="AL39" s="200"/>
      <c r="AM39" s="367"/>
      <c r="AN39" s="367"/>
      <c r="AO39" s="367"/>
      <c r="AP39" s="277"/>
      <c r="AQ39" s="277"/>
    </row>
    <row r="40" spans="1:139" ht="17.25" customHeight="1">
      <c r="A40" s="244" t="s">
        <v>197</v>
      </c>
      <c r="B40" s="267"/>
      <c r="C40" s="267"/>
      <c r="D40" s="224"/>
      <c r="E40" s="149"/>
      <c r="F40" s="149"/>
      <c r="G40" s="459"/>
      <c r="H40" s="459"/>
      <c r="I40" s="200"/>
      <c r="J40" s="200"/>
      <c r="K40" s="200"/>
      <c r="L40" s="200"/>
      <c r="M40" s="200"/>
      <c r="N40" s="200"/>
      <c r="O40" s="200"/>
      <c r="P40" s="200"/>
      <c r="Q40" s="200"/>
      <c r="R40" s="200"/>
      <c r="S40" s="200"/>
      <c r="T40" s="200"/>
      <c r="U40" s="200"/>
      <c r="V40" s="200"/>
      <c r="W40" s="200"/>
      <c r="X40" s="200"/>
      <c r="Y40" s="200"/>
      <c r="Z40" s="200"/>
      <c r="AA40" s="200"/>
      <c r="AB40" s="200"/>
      <c r="AC40" s="200"/>
      <c r="AD40" s="200"/>
      <c r="AE40" s="200"/>
      <c r="AF40" s="200"/>
      <c r="AG40" s="200"/>
      <c r="AH40" s="200"/>
      <c r="AI40" s="200"/>
      <c r="AJ40" s="200"/>
      <c r="AK40" s="200"/>
      <c r="AL40" s="200"/>
      <c r="AM40" s="367"/>
      <c r="AN40" s="367"/>
      <c r="AO40" s="367"/>
      <c r="AP40" s="277"/>
      <c r="AQ40" s="277"/>
    </row>
    <row r="41" spans="1:139" ht="17.25" customHeight="1" outlineLevel="1">
      <c r="A41" s="234" t="s">
        <v>1045</v>
      </c>
      <c r="D41" s="199">
        <f>-利润表!D8</f>
        <v>-27.753008870000002</v>
      </c>
      <c r="E41" s="199">
        <f>-利润表!E8</f>
        <v>-20.159173320000001</v>
      </c>
      <c r="F41" s="199">
        <f>-利润表!F8</f>
        <v>-27.226078329999996</v>
      </c>
      <c r="G41" s="199">
        <f>-利润表!G8</f>
        <v>-42.603031940000001</v>
      </c>
      <c r="H41" s="199">
        <f>-利润表!H8</f>
        <v>-75.63140765</v>
      </c>
      <c r="I41" s="199">
        <f ca="1">-利润表!I8</f>
        <v>-125.70179837948498</v>
      </c>
      <c r="J41" s="199">
        <f ca="1">-利润表!J8</f>
        <v>-314.75447313157986</v>
      </c>
      <c r="K41" s="199">
        <f ca="1">-利润表!K8</f>
        <v>-419.93391906168307</v>
      </c>
      <c r="L41" s="199">
        <f ca="1">-利润表!L8</f>
        <v>-499.85829943044314</v>
      </c>
      <c r="M41" s="199">
        <f ca="1">-利润表!M8</f>
        <v>-599.08886631485598</v>
      </c>
      <c r="N41" s="199">
        <f ca="1">-利润表!N8</f>
        <v>-717.14392854413609</v>
      </c>
      <c r="O41" s="199">
        <f ca="1">-利润表!O8</f>
        <v>-848.83177645886974</v>
      </c>
      <c r="P41" s="199">
        <f ca="1">-利润表!P8</f>
        <v>-1004.1898632546727</v>
      </c>
      <c r="Q41" s="199">
        <f ca="1">-利润表!Q8</f>
        <v>-1173.1228701695654</v>
      </c>
      <c r="R41" s="199">
        <f ca="1">-利润表!R8</f>
        <v>-1362.4569331640939</v>
      </c>
      <c r="S41" s="199">
        <f ca="1">-利润表!S8</f>
        <v>-1582.5939097281168</v>
      </c>
      <c r="T41" s="199">
        <f ca="1">-利润表!T8</f>
        <v>-1834.1197578801648</v>
      </c>
      <c r="U41" s="199">
        <f ca="1">-利润表!U8</f>
        <v>-2120.0597896390932</v>
      </c>
      <c r="V41" s="199">
        <f ca="1">-利润表!V8</f>
        <v>-2447.9558090933006</v>
      </c>
      <c r="W41" s="199">
        <f ca="1">-利润表!W8</f>
        <v>-2824.8123359464521</v>
      </c>
      <c r="X41" s="199">
        <f ca="1">-利润表!X8</f>
        <v>-3255.318804780195</v>
      </c>
      <c r="Y41" s="199">
        <f ca="1">-利润表!Y8</f>
        <v>-3745.6964099514225</v>
      </c>
      <c r="Z41" s="199">
        <f ca="1">-利润表!Z8</f>
        <v>-4302.8026773341098</v>
      </c>
      <c r="AA41" s="199">
        <f ca="1">-利润表!AA8</f>
        <v>-4935.7410768259115</v>
      </c>
      <c r="AB41" s="199">
        <f ca="1">-利润表!AB8</f>
        <v>-5655.1600593225721</v>
      </c>
      <c r="AC41" s="199">
        <f ca="1">-利润表!AC8</f>
        <v>-6472.3514404831431</v>
      </c>
      <c r="AD41" s="199">
        <f ca="1">-利润表!AD8</f>
        <v>-7399.863177394529</v>
      </c>
      <c r="AE41" s="199">
        <f ca="1">-利润表!AE8</f>
        <v>-8451.939871051989</v>
      </c>
      <c r="AF41" s="199">
        <f ca="1">-利润表!AF8</f>
        <v>-9645.1926944194765</v>
      </c>
      <c r="AG41" s="199">
        <f ca="1">-利润表!AG8</f>
        <v>-10998.460714023007</v>
      </c>
      <c r="AH41" s="199">
        <f ca="1">-利润表!AH8</f>
        <v>-12532.639029686867</v>
      </c>
      <c r="AI41" s="199">
        <f ca="1">-利润表!AI8</f>
        <v>-14271.418094168173</v>
      </c>
      <c r="AJ41" s="199">
        <f ca="1">-利润表!AJ8</f>
        <v>-16241.692327994058</v>
      </c>
      <c r="AK41" s="199">
        <f ca="1">-利润表!AK8</f>
        <v>-18473.814999391627</v>
      </c>
      <c r="AL41" s="199">
        <f ca="1">-利润表!AL8</f>
        <v>-21002.211240865883</v>
      </c>
      <c r="AM41" s="367"/>
      <c r="AN41" s="367"/>
      <c r="AO41" s="367"/>
      <c r="AP41" s="277"/>
      <c r="AQ41" s="277"/>
    </row>
    <row r="42" spans="1:139" ht="17.25" customHeight="1" outlineLevel="1">
      <c r="A42" s="234" t="s">
        <v>193</v>
      </c>
      <c r="D42" s="199">
        <f>资产负债!D43-资产负债!C43</f>
        <v>0</v>
      </c>
      <c r="E42" s="199">
        <f>资产负债!E43-资产负债!D43</f>
        <v>0</v>
      </c>
      <c r="F42" s="199">
        <f>资产负债!F43-资产负债!E43</f>
        <v>0</v>
      </c>
      <c r="G42" s="199">
        <f>资产负债!G43-资产负债!F43</f>
        <v>0</v>
      </c>
      <c r="H42" s="199">
        <f>资产负债!H43-资产负债!G43</f>
        <v>0</v>
      </c>
      <c r="I42" s="199">
        <f>资产负债!I43-资产负债!H43</f>
        <v>0</v>
      </c>
      <c r="J42" s="199">
        <f>资产负债!J43-资产负债!I43</f>
        <v>0</v>
      </c>
      <c r="K42" s="199">
        <f>资产负债!K43-资产负债!J43</f>
        <v>0</v>
      </c>
      <c r="L42" s="199">
        <f>资产负债!L43-资产负债!K43</f>
        <v>0</v>
      </c>
      <c r="M42" s="199">
        <f>资产负债!M43-资产负债!L43</f>
        <v>0</v>
      </c>
      <c r="N42" s="199">
        <f>资产负债!N43-资产负债!M43</f>
        <v>0</v>
      </c>
      <c r="O42" s="199">
        <f>资产负债!O43-资产负债!N43</f>
        <v>0</v>
      </c>
      <c r="P42" s="199">
        <f>资产负债!P43-资产负债!O43</f>
        <v>0</v>
      </c>
      <c r="Q42" s="199">
        <f>资产负债!Q43-资产负债!P43</f>
        <v>0</v>
      </c>
      <c r="R42" s="199">
        <f>资产负债!R43-资产负债!Q43</f>
        <v>0</v>
      </c>
      <c r="S42" s="199">
        <f>资产负债!S43-资产负债!R43</f>
        <v>0</v>
      </c>
      <c r="T42" s="199">
        <f>资产负债!T43-资产负债!S43</f>
        <v>0</v>
      </c>
      <c r="U42" s="199">
        <f>资产负债!U43-资产负债!T43</f>
        <v>0</v>
      </c>
      <c r="V42" s="199">
        <f>资产负债!V43-资产负债!U43</f>
        <v>0</v>
      </c>
      <c r="W42" s="199">
        <f>资产负债!W43-资产负债!V43</f>
        <v>0</v>
      </c>
      <c r="X42" s="199">
        <f>资产负债!X43-资产负债!W43</f>
        <v>0</v>
      </c>
      <c r="Y42" s="199">
        <f>资产负债!Y43-资产负债!X43</f>
        <v>0</v>
      </c>
      <c r="Z42" s="199">
        <f>资产负债!Z43-资产负债!Y43</f>
        <v>0</v>
      </c>
      <c r="AA42" s="199">
        <f>资产负债!AA43-资产负债!Z43</f>
        <v>0</v>
      </c>
      <c r="AB42" s="199">
        <f>资产负债!AB43-资产负债!AA43</f>
        <v>0</v>
      </c>
      <c r="AC42" s="199">
        <f>资产负债!AC43-资产负债!AB43</f>
        <v>0</v>
      </c>
      <c r="AD42" s="199">
        <f>资产负债!AD43-资产负债!AC43</f>
        <v>0</v>
      </c>
      <c r="AE42" s="199">
        <f>资产负债!AE43-资产负债!AD43</f>
        <v>0</v>
      </c>
      <c r="AF42" s="199">
        <f>资产负债!AF43-资产负债!AE43</f>
        <v>0</v>
      </c>
      <c r="AG42" s="199">
        <f>资产负债!AG43-资产负债!AF43</f>
        <v>0</v>
      </c>
      <c r="AH42" s="199">
        <f>资产负债!AH43-资产负债!AG43</f>
        <v>0</v>
      </c>
      <c r="AI42" s="199">
        <f>资产负债!AI43-资产负债!AH43</f>
        <v>0</v>
      </c>
      <c r="AJ42" s="199">
        <f>资产负债!AJ43-资产负债!AI43</f>
        <v>0</v>
      </c>
      <c r="AK42" s="199">
        <f>资产负债!AK43-资产负债!AJ43</f>
        <v>0</v>
      </c>
      <c r="AL42" s="199">
        <f>资产负债!AL43-资产负债!AK43</f>
        <v>0</v>
      </c>
      <c r="AM42" s="367"/>
      <c r="AN42" s="367"/>
      <c r="AO42" s="367"/>
      <c r="AP42" s="277"/>
      <c r="AQ42" s="277"/>
    </row>
    <row r="43" spans="1:139" ht="17.25" customHeight="1" outlineLevel="1">
      <c r="A43" s="234" t="s">
        <v>2833</v>
      </c>
      <c r="D43" s="199">
        <f>资产负债!D44-资产负债!C44</f>
        <v>0</v>
      </c>
      <c r="E43" s="199">
        <f>资产负债!E44-资产负债!D44</f>
        <v>0</v>
      </c>
      <c r="F43" s="199">
        <f>资产负债!F44-资产负债!E44</f>
        <v>0</v>
      </c>
      <c r="G43" s="199">
        <f>资产负债!G44-资产负债!F44</f>
        <v>0</v>
      </c>
      <c r="H43" s="199">
        <f>资产负债!H44-资产负债!G44</f>
        <v>0</v>
      </c>
      <c r="I43" s="199">
        <f>资产负债!I44-资产负债!H44</f>
        <v>0</v>
      </c>
      <c r="J43" s="199">
        <f>资产负债!J44-资产负债!I44</f>
        <v>0</v>
      </c>
      <c r="K43" s="199">
        <f>资产负债!K44-资产负债!J44</f>
        <v>0</v>
      </c>
      <c r="L43" s="199">
        <f>资产负债!L44-资产负债!K44</f>
        <v>0</v>
      </c>
      <c r="M43" s="199">
        <f>资产负债!M44-资产负债!L44</f>
        <v>0</v>
      </c>
      <c r="N43" s="199">
        <f>资产负债!N44-资产负债!M44</f>
        <v>0</v>
      </c>
      <c r="O43" s="199">
        <f>资产负债!O44-资产负债!N44</f>
        <v>0</v>
      </c>
      <c r="P43" s="199">
        <f>资产负债!P44-资产负债!O44</f>
        <v>0</v>
      </c>
      <c r="Q43" s="199">
        <f>资产负债!Q44-资产负债!P44</f>
        <v>0</v>
      </c>
      <c r="R43" s="199">
        <f>资产负债!R44-资产负债!Q44</f>
        <v>0</v>
      </c>
      <c r="S43" s="199">
        <f>资产负债!S44-资产负债!R44</f>
        <v>0</v>
      </c>
      <c r="T43" s="199">
        <f>资产负债!T44-资产负债!S44</f>
        <v>0</v>
      </c>
      <c r="U43" s="199">
        <f>资产负债!U44-资产负债!T44</f>
        <v>0</v>
      </c>
      <c r="V43" s="199">
        <f>资产负债!V44-资产负债!U44</f>
        <v>0</v>
      </c>
      <c r="W43" s="199">
        <f>资产负债!W44-资产负债!V44</f>
        <v>0</v>
      </c>
      <c r="X43" s="199">
        <f>资产负债!X44-资产负债!W44</f>
        <v>0</v>
      </c>
      <c r="Y43" s="199">
        <f>资产负债!Y44-资产负债!X44</f>
        <v>0</v>
      </c>
      <c r="Z43" s="199">
        <f>资产负债!Z44-资产负债!Y44</f>
        <v>0</v>
      </c>
      <c r="AA43" s="199">
        <f>资产负债!AA44-资产负债!Z44</f>
        <v>0</v>
      </c>
      <c r="AB43" s="199">
        <f>资产负债!AB44-资产负债!AA44</f>
        <v>0</v>
      </c>
      <c r="AC43" s="199">
        <f>资产负债!AC44-资产负债!AB44</f>
        <v>0</v>
      </c>
      <c r="AD43" s="199">
        <f>资产负债!AD44-资产负债!AC44</f>
        <v>0</v>
      </c>
      <c r="AE43" s="199">
        <f>资产负债!AE44-资产负债!AD44</f>
        <v>0</v>
      </c>
      <c r="AF43" s="199">
        <f>资产负债!AF44-资产负债!AE44</f>
        <v>0</v>
      </c>
      <c r="AG43" s="199">
        <f>资产负债!AG44-资产负债!AF44</f>
        <v>0</v>
      </c>
      <c r="AH43" s="199">
        <f>资产负债!AH44-资产负债!AG44</f>
        <v>0</v>
      </c>
      <c r="AI43" s="199">
        <f>资产负债!AI44-资产负债!AH44</f>
        <v>0</v>
      </c>
      <c r="AJ43" s="199">
        <f>资产负债!AJ44-资产负债!AI44</f>
        <v>0</v>
      </c>
      <c r="AK43" s="199">
        <f>资产负债!AK44-资产负债!AJ44</f>
        <v>0</v>
      </c>
      <c r="AL43" s="199">
        <f>资产负债!AL44-资产负债!AK44</f>
        <v>0</v>
      </c>
      <c r="AM43" s="367"/>
      <c r="AN43" s="367"/>
      <c r="AO43" s="367"/>
      <c r="AP43" s="277"/>
      <c r="AQ43" s="277"/>
    </row>
    <row r="44" spans="1:139" ht="17.25" customHeight="1" outlineLevel="1">
      <c r="A44" s="234" t="s">
        <v>823</v>
      </c>
      <c r="D44" s="199">
        <f>资产负债!D52-资产负债!C52</f>
        <v>32.063400559999998</v>
      </c>
      <c r="E44" s="199">
        <f>资产负债!E52-资产负债!D52</f>
        <v>-14.311590799999994</v>
      </c>
      <c r="F44" s="199">
        <f>资产负债!F52-资产负债!E52</f>
        <v>11.11767755</v>
      </c>
      <c r="G44" s="199">
        <f>资产负债!G52-资产负债!F52</f>
        <v>57.94227149000001</v>
      </c>
      <c r="H44" s="199">
        <f>资产负债!H52-资产负债!G52</f>
        <v>450.21340641999996</v>
      </c>
      <c r="I44" s="199">
        <f ca="1">资产负债!I52-资产负债!H52</f>
        <v>-398.8290344149446</v>
      </c>
      <c r="J44" s="199">
        <f ca="1">资产负债!J52-资产负债!I52</f>
        <v>16.424152288170006</v>
      </c>
      <c r="K44" s="199">
        <f ca="1">资产负债!K52-资产负债!J52</f>
        <v>17.187552855872184</v>
      </c>
      <c r="L44" s="199">
        <f ca="1">资产负债!L52-资产负债!K52</f>
        <v>13.675574937789548</v>
      </c>
      <c r="M44" s="199">
        <f ca="1">资产负债!M52-资产负债!L52</f>
        <v>9.7974747528728585</v>
      </c>
      <c r="N44" s="199">
        <f ca="1">资产负债!N52-资产负债!M52</f>
        <v>-126.70387417753523</v>
      </c>
      <c r="O44" s="199">
        <f ca="1">资产负债!O52-资产负债!N52</f>
        <v>2.6429299864491185</v>
      </c>
      <c r="P44" s="199">
        <f ca="1">资产负债!P52-资产负债!O52</f>
        <v>2.8440331980041549</v>
      </c>
      <c r="Q44" s="199">
        <f ca="1">资产负债!Q52-资产负债!P52</f>
        <v>6.7913122098587877</v>
      </c>
      <c r="R44" s="199">
        <f ca="1">资产负债!R52-资产负债!Q52</f>
        <v>12.981292151939854</v>
      </c>
      <c r="S44" s="199">
        <f ca="1">资产负债!S52-资产负债!R52</f>
        <v>11.389455989031617</v>
      </c>
      <c r="T44" s="199">
        <f ca="1">资产负债!T52-资产负债!S52</f>
        <v>11.181489058491138</v>
      </c>
      <c r="U44" s="199">
        <f ca="1">资产负债!U52-资产负债!T52</f>
        <v>13.279235358804186</v>
      </c>
      <c r="V44" s="199">
        <f ca="1">资产负债!V52-资产负债!U52</f>
        <v>26.203571243551124</v>
      </c>
      <c r="W44" s="199">
        <f ca="1">资产负债!W52-资产负债!V52</f>
        <v>30.373096026142491</v>
      </c>
      <c r="X44" s="199">
        <f ca="1">资产负债!X52-资产负债!W52</f>
        <v>33.905432524999014</v>
      </c>
      <c r="Y44" s="199">
        <f ca="1">资产负债!Y52-资产负债!X52</f>
        <v>37.949876808439825</v>
      </c>
      <c r="Z44" s="199">
        <f ca="1">资产负债!Z52-资产负债!Y52</f>
        <v>43.186171794161282</v>
      </c>
      <c r="AA44" s="199">
        <f ca="1">资产负债!AA52-资产负债!Z52</f>
        <v>39.474195824110097</v>
      </c>
      <c r="AB44" s="199">
        <f ca="1">资产负债!AB52-资产负债!AA52</f>
        <v>44.107204261276252</v>
      </c>
      <c r="AC44" s="199">
        <f ca="1">资产负债!AC52-资产负债!AB52</f>
        <v>49.294887066841738</v>
      </c>
      <c r="AD44" s="199">
        <f ca="1">资产负债!AD52-资产负债!AC52</f>
        <v>55.707496402642562</v>
      </c>
      <c r="AE44" s="199">
        <f ca="1">资产负债!AE52-资产负债!AD52</f>
        <v>63.065187298259218</v>
      </c>
      <c r="AF44" s="199">
        <f ca="1">资产负债!AF52-资产负债!AE52</f>
        <v>71.514084183919181</v>
      </c>
      <c r="AG44" s="199">
        <f ca="1">资产负债!AG52-资产负债!AF52</f>
        <v>80.749703527375004</v>
      </c>
      <c r="AH44" s="199">
        <f ca="1">资产负债!AH52-资产负债!AG52</f>
        <v>90.877139706152661</v>
      </c>
      <c r="AI44" s="199">
        <f ca="1">资产负债!AI52-资产负债!AH52</f>
        <v>102.91927096050654</v>
      </c>
      <c r="AJ44" s="199">
        <f ca="1">资产负债!AJ52-资产负债!AI52</f>
        <v>116.51870913350115</v>
      </c>
      <c r="AK44" s="199">
        <f ca="1">资产负债!AK52-资产负债!AJ52</f>
        <v>131.43746971882865</v>
      </c>
      <c r="AL44" s="199">
        <f ca="1">资产负债!AL52-资产负债!AK52</f>
        <v>148.63312057767007</v>
      </c>
      <c r="AM44" s="367"/>
      <c r="AN44" s="367"/>
      <c r="AO44" s="367"/>
      <c r="AP44" s="277"/>
      <c r="AQ44" s="277"/>
    </row>
    <row r="45" spans="1:139" ht="17.25" customHeight="1" outlineLevel="1">
      <c r="A45" s="234" t="s">
        <v>1415</v>
      </c>
      <c r="D45" s="199">
        <f>资产负债!D62-资产负债!C62</f>
        <v>108.34543031999999</v>
      </c>
      <c r="E45" s="199">
        <f>资产负债!E62-资产负债!D62</f>
        <v>-52.579212439999992</v>
      </c>
      <c r="F45" s="199">
        <f>资产负债!F62-资产负债!E62</f>
        <v>137.66804273999998</v>
      </c>
      <c r="G45" s="199">
        <f>资产负债!G62-资产负债!F62</f>
        <v>645.21151568000005</v>
      </c>
      <c r="H45" s="199">
        <f>资产负债!H62-资产负债!G62</f>
        <v>-148.10334642000009</v>
      </c>
      <c r="I45" s="199">
        <f ca="1">资产负债!I62-资产负债!H62</f>
        <v>-140.17593780977836</v>
      </c>
      <c r="J45" s="199">
        <f ca="1">资产负债!J62-资产负债!I62</f>
        <v>-76.380774532375426</v>
      </c>
      <c r="K45" s="199">
        <f ca="1">资产负债!K62-资产负债!J62</f>
        <v>-89.751324549736751</v>
      </c>
      <c r="L45" s="199">
        <f ca="1">资产负债!L62-资产负债!K62</f>
        <v>-120.98678907793936</v>
      </c>
      <c r="M45" s="199">
        <f ca="1">资产负债!M62-资产负债!L62</f>
        <v>-150.1747647553957</v>
      </c>
      <c r="N45" s="199">
        <f ca="1">资产负债!N62-资产负债!M62</f>
        <v>4.4092831953761333</v>
      </c>
      <c r="O45" s="199">
        <f ca="1">资产负债!O62-资产负债!N62</f>
        <v>20.234217044421712</v>
      </c>
      <c r="P45" s="199">
        <f ca="1">资产负债!P62-资产负债!O62</f>
        <v>22.212702742703641</v>
      </c>
      <c r="Q45" s="199">
        <f ca="1">资产负债!Q62-资产负债!P62</f>
        <v>17.597896001704839</v>
      </c>
      <c r="R45" s="199">
        <f ca="1">资产负债!R62-资产负债!Q62</f>
        <v>16.176002635586883</v>
      </c>
      <c r="S45" s="199">
        <f ca="1">资产负债!S62-资产负债!R62</f>
        <v>24.707539605250673</v>
      </c>
      <c r="T45" s="199">
        <f ca="1">资产负债!T62-资产负债!S62</f>
        <v>30.954079729551864</v>
      </c>
      <c r="U45" s="199">
        <f ca="1">资产负债!U62-资产负债!T62</f>
        <v>32.986094768599003</v>
      </c>
      <c r="V45" s="199">
        <f ca="1">资产负债!V62-资产负债!U62</f>
        <v>73.580708417642484</v>
      </c>
      <c r="W45" s="199">
        <f ca="1">资产负债!W62-资产负债!V62</f>
        <v>75.614635090278966</v>
      </c>
      <c r="X45" s="199">
        <f ca="1">资产负债!X62-资产负债!W62</f>
        <v>79.291878018257876</v>
      </c>
      <c r="Y45" s="199">
        <f ca="1">资产负债!Y62-资产负债!X62</f>
        <v>78.992251809814434</v>
      </c>
      <c r="Z45" s="199">
        <f ca="1">资产负债!Z62-资产负债!Y62</f>
        <v>77.298805342111677</v>
      </c>
      <c r="AA45" s="199">
        <f ca="1">资产负债!AA62-资产负债!Z62</f>
        <v>86.062914560339891</v>
      </c>
      <c r="AB45" s="199">
        <f ca="1">资产负债!AB62-资产负债!AA62</f>
        <v>97.52777518367418</v>
      </c>
      <c r="AC45" s="199">
        <f ca="1">资产负债!AC62-资产负债!AB62</f>
        <v>111.75397759763678</v>
      </c>
      <c r="AD45" s="199">
        <f ca="1">资产负债!AD62-资产负债!AC62</f>
        <v>125.75977847399565</v>
      </c>
      <c r="AE45" s="199">
        <f ca="1">资产负债!AE62-资产负债!AD62</f>
        <v>140.97577098027773</v>
      </c>
      <c r="AF45" s="199">
        <f ca="1">资产负债!AF62-资产负债!AE62</f>
        <v>159.9444762669973</v>
      </c>
      <c r="AG45" s="199">
        <f ca="1">资产负债!AG62-资产负债!AF62</f>
        <v>180.94493434151059</v>
      </c>
      <c r="AH45" s="199">
        <f ca="1">资产负债!AH62-资产负债!AG62</f>
        <v>204.22606501005225</v>
      </c>
      <c r="AI45" s="199">
        <f ca="1">资产负债!AI62-资产负债!AH62</f>
        <v>231.23074760031477</v>
      </c>
      <c r="AJ45" s="199">
        <f ca="1">资产负债!AJ62-资产负债!AI62</f>
        <v>260.99040913632962</v>
      </c>
      <c r="AK45" s="199">
        <f ca="1">资产负债!AK62-资产负债!AJ62</f>
        <v>294.62953181477678</v>
      </c>
      <c r="AL45" s="199">
        <f ca="1">资产负债!AL62-资产负债!AK62</f>
        <v>333.72482713320233</v>
      </c>
      <c r="AM45" s="225"/>
      <c r="AN45" s="225"/>
      <c r="AO45" s="367"/>
      <c r="AP45" s="277"/>
      <c r="AQ45" s="277"/>
    </row>
    <row r="46" spans="1:139" ht="17.25" customHeight="1" outlineLevel="1">
      <c r="A46" s="234" t="s">
        <v>2834</v>
      </c>
      <c r="D46" s="199">
        <f>资产负债!D63-资产负债!C63</f>
        <v>0</v>
      </c>
      <c r="E46" s="199">
        <f>资产负债!E63-资产负债!D63</f>
        <v>0</v>
      </c>
      <c r="F46" s="199">
        <f>资产负债!F63-资产负债!E63</f>
        <v>10.820055029999999</v>
      </c>
      <c r="G46" s="199">
        <f>资产负债!G63-资产负债!F63</f>
        <v>-0.78861400999999987</v>
      </c>
      <c r="H46" s="199">
        <f>资产负债!H63-资产负债!G63</f>
        <v>-2.0552483999999991</v>
      </c>
      <c r="I46" s="199">
        <f>资产负债!I63-资产负债!H63</f>
        <v>0.68508280000000088</v>
      </c>
      <c r="J46" s="199">
        <f>资产负债!J63-资产负债!I63</f>
        <v>-0.22836093333333451</v>
      </c>
      <c r="K46" s="199">
        <f>资产负债!K63-资产负债!J63</f>
        <v>7.6120311111111505E-2</v>
      </c>
      <c r="L46" s="199">
        <f>资产负债!L63-资产负债!K63</f>
        <v>-2.537343703703776E-2</v>
      </c>
      <c r="M46" s="199">
        <f>资产负债!M63-资产负债!L63</f>
        <v>8.4578123456804377E-3</v>
      </c>
      <c r="N46" s="199">
        <f>资产负债!N63-资产负债!M63</f>
        <v>-2.8192707818934792E-3</v>
      </c>
      <c r="O46" s="199">
        <f>资产负债!O63-资产负债!N63</f>
        <v>9.3975692729841853E-4</v>
      </c>
      <c r="P46" s="199">
        <f>资产负债!P63-资产负债!O63</f>
        <v>-3.1325230910006496E-4</v>
      </c>
      <c r="Q46" s="199">
        <f>资产负债!Q63-资产负债!P63</f>
        <v>1.0441743636668832E-4</v>
      </c>
      <c r="R46" s="199">
        <f>资产负债!R63-资产负债!Q63</f>
        <v>-3.480581212222944E-5</v>
      </c>
      <c r="S46" s="199">
        <f>资产负债!S63-资产负债!R63</f>
        <v>1.1601937373484361E-5</v>
      </c>
      <c r="T46" s="199">
        <f>资产负债!T63-资产负债!S63</f>
        <v>-3.8673124578281204E-6</v>
      </c>
      <c r="U46" s="199">
        <f>资产负债!U63-资产负债!T63</f>
        <v>1.2891041532014924E-6</v>
      </c>
      <c r="V46" s="199">
        <f>资产负债!V63-资产负债!U63</f>
        <v>-4.2970138558473536E-7</v>
      </c>
      <c r="W46" s="199">
        <f>资产负债!W63-资产负债!V63</f>
        <v>1.4323379460279284E-7</v>
      </c>
      <c r="X46" s="199">
        <f>资产负债!X63-资产负债!W63</f>
        <v>-4.7744597608812001E-8</v>
      </c>
      <c r="Y46" s="199">
        <f>资产负债!Y63-资产负债!X63</f>
        <v>1.5914865869604E-8</v>
      </c>
      <c r="Z46" s="199">
        <f>资产负债!Z63-资产负债!Y63</f>
        <v>-5.3049546977490536E-9</v>
      </c>
      <c r="AA46" s="199">
        <f>资产负债!AA63-资产负债!Z63</f>
        <v>1.7683188247019643E-9</v>
      </c>
      <c r="AB46" s="199">
        <f>资产负债!AB63-资产负债!AA63</f>
        <v>-5.8943960823398811E-10</v>
      </c>
      <c r="AC46" s="199">
        <f>资产负债!AC63-资产负债!AB63</f>
        <v>1.964792772923829E-10</v>
      </c>
      <c r="AD46" s="199">
        <f>资产负债!AD63-资产负债!AC63</f>
        <v>-6.5494276668687235E-11</v>
      </c>
      <c r="AE46" s="199">
        <f>资产负债!AE63-资产负债!AD63</f>
        <v>2.1831425556229078E-11</v>
      </c>
      <c r="AF46" s="199">
        <f>资产负债!AF63-资产负债!AE63</f>
        <v>-7.2759576141834259E-12</v>
      </c>
      <c r="AG46" s="199">
        <f>资产负债!AG63-资产负债!AF63</f>
        <v>2.4247270857813419E-12</v>
      </c>
      <c r="AH46" s="199">
        <f>资产负债!AH63-资产负债!AG63</f>
        <v>-8.0824236192711396E-13</v>
      </c>
      <c r="AI46" s="199">
        <f>资产负债!AI63-资产负债!AH63</f>
        <v>2.7000623958883807E-13</v>
      </c>
      <c r="AJ46" s="199">
        <f>资产负债!AJ63-资产负债!AI63</f>
        <v>-8.8817841970012523E-14</v>
      </c>
      <c r="AK46" s="199">
        <f>资产负债!AK63-资产负债!AJ63</f>
        <v>3.0198066269804258E-14</v>
      </c>
      <c r="AL46" s="199">
        <f>资产负债!AL63-资产负债!AK63</f>
        <v>0</v>
      </c>
      <c r="AM46" s="225"/>
      <c r="AN46" s="225"/>
      <c r="AO46" s="367"/>
      <c r="AP46" s="277"/>
      <c r="AQ46" s="277"/>
    </row>
    <row r="47" spans="1:139" ht="17.25" customHeight="1" outlineLevel="1">
      <c r="A47" s="234" t="s">
        <v>1414</v>
      </c>
      <c r="D47" s="199">
        <f>资产负债!D64-资产负债!C64</f>
        <v>0</v>
      </c>
      <c r="E47" s="199">
        <f>资产负债!E64-资产负债!D64</f>
        <v>0</v>
      </c>
      <c r="F47" s="199">
        <f>资产负债!F64-资产负债!E64</f>
        <v>0</v>
      </c>
      <c r="G47" s="199">
        <f>资产负债!G64-资产负债!F64</f>
        <v>0</v>
      </c>
      <c r="H47" s="199">
        <f>资产负债!H64-资产负债!G64</f>
        <v>0</v>
      </c>
      <c r="I47" s="199">
        <f>资产负债!I64-资产负债!H64</f>
        <v>0</v>
      </c>
      <c r="J47" s="199">
        <f>资产负债!J64-资产负债!I64</f>
        <v>0</v>
      </c>
      <c r="K47" s="199">
        <f>资产负债!K64-资产负债!J64</f>
        <v>0</v>
      </c>
      <c r="L47" s="199">
        <f>资产负债!L64-资产负债!K64</f>
        <v>0</v>
      </c>
      <c r="M47" s="199">
        <f>资产负债!M64-资产负债!L64</f>
        <v>0</v>
      </c>
      <c r="N47" s="199">
        <f>资产负债!N64-资产负债!M64</f>
        <v>0</v>
      </c>
      <c r="O47" s="199">
        <f>资产负债!O64-资产负债!N64</f>
        <v>0</v>
      </c>
      <c r="P47" s="199">
        <f>资产负债!P64-资产负债!O64</f>
        <v>0</v>
      </c>
      <c r="Q47" s="199">
        <f>资产负债!Q64-资产负债!P64</f>
        <v>0</v>
      </c>
      <c r="R47" s="199">
        <f>资产负债!R64-资产负债!Q64</f>
        <v>0</v>
      </c>
      <c r="S47" s="199">
        <f>资产负债!S64-资产负债!R64</f>
        <v>0</v>
      </c>
      <c r="T47" s="199">
        <f>资产负债!T64-资产负债!S64</f>
        <v>0</v>
      </c>
      <c r="U47" s="199">
        <f>资产负债!U64-资产负债!T64</f>
        <v>0</v>
      </c>
      <c r="V47" s="199">
        <f>资产负债!V64-资产负债!U64</f>
        <v>0</v>
      </c>
      <c r="W47" s="199">
        <f>资产负债!W64-资产负债!V64</f>
        <v>0</v>
      </c>
      <c r="X47" s="199">
        <f>资产负债!X64-资产负债!W64</f>
        <v>0</v>
      </c>
      <c r="Y47" s="199">
        <f>资产负债!Y64-资产负债!X64</f>
        <v>0</v>
      </c>
      <c r="Z47" s="199">
        <f>资产负债!Z64-资产负债!Y64</f>
        <v>0</v>
      </c>
      <c r="AA47" s="199">
        <f>资产负债!AA64-资产负债!Z64</f>
        <v>0</v>
      </c>
      <c r="AB47" s="199">
        <f>资产负债!AB64-资产负债!AA64</f>
        <v>0</v>
      </c>
      <c r="AC47" s="199">
        <f>资产负债!AC64-资产负债!AB64</f>
        <v>0</v>
      </c>
      <c r="AD47" s="199">
        <f>资产负债!AD64-资产负债!AC64</f>
        <v>0</v>
      </c>
      <c r="AE47" s="199">
        <f>资产负债!AE64-资产负债!AD64</f>
        <v>0</v>
      </c>
      <c r="AF47" s="199">
        <f>资产负债!AF64-资产负债!AE64</f>
        <v>0</v>
      </c>
      <c r="AG47" s="199">
        <f>资产负债!AG64-资产负债!AF64</f>
        <v>0</v>
      </c>
      <c r="AH47" s="199">
        <f>资产负债!AH64-资产负债!AG64</f>
        <v>0</v>
      </c>
      <c r="AI47" s="199">
        <f>资产负债!AI64-资产负债!AH64</f>
        <v>0</v>
      </c>
      <c r="AJ47" s="199">
        <f>资产负债!AJ64-资产负债!AI64</f>
        <v>0</v>
      </c>
      <c r="AK47" s="199">
        <f>资产负债!AK64-资产负债!AJ64</f>
        <v>0</v>
      </c>
      <c r="AL47" s="199">
        <f>资产负债!AL64-资产负债!AK64</f>
        <v>0</v>
      </c>
      <c r="AM47" s="225"/>
      <c r="AN47" s="225"/>
      <c r="AO47" s="367"/>
      <c r="AP47" s="277"/>
      <c r="AQ47" s="277"/>
    </row>
    <row r="48" spans="1:139" ht="17.25" customHeight="1" outlineLevel="1">
      <c r="A48" s="704" t="s">
        <v>1345</v>
      </c>
      <c r="D48" s="199">
        <f>资产负债!D66-资产负债!C66</f>
        <v>0</v>
      </c>
      <c r="E48" s="199">
        <f>资产负债!E66-资产负债!D66</f>
        <v>0</v>
      </c>
      <c r="F48" s="199">
        <f>资产负债!F66-资产负债!E66</f>
        <v>0</v>
      </c>
      <c r="G48" s="199">
        <f>资产负债!G66-资产负债!F66</f>
        <v>0</v>
      </c>
      <c r="H48" s="199">
        <f>资产负债!H66-资产负债!G66</f>
        <v>0</v>
      </c>
      <c r="I48" s="199">
        <f>资产负债!I66-资产负债!H66</f>
        <v>0</v>
      </c>
      <c r="J48" s="199">
        <f>资产负债!J66-资产负债!I66</f>
        <v>0</v>
      </c>
      <c r="K48" s="199">
        <f>资产负债!K66-资产负债!J66</f>
        <v>0</v>
      </c>
      <c r="L48" s="199">
        <f>资产负债!L66-资产负债!K66</f>
        <v>0</v>
      </c>
      <c r="M48" s="199">
        <f>资产负债!M66-资产负债!L66</f>
        <v>0</v>
      </c>
      <c r="N48" s="199">
        <f>资产负债!N66-资产负债!M66</f>
        <v>0</v>
      </c>
      <c r="O48" s="199">
        <f>资产负债!O66-资产负债!N66</f>
        <v>0</v>
      </c>
      <c r="P48" s="199">
        <f>资产负债!P66-资产负债!O66</f>
        <v>0</v>
      </c>
      <c r="Q48" s="199">
        <f>资产负债!Q66-资产负债!P66</f>
        <v>0</v>
      </c>
      <c r="R48" s="199">
        <f>资产负债!R66-资产负债!Q66</f>
        <v>0</v>
      </c>
      <c r="S48" s="199">
        <f>资产负债!S66-资产负债!R66</f>
        <v>0</v>
      </c>
      <c r="T48" s="199">
        <f>资产负债!T66-资产负债!S66</f>
        <v>0</v>
      </c>
      <c r="U48" s="199">
        <f>资产负债!U66-资产负债!T66</f>
        <v>0</v>
      </c>
      <c r="V48" s="199">
        <f>资产负债!V66-资产负债!U66</f>
        <v>0</v>
      </c>
      <c r="W48" s="199">
        <f>资产负债!W66-资产负债!V66</f>
        <v>0</v>
      </c>
      <c r="X48" s="199">
        <f>资产负债!X66-资产负债!W66</f>
        <v>0</v>
      </c>
      <c r="Y48" s="199">
        <f>资产负债!Y66-资产负债!X66</f>
        <v>0</v>
      </c>
      <c r="Z48" s="199">
        <f>资产负债!Z66-资产负债!Y66</f>
        <v>0</v>
      </c>
      <c r="AA48" s="199">
        <f>资产负债!AA66-资产负债!Z66</f>
        <v>0</v>
      </c>
      <c r="AB48" s="199">
        <f>资产负债!AB66-资产负债!AA66</f>
        <v>0</v>
      </c>
      <c r="AC48" s="199">
        <f>资产负债!AC66-资产负债!AB66</f>
        <v>0</v>
      </c>
      <c r="AD48" s="199">
        <f>资产负债!AD66-资产负债!AC66</f>
        <v>0</v>
      </c>
      <c r="AE48" s="199">
        <f>资产负债!AE66-资产负债!AD66</f>
        <v>0</v>
      </c>
      <c r="AF48" s="199">
        <f>资产负债!AF66-资产负债!AE66</f>
        <v>0</v>
      </c>
      <c r="AG48" s="199">
        <f>资产负债!AG66-资产负债!AF66</f>
        <v>0</v>
      </c>
      <c r="AH48" s="199">
        <f>资产负债!AH66-资产负债!AG66</f>
        <v>0</v>
      </c>
      <c r="AI48" s="199">
        <f>资产负债!AI66-资产负债!AH66</f>
        <v>0</v>
      </c>
      <c r="AJ48" s="199">
        <f>资产负债!AJ66-资产负债!AI66</f>
        <v>0</v>
      </c>
      <c r="AK48" s="199">
        <f>资产负债!AK66-资产负债!AJ66</f>
        <v>0</v>
      </c>
      <c r="AL48" s="199">
        <f>资产负债!AL66-资产负债!AK66</f>
        <v>0</v>
      </c>
      <c r="AM48" s="199"/>
      <c r="AN48" s="199"/>
      <c r="AO48" s="367"/>
      <c r="AP48" s="277"/>
      <c r="AQ48" s="277"/>
    </row>
    <row r="49" spans="1:139" ht="17.25" customHeight="1" outlineLevel="1">
      <c r="A49" s="704" t="s">
        <v>1346</v>
      </c>
      <c r="D49" s="199">
        <f>资产负债!D67-资产负债!C67</f>
        <v>6.6110558499999996</v>
      </c>
      <c r="E49" s="199">
        <f>资产负债!E67-资产负债!D67</f>
        <v>8.0243513900000032</v>
      </c>
      <c r="F49" s="199">
        <f>资产负债!F67-资产负债!E67</f>
        <v>14.053243479999999</v>
      </c>
      <c r="G49" s="199">
        <f>资产负债!G67-资产负债!F67</f>
        <v>24.601933900000006</v>
      </c>
      <c r="H49" s="199">
        <f>资产负债!H67-资产负债!G67</f>
        <v>32.49213795</v>
      </c>
      <c r="I49" s="199">
        <f>资产负债!I67-资产负债!H67</f>
        <v>16.786665659999997</v>
      </c>
      <c r="J49" s="199">
        <f>资产负债!J67-资产负债!I67</f>
        <v>-5.5955552199999943</v>
      </c>
      <c r="K49" s="199">
        <f>资产负债!K67-资产负债!J67</f>
        <v>1.8651850733333362</v>
      </c>
      <c r="L49" s="199">
        <f>资产负债!L67-资产负债!K67</f>
        <v>-0.62172835777778346</v>
      </c>
      <c r="M49" s="199">
        <f>资产负债!M67-资产负债!L67</f>
        <v>0.20724278592592782</v>
      </c>
      <c r="N49" s="199">
        <f>资产负债!N67-资产负债!M67</f>
        <v>-6.9080928641980677E-2</v>
      </c>
      <c r="O49" s="199">
        <f>资产负债!O67-资产负债!N67</f>
        <v>2.3026976213998296E-2</v>
      </c>
      <c r="P49" s="199">
        <f>资产负债!P67-资产负债!O67</f>
        <v>-7.675658737994695E-3</v>
      </c>
      <c r="Q49" s="199">
        <f>资产负债!Q67-资产负债!P67</f>
        <v>2.5585529126601614E-3</v>
      </c>
      <c r="R49" s="199">
        <f>资产负债!R67-资产负债!Q67</f>
        <v>-8.5285097088672046E-4</v>
      </c>
      <c r="S49" s="199">
        <f>资产负债!S67-资产负债!R67</f>
        <v>2.8428365695276625E-4</v>
      </c>
      <c r="T49" s="199">
        <f>资产负债!T67-资产负债!S67</f>
        <v>-9.4761218988992368E-5</v>
      </c>
      <c r="U49" s="199">
        <f>资产负债!U67-资产负债!T67</f>
        <v>3.1587072996330789E-5</v>
      </c>
      <c r="V49" s="199">
        <f>资产负债!V67-资产负债!U67</f>
        <v>-1.0529024336847215E-5</v>
      </c>
      <c r="W49" s="199">
        <f>资产负债!W67-资产负债!V67</f>
        <v>3.5096747694751684E-6</v>
      </c>
      <c r="X49" s="199">
        <f>资产负债!X67-资产负债!W67</f>
        <v>-1.1698915898250561E-6</v>
      </c>
      <c r="Y49" s="199">
        <f>资产负债!Y67-资产负债!X67</f>
        <v>3.8996387274892186E-7</v>
      </c>
      <c r="Z49" s="199">
        <f>资产负债!Z67-资产负债!Y67</f>
        <v>-1.299879670568771E-7</v>
      </c>
      <c r="AA49" s="199">
        <f>资产负债!AA67-资产负债!Z67</f>
        <v>4.3329322352292365E-8</v>
      </c>
      <c r="AB49" s="199">
        <f>资产负债!AB67-资产负债!AA67</f>
        <v>-1.444310271381255E-8</v>
      </c>
      <c r="AC49" s="199">
        <f>资产负债!AC67-资产负债!AB67</f>
        <v>4.81436757127085E-9</v>
      </c>
      <c r="AD49" s="199">
        <f>资产负债!AD67-资产负债!AC67</f>
        <v>-1.6048034012783319E-9</v>
      </c>
      <c r="AE49" s="199">
        <f>资产负债!AE67-资产负债!AD67</f>
        <v>5.3493920404434903E-10</v>
      </c>
      <c r="AF49" s="199">
        <f>资产负债!AF67-资产负债!AE67</f>
        <v>-1.7831780496635474E-10</v>
      </c>
      <c r="AG49" s="199">
        <f>资产负债!AG67-资产负债!AF67</f>
        <v>5.9444005273689982E-11</v>
      </c>
      <c r="AH49" s="199">
        <f>资产负债!AH67-资产负债!AG67</f>
        <v>-1.9824142327706795E-11</v>
      </c>
      <c r="AI49" s="199">
        <f>资产负债!AI67-资产负债!AH67</f>
        <v>6.6080474425689317E-12</v>
      </c>
      <c r="AJ49" s="199">
        <f>资产负债!AJ67-资产负债!AI67</f>
        <v>-2.2168933355715126E-12</v>
      </c>
      <c r="AK49" s="199">
        <f>资产负债!AK67-资产负债!AJ67</f>
        <v>7.3896444519050419E-13</v>
      </c>
      <c r="AL49" s="199">
        <f>资产负债!AL67-资产负债!AK67</f>
        <v>-2.4158453015843406E-13</v>
      </c>
      <c r="AM49" s="199"/>
      <c r="AN49" s="199"/>
      <c r="AO49" s="367"/>
      <c r="AP49" s="277"/>
      <c r="AQ49" s="277"/>
    </row>
    <row r="50" spans="1:139" ht="17.25" customHeight="1" outlineLevel="1">
      <c r="A50" s="234" t="s">
        <v>1413</v>
      </c>
      <c r="B50" s="460"/>
      <c r="C50" s="460"/>
      <c r="D50" s="199">
        <f>资产负债!D68-资产负债!C68</f>
        <v>0</v>
      </c>
      <c r="E50" s="199">
        <f>资产负债!E68-资产负债!D68</f>
        <v>0</v>
      </c>
      <c r="F50" s="199">
        <f>资产负债!F68-资产负债!E68</f>
        <v>2.8977348200000392</v>
      </c>
      <c r="G50" s="199">
        <f>资产负债!G68-资产负债!F68</f>
        <v>28.896061659999816</v>
      </c>
      <c r="H50" s="199">
        <f>资产负债!H68-资产负债!G68</f>
        <v>52.242702110000323</v>
      </c>
      <c r="I50" s="199">
        <f>资产负债!I68-资产负债!H68</f>
        <v>0</v>
      </c>
      <c r="J50" s="199">
        <f>资产负债!J68-资产负债!I68</f>
        <v>0</v>
      </c>
      <c r="K50" s="199">
        <f>资产负债!K68-资产负债!J68</f>
        <v>0</v>
      </c>
      <c r="L50" s="199">
        <f>资产负债!L68-资产负债!K68</f>
        <v>0</v>
      </c>
      <c r="M50" s="199">
        <f>资产负债!M68-资产负债!L68</f>
        <v>0</v>
      </c>
      <c r="N50" s="199">
        <f>资产负债!N68-资产负债!M68</f>
        <v>0</v>
      </c>
      <c r="O50" s="199">
        <f>资产负债!O68-资产负债!N68</f>
        <v>0</v>
      </c>
      <c r="P50" s="199">
        <f>资产负债!P68-资产负债!O68</f>
        <v>0</v>
      </c>
      <c r="Q50" s="199">
        <f>资产负债!Q68-资产负债!P68</f>
        <v>0</v>
      </c>
      <c r="R50" s="199">
        <f>资产负债!R68-资产负债!Q68</f>
        <v>0</v>
      </c>
      <c r="S50" s="199">
        <f>资产负债!S68-资产负债!R68</f>
        <v>0</v>
      </c>
      <c r="T50" s="199">
        <f>资产负债!T68-资产负债!S68</f>
        <v>0</v>
      </c>
      <c r="U50" s="199">
        <f>资产负债!U68-资产负债!T68</f>
        <v>0</v>
      </c>
      <c r="V50" s="199">
        <f>资产负债!V68-资产负债!U68</f>
        <v>0</v>
      </c>
      <c r="W50" s="199">
        <f>资产负债!W68-资产负债!V68</f>
        <v>0</v>
      </c>
      <c r="X50" s="199">
        <f>资产负债!X68-资产负债!W68</f>
        <v>0</v>
      </c>
      <c r="Y50" s="199">
        <f>资产负债!Y68-资产负债!X68</f>
        <v>0</v>
      </c>
      <c r="Z50" s="199">
        <f>资产负债!Z68-资产负债!Y68</f>
        <v>0</v>
      </c>
      <c r="AA50" s="199">
        <f>资产负债!AA68-资产负债!Z68</f>
        <v>0</v>
      </c>
      <c r="AB50" s="199">
        <f>资产负债!AB68-资产负债!AA68</f>
        <v>0</v>
      </c>
      <c r="AC50" s="199">
        <f>资产负债!AC68-资产负债!AB68</f>
        <v>0</v>
      </c>
      <c r="AD50" s="199">
        <f>资产负债!AD68-资产负债!AC68</f>
        <v>0</v>
      </c>
      <c r="AE50" s="199">
        <f>资产负债!AE68-资产负债!AD68</f>
        <v>0</v>
      </c>
      <c r="AF50" s="199">
        <f>资产负债!AF68-资产负债!AE68</f>
        <v>0</v>
      </c>
      <c r="AG50" s="199">
        <f>资产负债!AG68-资产负债!AF68</f>
        <v>0</v>
      </c>
      <c r="AH50" s="199">
        <f>资产负债!AH68-资产负债!AG68</f>
        <v>0</v>
      </c>
      <c r="AI50" s="199">
        <f>资产负债!AI68-资产负债!AH68</f>
        <v>0</v>
      </c>
      <c r="AJ50" s="199">
        <f>资产负债!AJ68-资产负债!AI68</f>
        <v>0</v>
      </c>
      <c r="AK50" s="199">
        <f>资产负债!AK68-资产负债!AJ68</f>
        <v>0</v>
      </c>
      <c r="AL50" s="199">
        <f>资产负债!AL68-资产负债!AK68</f>
        <v>0</v>
      </c>
      <c r="AM50" s="367"/>
      <c r="AN50" s="367"/>
      <c r="AO50" s="779"/>
      <c r="AP50" s="277"/>
      <c r="AQ50" s="277"/>
    </row>
    <row r="51" spans="1:139" s="1047" customFormat="1" ht="17.25" hidden="1" customHeight="1" outlineLevel="1">
      <c r="A51" s="1043" t="s">
        <v>2337</v>
      </c>
      <c r="B51" s="1044"/>
      <c r="C51" s="1044"/>
      <c r="D51" s="1045">
        <f>资产负债!D86-资产负债!C86-利润表!D30-利润表!D29+利润表!C33</f>
        <v>1304.4557743800001</v>
      </c>
      <c r="E51" s="1045">
        <f>资产负债!E86-资产负债!D86-利润表!E30-利润表!E29+利润表!D33</f>
        <v>-112.16329556000002</v>
      </c>
      <c r="F51" s="1045">
        <f>资产负债!F86-资产负债!E86-利润表!F30-利润表!F29+利润表!E33</f>
        <v>131.56483836999973</v>
      </c>
      <c r="G51" s="1045">
        <f>资产负债!G86-资产负债!F86-利润表!G30-利润表!G29+利润表!F33</f>
        <v>234.53323582000036</v>
      </c>
      <c r="H51" s="1045">
        <f>资产负债!H86-资产负债!G86-利润表!H30-利润表!H29+利润表!G33</f>
        <v>472.08836416000025</v>
      </c>
      <c r="I51" s="1045">
        <f ca="1">IF(CONCATENATE(LEFT(I1,4))=CONCATENATE(LEFT(目录!C8,4)),SUM(假设!G131:'假设'!J131),0)</f>
        <v>0</v>
      </c>
      <c r="J51" s="1045">
        <f ca="1">IF(CONCATENATE(LEFT(J1,4))=CONCATENATE(LEFT(目录!C8,4)),SUM(假设!G131:'假设'!J131),0)</f>
        <v>0</v>
      </c>
      <c r="K51" s="1045">
        <f>假设!L131</f>
        <v>0</v>
      </c>
      <c r="L51" s="1045">
        <f>假设!M131</f>
        <v>0</v>
      </c>
      <c r="M51" s="1045">
        <f>假设!N131</f>
        <v>0</v>
      </c>
      <c r="N51" s="1045">
        <f>假设!O131</f>
        <v>0</v>
      </c>
      <c r="O51" s="1045">
        <f>假设!P131</f>
        <v>0</v>
      </c>
      <c r="P51" s="1045">
        <f>假设!Q131</f>
        <v>0</v>
      </c>
      <c r="Q51" s="1045">
        <f>假设!R131</f>
        <v>0</v>
      </c>
      <c r="R51" s="1045">
        <f>假设!S131</f>
        <v>0</v>
      </c>
      <c r="S51" s="1045">
        <f>假设!T131</f>
        <v>0</v>
      </c>
      <c r="T51" s="1045">
        <f>假设!U131</f>
        <v>0</v>
      </c>
      <c r="U51" s="1045">
        <f>假设!V131</f>
        <v>0</v>
      </c>
      <c r="V51" s="1045">
        <f>假设!W131</f>
        <v>0</v>
      </c>
      <c r="W51" s="1045">
        <f>假设!X131</f>
        <v>0</v>
      </c>
      <c r="X51" s="1045">
        <f>假设!Y131</f>
        <v>0</v>
      </c>
      <c r="Y51" s="1045">
        <f>假设!Z131</f>
        <v>0</v>
      </c>
      <c r="Z51" s="1045">
        <f>假设!AA131</f>
        <v>0</v>
      </c>
      <c r="AA51" s="1045">
        <f>假设!AB131</f>
        <v>0</v>
      </c>
      <c r="AB51" s="1045">
        <f>假设!AC131</f>
        <v>0</v>
      </c>
      <c r="AC51" s="1045">
        <f>假设!AD131</f>
        <v>0</v>
      </c>
      <c r="AD51" s="1045">
        <f>假设!AE131</f>
        <v>0</v>
      </c>
      <c r="AE51" s="1045">
        <f>假设!AF131</f>
        <v>0</v>
      </c>
      <c r="AF51" s="1045">
        <f>假设!AG131</f>
        <v>0</v>
      </c>
      <c r="AG51" s="1045">
        <f>假设!AH131</f>
        <v>0</v>
      </c>
      <c r="AH51" s="1045">
        <f>假设!AI131</f>
        <v>0</v>
      </c>
      <c r="AI51" s="1045">
        <f>假设!AJ131</f>
        <v>0</v>
      </c>
      <c r="AJ51" s="1045">
        <f>假设!AK131</f>
        <v>0</v>
      </c>
      <c r="AK51" s="1045">
        <f>假设!AL131</f>
        <v>0</v>
      </c>
      <c r="AL51" s="1045">
        <v>0</v>
      </c>
      <c r="AM51" s="1046"/>
      <c r="AP51" s="1048"/>
      <c r="AQ51" s="1048"/>
    </row>
    <row r="52" spans="1:139" s="1040" customFormat="1" ht="17.25" customHeight="1" outlineLevel="1">
      <c r="A52" s="1036" t="s">
        <v>2338</v>
      </c>
      <c r="B52" s="1037"/>
      <c r="C52" s="1037"/>
      <c r="D52" s="1038">
        <f>年度数据!D118-年度数据!C118</f>
        <v>152.66660000000002</v>
      </c>
      <c r="E52" s="1038">
        <f>年度数据!E118-年度数据!D118</f>
        <v>-2.9429999999999836</v>
      </c>
      <c r="F52" s="1038">
        <f>年度数据!F118-年度数据!E118</f>
        <v>4.0480000000000018</v>
      </c>
      <c r="G52" s="1038">
        <f>年度数据!G118-年度数据!F118</f>
        <v>539.41498000000001</v>
      </c>
      <c r="H52" s="1038">
        <f>年度数据!H118-年度数据!G118</f>
        <v>29.692047000000002</v>
      </c>
      <c r="I52" s="1042">
        <f>假设!I136-年度数据!H118</f>
        <v>0</v>
      </c>
      <c r="J52" s="1042">
        <f>假设!J136-假设!I136</f>
        <v>0</v>
      </c>
      <c r="K52" s="1042">
        <f>假设!K136-假设!J136</f>
        <v>0</v>
      </c>
      <c r="L52" s="1042">
        <f>假设!L136-假设!K136</f>
        <v>0</v>
      </c>
      <c r="M52" s="1042">
        <f>假设!M136-假设!L136</f>
        <v>0</v>
      </c>
      <c r="N52" s="1042">
        <f>假设!N136-假设!M136</f>
        <v>0</v>
      </c>
      <c r="O52" s="1042">
        <f>假设!O136-假设!N136</f>
        <v>0</v>
      </c>
      <c r="P52" s="1042">
        <f>假设!P136-假设!O136</f>
        <v>0</v>
      </c>
      <c r="Q52" s="1042">
        <f>假设!Q136-假设!P136</f>
        <v>0</v>
      </c>
      <c r="R52" s="1042">
        <f>假设!R136-假设!Q136</f>
        <v>0</v>
      </c>
      <c r="S52" s="1042">
        <f>假设!S136-假设!R136</f>
        <v>0</v>
      </c>
      <c r="T52" s="1042">
        <f>假设!T136-假设!S136</f>
        <v>0</v>
      </c>
      <c r="U52" s="1042">
        <f>假设!U136-假设!T136</f>
        <v>0</v>
      </c>
      <c r="V52" s="1042">
        <f>假设!V136-假设!U136</f>
        <v>0</v>
      </c>
      <c r="W52" s="1042">
        <f>假设!W136-假设!V136</f>
        <v>0</v>
      </c>
      <c r="X52" s="1042">
        <f>假设!X136-假设!W136</f>
        <v>0</v>
      </c>
      <c r="Y52" s="1042">
        <f>假设!Y136-假设!X136</f>
        <v>0</v>
      </c>
      <c r="Z52" s="1042">
        <f>假设!Z136-假设!Y136</f>
        <v>0</v>
      </c>
      <c r="AA52" s="1042">
        <f>假设!AA136-假设!Z136</f>
        <v>0</v>
      </c>
      <c r="AB52" s="1042">
        <f>假设!AB136-假设!AA136</f>
        <v>0</v>
      </c>
      <c r="AC52" s="1042">
        <f>假设!AC136-假设!AB136</f>
        <v>0</v>
      </c>
      <c r="AD52" s="1042">
        <f>假设!AD136-假设!AC136</f>
        <v>0</v>
      </c>
      <c r="AE52" s="1042">
        <f>假设!AE136-假设!AD136</f>
        <v>0</v>
      </c>
      <c r="AF52" s="1042">
        <f>假设!AF136-假设!AE136</f>
        <v>0</v>
      </c>
      <c r="AG52" s="1042">
        <f>假设!AG136-假设!AF136</f>
        <v>0</v>
      </c>
      <c r="AH52" s="1042">
        <f>假设!AH136-假设!AG136</f>
        <v>0</v>
      </c>
      <c r="AI52" s="1042">
        <f>假设!AI136-假设!AH136</f>
        <v>0</v>
      </c>
      <c r="AJ52" s="1042">
        <f>假设!AJ136-假设!AI136</f>
        <v>0</v>
      </c>
      <c r="AK52" s="1042">
        <f>假设!AK136-假设!AJ136</f>
        <v>0</v>
      </c>
      <c r="AL52" s="1042">
        <f>假设!AL136-假设!AK136</f>
        <v>0</v>
      </c>
      <c r="AM52" s="1039"/>
      <c r="AP52" s="1041"/>
      <c r="AQ52" s="1041"/>
    </row>
    <row r="53" spans="1:139" s="1040" customFormat="1" ht="17.25" customHeight="1" outlineLevel="1">
      <c r="A53" s="1036" t="s">
        <v>2339</v>
      </c>
      <c r="B53" s="1037"/>
      <c r="C53" s="1037"/>
      <c r="D53" s="1038">
        <f>年度数据!D122-年度数据!C122</f>
        <v>1254.1424409900001</v>
      </c>
      <c r="E53" s="1038">
        <f>年度数据!E122-年度数据!D122</f>
        <v>-12.380225119999977</v>
      </c>
      <c r="F53" s="1038">
        <f>年度数据!F122-年度数据!E122</f>
        <v>78.317989160000025</v>
      </c>
      <c r="G53" s="1038">
        <f>年度数据!G122-年度数据!F122</f>
        <v>-228.01377493000018</v>
      </c>
      <c r="H53" s="1038">
        <f>年度数据!H122-年度数据!G122</f>
        <v>391.22472955000012</v>
      </c>
      <c r="I53" s="1042">
        <f>假设!I153-年度数据!H122</f>
        <v>0</v>
      </c>
      <c r="J53" s="1042">
        <f>假设!J153-假设!I153</f>
        <v>0</v>
      </c>
      <c r="K53" s="1042">
        <f>假设!K153-假设!J153</f>
        <v>0</v>
      </c>
      <c r="L53" s="1042">
        <f>假设!L153-假设!K153</f>
        <v>0</v>
      </c>
      <c r="M53" s="1042">
        <f>假设!M153-假设!L153</f>
        <v>0</v>
      </c>
      <c r="N53" s="1042">
        <f>假设!N153-假设!M153</f>
        <v>0</v>
      </c>
      <c r="O53" s="1042">
        <f>假设!O153-假设!N153</f>
        <v>0</v>
      </c>
      <c r="P53" s="1042">
        <f>假设!P153-假设!O153</f>
        <v>0</v>
      </c>
      <c r="Q53" s="1042">
        <f>假设!Q153-假设!P153</f>
        <v>0</v>
      </c>
      <c r="R53" s="1042">
        <f>假设!R153-假设!Q153</f>
        <v>0</v>
      </c>
      <c r="S53" s="1042">
        <f>假设!S153-假设!R153</f>
        <v>0</v>
      </c>
      <c r="T53" s="1042">
        <f>假设!T153-假设!S153</f>
        <v>0</v>
      </c>
      <c r="U53" s="1042">
        <f>假设!U153-假设!T153</f>
        <v>0</v>
      </c>
      <c r="V53" s="1042">
        <f>假设!V153-假设!U153</f>
        <v>0</v>
      </c>
      <c r="W53" s="1042">
        <f>假设!W153-假设!V153</f>
        <v>0</v>
      </c>
      <c r="X53" s="1042">
        <f>假设!X153-假设!W153</f>
        <v>0</v>
      </c>
      <c r="Y53" s="1042">
        <f>假设!Y153-假设!X153</f>
        <v>0</v>
      </c>
      <c r="Z53" s="1042">
        <f>假设!Z153-假设!Y153</f>
        <v>0</v>
      </c>
      <c r="AA53" s="1042">
        <f>假设!AA153-假设!Z153</f>
        <v>0</v>
      </c>
      <c r="AB53" s="1042">
        <f>假设!AB153-假设!AA153</f>
        <v>0</v>
      </c>
      <c r="AC53" s="1042">
        <f>假设!AC153-假设!AB153</f>
        <v>0</v>
      </c>
      <c r="AD53" s="1042">
        <f>假设!AD153-假设!AC153</f>
        <v>0</v>
      </c>
      <c r="AE53" s="1042">
        <f>假设!AE153-假设!AD153</f>
        <v>0</v>
      </c>
      <c r="AF53" s="1042">
        <f>假设!AF153-假设!AE153</f>
        <v>0</v>
      </c>
      <c r="AG53" s="1042">
        <f>假设!AG153-假设!AF153</f>
        <v>0</v>
      </c>
      <c r="AH53" s="1042">
        <f>假设!AH153-假设!AG153</f>
        <v>0</v>
      </c>
      <c r="AI53" s="1042">
        <f>假设!AI153-假设!AH153</f>
        <v>0</v>
      </c>
      <c r="AJ53" s="1042">
        <f>假设!AJ153-假设!AI153</f>
        <v>0</v>
      </c>
      <c r="AK53" s="1042">
        <f>假设!AK153-假设!AJ153</f>
        <v>0</v>
      </c>
      <c r="AL53" s="1042">
        <f>假设!AL153-假设!AK153</f>
        <v>0</v>
      </c>
      <c r="AM53" s="1039"/>
      <c r="AP53" s="1041"/>
      <c r="AQ53" s="1041"/>
    </row>
    <row r="54" spans="1:139" ht="17.25" customHeight="1" outlineLevel="1">
      <c r="A54" s="234" t="s">
        <v>194</v>
      </c>
      <c r="D54" s="199">
        <f>-利润表!C33</f>
        <v>-22.900000000000002</v>
      </c>
      <c r="E54" s="199">
        <f>-利润表!D33</f>
        <v>-30.533330000000003</v>
      </c>
      <c r="F54" s="199">
        <f>-利润表!E33</f>
        <v>0</v>
      </c>
      <c r="G54" s="199">
        <f>-利润表!F33</f>
        <v>-91.765740000000008</v>
      </c>
      <c r="H54" s="199">
        <f>-利润表!G33</f>
        <v>0</v>
      </c>
      <c r="I54" s="199">
        <f>-利润表!H33</f>
        <v>-59.043931350000008</v>
      </c>
      <c r="J54" s="199">
        <f>-利润表!I33</f>
        <v>-59.043931350000008</v>
      </c>
      <c r="K54" s="199">
        <f>-利润表!J33</f>
        <v>-73.804914187500003</v>
      </c>
      <c r="L54" s="199">
        <f>-利润表!K33</f>
        <v>-47.973194221875005</v>
      </c>
      <c r="M54" s="199">
        <f>-利润表!L33</f>
        <v>-59.966492777343753</v>
      </c>
      <c r="N54" s="199">
        <f>-利润表!M33</f>
        <v>-60.197133134179694</v>
      </c>
      <c r="O54" s="199">
        <f>-利润表!N33</f>
        <v>-60.485433580224615</v>
      </c>
      <c r="P54" s="199">
        <f>-利润表!O33</f>
        <v>-57.155563428405763</v>
      </c>
      <c r="Q54" s="199">
        <f>-利润表!P33</f>
        <v>-59.451155730038458</v>
      </c>
      <c r="R54" s="199">
        <f>-利润表!Q33</f>
        <v>-59.322321468212131</v>
      </c>
      <c r="S54" s="199">
        <f>-利润表!R33</f>
        <v>-59.103618551720245</v>
      </c>
      <c r="T54" s="199">
        <f>-利润表!S33</f>
        <v>-58.758164794594151</v>
      </c>
      <c r="U54" s="199">
        <f>-利润表!T33</f>
        <v>-59.158815136141243</v>
      </c>
      <c r="V54" s="199">
        <f>-利润表!U33</f>
        <v>-59.085729987666944</v>
      </c>
      <c r="W54" s="199">
        <f>-利润表!V33</f>
        <v>-59.026582117530644</v>
      </c>
      <c r="X54" s="199">
        <f>-利润表!W33</f>
        <v>-59.007323008983249</v>
      </c>
      <c r="Y54" s="199">
        <f>-利润表!X33</f>
        <v>-59.069612562580524</v>
      </c>
      <c r="Z54" s="199">
        <f>-利润表!Y33</f>
        <v>-59.047311919190335</v>
      </c>
      <c r="AA54" s="199">
        <f>-利润表!Z33</f>
        <v>-59.037707402071185</v>
      </c>
      <c r="AB54" s="199">
        <f>-利润表!AA33</f>
        <v>-59.040488723206323</v>
      </c>
      <c r="AC54" s="199">
        <f>-利润表!AB33</f>
        <v>-59.048780151762095</v>
      </c>
      <c r="AD54" s="199">
        <f>-利润表!AC33</f>
        <v>-59.043572049057488</v>
      </c>
      <c r="AE54" s="199">
        <f>-利润表!AD33</f>
        <v>-59.042637081524269</v>
      </c>
      <c r="AF54" s="199">
        <f>-利润表!AE33</f>
        <v>-59.04386950138754</v>
      </c>
      <c r="AG54" s="199">
        <f>-利润表!AF33</f>
        <v>-59.044714695932846</v>
      </c>
      <c r="AH54" s="199">
        <f>-利润表!AG33</f>
        <v>-59.043698331975541</v>
      </c>
      <c r="AI54" s="199">
        <f>-利润表!AH33</f>
        <v>-59.043729902705053</v>
      </c>
      <c r="AJ54" s="199">
        <f>-利润表!AI33</f>
        <v>-59.04400310800024</v>
      </c>
      <c r="AK54" s="199">
        <f>-利润表!AJ33</f>
        <v>-59.044036509653417</v>
      </c>
      <c r="AL54" s="199">
        <f>-利润表!AK33</f>
        <v>-59.043866963083559</v>
      </c>
      <c r="AM54" s="199"/>
      <c r="AP54" s="277"/>
      <c r="AQ54" s="277"/>
    </row>
    <row r="55" spans="1:139" s="233" customFormat="1" ht="17.25" customHeight="1" outlineLevel="1">
      <c r="A55" s="461" t="s">
        <v>196</v>
      </c>
      <c r="B55" s="273"/>
      <c r="C55" s="273"/>
      <c r="D55" s="199">
        <f>资产负债!D42-资产负债!C42</f>
        <v>133.71851020999998</v>
      </c>
      <c r="E55" s="199">
        <f>资产负债!E42-资产负债!D42</f>
        <v>224.04482962999998</v>
      </c>
      <c r="F55" s="199">
        <f>资产负债!F42-资产负债!E42</f>
        <v>148.42794400000002</v>
      </c>
      <c r="G55" s="199">
        <f>资产负债!G42-资产负债!F42</f>
        <v>-63.672828340000024</v>
      </c>
      <c r="H55" s="199">
        <f>资产负债!H42-资产负债!G42</f>
        <v>566.45687130999988</v>
      </c>
      <c r="I55" s="199">
        <f>假设!I60-假设!H60</f>
        <v>-396.79069364600002</v>
      </c>
      <c r="J55" s="199">
        <f>假设!J60-假设!I60</f>
        <v>40.783749974666762</v>
      </c>
      <c r="K55" s="199">
        <f>假设!K60-假设!J60</f>
        <v>22.480591769288822</v>
      </c>
      <c r="L55" s="199">
        <f>假设!L60-假设!K60</f>
        <v>10.293786139140707</v>
      </c>
      <c r="M55" s="199">
        <f>假设!M60-假设!L60</f>
        <v>2.4412021143239144</v>
      </c>
      <c r="N55" s="199">
        <f>假设!N60-假设!M60</f>
        <v>-12.960017550707789</v>
      </c>
      <c r="O55" s="199">
        <f>假设!O60-假设!N60</f>
        <v>4.106067508961587</v>
      </c>
      <c r="P55" s="199">
        <f>假设!P60-假设!O60</f>
        <v>1.2721358488344094</v>
      </c>
      <c r="Q55" s="199">
        <f>假设!Q60-假设!P60</f>
        <v>-6.1260866954171433E-2</v>
      </c>
      <c r="R55" s="199">
        <f>假设!R60-假设!Q60</f>
        <v>-0.42522609330956129</v>
      </c>
      <c r="S55" s="199">
        <f>假设!S60-假设!R60</f>
        <v>-0.22017659470952822</v>
      </c>
      <c r="T55" s="199">
        <f>假设!T60-假设!S60</f>
        <v>0.24431795059877004</v>
      </c>
      <c r="U55" s="199">
        <f>假设!U60-假设!T60</f>
        <v>1.4321280610033682E-2</v>
      </c>
      <c r="V55" s="199">
        <f>假设!V60-假设!U60</f>
        <v>-3.4890975483676812E-2</v>
      </c>
      <c r="W55" s="199">
        <f>假设!W60-假设!V60</f>
        <v>-1.6653012394044708E-2</v>
      </c>
      <c r="X55" s="199">
        <f>假设!X60-假设!W60</f>
        <v>5.9062789609924948E-3</v>
      </c>
      <c r="Y55" s="199">
        <f>假设!Y60-假设!X60</f>
        <v>8.7471287064317949E-3</v>
      </c>
      <c r="Z55" s="199">
        <f>假设!Z60-假设!Y60</f>
        <v>-2.537263211024765E-3</v>
      </c>
      <c r="AA55" s="199">
        <f>假设!AA60-假设!Z60</f>
        <v>-1.8783976412350967E-3</v>
      </c>
      <c r="AB55" s="199">
        <f>假设!AB60-假设!AA60</f>
        <v>1.2399270667629025E-4</v>
      </c>
      <c r="AC55" s="199">
        <f>假设!AC60-假设!AB60</f>
        <v>5.930079805693822E-4</v>
      </c>
      <c r="AD55" s="199">
        <f>假设!AD60-假设!AC60</f>
        <v>9.9894672644040838E-5</v>
      </c>
      <c r="AE55" s="199">
        <f>假设!AE60-假设!AD60</f>
        <v>-2.0337167256911926E-4</v>
      </c>
      <c r="AF55" s="199">
        <f>假设!AF60-假设!AE60</f>
        <v>-3.1244530646290514E-5</v>
      </c>
      <c r="AG55" s="199">
        <f>假设!AG60-假设!AF60</f>
        <v>4.26655562932865E-5</v>
      </c>
      <c r="AH55" s="199">
        <f>假设!AH60-假设!AG60</f>
        <v>1.8068797658088442E-5</v>
      </c>
      <c r="AI55" s="199">
        <f>假设!AI60-假设!AH60</f>
        <v>-9.3050698524166364E-6</v>
      </c>
      <c r="AJ55" s="199">
        <f>假设!AJ60-假设!AI60</f>
        <v>-7.4742818014783552E-6</v>
      </c>
      <c r="AK55" s="199">
        <f>假设!AK60-假设!AJ60</f>
        <v>2.246752387691231E-6</v>
      </c>
      <c r="AL55" s="199">
        <f>假设!AL60-假设!AK60</f>
        <v>2.1483052705661976E-6</v>
      </c>
      <c r="AM55" s="225"/>
      <c r="AP55" s="368"/>
      <c r="AQ55" s="368"/>
    </row>
    <row r="56" spans="1:139" s="233" customFormat="1" ht="17.25" customHeight="1" outlineLevel="1">
      <c r="A56" s="461" t="s">
        <v>828</v>
      </c>
      <c r="B56" s="273"/>
      <c r="C56" s="273"/>
      <c r="D56" s="199">
        <f>资产负债!D69-资产负债!C69</f>
        <v>-1.3458889599999999</v>
      </c>
      <c r="E56" s="199">
        <f>资产负债!E69-资产负债!D69</f>
        <v>0</v>
      </c>
      <c r="F56" s="199">
        <f>资产负债!F69-资产负债!E69</f>
        <v>0</v>
      </c>
      <c r="G56" s="199">
        <f>资产负债!G69-资产负债!F69</f>
        <v>0</v>
      </c>
      <c r="H56" s="199">
        <f>资产负债!H69-资产负债!G69</f>
        <v>0</v>
      </c>
      <c r="I56" s="199">
        <f ca="1">资产负债!I69-资产负债!H69</f>
        <v>0</v>
      </c>
      <c r="J56" s="199">
        <f ca="1">资产负债!J69-资产负债!I69</f>
        <v>0</v>
      </c>
      <c r="K56" s="199">
        <f ca="1">资产负债!K69-资产负债!J69</f>
        <v>0</v>
      </c>
      <c r="L56" s="199">
        <f ca="1">资产负债!L69-资产负债!K69</f>
        <v>0</v>
      </c>
      <c r="M56" s="199">
        <f ca="1">资产负债!M69-资产负债!L69</f>
        <v>0</v>
      </c>
      <c r="N56" s="199">
        <f ca="1">资产负债!N69-资产负债!M69</f>
        <v>0</v>
      </c>
      <c r="O56" s="199">
        <f ca="1">资产负债!O69-资产负债!N69</f>
        <v>0</v>
      </c>
      <c r="P56" s="199">
        <f ca="1">资产负债!P69-资产负债!O69</f>
        <v>0</v>
      </c>
      <c r="Q56" s="199">
        <f ca="1">资产负债!Q69-资产负债!P69</f>
        <v>0</v>
      </c>
      <c r="R56" s="199">
        <f ca="1">资产负债!R69-资产负债!Q69</f>
        <v>0</v>
      </c>
      <c r="S56" s="199">
        <f ca="1">资产负债!S69-资产负债!R69</f>
        <v>0</v>
      </c>
      <c r="T56" s="199">
        <f ca="1">资产负债!T69-资产负债!S69</f>
        <v>0</v>
      </c>
      <c r="U56" s="199">
        <f ca="1">资产负债!U69-资产负债!T69</f>
        <v>0</v>
      </c>
      <c r="V56" s="199">
        <f ca="1">资产负债!V69-资产负债!U69</f>
        <v>0</v>
      </c>
      <c r="W56" s="199">
        <f ca="1">资产负债!W69-资产负债!V69</f>
        <v>0</v>
      </c>
      <c r="X56" s="199">
        <f ca="1">资产负债!X69-资产负债!W69</f>
        <v>0</v>
      </c>
      <c r="Y56" s="199">
        <f ca="1">资产负债!Y69-资产负债!X69</f>
        <v>0</v>
      </c>
      <c r="Z56" s="199">
        <f ca="1">资产负债!Z69-资产负债!Y69</f>
        <v>0</v>
      </c>
      <c r="AA56" s="199">
        <f ca="1">资产负债!AA69-资产负债!Z69</f>
        <v>0</v>
      </c>
      <c r="AB56" s="199">
        <f ca="1">资产负债!AB69-资产负债!AA69</f>
        <v>0</v>
      </c>
      <c r="AC56" s="199">
        <f ca="1">资产负债!AC69-资产负债!AB69</f>
        <v>0</v>
      </c>
      <c r="AD56" s="199">
        <f ca="1">资产负债!AD69-资产负债!AC69</f>
        <v>0</v>
      </c>
      <c r="AE56" s="199">
        <f ca="1">资产负债!AE69-资产负债!AD69</f>
        <v>0</v>
      </c>
      <c r="AF56" s="199">
        <f ca="1">资产负债!AF69-资产负债!AE69</f>
        <v>0</v>
      </c>
      <c r="AG56" s="199">
        <f ca="1">资产负债!AG69-资产负债!AF69</f>
        <v>0</v>
      </c>
      <c r="AH56" s="199">
        <f ca="1">资产负债!AH69-资产负债!AG69</f>
        <v>0</v>
      </c>
      <c r="AI56" s="199">
        <f ca="1">资产负债!AI69-资产负债!AH69</f>
        <v>0</v>
      </c>
      <c r="AJ56" s="199">
        <f ca="1">资产负债!AJ69-资产负债!AI69</f>
        <v>0</v>
      </c>
      <c r="AK56" s="199">
        <f ca="1">资产负债!AK69-资产负债!AJ69</f>
        <v>0</v>
      </c>
      <c r="AL56" s="199">
        <f ca="1">资产负债!AL69-资产负债!AK69</f>
        <v>0</v>
      </c>
      <c r="AM56" s="225"/>
      <c r="AP56" s="368"/>
      <c r="AQ56" s="368"/>
    </row>
    <row r="57" spans="1:139" s="236" customFormat="1" ht="17.25" customHeight="1" outlineLevel="1">
      <c r="A57" s="235" t="s">
        <v>198</v>
      </c>
      <c r="B57" s="272"/>
      <c r="C57" s="272"/>
      <c r="D57" s="201">
        <f t="shared" ref="D57:K57" si="25">SUM(D41:D50)+SUM(D52:D56)</f>
        <v>1635.5485401000001</v>
      </c>
      <c r="E57" s="201">
        <f t="shared" si="25"/>
        <v>99.16264934000003</v>
      </c>
      <c r="F57" s="201">
        <f t="shared" si="25"/>
        <v>380.1246084500001</v>
      </c>
      <c r="G57" s="201">
        <f t="shared" si="25"/>
        <v>869.22277350999957</v>
      </c>
      <c r="H57" s="201">
        <f t="shared" si="25"/>
        <v>1296.5318918700002</v>
      </c>
      <c r="I57" s="201">
        <f t="shared" ca="1" si="25"/>
        <v>-1103.069647140208</v>
      </c>
      <c r="J57" s="201">
        <f t="shared" ca="1" si="25"/>
        <v>-398.79519290445182</v>
      </c>
      <c r="K57" s="201">
        <f t="shared" ca="1" si="25"/>
        <v>-541.88070778931433</v>
      </c>
      <c r="L57" s="201">
        <f t="shared" ref="L57:AL57" ca="1" si="26">SUM(L41:L56)</f>
        <v>-645.49602344814207</v>
      </c>
      <c r="M57" s="201">
        <f t="shared" ca="1" si="26"/>
        <v>-796.77574638212707</v>
      </c>
      <c r="N57" s="201">
        <f t="shared" ca="1" si="26"/>
        <v>-912.66757041060646</v>
      </c>
      <c r="O57" s="201">
        <f t="shared" ca="1" si="26"/>
        <v>-882.31002876612058</v>
      </c>
      <c r="P57" s="201">
        <f t="shared" ca="1" si="26"/>
        <v>-1035.0245438045831</v>
      </c>
      <c r="Q57" s="201">
        <f t="shared" ca="1" si="26"/>
        <v>-1208.2434155846454</v>
      </c>
      <c r="R57" s="201">
        <f t="shared" ca="1" si="26"/>
        <v>-1393.0480735948718</v>
      </c>
      <c r="S57" s="201">
        <f t="shared" ca="1" si="26"/>
        <v>-1605.8204133946699</v>
      </c>
      <c r="T57" s="201">
        <f t="shared" ca="1" si="26"/>
        <v>-1850.4981345646488</v>
      </c>
      <c r="U57" s="201">
        <f t="shared" ca="1" si="26"/>
        <v>-2132.938920491044</v>
      </c>
      <c r="V57" s="201">
        <f t="shared" ca="1" si="26"/>
        <v>-2407.2921613539829</v>
      </c>
      <c r="W57" s="201">
        <f t="shared" ca="1" si="26"/>
        <v>-2777.8678363070476</v>
      </c>
      <c r="X57" s="201">
        <f t="shared" ca="1" si="26"/>
        <v>-3201.1229121845963</v>
      </c>
      <c r="Y57" s="201">
        <f t="shared" ca="1" si="26"/>
        <v>-3687.8151463611634</v>
      </c>
      <c r="Z57" s="201">
        <f t="shared" ca="1" si="26"/>
        <v>-4241.3675495155312</v>
      </c>
      <c r="AA57" s="201">
        <f t="shared" ca="1" si="26"/>
        <v>-4869.2435521960761</v>
      </c>
      <c r="AB57" s="201">
        <f t="shared" ca="1" si="26"/>
        <v>-5572.5654446231538</v>
      </c>
      <c r="AC57" s="201">
        <f t="shared" ca="1" si="26"/>
        <v>-6370.350762957436</v>
      </c>
      <c r="AD57" s="201">
        <f t="shared" ca="1" si="26"/>
        <v>-7277.439374673947</v>
      </c>
      <c r="AE57" s="201">
        <f t="shared" ca="1" si="26"/>
        <v>-8306.9417532260904</v>
      </c>
      <c r="AF57" s="201">
        <f t="shared" ca="1" si="26"/>
        <v>-9472.7780347146636</v>
      </c>
      <c r="AG57" s="201">
        <f t="shared" ca="1" si="26"/>
        <v>-10795.810748184434</v>
      </c>
      <c r="AH57" s="201">
        <f t="shared" ca="1" si="26"/>
        <v>-12296.57950523386</v>
      </c>
      <c r="AI57" s="201">
        <f t="shared" ca="1" si="26"/>
        <v>-13996.311814815119</v>
      </c>
      <c r="AJ57" s="201">
        <f t="shared" ca="1" si="26"/>
        <v>-15923.227220306511</v>
      </c>
      <c r="AK57" s="201">
        <f t="shared" ca="1" si="26"/>
        <v>-18106.792032120924</v>
      </c>
      <c r="AL57" s="201">
        <f t="shared" ca="1" si="26"/>
        <v>-20578.897157969786</v>
      </c>
      <c r="AM57" s="225"/>
      <c r="AN57" s="225"/>
      <c r="AO57" s="225"/>
      <c r="AP57" s="368"/>
      <c r="AQ57" s="368"/>
      <c r="AR57" s="233"/>
      <c r="AS57" s="233"/>
      <c r="AT57" s="233"/>
      <c r="AU57" s="233"/>
      <c r="AV57" s="233"/>
      <c r="AW57" s="233"/>
      <c r="AX57" s="233"/>
      <c r="AY57" s="233"/>
      <c r="AZ57" s="233"/>
      <c r="BA57" s="233"/>
      <c r="BB57" s="233"/>
      <c r="BC57" s="233"/>
      <c r="BD57" s="233"/>
      <c r="BE57" s="233"/>
      <c r="BF57" s="233"/>
      <c r="BG57" s="233"/>
      <c r="BH57" s="233"/>
      <c r="BI57" s="233"/>
      <c r="BJ57" s="233"/>
      <c r="BK57" s="233"/>
      <c r="BL57" s="233"/>
      <c r="BM57" s="233"/>
      <c r="BN57" s="233"/>
      <c r="BO57" s="233"/>
      <c r="BP57" s="233"/>
      <c r="BQ57" s="233"/>
      <c r="BR57" s="233"/>
      <c r="BS57" s="233"/>
      <c r="BT57" s="233"/>
      <c r="BU57" s="233"/>
      <c r="BV57" s="233"/>
      <c r="BW57" s="233"/>
      <c r="BX57" s="233"/>
      <c r="BY57" s="233"/>
      <c r="BZ57" s="233"/>
      <c r="CA57" s="233"/>
      <c r="CB57" s="233"/>
      <c r="CC57" s="233"/>
      <c r="CD57" s="233"/>
      <c r="CE57" s="233"/>
      <c r="CF57" s="233"/>
      <c r="CG57" s="233"/>
      <c r="CH57" s="233"/>
      <c r="CI57" s="233"/>
      <c r="CJ57" s="233"/>
      <c r="CK57" s="233"/>
      <c r="CL57" s="233"/>
      <c r="CM57" s="233"/>
      <c r="CN57" s="233"/>
      <c r="CO57" s="233"/>
      <c r="CP57" s="233"/>
      <c r="CQ57" s="233"/>
      <c r="CR57" s="233"/>
      <c r="CS57" s="233"/>
      <c r="CT57" s="233"/>
      <c r="CU57" s="233"/>
      <c r="CV57" s="233"/>
      <c r="CW57" s="233"/>
      <c r="CX57" s="233"/>
      <c r="CY57" s="233"/>
      <c r="CZ57" s="233"/>
      <c r="DA57" s="233"/>
      <c r="DB57" s="233"/>
      <c r="DC57" s="233"/>
      <c r="DD57" s="233"/>
      <c r="DE57" s="233"/>
      <c r="DF57" s="233"/>
      <c r="DG57" s="233"/>
      <c r="DH57" s="233"/>
      <c r="DI57" s="233"/>
      <c r="DJ57" s="233"/>
      <c r="DK57" s="233"/>
      <c r="DL57" s="233"/>
      <c r="DM57" s="233"/>
      <c r="DN57" s="233"/>
      <c r="DO57" s="233"/>
      <c r="DP57" s="233"/>
      <c r="DQ57" s="233"/>
      <c r="DR57" s="233"/>
      <c r="DS57" s="233"/>
      <c r="DT57" s="233"/>
      <c r="DU57" s="233"/>
      <c r="DV57" s="233"/>
      <c r="DW57" s="233"/>
      <c r="DX57" s="233"/>
      <c r="DY57" s="233"/>
      <c r="DZ57" s="233"/>
      <c r="EA57" s="233"/>
      <c r="EB57" s="233"/>
      <c r="EC57" s="233"/>
      <c r="ED57" s="233"/>
      <c r="EE57" s="233"/>
      <c r="EF57" s="233"/>
      <c r="EG57" s="233"/>
      <c r="EH57" s="233"/>
      <c r="EI57" s="233"/>
    </row>
    <row r="58" spans="1:139" s="233" customFormat="1" ht="17.25" customHeight="1">
      <c r="A58" s="235"/>
      <c r="B58" s="274"/>
      <c r="C58" s="274"/>
      <c r="D58" s="201"/>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225"/>
      <c r="AN58" s="225"/>
      <c r="AO58" s="225"/>
      <c r="AP58" s="368"/>
      <c r="AQ58" s="368"/>
    </row>
    <row r="59" spans="1:139" s="233" customFormat="1" ht="17.25" customHeight="1">
      <c r="A59" s="235" t="s">
        <v>1047</v>
      </c>
      <c r="B59" s="274"/>
      <c r="C59" s="274"/>
      <c r="D59" s="224"/>
      <c r="E59" s="149"/>
      <c r="F59" s="149"/>
      <c r="G59" s="462"/>
      <c r="H59" s="462"/>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440"/>
      <c r="AN59" s="225"/>
      <c r="AO59" s="225"/>
      <c r="AP59" s="368"/>
      <c r="AQ59" s="368"/>
    </row>
    <row r="60" spans="1:139" ht="17.25" customHeight="1" outlineLevel="1">
      <c r="A60" s="234" t="s">
        <v>1028</v>
      </c>
      <c r="D60" s="199">
        <f>D13+D38+D57</f>
        <v>661.05170467000084</v>
      </c>
      <c r="E60" s="199">
        <f>E13+E38+E57</f>
        <v>394.70867651000003</v>
      </c>
      <c r="F60" s="199">
        <f>F13+F38+F57</f>
        <v>514.84597768999845</v>
      </c>
      <c r="G60" s="199">
        <f>G13+G38+G57</f>
        <v>1095.4214280499996</v>
      </c>
      <c r="H60" s="199">
        <f>H13+H38+H57</f>
        <v>317.0354215899996</v>
      </c>
      <c r="I60" s="199">
        <f ca="1">IF(ISERROR(I13+I38+I57-资产负债!I35*假设!I84),0,I13+I38+I57-资产负债!I35*假设!I84)</f>
        <v>-2564.6719566498796</v>
      </c>
      <c r="J60" s="199">
        <f ca="1">IF(ISERROR(J13+J38+J57+资产负债!I35*假设!I84-资产负债!J35*假设!J84),0,J13+J38+J57+资产负债!I35*假设!I84-资产负债!J35*假设!J84)</f>
        <v>-4126.1413931815141</v>
      </c>
      <c r="K60" s="199">
        <f ca="1">IF(ISERROR(K13+K38+K57+资产负债!J35*假设!J84-资产负债!K35*假设!K84),0,K13+K38+K57+资产负债!J35*假设!J84-资产负债!K35*假设!K84)</f>
        <v>1132.2394108210142</v>
      </c>
      <c r="L60" s="199">
        <f ca="1">IF(ISERROR(L13+L38+L57+资产负债!K35*假设!K84-资产负债!L35*假设!L84),0,L13+L38+L57+资产负债!K35*假设!K84-资产负债!L35*假设!L84)</f>
        <v>-3163.7150697277139</v>
      </c>
      <c r="M60" s="199">
        <f ca="1">IF(ISERROR(M13+M38+M57+资产负债!L35*假设!L84-资产负债!M35*假设!M84),0,M13+M38+M57+资产负债!L35*假设!L84-资产负债!M35*假设!M84)</f>
        <v>460.0681142667305</v>
      </c>
      <c r="N60" s="199">
        <f ca="1">IF(ISERROR(N13+N38+N57+资产负债!M35*假设!M84-资产负债!N35*假设!N84),0,N13+N38+N57+资产负债!M35*假设!M84-资产负债!N35*假设!N84)</f>
        <v>-3859.655873998011</v>
      </c>
      <c r="O60" s="199">
        <f ca="1">IF(ISERROR(O13+O38+O57+资产负债!N35*假设!N84-资产负债!O35*假设!O84),0,O13+O38+O57+资产负债!N35*假设!N84-资产负债!O35*假设!O84)</f>
        <v>188.2653223328806</v>
      </c>
      <c r="P60" s="199">
        <f ca="1">IF(ISERROR(P13+P38+P57+资产负债!O35*假设!O84-资产负债!P35*假设!P84),0,P13+P38+P57+资产负债!O35*假设!O84-资产负债!P35*假设!P84)</f>
        <v>-4358.5879675573478</v>
      </c>
      <c r="Q60" s="199">
        <f ca="1">IF(ISERROR(Q13+Q38+Q57+资产负债!P35*假设!P84-资产负债!Q35*假设!Q84),0,Q13+Q38+Q57+资产负债!P35*假设!P84-资产负债!Q35*假设!Q84)</f>
        <v>-157.72459385656157</v>
      </c>
      <c r="R60" s="199">
        <f ca="1">IF(ISERROR(R13+R38+R57+资产负债!Q35*假设!Q84-资产负债!R35*假设!R84),0,R13+R38+R57+资产负债!Q35*假设!Q84-资产负债!R35*假设!R84)</f>
        <v>-4959.8354340091064</v>
      </c>
      <c r="S60" s="199">
        <f ca="1">IF(ISERROR(S13+S38+S57+资产负债!R35*假设!R84-资产负债!S35*假设!S84),0,S13+S38+S57+资产负债!R35*假设!R84-资产负债!S35*假设!S84)</f>
        <v>-1064.9508703895813</v>
      </c>
      <c r="T60" s="199">
        <f ca="1">IF(ISERROR(T13+T38+T57+资产负债!S35*假设!S84-资产负债!T35*假设!T84),0,T13+T38+T57+资产负债!S35*假设!S84-资产负债!T35*假设!T84)</f>
        <v>-5797.2908049027064</v>
      </c>
      <c r="U60" s="199">
        <f ca="1">IF(ISERROR(U13+U38+U57+资产负债!T35*假设!T84-资产负债!U35*假设!U84),0,U13+U38+U57+资产负债!T35*假设!T84-资产负债!U35*假设!U84)</f>
        <v>-1974.3706290963653</v>
      </c>
      <c r="V60" s="199">
        <f ca="1">IF(ISERROR(V13+V38+V57+资产负债!U35*假设!U84-资产负债!V35*假设!V84),0,V13+V38+V57+资产负债!U35*假设!U84-资产负债!V35*假设!V84)</f>
        <v>-6965.4046571152621</v>
      </c>
      <c r="W60" s="199">
        <f ca="1">IF(ISERROR(W13+W38+W57+资产负债!V35*假设!V84-资产负债!W35*假设!W84),0,W13+W38+W57+资产负债!V35*假设!V84-资产负债!W35*假设!W84)</f>
        <v>-3348.9611527676725</v>
      </c>
      <c r="X60" s="199">
        <f ca="1">IF(ISERROR(X13+X38+X57+资产负债!W35*假设!W84-资产负债!X35*假设!X84),0,X13+X38+X57+资产负债!W35*假设!W84-资产负债!X35*假设!X84)</f>
        <v>-8469.5264528533808</v>
      </c>
      <c r="Y60" s="199">
        <f ca="1">IF(ISERROR(Y13+Y38+Y57+资产负债!X35*假设!X84-资产负债!Y35*假设!Y84),0,Y13+Y38+Y57+资产负债!X35*假设!X84-资产负债!Y35*假设!Y84)</f>
        <v>-5009.9207347676875</v>
      </c>
      <c r="Z60" s="199">
        <f ca="1">IF(ISERROR(Z13+Z38+Z57+资产负债!Y35*假设!Y84-资产负债!Z35*假设!Z84),0,Z13+Z38+Z57+资产负债!Y35*假设!Y84-资产负债!Z35*假设!Z84)</f>
        <v>-10327.250324627625</v>
      </c>
      <c r="AA60" s="199">
        <f ca="1">IF(ISERROR(AA13+AA38+AA57+资产负债!Z35*假设!Z84-资产负债!AA35*假设!AA84),0,AA13+AA38+AA57+资产负债!Z35*假设!Z84-资产负债!AA35*假设!AA84)</f>
        <v>-7132.3869161585153</v>
      </c>
      <c r="AB60" s="199">
        <f ca="1">IF(ISERROR(AB13+AB38+AB57+资产负债!AA35*假设!AA84-资产负债!AB35*假设!AB84),0,AB13+AB38+AB57+资产负债!AA35*假设!AA84-资产负债!AB35*假设!AB84)</f>
        <v>-12740.611527908604</v>
      </c>
      <c r="AC60" s="199">
        <f ca="1">IF(ISERROR(AC13+AC38+AC57+资产负债!AB35*假设!AB84-资产负债!AC35*假设!AC84),0,AC13+AC38+AC57+资产负债!AB35*假设!AB84-资产负债!AC35*假设!AC84)</f>
        <v>-9853.256862316106</v>
      </c>
      <c r="AD60" s="199">
        <f ca="1">IF(ISERROR(AD13+AD38+AD57+资产负债!AC35*假设!AC84-资产负债!AD35*假设!AD84),0,AD13+AD38+AD57+资产负债!AC35*假设!AC84-资产负债!AD35*假设!AD84)</f>
        <v>-15808.7452239954</v>
      </c>
      <c r="AE60" s="199">
        <f ca="1">IF(ISERROR(AE13+AE38+AE57+资产负债!AD35*假设!AD84-资产负债!AE35*假设!AE84),0,AE13+AE38+AE57+资产负债!AD35*假设!AD84-资产负债!AE35*假设!AE84)</f>
        <v>-13322.905658088182</v>
      </c>
      <c r="AF60" s="199">
        <f ca="1">IF(ISERROR(AF13+AF38+AF57+资产负债!AE35*假设!AE84-资产负债!AF35*假设!AF84),0,AF13+AF38+AF57+资产负债!AE35*假设!AE84-资产负债!AF35*假设!AF84)</f>
        <v>-19745.155776791849</v>
      </c>
      <c r="AG60" s="199">
        <f ca="1">IF(ISERROR(AG13+AG38+AG57+资产负债!AF35*假设!AF84-资产负债!AG35*假设!AG84),0,AG13+AG38+AG57+资产负债!AF35*假设!AF84-资产负债!AG35*假设!AG84)</f>
        <v>-17783.936463030193</v>
      </c>
      <c r="AH60" s="199">
        <f ca="1">IF(ISERROR(AH13+AH38+AH57+资产负债!AG35*假设!AG84-资产负债!AH35*假设!AH84),0,AH13+AH38+AH57+资产负债!AG35*假设!AG84-资产负债!AH35*假设!AH84)</f>
        <v>-24788.225826456059</v>
      </c>
      <c r="AI60" s="199">
        <f ca="1">IF(ISERROR(AI13+AI38+AI57+资产负债!AH35*假设!AH84-资产负债!AI35*假设!AI84),0,AI13+AI38+AI57+资产负债!AH35*假设!AH84-资产负债!AI35*假设!AI84)</f>
        <v>-23488.813328959048</v>
      </c>
      <c r="AJ60" s="199">
        <f ca="1">IF(ISERROR(AJ13+AJ38+AJ57+资产负债!AI35*假设!AI84-资产负债!AJ35*假设!AJ84),0,AJ13+AJ38+AJ57+资产负债!AI35*假设!AI84-资产负债!AJ35*假设!AJ84)</f>
        <v>-31246.080659995816</v>
      </c>
      <c r="AK60" s="199">
        <f ca="1">IF(ISERROR(AK13+AK38+AK57+资产负债!AJ35*假设!AJ84-资产负债!AK35*假设!AK84),0,AK13+AK38+AK57+资产负债!AJ35*假设!AJ84-资产负债!AK35*假设!AK84)</f>
        <v>-30795.386251580487</v>
      </c>
      <c r="AL60" s="199">
        <f ca="1">IF(ISERROR(AL13+AL38+AL57+资产负债!AK35*假设!AK84-资产负债!AL35*假设!AL84),0,AL13+AL38+AL57+资产负债!AK35*假设!AK84-资产负债!AL35*假设!AL84)</f>
        <v>-39513.884806985196</v>
      </c>
      <c r="AM60" s="199"/>
      <c r="AN60" s="367"/>
      <c r="AO60" s="367"/>
      <c r="AP60" s="277"/>
      <c r="AQ60" s="277"/>
    </row>
    <row r="61" spans="1:139" ht="17.25" customHeight="1" outlineLevel="1">
      <c r="A61" s="234" t="s">
        <v>1416</v>
      </c>
      <c r="D61" s="199">
        <f>资产负债!C3</f>
        <v>345.99767836000001</v>
      </c>
      <c r="E61" s="199">
        <f>资产负债!D3</f>
        <v>905.64100541999994</v>
      </c>
      <c r="F61" s="199">
        <f>资产负债!E3</f>
        <v>1100.96552367</v>
      </c>
      <c r="G61" s="199">
        <f>资产负债!F3</f>
        <v>1420.1496190099999</v>
      </c>
      <c r="H61" s="199">
        <f>资产负债!G3</f>
        <v>2189.35391622</v>
      </c>
      <c r="I61" s="199">
        <f>资产负债!H3</f>
        <v>2333.58753101</v>
      </c>
      <c r="J61" s="199">
        <f ca="1">资产负债!I3</f>
        <v>2232.272658944305</v>
      </c>
      <c r="K61" s="199">
        <f ca="1">资产负债!J3</f>
        <v>2537.7698719241203</v>
      </c>
      <c r="L61" s="199">
        <f ca="1">资产负债!K3</f>
        <v>3015.8754115929255</v>
      </c>
      <c r="M61" s="199">
        <f ca="1">资产负债!L3</f>
        <v>3516.7777527681346</v>
      </c>
      <c r="N61" s="199">
        <f ca="1">资产负债!M3</f>
        <v>3873.4658165061528</v>
      </c>
      <c r="O61" s="199">
        <f ca="1">资产负债!N3</f>
        <v>4287.9586639774143</v>
      </c>
      <c r="P61" s="199">
        <f ca="1">资产负债!O3</f>
        <v>4886.8333467462753</v>
      </c>
      <c r="Q61" s="199">
        <f ca="1">资产负债!P3</f>
        <v>5571.8861270060506</v>
      </c>
      <c r="R61" s="199">
        <f ca="1">资产负债!Q3</f>
        <v>6300.0064086703524</v>
      </c>
      <c r="S61" s="199">
        <f ca="1">资产负债!R3</f>
        <v>7079.4746140628013</v>
      </c>
      <c r="T61" s="199">
        <f ca="1">资产负债!S3</f>
        <v>7987.0066860235775</v>
      </c>
      <c r="U61" s="199">
        <f ca="1">资产负债!T3</f>
        <v>9045.1017140361691</v>
      </c>
      <c r="V61" s="199">
        <f ca="1">资产负债!U3</f>
        <v>10230.379200395768</v>
      </c>
      <c r="W61" s="199">
        <f ca="1">资产负债!V3</f>
        <v>11552.346908091145</v>
      </c>
      <c r="X61" s="199">
        <f ca="1">资产负债!W3</f>
        <v>13041.768686205953</v>
      </c>
      <c r="Y61" s="199">
        <f ca="1">资产负债!X3</f>
        <v>14736.816856325464</v>
      </c>
      <c r="Z61" s="199">
        <f ca="1">资产负债!Y3</f>
        <v>16657.41817505861</v>
      </c>
      <c r="AA61" s="199">
        <f ca="1">资产负债!Z3</f>
        <v>18821.167301296864</v>
      </c>
      <c r="AB61" s="199">
        <f ca="1">资产负债!AA3</f>
        <v>21261.678118226326</v>
      </c>
      <c r="AC61" s="199">
        <f ca="1">资产负债!AB3</f>
        <v>24020.553432506553</v>
      </c>
      <c r="AD61" s="199">
        <f ca="1">资产负债!AC3</f>
        <v>27141.404443759031</v>
      </c>
      <c r="AE61" s="199">
        <f ca="1">资产负债!AD3</f>
        <v>30667.476716223766</v>
      </c>
      <c r="AF61" s="199">
        <f ca="1">资产负债!AE3</f>
        <v>34649.112567579534</v>
      </c>
      <c r="AG61" s="199">
        <f ca="1">资产负债!AF3</f>
        <v>39147.247229183544</v>
      </c>
      <c r="AH61" s="199">
        <f ca="1">资产负债!AG3</f>
        <v>44230.511994864581</v>
      </c>
      <c r="AI61" s="199">
        <f ca="1">资产负债!AH3</f>
        <v>49974.649656186339</v>
      </c>
      <c r="AJ61" s="199">
        <f ca="1">资产负债!AI3</f>
        <v>56464.20874029283</v>
      </c>
      <c r="AK61" s="199">
        <f ca="1">资产负债!AJ3</f>
        <v>63795.829257436046</v>
      </c>
      <c r="AL61" s="199">
        <f ca="1">资产负债!AK3</f>
        <v>72079.592259857804</v>
      </c>
      <c r="AM61" s="199"/>
      <c r="AN61" s="367"/>
      <c r="AO61" s="367"/>
      <c r="AP61" s="277"/>
      <c r="AQ61" s="277"/>
    </row>
    <row r="62" spans="1:139" ht="17.25" customHeight="1" outlineLevel="1">
      <c r="A62" s="234" t="s">
        <v>1418</v>
      </c>
      <c r="D62" s="199">
        <f t="shared" ref="D62:I62" si="27">D60+D61</f>
        <v>1007.0493830300009</v>
      </c>
      <c r="E62" s="199">
        <f t="shared" si="27"/>
        <v>1300.3496819299999</v>
      </c>
      <c r="F62" s="199">
        <f t="shared" si="27"/>
        <v>1615.8115013599986</v>
      </c>
      <c r="G62" s="199">
        <f t="shared" si="27"/>
        <v>2515.5710470599997</v>
      </c>
      <c r="H62" s="199">
        <f t="shared" si="27"/>
        <v>2506.3893378099997</v>
      </c>
      <c r="I62" s="199">
        <f t="shared" ca="1" si="27"/>
        <v>-231.08442563987956</v>
      </c>
      <c r="J62" s="199">
        <f t="shared" ref="J62:AL62" ca="1" si="28">J60+J61</f>
        <v>-1893.8687342372091</v>
      </c>
      <c r="K62" s="199">
        <f t="shared" ca="1" si="28"/>
        <v>3670.0092827451344</v>
      </c>
      <c r="L62" s="199">
        <f t="shared" ca="1" si="28"/>
        <v>-147.83965813478835</v>
      </c>
      <c r="M62" s="199">
        <f t="shared" ca="1" si="28"/>
        <v>3976.845867034865</v>
      </c>
      <c r="N62" s="199">
        <f t="shared" ca="1" si="28"/>
        <v>13.80994250814183</v>
      </c>
      <c r="O62" s="199">
        <f t="shared" ca="1" si="28"/>
        <v>4476.223986310295</v>
      </c>
      <c r="P62" s="199">
        <f t="shared" ca="1" si="28"/>
        <v>528.24537918892747</v>
      </c>
      <c r="Q62" s="199">
        <f t="shared" ca="1" si="28"/>
        <v>5414.1615331494886</v>
      </c>
      <c r="R62" s="199">
        <f t="shared" ca="1" si="28"/>
        <v>1340.170974661246</v>
      </c>
      <c r="S62" s="199">
        <f t="shared" ca="1" si="28"/>
        <v>6014.5237436732205</v>
      </c>
      <c r="T62" s="199">
        <f t="shared" ca="1" si="28"/>
        <v>2189.715881120871</v>
      </c>
      <c r="U62" s="199">
        <f t="shared" ca="1" si="28"/>
        <v>7070.7310849398036</v>
      </c>
      <c r="V62" s="199">
        <f t="shared" ca="1" si="28"/>
        <v>3264.9745432805057</v>
      </c>
      <c r="W62" s="199">
        <f t="shared" ca="1" si="28"/>
        <v>8203.3857553234739</v>
      </c>
      <c r="X62" s="199">
        <f t="shared" ca="1" si="28"/>
        <v>4572.2422333525719</v>
      </c>
      <c r="Y62" s="199">
        <f t="shared" ca="1" si="28"/>
        <v>9726.8961215577765</v>
      </c>
      <c r="Z62" s="199">
        <f t="shared" ca="1" si="28"/>
        <v>6330.1678504309857</v>
      </c>
      <c r="AA62" s="199">
        <f t="shared" ca="1" si="28"/>
        <v>11688.780385138349</v>
      </c>
      <c r="AB62" s="199">
        <f t="shared" ca="1" si="28"/>
        <v>8521.0665903177214</v>
      </c>
      <c r="AC62" s="199">
        <f t="shared" ca="1" si="28"/>
        <v>14167.296570190447</v>
      </c>
      <c r="AD62" s="199">
        <f t="shared" ca="1" si="28"/>
        <v>11332.659219763631</v>
      </c>
      <c r="AE62" s="199">
        <f t="shared" ca="1" si="28"/>
        <v>17344.571058135582</v>
      </c>
      <c r="AF62" s="199">
        <f t="shared" ca="1" si="28"/>
        <v>14903.956790787684</v>
      </c>
      <c r="AG62" s="199">
        <f t="shared" ca="1" si="28"/>
        <v>21363.31076615335</v>
      </c>
      <c r="AH62" s="199">
        <f t="shared" ca="1" si="28"/>
        <v>19442.286168408522</v>
      </c>
      <c r="AI62" s="199">
        <f t="shared" ca="1" si="28"/>
        <v>26485.836327227291</v>
      </c>
      <c r="AJ62" s="199">
        <f t="shared" ca="1" si="28"/>
        <v>25218.128080297014</v>
      </c>
      <c r="AK62" s="199">
        <f t="shared" ca="1" si="28"/>
        <v>33000.443005855559</v>
      </c>
      <c r="AL62" s="199">
        <f t="shared" ca="1" si="28"/>
        <v>32565.707452872608</v>
      </c>
      <c r="AM62" s="199"/>
      <c r="AN62" s="367"/>
      <c r="AO62" s="367"/>
      <c r="AP62" s="277"/>
      <c r="AQ62" s="277"/>
    </row>
    <row r="63" spans="1:139" ht="17.25" customHeight="1" outlineLevel="1">
      <c r="A63" s="460" t="s">
        <v>1417</v>
      </c>
      <c r="D63" s="199">
        <v>0</v>
      </c>
      <c r="E63" s="199">
        <v>0</v>
      </c>
      <c r="F63" s="199">
        <v>0</v>
      </c>
      <c r="G63" s="199">
        <v>0</v>
      </c>
      <c r="H63" s="199">
        <v>0</v>
      </c>
      <c r="I63" s="199">
        <f ca="1">IF(I62-利润表!I2*假设!I30&lt;=0,利润表!I2*假设!I30-I62,0)</f>
        <v>2463.3570845841846</v>
      </c>
      <c r="J63" s="199">
        <f ca="1">IF(J62-利润表!J2*假设!J30&lt;=0,利润表!J2*假设!J30-J62,IF(J62&lt;=利润表!J2*假设!J30+I64,利润表!J2*假设!J30-J62,-I64))</f>
        <v>4431.6386061613293</v>
      </c>
      <c r="K63" s="199">
        <f ca="1">IF(K62-利润表!K2*假设!K30&lt;=0,利润表!K2*假设!K30-K62,IF(K62&lt;=利润表!K2*假设!K30+J64,利润表!K2*假设!K30-K62,-J64))</f>
        <v>-654.13387115220894</v>
      </c>
      <c r="L63" s="199">
        <f ca="1">IF(L62-利润表!L2*假设!L30&lt;=0,利润表!L2*假设!L30-L62,IF(L62&lt;=利润表!L2*假设!L30+K64,利润表!L2*假设!L30-L62,-K64))</f>
        <v>3664.617410902923</v>
      </c>
      <c r="M63" s="199">
        <f ca="1">IF(M62-利润表!M2*假设!M30&lt;=0,利润表!M2*假设!M30-M62,IF(M62&lt;=利润表!M2*假设!M30+L64,利润表!M2*假设!M30-M62,-L64))</f>
        <v>-103.38005052871222</v>
      </c>
      <c r="N63" s="199">
        <f ca="1">IF(N62-利润表!N2*假设!N30&lt;=0,利润表!N2*假设!N30-N62,IF(N62&lt;=利润表!N2*假设!N30+M64,利润表!N2*假设!N30-N62,-M64))</f>
        <v>4274.1487214692725</v>
      </c>
      <c r="O63" s="199">
        <f ca="1">IF(O62-利润表!O2*假设!O30&lt;=0,利润表!O2*假设!O30-O62,IF(O62&lt;=利润表!O2*假设!O30+N64,利润表!O2*假设!O30-O62,-N64))</f>
        <v>410.60936043598031</v>
      </c>
      <c r="P63" s="199">
        <f ca="1">IF(P62-利润表!P2*假设!P30&lt;=0,利润表!P2*假设!P30-P62,IF(P62&lt;=利润表!P2*假设!P30+O64,利润表!P2*假设!P30-P62,-O64))</f>
        <v>5043.6407478171232</v>
      </c>
      <c r="Q63" s="199">
        <f ca="1">IF(Q62-利润表!Q2*假设!Q30&lt;=0,利润表!Q2*假设!Q30-Q62,IF(Q62&lt;=利润表!Q2*假设!Q30+P64,利润表!Q2*假设!Q30-Q62,-P64))</f>
        <v>885.84487552086375</v>
      </c>
      <c r="R63" s="199">
        <f ca="1">IF(R62-利润表!R2*假设!R30&lt;=0,利润表!R2*假设!R30-R62,IF(R62&lt;=利润表!R2*假设!R30+Q64,利润表!R2*假设!R30-R62,-Q64))</f>
        <v>5739.3036394015553</v>
      </c>
      <c r="S63" s="199">
        <f ca="1">IF(S62-利润表!S2*假设!S30&lt;=0,利润表!S2*假设!S30-S62,IF(S62&lt;=利润表!S2*假设!S30+R64,利润表!S2*假设!S30-S62,-R64))</f>
        <v>1972.482942350357</v>
      </c>
      <c r="T63" s="199">
        <f ca="1">IF(T62-利润表!T2*假设!T30&lt;=0,利润表!T2*假设!T30-T62,IF(T62&lt;=利润表!T2*假设!T30+S64,利润表!T2*假设!T30-T62,-S64))</f>
        <v>6855.3858329152981</v>
      </c>
      <c r="U63" s="199">
        <f ca="1">IF(U62-利润表!U2*假设!U30&lt;=0,利润表!U2*假设!U30-U62,IF(U62&lt;=利润表!U2*假设!U30+T64,利润表!U2*假设!U30-U62,-T64))</f>
        <v>3159.6481154559642</v>
      </c>
      <c r="V63" s="199">
        <f ca="1">IF(V62-利润表!V2*假设!V30&lt;=0,利润表!V2*假设!V30-V62,IF(V62&lt;=利润表!V2*假设!V30+U64,利润表!V2*假设!V30-V62,-U64))</f>
        <v>8287.3723648106388</v>
      </c>
      <c r="W63" s="199">
        <f ca="1">IF(W62-利润表!W2*假设!W30&lt;=0,利润表!W2*假设!W30-W62,IF(W62&lt;=利润表!W2*假设!W30+V64,利润表!W2*假设!W30-W62,-V64))</f>
        <v>4838.3829308824788</v>
      </c>
      <c r="X63" s="199">
        <f ca="1">IF(X62-利润表!X2*假设!X30&lt;=0,利润表!X2*假设!X30-X62,IF(X62&lt;=利润表!X2*假设!X30+W64,利润表!X2*假设!X30-X62,-W64))</f>
        <v>10164.574622972892</v>
      </c>
      <c r="Y63" s="199">
        <f ca="1">IF(Y62-利润表!Y2*假设!Y30&lt;=0,利润表!Y2*假设!Y30-Y62,IF(Y62&lt;=利润表!Y2*假设!Y30+X64,利润表!Y2*假设!Y30-Y62,-X64))</f>
        <v>6930.5220535008339</v>
      </c>
      <c r="Z63" s="199">
        <f ca="1">IF(Z62-利润表!Z2*假设!Z30&lt;=0,利润表!Z2*假设!Z30-Z62,IF(Z62&lt;=利润表!Z2*假设!Z30+Y64,利润表!Z2*假设!Z30-Z62,-Y64))</f>
        <v>12490.999450865878</v>
      </c>
      <c r="AA63" s="199">
        <f ca="1">IF(AA62-利润表!AA2*假设!AA30&lt;=0,利润表!AA2*假设!AA30-AA62,IF(AA62&lt;=利润表!AA2*假设!AA30+Z64,利润表!AA2*假设!AA30-AA62,-Z64))</f>
        <v>9572.897733087977</v>
      </c>
      <c r="AB63" s="199">
        <f ca="1">IF(AB62-利润表!AB2*假设!AB30&lt;=0,利润表!AB2*假设!AB30-AB62,IF(AB62&lt;=利润表!AB2*假设!AB30+AA64,利润表!AB2*假设!AB30-AB62,-AA64))</f>
        <v>15499.486842188831</v>
      </c>
      <c r="AC63" s="199">
        <f ca="1">IF(AC62-利润表!AC2*假设!AC30&lt;=0,利润表!AC2*假设!AC30-AC62,IF(AC62&lt;=利润表!AC2*假设!AC30+AB64,利润表!AC2*假设!AC30-AC62,-AB64))</f>
        <v>12974.107873568584</v>
      </c>
      <c r="AD63" s="199">
        <f ca="1">IF(AD62-利润表!AD2*假设!AD30&lt;=0,利润表!AD2*假设!AD30-AD62,IF(AD62&lt;=利润表!AD2*假设!AD30+AC64,利润表!AD2*假设!AD30-AD62,-AC64))</f>
        <v>19334.817496460135</v>
      </c>
      <c r="AE63" s="199">
        <f ca="1">IF(AE62-利润表!AE2*假设!AE30&lt;=0,利润表!AE2*假设!AE30-AE62,IF(AE62&lt;=利润表!AE2*假设!AE30+AD64,利润表!AE2*假设!AE30-AE62,-AD64))</f>
        <v>17304.541509443952</v>
      </c>
      <c r="AF63" s="199">
        <f ca="1">IF(AF62-利润表!AF2*假设!AF30&lt;=0,利润表!AF2*假设!AF30-AF62,IF(AF62&lt;=利润表!AF2*假设!AF30+AE64,利润表!AF2*假设!AF30-AF62,-AE64))</f>
        <v>24243.290438395859</v>
      </c>
      <c r="AG63" s="199">
        <f ca="1">IF(AG62-利润表!AG2*假设!AG30&lt;=0,利润表!AG2*假设!AG30-AG62,IF(AG62&lt;=利润表!AG2*假设!AG30+AF64,利润表!AG2*假设!AG30-AG62,-AF64))</f>
        <v>22867.20122871123</v>
      </c>
      <c r="AH63" s="199">
        <f ca="1">IF(AH62-利润表!AH2*假设!AH30&lt;=0,利润表!AH2*假设!AH30-AH62,IF(AH62&lt;=利润表!AH2*假设!AH30+AG64,利润表!AH2*假设!AH30-AH62,-AG64))</f>
        <v>30532.363487777817</v>
      </c>
      <c r="AI63" s="199">
        <f ca="1">IF(AI62-利润表!AI2*假设!AI30&lt;=0,利润表!AI2*假设!AI30-AI62,IF(AI62&lt;=利润表!AI2*假设!AI30+AH64,利润表!AI2*假设!AI30-AI62,-AH64))</f>
        <v>29978.372413065539</v>
      </c>
      <c r="AJ63" s="199">
        <f ca="1">IF(AJ62-利润表!AJ2*假设!AJ30&lt;=0,利润表!AJ2*假设!AJ30-AJ62,IF(AJ62&lt;=利润表!AJ2*假设!AJ30+AI64,利润表!AJ2*假设!AJ30-AJ62,-AI64))</f>
        <v>38577.701177139032</v>
      </c>
      <c r="AK63" s="199">
        <f ca="1">IF(AK62-利润表!AK2*假设!AK30&lt;=0,利润表!AK2*假设!AK30-AK62,IF(AK62&lt;=利润表!AK2*假设!AK30+AJ64,利润表!AK2*假设!AK30-AK62,-AJ64))</f>
        <v>39079.149254002245</v>
      </c>
      <c r="AL63" s="199">
        <f ca="1">IF(AL62-利润表!AL2*假设!AL30&lt;=0,利润表!AL2*假设!AL30-AL62,IF(AL62&lt;=利润表!AL2*假设!AL30+AK64,利润表!AL2*假设!AL30-AL62,-AK64))</f>
        <v>48873.687752716214</v>
      </c>
      <c r="AM63" s="199"/>
      <c r="AN63" s="367"/>
      <c r="AO63" s="367"/>
      <c r="AP63" s="277"/>
      <c r="AQ63" s="277"/>
    </row>
    <row r="64" spans="1:139" ht="17.25" customHeight="1" outlineLevel="1">
      <c r="A64" s="234" t="s">
        <v>195</v>
      </c>
      <c r="D64" s="199">
        <v>0</v>
      </c>
      <c r="E64" s="199">
        <v>0</v>
      </c>
      <c r="F64" s="199">
        <v>0</v>
      </c>
      <c r="G64" s="199">
        <v>0</v>
      </c>
      <c r="H64" s="199">
        <v>0</v>
      </c>
      <c r="I64" s="199">
        <f ca="1">I63</f>
        <v>2463.3570845841846</v>
      </c>
      <c r="J64" s="199">
        <f ca="1">I64+J63</f>
        <v>6894.9956907455144</v>
      </c>
      <c r="K64" s="199">
        <f ca="1">J64+K63</f>
        <v>6240.861819593305</v>
      </c>
      <c r="L64" s="200">
        <f ca="1">K64+L63</f>
        <v>9905.4792304962284</v>
      </c>
      <c r="M64" s="200">
        <f t="shared" ref="M64:AL64" ca="1" si="29">L64+M63</f>
        <v>9802.0991799675157</v>
      </c>
      <c r="N64" s="200">
        <f t="shared" ca="1" si="29"/>
        <v>14076.247901436789</v>
      </c>
      <c r="O64" s="200">
        <f t="shared" ca="1" si="29"/>
        <v>14486.85726187277</v>
      </c>
      <c r="P64" s="200">
        <f t="shared" ca="1" si="29"/>
        <v>19530.498009689894</v>
      </c>
      <c r="Q64" s="200">
        <f ca="1">P64+Q63</f>
        <v>20416.342885210757</v>
      </c>
      <c r="R64" s="200">
        <f t="shared" ca="1" si="29"/>
        <v>26155.646524612312</v>
      </c>
      <c r="S64" s="200">
        <f t="shared" ca="1" si="29"/>
        <v>28128.12946696267</v>
      </c>
      <c r="T64" s="200">
        <f t="shared" ca="1" si="29"/>
        <v>34983.515299877967</v>
      </c>
      <c r="U64" s="200">
        <f t="shared" ca="1" si="29"/>
        <v>38143.163415333933</v>
      </c>
      <c r="V64" s="200">
        <f t="shared" ca="1" si="29"/>
        <v>46430.535780144572</v>
      </c>
      <c r="W64" s="200">
        <f t="shared" ca="1" si="29"/>
        <v>51268.91871102705</v>
      </c>
      <c r="X64" s="200">
        <f t="shared" ca="1" si="29"/>
        <v>61433.493333999941</v>
      </c>
      <c r="Y64" s="200">
        <f t="shared" ca="1" si="29"/>
        <v>68364.015387500782</v>
      </c>
      <c r="Z64" s="200">
        <f t="shared" ca="1" si="29"/>
        <v>80855.014838366653</v>
      </c>
      <c r="AA64" s="200">
        <f t="shared" ca="1" si="29"/>
        <v>90427.912571454624</v>
      </c>
      <c r="AB64" s="200">
        <f t="shared" ca="1" si="29"/>
        <v>105927.39941364346</v>
      </c>
      <c r="AC64" s="200">
        <f t="shared" ca="1" si="29"/>
        <v>118901.50728721205</v>
      </c>
      <c r="AD64" s="200">
        <f t="shared" ca="1" si="29"/>
        <v>138236.32478367217</v>
      </c>
      <c r="AE64" s="200">
        <f t="shared" ca="1" si="29"/>
        <v>155540.86629311612</v>
      </c>
      <c r="AF64" s="200">
        <f t="shared" ca="1" si="29"/>
        <v>179784.15673151199</v>
      </c>
      <c r="AG64" s="200">
        <f t="shared" ca="1" si="29"/>
        <v>202651.35796022322</v>
      </c>
      <c r="AH64" s="200">
        <f t="shared" ca="1" si="29"/>
        <v>233183.72144800104</v>
      </c>
      <c r="AI64" s="200">
        <f t="shared" ca="1" si="29"/>
        <v>263162.09386106656</v>
      </c>
      <c r="AJ64" s="200">
        <f t="shared" ca="1" si="29"/>
        <v>301739.79503820557</v>
      </c>
      <c r="AK64" s="200">
        <f t="shared" ca="1" si="29"/>
        <v>340818.94429220783</v>
      </c>
      <c r="AL64" s="200">
        <f t="shared" ca="1" si="29"/>
        <v>389692.63204492407</v>
      </c>
      <c r="AM64" s="200"/>
      <c r="AN64" s="367"/>
      <c r="AO64" s="367"/>
      <c r="AP64" s="277"/>
      <c r="AQ64" s="277"/>
    </row>
    <row r="65" spans="1:139" s="275" customFormat="1" ht="17.25" customHeight="1">
      <c r="A65" s="242" t="s">
        <v>1029</v>
      </c>
      <c r="B65" s="236"/>
      <c r="C65" s="236"/>
      <c r="D65" s="201">
        <f>D62+D63</f>
        <v>1007.0493830300009</v>
      </c>
      <c r="E65" s="201">
        <f t="shared" ref="E65:H65" si="30">E62+E63</f>
        <v>1300.3496819299999</v>
      </c>
      <c r="F65" s="201">
        <f t="shared" si="30"/>
        <v>1615.8115013599986</v>
      </c>
      <c r="G65" s="201">
        <f t="shared" si="30"/>
        <v>2515.5710470599997</v>
      </c>
      <c r="H65" s="201">
        <f t="shared" si="30"/>
        <v>2506.3893378099997</v>
      </c>
      <c r="I65" s="201">
        <f ca="1">I62+I63</f>
        <v>2232.272658944305</v>
      </c>
      <c r="J65" s="201">
        <f ca="1">J62+J63</f>
        <v>2537.7698719241203</v>
      </c>
      <c r="K65" s="201">
        <f ca="1">K62+K63</f>
        <v>3015.8754115929255</v>
      </c>
      <c r="L65" s="201">
        <f t="shared" ref="L65:AL65" ca="1" si="31">L62+L63</f>
        <v>3516.7777527681346</v>
      </c>
      <c r="M65" s="201">
        <f t="shared" ca="1" si="31"/>
        <v>3873.4658165061528</v>
      </c>
      <c r="N65" s="201">
        <f t="shared" ca="1" si="31"/>
        <v>4287.9586639774143</v>
      </c>
      <c r="O65" s="201">
        <f t="shared" ca="1" si="31"/>
        <v>4886.8333467462753</v>
      </c>
      <c r="P65" s="201">
        <f t="shared" ca="1" si="31"/>
        <v>5571.8861270060506</v>
      </c>
      <c r="Q65" s="201">
        <f t="shared" ca="1" si="31"/>
        <v>6300.0064086703524</v>
      </c>
      <c r="R65" s="201">
        <f t="shared" ca="1" si="31"/>
        <v>7079.4746140628013</v>
      </c>
      <c r="S65" s="201">
        <f t="shared" ca="1" si="31"/>
        <v>7987.0066860235775</v>
      </c>
      <c r="T65" s="201">
        <f t="shared" ca="1" si="31"/>
        <v>9045.1017140361691</v>
      </c>
      <c r="U65" s="201">
        <f t="shared" ca="1" si="31"/>
        <v>10230.379200395768</v>
      </c>
      <c r="V65" s="201">
        <f t="shared" ca="1" si="31"/>
        <v>11552.346908091145</v>
      </c>
      <c r="W65" s="201">
        <f t="shared" ca="1" si="31"/>
        <v>13041.768686205953</v>
      </c>
      <c r="X65" s="201">
        <f t="shared" ca="1" si="31"/>
        <v>14736.816856325464</v>
      </c>
      <c r="Y65" s="201">
        <f t="shared" ca="1" si="31"/>
        <v>16657.41817505861</v>
      </c>
      <c r="Z65" s="201">
        <f t="shared" ca="1" si="31"/>
        <v>18821.167301296864</v>
      </c>
      <c r="AA65" s="201">
        <f t="shared" ca="1" si="31"/>
        <v>21261.678118226326</v>
      </c>
      <c r="AB65" s="201">
        <f t="shared" ca="1" si="31"/>
        <v>24020.553432506553</v>
      </c>
      <c r="AC65" s="201">
        <f t="shared" ca="1" si="31"/>
        <v>27141.404443759031</v>
      </c>
      <c r="AD65" s="201">
        <f t="shared" ca="1" si="31"/>
        <v>30667.476716223766</v>
      </c>
      <c r="AE65" s="201">
        <f t="shared" ca="1" si="31"/>
        <v>34649.112567579534</v>
      </c>
      <c r="AF65" s="201">
        <f t="shared" ca="1" si="31"/>
        <v>39147.247229183544</v>
      </c>
      <c r="AG65" s="201">
        <f t="shared" ca="1" si="31"/>
        <v>44230.511994864581</v>
      </c>
      <c r="AH65" s="201">
        <f t="shared" ca="1" si="31"/>
        <v>49974.649656186339</v>
      </c>
      <c r="AI65" s="201">
        <f t="shared" ca="1" si="31"/>
        <v>56464.20874029283</v>
      </c>
      <c r="AJ65" s="201">
        <f t="shared" ca="1" si="31"/>
        <v>63795.829257436046</v>
      </c>
      <c r="AK65" s="201">
        <f t="shared" ca="1" si="31"/>
        <v>72079.592259857804</v>
      </c>
      <c r="AL65" s="201">
        <f t="shared" ca="1" si="31"/>
        <v>81439.395205588822</v>
      </c>
      <c r="AM65" s="201"/>
      <c r="AN65" s="367"/>
      <c r="AO65" s="367"/>
      <c r="AP65" s="277"/>
      <c r="AQ65" s="199"/>
      <c r="AR65" s="239"/>
      <c r="AS65" s="239"/>
      <c r="AT65" s="118"/>
      <c r="AU65" s="118"/>
      <c r="AV65" s="118"/>
      <c r="AW65" s="118"/>
      <c r="AX65" s="118"/>
      <c r="AY65" s="118"/>
      <c r="AZ65" s="118"/>
      <c r="BA65" s="118"/>
      <c r="BB65" s="118"/>
      <c r="BC65" s="118"/>
      <c r="BD65" s="118"/>
      <c r="BE65" s="118"/>
      <c r="BF65" s="118"/>
      <c r="BG65" s="118"/>
      <c r="BH65" s="118"/>
      <c r="BI65" s="118"/>
      <c r="BJ65" s="118"/>
      <c r="BK65" s="118"/>
      <c r="BL65" s="118"/>
      <c r="BM65" s="118"/>
      <c r="BN65" s="118"/>
      <c r="BO65" s="118"/>
      <c r="BP65" s="118"/>
      <c r="BQ65" s="118"/>
      <c r="BR65" s="118"/>
      <c r="BS65" s="118"/>
      <c r="BT65" s="118"/>
      <c r="BU65" s="118"/>
      <c r="BV65" s="118"/>
      <c r="BW65" s="118"/>
      <c r="BX65" s="118"/>
      <c r="BY65" s="118"/>
      <c r="BZ65" s="118"/>
      <c r="CA65" s="118"/>
      <c r="CB65" s="118"/>
      <c r="CC65" s="118"/>
      <c r="CD65" s="118"/>
      <c r="CE65" s="118"/>
      <c r="CF65" s="118"/>
      <c r="CG65" s="118"/>
      <c r="CH65" s="118"/>
      <c r="CI65" s="118"/>
      <c r="CJ65" s="118"/>
      <c r="CK65" s="118"/>
      <c r="CL65" s="118"/>
      <c r="CM65" s="118"/>
      <c r="CN65" s="118"/>
      <c r="CO65" s="118"/>
      <c r="CP65" s="118"/>
      <c r="CQ65" s="118"/>
      <c r="CR65" s="118"/>
      <c r="CS65" s="118"/>
      <c r="CT65" s="118"/>
      <c r="CU65" s="118"/>
      <c r="CV65" s="118"/>
      <c r="CW65" s="118"/>
      <c r="CX65" s="118"/>
      <c r="CY65" s="118"/>
      <c r="CZ65" s="118"/>
      <c r="DA65" s="118"/>
      <c r="DB65" s="118"/>
      <c r="DC65" s="118"/>
      <c r="DD65" s="118"/>
      <c r="DE65" s="118"/>
      <c r="DF65" s="118"/>
      <c r="DG65" s="118"/>
      <c r="DH65" s="118"/>
      <c r="DI65" s="118"/>
      <c r="DJ65" s="118"/>
      <c r="DK65" s="118"/>
      <c r="DL65" s="118"/>
      <c r="DM65" s="118"/>
      <c r="DN65" s="118"/>
      <c r="DO65" s="118"/>
      <c r="DP65" s="118"/>
      <c r="DQ65" s="118"/>
      <c r="DR65" s="118"/>
      <c r="DS65" s="118"/>
      <c r="DT65" s="118"/>
      <c r="DU65" s="118"/>
      <c r="DV65" s="118"/>
      <c r="DW65" s="118"/>
      <c r="DX65" s="118"/>
      <c r="DY65" s="118"/>
      <c r="DZ65" s="118"/>
      <c r="EA65" s="118"/>
      <c r="EB65" s="118"/>
      <c r="EC65" s="118"/>
      <c r="ED65" s="118"/>
      <c r="EE65" s="118"/>
      <c r="EF65" s="118"/>
      <c r="EG65" s="118"/>
      <c r="EH65" s="118"/>
      <c r="EI65" s="118"/>
    </row>
    <row r="66" spans="1:139" ht="17.25" customHeight="1">
      <c r="A66" s="242"/>
      <c r="B66" s="154"/>
      <c r="C66" s="154"/>
      <c r="D66" s="154"/>
      <c r="E66" s="154"/>
      <c r="F66" s="154"/>
      <c r="G66" s="154"/>
      <c r="H66" s="154"/>
      <c r="I66" s="437"/>
      <c r="J66" s="437"/>
      <c r="K66" s="437"/>
      <c r="L66" s="437"/>
      <c r="M66" s="276"/>
      <c r="N66" s="276"/>
      <c r="O66" s="276"/>
      <c r="P66" s="276"/>
      <c r="Q66" s="276"/>
      <c r="R66" s="276"/>
      <c r="S66" s="276"/>
      <c r="T66" s="276"/>
      <c r="U66" s="276"/>
      <c r="V66" s="276"/>
      <c r="W66" s="276"/>
      <c r="X66" s="276"/>
      <c r="Y66" s="276"/>
      <c r="Z66" s="276"/>
      <c r="AA66" s="276"/>
      <c r="AC66" s="277"/>
      <c r="AD66" s="277"/>
      <c r="AE66" s="277"/>
      <c r="AF66" s="277"/>
      <c r="AG66" s="277"/>
      <c r="AH66" s="277"/>
      <c r="AI66" s="277"/>
      <c r="AJ66" s="277"/>
      <c r="AK66" s="277"/>
      <c r="AL66" s="277"/>
      <c r="AM66" s="277"/>
      <c r="AN66" s="277"/>
      <c r="AO66" s="277"/>
      <c r="AP66" s="277"/>
      <c r="AQ66" s="199"/>
    </row>
    <row r="67" spans="1:139" ht="17.25" customHeight="1">
      <c r="A67" s="154"/>
      <c r="B67" s="154"/>
      <c r="C67" s="154"/>
      <c r="D67" s="154"/>
      <c r="E67" s="154"/>
      <c r="F67" s="154"/>
      <c r="G67" s="154"/>
      <c r="H67" s="154"/>
      <c r="I67" s="439"/>
      <c r="J67" s="439"/>
      <c r="K67" s="439"/>
      <c r="L67" s="440"/>
      <c r="M67" s="440"/>
      <c r="N67" s="440"/>
      <c r="O67" s="277"/>
      <c r="P67" s="277"/>
      <c r="AC67" s="277"/>
      <c r="AD67" s="277"/>
      <c r="AE67" s="277"/>
      <c r="AF67" s="277"/>
      <c r="AG67" s="277"/>
      <c r="AH67" s="277"/>
      <c r="AI67" s="277"/>
      <c r="AJ67" s="277"/>
      <c r="AK67" s="277"/>
      <c r="AL67" s="277"/>
      <c r="AM67" s="277"/>
      <c r="AN67" s="277"/>
      <c r="AO67" s="277"/>
      <c r="AP67" s="277"/>
      <c r="AQ67" s="277"/>
    </row>
    <row r="68" spans="1:139" ht="17.25" customHeight="1">
      <c r="D68" s="438"/>
      <c r="E68" s="442"/>
      <c r="F68" s="442"/>
      <c r="G68" s="442"/>
      <c r="H68" s="442"/>
      <c r="I68" s="439"/>
      <c r="J68" s="439"/>
      <c r="K68" s="439"/>
      <c r="L68" s="440"/>
      <c r="M68" s="440"/>
      <c r="N68" s="440"/>
      <c r="O68" s="277"/>
      <c r="P68" s="277"/>
      <c r="AC68" s="277"/>
      <c r="AD68" s="277"/>
      <c r="AE68" s="277"/>
      <c r="AF68" s="277"/>
      <c r="AG68" s="277"/>
      <c r="AH68" s="277"/>
      <c r="AI68" s="277"/>
      <c r="AJ68" s="277"/>
      <c r="AK68" s="277"/>
      <c r="AL68" s="277"/>
      <c r="AM68" s="277"/>
      <c r="AN68" s="277"/>
      <c r="AO68" s="199"/>
      <c r="AP68" s="199"/>
      <c r="AQ68" s="199"/>
    </row>
    <row r="69" spans="1:139" ht="17.25" customHeight="1">
      <c r="D69" s="441"/>
      <c r="E69" s="442"/>
      <c r="F69" s="442"/>
      <c r="G69" s="442"/>
      <c r="H69" s="442"/>
      <c r="I69" s="439"/>
      <c r="J69" s="439"/>
      <c r="K69" s="439"/>
      <c r="L69" s="440"/>
      <c r="M69" s="440"/>
      <c r="N69" s="440"/>
      <c r="O69" s="277"/>
      <c r="P69" s="277"/>
      <c r="AC69" s="277"/>
      <c r="AD69" s="277"/>
      <c r="AE69" s="277"/>
      <c r="AF69" s="277"/>
      <c r="AG69" s="277"/>
      <c r="AH69" s="277"/>
      <c r="AI69" s="277"/>
      <c r="AJ69" s="277"/>
      <c r="AK69" s="277"/>
      <c r="AL69" s="277"/>
      <c r="AM69" s="277"/>
      <c r="AN69" s="277"/>
      <c r="AO69" s="277"/>
      <c r="AP69" s="277"/>
      <c r="AQ69" s="277"/>
    </row>
    <row r="70" spans="1:139" ht="17.25" customHeight="1">
      <c r="D70" s="438"/>
      <c r="E70" s="442"/>
      <c r="F70" s="277"/>
      <c r="G70" s="442"/>
      <c r="H70" s="442"/>
      <c r="I70" s="666"/>
      <c r="J70" s="439"/>
      <c r="K70" s="439"/>
      <c r="L70" s="440"/>
      <c r="M70" s="440"/>
      <c r="N70" s="440"/>
      <c r="O70" s="277"/>
      <c r="P70" s="277"/>
      <c r="AC70" s="277"/>
      <c r="AD70" s="277"/>
      <c r="AE70" s="277"/>
      <c r="AF70" s="277"/>
      <c r="AG70" s="277"/>
      <c r="AH70" s="277"/>
      <c r="AI70" s="277"/>
      <c r="AJ70" s="277"/>
      <c r="AK70" s="277"/>
      <c r="AL70" s="277"/>
      <c r="AM70" s="277"/>
      <c r="AN70" s="277"/>
      <c r="AO70" s="277"/>
      <c r="AP70" s="277"/>
      <c r="AQ70" s="277"/>
    </row>
    <row r="71" spans="1:139" ht="17.25" customHeight="1">
      <c r="G71" s="463"/>
    </row>
  </sheetData>
  <phoneticPr fontId="4" type="noConversion"/>
  <pageMargins left="0.94488188976377963" right="0.55118110236220474" top="0.98425196850393704" bottom="0.98425196850393704" header="0.51181102362204722" footer="0.51181102362204722"/>
  <pageSetup paperSize="9" scale="65" orientation="portrait" r:id="rId1"/>
  <headerFooter alignWithMargins="0"/>
  <ignoredErrors>
    <ignoredError sqref="C58:I59 C61:H64 C60 C39:AL39 C38 C57 L50:M50 C35:H35 C17:AL17 C28:AL28 L42:M42 C41:C42 C54 C1:AL2 C14:AL15 C40:M40 O40:AL40 O50:AL50 O42:AL42 O47:AL47 C47 L47:M47 C33:AL33 C29:F29 H29:AL29 C30:G30 M30:AL30 D13:AL13 C7:AL7 J3:AL3 H3 C3:C4 E4:AL4 C9:AL11 C8 I8:AL8 C50:C51 C21:AL21 C24:AL24 C26:AL26 C31:AL31 L45:M45 C45 O45:AL45" evalError="1"/>
    <ignoredError sqref="D42:H42 D50:H50 D45:H45 J45:K45 J42:K42 D47:H47 J47:K47 J50:K50" evalError="1" emptyCellReference="1"/>
    <ignoredError sqref="M51 O51:AK51" emptyCellReference="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1:AM3036"/>
  <sheetViews>
    <sheetView showGridLines="0" workbookViewId="0">
      <pane xSplit="3" ySplit="1" topLeftCell="D14" activePane="bottomRight" state="frozen"/>
      <selection activeCell="AP58" sqref="AP58"/>
      <selection pane="topRight" activeCell="AP58" sqref="AP58"/>
      <selection pane="bottomLeft" activeCell="AP58" sqref="AP58"/>
      <selection pane="bottomRight" activeCell="G14" sqref="G14"/>
    </sheetView>
  </sheetViews>
  <sheetFormatPr defaultColWidth="9.375" defaultRowHeight="16.5" customHeight="1"/>
  <cols>
    <col min="1" max="1" width="5" style="247" customWidth="1"/>
    <col min="2" max="2" width="41.5" style="256" customWidth="1"/>
    <col min="3" max="3" width="51.375" style="256" hidden="1" customWidth="1"/>
    <col min="4" max="5" width="15.875" style="414" hidden="1" customWidth="1"/>
    <col min="6" max="6" width="15.875" style="414" customWidth="1"/>
    <col min="7" max="11" width="15.875" style="253" customWidth="1"/>
    <col min="12" max="14" width="15.875" style="253" hidden="1" customWidth="1"/>
    <col min="15" max="28" width="15.875" style="415" hidden="1" customWidth="1"/>
    <col min="29" max="29" width="15.875" style="416" hidden="1" customWidth="1"/>
    <col min="30" max="38" width="15.875" style="247" hidden="1" customWidth="1"/>
    <col min="39" max="39" width="13.625" style="247" customWidth="1"/>
    <col min="40" max="16384" width="9.375" style="247"/>
  </cols>
  <sheetData>
    <row r="1" spans="1:39" ht="24" customHeight="1">
      <c r="A1" s="1298" t="s">
        <v>1380</v>
      </c>
      <c r="B1" s="1298"/>
      <c r="C1" s="395" t="s">
        <v>1048</v>
      </c>
      <c r="D1" s="212">
        <f>假设!D$2</f>
        <v>2018</v>
      </c>
      <c r="E1" s="212">
        <f>假设!E$2</f>
        <v>2019</v>
      </c>
      <c r="F1" s="212">
        <f>假设!F$2</f>
        <v>2020</v>
      </c>
      <c r="G1" s="212">
        <f>假设!G$2</f>
        <v>2021</v>
      </c>
      <c r="H1" s="212">
        <f>假设!H$2</f>
        <v>2022</v>
      </c>
      <c r="I1" s="213" t="str">
        <f>假设!I$2</f>
        <v>2023E</v>
      </c>
      <c r="J1" s="213" t="str">
        <f>假设!J$2</f>
        <v>2024E</v>
      </c>
      <c r="K1" s="213" t="str">
        <f>假设!K$2</f>
        <v>2025E</v>
      </c>
      <c r="L1" s="213" t="str">
        <f>假设!L$2</f>
        <v>2026E</v>
      </c>
      <c r="M1" s="213" t="str">
        <f>假设!M$2</f>
        <v>2027E</v>
      </c>
      <c r="N1" s="213" t="str">
        <f>假设!N$2</f>
        <v>2028E</v>
      </c>
      <c r="O1" s="213" t="str">
        <f>假设!O$2</f>
        <v>2029E</v>
      </c>
      <c r="P1" s="213" t="str">
        <f>假设!P$2</f>
        <v>2030E</v>
      </c>
      <c r="Q1" s="213" t="str">
        <f>假设!Q$2</f>
        <v>2031E</v>
      </c>
      <c r="R1" s="213" t="str">
        <f>假设!R$2</f>
        <v>2032E</v>
      </c>
      <c r="S1" s="213" t="str">
        <f>假设!S$2</f>
        <v>2033E</v>
      </c>
      <c r="T1" s="213" t="str">
        <f>假设!T$2</f>
        <v>2034E</v>
      </c>
      <c r="U1" s="213" t="str">
        <f>假设!U$2</f>
        <v>2035E</v>
      </c>
      <c r="V1" s="213" t="str">
        <f>假设!V$2</f>
        <v>2036E</v>
      </c>
      <c r="W1" s="213" t="str">
        <f>假设!W$2</f>
        <v>2037E</v>
      </c>
      <c r="X1" s="213" t="str">
        <f>假设!X$2</f>
        <v>2038E</v>
      </c>
      <c r="Y1" s="213" t="str">
        <f>假设!Y$2</f>
        <v>2039E</v>
      </c>
      <c r="Z1" s="213" t="str">
        <f>假设!Z$2</f>
        <v>2040E</v>
      </c>
      <c r="AA1" s="213" t="str">
        <f>假设!AA$2</f>
        <v>2041E</v>
      </c>
      <c r="AB1" s="213" t="str">
        <f>假设!AB$2</f>
        <v>2042E</v>
      </c>
      <c r="AC1" s="213" t="str">
        <f>假设!AC$2</f>
        <v>2043E</v>
      </c>
      <c r="AD1" s="213" t="str">
        <f>假设!AD$2</f>
        <v>2044E</v>
      </c>
      <c r="AE1" s="213" t="str">
        <f>假设!AE$2</f>
        <v>2045E</v>
      </c>
      <c r="AF1" s="213" t="str">
        <f>假设!AF$2</f>
        <v>2046E</v>
      </c>
      <c r="AG1" s="213" t="str">
        <f>假设!AG$2</f>
        <v>2047E</v>
      </c>
      <c r="AH1" s="213" t="str">
        <f>假设!AH$2</f>
        <v>2048E</v>
      </c>
      <c r="AI1" s="213" t="str">
        <f>假设!AI$2</f>
        <v>2049E</v>
      </c>
      <c r="AJ1" s="213" t="str">
        <f>假设!AJ$2</f>
        <v>2050E</v>
      </c>
      <c r="AK1" s="213" t="str">
        <f>假设!AK$2</f>
        <v>2051E</v>
      </c>
      <c r="AL1" s="213" t="str">
        <f>假设!AL$2</f>
        <v>2052E</v>
      </c>
      <c r="AM1" s="214"/>
    </row>
    <row r="2" spans="1:39" s="405" customFormat="1" ht="16.5" customHeight="1">
      <c r="A2" s="535" t="s">
        <v>369</v>
      </c>
      <c r="B2" s="210"/>
      <c r="C2" s="395"/>
      <c r="D2" s="222"/>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417"/>
    </row>
    <row r="3" spans="1:39" ht="16.5" customHeight="1">
      <c r="A3" s="210"/>
      <c r="B3" s="215" t="s">
        <v>1443</v>
      </c>
      <c r="C3" s="245" t="s">
        <v>1495</v>
      </c>
      <c r="D3" s="222">
        <f>假设!D3</f>
        <v>0.51891667837020972</v>
      </c>
      <c r="E3" s="222">
        <f>假设!E3</f>
        <v>0.50220653185762965</v>
      </c>
      <c r="F3" s="222">
        <f>假设!F3</f>
        <v>0.34091490710877626</v>
      </c>
      <c r="G3" s="222">
        <f>假设!G3</f>
        <v>0.24573188559615566</v>
      </c>
      <c r="H3" s="222">
        <f>假设!H3</f>
        <v>-1.4166452712930377E-2</v>
      </c>
      <c r="I3" s="222">
        <f>假设!I3</f>
        <v>9.2100000000000001E-2</v>
      </c>
      <c r="J3" s="222">
        <f>假设!J3</f>
        <v>0.15790000000000001</v>
      </c>
      <c r="K3" s="222">
        <f>假设!K3</f>
        <v>0.1644960679984003</v>
      </c>
      <c r="L3" s="222">
        <f>假设!L3</f>
        <v>0.12921230017632512</v>
      </c>
      <c r="M3" s="222">
        <f>假设!M3</f>
        <v>0.10590838309235902</v>
      </c>
      <c r="N3" s="222">
        <f>假设!N3</f>
        <v>0.12992335025341689</v>
      </c>
      <c r="O3" s="222">
        <f>假设!O3</f>
        <v>0.13748802030410029</v>
      </c>
      <c r="P3" s="222">
        <f>假设!P3</f>
        <v>0.13340562436492032</v>
      </c>
      <c r="Q3" s="222">
        <f>假设!Q3</f>
        <v>0.12718753563822432</v>
      </c>
      <c r="R3" s="222">
        <f>假设!R3</f>
        <v>0.12678258273060417</v>
      </c>
      <c r="S3" s="222">
        <f>假设!S3</f>
        <v>0.13095742265825319</v>
      </c>
      <c r="T3" s="222">
        <f>假设!T3</f>
        <v>0.13116423713922046</v>
      </c>
      <c r="U3" s="222">
        <f>假设!U3</f>
        <v>0.1298994805062445</v>
      </c>
      <c r="V3" s="222">
        <f>假设!V3</f>
        <v>0.12919825173450933</v>
      </c>
      <c r="W3" s="222">
        <f>假设!W3</f>
        <v>0.12960039495376632</v>
      </c>
      <c r="X3" s="222">
        <f>假设!X3</f>
        <v>0.13016395739839876</v>
      </c>
      <c r="Y3" s="222">
        <f>假设!Y3</f>
        <v>0.13000526434642787</v>
      </c>
      <c r="Z3" s="222">
        <f>假设!Z3</f>
        <v>0.12977346978786936</v>
      </c>
      <c r="AA3" s="222">
        <f>假设!AA3</f>
        <v>0.12974826764419434</v>
      </c>
      <c r="AB3" s="222">
        <f>假设!AB3</f>
        <v>0.12985827082613133</v>
      </c>
      <c r="AC3" s="222">
        <f>假设!AC3</f>
        <v>0.12990984600060435</v>
      </c>
      <c r="AD3" s="222">
        <f>假设!AD3</f>
        <v>0.12985902372104546</v>
      </c>
      <c r="AE3" s="222">
        <f>假设!AE3</f>
        <v>0.12982977559596898</v>
      </c>
      <c r="AF3" s="222">
        <f>假设!AF3</f>
        <v>0.1298410367575889</v>
      </c>
      <c r="AG3" s="222">
        <f>假设!AG3</f>
        <v>0.1298595905802678</v>
      </c>
      <c r="AH3" s="222">
        <f>假设!AH3</f>
        <v>0.12985985453109508</v>
      </c>
      <c r="AI3" s="222">
        <f>假设!AI3</f>
        <v>0.12984985623719325</v>
      </c>
      <c r="AJ3" s="222">
        <f>假设!AJ3</f>
        <v>0.12984802274042279</v>
      </c>
      <c r="AK3" s="222">
        <f>假设!AK3</f>
        <v>0.12985167216931356</v>
      </c>
      <c r="AL3" s="222">
        <f>假设!AL3</f>
        <v>0.12985379925165849</v>
      </c>
      <c r="AM3" s="222"/>
    </row>
    <row r="4" spans="1:39" ht="16.5" customHeight="1">
      <c r="A4" s="210"/>
      <c r="B4" s="215" t="s">
        <v>1496</v>
      </c>
      <c r="C4" s="245" t="s">
        <v>1497</v>
      </c>
      <c r="D4" s="222">
        <f>(利润表!D19-利润表!C19)/ABS(利润表!C19)</f>
        <v>-0.14878789806011464</v>
      </c>
      <c r="E4" s="222">
        <f>(利润表!E19-利润表!D19)/ABS(利润表!D19)</f>
        <v>0.92878531597458247</v>
      </c>
      <c r="F4" s="222">
        <f>(利润表!F19-利润表!E19)/ABS(利润表!E19)</f>
        <v>1.4179649498003783</v>
      </c>
      <c r="G4" s="222">
        <f>(利润表!G19-利润表!F19)/ABS(利润表!F19)</f>
        <v>-0.21531061853697409</v>
      </c>
      <c r="H4" s="222">
        <f>(利润表!H19-利润表!G19)/ABS(利润表!G19)</f>
        <v>-0.76381519801908282</v>
      </c>
      <c r="I4" s="222">
        <f ca="1">(利润表!I19-利润表!H19)/ABS(利润表!H19)</f>
        <v>-2.2572371044344379</v>
      </c>
      <c r="J4" s="222">
        <f ca="1">(利润表!J19-利润表!I19)/ABS(利润表!I19)</f>
        <v>1.7919576680957416</v>
      </c>
      <c r="K4" s="222">
        <f ca="1">(利润表!K19-利润表!J19)/ABS(利润表!J19)</f>
        <v>-0.33394108849126664</v>
      </c>
      <c r="L4" s="222">
        <f ca="1">(利润表!L19-利润表!K19)/ABS(利润表!K19)</f>
        <v>-0.84482173669042937</v>
      </c>
      <c r="M4" s="222">
        <f ca="1">(利润表!M19-利润表!L19)/ABS(利润表!L19)</f>
        <v>-5.3958042922488509</v>
      </c>
      <c r="N4" s="222">
        <f ca="1">(利润表!N19-利润表!M19)/ABS(利润表!M19)</f>
        <v>-0.65814128470349353</v>
      </c>
      <c r="O4" s="222">
        <f ca="1">(利润表!O19-利润表!N19)/ABS(利润表!N19)</f>
        <v>-0.13241664064251948</v>
      </c>
      <c r="P4" s="222">
        <f ca="1">(利润表!P19-利润表!O19)/ABS(利润表!O19)</f>
        <v>-0.42983269109565453</v>
      </c>
      <c r="Q4" s="222">
        <f ca="1">(利润表!Q19-利润表!P19)/ABS(利润表!P19)</f>
        <v>-0.39644369909559335</v>
      </c>
      <c r="R4" s="222">
        <f ca="1">(利润表!R19-利润表!Q19)/ABS(利润表!Q19)</f>
        <v>-0.30449905578992054</v>
      </c>
      <c r="S4" s="222">
        <f ca="1">(利润表!S19-利润表!R19)/ABS(利润表!R19)</f>
        <v>-0.2494687756367257</v>
      </c>
      <c r="T4" s="222">
        <f ca="1">(利润表!T19-利润表!S19)/ABS(利润表!S19)</f>
        <v>-0.21803371466800969</v>
      </c>
      <c r="U4" s="222">
        <f ca="1">(利润表!U19-利润表!T19)/ABS(利润表!T19)</f>
        <v>-0.21418492736478337</v>
      </c>
      <c r="V4" s="222">
        <f ca="1">(利润表!V19-利润表!U19)/ABS(利润表!U19)</f>
        <v>-0.2147797587554299</v>
      </c>
      <c r="W4" s="222">
        <f ca="1">(利润表!W19-利润表!V19)/ABS(利润表!V19)</f>
        <v>-0.20421924687628557</v>
      </c>
      <c r="X4" s="222">
        <f ca="1">(利润表!X19-利润表!W19)/ABS(利润表!W19)</f>
        <v>-0.1920584817278157</v>
      </c>
      <c r="Y4" s="222">
        <f ca="1">(利润表!Y19-利润表!X19)/ABS(利润表!X19)</f>
        <v>-0.18425380642973205</v>
      </c>
      <c r="Z4" s="222">
        <f ca="1">(利润表!Z19-利润表!Y19)/ABS(利润表!Y19)</f>
        <v>-0.17925595562746832</v>
      </c>
      <c r="AA4" s="222">
        <f ca="1">(利润表!AA19-利润表!Z19)/ABS(利润表!Z19)</f>
        <v>-0.17444026220460224</v>
      </c>
      <c r="AB4" s="222">
        <f ca="1">(利润表!AB19-利润表!AA19)/ABS(利润表!AA19)</f>
        <v>-0.16910060124908277</v>
      </c>
      <c r="AC4" s="222">
        <f ca="1">(利润表!AC19-利润表!AB19)/ABS(利润表!AB19)</f>
        <v>-0.16464863811101274</v>
      </c>
      <c r="AD4" s="222">
        <f ca="1">(利润表!AD19-利润表!AC19)/ABS(利润表!AC19)</f>
        <v>-0.16120771141342796</v>
      </c>
      <c r="AE4" s="222">
        <f ca="1">(利润表!AE19-利润表!AD19)/ABS(利润表!AD19)</f>
        <v>-0.15826981714890967</v>
      </c>
      <c r="AF4" s="222">
        <f ca="1">(利润表!AF19-利润表!AE19)/ABS(利润表!AE19)</f>
        <v>-0.15552728504855828</v>
      </c>
      <c r="AG4" s="222">
        <f ca="1">(利润表!AG19-利润表!AF19)/ABS(利润表!AF19)</f>
        <v>-0.15301968473573882</v>
      </c>
      <c r="AH4" s="222">
        <f ca="1">(利润表!AH19-利润表!AG19)/ABS(利润表!AG19)</f>
        <v>-0.15086147830466359</v>
      </c>
      <c r="AI4" s="222">
        <f ca="1">(利润表!AI19-利润表!AH19)/ABS(利润表!AH19)</f>
        <v>-0.14900330903926134</v>
      </c>
      <c r="AJ4" s="222">
        <f ca="1">(利润表!AJ19-利润表!AI19)/ABS(利润表!AI19)</f>
        <v>-0.14733954652999859</v>
      </c>
      <c r="AK4" s="222">
        <f ca="1">(利润表!AK19-利润表!AJ19)/ABS(利润表!AJ19)</f>
        <v>-0.14580773806435804</v>
      </c>
      <c r="AL4" s="222">
        <f ca="1">(利润表!AL19-利润表!AK19)/ABS(利润表!AK19)</f>
        <v>-0.14443657508561603</v>
      </c>
      <c r="AM4" s="222"/>
    </row>
    <row r="5" spans="1:39" s="406" customFormat="1" ht="16.5" customHeight="1">
      <c r="A5" s="210"/>
      <c r="B5" s="215" t="s">
        <v>1444</v>
      </c>
      <c r="C5" s="245" t="s">
        <v>1498</v>
      </c>
      <c r="D5" s="222">
        <f>(利润表!D25-利润表!C25)/ABS(利润表!C25)</f>
        <v>-0.14795165875992883</v>
      </c>
      <c r="E5" s="222">
        <f>(利润表!E25-利润表!D25)/ABS(利润表!D25)</f>
        <v>0.96128306738428604</v>
      </c>
      <c r="F5" s="222">
        <f>(利润表!F25-利润表!E25)/ABS(利润表!E25)</f>
        <v>1.450270869080551</v>
      </c>
      <c r="G5" s="222">
        <f>(利润表!G25-利润表!F25)/ABS(利润表!F25)</f>
        <v>-0.24453178665279779</v>
      </c>
      <c r="H5" s="222">
        <f>(利润表!H25-利润表!G25)/ABS(利润表!G25)</f>
        <v>-0.73548959845414108</v>
      </c>
      <c r="I5" s="222">
        <f ca="1">(利润表!I25-利润表!H25)/ABS(利润表!H25)</f>
        <v>-2.1199252393780479</v>
      </c>
      <c r="J5" s="222">
        <f ca="1">(利润表!J25-利润表!I25)/ABS(利润表!I25)</f>
        <v>1.8417535642364513</v>
      </c>
      <c r="K5" s="222">
        <f ca="1">(利润表!K25-利润表!J25)/ABS(利润表!J25)</f>
        <v>-0.31770700656774031</v>
      </c>
      <c r="L5" s="222">
        <f ca="1">(利润表!L25-利润表!K25)/ABS(利润表!K25)</f>
        <v>-0.7963743112209376</v>
      </c>
      <c r="M5" s="222">
        <f ca="1">(利润表!M25-利润表!L25)/ABS(利润表!L25)</f>
        <v>-3.9213314319468302</v>
      </c>
      <c r="N5" s="222">
        <f ca="1">(利润表!N25-利润表!M25)/ABS(利润表!M25)</f>
        <v>-0.71156057883181312</v>
      </c>
      <c r="O5" s="222">
        <f ca="1">(利润表!O25-利润表!N25)/ABS(利润表!N25)</f>
        <v>-0.13822771903874523</v>
      </c>
      <c r="P5" s="222">
        <f ca="1">(利润表!P25-利润表!O25)/ABS(利润表!O25)</f>
        <v>-0.4495216724757814</v>
      </c>
      <c r="Q5" s="222">
        <f ca="1">(利润表!Q25-利润表!P25)/ABS(利润表!P25)</f>
        <v>-0.40953127082638074</v>
      </c>
      <c r="R5" s="222">
        <f ca="1">(利润表!R25-利润表!Q25)/ABS(利润表!Q25)</f>
        <v>-0.31230635189153272</v>
      </c>
      <c r="S5" s="222">
        <f ca="1">(利润表!S25-利润表!R25)/ABS(利润表!R25)</f>
        <v>-0.25264577891883</v>
      </c>
      <c r="T5" s="222">
        <f ca="1">(利润表!T25-利润表!S25)/ABS(利润表!S25)</f>
        <v>-0.22123112854151825</v>
      </c>
      <c r="U5" s="222">
        <f ca="1">(利润表!U25-利润表!T25)/ABS(利润表!T25)</f>
        <v>-0.21670692171299172</v>
      </c>
      <c r="V5" s="222">
        <f ca="1">(利润表!V25-利润表!U25)/ABS(利润表!U25)</f>
        <v>-0.21681408691902759</v>
      </c>
      <c r="W5" s="222">
        <f ca="1">(利润表!W25-利润表!V25)/ABS(利润表!V25)</f>
        <v>-0.20576975240324089</v>
      </c>
      <c r="X5" s="222">
        <f ca="1">(利润表!X25-利润表!W25)/ABS(利润表!W25)</f>
        <v>-0.19313693005742313</v>
      </c>
      <c r="Y5" s="222">
        <f ca="1">(利润表!Y25-利润表!X25)/ABS(利润表!X25)</f>
        <v>-0.18528668601485018</v>
      </c>
      <c r="Z5" s="222">
        <f ca="1">(利润表!Z25-利润表!Y25)/ABS(利润表!Y25)</f>
        <v>-0.18007184478473923</v>
      </c>
      <c r="AA5" s="222">
        <f ca="1">(利润表!AA25-利润表!Z25)/ABS(利润表!Z25)</f>
        <v>-0.17509564846034825</v>
      </c>
      <c r="AB5" s="222">
        <f ca="1">(利润表!AB25-利润表!AA25)/ABS(利润表!AA25)</f>
        <v>-0.16963277767540771</v>
      </c>
      <c r="AC5" s="222">
        <f ca="1">(利润表!AC25-利润表!AB25)/ABS(利润表!AB25)</f>
        <v>-0.16508919151363965</v>
      </c>
      <c r="AD5" s="222">
        <f ca="1">(利润表!AD25-利润表!AC25)/ABS(利润表!AC25)</f>
        <v>-0.16159885602515695</v>
      </c>
      <c r="AE5" s="222">
        <f ca="1">(利润表!AE25-利润表!AD25)/ABS(利润表!AD25)</f>
        <v>-0.15859173689301143</v>
      </c>
      <c r="AF5" s="222">
        <f ca="1">(利润表!AF25-利润表!AE25)/ABS(利润表!AE25)</f>
        <v>-0.15579717234737681</v>
      </c>
      <c r="AG5" s="222">
        <f ca="1">(利润表!AG25-利润表!AF25)/ABS(利润表!AF25)</f>
        <v>-0.15324927841451244</v>
      </c>
      <c r="AH5" s="222">
        <f ca="1">(利润表!AH25-利润表!AG25)/ABS(利润表!AG25)</f>
        <v>-0.15105913247198435</v>
      </c>
      <c r="AI5" s="222">
        <f ca="1">(利润表!AI25-利润表!AH25)/ABS(利润表!AH25)</f>
        <v>-0.1491749053315034</v>
      </c>
      <c r="AJ5" s="222">
        <f ca="1">(利润表!AJ25-利润表!AI25)/ABS(利润表!AI25)</f>
        <v>-0.14748543586737367</v>
      </c>
      <c r="AK5" s="222">
        <f ca="1">(利润表!AK25-利润表!AJ25)/ABS(利润表!AJ25)</f>
        <v>-0.14593323687572682</v>
      </c>
      <c r="AL5" s="222">
        <f ca="1">(利润表!AL25-利润表!AK25)/ABS(利润表!AK25)</f>
        <v>-0.14454530702061941</v>
      </c>
      <c r="AM5" s="418"/>
    </row>
    <row r="6" spans="1:39" s="407" customFormat="1" ht="16.5" customHeight="1">
      <c r="A6" s="210"/>
      <c r="B6" s="210" t="s">
        <v>1445</v>
      </c>
      <c r="C6" s="245" t="s">
        <v>1499</v>
      </c>
      <c r="D6" s="222">
        <f>(利润表!D26-利润表!C26)/ABS(利润表!C26)</f>
        <v>-0.14975517754545853</v>
      </c>
      <c r="E6" s="222">
        <f>(利润表!E26-利润表!D26)/ABS(利润表!D26)</f>
        <v>0.95909791191038729</v>
      </c>
      <c r="F6" s="222">
        <f>(利润表!F26-利润表!E26)/ABS(利润表!E26)</f>
        <v>1.4174444266836872</v>
      </c>
      <c r="G6" s="222">
        <f>(利润表!G26-利润表!F26)/ABS(利润表!F26)</f>
        <v>-0.1930187380111347</v>
      </c>
      <c r="H6" s="222">
        <f>(利润表!H26-利润表!G26)/ABS(利润表!G26)</f>
        <v>-0.70763963871887325</v>
      </c>
      <c r="I6" s="222">
        <f ca="1">(利润表!I26-利润表!H26)/ABS(利润表!H26)</f>
        <v>-1.5868534628656741</v>
      </c>
      <c r="J6" s="222">
        <f ca="1">(利润表!J26-利润表!I26)/ABS(利润表!I26)</f>
        <v>4.3036410714382898</v>
      </c>
      <c r="K6" s="222">
        <f ca="1">(利润表!K26-利润表!J26)/ABS(利润表!J26)</f>
        <v>7.9367228498083003E-2</v>
      </c>
      <c r="L6" s="222">
        <f ca="1">(利润表!L26-利润表!K26)/ABS(利润表!K26)</f>
        <v>-6.3941942330296084E-2</v>
      </c>
      <c r="M6" s="222">
        <f ca="1">(利润表!M26-利润表!L26)/ABS(利润表!L26)</f>
        <v>-3.2023479199086977E-2</v>
      </c>
      <c r="N6" s="222">
        <f ca="1">(利润表!N26-利润表!M26)/ABS(利润表!M26)</f>
        <v>0.11643294568128307</v>
      </c>
      <c r="O6" s="222">
        <f ca="1">(利润表!O26-利润表!N26)/ABS(利润表!N26)</f>
        <v>0.20609104222415012</v>
      </c>
      <c r="P6" s="222">
        <f ca="1">(利润表!P26-利润表!O26)/ABS(利润表!O26)</f>
        <v>0.121848348584374</v>
      </c>
      <c r="Q6" s="222">
        <f ca="1">(利润表!Q26-利润表!P26)/ABS(利润表!P26)</f>
        <v>9.4364000881458646E-2</v>
      </c>
      <c r="R6" s="222">
        <f ca="1">(利润表!R26-利润表!Q26)/ABS(利润表!Q26)</f>
        <v>0.10262406336442084</v>
      </c>
      <c r="S6" s="222">
        <f ca="1">(利润表!S26-利润表!R26)/ABS(利润表!R26)</f>
        <v>0.12064683016711496</v>
      </c>
      <c r="T6" s="222">
        <f ca="1">(利润表!T26-利润表!S26)/ABS(利润表!S26)</f>
        <v>0.12876743973447527</v>
      </c>
      <c r="U6" s="222">
        <f ca="1">(利润表!U26-利润表!T26)/ABS(利润表!T26)</f>
        <v>0.12259236774736369</v>
      </c>
      <c r="V6" s="222">
        <f ca="1">(利润表!V26-利润表!U26)/ABS(利润表!U26)</f>
        <v>0.11747914181944714</v>
      </c>
      <c r="W6" s="222">
        <f ca="1">(利润表!W26-利润表!V26)/ABS(利润表!V26)</f>
        <v>0.12053797463730799</v>
      </c>
      <c r="X6" s="222">
        <f ca="1">(利润表!X26-利润表!W26)/ABS(利润表!W26)</f>
        <v>0.12442431612964869</v>
      </c>
      <c r="Y6" s="222">
        <f ca="1">(利润表!Y26-利润表!X26)/ABS(利润表!X26)</f>
        <v>0.12549178701152144</v>
      </c>
      <c r="Z6" s="222">
        <f ca="1">(利润表!Z26-利润表!Y26)/ABS(利润表!Y26)</f>
        <v>0.12455378507824398</v>
      </c>
      <c r="AA6" s="222">
        <f ca="1">(利润表!AA26-利润表!Z26)/ABS(利润表!Z26)</f>
        <v>0.12442539866764792</v>
      </c>
      <c r="AB6" s="222">
        <f ca="1">(利润表!AB26-利润表!AA26)/ABS(利润表!AA26)</f>
        <v>0.12564198786813602</v>
      </c>
      <c r="AC6" s="222">
        <f ca="1">(利润表!AC26-利润表!AB26)/ABS(利润表!AB26)</f>
        <v>0.12653398064426208</v>
      </c>
      <c r="AD6" s="222">
        <f ca="1">(利润表!AD26-利润表!AC26)/ABS(利润表!AC26)</f>
        <v>0.12678866444165757</v>
      </c>
      <c r="AE6" s="222">
        <f ca="1">(利润表!AE26-利润表!AD26)/ABS(利润表!AD26)</f>
        <v>0.12687178542242866</v>
      </c>
      <c r="AF6" s="222">
        <f ca="1">(利润表!AF26-利润表!AE26)/ABS(利润表!AE26)</f>
        <v>0.12718876101715626</v>
      </c>
      <c r="AG6" s="222">
        <f ca="1">(利润表!AG26-利润表!AF26)/ABS(利润表!AF26)</f>
        <v>0.12762346847219197</v>
      </c>
      <c r="AH6" s="222">
        <f ca="1">(利润表!AH26-利润表!AG26)/ABS(利润表!AG26)</f>
        <v>0.12790949114592695</v>
      </c>
      <c r="AI6" s="222">
        <f ca="1">(利润表!AI26-利润表!AH26)/ABS(利润表!AH26)</f>
        <v>0.12808247605808309</v>
      </c>
      <c r="AJ6" s="222">
        <f ca="1">(利润表!AJ26-利润表!AI26)/ABS(利润表!AI26)</f>
        <v>0.12825046181002481</v>
      </c>
      <c r="AK6" s="222">
        <f ca="1">(利润表!AK26-利润表!AJ26)/ABS(利润表!AJ26)</f>
        <v>0.12844658261624128</v>
      </c>
      <c r="AL6" s="222">
        <f ca="1">(利润表!AL26-利润表!AK26)/ABS(利润表!AK26)</f>
        <v>0.12862735135034403</v>
      </c>
      <c r="AM6" s="398"/>
    </row>
    <row r="7" spans="1:39" s="258" customFormat="1" ht="16.5" customHeight="1">
      <c r="A7" s="210"/>
      <c r="B7" s="210" t="s">
        <v>1446</v>
      </c>
      <c r="C7" s="245" t="s">
        <v>1500</v>
      </c>
      <c r="D7" s="222">
        <f>(利润表!D28-利润表!C28)/ABS(利润表!C28)</f>
        <v>-7.5973184726185861E-2</v>
      </c>
      <c r="E7" s="222">
        <f>(利润表!E28-利润表!D28)/ABS(利润表!D28)</f>
        <v>0.89883409492030919</v>
      </c>
      <c r="F7" s="222">
        <f>(利润表!F28-利润表!E28)/ABS(利润表!E28)</f>
        <v>1.3026197457695583</v>
      </c>
      <c r="G7" s="222">
        <f>(利润表!G28-利润表!F28)/ABS(利润表!F28)</f>
        <v>-0.12892512009641716</v>
      </c>
      <c r="H7" s="222">
        <f>(利润表!H28-利润表!G28)/ABS(利润表!G28)</f>
        <v>-0.55011568241087971</v>
      </c>
      <c r="I7" s="222">
        <f ca="1">(利润表!I28-利润表!H28)/ABS(利润表!H28)</f>
        <v>-0.9683628108966974</v>
      </c>
      <c r="J7" s="222">
        <f ca="1">(利润表!J28-利润表!I28)/ABS(利润表!I28)</f>
        <v>45.134656407922002</v>
      </c>
      <c r="K7" s="222">
        <f ca="1">(利润表!K28-利润表!J28)/ABS(利润表!J28)</f>
        <v>0.10075682162526782</v>
      </c>
      <c r="L7" s="222">
        <f ca="1">(利润表!L28-利润表!K28)/ABS(利润表!K28)</f>
        <v>-3.8136283389090548E-3</v>
      </c>
      <c r="M7" s="222">
        <f ca="1">(利润表!M28-利润表!L28)/ABS(利润表!L28)</f>
        <v>1.7790640903495629E-2</v>
      </c>
      <c r="N7" s="222">
        <f ca="1">(利润表!N28-利润表!M28)/ABS(利润表!M28)</f>
        <v>0.11707521952417672</v>
      </c>
      <c r="O7" s="222">
        <f ca="1">(利润表!O28-利润表!N28)/ABS(利润表!N28)</f>
        <v>0.17842807479372144</v>
      </c>
      <c r="P7" s="222">
        <f ca="1">(利润表!P28-利润表!O28)/ABS(利润表!O28)</f>
        <v>0.12449181809863784</v>
      </c>
      <c r="Q7" s="222">
        <f ca="1">(利润表!Q28-利润表!P28)/ABS(利润表!P28)</f>
        <v>0.10568252892728038</v>
      </c>
      <c r="R7" s="222">
        <f ca="1">(利润表!R28-利润表!Q28)/ABS(利润表!Q28)</f>
        <v>0.11009736154848099</v>
      </c>
      <c r="S7" s="222">
        <f ca="1">(利润表!S28-利润表!R28)/ABS(利润表!R28)</f>
        <v>0.12172572097494951</v>
      </c>
      <c r="T7" s="222">
        <f ca="1">(利润表!T28-利润表!S28)/ABS(利润表!S28)</f>
        <v>0.12802663533010206</v>
      </c>
      <c r="U7" s="222">
        <f ca="1">(利润表!U28-利润表!T28)/ABS(利润表!T28)</f>
        <v>0.12398609554301852</v>
      </c>
      <c r="V7" s="222">
        <f ca="1">(利润表!V28-利润表!U28)/ABS(利润表!U28)</f>
        <v>3.8197857918389908E-2</v>
      </c>
      <c r="W7" s="222">
        <f ca="1">(利润表!W28-利润表!V28)/ABS(利润表!V28)</f>
        <v>0.11997421105349414</v>
      </c>
      <c r="X7" s="222">
        <f ca="1">(利润表!X28-利润表!W28)/ABS(利润表!W28)</f>
        <v>0.12182695719861804</v>
      </c>
      <c r="Y7" s="222">
        <f ca="1">(利润表!Y28-利润表!X28)/ABS(利润表!X28)</f>
        <v>0.12507360165224174</v>
      </c>
      <c r="Z7" s="222">
        <f ca="1">(利润表!Z28-利润表!Y28)/ABS(利润表!Y28)</f>
        <v>0.12660449907394075</v>
      </c>
      <c r="AA7" s="222">
        <f ca="1">(利润表!AA28-利润表!Z28)/ABS(利润表!Z28)</f>
        <v>0.12514442525313277</v>
      </c>
      <c r="AB7" s="222">
        <f ca="1">(利润表!AB28-利润表!AA28)/ABS(利润表!AA28)</f>
        <v>0.12528206732729466</v>
      </c>
      <c r="AC7" s="222">
        <f ca="1">(利润表!AC28-利润表!AB28)/ABS(利润表!AB28)</f>
        <v>0.12641079600908309</v>
      </c>
      <c r="AD7" s="222">
        <f ca="1">(利润表!AD28-利润表!AC28)/ABS(利润表!AC28)</f>
        <v>0.1271490845695489</v>
      </c>
      <c r="AE7" s="222">
        <f ca="1">(利润表!AE28-利润表!AD28)/ABS(利润表!AD28)</f>
        <v>0.12721765944095459</v>
      </c>
      <c r="AF7" s="222">
        <f ca="1">(利润表!AF28-利润表!AE28)/ABS(利润表!AE28)</f>
        <v>0.12733263183924903</v>
      </c>
      <c r="AG7" s="222">
        <f ca="1">(利润表!AG28-利润表!AF28)/ABS(利润表!AF28)</f>
        <v>0.12764366549263667</v>
      </c>
      <c r="AH7" s="222">
        <f ca="1">(利润表!AH28-利润表!AG28)/ABS(利润表!AG28)</f>
        <v>0.1279017756292242</v>
      </c>
      <c r="AI7" s="222">
        <f ca="1">(利润表!AI28-利润表!AH28)/ABS(利润表!AH28)</f>
        <v>0.12820467641678454</v>
      </c>
      <c r="AJ7" s="222">
        <f ca="1">(利润表!AJ28-利润表!AI28)/ABS(利润表!AI28)</f>
        <v>0.12832909371802981</v>
      </c>
      <c r="AK7" s="222">
        <f ca="1">(利润表!AK28-利润表!AJ28)/ABS(利润表!AJ28)</f>
        <v>0.12840192719668114</v>
      </c>
      <c r="AL7" s="222">
        <f ca="1">(利润表!AL28-利润表!AK28)/ABS(利润表!AK28)</f>
        <v>0.12862269520299355</v>
      </c>
      <c r="AM7" s="398"/>
    </row>
    <row r="8" spans="1:39" s="258" customFormat="1" ht="16.5" customHeight="1">
      <c r="A8" s="210"/>
      <c r="B8" s="210" t="s">
        <v>1447</v>
      </c>
      <c r="C8" s="245" t="s">
        <v>1501</v>
      </c>
      <c r="D8" s="222">
        <f>(利润表!D34-利润表!C34)/ABS(利润表!C34)</f>
        <v>-0.14975517754545861</v>
      </c>
      <c r="E8" s="222">
        <f>(利润表!E34-利润表!D34)/ABS(利润表!D34)</f>
        <v>0.98694114396783372</v>
      </c>
      <c r="F8" s="222">
        <f>(利润表!F34-利润表!E34)/ABS(利润表!E34)</f>
        <v>1.4610104582905497</v>
      </c>
      <c r="G8" s="222">
        <f>(利润表!G34-利润表!F34)/ABS(利润表!F34)</f>
        <v>-0.22811593374247738</v>
      </c>
      <c r="H8" s="222">
        <f>(利润表!H34-利润表!G34)/ABS(利润表!G34)</f>
        <v>-0.68367848308831702</v>
      </c>
      <c r="I8" s="222">
        <f ca="1">(利润表!I34-利润表!H34)/ABS(利润表!H34)</f>
        <v>-1.5605115340436926</v>
      </c>
      <c r="J8" s="222">
        <f ca="1">(利润表!J34-利润表!I34)/ABS(利润表!I34)</f>
        <v>4.3169535086876518</v>
      </c>
      <c r="K8" s="222">
        <f ca="1">(利润表!K34-利润表!J34)/ABS(利润表!J34)</f>
        <v>8.1571444969278872E-2</v>
      </c>
      <c r="L8" s="222">
        <f ca="1">(利润表!L34-利润表!K34)/ABS(利润表!K34)</f>
        <v>-6.4985329539559281E-2</v>
      </c>
      <c r="M8" s="222">
        <f ca="1">(利润表!M34-利润表!L34)/ABS(利润表!L34)</f>
        <v>-2.4843469187771212E-2</v>
      </c>
      <c r="N8" s="222">
        <f ca="1">(利润表!N34-利润表!M34)/ABS(利润表!M34)</f>
        <v>0.10880562461994522</v>
      </c>
      <c r="O8" s="222">
        <f ca="1">(利润表!O34-利润表!N34)/ABS(利润表!N34)</f>
        <v>0.20740958134859899</v>
      </c>
      <c r="P8" s="222">
        <f ca="1">(利润表!P34-利润表!O34)/ABS(利润表!O34)</f>
        <v>0.12242027026495084</v>
      </c>
      <c r="Q8" s="222">
        <f ca="1">(利润表!Q34-利润表!P34)/ABS(利润表!P34)</f>
        <v>9.4587549948071198E-2</v>
      </c>
      <c r="R8" s="222">
        <f ca="1">(利润表!R34-利润表!Q34)/ABS(利润表!Q34)</f>
        <v>0.10313980096143024</v>
      </c>
      <c r="S8" s="222">
        <f ca="1">(利润表!S34-利润表!R34)/ABS(利润表!R34)</f>
        <v>0.11961771076576674</v>
      </c>
      <c r="T8" s="222">
        <f ca="1">(利润表!T34-利润表!S34)/ABS(利润表!S34)</f>
        <v>0.12907322791386283</v>
      </c>
      <c r="U8" s="222">
        <f ca="1">(利润表!U34-利润表!T34)/ABS(利润表!T34)</f>
        <v>0.12271215503966358</v>
      </c>
      <c r="V8" s="222">
        <f ca="1">(利润表!V34-利润表!U34)/ABS(利润表!U34)</f>
        <v>0.11750835066007211</v>
      </c>
      <c r="W8" s="222">
        <f ca="1">(利润表!W34-利润表!V34)/ABS(利润表!V34)</f>
        <v>0.12052734830862372</v>
      </c>
      <c r="X8" s="222">
        <f ca="1">(利润表!X34-利润表!W34)/ABS(利润表!W34)</f>
        <v>0.12430632732813639</v>
      </c>
      <c r="Y8" s="222">
        <f ca="1">(利润表!Y34-利润表!X34)/ABS(利润表!X34)</f>
        <v>0.12555689505218892</v>
      </c>
      <c r="Z8" s="222">
        <f ca="1">(利润表!Z34-利润表!Y34)/ABS(利润表!Y34)</f>
        <v>0.12457093690748791</v>
      </c>
      <c r="AA8" s="222">
        <f ca="1">(利润表!AA34-利润表!Z34)/ABS(利润表!Z34)</f>
        <v>0.1244219838174966</v>
      </c>
      <c r="AB8" s="222">
        <f ca="1">(利润表!AB34-利润表!AA34)/ABS(利润表!AA34)</f>
        <v>0.12563200105410238</v>
      </c>
      <c r="AC8" s="222">
        <f ca="1">(利润表!AC34-利润表!AB34)/ABS(利润表!AB34)</f>
        <v>0.12652412361617474</v>
      </c>
      <c r="AD8" s="222">
        <f ca="1">(利润表!AD34-利润表!AC34)/ABS(利润表!AC34)</f>
        <v>0.12680048185153084</v>
      </c>
      <c r="AE8" s="222">
        <f ca="1">(利润表!AE34-利润表!AD34)/ABS(利润表!AD34)</f>
        <v>0.12687293045772621</v>
      </c>
      <c r="AF8" s="222">
        <f ca="1">(利润表!AF34-利润表!AE34)/ABS(利润表!AE34)</f>
        <v>0.1271866970619388</v>
      </c>
      <c r="AG8" s="222">
        <f ca="1">(利润表!AG34-利润表!AF34)/ABS(利润表!AF34)</f>
        <v>0.12762167568626676</v>
      </c>
      <c r="AH8" s="222">
        <f ca="1">(利润表!AH34-利润表!AG34)/ABS(利润表!AG34)</f>
        <v>0.12790934065910986</v>
      </c>
      <c r="AI8" s="222">
        <f ca="1">(利润表!AI34-利润表!AH34)/ABS(利润表!AH34)</f>
        <v>0.12808426956320776</v>
      </c>
      <c r="AJ8" s="222">
        <f ca="1">(利润表!AJ34-利润表!AI34)/ABS(利润表!AI34)</f>
        <v>0.12825024780766747</v>
      </c>
      <c r="AK8" s="222">
        <f ca="1">(利润表!AK34-利润表!AJ34)/ABS(利润表!AJ34)</f>
        <v>0.12844609644136801</v>
      </c>
      <c r="AL8" s="222">
        <f ca="1">(利润表!AL34-利润表!AK34)/ABS(利润表!AK34)</f>
        <v>0.1286271811657291</v>
      </c>
      <c r="AM8" s="398"/>
    </row>
    <row r="9" spans="1:39" s="258" customFormat="1" ht="16.5" customHeight="1">
      <c r="A9" s="210"/>
      <c r="B9" s="215" t="s">
        <v>1448</v>
      </c>
      <c r="C9" s="245" t="s">
        <v>1502</v>
      </c>
      <c r="D9" s="222">
        <f>(资产负债!D40-资产负债!C40)/ABS(资产负债!C40)</f>
        <v>0.93425386342396954</v>
      </c>
      <c r="E9" s="222">
        <f>(资产负债!E40-资产负债!D40)/ABS(资产负债!D40)</f>
        <v>0.21361110882950615</v>
      </c>
      <c r="F9" s="222">
        <f>(资产负债!F40-资产负债!E40)/ABS(资产负债!E40)</f>
        <v>0.36646838662544373</v>
      </c>
      <c r="G9" s="222">
        <f>(资产负债!G40-资产负债!F40)/ABS(资产负债!F40)</f>
        <v>0.32141191248862544</v>
      </c>
      <c r="H9" s="222">
        <f>(资产负债!H40-资产负债!G40)/ABS(资产负债!G40)</f>
        <v>0.17145446755386631</v>
      </c>
      <c r="I9" s="222">
        <f ca="1">(资产负债!I40-资产负债!H40)/ABS(资产负债!H40)</f>
        <v>-0.17429716511391322</v>
      </c>
      <c r="J9" s="222">
        <f ca="1">(资产负债!J40-资产负债!I40)/ABS(资产负债!I40)</f>
        <v>0.43108493633372735</v>
      </c>
      <c r="K9" s="222">
        <f ca="1">(资产负债!K40-资产负债!J40)/ABS(资产负债!J40)</f>
        <v>-3.9942472967790264E-2</v>
      </c>
      <c r="L9" s="222">
        <f ca="1">(资产负债!L40-资产负债!K40)/ABS(资产负债!K40)</f>
        <v>0.24762910856498796</v>
      </c>
      <c r="M9" s="222">
        <f ca="1">(资产负债!M40-资产负债!L40)/ABS(资产负债!L40)</f>
        <v>-1.691890536258768E-2</v>
      </c>
      <c r="N9" s="222">
        <f ca="1">(资产负债!N40-资产负债!M40)/ABS(资产负债!M40)</f>
        <v>0.2267415973189322</v>
      </c>
      <c r="O9" s="222">
        <f ca="1">(资产负债!O40-资产负债!N40)/ABS(资产负债!N40)</f>
        <v>1.502258322389043E-2</v>
      </c>
      <c r="P9" s="222">
        <f ca="1">(资产负债!P40-资产负债!O40)/ABS(资产负债!O40)</f>
        <v>0.22209145282567805</v>
      </c>
      <c r="Q9" s="222">
        <f ca="1">(资产负债!Q40-资产负债!P40)/ABS(资产负债!P40)</f>
        <v>2.4968403055663991E-2</v>
      </c>
      <c r="R9" s="222">
        <f ca="1">(资产负债!R40-资产负债!Q40)/ABS(资产负债!Q40)</f>
        <v>0.19727581293965427</v>
      </c>
      <c r="S9" s="222">
        <f ca="1">(资产负债!S40-资产负债!R40)/ABS(资产负债!R40)</f>
        <v>4.9212526860864747E-2</v>
      </c>
      <c r="T9" s="222">
        <f ca="1">(资产负债!T40-资产负债!S40)/ABS(资产负债!S40)</f>
        <v>0.18504689977881114</v>
      </c>
      <c r="U9" s="222">
        <f ca="1">(资产负债!U40-资产负债!T40)/ABS(资产负债!T40)</f>
        <v>6.4178064471870605E-2</v>
      </c>
      <c r="V9" s="222">
        <f ca="1">(资产负债!V40-资产负债!U40)/ABS(资产负债!U40)</f>
        <v>0.17560067018525138</v>
      </c>
      <c r="W9" s="222">
        <f ca="1">(资产负债!W40-资产负债!V40)/ABS(资产负债!V40)</f>
        <v>7.9911819840188719E-2</v>
      </c>
      <c r="X9" s="222">
        <f ca="1">(资产负债!X40-资产负债!W40)/ABS(资产负债!W40)</f>
        <v>0.16686061964866883</v>
      </c>
      <c r="Y9" s="222">
        <f ca="1">(资产负债!Y40-资产负债!X40)/ABS(资产负债!X40)</f>
        <v>9.0465450496861319E-2</v>
      </c>
      <c r="Z9" s="222">
        <f ca="1">(资产负债!Z40-资产负债!Y40)/ABS(资产负债!Y40)</f>
        <v>0.15844468583328405</v>
      </c>
      <c r="AA9" s="222">
        <f ca="1">(资产负债!AA40-资产负债!Z40)/ABS(资产负债!Z40)</f>
        <v>9.8318533605330966E-2</v>
      </c>
      <c r="AB9" s="222">
        <f ca="1">(资产负债!AB40-资产负债!AA40)/ABS(资产负债!AA40)</f>
        <v>0.15231678362697784</v>
      </c>
      <c r="AC9" s="222">
        <f ca="1">(资产负债!AC40-资产负债!AB40)/ABS(资产负债!AB40)</f>
        <v>0.10501075633256632</v>
      </c>
      <c r="AD9" s="222">
        <f ca="1">(资产负债!AD40-资产负债!AC40)/ABS(资产负债!AC40)</f>
        <v>0.14743090972975584</v>
      </c>
      <c r="AE9" s="222">
        <f ca="1">(资产负债!AE40-资产负债!AD40)/ABS(资产负债!AD40)</f>
        <v>0.11010464508968552</v>
      </c>
      <c r="AF9" s="222">
        <f ca="1">(资产负债!AF40-资产负债!AE40)/ABS(资产负债!AE40)</f>
        <v>0.14357580899420719</v>
      </c>
      <c r="AG9" s="222">
        <f ca="1">(资产负债!AG40-资产负债!AF40)/ABS(资产负债!AF40)</f>
        <v>0.11429120521143206</v>
      </c>
      <c r="AH9" s="222">
        <f ca="1">(资产负债!AH40-资产负债!AG40)/ABS(资产负债!AG40)</f>
        <v>0.1405865139936765</v>
      </c>
      <c r="AI9" s="222">
        <f ca="1">(资产负债!AI40-资产负债!AH40)/ABS(资产负债!AH40)</f>
        <v>0.1175623536922011</v>
      </c>
      <c r="AJ9" s="222">
        <f ca="1">(资产负债!AJ40-资产负债!AI40)/ABS(资产负债!AI40)</f>
        <v>0.13823847450842974</v>
      </c>
      <c r="AK9" s="222">
        <f ca="1">(资产负债!AK40-资产负债!AJ40)/ABS(资产负债!AJ40)</f>
        <v>0.12015827362466112</v>
      </c>
      <c r="AL9" s="222">
        <f ca="1">(资产负债!AL40-资产负债!AK40)/ABS(资产负债!AK40)</f>
        <v>0.1364141253309242</v>
      </c>
      <c r="AM9" s="398"/>
    </row>
    <row r="10" spans="1:39" s="258" customFormat="1" ht="16.5" customHeight="1">
      <c r="A10" s="210"/>
      <c r="B10" s="215" t="s">
        <v>1503</v>
      </c>
      <c r="C10" s="245" t="s">
        <v>1504</v>
      </c>
      <c r="D10" s="222">
        <f>(资产负债!D84-资产负债!C84)/ABS(资产负债!C84)</f>
        <v>1.0164375843790405</v>
      </c>
      <c r="E10" s="222">
        <f>(资产负债!E84-资产负债!D84)/ABS(资产负债!D84)</f>
        <v>7.5831815094962243E-2</v>
      </c>
      <c r="F10" s="222">
        <f>(资产负债!F84-资产负债!E84)/ABS(资产负债!E84)</f>
        <v>0.32642378317405168</v>
      </c>
      <c r="G10" s="222">
        <f>(资产负债!G84-资产负债!F84)/ABS(资产负债!F84)</f>
        <v>0.19636094741539364</v>
      </c>
      <c r="H10" s="222">
        <f>(资产负债!H84-资产负债!G84)/ABS(资产负债!G84)</f>
        <v>0.13063305763033575</v>
      </c>
      <c r="I10" s="222">
        <f ca="1">(资产负债!I84-资产负债!H84)/ABS(资产负债!H84)</f>
        <v>-4.5996589592894134E-2</v>
      </c>
      <c r="J10" s="222">
        <f ca="1">(资产负债!J84-资产负债!I84)/ABS(资产负债!I84)</f>
        <v>2.0292593478940368E-2</v>
      </c>
      <c r="K10" s="222">
        <f ca="1">(资产负债!K84-资产负债!J84)/ABS(资产负债!J84)</f>
        <v>7.4406305056038905E-3</v>
      </c>
      <c r="L10" s="222">
        <f ca="1">(资产负债!L84-资产负债!K84)/ABS(资产负债!K84)</f>
        <v>-4.4770493718945823E-3</v>
      </c>
      <c r="M10" s="222">
        <f ca="1">(资产负债!M84-资产负债!L84)/ABS(资产负债!L84)</f>
        <v>-2.3358723614895299E-2</v>
      </c>
      <c r="N10" s="222">
        <f ca="1">(资产负债!N84-资产负债!M84)/ABS(资产负债!M84)</f>
        <v>-3.3007316825239032E-2</v>
      </c>
      <c r="O10" s="222">
        <f ca="1">(资产负债!O84-资产负债!N84)/ABS(资产负债!N84)</f>
        <v>-3.7301836305869827E-2</v>
      </c>
      <c r="P10" s="222">
        <f ca="1">(资产负债!P84-资产负债!O84)/ABS(资产负债!O84)</f>
        <v>-5.004382999043875E-2</v>
      </c>
      <c r="Q10" s="222">
        <f ca="1">(资产负债!Q84-资产负债!P84)/ABS(资产负债!P84)</f>
        <v>-6.9797220740494575E-2</v>
      </c>
      <c r="R10" s="222">
        <f ca="1">(资产负债!R84-资产负债!Q84)/ABS(资产负债!Q84)</f>
        <v>-9.4224025156412927E-2</v>
      </c>
      <c r="S10" s="222">
        <f ca="1">(资产负债!S84-资产负债!R84)/ABS(资产负债!R84)</f>
        <v>-0.12649395628144336</v>
      </c>
      <c r="T10" s="222">
        <f ca="1">(资产负债!T84-资产负债!S84)/ABS(资产负债!S84)</f>
        <v>-0.17299935754475015</v>
      </c>
      <c r="U10" s="222">
        <f ca="1">(资产负债!U84-资产负债!T84)/ABS(资产负债!T84)</f>
        <v>-0.25024404398145411</v>
      </c>
      <c r="V10" s="222">
        <f ca="1">(资产负债!V84-资产负债!U84)/ABS(资产负债!U84)</f>
        <v>-0.4001640962450782</v>
      </c>
      <c r="W10" s="222">
        <f ca="1">(资产负债!W84-资产负债!V84)/ABS(资产负债!V84)</f>
        <v>-0.79497022402836315</v>
      </c>
      <c r="X10" s="222">
        <f ca="1">(资产负债!X84-资产负债!W84)/ABS(资产负债!W84)</f>
        <v>-4.5832232291352737</v>
      </c>
      <c r="Y10" s="222">
        <f ca="1">(资产负债!Y84-资产负债!X84)/ABS(资产负债!X84)</f>
        <v>-1.5046624894784006</v>
      </c>
      <c r="Z10" s="222">
        <f ca="1">(资产负债!Z84-资产负债!Y84)/ABS(资产负债!Y84)</f>
        <v>-0.70445359691970388</v>
      </c>
      <c r="AA10" s="222">
        <f ca="1">(资产负债!AA84-资产负债!Z84)/ABS(资产负债!Z84)</f>
        <v>-0.48312361662560849</v>
      </c>
      <c r="AB10" s="222">
        <f ca="1">(资产负债!AB84-资产负债!AA84)/ABS(资产负债!AA84)</f>
        <v>-0.37934428061949022</v>
      </c>
      <c r="AC10" s="222">
        <f ca="1">(资产负债!AC84-资产负债!AB84)/ABS(资产负债!AB84)</f>
        <v>-0.31924940233460836</v>
      </c>
      <c r="AD10" s="222">
        <f ca="1">(资产负债!AD84-资产负债!AC84)/ABS(资产负债!AC84)</f>
        <v>-0.28022902384663673</v>
      </c>
      <c r="AE10" s="222">
        <f ca="1">(资产负债!AE84-资产负债!AD84)/ABS(资产负债!AD84)</f>
        <v>-0.25293722647581413</v>
      </c>
      <c r="AF10" s="222">
        <f ca="1">(资产负债!AF84-资产负债!AE84)/ABS(资产负债!AE84)</f>
        <v>-0.23280445845478936</v>
      </c>
      <c r="AG10" s="222">
        <f ca="1">(资产负债!AG84-资产负债!AF84)/ABS(资产负债!AF84)</f>
        <v>-0.21736416760839253</v>
      </c>
      <c r="AH10" s="222">
        <f ca="1">(资产负债!AH84-资产负债!AG84)/ABS(资产负债!AG84)</f>
        <v>-0.20518750099013458</v>
      </c>
      <c r="AI10" s="222">
        <f ca="1">(资产负债!AI84-资产负债!AH84)/ABS(资产负债!AH84)</f>
        <v>-0.19537449090909981</v>
      </c>
      <c r="AJ10" s="222">
        <f ca="1">(资产负债!AJ84-资产负债!AI84)/ABS(资产负债!AI84)</f>
        <v>-0.18731857662362367</v>
      </c>
      <c r="AK10" s="222">
        <f ca="1">(资产负债!AK84-资产负债!AJ84)/ABS(资产负债!AJ84)</f>
        <v>-0.18059866913794462</v>
      </c>
      <c r="AL10" s="222">
        <f ca="1">(资产负债!AL84-资产负债!AK84)/ABS(资产负债!AK84)</f>
        <v>-0.17492351190153124</v>
      </c>
      <c r="AM10" s="398"/>
    </row>
    <row r="11" spans="1:39" s="407" customFormat="1" ht="16.5" customHeight="1">
      <c r="A11" s="210"/>
      <c r="B11" s="226" t="s">
        <v>1505</v>
      </c>
      <c r="C11" s="226" t="s">
        <v>152</v>
      </c>
      <c r="D11" s="222">
        <f>(营运资本!D20-营运资本!C20)/ABS(营运资本!C20)</f>
        <v>0.39733464266022772</v>
      </c>
      <c r="E11" s="222">
        <f>(营运资本!E20-营运资本!D20)/ABS(营运资本!D20)</f>
        <v>0.48010458037069298</v>
      </c>
      <c r="F11" s="222">
        <f>(营运资本!F20-营运资本!E20)/ABS(营运资本!E20)</f>
        <v>0.22272113515907213</v>
      </c>
      <c r="G11" s="222">
        <f>(营运资本!G20-营运资本!F20)/ABS(营运资本!F20)</f>
        <v>0.34080040260823863</v>
      </c>
      <c r="H11" s="222">
        <f>(营运资本!H20-营运资本!G20)/ABS(营运资本!G20)</f>
        <v>0.43179544146387772</v>
      </c>
      <c r="I11" s="222">
        <f ca="1">(营运资本!I20-营运资本!H20)/ABS(营运资本!H20)</f>
        <v>0.64389936034996287</v>
      </c>
      <c r="J11" s="222">
        <f ca="1">(营运资本!J20-营运资本!I20)/ABS(营运资本!I20)</f>
        <v>0.95163362391829698</v>
      </c>
      <c r="K11" s="222">
        <f ca="1">(营运资本!K20-营运资本!J20)/ABS(营运资本!J20)</f>
        <v>-0.12571978047040275</v>
      </c>
      <c r="L11" s="222">
        <f ca="1">(营运资本!L20-营运资本!K20)/ABS(营运资本!K20)</f>
        <v>0.42207113377796124</v>
      </c>
      <c r="M11" s="222">
        <f ca="1">(营运资本!M20-营运资本!L20)/ABS(营运资本!L20)</f>
        <v>-4.3357518261780782E-2</v>
      </c>
      <c r="N11" s="222">
        <f ca="1">(营运资本!N20-营运资本!M20)/ABS(营运资本!M20)</f>
        <v>0.36554558603585496</v>
      </c>
      <c r="O11" s="222">
        <f ca="1">(营运资本!O20-营运资本!N20)/ABS(营运资本!N20)</f>
        <v>-9.6830073692721896E-3</v>
      </c>
      <c r="P11" s="222">
        <f ca="1">(营运资本!P20-营运资本!O20)/ABS(营运资本!O20)</f>
        <v>0.31881545189524813</v>
      </c>
      <c r="Q11" s="222">
        <f ca="1">(营运资本!Q20-营运资本!P20)/ABS(营运资本!P20)</f>
        <v>1.046477230609491E-2</v>
      </c>
      <c r="R11" s="222">
        <f ca="1">(营运资本!R20-营运资本!Q20)/ABS(营运资本!Q20)</f>
        <v>0.26890605494242792</v>
      </c>
      <c r="S11" s="222">
        <f ca="1">(营运资本!S20-营运资本!R20)/ABS(营运资本!R20)</f>
        <v>4.3496253940968885E-2</v>
      </c>
      <c r="T11" s="222">
        <f ca="1">(营运资本!T20-营运资本!S20)/ABS(营运资本!S20)</f>
        <v>0.23431478781224779</v>
      </c>
      <c r="U11" s="222">
        <f ca="1">(营运资本!U20-营运资本!T20)/ABS(营运资本!T20)</f>
        <v>6.1642476796675866E-2</v>
      </c>
      <c r="V11" s="222">
        <f ca="1">(营运资本!V20-营运资本!U20)/ABS(营运资本!U20)</f>
        <v>0.20901692607140507</v>
      </c>
      <c r="W11" s="222">
        <f ca="1">(营运资本!W20-营运资本!V20)/ABS(营运资本!V20)</f>
        <v>7.6699417588285981E-2</v>
      </c>
      <c r="X11" s="222">
        <f ca="1">(营运资本!X20-营运资本!W20)/ABS(营运资本!W20)</f>
        <v>0.19142865957971109</v>
      </c>
      <c r="Y11" s="222">
        <f ca="1">(营运资本!Y20-营运资本!X20)/ABS(营运资本!X20)</f>
        <v>8.8383907689954702E-2</v>
      </c>
      <c r="Z11" s="222">
        <f ca="1">(营运资本!Z20-营运资本!Y20)/ABS(营运资本!Y20)</f>
        <v>0.17702494574679212</v>
      </c>
      <c r="AA11" s="222">
        <f ca="1">(营运资本!AA20-营运资本!Z20)/ABS(营运资本!Z20)</f>
        <v>9.7415734460831002E-2</v>
      </c>
      <c r="AB11" s="222">
        <f ca="1">(营运资本!AB20-营运资本!AA20)/ABS(营运资本!AA20)</f>
        <v>0.16650497277735504</v>
      </c>
      <c r="AC11" s="222">
        <f ca="1">(营运资本!AC20-营运资本!AB20)/ABS(营运资本!AB20)</f>
        <v>0.10457475047929778</v>
      </c>
      <c r="AD11" s="222">
        <f ca="1">(营运资本!AD20-营运资本!AC20)/ABS(营运资本!AC20)</f>
        <v>0.15825271230148383</v>
      </c>
      <c r="AE11" s="222">
        <f ca="1">(营运资本!AE20-营运资本!AD20)/ABS(营运资本!AD20)</f>
        <v>0.11005846109555871</v>
      </c>
      <c r="AF11" s="222">
        <f ca="1">(营运资本!AF20-营运资本!AE20)/ABS(营运资本!AE20)</f>
        <v>0.15194683592191954</v>
      </c>
      <c r="AG11" s="222">
        <f ca="1">(营运资本!AG20-营运资本!AF20)/ABS(营运资本!AF20)</f>
        <v>0.11439530305754421</v>
      </c>
      <c r="AH11" s="222">
        <f ca="1">(营运资本!AH20-营运资本!AG20)/ABS(营运资本!AG20)</f>
        <v>0.14706610798908884</v>
      </c>
      <c r="AI11" s="222">
        <f ca="1">(营运资本!AI20-营运资本!AH20)/ABS(营运资本!AH20)</f>
        <v>0.11774930084741829</v>
      </c>
      <c r="AJ11" s="222">
        <f ca="1">(营运资本!AJ20-营运资本!AI20)/ABS(营运资本!AI20)</f>
        <v>0.14327545744946688</v>
      </c>
      <c r="AK11" s="222">
        <f ca="1">(营运资本!AK20-营运资本!AJ20)/ABS(营运资本!AJ20)</f>
        <v>0.12038447656509486</v>
      </c>
      <c r="AL11" s="222">
        <f ca="1">(营运资本!AL20-营运资本!AK20)/ABS(营运资本!AK20)</f>
        <v>0.14033434599918729</v>
      </c>
      <c r="AM11" s="398"/>
    </row>
    <row r="12" spans="1:39" s="407" customFormat="1" ht="16.5" customHeight="1">
      <c r="A12" s="211" t="s">
        <v>1490</v>
      </c>
      <c r="B12" s="210"/>
      <c r="C12" s="246"/>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398"/>
    </row>
    <row r="13" spans="1:39" s="407" customFormat="1" ht="16.5" customHeight="1">
      <c r="A13" s="210"/>
      <c r="B13" s="215" t="s">
        <v>1449</v>
      </c>
      <c r="C13" s="246" t="s">
        <v>1506</v>
      </c>
      <c r="D13" s="222">
        <f>1-利润表!D3/利润表!D2</f>
        <v>0.31396153299299423</v>
      </c>
      <c r="E13" s="222">
        <f>1-利润表!E3/利润表!E2</f>
        <v>0.33530129640630468</v>
      </c>
      <c r="F13" s="222">
        <f>1-利润表!F3/利润表!F2</f>
        <v>0.36939372845004936</v>
      </c>
      <c r="G13" s="222">
        <f>1-利润表!G3/利润表!G2</f>
        <v>0.28514371264111327</v>
      </c>
      <c r="H13" s="222">
        <f>1-利润表!H3/利润表!H2</f>
        <v>0.2121076578193104</v>
      </c>
      <c r="I13" s="222">
        <f>1-利润表!I3/利润表!I2</f>
        <v>0.17689999999999995</v>
      </c>
      <c r="J13" s="222">
        <f>1-利润表!J3/利润表!J2</f>
        <v>0.24416336816713236</v>
      </c>
      <c r="K13" s="222">
        <f>1-利润表!K3/利润表!K2</f>
        <v>0.2336280645350578</v>
      </c>
      <c r="L13" s="222">
        <f>1-利润表!L3/利润表!L2</f>
        <v>0.22565685490823695</v>
      </c>
      <c r="M13" s="222">
        <f>1-利润表!M3/利润表!M2</f>
        <v>0.22407961966680801</v>
      </c>
      <c r="N13" s="222">
        <f>1-利润表!N3/利润表!N2</f>
        <v>0.22594242986042845</v>
      </c>
      <c r="O13" s="222">
        <f>1-利润表!O3/利润表!O2</f>
        <v>0.22762804599542219</v>
      </c>
      <c r="P13" s="222">
        <f>1-利润表!P3/利润表!P2</f>
        <v>0.22660603885138542</v>
      </c>
      <c r="Q13" s="222">
        <f>1-利润表!Q3/利润表!Q2</f>
        <v>0.2263457174707838</v>
      </c>
      <c r="R13" s="222">
        <f>1-利润表!R3/利润表!R2</f>
        <v>0.22646675734222599</v>
      </c>
      <c r="S13" s="222">
        <f>1-利润表!S3/利润表!S2</f>
        <v>0.22658221966664616</v>
      </c>
      <c r="T13" s="222">
        <f>1-利润表!T3/利润表!T2</f>
        <v>0.22657702692084525</v>
      </c>
      <c r="U13" s="222">
        <f>1-利润表!U3/利润表!U2</f>
        <v>0.22652745060602941</v>
      </c>
      <c r="V13" s="222">
        <f>1-利润表!V3/利润表!V2</f>
        <v>0.22653141679124678</v>
      </c>
      <c r="W13" s="222">
        <f>1-利润表!W3/利润表!W2</f>
        <v>0.22654194425456031</v>
      </c>
      <c r="X13" s="222">
        <f>1-利润表!X3/利润表!X2</f>
        <v>0.22654360091761405</v>
      </c>
      <c r="Y13" s="222">
        <f>1-利润表!Y3/利润表!Y2</f>
        <v>0.22654079734086385</v>
      </c>
      <c r="Z13" s="222">
        <f>1-利润表!Z3/利润表!Z2</f>
        <v>0.22653963382179876</v>
      </c>
      <c r="AA13" s="222">
        <f>1-利润表!AA3/利润表!AA2</f>
        <v>0.22654049776837726</v>
      </c>
      <c r="AB13" s="222">
        <f>1-利润表!AB3/利润表!AB2</f>
        <v>0.2265408374827641</v>
      </c>
      <c r="AC13" s="222">
        <f>1-利润表!AC3/利润表!AC2</f>
        <v>0.22654068503680436</v>
      </c>
      <c r="AD13" s="222">
        <f>1-利润表!AD3/利润表!AD2</f>
        <v>0.22654055556031127</v>
      </c>
      <c r="AE13" s="222">
        <f>1-利润表!AE3/利润表!AE2</f>
        <v>0.22654057731704147</v>
      </c>
      <c r="AF13" s="222">
        <f>1-利润表!AF3/利润表!AF2</f>
        <v>0.22654062244471806</v>
      </c>
      <c r="AG13" s="222">
        <f>1-利润表!AG3/利润表!AG2</f>
        <v>0.22654061971527084</v>
      </c>
      <c r="AH13" s="222">
        <f>1-利润表!AH3/利润表!AH2</f>
        <v>0.22654060776425189</v>
      </c>
      <c r="AI13" s="222">
        <f>1-利润表!AI3/利润表!AI2</f>
        <v>0.22654060634739259</v>
      </c>
      <c r="AJ13" s="222">
        <f>1-利润表!AJ3/利润表!AJ2</f>
        <v>0.22654060960975075</v>
      </c>
      <c r="AK13" s="222">
        <f>1-利润表!AK3/利润表!AK2</f>
        <v>0.22654061057375607</v>
      </c>
      <c r="AL13" s="222">
        <f>1-利润表!AL3/利润表!AL2</f>
        <v>0.22654060970624912</v>
      </c>
      <c r="AM13" s="398"/>
    </row>
    <row r="14" spans="1:39" s="407" customFormat="1" ht="16.5" customHeight="1">
      <c r="A14" s="216"/>
      <c r="B14" s="215" t="s">
        <v>1450</v>
      </c>
      <c r="C14" s="246" t="s">
        <v>1507</v>
      </c>
      <c r="D14" s="222">
        <f>利润表!D30/利润表!D2</f>
        <v>5.9826363040425469E-2</v>
      </c>
      <c r="E14" s="222">
        <f>利润表!E30/利润表!E2</f>
        <v>7.8109390777405585E-2</v>
      </c>
      <c r="F14" s="222">
        <f>利润表!F30/利润表!F2</f>
        <v>0.14273027836476554</v>
      </c>
      <c r="G14" s="222">
        <f>利润表!G30/利润表!G2</f>
        <v>8.6558102617062052E-2</v>
      </c>
      <c r="H14" s="222">
        <f>利润表!H30/利润表!H2</f>
        <v>2.3259795953155211E-2</v>
      </c>
      <c r="I14" s="222">
        <f ca="1">利润表!I30/利润表!I2</f>
        <v>-2.3823490934774424E-2</v>
      </c>
      <c r="J14" s="222">
        <f ca="1">利润表!J30/利润表!J2</f>
        <v>1.7319912064933211E-2</v>
      </c>
      <c r="K14" s="222">
        <f ca="1">利润表!K30/利润表!K2</f>
        <v>1.0148695196687395E-2</v>
      </c>
      <c r="L14" s="222">
        <f ca="1">利润表!L30/利润表!L2</f>
        <v>1.8302277896097997E-3</v>
      </c>
      <c r="M14" s="222">
        <f ca="1">利润表!M30/利润表!M2</f>
        <v>-4.835177102676975E-3</v>
      </c>
      <c r="N14" s="222">
        <f ca="1">利润表!N30/利润表!N2</f>
        <v>-7.3228227146791584E-3</v>
      </c>
      <c r="O14" s="222">
        <f ca="1">利润表!O30/利润表!O2</f>
        <v>-7.327801934631316E-3</v>
      </c>
      <c r="P14" s="222">
        <f ca="1">利润表!P30/利润表!P2</f>
        <v>-9.3718051137526674E-3</v>
      </c>
      <c r="Q14" s="222">
        <f ca="1">利润表!Q30/利润表!Q2</f>
        <v>-1.1719461890203162E-2</v>
      </c>
      <c r="R14" s="222">
        <f ca="1">利润表!R30/利润表!R2</f>
        <v>-1.3649044343082168E-2</v>
      </c>
      <c r="S14" s="222">
        <f ca="1">利润表!S30/利润表!S2</f>
        <v>-1.5117309956055905E-2</v>
      </c>
      <c r="T14" s="222">
        <f ca="1">利润表!T30/利润表!T2</f>
        <v>-1.6321138424432731E-2</v>
      </c>
      <c r="U14" s="222">
        <f ca="1">利润表!U30/利润表!U2</f>
        <v>-1.7575128935775421E-2</v>
      </c>
      <c r="V14" s="222">
        <f ca="1">利润表!V30/利润表!V2</f>
        <v>-1.8938814854993588E-2</v>
      </c>
      <c r="W14" s="222">
        <f ca="1">利润表!W30/利润表!W2</f>
        <v>-2.0215824897929849E-2</v>
      </c>
      <c r="X14" s="222">
        <f ca="1">利润表!X30/利润表!X2</f>
        <v>-2.1342208192572581E-2</v>
      </c>
      <c r="Y14" s="222">
        <f ca="1">利润表!Y30/利润表!Y2</f>
        <v>-2.2386340294670518E-2</v>
      </c>
      <c r="Z14" s="222">
        <f ca="1">利润表!Z30/利润表!Z2</f>
        <v>-2.3383009346185167E-2</v>
      </c>
      <c r="AA14" s="222">
        <f ca="1">利润表!AA30/利润表!AA2</f>
        <v>-2.4321582398678234E-2</v>
      </c>
      <c r="AB14" s="222">
        <f ca="1">利润表!AB30/利润表!AB2</f>
        <v>-2.5177766845121755E-2</v>
      </c>
      <c r="AC14" s="222">
        <f ca="1">利润表!AC30/利润表!AC2</f>
        <v>-2.5961665290428686E-2</v>
      </c>
      <c r="AD14" s="222">
        <f ca="1">利润表!AD30/利润表!AD2</f>
        <v>-2.6690985184517714E-2</v>
      </c>
      <c r="AE14" s="222">
        <f ca="1">利润表!AE30/利润表!AE2</f>
        <v>-2.737045529566905E-2</v>
      </c>
      <c r="AF14" s="222">
        <f ca="1">利润表!AF30/利润表!AF2</f>
        <v>-2.7999241585934233E-2</v>
      </c>
      <c r="AG14" s="222">
        <f ca="1">利润表!AG30/利润表!AG2</f>
        <v>-2.857886391990247E-2</v>
      </c>
      <c r="AH14" s="222">
        <f ca="1">利润表!AH30/利润表!AH2</f>
        <v>-2.9115082622932331E-2</v>
      </c>
      <c r="AI14" s="222">
        <f ca="1">利润表!AI30/利润表!AI2</f>
        <v>-2.9613070825455237E-2</v>
      </c>
      <c r="AJ14" s="222">
        <f ca="1">利润表!AJ30/利润表!AJ2</f>
        <v>-3.007534325459213E-2</v>
      </c>
      <c r="AK14" s="222">
        <f ca="1">利润表!AK30/利润表!AK2</f>
        <v>-3.0503415388462764E-2</v>
      </c>
      <c r="AL14" s="222">
        <f ca="1">利润表!AL30/利润表!AL2</f>
        <v>-3.0900051728175289E-2</v>
      </c>
      <c r="AM14" s="398"/>
    </row>
    <row r="15" spans="1:39" s="407" customFormat="1" ht="16.5" customHeight="1">
      <c r="A15" s="210"/>
      <c r="B15" s="226" t="s">
        <v>2698</v>
      </c>
      <c r="C15" s="246" t="s">
        <v>1044</v>
      </c>
      <c r="D15" s="222">
        <f>(利润表!D5+利润表!D6+利润表!D7+利润表!D8)/利润表!D2</f>
        <v>0.22968016195186428</v>
      </c>
      <c r="E15" s="222">
        <f>(利润表!E5+利润表!E6+利润表!E7+利润表!E8)/利润表!E2</f>
        <v>0.21737664104837606</v>
      </c>
      <c r="F15" s="222">
        <f>(利润表!F5+利润表!F6+利润表!F7+利润表!F8)/利润表!F2</f>
        <v>0.15095876867793598</v>
      </c>
      <c r="G15" s="222">
        <f>(利润表!G5+利润表!G6+利润表!G7+利润表!G8)/利润表!G2</f>
        <v>0.14736372937938205</v>
      </c>
      <c r="H15" s="222">
        <f>(利润表!H5+利润表!H6+利润表!H7+利润表!H8)/利润表!H2</f>
        <v>0.16048719649258961</v>
      </c>
      <c r="I15" s="222">
        <f ca="1">(利润表!I5+利润表!I6+利润表!I7+利润表!I8)/利润表!I2</f>
        <v>0.18247009628495969</v>
      </c>
      <c r="J15" s="222">
        <f ca="1">(利润表!J5+利润表!J6+利润表!J7+利润表!J8)/利润表!J2</f>
        <v>0.19640738910769087</v>
      </c>
      <c r="K15" s="222">
        <f ca="1">(利润表!K5+利润表!K6+利润表!K7+利润表!K8)/利润表!K2</f>
        <v>0.19131594106587668</v>
      </c>
      <c r="L15" s="222">
        <f ca="1">(利润表!L5+利润表!L6+利润表!L7+利润表!L8)/利润表!L2</f>
        <v>0.1948298260498422</v>
      </c>
      <c r="M15" s="222">
        <f ca="1">(利润表!M5+利润表!M6+利润表!M7+利润表!M8)/利润表!M2</f>
        <v>0.20085745229226262</v>
      </c>
      <c r="N15" s="222">
        <f ca="1">(利润表!N5+利润表!N6+利润表!N7+利润表!N8)/利润表!N2</f>
        <v>0.20492745431746587</v>
      </c>
      <c r="O15" s="222">
        <f ca="1">(利润表!O5+利润表!O6+利润表!O7+利润表!O8)/利润表!O2</f>
        <v>0.20524077929833978</v>
      </c>
      <c r="P15" s="222">
        <f ca="1">(利润表!P5+利润表!P6+利润表!P7+利润表!P8)/利润表!P2</f>
        <v>0.20618208677704075</v>
      </c>
      <c r="Q15" s="222">
        <f ca="1">(利润表!Q5+利润表!Q6+利润表!Q7+利润表!Q8)/利润表!Q2</f>
        <v>0.20859549272577546</v>
      </c>
      <c r="R15" s="222">
        <f ca="1">(利润表!R5+利润表!R6+利润表!R7+利润表!R8)/利润表!R2</f>
        <v>0.21061154013327799</v>
      </c>
      <c r="S15" s="222">
        <f ca="1">(利润表!S5+利润表!S6+利润表!S7+利润表!S8)/利润表!S2</f>
        <v>0.21202821551227921</v>
      </c>
      <c r="T15" s="222">
        <f ca="1">(利润表!T5+利润表!T6+利润表!T7+利润表!T8)/利润表!T2</f>
        <v>0.2130394374935666</v>
      </c>
      <c r="U15" s="222">
        <f ca="1">(利润表!U5+利润表!U6+利润表!U7+利润表!U8)/利润表!U2</f>
        <v>0.21423997023118815</v>
      </c>
      <c r="V15" s="222">
        <f ca="1">(利润表!V5+利润表!V6+利润表!V7+利润表!V8)/利润表!V2</f>
        <v>0.2156529185630314</v>
      </c>
      <c r="W15" s="222">
        <f ca="1">(利润表!W5+利润表!W6+利润表!W7+利润表!W8)/利润表!W2</f>
        <v>0.21693949429247247</v>
      </c>
      <c r="X15" s="222">
        <f ca="1">(利润表!X5+利润表!X6+利润表!X7+利润表!X8)/利润表!X2</f>
        <v>0.21806008679705507</v>
      </c>
      <c r="Y15" s="222">
        <f ca="1">(利润表!Y5+利润表!Y6+利润表!Y7+利润表!Y8)/利润表!Y2</f>
        <v>0.21911098936119591</v>
      </c>
      <c r="Z15" s="222">
        <f ca="1">(利润表!Z5+利润表!Z6+利润表!Z7+利润表!Z8)/利润表!Z2</f>
        <v>0.22014427264744729</v>
      </c>
      <c r="AA15" s="222">
        <f ca="1">(利润表!AA5+利润表!AA6+利润表!AA7+利润表!AA8)/利润表!AA2</f>
        <v>0.22112130592940732</v>
      </c>
      <c r="AB15" s="222">
        <f ca="1">(利润表!AB5+利润表!AB6+利润表!AB7+利润表!AB8)/利润表!AB2</f>
        <v>0.22200791209399931</v>
      </c>
      <c r="AC15" s="222">
        <f ca="1">(利润表!AC5+利润表!AC6+利润表!AC7+利润表!AC8)/利润表!AC2</f>
        <v>0.22282388205064366</v>
      </c>
      <c r="AD15" s="222">
        <f ca="1">(利润表!AD5+利润表!AD6+利润表!AD7+利润表!AD8)/利润表!AD2</f>
        <v>0.22359006418999466</v>
      </c>
      <c r="AE15" s="222">
        <f ca="1">(利润表!AE5+利润表!AE6+利润表!AE7+利润表!AE8)/利润表!AE2</f>
        <v>0.22430962710172198</v>
      </c>
      <c r="AF15" s="222">
        <f ca="1">(利润表!AF5+利润表!AF6+利润表!AF7+利润表!AF8)/利润表!AF2</f>
        <v>0.22497705445980837</v>
      </c>
      <c r="AG15" s="222">
        <f ca="1">(利润表!AG5+利润表!AG6+利润表!AG7+利润表!AG8)/利润表!AG2</f>
        <v>0.22559398660465438</v>
      </c>
      <c r="AH15" s="222">
        <f ca="1">(利润表!AH5+利润表!AH6+利润表!AH7+利润表!AH8)/利润表!AH2</f>
        <v>0.22616770598619834</v>
      </c>
      <c r="AI15" s="222">
        <f ca="1">(利润表!AI5+利润表!AI6+利润表!AI7+利润表!AI8)/利润表!AI2</f>
        <v>0.22670329544229342</v>
      </c>
      <c r="AJ15" s="222">
        <f ca="1">(利润表!AJ5+利润表!AJ6+利润表!AJ7+利润表!AJ8)/利润表!AJ2</f>
        <v>0.22720255647978091</v>
      </c>
      <c r="AK15" s="222">
        <f ca="1">(利润表!AK5+利润表!AK6+利润表!AK7+利润表!AK8)/利润表!AK2</f>
        <v>0.22766632085269708</v>
      </c>
      <c r="AL15" s="222">
        <f ca="1">(利润表!AL5+利润表!AL6+利润表!AL7+利润表!AL8)/利润表!AL2</f>
        <v>0.22809755384940106</v>
      </c>
      <c r="AM15" s="398"/>
    </row>
    <row r="16" spans="1:39" s="407" customFormat="1" ht="16.5" customHeight="1">
      <c r="A16" s="210"/>
      <c r="B16" s="210" t="s">
        <v>1452</v>
      </c>
      <c r="C16" s="210" t="s">
        <v>1508</v>
      </c>
      <c r="D16" s="222">
        <f>利润表!D26/利润表!D2</f>
        <v>7.1603057922735455E-2</v>
      </c>
      <c r="E16" s="222">
        <f>利润表!E26/利润表!E2</f>
        <v>9.3380902218127351E-2</v>
      </c>
      <c r="F16" s="222">
        <f>利润表!F26/利润表!F2</f>
        <v>0.16835008726440673</v>
      </c>
      <c r="G16" s="222">
        <f>利润表!G26/利润表!G2</f>
        <v>0.10905666576203257</v>
      </c>
      <c r="H16" s="222">
        <f>利润表!H26/利润表!H2</f>
        <v>3.2342017869086082E-2</v>
      </c>
      <c r="I16" s="222">
        <f ca="1">利润表!I26/利润表!I2</f>
        <v>-1.7379383923209112E-2</v>
      </c>
      <c r="J16" s="222">
        <f ca="1">利润表!J26/利润表!J2</f>
        <v>4.9585669336737144E-2</v>
      </c>
      <c r="K16" s="222">
        <f ca="1">利润表!K26/利润表!K2</f>
        <v>4.5960779049440188E-2</v>
      </c>
      <c r="L16" s="222">
        <f ca="1">利润表!L26/利润表!L2</f>
        <v>3.8099086911546731E-2</v>
      </c>
      <c r="M16" s="222">
        <f ca="1">利润表!M26/利润表!M2</f>
        <v>3.334726651696851E-2</v>
      </c>
      <c r="N16" s="222">
        <f ca="1">利润表!N26/利润表!N2</f>
        <v>3.2949126132855035E-2</v>
      </c>
      <c r="O16" s="222">
        <f ca="1">利润表!O26/利润表!O2</f>
        <v>3.4936320355555016E-2</v>
      </c>
      <c r="P16" s="222">
        <f ca="1">利润表!P26/利润表!P2</f>
        <v>3.4580076588604493E-2</v>
      </c>
      <c r="Q16" s="222">
        <f ca="1">利润表!Q26/利润表!Q2</f>
        <v>3.3573109859545508E-2</v>
      </c>
      <c r="R16" s="222">
        <f ca="1">利润表!R26/利润表!R2</f>
        <v>3.285329342187987E-2</v>
      </c>
      <c r="S16" s="222">
        <f ca="1">利润表!S26/利润表!S2</f>
        <v>3.2553780006362762E-2</v>
      </c>
      <c r="T16" s="222">
        <f ca="1">利润表!T26/利润表!T2</f>
        <v>3.2484802564474016E-2</v>
      </c>
      <c r="U16" s="222">
        <f ca="1">利润表!U26/利润表!U2</f>
        <v>3.2274721827750208E-2</v>
      </c>
      <c r="V16" s="222">
        <f ca="1">利润表!V26/利润表!V2</f>
        <v>3.1939766462741027E-2</v>
      </c>
      <c r="W16" s="222">
        <f ca="1">利润表!W26/利润表!W2</f>
        <v>3.1683523998779488E-2</v>
      </c>
      <c r="X16" s="222">
        <f ca="1">利润表!X26/利润表!X2</f>
        <v>3.1522616317471511E-2</v>
      </c>
      <c r="Y16" s="222">
        <f ca="1">利润表!Y26/利润表!Y2</f>
        <v>3.1396708395822891E-2</v>
      </c>
      <c r="Z16" s="222">
        <f ca="1">利润表!Z26/利润表!Z2</f>
        <v>3.1251651954749785E-2</v>
      </c>
      <c r="AA16" s="222">
        <f ca="1">利润表!AA26/利润表!AA2</f>
        <v>3.1104408136440911E-2</v>
      </c>
      <c r="AB16" s="222">
        <f ca="1">利润表!AB26/利润表!AB2</f>
        <v>3.0988336068527193E-2</v>
      </c>
      <c r="AC16" s="222">
        <f ca="1">利润表!AC26/利润表!AC2</f>
        <v>3.0895751292357027E-2</v>
      </c>
      <c r="AD16" s="222">
        <f ca="1">利润表!AD26/利润表!AD2</f>
        <v>3.0811792980140574E-2</v>
      </c>
      <c r="AE16" s="222">
        <f ca="1">利润表!AE26/利润表!AE2</f>
        <v>3.0731125092965855E-2</v>
      </c>
      <c r="AF16" s="222">
        <f ca="1">利润表!AF26/利润表!AF2</f>
        <v>3.0658984486536665E-2</v>
      </c>
      <c r="AG16" s="222">
        <f ca="1">利润表!AG26/利润表!AG2</f>
        <v>3.059830682924804E-2</v>
      </c>
      <c r="AH16" s="222">
        <f ca="1">利润表!AH26/利润表!AH2</f>
        <v>3.0545488050840629E-2</v>
      </c>
      <c r="AI16" s="222">
        <f ca="1">利润表!AI26/利润表!AI2</f>
        <v>3.0497706932097919E-2</v>
      </c>
      <c r="AJ16" s="222">
        <f ca="1">利润表!AJ26/利润表!AJ2</f>
        <v>3.0454584366867179E-2</v>
      </c>
      <c r="AK16" s="222">
        <f ca="1">利润表!AK26/利润表!AK2</f>
        <v>3.0416710883655988E-2</v>
      </c>
      <c r="AL16" s="222">
        <f ca="1">利润表!AL26/利润表!AL2</f>
        <v>3.0383693770067614E-2</v>
      </c>
      <c r="AM16" s="398"/>
    </row>
    <row r="17" spans="1:39" s="407" customFormat="1" ht="16.5" customHeight="1">
      <c r="A17" s="210"/>
      <c r="B17" s="210" t="s">
        <v>1453</v>
      </c>
      <c r="C17" s="210" t="s">
        <v>1509</v>
      </c>
      <c r="D17" s="222">
        <f>利润表!D28/利润表!D2</f>
        <v>8.5045904011423645E-2</v>
      </c>
      <c r="E17" s="222">
        <f>利润表!E28/利润表!E2</f>
        <v>0.10750057248820163</v>
      </c>
      <c r="F17" s="222">
        <f>利润表!F28/利润表!F2</f>
        <v>0.18460003657248084</v>
      </c>
      <c r="G17" s="222">
        <f>利润表!G28/利润表!G2</f>
        <v>0.12908111010630374</v>
      </c>
      <c r="H17" s="222">
        <f>利润表!H28/利润表!H2</f>
        <v>5.8906057004885451E-2</v>
      </c>
      <c r="I17" s="222">
        <f ca="1">利润表!I28/利润表!I2</f>
        <v>1.7064573434607507E-3</v>
      </c>
      <c r="J17" s="222">
        <f ca="1">利润表!J28/利润表!J2</f>
        <v>6.7991038272162602E-2</v>
      </c>
      <c r="K17" s="222">
        <f ca="1">利润表!K28/利润表!K2</f>
        <v>6.4269516440797869E-2</v>
      </c>
      <c r="L17" s="222">
        <f ca="1">利润表!L28/利润表!L2</f>
        <v>5.6698298788964596E-2</v>
      </c>
      <c r="M17" s="222">
        <f ca="1">利润表!M28/利润表!M2</f>
        <v>5.2180631546708163E-2</v>
      </c>
      <c r="N17" s="222">
        <f ca="1">利润表!N28/利润表!N2</f>
        <v>5.1587296100108128E-2</v>
      </c>
      <c r="O17" s="222">
        <f ca="1">利润表!O28/利润表!O2</f>
        <v>5.3444007270346233E-2</v>
      </c>
      <c r="P17" s="222">
        <f ca="1">利润表!P28/利润表!P2</f>
        <v>5.3023690380557903E-2</v>
      </c>
      <c r="Q17" s="222">
        <f ca="1">利润表!Q28/利润表!Q2</f>
        <v>5.2012079817611703E-2</v>
      </c>
      <c r="R17" s="222">
        <f ca="1">利润表!R28/利润表!R2</f>
        <v>5.1241893031624991E-2</v>
      </c>
      <c r="S17" s="222">
        <f ca="1">利润表!S28/利润表!S2</f>
        <v>5.0823619221596096E-2</v>
      </c>
      <c r="T17" s="222">
        <f ca="1">利润表!T28/利润表!T2</f>
        <v>5.0682645634932043E-2</v>
      </c>
      <c r="U17" s="222">
        <f ca="1">利润表!U28/利润表!U2</f>
        <v>5.0417395495636605E-2</v>
      </c>
      <c r="V17" s="222">
        <f ca="1">利润表!V28/利润表!V2</f>
        <v>4.6354333196134669E-2</v>
      </c>
      <c r="W17" s="222">
        <f ca="1">利润表!W28/利润表!W2</f>
        <v>4.5959312675679959E-2</v>
      </c>
      <c r="X17" s="222">
        <f ca="1">利润表!X28/利润表!X2</f>
        <v>4.5620279744705089E-2</v>
      </c>
      <c r="Y17" s="222">
        <f ca="1">利润表!Y28/利润表!Y2</f>
        <v>4.5421179936222855E-2</v>
      </c>
      <c r="Z17" s="222">
        <f ca="1">利润表!Z28/利润表!Z2</f>
        <v>4.5293775290195008E-2</v>
      </c>
      <c r="AA17" s="222">
        <f ca="1">利润表!AA28/利润表!AA2</f>
        <v>4.5109198417006224E-2</v>
      </c>
      <c r="AB17" s="222">
        <f ca="1">利润表!AB28/利润表!AB2</f>
        <v>4.4926495084246898E-2</v>
      </c>
      <c r="AC17" s="222">
        <f ca="1">利润表!AC28/利润表!AC2</f>
        <v>4.4787368893958325E-2</v>
      </c>
      <c r="AD17" s="222">
        <f ca="1">利润表!AD28/利润表!AD2</f>
        <v>4.467994748835806E-2</v>
      </c>
      <c r="AE17" s="222">
        <f ca="1">利润表!AE28/利润表!AE2</f>
        <v>4.4576649438368213E-2</v>
      </c>
      <c r="AF17" s="222">
        <f ca="1">利润表!AF28/利润表!AF2</f>
        <v>4.4477683050127254E-2</v>
      </c>
      <c r="AG17" s="222">
        <f ca="1">利润表!AG28/利润表!AG2</f>
        <v>4.4390451667987225E-2</v>
      </c>
      <c r="AH17" s="222">
        <f ca="1">利润表!AH28/利润表!AH2</f>
        <v>4.4313521766896367E-2</v>
      </c>
      <c r="AI17" s="222">
        <f ca="1">利润表!AI28/利润表!AI2</f>
        <v>4.4248996634304913E-2</v>
      </c>
      <c r="AJ17" s="222">
        <f ca="1">利润表!AJ28/利润表!AJ2</f>
        <v>4.4189509797272979E-2</v>
      </c>
      <c r="AK17" s="222">
        <f ca="1">利润表!AK28/利润表!AK2</f>
        <v>4.413280897428027E-2</v>
      </c>
      <c r="AL17" s="222">
        <f ca="1">利润表!AL28/利润表!AL2</f>
        <v>4.4084721266080172E-2</v>
      </c>
      <c r="AM17" s="398"/>
    </row>
    <row r="18" spans="1:39" s="407" customFormat="1" ht="16.5" customHeight="1">
      <c r="A18" s="210"/>
      <c r="B18" s="210" t="s">
        <v>1454</v>
      </c>
      <c r="C18" s="210" t="s">
        <v>1510</v>
      </c>
      <c r="D18" s="222">
        <f>利润表!D34/利润表!D2</f>
        <v>5.9435273148895754E-2</v>
      </c>
      <c r="E18" s="222">
        <f>利润表!E34/利润表!E2</f>
        <v>7.8613950291157364E-2</v>
      </c>
      <c r="F18" s="222">
        <f>利润表!F34/利润表!F2</f>
        <v>0.1442819024595848</v>
      </c>
      <c r="G18" s="222">
        <f>利润表!G34/利润表!G2</f>
        <v>8.9400378079412354E-2</v>
      </c>
      <c r="H18" s="222">
        <f>利润表!H34/利润表!H2</f>
        <v>2.8685636925604555E-2</v>
      </c>
      <c r="I18" s="222">
        <f ca="1">利润表!I34/利润表!I2</f>
        <v>-1.472267224447487E-2</v>
      </c>
      <c r="J18" s="222">
        <f ca="1">利润表!J34/利润表!J2</f>
        <v>4.2174988650634106E-2</v>
      </c>
      <c r="K18" s="222">
        <f ca="1">利润表!K34/利润表!K2</f>
        <v>3.9171676633340015E-2</v>
      </c>
      <c r="L18" s="222">
        <f ca="1">利润表!L34/利润表!L2</f>
        <v>3.2435080908157173E-2</v>
      </c>
      <c r="M18" s="222">
        <f ca="1">利润表!M34/利润表!M2</f>
        <v>2.8600272372084016E-2</v>
      </c>
      <c r="N18" s="222">
        <f ca="1">利润表!N34/利润表!N2</f>
        <v>2.8065746994888497E-2</v>
      </c>
      <c r="O18" s="222">
        <f ca="1">利润表!O34/利润表!O2</f>
        <v>2.9790952717264299E-2</v>
      </c>
      <c r="P18" s="222">
        <f ca="1">利润表!P34/利润表!P2</f>
        <v>2.9502208636999146E-2</v>
      </c>
      <c r="Q18" s="222">
        <f ca="1">利润表!Q34/利润表!Q2</f>
        <v>2.8648959688633579E-2</v>
      </c>
      <c r="R18" s="222">
        <f ca="1">利润表!R34/利润表!R2</f>
        <v>2.804783120811449E-2</v>
      </c>
      <c r="S18" s="222">
        <f ca="1">利润表!S34/利润表!S2</f>
        <v>2.7766605479597195E-2</v>
      </c>
      <c r="T18" s="222">
        <f ca="1">利润表!T34/利润表!T2</f>
        <v>2.7715277629663092E-2</v>
      </c>
      <c r="U18" s="222">
        <f ca="1">利润表!U34/利润表!U2</f>
        <v>2.753897989330889E-2</v>
      </c>
      <c r="V18" s="222">
        <f ca="1">利润表!V34/利润表!V2</f>
        <v>2.7253885623857797E-2</v>
      </c>
      <c r="W18" s="222">
        <f ca="1">利润表!W34/利润表!W2</f>
        <v>2.7034980091749903E-2</v>
      </c>
      <c r="X18" s="222">
        <f ca="1">利润表!X34/利润表!X2</f>
        <v>2.6894858022471633E-2</v>
      </c>
      <c r="Y18" s="222">
        <f ca="1">利润表!Y34/利润表!Y2</f>
        <v>2.6788983948805904E-2</v>
      </c>
      <c r="Z18" s="222">
        <f ca="1">利润表!Z34/利润表!Z2</f>
        <v>2.6665622431163043E-2</v>
      </c>
      <c r="AA18" s="222">
        <f ca="1">利润表!AA34/利润表!AA2</f>
        <v>2.653990533333549E-2</v>
      </c>
      <c r="AB18" s="222">
        <f ca="1">利润表!AB34/利润表!AB2</f>
        <v>2.6440631997414539E-2</v>
      </c>
      <c r="AC18" s="222">
        <f ca="1">利润表!AC34/利润表!AC2</f>
        <v>2.6361403871445928E-2</v>
      </c>
      <c r="AD18" s="222">
        <f ca="1">利润表!AD34/利润表!AD2</f>
        <v>2.6290043236369114E-2</v>
      </c>
      <c r="AE18" s="222">
        <f ca="1">利润表!AE34/利润表!AE2</f>
        <v>2.6221240317374842E-2</v>
      </c>
      <c r="AF18" s="222">
        <f ca="1">利润表!AF34/利润表!AF2</f>
        <v>2.6159638661230958E-2</v>
      </c>
      <c r="AG18" s="222">
        <f ca="1">利润表!AG34/利润表!AG2</f>
        <v>2.6107824218560619E-2</v>
      </c>
      <c r="AH18" s="222">
        <f ca="1">利润表!AH34/利润表!AH2</f>
        <v>2.6062753431151511E-2</v>
      </c>
      <c r="AI18" s="222">
        <f ca="1">利润表!AI34/利润表!AI2</f>
        <v>2.6022025851383825E-2</v>
      </c>
      <c r="AJ18" s="222">
        <f ca="1">利润表!AJ34/利润表!AJ2</f>
        <v>2.5985226795432911E-2</v>
      </c>
      <c r="AK18" s="222">
        <f ca="1">利润表!AK34/利润表!AK2</f>
        <v>2.595290024764926E-2</v>
      </c>
      <c r="AL18" s="222">
        <f ca="1">利润表!AL34/利润表!AL2</f>
        <v>2.5924724658163988E-2</v>
      </c>
      <c r="AM18" s="398"/>
    </row>
    <row r="19" spans="1:39" s="407" customFormat="1" ht="16.5" customHeight="1">
      <c r="A19" s="210"/>
      <c r="B19" s="215" t="s">
        <v>1488</v>
      </c>
      <c r="C19" s="245" t="s">
        <v>1382</v>
      </c>
      <c r="D19" s="222">
        <f>利润表!D25/资产负债!D86</f>
        <v>6.366736308203913E-2</v>
      </c>
      <c r="E19" s="222">
        <f>利润表!E25/资产负债!E86</f>
        <v>0.11606806882429728</v>
      </c>
      <c r="F19" s="222">
        <f>利润表!F25/资产负债!F86</f>
        <v>0.21440976215766011</v>
      </c>
      <c r="G19" s="222">
        <f>利润表!G25/资产负债!G86</f>
        <v>0.13539372067550812</v>
      </c>
      <c r="H19" s="222">
        <f>利润表!H25/资产负债!H86</f>
        <v>3.1669384929869197E-2</v>
      </c>
      <c r="I19" s="222">
        <f ca="1">利润表!I25/资产负债!I86</f>
        <v>-3.7176626194826992E-2</v>
      </c>
      <c r="J19" s="222">
        <f ca="1">利润表!J25/资产负债!J86</f>
        <v>3.0671627706799136E-2</v>
      </c>
      <c r="K19" s="222">
        <f ca="1">利润表!K25/资产负债!K86</f>
        <v>2.0772694082215788E-2</v>
      </c>
      <c r="L19" s="222">
        <f ca="1">利润表!L25/资产负债!L86</f>
        <v>4.2488826330663414E-3</v>
      </c>
      <c r="M19" s="222">
        <f ca="1">利润表!M25/资产负债!M86</f>
        <v>-1.2709111062257146E-2</v>
      </c>
      <c r="N19" s="222">
        <f ca="1">利润表!N25/资产负债!N86</f>
        <v>-2.2494535966850422E-2</v>
      </c>
      <c r="O19" s="222">
        <f ca="1">利润表!O25/资产负债!O86</f>
        <v>-2.6595430374784387E-2</v>
      </c>
      <c r="P19" s="222">
        <f ca="1">利润表!P25/资产负债!P86</f>
        <v>-4.0580190036327492E-2</v>
      </c>
      <c r="Q19" s="222">
        <f ca="1">利润表!Q25/资产负债!Q86</f>
        <v>-6.1487786617746419E-2</v>
      </c>
      <c r="R19" s="222">
        <f ca="1">利润表!R25/资产负债!R86</f>
        <v>-8.9077751089829904E-2</v>
      </c>
      <c r="S19" s="222">
        <f ca="1">利润表!S25/资产负债!S86</f>
        <v>-0.12772611121763464</v>
      </c>
      <c r="T19" s="222">
        <f ca="1">利润表!T25/资产负债!T86</f>
        <v>-0.18857506856991832</v>
      </c>
      <c r="U19" s="222">
        <f ca="1">利润表!U25/资产负债!U86</f>
        <v>-0.30590035794794851</v>
      </c>
      <c r="V19" s="222">
        <f ca="1">利润表!V25/资产负债!V86</f>
        <v>-0.61989167449252058</v>
      </c>
      <c r="W19" s="222">
        <f ca="1">利润表!W25/资产负债!W86</f>
        <v>-3.6088082302306805</v>
      </c>
      <c r="X19" s="222">
        <f ca="1">利润表!X25/资产负债!X86</f>
        <v>1.2214680499612798</v>
      </c>
      <c r="Y19" s="222">
        <f ca="1">利润表!Y25/资产负债!Y86</f>
        <v>0.57679329966850168</v>
      </c>
      <c r="Z19" s="222">
        <f ca="1">利润表!Z25/资产负债!Z86</f>
        <v>0.39910515809157948</v>
      </c>
      <c r="AA19" s="222">
        <f ca="1">利润表!AA25/资产负债!AA86</f>
        <v>0.31612959182506661</v>
      </c>
      <c r="AB19" s="222">
        <f ca="1">利润表!AB25/资产负债!AB86</f>
        <v>0.26802482491235535</v>
      </c>
      <c r="AC19" s="222">
        <f ca="1">利润表!AC25/资产负债!AC86</f>
        <v>0.23668173526646968</v>
      </c>
      <c r="AD19" s="222">
        <f ca="1">利润表!AD25/资产负债!AD86</f>
        <v>0.21473570418189172</v>
      </c>
      <c r="AE19" s="222">
        <f ca="1">利润表!AE25/资产负债!AE86</f>
        <v>0.19855672779591463</v>
      </c>
      <c r="AF19" s="222">
        <f ca="1">利润表!AF25/资产负债!AF86</f>
        <v>0.18614724751613823</v>
      </c>
      <c r="AG19" s="222">
        <f ca="1">利润表!AG25/资产负债!AG86</f>
        <v>0.17633866169067217</v>
      </c>
      <c r="AH19" s="222">
        <f ca="1">利润表!AH25/资产负债!AH86</f>
        <v>0.16841524881168354</v>
      </c>
      <c r="AI19" s="222">
        <f ca="1">利润表!AI25/资产负债!AI86</f>
        <v>0.16190353460742532</v>
      </c>
      <c r="AJ19" s="222">
        <f ca="1">利润表!AJ25/资产负债!AJ86</f>
        <v>0.15646977274681803</v>
      </c>
      <c r="AK19" s="222">
        <f ca="1">利润表!AK25/资产负债!AK86</f>
        <v>0.15187377151898676</v>
      </c>
      <c r="AL19" s="222">
        <f ca="1">利润表!AL25/资产负债!AL86</f>
        <v>0.14794569315134801</v>
      </c>
      <c r="AM19" s="398"/>
    </row>
    <row r="20" spans="1:39" s="407" customFormat="1" ht="16.5" customHeight="1">
      <c r="A20" s="210"/>
      <c r="B20" s="215" t="s">
        <v>1489</v>
      </c>
      <c r="C20" s="245" t="s">
        <v>1381</v>
      </c>
      <c r="D20" s="222">
        <f>利润表!D25/资产负债!D40</f>
        <v>3.7628341521585749E-2</v>
      </c>
      <c r="E20" s="222">
        <f>利润表!E25/资产负债!E40</f>
        <v>6.0810113341181478E-2</v>
      </c>
      <c r="F20" s="222">
        <f>利润表!F25/资产负债!F40</f>
        <v>0.10904112434927893</v>
      </c>
      <c r="G20" s="222">
        <f>利润表!G25/资产负债!G40</f>
        <v>6.2340215503565735E-2</v>
      </c>
      <c r="H20" s="222">
        <f>利润表!H25/资产负债!H40</f>
        <v>1.4076206879586054E-2</v>
      </c>
      <c r="I20" s="222">
        <f ca="1">利润表!I25/资产负债!I40</f>
        <v>-1.909197679008837E-2</v>
      </c>
      <c r="J20" s="222">
        <f ca="1">利润表!J25/资产负债!J40</f>
        <v>1.1229759396774763E-2</v>
      </c>
      <c r="K20" s="222">
        <f ca="1">利润表!K25/资产负债!K40</f>
        <v>7.980757338609399E-3</v>
      </c>
      <c r="L20" s="222">
        <f ca="1">利润表!L25/资产负债!L40</f>
        <v>1.3025403133805178E-3</v>
      </c>
      <c r="M20" s="222">
        <f ca="1">利润表!M25/资产负债!M40</f>
        <v>-3.8706389326506447E-3</v>
      </c>
      <c r="N20" s="222">
        <f ca="1">利润表!N25/资产负债!N40</f>
        <v>-5.4003492067890993E-3</v>
      </c>
      <c r="O20" s="222">
        <f ca="1">利润表!O25/资产负债!O40</f>
        <v>-6.0558526098334177E-3</v>
      </c>
      <c r="P20" s="222">
        <f ca="1">利润表!P25/资产负债!P40</f>
        <v>-7.1828418265884788E-3</v>
      </c>
      <c r="Q20" s="222">
        <f ca="1">利润表!Q25/资产负债!Q40</f>
        <v>-9.8778070990216682E-3</v>
      </c>
      <c r="R20" s="222">
        <f ca="1">利润表!R25/资产负债!R40</f>
        <v>-1.0826836104688571E-2</v>
      </c>
      <c r="S20" s="222">
        <f ca="1">利润表!S25/资产负债!S40</f>
        <v>-1.2926066167128977E-2</v>
      </c>
      <c r="T20" s="222">
        <f ca="1">利润表!T25/资产负债!T40</f>
        <v>-1.332075074482846E-2</v>
      </c>
      <c r="U20" s="222">
        <f ca="1">利润表!U25/资产负债!U40</f>
        <v>-1.523001664358652E-2</v>
      </c>
      <c r="V20" s="222">
        <f ca="1">利润表!V25/资产负债!V40</f>
        <v>-1.5763940312323088E-2</v>
      </c>
      <c r="W20" s="222">
        <f ca="1">利润表!W25/资产负债!W40</f>
        <v>-1.7601143036013941E-2</v>
      </c>
      <c r="X20" s="222">
        <f ca="1">利润表!X25/资产负债!X40</f>
        <v>-1.7997499798917155E-2</v>
      </c>
      <c r="Y20" s="222">
        <f ca="1">利润表!Y25/资产负债!Y40</f>
        <v>-1.9562469295557796E-2</v>
      </c>
      <c r="Z20" s="222">
        <f ca="1">利润表!Z25/资产负债!Z40</f>
        <v>-1.9927683654181801E-2</v>
      </c>
      <c r="AA20" s="222">
        <f ca="1">利润表!AA25/资产负债!AA40</f>
        <v>-2.1320713098644722E-2</v>
      </c>
      <c r="AB20" s="222">
        <f ca="1">利润表!AB25/资产负债!AB40</f>
        <v>-2.1641101854905281E-2</v>
      </c>
      <c r="AC20" s="222">
        <f ca="1">利润表!AC25/资产负债!AC40</f>
        <v>-2.2817708985275721E-2</v>
      </c>
      <c r="AD20" s="222">
        <f ca="1">利润表!AD25/资产负债!AD40</f>
        <v>-2.309945150480016E-2</v>
      </c>
      <c r="AE20" s="222">
        <f ca="1">利润表!AE25/资产负债!AE40</f>
        <v>-2.4108388122328892E-2</v>
      </c>
      <c r="AF20" s="222">
        <f ca="1">利润表!AF25/资产负债!AF40</f>
        <v>-2.4366033805968666E-2</v>
      </c>
      <c r="AG20" s="222">
        <f ca="1">利润表!AG25/资产负债!AG40</f>
        <v>-2.5217923979957375E-2</v>
      </c>
      <c r="AH20" s="222">
        <f ca="1">利润表!AH25/资产负债!AH40</f>
        <v>-2.5449469499229164E-2</v>
      </c>
      <c r="AI20" s="222">
        <f ca="1">利润表!AI25/资产负债!AI40</f>
        <v>-2.6169360130905553E-2</v>
      </c>
      <c r="AJ20" s="222">
        <f ca="1">利润表!AJ25/资产负债!AJ40</f>
        <v>-2.6381957989208733E-2</v>
      </c>
      <c r="AK20" s="222">
        <f ca="1">利润表!AK25/资产负债!AK40</f>
        <v>-2.698900970116249E-2</v>
      </c>
      <c r="AL20" s="222">
        <f ca="1">利润表!AL25/资产负债!AL40</f>
        <v>-2.7182119357768698E-2</v>
      </c>
      <c r="AM20" s="398"/>
    </row>
    <row r="21" spans="1:39" s="258" customFormat="1" ht="16.5" customHeight="1">
      <c r="A21" s="210"/>
      <c r="B21" s="215" t="s">
        <v>1455</v>
      </c>
      <c r="C21" s="210" t="s">
        <v>1511</v>
      </c>
      <c r="D21" s="222">
        <f>利润表!D34/营运资本!D43</f>
        <v>5.4796934659190256E-2</v>
      </c>
      <c r="E21" s="222">
        <f>利润表!E34/营运资本!E43</f>
        <v>9.7869553090474348E-2</v>
      </c>
      <c r="F21" s="222">
        <f>利润表!F34/营运资本!F43</f>
        <v>0.17791368049134737</v>
      </c>
      <c r="G21" s="222">
        <f>利润表!G34/营运资本!G43</f>
        <v>0.10618401440088081</v>
      </c>
      <c r="H21" s="222">
        <f>利润表!H34/营运资本!H43</f>
        <v>2.7088712790866092E-2</v>
      </c>
      <c r="I21" s="222">
        <f ca="1">利润表!I34/营运资本!I43</f>
        <v>-1.3129373382206771E-2</v>
      </c>
      <c r="J21" s="222">
        <f ca="1">利润表!J34/营运资本!J43</f>
        <v>2.938703107764391E-2</v>
      </c>
      <c r="K21" s="222">
        <f ca="1">利润表!K34/营运资本!K43</f>
        <v>3.337717908941569E-2</v>
      </c>
      <c r="L21" s="222">
        <f ca="1">利润表!L34/营运资本!L43</f>
        <v>2.4619650255637348E-2</v>
      </c>
      <c r="M21" s="222">
        <f ca="1">利润表!M34/营运资本!M43</f>
        <v>2.454835812474657E-2</v>
      </c>
      <c r="N21" s="222">
        <f ca="1">利润表!N34/营运资本!N43</f>
        <v>2.1926212565745184E-2</v>
      </c>
      <c r="O21" s="222">
        <f ca="1">利润表!O34/营运资本!O43</f>
        <v>2.6160086708763554E-2</v>
      </c>
      <c r="P21" s="222">
        <f ca="1">利润表!P34/营运资本!P43</f>
        <v>2.3798785527308068E-2</v>
      </c>
      <c r="Q21" s="222">
        <f ca="1">利润表!Q34/营运资本!Q43</f>
        <v>2.5469544793291478E-2</v>
      </c>
      <c r="R21" s="222">
        <f ca="1">利润表!R34/营运资本!R43</f>
        <v>2.3302455633319792E-2</v>
      </c>
      <c r="S21" s="222">
        <f ca="1">利润表!S34/营运资本!S43</f>
        <v>2.489658321411432E-2</v>
      </c>
      <c r="T21" s="222">
        <f ca="1">利润表!T34/营运资本!T43</f>
        <v>2.3592737784495388E-2</v>
      </c>
      <c r="U21" s="222">
        <f ca="1">利润表!U34/营运资本!U43</f>
        <v>2.4907933263360164E-2</v>
      </c>
      <c r="V21" s="222">
        <f ca="1">利润表!V34/营运资本!V43</f>
        <v>2.357715074359612E-2</v>
      </c>
      <c r="W21" s="222">
        <f ca="1">利润表!W34/营运资本!W43</f>
        <v>2.4471287765977668E-2</v>
      </c>
      <c r="X21" s="222">
        <f ca="1">利润表!X34/营运资本!X43</f>
        <v>2.3502681856607546E-2</v>
      </c>
      <c r="Y21" s="222">
        <f ca="1">利润表!Y34/营运资本!Y43</f>
        <v>2.4261882694820758E-2</v>
      </c>
      <c r="Z21" s="222">
        <f ca="1">利润表!Z34/营运资本!Z43</f>
        <v>2.349438293302265E-2</v>
      </c>
      <c r="AA21" s="222">
        <f ca="1">利润表!AA34/营运资本!AA43</f>
        <v>2.4053646401704019E-2</v>
      </c>
      <c r="AB21" s="222">
        <f ca="1">利润表!AB34/营运资本!AB43</f>
        <v>2.3452163379316306E-2</v>
      </c>
      <c r="AC21" s="222">
        <f ca="1">利润表!AC34/营运资本!AC43</f>
        <v>2.3908452820381863E-2</v>
      </c>
      <c r="AD21" s="222">
        <f ca="1">利润表!AD34/营运资本!AD43</f>
        <v>2.3444301345632912E-2</v>
      </c>
      <c r="AE21" s="222">
        <f ca="1">利润表!AE34/营运资本!AE43</f>
        <v>2.3797665736271647E-2</v>
      </c>
      <c r="AF21" s="222">
        <f ca="1">利润表!AF34/营运资本!AF43</f>
        <v>2.343014986532152E-2</v>
      </c>
      <c r="AG21" s="222">
        <f ca="1">利润表!AG34/营运资本!AG43</f>
        <v>2.3709499774150506E-2</v>
      </c>
      <c r="AH21" s="222">
        <f ca="1">利润表!AH34/营运资本!AH43</f>
        <v>2.3425478259999286E-2</v>
      </c>
      <c r="AI21" s="222">
        <f ca="1">利润表!AI34/营运资本!AI43</f>
        <v>2.3645080701784442E-2</v>
      </c>
      <c r="AJ21" s="222">
        <f ca="1">利润表!AJ34/营运资本!AJ43</f>
        <v>2.3421679272392529E-2</v>
      </c>
      <c r="AK21" s="222">
        <f ca="1">利润表!AK34/营运资本!AK43</f>
        <v>2.3594112932121585E-2</v>
      </c>
      <c r="AL21" s="222">
        <f ca="1">利润表!AL34/营运资本!AL43</f>
        <v>2.3420066833333308E-2</v>
      </c>
      <c r="AM21" s="398"/>
    </row>
    <row r="22" spans="1:39" s="258" customFormat="1" ht="16.5" customHeight="1">
      <c r="A22" s="210"/>
      <c r="B22" s="215" t="s">
        <v>1512</v>
      </c>
      <c r="C22" s="215" t="s">
        <v>1513</v>
      </c>
      <c r="D22" s="222">
        <f>利润表!D19*(1-假设!D19)/利润表!D25</f>
        <v>0.99249949873803156</v>
      </c>
      <c r="E22" s="222">
        <f>利润表!E19*(1-假设!E19)/利润表!E25</f>
        <v>0.98992608760541478</v>
      </c>
      <c r="F22" s="222">
        <f>利润表!F19*(1-假设!F19)/利润表!F25</f>
        <v>0.99447903936368154</v>
      </c>
      <c r="G22" s="222">
        <f>利润表!G19*(1-假设!G19)/利润表!G25</f>
        <v>0.9880202349655296</v>
      </c>
      <c r="H22" s="222">
        <f>利润表!H19*(1-假设!H19)/利润表!H25</f>
        <v>0.95452053787123903</v>
      </c>
      <c r="I22" s="222">
        <f ca="1">利润表!I19*(1-假设!I19)/利润表!I25</f>
        <v>1.0234539746403317</v>
      </c>
      <c r="J22" s="222">
        <f ca="1">利润表!J19*(1-假设!J19)/利润表!J25</f>
        <v>0.96678933037194104</v>
      </c>
      <c r="K22" s="222">
        <f ca="1">利润表!K19*(1-假设!K19)/利润表!K25</f>
        <v>0.94571344953834768</v>
      </c>
      <c r="L22" s="222">
        <f ca="1">利润表!L19*(1-假设!L19)/利润表!L25</f>
        <v>0.71990224046747375</v>
      </c>
      <c r="M22" s="222">
        <f ca="1">利润表!M19*(1-假设!M19)/利润表!M25</f>
        <v>1.0912909480409283</v>
      </c>
      <c r="N22" s="222">
        <f ca="1">利润表!N19*(1-假设!N19)/利润表!N25</f>
        <v>1.050007948556662</v>
      </c>
      <c r="O22" s="222">
        <f ca="1">利润表!O19*(1-假设!O19)/利润表!O25</f>
        <v>1.0457893084777881</v>
      </c>
      <c r="P22" s="222">
        <f ca="1">利润表!P19*(1-假设!P19)/利润表!P25</f>
        <v>1.0321101643645463</v>
      </c>
      <c r="Q22" s="222">
        <f ca="1">利润表!Q19*(1-假设!Q19)/利润表!Q25</f>
        <v>1.0227358420869901</v>
      </c>
      <c r="R22" s="222">
        <f ca="1">利润表!R19*(1-假设!R19)/利润表!R25</f>
        <v>1.0171268110220115</v>
      </c>
      <c r="S22" s="222">
        <f ca="1">利润表!S19*(1-假设!S19)/利润表!S25</f>
        <v>1.0136154537720095</v>
      </c>
      <c r="T22" s="222">
        <f ca="1">利润表!T19*(1-假设!T19)/利润表!T25</f>
        <v>1.0112354910205024</v>
      </c>
      <c r="U22" s="222">
        <f ca="1">利润表!U19*(1-假设!U19)/利润表!U25</f>
        <v>1.0092470797547244</v>
      </c>
      <c r="V22" s="222">
        <f ca="1">利润表!V19*(1-假设!V19)/利润表!V25</f>
        <v>1.0075861078224588</v>
      </c>
      <c r="W22" s="222">
        <f ca="1">利润表!W19*(1-假设!W19)/利润表!W25</f>
        <v>1.0062809047713475</v>
      </c>
      <c r="X22" s="222">
        <f ca="1">利润表!X19*(1-假设!X19)/利润表!X25</f>
        <v>1.0052658549350781</v>
      </c>
      <c r="Y22" s="222">
        <f ca="1">利润表!Y19*(1-假设!Y19)/利润表!Y25</f>
        <v>1.0044479511282978</v>
      </c>
      <c r="Z22" s="222">
        <f ca="1">利润表!Z19*(1-假设!Z19)/利润表!Z25</f>
        <v>1.0037687958369756</v>
      </c>
      <c r="AA22" s="222">
        <f ca="1">利润表!AA19*(1-假设!AA19)/利润表!AA25</f>
        <v>1.0032059170109824</v>
      </c>
      <c r="AB22" s="222">
        <f ca="1">利润表!AB19*(1-假设!AB19)/利润表!AB25</f>
        <v>1.0027405673845082</v>
      </c>
      <c r="AC22" s="222">
        <f ca="1">利润表!AC19*(1-假设!AC19)/利润表!AC25</f>
        <v>1.0023526320860869</v>
      </c>
      <c r="AD22" s="222">
        <f ca="1">利润表!AD19*(1-假设!AD19)/利润表!AD25</f>
        <v>1.0020256192006121</v>
      </c>
      <c r="AE22" s="222">
        <f ca="1">利润表!AE19*(1-假设!AE19)/利润表!AE25</f>
        <v>1.0017482199259304</v>
      </c>
      <c r="AF22" s="222">
        <f ca="1">利润表!AF19*(1-假设!AF19)/利润表!AF25</f>
        <v>1.0015124703744231</v>
      </c>
      <c r="AG22" s="222">
        <f ca="1">利润表!AG19*(1-假设!AG19)/利润表!AG25</f>
        <v>1.0013114931249998</v>
      </c>
      <c r="AH22" s="222">
        <f ca="1">利润表!AH19*(1-假设!AH19)/利润表!AH25</f>
        <v>1.0011394193068199</v>
      </c>
      <c r="AI22" s="222">
        <f ca="1">利润表!AI19*(1-假设!AI19)/利润表!AI25</f>
        <v>1.0009915193104073</v>
      </c>
      <c r="AJ22" s="222">
        <f ca="1">利润表!AJ19*(1-假设!AJ19)/利润表!AJ25</f>
        <v>1.0008640651190246</v>
      </c>
      <c r="AK22" s="222">
        <f ca="1">利润表!AK19*(1-假设!AK19)/利润表!AK25</f>
        <v>1.0007540226421319</v>
      </c>
      <c r="AL22" s="222">
        <f ca="1">利润表!AL19*(1-假设!AL19)/利润表!AL25</f>
        <v>1.0006588000071965</v>
      </c>
      <c r="AM22" s="398"/>
    </row>
    <row r="23" spans="1:39" s="406" customFormat="1" ht="16.5" customHeight="1">
      <c r="A23" s="210"/>
      <c r="B23" s="423" t="s">
        <v>333</v>
      </c>
      <c r="C23" s="226" t="s">
        <v>1514</v>
      </c>
      <c r="D23" s="222">
        <f>1-((利润表!D14+利润表!D20-利润表!D21)*(1-假设!D19))/利润表!D25</f>
        <v>0.94803134306344961</v>
      </c>
      <c r="E23" s="222">
        <f>1-((利润表!E14+利润表!E20-利润表!E21)*(1-假设!E19))/利润表!E25</f>
        <v>0.98992608760541456</v>
      </c>
      <c r="F23" s="222">
        <f>1-((利润表!F14+利润表!F20-利润表!F21)*(1-假设!F19))/利润表!F25</f>
        <v>0.99429001162468322</v>
      </c>
      <c r="G23" s="222">
        <f>1-((利润表!G14+利润表!G20-利润表!G21)*(1-假设!G19))/利润表!G25</f>
        <v>0.98800945310227395</v>
      </c>
      <c r="H23" s="222">
        <f>1-((利润表!H14+利润表!H20-利润表!H21)*(1-假设!H19))/利润表!H25</f>
        <v>0.75109418207656553</v>
      </c>
      <c r="I23" s="222">
        <f ca="1">1-((利润表!I14+利润表!I20-利润表!I21)*(1-假设!I19))/利润表!I25</f>
        <v>1.1102175054456334</v>
      </c>
      <c r="J23" s="222">
        <f ca="1">1-((利润表!J14+利润表!J20-利润表!J21)*(1-假设!J19))/利润表!J25</f>
        <v>0.81157662110941831</v>
      </c>
      <c r="K23" s="222">
        <f ca="1">1-((利润表!K14+利润表!K20-利润表!K21)*(1-假设!K19))/利润表!K25</f>
        <v>0.75574292928392872</v>
      </c>
      <c r="L23" s="222">
        <f ca="1">1-((利润表!L14+利润表!L20-利润表!L21)*(1-假设!L19))/利润表!L25</f>
        <v>-0.30515537459011255</v>
      </c>
      <c r="M23" s="222">
        <f ca="1">1-((利润表!M14+利润表!M20-利润表!M21)*(1-假设!M19))/利润表!M25</f>
        <v>1.4287181494676302</v>
      </c>
      <c r="N23" s="222">
        <f ca="1">1-((利润表!N14+利润表!N20-利润表!N21)*(1-假设!N19))/利润表!N25</f>
        <v>1.2504673458173958</v>
      </c>
      <c r="O23" s="222">
        <f ca="1">1-((利润表!O14+利润表!O20-利润表!O21)*(1-假设!O19))/利润表!O25</f>
        <v>1.2200477844196251</v>
      </c>
      <c r="P23" s="222">
        <f ca="1">1-((利润表!P14+利润表!P20-利润表!P21)*(1-假设!P19))/利润表!P25</f>
        <v>1.1530966624752974</v>
      </c>
      <c r="Q23" s="222">
        <f ca="1">1-((利润表!Q14+利润表!Q20-利润表!Q21)*(1-假设!Q19))/利润表!Q25</f>
        <v>1.1083369889099042</v>
      </c>
      <c r="R23" s="222">
        <f ca="1">1-((利润表!R14+利润表!R20-利润表!R21)*(1-假设!R19))/利润表!R25</f>
        <v>1.0824825248006467</v>
      </c>
      <c r="S23" s="222">
        <f ca="1">1-((利润表!S14+利润表!S20-利润表!S21)*(1-假设!S19))/利润表!S25</f>
        <v>1.0657035315738941</v>
      </c>
      <c r="T23" s="222">
        <f ca="1">1-((利润表!T14+利润表!T20-利润表!T21)*(1-假设!T19))/利润表!T25</f>
        <v>1.0539147728714373</v>
      </c>
      <c r="U23" s="222">
        <f ca="1">1-((利润表!U14+利润表!U20-利润表!U21)*(1-假设!U19))/利润表!U25</f>
        <v>1.0443221032248873</v>
      </c>
      <c r="V23" s="222">
        <f ca="1">1-((利润表!V14+利润表!V20-利润表!V21)*(1-假设!V19))/利润表!V25</f>
        <v>1.0364147933986161</v>
      </c>
      <c r="W23" s="222">
        <f ca="1">1-((利润表!W14+利润表!W20-利润表!W21)*(1-假设!W19))/利润表!W25</f>
        <v>1.030188531363216</v>
      </c>
      <c r="X23" s="222">
        <f ca="1">1-((利润表!X14+利润表!X20-利润表!X21)*(1-假设!X19))/利润表!X25</f>
        <v>1.0253018325958541</v>
      </c>
      <c r="Y23" s="222">
        <f ca="1">1-((利润表!Y14+利润表!Y20-利润表!Y21)*(1-假设!Y19))/利润表!Y25</f>
        <v>1.0213526440759526</v>
      </c>
      <c r="Z23" s="222">
        <f ca="1">1-((利润表!Z14+利润表!Z20-利润表!Z21)*(1-假设!Z19))/利润表!Z25</f>
        <v>1.0180942350503512</v>
      </c>
      <c r="AA23" s="222">
        <f ca="1">1-((利润表!AA14+利润表!AA20-利润表!AA21)*(1-假设!AA19))/利润表!AA25</f>
        <v>1.0153967159083186</v>
      </c>
      <c r="AB23" s="222">
        <f ca="1">1-((利润表!AB14+利润表!AB20-利润表!AB21)*(1-假设!AB19))/利润表!AB25</f>
        <v>1.0131632473959089</v>
      </c>
      <c r="AC23" s="222">
        <f ca="1">1-((利润表!AC14+利润表!AC20-利润表!AC21)*(1-假设!AC19))/利润表!AC25</f>
        <v>1.0112983689771444</v>
      </c>
      <c r="AD23" s="222">
        <f ca="1">1-((利润表!AD14+利润表!AD20-利润表!AD21)*(1-假设!AD19))/利润表!AD25</f>
        <v>1.0097269300817371</v>
      </c>
      <c r="AE23" s="222">
        <f ca="1">1-((利润表!AE14+利润表!AE20-利润表!AE21)*(1-假设!AE19))/利润表!AE25</f>
        <v>1.0083953563456733</v>
      </c>
      <c r="AF23" s="222">
        <f ca="1">1-((利润表!AF14+利润表!AF20-利润表!AF21)*(1-假设!AF19))/利润表!AF25</f>
        <v>1.0072635874402436</v>
      </c>
      <c r="AG23" s="222">
        <f ca="1">1-((利润表!AG14+利润表!AG20-利润表!AG21)*(1-假设!AG19))/利润表!AG25</f>
        <v>1.0062983661045612</v>
      </c>
      <c r="AH23" s="222">
        <f ca="1">1-((利润表!AH14+利润表!AH20-利润表!AH21)*(1-假设!AH19))/利润表!AH25</f>
        <v>1.0054718400182798</v>
      </c>
      <c r="AI23" s="222">
        <f ca="1">1-((利润表!AI14+利润表!AI20-利润表!AI21)*(1-假设!AI19))/利润表!AI25</f>
        <v>1.0047615525150526</v>
      </c>
      <c r="AJ23" s="222">
        <f ca="1">1-((利润表!AJ14+利润表!AJ20-利润表!AJ21)*(1-假设!AJ19))/利润表!AJ25</f>
        <v>1.0041495382002321</v>
      </c>
      <c r="AK23" s="222">
        <f ca="1">1-((利润表!AK14+利润表!AK20-利润表!AK21)*(1-假设!AK19))/利润表!AK25</f>
        <v>1.0036210933848302</v>
      </c>
      <c r="AL23" s="222">
        <f ca="1">1-((利润表!AL14+利润表!AL20-利润表!AL21)*(1-假设!AL19))/利润表!AL25</f>
        <v>1.003163786307689</v>
      </c>
      <c r="AM23" s="222"/>
    </row>
    <row r="24" spans="1:39" s="406" customFormat="1" ht="16.5" customHeight="1">
      <c r="A24" s="210"/>
      <c r="B24" s="215" t="s">
        <v>1456</v>
      </c>
      <c r="C24" s="245" t="s">
        <v>1515</v>
      </c>
      <c r="D24" s="222">
        <f>利润表!D16/利润表!D25</f>
        <v>0.10400663468463987</v>
      </c>
      <c r="E24" s="222">
        <f>利润表!E16/利润表!E25</f>
        <v>5.7050516631805256E-2</v>
      </c>
      <c r="F24" s="222">
        <f>利润表!F16/利润表!F25</f>
        <v>-3.1431655103699115E-2</v>
      </c>
      <c r="G24" s="222">
        <f>利润表!G16/利润表!G25</f>
        <v>-4.3840803674492492E-3</v>
      </c>
      <c r="H24" s="222">
        <f>利润表!H16/利润表!H25</f>
        <v>2.1372288413666275E-2</v>
      </c>
      <c r="I24" s="222">
        <f ca="1">利润表!I16/利润表!I25</f>
        <v>-1.2916295545607586E-2</v>
      </c>
      <c r="J24" s="222">
        <f ca="1">利润表!J16/利润表!J25</f>
        <v>-4.5641384860833877E-3</v>
      </c>
      <c r="K24" s="222">
        <f ca="1">利润表!K16/利润表!K25</f>
        <v>-4.4257567895573044E-2</v>
      </c>
      <c r="L24" s="222">
        <f ca="1">利润表!L16/利润表!L25</f>
        <v>-2.0623934923488612E-2</v>
      </c>
      <c r="M24" s="222">
        <f ca="1">利润表!M16/利润表!M25</f>
        <v>-1.9205368476368781E-4</v>
      </c>
      <c r="N24" s="222">
        <f ca="1">利润表!N16/利润表!N25</f>
        <v>6.3926012894013071E-3</v>
      </c>
      <c r="O24" s="222">
        <f ca="1">利润表!O16/利润表!O25</f>
        <v>1.0620831939489121E-2</v>
      </c>
      <c r="P24" s="222">
        <f ca="1">利润表!P16/利润表!P25</f>
        <v>7.9961048144914677E-3</v>
      </c>
      <c r="Q24" s="222">
        <f ca="1">利润表!Q16/利润表!Q25</f>
        <v>3.0690800127893061E-3</v>
      </c>
      <c r="R24" s="222">
        <f ca="1">利润表!R16/利润表!R25</f>
        <v>2.5361185270509437E-3</v>
      </c>
      <c r="S24" s="222">
        <f ca="1">利润表!S16/利润表!S25</f>
        <v>2.4354017913922809E-3</v>
      </c>
      <c r="T24" s="222">
        <f ca="1">利润表!T16/利润表!T25</f>
        <v>2.1192091867700373E-3</v>
      </c>
      <c r="U24" s="222">
        <f ca="1">利润表!U16/利润表!U25</f>
        <v>1.6644704412643479E-3</v>
      </c>
      <c r="V24" s="222">
        <f ca="1">利润表!V16/利润表!V25</f>
        <v>1.2597354127921003E-3</v>
      </c>
      <c r="W24" s="222">
        <f ca="1">利润表!W16/利润表!W25</f>
        <v>1.0824291699686199E-3</v>
      </c>
      <c r="X24" s="222">
        <f ca="1">利润表!X16/利润表!X25</f>
        <v>9.3298414809133898E-4</v>
      </c>
      <c r="Y24" s="222">
        <f ca="1">利润表!Y16/利润表!Y25</f>
        <v>7.8658106188450128E-4</v>
      </c>
      <c r="Z24" s="222">
        <f ca="1">利润表!Z16/利润表!Z25</f>
        <v>6.5759628953842469E-4</v>
      </c>
      <c r="AA24" s="222">
        <f ca="1">利润表!AA16/利润表!AA25</f>
        <v>5.5583603257202113E-4</v>
      </c>
      <c r="AB24" s="222">
        <f ca="1">利润表!AB16/利润表!AB25</f>
        <v>4.7917106836396105E-4</v>
      </c>
      <c r="AC24" s="222">
        <f ca="1">利润表!AC16/利润表!AC25</f>
        <v>4.1252144628568089E-4</v>
      </c>
      <c r="AD24" s="222">
        <f ca="1">利润表!AD16/利润表!AD25</f>
        <v>3.5443992489372146E-4</v>
      </c>
      <c r="AE24" s="222">
        <f ca="1">利润表!AE16/利润表!AE25</f>
        <v>3.0524957692453831E-4</v>
      </c>
      <c r="AF24" s="222">
        <f ca="1">利润表!AF16/利润表!AF25</f>
        <v>2.6412303787254549E-4</v>
      </c>
      <c r="AG24" s="222">
        <f ca="1">利润表!AG16/利润表!AG25</f>
        <v>2.2935472269876138E-4</v>
      </c>
      <c r="AH24" s="222">
        <f ca="1">利润表!AH16/利润表!AH25</f>
        <v>1.992707628552165E-4</v>
      </c>
      <c r="AI24" s="222">
        <f ca="1">利润表!AI16/利润表!AI25</f>
        <v>1.7331427233234124E-4</v>
      </c>
      <c r="AJ24" s="222">
        <f ca="1">利润表!AJ16/利润表!AJ25</f>
        <v>1.5100426756882793E-4</v>
      </c>
      <c r="AK24" s="222">
        <f ca="1">利润表!AK16/利润表!AK25</f>
        <v>1.317964921753676E-4</v>
      </c>
      <c r="AL24" s="222">
        <f ca="1">利润表!AL16/利润表!AL25</f>
        <v>1.1517362098775593E-4</v>
      </c>
      <c r="AM24" s="418"/>
    </row>
    <row r="25" spans="1:39" s="406" customFormat="1" ht="16.5" customHeight="1">
      <c r="A25" s="210"/>
      <c r="B25" s="215" t="s">
        <v>1457</v>
      </c>
      <c r="C25" s="245" t="s">
        <v>1516</v>
      </c>
      <c r="D25" s="221">
        <f>假设!D40</f>
        <v>8.1252590984741211</v>
      </c>
      <c r="E25" s="221">
        <f>假设!E40</f>
        <v>10.476580771348823</v>
      </c>
      <c r="F25" s="221">
        <f>假设!F40</f>
        <v>12.550664351341824</v>
      </c>
      <c r="G25" s="221">
        <f>假设!G40</f>
        <v>14.940238549257248</v>
      </c>
      <c r="H25" s="221">
        <f>假设!H40</f>
        <v>12.598158910232744</v>
      </c>
      <c r="I25" s="221">
        <f>假设!I40</f>
        <v>11.499464654341198</v>
      </c>
      <c r="J25" s="221">
        <f>假设!J40</f>
        <v>12.326668125480026</v>
      </c>
      <c r="K25" s="221">
        <f>假设!K40</f>
        <v>12.734178436338347</v>
      </c>
      <c r="L25" s="221">
        <f>假设!L40</f>
        <v>12.771202004128622</v>
      </c>
      <c r="M25" s="221">
        <f>假设!M40</f>
        <v>12.376750116507546</v>
      </c>
      <c r="N25" s="221">
        <f>假设!N40</f>
        <v>12.332937506638308</v>
      </c>
      <c r="O25" s="221">
        <f>假设!O40</f>
        <v>12.506745500411313</v>
      </c>
      <c r="P25" s="221">
        <f>假设!P40</f>
        <v>12.543075438538382</v>
      </c>
      <c r="Q25" s="221">
        <f>假设!Q40</f>
        <v>12.505200373652402</v>
      </c>
      <c r="R25" s="221">
        <f>假设!R40</f>
        <v>12.452668616657622</v>
      </c>
      <c r="S25" s="221">
        <f>假设!S40</f>
        <v>12.467908107264604</v>
      </c>
      <c r="T25" s="221">
        <f>假设!T40</f>
        <v>12.495078965419985</v>
      </c>
      <c r="U25" s="221">
        <f>假设!U40</f>
        <v>12.492746964679149</v>
      </c>
      <c r="V25" s="221">
        <f>假设!V40</f>
        <v>12.48270552874647</v>
      </c>
      <c r="W25" s="221">
        <f>假设!W40</f>
        <v>12.478211417849545</v>
      </c>
      <c r="X25" s="221">
        <f>假设!X40</f>
        <v>12.483326261831634</v>
      </c>
      <c r="Y25" s="221">
        <f>假设!Y40</f>
        <v>12.486412179972119</v>
      </c>
      <c r="Z25" s="221">
        <f>假设!Z40</f>
        <v>12.484679544386438</v>
      </c>
      <c r="AA25" s="221">
        <f>假设!AA40</f>
        <v>12.483066685597722</v>
      </c>
      <c r="AB25" s="221">
        <f>假设!AB40</f>
        <v>12.483138918221867</v>
      </c>
      <c r="AC25" s="221">
        <f>假设!AC40</f>
        <v>12.48412465176925</v>
      </c>
      <c r="AD25" s="221">
        <f>假设!AD40</f>
        <v>12.484284335884135</v>
      </c>
      <c r="AE25" s="221">
        <f>假设!AE40</f>
        <v>12.483858810581935</v>
      </c>
      <c r="AF25" s="221">
        <f>假设!AF40</f>
        <v>12.48369467029568</v>
      </c>
      <c r="AG25" s="221">
        <f>假设!AG40</f>
        <v>12.483820271026261</v>
      </c>
      <c r="AH25" s="221">
        <f>假设!AH40</f>
        <v>12.483956546049814</v>
      </c>
      <c r="AI25" s="221">
        <f>假设!AI40</f>
        <v>12.483922925177561</v>
      </c>
      <c r="AJ25" s="221">
        <f>假设!AJ40</f>
        <v>12.483850644291762</v>
      </c>
      <c r="AK25" s="221">
        <f>假设!AK40</f>
        <v>12.483849011034371</v>
      </c>
      <c r="AL25" s="221">
        <f>假设!AL40</f>
        <v>12.483879879411088</v>
      </c>
      <c r="AM25" s="418"/>
    </row>
    <row r="26" spans="1:39" s="408" customFormat="1" ht="16.5" customHeight="1">
      <c r="A26" s="210"/>
      <c r="B26" s="215" t="s">
        <v>1458</v>
      </c>
      <c r="C26" s="247" t="s">
        <v>1517</v>
      </c>
      <c r="D26" s="221">
        <f>假设!D35</f>
        <v>2.6229235544002711</v>
      </c>
      <c r="E26" s="221">
        <f>假设!E35</f>
        <v>2.8234154243510887</v>
      </c>
      <c r="F26" s="221">
        <f>假设!F35</f>
        <v>2.9409804274459743</v>
      </c>
      <c r="G26" s="221">
        <f>假设!G35</f>
        <v>2.6753791715776272</v>
      </c>
      <c r="H26" s="221">
        <f>假设!H35</f>
        <v>1.8940564228063765</v>
      </c>
      <c r="I26" s="221">
        <f>假设!I35</f>
        <v>2.5034720072766592</v>
      </c>
      <c r="J26" s="221">
        <f>假设!J35</f>
        <v>2.3576358672202207</v>
      </c>
      <c r="K26" s="221">
        <f>假设!K35</f>
        <v>2.2517214324344188</v>
      </c>
      <c r="L26" s="221">
        <f>假设!L35</f>
        <v>2.370943102310433</v>
      </c>
      <c r="M26" s="221">
        <f>假设!M35</f>
        <v>2.3267668006550242</v>
      </c>
      <c r="N26" s="221">
        <f>假设!N35</f>
        <v>2.3164771117999585</v>
      </c>
      <c r="O26" s="221">
        <f>假设!O35</f>
        <v>2.3380623382551384</v>
      </c>
      <c r="P26" s="221">
        <f>假设!P35</f>
        <v>2.3271020835700402</v>
      </c>
      <c r="Q26" s="221">
        <f>假设!Q35</f>
        <v>2.3272138445417121</v>
      </c>
      <c r="R26" s="221">
        <f>假设!R35</f>
        <v>2.3307927554556302</v>
      </c>
      <c r="S26" s="221">
        <f>假设!S35</f>
        <v>2.3283695611891275</v>
      </c>
      <c r="T26" s="221">
        <f>假设!T35</f>
        <v>2.3287920537288236</v>
      </c>
      <c r="U26" s="221">
        <f>假设!U35</f>
        <v>2.3293181234578606</v>
      </c>
      <c r="V26" s="221">
        <f>假设!V35</f>
        <v>2.3288265794586036</v>
      </c>
      <c r="W26" s="221">
        <f>假设!W35</f>
        <v>2.3289789188817629</v>
      </c>
      <c r="X26" s="221">
        <f>假设!X35</f>
        <v>2.3290412072660756</v>
      </c>
      <c r="Y26" s="221">
        <f>假设!Y35</f>
        <v>2.3289489018688143</v>
      </c>
      <c r="Z26" s="221">
        <f>假设!Z35</f>
        <v>2.3289896760055506</v>
      </c>
      <c r="AA26" s="221">
        <f>假设!AA35</f>
        <v>2.3289932617134803</v>
      </c>
      <c r="AB26" s="221">
        <f>假设!AB35</f>
        <v>2.3289772798626149</v>
      </c>
      <c r="AC26" s="221">
        <f>假设!AC35</f>
        <v>2.3289867391938817</v>
      </c>
      <c r="AD26" s="221">
        <f>假设!AD35</f>
        <v>2.3289857602566588</v>
      </c>
      <c r="AE26" s="221">
        <f>假设!AE35</f>
        <v>2.3289832597710518</v>
      </c>
      <c r="AF26" s="221">
        <f>假设!AF35</f>
        <v>2.3289852530738639</v>
      </c>
      <c r="AG26" s="221">
        <f>假设!AG35</f>
        <v>2.3289847577005247</v>
      </c>
      <c r="AH26" s="221">
        <f>假设!AH35</f>
        <v>2.3289844235151467</v>
      </c>
      <c r="AI26" s="221">
        <f>假设!AI35</f>
        <v>2.3289848114298448</v>
      </c>
      <c r="AJ26" s="221">
        <f>假设!AJ35</f>
        <v>2.3289846642151719</v>
      </c>
      <c r="AK26" s="221">
        <f>假设!AK35</f>
        <v>2.3289846330533877</v>
      </c>
      <c r="AL26" s="221">
        <f>假设!AL35</f>
        <v>2.3289847028994681</v>
      </c>
      <c r="AM26" s="419"/>
    </row>
    <row r="27" spans="1:39" s="408" customFormat="1" ht="16.5" customHeight="1">
      <c r="A27" s="210"/>
      <c r="B27" s="215" t="s">
        <v>1459</v>
      </c>
      <c r="C27" s="247" t="s">
        <v>1518</v>
      </c>
      <c r="D27" s="221">
        <f>2*利润表!D2/(资产负债!C30+资产负债!D30)</f>
        <v>7.077917261864596</v>
      </c>
      <c r="E27" s="221">
        <f>2*利润表!E2/(资产负债!D30+资产负债!E30)</f>
        <v>7.418475455248136</v>
      </c>
      <c r="F27" s="221">
        <f>2*利润表!F2/(资产负债!E30+资产负债!F30)</f>
        <v>6.1329587994191428</v>
      </c>
      <c r="G27" s="221">
        <f>2*利润表!G2/(资产负债!F30+资产负债!G30)</f>
        <v>5.1947594195592455</v>
      </c>
      <c r="H27" s="221">
        <f>2*利润表!H2/(资产负债!G30+资产负债!H30)</f>
        <v>4.2151899716779235</v>
      </c>
      <c r="I27" s="221">
        <f ca="1">2*利润表!I2/(资产负债!H30+资产负债!I30)</f>
        <v>4.2409551041481084</v>
      </c>
      <c r="J27" s="221">
        <f ca="1">2*利润表!J2/(资产负债!I30+资产负债!J30)</f>
        <v>4.6734611918032432</v>
      </c>
      <c r="K27" s="221">
        <f ca="1">2*利润表!K2/(资产负债!J30+资产负债!K30)</f>
        <v>4.9889637335987951</v>
      </c>
      <c r="L27" s="221">
        <f ca="1">2*利润表!L2/(资产负债!K30+资产负债!L30)</f>
        <v>5.2002363556337823</v>
      </c>
      <c r="M27" s="221">
        <f ca="1">2*利润表!M2/(资产负债!L30+资产负债!M30)</f>
        <v>5.4457501347712851</v>
      </c>
      <c r="N27" s="221">
        <f ca="1">2*利润表!N2/(资产负债!M30+资产负债!N30)</f>
        <v>5.8205344603494344</v>
      </c>
      <c r="O27" s="221">
        <f ca="1">2*利润表!O2/(资产负债!N30+资产负债!O30)</f>
        <v>6.1497489338820825</v>
      </c>
      <c r="P27" s="221">
        <f ca="1">2*利润表!P2/(资产负债!O30+资产负债!P30)</f>
        <v>6.4341023051213089</v>
      </c>
      <c r="Q27" s="221">
        <f ca="1">2*利润表!Q2/(资产负债!P30+资产负债!Q30)</f>
        <v>6.7121146660622317</v>
      </c>
      <c r="R27" s="221">
        <f ca="1">2*利润表!R2/(资产负债!Q30+资产负债!R30)</f>
        <v>7.0081104248841646</v>
      </c>
      <c r="S27" s="221">
        <f ca="1">2*利润表!S2/(资产负债!R30+资产负债!S30)</f>
        <v>7.3059407232386393</v>
      </c>
      <c r="T27" s="221">
        <f ca="1">2*利润表!T2/(资产负债!S30+资产负债!T30)</f>
        <v>7.5726652997519341</v>
      </c>
      <c r="U27" s="221">
        <f ca="1">2*利润表!U2/(资产负债!T30+资产负债!U30)</f>
        <v>7.8204939878655271</v>
      </c>
      <c r="V27" s="221">
        <f ca="1">2*利润表!V2/(资产负债!U30+资产负债!V30)</f>
        <v>7.9422611207903291</v>
      </c>
      <c r="W27" s="221">
        <f ca="1">2*利润表!W2/(资产负债!V30+资产负债!W30)</f>
        <v>7.9512157039515294</v>
      </c>
      <c r="X27" s="221">
        <f ca="1">2*利润表!X2/(资产负债!W30+资产负债!X30)</f>
        <v>7.9512216085885425</v>
      </c>
      <c r="Y27" s="221">
        <f ca="1">2*利润表!Y2/(资产负债!X30+资产负债!Y30)</f>
        <v>7.9432450380987287</v>
      </c>
      <c r="Z27" s="221">
        <f ca="1">2*利润表!Z2/(资产负债!Y30+资产负债!Z30)</f>
        <v>7.9371884255166503</v>
      </c>
      <c r="AA27" s="221">
        <f ca="1">2*利润表!AA2/(资产负债!Z30+资产负债!AA30)</f>
        <v>7.9342878398610202</v>
      </c>
      <c r="AB27" s="221">
        <f ca="1">2*利润表!AB2/(资产负债!AA30+资产负债!AB30)</f>
        <v>7.9310413308010679</v>
      </c>
      <c r="AC27" s="221">
        <f ca="1">2*利润表!AC2/(资产负债!AB30+资产负债!AC30)</f>
        <v>7.9263308378854669</v>
      </c>
      <c r="AD27" s="221">
        <f ca="1">2*利润表!AD2/(资产负债!AC30+资产负债!AD30)</f>
        <v>7.9214130244236749</v>
      </c>
      <c r="AE27" s="221">
        <f ca="1">2*利润表!AE2/(资产负债!AD30+资产负债!AE30)</f>
        <v>7.917582315716837</v>
      </c>
      <c r="AF27" s="221">
        <f ca="1">2*利润表!AF2/(资产负债!AE30+资产负债!AF30)</f>
        <v>7.9144820228158839</v>
      </c>
      <c r="AG27" s="221">
        <f ca="1">2*利润表!AG2/(资产负债!AF30+资产负债!AG30)</f>
        <v>7.9114951622585048</v>
      </c>
      <c r="AH27" s="221">
        <f ca="1">2*利润表!AH2/(资产负债!AG30+资产负债!AH30)</f>
        <v>7.9086160790799225</v>
      </c>
      <c r="AI27" s="221">
        <f ca="1">2*利润表!AI2/(资产负债!AH30+资产负债!AI30)</f>
        <v>7.9060946580487714</v>
      </c>
      <c r="AJ27" s="221">
        <f ca="1">2*利润表!AJ2/(资产负债!AI30+资产负债!AJ30)</f>
        <v>7.9040014312332598</v>
      </c>
      <c r="AK27" s="221">
        <f ca="1">2*利润表!AK2/(资产负债!AJ30+资产负债!AK30)</f>
        <v>7.9021796550575631</v>
      </c>
      <c r="AL27" s="221">
        <f ca="1">2*利润表!AL2/(资产负债!AK30+资产负债!AL30)</f>
        <v>7.9005251890645756</v>
      </c>
      <c r="AM27" s="419"/>
    </row>
    <row r="28" spans="1:39" s="409" customFormat="1" ht="16.5" customHeight="1">
      <c r="A28" s="216"/>
      <c r="B28" s="215" t="s">
        <v>1460</v>
      </c>
      <c r="C28" s="247" t="s">
        <v>1519</v>
      </c>
      <c r="D28" s="221">
        <f>2*利润表!D2/(资产负债!C40+资产负债!D40)</f>
        <v>0.82921711746996407</v>
      </c>
      <c r="E28" s="221">
        <f>2*利润表!E2/(资产负债!D40+资产负债!E40)</f>
        <v>0.85365186041199292</v>
      </c>
      <c r="F28" s="221">
        <f>2*利润表!F2/(资产负债!E40+资产负债!F40)</f>
        <v>0.88227319618308031</v>
      </c>
      <c r="G28" s="221">
        <f>2*利润表!G2/(资产负债!F40+资产负债!G40)</f>
        <v>0.81992962046263029</v>
      </c>
      <c r="H28" s="221">
        <f>2*利润表!H2/(资产负债!G40+资产负债!H40)</f>
        <v>0.65394832622030685</v>
      </c>
      <c r="I28" s="221">
        <f ca="1">2*利润表!I2/(资产负债!H40+资产负债!I40)</f>
        <v>0.72510527405960168</v>
      </c>
      <c r="J28" s="221">
        <f ca="1">2*利润表!J2/(资产负债!I40+资产负债!J40)</f>
        <v>0.76362176770797285</v>
      </c>
      <c r="K28" s="221">
        <f ca="1">2*利润表!K2/(资产负债!J40+资产负债!K40)</f>
        <v>0.77069444790991837</v>
      </c>
      <c r="L28" s="221">
        <f ca="1">2*利润表!L2/(资产负债!K40+资产负债!L40)</f>
        <v>0.79050522273061108</v>
      </c>
      <c r="M28" s="221">
        <f ca="1">2*利润表!M2/(资产负债!L40+资产负债!M40)</f>
        <v>0.79418662465446521</v>
      </c>
      <c r="N28" s="221">
        <f ca="1">2*利润表!N2/(资产负债!M40+资产负债!N40)</f>
        <v>0.81292945538235306</v>
      </c>
      <c r="O28" s="221">
        <f ca="1">2*利润表!O2/(资产负债!N40+资产负债!O40)</f>
        <v>0.83298370130755151</v>
      </c>
      <c r="P28" s="221">
        <f ca="1">2*利润表!P2/(资产负债!O40+资产负债!P40)</f>
        <v>0.84345933901785097</v>
      </c>
      <c r="Q28" s="221">
        <f ca="1">2*利润表!Q2/(资产负债!P40+资产负债!Q40)</f>
        <v>0.85369020821864783</v>
      </c>
      <c r="R28" s="221">
        <f ca="1">2*利润表!R2/(资产负债!Q40+资产负债!R40)</f>
        <v>0.86489547259273358</v>
      </c>
      <c r="S28" s="221">
        <f ca="1">2*利润表!S2/(资产负债!R40+资产负债!S40)</f>
        <v>0.87601842979393763</v>
      </c>
      <c r="T28" s="221">
        <f ca="1">2*利润表!T2/(资产负债!S40+资产负债!T40)</f>
        <v>0.88573066536790834</v>
      </c>
      <c r="U28" s="221">
        <f ca="1">2*利润表!U2/(资产负债!T40+资产负债!U40)</f>
        <v>0.89396302392332272</v>
      </c>
      <c r="V28" s="221">
        <f ca="1">2*利润表!V2/(资产负债!U40+资产负债!V40)</f>
        <v>0.9000018971830035</v>
      </c>
      <c r="W28" s="221">
        <f ca="1">2*利润表!W2/(资产负债!V40+资产负债!W40)</f>
        <v>0.90457107508200263</v>
      </c>
      <c r="X28" s="221">
        <f ca="1">2*利润表!X2/(资产负债!W40+资产负债!X40)</f>
        <v>0.9086775551302666</v>
      </c>
      <c r="Y28" s="221">
        <f ca="1">2*利润表!Y2/(资产负债!X40+资产负债!Y40)</f>
        <v>0.91213530757761108</v>
      </c>
      <c r="Z28" s="221">
        <f ca="1">2*利润表!Z2/(资产负债!Y40+资产负债!Z40)</f>
        <v>0.91525223819716506</v>
      </c>
      <c r="AA28" s="221">
        <f ca="1">2*利润表!AA2/(资产负债!Z40+资产负债!AA40)</f>
        <v>0.91815644889820103</v>
      </c>
      <c r="AB28" s="221">
        <f ca="1">2*利润表!AB2/(资产负债!AA40+资产负债!AB40)</f>
        <v>0.92082599328048964</v>
      </c>
      <c r="AC28" s="221">
        <f ca="1">2*利润表!AC2/(资产负债!AB40+资产负债!AC40)</f>
        <v>0.92321180410294923</v>
      </c>
      <c r="AD28" s="221">
        <f ca="1">2*利润表!AD2/(资产负债!AC40+资产负债!AD40)</f>
        <v>0.92532484054987463</v>
      </c>
      <c r="AE28" s="221">
        <f ca="1">2*利润表!AE2/(资产负债!AD40+资产负债!AE40)</f>
        <v>0.92724798590013013</v>
      </c>
      <c r="AF28" s="221">
        <f ca="1">2*利润表!AF2/(资产负债!AE40+资产负债!AF40)</f>
        <v>0.92899733825595954</v>
      </c>
      <c r="AG28" s="221">
        <f ca="1">2*利润表!AG2/(资产负债!AF40+资产负债!AG40)</f>
        <v>0.93056782024688622</v>
      </c>
      <c r="AH28" s="221">
        <f ca="1">2*利润表!AH2/(资产负债!AG40+资产负债!AH40)</f>
        <v>0.93197856423878589</v>
      </c>
      <c r="AI28" s="221">
        <f ca="1">2*利润表!AI2/(资产负债!AH40+资产负债!AI40)</f>
        <v>0.93324356397276276</v>
      </c>
      <c r="AJ28" s="221">
        <f ca="1">2*利润表!AJ2/(资产负债!AI40+资产负债!AJ40)</f>
        <v>0.93437957711002118</v>
      </c>
      <c r="AK28" s="221">
        <f ca="1">2*利润表!AK2/(资产负债!AJ40+资产负债!AK40)</f>
        <v>0.93540430741832825</v>
      </c>
      <c r="AL28" s="221">
        <f ca="1">2*利润表!AL2/(资产负债!AK40+资产负债!AL40)</f>
        <v>0.93632165349256491</v>
      </c>
      <c r="AM28" s="420"/>
    </row>
    <row r="29" spans="1:39" s="409" customFormat="1" ht="16.5" customHeight="1">
      <c r="A29" s="210"/>
      <c r="B29" s="210" t="s">
        <v>1461</v>
      </c>
      <c r="C29" s="210" t="s">
        <v>1461</v>
      </c>
      <c r="D29" s="221">
        <f>D21-绝对估值!$C14</f>
        <v>5.4796934659190256E-2</v>
      </c>
      <c r="E29" s="221">
        <f>E21-绝对估值!$C14</f>
        <v>9.7869553090474348E-2</v>
      </c>
      <c r="F29" s="221">
        <f>F21-绝对估值!$C14</f>
        <v>0.17791368049134737</v>
      </c>
      <c r="G29" s="221">
        <f>G21-绝对估值!$C14</f>
        <v>0.10618401440088081</v>
      </c>
      <c r="H29" s="221">
        <f>H21-绝对估值!$C14</f>
        <v>2.7088712790866092E-2</v>
      </c>
      <c r="I29" s="221">
        <f ca="1">I21-绝对估值!D14</f>
        <v>-9.6075814512897151E-2</v>
      </c>
      <c r="J29" s="221">
        <f ca="1">J21-绝对估值!E14</f>
        <v>-4.368748572639429E-2</v>
      </c>
      <c r="K29" s="221">
        <f ca="1">K21-绝对估值!F14</f>
        <v>-4.0929734374681767E-2</v>
      </c>
      <c r="L29" s="221">
        <f ca="1">L21-绝对估值!G14</f>
        <v>-4.4728262736360713E-2</v>
      </c>
      <c r="M29" s="221">
        <f ca="1">M21-绝对估值!H14</f>
        <v>-4.4739227340250404E-2</v>
      </c>
      <c r="N29" s="221">
        <f ca="1">N21-绝对估值!I14</f>
        <v>-4.3368841249151274E-2</v>
      </c>
      <c r="O29" s="221">
        <f ca="1">O21-绝对估值!J14</f>
        <v>-3.8462472919075376E-2</v>
      </c>
      <c r="P29" s="221">
        <f ca="1">P21-绝对估值!K14</f>
        <v>-3.7774644718844626E-2</v>
      </c>
      <c r="Q29" s="221">
        <f ca="1">Q21-绝对估值!L14</f>
        <v>-3.5185690058174145E-2</v>
      </c>
      <c r="R29" s="221">
        <f ca="1">R21-绝对估值!M14</f>
        <v>-3.5043738321837915E-2</v>
      </c>
      <c r="S29" s="221">
        <f ca="1">S21-绝对估值!N14</f>
        <v>-3.2294801697382067E-2</v>
      </c>
      <c r="T29" s="221">
        <f ca="1">T21-绝对估值!O14</f>
        <v>-3.1821189296130911E-2</v>
      </c>
      <c r="U29" s="221">
        <f ca="1">U21-绝对估值!P14</f>
        <v>-2.9321291021877447E-2</v>
      </c>
      <c r="V29" s="221">
        <f ca="1">V21-绝对估值!Q14</f>
        <v>-2.9257575994998924E-2</v>
      </c>
      <c r="W29" s="221">
        <f ca="1">W21-绝对估值!R14</f>
        <v>-2.720105937667559E-2</v>
      </c>
      <c r="X29" s="221">
        <f ca="1">X21-绝对估值!S14</f>
        <v>-2.7057621478197132E-2</v>
      </c>
      <c r="Y29" s="221">
        <f ca="1">Y21-绝对估值!T14</f>
        <v>-2.5214680121939882E-2</v>
      </c>
      <c r="Z29" s="221">
        <f ca="1">Z21-绝对估值!U14</f>
        <v>-2.5080305310236171E-2</v>
      </c>
      <c r="AA29" s="221">
        <f ca="1">AA21-绝对估值!V14</f>
        <v>-2.3532512614478727E-2</v>
      </c>
      <c r="AB29" s="221">
        <f ca="1">AB21-绝对估值!W14</f>
        <v>-2.3389263061162978E-2</v>
      </c>
      <c r="AC29" s="221">
        <f ca="1">AC21-绝对估值!X14</f>
        <v>-2.2050484691249171E-2</v>
      </c>
      <c r="AD29" s="221">
        <f ca="1">AD21-绝对估值!Y14</f>
        <v>-2.1892393347378129E-2</v>
      </c>
      <c r="AE29" s="221">
        <f ca="1">AE21-绝对估值!Z14</f>
        <v>-2.0760080660435793E-2</v>
      </c>
      <c r="AF29" s="221">
        <f ca="1">AF21-绝对估值!AA14</f>
        <v>-2.060102254245437E-2</v>
      </c>
      <c r="AG29" s="221">
        <f ca="1">AG21-绝对估值!AB14</f>
        <v>-1.9641184568991815E-2</v>
      </c>
      <c r="AH29" s="221">
        <f ca="1">AH21-绝对估值!AC14</f>
        <v>-1.947596852727234E-2</v>
      </c>
      <c r="AI29" s="221">
        <f ca="1">AI21-绝对估值!AD14</f>
        <v>-1.8665664295584111E-2</v>
      </c>
      <c r="AJ29" s="221">
        <f ca="1">AJ21-绝对估值!AE14</f>
        <v>-1.8503009985117582E-2</v>
      </c>
      <c r="AK29" s="221">
        <f ca="1">AK21-绝对估值!AF14</f>
        <v>-1.7820203384399744E-2</v>
      </c>
      <c r="AL29" s="221">
        <f ca="1">AL21-绝对估值!AG14</f>
        <v>-1.7660896412779736E-2</v>
      </c>
      <c r="AM29" s="420"/>
    </row>
    <row r="30" spans="1:39" s="410" customFormat="1" ht="16.5" customHeight="1">
      <c r="A30" s="211" t="s">
        <v>1491</v>
      </c>
      <c r="B30" s="210"/>
      <c r="C30" s="246"/>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421"/>
    </row>
    <row r="31" spans="1:39" s="410" customFormat="1" ht="15" customHeight="1">
      <c r="A31" s="210"/>
      <c r="B31" s="215" t="s">
        <v>1462</v>
      </c>
      <c r="C31" s="231" t="s">
        <v>1520</v>
      </c>
      <c r="D31" s="222">
        <f>资产负债!D72/资产负债!D40</f>
        <v>0.40898539377075444</v>
      </c>
      <c r="E31" s="222">
        <f>资产负债!E72/资产负债!E40</f>
        <v>0.47608231999418166</v>
      </c>
      <c r="F31" s="222">
        <f>资产负债!F72/资产负债!F40</f>
        <v>0.4914358224552357</v>
      </c>
      <c r="G31" s="222">
        <f>资产负债!G72/资产负债!G40</f>
        <v>0.53956346577568648</v>
      </c>
      <c r="H31" s="222">
        <f>资产负债!H72/资产负债!H40</f>
        <v>0.55552635737140632</v>
      </c>
      <c r="I31" s="222">
        <f ca="1">资产负债!I72/资产负债!I40</f>
        <v>0.4864521409222185</v>
      </c>
      <c r="J31" s="222">
        <f ca="1">资产负债!J72/资产负债!J40</f>
        <v>0.63387142331916724</v>
      </c>
      <c r="K31" s="222">
        <f ca="1">资产负债!K72/资产负债!K40</f>
        <v>0.61580537858871187</v>
      </c>
      <c r="L31" s="222">
        <f ca="1">资产负债!L72/资产负债!L40</f>
        <v>0.69343932843809841</v>
      </c>
      <c r="M31" s="222">
        <f ca="1">资产负债!M72/资产负债!M40</f>
        <v>0.69544377150456527</v>
      </c>
      <c r="N31" s="222">
        <f ca="1">资产负债!N72/资产负债!N40</f>
        <v>0.75992617875081137</v>
      </c>
      <c r="O31" s="222">
        <f ca="1">资产负债!O72/资产负债!O40</f>
        <v>0.77229725090009893</v>
      </c>
      <c r="P31" s="222">
        <f ca="1">资产负债!P72/资产负债!P40</f>
        <v>0.82299634821427936</v>
      </c>
      <c r="Q31" s="222">
        <f ca="1">资产负债!Q72/资产负债!Q40</f>
        <v>0.83935334734962197</v>
      </c>
      <c r="R31" s="222">
        <f ca="1">资产负债!R72/资产负债!R40</f>
        <v>0.87845633761262865</v>
      </c>
      <c r="S31" s="222">
        <f ca="1">资产负债!S72/资产负债!S40</f>
        <v>0.89879856167307826</v>
      </c>
      <c r="T31" s="222">
        <f ca="1">资产负债!T72/资产负债!T40</f>
        <v>0.92936101868689225</v>
      </c>
      <c r="U31" s="222">
        <f ca="1">资产负债!U72/资产负债!U40</f>
        <v>0.95021249159120602</v>
      </c>
      <c r="V31" s="222">
        <f ca="1">资产负债!V72/资产负债!V40</f>
        <v>0.97456984669905689</v>
      </c>
      <c r="W31" s="222">
        <f ca="1">资产负债!W72/资产负债!W40</f>
        <v>0.99512272697435922</v>
      </c>
      <c r="X31" s="222">
        <f ca="1">资产负债!X72/资产负债!X40</f>
        <v>1.0147343189201612</v>
      </c>
      <c r="Y31" s="222">
        <f ca="1">资产负债!Y72/资产负债!Y40</f>
        <v>1.0339159094025552</v>
      </c>
      <c r="Z31" s="222">
        <f ca="1">资产负债!Z72/资产负债!Z40</f>
        <v>1.0499309098120175</v>
      </c>
      <c r="AA31" s="222">
        <f ca="1">资产负债!AA72/资产负债!AA40</f>
        <v>1.0674429526687357</v>
      </c>
      <c r="AB31" s="222">
        <f ca="1">资产负债!AB72/资产负债!AB40</f>
        <v>1.0807429008189144</v>
      </c>
      <c r="AC31" s="222">
        <f ca="1">资产负债!AC72/资产负债!AC40</f>
        <v>1.0964067166382157</v>
      </c>
      <c r="AD31" s="222">
        <f ca="1">资产负债!AD72/资产负债!AD40</f>
        <v>1.1075715451829742</v>
      </c>
      <c r="AE31" s="222">
        <f ca="1">资产负债!AE72/资产负债!AE40</f>
        <v>1.1214181377279169</v>
      </c>
      <c r="AF31" s="222">
        <f ca="1">资产负债!AF72/资产负债!AF40</f>
        <v>1.1308965570595193</v>
      </c>
      <c r="AG31" s="222">
        <f ca="1">资产负债!AG72/资产负债!AG40</f>
        <v>1.1430084800359541</v>
      </c>
      <c r="AH31" s="222">
        <f ca="1">资产负债!AH72/资产负债!AH40</f>
        <v>1.1511114324789316</v>
      </c>
      <c r="AI31" s="222">
        <f ca="1">资产负债!AI72/资产负债!AI40</f>
        <v>1.1616355084177719</v>
      </c>
      <c r="AJ31" s="222">
        <f ca="1">资产负债!AJ72/资产负债!AJ40</f>
        <v>1.1686073771698837</v>
      </c>
      <c r="AK31" s="222">
        <f ca="1">资产负债!AK72/资产负债!AK40</f>
        <v>1.177706851098963</v>
      </c>
      <c r="AL31" s="222">
        <f ca="1">资产负债!AL72/资产负债!AL40</f>
        <v>1.1837303863246729</v>
      </c>
      <c r="AM31" s="222"/>
    </row>
    <row r="32" spans="1:39" s="410" customFormat="1" ht="15" customHeight="1">
      <c r="A32" s="210"/>
      <c r="B32" s="226" t="s">
        <v>153</v>
      </c>
      <c r="C32" s="231" t="s">
        <v>302</v>
      </c>
      <c r="D32" s="222">
        <f>营运资本!D38/资产负债!D72</f>
        <v>0.22295036577199856</v>
      </c>
      <c r="E32" s="222">
        <f>营运资本!E38/资产负债!E72</f>
        <v>0.21306061353584838</v>
      </c>
      <c r="F32" s="222">
        <f>营运资本!F38/资产负债!F72</f>
        <v>0.22584096491121752</v>
      </c>
      <c r="G32" s="222">
        <f>营运资本!G38/资产负债!G72</f>
        <v>0.27047377231902298</v>
      </c>
      <c r="H32" s="222">
        <f>营运资本!H38/资产负债!H72</f>
        <v>0.35539377302013525</v>
      </c>
      <c r="I32" s="222">
        <f ca="1">营运资本!I38/资产负债!I72</f>
        <v>0.7924211159101151</v>
      </c>
      <c r="J32" s="222">
        <f ca="1">营运资本!J38/资产负债!J72</f>
        <v>0.89102641139632133</v>
      </c>
      <c r="K32" s="222">
        <f ca="1">营运资本!K38/资产负债!K72</f>
        <v>0.87557112255784808</v>
      </c>
      <c r="L32" s="222">
        <f ca="1">营运资本!L38/资产负债!L72</f>
        <v>0.91080646957256051</v>
      </c>
      <c r="M32" s="222">
        <f ca="1">营运资本!M38/资产负债!M72</f>
        <v>0.90408073313158799</v>
      </c>
      <c r="N32" s="222">
        <f ca="1">营运资本!N38/资产负债!N72</f>
        <v>0.92689035602371661</v>
      </c>
      <c r="O32" s="222">
        <f ca="1">营运资本!O38/资产负债!O72</f>
        <v>0.92441879497430635</v>
      </c>
      <c r="P32" s="222">
        <f ca="1">营运资本!P38/资产负债!P72</f>
        <v>0.94001603384207666</v>
      </c>
      <c r="Q32" s="222">
        <f ca="1">营运资本!Q38/资产负债!Q72</f>
        <v>0.9387766235494287</v>
      </c>
      <c r="R32" s="222">
        <f ca="1">营运资本!R38/资产负债!R72</f>
        <v>0.94912355707469187</v>
      </c>
      <c r="S32" s="222">
        <f ca="1">营运资本!S38/资产负债!S72</f>
        <v>0.94897912044676414</v>
      </c>
      <c r="T32" s="222">
        <f ca="1">营运资本!T38/资产负债!T72</f>
        <v>0.95622085430197223</v>
      </c>
      <c r="U32" s="222">
        <f ca="1">营运资本!U38/资产负债!U72</f>
        <v>0.95647724000052703</v>
      </c>
      <c r="V32" s="222">
        <f ca="1">营运资本!V38/资产负债!V72</f>
        <v>0.96173486287419863</v>
      </c>
      <c r="W32" s="222">
        <f ca="1">营运资本!W38/资产负债!W72</f>
        <v>0.96223756538218475</v>
      </c>
      <c r="X32" s="222">
        <f ca="1">营运资本!X38/资产负债!X72</f>
        <v>0.96604124000221514</v>
      </c>
      <c r="Y32" s="222">
        <f ca="1">营运资本!Y38/资产负债!Y72</f>
        <v>0.96656520952345459</v>
      </c>
      <c r="Z32" s="222">
        <f ca="1">营运资本!Z38/资产负债!Z72</f>
        <v>0.9693487355756556</v>
      </c>
      <c r="AA32" s="222">
        <f ca="1">营运资本!AA38/资产负债!AA72</f>
        <v>0.96982303527276947</v>
      </c>
      <c r="AB32" s="222">
        <f ca="1">营运资本!AB38/资产负债!AB72</f>
        <v>0.97189337214728488</v>
      </c>
      <c r="AC32" s="222">
        <f ca="1">营运资本!AC38/资产负债!AC72</f>
        <v>0.97231020502523147</v>
      </c>
      <c r="AD32" s="222">
        <f ca="1">营运资本!AD38/资产负债!AD72</f>
        <v>0.97387111975611818</v>
      </c>
      <c r="AE32" s="222">
        <f ca="1">营运资本!AE38/资产负债!AE72</f>
        <v>0.9742254713901789</v>
      </c>
      <c r="AF32" s="222">
        <f ca="1">营运资本!AF38/资产负债!AF72</f>
        <v>0.97541281638944688</v>
      </c>
      <c r="AG32" s="222">
        <f ca="1">营运资本!AG38/资产负债!AG72</f>
        <v>0.97571092151385108</v>
      </c>
      <c r="AH32" s="222">
        <f ca="1">营运资本!AH38/资产负债!AH72</f>
        <v>0.97662257768977612</v>
      </c>
      <c r="AI32" s="222">
        <f ca="1">营运资本!AI38/资产负债!AI72</f>
        <v>0.97687116512538308</v>
      </c>
      <c r="AJ32" s="222">
        <f ca="1">营运资本!AJ38/资产负债!AJ72</f>
        <v>0.97757640070673668</v>
      </c>
      <c r="AK32" s="222">
        <f ca="1">营运资本!AK38/资产负债!AK72</f>
        <v>0.97778253655244673</v>
      </c>
      <c r="AL32" s="222">
        <f ca="1">营运资本!AL38/资产负债!AL72</f>
        <v>0.97833171251586637</v>
      </c>
      <c r="AM32" s="421"/>
    </row>
    <row r="33" spans="1:39" s="410" customFormat="1" ht="15" customHeight="1">
      <c r="A33" s="210"/>
      <c r="B33" s="215" t="s">
        <v>1463</v>
      </c>
      <c r="C33" s="215" t="s">
        <v>1463</v>
      </c>
      <c r="D33" s="222">
        <f>资产负债!D19/资产负债!D40</f>
        <v>0.77297409238163595</v>
      </c>
      <c r="E33" s="222">
        <f>资产负债!E19/资产负债!E40</f>
        <v>0.74517950075510453</v>
      </c>
      <c r="F33" s="222">
        <f>资产负债!F19/资产负债!F40</f>
        <v>0.74566092204450451</v>
      </c>
      <c r="G33" s="222">
        <f>资产负债!G19/资产负债!G40</f>
        <v>0.76306175606348092</v>
      </c>
      <c r="H33" s="222">
        <f>资产负债!H19/资产负债!H40</f>
        <v>0.75107867785388782</v>
      </c>
      <c r="I33" s="222">
        <f ca="1">资产负债!I19/资产负债!I40</f>
        <v>0.7109741606225356</v>
      </c>
      <c r="J33" s="222">
        <f ca="1">资产负债!J19/资产负债!J40</f>
        <v>0.77905421918464424</v>
      </c>
      <c r="K33" s="222">
        <f ca="1">资产负债!K19/资产负债!K40</f>
        <v>0.74749731230417082</v>
      </c>
      <c r="L33" s="222">
        <f ca="1">资产负债!L19/资产负债!L40</f>
        <v>0.78498920206688405</v>
      </c>
      <c r="M33" s="222">
        <f ca="1">资产负债!M19/资产负债!M40</f>
        <v>0.77326841690659887</v>
      </c>
      <c r="N33" s="222">
        <f ca="1">资产负债!N19/资产负债!N40</f>
        <v>0.80298641268071491</v>
      </c>
      <c r="O33" s="222">
        <f ca="1">资产负债!O19/资产负债!O40</f>
        <v>0.79147973667918459</v>
      </c>
      <c r="P33" s="222">
        <f ca="1">资产负债!P19/资产负债!P40</f>
        <v>0.81722746813555602</v>
      </c>
      <c r="Q33" s="222">
        <f ca="1">资产负债!Q19/资产负债!Q40</f>
        <v>0.80958345917545993</v>
      </c>
      <c r="R33" s="222">
        <f ca="1">资产负债!R19/资产负债!R40</f>
        <v>0.82960251048575095</v>
      </c>
      <c r="S33" s="222">
        <f ca="1">资产负债!S19/资产负债!S40</f>
        <v>0.82496916332237258</v>
      </c>
      <c r="T33" s="222">
        <f ca="1">资产负债!T19/资产负债!T40</f>
        <v>0.84030760295252827</v>
      </c>
      <c r="U33" s="222">
        <f ca="1">资产负债!U19/资产负债!U40</f>
        <v>0.8375404811680216</v>
      </c>
      <c r="V33" s="222">
        <f ca="1">资产负债!V19/资产负债!V40</f>
        <v>0.84707762919666629</v>
      </c>
      <c r="W33" s="222">
        <f ca="1">资产负债!W19/资产负债!W40</f>
        <v>0.84288778965493805</v>
      </c>
      <c r="X33" s="222">
        <f ca="1">资产负债!X19/资产负债!X40</f>
        <v>0.85020685319511924</v>
      </c>
      <c r="Y33" s="222">
        <f ca="1">资产负债!Y19/资产负债!Y40</f>
        <v>0.84702998929016604</v>
      </c>
      <c r="Z33" s="222">
        <f ca="1">资产负债!Z19/资产负债!Z40</f>
        <v>0.85285479941317011</v>
      </c>
      <c r="AA33" s="222">
        <f ca="1">资产负债!AA19/资产负债!AA40</f>
        <v>0.85055958474277049</v>
      </c>
      <c r="AB33" s="222">
        <f ca="1">资产负债!AB19/资产负债!AB40</f>
        <v>0.85516834827663923</v>
      </c>
      <c r="AC33" s="222">
        <f ca="1">资产负债!AC19/资产负债!AC40</f>
        <v>0.85344504361970364</v>
      </c>
      <c r="AD33" s="222">
        <f ca="1">资产负债!AD19/资产负债!AD40</f>
        <v>0.85707496844143649</v>
      </c>
      <c r="AE33" s="222">
        <f ca="1">资产负债!AE19/资产负债!AE40</f>
        <v>0.85583471873715267</v>
      </c>
      <c r="AF33" s="222">
        <f ca="1">资产负债!AF19/资产负债!AF40</f>
        <v>0.85871221959686506</v>
      </c>
      <c r="AG33" s="222">
        <f ca="1">资产负债!AG19/资产负债!AG40</f>
        <v>0.85778500676436431</v>
      </c>
      <c r="AH33" s="222">
        <f ca="1">资产负债!AH19/资产负债!AH40</f>
        <v>0.86006671416009028</v>
      </c>
      <c r="AI33" s="222">
        <f ca="1">资产负债!AI19/资产负债!AI40</f>
        <v>0.85938273715091573</v>
      </c>
      <c r="AJ33" s="222">
        <f ca="1">资产负债!AJ19/资产负债!AJ40</f>
        <v>0.86118545310181582</v>
      </c>
      <c r="AK33" s="222">
        <f ca="1">资产负债!AK19/资产负债!AK40</f>
        <v>0.86068462756561315</v>
      </c>
      <c r="AL33" s="222">
        <f ca="1">资产负债!AL19/资产负债!AL40</f>
        <v>0.86210821362799261</v>
      </c>
      <c r="AM33" s="421"/>
    </row>
    <row r="34" spans="1:39" s="410" customFormat="1" ht="15" customHeight="1">
      <c r="A34" s="210"/>
      <c r="B34" s="215" t="s">
        <v>1464</v>
      </c>
      <c r="C34" s="215" t="s">
        <v>1464</v>
      </c>
      <c r="D34" s="222">
        <f>资产负债!D30/资产负债!D40</f>
        <v>0.10771228437386303</v>
      </c>
      <c r="E34" s="222">
        <f>资产负债!E30/资产负债!E40</f>
        <v>0.12113460324565267</v>
      </c>
      <c r="F34" s="222">
        <f>资产负债!F30/资产负债!F40</f>
        <v>0.16048672614641954</v>
      </c>
      <c r="G34" s="222">
        <f>资产负债!G30/资产负债!G40</f>
        <v>0.15583325709563581</v>
      </c>
      <c r="H34" s="222">
        <f>资产负债!H30/资产负债!H40</f>
        <v>0.15454985908121285</v>
      </c>
      <c r="I34" s="222">
        <f ca="1">资产负债!I30/资产负债!I40</f>
        <v>0.19087147299723375</v>
      </c>
      <c r="J34" s="222">
        <f ca="1">资产负债!J30/资产负债!J40</f>
        <v>0.14419582297072955</v>
      </c>
      <c r="K34" s="222">
        <f ca="1">资产负债!K30/资产负债!K40</f>
        <v>0.16519176845758762</v>
      </c>
      <c r="L34" s="222">
        <f ca="1">资产负债!L30/资产负债!L40</f>
        <v>0.14145053687360584</v>
      </c>
      <c r="M34" s="222">
        <f ca="1">资产负债!M30/资产负债!M40</f>
        <v>0.15029701434960899</v>
      </c>
      <c r="N34" s="222">
        <f ca="1">资产负债!N30/资产负债!N40</f>
        <v>0.13099953287440544</v>
      </c>
      <c r="O34" s="222">
        <f ca="1">资产负债!O30/资产负债!O40</f>
        <v>0.1398346663336919</v>
      </c>
      <c r="P34" s="222">
        <f ca="1">资产负债!P30/资产负债!P40</f>
        <v>0.12393814384662222</v>
      </c>
      <c r="Q34" s="222">
        <f ca="1">资产负债!Q30/资产负债!Q40</f>
        <v>0.13035567744999124</v>
      </c>
      <c r="R34" s="222">
        <f ca="1">资产负债!R30/资产负债!R40</f>
        <v>0.11761519865849368</v>
      </c>
      <c r="S34" s="222">
        <f ca="1">资产负债!S30/资产负债!S40</f>
        <v>0.12208729496587029</v>
      </c>
      <c r="T34" s="222">
        <f ca="1">资产负债!T30/资产负债!T40</f>
        <v>0.11264106636464054</v>
      </c>
      <c r="U34" s="222">
        <f ca="1">资产负债!U30/资产负债!U40</f>
        <v>0.11587886858490062</v>
      </c>
      <c r="V34" s="222">
        <f ca="1">资产负债!V30/资产负债!V40</f>
        <v>0.11113982607210114</v>
      </c>
      <c r="W34" s="222">
        <f ca="1">资产负债!W30/资产负债!W40</f>
        <v>0.11619616227826154</v>
      </c>
      <c r="X34" s="222">
        <f ca="1">资产负债!X30/资产负债!X40</f>
        <v>0.11264063903172772</v>
      </c>
      <c r="Y34" s="222">
        <f ca="1">资产负债!Y30/资产负债!Y40</f>
        <v>0.11684074261964073</v>
      </c>
      <c r="Z34" s="222">
        <f ca="1">资产负债!Z30/资产负债!Z40</f>
        <v>0.11399215339187366</v>
      </c>
      <c r="AA34" s="222">
        <f ca="1">资产负债!AA30/资产负债!AA40</f>
        <v>0.11729333334422108</v>
      </c>
      <c r="AB34" s="222">
        <f ca="1">资产负债!AB30/资产负债!AB40</f>
        <v>0.11507196368356802</v>
      </c>
      <c r="AC34" s="222">
        <f ca="1">资产负债!AC30/资产负债!AC40</f>
        <v>0.11774288197283363</v>
      </c>
      <c r="AD34" s="222">
        <f ca="1">资产负债!AD30/资产负债!AD40</f>
        <v>0.11600279049801283</v>
      </c>
      <c r="AE34" s="222">
        <f ca="1">资产负债!AE30/资产负债!AE40</f>
        <v>0.11811217452651809</v>
      </c>
      <c r="AF34" s="222">
        <f ca="1">资产负债!AF30/资产负债!AF40</f>
        <v>0.11673866954359341</v>
      </c>
      <c r="AG34" s="222">
        <f ca="1">资产负债!AG30/资产负债!AG40</f>
        <v>0.11841519293485736</v>
      </c>
      <c r="AH34" s="222">
        <f ca="1">资产负债!AH30/资产负债!AH40</f>
        <v>0.11734216969357772</v>
      </c>
      <c r="AI34" s="222">
        <f ca="1">资产负债!AI30/资产负债!AI40</f>
        <v>0.11866637519743685</v>
      </c>
      <c r="AJ34" s="222">
        <f ca="1">资产负债!AJ30/资产负债!AJ40</f>
        <v>0.11782035684202583</v>
      </c>
      <c r="AK34" s="222">
        <f ca="1">资产负债!AK30/资产负债!AK40</f>
        <v>0.11886626469202859</v>
      </c>
      <c r="AL34" s="222">
        <f ca="1">资产负债!AL30/资产负债!AL40</f>
        <v>0.11820373797237493</v>
      </c>
      <c r="AM34" s="421"/>
    </row>
    <row r="35" spans="1:39" s="410" customFormat="1" ht="15" customHeight="1">
      <c r="A35" s="216"/>
      <c r="B35" s="210" t="s">
        <v>1465</v>
      </c>
      <c r="C35" s="210" t="s">
        <v>1465</v>
      </c>
      <c r="D35" s="222">
        <f>营运资本!D43/资产负债!D40</f>
        <v>0.68219804936584005</v>
      </c>
      <c r="E35" s="222">
        <f>营运资本!E43/资产负债!E40</f>
        <v>0.6253520711973487</v>
      </c>
      <c r="F35" s="222">
        <f>营运资本!F43/资产负债!F40</f>
        <v>0.61955051787999249</v>
      </c>
      <c r="G35" s="222">
        <f>营运资本!G43/资产负债!G40</f>
        <v>0.6063743002181895</v>
      </c>
      <c r="H35" s="222">
        <f>营运资本!H43/资产负债!H40</f>
        <v>0.64182241420250574</v>
      </c>
      <c r="I35" s="222">
        <f ca="1">营运资本!I43/资产负债!I40</f>
        <v>0.89891789732406735</v>
      </c>
      <c r="J35" s="222">
        <f ca="1">营运资本!J43/资产负债!J40</f>
        <v>0.93085554108527391</v>
      </c>
      <c r="K35" s="222">
        <f ca="1">营运资本!K43/资产负债!K40</f>
        <v>0.92330742358791806</v>
      </c>
      <c r="L35" s="222">
        <f ca="1">营运资本!L43/资产负债!L40</f>
        <v>0.93809539392376085</v>
      </c>
      <c r="M35" s="222">
        <f ca="1">营运资本!M43/资产负债!M40</f>
        <v>0.93323586678351422</v>
      </c>
      <c r="N35" s="222">
        <f ca="1">营运资本!N43/资产负债!N40</f>
        <v>0.94439261047409773</v>
      </c>
      <c r="O35" s="222">
        <f ca="1">营运资本!O43/资产负债!O40</f>
        <v>0.94157720090112895</v>
      </c>
      <c r="P35" s="222">
        <f ca="1">营运资本!P43/资产负债!P40</f>
        <v>0.95058752930590151</v>
      </c>
      <c r="Q35" s="222">
        <f ca="1">营运资本!Q43/资产负债!Q40</f>
        <v>0.94856206264769105</v>
      </c>
      <c r="R35" s="222">
        <f ca="1">营运资本!R43/资产负债!R40</f>
        <v>0.95525999295309161</v>
      </c>
      <c r="S35" s="222">
        <f ca="1">营运资本!S43/资产负债!S40</f>
        <v>0.95409105235547531</v>
      </c>
      <c r="T35" s="222">
        <f ca="1">营运资本!T43/资产负债!T40</f>
        <v>0.95926324042392852</v>
      </c>
      <c r="U35" s="222">
        <f ca="1">营运资本!U43/资产负债!U40</f>
        <v>0.95858928817505518</v>
      </c>
      <c r="V35" s="222">
        <f ca="1">营运资本!V43/资产负债!V40</f>
        <v>0.96265328454892629</v>
      </c>
      <c r="W35" s="222">
        <f ca="1">营运资本!W43/资产负债!W40</f>
        <v>0.96236220633471803</v>
      </c>
      <c r="X35" s="222">
        <f ca="1">营运资本!X43/资产负债!X40</f>
        <v>0.96548078105777724</v>
      </c>
      <c r="Y35" s="222">
        <f ca="1">营运资本!Y43/资产负债!Y40</f>
        <v>0.96536622187264831</v>
      </c>
      <c r="Z35" s="222">
        <f ca="1">营运资本!Z43/资产负债!Z40</f>
        <v>0.96775206854779872</v>
      </c>
      <c r="AA35" s="222">
        <f ca="1">营运资本!AA43/资产负债!AA40</f>
        <v>0.96771671995459774</v>
      </c>
      <c r="AB35" s="222">
        <f ca="1">营运资本!AB43/资产负债!AB40</f>
        <v>0.96955131547881401</v>
      </c>
      <c r="AC35" s="222">
        <f ca="1">营运资本!AC43/资产负债!AC40</f>
        <v>0.96956343579788906</v>
      </c>
      <c r="AD35" s="222">
        <f ca="1">营运资本!AD43/资产负债!AD40</f>
        <v>0.97098134447687523</v>
      </c>
      <c r="AE35" s="222">
        <f ca="1">营运资本!AE43/资产负债!AE40</f>
        <v>0.97101255962684074</v>
      </c>
      <c r="AF35" s="222">
        <f ca="1">营运资本!AF43/资产负债!AF40</f>
        <v>0.97210916090986643</v>
      </c>
      <c r="AG35" s="222">
        <f ca="1">营运资本!AG43/资产负债!AG40</f>
        <v>0.9721480821796491</v>
      </c>
      <c r="AH35" s="222">
        <f ca="1">营运资本!AH43/资产负债!AH40</f>
        <v>0.9729988112229242</v>
      </c>
      <c r="AI35" s="222">
        <f ca="1">营运资本!AI43/资产负债!AI40</f>
        <v>0.97303789671276786</v>
      </c>
      <c r="AJ35" s="222">
        <f ca="1">营运资本!AJ43/资产负债!AJ40</f>
        <v>0.97369895095906023</v>
      </c>
      <c r="AK35" s="222">
        <f ca="1">营运资本!AK43/资产负债!AK40</f>
        <v>0.97373438315830407</v>
      </c>
      <c r="AL35" s="222">
        <f ca="1">营运资本!AL43/资产负债!AL40</f>
        <v>0.97424887128491811</v>
      </c>
      <c r="AM35" s="421"/>
    </row>
    <row r="36" spans="1:39" s="410" customFormat="1" ht="15" customHeight="1">
      <c r="A36" s="210"/>
      <c r="B36" s="215" t="s">
        <v>1466</v>
      </c>
      <c r="C36" s="219" t="s">
        <v>1544</v>
      </c>
      <c r="D36" s="222">
        <f>假设!D23</f>
        <v>0.16480695019400729</v>
      </c>
      <c r="E36" s="222">
        <f>假设!E23</f>
        <v>0</v>
      </c>
      <c r="F36" s="222">
        <f>假设!F23</f>
        <v>0.10306887757579296</v>
      </c>
      <c r="G36" s="222">
        <f>假设!G23</f>
        <v>0</v>
      </c>
      <c r="H36" s="222">
        <f>假设!H23</f>
        <v>0.33136320394133095</v>
      </c>
      <c r="I36" s="222">
        <f>假设!I23</f>
        <v>0.10860802037928098</v>
      </c>
      <c r="J36" s="222">
        <f>假设!J23</f>
        <v>0.13576002547410121</v>
      </c>
      <c r="K36" s="222">
        <f>假设!K23</f>
        <v>0.14393281244867828</v>
      </c>
      <c r="L36" s="222">
        <f>假设!L23</f>
        <v>0.17991601556084785</v>
      </c>
      <c r="M36" s="222">
        <f>假设!M23</f>
        <v>0.14205421846572708</v>
      </c>
      <c r="N36" s="222">
        <f>假设!N23</f>
        <v>0.15041576798733861</v>
      </c>
      <c r="O36" s="222">
        <f>假设!O23</f>
        <v>0.15407970361564793</v>
      </c>
      <c r="P36" s="222">
        <f>假设!P23</f>
        <v>0.15661642640739037</v>
      </c>
      <c r="Q36" s="222">
        <f>假设!Q23</f>
        <v>0.15079152911902599</v>
      </c>
      <c r="R36" s="222">
        <f>假设!R23</f>
        <v>0.15297585678235073</v>
      </c>
      <c r="S36" s="222">
        <f>假设!S23</f>
        <v>0.15361587898110377</v>
      </c>
      <c r="T36" s="222">
        <f>假设!T23</f>
        <v>0.15349992282246772</v>
      </c>
      <c r="U36" s="222">
        <f>假设!U23</f>
        <v>0.15272079692623702</v>
      </c>
      <c r="V36" s="222">
        <f>假设!V23</f>
        <v>0.15320311387803981</v>
      </c>
      <c r="W36" s="222">
        <f>假设!W23</f>
        <v>0.15325992815196207</v>
      </c>
      <c r="X36" s="222">
        <f>假设!X23</f>
        <v>0.15317094044467666</v>
      </c>
      <c r="Y36" s="222">
        <f>假设!Y23</f>
        <v>0.15308869485022888</v>
      </c>
      <c r="Z36" s="222">
        <f>假设!Z23</f>
        <v>0.15318066933122687</v>
      </c>
      <c r="AA36" s="222">
        <f>假设!AA23</f>
        <v>0.15317505819452362</v>
      </c>
      <c r="AB36" s="222">
        <f>假设!AB23</f>
        <v>0.15315384070516402</v>
      </c>
      <c r="AC36" s="222">
        <f>假设!AC23</f>
        <v>0.15314956577028585</v>
      </c>
      <c r="AD36" s="222">
        <f>假设!AD23</f>
        <v>0.15316478350030008</v>
      </c>
      <c r="AE36" s="222">
        <f>假设!AE23</f>
        <v>0.1531608120425684</v>
      </c>
      <c r="AF36" s="222">
        <f>假设!AF23</f>
        <v>0.1531572505045796</v>
      </c>
      <c r="AG36" s="222">
        <f>假设!AG23</f>
        <v>0.15315810295443347</v>
      </c>
      <c r="AH36" s="222">
        <f>假设!AH23</f>
        <v>0.15316023725047037</v>
      </c>
      <c r="AI36" s="222">
        <f>假设!AI23</f>
        <v>0.15315910068801294</v>
      </c>
      <c r="AJ36" s="222">
        <f>假设!AJ23</f>
        <v>0.15315867284937409</v>
      </c>
      <c r="AK36" s="222">
        <f>假设!AK23</f>
        <v>0.15315902843557272</v>
      </c>
      <c r="AL36" s="222">
        <f>假设!AL23</f>
        <v>0.15315925980585754</v>
      </c>
      <c r="AM36" s="421"/>
    </row>
    <row r="37" spans="1:39" s="410" customFormat="1" ht="15" customHeight="1">
      <c r="A37" s="210"/>
      <c r="B37" s="215" t="s">
        <v>1467</v>
      </c>
      <c r="C37" s="248" t="s">
        <v>1521</v>
      </c>
      <c r="D37" s="222">
        <f>1-D36</f>
        <v>0.83519304980599274</v>
      </c>
      <c r="E37" s="222">
        <f t="shared" ref="E37:AL37" si="0">1-E36</f>
        <v>1</v>
      </c>
      <c r="F37" s="222">
        <f t="shared" si="0"/>
        <v>0.89693112242420703</v>
      </c>
      <c r="G37" s="222">
        <f t="shared" si="0"/>
        <v>1</v>
      </c>
      <c r="H37" s="222">
        <f t="shared" si="0"/>
        <v>0.66863679605866899</v>
      </c>
      <c r="I37" s="222">
        <f t="shared" si="0"/>
        <v>0.89139197962071903</v>
      </c>
      <c r="J37" s="222">
        <f t="shared" si="0"/>
        <v>0.86423997452589885</v>
      </c>
      <c r="K37" s="222">
        <f t="shared" si="0"/>
        <v>0.85606718755132172</v>
      </c>
      <c r="L37" s="222">
        <f t="shared" si="0"/>
        <v>0.82008398443915209</v>
      </c>
      <c r="M37" s="222">
        <f t="shared" si="0"/>
        <v>0.85794578153427292</v>
      </c>
      <c r="N37" s="222">
        <f t="shared" si="0"/>
        <v>0.84958423201266142</v>
      </c>
      <c r="O37" s="222">
        <f t="shared" si="0"/>
        <v>0.84592029638435207</v>
      </c>
      <c r="P37" s="222">
        <f t="shared" si="0"/>
        <v>0.84338357359260963</v>
      </c>
      <c r="Q37" s="222">
        <f t="shared" si="0"/>
        <v>0.84920847088097395</v>
      </c>
      <c r="R37" s="222">
        <f t="shared" si="0"/>
        <v>0.84702414321764929</v>
      </c>
      <c r="S37" s="222">
        <f t="shared" si="0"/>
        <v>0.84638412101889626</v>
      </c>
      <c r="T37" s="222">
        <f t="shared" si="0"/>
        <v>0.84650007717753228</v>
      </c>
      <c r="U37" s="222">
        <f t="shared" si="0"/>
        <v>0.84727920307376303</v>
      </c>
      <c r="V37" s="222">
        <f t="shared" si="0"/>
        <v>0.84679688612196014</v>
      </c>
      <c r="W37" s="222">
        <f t="shared" si="0"/>
        <v>0.8467400718480379</v>
      </c>
      <c r="X37" s="222">
        <f t="shared" si="0"/>
        <v>0.84682905955532339</v>
      </c>
      <c r="Y37" s="222">
        <f t="shared" si="0"/>
        <v>0.84691130514977109</v>
      </c>
      <c r="Z37" s="222">
        <f t="shared" si="0"/>
        <v>0.84681933066877313</v>
      </c>
      <c r="AA37" s="222">
        <f t="shared" si="0"/>
        <v>0.84682494180547641</v>
      </c>
      <c r="AB37" s="222">
        <f t="shared" si="0"/>
        <v>0.84684615929483598</v>
      </c>
      <c r="AC37" s="222">
        <f t="shared" si="0"/>
        <v>0.84685043422971418</v>
      </c>
      <c r="AD37" s="222">
        <f t="shared" si="0"/>
        <v>0.84683521649969995</v>
      </c>
      <c r="AE37" s="222">
        <f t="shared" si="0"/>
        <v>0.84683918795743163</v>
      </c>
      <c r="AF37" s="222">
        <f t="shared" si="0"/>
        <v>0.84684274949542038</v>
      </c>
      <c r="AG37" s="222">
        <f t="shared" si="0"/>
        <v>0.84684189704556656</v>
      </c>
      <c r="AH37" s="222">
        <f t="shared" si="0"/>
        <v>0.84683976274952966</v>
      </c>
      <c r="AI37" s="222">
        <f t="shared" si="0"/>
        <v>0.84684089931198703</v>
      </c>
      <c r="AJ37" s="222">
        <f t="shared" si="0"/>
        <v>0.84684132715062588</v>
      </c>
      <c r="AK37" s="222">
        <f t="shared" si="0"/>
        <v>0.84684097156442728</v>
      </c>
      <c r="AL37" s="222">
        <f t="shared" si="0"/>
        <v>0.84684074019414246</v>
      </c>
      <c r="AM37" s="421"/>
    </row>
    <row r="38" spans="1:39" s="410" customFormat="1" ht="15" customHeight="1">
      <c r="A38" s="210"/>
      <c r="B38" s="215" t="s">
        <v>1468</v>
      </c>
      <c r="C38" s="215" t="s">
        <v>1468</v>
      </c>
      <c r="D38" s="222">
        <f>年度数据!D139/资产负债!D30</f>
        <v>1.0432177157554557E-3</v>
      </c>
      <c r="E38" s="222">
        <f>年度数据!E137/资产负债!E30</f>
        <v>8.5069862664683873E-2</v>
      </c>
      <c r="F38" s="222">
        <f>年度数据!F139/资产负债!F30</f>
        <v>2.0024234853222625E-3</v>
      </c>
      <c r="G38" s="222">
        <f>年度数据!G139/资产负债!G30</f>
        <v>1.3523428984074002E-3</v>
      </c>
      <c r="H38" s="222">
        <f>年度数据!H139/资产负债!H30</f>
        <v>7.8422703608243139E-4</v>
      </c>
      <c r="I38" s="222">
        <f ca="1">资本投资!J107/资本投资!J104</f>
        <v>7.6221386372431366E-2</v>
      </c>
      <c r="J38" s="222">
        <f ca="1">资本投资!K107/资本投资!K104</f>
        <v>8.4178863223619144E-2</v>
      </c>
      <c r="K38" s="222">
        <f ca="1">资本投资!L107/资本投资!L104</f>
        <v>9.0338724889642064E-2</v>
      </c>
      <c r="L38" s="222">
        <f ca="1">资本投资!M107/资本投资!M104</f>
        <v>9.4341084189635882E-2</v>
      </c>
      <c r="M38" s="222">
        <f ca="1">资本投资!N107/资本投资!N104</f>
        <v>9.9068085084924512E-2</v>
      </c>
      <c r="N38" s="222">
        <f ca="1">资本投资!O107/资本投资!O104</f>
        <v>0.10622253234601604</v>
      </c>
      <c r="O38" s="222">
        <f ca="1">资本投资!P107/资本投资!P104</f>
        <v>0.11243659283955525</v>
      </c>
      <c r="P38" s="222">
        <f ca="1">资本投资!Q107/资本投资!Q104</f>
        <v>0.11765202280606565</v>
      </c>
      <c r="Q38" s="222">
        <f ca="1">资本投资!R107/资本投资!R104</f>
        <v>0.12265960618299829</v>
      </c>
      <c r="R38" s="222">
        <f ca="1">资本投资!S107/资本投资!S104</f>
        <v>0.12812840442304133</v>
      </c>
      <c r="S38" s="222">
        <f ca="1">资本投资!T107/资本投资!T104</f>
        <v>0.13372760626460464</v>
      </c>
      <c r="T38" s="222">
        <f ca="1">资本投资!U107/资本投资!U104</f>
        <v>0.13866456786989251</v>
      </c>
      <c r="U38" s="222">
        <f ca="1">资本投资!V107/资本投资!V104</f>
        <v>0.143195432966125</v>
      </c>
      <c r="V38" s="222">
        <f ca="1">资本投资!W107/资本投资!W104</f>
        <v>0.11666186481070942</v>
      </c>
      <c r="W38" s="222">
        <f ca="1">资本投资!X107/资本投资!X104</f>
        <v>0.11603721127202372</v>
      </c>
      <c r="X38" s="222">
        <f ca="1">资本投资!Y107/资本投资!Y104</f>
        <v>0.11497204686416343</v>
      </c>
      <c r="Y38" s="222">
        <f ca="1">资本投资!Z107/资本投资!Z104</f>
        <v>0.1146263152850199</v>
      </c>
      <c r="Z38" s="222">
        <f ca="1">资本投资!AA107/资本投资!AA104</f>
        <v>0.11493046711217343</v>
      </c>
      <c r="AA38" s="222">
        <f ca="1">资本投资!AB107/资本投资!AB104</f>
        <v>0.11484741533038158</v>
      </c>
      <c r="AB38" s="222">
        <f ca="1">资本投资!AC107/资本投资!AC104</f>
        <v>0.11457422844421181</v>
      </c>
      <c r="AC38" s="222">
        <f ca="1">资本投资!AD107/资本投资!AD104</f>
        <v>0.11436617427509257</v>
      </c>
      <c r="AD38" s="222">
        <f ca="1">资本投资!AE107/资本投资!AE104</f>
        <v>0.11431696053759487</v>
      </c>
      <c r="AE38" s="222">
        <f ca="1">资本投资!AF107/资本投资!AF104</f>
        <v>0.11431263529190464</v>
      </c>
      <c r="AF38" s="222">
        <f ca="1">资本投资!AG107/资本投资!AG104</f>
        <v>0.11423847474383617</v>
      </c>
      <c r="AG38" s="222">
        <f ca="1">资本投资!AH107/资本投资!AH104</f>
        <v>0.11415689335910252</v>
      </c>
      <c r="AH38" s="222">
        <f ca="1">资本投资!AI107/资本投资!AI104</f>
        <v>0.11410667594945811</v>
      </c>
      <c r="AI38" s="222">
        <f ca="1">资本投资!AJ107/资本投资!AJ104</f>
        <v>0.11408177609681977</v>
      </c>
      <c r="AJ38" s="222">
        <f ca="1">资本投资!AK107/资本投资!AK104</f>
        <v>0.1140563701462959</v>
      </c>
      <c r="AK38" s="222">
        <f ca="1">资本投资!AL107/资本投资!AL104</f>
        <v>0.11402227656513141</v>
      </c>
      <c r="AL38" s="222">
        <f ca="1">资本投资!AM107/资本投资!AM104</f>
        <v>0.11399266321990396</v>
      </c>
      <c r="AM38" s="421"/>
    </row>
    <row r="39" spans="1:39" s="410" customFormat="1" ht="15" customHeight="1">
      <c r="A39" s="210"/>
      <c r="B39" s="215" t="s">
        <v>1469</v>
      </c>
      <c r="C39" s="215" t="s">
        <v>1522</v>
      </c>
      <c r="D39" s="222">
        <f>资产负债!D40/资产负债!D86</f>
        <v>1.6920055603703903</v>
      </c>
      <c r="E39" s="222">
        <f>资产负债!E40/资产负债!E86</f>
        <v>1.9086968013541643</v>
      </c>
      <c r="F39" s="222">
        <f>资产负债!F40/资产负债!F86</f>
        <v>1.9663201699100783</v>
      </c>
      <c r="G39" s="222">
        <f>资产负债!G40/资产负债!G86</f>
        <v>2.1718519832156153</v>
      </c>
      <c r="H39" s="222">
        <f>资产负债!H40/资产负债!H86</f>
        <v>2.249852193903001</v>
      </c>
      <c r="I39" s="222">
        <f ca="1">资产负债!I40/资产负债!I86</f>
        <v>1.9472381830113736</v>
      </c>
      <c r="J39" s="222">
        <f ca="1">资产负债!J40/资产负债!J86</f>
        <v>2.7312809315939721</v>
      </c>
      <c r="K39" s="222">
        <f ca="1">资产负债!K40/资产负债!K86</f>
        <v>2.6028474743520156</v>
      </c>
      <c r="L39" s="222">
        <f ca="1">资产负债!L40/资产负债!L86</f>
        <v>3.2619970295115874</v>
      </c>
      <c r="M39" s="222">
        <f ca="1">资产负债!M40/资产负债!M86</f>
        <v>3.2834659298881812</v>
      </c>
      <c r="N39" s="222">
        <f ca="1">资产负债!N40/资产负债!N86</f>
        <v>4.1653854418472056</v>
      </c>
      <c r="O39" s="222">
        <f ca="1">资产负债!O40/资产负债!O86</f>
        <v>4.3916904997983375</v>
      </c>
      <c r="P39" s="222">
        <f ca="1">资产负债!P40/资产负债!P86</f>
        <v>5.6496009540559839</v>
      </c>
      <c r="Q39" s="222">
        <f ca="1">资产负债!Q40/资产负债!Q86</f>
        <v>6.2248418096599991</v>
      </c>
      <c r="R39" s="222">
        <f ca="1">资产负债!R40/资产负债!R86</f>
        <v>8.2274960319436907</v>
      </c>
      <c r="S39" s="222">
        <f ca="1">资产负债!S40/资产负债!S86</f>
        <v>9.8812824850334202</v>
      </c>
      <c r="T39" s="222">
        <f ca="1">资产负债!T40/资产负债!T86</f>
        <v>14.156489538934521</v>
      </c>
      <c r="U39" s="222">
        <f ca="1">资产负债!U40/资产负债!U86</f>
        <v>20.085359399575282</v>
      </c>
      <c r="V39" s="222">
        <f ca="1">资产负债!V40/资产负债!V86</f>
        <v>39.323396448534815</v>
      </c>
      <c r="W39" s="222">
        <f ca="1">资产负债!W40/资产负债!W86</f>
        <v>205.032606282822</v>
      </c>
      <c r="X39" s="222">
        <f ca="1">资产负债!X40/资产负债!X86</f>
        <v>-67.868763084235226</v>
      </c>
      <c r="Y39" s="222">
        <f ca="1">资产负债!Y40/资产负债!Y86</f>
        <v>-29.484687794473814</v>
      </c>
      <c r="Z39" s="222">
        <f ca="1">资产负债!Z40/资产负债!Z86</f>
        <v>-20.027674315666275</v>
      </c>
      <c r="AA39" s="222">
        <f ca="1">资产负债!AA40/资产负债!AA86</f>
        <v>-14.827346081832589</v>
      </c>
      <c r="AB39" s="222">
        <f ca="1">资产负债!AB40/资产负债!AB86</f>
        <v>-12.384989762044095</v>
      </c>
      <c r="AC39" s="222">
        <f ca="1">资产负债!AC40/资产负债!AC86</f>
        <v>-10.372721267468197</v>
      </c>
      <c r="AD39" s="222">
        <f ca="1">资产负债!AD40/资产负债!AD86</f>
        <v>-9.2961386610097119</v>
      </c>
      <c r="AE39" s="222">
        <f ca="1">资产负债!AE40/资产负债!AE86</f>
        <v>-8.2360017927541929</v>
      </c>
      <c r="AF39" s="222">
        <f ca="1">资产负债!AF40/资产负债!AF86</f>
        <v>-7.6396203419261406</v>
      </c>
      <c r="AG39" s="222">
        <f ca="1">资产负债!AG40/资产负债!AG86</f>
        <v>-6.9925923256340239</v>
      </c>
      <c r="AH39" s="222">
        <f ca="1">资产负债!AH40/资产负债!AH86</f>
        <v>-6.6176329851113262</v>
      </c>
      <c r="AI39" s="222">
        <f ca="1">资产负债!AI40/资产负债!AI86</f>
        <v>-6.1867593933341958</v>
      </c>
      <c r="AJ39" s="222">
        <f ca="1">资产负债!AJ40/资产负债!AJ86</f>
        <v>-5.9309385910939731</v>
      </c>
      <c r="AK39" s="222">
        <f ca="1">资产负债!AK40/资产负债!AK86</f>
        <v>-5.6272450601418385</v>
      </c>
      <c r="AL39" s="222">
        <f ca="1">资产负债!AL40/资产负债!AL86</f>
        <v>-5.4427578366535601</v>
      </c>
      <c r="AM39" s="421"/>
    </row>
    <row r="40" spans="1:39" s="410" customFormat="1" ht="16.5" customHeight="1">
      <c r="A40" s="211" t="s">
        <v>1492</v>
      </c>
      <c r="B40" s="210"/>
      <c r="C40" s="215"/>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421"/>
    </row>
    <row r="41" spans="1:39" s="410" customFormat="1" ht="16.5" customHeight="1">
      <c r="A41" s="210"/>
      <c r="B41" s="215" t="s">
        <v>1470</v>
      </c>
      <c r="C41" s="215" t="s">
        <v>1383</v>
      </c>
      <c r="D41" s="221">
        <f>资产负债!D19/资产负债!D60</f>
        <v>2.0389603452917577</v>
      </c>
      <c r="E41" s="221">
        <f>资产负债!E19/资产负债!E60</f>
        <v>1.6236351561338531</v>
      </c>
      <c r="F41" s="221">
        <f>资产负债!F19/资产负债!F60</f>
        <v>1.6248680200553129</v>
      </c>
      <c r="G41" s="221">
        <f>资产负债!G19/资产负债!G60</f>
        <v>1.694702362478925</v>
      </c>
      <c r="H41" s="221">
        <f>资产负债!H19/资产负债!H60</f>
        <v>1.5540910236095418</v>
      </c>
      <c r="I41" s="221">
        <f ca="1">资产负债!I19/资产负债!I60</f>
        <v>1.731624154382293</v>
      </c>
      <c r="J41" s="221">
        <f ca="1">资产负债!J19/资产负债!J60</f>
        <v>1.3285521905939635</v>
      </c>
      <c r="K41" s="221">
        <f ca="1">资产负债!K19/资产负债!K60</f>
        <v>1.3057534829910524</v>
      </c>
      <c r="L41" s="221">
        <f ca="1">资产负债!L19/资产负债!L60</f>
        <v>1.1795428675043556</v>
      </c>
      <c r="M41" s="221">
        <f ca="1">资产负债!M19/资产负债!M60</f>
        <v>1.1446462944014855</v>
      </c>
      <c r="N41" s="221">
        <f ca="1">资产负债!N19/资产负债!N60</f>
        <v>1.0799933347385597</v>
      </c>
      <c r="O41" s="221">
        <f ca="1">资产负债!O19/资产负债!O60</f>
        <v>1.0480407803095395</v>
      </c>
      <c r="P41" s="221">
        <f ca="1">资产负债!P19/资产负债!P60</f>
        <v>1.0111998801345849</v>
      </c>
      <c r="Q41" s="221">
        <f ca="1">资产负债!Q19/资产负债!Q60</f>
        <v>0.98220338103005056</v>
      </c>
      <c r="R41" s="221">
        <f ca="1">资产负债!R19/资产负债!R60</f>
        <v>0.95868898974806049</v>
      </c>
      <c r="S41" s="221">
        <f ca="1">资产负债!S19/资产负债!S60</f>
        <v>0.93154655864431368</v>
      </c>
      <c r="T41" s="221">
        <f ca="1">资产负债!T19/资产负债!T60</f>
        <v>0.91590880365167704</v>
      </c>
      <c r="U41" s="221">
        <f ca="1">资产负债!U19/资产负债!U60</f>
        <v>0.89264529346811206</v>
      </c>
      <c r="V41" s="221">
        <f ca="1">资产负债!V19/资产负债!V60</f>
        <v>0.87965189408619748</v>
      </c>
      <c r="W41" s="221">
        <f ca="1">资产负债!W19/资产负债!W60</f>
        <v>0.85745611658750631</v>
      </c>
      <c r="X41" s="221">
        <f ca="1">资产负债!X19/资产负债!X60</f>
        <v>0.84756093134009591</v>
      </c>
      <c r="Y41" s="221">
        <f ca="1">资产负债!Y19/资产负债!Y60</f>
        <v>0.82868174987909937</v>
      </c>
      <c r="Z41" s="221">
        <f ca="1">资产负债!Z19/资产负债!Z60</f>
        <v>0.82098707839598561</v>
      </c>
      <c r="AA41" s="221">
        <f ca="1">资产负债!AA19/资产负债!AA60</f>
        <v>0.80517985661628577</v>
      </c>
      <c r="AB41" s="221">
        <f ca="1">资产负债!AB19/资产负债!AB60</f>
        <v>0.79909051042177381</v>
      </c>
      <c r="AC41" s="221">
        <f ca="1">资产负债!AC19/资产负债!AC60</f>
        <v>0.78596064061638615</v>
      </c>
      <c r="AD41" s="221">
        <f ca="1">资产负债!AD19/资产负债!AD60</f>
        <v>0.78099209147703341</v>
      </c>
      <c r="AE41" s="221">
        <f ca="1">资产负债!AE19/资产负债!AE60</f>
        <v>0.77012122961566509</v>
      </c>
      <c r="AF41" s="221">
        <f ca="1">资产负债!AF19/资产负债!AF60</f>
        <v>0.76596728781207246</v>
      </c>
      <c r="AG41" s="221">
        <f ca="1">资产负债!AG19/资产负债!AG60</f>
        <v>0.75694452391348099</v>
      </c>
      <c r="AH41" s="221">
        <f ca="1">资产负债!AH19/资产负债!AH60</f>
        <v>0.75341359653990858</v>
      </c>
      <c r="AI41" s="221">
        <f ca="1">资产负债!AI19/资产负债!AI60</f>
        <v>0.74592333408272526</v>
      </c>
      <c r="AJ41" s="221">
        <f ca="1">资产负债!AJ19/资产负债!AJ60</f>
        <v>0.74287469597345357</v>
      </c>
      <c r="AK41" s="221">
        <f ca="1">资产负债!AK19/资产负债!AK60</f>
        <v>0.73664741278598356</v>
      </c>
      <c r="AL41" s="221">
        <f ca="1">资产负债!AL19/资产负债!AL60</f>
        <v>0.73399342325143946</v>
      </c>
      <c r="AM41" s="221"/>
    </row>
    <row r="42" spans="1:39" s="410" customFormat="1" ht="16.5" customHeight="1">
      <c r="A42" s="210"/>
      <c r="B42" s="215" t="s">
        <v>1471</v>
      </c>
      <c r="C42" s="215" t="s">
        <v>1523</v>
      </c>
      <c r="D42" s="221">
        <f>(资产负债!D19-资产负债!D13-资产负债!D11-资产负债!D16-资产负债!D17)/资产负债!D60</f>
        <v>1.8099178157000906</v>
      </c>
      <c r="E42" s="221">
        <f>(资产负债!E19-资产负债!E13-资产负债!E11-资产负债!E16-资产负债!E17)/资产负债!E60</f>
        <v>1.4420246412424331</v>
      </c>
      <c r="F42" s="221">
        <f>(资产负债!F19-资产负债!F13-资产负债!F11-资产负债!F16-资产负债!F17)/资产负债!F60</f>
        <v>1.4305490609989129</v>
      </c>
      <c r="G42" s="221">
        <f>(资产负债!G19-资产负债!G13-资产负债!G11-资产负债!G16-资产负债!G17)/资产负债!G60</f>
        <v>1.4809791309157072</v>
      </c>
      <c r="H42" s="221">
        <f>(资产负债!H19-资产负债!H13-资产负债!H11-资产负债!H16-资产负债!H17)/资产负债!H60</f>
        <v>1.3589279984209259</v>
      </c>
      <c r="I42" s="221">
        <f ca="1">(资产负债!I19-资产负债!I13-资产负债!I11-资产负债!I16-资产负债!I17)/资产负债!I60</f>
        <v>1.4542860497272156</v>
      </c>
      <c r="J42" s="221">
        <f ca="1">(资产负债!J19-资产负债!J13-资产负债!J11-资产负债!J16-资产负债!J17)/资产负债!J60</f>
        <v>1.2002983076943226</v>
      </c>
      <c r="K42" s="221">
        <f ca="1">(资产负债!K19-资产负债!K13-资产负债!K11-资产负债!K16-资产负债!K17)/资产负债!K60</f>
        <v>1.1274845517644085</v>
      </c>
      <c r="L42" s="221">
        <f ca="1">(资产负债!L19-资产负债!L13-资产负债!L11-资产负债!L16-资产负债!L17)/资产负债!L60</f>
        <v>1.0630587136963243</v>
      </c>
      <c r="M42" s="221">
        <f ca="1">(资产负债!M19-资产负债!M13-资产负债!M11-资产负债!M16-资产负债!M17)/资产负债!M60</f>
        <v>0.99858752062733946</v>
      </c>
      <c r="N42" s="221">
        <f ca="1">(资产负债!N19-资产负债!N13-资产负债!N11-资产负债!N16-资产负债!N17)/资产负债!N60</f>
        <v>0.97524418180987404</v>
      </c>
      <c r="O42" s="221">
        <f ca="1">(资产负债!O19-资产负债!O13-资产负债!O11-资产负债!O16-资产负债!O17)/资产负债!O60</f>
        <v>0.92365757469538212</v>
      </c>
      <c r="P42" s="221">
        <f ca="1">(资产负债!P19-资产负债!P13-资产负债!P11-资产负债!P16-资产负债!P17)/资产负债!P60</f>
        <v>0.9154782827554101</v>
      </c>
      <c r="Q42" s="221">
        <f ca="1">(资产负债!Q19-资产负债!Q13-资产负债!Q11-资产负债!Q16-资产负债!Q17)/资产负债!Q60</f>
        <v>0.87211435404823689</v>
      </c>
      <c r="R42" s="221">
        <f ca="1">(资产负债!R19-资产负债!R13-资产负债!R11-资产负债!R16-资产负债!R17)/资产负债!R60</f>
        <v>0.86866392723387686</v>
      </c>
      <c r="S42" s="221">
        <f ca="1">(资产负债!S19-资产负债!S13-资产负债!S11-资产负债!S16-资产负债!S17)/资产负债!S60</f>
        <v>0.83195506848462597</v>
      </c>
      <c r="T42" s="221">
        <f ca="1">(资产负债!T19-资产负债!T13-资产负债!T11-资产负债!T16-资产负债!T17)/资产负债!T60</f>
        <v>0.8310801071261904</v>
      </c>
      <c r="U42" s="221">
        <f ca="1">(资产负债!U19-资产负债!U13-资产负债!U11-资产负债!U16-资产负债!U17)/资产负债!U60</f>
        <v>0.80084055158480838</v>
      </c>
      <c r="V42" s="221">
        <f ca="1">(资产负债!V19-资产负债!V13-资产负债!V11-资产负债!V16-资产负债!V17)/资产负债!V60</f>
        <v>0.79890896931156008</v>
      </c>
      <c r="W42" s="221">
        <f ca="1">(资产负债!W19-资产负债!W13-资产负债!W11-资产负债!W16-资产负债!W17)/资产负债!W60</f>
        <v>0.77188838510829327</v>
      </c>
      <c r="X42" s="221">
        <f ca="1">(资产负债!X19-资产负债!X13-资产负债!X11-资产负债!X16-资产负债!X17)/资产负债!X60</f>
        <v>0.77035926941052257</v>
      </c>
      <c r="Y42" s="221">
        <f ca="1">(资产负债!Y19-资产负债!Y13-资产负债!Y11-资产负债!Y16-资产负债!Y17)/资产负债!Y60</f>
        <v>0.74805607370841098</v>
      </c>
      <c r="Z42" s="221">
        <f ca="1">(资产负债!Z19-资产负债!Z13-资产负债!Z11-资产负债!Z16-资产负债!Z17)/资产负债!Z60</f>
        <v>0.74665360901927302</v>
      </c>
      <c r="AA42" s="221">
        <f ca="1">(资产负债!AA19-资产负债!AA13-资产负债!AA11-资产负债!AA16-资产负债!AA17)/资产负债!AA60</f>
        <v>0.7283705766600429</v>
      </c>
      <c r="AB42" s="221">
        <f ca="1">(资产负债!AB19-资产负债!AB13-资产负债!AB11-资产负债!AB16-资产负债!AB17)/资产负债!AB60</f>
        <v>0.7270831638657268</v>
      </c>
      <c r="AC42" s="221">
        <f ca="1">(资产负债!AC19-资产负债!AC13-资产负债!AC11-资产负债!AC16-资产负债!AC17)/资产负债!AC60</f>
        <v>0.71216805471445921</v>
      </c>
      <c r="AD42" s="221">
        <f ca="1">(资产负债!AD19-资产负债!AD13-资产负债!AD11-资产负债!AD16-资产负债!AD17)/资产负债!AD60</f>
        <v>0.71088827549301403</v>
      </c>
      <c r="AE42" s="221">
        <f ca="1">(资产负债!AE19-资产负债!AE13-资产负债!AE11-资产负债!AE16-资产负债!AE17)/资产负债!AE60</f>
        <v>0.69871681118060591</v>
      </c>
      <c r="AF42" s="221">
        <f ca="1">(资产负债!AF19-资产负债!AF13-资产负债!AF11-资产负债!AF16-资产负债!AF17)/资产负债!AF60</f>
        <v>0.69741875104480966</v>
      </c>
      <c r="AG42" s="221">
        <f ca="1">(资产负债!AG19-资产负债!AG13-资产负债!AG11-资产负债!AG16-资产负债!AG17)/资产负债!AG60</f>
        <v>0.68745632871820939</v>
      </c>
      <c r="AH42" s="221">
        <f ca="1">(资产负债!AH19-资产负债!AH13-资产负债!AH11-资产负债!AH16-资产负债!AH17)/资产负债!AH60</f>
        <v>0.68615119506437383</v>
      </c>
      <c r="AI42" s="221">
        <f ca="1">(资产负债!AI19-资产负债!AI13-资产负债!AI11-资产负债!AI16-资产负债!AI17)/资产负债!AI60</f>
        <v>0.67798265277838177</v>
      </c>
      <c r="AJ42" s="221">
        <f ca="1">(资产负债!AJ19-资产负债!AJ13-资产负债!AJ11-资产负债!AJ16-资产负债!AJ17)/资产负债!AJ60</f>
        <v>0.67667824324828496</v>
      </c>
      <c r="AK42" s="221">
        <f ca="1">(资产负债!AK19-资产负债!AK13-资产负债!AK11-资产负债!AK16-资产负债!AK17)/资产负债!AK60</f>
        <v>0.66996547060414979</v>
      </c>
      <c r="AL42" s="221">
        <f ca="1">(资产负债!AL19-资产负债!AL13-资产负债!AL11-资产负债!AL16-资产负债!AL17)/资产负债!AL60</f>
        <v>0.66868601550165019</v>
      </c>
      <c r="AM42" s="221"/>
    </row>
    <row r="43" spans="1:39" s="258" customFormat="1" ht="16.5" customHeight="1">
      <c r="A43" s="216"/>
      <c r="B43" s="215" t="s">
        <v>1472</v>
      </c>
      <c r="C43" s="215" t="s">
        <v>1524</v>
      </c>
      <c r="D43" s="221">
        <f>(资产负债!D3+资产负债!D4)/资产负债!D60</f>
        <v>0.798567281220116</v>
      </c>
      <c r="E43" s="221">
        <f>(资产负债!E3+资产负债!E4)/资产负债!E60</f>
        <v>0.40145618353530338</v>
      </c>
      <c r="F43" s="221">
        <f>(资产负债!F3+资产负债!F4)/资产负债!F60</f>
        <v>0.43697286073953007</v>
      </c>
      <c r="G43" s="221">
        <f>(资产负债!G3+资产负债!G4)/资产负债!G60</f>
        <v>0.45067093830024618</v>
      </c>
      <c r="H43" s="221">
        <f>(资产负债!H3+资产负债!H4)/资产负债!H60</f>
        <v>0.39413866494271438</v>
      </c>
      <c r="I43" s="221">
        <f ca="1">(资产负债!I3+资产负债!I4)/资产负债!I60</f>
        <v>0.53794429180724945</v>
      </c>
      <c r="J43" s="221">
        <f ca="1">(资产负债!J3+资产负债!J4)/资产负债!J60</f>
        <v>0.30015891459197269</v>
      </c>
      <c r="K43" s="221">
        <f ca="1">(资产负债!K3+资产负债!K4)/资产负债!K60</f>
        <v>0.37465667159934968</v>
      </c>
      <c r="L43" s="221">
        <f ca="1">(资产负债!L3+资产负债!L4)/资产负债!L60</f>
        <v>0.30163401780021426</v>
      </c>
      <c r="M43" s="221">
        <f ca="1">(资产负债!M3+资产负债!M4)/资产负债!M60</f>
        <v>0.33228975664993221</v>
      </c>
      <c r="N43" s="221">
        <f ca="1">(资产负债!N3+资产负债!N4)/资产负债!N60</f>
        <v>0.27197831020920532</v>
      </c>
      <c r="O43" s="221">
        <f ca="1">(资产负债!O3+资产负债!O4)/资产负债!O60</f>
        <v>0.29977303344480433</v>
      </c>
      <c r="P43" s="221">
        <f ca="1">(资产负债!P3+资产负债!P4)/资产负债!P60</f>
        <v>0.26101982238221189</v>
      </c>
      <c r="Q43" s="221">
        <f ca="1">(资产负债!Q3+资产负债!Q4)/资产负债!Q60</f>
        <v>0.28189022100672795</v>
      </c>
      <c r="R43" s="221">
        <f ca="1">(资产负债!R3+资产负债!R4)/资产负债!R60</f>
        <v>0.25167915911154143</v>
      </c>
      <c r="S43" s="221">
        <f ca="1">(资产负债!S3+资产负债!S4)/资产负债!S60</f>
        <v>0.26411832945712971</v>
      </c>
      <c r="T43" s="221">
        <f ca="1">(资产负债!T3+资产负债!T4)/资产负债!T60</f>
        <v>0.2433908335065729</v>
      </c>
      <c r="U43" s="221">
        <f ca="1">(资产负债!U3+资产负债!U4)/资产负债!U60</f>
        <v>0.25270817203070933</v>
      </c>
      <c r="V43" s="221">
        <f ca="1">(资产负债!V3+资产负债!V4)/资产负债!V60</f>
        <v>0.23631815502878051</v>
      </c>
      <c r="W43" s="221">
        <f ca="1">(资产负债!W3+资产负债!W4)/资产负债!W60</f>
        <v>0.24183384343449366</v>
      </c>
      <c r="X43" s="221">
        <f ca="1">(资产负债!X3+资产负债!X4)/资产负债!X60</f>
        <v>0.22934722703818924</v>
      </c>
      <c r="Y43" s="221">
        <f ca="1">(资产负债!Y3+资产负债!Y4)/资产负债!Y60</f>
        <v>0.23317410696898877</v>
      </c>
      <c r="Z43" s="221">
        <f ca="1">(资产负债!Z3+资产负债!Z4)/资产负债!Z60</f>
        <v>0.22366486511194725</v>
      </c>
      <c r="AA43" s="221">
        <f ca="1">(资产负债!AA3+资产负债!AA4)/资产负债!AA60</f>
        <v>0.22612816427418581</v>
      </c>
      <c r="AB43" s="221">
        <f ca="1">(资产负债!AB3+资产负债!AB4)/资产负债!AB60</f>
        <v>0.21875287864583276</v>
      </c>
      <c r="AC43" s="221">
        <f ca="1">(资产负债!AC3+资产负债!AC4)/资产负债!AC60</f>
        <v>0.22037681008269178</v>
      </c>
      <c r="AD43" s="221">
        <f ca="1">(资产负债!AD3+资产负债!AD4)/资产负债!AD60</f>
        <v>0.21466121018288323</v>
      </c>
      <c r="AE43" s="221">
        <f ca="1">(资产负债!AE3+资产负债!AE4)/资产负债!AE60</f>
        <v>0.21568825123889174</v>
      </c>
      <c r="AF43" s="221">
        <f ca="1">(资产负债!AF3+资产负债!AF4)/资产负债!AF60</f>
        <v>0.21118303390385212</v>
      </c>
      <c r="AG43" s="221">
        <f ca="1">(资产负债!AG3+资产负债!AG4)/资产负债!AG60</f>
        <v>0.21179274554535582</v>
      </c>
      <c r="AH43" s="221">
        <f ca="1">(资产负债!AH3+资产负债!AH4)/资产负债!AH60</f>
        <v>0.20823034835542192</v>
      </c>
      <c r="AI43" s="221">
        <f ca="1">(资产负债!AI3+资产负债!AI4)/资产负债!AI60</f>
        <v>0.20855909571393746</v>
      </c>
      <c r="AJ43" s="221">
        <f ca="1">(资产负债!AJ3+资产负债!AJ4)/资产负债!AJ60</f>
        <v>0.20571299408579016</v>
      </c>
      <c r="AK43" s="221">
        <f ca="1">(资产负债!AK3+资产负债!AK4)/资产负债!AK60</f>
        <v>0.20584580006681558</v>
      </c>
      <c r="AL43" s="221">
        <f ca="1">(资产负债!AL3+资产负债!AL4)/资产负债!AL60</f>
        <v>0.2035597110694895</v>
      </c>
      <c r="AM43" s="221"/>
    </row>
    <row r="44" spans="1:39" s="258" customFormat="1" ht="16.5" customHeight="1">
      <c r="A44" s="216"/>
      <c r="B44" s="215" t="s">
        <v>1473</v>
      </c>
      <c r="C44" s="215" t="s">
        <v>1473</v>
      </c>
      <c r="D44" s="221">
        <f>现金流量!D13/资产负债!D60</f>
        <v>-9.6151409745101387E-3</v>
      </c>
      <c r="E44" s="221">
        <f>现金流量!E13/资产负债!E60</f>
        <v>3.8726610226564435E-2</v>
      </c>
      <c r="F44" s="221">
        <f>现金流量!F13/资产负债!F60</f>
        <v>0.2600448637210086</v>
      </c>
      <c r="G44" s="221">
        <f>现金流量!G13/资产负债!G60</f>
        <v>0.13561954332995815</v>
      </c>
      <c r="H44" s="221">
        <f>现金流量!H13/资产负债!H60</f>
        <v>-3.2293884195412452E-2</v>
      </c>
      <c r="I44" s="221">
        <f ca="1">现金流量!I13/资产负债!I60</f>
        <v>-0.33896701893371367</v>
      </c>
      <c r="J44" s="221">
        <f ca="1">现金流量!J13/资产负债!J60</f>
        <v>-0.37368133062788322</v>
      </c>
      <c r="K44" s="221">
        <f ca="1">现金流量!K13/资产负债!K60</f>
        <v>0.26246562264270473</v>
      </c>
      <c r="L44" s="221">
        <f ca="1">现金流量!L13/资产负债!L60</f>
        <v>-0.17333107253746133</v>
      </c>
      <c r="M44" s="221">
        <f ca="1">现金流量!M13/资产负债!M60</f>
        <v>0.13809494523678245</v>
      </c>
      <c r="N44" s="221">
        <f ca="1">现金流量!N13/资产负债!N60</f>
        <v>-0.15019471973698184</v>
      </c>
      <c r="O44" s="221">
        <f ca="1">现金流量!O13/资产负债!O60</f>
        <v>0.10257105228685384</v>
      </c>
      <c r="P44" s="221">
        <f ca="1">现金流量!P13/资产负债!P60</f>
        <v>-0.12198511765903756</v>
      </c>
      <c r="Q44" s="221">
        <f ca="1">现金流量!Q13/资产负债!Q60</f>
        <v>7.9026665201767959E-2</v>
      </c>
      <c r="R44" s="221">
        <f ca="1">现金流量!R13/资产负债!R60</f>
        <v>-9.6296804063219749E-2</v>
      </c>
      <c r="S44" s="221">
        <f ca="1">现金流量!S13/资产负债!S60</f>
        <v>4.8906232463573319E-2</v>
      </c>
      <c r="T44" s="221">
        <f ca="1">现金流量!T13/资产负债!T60</f>
        <v>-7.664421508089124E-2</v>
      </c>
      <c r="U44" s="221">
        <f ca="1">现金流量!U13/资产负债!U60</f>
        <v>3.3334357387299583E-2</v>
      </c>
      <c r="V44" s="221">
        <f ca="1">现金流量!V13/资产负债!V60</f>
        <v>-6.5337788781718281E-2</v>
      </c>
      <c r="W44" s="221">
        <f ca="1">现金流量!W13/资产负债!W60</f>
        <v>1.7493004474042912E-2</v>
      </c>
      <c r="X44" s="221">
        <f ca="1">现金流量!X13/资产负债!X60</f>
        <v>-5.4963125503182317E-2</v>
      </c>
      <c r="Y44" s="221">
        <f ca="1">现金流量!Y13/资产负债!Y60</f>
        <v>8.5331057448510255E-3</v>
      </c>
      <c r="Z44" s="221">
        <f ca="1">现金流量!Z13/资产负债!Z60</f>
        <v>-4.6240806649026779E-2</v>
      </c>
      <c r="AA44" s="221">
        <f ca="1">现金流量!AA13/资产负债!AA60</f>
        <v>2.0526814110745093E-3</v>
      </c>
      <c r="AB44" s="221">
        <f ca="1">现金流量!AB13/资产负债!AB60</f>
        <v>-3.9925547267358842E-2</v>
      </c>
      <c r="AC44" s="221">
        <f ca="1">现金流量!AC13/资产负债!AC60</f>
        <v>-2.8675328360796893E-3</v>
      </c>
      <c r="AD44" s="221">
        <f ca="1">现金流量!AD13/资产负债!AD60</f>
        <v>-3.4932114371329391E-2</v>
      </c>
      <c r="AE44" s="221">
        <f ca="1">现金流量!AE13/资产负债!AE60</f>
        <v>-6.4412742996472795E-3</v>
      </c>
      <c r="AF44" s="221">
        <f ca="1">现金流量!AF13/资产负债!AF60</f>
        <v>-3.111817842379944E-2</v>
      </c>
      <c r="AG44" s="221">
        <f ca="1">现金流量!AG13/资产负债!AG60</f>
        <v>-9.1591723229689295E-3</v>
      </c>
      <c r="AH44" s="221">
        <f ca="1">现金流量!AH13/资产负债!AH60</f>
        <v>-2.8159137449804517E-2</v>
      </c>
      <c r="AI44" s="221">
        <f ca="1">现金流量!AI13/资产负债!AI60</f>
        <v>-1.1172987439855767E-2</v>
      </c>
      <c r="AJ44" s="221">
        <f ca="1">现金流量!AJ13/资产负债!AJ60</f>
        <v>-2.5847726271362378E-2</v>
      </c>
      <c r="AK44" s="221">
        <f ca="1">现金流量!AK13/资产负债!AK60</f>
        <v>-1.2696072763957438E-2</v>
      </c>
      <c r="AL44" s="221">
        <f ca="1">现金流量!AL13/资产负债!AL60</f>
        <v>-2.4047487556353227E-2</v>
      </c>
      <c r="AM44" s="221"/>
    </row>
    <row r="45" spans="1:39" s="258" customFormat="1" ht="16.5" customHeight="1">
      <c r="A45" s="210"/>
      <c r="B45" s="215" t="s">
        <v>1474</v>
      </c>
      <c r="C45" s="215" t="s">
        <v>1474</v>
      </c>
      <c r="D45" s="221">
        <f>资产负债!D72/资产负债!D86</f>
        <v>0.69200556037039007</v>
      </c>
      <c r="E45" s="221">
        <f>资产负债!E72/资产负债!E86</f>
        <v>0.9086968013541642</v>
      </c>
      <c r="F45" s="221">
        <f>资产负债!F72/资产负债!F86</f>
        <v>0.96632016991007819</v>
      </c>
      <c r="G45" s="221">
        <f>资产负债!G72/资产负债!G86</f>
        <v>1.1718519832156156</v>
      </c>
      <c r="H45" s="221">
        <f>资产负债!H72/资产负债!H86</f>
        <v>1.249852193903001</v>
      </c>
      <c r="I45" s="221">
        <f ca="1">资产负债!I72/资产负债!I86</f>
        <v>0.94723818301137341</v>
      </c>
      <c r="J45" s="221">
        <f ca="1">资产负债!J72/资产负债!J86</f>
        <v>1.7312809315939721</v>
      </c>
      <c r="K45" s="221">
        <f ca="1">资产负债!K72/资产负债!K86</f>
        <v>1.6028474743520154</v>
      </c>
      <c r="L45" s="221">
        <f ca="1">资产负债!L72/资产负债!L86</f>
        <v>2.261997029511587</v>
      </c>
      <c r="M45" s="221">
        <f ca="1">资产负债!M72/资产负债!M86</f>
        <v>2.2834659298881812</v>
      </c>
      <c r="N45" s="221">
        <f ca="1">资产负债!N72/资产负债!N86</f>
        <v>3.1653854418472069</v>
      </c>
      <c r="O45" s="221">
        <f ca="1">资产负债!O72/资产负债!O86</f>
        <v>3.3916904997983375</v>
      </c>
      <c r="P45" s="221">
        <f ca="1">资产负债!P72/资产负债!P86</f>
        <v>4.6496009540559831</v>
      </c>
      <c r="Q45" s="221">
        <f ca="1">资产负债!Q72/资产负债!Q86</f>
        <v>5.2248418096599982</v>
      </c>
      <c r="R45" s="221">
        <f ca="1">资产负债!R72/资产负债!R86</f>
        <v>7.2274960319436898</v>
      </c>
      <c r="S45" s="221">
        <f ca="1">资产负债!S72/资产负债!S86</f>
        <v>8.8812824850334184</v>
      </c>
      <c r="T45" s="221">
        <f ca="1">资产负债!T72/资产负债!T86</f>
        <v>13.156489538934519</v>
      </c>
      <c r="U45" s="221">
        <f ca="1">资产负债!U72/资产负债!U86</f>
        <v>19.085359399575278</v>
      </c>
      <c r="V45" s="221">
        <f ca="1">资产负债!V72/资产负债!V86</f>
        <v>38.323396448534815</v>
      </c>
      <c r="W45" s="221">
        <f ca="1">资产负债!W72/资产负债!W86</f>
        <v>204.03260628282197</v>
      </c>
      <c r="X45" s="221">
        <f ca="1">资产负债!X72/资产负债!X86</f>
        <v>-68.868763084235226</v>
      </c>
      <c r="Y45" s="221">
        <f ca="1">资产负债!Y72/资产负债!Y86</f>
        <v>-30.484687794473814</v>
      </c>
      <c r="Z45" s="221">
        <f ca="1">资产负债!Z72/资产负债!Z86</f>
        <v>-21.027674315666268</v>
      </c>
      <c r="AA45" s="221">
        <f ca="1">资产负债!AA72/资产负债!AA86</f>
        <v>-15.827346081832589</v>
      </c>
      <c r="AB45" s="221">
        <f ca="1">资产负债!AB72/资产负债!AB86</f>
        <v>-13.384989762044093</v>
      </c>
      <c r="AC45" s="221">
        <f ca="1">资产负债!AC72/资产负债!AC86</f>
        <v>-11.372721267468197</v>
      </c>
      <c r="AD45" s="221">
        <f ca="1">资产负债!AD72/资产负债!AD86</f>
        <v>-10.296138661009712</v>
      </c>
      <c r="AE45" s="221">
        <f ca="1">资产负债!AE72/资产负债!AE86</f>
        <v>-9.2360017927541929</v>
      </c>
      <c r="AF45" s="221">
        <f ca="1">资产负债!AF72/资产负债!AF86</f>
        <v>-8.6396203419261397</v>
      </c>
      <c r="AG45" s="221">
        <f ca="1">资产负债!AG72/资产负债!AG86</f>
        <v>-7.992592325634023</v>
      </c>
      <c r="AH45" s="221">
        <f ca="1">资产负债!AH72/资产负债!AH86</f>
        <v>-7.6176329851113262</v>
      </c>
      <c r="AI45" s="221">
        <f ca="1">资产负债!AI72/资产负债!AI86</f>
        <v>-7.1867593933341949</v>
      </c>
      <c r="AJ45" s="221">
        <f ca="1">资产负债!AJ72/资产负债!AJ86</f>
        <v>-6.9309385910939731</v>
      </c>
      <c r="AK45" s="221">
        <f ca="1">资产负债!AK72/资产负债!AK86</f>
        <v>-6.6272450601418385</v>
      </c>
      <c r="AL45" s="221">
        <f ca="1">资产负债!AL72/资产负债!AL86</f>
        <v>-6.4427578366535592</v>
      </c>
      <c r="AM45" s="221"/>
    </row>
    <row r="46" spans="1:39" s="258" customFormat="1" ht="16.5" customHeight="1">
      <c r="A46" s="210"/>
      <c r="B46" s="226" t="s">
        <v>1525</v>
      </c>
      <c r="C46" s="231" t="s">
        <v>303</v>
      </c>
      <c r="D46" s="221">
        <f>营运资本!D38/资产负债!D86</f>
        <v>0.15428289280083532</v>
      </c>
      <c r="E46" s="221">
        <f>营运资本!E38/资产负债!E86</f>
        <v>0.19360749801458116</v>
      </c>
      <c r="F46" s="221">
        <f>营运资本!F38/资产负债!F86</f>
        <v>0.21823467958566373</v>
      </c>
      <c r="G46" s="221">
        <f>营运资本!G38/资产负债!G86</f>
        <v>0.31695522649985591</v>
      </c>
      <c r="H46" s="221">
        <f>营运资本!H38/资产负债!H86</f>
        <v>0.44418968690868127</v>
      </c>
      <c r="I46" s="221">
        <f ca="1">营运资本!I38/资产负债!I86</f>
        <v>0.75061153801454239</v>
      </c>
      <c r="J46" s="221">
        <f ca="1">营运资本!J38/资产负债!J86</f>
        <v>1.542617035597057</v>
      </c>
      <c r="K46" s="221">
        <f ca="1">营运资本!K38/资产负债!K86</f>
        <v>1.4034069624074057</v>
      </c>
      <c r="L46" s="221">
        <f ca="1">营运资本!L38/资产负债!L86</f>
        <v>2.0602415286330675</v>
      </c>
      <c r="M46" s="221">
        <f ca="1">营运资本!M38/资产负债!M86</f>
        <v>2.0644375519743101</v>
      </c>
      <c r="N46" s="221">
        <f ca="1">营运资本!N38/资产负债!N86</f>
        <v>2.9339652391460471</v>
      </c>
      <c r="O46" s="221">
        <f ca="1">营运资本!O38/资产负债!O86</f>
        <v>3.1353424447493818</v>
      </c>
      <c r="P46" s="221">
        <f ca="1">营运资本!P38/资产负债!P86</f>
        <v>4.3706994477800407</v>
      </c>
      <c r="Q46" s="221">
        <f ca="1">营运资本!Q38/资产负债!Q86</f>
        <v>4.9049593526524999</v>
      </c>
      <c r="R46" s="221">
        <f ca="1">营运资本!R38/资产负债!R86</f>
        <v>6.8597867425816155</v>
      </c>
      <c r="S46" s="221">
        <f ca="1">营运资本!S38/资产负债!S86</f>
        <v>8.4281516410862647</v>
      </c>
      <c r="T46" s="221">
        <f ca="1">营运资本!T38/资产负债!T86</f>
        <v>12.580509666534926</v>
      </c>
      <c r="U46" s="221">
        <f ca="1">营运资本!U38/资产负债!U86</f>
        <v>18.254711882923878</v>
      </c>
      <c r="V46" s="221">
        <f ca="1">营运资本!V38/资产负债!V86</f>
        <v>36.856946428305179</v>
      </c>
      <c r="W46" s="221">
        <f ca="1">营运资本!W38/资产负债!W86</f>
        <v>196.32783832816446</v>
      </c>
      <c r="X46" s="221">
        <f ca="1">营运资本!X38/资产负债!X86</f>
        <v>-66.530065287313377</v>
      </c>
      <c r="Y46" s="221">
        <f ca="1">营运资本!Y38/资产负债!Y86</f>
        <v>-29.465438645322678</v>
      </c>
      <c r="Z46" s="221">
        <f ca="1">营运资本!Z38/资产负债!Z86</f>
        <v>-20.383149509987788</v>
      </c>
      <c r="AA46" s="221">
        <f ca="1">营运资本!AA38/资产负债!AA86</f>
        <v>-15.349724817395456</v>
      </c>
      <c r="AB46" s="221">
        <f ca="1">营运资本!AB38/资产负债!AB86</f>
        <v>-13.008782835989919</v>
      </c>
      <c r="AC46" s="221">
        <f ca="1">营运资本!AC38/资产负债!AC86</f>
        <v>-11.057812947266813</v>
      </c>
      <c r="AD46" s="221">
        <f ca="1">营运资本!AD38/资产负债!AD86</f>
        <v>-10.027112086961786</v>
      </c>
      <c r="AE46" s="221">
        <f ca="1">营运资本!AE38/资产负债!AE86</f>
        <v>-8.9979482003064906</v>
      </c>
      <c r="AF46" s="221">
        <f ca="1">营运资本!AF38/资产负债!AF86</f>
        <v>-8.4271964102537318</v>
      </c>
      <c r="AG46" s="221">
        <f ca="1">营运资本!AG38/资产负债!AG86</f>
        <v>-7.798459623328907</v>
      </c>
      <c r="AH46" s="221">
        <f ca="1">营运资本!AH38/资产负债!AH86</f>
        <v>-7.4395523618140871</v>
      </c>
      <c r="AI46" s="221">
        <f ca="1">营运资本!AI38/资产负债!AI86</f>
        <v>-7.0205380220421656</v>
      </c>
      <c r="AJ46" s="221">
        <f ca="1">营运资本!AJ38/资产负债!AJ86</f>
        <v>-6.7755220014010673</v>
      </c>
      <c r="AK46" s="221">
        <f ca="1">营运资本!AK38/资产负债!AK86</f>
        <v>-6.4800044852601593</v>
      </c>
      <c r="AL46" s="221">
        <f ca="1">营运资本!AL38/资产负债!AL86</f>
        <v>-6.3031543076582954</v>
      </c>
      <c r="AM46" s="221"/>
    </row>
    <row r="47" spans="1:39" s="258" customFormat="1" ht="16.5" customHeight="1">
      <c r="A47" s="210"/>
      <c r="B47" s="215" t="s">
        <v>1475</v>
      </c>
      <c r="C47" s="249" t="s">
        <v>1526</v>
      </c>
      <c r="D47" s="221">
        <f>资产负债!D70/(资产负债!D40-资产负债!D60)</f>
        <v>4.7820117041117119E-2</v>
      </c>
      <c r="E47" s="221">
        <f>资产负债!E70/(资产负债!E40-资产负债!E60)</f>
        <v>3.097675862432165E-2</v>
      </c>
      <c r="F47" s="221">
        <f>资产负债!F70/(资产负债!F40-资产负债!F60)</f>
        <v>6.0119430214084613E-2</v>
      </c>
      <c r="G47" s="221">
        <f>资产负债!G70/(资产负债!G40-资产负债!G60)</f>
        <v>0.16244217249844289</v>
      </c>
      <c r="H47" s="221">
        <f>资产负债!H70/(资产负债!H40-资产负债!H60)</f>
        <v>0.13979840796828824</v>
      </c>
      <c r="I47" s="221">
        <f ca="1">资产负债!I70/(资产负债!I40-资产负债!I60)</f>
        <v>0.12872004835408946</v>
      </c>
      <c r="J47" s="221">
        <f ca="1">资产负债!J70/(资产负债!J40-资产负债!J60)</f>
        <v>0.11479032153507807</v>
      </c>
      <c r="K47" s="221">
        <f ca="1">资产负债!K70/(资产负债!K40-资产负债!K60)</f>
        <v>0.10137407986557744</v>
      </c>
      <c r="L47" s="221">
        <f ca="1">资产负债!L70/(资产负债!L40-资产负债!L60)</f>
        <v>8.3517692840968896E-2</v>
      </c>
      <c r="M47" s="221">
        <f ca="1">资产负债!M70/(资产负债!M40-资产负债!M60)</f>
        <v>6.1308765250855921E-2</v>
      </c>
      <c r="N47" s="221">
        <f ca="1">资产负债!N70/(资产负债!N40-资产负债!N60)</f>
        <v>6.400127163537965E-2</v>
      </c>
      <c r="O47" s="221">
        <f ca="1">资产负债!O70/(资产负债!O40-资产负债!O60)</f>
        <v>6.9844106227151342E-2</v>
      </c>
      <c r="P47" s="221">
        <f ca="1">资产负债!P70/(资产负债!P40-资产负债!P60)</f>
        <v>7.7260164863029335E-2</v>
      </c>
      <c r="Q47" s="221">
        <f ca="1">资产负债!Q70/(资产负债!Q40-资产负债!Q60)</f>
        <v>8.5924245074814762E-2</v>
      </c>
      <c r="R47" s="221">
        <f ca="1">资产负债!R70/(资产负债!R40-资产负债!R60)</f>
        <v>9.7329390573513544E-2</v>
      </c>
      <c r="S47" s="221">
        <f ca="1">资产负债!S70/(资产负债!S40-资产负债!S60)</f>
        <v>0.11544233823201257</v>
      </c>
      <c r="T47" s="221">
        <f ca="1">资产负债!T70/(资产负债!T40-资产负债!T60)</f>
        <v>0.14420850109077504</v>
      </c>
      <c r="U47" s="221">
        <f ca="1">资产负债!U70/(资产负债!U40-资产负债!U60)</f>
        <v>0.19348994761858415</v>
      </c>
      <c r="V47" s="221">
        <f ca="1">资产负债!V70/(资产负债!V40-资产负债!V60)</f>
        <v>0.31327130193300878</v>
      </c>
      <c r="W47" s="221">
        <f ca="1">资产负债!W70/(资产负债!W40-资产负债!W60)</f>
        <v>0.71293563032596852</v>
      </c>
      <c r="X47" s="221">
        <f ca="1">资产负债!X70/(资产负债!X40-资产负债!X60)</f>
        <v>-3.719804193356993</v>
      </c>
      <c r="Y47" s="221">
        <f ca="1">资产负债!Y70/(资产负债!Y40-资产负债!Y60)</f>
        <v>-0.53178157984459817</v>
      </c>
      <c r="Z47" s="221">
        <f ca="1">资产负债!Z70/(资产负债!Z40-资产负债!Z60)</f>
        <v>-0.28633709784633865</v>
      </c>
      <c r="AA47" s="221">
        <f ca="1">资产负债!AA70/(资产负债!AA40-资产负债!AA60)</f>
        <v>-0.19665121854043513</v>
      </c>
      <c r="AB47" s="221">
        <f ca="1">资产负债!AB70/(资产负债!AB40-资产负债!AB60)</f>
        <v>-0.1505594419547181</v>
      </c>
      <c r="AC47" s="221">
        <f ca="1">资产负债!AC70/(资产负债!AC40-资产负债!AC60)</f>
        <v>-0.12280588397543338</v>
      </c>
      <c r="AD47" s="221">
        <f ca="1">资产负债!AD70/(资产负债!AD40-资产负债!AD60)</f>
        <v>-0.10422383337546595</v>
      </c>
      <c r="AE47" s="221">
        <f ca="1">资产负债!AE70/(资产负债!AE40-资产负债!AE60)</f>
        <v>-9.0921469689958276E-2</v>
      </c>
      <c r="AF47" s="221">
        <f ca="1">资产负债!AF70/(资产负债!AF40-资产负债!AF60)</f>
        <v>-8.1056170567566463E-2</v>
      </c>
      <c r="AG47" s="221">
        <f ca="1">资产负债!AG70/(资产负债!AG40-资产负债!AG60)</f>
        <v>-7.3472506041830032E-2</v>
      </c>
      <c r="AH47" s="221">
        <f ca="1">资产负债!AH70/(资产负债!AH40-资产负债!AH60)</f>
        <v>-6.7473791321276413E-2</v>
      </c>
      <c r="AI47" s="221">
        <f ca="1">资产负债!AI70/(资产负债!AI40-资产负债!AI60)</f>
        <v>-6.2650552397831377E-2</v>
      </c>
      <c r="AJ47" s="221">
        <f ca="1">资产负债!AJ70/(资产负债!AJ40-资产负债!AJ60)</f>
        <v>-5.8687790477606749E-2</v>
      </c>
      <c r="AK47" s="221">
        <f ca="1">资产负债!AK70/(资产负债!AK40-资产负债!AK60)</f>
        <v>-5.538722655915175E-2</v>
      </c>
      <c r="AL47" s="221">
        <f ca="1">资产负债!AL70/(资产负债!AL40-资产负债!AL60)</f>
        <v>-5.2625499502333715E-2</v>
      </c>
      <c r="AM47" s="221"/>
    </row>
    <row r="48" spans="1:39" s="258" customFormat="1" ht="16.5" customHeight="1">
      <c r="A48" s="210"/>
      <c r="B48" s="215" t="s">
        <v>1476</v>
      </c>
      <c r="C48" s="250" t="s">
        <v>1527</v>
      </c>
      <c r="D48" s="221">
        <f>IF(利润表!D9&lt;&gt;0,利润表!D26/利润表!D9,"-")</f>
        <v>8.6244713479404513</v>
      </c>
      <c r="E48" s="221">
        <f>IF(利润表!E9&lt;&gt;0,利润表!E26/利润表!E9,"-")</f>
        <v>12.128405473307131</v>
      </c>
      <c r="F48" s="221">
        <f>IF(利润表!F9&lt;&gt;0,利润表!F26/利润表!F9,"-")</f>
        <v>19.484015352189353</v>
      </c>
      <c r="G48" s="221">
        <f>IF(利润表!G9&lt;&gt;0,利润表!G26/利润表!G9,"-")</f>
        <v>9.1494196963528633</v>
      </c>
      <c r="H48" s="221">
        <f>IF(利润表!H9&lt;&gt;0,利润表!H26/利润表!H9,"-")</f>
        <v>2.1144356422319399</v>
      </c>
      <c r="I48" s="221">
        <f ca="1">IF(利润表!I9&lt;&gt;0,利润表!I26/利润表!I9,"-")</f>
        <v>-0.9185331617692063</v>
      </c>
      <c r="J48" s="221">
        <f ca="1">IF(利润表!J9&lt;&gt;0,利润表!J26/利润表!J9,"-")</f>
        <v>1.3542097670075488</v>
      </c>
      <c r="K48" s="221">
        <f ca="1">IF(利润表!K9&lt;&gt;0,利润表!K26/利润表!K9,"-")</f>
        <v>1.1090104985047311</v>
      </c>
      <c r="L48" s="221">
        <f ca="1">IF(利润表!L9&lt;&gt;0,利润表!L26/利润表!L9,"-")</f>
        <v>0.87297326022036048</v>
      </c>
      <c r="M48" s="221">
        <f ca="1">IF(利润表!M9&lt;&gt;0,利润表!M26/利润表!M9,"-")</f>
        <v>0.71178175752209794</v>
      </c>
      <c r="N48" s="221">
        <f ca="1">IF(利润表!N9&lt;&gt;0,利润表!N26/利润表!N9,"-")</f>
        <v>0.66924723027872157</v>
      </c>
      <c r="O48" s="221">
        <f ca="1">IF(利润表!O9&lt;&gt;0,利润表!O26/利润表!O9,"-")</f>
        <v>0.6833318938407561</v>
      </c>
      <c r="P48" s="221">
        <f ca="1">IF(利润表!P9&lt;&gt;0,利润表!P26/利润表!P9,"-")</f>
        <v>0.64995210383361257</v>
      </c>
      <c r="Q48" s="221">
        <f ca="1">IF(利润表!Q9&lt;&gt;0,利润表!Q26/利润表!Q9,"-")</f>
        <v>0.61043998010487022</v>
      </c>
      <c r="R48" s="221">
        <f ca="1">利润表!R26/利润表!R9</f>
        <v>0.58114082608218653</v>
      </c>
      <c r="S48" s="221">
        <f ca="1">利润表!S26/利润表!S9</f>
        <v>0.56189836434766849</v>
      </c>
      <c r="T48" s="221">
        <f ca="1">利润表!T26/利润表!T9</f>
        <v>0.54810979880165067</v>
      </c>
      <c r="U48" s="221">
        <f ca="1">利润表!U26/利润表!U9</f>
        <v>0.53314966350727011</v>
      </c>
      <c r="V48" s="221">
        <f ca="1">IF(利润表!V9&lt;&gt;0,利润表!V26/利润表!V9,"-")</f>
        <v>0.51679344325697629</v>
      </c>
      <c r="W48" s="221">
        <f ca="1">IF(利润表!W9&lt;&gt;0,利润表!W26/利润表!W9,"-")</f>
        <v>0.50259445307752648</v>
      </c>
      <c r="X48" s="221">
        <f ca="1">IF(利润表!X9&lt;&gt;0,利润表!X26/利润表!X9,"-")</f>
        <v>0.49103354025749874</v>
      </c>
      <c r="Y48" s="221">
        <f ca="1">IF(利润表!Y9&lt;&gt;0,利润表!Y26/利润表!Y9,"-")</f>
        <v>0.48085714307052291</v>
      </c>
      <c r="Z48" s="221">
        <f ca="1">IF(利润表!Z9&lt;&gt;0,利润表!Z26/利润表!Z9,"-")</f>
        <v>0.47124333585731959</v>
      </c>
      <c r="AA48" s="221">
        <f ca="1">利润表!AA26/利润表!AA9</f>
        <v>0.46238217609060611</v>
      </c>
      <c r="AB48" s="221">
        <f ca="1">利润表!AB26/利润表!AB9</f>
        <v>0.45466725872716002</v>
      </c>
      <c r="AC48" s="221">
        <f ca="1">利润表!AC26/利润表!AC9</f>
        <v>0.4478840158408211</v>
      </c>
      <c r="AD48" s="221">
        <f ca="1">利润表!AD26/利润表!AD9</f>
        <v>0.44173322929758185</v>
      </c>
      <c r="AE48" s="221">
        <f ca="1">IF(利润表!AE9&lt;&gt;0,利润表!AE26/利润表!AE9,"-")</f>
        <v>0.43610321013502995</v>
      </c>
      <c r="AF48" s="221">
        <f ca="1">IF(利润表!AF9&lt;&gt;0,利润表!AF26/利润表!AF9,"-")</f>
        <v>0.43101578730614687</v>
      </c>
      <c r="AG48" s="221">
        <f ca="1">IF(利润表!AG9&lt;&gt;0,利润表!AG26/利润表!AG9,"-")</f>
        <v>0.42645655321010117</v>
      </c>
      <c r="AH48" s="221">
        <f ca="1">IF(利润表!AH9&lt;&gt;0,利润表!AH26/利润表!AH9,"-")</f>
        <v>0.42233401247156166</v>
      </c>
      <c r="AI48" s="221">
        <f ca="1">IF(利润表!AI9&lt;&gt;0,利润表!AI26/利润表!AI9,"-")</f>
        <v>0.4185737032003391</v>
      </c>
      <c r="AJ48" s="221">
        <f ca="1">利润表!AJ26/利润表!AJ9</f>
        <v>0.41514204655679671</v>
      </c>
      <c r="AK48" s="221">
        <f ca="1">利润表!AK26/利润表!AK9</f>
        <v>0.41202222589220089</v>
      </c>
      <c r="AL48" s="221">
        <f ca="1">利润表!AL26/利润表!AL9</f>
        <v>0.40918277531550296</v>
      </c>
      <c r="AM48" s="221"/>
    </row>
    <row r="49" spans="1:39" s="258" customFormat="1" ht="16.5" customHeight="1">
      <c r="A49" s="210"/>
      <c r="B49" s="215" t="s">
        <v>1477</v>
      </c>
      <c r="C49" s="250" t="s">
        <v>1528</v>
      </c>
      <c r="D49" s="221">
        <f>IF(利润表!D9&lt;&gt;0,现金流量!D13/利润表!D9,"-")</f>
        <v>-0.6980559823608008</v>
      </c>
      <c r="E49" s="221">
        <f>IF(利润表!E9&lt;&gt;0,现金流量!E13/利润表!E9,"-")</f>
        <v>2.9652068964307792</v>
      </c>
      <c r="F49" s="221">
        <f>IF(利润表!F9&lt;&gt;0,现金流量!F13/利润表!F9,"-")</f>
        <v>18.078503668123034</v>
      </c>
      <c r="G49" s="221">
        <f>IF(利润表!G9&lt;&gt;0,现金流量!G13/利润表!G9,"-")</f>
        <v>7.1132699934744856</v>
      </c>
      <c r="H49" s="221">
        <f>IF(利润表!H9&lt;&gt;0,现金流量!H13/利润表!H9,"-")</f>
        <v>-1.6835184170434763</v>
      </c>
      <c r="I49" s="221">
        <f ca="1">IF(利润表!I9&lt;&gt;0,现金流量!I13/利润表!I9,"-")</f>
        <v>-9.175731704553705</v>
      </c>
      <c r="J49" s="221">
        <f ca="1">IF(利润表!J9&lt;&gt;0,现金流量!J13/利润表!J9,"-")</f>
        <v>-9.226504555004345</v>
      </c>
      <c r="K49" s="221">
        <f ca="1">IF(利润表!K9&lt;&gt;0,现金流量!K13/利润表!K9,"-")</f>
        <v>4.6083488860428394</v>
      </c>
      <c r="L49" s="221">
        <f ca="1">IF(利润表!L9&lt;&gt;0,现金流量!L13/利润表!L9,"-")</f>
        <v>-3.711922114258853</v>
      </c>
      <c r="M49" s="221">
        <f ca="1">IF(利润表!M9&lt;&gt;0,现金流量!M13/利润表!M9,"-")</f>
        <v>2.4858771232961177</v>
      </c>
      <c r="N49" s="221">
        <f ca="1">IF(利润表!N9&lt;&gt;0,现金流量!N13/利润表!N9,"-")</f>
        <v>-3.0742902904657479</v>
      </c>
      <c r="O49" s="221">
        <f ca="1">IF(利润表!O9&lt;&gt;0,现金流量!O13/利润表!O9,"-")</f>
        <v>1.8324420069354646</v>
      </c>
      <c r="P49" s="221">
        <f ca="1">IF(利润表!P9&lt;&gt;0,现金流量!P13/利润表!P9,"-")</f>
        <v>-2.4164389127417349</v>
      </c>
      <c r="Q49" s="221">
        <f ca="1">IF(利润表!Q9&lt;&gt;0,现金流量!Q13/利润表!Q9,"-")</f>
        <v>1.4044528941880934</v>
      </c>
      <c r="R49" s="221">
        <f ca="1">现金流量!R13/利润表!R9</f>
        <v>-1.8573026207611989</v>
      </c>
      <c r="S49" s="221">
        <f ca="1">现金流量!S13/利润表!S9</f>
        <v>0.87387017791789068</v>
      </c>
      <c r="T49" s="221">
        <f ca="1">现金流量!T13/利润表!T9</f>
        <v>-1.4529673834636716</v>
      </c>
      <c r="U49" s="221">
        <f ca="1">现金流量!U13/利润表!U9</f>
        <v>0.59591345378197913</v>
      </c>
      <c r="V49" s="221">
        <f ca="1">IF(利润表!V9&lt;&gt;0,现金流量!V13/利润表!V9,"-")</f>
        <v>-1.2224448445644993</v>
      </c>
      <c r="W49" s="221">
        <f ca="1">IF(利润表!W9&lt;&gt;0,现金流量!W13/利润表!W9,"-")</f>
        <v>0.31313899191247396</v>
      </c>
      <c r="X49" s="221">
        <f ca="1">IF(利润表!X9&lt;&gt;0,现金流量!X13/利润表!X9,"-")</f>
        <v>-1.0179400364492079</v>
      </c>
      <c r="Y49" s="221">
        <f ca="1">IF(利润表!Y9&lt;&gt;0,现金流量!Y13/利润表!Y9,"-")</f>
        <v>0.15278817275957682</v>
      </c>
      <c r="Z49" s="221">
        <f ca="1">IF(利润表!Z9&lt;&gt;0,现金流量!Z13/利润表!Z9,"-")</f>
        <v>-0.84949337132840452</v>
      </c>
      <c r="AA49" s="221">
        <f ca="1">现金流量!AA13/利润表!AA9</f>
        <v>3.6752148763423677E-2</v>
      </c>
      <c r="AB49" s="221">
        <f ca="1">现金流量!AB13/利润表!AB9</f>
        <v>-0.72898747635500416</v>
      </c>
      <c r="AC49" s="221">
        <f ca="1">现金流量!AC13/利润表!AC9</f>
        <v>-5.133230884496761E-2</v>
      </c>
      <c r="AD49" s="221">
        <f ca="1">现金流量!AD13/利润表!AD9</f>
        <v>-0.63472158419131353</v>
      </c>
      <c r="AE49" s="221">
        <f ca="1">IF(利润表!AE9&lt;&gt;0,现金流量!AE13/利润表!AE9,"-")</f>
        <v>-0.11526765163294241</v>
      </c>
      <c r="AF49" s="221">
        <f ca="1">IF(利润表!AF9&lt;&gt;0,现金流量!AF13/利润表!AF9,"-")</f>
        <v>-0.56328558548309515</v>
      </c>
      <c r="AG49" s="221">
        <f ca="1">IF(利润表!AG9&lt;&gt;0,现金流量!AG13/利润表!AG9,"-")</f>
        <v>-0.16385658210261633</v>
      </c>
      <c r="AH49" s="221">
        <f ca="1">IF(利润表!AH9&lt;&gt;0,现金流量!AH13/利润表!AH9,"-")</f>
        <v>-0.50821390534254318</v>
      </c>
      <c r="AI49" s="221">
        <f ca="1">IF(利润表!AI9&lt;&gt;0,现金流量!AI13/利润表!AI9,"-")</f>
        <v>-0.1998191214221102</v>
      </c>
      <c r="AJ49" s="221">
        <f ca="1">现金流量!AJ13/利润表!AJ9</f>
        <v>-0.46540526350567513</v>
      </c>
      <c r="AK49" s="221">
        <f ca="1">现金流量!AK13/利润表!AK9</f>
        <v>-0.22698853065268756</v>
      </c>
      <c r="AL49" s="221">
        <f ca="1">现金流量!AL13/利润表!AL9</f>
        <v>-0.43218750562542441</v>
      </c>
      <c r="AM49" s="221"/>
    </row>
    <row r="50" spans="1:39" s="258" customFormat="1" ht="16.5" customHeight="1">
      <c r="A50" s="211" t="s">
        <v>1493</v>
      </c>
      <c r="B50" s="210"/>
      <c r="C50" s="250"/>
      <c r="D50" s="221"/>
      <c r="E50" s="221"/>
      <c r="F50" s="221"/>
      <c r="G50" s="221"/>
      <c r="H50" s="221"/>
      <c r="I50" s="221"/>
      <c r="J50" s="221"/>
      <c r="K50" s="221"/>
      <c r="L50" s="221"/>
      <c r="M50" s="221"/>
      <c r="N50" s="221"/>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row>
    <row r="51" spans="1:39" s="258" customFormat="1" ht="16.5" customHeight="1">
      <c r="A51" s="210"/>
      <c r="B51" s="466" t="s">
        <v>1478</v>
      </c>
      <c r="C51" s="466" t="s">
        <v>831</v>
      </c>
      <c r="D51" s="221">
        <f>利润表!D31</f>
        <v>0.30338526343179734</v>
      </c>
      <c r="E51" s="221">
        <f>利润表!E31</f>
        <v>0.59790590348967854</v>
      </c>
      <c r="F51" s="221">
        <f>利润表!F31</f>
        <v>1.4553374745901901</v>
      </c>
      <c r="G51" s="221">
        <f>利润表!G31</f>
        <v>0.58428333878770544</v>
      </c>
      <c r="H51" s="221">
        <f>利润表!H31</f>
        <v>0.15089182928365422</v>
      </c>
      <c r="I51" s="221">
        <f ca="1">利润表!I31</f>
        <v>-0.16878258363402929</v>
      </c>
      <c r="J51" s="221">
        <f ca="1">利润表!J31</f>
        <v>0.14208196892715891</v>
      </c>
      <c r="K51" s="221">
        <f ca="1">利润表!K31</f>
        <v>9.694859503498017E-2</v>
      </c>
      <c r="L51" s="221">
        <f ca="1">利润表!L31</f>
        <v>1.9742950466599778E-2</v>
      </c>
      <c r="M51" s="221">
        <f ca="1">利润表!M31</f>
        <v>-5.7681752511795581E-2</v>
      </c>
      <c r="N51" s="221">
        <f ca="1">利润表!N31</f>
        <v>-9.8708275461786579E-2</v>
      </c>
      <c r="O51" s="221">
        <f ca="1">利润表!O31</f>
        <v>-0.11235582629754923</v>
      </c>
      <c r="P51" s="221">
        <f ca="1">利润表!P31</f>
        <v>-0.16286602174602019</v>
      </c>
      <c r="Q51" s="221">
        <f ca="1">利润表!Q31</f>
        <v>-0.22956786123627346</v>
      </c>
      <c r="R51" s="221">
        <f ca="1">利润表!R31</f>
        <v>-0.30126299339109552</v>
      </c>
      <c r="S51" s="221">
        <f ca="1">利润表!S31</f>
        <v>-0.37736734404182198</v>
      </c>
      <c r="T51" s="221">
        <f ca="1">利润表!T31</f>
        <v>-0.46085670643147425</v>
      </c>
      <c r="U51" s="221">
        <f ca="1">利润表!U31</f>
        <v>-0.56073000019316643</v>
      </c>
      <c r="V51" s="221">
        <f ca="1">利润表!V31</f>
        <v>-0.68230455101805898</v>
      </c>
      <c r="W51" s="221">
        <f ca="1">利润表!W31</f>
        <v>-0.82270052116244285</v>
      </c>
      <c r="X51" s="221">
        <f ca="1">利润表!X31</f>
        <v>-0.98159222597359463</v>
      </c>
      <c r="Y51" s="221">
        <f ca="1">利润表!Y31</f>
        <v>-1.1634703656464347</v>
      </c>
      <c r="Z51" s="221">
        <f ca="1">利润表!Z31</f>
        <v>-1.372979333469142</v>
      </c>
      <c r="AA51" s="221">
        <f ca="1">利润表!AA31</f>
        <v>-1.6133816321415693</v>
      </c>
      <c r="AB51" s="221">
        <f ca="1">利润表!AB31</f>
        <v>-1.8870632526147033</v>
      </c>
      <c r="AC51" s="221">
        <f ca="1">利润表!AC31</f>
        <v>-2.1985967904039123</v>
      </c>
      <c r="AD51" s="221">
        <f ca="1">利润表!AD31</f>
        <v>-2.5538883432048411</v>
      </c>
      <c r="AE51" s="221">
        <f ca="1">利润表!AE31</f>
        <v>-2.9589139773460365</v>
      </c>
      <c r="AF51" s="221">
        <f ca="1">利润表!AF31</f>
        <v>-3.419904116920315</v>
      </c>
      <c r="AG51" s="221">
        <f ca="1">利润表!AG31</f>
        <v>-3.9440017514314425</v>
      </c>
      <c r="AH51" s="221">
        <f ca="1">利润表!AH31</f>
        <v>-4.5397793319470372</v>
      </c>
      <c r="AI51" s="221">
        <f ca="1">利润表!AI31</f>
        <v>-5.2170007175853446</v>
      </c>
      <c r="AJ51" s="221">
        <f ca="1">利润表!AJ31</f>
        <v>-5.98643227643658</v>
      </c>
      <c r="AK51" s="221">
        <f ca="1">利润表!AK31</f>
        <v>-6.8600516039390449</v>
      </c>
      <c r="AL51" s="221">
        <f ca="1">利润表!AL31</f>
        <v>-7.851639849233929</v>
      </c>
      <c r="AM51" s="221"/>
    </row>
    <row r="52" spans="1:39" s="258" customFormat="1" ht="16.5" customHeight="1">
      <c r="A52" s="216"/>
      <c r="B52" s="215" t="s">
        <v>1479</v>
      </c>
      <c r="C52" s="466" t="s">
        <v>833</v>
      </c>
      <c r="D52" s="221">
        <f>假设!D22</f>
        <v>0.05</v>
      </c>
      <c r="E52" s="221">
        <f>假设!E22</f>
        <v>0</v>
      </c>
      <c r="F52" s="221">
        <f>假设!F22</f>
        <v>0.15</v>
      </c>
      <c r="G52" s="221">
        <f>假设!G22</f>
        <v>0</v>
      </c>
      <c r="H52" s="221">
        <f>假设!H22</f>
        <v>0.05</v>
      </c>
      <c r="I52" s="221">
        <f>假设!I22</f>
        <v>0.05</v>
      </c>
      <c r="J52" s="221">
        <f>假设!J22</f>
        <v>6.25E-2</v>
      </c>
      <c r="K52" s="221">
        <f>假设!K22</f>
        <v>4.0625000000000001E-2</v>
      </c>
      <c r="L52" s="221">
        <f>假设!L22</f>
        <v>5.078125E-2</v>
      </c>
      <c r="M52" s="221">
        <f>假设!M22</f>
        <v>5.0976562500000003E-2</v>
      </c>
      <c r="N52" s="221">
        <f>假设!N22</f>
        <v>5.1220703125000003E-2</v>
      </c>
      <c r="O52" s="221">
        <f>假设!O22</f>
        <v>4.840087890625E-2</v>
      </c>
      <c r="P52" s="221">
        <f>假设!P22</f>
        <v>5.0344848632812501E-2</v>
      </c>
      <c r="Q52" s="221">
        <f>假设!Q22</f>
        <v>5.0235748291015625E-2</v>
      </c>
      <c r="R52" s="221">
        <f>假设!R22</f>
        <v>5.0050544738769534E-2</v>
      </c>
      <c r="S52" s="221">
        <f>假设!S22</f>
        <v>4.9758005142211917E-2</v>
      </c>
      <c r="T52" s="221">
        <f>假设!T22</f>
        <v>5.0097286701202393E-2</v>
      </c>
      <c r="U52" s="221">
        <f>假设!U22</f>
        <v>5.0035396218299867E-2</v>
      </c>
      <c r="V52" s="221">
        <f>假设!V22</f>
        <v>4.9985308200120926E-2</v>
      </c>
      <c r="W52" s="221">
        <f>假设!W22</f>
        <v>4.9968999065458777E-2</v>
      </c>
      <c r="X52" s="221">
        <f>假设!X22</f>
        <v>5.0021747546270492E-2</v>
      </c>
      <c r="Y52" s="221">
        <f>假设!Y22</f>
        <v>5.0002862757537514E-2</v>
      </c>
      <c r="Z52" s="221">
        <f>假设!Z22</f>
        <v>4.9994729392346927E-2</v>
      </c>
      <c r="AA52" s="221">
        <f>假设!AA22</f>
        <v>4.9997084690403426E-2</v>
      </c>
      <c r="AB52" s="221">
        <f>假设!AB22</f>
        <v>5.0004106096639592E-2</v>
      </c>
      <c r="AC52" s="221">
        <f>假设!AC22</f>
        <v>4.9999695734231867E-2</v>
      </c>
      <c r="AD52" s="221">
        <f>假设!AD22</f>
        <v>4.9998903978405451E-2</v>
      </c>
      <c r="AE52" s="221">
        <f>假设!AE22</f>
        <v>4.9999947624920084E-2</v>
      </c>
      <c r="AF52" s="221">
        <f>假设!AF22</f>
        <v>5.0000663358549247E-2</v>
      </c>
      <c r="AG52" s="221">
        <f>假设!AG22</f>
        <v>4.9999802674026664E-2</v>
      </c>
      <c r="AH52" s="221">
        <f>假设!AH22</f>
        <v>4.9999829408975363E-2</v>
      </c>
      <c r="AI52" s="221">
        <f>假设!AI22</f>
        <v>5.0000060766617838E-2</v>
      </c>
      <c r="AJ52" s="221">
        <f>假设!AJ22</f>
        <v>5.0000089052042278E-2</v>
      </c>
      <c r="AK52" s="221">
        <f>假设!AK22</f>
        <v>4.999994547541553E-2</v>
      </c>
      <c r="AL52" s="221">
        <f>假设!AL22</f>
        <v>4.999998117576275E-2</v>
      </c>
      <c r="AM52" s="221"/>
    </row>
    <row r="53" spans="1:39" s="258" customFormat="1" ht="16.5" customHeight="1">
      <c r="A53" s="210"/>
      <c r="B53" s="215" t="s">
        <v>1480</v>
      </c>
      <c r="C53" s="466" t="s">
        <v>832</v>
      </c>
      <c r="D53" s="221">
        <f>资产负债!D86/假设!D136</f>
        <v>4.7651614382217726</v>
      </c>
      <c r="E53" s="221">
        <f>资产负债!E86/假设!E136</f>
        <v>5.1513382456432497</v>
      </c>
      <c r="F53" s="221">
        <f>资产负债!F86/假设!F136</f>
        <v>6.7876455808017235</v>
      </c>
      <c r="G53" s="221">
        <f>资产负债!G86/假设!G136</f>
        <v>4.3154389721516733</v>
      </c>
      <c r="H53" s="221">
        <f>资产负债!H86/假设!H136</f>
        <v>4.7573716939920532</v>
      </c>
      <c r="I53" s="221">
        <f ca="1">资产负债!I86/假设!I136</f>
        <v>4.5386403579710093</v>
      </c>
      <c r="J53" s="221">
        <f ca="1">资产负债!J86/假设!J136</f>
        <v>4.6306705614651014</v>
      </c>
      <c r="K53" s="221">
        <f ca="1">资产负债!K86/假设!K136</f>
        <v>4.6650767741648789</v>
      </c>
      <c r="L53" s="221">
        <f ca="1">资产负债!L84/假设!L136</f>
        <v>4.6433616964683484</v>
      </c>
      <c r="M53" s="221">
        <f ca="1">资产负债!M84/假设!M136</f>
        <v>4.5348986939565528</v>
      </c>
      <c r="N53" s="221">
        <f ca="1">资产负债!N84/假设!N136</f>
        <v>4.385213855994766</v>
      </c>
      <c r="O53" s="221">
        <f ca="1">资产负债!O84/假设!O136</f>
        <v>4.2216373265722167</v>
      </c>
      <c r="P53" s="221">
        <f ca="1">资产负债!P84/假设!P136</f>
        <v>4.0103704259199464</v>
      </c>
      <c r="Q53" s="221">
        <f ca="1">资产负债!Q84/假设!Q136</f>
        <v>3.7304577160508607</v>
      </c>
      <c r="R53" s="221">
        <f ca="1">资产负债!R84/假设!R136</f>
        <v>3.3789589743687496</v>
      </c>
      <c r="S53" s="221">
        <f ca="1">资产负债!S84/假设!S136</f>
        <v>2.9515410855881585</v>
      </c>
      <c r="T53" s="221">
        <f ca="1">资产负债!T84/假设!T136</f>
        <v>2.4409263740144724</v>
      </c>
      <c r="U53" s="221">
        <f ca="1">资产负债!U84/假设!U136</f>
        <v>1.8300990871201037</v>
      </c>
      <c r="V53" s="221">
        <f ca="1">资产负债!V84/假设!V136</f>
        <v>1.0977591398837447</v>
      </c>
      <c r="W53" s="221">
        <f ca="1">资产负债!W84/假设!W136</f>
        <v>0.22507331052118099</v>
      </c>
      <c r="X53" s="221">
        <f ca="1">资产负债!X84/假设!X136</f>
        <v>-0.80648791451787238</v>
      </c>
      <c r="Y53" s="221">
        <f ca="1">资产负债!Y84/假设!Y136</f>
        <v>-2.0199800277105777</v>
      </c>
      <c r="Z53" s="221">
        <f ca="1">资产负债!Z84/假设!Z136</f>
        <v>-3.4429622239372573</v>
      </c>
      <c r="AA53" s="221">
        <f ca="1">资产负债!AA84/假设!AA136</f>
        <v>-5.1063385854711729</v>
      </c>
      <c r="AB53" s="221">
        <f ca="1">资产负债!AB84/假设!AB136</f>
        <v>-7.0433989227762801</v>
      </c>
      <c r="AC53" s="221">
        <f ca="1">资产负债!AC84/假设!AC136</f>
        <v>-9.2919998192768318</v>
      </c>
      <c r="AD53" s="221">
        <f ca="1">资产负债!AD84/假设!AD136</f>
        <v>-11.895887858215904</v>
      </c>
      <c r="AE53" s="221">
        <f ca="1">资产负债!AE84/假设!AE136</f>
        <v>-14.904800739540347</v>
      </c>
      <c r="AF53" s="221">
        <f ca="1">资产负债!AF84/假设!AF136</f>
        <v>-18.374704804085582</v>
      </c>
      <c r="AG53" s="221">
        <f ca="1">资产负债!AG84/假设!AG136</f>
        <v>-22.368707218875574</v>
      </c>
      <c r="AH53" s="221">
        <f ca="1">资产负债!AH84/假设!AH136</f>
        <v>-26.958486353496639</v>
      </c>
      <c r="AI53" s="221">
        <f ca="1">资产负债!AI84/假设!AI136</f>
        <v>-32.225486900490957</v>
      </c>
      <c r="AJ53" s="221">
        <f ca="1">资产负债!AJ84/假设!AJ136</f>
        <v>-38.261919237694158</v>
      </c>
      <c r="AK53" s="221">
        <f ca="1">资产负债!AK84/假设!AK136</f>
        <v>-45.171970930685241</v>
      </c>
      <c r="AL53" s="221">
        <f ca="1">资产负债!AL84/假设!AL136</f>
        <v>-53.07361072539458</v>
      </c>
      <c r="AM53" s="221"/>
    </row>
    <row r="54" spans="1:39" s="411" customFormat="1" ht="16.5" customHeight="1">
      <c r="A54" s="210"/>
      <c r="B54" s="215" t="s">
        <v>1481</v>
      </c>
      <c r="C54" s="226" t="s">
        <v>343</v>
      </c>
      <c r="D54" s="221">
        <f>利润表!D2/假设!D136</f>
        <v>5.0710965536513708</v>
      </c>
      <c r="E54" s="221">
        <f>利润表!E2/假设!E136</f>
        <v>7.6547249637828774</v>
      </c>
      <c r="F54" s="221">
        <f>利润表!F2/假设!F136</f>
        <v>10.196417265234279</v>
      </c>
      <c r="G54" s="221">
        <f>利润表!G2/假设!G136</f>
        <v>6.7501865350793091</v>
      </c>
      <c r="H54" s="221">
        <f>利润表!H2/假设!H136</f>
        <v>6.4872378754975975</v>
      </c>
      <c r="I54" s="221">
        <f>利润表!I2/假设!I136</f>
        <v>7.084712483830927</v>
      </c>
      <c r="J54" s="221">
        <f>利润表!J2/假设!J136</f>
        <v>8.2033885850278292</v>
      </c>
      <c r="K54" s="221">
        <f>利润表!K2/假设!K136</f>
        <v>9.5528137515278679</v>
      </c>
      <c r="L54" s="221">
        <f>利润表!L2/假设!L136</f>
        <v>10.787154789518812</v>
      </c>
      <c r="M54" s="221">
        <f>利润表!M2/假设!M136</f>
        <v>11.929604911443747</v>
      </c>
      <c r="N54" s="221">
        <f>利润表!N2/假设!N136</f>
        <v>13.479539148738134</v>
      </c>
      <c r="O54" s="221">
        <f>利润表!O2/假设!O136</f>
        <v>15.332814300909757</v>
      </c>
      <c r="P54" s="221">
        <f>利润表!P2/假设!P136</f>
        <v>17.378297965994005</v>
      </c>
      <c r="Q54" s="221">
        <f>利润表!Q2/假设!Q136</f>
        <v>19.588600857875551</v>
      </c>
      <c r="R54" s="221">
        <f>利润表!R2/假设!R136</f>
        <v>22.07209426671594</v>
      </c>
      <c r="S54" s="221">
        <f>利润表!S2/假设!S136</f>
        <v>24.962598844555068</v>
      </c>
      <c r="T54" s="221">
        <f>利润表!T2/假设!T136</f>
        <v>28.236799079013519</v>
      </c>
      <c r="U54" s="221">
        <f>利润表!U2/假设!U136</f>
        <v>31.904744610536582</v>
      </c>
      <c r="V54" s="221">
        <f>利润表!V2/假设!V136</f>
        <v>36.026781836253924</v>
      </c>
      <c r="W54" s="221">
        <f>利润表!W2/假设!W136</f>
        <v>40.695866991145607</v>
      </c>
      <c r="X54" s="221">
        <f>利润表!X2/假设!X136</f>
        <v>45.993002088471989</v>
      </c>
      <c r="Y54" s="221">
        <f>利润表!Y2/假设!Y136</f>
        <v>51.972334483069595</v>
      </c>
      <c r="Z54" s="221">
        <f>利润表!Z2/假设!Z136</f>
        <v>58.716964661913266</v>
      </c>
      <c r="AA54" s="221">
        <f>利润表!AA2/假设!AA136</f>
        <v>66.335389108121888</v>
      </c>
      <c r="AB54" s="221">
        <f>利润表!AB2/假设!AB136</f>
        <v>74.949588032281184</v>
      </c>
      <c r="AC54" s="221">
        <f>利润表!AC2/假设!AC136</f>
        <v>84.686277471363567</v>
      </c>
      <c r="AD54" s="221">
        <f>利润表!AD2/假设!AD136</f>
        <v>95.683554786364411</v>
      </c>
      <c r="AE54" s="221">
        <f>利润表!AE2/假设!AE136</f>
        <v>108.1061292325027</v>
      </c>
      <c r="AF54" s="221">
        <f>利润表!AF2/假设!AF136</f>
        <v>122.14274113190075</v>
      </c>
      <c r="AG54" s="221">
        <f>利润表!AG2/假设!AG136</f>
        <v>138.00414748764101</v>
      </c>
      <c r="AH54" s="221">
        <f>利润表!AH2/假设!AH136</f>
        <v>155.92534600507386</v>
      </c>
      <c r="AI54" s="221">
        <f>利润表!AI2/假设!AI136</f>
        <v>176.1722297675673</v>
      </c>
      <c r="AJ54" s="221">
        <f>利润表!AJ2/假设!AJ136</f>
        <v>199.0478454646574</v>
      </c>
      <c r="AK54" s="221">
        <f>利润表!AK2/假设!AK136</f>
        <v>224.89454103994225</v>
      </c>
      <c r="AL54" s="221">
        <f>利润表!AL2/假设!AL136</f>
        <v>254.0979516249368</v>
      </c>
      <c r="AM54" s="221"/>
    </row>
    <row r="55" spans="1:39" s="411" customFormat="1" ht="16.5" customHeight="1">
      <c r="A55" s="218" t="s">
        <v>2741</v>
      </c>
      <c r="B55" s="217"/>
      <c r="C55" s="25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422"/>
    </row>
    <row r="56" spans="1:39" s="258" customFormat="1" ht="16.5" customHeight="1">
      <c r="A56" s="211" t="s">
        <v>1494</v>
      </c>
      <c r="B56" s="210"/>
      <c r="C56" s="246"/>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398"/>
    </row>
    <row r="57" spans="1:39" s="406" customFormat="1" ht="16.5" customHeight="1">
      <c r="A57" s="210"/>
      <c r="B57" s="210" t="s">
        <v>1529</v>
      </c>
      <c r="C57" s="210" t="s">
        <v>305</v>
      </c>
      <c r="D57" s="221">
        <f>年度数据!D144</f>
        <v>24.6309</v>
      </c>
      <c r="E57" s="221">
        <f>年度数据!E144</f>
        <v>37.1325</v>
      </c>
      <c r="F57" s="221">
        <f>年度数据!F144</f>
        <v>36.098500000000001</v>
      </c>
      <c r="G57" s="221">
        <f>年度数据!G144</f>
        <v>21.010100000000001</v>
      </c>
      <c r="H57" s="221">
        <f>年度数据!H144</f>
        <v>22.085999999999999</v>
      </c>
      <c r="I57" s="221">
        <f ca="1">目录!$F12/利润表!I35</f>
        <v>-25.989742154941741</v>
      </c>
      <c r="J57" s="221">
        <f ca="1">目录!$F12/利润表!J35</f>
        <v>30.873838967858017</v>
      </c>
      <c r="K57" s="221">
        <f ca="1">目录!$F12/利润表!K35</f>
        <v>45.24682206390478</v>
      </c>
      <c r="L57" s="221">
        <f ca="1">目录!$F12/利润表!L35</f>
        <v>222.18643744836348</v>
      </c>
      <c r="M57" s="221">
        <f ca="1">目录!$F12/利润表!M35</f>
        <v>-76.048587948091082</v>
      </c>
      <c r="N57" s="221">
        <f ca="1">目录!$F12/利润表!N35</f>
        <v>-44.440203299788408</v>
      </c>
      <c r="O57" s="221">
        <f ca="1">目录!$F12/利润表!O35</f>
        <v>-39.042174967200559</v>
      </c>
      <c r="P57" s="221">
        <f ca="1">目录!$F12/利润表!P35</f>
        <v>-26.933891930718218</v>
      </c>
      <c r="Q57" s="221">
        <f ca="1">目录!$F12/利润表!Q35</f>
        <v>-19.108144342463351</v>
      </c>
      <c r="R57" s="221">
        <f ca="1">目录!$F12/利润表!R35</f>
        <v>-14.560752316494</v>
      </c>
      <c r="S57" s="221">
        <f ca="1">目录!$F12/利润表!S35</f>
        <v>-11.624259221558825</v>
      </c>
      <c r="T57" s="221">
        <f ca="1">目录!$F12/利润表!T35</f>
        <v>-9.5183942593782476</v>
      </c>
      <c r="U57" s="221">
        <f ca="1">目录!$F12/利润表!U35</f>
        <v>-7.8230446514047065</v>
      </c>
      <c r="V57" s="221">
        <f ca="1">目录!$F12/利润表!V35</f>
        <v>-6.4291170597471323</v>
      </c>
      <c r="W57" s="221">
        <f ca="1">目录!$F12/利润表!W35</f>
        <v>-5.3319716179287191</v>
      </c>
      <c r="X57" s="221">
        <f ca="1">目录!$F12/利润表!X35</f>
        <v>-4.4688779238674545</v>
      </c>
      <c r="Y57" s="221">
        <f ca="1">目录!$F12/利润表!Y35</f>
        <v>-3.7702858262797836</v>
      </c>
      <c r="Z57" s="221">
        <f ca="1">目录!$F12/利润表!Z35</f>
        <v>-3.1949612947265096</v>
      </c>
      <c r="AA57" s="221">
        <f ca="1">目录!$F12/利润表!AA35</f>
        <v>-2.7188953571205641</v>
      </c>
      <c r="AB57" s="221">
        <f ca="1">目录!$F12/利润表!AB35</f>
        <v>-2.3245727575984758</v>
      </c>
      <c r="AC57" s="221">
        <f ca="1">目录!$F12/利润表!AC35</f>
        <v>-1.9951888622958596</v>
      </c>
      <c r="AD57" s="221">
        <f ca="1">目录!$F12/利润表!AD35</f>
        <v>-1.7176224013727255</v>
      </c>
      <c r="AE57" s="221">
        <f ca="1">目录!$F12/利润表!AE35</f>
        <v>-1.4825087388406726</v>
      </c>
      <c r="AF57" s="221">
        <f ca="1">目录!$F12/利润表!AF35</f>
        <v>-1.2826721682605351</v>
      </c>
      <c r="AG57" s="221">
        <f ca="1">目录!$F12/利润表!AG35</f>
        <v>-1.1122246148347232</v>
      </c>
      <c r="AH57" s="221">
        <f ca="1">目录!$F12/利润表!AH35</f>
        <v>-0.96626190573275339</v>
      </c>
      <c r="AI57" s="221">
        <f ca="1">目录!$F12/利润表!AI35</f>
        <v>-0.84083098054922789</v>
      </c>
      <c r="AJ57" s="221">
        <f ca="1">目录!$F12/利润表!AJ35</f>
        <v>-0.7327596181384417</v>
      </c>
      <c r="AK57" s="221">
        <f ca="1">目录!$F12/利润表!AK35</f>
        <v>-0.6394435613829077</v>
      </c>
      <c r="AL57" s="221">
        <f ca="1">目录!$F12/利润表!AL35</f>
        <v>-0.55868785541931154</v>
      </c>
      <c r="AM57" s="221"/>
    </row>
    <row r="58" spans="1:39" s="406" customFormat="1" ht="16.5" customHeight="1">
      <c r="A58" s="210"/>
      <c r="B58" s="210" t="s">
        <v>1530</v>
      </c>
      <c r="C58" s="210" t="s">
        <v>306</v>
      </c>
      <c r="D58" s="221">
        <f>年度数据!D146</f>
        <v>1.8601000000000001</v>
      </c>
      <c r="E58" s="221">
        <f>年度数据!E146</f>
        <v>2.2090000000000001</v>
      </c>
      <c r="F58" s="221">
        <f>年度数据!F146</f>
        <v>3.4443999999999999</v>
      </c>
      <c r="G58" s="221">
        <f>年度数据!G146</f>
        <v>3.7793000000000001</v>
      </c>
      <c r="H58" s="221">
        <f>年度数据!H146</f>
        <v>2.6052</v>
      </c>
      <c r="I58" s="221">
        <f ca="1">目录!$F12*目录!$F8/(资产负债!I84-资产负债!I75)</f>
        <v>0.96670187226809612</v>
      </c>
      <c r="J58" s="221">
        <f ca="1">目录!$F12*目录!$F8/(资产负债!J84-资产负债!J75)</f>
        <v>0.94747514433275126</v>
      </c>
      <c r="K58" s="221">
        <f ca="1">目录!$F12*目录!$F8/(资产负债!K84-资产负债!K75)</f>
        <v>0.94047739950416953</v>
      </c>
      <c r="L58" s="221">
        <f ca="1">目录!$F12*目录!$F8/(资产负债!L84-资产负债!L75)</f>
        <v>0.94470689893266047</v>
      </c>
      <c r="M58" s="221">
        <f ca="1">目录!$F12*目录!$F8/(资产负债!M84-资产负债!M75)</f>
        <v>0.96730183515216073</v>
      </c>
      <c r="N58" s="221">
        <f ca="1">目录!$F12*目录!$F8/(资产负债!N84-资产负债!N75)</f>
        <v>1.0003197045673446</v>
      </c>
      <c r="O58" s="221">
        <f ca="1">目录!$F12*目录!$F8/(资产负债!O84-资产负债!O75)</f>
        <v>1.0390792693826802</v>
      </c>
      <c r="P58" s="221">
        <f ca="1">目录!$F12*目录!$F8/(资产负债!P84-资产负债!P75)</f>
        <v>1.0938181172845289</v>
      </c>
      <c r="Q58" s="221">
        <f ca="1">目录!$F12*目录!$F8/(资产负债!Q84-资产负债!Q75)</f>
        <v>1.1758921190874863</v>
      </c>
      <c r="R58" s="221">
        <f ca="1">目录!$F12*目录!$F8/(资产负债!R84-资产负债!R75)</f>
        <v>1.2982151787483034</v>
      </c>
      <c r="S58" s="221">
        <f ca="1">目录!$F12*目录!$F8/(资产负债!S84-资产负债!S75)</f>
        <v>1.4862120166012129</v>
      </c>
      <c r="T58" s="221">
        <f ca="1">目录!$F12*目录!$F8/(资产负债!T84-资产负债!T75)</f>
        <v>1.797111078643006</v>
      </c>
      <c r="U58" s="221">
        <f ca="1">目录!$F12*目录!$F8/(资产负债!U84-资产负债!U75)</f>
        <v>2.3969280460088171</v>
      </c>
      <c r="V58" s="221">
        <f ca="1">目录!$F12*目录!$F8/(资产负债!V84-资产负债!V75)</f>
        <v>3.9959729502756525</v>
      </c>
      <c r="W58" s="221">
        <f ca="1">目录!$F12*目录!$F8/(资产负债!W84-资产负债!W75)</f>
        <v>19.489720121571228</v>
      </c>
      <c r="X58" s="221">
        <f ca="1">目录!$F12*目录!$F8/(资产负债!X84-资产负债!X75)</f>
        <v>-5.4391587895221951</v>
      </c>
      <c r="Y58" s="221">
        <f ca="1">目录!$F12*目录!$F8/(资产负债!Y84-资产负债!Y75)</f>
        <v>-2.1716134658346355</v>
      </c>
      <c r="Z58" s="221">
        <f ca="1">目录!$F12*目录!$F8/(资产负债!Z84-资产负债!Z75)</f>
        <v>-1.2740818933171223</v>
      </c>
      <c r="AA58" s="221">
        <f ca="1">目录!$F12*目录!$F8/(资产负债!AA84-资产负债!AA75)</f>
        <v>-0.85905306815618221</v>
      </c>
      <c r="AB58" s="221">
        <f ca="1">目录!$F12*目录!$F8/(资产负债!AB84-资产负债!AB75)</f>
        <v>-0.6227981514305948</v>
      </c>
      <c r="AC58" s="221">
        <f ca="1">目录!$F12*目录!$F8/(资产负债!AC84-资产负债!AC75)</f>
        <v>-0.47208522537774944</v>
      </c>
      <c r="AD58" s="221">
        <f ca="1">目录!$F12*目录!$F8/(资产负债!AD84-资产负债!AD75)</f>
        <v>-0.3687506036687872</v>
      </c>
      <c r="AE58" s="221">
        <f ca="1">目录!$F12*目录!$F8/(资产负债!AE84-资产负债!AE75)</f>
        <v>-0.29430892137029602</v>
      </c>
      <c r="AF58" s="221">
        <f ca="1">目录!$F12*目录!$F8/(资产负债!AF84-资产负债!AF75)</f>
        <v>-0.23873122728578228</v>
      </c>
      <c r="AG58" s="221">
        <f ca="1">目录!$F12*目录!$F8/(资产负债!AG84-资产负债!AG75)</f>
        <v>-0.19610502234084029</v>
      </c>
      <c r="AH58" s="221">
        <f ca="1">目录!$F12*目录!$F8/(资产负债!AH84-资产负债!AH75)</f>
        <v>-0.16271743789221854</v>
      </c>
      <c r="AI58" s="221">
        <f ca="1">目录!$F12*目录!$F8/(资产负债!AI84-资产负债!AI75)</f>
        <v>-0.13612256169902834</v>
      </c>
      <c r="AJ58" s="221">
        <f ca="1">目录!$F12*目录!$F8/(资产负债!AJ84-资产负债!AJ75)</f>
        <v>-0.11464704113879857</v>
      </c>
      <c r="AK58" s="221">
        <f ca="1">目录!$F12*目录!$F8/(资产负债!AK84-资产负债!AK75)</f>
        <v>-9.7109241383875278E-2</v>
      </c>
      <c r="AL58" s="221">
        <f ca="1">目录!$F12*目录!$F8/(资产负债!AL84-资产负债!AL75)</f>
        <v>-8.2651543185743886E-2</v>
      </c>
      <c r="AM58" s="221"/>
    </row>
    <row r="59" spans="1:39" s="406" customFormat="1" ht="16.5" customHeight="1">
      <c r="A59" s="210"/>
      <c r="B59" s="210" t="s">
        <v>1531</v>
      </c>
      <c r="C59" s="400" t="s">
        <v>309</v>
      </c>
      <c r="D59" s="221">
        <f>年度数据!D145</f>
        <v>2.6297999999999999</v>
      </c>
      <c r="E59" s="221">
        <f>年度数据!E145</f>
        <v>2.2214999999999998</v>
      </c>
      <c r="F59" s="221">
        <f>年度数据!F145</f>
        <v>2.8195999999999999</v>
      </c>
      <c r="G59" s="221">
        <f>年度数据!G145</f>
        <v>2.9988000000000001</v>
      </c>
      <c r="H59" s="221">
        <f>年度数据!H145</f>
        <v>1.9117</v>
      </c>
      <c r="I59" s="221">
        <f>目录!$F12*目录!$F8/利润表!I2</f>
        <v>0.61916638662537926</v>
      </c>
      <c r="J59" s="221">
        <f>目录!$F12*目录!$F8/利润表!J2</f>
        <v>0.53473217603020928</v>
      </c>
      <c r="K59" s="221">
        <f>目录!$F12*目录!$F8/利润表!K2</f>
        <v>0.45919620574531972</v>
      </c>
      <c r="L59" s="221">
        <f>目录!$F12*目录!$F8/利润表!L2</f>
        <v>0.40665179229239429</v>
      </c>
      <c r="M59" s="221">
        <f>目录!$F12*目录!$F8/利润表!M2</f>
        <v>0.36770839113752618</v>
      </c>
      <c r="N59" s="221">
        <f>目录!$F12*目录!$F8/利润表!N2</f>
        <v>0.32542773016865023</v>
      </c>
      <c r="O59" s="221">
        <f>目录!$F12*目录!$F8/利润表!O2</f>
        <v>0.28609332525686659</v>
      </c>
      <c r="P59" s="221">
        <f>目录!$F12*目录!$F8/利润表!P2</f>
        <v>0.25241918612956665</v>
      </c>
      <c r="Q59" s="221">
        <f>目录!$F12*目录!$F8/利润表!Q2</f>
        <v>0.22393716941400038</v>
      </c>
      <c r="R59" s="221">
        <f>目录!$F12*目录!$F8/利润表!R2</f>
        <v>0.19874035403646298</v>
      </c>
      <c r="S59" s="221">
        <f>目录!$F12*目录!$F8/利润表!S2</f>
        <v>0.17572752966184588</v>
      </c>
      <c r="T59" s="221">
        <f>目录!$F12*目录!$F8/利润表!T2</f>
        <v>0.15535103028563821</v>
      </c>
      <c r="U59" s="221">
        <f>目录!$F12*目录!$F8/利润表!U2</f>
        <v>0.13749101841876599</v>
      </c>
      <c r="V59" s="221">
        <f>目录!$F12*目录!$F8/利润表!V2</f>
        <v>0.12175985767563169</v>
      </c>
      <c r="W59" s="221">
        <f>目录!$F12*目录!$F8/利润表!W2</f>
        <v>0.10779020458877869</v>
      </c>
      <c r="X59" s="221">
        <f>目录!$F12*目录!$F8/利润表!X2</f>
        <v>9.5375723038370719E-2</v>
      </c>
      <c r="Y59" s="221">
        <f>目录!$F12*目录!$F8/利润表!Y2</f>
        <v>8.4402901515272244E-2</v>
      </c>
      <c r="Z59" s="221">
        <f>目录!$F12*目录!$F8/利润表!Z2</f>
        <v>7.4707809815289836E-2</v>
      </c>
      <c r="AA59" s="221">
        <f>目录!$F12*目录!$F8/利润表!AA2</f>
        <v>6.6127837461591482E-2</v>
      </c>
      <c r="AB59" s="221">
        <f>目录!$F12*目录!$F8/利润表!AB2</f>
        <v>5.8527550905336158E-2</v>
      </c>
      <c r="AC59" s="221">
        <f>目录!$F12*目录!$F8/利润表!AC2</f>
        <v>5.1798425434116321E-2</v>
      </c>
      <c r="AD59" s="221">
        <f>目录!$F12*目录!$F8/利润表!AD2</f>
        <v>4.5845034067635147E-2</v>
      </c>
      <c r="AE59" s="221">
        <f>目录!$F12*目录!$F8/利润表!AE2</f>
        <v>4.057693916187733E-2</v>
      </c>
      <c r="AF59" s="221">
        <f>目录!$F12*目录!$F8/利润表!AF2</f>
        <v>3.5913847914680802E-2</v>
      </c>
      <c r="AG59" s="221">
        <f>目录!$F12*目录!$F8/利润表!AG2</f>
        <v>3.1786115915727498E-2</v>
      </c>
      <c r="AH59" s="221">
        <f>目录!$F12*目录!$F8/利润表!AH2</f>
        <v>2.8132795220801168E-2</v>
      </c>
      <c r="AI59" s="221">
        <f>目录!$F12*目录!$F8/利润表!AI2</f>
        <v>2.4899587379241261E-2</v>
      </c>
      <c r="AJ59" s="221">
        <f>目录!$F12*目录!$F8/利润表!AJ2</f>
        <v>2.2037997038617484E-2</v>
      </c>
      <c r="AK59" s="221">
        <f>目录!$F12*目录!$F8/利润表!AK2</f>
        <v>1.9505212570340817E-2</v>
      </c>
      <c r="AL59" s="221">
        <f>目录!$F12*目录!$F8/利润表!AL2</f>
        <v>1.7263483632360042E-2</v>
      </c>
      <c r="AM59" s="221"/>
    </row>
    <row r="60" spans="1:39" s="406" customFormat="1" ht="16.5" customHeight="1">
      <c r="A60" s="216"/>
      <c r="B60" s="210" t="s">
        <v>1532</v>
      </c>
      <c r="C60" s="249" t="s">
        <v>310</v>
      </c>
      <c r="D60" s="221">
        <f>年度数据!D148</f>
        <v>53.659300000000002</v>
      </c>
      <c r="E60" s="221">
        <f>年度数据!E148</f>
        <v>-34.663699999999999</v>
      </c>
      <c r="F60" s="221">
        <f>年度数据!F148</f>
        <v>75.077200000000005</v>
      </c>
      <c r="G60" s="221">
        <f>年度数据!G148</f>
        <v>33.876600000000003</v>
      </c>
      <c r="H60" s="221">
        <f>年度数据!H148</f>
        <v>24.308</v>
      </c>
      <c r="I60" s="221">
        <f ca="1">目录!$F12*目录!$F8/现金流量!I13</f>
        <v>-3.5663759944517248</v>
      </c>
      <c r="J60" s="221">
        <f ca="1">目录!$F12*目录!$F8/现金流量!J13</f>
        <v>-1.5828103397592848</v>
      </c>
      <c r="K60" s="221">
        <f ca="1">目录!$F12*目录!$F8/现金流量!K13</f>
        <v>2.4043695314548033</v>
      </c>
      <c r="L60" s="221">
        <f ca="1">目录!$F12*目录!$F8/现金流量!L13</f>
        <v>-2.5102108908330609</v>
      </c>
      <c r="M60" s="221">
        <f ca="1">目录!$F12*目录!$F8/现金流量!M13</f>
        <v>3.1572610767087568</v>
      </c>
      <c r="N60" s="221">
        <f ca="1">目录!$F12*目录!$F8/现金流量!N13</f>
        <v>-2.1500688402922044</v>
      </c>
      <c r="O60" s="221">
        <f ca="1">目录!$F12*目录!$F8/现金流量!O13</f>
        <v>3.053739711192522</v>
      </c>
      <c r="P60" s="221">
        <f ca="1">目录!$F12*目录!$F8/现金流量!P13</f>
        <v>-1.9633690673294895</v>
      </c>
      <c r="Q60" s="221">
        <f ca="1">目录!$F12*目录!$F8/现金流量!Q13</f>
        <v>2.8991481234872318</v>
      </c>
      <c r="R60" s="221">
        <f ca="1">目录!$F12*目录!$F8/现金流量!R13</f>
        <v>-1.8928049432402356</v>
      </c>
      <c r="S60" s="221">
        <f ca="1">目录!$F12*目录!$F8/现金流量!S13</f>
        <v>3.470956963066592</v>
      </c>
      <c r="T60" s="221">
        <f ca="1">目录!$F12*目录!$F8/现金流量!T13</f>
        <v>-1.8040376926131605</v>
      </c>
      <c r="U60" s="221">
        <f ca="1">目录!$F12*目录!$F8/现金流量!U13</f>
        <v>3.8113406774186265</v>
      </c>
      <c r="V60" s="221">
        <f ca="1">目录!$F12*目录!$F8/现金流量!V13</f>
        <v>-1.6116106070298017</v>
      </c>
      <c r="W60" s="221">
        <f ca="1">目录!$F12*目录!$F8/现金流量!W13</f>
        <v>5.4604238924867037</v>
      </c>
      <c r="X60" s="221">
        <f ca="1">目录!$F12*目录!$F8/现金流量!X13</f>
        <v>-1.459501512338109</v>
      </c>
      <c r="Y60" s="221">
        <f ca="1">目录!$F12*目录!$F8/现金流量!Y13</f>
        <v>8.4605693947871892</v>
      </c>
      <c r="Z60" s="221">
        <f ca="1">目录!$F12*目录!$F8/现金流量!Z13</f>
        <v>-1.3261060389313881</v>
      </c>
      <c r="AA60" s="221">
        <f ca="1">目录!$F12*目录!$F8/现金流量!AA13</f>
        <v>26.747347949795692</v>
      </c>
      <c r="AB60" s="221">
        <f ca="1">目录!$F12*目录!$F8/现金流量!AB13</f>
        <v>-1.1779740079896126</v>
      </c>
      <c r="AC60" s="221">
        <f ca="1">目录!$F12*目录!$F8/现金流量!AC13</f>
        <v>-14.628256363416545</v>
      </c>
      <c r="AD60" s="221">
        <f ca="1">目录!$F12*目录!$F8/现金流量!AD13</f>
        <v>-1.0355048364988977</v>
      </c>
      <c r="AE60" s="221">
        <f ca="1">目录!$F12*目录!$F8/现金流量!AE13</f>
        <v>-4.9955425398828082</v>
      </c>
      <c r="AF60" s="221">
        <f ca="1">目录!$F12*目录!$F8/现金流量!AF13</f>
        <v>-0.89633161229669356</v>
      </c>
      <c r="AG60" s="221">
        <f ca="1">目录!$F12*目录!$F8/现金流量!AG13</f>
        <v>-2.7036531057482782</v>
      </c>
      <c r="AH60" s="221">
        <f ca="1">目录!$F12*目录!$F8/现金流量!AH13</f>
        <v>-0.76537686590877707</v>
      </c>
      <c r="AI60" s="221">
        <f ca="1">目录!$F12*目录!$F8/现金流量!AI13</f>
        <v>-1.7102510228772143</v>
      </c>
      <c r="AJ60" s="221">
        <f ca="1">目录!$F12*目录!$F8/现金流量!AJ13</f>
        <v>-0.64548309827117256</v>
      </c>
      <c r="AK60" s="221">
        <f ca="1">目录!$F12*目录!$F8/现金流量!AK13</f>
        <v>-1.1640058643921938</v>
      </c>
      <c r="AL60" s="221">
        <f ca="1">目录!$F12*目录!$F8/现金流量!AL13</f>
        <v>-0.53793896531962671</v>
      </c>
      <c r="AM60" s="221"/>
    </row>
    <row r="61" spans="1:39" s="406" customFormat="1" ht="16.5" customHeight="1">
      <c r="A61" s="210"/>
      <c r="B61" s="215" t="s">
        <v>1533</v>
      </c>
      <c r="C61" s="249" t="s">
        <v>307</v>
      </c>
      <c r="D61" s="222" t="str">
        <f>IF(年度数据!D143&lt;&gt;0,D52/年度数据!D143,"-")</f>
        <v>-</v>
      </c>
      <c r="E61" s="222" t="str">
        <f>IF(年度数据!E143&lt;&gt;0,E52/年度数据!E143,"-")</f>
        <v>-</v>
      </c>
      <c r="F61" s="222" t="str">
        <f>IF(年度数据!F143&lt;&gt;0,F52/年度数据!F143,"-")</f>
        <v>-</v>
      </c>
      <c r="G61" s="222" t="str">
        <f>IF(年度数据!G143&lt;&gt;0,G52/年度数据!G143,"-")</f>
        <v>-</v>
      </c>
      <c r="H61" s="222" t="str">
        <f>IF(年度数据!H143&lt;&gt;0,H52/年度数据!H143,"-")</f>
        <v>-</v>
      </c>
      <c r="I61" s="222">
        <f>I52/目录!$F12</f>
        <v>1.1363636363636364E-2</v>
      </c>
      <c r="J61" s="222">
        <f>J52/目录!$F12</f>
        <v>1.4204545454545454E-2</v>
      </c>
      <c r="K61" s="222">
        <f>K52/目录!$F12</f>
        <v>9.2329545454545442E-3</v>
      </c>
      <c r="L61" s="222">
        <f>L52/目录!$F12</f>
        <v>1.154119318181818E-2</v>
      </c>
      <c r="M61" s="222">
        <f>M52/目录!$F12</f>
        <v>1.1585582386363636E-2</v>
      </c>
      <c r="N61" s="222">
        <f>N52/目录!$F12</f>
        <v>1.1641068892045454E-2</v>
      </c>
      <c r="O61" s="222">
        <f>O52/目录!$F12</f>
        <v>1.1000199751420454E-2</v>
      </c>
      <c r="P61" s="222">
        <f>P52/目录!$F12</f>
        <v>1.1442011052911932E-2</v>
      </c>
      <c r="Q61" s="222">
        <f>Q52/目录!$F12</f>
        <v>1.1417215520685368E-2</v>
      </c>
      <c r="R61" s="222">
        <f>R52/目录!$F12</f>
        <v>1.1375123804265802E-2</v>
      </c>
      <c r="S61" s="222">
        <f>S52/目录!$F12</f>
        <v>1.1308637532320889E-2</v>
      </c>
      <c r="T61" s="222">
        <f>T52/目录!$F12</f>
        <v>1.1385746977545998E-2</v>
      </c>
      <c r="U61" s="222">
        <f>U52/目录!$F12</f>
        <v>1.1371680958704514E-2</v>
      </c>
      <c r="V61" s="222">
        <f>V52/目录!$F12</f>
        <v>1.1360297318209301E-2</v>
      </c>
      <c r="W61" s="222">
        <f>W52/目录!$F12</f>
        <v>1.1356590696695175E-2</v>
      </c>
      <c r="X61" s="222">
        <f>X52/目录!$F12</f>
        <v>1.1368578987788747E-2</v>
      </c>
      <c r="Y61" s="222">
        <f>Y52/目录!$F12</f>
        <v>1.1364286990349434E-2</v>
      </c>
      <c r="Z61" s="222">
        <f>Z52/目录!$F12</f>
        <v>1.1362438498260664E-2</v>
      </c>
      <c r="AA61" s="222">
        <f>AA52/目录!$F12</f>
        <v>1.1362973793273504E-2</v>
      </c>
      <c r="AB61" s="222">
        <f>AB52/目录!$F12</f>
        <v>1.1364569567418088E-2</v>
      </c>
      <c r="AC61" s="222">
        <f>AC52/目录!$F12</f>
        <v>1.1363567212325423E-2</v>
      </c>
      <c r="AD61" s="222">
        <f>AD52/目录!$F12</f>
        <v>1.136338726781942E-2</v>
      </c>
      <c r="AE61" s="222">
        <f>AE52/目录!$F12</f>
        <v>1.136362446020911E-2</v>
      </c>
      <c r="AF61" s="222">
        <f>AF52/目录!$F12</f>
        <v>1.136378712694301E-2</v>
      </c>
      <c r="AG61" s="222">
        <f>AG52/目录!$F12</f>
        <v>1.1363591516824241E-2</v>
      </c>
      <c r="AH61" s="222">
        <f>AH52/目录!$F12</f>
        <v>1.1363597592948945E-2</v>
      </c>
      <c r="AI61" s="222">
        <f>AI52/目录!$F12</f>
        <v>1.1363650174231325E-2</v>
      </c>
      <c r="AJ61" s="222">
        <f>AJ52/目录!$F12</f>
        <v>1.1363656602736881E-2</v>
      </c>
      <c r="AK61" s="222">
        <f>AK52/目录!$F12</f>
        <v>1.1363623971685347E-2</v>
      </c>
      <c r="AL61" s="222">
        <f>AL52/目录!$F12</f>
        <v>1.1363632085400624E-2</v>
      </c>
      <c r="AM61" s="222"/>
    </row>
    <row r="62" spans="1:39" s="406" customFormat="1" ht="16.5" customHeight="1">
      <c r="A62" s="210"/>
      <c r="B62" s="215" t="s">
        <v>1482</v>
      </c>
      <c r="C62" s="249" t="s">
        <v>308</v>
      </c>
      <c r="D62" s="221">
        <f>年度数据!D143*目录!$F8</f>
        <v>0</v>
      </c>
      <c r="E62" s="221">
        <f>年度数据!E143*目录!$F8</f>
        <v>0</v>
      </c>
      <c r="F62" s="221">
        <f>年度数据!F143*目录!$F8</f>
        <v>0</v>
      </c>
      <c r="G62" s="221">
        <f>目录!$F12*假设!$I136</f>
        <v>5195.865958800001</v>
      </c>
      <c r="H62" s="221">
        <f>目录!$F12*假设!$I136</f>
        <v>5195.865958800001</v>
      </c>
      <c r="I62" s="221">
        <f>目录!$F12*假设!$I136</f>
        <v>5195.865958800001</v>
      </c>
      <c r="J62" s="221">
        <f>目录!$F12*假设!$I136</f>
        <v>5195.865958800001</v>
      </c>
      <c r="K62" s="221">
        <f>目录!$F12*假设!$I136</f>
        <v>5195.865958800001</v>
      </c>
      <c r="L62" s="221">
        <f>目录!$F12*假设!L136</f>
        <v>5195.865958800001</v>
      </c>
      <c r="M62" s="221">
        <f>目录!$F12*假设!M136</f>
        <v>5195.865958800001</v>
      </c>
      <c r="N62" s="221">
        <f>目录!$F12*假设!N136</f>
        <v>5195.865958800001</v>
      </c>
      <c r="O62" s="221">
        <f>目录!$F12*假设!O136</f>
        <v>5195.865958800001</v>
      </c>
      <c r="P62" s="221">
        <f>目录!$F12*假设!P136</f>
        <v>5195.865958800001</v>
      </c>
      <c r="Q62" s="221">
        <f>目录!$F12*假设!Q136</f>
        <v>5195.865958800001</v>
      </c>
      <c r="R62" s="221">
        <f>目录!$F12*假设!R136</f>
        <v>5195.865958800001</v>
      </c>
      <c r="S62" s="221">
        <f>目录!$F12*假设!S136</f>
        <v>5195.865958800001</v>
      </c>
      <c r="T62" s="221">
        <f>目录!$F12*假设!T136</f>
        <v>5195.865958800001</v>
      </c>
      <c r="U62" s="221">
        <f>目录!$F12*假设!U136</f>
        <v>5195.865958800001</v>
      </c>
      <c r="V62" s="221">
        <f>目录!$F12*假设!V136</f>
        <v>5195.865958800001</v>
      </c>
      <c r="W62" s="221">
        <f>目录!$F12*假设!W136</f>
        <v>5195.865958800001</v>
      </c>
      <c r="X62" s="221">
        <f>目录!$F12*假设!X136</f>
        <v>5195.865958800001</v>
      </c>
      <c r="Y62" s="221">
        <f>目录!$F12*假设!Y136</f>
        <v>5195.865958800001</v>
      </c>
      <c r="Z62" s="221">
        <f>目录!$F12*假设!Z136</f>
        <v>5195.865958800001</v>
      </c>
      <c r="AA62" s="221">
        <f>目录!$F12*假设!AA136</f>
        <v>5195.865958800001</v>
      </c>
      <c r="AB62" s="221">
        <f>目录!$F12*假设!AB136</f>
        <v>5195.865958800001</v>
      </c>
      <c r="AC62" s="221">
        <f>目录!$F12*假设!AC136</f>
        <v>5195.865958800001</v>
      </c>
      <c r="AD62" s="221">
        <f>目录!$F12*假设!AD136</f>
        <v>5195.865958800001</v>
      </c>
      <c r="AE62" s="221">
        <f>目录!$F12*假设!AE136</f>
        <v>5195.865958800001</v>
      </c>
      <c r="AF62" s="221">
        <f>目录!$F12*假设!AF136</f>
        <v>5195.865958800001</v>
      </c>
      <c r="AG62" s="221">
        <f>目录!$F12*假设!AG136</f>
        <v>5195.865958800001</v>
      </c>
      <c r="AH62" s="221">
        <f>目录!$F12*假设!AH136</f>
        <v>5195.865958800001</v>
      </c>
      <c r="AI62" s="221">
        <f>目录!$F12*假设!AI136</f>
        <v>5195.865958800001</v>
      </c>
      <c r="AJ62" s="221">
        <f>目录!$F12*假设!AJ136</f>
        <v>5195.865958800001</v>
      </c>
      <c r="AK62" s="221">
        <f>目录!$F12*假设!AK136</f>
        <v>5195.865958800001</v>
      </c>
      <c r="AL62" s="221">
        <f>目录!$F12*假设!AL136</f>
        <v>5195.865958800001</v>
      </c>
      <c r="AM62" s="221"/>
    </row>
    <row r="63" spans="1:39" s="406" customFormat="1" ht="16.5" customHeight="1">
      <c r="A63" s="210"/>
      <c r="B63" s="477" t="s">
        <v>9</v>
      </c>
      <c r="C63" s="246" t="s">
        <v>154</v>
      </c>
      <c r="D63" s="221">
        <f>D62+资产负债!D85+营运资本!D38-资产负债!D3-资产负债!D4</f>
        <v>-1041.6144729399998</v>
      </c>
      <c r="E63" s="221">
        <f>E62+资产负债!E85+营运资本!E38-资产负债!E3-资产负债!E4</f>
        <v>-494.85986064000008</v>
      </c>
      <c r="F63" s="221">
        <f>F62+资产负债!F85+营运资本!F38-资产负债!F3-资产负债!F4</f>
        <v>-731.12892908999993</v>
      </c>
      <c r="G63" s="221">
        <f>G62+资产负债!G85+营运资本!G38-资产负债!G3-资产负债!G4</f>
        <v>4581.0519070000009</v>
      </c>
      <c r="H63" s="221">
        <f>H62+资产负债!H85+营运资本!H38-资产负债!H3-资产负债!H4</f>
        <v>5284.7039189000006</v>
      </c>
      <c r="I63" s="221">
        <f ca="1">I62+资产负债!I85+营运资本!I38-资产负债!I3-资产负债!I4</f>
        <v>6914.8375217600178</v>
      </c>
      <c r="J63" s="221">
        <f ca="1">J62+资产负债!J85+营运资本!J38-资产负债!J3-资产负债!J4</f>
        <v>11003.540965203465</v>
      </c>
      <c r="K63" s="221">
        <f ca="1">K62+资产负债!K85+营运资本!K38-资产负债!K3-资产负债!K4</f>
        <v>9852.7124831503206</v>
      </c>
      <c r="L63" s="221">
        <f ca="1">L62+资产负债!L85+营运资本!L38-资产负债!L3-资产负债!L4</f>
        <v>12904.542553365945</v>
      </c>
      <c r="M63" s="221">
        <f ca="1">M62+资产负债!M85+营运资本!M38-资产负债!M3-资产负债!M4</f>
        <v>12306.501637709081</v>
      </c>
      <c r="N63" s="221">
        <f ca="1">N62+资产负债!N85+营运资本!N38-资产负债!N3-资产负债!N4</f>
        <v>16030.55688970228</v>
      </c>
      <c r="O63" s="221">
        <f ca="1">O62+资产负债!O85+营运资本!O38-资产负债!O3-资产负债!O4</f>
        <v>15873.391299232426</v>
      </c>
      <c r="P63" s="221">
        <f ca="1">P62+资产负债!P85+营运资本!P38-资产负债!P3-资产负债!P4</f>
        <v>20255.584998164988</v>
      </c>
      <c r="Q63" s="221">
        <f ca="1">Q62+资产负债!Q85+营运资本!Q38-资产负债!Q3-资产负债!Q4</f>
        <v>20437.966613435943</v>
      </c>
      <c r="R63" s="221">
        <f ca="1">R62+资产负债!R85+营运资本!R38-资产负债!R3-资产负债!R4</f>
        <v>25426.973675666522</v>
      </c>
      <c r="S63" s="221">
        <f ca="1">S62+资产负债!S85+营运资本!S38-资产负债!S3-资产负债!S4</f>
        <v>26528.440965638179</v>
      </c>
      <c r="T63" s="221">
        <f ca="1">T62+资产负债!T85+营运资本!T38-资产负债!T3-资产负债!T4</f>
        <v>32367.896330784151</v>
      </c>
      <c r="U63" s="221">
        <f ca="1">U62+资产负债!U85+营运资本!U38-资产负债!U3-资产负债!U4</f>
        <v>34388.976293480671</v>
      </c>
      <c r="V63" s="221">
        <f ca="1">V62+资产负债!V85+营运资本!V38-资产负债!V3-资产负债!V4</f>
        <v>41454.609609972191</v>
      </c>
      <c r="W63" s="221">
        <f ca="1">W62+资产负债!W85+营运资本!W38-资产负债!W3-资产负债!W4</f>
        <v>44910.056954418011</v>
      </c>
      <c r="X63" s="221">
        <f ca="1">X62+资产负债!X85+营运资本!X38-资产负债!X3-资产负债!X4</f>
        <v>53493.295231005919</v>
      </c>
      <c r="Y63" s="221">
        <f ca="1">Y62+资产负债!Y85+营运资本!Y38-资产负债!Y3-资产负债!Y4</f>
        <v>58620.889663793765</v>
      </c>
      <c r="Z63" s="221">
        <f ca="1">Z62+资产负债!Z85+营运资本!Z38-资产负债!Z3-资产负债!Z4</f>
        <v>69069.454816592159</v>
      </c>
      <c r="AA63" s="221">
        <f ca="1">AA62+资产负债!AA85+营运资本!AA38-资产负债!AA3-资产负债!AA4</f>
        <v>76328.33802919279</v>
      </c>
      <c r="AB63" s="221">
        <f ca="1">AB62+资产负债!AB85+营运资本!AB38-资产负债!AB3-资产负债!AB4</f>
        <v>89211.701734921298</v>
      </c>
      <c r="AC63" s="221">
        <f ca="1">AC62+资产负债!AC85+营运资本!AC38-资产负债!AC3-资产负债!AC4</f>
        <v>99227.327370933999</v>
      </c>
      <c r="AD63" s="221">
        <f ca="1">AD62+资产负债!AD85+营运资本!AD38-资产负债!AD3-资产负债!AD4</f>
        <v>115219.06710165815</v>
      </c>
      <c r="AE63" s="221">
        <f ca="1">AE62+资产负债!AE85+营运资本!AE38-资产负债!AE3-资产负债!AE4</f>
        <v>128747.78017536146</v>
      </c>
      <c r="AF63" s="221">
        <f ca="1">AF62+资产负债!AF85+营运资本!AF38-资产负债!AF3-资产负债!AF4</f>
        <v>148726.43674057233</v>
      </c>
      <c r="AG63" s="221">
        <f ca="1">AG62+资产负债!AG85+营运资本!AG38-资产负债!AG3-资产负债!AG4</f>
        <v>166774.42528600007</v>
      </c>
      <c r="AH63" s="221">
        <f ca="1">AH62+资产负债!AH85+营运资本!AH38-资产负债!AH3-资产负债!AH4</f>
        <v>191860.4664843081</v>
      </c>
      <c r="AI63" s="221">
        <f ca="1">AI62+资产负债!AI85+营运资本!AI38-资产负债!AI3-资产负债!AI4</f>
        <v>215686.54656136426</v>
      </c>
      <c r="AJ63" s="221">
        <f ca="1">AJ62+资产负债!AJ85+营运资本!AJ38-资产负债!AJ3-资产负债!AJ4</f>
        <v>247313.71300443579</v>
      </c>
      <c r="AK63" s="221">
        <f ca="1">AK62+资产负债!AK85+营运资本!AK38-资产负债!AK3-资产负债!AK4</f>
        <v>278539.26500493527</v>
      </c>
      <c r="AL63" s="221">
        <f ca="1">AL62+资产负债!AL85+营运资本!AL38-资产负债!AL3-资产负债!AL4</f>
        <v>318540.19864984642</v>
      </c>
      <c r="AM63" s="221"/>
    </row>
    <row r="64" spans="1:39" s="412" customFormat="1" ht="16.5" customHeight="1">
      <c r="A64" s="210"/>
      <c r="B64" s="210" t="s">
        <v>1483</v>
      </c>
      <c r="C64" s="210" t="s">
        <v>1483</v>
      </c>
      <c r="D64" s="221">
        <f>D63/利润表!D26</f>
        <v>-4.6975281244343563</v>
      </c>
      <c r="E64" s="221">
        <f>E63/利润表!E26</f>
        <v>-1.1391698182603969</v>
      </c>
      <c r="F64" s="221">
        <f>F63/利润表!F26</f>
        <v>-0.69621553663432001</v>
      </c>
      <c r="G64" s="221">
        <f>G63/利润表!G26</f>
        <v>5.4056945800550675</v>
      </c>
      <c r="H64" s="221">
        <f>H63/利润表!H26</f>
        <v>21.329882471945584</v>
      </c>
      <c r="I64" s="221">
        <f ca="1">I63/利润表!I26</f>
        <v>-47.55761976966901</v>
      </c>
      <c r="J64" s="221">
        <f ca="1">J63/利润表!J26</f>
        <v>22.907502272177513</v>
      </c>
      <c r="K64" s="221">
        <f ca="1">K63/利润表!K26</f>
        <v>19.003423867876755</v>
      </c>
      <c r="L64" s="221">
        <f ca="1">L63/利润表!L26</f>
        <v>26.589849162816339</v>
      </c>
      <c r="M64" s="221">
        <f ca="1">M63/利润表!M26</f>
        <v>26.196486684404935</v>
      </c>
      <c r="N64" s="221">
        <f ca="1">N63/利润表!N26</f>
        <v>30.565000144334146</v>
      </c>
      <c r="O64" s="221">
        <f ca="1">O63/利润表!O26</f>
        <v>25.093741674193126</v>
      </c>
      <c r="P64" s="221">
        <f ca="1">P63/利润表!P26</f>
        <v>28.543441697023027</v>
      </c>
      <c r="Q64" s="221">
        <f ca="1">Q63/利润表!Q26</f>
        <v>26.31706386997142</v>
      </c>
      <c r="R64" s="221">
        <f ca="1">R63/利润表!R26</f>
        <v>29.693880495420188</v>
      </c>
      <c r="S64" s="221">
        <f ca="1">S63/利润表!S26</f>
        <v>27.644914038193136</v>
      </c>
      <c r="T64" s="221">
        <f ca="1">T63/利润表!T26</f>
        <v>29.882265289968625</v>
      </c>
      <c r="U64" s="221">
        <f ca="1">U63/利润表!U26</f>
        <v>28.28109398638335</v>
      </c>
      <c r="V64" s="221">
        <f ca="1">V63/利润表!V26</f>
        <v>30.507762821755176</v>
      </c>
      <c r="W64" s="221">
        <f ca="1">W63/利润表!W26</f>
        <v>29.495418212695114</v>
      </c>
      <c r="X64" s="221">
        <f ca="1">X63/利润表!X26</f>
        <v>31.24496736039907</v>
      </c>
      <c r="Y64" s="221">
        <f ca="1">Y63/利润表!Y26</f>
        <v>30.42221272383707</v>
      </c>
      <c r="Z64" s="221">
        <f ca="1">Z63/利润表!Z26</f>
        <v>31.87455937056329</v>
      </c>
      <c r="AA64" s="221">
        <f ca="1">AA63/利润表!AA26</f>
        <v>31.326604279130265</v>
      </c>
      <c r="AB64" s="221">
        <f ca="1">AB63/利润表!AB26</f>
        <v>32.527377813555638</v>
      </c>
      <c r="AC64" s="221">
        <f ca="1">AC63/利润表!AC26</f>
        <v>32.115466010468815</v>
      </c>
      <c r="AD64" s="221">
        <f ca="1">AD63/利润表!AD26</f>
        <v>33.095185478708615</v>
      </c>
      <c r="AE64" s="221">
        <f ca="1">AE63/利润表!AE26</f>
        <v>32.817516290832756</v>
      </c>
      <c r="AF64" s="221">
        <f ca="1">AF63/利润表!AF26</f>
        <v>33.632370826322855</v>
      </c>
      <c r="AG64" s="221">
        <f ca="1">AG63/利润表!AG26</f>
        <v>33.445266169407908</v>
      </c>
      <c r="AH64" s="221">
        <f ca="1">AH63/利润表!AH26</f>
        <v>34.112727791581385</v>
      </c>
      <c r="AI64" s="221">
        <f ca="1">AI63/利润表!AI26</f>
        <v>33.994852150460069</v>
      </c>
      <c r="AJ64" s="221">
        <f ca="1">AJ63/利润表!AJ26</f>
        <v>34.548784899650649</v>
      </c>
      <c r="AK64" s="221">
        <f ca="1">AK63/利润表!AK26</f>
        <v>34.481805632892637</v>
      </c>
      <c r="AL64" s="221">
        <f ca="1">AL63/利润表!AL26</f>
        <v>34.939545392044465</v>
      </c>
      <c r="AM64" s="221"/>
    </row>
    <row r="65" spans="1:39" s="406" customFormat="1" ht="16.5" customHeight="1">
      <c r="A65" s="210"/>
      <c r="B65" s="210" t="s">
        <v>1484</v>
      </c>
      <c r="C65" s="210" t="s">
        <v>1484</v>
      </c>
      <c r="D65" s="221">
        <f>D63/利润表!D28</f>
        <v>-3.9550097361816676</v>
      </c>
      <c r="E65" s="221">
        <f>E63/利润表!E28</f>
        <v>-0.98954547819260275</v>
      </c>
      <c r="F65" s="221">
        <f>F63/利润表!F28</f>
        <v>-0.63492916103081776</v>
      </c>
      <c r="G65" s="221">
        <f>G63/利润表!G28</f>
        <v>4.5671053382109603</v>
      </c>
      <c r="H65" s="221">
        <f>H63/利润表!H28</f>
        <v>11.711044247893835</v>
      </c>
      <c r="I65" s="221">
        <f ca="1">I63/利润表!I28</f>
        <v>484.34971762895862</v>
      </c>
      <c r="J65" s="221">
        <f ca="1">J63/利润表!J28</f>
        <v>16.706375749873068</v>
      </c>
      <c r="K65" s="221">
        <f ca="1">K63/利润表!K28</f>
        <v>13.589835647493766</v>
      </c>
      <c r="L65" s="221">
        <f ca="1">L63/利润表!L28</f>
        <v>17.867361029467631</v>
      </c>
      <c r="M65" s="221">
        <f ca="1">M63/利润表!M28</f>
        <v>16.741484289838539</v>
      </c>
      <c r="N65" s="221">
        <f ca="1">N63/利润表!N28</f>
        <v>19.522055256629109</v>
      </c>
      <c r="O65" s="221">
        <f ca="1">O63/利润表!O28</f>
        <v>16.403766162489578</v>
      </c>
      <c r="P65" s="221">
        <f ca="1">P63/利润表!P28</f>
        <v>18.614969891785151</v>
      </c>
      <c r="Q65" s="221">
        <f ca="1">Q63/利润表!Q28</f>
        <v>16.987316784591464</v>
      </c>
      <c r="R65" s="221">
        <f ca="1">R63/利润表!R28</f>
        <v>19.037972858422684</v>
      </c>
      <c r="S65" s="221">
        <f ca="1">S63/利润表!S28</f>
        <v>17.707248395087564</v>
      </c>
      <c r="T65" s="221">
        <f ca="1">T63/利润表!T28</f>
        <v>19.152896932728705</v>
      </c>
      <c r="U65" s="221">
        <f ca="1">U63/利润表!U28</f>
        <v>18.104156956580148</v>
      </c>
      <c r="V65" s="221">
        <f ca="1">V63/利润表!V28</f>
        <v>21.020921942822948</v>
      </c>
      <c r="W65" s="221">
        <f ca="1">W63/利润表!W28</f>
        <v>20.333611109255724</v>
      </c>
      <c r="X65" s="221">
        <f ca="1">X63/利润表!X28</f>
        <v>21.589589618158691</v>
      </c>
      <c r="Y65" s="221">
        <f ca="1">Y63/利润表!Y28</f>
        <v>21.028897597710326</v>
      </c>
      <c r="Z65" s="221">
        <f ca="1">Z63/利润表!Z28</f>
        <v>21.992704941853024</v>
      </c>
      <c r="AA65" s="221">
        <f ca="1">AA63/利润表!AA28</f>
        <v>21.60081578083409</v>
      </c>
      <c r="AB65" s="221">
        <f ca="1">AB63/利润表!AB28</f>
        <v>22.43596597562879</v>
      </c>
      <c r="AC65" s="221">
        <f ca="1">AC63/利润表!AC28</f>
        <v>22.154269719368106</v>
      </c>
      <c r="AD65" s="221">
        <f ca="1">AD63/利润表!AD28</f>
        <v>22.822811147551732</v>
      </c>
      <c r="AE65" s="221">
        <f ca="1">AE63/利润表!AE28</f>
        <v>22.624383193456641</v>
      </c>
      <c r="AF65" s="221">
        <f ca="1">AF63/利润表!AF28</f>
        <v>23.183184570283739</v>
      </c>
      <c r="AG65" s="221">
        <f ca="1">AG63/利润表!AG28</f>
        <v>23.053798233268001</v>
      </c>
      <c r="AH65" s="221">
        <f ca="1">AH63/利润表!AH28</f>
        <v>23.514039904581189</v>
      </c>
      <c r="AI65" s="221">
        <f ca="1">AI63/利润表!AI28</f>
        <v>23.430249654089497</v>
      </c>
      <c r="AJ65" s="221">
        <f ca="1">AJ63/利润表!AJ28</f>
        <v>23.810376927152266</v>
      </c>
      <c r="AK65" s="221">
        <f ca="1">AK63/利润表!AK28</f>
        <v>23.765156514133267</v>
      </c>
      <c r="AL65" s="221">
        <f ca="1">AL63/利润表!AL28</f>
        <v>24.080734031408529</v>
      </c>
      <c r="AM65" s="221"/>
    </row>
    <row r="66" spans="1:39" s="406" customFormat="1" ht="16.5" customHeight="1">
      <c r="A66" s="210"/>
      <c r="B66" s="210" t="s">
        <v>1485</v>
      </c>
      <c r="C66" s="210" t="s">
        <v>1485</v>
      </c>
      <c r="D66" s="221">
        <f>D63/利润表!D34</f>
        <v>-5.6592215458473287</v>
      </c>
      <c r="E66" s="221">
        <f>E63/利润表!E34</f>
        <v>-1.3531530347328378</v>
      </c>
      <c r="F66" s="221">
        <f>F63/利润表!F34</f>
        <v>-0.81235376266302683</v>
      </c>
      <c r="G66" s="221">
        <f>G63/利润表!G34</f>
        <v>6.5942341597821095</v>
      </c>
      <c r="H66" s="221">
        <f>H63/利润表!H34</f>
        <v>24.048670832803246</v>
      </c>
      <c r="I66" s="221">
        <f ca="1">I63/利润表!I34</f>
        <v>-56.139409933631782</v>
      </c>
      <c r="J66" s="221">
        <f ca="1">J63/利润表!J34</f>
        <v>26.932641106512094</v>
      </c>
      <c r="K66" s="221">
        <f ca="1">K63/利润表!K34</f>
        <v>22.297032974865264</v>
      </c>
      <c r="L66" s="221">
        <f ca="1">L63/利润表!L34</f>
        <v>31.233126166313458</v>
      </c>
      <c r="M66" s="221">
        <f ca="1">M63/利润表!M34</f>
        <v>30.5445071259443</v>
      </c>
      <c r="N66" s="221">
        <f ca="1">N63/利润表!N34</f>
        <v>35.88324391258196</v>
      </c>
      <c r="O66" s="221">
        <f ca="1">O63/利润表!O34</f>
        <v>29.42782684291603</v>
      </c>
      <c r="P66" s="221">
        <f ca="1">P63/利润表!P34</f>
        <v>33.456288379289987</v>
      </c>
      <c r="Q66" s="221">
        <f ca="1">Q63/利润表!Q34</f>
        <v>30.840410475280589</v>
      </c>
      <c r="R66" s="221">
        <f ca="1">R63/利润表!R34</f>
        <v>34.781361935322899</v>
      </c>
      <c r="S66" s="221">
        <f ca="1">S63/利润表!S34</f>
        <v>32.411108032468228</v>
      </c>
      <c r="T66" s="221">
        <f ca="1">T63/利润表!T34</f>
        <v>35.024707350754611</v>
      </c>
      <c r="U66" s="221">
        <f ca="1">U63/利润表!U34</f>
        <v>33.144453604715956</v>
      </c>
      <c r="V66" s="221">
        <f ca="1">V63/利润表!V34</f>
        <v>35.753097128086694</v>
      </c>
      <c r="W66" s="221">
        <f ca="1">W63/利润表!W34</f>
        <v>34.567023449784031</v>
      </c>
      <c r="X66" s="221">
        <f ca="1">X63/利润表!X34</f>
        <v>36.621242511518041</v>
      </c>
      <c r="Y66" s="221">
        <f ca="1">Y63/利润表!Y34</f>
        <v>35.654855125200839</v>
      </c>
      <c r="Z66" s="221">
        <f ca="1">Z63/利润表!Z34</f>
        <v>37.356436671649263</v>
      </c>
      <c r="AA66" s="221">
        <f ca="1">AA63/利润表!AA34</f>
        <v>36.714354206944101</v>
      </c>
      <c r="AB66" s="221">
        <f ca="1">AB63/利润表!AB34</f>
        <v>38.121982682296711</v>
      </c>
      <c r="AC66" s="221">
        <f ca="1">AC63/利润表!AC34</f>
        <v>37.639552708812772</v>
      </c>
      <c r="AD66" s="221">
        <f ca="1">AD63/利润表!AD34</f>
        <v>38.7873840465451</v>
      </c>
      <c r="AE66" s="221">
        <f ca="1">AE63/利润表!AE34</f>
        <v>38.461918130766549</v>
      </c>
      <c r="AF66" s="221">
        <f ca="1">AF63/利润表!AF34</f>
        <v>39.416994583256226</v>
      </c>
      <c r="AG66" s="221">
        <f ca="1">AG63/利润表!AG34</f>
        <v>39.197771046347007</v>
      </c>
      <c r="AH66" s="221">
        <f ca="1">AH63/利润表!AH34</f>
        <v>39.980039787119715</v>
      </c>
      <c r="AI66" s="221">
        <f ca="1">AI63/利润表!AI34</f>
        <v>39.84182645908777</v>
      </c>
      <c r="AJ66" s="221">
        <f ca="1">AJ63/利润表!AJ34</f>
        <v>40.491041035827465</v>
      </c>
      <c r="AK66" s="221">
        <f ca="1">AK63/利润表!AK34</f>
        <v>40.412559007817066</v>
      </c>
      <c r="AL66" s="221">
        <f ca="1">AL63/利润表!AL34</f>
        <v>40.949034624479552</v>
      </c>
      <c r="AM66" s="221"/>
    </row>
    <row r="67" spans="1:39" s="406" customFormat="1" ht="16.5" customHeight="1">
      <c r="A67" s="216"/>
      <c r="B67" s="210" t="s">
        <v>1486</v>
      </c>
      <c r="C67" s="210" t="s">
        <v>1486</v>
      </c>
      <c r="D67" s="221">
        <f>D63/营运资本!D43</f>
        <v>-0.31010799326967775</v>
      </c>
      <c r="E67" s="221">
        <f>E63/营运资本!E43</f>
        <v>-0.13243248277232195</v>
      </c>
      <c r="F67" s="221">
        <f>F63/营运资本!F43</f>
        <v>-0.14452884777637359</v>
      </c>
      <c r="G67" s="221">
        <f>G63/营运资本!G43</f>
        <v>0.70020225498508371</v>
      </c>
      <c r="H67" s="221">
        <f>H63/营运资本!H43</f>
        <v>0.65144753719188564</v>
      </c>
      <c r="I67" s="221">
        <f ca="1">I63/营运资本!I43</f>
        <v>0.73707527447541954</v>
      </c>
      <c r="J67" s="221">
        <f ca="1">J63/营运资本!J43</f>
        <v>0.79147036120010072</v>
      </c>
      <c r="K67" s="221">
        <f ca="1">K63/营运资本!K43</f>
        <v>0.74421206276468499</v>
      </c>
      <c r="L67" s="221">
        <f ca="1">L63/营运资本!L43</f>
        <v>0.76894864260483264</v>
      </c>
      <c r="M67" s="221">
        <f ca="1">M63/营运资本!M43</f>
        <v>0.7498174996715542</v>
      </c>
      <c r="N67" s="221">
        <f ca="1">N63/营运资本!N43</f>
        <v>0.78678363357575398</v>
      </c>
      <c r="O67" s="221">
        <f ca="1">O63/营运资本!O43</f>
        <v>0.76983450186116298</v>
      </c>
      <c r="P67" s="221">
        <f ca="1">P63/营运资本!P43</f>
        <v>0.79621903167849162</v>
      </c>
      <c r="Q67" s="221">
        <f ca="1">Q63/营运资本!Q43</f>
        <v>0.78549121604365457</v>
      </c>
      <c r="R67" s="221">
        <f ca="1">R63/营运资本!R43</f>
        <v>0.81049114336429973</v>
      </c>
      <c r="S67" s="221">
        <f ca="1">S63/营运资本!S43</f>
        <v>0.80692584819199431</v>
      </c>
      <c r="T67" s="221">
        <f ca="1">T63/营运资本!T43</f>
        <v>0.82632873650504168</v>
      </c>
      <c r="U67" s="221">
        <f ca="1">U63/营运资本!U43</f>
        <v>0.82555983843680225</v>
      </c>
      <c r="V67" s="221">
        <f ca="1">V63/营运资本!V43</f>
        <v>0.84295616053933353</v>
      </c>
      <c r="W67" s="221">
        <f ca="1">W63/营运资本!W43</f>
        <v>0.84589957805296312</v>
      </c>
      <c r="X67" s="221">
        <f ca="1">X63/营运资本!X43</f>
        <v>0.8606974119418801</v>
      </c>
      <c r="Y67" s="221">
        <f ca="1">Y63/营运资本!Y43</f>
        <v>0.86505391254845154</v>
      </c>
      <c r="Z67" s="221">
        <f ca="1">Z63/营运资本!Z43</f>
        <v>0.87766642817693796</v>
      </c>
      <c r="AA67" s="221">
        <f ca="1">AA63/营运资本!AA43</f>
        <v>0.8831140939607478</v>
      </c>
      <c r="AB67" s="221">
        <f ca="1">AB63/营运资本!AB43</f>
        <v>0.89404296620868939</v>
      </c>
      <c r="AC67" s="221">
        <f ca="1">AC63/营运资本!AC43</f>
        <v>0.89990347011892646</v>
      </c>
      <c r="AD67" s="221">
        <f ca="1">AD63/营运资本!AD43</f>
        <v>0.90934311999599793</v>
      </c>
      <c r="AE67" s="221">
        <f ca="1">AE63/营运资本!AE43</f>
        <v>0.91530387125182833</v>
      </c>
      <c r="AF67" s="221">
        <f ca="1">AF63/营运资本!AF43</f>
        <v>0.92354609032626001</v>
      </c>
      <c r="AG67" s="221">
        <f ca="1">AG63/营运资本!AG43</f>
        <v>0.92935954377056751</v>
      </c>
      <c r="AH67" s="221">
        <f ca="1">AH63/营运资本!AH43</f>
        <v>0.93655155286707936</v>
      </c>
      <c r="AI67" s="221">
        <f ca="1">AI63/营运资本!AI43</f>
        <v>0.94206320193162107</v>
      </c>
      <c r="AJ67" s="221">
        <f ca="1">AJ63/营运资本!AJ43</f>
        <v>0.94836817654643546</v>
      </c>
      <c r="AK67" s="221">
        <f ca="1">AK63/营运资本!AK43</f>
        <v>0.95349848110646329</v>
      </c>
      <c r="AL67" s="221">
        <f ca="1">AL63/营运资本!AL43</f>
        <v>0.95902912766579096</v>
      </c>
      <c r="AM67" s="221"/>
    </row>
    <row r="68" spans="1:39" s="412" customFormat="1" ht="16.5" customHeight="1">
      <c r="A68" s="210"/>
      <c r="B68" s="210" t="s">
        <v>1487</v>
      </c>
      <c r="C68" s="210" t="s">
        <v>1487</v>
      </c>
      <c r="D68" s="221">
        <f>D63/利润表!D2</f>
        <v>-0.33635737838755203</v>
      </c>
      <c r="E68" s="221">
        <f>E63/利润表!E2</f>
        <v>-0.10637670540881604</v>
      </c>
      <c r="F68" s="221">
        <f>F63/利润表!F2</f>
        <v>-0.11720794634722353</v>
      </c>
      <c r="G68" s="221">
        <f>G63/利润表!G2</f>
        <v>0.58952702702869664</v>
      </c>
      <c r="H68" s="221">
        <f>H63/利润表!H2</f>
        <v>0.68985144005317012</v>
      </c>
      <c r="I68" s="221">
        <f ca="1">I63/利润表!I2</f>
        <v>0.82652213245107742</v>
      </c>
      <c r="J68" s="221">
        <f ca="1">J63/利润表!J2</f>
        <v>1.1358838329987491</v>
      </c>
      <c r="K68" s="221">
        <f ca="1">K63/利润表!K2</f>
        <v>0.87341216557434154</v>
      </c>
      <c r="L68" s="221">
        <f ca="1">L63/利润表!L2</f>
        <v>1.0130489742190578</v>
      </c>
      <c r="M68" s="221">
        <f ca="1">M63/利润表!M2</f>
        <v>0.87358122327306809</v>
      </c>
      <c r="N68" s="221">
        <f ca="1">N63/利润表!N2</f>
        <v>1.0070900450063982</v>
      </c>
      <c r="O68" s="221">
        <f ca="1">O63/利润表!O2</f>
        <v>0.87668299804915251</v>
      </c>
      <c r="P68" s="221">
        <f ca="1">P63/利润表!P2</f>
        <v>0.98703439998542319</v>
      </c>
      <c r="Q68" s="221">
        <f ca="1">Q63/利润表!Q2</f>
        <v>0.88354567648722637</v>
      </c>
      <c r="R68" s="221">
        <f ca="1">R63/利润表!R2</f>
        <v>0.97554176875027498</v>
      </c>
      <c r="S68" s="221">
        <f ca="1">S63/利润表!S2</f>
        <v>0.89994644989414896</v>
      </c>
      <c r="T68" s="221">
        <f ca="1">T63/利润表!T2</f>
        <v>0.97071948812386577</v>
      </c>
      <c r="U68" s="221">
        <f ca="1">U63/利润表!U2</f>
        <v>0.91276444139498203</v>
      </c>
      <c r="V68" s="221">
        <f ca="1">V63/利润表!V2</f>
        <v>0.97441081982755351</v>
      </c>
      <c r="W68" s="221">
        <f ca="1">W63/利润表!W2</f>
        <v>0.93451879079596334</v>
      </c>
      <c r="X68" s="221">
        <f ca="1">X63/利润表!X2</f>
        <v>0.98492311795378029</v>
      </c>
      <c r="Y68" s="221">
        <f ca="1">Y63/利润表!Y2</f>
        <v>0.9551573416460053</v>
      </c>
      <c r="Z68" s="221">
        <f ca="1">Z63/利润表!Z2</f>
        <v>0.99613263565985222</v>
      </c>
      <c r="AA68" s="221">
        <f ca="1">AA63/利润表!AA2</f>
        <v>0.97439548502684403</v>
      </c>
      <c r="AB68" s="221">
        <f ca="1">AB63/利润表!AB2</f>
        <v>1.0079693151144176</v>
      </c>
      <c r="AC68" s="221">
        <f ca="1">AC63/利润表!AC2</f>
        <v>0.99223145049758998</v>
      </c>
      <c r="AD68" s="221">
        <f ca="1">AD63/利润表!AD2</f>
        <v>1.0197220036093244</v>
      </c>
      <c r="AE68" s="221">
        <f ca="1">AE63/利润表!AE2</f>
        <v>1.0085191983740263</v>
      </c>
      <c r="AF68" s="221">
        <f ca="1">AF63/利润表!AF2</f>
        <v>1.0311343354096809</v>
      </c>
      <c r="AG68" s="221">
        <f ca="1">AG63/利润表!AG2</f>
        <v>1.0233685162374124</v>
      </c>
      <c r="AH68" s="221">
        <f ca="1">AH63/利润表!AH2</f>
        <v>1.0419899191393283</v>
      </c>
      <c r="AI68" s="221">
        <f ca="1">AI63/利润表!AI2</f>
        <v>1.03676503808473</v>
      </c>
      <c r="AJ68" s="221">
        <f ca="1">AJ63/利润表!AJ2</f>
        <v>1.0521688844991575</v>
      </c>
      <c r="AK68" s="221">
        <f ca="1">AK63/利润表!AK2</f>
        <v>1.0488231126821159</v>
      </c>
      <c r="AL68" s="221">
        <f ca="1">AL63/利润表!AL2</f>
        <v>1.061592447657256</v>
      </c>
      <c r="AM68" s="221"/>
    </row>
    <row r="69" spans="1:39" s="406" customFormat="1" ht="16.5" customHeight="1">
      <c r="A69" s="254" t="s">
        <v>1384</v>
      </c>
      <c r="B69" s="255"/>
      <c r="C69" s="256"/>
      <c r="D69" s="222"/>
      <c r="E69" s="222"/>
      <c r="F69" s="222"/>
      <c r="G69" s="222"/>
      <c r="H69" s="222"/>
      <c r="I69" s="222"/>
      <c r="J69" s="222"/>
      <c r="K69" s="222"/>
      <c r="L69" s="222"/>
      <c r="M69" s="222"/>
      <c r="N69" s="222"/>
      <c r="O69" s="222"/>
      <c r="P69" s="222"/>
      <c r="Q69" s="222"/>
      <c r="R69" s="222"/>
      <c r="S69" s="222"/>
      <c r="T69" s="222"/>
      <c r="U69" s="222"/>
      <c r="V69" s="222"/>
      <c r="W69" s="222"/>
      <c r="X69" s="222"/>
      <c r="Y69" s="222"/>
      <c r="Z69" s="222"/>
      <c r="AA69" s="222"/>
      <c r="AB69" s="222"/>
      <c r="AC69" s="222"/>
      <c r="AD69" s="222"/>
      <c r="AE69" s="222"/>
      <c r="AF69" s="222"/>
      <c r="AG69" s="222"/>
      <c r="AH69" s="222"/>
      <c r="AI69" s="222"/>
      <c r="AJ69" s="222"/>
      <c r="AK69" s="222"/>
      <c r="AL69" s="222"/>
      <c r="AM69" s="418"/>
    </row>
    <row r="70" spans="1:39" s="262" customFormat="1" ht="16.5" customHeight="1">
      <c r="A70" s="259"/>
      <c r="B70" s="260" t="s">
        <v>1385</v>
      </c>
      <c r="C70" s="261" t="s">
        <v>1535</v>
      </c>
      <c r="D70" s="402">
        <f>资产负债!D19/资产负债!D40</f>
        <v>0.77297409238163595</v>
      </c>
      <c r="E70" s="402">
        <f>资产负债!E19/资产负债!E40</f>
        <v>0.74517950075510453</v>
      </c>
      <c r="F70" s="402">
        <f>资产负债!F19/资产负债!F40</f>
        <v>0.74566092204450451</v>
      </c>
      <c r="G70" s="402">
        <f>资产负债!G19/资产负债!G40</f>
        <v>0.76306175606348092</v>
      </c>
      <c r="H70" s="402">
        <f>资产负债!H19/资产负债!H40</f>
        <v>0.75107867785388782</v>
      </c>
      <c r="I70" s="402">
        <f ca="1">资产负债!I19/资产负债!I40</f>
        <v>0.7109741606225356</v>
      </c>
      <c r="J70" s="402">
        <f ca="1">资产负债!J19/资产负债!J40</f>
        <v>0.77905421918464424</v>
      </c>
      <c r="K70" s="402">
        <f ca="1">资产负债!K19/资产负债!K40</f>
        <v>0.74749731230417082</v>
      </c>
      <c r="L70" s="402">
        <f ca="1">资产负债!L19/资产负债!L40</f>
        <v>0.78498920206688405</v>
      </c>
      <c r="M70" s="402">
        <f ca="1">资产负债!M19/资产负债!M40</f>
        <v>0.77326841690659887</v>
      </c>
      <c r="N70" s="402">
        <f ca="1">资产负债!N19/资产负债!N40</f>
        <v>0.80298641268071491</v>
      </c>
      <c r="O70" s="402">
        <f ca="1">资产负债!O19/资产负债!O40</f>
        <v>0.79147973667918459</v>
      </c>
      <c r="P70" s="402">
        <f ca="1">资产负债!P19/资产负债!P40</f>
        <v>0.81722746813555602</v>
      </c>
      <c r="Q70" s="402">
        <f ca="1">资产负债!Q19/资产负债!Q40</f>
        <v>0.80958345917545993</v>
      </c>
      <c r="R70" s="402">
        <f ca="1">资产负债!R19/资产负债!R40</f>
        <v>0.82960251048575095</v>
      </c>
      <c r="S70" s="402">
        <f ca="1">资产负债!S19/资产负债!S40</f>
        <v>0.82496916332237258</v>
      </c>
      <c r="T70" s="402">
        <f ca="1">资产负债!T19/资产负债!T40</f>
        <v>0.84030760295252827</v>
      </c>
      <c r="U70" s="402">
        <f ca="1">资产负债!U19/资产负债!U40</f>
        <v>0.8375404811680216</v>
      </c>
      <c r="V70" s="402">
        <f ca="1">资产负债!V19/资产负债!V40</f>
        <v>0.84707762919666629</v>
      </c>
      <c r="W70" s="402">
        <f ca="1">资产负债!W19/资产负债!W40</f>
        <v>0.84288778965493805</v>
      </c>
      <c r="X70" s="402">
        <f ca="1">资产负债!X19/资产负债!X40</f>
        <v>0.85020685319511924</v>
      </c>
      <c r="Y70" s="402">
        <f ca="1">资产负债!Y19/资产负债!Y40</f>
        <v>0.84702998929016604</v>
      </c>
      <c r="Z70" s="402">
        <f ca="1">资产负债!Z19/资产负债!Z40</f>
        <v>0.85285479941317011</v>
      </c>
      <c r="AA70" s="402">
        <f ca="1">资产负债!AA19/资产负债!AA40</f>
        <v>0.85055958474277049</v>
      </c>
      <c r="AB70" s="402">
        <f ca="1">资产负债!AB19/资产负债!AB40</f>
        <v>0.85516834827663923</v>
      </c>
      <c r="AC70" s="402">
        <f ca="1">资产负债!AC19/资产负债!AC40</f>
        <v>0.85344504361970364</v>
      </c>
      <c r="AD70" s="402">
        <f ca="1">资产负债!AD19/资产负债!AD40</f>
        <v>0.85707496844143649</v>
      </c>
      <c r="AE70" s="402">
        <f ca="1">资产负债!AE19/资产负债!AE40</f>
        <v>0.85583471873715267</v>
      </c>
      <c r="AF70" s="402">
        <f ca="1">资产负债!AF19/资产负债!AF40</f>
        <v>0.85871221959686506</v>
      </c>
      <c r="AG70" s="402">
        <f ca="1">资产负债!AG19/资产负债!AG40</f>
        <v>0.85778500676436431</v>
      </c>
      <c r="AH70" s="402">
        <f ca="1">资产负债!AH19/资产负债!AH40</f>
        <v>0.86006671416009028</v>
      </c>
      <c r="AI70" s="402">
        <f ca="1">资产负债!AI19/资产负债!AI40</f>
        <v>0.85938273715091573</v>
      </c>
      <c r="AJ70" s="402">
        <f ca="1">资产负债!AJ19/资产负债!AJ40</f>
        <v>0.86118545310181582</v>
      </c>
      <c r="AK70" s="402">
        <f ca="1">资产负债!AK19/资产负债!AK40</f>
        <v>0.86068462756561315</v>
      </c>
      <c r="AL70" s="402">
        <f ca="1">资产负债!AL19/资产负债!AL40</f>
        <v>0.86210821362799261</v>
      </c>
      <c r="AM70" s="196"/>
    </row>
    <row r="71" spans="1:39" s="262" customFormat="1" ht="16.5" customHeight="1">
      <c r="B71" s="263" t="s">
        <v>1536</v>
      </c>
      <c r="C71" s="256" t="s">
        <v>1570</v>
      </c>
      <c r="D71" s="222">
        <f>资产负债!D3/资产负债!D$40</f>
        <v>0.18393844320942024</v>
      </c>
      <c r="E71" s="222">
        <f>资产负债!E3/资产负债!E40</f>
        <v>0.18425131858700916</v>
      </c>
      <c r="F71" s="222">
        <f>资产负债!F3/资产负债!F40</f>
        <v>0.17392875893351753</v>
      </c>
      <c r="G71" s="222">
        <f>资产负债!G3/资产负债!G40</f>
        <v>0.20291541993440163</v>
      </c>
      <c r="H71" s="222">
        <f>资产负债!H3/资产负债!H40</f>
        <v>0.18462808341383014</v>
      </c>
      <c r="I71" s="222">
        <f ca="1">资产负债!I3/资产负债!I40</f>
        <v>0.2138932750040699</v>
      </c>
      <c r="J71" s="222">
        <f ca="1">资产负债!J3/资产负债!J40</f>
        <v>0.16991695512672314</v>
      </c>
      <c r="K71" s="222">
        <f ca="1">资产负债!K3/资产负债!K40</f>
        <v>0.21032970823806724</v>
      </c>
      <c r="L71" s="222">
        <f ca="1">资产负债!L3/资产负债!L40</f>
        <v>0.19658331191686998</v>
      </c>
      <c r="M71" s="222">
        <f ca="1">资产负债!M3/资产负债!M40</f>
        <v>0.2202480679485464</v>
      </c>
      <c r="N71" s="222">
        <f ca="1">资产负债!N3/资产负债!N40</f>
        <v>0.19875125420490464</v>
      </c>
      <c r="O71" s="222">
        <f ca="1">资产负债!O3/资产负债!O40</f>
        <v>0.2231573068875253</v>
      </c>
      <c r="P71" s="222">
        <f ca="1">资产负债!P3/资产负债!P40</f>
        <v>0.20820066306522217</v>
      </c>
      <c r="Q71" s="222">
        <f ca="1">资产负债!Q3/资产负债!Q40</f>
        <v>0.22967323622345306</v>
      </c>
      <c r="R71" s="222">
        <f ca="1">资产负债!R3/资产负债!R40</f>
        <v>0.21556399235266741</v>
      </c>
      <c r="S71" s="222">
        <f ca="1">资产负债!S3/资产负债!S40</f>
        <v>0.23179057372004552</v>
      </c>
      <c r="T71" s="222">
        <f ca="1">资产负债!T3/资产负债!T40</f>
        <v>0.22150811378496832</v>
      </c>
      <c r="U71" s="222">
        <f ca="1">资产负债!U3/资产负债!U40</f>
        <v>0.23542556040732837</v>
      </c>
      <c r="V71" s="222">
        <f ca="1">资产负债!V3/资产负债!V40</f>
        <v>0.22613733941515349</v>
      </c>
      <c r="W71" s="222">
        <f ca="1">资产负债!W3/资产负债!W40</f>
        <v>0.23640151464380751</v>
      </c>
      <c r="X71" s="222">
        <f ca="1">资产负债!X3/资产负债!X40</f>
        <v>0.2289277631761395</v>
      </c>
      <c r="Y71" s="222">
        <f ca="1">资产负债!Y3/资产负债!Y40</f>
        <v>0.23729607612709047</v>
      </c>
      <c r="Z71" s="222">
        <f ca="1">资产负债!Z3/资产负债!Z40</f>
        <v>0.23144836746172856</v>
      </c>
      <c r="AA71" s="222">
        <f ca="1">资产负债!AA3/资产负债!AA40</f>
        <v>0.23805471819407728</v>
      </c>
      <c r="AB71" s="222">
        <f ca="1">资产负债!AB3/资产负债!AB40</f>
        <v>0.23339437033475216</v>
      </c>
      <c r="AC71" s="222">
        <f ca="1">资产负债!AC3/资产负债!AC40</f>
        <v>0.23865645103783362</v>
      </c>
      <c r="AD71" s="222">
        <f ca="1">资产负债!AD3/资产负债!AD40</f>
        <v>0.23501325674172999</v>
      </c>
      <c r="AE71" s="222">
        <f ca="1">资产负债!AE3/资产负债!AE40</f>
        <v>0.23918972124632173</v>
      </c>
      <c r="AF71" s="222">
        <f ca="1">资产负债!AF3/资产负债!AF40</f>
        <v>0.23631248412289221</v>
      </c>
      <c r="AG71" s="222">
        <f ca="1">资产负债!AG3/资产负债!AG40</f>
        <v>0.2396120753913909</v>
      </c>
      <c r="AH71" s="222">
        <f ca="1">资产负债!AH3/资产负债!AH40</f>
        <v>0.23736039721826174</v>
      </c>
      <c r="AI71" s="222">
        <f ca="1">资产负债!AI3/资产负债!AI40</f>
        <v>0.23997167603312175</v>
      </c>
      <c r="AJ71" s="222">
        <f ca="1">资产负债!AJ3/资产负债!AJ40</f>
        <v>0.23820219755842179</v>
      </c>
      <c r="AK71" s="222">
        <f ca="1">资产负债!AK3/资产负债!AK40</f>
        <v>0.24026272976572063</v>
      </c>
      <c r="AL71" s="222">
        <f ca="1">资产负债!AL3/资产负债!AL40</f>
        <v>0.23887571628561385</v>
      </c>
      <c r="AM71" s="196"/>
    </row>
    <row r="72" spans="1:39" s="262" customFormat="1" ht="16.5" customHeight="1">
      <c r="B72" s="231" t="s">
        <v>1537</v>
      </c>
      <c r="C72" s="256" t="s">
        <v>1571</v>
      </c>
      <c r="D72" s="222">
        <f>资产负债!D4/资产负债!D$40</f>
        <v>0.11880006802850357</v>
      </c>
      <c r="E72" s="222">
        <f>资产负债!E4/资产负债!E$40</f>
        <v>0</v>
      </c>
      <c r="F72" s="222">
        <f>资产负债!F4/资产负债!F$40</f>
        <v>2.6600503890161532E-2</v>
      </c>
      <c r="G72" s="222">
        <f>资产负债!G4/资产负债!G$40</f>
        <v>5.0250947408431937E-6</v>
      </c>
      <c r="H72" s="222">
        <f>资产负债!H4/资产负债!H$40</f>
        <v>5.8557060547630296E-3</v>
      </c>
      <c r="I72" s="222">
        <f ca="1">资产负债!I4/资产负债!I$40</f>
        <v>6.9771086536220914E-3</v>
      </c>
      <c r="J72" s="222">
        <f ca="1">资产负债!J4/资产负债!J$40</f>
        <v>6.0942475150152766E-3</v>
      </c>
      <c r="K72" s="222">
        <f ca="1">资产负债!K4/资产负债!K$40</f>
        <v>4.1478778494892709E-3</v>
      </c>
      <c r="L72" s="222">
        <f ca="1">资产负债!L4/资产负债!L$40</f>
        <v>4.1550024524839623E-3</v>
      </c>
      <c r="M72" s="222">
        <f ca="1">资产负债!M4/资产负债!M$40</f>
        <v>4.23103562757277E-3</v>
      </c>
      <c r="N72" s="222">
        <f ca="1">资产负债!N4/资产负债!N$40</f>
        <v>3.467482353058049E-3</v>
      </c>
      <c r="O72" s="222">
        <f ca="1">资产负债!O4/资产负债!O$40</f>
        <v>3.2310990143308723E-3</v>
      </c>
      <c r="P72" s="222">
        <f ca="1">资产负债!P4/资产负债!P$40</f>
        <v>2.7492913099868752E-3</v>
      </c>
      <c r="Q72" s="222">
        <f ca="1">资产负债!Q4/资产负债!Q$40</f>
        <v>2.6754449539939233E-3</v>
      </c>
      <c r="R72" s="222">
        <f ca="1">资产负债!R4/资产负债!R$40</f>
        <v>2.2268287255507446E-3</v>
      </c>
      <c r="S72" s="222">
        <f ca="1">资产负债!S4/资产负债!S$40</f>
        <v>2.1102176558006171E-3</v>
      </c>
      <c r="T72" s="222">
        <f ca="1">资产负债!T4/资产负债!T$40</f>
        <v>1.7926854530167101E-3</v>
      </c>
      <c r="U72" s="222">
        <f ca="1">资产负债!U4/资产负债!U$40</f>
        <v>1.6824213928941913E-3</v>
      </c>
      <c r="V72" s="222">
        <f ca="1">资产负债!V4/资产负债!V$40</f>
        <v>1.4297514348708021E-3</v>
      </c>
      <c r="W72" s="222">
        <f ca="1">资产负债!W4/资产负债!W$40</f>
        <v>1.3235301870508978E-3</v>
      </c>
      <c r="X72" s="222">
        <f ca="1">资产负债!X4/资产负债!X$40</f>
        <v>1.1354416967640523E-3</v>
      </c>
      <c r="Y72" s="222">
        <f ca="1">资产负债!Y4/资产负债!Y$40</f>
        <v>1.040850392048705E-3</v>
      </c>
      <c r="Z72" s="222">
        <f ca="1">资产负债!Z4/资产负债!Z$40</f>
        <v>8.9835112915471734E-4</v>
      </c>
      <c r="AA72" s="222">
        <f ca="1">资产负债!AA4/资产负债!AA$40</f>
        <v>8.1797083713294381E-4</v>
      </c>
      <c r="AB72" s="222">
        <f ca="1">资产负债!AB4/资产负债!AB$40</f>
        <v>7.0994635094824999E-4</v>
      </c>
      <c r="AC72" s="222">
        <f ca="1">资产负债!AC4/资产负债!AC$40</f>
        <v>6.424229443209137E-4</v>
      </c>
      <c r="AD72" s="222">
        <f ca="1">资产负债!AD4/资产负债!AD$40</f>
        <v>5.5987127182752076E-4</v>
      </c>
      <c r="AE72" s="222">
        <f ca="1">资产负债!AE4/资产负债!AE$40</f>
        <v>5.0435123895186003E-4</v>
      </c>
      <c r="AF72" s="222">
        <f ca="1">资产负债!AF4/资产负债!AF$40</f>
        <v>4.4103612570279448E-4</v>
      </c>
      <c r="AG72" s="222">
        <f ca="1">资产负债!AG4/资产负债!AG$40</f>
        <v>3.9579299373204913E-4</v>
      </c>
      <c r="AH72" s="222">
        <f ca="1">资产负债!AH4/资产负债!AH$40</f>
        <v>3.4700854259530294E-4</v>
      </c>
      <c r="AI72" s="222">
        <f ca="1">资产负债!AI4/资产负债!AI$40</f>
        <v>3.1050625410776331E-4</v>
      </c>
      <c r="AJ72" s="222">
        <f ca="1">资产负债!AJ4/资产负债!AJ$40</f>
        <v>2.7279557424650521E-4</v>
      </c>
      <c r="AK72" s="222">
        <f ca="1">资产负债!AK4/资产负债!AK$40</f>
        <v>2.4353237725813754E-4</v>
      </c>
      <c r="AL72" s="222">
        <f ca="1">资产负债!AL4/资产负债!AL$40</f>
        <v>2.1429912537064704E-4</v>
      </c>
      <c r="AM72" s="196"/>
    </row>
    <row r="73" spans="1:39" s="262" customFormat="1" ht="16.5" hidden="1" customHeight="1">
      <c r="B73" s="231"/>
      <c r="C73" s="256"/>
      <c r="D73" s="222"/>
      <c r="E73" s="222"/>
      <c r="F73" s="222"/>
      <c r="G73" s="222"/>
      <c r="H73" s="222"/>
      <c r="I73" s="222"/>
      <c r="J73" s="222"/>
      <c r="K73" s="222"/>
      <c r="L73" s="222"/>
      <c r="M73" s="222"/>
      <c r="N73" s="222"/>
      <c r="O73" s="222"/>
      <c r="P73" s="222"/>
      <c r="Q73" s="222"/>
      <c r="R73" s="222"/>
      <c r="S73" s="222"/>
      <c r="T73" s="222"/>
      <c r="U73" s="222"/>
      <c r="V73" s="222"/>
      <c r="W73" s="222"/>
      <c r="X73" s="222"/>
      <c r="Y73" s="222"/>
      <c r="Z73" s="222"/>
      <c r="AA73" s="222"/>
      <c r="AB73" s="222"/>
      <c r="AC73" s="222"/>
      <c r="AD73" s="222"/>
      <c r="AE73" s="222"/>
      <c r="AF73" s="222"/>
      <c r="AG73" s="222"/>
      <c r="AH73" s="222"/>
      <c r="AI73" s="222"/>
      <c r="AJ73" s="222"/>
      <c r="AK73" s="222"/>
      <c r="AL73" s="222"/>
      <c r="AM73" s="196"/>
    </row>
    <row r="74" spans="1:39" s="262" customFormat="1" ht="16.5" customHeight="1">
      <c r="B74" s="1129" t="s">
        <v>2707</v>
      </c>
      <c r="C74" s="256" t="s">
        <v>1572</v>
      </c>
      <c r="D74" s="222">
        <f>资产负债!D6/资产负债!D$40</f>
        <v>0.33307682726970128</v>
      </c>
      <c r="E74" s="222">
        <f>资产负债!E6/资产负债!E$40</f>
        <v>0.39458682983030779</v>
      </c>
      <c r="F74" s="222">
        <f>资产负债!F6/资产负债!F$40</f>
        <v>0.36700433225902962</v>
      </c>
      <c r="G74" s="222">
        <f>资产负债!G6/资产负债!G$40</f>
        <v>0.38028626870079812</v>
      </c>
      <c r="H74" s="222">
        <f>资产负债!H6/资产负债!H$40</f>
        <v>0.38591106254048485</v>
      </c>
      <c r="I74" s="222">
        <f ca="1">资产负债!I6/资产负债!I$40</f>
        <v>0.28381108678096018</v>
      </c>
      <c r="J74" s="222">
        <f ca="1">资产负债!J6/资产负债!J$40</f>
        <v>0.4385442127848585</v>
      </c>
      <c r="K74" s="222">
        <f ca="1">资产负债!K6/资产负债!K$40</f>
        <v>0.34567733520956534</v>
      </c>
      <c r="L74" s="222">
        <f ca="1">资产负债!L6/资产负债!L$40</f>
        <v>0.41858553683298078</v>
      </c>
      <c r="M74" s="222">
        <f ca="1">资产负债!M6/资产负债!M$40</f>
        <v>0.36919374611428357</v>
      </c>
      <c r="N74" s="222">
        <f ca="1">资产负债!N6/资产负债!N$40</f>
        <v>0.43409284499306927</v>
      </c>
      <c r="O74" s="222">
        <f ca="1">资产负债!O6/资产负债!O$40</f>
        <v>0.38955134439133049</v>
      </c>
      <c r="P74" s="222">
        <f ca="1">资产负债!P6/资产负债!P$40</f>
        <v>0.4422124166841348</v>
      </c>
      <c r="Q74" s="222">
        <f ca="1">资产负债!Q6/资产负债!Q$40</f>
        <v>0.40539191078159797</v>
      </c>
      <c r="R74" s="222">
        <f ca="1">资产负债!R6/资产负债!R$40</f>
        <v>0.44792162444559708</v>
      </c>
      <c r="S74" s="222">
        <f ca="1">资产负债!S6/资产负债!S$40</f>
        <v>0.42164405914922354</v>
      </c>
      <c r="T74" s="222">
        <f ca="1">资产负债!T6/资产负债!T$40</f>
        <v>0.45404320279238947</v>
      </c>
      <c r="U74" s="222">
        <f ca="1">资产负债!U6/资产负债!U$40</f>
        <v>0.43303231766114303</v>
      </c>
      <c r="V74" s="222">
        <f ca="1">资产负债!V6/资产负债!V$40</f>
        <v>0.45756101754090367</v>
      </c>
      <c r="W74" s="222">
        <f ca="1">资产负债!W6/资产负债!W$40</f>
        <v>0.44016134925391071</v>
      </c>
      <c r="X74" s="222">
        <f ca="1">资产负债!X6/资产负债!X$40</f>
        <v>0.45945803109484967</v>
      </c>
      <c r="Y74" s="222">
        <f ca="1">资产负债!Y6/资产负债!Y$40</f>
        <v>0.44570255010518101</v>
      </c>
      <c r="Z74" s="222">
        <f ca="1">资产负债!Z6/资产负债!Z$40</f>
        <v>0.46082963463612925</v>
      </c>
      <c r="AA74" s="222">
        <f ca="1">资产负债!AA6/资产负债!AA$40</f>
        <v>0.45019034444992995</v>
      </c>
      <c r="AB74" s="222">
        <f ca="1">资产负债!AB6/资产负债!AB$40</f>
        <v>0.46213834780179597</v>
      </c>
      <c r="AC74" s="222">
        <f ca="1">资产负债!AC6/资产负债!AC$40</f>
        <v>0.45381392838255569</v>
      </c>
      <c r="AD74" s="222">
        <f ca="1">资产负债!AD6/资产负债!AD$40</f>
        <v>0.46317612215115628</v>
      </c>
      <c r="AE74" s="222">
        <f ca="1">资产负债!AE6/资产负债!AE$40</f>
        <v>0.45670249133789342</v>
      </c>
      <c r="AF74" s="222">
        <f ca="1">资产负债!AF6/资产负债!AF$40</f>
        <v>0.46407842241024311</v>
      </c>
      <c r="AG74" s="222">
        <f ca="1">资产负债!AG6/资产负债!AG$40</f>
        <v>0.45902717791721953</v>
      </c>
      <c r="AH74" s="222">
        <f ca="1">资产负债!AH6/资产负债!AH$40</f>
        <v>0.46482379931792628</v>
      </c>
      <c r="AI74" s="222">
        <f ca="1">资产负债!AI6/资产负债!AI$40</f>
        <v>0.46088112045074059</v>
      </c>
      <c r="AJ74" s="222">
        <f ca="1">资产负债!AJ6/资产负债!AJ$40</f>
        <v>0.46543699141620926</v>
      </c>
      <c r="AK74" s="222">
        <f ca="1">资产负债!AK6/资产负债!AK$40</f>
        <v>0.46236593326429598</v>
      </c>
      <c r="AL74" s="222">
        <f ca="1">资产负债!AL6/资产负债!AL$40</f>
        <v>0.46594416157111546</v>
      </c>
      <c r="AM74" s="196"/>
    </row>
    <row r="75" spans="1:39" s="262" customFormat="1" ht="16.5" hidden="1" customHeight="1">
      <c r="B75" s="1129"/>
      <c r="C75" s="256"/>
      <c r="D75" s="222"/>
      <c r="E75" s="222"/>
      <c r="F75" s="222"/>
      <c r="G75" s="222"/>
      <c r="H75" s="222"/>
      <c r="I75" s="222"/>
      <c r="J75" s="222"/>
      <c r="K75" s="222"/>
      <c r="L75" s="222"/>
      <c r="M75" s="222"/>
      <c r="N75" s="222"/>
      <c r="O75" s="222"/>
      <c r="P75" s="222"/>
      <c r="Q75" s="222"/>
      <c r="R75" s="222"/>
      <c r="S75" s="222"/>
      <c r="T75" s="222"/>
      <c r="U75" s="222"/>
      <c r="V75" s="222"/>
      <c r="W75" s="222"/>
      <c r="X75" s="222"/>
      <c r="Y75" s="222"/>
      <c r="Z75" s="222"/>
      <c r="AA75" s="222"/>
      <c r="AB75" s="222"/>
      <c r="AC75" s="222"/>
      <c r="AD75" s="222"/>
      <c r="AE75" s="222"/>
      <c r="AF75" s="222"/>
      <c r="AG75" s="222"/>
      <c r="AH75" s="222"/>
      <c r="AI75" s="222"/>
      <c r="AJ75" s="222"/>
      <c r="AK75" s="222"/>
      <c r="AL75" s="222"/>
      <c r="AM75" s="222"/>
    </row>
    <row r="76" spans="1:39" s="262" customFormat="1" ht="16.5" hidden="1" customHeight="1">
      <c r="B76" s="1129"/>
      <c r="C76" s="256"/>
      <c r="D76" s="222"/>
      <c r="E76" s="222"/>
      <c r="F76" s="222"/>
      <c r="G76" s="222"/>
      <c r="H76" s="222"/>
      <c r="I76" s="222"/>
      <c r="J76" s="222"/>
      <c r="K76" s="222"/>
      <c r="L76" s="222"/>
      <c r="M76" s="222"/>
      <c r="N76" s="222"/>
      <c r="O76" s="222"/>
      <c r="P76" s="222"/>
      <c r="Q76" s="222"/>
      <c r="R76" s="222"/>
      <c r="S76" s="222"/>
      <c r="T76" s="222"/>
      <c r="U76" s="222"/>
      <c r="V76" s="222"/>
      <c r="W76" s="222"/>
      <c r="X76" s="222"/>
      <c r="Y76" s="222"/>
      <c r="Z76" s="222"/>
      <c r="AA76" s="222"/>
      <c r="AB76" s="222"/>
      <c r="AC76" s="222"/>
      <c r="AD76" s="222"/>
      <c r="AE76" s="222"/>
      <c r="AF76" s="222"/>
      <c r="AG76" s="222"/>
      <c r="AH76" s="222"/>
      <c r="AI76" s="222"/>
      <c r="AJ76" s="222"/>
      <c r="AK76" s="222"/>
      <c r="AL76" s="222"/>
      <c r="AM76" s="222"/>
    </row>
    <row r="77" spans="1:39" s="262" customFormat="1" ht="16.5" hidden="1" customHeight="1">
      <c r="B77" s="1129"/>
      <c r="C77" s="256"/>
      <c r="D77" s="222"/>
      <c r="E77" s="222"/>
      <c r="F77" s="222"/>
      <c r="G77" s="222"/>
      <c r="H77" s="222"/>
      <c r="I77" s="222"/>
      <c r="J77" s="222"/>
      <c r="K77" s="222"/>
      <c r="L77" s="222"/>
      <c r="M77" s="222"/>
      <c r="N77" s="222"/>
      <c r="O77" s="222"/>
      <c r="P77" s="222"/>
      <c r="Q77" s="222"/>
      <c r="R77" s="222"/>
      <c r="S77" s="222"/>
      <c r="T77" s="222"/>
      <c r="U77" s="222"/>
      <c r="V77" s="222"/>
      <c r="W77" s="222"/>
      <c r="X77" s="222"/>
      <c r="Y77" s="222"/>
      <c r="Z77" s="222"/>
      <c r="AA77" s="222"/>
      <c r="AB77" s="222"/>
      <c r="AC77" s="222"/>
      <c r="AD77" s="222"/>
      <c r="AE77" s="222"/>
      <c r="AF77" s="222"/>
      <c r="AG77" s="222"/>
      <c r="AH77" s="222"/>
      <c r="AI77" s="222"/>
      <c r="AJ77" s="222"/>
      <c r="AK77" s="222"/>
      <c r="AL77" s="222"/>
      <c r="AM77" s="222"/>
    </row>
    <row r="78" spans="1:39" s="262" customFormat="1" ht="16.5" customHeight="1">
      <c r="B78" s="1129" t="s">
        <v>2709</v>
      </c>
      <c r="C78" s="256" t="s">
        <v>1573</v>
      </c>
      <c r="D78" s="222">
        <f>资产负债!D12/资产负债!D$40</f>
        <v>2.9997250217546366E-2</v>
      </c>
      <c r="E78" s="222">
        <f>资产负债!E12/资产负债!E$40</f>
        <v>2.6211143114166731E-2</v>
      </c>
      <c r="F78" s="222">
        <f>资产负债!F12/资产负债!F$40</f>
        <v>1.6548795519763435E-2</v>
      </c>
      <c r="G78" s="222">
        <f>资产负债!G12/资产负债!G$40</f>
        <v>2.5922866009466597E-2</v>
      </c>
      <c r="H78" s="222">
        <f>资产负债!H12/资产负债!H$40</f>
        <v>2.2696782502598389E-2</v>
      </c>
      <c r="I78" s="222">
        <f ca="1">资产负债!I12/资产负债!I$40</f>
        <v>3.1799844307838124E-2</v>
      </c>
      <c r="J78" s="222">
        <f ca="1">资产负债!J12/资产负债!J$40</f>
        <v>2.5749246275208255E-2</v>
      </c>
      <c r="K78" s="222">
        <f ca="1">资产负债!K12/资产负债!K$40</f>
        <v>3.1364451360633011E-2</v>
      </c>
      <c r="L78" s="222">
        <f ca="1">资产负债!L12/资产负债!L$40</f>
        <v>2.7523194717507516E-2</v>
      </c>
      <c r="M78" s="222">
        <f ca="1">资产负债!M12/资产负债!M$40</f>
        <v>3.1245272459665803E-2</v>
      </c>
      <c r="N78" s="222">
        <f ca="1">资产负债!N12/资产负债!N$40</f>
        <v>2.9096436429699404E-2</v>
      </c>
      <c r="O78" s="222">
        <f ca="1">资产负债!O12/资产负债!O$40</f>
        <v>3.2484384003219617E-2</v>
      </c>
      <c r="P78" s="222">
        <f ca="1">资产负债!P12/资产负债!P$40</f>
        <v>3.013160815095085E-2</v>
      </c>
      <c r="Q78" s="222">
        <f ca="1">资产负债!Q12/资产负债!Q$40</f>
        <v>3.2970879989930868E-2</v>
      </c>
      <c r="R78" s="222">
        <f ca="1">资产负债!R12/资产负债!R$40</f>
        <v>3.1158095152947665E-2</v>
      </c>
      <c r="S78" s="222">
        <f ca="1">资产负债!S12/资产负债!S$40</f>
        <v>3.3572770577950529E-2</v>
      </c>
      <c r="T78" s="222">
        <f ca="1">资产负债!T12/资产负债!T$40</f>
        <v>3.2062303272387183E-2</v>
      </c>
      <c r="U78" s="222">
        <f ca="1">资产负债!U12/资产负债!U$40</f>
        <v>3.3993655478144924E-2</v>
      </c>
      <c r="V78" s="222">
        <f ca="1">资产负债!V12/资产负债!V$40</f>
        <v>3.2675379420477241E-2</v>
      </c>
      <c r="W78" s="222">
        <f ca="1">资产负债!W12/资产负债!W$40</f>
        <v>3.4167839862563915E-2</v>
      </c>
      <c r="X78" s="222">
        <f ca="1">资产负债!X12/资产负债!X$40</f>
        <v>3.3117324925240582E-2</v>
      </c>
      <c r="Y78" s="222">
        <f ca="1">资产负债!Y12/资产负债!Y$40</f>
        <v>3.4291846083594778E-2</v>
      </c>
      <c r="Z78" s="222">
        <f ca="1">资产负债!Z12/资产负债!Z$40</f>
        <v>3.3459756691523922E-2</v>
      </c>
      <c r="AA78" s="222">
        <f ca="1">资产负债!AA12/资产负债!AA$40</f>
        <v>3.440143251836169E-2</v>
      </c>
      <c r="AB78" s="222">
        <f ca="1">资产负债!AB12/资产负债!AB$40</f>
        <v>3.3747586618910995E-2</v>
      </c>
      <c r="AC78" s="222">
        <f ca="1">资产负债!AC12/资产负债!AC$40</f>
        <v>3.44943577356066E-2</v>
      </c>
      <c r="AD78" s="222">
        <f ca="1">资产负债!AD12/资产负债!AD$40</f>
        <v>3.3976659112284341E-2</v>
      </c>
      <c r="AE78" s="222">
        <f ca="1">资产负债!AE12/资产负债!AE$40</f>
        <v>3.4570083275278128E-2</v>
      </c>
      <c r="AF78" s="222">
        <f ca="1">资产负债!AF12/资产负债!AF$40</f>
        <v>3.4164189570773225E-2</v>
      </c>
      <c r="AG78" s="222">
        <f ca="1">资产负债!AG12/资产负债!AG$40</f>
        <v>3.4633668508034142E-2</v>
      </c>
      <c r="AH78" s="222">
        <f ca="1">资产负债!AH12/资产负债!AH$40</f>
        <v>3.4314843573479227E-2</v>
      </c>
      <c r="AI78" s="222">
        <f ca="1">资产负债!AI12/资产负债!AI$40</f>
        <v>3.4685697438277187E-2</v>
      </c>
      <c r="AJ78" s="222">
        <f ca="1">资产负债!AJ12/资产负债!AJ$40</f>
        <v>3.4435617979076606E-2</v>
      </c>
      <c r="AK78" s="222">
        <f ca="1">资产负债!AK12/资产负债!AK$40</f>
        <v>3.4728706425619135E-2</v>
      </c>
      <c r="AL78" s="222">
        <f ca="1">资产负债!AL12/资产负债!AL$40</f>
        <v>3.4532595939900837E-2</v>
      </c>
      <c r="AM78" s="196"/>
    </row>
    <row r="79" spans="1:39" s="262" customFormat="1" ht="16.5" customHeight="1">
      <c r="B79" s="231" t="s">
        <v>1538</v>
      </c>
      <c r="C79" s="256" t="s">
        <v>1574</v>
      </c>
      <c r="D79" s="222">
        <f>资产负债!D11/资产负债!D$40</f>
        <v>1.2846577751348055E-2</v>
      </c>
      <c r="E79" s="222">
        <f>资产负债!E11/资产负债!E$40</f>
        <v>1.4790524760916161E-2</v>
      </c>
      <c r="F79" s="222">
        <f>资产负债!F11/资产负债!F$40</f>
        <v>1.8482360030763638E-2</v>
      </c>
      <c r="G79" s="222">
        <f>资产负债!G11/资产负债!G$40</f>
        <v>1.4463870414857954E-2</v>
      </c>
      <c r="H79" s="222">
        <f>资产负债!H11/资产负债!H$40</f>
        <v>1.095484924569361E-2</v>
      </c>
      <c r="I79" s="222">
        <f ca="1">资产负债!I11/资产负债!I$40</f>
        <v>1.755235307891934E-2</v>
      </c>
      <c r="J79" s="222">
        <f ca="1">资产负债!J11/资产负债!J$40</f>
        <v>1.2671313630404543E-2</v>
      </c>
      <c r="K79" s="222">
        <f ca="1">资产负债!K11/资产负债!K$40</f>
        <v>1.704794084817482E-2</v>
      </c>
      <c r="L79" s="222">
        <f ca="1">资产负债!L11/资产负债!L$40</f>
        <v>1.371137098583574E-2</v>
      </c>
      <c r="M79" s="222">
        <f ca="1">资产负债!M11/资产负债!M$40</f>
        <v>1.684864028952263E-2</v>
      </c>
      <c r="N79" s="222">
        <f ca="1">资产负债!N11/资产负债!N$40</f>
        <v>1.4631004922200179E-2</v>
      </c>
      <c r="O79" s="222">
        <f ca="1">资产负债!O11/资产负债!O$40</f>
        <v>1.7373384886281464E-2</v>
      </c>
      <c r="P79" s="222">
        <f ca="1">资产负债!P11/资产负债!P$40</f>
        <v>1.5264929674135289E-2</v>
      </c>
      <c r="Q79" s="222">
        <f ca="1">资产负债!Q11/资产负债!Q$40</f>
        <v>1.7528081080971709E-2</v>
      </c>
      <c r="R79" s="222">
        <f ca="1">资产负债!R11/资产负债!R$40</f>
        <v>1.5872291840388703E-2</v>
      </c>
      <c r="S79" s="222">
        <f ca="1">资产负债!S11/资产负债!S$40</f>
        <v>1.7761679203002124E-2</v>
      </c>
      <c r="T79" s="222">
        <f ca="1">资产负债!T11/资产负债!T$40</f>
        <v>1.6405881630745439E-2</v>
      </c>
      <c r="U79" s="222">
        <f ca="1">资产负债!U11/资产负债!U$40</f>
        <v>1.7916396406738096E-2</v>
      </c>
      <c r="V79" s="222">
        <f ca="1">资产负债!V11/资产负债!V$40</f>
        <v>1.6776981971491783E-2</v>
      </c>
      <c r="W79" s="222">
        <f ca="1">资产负债!W11/资产负债!W$40</f>
        <v>1.7954842116555691E-2</v>
      </c>
      <c r="X79" s="222">
        <f ca="1">资产负债!X11/资产负债!X$40</f>
        <v>1.7049806615599815E-2</v>
      </c>
      <c r="Y79" s="222">
        <f ca="1">资产负债!Y11/资产负债!Y$40</f>
        <v>1.7977921328705498E-2</v>
      </c>
      <c r="Z79" s="222">
        <f ca="1">资产负债!Z11/资产负债!Z$40</f>
        <v>1.7262333406756959E-2</v>
      </c>
      <c r="AA79" s="222">
        <f ca="1">资产负债!AA11/资产负债!AA$40</f>
        <v>1.8002372183310175E-2</v>
      </c>
      <c r="AB79" s="222">
        <f ca="1">资产负债!AB11/资产负债!AB$40</f>
        <v>1.7439477075045822E-2</v>
      </c>
      <c r="AC79" s="222">
        <f ca="1">资产负债!AC11/资产负债!AC$40</f>
        <v>1.8025049594207709E-2</v>
      </c>
      <c r="AD79" s="222">
        <f ca="1">资产负债!AD11/资产负债!AD$40</f>
        <v>1.7580450413030083E-2</v>
      </c>
      <c r="AE79" s="222">
        <f ca="1">资产负债!AE11/资产负债!AE$40</f>
        <v>1.8044261428595377E-2</v>
      </c>
      <c r="AF79" s="222">
        <f ca="1">资产负债!AF11/资产负债!AF$40</f>
        <v>1.7695281920126826E-2</v>
      </c>
      <c r="AG79" s="222">
        <f ca="1">资产负债!AG11/资产负债!AG$40</f>
        <v>1.8061470684960477E-2</v>
      </c>
      <c r="AH79" s="222">
        <f ca="1">资产负债!AH11/资产负债!AH$40</f>
        <v>1.7787319501675398E-2</v>
      </c>
      <c r="AI79" s="222">
        <f ca="1">资产负债!AI11/资产负债!AI$40</f>
        <v>1.8076068737109579E-2</v>
      </c>
      <c r="AJ79" s="222">
        <f ca="1">资产负债!AJ11/资产负债!AJ$40</f>
        <v>1.7860933904925574E-2</v>
      </c>
      <c r="AK79" s="222">
        <f ca="1">资产负债!AK11/资产负债!AK$40</f>
        <v>1.8088651152987831E-2</v>
      </c>
      <c r="AL79" s="222">
        <f ca="1">资产负债!AL11/资产负债!AL$40</f>
        <v>1.7919883932482936E-2</v>
      </c>
      <c r="AM79" s="196"/>
    </row>
    <row r="80" spans="1:39" s="262" customFormat="1" ht="16.5" customHeight="1">
      <c r="B80" s="231" t="s">
        <v>1386</v>
      </c>
      <c r="C80" s="256" t="s">
        <v>1575</v>
      </c>
      <c r="D80" s="222">
        <f>资产负债!D13/资产负债!D$40</f>
        <v>6.1590102376918116E-2</v>
      </c>
      <c r="E80" s="222">
        <f>资产负债!E13/资产负债!E$40</f>
        <v>4.8039374488853662E-2</v>
      </c>
      <c r="F80" s="222">
        <f>资产负债!F13/资产负债!F$40</f>
        <v>4.1614886048105523E-2</v>
      </c>
      <c r="G80" s="222">
        <f>资产负债!G13/资产负债!G$40</f>
        <v>3.7428289498717918E-2</v>
      </c>
      <c r="H80" s="222">
        <f>资产负债!H13/资产负债!H$40</f>
        <v>4.3860084868028469E-2</v>
      </c>
      <c r="I80" s="222">
        <f ca="1">资产负债!I13/资产负债!I$40</f>
        <v>6.1639351404288688E-2</v>
      </c>
      <c r="J80" s="222">
        <f ca="1">资产负债!J13/资产负债!J$40</f>
        <v>3.6470007550560297E-2</v>
      </c>
      <c r="K80" s="222">
        <f ca="1">资产负债!K13/资产负债!K$40</f>
        <v>5.6706683118456204E-2</v>
      </c>
      <c r="L80" s="222">
        <f ca="1">资产负债!L13/资产负债!L$40</f>
        <v>4.0895111584792546E-2</v>
      </c>
      <c r="M80" s="222">
        <f ca="1">资产负债!M13/资产负债!M$40</f>
        <v>5.8835883900925479E-2</v>
      </c>
      <c r="N80" s="222">
        <f ca="1">资产负债!N13/资产负债!N$40</f>
        <v>4.4652825625204916E-2</v>
      </c>
      <c r="O80" s="222">
        <f ca="1">资产负债!O13/资产负债!O$40</f>
        <v>5.8130890865443222E-2</v>
      </c>
      <c r="P80" s="222">
        <f ca="1">资产负债!P13/资产负债!P$40</f>
        <v>4.6995809813533129E-2</v>
      </c>
      <c r="Q80" s="222">
        <f ca="1">资产负债!Q13/资产负债!Q$40</f>
        <v>5.849226434182854E-2</v>
      </c>
      <c r="R80" s="222">
        <f ca="1">资产负债!R13/资产负债!R$40</f>
        <v>4.9744092047805548E-2</v>
      </c>
      <c r="S80" s="222">
        <f ca="1">资产负债!S13/资产负债!S$40</f>
        <v>5.872380275979576E-2</v>
      </c>
      <c r="T80" s="222">
        <f ca="1">资产负债!T13/资产负债!T$40</f>
        <v>5.1535258105604914E-2</v>
      </c>
      <c r="U80" s="222">
        <f ca="1">资产负债!U13/资产负债!U$40</f>
        <v>5.8931937905519906E-2</v>
      </c>
      <c r="V80" s="222">
        <f ca="1">资产负债!V13/资产负债!V$40</f>
        <v>5.3074834789488205E-2</v>
      </c>
      <c r="W80" s="222">
        <f ca="1">资产负债!W13/资产负债!W$40</f>
        <v>5.8842674149959688E-2</v>
      </c>
      <c r="X80" s="222">
        <f ca="1">资产负债!X13/资产负债!X$40</f>
        <v>5.4122593544989619E-2</v>
      </c>
      <c r="Y80" s="222">
        <f ca="1">资产负债!Y13/资产负债!Y$40</f>
        <v>5.8682810369755686E-2</v>
      </c>
      <c r="Z80" s="222">
        <f ca="1">资产负债!Z13/资产负债!Z$40</f>
        <v>5.499286320390994E-2</v>
      </c>
      <c r="AA80" s="222">
        <f ca="1">资产负债!AA13/资产负债!AA$40</f>
        <v>5.8616570396321455E-2</v>
      </c>
      <c r="AB80" s="222">
        <f ca="1">资产负债!AB13/资产负债!AB$40</f>
        <v>5.5699215944080574E-2</v>
      </c>
      <c r="AC80" s="222">
        <f ca="1">资产负债!AC13/资产负债!AC$40</f>
        <v>5.8554323120523027E-2</v>
      </c>
      <c r="AD80" s="222">
        <f ca="1">资产负债!AD13/资产负债!AD$40</f>
        <v>5.6259571984045943E-2</v>
      </c>
      <c r="AE80" s="222">
        <f ca="1">资产负债!AE13/资产负债!AE$40</f>
        <v>5.8520986704494765E-2</v>
      </c>
      <c r="AF80" s="222">
        <f ca="1">资产负债!AF13/资产负债!AF$40</f>
        <v>5.6716697728841914E-2</v>
      </c>
      <c r="AG80" s="222">
        <f ca="1">资产负债!AG13/资产负债!AG$40</f>
        <v>5.8497328254911385E-2</v>
      </c>
      <c r="AH80" s="222">
        <f ca="1">资产负债!AH13/资产负债!AH$40</f>
        <v>5.7079614963689511E-2</v>
      </c>
      <c r="AI80" s="222">
        <f ca="1">资产负债!AI13/资产负债!AI$40</f>
        <v>5.8483346543228384E-2</v>
      </c>
      <c r="AJ80" s="222">
        <f ca="1">资产负债!AJ13/资产负债!AJ$40</f>
        <v>5.7370903692549907E-2</v>
      </c>
      <c r="AK80" s="222">
        <f ca="1">资产负债!AK13/资产负债!AK$40</f>
        <v>5.8475800308952844E-2</v>
      </c>
      <c r="AL80" s="222">
        <f ca="1">资产负债!AL13/资产负债!AL$40</f>
        <v>5.760265944437009E-2</v>
      </c>
      <c r="AM80" s="196"/>
    </row>
    <row r="81" spans="1:39" s="262" customFormat="1" ht="16.5" customHeight="1">
      <c r="B81" s="231" t="s">
        <v>1539</v>
      </c>
      <c r="C81" s="256" t="s">
        <v>1576</v>
      </c>
      <c r="D81" s="222">
        <f>资产负债!D17/资产负债!D$40</f>
        <v>1.2393817500945726E-2</v>
      </c>
      <c r="E81" s="222">
        <f>资产负债!E17/资产负债!E$40</f>
        <v>2.052160512447335E-2</v>
      </c>
      <c r="F81" s="222">
        <f>资产负债!F17/资产负债!F$40</f>
        <v>2.9076799069604461E-2</v>
      </c>
      <c r="G81" s="222">
        <f>资产负债!G17/资产负债!G$40</f>
        <v>4.4339501762778823E-2</v>
      </c>
      <c r="H81" s="222">
        <f>资产负债!H17/资产负债!H$40</f>
        <v>3.9505658887437164E-2</v>
      </c>
      <c r="I81" s="222">
        <f ca="1">资产负债!I17/资产负债!I$40</f>
        <v>3.4678401605793233E-2</v>
      </c>
      <c r="J81" s="222">
        <f ca="1">资产负债!J17/资产负债!J$40</f>
        <v>2.6065907640891329E-2</v>
      </c>
      <c r="K81" s="222">
        <f ca="1">资产负债!K17/资产负债!K$40</f>
        <v>2.8297982972627343E-2</v>
      </c>
      <c r="L81" s="222">
        <f ca="1">资产负债!L17/资产负债!L$40</f>
        <v>2.2914059895680034E-2</v>
      </c>
      <c r="M81" s="222">
        <f ca="1">资产负债!M17/资产负债!M$40</f>
        <v>2.2985813820569197E-2</v>
      </c>
      <c r="N81" s="222">
        <f ca="1">资产负债!N17/资产负债!N$40</f>
        <v>1.8598267273050809E-2</v>
      </c>
      <c r="O81" s="222">
        <f ca="1">资产负债!O17/资产负债!O$40</f>
        <v>1.8429842725735678E-2</v>
      </c>
      <c r="P81" s="222">
        <f ca="1">资产负债!P17/资产负债!P$40</f>
        <v>1.5099157609691487E-2</v>
      </c>
      <c r="Q81" s="222">
        <f ca="1">资产负债!Q17/资产负债!Q$40</f>
        <v>1.4720795365912318E-2</v>
      </c>
      <c r="R81" s="222">
        <f ca="1">资产负债!R17/资产负债!R$40</f>
        <v>1.2286897224933348E-2</v>
      </c>
      <c r="S81" s="222">
        <f ca="1">资产负债!S17/资产负债!S$40</f>
        <v>1.1711836301824123E-2</v>
      </c>
      <c r="T81" s="222">
        <f ca="1">资产负债!T17/资产负债!T$40</f>
        <v>9.88560278945683E-3</v>
      </c>
      <c r="U81" s="222">
        <f ca="1">资产负债!U17/资产负债!U$40</f>
        <v>9.2891138467009887E-3</v>
      </c>
      <c r="V81" s="222">
        <f ca="1">资产负债!V17/资产负债!V$40</f>
        <v>7.9011281849924904E-3</v>
      </c>
      <c r="W81" s="222">
        <f ca="1">资产负债!W17/资产负债!W$40</f>
        <v>7.3164047342926799E-3</v>
      </c>
      <c r="X81" s="222">
        <f ca="1">资产负债!X17/资产负债!X$40</f>
        <v>6.2702704764293956E-3</v>
      </c>
      <c r="Y81" s="222">
        <f ca="1">资产负债!Y17/资产负债!Y$40</f>
        <v>5.7501161732749157E-3</v>
      </c>
      <c r="Z81" s="222">
        <f ca="1">资产负债!Z17/资产负债!Z$40</f>
        <v>4.9636266609749315E-3</v>
      </c>
      <c r="AA81" s="222">
        <f ca="1">资产负债!AA17/资产负债!AA$40</f>
        <v>4.5192884964930426E-3</v>
      </c>
      <c r="AB81" s="222">
        <f ca="1">资产负债!AB17/资产负债!AB$40</f>
        <v>3.9219187826782104E-3</v>
      </c>
      <c r="AC81" s="222">
        <f ca="1">资产负债!AC17/资产负债!AC$40</f>
        <v>3.5492157149525998E-3</v>
      </c>
      <c r="AD81" s="222">
        <f ca="1">资产负债!AD17/资产负债!AD$40</f>
        <v>3.0931841332163734E-3</v>
      </c>
      <c r="AE81" s="222">
        <f ca="1">资产负债!AE17/资产负债!AE$40</f>
        <v>2.7863890090990685E-3</v>
      </c>
      <c r="AF81" s="222">
        <f ca="1">资产负债!AF17/资产负债!AF$40</f>
        <v>2.4365582640177618E-3</v>
      </c>
      <c r="AG81" s="222">
        <f ca="1">资产负债!AG17/资产负债!AG$40</f>
        <v>2.1866442234536872E-3</v>
      </c>
      <c r="AH81" s="222">
        <f ca="1">资产负债!AH17/资产负债!AH$40</f>
        <v>1.9171226438508548E-3</v>
      </c>
      <c r="AI81" s="222">
        <f ca="1">资产负债!AI17/资产负债!AI$40</f>
        <v>1.7154502392189516E-3</v>
      </c>
      <c r="AJ81" s="222">
        <f ca="1">资产负债!AJ17/资产负债!AJ$40</f>
        <v>1.5071096877803832E-3</v>
      </c>
      <c r="AK81" s="222">
        <f ca="1">资产负债!AK17/资产负债!AK$40</f>
        <v>1.3454435244105523E-3</v>
      </c>
      <c r="AL81" s="222">
        <f ca="1">资产负债!AL17/资产负债!AL$40</f>
        <v>1.1839377009191829E-3</v>
      </c>
      <c r="AM81" s="196"/>
    </row>
    <row r="82" spans="1:39" s="262" customFormat="1" ht="16.5" customHeight="1">
      <c r="B82" s="260" t="s">
        <v>313</v>
      </c>
      <c r="C82" s="261" t="s">
        <v>314</v>
      </c>
      <c r="D82" s="402">
        <f>资产负债!D39/资产负债!D40</f>
        <v>0.22702590761836394</v>
      </c>
      <c r="E82" s="402">
        <f>资产负债!E39/资产负债!E40</f>
        <v>0.25482049924489553</v>
      </c>
      <c r="F82" s="402">
        <f>资产负债!F39/资产负债!F40</f>
        <v>0.25433907795549554</v>
      </c>
      <c r="G82" s="402">
        <f>资产负债!G39/资产负债!G40</f>
        <v>0.23693824393651908</v>
      </c>
      <c r="H82" s="402">
        <f>资产负债!H39/资产负债!H40</f>
        <v>0.24892132214611218</v>
      </c>
      <c r="I82" s="402">
        <f ca="1">资产负债!I39/资产负债!I40</f>
        <v>0.2890258393774644</v>
      </c>
      <c r="J82" s="402">
        <f ca="1">资产负债!J39/资产负债!J40</f>
        <v>0.22094578081535579</v>
      </c>
      <c r="K82" s="402">
        <f ca="1">资产负债!K39/资产负债!K40</f>
        <v>0.25250268769582923</v>
      </c>
      <c r="L82" s="402">
        <f ca="1">资产负债!L39/资产负债!L40</f>
        <v>0.21501079793311595</v>
      </c>
      <c r="M82" s="402">
        <f ca="1">资产负债!M39/资产负债!M40</f>
        <v>0.22673158309340111</v>
      </c>
      <c r="N82" s="402">
        <f ca="1">资产负债!N39/资产负债!N40</f>
        <v>0.19701358731928512</v>
      </c>
      <c r="O82" s="402">
        <f ca="1">资产负债!O39/资产负债!O40</f>
        <v>0.20852026332081544</v>
      </c>
      <c r="P82" s="402">
        <f ca="1">资产负债!P39/资产负债!P40</f>
        <v>0.18277253186444398</v>
      </c>
      <c r="Q82" s="402">
        <f ca="1">资产负债!Q39/资产负债!Q40</f>
        <v>0.19041654082454013</v>
      </c>
      <c r="R82" s="402">
        <f ca="1">资产负债!R39/资产负债!R40</f>
        <v>0.17039748951424896</v>
      </c>
      <c r="S82" s="402">
        <f ca="1">资产负债!S39/资产负债!S40</f>
        <v>0.17503083667762737</v>
      </c>
      <c r="T82" s="402">
        <f ca="1">资产负债!T39/资产负债!T40</f>
        <v>0.15969239704747182</v>
      </c>
      <c r="U82" s="402">
        <f ca="1">资产负债!U39/资产负债!U40</f>
        <v>0.16245951883197829</v>
      </c>
      <c r="V82" s="402">
        <f ca="1">资产负债!V39/资产负债!V40</f>
        <v>0.15292237080333371</v>
      </c>
      <c r="W82" s="402">
        <f ca="1">资产负债!W39/资产负债!W40</f>
        <v>0.15711221034506187</v>
      </c>
      <c r="X82" s="402">
        <f ca="1">资产负债!X39/资产负债!X40</f>
        <v>0.14979314680488071</v>
      </c>
      <c r="Y82" s="402">
        <f ca="1">资产负债!Y39/资产负债!Y40</f>
        <v>0.15297001070983393</v>
      </c>
      <c r="Z82" s="402">
        <f ca="1">资产负债!Z39/资产负债!Z40</f>
        <v>0.14714520058682989</v>
      </c>
      <c r="AA82" s="402">
        <f ca="1">资产负债!AA39/资产负债!AA40</f>
        <v>0.14944041525722951</v>
      </c>
      <c r="AB82" s="402">
        <f ca="1">资产负债!AB39/资产负债!AB40</f>
        <v>0.14483165172336077</v>
      </c>
      <c r="AC82" s="402">
        <f ca="1">资产负债!AC39/资产负债!AC40</f>
        <v>0.14655495638029636</v>
      </c>
      <c r="AD82" s="402">
        <f ca="1">资产负债!AD39/资产负债!AD40</f>
        <v>0.14292503155856345</v>
      </c>
      <c r="AE82" s="402">
        <f ca="1">资产负债!AE39/资产负债!AE40</f>
        <v>0.14416528126284742</v>
      </c>
      <c r="AF82" s="402">
        <f ca="1">资产负债!AF39/资产负债!AF40</f>
        <v>0.141287780403135</v>
      </c>
      <c r="AG82" s="402">
        <f ca="1">资产负债!AG39/资产负债!AG40</f>
        <v>0.14221499323563572</v>
      </c>
      <c r="AH82" s="402">
        <f ca="1">资产负债!AH39/资产负债!AH40</f>
        <v>0.13993328583990972</v>
      </c>
      <c r="AI82" s="402">
        <f ca="1">资产负债!AI39/资产负债!AI40</f>
        <v>0.14061726284908421</v>
      </c>
      <c r="AJ82" s="402">
        <f ca="1">资产负债!AJ39/资产负债!AJ40</f>
        <v>0.13881454689818404</v>
      </c>
      <c r="AK82" s="402">
        <f ca="1">资产负债!AK39/资产负债!AK40</f>
        <v>0.13931537243438694</v>
      </c>
      <c r="AL82" s="402">
        <f ca="1">资产负债!AL39/资产负债!AL40</f>
        <v>0.13789178637200736</v>
      </c>
      <c r="AM82" s="196"/>
    </row>
    <row r="83" spans="1:39" s="262" customFormat="1" ht="16.5" customHeight="1">
      <c r="B83" s="231" t="s">
        <v>321</v>
      </c>
      <c r="C83" s="256" t="s">
        <v>1577</v>
      </c>
      <c r="D83" s="222">
        <f>资产负债!D23/资产负债!D40</f>
        <v>0</v>
      </c>
      <c r="E83" s="222">
        <f>资产负债!E23/资产负债!E40</f>
        <v>0</v>
      </c>
      <c r="F83" s="222">
        <f>资产负债!F23/资产负债!F40</f>
        <v>0</v>
      </c>
      <c r="G83" s="222">
        <f>资产负债!G23/资产负债!G40</f>
        <v>0</v>
      </c>
      <c r="H83" s="222">
        <f>资产负债!H23/资产负债!H40</f>
        <v>0</v>
      </c>
      <c r="I83" s="222">
        <f ca="1">资产负债!I23/资产负债!I40</f>
        <v>0</v>
      </c>
      <c r="J83" s="222">
        <f ca="1">资产负债!J23/资产负债!J40</f>
        <v>0</v>
      </c>
      <c r="K83" s="222">
        <f ca="1">资产负债!K23/资产负债!K40</f>
        <v>0</v>
      </c>
      <c r="L83" s="222">
        <f ca="1">资产负债!L23/资产负债!L40</f>
        <v>0</v>
      </c>
      <c r="M83" s="222">
        <f ca="1">资产负债!M23/资产负债!M40</f>
        <v>0</v>
      </c>
      <c r="N83" s="222">
        <f ca="1">资产负债!N23/资产负债!N40</f>
        <v>0</v>
      </c>
      <c r="O83" s="222">
        <f ca="1">资产负债!O23/资产负债!O40</f>
        <v>0</v>
      </c>
      <c r="P83" s="222">
        <f ca="1">资产负债!P23/资产负债!P40</f>
        <v>0</v>
      </c>
      <c r="Q83" s="222">
        <f ca="1">资产负债!Q23/资产负债!Q40</f>
        <v>0</v>
      </c>
      <c r="R83" s="222">
        <f ca="1">资产负债!R23/资产负债!R40</f>
        <v>0</v>
      </c>
      <c r="S83" s="222">
        <f ca="1">资产负债!S23/资产负债!S40</f>
        <v>0</v>
      </c>
      <c r="T83" s="222">
        <f ca="1">资产负债!T23/资产负债!T40</f>
        <v>0</v>
      </c>
      <c r="U83" s="222">
        <f ca="1">资产负债!U23/资产负债!U40</f>
        <v>0</v>
      </c>
      <c r="V83" s="222">
        <f ca="1">资产负债!V23/资产负债!V40</f>
        <v>0</v>
      </c>
      <c r="W83" s="222">
        <f ca="1">资产负债!W23/资产负债!W40</f>
        <v>0</v>
      </c>
      <c r="X83" s="222">
        <f ca="1">资产负债!X23/资产负债!X40</f>
        <v>0</v>
      </c>
      <c r="Y83" s="222">
        <f ca="1">资产负债!Y23/资产负债!Y40</f>
        <v>0</v>
      </c>
      <c r="Z83" s="222">
        <f ca="1">资产负债!Z23/资产负债!Z40</f>
        <v>0</v>
      </c>
      <c r="AA83" s="222">
        <f ca="1">资产负债!AA23/资产负债!AA40</f>
        <v>0</v>
      </c>
      <c r="AB83" s="222">
        <f ca="1">资产负债!AB23/资产负债!AB40</f>
        <v>0</v>
      </c>
      <c r="AC83" s="222">
        <f ca="1">资产负债!AC23/资产负债!AC40</f>
        <v>0</v>
      </c>
      <c r="AD83" s="222">
        <f ca="1">资产负债!AD23/资产负债!AD40</f>
        <v>0</v>
      </c>
      <c r="AE83" s="222">
        <f ca="1">资产负债!AE23/资产负债!AE40</f>
        <v>0</v>
      </c>
      <c r="AF83" s="222">
        <f ca="1">资产负债!AF23/资产负债!AF40</f>
        <v>0</v>
      </c>
      <c r="AG83" s="222">
        <f ca="1">资产负债!AG23/资产负债!AG40</f>
        <v>0</v>
      </c>
      <c r="AH83" s="222">
        <f ca="1">资产负债!AH23/资产负债!AH40</f>
        <v>0</v>
      </c>
      <c r="AI83" s="222">
        <f ca="1">资产负债!AI23/资产负债!AI40</f>
        <v>0</v>
      </c>
      <c r="AJ83" s="222">
        <f ca="1">资产负债!AJ23/资产负债!AJ40</f>
        <v>0</v>
      </c>
      <c r="AK83" s="222">
        <f ca="1">资产负债!AK23/资产负债!AK40</f>
        <v>0</v>
      </c>
      <c r="AL83" s="222">
        <f ca="1">资产负债!AL23/资产负债!AL40</f>
        <v>0</v>
      </c>
      <c r="AM83" s="196"/>
    </row>
    <row r="84" spans="1:39" s="262" customFormat="1" ht="16.5" customHeight="1">
      <c r="B84" s="404" t="s">
        <v>322</v>
      </c>
      <c r="C84" s="256" t="s">
        <v>1578</v>
      </c>
      <c r="D84" s="222">
        <f>资产负债!D25/资产负债!D40</f>
        <v>0</v>
      </c>
      <c r="E84" s="222">
        <f>资产负债!E25/资产负债!E40</f>
        <v>0</v>
      </c>
      <c r="F84" s="222">
        <f>资产负债!F25/资产负债!F40</f>
        <v>0</v>
      </c>
      <c r="G84" s="222">
        <f>资产负债!G25/资产负债!G40</f>
        <v>0</v>
      </c>
      <c r="H84" s="222">
        <f>资产负债!H25/资产负债!H40</f>
        <v>0</v>
      </c>
      <c r="I84" s="222">
        <f ca="1">资产负债!I25/资产负债!I40</f>
        <v>0</v>
      </c>
      <c r="J84" s="222">
        <f ca="1">资产负债!J25/资产负债!J40</f>
        <v>0</v>
      </c>
      <c r="K84" s="222">
        <f ca="1">资产负债!K25/资产负债!K40</f>
        <v>0</v>
      </c>
      <c r="L84" s="222">
        <f ca="1">资产负债!L25/资产负债!L40</f>
        <v>0</v>
      </c>
      <c r="M84" s="222">
        <f ca="1">资产负债!M25/资产负债!M40</f>
        <v>0</v>
      </c>
      <c r="N84" s="222">
        <f ca="1">资产负债!N25/资产负债!N40</f>
        <v>0</v>
      </c>
      <c r="O84" s="222">
        <f ca="1">资产负债!O25/资产负债!O40</f>
        <v>0</v>
      </c>
      <c r="P84" s="222">
        <f ca="1">资产负债!P25/资产负债!P40</f>
        <v>0</v>
      </c>
      <c r="Q84" s="222">
        <f ca="1">资产负债!Q25/资产负债!Q40</f>
        <v>0</v>
      </c>
      <c r="R84" s="222">
        <f ca="1">资产负债!R25/资产负债!R40</f>
        <v>0</v>
      </c>
      <c r="S84" s="222">
        <f ca="1">资产负债!S25/资产负债!S40</f>
        <v>0</v>
      </c>
      <c r="T84" s="222">
        <f ca="1">资产负债!T25/资产负债!T40</f>
        <v>0</v>
      </c>
      <c r="U84" s="222">
        <f ca="1">资产负债!U25/资产负债!U40</f>
        <v>0</v>
      </c>
      <c r="V84" s="222">
        <f ca="1">资产负债!V25/资产负债!V40</f>
        <v>0</v>
      </c>
      <c r="W84" s="222">
        <f ca="1">资产负债!W25/资产负债!W40</f>
        <v>0</v>
      </c>
      <c r="X84" s="222">
        <f ca="1">资产负债!X25/资产负债!X40</f>
        <v>0</v>
      </c>
      <c r="Y84" s="222">
        <f ca="1">资产负债!Y25/资产负债!Y40</f>
        <v>0</v>
      </c>
      <c r="Z84" s="222">
        <f ca="1">资产负债!Z25/资产负债!Z40</f>
        <v>0</v>
      </c>
      <c r="AA84" s="222">
        <f ca="1">资产负债!AA25/资产负债!AA40</f>
        <v>0</v>
      </c>
      <c r="AB84" s="222">
        <f ca="1">资产负债!AB25/资产负债!AB40</f>
        <v>0</v>
      </c>
      <c r="AC84" s="222">
        <f ca="1">资产负债!AC25/资产负债!AC40</f>
        <v>0</v>
      </c>
      <c r="AD84" s="222">
        <f ca="1">资产负债!AD25/资产负债!AD40</f>
        <v>0</v>
      </c>
      <c r="AE84" s="222">
        <f ca="1">资产负债!AE25/资产负债!AE40</f>
        <v>0</v>
      </c>
      <c r="AF84" s="222">
        <f ca="1">资产负债!AF25/资产负债!AF40</f>
        <v>0</v>
      </c>
      <c r="AG84" s="222">
        <f ca="1">资产负债!AG25/资产负债!AG40</f>
        <v>0</v>
      </c>
      <c r="AH84" s="222">
        <f ca="1">资产负债!AH25/资产负债!AH40</f>
        <v>0</v>
      </c>
      <c r="AI84" s="222">
        <f ca="1">资产负债!AI25/资产负债!AI40</f>
        <v>0</v>
      </c>
      <c r="AJ84" s="222">
        <f ca="1">资产负债!AJ25/资产负债!AJ40</f>
        <v>0</v>
      </c>
      <c r="AK84" s="222">
        <f ca="1">资产负债!AK25/资产负债!AK40</f>
        <v>0</v>
      </c>
      <c r="AL84" s="222">
        <f ca="1">资产负债!AL25/资产负债!AL40</f>
        <v>0</v>
      </c>
      <c r="AM84" s="196"/>
    </row>
    <row r="85" spans="1:39" s="262" customFormat="1" ht="16.5" customHeight="1">
      <c r="B85" s="404" t="s">
        <v>323</v>
      </c>
      <c r="C85" s="256" t="s">
        <v>1579</v>
      </c>
      <c r="D85" s="222">
        <f>资产负债!D27/资产负债!D40</f>
        <v>0</v>
      </c>
      <c r="E85" s="222">
        <f>资产负债!E27/资产负债!E40</f>
        <v>0</v>
      </c>
      <c r="F85" s="222">
        <f>资产负债!F27/资产负债!F40</f>
        <v>0</v>
      </c>
      <c r="G85" s="222">
        <f>资产负债!G27/资产负债!G40</f>
        <v>0</v>
      </c>
      <c r="H85" s="222">
        <f>资产负债!H27/资产负债!H40</f>
        <v>8.032116517019617E-3</v>
      </c>
      <c r="I85" s="222">
        <f ca="1">资产负债!I27/资产负债!I40</f>
        <v>2.4319029127857239E-3</v>
      </c>
      <c r="J85" s="222">
        <f ca="1">资产负债!J27/资产负债!J40</f>
        <v>2.1241776527743833E-3</v>
      </c>
      <c r="K85" s="222">
        <f ca="1">资产负债!K27/资产负债!K40</f>
        <v>2.7656905874963232E-3</v>
      </c>
      <c r="L85" s="222">
        <f ca="1">资产负债!L27/资产负债!L40</f>
        <v>2.7709462777337291E-3</v>
      </c>
      <c r="M85" s="222">
        <f ca="1">资产负债!M27/资产负债!M40</f>
        <v>2.0801522520598665E-3</v>
      </c>
      <c r="N85" s="222">
        <f ca="1">资产负债!N27/资产负债!N40</f>
        <v>1.8254904745381498E-3</v>
      </c>
      <c r="O85" s="222">
        <f ca="1">资产负债!O27/资产负债!O40</f>
        <v>1.8859063871590189E-3</v>
      </c>
      <c r="P85" s="222">
        <f ca="1">资产负债!P27/资产负债!P40</f>
        <v>1.5585186067277024E-3</v>
      </c>
      <c r="Q85" s="222">
        <f ca="1">资产负债!Q27/资产负债!Q40</f>
        <v>1.448901896554627E-3</v>
      </c>
      <c r="R85" s="222">
        <f ca="1">资产负债!R27/资产负债!R40</f>
        <v>1.2342243683405201E-3</v>
      </c>
      <c r="S85" s="222">
        <f ca="1">资产负债!S27/资产负债!S40</f>
        <v>1.1846768588675298E-3</v>
      </c>
      <c r="T85" s="222">
        <f ca="1">资产负债!T27/资产负债!T40</f>
        <v>9.9676562516460209E-4</v>
      </c>
      <c r="U85" s="222">
        <f ca="1">资产负债!U27/资产负债!U40</f>
        <v>9.308589856123771E-4</v>
      </c>
      <c r="V85" s="222">
        <f ca="1">资产负债!V27/资产负债!V40</f>
        <v>7.9527310202780351E-4</v>
      </c>
      <c r="W85" s="222">
        <f ca="1">资产负债!W27/资产负债!W40</f>
        <v>7.3684555976599557E-4</v>
      </c>
      <c r="X85" s="222">
        <f ca="1">资产负债!X27/资产负债!X40</f>
        <v>6.3081195863334751E-4</v>
      </c>
      <c r="Y85" s="222">
        <f ca="1">资产负债!Y27/资产负债!Y40</f>
        <v>5.781422478274771E-4</v>
      </c>
      <c r="Z85" s="222">
        <f ca="1">资产负债!Z27/资产负债!Z40</f>
        <v>4.9947772709696284E-4</v>
      </c>
      <c r="AA85" s="222">
        <f ca="1">资产负债!AA27/资产负债!AA40</f>
        <v>4.547381506138577E-4</v>
      </c>
      <c r="AB85" s="222">
        <f ca="1">资产负债!AB27/资产负债!AB40</f>
        <v>3.9454296909600196E-4</v>
      </c>
      <c r="AC85" s="222">
        <f ca="1">资产负债!AC27/资产负债!AC40</f>
        <v>3.5704524477381667E-4</v>
      </c>
      <c r="AD85" s="222">
        <f ca="1">资产负债!AD27/资产负债!AD40</f>
        <v>3.1121056200447472E-4</v>
      </c>
      <c r="AE85" s="222">
        <f ca="1">资产负债!AE27/资产负债!AE40</f>
        <v>2.8033238313649687E-4</v>
      </c>
      <c r="AF85" s="222">
        <f ca="1">资产负债!AF27/资产负债!AF40</f>
        <v>2.4512832174154687E-4</v>
      </c>
      <c r="AG85" s="222">
        <f ca="1">资产负债!AG27/资产负债!AG40</f>
        <v>2.1998854498324558E-4</v>
      </c>
      <c r="AH85" s="222">
        <f ca="1">资产负债!AH27/资产负债!AH40</f>
        <v>1.9287661251209795E-4</v>
      </c>
      <c r="AI85" s="222">
        <f ca="1">资产负债!AI27/资产负债!AI40</f>
        <v>1.725850093235675E-4</v>
      </c>
      <c r="AJ85" s="222">
        <f ca="1">资产负债!AJ27/资产负债!AJ40</f>
        <v>1.5162407828630048E-4</v>
      </c>
      <c r="AK85" s="222">
        <f ca="1">资产负债!AK27/资产负债!AK40</f>
        <v>1.3536003044576736E-4</v>
      </c>
      <c r="AL85" s="222">
        <f ca="1">资产负债!AL27/资产负债!AL40</f>
        <v>1.1911174200932187E-4</v>
      </c>
      <c r="AM85" s="196"/>
    </row>
    <row r="86" spans="1:39" s="262" customFormat="1" ht="16.5" customHeight="1">
      <c r="B86" s="404" t="s">
        <v>324</v>
      </c>
      <c r="C86" s="256" t="s">
        <v>311</v>
      </c>
      <c r="D86" s="222">
        <f>资产负债!D28/资产负债!D40</f>
        <v>0</v>
      </c>
      <c r="E86" s="222">
        <f>资产负债!E28/资产负债!E40</f>
        <v>0</v>
      </c>
      <c r="F86" s="222">
        <f>资产负债!F28/资产负债!F40</f>
        <v>0</v>
      </c>
      <c r="G86" s="222">
        <f>资产负债!G28/资产负债!G40</f>
        <v>0</v>
      </c>
      <c r="H86" s="222">
        <f>资产负债!H28/资产负债!H40</f>
        <v>0</v>
      </c>
      <c r="I86" s="222">
        <f ca="1">资产负债!I28/资产负债!I40</f>
        <v>0</v>
      </c>
      <c r="J86" s="222">
        <f ca="1">资产负债!J28/资产负债!J40</f>
        <v>0</v>
      </c>
      <c r="K86" s="222">
        <f ca="1">资产负债!K28/资产负债!K40</f>
        <v>0</v>
      </c>
      <c r="L86" s="222">
        <f ca="1">资产负债!L28/资产负债!L40</f>
        <v>0</v>
      </c>
      <c r="M86" s="222">
        <f ca="1">资产负债!M28/资产负债!M40</f>
        <v>0</v>
      </c>
      <c r="N86" s="222">
        <f ca="1">资产负债!N28/资产负债!N40</f>
        <v>0</v>
      </c>
      <c r="O86" s="222">
        <f ca="1">资产负债!O28/资产负债!O40</f>
        <v>0</v>
      </c>
      <c r="P86" s="222">
        <f ca="1">资产负债!P28/资产负债!P40</f>
        <v>0</v>
      </c>
      <c r="Q86" s="222">
        <f ca="1">资产负债!Q28/资产负债!Q40</f>
        <v>0</v>
      </c>
      <c r="R86" s="222">
        <f ca="1">资产负债!R28/资产负债!R40</f>
        <v>0</v>
      </c>
      <c r="S86" s="222">
        <f ca="1">资产负债!S28/资产负债!S40</f>
        <v>0</v>
      </c>
      <c r="T86" s="222">
        <f ca="1">资产负债!T28/资产负债!T40</f>
        <v>0</v>
      </c>
      <c r="U86" s="222">
        <f ca="1">资产负债!U28/资产负债!U40</f>
        <v>0</v>
      </c>
      <c r="V86" s="222">
        <f ca="1">资产负债!V28/资产负债!V40</f>
        <v>0</v>
      </c>
      <c r="W86" s="222">
        <f ca="1">资产负债!W28/资产负债!W40</f>
        <v>0</v>
      </c>
      <c r="X86" s="222">
        <f ca="1">资产负债!X28/资产负债!X40</f>
        <v>0</v>
      </c>
      <c r="Y86" s="222">
        <f ca="1">资产负债!Y28/资产负债!Y40</f>
        <v>0</v>
      </c>
      <c r="Z86" s="222">
        <f ca="1">资产负债!Z28/资产负债!Z40</f>
        <v>0</v>
      </c>
      <c r="AA86" s="222">
        <f ca="1">资产负债!AA28/资产负债!AA40</f>
        <v>0</v>
      </c>
      <c r="AB86" s="222">
        <f ca="1">资产负债!AB28/资产负债!AB40</f>
        <v>0</v>
      </c>
      <c r="AC86" s="222">
        <f ca="1">资产负债!AC28/资产负债!AC40</f>
        <v>0</v>
      </c>
      <c r="AD86" s="222">
        <f ca="1">资产负债!AD28/资产负债!AD40</f>
        <v>0</v>
      </c>
      <c r="AE86" s="222">
        <f ca="1">资产负债!AE28/资产负债!AE40</f>
        <v>0</v>
      </c>
      <c r="AF86" s="222">
        <f ca="1">资产负债!AF28/资产负债!AF40</f>
        <v>0</v>
      </c>
      <c r="AG86" s="222">
        <f ca="1">资产负债!AG28/资产负债!AG40</f>
        <v>0</v>
      </c>
      <c r="AH86" s="222">
        <f ca="1">资产负债!AH28/资产负债!AH40</f>
        <v>0</v>
      </c>
      <c r="AI86" s="222">
        <f ca="1">资产负债!AI28/资产负债!AI40</f>
        <v>0</v>
      </c>
      <c r="AJ86" s="222">
        <f ca="1">资产负债!AJ28/资产负债!AJ40</f>
        <v>0</v>
      </c>
      <c r="AK86" s="222">
        <f ca="1">资产负债!AK28/资产负债!AK40</f>
        <v>0</v>
      </c>
      <c r="AL86" s="222">
        <f ca="1">资产负债!AL28/资产负债!AL40</f>
        <v>0</v>
      </c>
      <c r="AM86" s="196"/>
    </row>
    <row r="87" spans="1:39" ht="16.5" customHeight="1">
      <c r="A87" s="262"/>
      <c r="B87" s="256" t="s">
        <v>325</v>
      </c>
      <c r="C87" s="256" t="s">
        <v>1580</v>
      </c>
      <c r="D87" s="222">
        <f>资产负债!D29/资产负债!D40</f>
        <v>0</v>
      </c>
      <c r="E87" s="222">
        <f>资产负债!E29/资产负债!E40</f>
        <v>0</v>
      </c>
      <c r="F87" s="222">
        <f>资产负债!F29/资产负债!F40</f>
        <v>0</v>
      </c>
      <c r="G87" s="222">
        <f>资产负债!G29/资产负债!G40</f>
        <v>2.2691965796404166E-3</v>
      </c>
      <c r="H87" s="222">
        <f>资产负债!H29/资产负债!H40</f>
        <v>2.6078469384696063E-3</v>
      </c>
      <c r="I87" s="222">
        <f ca="1">资产负债!I29/资产负债!I40</f>
        <v>3.937031369475711E-3</v>
      </c>
      <c r="J87" s="222">
        <f ca="1">资产负债!J29/资产负债!J40</f>
        <v>3.2905057515539102E-3</v>
      </c>
      <c r="K87" s="222">
        <f ca="1">资产负债!K29/资产负债!K40</f>
        <v>3.9833901244946653E-3</v>
      </c>
      <c r="L87" s="222">
        <f ca="1">资产负债!L29/资产负债!L40</f>
        <v>3.6327447151739871E-3</v>
      </c>
      <c r="M87" s="222">
        <f ca="1">资产负债!M29/资产负债!M40</f>
        <v>4.1425468629355177E-3</v>
      </c>
      <c r="N87" s="222">
        <f ca="1">资产负债!N29/资产负债!N40</f>
        <v>3.7466831116651608E-3</v>
      </c>
      <c r="O87" s="222">
        <f ca="1">资产负债!O29/资产负债!O40</f>
        <v>4.05421728905506E-3</v>
      </c>
      <c r="P87" s="222">
        <f ca="1">资产负债!P29/资产负债!P40</f>
        <v>3.6136579883047988E-3</v>
      </c>
      <c r="Q87" s="222">
        <f ca="1">资产负债!Q29/资产负债!Q40</f>
        <v>3.814302345648544E-3</v>
      </c>
      <c r="R87" s="222">
        <f ca="1">资产负债!R29/资产负债!R40</f>
        <v>3.4272152369869257E-3</v>
      </c>
      <c r="S87" s="222">
        <f ca="1">资产负债!S29/资产负债!S40</f>
        <v>3.4968969725422691E-3</v>
      </c>
      <c r="T87" s="222">
        <f ca="1">资产负债!T29/资产负债!T40</f>
        <v>3.1451137306529597E-3</v>
      </c>
      <c r="U87" s="222">
        <f ca="1">资产负债!U29/资产负债!U40</f>
        <v>3.1379112735260566E-3</v>
      </c>
      <c r="V87" s="222">
        <f ca="1">资产负债!V29/资产负债!V40</f>
        <v>2.8244216961246485E-3</v>
      </c>
      <c r="W87" s="222">
        <f ca="1">资产负债!W29/资产负债!W40</f>
        <v>2.7591967910944983E-3</v>
      </c>
      <c r="X87" s="222">
        <f ca="1">资产负债!X29/资产负债!X40</f>
        <v>2.4878630123770433E-3</v>
      </c>
      <c r="Y87" s="222">
        <f ca="1">资产负债!Y29/资产负债!Y40</f>
        <v>2.3944546372699238E-3</v>
      </c>
      <c r="Z87" s="222">
        <f ca="1">资产负债!Z29/资产负债!Z40</f>
        <v>2.1644854031185085E-3</v>
      </c>
      <c r="AA87" s="222">
        <f ca="1">资产负债!AA29/资产负债!AA40</f>
        <v>2.0595287178681167E-3</v>
      </c>
      <c r="AB87" s="222">
        <f ca="1">资产负债!AB29/资产负债!AB40</f>
        <v>1.8643611371012582E-3</v>
      </c>
      <c r="AC87" s="222">
        <f ca="1">资产负债!AC29/资产负债!AC40</f>
        <v>1.7569311712191224E-3</v>
      </c>
      <c r="AD87" s="222">
        <f ca="1">资产负债!AD29/资产负债!AD40</f>
        <v>1.5919669481852582E-3</v>
      </c>
      <c r="AE87" s="222">
        <f ca="1">资产负债!AE29/资产负债!AE40</f>
        <v>1.4888210561791371E-3</v>
      </c>
      <c r="AF87" s="222">
        <f ca="1">资产负债!AF29/资产负债!AF40</f>
        <v>1.3497779381344084E-3</v>
      </c>
      <c r="AG87" s="222">
        <f ca="1">资产负债!AG29/资产负债!AG40</f>
        <v>1.2543007519230885E-3</v>
      </c>
      <c r="AH87" s="222">
        <f ca="1">资产负债!AH29/资产负债!AH40</f>
        <v>1.1373693337562512E-3</v>
      </c>
      <c r="AI87" s="222">
        <f ca="1">资产负债!AI29/资产负债!AI40</f>
        <v>1.0514317142706533E-3</v>
      </c>
      <c r="AJ87" s="222">
        <f ca="1">资产负债!AJ29/资产负债!AJ40</f>
        <v>9.5335040419893696E-4</v>
      </c>
      <c r="AK87" s="222">
        <f ca="1">资产负债!AK29/资产负债!AK40</f>
        <v>8.7752329440048983E-4</v>
      </c>
      <c r="AL87" s="222">
        <f ca="1">资产负债!AL29/资产负债!AL40</f>
        <v>7.9545046031981174E-4</v>
      </c>
      <c r="AM87" s="214"/>
    </row>
    <row r="88" spans="1:39" s="262" customFormat="1" ht="16.5" customHeight="1">
      <c r="B88" s="256" t="s">
        <v>326</v>
      </c>
      <c r="C88" s="256" t="s">
        <v>1555</v>
      </c>
      <c r="D88" s="403">
        <f>资产负债!D30/资产负债!D40</f>
        <v>0.10771228437386303</v>
      </c>
      <c r="E88" s="403">
        <f>资产负债!E30/资产负债!E40</f>
        <v>0.12113460324565267</v>
      </c>
      <c r="F88" s="403">
        <f>资产负债!F30/资产负债!F40</f>
        <v>0.16048672614641954</v>
      </c>
      <c r="G88" s="403">
        <f>资产负债!G30/资产负债!G40</f>
        <v>0.15583325709563581</v>
      </c>
      <c r="H88" s="403">
        <f>资产负债!H30/资产负债!H40</f>
        <v>0.15454985908121285</v>
      </c>
      <c r="I88" s="403">
        <f ca="1">资产负债!I30/资产负债!I40</f>
        <v>0.19087147299723375</v>
      </c>
      <c r="J88" s="403">
        <f ca="1">资产负债!J30/资产负债!J40</f>
        <v>0.14419582297072955</v>
      </c>
      <c r="K88" s="403">
        <f ca="1">资产负债!K30/资产负债!K40</f>
        <v>0.16519176845758762</v>
      </c>
      <c r="L88" s="403">
        <f ca="1">资产负债!L30/资产负债!L40</f>
        <v>0.14145053687360584</v>
      </c>
      <c r="M88" s="403">
        <f ca="1">资产负债!M30/资产负债!M40</f>
        <v>0.15029701434960899</v>
      </c>
      <c r="N88" s="403">
        <f ca="1">资产负债!N30/资产负债!N40</f>
        <v>0.13099953287440544</v>
      </c>
      <c r="O88" s="403">
        <f ca="1">资产负债!O30/资产负债!O40</f>
        <v>0.1398346663336919</v>
      </c>
      <c r="P88" s="403">
        <f ca="1">资产负债!P30/资产负债!P40</f>
        <v>0.12393814384662222</v>
      </c>
      <c r="Q88" s="403">
        <f ca="1">资产负债!Q30/资产负债!Q40</f>
        <v>0.13035567744999124</v>
      </c>
      <c r="R88" s="403">
        <f ca="1">资产负债!R30/资产负债!R40</f>
        <v>0.11761519865849368</v>
      </c>
      <c r="S88" s="403">
        <f ca="1">资产负债!S30/资产负债!S40</f>
        <v>0.12208729496587029</v>
      </c>
      <c r="T88" s="403">
        <f ca="1">资产负债!T30/资产负债!T40</f>
        <v>0.11264106636464054</v>
      </c>
      <c r="U88" s="403">
        <f ca="1">资产负债!U30/资产负债!U40</f>
        <v>0.11587886858490062</v>
      </c>
      <c r="V88" s="403">
        <f ca="1">资产负债!V30/资产负债!V40</f>
        <v>0.11113982607210114</v>
      </c>
      <c r="W88" s="403">
        <f ca="1">资产负债!W30/资产负债!W40</f>
        <v>0.11619616227826154</v>
      </c>
      <c r="X88" s="403">
        <f ca="1">资产负债!X30/资产负债!X40</f>
        <v>0.11264063903172772</v>
      </c>
      <c r="Y88" s="403">
        <f ca="1">资产负债!Y30/资产负债!Y40</f>
        <v>0.11684074261964073</v>
      </c>
      <c r="Z88" s="403">
        <f ca="1">资产负债!Z30/资产负债!Z40</f>
        <v>0.11399215339187366</v>
      </c>
      <c r="AA88" s="403">
        <f ca="1">资产负债!AA30/资产负债!AA40</f>
        <v>0.11729333334422108</v>
      </c>
      <c r="AB88" s="403">
        <f ca="1">资产负债!AB30/资产负债!AB40</f>
        <v>0.11507196368356802</v>
      </c>
      <c r="AC88" s="403">
        <f ca="1">资产负债!AC30/资产负债!AC40</f>
        <v>0.11774288197283363</v>
      </c>
      <c r="AD88" s="403">
        <f ca="1">资产负债!AD30/资产负债!AD40</f>
        <v>0.11600279049801283</v>
      </c>
      <c r="AE88" s="403">
        <f ca="1">资产负债!AE30/资产负债!AE40</f>
        <v>0.11811217452651809</v>
      </c>
      <c r="AF88" s="403">
        <f ca="1">资产负债!AF30/资产负债!AF40</f>
        <v>0.11673866954359341</v>
      </c>
      <c r="AG88" s="403">
        <f ca="1">资产负债!AG30/资产负债!AG40</f>
        <v>0.11841519293485736</v>
      </c>
      <c r="AH88" s="403">
        <f ca="1">资产负债!AH30/资产负债!AH40</f>
        <v>0.11734216969357772</v>
      </c>
      <c r="AI88" s="403">
        <f ca="1">资产负债!AI30/资产负债!AI40</f>
        <v>0.11866637519743685</v>
      </c>
      <c r="AJ88" s="403">
        <f ca="1">资产负债!AJ30/资产负债!AJ40</f>
        <v>0.11782035684202583</v>
      </c>
      <c r="AK88" s="403">
        <f ca="1">资产负债!AK30/资产负债!AK40</f>
        <v>0.11886626469202859</v>
      </c>
      <c r="AL88" s="403">
        <f ca="1">资产负债!AL30/资产负债!AL40</f>
        <v>0.11820373797237493</v>
      </c>
      <c r="AM88" s="196"/>
    </row>
    <row r="89" spans="1:39" s="262" customFormat="1" ht="16.5" customHeight="1">
      <c r="B89" s="256" t="s">
        <v>327</v>
      </c>
      <c r="C89" s="256" t="s">
        <v>1581</v>
      </c>
      <c r="D89" s="403">
        <f>资产负债!D31/资产负债!D40</f>
        <v>6.4614672124526165E-2</v>
      </c>
      <c r="E89" s="403">
        <f>资产负债!E31/资产负债!E40</f>
        <v>8.4400992115855347E-2</v>
      </c>
      <c r="F89" s="403">
        <f>资产负债!F31/资产负债!F40</f>
        <v>4.5224378823269636E-2</v>
      </c>
      <c r="G89" s="403">
        <f>资产负债!G31/资产负债!G40</f>
        <v>2.4689641519120609E-2</v>
      </c>
      <c r="H89" s="403">
        <f>资产负债!H31/资产负债!H40</f>
        <v>1.2583275654263067E-2</v>
      </c>
      <c r="I89" s="403">
        <f ca="1">资产负债!I31/资产负债!I40</f>
        <v>1.7326047570910715E-2</v>
      </c>
      <c r="J89" s="403">
        <f ca="1">资产负债!J31/资产负债!J40</f>
        <v>1.4694474729693726E-2</v>
      </c>
      <c r="K89" s="403">
        <f ca="1">资产负债!K31/资产负债!K40</f>
        <v>1.7279437812076921E-2</v>
      </c>
      <c r="L89" s="403">
        <f ca="1">资产负债!L31/资产负债!L40</f>
        <v>1.4517786694161032E-2</v>
      </c>
      <c r="M89" s="403">
        <f ca="1">资产负债!M31/资产负债!M40</f>
        <v>1.5017178250145553E-2</v>
      </c>
      <c r="N89" s="403">
        <f ca="1">资产负债!N31/资产负债!N40</f>
        <v>1.3514631914428298E-2</v>
      </c>
      <c r="O89" s="403">
        <f ca="1">资产负债!O31/资产负债!O40</f>
        <v>1.4816793100747627E-2</v>
      </c>
      <c r="P89" s="403">
        <f ca="1">资产负债!P31/资产负债!P40</f>
        <v>1.335661236288495E-2</v>
      </c>
      <c r="Q89" s="403">
        <f ca="1">资产负债!Q31/资产负债!Q40</f>
        <v>1.4302188608730733E-2</v>
      </c>
      <c r="R89" s="403">
        <f ca="1">资产负债!R31/资产负债!R40</f>
        <v>1.324106353746775E-2</v>
      </c>
      <c r="S89" s="403">
        <f ca="1">资产负债!S31/资产负债!S40</f>
        <v>1.4207203570539022E-2</v>
      </c>
      <c r="T89" s="403">
        <f ca="1">资产负债!T31/资产负债!T40</f>
        <v>1.3478325020349192E-2</v>
      </c>
      <c r="U89" s="403">
        <f ca="1">资产负债!U31/资产负债!U40</f>
        <v>1.4213922870682388E-2</v>
      </c>
      <c r="V89" s="403">
        <f ca="1">资产负债!V31/资产负债!V40</f>
        <v>1.3593602069600624E-2</v>
      </c>
      <c r="W89" s="403">
        <f ca="1">资产负债!W31/资产负债!W40</f>
        <v>1.4206414034115886E-2</v>
      </c>
      <c r="X89" s="403">
        <f ca="1">资产负债!X31/资产负债!X40</f>
        <v>1.377029593039253E-2</v>
      </c>
      <c r="Y89" s="403">
        <f ca="1">资产负债!Y31/资产负债!Y40</f>
        <v>1.4273203332609834E-2</v>
      </c>
      <c r="Z89" s="403">
        <f ca="1">资产负债!Z31/资产负债!Z40</f>
        <v>1.391989379656663E-2</v>
      </c>
      <c r="AA89" s="403">
        <f ca="1">资产负债!AA31/资产负债!AA40</f>
        <v>1.4319574949770625E-2</v>
      </c>
      <c r="AB89" s="403">
        <f ca="1">资产负债!AB31/资产负债!AB40</f>
        <v>1.4043537889428968E-2</v>
      </c>
      <c r="AC89" s="403">
        <f ca="1">资产负债!AC31/资产负债!AC40</f>
        <v>1.436188216785384E-2</v>
      </c>
      <c r="AD89" s="403">
        <f ca="1">资产负债!AD31/资产负债!AD40</f>
        <v>1.4141202936327396E-2</v>
      </c>
      <c r="AE89" s="403">
        <f ca="1">资产负债!AE31/资产负债!AE40</f>
        <v>1.4391386377498962E-2</v>
      </c>
      <c r="AF89" s="403">
        <f ca="1">资产负债!AF31/资产负债!AF40</f>
        <v>1.4218013393582429E-2</v>
      </c>
      <c r="AG89" s="403">
        <f ca="1">资产负债!AG31/资产负债!AG40</f>
        <v>1.441633668908902E-2</v>
      </c>
      <c r="AH89" s="403">
        <f ca="1">资产负债!AH31/资产负债!AH40</f>
        <v>1.4280106088127851E-2</v>
      </c>
      <c r="AI89" s="403">
        <f ca="1">资产负债!AI31/资产负债!AI40</f>
        <v>1.4436199379914723E-2</v>
      </c>
      <c r="AJ89" s="403">
        <f ca="1">资产负债!AJ31/资产负债!AJ40</f>
        <v>1.432904390489814E-2</v>
      </c>
      <c r="AK89" s="403">
        <f ca="1">资产负债!AK31/资产负债!AK40</f>
        <v>1.4452458831444574E-2</v>
      </c>
      <c r="AL89" s="403">
        <f ca="1">资产负债!AL31/资产负债!AL40</f>
        <v>1.4368504429002773E-2</v>
      </c>
      <c r="AM89" s="196"/>
    </row>
    <row r="90" spans="1:39" s="262" customFormat="1" ht="16.5" customHeight="1">
      <c r="B90" s="404" t="s">
        <v>328</v>
      </c>
      <c r="C90" s="256" t="s">
        <v>1582</v>
      </c>
      <c r="D90" s="403">
        <f>资产负债!D33/资产负债!D40</f>
        <v>2.4530573178604218E-2</v>
      </c>
      <c r="E90" s="403">
        <f>资产负债!E33/资产负债!E40</f>
        <v>2.3285653445262847E-2</v>
      </c>
      <c r="F90" s="403">
        <f>资产负债!F33/资产负债!F40</f>
        <v>1.8043532548386129E-2</v>
      </c>
      <c r="G90" s="403">
        <f>资产负债!G33/资产负债!G40</f>
        <v>1.337819789165854E-2</v>
      </c>
      <c r="H90" s="403">
        <f>资产负债!H33/资产负债!H40</f>
        <v>2.2809789187088477E-2</v>
      </c>
      <c r="I90" s="403">
        <f ca="1">资产负债!I33/资产负债!I40</f>
        <v>3.0096702902883101E-2</v>
      </c>
      <c r="J90" s="403">
        <f ca="1">资产负债!J33/资产负债!J40</f>
        <v>2.3061793898039022E-2</v>
      </c>
      <c r="K90" s="403">
        <f ca="1">资产负债!K33/资产负债!K40</f>
        <v>2.6357962020335291E-2</v>
      </c>
      <c r="L90" s="403">
        <f ca="1">资产负债!L33/资产负债!L40</f>
        <v>2.3328287507504448E-2</v>
      </c>
      <c r="M90" s="403">
        <f ca="1">资产负债!M33/资产负债!M40</f>
        <v>2.6497124380816226E-2</v>
      </c>
      <c r="N90" s="403">
        <f ca="1">资产负债!N33/资产负债!N40</f>
        <v>2.3046569841122175E-2</v>
      </c>
      <c r="O90" s="403">
        <f ca="1">资产负债!O33/资产负债!O40</f>
        <v>2.4180522723010488E-2</v>
      </c>
      <c r="P90" s="403">
        <f ca="1">资产负债!P33/资产负债!P40</f>
        <v>2.1007861520550709E-2</v>
      </c>
      <c r="Q90" s="403">
        <f ca="1">资产负债!Q33/资产负债!Q40</f>
        <v>2.168211539111756E-2</v>
      </c>
      <c r="R90" s="403">
        <f ca="1">资产负债!R33/资产负债!R40</f>
        <v>1.9058370333416175E-2</v>
      </c>
      <c r="S90" s="403">
        <f ca="1">资产负债!S33/资产负债!S40</f>
        <v>1.8967157790302509E-2</v>
      </c>
      <c r="T90" s="403">
        <f ca="1">资产负债!T33/资产负债!T40</f>
        <v>1.6665341659435159E-2</v>
      </c>
      <c r="U90" s="403">
        <f ca="1">资产负债!U33/资产负债!U40</f>
        <v>1.6255790169931311E-2</v>
      </c>
      <c r="V90" s="403">
        <f ca="1">资产负债!V33/资产负债!V40</f>
        <v>1.4307501542613192E-2</v>
      </c>
      <c r="W90" s="403">
        <f ca="1">资产负债!W33/资产负债!W40</f>
        <v>1.366404414037444E-2</v>
      </c>
      <c r="X90" s="403">
        <f ca="1">资产负债!X33/资产负债!X40</f>
        <v>1.2040347000831593E-2</v>
      </c>
      <c r="Y90" s="403">
        <f ca="1">资产负债!Y33/资产负债!Y40</f>
        <v>1.1326098587934097E-2</v>
      </c>
      <c r="Z90" s="403">
        <f ca="1">资产负债!Z33/资产负债!Z40</f>
        <v>1.0005543540096225E-2</v>
      </c>
      <c r="AA90" s="403">
        <f ca="1">资产负债!AA33/资产负债!AA40</f>
        <v>9.3016438906540853E-3</v>
      </c>
      <c r="AB90" s="403">
        <f ca="1">资产负债!AB33/资产负债!AB40</f>
        <v>8.224192106585957E-3</v>
      </c>
      <c r="AC90" s="403">
        <f ca="1">资产负债!AC33/资产负债!AC40</f>
        <v>7.5674859682760033E-3</v>
      </c>
      <c r="AD90" s="403">
        <f ca="1">资产负债!AD33/资产负债!AD40</f>
        <v>6.6931430332398331E-3</v>
      </c>
      <c r="AE90" s="403">
        <f ca="1">资产负债!AE33/资产负债!AE40</f>
        <v>6.1076272974036703E-3</v>
      </c>
      <c r="AF90" s="403">
        <f ca="1">资产负债!AF33/资产负债!AF40</f>
        <v>5.4005787871871762E-3</v>
      </c>
      <c r="AG90" s="403">
        <f ca="1">资产负债!AG33/资产负债!AG40</f>
        <v>4.8924522106903092E-3</v>
      </c>
      <c r="AH90" s="403">
        <f ca="1">资产负债!AH33/资产负债!AH40</f>
        <v>4.3227397397848557E-3</v>
      </c>
      <c r="AI90" s="403">
        <f ca="1">资产负债!AI33/资产负债!AI40</f>
        <v>3.8917186298014195E-3</v>
      </c>
      <c r="AJ90" s="403">
        <f ca="1">资产负债!AJ33/资产负债!AJ40</f>
        <v>3.4345204123678932E-3</v>
      </c>
      <c r="AK90" s="403">
        <f ca="1">资产负债!AK33/资产负债!AK40</f>
        <v>3.0750877388891953E-3</v>
      </c>
      <c r="AL90" s="403">
        <f ca="1">资产负债!AL33/资产负债!AL40</f>
        <v>2.7096367900934855E-3</v>
      </c>
      <c r="AM90" s="196"/>
    </row>
    <row r="91" spans="1:39" ht="16.5" customHeight="1">
      <c r="A91" s="262"/>
      <c r="B91" s="256" t="s">
        <v>329</v>
      </c>
      <c r="C91" s="256" t="s">
        <v>1583</v>
      </c>
      <c r="D91" s="403">
        <f>资产负债!D34/资产负债!D40</f>
        <v>3.2728026430675015E-4</v>
      </c>
      <c r="E91" s="403">
        <f>资产负债!E34/资产负债!E40</f>
        <v>3.7909141720038743E-4</v>
      </c>
      <c r="F91" s="403">
        <f>资产负债!F34/资产负债!F40</f>
        <v>4.5261869375414138E-4</v>
      </c>
      <c r="G91" s="403">
        <f>资产负债!G34/资产负债!G40</f>
        <v>1.6138108404655996E-4</v>
      </c>
      <c r="H91" s="403">
        <f>资产负债!H34/资产负债!H40</f>
        <v>1.9442709953513071E-4</v>
      </c>
      <c r="I91" s="403">
        <f ca="1">资产负债!I34/资产负债!I40</f>
        <v>1.5213983261486635E-4</v>
      </c>
      <c r="J91" s="403">
        <f ca="1">资产负债!J34/资产负债!J40</f>
        <v>4.6640349477830163E-6</v>
      </c>
      <c r="K91" s="403">
        <f ca="1">资产负债!K34/资产负债!K40</f>
        <v>4.2193107389481219E-5</v>
      </c>
      <c r="L91" s="403">
        <f ca="1">资产负债!L34/资产负债!L40</f>
        <v>5.9441817344776471E-5</v>
      </c>
      <c r="M91" s="403">
        <f ca="1">资产负债!M34/资产负债!M40</f>
        <v>4.1699506210373086E-6</v>
      </c>
      <c r="N91" s="403">
        <f ca="1">资产负债!N34/资产负债!N40</f>
        <v>5.114417866055175E-5</v>
      </c>
      <c r="O91" s="403">
        <f ca="1">资产负债!O34/资产负债!O40</f>
        <v>9.6513284861529062E-5</v>
      </c>
      <c r="P91" s="403">
        <f ca="1">资产负债!P34/资产负债!P40</f>
        <v>5.8585338706358271E-5</v>
      </c>
      <c r="Q91" s="403">
        <f ca="1">资产负债!Q34/资产负债!Q40</f>
        <v>1.1346423126880002E-4</v>
      </c>
      <c r="R91" s="403">
        <f ca="1">资产负债!R34/资产负债!R40</f>
        <v>1.419183148310377E-4</v>
      </c>
      <c r="S91" s="403">
        <f ca="1">资产负债!S34/资产负债!S40</f>
        <v>1.3632007372480284E-4</v>
      </c>
      <c r="T91" s="403">
        <f ca="1">资产负债!T34/资产负债!T40</f>
        <v>1.6649895228091908E-4</v>
      </c>
      <c r="U91" s="403">
        <f ca="1">资产负债!U34/资产负债!U40</f>
        <v>2.0476959826943922E-4</v>
      </c>
      <c r="V91" s="403">
        <f ca="1">资产负债!V34/资产负债!V40</f>
        <v>1.8552563248086962E-4</v>
      </c>
      <c r="W91" s="403">
        <f ca="1">资产负债!W34/资产负债!W40</f>
        <v>2.1977186839930188E-4</v>
      </c>
      <c r="X91" s="403">
        <f ca="1">资产负债!X34/资产负债!X40</f>
        <v>2.2947380543147439E-4</v>
      </c>
      <c r="Y91" s="403">
        <f ca="1">资产负债!Y34/资产负债!Y40</f>
        <v>2.2645063319106068E-4</v>
      </c>
      <c r="Z91" s="403">
        <f ca="1">资产负债!Z34/资产负债!Z40</f>
        <v>2.3474851210959053E-4</v>
      </c>
      <c r="AA91" s="403">
        <f ca="1">资产负债!AA34/资产负债!AA40</f>
        <v>2.4949123290523222E-4</v>
      </c>
      <c r="AB91" s="403">
        <f ca="1">资产负债!AB34/资产负债!AB40</f>
        <v>2.3276239224941057E-4</v>
      </c>
      <c r="AC91" s="403">
        <f ca="1">资产负债!AC34/资产负债!AC40</f>
        <v>2.435342144771965E-4</v>
      </c>
      <c r="AD91" s="403">
        <f ca="1">资产负债!AD34/资产负债!AD40</f>
        <v>2.4090707344065447E-4</v>
      </c>
      <c r="AE91" s="403">
        <f ca="1">资产负债!AE34/资产负债!AE40</f>
        <v>2.3233053077354466E-4</v>
      </c>
      <c r="AF91" s="403">
        <f ca="1">资产负债!AF34/资产负债!AF40</f>
        <v>2.2904174989605685E-4</v>
      </c>
      <c r="AG91" s="403">
        <f ca="1">资产负债!AG34/资产负债!AG40</f>
        <v>2.2877520936065313E-4</v>
      </c>
      <c r="AH91" s="403">
        <f ca="1">资产负债!AH34/资产负债!AH40</f>
        <v>2.1371271096770774E-4</v>
      </c>
      <c r="AI91" s="403">
        <f ca="1">资产负债!AI34/资产负债!AI40</f>
        <v>2.1177604455724795E-4</v>
      </c>
      <c r="AJ91" s="403">
        <f ca="1">资产负债!AJ34/资产负债!AJ40</f>
        <v>2.0410572899892763E-4</v>
      </c>
      <c r="AK91" s="403">
        <f ca="1">资产负债!AK34/资产负债!AK40</f>
        <v>1.9325322962887538E-4</v>
      </c>
      <c r="AL91" s="403">
        <f ca="1">资产负债!AL34/资产负债!AL40</f>
        <v>1.8583856562112992E-4</v>
      </c>
      <c r="AM91" s="214"/>
    </row>
    <row r="92" spans="1:39" ht="16.5" customHeight="1">
      <c r="A92" s="262"/>
      <c r="B92" s="404" t="s">
        <v>330</v>
      </c>
      <c r="C92" s="256" t="s">
        <v>1584</v>
      </c>
      <c r="D92" s="403">
        <f>资产负债!D35/资产负债!D40</f>
        <v>0</v>
      </c>
      <c r="E92" s="403">
        <f>资产负债!E35/资产负债!E40</f>
        <v>0</v>
      </c>
      <c r="F92" s="403">
        <f>资产负债!F35/资产负债!F40</f>
        <v>0</v>
      </c>
      <c r="G92" s="403">
        <f>资产负债!G35/资产负债!G40</f>
        <v>0</v>
      </c>
      <c r="H92" s="403">
        <f>资产负债!H35/资产负债!H40</f>
        <v>7.9984696808199501E-3</v>
      </c>
      <c r="I92" s="403">
        <f ca="1">资产负债!I35/资产负债!I40</f>
        <v>6.9832606782313086E-3</v>
      </c>
      <c r="J92" s="403">
        <f ca="1">资产负债!J35/资产负债!J40</f>
        <v>5.82429546195021E-3</v>
      </c>
      <c r="K92" s="403">
        <f ca="1">资产负债!K35/资产负债!K40</f>
        <v>5.5746619479337036E-3</v>
      </c>
      <c r="L92" s="403">
        <f ca="1">资产负债!L35/资产负债!L40</f>
        <v>4.6653579866023972E-3</v>
      </c>
      <c r="M92" s="403">
        <f ca="1">资产负债!M35/资产负债!M40</f>
        <v>4.6453758987534443E-3</v>
      </c>
      <c r="N92" s="403">
        <f ca="1">资产负债!N35/资产负债!N40</f>
        <v>3.827629671632189E-3</v>
      </c>
      <c r="O92" s="403">
        <f ca="1">资产负债!O35/资产负债!O40</f>
        <v>3.7508473732161102E-3</v>
      </c>
      <c r="P92" s="403">
        <f ca="1">资产负债!P35/资产负债!P40</f>
        <v>3.0774403868761044E-3</v>
      </c>
      <c r="Q92" s="403">
        <f ca="1">资产负债!Q35/资产负债!Q40</f>
        <v>2.9984553064370664E-3</v>
      </c>
      <c r="R92" s="403">
        <f ca="1">资产负债!R35/资产负债!R40</f>
        <v>2.5060761530193649E-3</v>
      </c>
      <c r="S92" s="403">
        <f ca="1">资产负债!S35/资产负债!S40</f>
        <v>2.3877308716104689E-3</v>
      </c>
      <c r="T92" s="403">
        <f ca="1">资产负债!T35/资产负债!T40</f>
        <v>2.0152204113813937E-3</v>
      </c>
      <c r="U92" s="403">
        <f ca="1">资产负债!U35/资产负债!U40</f>
        <v>1.8935287063313161E-3</v>
      </c>
      <c r="V92" s="403">
        <f ca="1">资产负债!V35/资产负债!V40</f>
        <v>1.6107578162424202E-3</v>
      </c>
      <c r="W92" s="403">
        <f ca="1">资产负债!W35/资产负债!W40</f>
        <v>1.4915329894483065E-3</v>
      </c>
      <c r="X92" s="403">
        <f ca="1">资产负债!X35/资产负债!X40</f>
        <v>1.2782577221901452E-3</v>
      </c>
      <c r="Y92" s="403">
        <f ca="1">资产负债!Y35/资产负债!Y40</f>
        <v>1.1722068163023741E-3</v>
      </c>
      <c r="Z92" s="403">
        <f ca="1">资产负债!Z35/资产负债!Z40</f>
        <v>1.0118824811389873E-3</v>
      </c>
      <c r="AA92" s="403">
        <f ca="1">资产负债!AA35/资产负债!AA40</f>
        <v>9.2130026633177608E-4</v>
      </c>
      <c r="AB92" s="403">
        <f ca="1">资产负债!AB35/资产负债!AB40</f>
        <v>7.9952048081301068E-4</v>
      </c>
      <c r="AC92" s="403">
        <f ca="1">资产负债!AC35/资产负债!AC40</f>
        <v>7.2354066670767361E-4</v>
      </c>
      <c r="AD92" s="403">
        <f ca="1">资产负债!AD35/资产负债!AD40</f>
        <v>6.3057459832876876E-4</v>
      </c>
      <c r="AE92" s="403">
        <f ca="1">资产负债!AE35/资产负债!AE40</f>
        <v>5.6803162617666747E-4</v>
      </c>
      <c r="AF92" s="403">
        <f ca="1">资产负债!AF35/资产负债!AF40</f>
        <v>4.9671534228743787E-4</v>
      </c>
      <c r="AG92" s="403">
        <f ca="1">资产负债!AG35/资产负债!AG40</f>
        <v>4.4576797323014905E-4</v>
      </c>
      <c r="AH92" s="403">
        <f ca="1">资产负债!AH35/资产负债!AH40</f>
        <v>3.9082346872992515E-4</v>
      </c>
      <c r="AI92" s="403">
        <f ca="1">资产负债!AI35/资产负债!AI40</f>
        <v>3.4971065859703811E-4</v>
      </c>
      <c r="AJ92" s="403">
        <f ca="1">资产负债!AJ35/资产负债!AJ40</f>
        <v>3.0723848061937659E-4</v>
      </c>
      <c r="AK92" s="403">
        <f ca="1">资产负债!AK35/资产负债!AK40</f>
        <v>2.7428131136569638E-4</v>
      </c>
      <c r="AL92" s="403">
        <f ca="1">资产负债!AL35/资产负债!AL40</f>
        <v>2.4135683060170571E-4</v>
      </c>
      <c r="AM92" s="214"/>
    </row>
    <row r="93" spans="1:39" ht="16.5" customHeight="1">
      <c r="A93" s="254" t="s">
        <v>1387</v>
      </c>
      <c r="D93" s="222"/>
      <c r="E93" s="222"/>
      <c r="F93" s="222"/>
      <c r="G93" s="222"/>
      <c r="H93" s="222"/>
      <c r="I93" s="222"/>
      <c r="J93" s="222"/>
      <c r="K93" s="222"/>
      <c r="L93" s="222"/>
      <c r="M93" s="222"/>
      <c r="N93" s="222"/>
      <c r="O93" s="222"/>
      <c r="P93" s="222"/>
      <c r="Q93" s="222"/>
      <c r="R93" s="222"/>
      <c r="S93" s="222"/>
      <c r="T93" s="222"/>
      <c r="U93" s="222"/>
      <c r="V93" s="222"/>
      <c r="W93" s="222"/>
      <c r="X93" s="222"/>
      <c r="Y93" s="222"/>
      <c r="Z93" s="222"/>
      <c r="AA93" s="222"/>
      <c r="AB93" s="222"/>
      <c r="AC93" s="222"/>
      <c r="AD93" s="222"/>
      <c r="AE93" s="222"/>
      <c r="AF93" s="222"/>
      <c r="AG93" s="222"/>
      <c r="AH93" s="222"/>
      <c r="AI93" s="222"/>
      <c r="AJ93" s="222"/>
      <c r="AK93" s="222"/>
      <c r="AL93" s="222"/>
      <c r="AM93" s="214"/>
    </row>
    <row r="94" spans="1:39" ht="16.5" customHeight="1">
      <c r="B94" s="260" t="s">
        <v>1388</v>
      </c>
      <c r="C94" s="260" t="s">
        <v>1388</v>
      </c>
      <c r="D94" s="401">
        <f>资产负债!D19/资产负债!C19-1</f>
        <v>1.0998380102707155</v>
      </c>
      <c r="E94" s="401">
        <f>资产负债!E19/资产负债!D19-1</f>
        <v>0.16997209751490194</v>
      </c>
      <c r="F94" s="401">
        <f>资产负债!F19/资产负债!E19-1</f>
        <v>0.36735118999288341</v>
      </c>
      <c r="G94" s="401">
        <f>资产负债!G19/资产负债!F19-1</f>
        <v>0.35224854168580433</v>
      </c>
      <c r="H94" s="401">
        <f>资产负债!H19/资产负债!G19-1</f>
        <v>0.15305801354194837</v>
      </c>
      <c r="I94" s="401">
        <f ca="1">资产负债!I19/资产负债!H19-1</f>
        <v>-0.21838630590044927</v>
      </c>
      <c r="J94" s="401">
        <f ca="1">资产负债!J19/资产负债!I19-1</f>
        <v>0.56811993938875038</v>
      </c>
      <c r="K94" s="401">
        <f ca="1">资产负债!K19/资产负债!J19-1</f>
        <v>-7.8831224526264787E-2</v>
      </c>
      <c r="L94" s="401">
        <f ca="1">资产负债!L19/资产负债!K19-1</f>
        <v>0.31020588607724831</v>
      </c>
      <c r="M94" s="401">
        <f ca="1">资产负债!M19/资产负债!L19-1</f>
        <v>-3.1597428678633577E-2</v>
      </c>
      <c r="N94" s="401">
        <f ca="1">资产负债!N19/资产负债!M19-1</f>
        <v>0.27388732422046136</v>
      </c>
      <c r="O94" s="401">
        <f ca="1">资产负债!O19/资产负债!N19-1</f>
        <v>4.7746039870788515E-4</v>
      </c>
      <c r="P94" s="401">
        <f ca="1">资产负债!P19/资产负债!O19-1</f>
        <v>0.26184747067965986</v>
      </c>
      <c r="Q94" s="401">
        <f ca="1">资产负债!Q19/资产负债!P19-1</f>
        <v>1.5381270999704544E-2</v>
      </c>
      <c r="R94" s="401">
        <f ca="1">资产负债!R19/资产负债!Q19-1</f>
        <v>0.22688156347736976</v>
      </c>
      <c r="S94" s="401">
        <f ca="1">资产负债!S19/资产负债!R19-1</f>
        <v>4.3352653218166282E-2</v>
      </c>
      <c r="T94" s="401">
        <f ca="1">资产负债!T19/资产负债!S19-1</f>
        <v>0.20708017222011987</v>
      </c>
      <c r="U94" s="401">
        <f ca="1">资产负债!U19/资产负债!T19-1</f>
        <v>6.0673740228643913E-2</v>
      </c>
      <c r="V94" s="401">
        <f ca="1">资产负债!V19/资产负债!U19-1</f>
        <v>0.1889873396850883</v>
      </c>
      <c r="W94" s="401">
        <f ca="1">资产负债!W19/资产负债!V19-1</f>
        <v>7.457032918054618E-2</v>
      </c>
      <c r="X94" s="401">
        <f ca="1">资产负债!X19/资产负债!W19-1</f>
        <v>0.17699284261187009</v>
      </c>
      <c r="Y94" s="401">
        <f ca="1">资产负债!Y19/资产负债!X19-1</f>
        <v>8.6390841692823628E-2</v>
      </c>
      <c r="Z94" s="401">
        <f ca="1">资产负债!Z19/资产负债!Y19-1</f>
        <v>0.16641101573694739</v>
      </c>
      <c r="AA94" s="401">
        <f ca="1">资产负债!AA19/资产负债!Z19-1</f>
        <v>9.5362723527417037E-2</v>
      </c>
      <c r="AB94" s="401">
        <f ca="1">资产负债!AB19/资产负债!AA19-1</f>
        <v>0.15856062082205336</v>
      </c>
      <c r="AC94" s="401">
        <f ca="1">资产负债!AC19/资产负债!AB19-1</f>
        <v>0.10278397819444951</v>
      </c>
      <c r="AD94" s="401">
        <f ca="1">资产负债!AD19/资产负债!AC19-1</f>
        <v>0.15231123327441698</v>
      </c>
      <c r="AE94" s="401">
        <f ca="1">资产负债!AE19/资产负债!AD19-1</f>
        <v>0.10849824307295153</v>
      </c>
      <c r="AF94" s="401">
        <f ca="1">资产负债!AF19/资产负债!AE19-1</f>
        <v>0.14742075744217709</v>
      </c>
      <c r="AG94" s="401">
        <f ca="1">资产负债!AG19/资产负债!AF19-1</f>
        <v>0.11308802551858932</v>
      </c>
      <c r="AH94" s="401">
        <f ca="1">资产负债!AH19/资产负债!AG19-1</f>
        <v>0.14362047316050974</v>
      </c>
      <c r="AI94" s="401">
        <f ca="1">资产负债!AI19/资产负债!AH19-1</f>
        <v>0.11667360059472665</v>
      </c>
      <c r="AJ94" s="401">
        <f ca="1">资产负债!AJ19/资产负债!AI19-1</f>
        <v>0.14062614249990846</v>
      </c>
      <c r="AK94" s="401">
        <f ca="1">资产负债!AK19/资产负债!AJ19-1</f>
        <v>0.11950684150165047</v>
      </c>
      <c r="AL94" s="401">
        <f ca="1">资产负债!AL19/资产负债!AK19-1</f>
        <v>0.13829377236782792</v>
      </c>
      <c r="AM94" s="214"/>
    </row>
    <row r="95" spans="1:39" ht="16.5" customHeight="1">
      <c r="B95" s="263" t="s">
        <v>1540</v>
      </c>
      <c r="C95" s="256" t="s">
        <v>1541</v>
      </c>
      <c r="D95" s="222">
        <f>资产负债!D3/资产负债!C3-1</f>
        <v>1.6174771163571453</v>
      </c>
      <c r="E95" s="222">
        <f>资产负债!E3/资产负债!D3-1</f>
        <v>0.21567543549931956</v>
      </c>
      <c r="F95" s="222">
        <f>资产负债!F3/资产负债!E3-1</f>
        <v>0.28991288871246357</v>
      </c>
      <c r="G95" s="222">
        <f>资产负债!G3/资产负债!F3-1</f>
        <v>0.54163609729108675</v>
      </c>
      <c r="H95" s="222">
        <f>资产负债!H3/资产负债!G3-1</f>
        <v>6.5879533556193914E-2</v>
      </c>
      <c r="I95" s="222">
        <f ca="1">资产负债!I3/资产负债!H3-1</f>
        <v>-4.3415929644535334E-2</v>
      </c>
      <c r="J95" s="222">
        <f ca="1">资产负债!J3/资产负债!I3-1</f>
        <v>0.13685479314354554</v>
      </c>
      <c r="K95" s="222">
        <f ca="1">资产负债!K3/资产负债!J3-1</f>
        <v>0.18839593966268842</v>
      </c>
      <c r="L95" s="222">
        <f ca="1">资产负债!L3/资产负债!K3-1</f>
        <v>0.16608853908545318</v>
      </c>
      <c r="M95" s="222">
        <f ca="1">资产负债!M3/资产负债!L3-1</f>
        <v>0.10142468157314211</v>
      </c>
      <c r="N95" s="222">
        <f ca="1">资产负债!N3/资产负债!M3-1</f>
        <v>0.10700826265329799</v>
      </c>
      <c r="O95" s="222">
        <f ca="1">资产负债!O3/资产负债!N3-1</f>
        <v>0.13966428543258358</v>
      </c>
      <c r="P95" s="222">
        <f ca="1">资产负债!P3/资产负债!O3-1</f>
        <v>0.14018337267750147</v>
      </c>
      <c r="Q95" s="222">
        <f ca="1">资产负债!Q3/资产负债!P3-1</f>
        <v>0.13067752374464692</v>
      </c>
      <c r="R95" s="222">
        <f ca="1">资产负债!R3/资产负债!Q3-1</f>
        <v>0.12372498610790461</v>
      </c>
      <c r="S95" s="222">
        <f ca="1">资产负债!S3/资产负债!R3-1</f>
        <v>0.12819200879088366</v>
      </c>
      <c r="T95" s="222">
        <f ca="1">资产负债!T3/资产负债!S3-1</f>
        <v>0.13247704297833462</v>
      </c>
      <c r="U95" s="222">
        <f ca="1">资产负债!U3/资产负债!T3-1</f>
        <v>0.13104081345158214</v>
      </c>
      <c r="V95" s="222">
        <f ca="1">资产负债!V3/资产负债!U3-1</f>
        <v>0.12921981500394786</v>
      </c>
      <c r="W95" s="222">
        <f ca="1">资产负债!W3/资产负债!V3-1</f>
        <v>0.12892806889928421</v>
      </c>
      <c r="X95" s="222">
        <f ca="1">资产负债!X3/资产负债!W3-1</f>
        <v>0.12997072796670084</v>
      </c>
      <c r="Y95" s="222">
        <f ca="1">资产负债!Y3/资产负债!X3-1</f>
        <v>0.13032674134840527</v>
      </c>
      <c r="Z95" s="222">
        <f ca="1">资产负债!Z3/资产负债!Y3-1</f>
        <v>0.1298970286690686</v>
      </c>
      <c r="AA95" s="222">
        <f ca="1">资产负债!AA3/资产负债!Z3-1</f>
        <v>0.12966840886438002</v>
      </c>
      <c r="AB95" s="222">
        <f ca="1">资产负债!AB3/资产负债!AA3-1</f>
        <v>0.12975811687767069</v>
      </c>
      <c r="AC95" s="222">
        <f ca="1">资产负债!AC3/资产负债!AB3-1</f>
        <v>0.12992419263034516</v>
      </c>
      <c r="AD95" s="222">
        <f ca="1">资产负债!AD3/资产负债!AC3-1</f>
        <v>0.12991487893602827</v>
      </c>
      <c r="AE95" s="222">
        <f ca="1">资产负债!AE3/资产负债!AD3-1</f>
        <v>0.12983252219278274</v>
      </c>
      <c r="AF95" s="222">
        <f ca="1">资产负债!AF3/资产负债!AE3-1</f>
        <v>0.12981962100272737</v>
      </c>
      <c r="AG95" s="222">
        <f ca="1">资产负债!AG3/资产负债!AF3-1</f>
        <v>0.12984986494507744</v>
      </c>
      <c r="AH95" s="222">
        <f ca="1">资产负债!AH3/资产负债!AG3-1</f>
        <v>0.12986821545246152</v>
      </c>
      <c r="AI95" s="222">
        <f ca="1">资产负债!AI3/资产负债!AH3-1</f>
        <v>0.12985702008424482</v>
      </c>
      <c r="AJ95" s="222">
        <f ca="1">资产负债!AJ3/资产负债!AI3-1</f>
        <v>0.12984544866049585</v>
      </c>
      <c r="AK95" s="222">
        <f ca="1">资产负债!AK3/资产负债!AJ3-1</f>
        <v>0.1298480339364223</v>
      </c>
      <c r="AL95" s="222">
        <f ca="1">资产负债!AL3/资产负债!AK3-1</f>
        <v>0.12985371659689071</v>
      </c>
      <c r="AM95" s="214"/>
    </row>
    <row r="96" spans="1:39" ht="16.5" customHeight="1">
      <c r="B96" s="231" t="s">
        <v>1043</v>
      </c>
      <c r="C96" s="256" t="s">
        <v>1542</v>
      </c>
      <c r="D96" s="222" t="str">
        <f>IF(资产负债!C4&lt;&gt;0,资产负债!D4/资产负债!C4-1,"-")</f>
        <v>-</v>
      </c>
      <c r="E96" s="222">
        <f>IF(资产负债!D4&lt;&gt;0,资产负债!E4/资产负债!D4-1,"-")</f>
        <v>-1</v>
      </c>
      <c r="F96" s="222" t="str">
        <f>IF(资产负债!E4&lt;&gt;0,资产负债!F4/资产负债!E4-1,"-")</f>
        <v>-</v>
      </c>
      <c r="G96" s="222">
        <f>IF(资产负债!F4&lt;&gt;0,资产负债!G4/资产负债!F4-1,"-")</f>
        <v>-0.99975037239597597</v>
      </c>
      <c r="H96" s="222">
        <f>IF(资产负债!G4&lt;&gt;0,资产负债!H4/资产负债!G4-1,"-")</f>
        <v>1364.0873012960037</v>
      </c>
      <c r="I96" s="222">
        <f>IF(资产负债!H4&lt;&gt;0,资产负债!I4/资产负债!H4-1,"-")</f>
        <v>-1.617015254411569E-2</v>
      </c>
      <c r="J96" s="222">
        <f>IF(资产负债!I4&lt;&gt;0,资产负债!J4/资产负债!I4-1,"-")</f>
        <v>0.24999999999999978</v>
      </c>
      <c r="K96" s="222">
        <f>IF(资产负债!J4&lt;&gt;0,资产负债!K4/资产负债!J4-1,"-")</f>
        <v>-0.34656389639560492</v>
      </c>
      <c r="L96" s="222">
        <f>IF(资产负债!K4&lt;&gt;0,资产负债!L4/资产负债!K4-1,"-")</f>
        <v>0.24977209888574703</v>
      </c>
      <c r="M96" s="222">
        <f>IF(资产负债!L4&lt;&gt;0,资产负债!M4/资产负债!L4-1,"-")</f>
        <v>1.070681370478388E-3</v>
      </c>
      <c r="N96" s="222">
        <f>IF(资产负债!M4&lt;&gt;0,资产负债!N4/资产负债!M4-1,"-")</f>
        <v>5.3578402283214199E-3</v>
      </c>
      <c r="O96" s="222">
        <f>IF(资产负债!N4&lt;&gt;0,资产负债!O4/资产负债!N4-1,"-")</f>
        <v>-5.4172989435432028E-2</v>
      </c>
      <c r="P96" s="222">
        <f>IF(资产负债!O4&lt;&gt;0,资产负债!P4/资产负债!O4-1,"-")</f>
        <v>3.9858387613872059E-2</v>
      </c>
      <c r="Q96" s="222">
        <f>IF(资产负债!P4&lt;&gt;0,资产负债!Q4/资产负债!P4-1,"-")</f>
        <v>-2.5623941714720821E-3</v>
      </c>
      <c r="R96" s="222">
        <f>IF(资产负债!Q4&lt;&gt;0,资产负债!R4/资产负债!Q4-1,"-")</f>
        <v>-3.4823296659021175E-3</v>
      </c>
      <c r="S96" s="222">
        <f>IF(资产负债!R4&lt;&gt;0,资产负债!S4/资产负债!R4-1,"-")</f>
        <v>-5.7309870917946482E-3</v>
      </c>
      <c r="T96" s="222">
        <f>IF(资产负债!S4&lt;&gt;0,资产负债!T4/资产负债!S4-1,"-")</f>
        <v>6.7285393695664109E-3</v>
      </c>
      <c r="U96" s="222">
        <f>IF(资产负债!T4&lt;&gt;0,资产负债!U4/资产负债!T4-1,"-")</f>
        <v>-1.2771406699642052E-3</v>
      </c>
      <c r="V96" s="222">
        <f>IF(资产负债!U4&lt;&gt;0,资产负债!V4/资产负债!U4-1,"-")</f>
        <v>-9.5377285888598173E-4</v>
      </c>
      <c r="W96" s="222">
        <f>IF(资产负债!V4&lt;&gt;0,资产负债!W4/资产负债!V4-1,"-")</f>
        <v>-3.1861619308870548E-4</v>
      </c>
      <c r="X96" s="222">
        <f>IF(资产负债!W4&lt;&gt;0,资产负债!X4/资产负债!W4-1,"-")</f>
        <v>1.0366328048756479E-3</v>
      </c>
      <c r="Y96" s="222">
        <f>IF(资产负债!X4&lt;&gt;0,资产负债!Y4/资产负债!X4-1,"-")</f>
        <v>-3.789759527528247E-4</v>
      </c>
      <c r="Z96" s="222">
        <f>IF(资产负债!Y4&lt;&gt;0,资产负债!Z4/资产负债!Y4-1,"-")</f>
        <v>-1.5400913360574808E-4</v>
      </c>
      <c r="AA96" s="222">
        <f>IF(资产负债!Z4&lt;&gt;0,资产负债!AA4/资产负债!Z4-1,"-")</f>
        <v>4.608578507769856E-5</v>
      </c>
      <c r="AB96" s="222">
        <f>IF(资产负债!AA4&lt;&gt;0,资产负债!AB4/资产负债!AA4-1,"-")</f>
        <v>1.3724027111616799E-4</v>
      </c>
      <c r="AC96" s="222">
        <f>IF(资产负债!AB4&lt;&gt;0,资产负债!AC4/资产负债!AB4-1,"-")</f>
        <v>-8.7453592401809388E-5</v>
      </c>
      <c r="AD96" s="222">
        <f>IF(资产负债!AC4&lt;&gt;0,资产负债!AD4/资产负债!AC4-1,"-")</f>
        <v>-1.4541131179490741E-5</v>
      </c>
      <c r="AE96" s="222">
        <f>IF(资产负债!AD4&lt;&gt;0,资产负债!AE4/资产负债!AD4-1,"-")</f>
        <v>2.0328404491731789E-5</v>
      </c>
      <c r="AF96" s="222">
        <f>IF(资产负债!AE4&lt;&gt;0,资产负债!AF4/资产负债!AE4-1,"-")</f>
        <v>1.3889713840198326E-5</v>
      </c>
      <c r="AG96" s="222">
        <f>IF(资产负债!AF4&lt;&gt;0,资产负债!AG4/资产负债!AF4-1,"-")</f>
        <v>-1.6945783878341558E-5</v>
      </c>
      <c r="AH96" s="222">
        <f>IF(资产负债!AG4&lt;&gt;0,资产负债!AH4/资产负债!AG4-1,"-")</f>
        <v>6.8266179020781692E-7</v>
      </c>
      <c r="AI96" s="222">
        <f>IF(资产负债!AH4&lt;&gt;0,资产负债!AI4/资产负债!AH4-1,"-")</f>
        <v>4.4885970416075338E-6</v>
      </c>
      <c r="AJ96" s="222">
        <f>IF(资产负债!AI4&lt;&gt;0,资产负债!AJ4/资产负债!AI4-1,"-")</f>
        <v>5.2873405187447986E-7</v>
      </c>
      <c r="AK96" s="222">
        <f>IF(资产负债!AJ4&lt;&gt;0,资产负债!AK4/资产负债!AJ4-1,"-")</f>
        <v>-2.8115020643815214E-6</v>
      </c>
      <c r="AL96" s="222">
        <f>IF(资产负债!AK4&lt;&gt;0,资产负债!AL4/资产负债!AK4-1,"-")</f>
        <v>7.221180622352108E-7</v>
      </c>
      <c r="AM96" s="214"/>
    </row>
    <row r="97" spans="1:39" ht="16.5" hidden="1" customHeight="1">
      <c r="B97" s="231"/>
      <c r="D97" s="222"/>
      <c r="E97" s="222"/>
      <c r="F97" s="222"/>
      <c r="G97" s="222"/>
      <c r="H97" s="222"/>
      <c r="I97" s="222"/>
      <c r="J97" s="222"/>
      <c r="K97" s="222"/>
      <c r="L97" s="222"/>
      <c r="M97" s="222"/>
      <c r="N97" s="222"/>
      <c r="O97" s="222"/>
      <c r="P97" s="222"/>
      <c r="Q97" s="222"/>
      <c r="R97" s="222"/>
      <c r="S97" s="222"/>
      <c r="T97" s="222"/>
      <c r="U97" s="222"/>
      <c r="V97" s="222"/>
      <c r="W97" s="222"/>
      <c r="X97" s="222"/>
      <c r="Y97" s="222"/>
      <c r="Z97" s="222"/>
      <c r="AA97" s="222"/>
      <c r="AB97" s="222"/>
      <c r="AC97" s="222"/>
      <c r="AD97" s="222"/>
      <c r="AE97" s="222"/>
      <c r="AF97" s="222"/>
      <c r="AG97" s="222"/>
      <c r="AH97" s="222"/>
      <c r="AI97" s="222"/>
      <c r="AJ97" s="222"/>
      <c r="AK97" s="222"/>
      <c r="AL97" s="222"/>
      <c r="AM97" s="214"/>
    </row>
    <row r="98" spans="1:39" ht="16.5" customHeight="1">
      <c r="B98" s="1129" t="s">
        <v>2708</v>
      </c>
      <c r="C98" s="256" t="s">
        <v>1543</v>
      </c>
      <c r="D98" s="222">
        <f>IF(资产负债!C6&lt;&gt;0,资产负债!D6/资产负债!C6-1,"-")</f>
        <v>0.46601492556991309</v>
      </c>
      <c r="E98" s="222">
        <f>IF(资产负债!D6&lt;&gt;0,资产负债!E6/资产负债!D6-1,"-")</f>
        <v>0.43773124058288682</v>
      </c>
      <c r="F98" s="222">
        <f>IF(资产负债!E6&lt;&gt;0,资产负债!F6/资产负债!E6-1,"-")</f>
        <v>0.27094920527939226</v>
      </c>
      <c r="G98" s="222">
        <f>IF(资产负债!F6&lt;&gt;0,资产负债!G6/资产负债!F6-1,"-")</f>
        <v>0.36923398839448263</v>
      </c>
      <c r="H98" s="222">
        <f>IF(资产负债!G6&lt;&gt;0,资产负债!H6/资产负债!G6-1,"-")</f>
        <v>0.18878138786335219</v>
      </c>
      <c r="I98" s="222">
        <f>IF(资产负债!H6&lt;&gt;0,资产负债!I6/资产负债!H6-1,"-")</f>
        <v>-0.39275226425374699</v>
      </c>
      <c r="J98" s="222">
        <f>IF(资产负债!I6&lt;&gt;0,资产负债!J6/资产负债!I6-1,"-")</f>
        <v>1.2113090223184568</v>
      </c>
      <c r="K98" s="222">
        <f>IF(资产负债!J6&lt;&gt;0,资产负债!K6/资产负债!J6-1,"-")</f>
        <v>-0.24324590789848433</v>
      </c>
      <c r="L98" s="222">
        <f>IF(资产负债!K6&lt;&gt;0,资产负债!L6/资产负债!K6-1,"-")</f>
        <v>0.51077159820305651</v>
      </c>
      <c r="M98" s="222">
        <f>IF(资产负债!L6&lt;&gt;0,资产负债!M6/资产负债!L6-1,"-")</f>
        <v>-0.13291941520632156</v>
      </c>
      <c r="N98" s="222">
        <f>IF(资产负债!M6&lt;&gt;0,资产负债!N6/资产负债!M6-1,"-")</f>
        <v>0.44238561908542318</v>
      </c>
      <c r="O98" s="222">
        <f>IF(资产负债!N6&lt;&gt;0,资产负债!O6/资产负债!N6-1,"-")</f>
        <v>-8.9127092410977937E-2</v>
      </c>
      <c r="P98" s="222">
        <f>IF(资产负债!O6&lt;&gt;0,资产负债!P6/资产负债!O6-1,"-")</f>
        <v>0.38729854881511128</v>
      </c>
      <c r="Q98" s="222">
        <f>IF(资产负债!P6&lt;&gt;0,资产负债!Q6/资产负债!P6-1,"-")</f>
        <v>-6.0374870246364898E-2</v>
      </c>
      <c r="R98" s="222">
        <f>IF(资产负债!Q6&lt;&gt;0,资产负债!R6/资产负债!Q6-1,"-")</f>
        <v>0.32288216113486512</v>
      </c>
      <c r="S98" s="222">
        <f>IF(资产负债!R6&lt;&gt;0,资产负债!S6/资产负债!R6-1,"-")</f>
        <v>-1.2340095695557829E-2</v>
      </c>
      <c r="T98" s="222">
        <f>IF(资产负债!S6&lt;&gt;0,资产负债!T6/资产负债!S6-1,"-")</f>
        <v>0.27610594329360194</v>
      </c>
      <c r="U98" s="222">
        <f>IF(资产负债!T6&lt;&gt;0,资产负债!U6/资产负债!T6-1,"-")</f>
        <v>1.4933140345048335E-2</v>
      </c>
      <c r="V98" s="222">
        <f>IF(资产负债!U6&lt;&gt;0,资产负债!V6/资产负债!U6-1,"-")</f>
        <v>0.24219144145416216</v>
      </c>
      <c r="W98" s="222">
        <f>IF(资产负债!V6&lt;&gt;0,资产负债!W6/资产负债!V6-1,"-")</f>
        <v>3.8846023751599512E-2</v>
      </c>
      <c r="X98" s="222">
        <f>IF(资产负债!W6&lt;&gt;0,资产负债!X6/资产负债!W6-1,"-")</f>
        <v>0.21801581118978808</v>
      </c>
      <c r="Y98" s="222">
        <f>IF(资产负债!X6&lt;&gt;0,资产负债!Y6/资产负债!X6-1,"-")</f>
        <v>5.7818558378213147E-2</v>
      </c>
      <c r="Z98" s="222">
        <f>IF(资产负债!Y6&lt;&gt;0,资产负债!Z6/资产负债!Y6-1,"-")</f>
        <v>0.19776214247088331</v>
      </c>
      <c r="AA98" s="222">
        <f>IF(资产负债!Z6&lt;&gt;0,资产负债!AA6/资产负债!Z6-1,"-")</f>
        <v>7.296137617092513E-2</v>
      </c>
      <c r="AB98" s="222">
        <f>IF(资产负债!AA6&lt;&gt;0,资产负债!AB6/资产负债!AA6-1,"-")</f>
        <v>0.18289914720478628</v>
      </c>
      <c r="AC98" s="222">
        <f>IF(资产负债!AB6&lt;&gt;0,资产负债!AC6/资产负债!AB6-1,"-")</f>
        <v>8.5106385612763402E-2</v>
      </c>
      <c r="AD98" s="222">
        <f>IF(资产负债!AC6&lt;&gt;0,资产负债!AD6/资产负债!AC6-1,"-")</f>
        <v>0.17110244081576509</v>
      </c>
      <c r="AE98" s="222">
        <f>IF(资产负债!AD6&lt;&gt;0,资产负债!AE6/资产负债!AD6-1,"-")</f>
        <v>9.4589148299776493E-2</v>
      </c>
      <c r="AF98" s="222">
        <f>IF(资产负债!AE6&lt;&gt;0,资产负债!AF6/资产负债!AE6-1,"-")</f>
        <v>0.16204502364297757</v>
      </c>
      <c r="AG98" s="222">
        <f>IF(资产负债!AF6&lt;&gt;0,资产负债!AG6/资产负债!AF6-1,"-")</f>
        <v>0.10216274363651912</v>
      </c>
      <c r="AH98" s="222">
        <f>IF(资产负债!AG6&lt;&gt;0,资产负债!AH6/资产负债!AG6-1,"-")</f>
        <v>0.15498990558885906</v>
      </c>
      <c r="AI98" s="222">
        <f>IF(资产负债!AH6&lt;&gt;0,资产负债!AI6/资产负债!AH6-1,"-")</f>
        <v>0.10808308545952872</v>
      </c>
      <c r="AJ98" s="222">
        <f>IF(资产负债!AI6&lt;&gt;0,资产负债!AJ6/资产负债!AI6-1,"-")</f>
        <v>0.14949011270250612</v>
      </c>
      <c r="AK98" s="222">
        <f>IF(资产负债!AJ6&lt;&gt;0,资产负债!AK6/资产负债!AJ6-1,"-")</f>
        <v>0.11276721691646796</v>
      </c>
      <c r="AL98" s="222">
        <f>IF(资产负债!AK6&lt;&gt;0,资产负债!AL6/资产负债!AK6-1,"-")</f>
        <v>0.14520878103321655</v>
      </c>
      <c r="AM98" s="214"/>
    </row>
    <row r="99" spans="1:39" ht="16.5" customHeight="1">
      <c r="B99" s="1129" t="s">
        <v>2710</v>
      </c>
      <c r="C99" s="256" t="s">
        <v>1545</v>
      </c>
      <c r="D99" s="222">
        <f>IF(资产负债!C12&lt;&gt;0,资产负债!D12/资产负债!C12-1,"-")</f>
        <v>3.9289746680625388</v>
      </c>
      <c r="E99" s="222">
        <f>IF(资产负债!D12&lt;&gt;0,资产负债!E12/资产负债!D12-1,"-")</f>
        <v>6.0435014135595155E-2</v>
      </c>
      <c r="F99" s="222">
        <f>IF(资产负债!E12&lt;&gt;0,资产负债!F12/资产负债!E12-1,"-")</f>
        <v>-0.13725983578856937</v>
      </c>
      <c r="G99" s="222">
        <f>IF(资产负债!F12&lt;&gt;0,资产负债!G12/资产负债!F12-1,"-")</f>
        <v>1.0699261109273355</v>
      </c>
      <c r="H99" s="222">
        <f>IF(资产负债!G12&lt;&gt;0,资产负债!H12/资产负债!G12-1,"-")</f>
        <v>2.5667734889256666E-2</v>
      </c>
      <c r="I99" s="222">
        <f>IF(资产负债!H12&lt;&gt;0,资产负债!I12/资产负债!H12-1,"-")</f>
        <v>0.15686977177986061</v>
      </c>
      <c r="J99" s="222">
        <f>IF(资产负债!I12&lt;&gt;0,资产负债!J12/资产负债!I12-1,"-")</f>
        <v>0.15879053084908112</v>
      </c>
      <c r="K99" s="222">
        <f>IF(资产负债!J12&lt;&gt;0,资产负债!K12/资产负债!J12-1,"-")</f>
        <v>0.16941976818184812</v>
      </c>
      <c r="L99" s="222">
        <f>IF(资产负债!K12&lt;&gt;0,资产负债!L12/资产负债!K12-1,"-")</f>
        <v>9.4829891823475343E-2</v>
      </c>
      <c r="M99" s="222">
        <f>IF(资产负债!L12&lt;&gt;0,资产负债!M12/资产负债!L12-1,"-")</f>
        <v>0.11602729868976946</v>
      </c>
      <c r="N99" s="222">
        <f>IF(资产负债!M12&lt;&gt;0,资产负债!N12/资产负债!M12-1,"-")</f>
        <v>0.14237470478565939</v>
      </c>
      <c r="O99" s="222">
        <f>IF(资产负债!N12&lt;&gt;0,资产负债!O12/资产负债!N12-1,"-")</f>
        <v>0.1332103656422039</v>
      </c>
      <c r="P99" s="222">
        <f>IF(资产负债!O12&lt;&gt;0,资产负债!P12/资产负债!O12-1,"-")</f>
        <v>0.13357793016853492</v>
      </c>
      <c r="Q99" s="222">
        <f>IF(资产负债!P12&lt;&gt;0,资产负债!Q12/资产负债!P12-1,"-")</f>
        <v>0.1215501688897731</v>
      </c>
      <c r="R99" s="222">
        <f>IF(资产负债!Q12&lt;&gt;0,资产负债!R12/资产负债!Q12-1,"-")</f>
        <v>0.13144792360074153</v>
      </c>
      <c r="S99" s="222">
        <f>IF(资产负债!R12&lt;&gt;0,资产负债!S12/资产负债!R12-1,"-")</f>
        <v>0.13052390651291668</v>
      </c>
      <c r="T99" s="222">
        <f>IF(资产负债!S12&lt;&gt;0,资产负债!T12/资产负债!S12-1,"-")</f>
        <v>0.1317306388071684</v>
      </c>
      <c r="U99" s="222">
        <f>IF(资产负债!T12&lt;&gt;0,资产负债!U12/资产负债!T12-1,"-")</f>
        <v>0.12828146448888789</v>
      </c>
      <c r="V99" s="222">
        <f>IF(资产负债!U12&lt;&gt;0,资产负债!V12/资产负债!U12-1,"-")</f>
        <v>0.13001080363266282</v>
      </c>
      <c r="W99" s="222">
        <f>IF(资产负债!V12&lt;&gt;0,资产负债!W12/资产负债!V12-1,"-")</f>
        <v>0.12923720490498347</v>
      </c>
      <c r="X99" s="222">
        <f>IF(资产负债!W12&lt;&gt;0,资产负债!X12/资产负债!W12-1,"-")</f>
        <v>0.13098464634611506</v>
      </c>
      <c r="Y99" s="222">
        <f>IF(资产负债!X12&lt;&gt;0,资产负债!Y12/资产负债!X12-1,"-")</f>
        <v>0.12913930917820204</v>
      </c>
      <c r="Z99" s="222">
        <f>IF(资产负债!Y12&lt;&gt;0,资产负债!Z12/资产负债!Y12-1,"-")</f>
        <v>0.13033510164720896</v>
      </c>
      <c r="AA99" s="222">
        <f>IF(资产负债!Z12&lt;&gt;0,资产负债!AA12/资产负债!Z12-1,"-")</f>
        <v>0.12922909947702022</v>
      </c>
      <c r="AB99" s="222">
        <f>IF(资产负债!AA12&lt;&gt;0,资产负债!AB12/资产负债!AA12-1,"-")</f>
        <v>0.13041543973844738</v>
      </c>
      <c r="AC99" s="222">
        <f>IF(资产负债!AB12&lt;&gt;0,资产负债!AC12/资产负债!AB12-1,"-")</f>
        <v>0.12946258234861441</v>
      </c>
      <c r="AD99" s="222">
        <f>IF(资产负债!AC12&lt;&gt;0,资产负债!AD12/资产负债!AC12-1,"-")</f>
        <v>0.13021002372638146</v>
      </c>
      <c r="AE99" s="222">
        <f>IF(资产负债!AD12&lt;&gt;0,资产负债!AE12/资产负债!AD12-1,"-")</f>
        <v>0.12949333535704843</v>
      </c>
      <c r="AF99" s="222">
        <f>IF(资产负债!AE12&lt;&gt;0,资产负债!AF12/资产负债!AE12-1,"-")</f>
        <v>0.13014887513932716</v>
      </c>
      <c r="AG99" s="222">
        <f>IF(资产负债!AF12&lt;&gt;0,资产负债!AG12/资产负债!AF12-1,"-")</f>
        <v>0.12960362026925565</v>
      </c>
      <c r="AH99" s="222">
        <f>IF(资产负债!AG12&lt;&gt;0,资产负债!AH12/资产负债!AG12-1,"-")</f>
        <v>0.13008669008406404</v>
      </c>
      <c r="AI99" s="222">
        <f>IF(资产负债!AH12&lt;&gt;0,资产负债!AI12/资产负债!AH12-1,"-")</f>
        <v>0.12964028483975198</v>
      </c>
      <c r="AJ99" s="222">
        <f>IF(资产负债!AI12&lt;&gt;0,资产负债!AJ12/资产负债!AI12-1,"-")</f>
        <v>0.13003192013099807</v>
      </c>
      <c r="AK99" s="222">
        <f>IF(资产负债!AJ12&lt;&gt;0,资产负债!AK12/资产负债!AJ12-1,"-")</f>
        <v>0.12969216520453331</v>
      </c>
      <c r="AL99" s="222">
        <f>IF(资产负债!AK12&lt;&gt;0,资产负债!AL12/资产负债!AK12-1,"-")</f>
        <v>0.1299968772087372</v>
      </c>
      <c r="AM99" s="214"/>
    </row>
    <row r="100" spans="1:39" ht="16.5" customHeight="1">
      <c r="B100" s="231" t="s">
        <v>1015</v>
      </c>
      <c r="C100" s="256" t="s">
        <v>1546</v>
      </c>
      <c r="D100" s="222">
        <f>IF(资产负债!C11&lt;&gt;0,资产负债!D11/资产负债!C11-1,"-")</f>
        <v>1.1596250392048688</v>
      </c>
      <c r="E100" s="222">
        <f>IF(资产负债!D11&lt;&gt;0,资产负债!E11/资产负债!D11-1,"-")</f>
        <v>0.39725501240064931</v>
      </c>
      <c r="F100" s="222">
        <f>IF(资产负债!E11&lt;&gt;0,资产负债!F11/资产负债!E11-1,"-")</f>
        <v>0.70755000924685119</v>
      </c>
      <c r="G100" s="222">
        <f>IF(资产负债!F11&lt;&gt;0,资产负债!G11/资产负债!F11-1,"-")</f>
        <v>3.4106609495335949E-2</v>
      </c>
      <c r="H100" s="222">
        <f>IF(资产负债!G11&lt;&gt;0,资产负债!H11/资产负债!G11-1,"-")</f>
        <v>-0.11274736829333565</v>
      </c>
      <c r="I100" s="222">
        <f>IF(资产负债!H11&lt;&gt;0,资产负债!I11/资产负债!H11-1,"-")</f>
        <v>0.32297828761837977</v>
      </c>
      <c r="J100" s="222">
        <f>IF(资产负债!I11&lt;&gt;0,资产负债!J11/资产负债!I11-1,"-")</f>
        <v>3.3122224609934303E-2</v>
      </c>
      <c r="K100" s="222">
        <f>IF(资产负债!J11&lt;&gt;0,资产负债!K11/资产负债!J11-1,"-")</f>
        <v>0.29165802450172462</v>
      </c>
      <c r="L100" s="222">
        <f>IF(资产负债!K11&lt;&gt;0,资产负债!L11/资产负债!K11-1,"-")</f>
        <v>3.4470269817692412E-3</v>
      </c>
      <c r="M100" s="222">
        <f>IF(资产负债!L11&lt;&gt;0,资产负债!M11/资产负债!L11-1,"-")</f>
        <v>0.20801776540701833</v>
      </c>
      <c r="N100" s="222">
        <f>IF(资产负债!M11&lt;&gt;0,资产负债!N11/资产负债!M11-1,"-")</f>
        <v>6.5276606314772057E-2</v>
      </c>
      <c r="O100" s="222">
        <f>IF(资产负债!N11&lt;&gt;0,资产负债!O11/资产负债!N11-1,"-")</f>
        <v>0.20527455908780379</v>
      </c>
      <c r="P100" s="222">
        <f>IF(资产负债!O11&lt;&gt;0,资产负债!P11/资产负债!O11-1,"-")</f>
        <v>7.3776941272765351E-2</v>
      </c>
      <c r="Q100" s="222">
        <f>IF(资产负债!P11&lt;&gt;0,资产负债!Q11/资产负债!P11-1,"-")</f>
        <v>0.17692840109408969</v>
      </c>
      <c r="R100" s="222">
        <f>IF(资产负债!Q11&lt;&gt;0,资产负债!R11/资产负债!Q11-1,"-")</f>
        <v>8.4175217391413648E-2</v>
      </c>
      <c r="S100" s="222">
        <f>IF(资产负债!R11&lt;&gt;0,资产负债!S11/资产负债!R11-1,"-")</f>
        <v>0.17410746382908937</v>
      </c>
      <c r="T100" s="222">
        <f>IF(资产负债!S11&lt;&gt;0,资产负债!T11/资产负债!S11-1,"-")</f>
        <v>9.4589027447750329E-2</v>
      </c>
      <c r="U100" s="222">
        <f>IF(资产负债!T11&lt;&gt;0,资产负债!U11/资产负债!T11-1,"-")</f>
        <v>0.16215857700096081</v>
      </c>
      <c r="V100" s="222">
        <f>IF(资产负债!U11&lt;&gt;0,资产负债!V11/资产负债!U11-1,"-")</f>
        <v>0.10083695412957483</v>
      </c>
      <c r="W100" s="222">
        <f>IF(资产负债!V11&lt;&gt;0,资产负债!W11/资产负债!V11-1,"-")</f>
        <v>0.15572909704383631</v>
      </c>
      <c r="X100" s="222">
        <f>IF(资产负债!W11&lt;&gt;0,资产负债!X11/资产负债!W11-1,"-")</f>
        <v>0.10804360089718346</v>
      </c>
      <c r="Y100" s="222">
        <f>IF(资产负债!X11&lt;&gt;0,资产负债!Y11/资产负债!X11-1,"-")</f>
        <v>0.14982548029412301</v>
      </c>
      <c r="Z100" s="222">
        <f>IF(资产负债!Y11&lt;&gt;0,资产负债!Z11/资产负债!Y11-1,"-")</f>
        <v>0.11233429240842541</v>
      </c>
      <c r="AA100" s="222">
        <f>IF(资产负债!Z11&lt;&gt;0,资产负债!AA11/资产负债!Z11-1,"-")</f>
        <v>0.14540361096554788</v>
      </c>
      <c r="AB100" s="222">
        <f>IF(资产负债!AA11&lt;&gt;0,资产负债!AB11/资产负债!AA11-1,"-")</f>
        <v>0.11628633863507409</v>
      </c>
      <c r="AC100" s="222">
        <f>IF(资产负债!AB11&lt;&gt;0,资产负债!AC11/资产负债!AB11-1,"-")</f>
        <v>0.14211415854481069</v>
      </c>
      <c r="AD100" s="222">
        <f>IF(资产负债!AC11&lt;&gt;0,资产负债!AD11/资产负债!AC11-1,"-")</f>
        <v>0.11912880491403954</v>
      </c>
      <c r="AE100" s="222">
        <f>IF(资产负债!AD11&lt;&gt;0,资产负债!AE11/资产负债!AD11-1,"-")</f>
        <v>0.13939165143630272</v>
      </c>
      <c r="AF100" s="222">
        <f>IF(资产负债!AE11&lt;&gt;0,资产负债!AF11/资产负债!AE11-1,"-")</f>
        <v>0.12145883151089043</v>
      </c>
      <c r="AG100" s="222">
        <f>IF(资产负债!AF11&lt;&gt;0,资产负债!AG11/资产负债!AF11-1,"-")</f>
        <v>0.13735051118593944</v>
      </c>
      <c r="AH100" s="222">
        <f>IF(资产负债!AG11&lt;&gt;0,资产负债!AH11/资产负债!AG11-1,"-")</f>
        <v>0.12327379633604174</v>
      </c>
      <c r="AI100" s="222">
        <f>IF(资产负债!AH11&lt;&gt;0,资产负债!AI11/资产负债!AH11-1,"-")</f>
        <v>0.13570422577968744</v>
      </c>
      <c r="AJ100" s="222">
        <f>IF(资产负债!AI11&lt;&gt;0,资产负债!AJ11/资产负债!AI11-1,"-")</f>
        <v>0.12469157187378599</v>
      </c>
      <c r="AK100" s="222">
        <f>IF(资产负债!AJ11&lt;&gt;0,资产负债!AK11/资产负债!AJ11-1,"-")</f>
        <v>0.13443968582974364</v>
      </c>
      <c r="AL100" s="222">
        <f>IF(资产负债!AK11&lt;&gt;0,资产负债!AL11/资产负债!AK11-1,"-")</f>
        <v>0.1258113749294425</v>
      </c>
      <c r="AM100" s="214"/>
    </row>
    <row r="101" spans="1:39" ht="16.5" customHeight="1">
      <c r="B101" s="231" t="s">
        <v>1548</v>
      </c>
      <c r="C101" s="256" t="s">
        <v>1547</v>
      </c>
      <c r="D101" s="222">
        <f>IF(资产负债!C13&lt;&gt;0,资产负债!D13/资产负债!C13-1,"-")</f>
        <v>0.38034096467078937</v>
      </c>
      <c r="E101" s="222">
        <f>IF(资产负债!D13&lt;&gt;0,资产负债!E13/资产负债!D13-1,"-")</f>
        <v>-5.3401175011800861E-2</v>
      </c>
      <c r="F101" s="222">
        <f>IF(资产负债!E13&lt;&gt;0,资产负债!F13/资产负债!E13-1,"-")</f>
        <v>0.18372536701015219</v>
      </c>
      <c r="G101" s="222">
        <f>IF(资产负债!F13&lt;&gt;0,资产负债!G13/资产负债!F13-1,"-")</f>
        <v>0.1884734599659037</v>
      </c>
      <c r="H101" s="222">
        <f>IF(资产负债!G13&lt;&gt;0,资产负债!H13/资产负债!G13-1,"-")</f>
        <v>0.3727608996853482</v>
      </c>
      <c r="I101" s="222">
        <f>IF(资产负债!H13&lt;&gt;0,资产负债!I13/资产负债!H13-1,"-")</f>
        <v>0.16041241936038819</v>
      </c>
      <c r="J101" s="222">
        <f>IF(资产负债!I13&lt;&gt;0,资产负债!J13/资产负债!I13-1,"-")</f>
        <v>-0.1532734001163939</v>
      </c>
      <c r="K101" s="222">
        <f>IF(资产负债!J13&lt;&gt;0,资产负债!K13/资产负债!J13-1,"-")</f>
        <v>0.49277945406040424</v>
      </c>
      <c r="L101" s="222">
        <f>IF(资产负债!K13&lt;&gt;0,资产负债!L13/资产负债!K13-1,"-")</f>
        <v>-0.10024835159871248</v>
      </c>
      <c r="M101" s="222">
        <f>IF(资产负债!L13&lt;&gt;0,资产负债!M13/资产负债!L13-1,"-")</f>
        <v>0.41436085898321284</v>
      </c>
      <c r="N101" s="222">
        <f>IF(资产负债!M13&lt;&gt;0,资产负债!N13/资产负债!M13-1,"-")</f>
        <v>-6.8978402287485863E-2</v>
      </c>
      <c r="O101" s="222">
        <f>IF(资产负债!N13&lt;&gt;0,资产负债!O13/资产负债!N13-1,"-")</f>
        <v>0.32139828074043564</v>
      </c>
      <c r="P101" s="222">
        <f>IF(资产负债!O13&lt;&gt;0,资产负债!P13/资产负债!O13-1,"-")</f>
        <v>-1.2002454517999417E-2</v>
      </c>
      <c r="Q101" s="222">
        <f>IF(资产负债!P13&lt;&gt;0,资产负债!Q13/资产负债!P13-1,"-")</f>
        <v>0.27570357892395547</v>
      </c>
      <c r="R101" s="222">
        <f>IF(资产负债!Q13&lt;&gt;0,资产负债!R13/资产负债!Q13-1,"-")</f>
        <v>1.8209825104875454E-2</v>
      </c>
      <c r="S101" s="222">
        <f>IF(资产负债!R13&lt;&gt;0,资产负债!S13/资产负债!R13-1,"-")</f>
        <v>0.23861441518063464</v>
      </c>
      <c r="T101" s="222">
        <f>IF(资产负债!S13&lt;&gt;0,资产负债!T13/资产负债!S13-1,"-")</f>
        <v>3.9982000095532655E-2</v>
      </c>
      <c r="U101" s="222">
        <f>IF(资产负债!T13&lt;&gt;0,资产负债!U13/资产负债!T13-1,"-")</f>
        <v>0.21691591196381199</v>
      </c>
      <c r="V101" s="222">
        <f>IF(资产负债!U13&lt;&gt;0,资产负债!V13/资产负债!U13-1,"-")</f>
        <v>5.8760556093126137E-2</v>
      </c>
      <c r="W101" s="222">
        <f>IF(资产负债!V13&lt;&gt;0,资产负债!W13/资产负债!V13-1,"-")</f>
        <v>0.19726984695450533</v>
      </c>
      <c r="X101" s="222">
        <f>IF(资产负债!W13&lt;&gt;0,资产负债!X13/资产负债!W13-1,"-")</f>
        <v>7.3260587714858216E-2</v>
      </c>
      <c r="Y101" s="222">
        <f>IF(资产负债!X13&lt;&gt;0,资产负债!Y13/资产负债!X13-1,"-")</f>
        <v>0.18234498856903936</v>
      </c>
      <c r="Z101" s="222">
        <f>IF(资产负债!Y13&lt;&gt;0,资产负债!Z13/资产负债!Y13-1,"-")</f>
        <v>8.5602235747037625E-2</v>
      </c>
      <c r="AA101" s="222">
        <f>IF(资产负债!Z13&lt;&gt;0,资产负债!AA13/资产负债!Z13-1,"-")</f>
        <v>0.17069128413892254</v>
      </c>
      <c r="AB101" s="222">
        <f>IF(资产负债!AA13&lt;&gt;0,资产负债!AB13/资产负债!AA13-1,"-")</f>
        <v>9.4965825077601096E-2</v>
      </c>
      <c r="AC101" s="222">
        <f>IF(资产负债!AB13&lt;&gt;0,资产负债!AC13/资产负债!AB13-1,"-")</f>
        <v>0.16165292062476411</v>
      </c>
      <c r="AD101" s="222">
        <f>IF(资产负债!AC13&lt;&gt;0,资产负债!AD13/资产负债!AC13-1,"-")</f>
        <v>0.10246295102392944</v>
      </c>
      <c r="AE101" s="222">
        <f>IF(资产负债!AD13&lt;&gt;0,资产负债!AE13/资产负债!AD13-1,"-")</f>
        <v>0.15472650937184396</v>
      </c>
      <c r="AF101" s="222">
        <f>IF(资产负债!AE13&lt;&gt;0,资产负债!AF13/资产负债!AE13-1,"-")</f>
        <v>0.10831766757888039</v>
      </c>
      <c r="AG101" s="222">
        <f>IF(资产负债!AF13&lt;&gt;0,资产负债!AG13/资产负债!AF13-1,"-")</f>
        <v>0.14927457015302714</v>
      </c>
      <c r="AH101" s="222">
        <f>IF(资产负债!AG13&lt;&gt;0,资产负债!AH13/资产负债!AG13-1,"-")</f>
        <v>0.11294380433639395</v>
      </c>
      <c r="AI101" s="222">
        <f>IF(资产负债!AH13&lt;&gt;0,资产负债!AI13/资产负债!AH13-1,"-")</f>
        <v>0.14504602836273772</v>
      </c>
      <c r="AJ101" s="222">
        <f>IF(资产负债!AI13&lt;&gt;0,资产负债!AJ13/资产负债!AI13-1,"-")</f>
        <v>0.11658743488472867</v>
      </c>
      <c r="AK101" s="222">
        <f>IF(资产负债!AJ13&lt;&gt;0,资产负债!AK13/资产负债!AJ13-1,"-")</f>
        <v>0.14173121403006661</v>
      </c>
      <c r="AL101" s="222">
        <f>IF(资产负债!AK13&lt;&gt;0,资产负债!AL13/资产负债!AK13-1,"-")</f>
        <v>0.1194455741238778</v>
      </c>
      <c r="AM101" s="214"/>
    </row>
    <row r="102" spans="1:39" s="262" customFormat="1" ht="16.5" customHeight="1">
      <c r="A102" s="247"/>
      <c r="B102" s="231" t="s">
        <v>1364</v>
      </c>
      <c r="C102" s="256" t="s">
        <v>1554</v>
      </c>
      <c r="D102" s="222">
        <f>IF(资产负债!C17&lt;&gt;0,资产负债!D17/资产负债!C17-1,"-")</f>
        <v>-0.11380384495355156</v>
      </c>
      <c r="E102" s="222">
        <f>IF(资产负债!D17&lt;&gt;0,资产负债!E17/资产负债!D17-1,"-")</f>
        <v>1.0094896466058949</v>
      </c>
      <c r="F102" s="222">
        <f>IF(资产负债!E17&lt;&gt;0,资产负债!F17/资产负债!E17-1,"-")</f>
        <v>0.93613152927745324</v>
      </c>
      <c r="G102" s="222">
        <f>IF(资产负债!F17&lt;&gt;0,资产负债!G17/资产负债!F17-1,"-")</f>
        <v>1.0150342437243856</v>
      </c>
      <c r="H102" s="222">
        <f>IF(资产负债!G17&lt;&gt;0,资产负债!H17/资产负债!G17-1,"-")</f>
        <v>4.374381211916889E-2</v>
      </c>
      <c r="I102" s="222">
        <f>IF(资产负债!H17&lt;&gt;0,资产负债!I17/资产负债!H17-1,"-")</f>
        <v>-0.27519106574558738</v>
      </c>
      <c r="J102" s="222">
        <f>IF(资产负债!I17&lt;&gt;0,资产负债!J17/资产负债!I17-1,"-")</f>
        <v>7.5670332236828841E-2</v>
      </c>
      <c r="K102" s="222">
        <f>IF(资产负债!J17&lt;&gt;0,资产负债!K17/资产负债!J17-1,"-")</f>
        <v>4.2269155825612525E-2</v>
      </c>
      <c r="L102" s="222">
        <f>IF(资产负债!K17&lt;&gt;0,资产负债!L17/资产负债!K17-1,"-")</f>
        <v>1.0257450112449717E-2</v>
      </c>
      <c r="M102" s="222">
        <f>IF(资产负债!L17&lt;&gt;0,资产负债!M17/资产负债!L17-1,"-")</f>
        <v>-1.3840449281661171E-2</v>
      </c>
      <c r="N102" s="222">
        <f>IF(资产负债!M17&lt;&gt;0,资产负债!N17/资产负债!M17-1,"-")</f>
        <v>-7.4196075889996216E-3</v>
      </c>
      <c r="O102" s="222">
        <f>IF(资产负债!N17&lt;&gt;0,资产负债!O17/资产负债!N17-1,"-")</f>
        <v>5.8306129943932472E-3</v>
      </c>
      <c r="P102" s="222">
        <f>IF(资产负债!O17&lt;&gt;0,资产负债!P17/资产负债!O17-1,"-")</f>
        <v>1.2321718787307034E-3</v>
      </c>
      <c r="Q102" s="222">
        <f>IF(资产负债!P17&lt;&gt;0,资产负债!Q17/资产负债!P17-1,"-")</f>
        <v>-7.1576786351201793E-4</v>
      </c>
      <c r="R102" s="222">
        <f>IF(资产负债!Q17&lt;&gt;0,资产负债!R17/资产负债!Q17-1,"-")</f>
        <v>-6.7866593998000546E-4</v>
      </c>
      <c r="S102" s="222">
        <f>IF(资产负债!R17&lt;&gt;0,资产负债!S17/资产负债!R17-1,"-")</f>
        <v>1.0646589292617747E-4</v>
      </c>
      <c r="T102" s="222">
        <f>IF(资产负债!S17&lt;&gt;0,资产负债!T17/资产负债!S17-1,"-")</f>
        <v>2.6184077265356542E-4</v>
      </c>
      <c r="U102" s="222">
        <f>IF(资产负债!T17&lt;&gt;0,资产负债!U17/资产负债!T17-1,"-")</f>
        <v>-3.3543267191848969E-5</v>
      </c>
      <c r="V102" s="222">
        <f>IF(资产负债!U17&lt;&gt;0,资产负债!V17/资产负债!U17-1,"-")</f>
        <v>-5.8375558012024875E-5</v>
      </c>
      <c r="W102" s="222">
        <f>IF(资产负债!V17&lt;&gt;0,资产负债!W17/资产负债!V17-1,"-")</f>
        <v>-7.1171728636132414E-6</v>
      </c>
      <c r="X102" s="222">
        <f>IF(资产负债!W17&lt;&gt;0,资产负债!X17/资产负债!W17-1,"-")</f>
        <v>1.7352675677484442E-5</v>
      </c>
      <c r="Y102" s="222">
        <f>IF(资产负债!X17&lt;&gt;0,资产负债!Y17/资产负债!X17-1,"-")</f>
        <v>5.1906644611410258E-6</v>
      </c>
      <c r="Z102" s="222">
        <f>IF(资产负债!Y17&lt;&gt;0,资产负债!Z17/资产负债!Y17-1,"-")</f>
        <v>-5.0860551712439417E-6</v>
      </c>
      <c r="AA102" s="222">
        <f>IF(资产负债!Z17&lt;&gt;0,资产负债!AA17/资产负债!Z17-1,"-")</f>
        <v>-1.6815461399977139E-6</v>
      </c>
      <c r="AB102" s="222">
        <f>IF(资产负债!AA17&lt;&gt;0,资产负债!AB17/资产负债!AA17-1,"-")</f>
        <v>9.6050715692186373E-7</v>
      </c>
      <c r="AC102" s="222">
        <f>IF(资产负债!AB17&lt;&gt;0,资产负债!AC17/资产负债!AB17-1,"-")</f>
        <v>7.0345388181181079E-7</v>
      </c>
      <c r="AD102" s="222">
        <f>IF(资产负债!AC17&lt;&gt;0,资产负债!AD17/资产负债!AC17-1,"-")</f>
        <v>-1.7778983896210576E-7</v>
      </c>
      <c r="AE102" s="222">
        <f>IF(资产负债!AD17&lt;&gt;0,资产负债!AE17/资产负债!AD17-1,"-")</f>
        <v>-2.4285287247849396E-7</v>
      </c>
      <c r="AF102" s="222">
        <f>IF(资产负债!AE17&lt;&gt;0,资产负债!AF17/资产负债!AE17-1,"-")</f>
        <v>2.8293452247751816E-8</v>
      </c>
      <c r="AG102" s="222">
        <f>IF(资产负债!AF17&lt;&gt;0,资产负债!AG17/资产负债!AF17-1,"-")</f>
        <v>6.6939939591392772E-8</v>
      </c>
      <c r="AH102" s="222">
        <f>IF(资产负债!AG17&lt;&gt;0,资产负债!AH17/资产负债!AG17-1,"-")</f>
        <v>4.4792380915481544E-9</v>
      </c>
      <c r="AI102" s="222">
        <f>IF(资产负债!AH17&lt;&gt;0,资产负债!AI17/资产负债!AH17-1,"-")</f>
        <v>-1.9230628756083945E-8</v>
      </c>
      <c r="AJ102" s="222">
        <f>IF(资产负债!AI17&lt;&gt;0,资产负债!AJ17/资产负债!AI17-1,"-")</f>
        <v>-4.245493179233506E-9</v>
      </c>
      <c r="AK102" s="222">
        <f>IF(资产负债!AJ17&lt;&gt;0,资产负债!AK17/资产负债!AJ17-1,"-")</f>
        <v>5.1640705045485902E-9</v>
      </c>
      <c r="AL102" s="222">
        <f>IF(资产负债!AK17&lt;&gt;0,资产负债!AL17/资产负债!AK17-1,"-")</f>
        <v>1.8029937542962671E-9</v>
      </c>
      <c r="AM102" s="196"/>
    </row>
    <row r="103" spans="1:39" s="262" customFormat="1" ht="16.5" customHeight="1">
      <c r="A103" s="247"/>
      <c r="B103" s="260" t="s">
        <v>315</v>
      </c>
      <c r="C103" s="260" t="s">
        <v>315</v>
      </c>
      <c r="D103" s="401">
        <f>资产负债!D39/资产负债!D40</f>
        <v>0.22702590761836394</v>
      </c>
      <c r="E103" s="401">
        <f>资产负债!E39/资产负债!E40</f>
        <v>0.25482049924489553</v>
      </c>
      <c r="F103" s="401">
        <f>资产负债!F39/资产负债!F40</f>
        <v>0.25433907795549554</v>
      </c>
      <c r="G103" s="401">
        <f>资产负债!G39/资产负债!G40</f>
        <v>0.23693824393651908</v>
      </c>
      <c r="H103" s="401">
        <f>资产负债!H39/资产负债!H40</f>
        <v>0.24892132214611218</v>
      </c>
      <c r="I103" s="401">
        <f ca="1">资产负债!I39/资产负债!I40</f>
        <v>0.2890258393774644</v>
      </c>
      <c r="J103" s="401">
        <f ca="1">资产负债!J39/资产负债!J40</f>
        <v>0.22094578081535579</v>
      </c>
      <c r="K103" s="401">
        <f ca="1">资产负债!K39/资产负债!K40</f>
        <v>0.25250268769582923</v>
      </c>
      <c r="L103" s="401">
        <f ca="1">资产负债!L39/资产负债!L40</f>
        <v>0.21501079793311595</v>
      </c>
      <c r="M103" s="401">
        <f ca="1">资产负债!M39/资产负债!M40</f>
        <v>0.22673158309340111</v>
      </c>
      <c r="N103" s="401">
        <f ca="1">资产负债!N39/资产负债!N40</f>
        <v>0.19701358731928512</v>
      </c>
      <c r="O103" s="401">
        <f ca="1">资产负债!O39/资产负债!O40</f>
        <v>0.20852026332081544</v>
      </c>
      <c r="P103" s="401">
        <f ca="1">资产负债!P39/资产负债!P40</f>
        <v>0.18277253186444398</v>
      </c>
      <c r="Q103" s="401">
        <f ca="1">资产负债!Q39/资产负债!Q40</f>
        <v>0.19041654082454013</v>
      </c>
      <c r="R103" s="401">
        <f ca="1">资产负债!R39/资产负债!R40</f>
        <v>0.17039748951424896</v>
      </c>
      <c r="S103" s="401">
        <f ca="1">资产负债!S39/资产负债!S40</f>
        <v>0.17503083667762737</v>
      </c>
      <c r="T103" s="401">
        <f ca="1">资产负债!T39/资产负债!T40</f>
        <v>0.15969239704747182</v>
      </c>
      <c r="U103" s="401">
        <f ca="1">资产负债!U39/资产负债!U40</f>
        <v>0.16245951883197829</v>
      </c>
      <c r="V103" s="401">
        <f ca="1">资产负债!V39/资产负债!V40</f>
        <v>0.15292237080333371</v>
      </c>
      <c r="W103" s="401">
        <f ca="1">资产负债!W39/资产负债!W40</f>
        <v>0.15711221034506187</v>
      </c>
      <c r="X103" s="401">
        <f ca="1">资产负债!X39/资产负债!X40</f>
        <v>0.14979314680488071</v>
      </c>
      <c r="Y103" s="401">
        <f ca="1">资产负债!Y39/资产负债!Y40</f>
        <v>0.15297001070983393</v>
      </c>
      <c r="Z103" s="401">
        <f ca="1">资产负债!Z39/资产负债!Z40</f>
        <v>0.14714520058682989</v>
      </c>
      <c r="AA103" s="401">
        <f ca="1">资产负债!AA39/资产负债!AA40</f>
        <v>0.14944041525722951</v>
      </c>
      <c r="AB103" s="401">
        <f ca="1">资产负债!AB39/资产负债!AB40</f>
        <v>0.14483165172336077</v>
      </c>
      <c r="AC103" s="401">
        <f ca="1">资产负债!AC39/资产负债!AC40</f>
        <v>0.14655495638029636</v>
      </c>
      <c r="AD103" s="401">
        <f ca="1">资产负债!AD39/资产负债!AD40</f>
        <v>0.14292503155856345</v>
      </c>
      <c r="AE103" s="401">
        <f ca="1">资产负债!AE39/资产负债!AE40</f>
        <v>0.14416528126284742</v>
      </c>
      <c r="AF103" s="401">
        <f ca="1">资产负债!AF39/资产负债!AF40</f>
        <v>0.141287780403135</v>
      </c>
      <c r="AG103" s="401">
        <f ca="1">资产负债!AG39/资产负债!AG40</f>
        <v>0.14221499323563572</v>
      </c>
      <c r="AH103" s="401">
        <f ca="1">资产负债!AH39/资产负债!AH40</f>
        <v>0.13993328583990972</v>
      </c>
      <c r="AI103" s="401">
        <f ca="1">资产负债!AI39/资产负债!AI40</f>
        <v>0.14061726284908421</v>
      </c>
      <c r="AJ103" s="401">
        <f ca="1">资产负债!AJ39/资产负债!AJ40</f>
        <v>0.13881454689818404</v>
      </c>
      <c r="AK103" s="401">
        <f ca="1">资产负债!AK39/资产负债!AK40</f>
        <v>0.13931537243438694</v>
      </c>
      <c r="AL103" s="401">
        <f ca="1">资产负债!AL39/资产负债!AL40</f>
        <v>0.13789178637200736</v>
      </c>
      <c r="AM103" s="196"/>
    </row>
    <row r="104" spans="1:39" s="262" customFormat="1" ht="16.5" customHeight="1">
      <c r="A104" s="247"/>
      <c r="B104" s="231" t="s">
        <v>316</v>
      </c>
      <c r="C104" s="256" t="s">
        <v>1556</v>
      </c>
      <c r="D104" s="222">
        <f>IF(资产负债!C23&lt;&gt;0,资产负债!D23/资产负债!C23-1,"-")</f>
        <v>-1</v>
      </c>
      <c r="E104" s="222" t="str">
        <f>IF(资产负债!D23&lt;&gt;0,资产负债!E23/资产负债!D23-1,"-")</f>
        <v>-</v>
      </c>
      <c r="F104" s="222" t="str">
        <f>IF(资产负债!E23&lt;&gt;0,资产负债!F23/资产负债!E23-1,"-")</f>
        <v>-</v>
      </c>
      <c r="G104" s="222" t="str">
        <f>IF(资产负债!F23&lt;&gt;0,资产负债!G23/资产负债!F23-1,"-")</f>
        <v>-</v>
      </c>
      <c r="H104" s="222" t="str">
        <f>IF(资产负债!G23&lt;&gt;0,资产负债!H23/资产负债!G23-1,"-")</f>
        <v>-</v>
      </c>
      <c r="I104" s="222" t="str">
        <f>IF(资产负债!H23&lt;&gt;0,资产负债!I23/资产负债!H23-1,"-")</f>
        <v>-</v>
      </c>
      <c r="J104" s="222" t="str">
        <f>IF(资产负债!I23&lt;&gt;0,资产负债!J23/资产负债!I23-1,"-")</f>
        <v>-</v>
      </c>
      <c r="K104" s="222" t="str">
        <f>IF(资产负债!J23&lt;&gt;0,资产负债!K23/资产负债!J23-1,"-")</f>
        <v>-</v>
      </c>
      <c r="L104" s="222" t="str">
        <f>IF(资产负债!K23&lt;&gt;0,资产负债!L23/资产负债!K23-1,"-")</f>
        <v>-</v>
      </c>
      <c r="M104" s="222" t="str">
        <f>IF(资产负债!L23&lt;&gt;0,资产负债!M23/资产负债!L23-1,"-")</f>
        <v>-</v>
      </c>
      <c r="N104" s="222" t="str">
        <f>IF(资产负债!M23&lt;&gt;0,资产负债!N23/资产负债!M23-1,"-")</f>
        <v>-</v>
      </c>
      <c r="O104" s="222" t="str">
        <f>IF(资产负债!N23&lt;&gt;0,资产负债!O23/资产负债!N23-1,"-")</f>
        <v>-</v>
      </c>
      <c r="P104" s="222" t="str">
        <f>IF(资产负债!O23&lt;&gt;0,资产负债!P23/资产负债!O23-1,"-")</f>
        <v>-</v>
      </c>
      <c r="Q104" s="222" t="str">
        <f>IF(资产负债!P23&lt;&gt;0,资产负债!Q23/资产负债!P23-1,"-")</f>
        <v>-</v>
      </c>
      <c r="R104" s="222" t="str">
        <f>IF(资产负债!Q23&lt;&gt;0,资产负债!R23/资产负债!Q23-1,"-")</f>
        <v>-</v>
      </c>
      <c r="S104" s="222" t="str">
        <f>IF(资产负债!R23&lt;&gt;0,资产负债!S23/资产负债!R23-1,"-")</f>
        <v>-</v>
      </c>
      <c r="T104" s="222" t="str">
        <f>IF(资产负债!S23&lt;&gt;0,资产负债!T23/资产负债!S23-1,"-")</f>
        <v>-</v>
      </c>
      <c r="U104" s="222" t="str">
        <f>IF(资产负债!T23&lt;&gt;0,资产负债!U23/资产负债!T23-1,"-")</f>
        <v>-</v>
      </c>
      <c r="V104" s="222" t="str">
        <f>IF(资产负债!U23&lt;&gt;0,资产负债!V23/资产负债!U23-1,"-")</f>
        <v>-</v>
      </c>
      <c r="W104" s="222" t="str">
        <f>IF(资产负债!V23&lt;&gt;0,资产负债!W23/资产负债!V23-1,"-")</f>
        <v>-</v>
      </c>
      <c r="X104" s="222" t="str">
        <f>IF(资产负债!W23&lt;&gt;0,资产负债!X23/资产负债!W23-1,"-")</f>
        <v>-</v>
      </c>
      <c r="Y104" s="222" t="str">
        <f>IF(资产负债!X23&lt;&gt;0,资产负债!Y23/资产负债!X23-1,"-")</f>
        <v>-</v>
      </c>
      <c r="Z104" s="222" t="str">
        <f>IF(资产负债!Y23&lt;&gt;0,资产负债!Z23/资产负债!Y23-1,"-")</f>
        <v>-</v>
      </c>
      <c r="AA104" s="222" t="str">
        <f>IF(资产负债!Z23&lt;&gt;0,资产负债!AA23/资产负债!Z23-1,"-")</f>
        <v>-</v>
      </c>
      <c r="AB104" s="222" t="str">
        <f>IF(资产负债!AA23&lt;&gt;0,资产负债!AB23/资产负债!AA23-1,"-")</f>
        <v>-</v>
      </c>
      <c r="AC104" s="222" t="str">
        <f>IF(资产负债!AB23&lt;&gt;0,资产负债!AC23/资产负债!AB23-1,"-")</f>
        <v>-</v>
      </c>
      <c r="AD104" s="222" t="str">
        <f>IF(资产负债!AC23&lt;&gt;0,资产负债!AD23/资产负债!AC23-1,"-")</f>
        <v>-</v>
      </c>
      <c r="AE104" s="222" t="str">
        <f>IF(资产负债!AD23&lt;&gt;0,资产负债!AE23/资产负债!AD23-1,"-")</f>
        <v>-</v>
      </c>
      <c r="AF104" s="222" t="str">
        <f>IF(资产负债!AE23&lt;&gt;0,资产负债!AF23/资产负债!AE23-1,"-")</f>
        <v>-</v>
      </c>
      <c r="AG104" s="222" t="str">
        <f>IF(资产负债!AF23&lt;&gt;0,资产负债!AG23/资产负债!AF23-1,"-")</f>
        <v>-</v>
      </c>
      <c r="AH104" s="222" t="str">
        <f>IF(资产负债!AG23&lt;&gt;0,资产负债!AH23/资产负债!AG23-1,"-")</f>
        <v>-</v>
      </c>
      <c r="AI104" s="222" t="str">
        <f>IF(资产负债!AH23&lt;&gt;0,资产负债!AI23/资产负债!AH23-1,"-")</f>
        <v>-</v>
      </c>
      <c r="AJ104" s="222" t="str">
        <f>IF(资产负债!AI23&lt;&gt;0,资产负债!AJ23/资产负债!AI23-1,"-")</f>
        <v>-</v>
      </c>
      <c r="AK104" s="222" t="str">
        <f>IF(资产负债!AJ23&lt;&gt;0,资产负债!AK23/资产负债!AJ23-1,"-")</f>
        <v>-</v>
      </c>
      <c r="AL104" s="222" t="str">
        <f>IF(资产负债!AK23&lt;&gt;0,资产负债!AL23/资产负债!AK23-1,"-")</f>
        <v>-</v>
      </c>
      <c r="AM104" s="196"/>
    </row>
    <row r="105" spans="1:39" s="262" customFormat="1" ht="16.5" customHeight="1">
      <c r="A105" s="247"/>
      <c r="B105" s="404" t="s">
        <v>317</v>
      </c>
      <c r="C105" s="256" t="s">
        <v>1557</v>
      </c>
      <c r="D105" s="222" t="str">
        <f>IF(资产负债!C25&lt;&gt;0,资产负债!D25/资产负债!C25-1,"-")</f>
        <v>-</v>
      </c>
      <c r="E105" s="222" t="str">
        <f>IF(资产负债!D25&lt;&gt;0,资产负债!E25/资产负债!D25-1,"-")</f>
        <v>-</v>
      </c>
      <c r="F105" s="222" t="str">
        <f>IF(资产负债!E25&lt;&gt;0,资产负债!F25/资产负债!E25-1,"-")</f>
        <v>-</v>
      </c>
      <c r="G105" s="222" t="str">
        <f>IF(资产负债!F25&lt;&gt;0,资产负债!G25/资产负债!F25-1,"-")</f>
        <v>-</v>
      </c>
      <c r="H105" s="222" t="str">
        <f>IF(资产负债!G25&lt;&gt;0,资产负债!H25/资产负债!G25-1,"-")</f>
        <v>-</v>
      </c>
      <c r="I105" s="222" t="str">
        <f>IF(资产负债!H25&lt;&gt;0,资产负债!I25/资产负债!H25-1,"-")</f>
        <v>-</v>
      </c>
      <c r="J105" s="222" t="str">
        <f>IF(资产负债!I25&lt;&gt;0,资产负债!J25/资产负债!I25-1,"-")</f>
        <v>-</v>
      </c>
      <c r="K105" s="222" t="str">
        <f>IF(资产负债!J25&lt;&gt;0,资产负债!K25/资产负债!J25-1,"-")</f>
        <v>-</v>
      </c>
      <c r="L105" s="222" t="str">
        <f>IF(资产负债!K25&lt;&gt;0,资产负债!L25/资产负债!K25-1,"-")</f>
        <v>-</v>
      </c>
      <c r="M105" s="222" t="str">
        <f>IF(资产负债!L25&lt;&gt;0,资产负债!M25/资产负债!L25-1,"-")</f>
        <v>-</v>
      </c>
      <c r="N105" s="222" t="str">
        <f>IF(资产负债!M25&lt;&gt;0,资产负债!N25/资产负债!M25-1,"-")</f>
        <v>-</v>
      </c>
      <c r="O105" s="222" t="str">
        <f>IF(资产负债!N25&lt;&gt;0,资产负债!O25/资产负债!N25-1,"-")</f>
        <v>-</v>
      </c>
      <c r="P105" s="222" t="str">
        <f>IF(资产负债!O25&lt;&gt;0,资产负债!P25/资产负债!O25-1,"-")</f>
        <v>-</v>
      </c>
      <c r="Q105" s="222" t="str">
        <f>IF(资产负债!P25&lt;&gt;0,资产负债!Q25/资产负债!P25-1,"-")</f>
        <v>-</v>
      </c>
      <c r="R105" s="222" t="str">
        <f>IF(资产负债!Q25&lt;&gt;0,资产负债!R25/资产负债!Q25-1,"-")</f>
        <v>-</v>
      </c>
      <c r="S105" s="222" t="str">
        <f>IF(资产负债!R25&lt;&gt;0,资产负债!S25/资产负债!R25-1,"-")</f>
        <v>-</v>
      </c>
      <c r="T105" s="222" t="str">
        <f>IF(资产负债!S25&lt;&gt;0,资产负债!T25/资产负债!S25-1,"-")</f>
        <v>-</v>
      </c>
      <c r="U105" s="222" t="str">
        <f>IF(资产负债!T25&lt;&gt;0,资产负债!U25/资产负债!T25-1,"-")</f>
        <v>-</v>
      </c>
      <c r="V105" s="222" t="str">
        <f>IF(资产负债!U25&lt;&gt;0,资产负债!V25/资产负债!U25-1,"-")</f>
        <v>-</v>
      </c>
      <c r="W105" s="222" t="str">
        <f>IF(资产负债!V25&lt;&gt;0,资产负债!W25/资产负债!V25-1,"-")</f>
        <v>-</v>
      </c>
      <c r="X105" s="222" t="str">
        <f>IF(资产负债!W25&lt;&gt;0,资产负债!X25/资产负债!W25-1,"-")</f>
        <v>-</v>
      </c>
      <c r="Y105" s="222" t="str">
        <f>IF(资产负债!X25&lt;&gt;0,资产负债!Y25/资产负债!X25-1,"-")</f>
        <v>-</v>
      </c>
      <c r="Z105" s="222" t="str">
        <f>IF(资产负债!Y25&lt;&gt;0,资产负债!Z25/资产负债!Y25-1,"-")</f>
        <v>-</v>
      </c>
      <c r="AA105" s="222" t="str">
        <f>IF(资产负债!Z25&lt;&gt;0,资产负债!AA25/资产负债!Z25-1,"-")</f>
        <v>-</v>
      </c>
      <c r="AB105" s="222" t="str">
        <f>IF(资产负债!AA25&lt;&gt;0,资产负债!AB25/资产负债!AA25-1,"-")</f>
        <v>-</v>
      </c>
      <c r="AC105" s="222" t="str">
        <f>IF(资产负债!AB25&lt;&gt;0,资产负债!AC25/资产负债!AB25-1,"-")</f>
        <v>-</v>
      </c>
      <c r="AD105" s="222" t="str">
        <f>IF(资产负债!AC25&lt;&gt;0,资产负债!AD25/资产负债!AC25-1,"-")</f>
        <v>-</v>
      </c>
      <c r="AE105" s="222" t="str">
        <f>IF(资产负债!AD25&lt;&gt;0,资产负债!AE25/资产负债!AD25-1,"-")</f>
        <v>-</v>
      </c>
      <c r="AF105" s="222" t="str">
        <f>IF(资产负债!AE25&lt;&gt;0,资产负债!AF25/资产负债!AE25-1,"-")</f>
        <v>-</v>
      </c>
      <c r="AG105" s="222" t="str">
        <f>IF(资产负债!AF25&lt;&gt;0,资产负债!AG25/资产负债!AF25-1,"-")</f>
        <v>-</v>
      </c>
      <c r="AH105" s="222" t="str">
        <f>IF(资产负债!AG25&lt;&gt;0,资产负债!AH25/资产负债!AG25-1,"-")</f>
        <v>-</v>
      </c>
      <c r="AI105" s="222" t="str">
        <f>IF(资产负债!AH25&lt;&gt;0,资产负债!AI25/资产负债!AH25-1,"-")</f>
        <v>-</v>
      </c>
      <c r="AJ105" s="222" t="str">
        <f>IF(资产负债!AI25&lt;&gt;0,资产负债!AJ25/资产负债!AI25-1,"-")</f>
        <v>-</v>
      </c>
      <c r="AK105" s="222" t="str">
        <f>IF(资产负债!AJ25&lt;&gt;0,资产负债!AK25/资产负债!AJ25-1,"-")</f>
        <v>-</v>
      </c>
      <c r="AL105" s="222" t="str">
        <f>IF(资产负债!AK25&lt;&gt;0,资产负债!AL25/资产负债!AK25-1,"-")</f>
        <v>-</v>
      </c>
      <c r="AM105" s="196"/>
    </row>
    <row r="106" spans="1:39" s="262" customFormat="1" ht="16.5" customHeight="1">
      <c r="A106" s="247"/>
      <c r="B106" s="404" t="s">
        <v>318</v>
      </c>
      <c r="C106" s="256" t="s">
        <v>1558</v>
      </c>
      <c r="D106" s="222" t="str">
        <f>IF(资产负债!C27&lt;&gt;0,资产负债!D27/资产负债!C27-1,"-")</f>
        <v>-</v>
      </c>
      <c r="E106" s="222" t="str">
        <f>IF(资产负债!D27&lt;&gt;0,资产负债!E27/资产负债!D27-1,"-")</f>
        <v>-</v>
      </c>
      <c r="F106" s="222" t="str">
        <f>IF(资产负债!E27&lt;&gt;0,资产负债!F27/资产负债!E27-1,"-")</f>
        <v>-</v>
      </c>
      <c r="G106" s="222" t="str">
        <f>IF(资产负债!F27&lt;&gt;0,资产负债!G27/资产负债!F27-1,"-")</f>
        <v>-</v>
      </c>
      <c r="H106" s="222" t="str">
        <f>IF(资产负债!G27&lt;&gt;0,资产负债!H27/资产负债!G27-1,"-")</f>
        <v>-</v>
      </c>
      <c r="I106" s="222">
        <f>IF(资产负债!H27&lt;&gt;0,资产负债!I27/资产负债!H27-1,"-")</f>
        <v>-0.75</v>
      </c>
      <c r="J106" s="222">
        <f>IF(资产负债!I27&lt;&gt;0,资产负债!J27/资产负债!I27-1,"-")</f>
        <v>0.25</v>
      </c>
      <c r="K106" s="222">
        <f>IF(资产负债!J27&lt;&gt;0,资产负债!K27/资产负债!J27-1,"-")</f>
        <v>0.25</v>
      </c>
      <c r="L106" s="222">
        <f>IF(资产负债!K27&lt;&gt;0,资产负债!L27/资产负债!K27-1,"-")</f>
        <v>0.25</v>
      </c>
      <c r="M106" s="222">
        <f>IF(资产负债!L27&lt;&gt;0,资产负债!M27/资产负债!L27-1,"-")</f>
        <v>-0.26200000000000001</v>
      </c>
      <c r="N106" s="222">
        <f>IF(资产负债!M27&lt;&gt;0,资产负债!N27/资产负债!M27-1,"-")</f>
        <v>7.6558265582655771E-2</v>
      </c>
      <c r="O106" s="222">
        <f>IF(资产负债!N27&lt;&gt;0,资产负债!O27/资产负债!N27-1,"-")</f>
        <v>4.8615481434864716E-2</v>
      </c>
      <c r="P106" s="222">
        <f>IF(资产负债!O27&lt;&gt;0,资产负债!P27/资产负债!O27-1,"-")</f>
        <v>9.9399849962489295E-3</v>
      </c>
      <c r="Q106" s="222">
        <f>IF(资产负债!P27&lt;&gt;0,资产负债!Q27/资产负债!P27-1,"-")</f>
        <v>-4.7121634168987958E-2</v>
      </c>
      <c r="R106" s="222">
        <f>IF(资产负债!Q27&lt;&gt;0,资产负债!R27/资产负债!Q27-1,"-")</f>
        <v>1.9880633373934309E-2</v>
      </c>
      <c r="S106" s="222">
        <f>IF(资产负债!R27&lt;&gt;0,资产负债!S27/资产负债!R27-1,"-")</f>
        <v>7.092253637190904E-3</v>
      </c>
      <c r="T106" s="222">
        <f>IF(资产负债!S27&lt;&gt;0,资产负债!T27/资产负债!S27-1,"-")</f>
        <v>-2.923029123266252E-3</v>
      </c>
      <c r="U106" s="222">
        <f>IF(资产负债!T27&lt;&gt;0,资产负债!U27/资产负债!T27-1,"-")</f>
        <v>-6.1859191405759795E-3</v>
      </c>
      <c r="V106" s="222">
        <f>IF(资产负债!U27&lt;&gt;0,资产负债!V27/资产负债!U27-1,"-")</f>
        <v>4.3665111199830964E-3</v>
      </c>
      <c r="W106" s="222">
        <f>IF(资产负债!V27&lt;&gt;0,资产负债!W27/资产负债!V27-1,"-")</f>
        <v>5.7229064970854004E-4</v>
      </c>
      <c r="X106" s="222">
        <f>IF(资产负债!W27&lt;&gt;0,资产负债!X27/资产负债!W27-1,"-")</f>
        <v>-1.0530386225623412E-3</v>
      </c>
      <c r="Y106" s="222">
        <f>IF(资产负债!X27&lt;&gt;0,资产负债!Y27/资产负债!X27-1,"-")</f>
        <v>-5.8307693735959454E-4</v>
      </c>
      <c r="Z106" s="222">
        <f>IF(资产负债!Y27&lt;&gt;0,资产负债!Z27/资产负债!Y27-1,"-")</f>
        <v>8.2171960598298455E-4</v>
      </c>
      <c r="AA106" s="222">
        <f>IF(资产负债!Z27&lt;&gt;0,资产负债!AA27/资产负债!Z27-1,"-")</f>
        <v>-6.0840231109415832E-5</v>
      </c>
      <c r="AB106" s="222">
        <f>IF(资产负债!AA27&lt;&gt;0,资产负债!AB27/资产负债!AA27-1,"-")</f>
        <v>-2.191711040299138E-4</v>
      </c>
      <c r="AC106" s="222">
        <f>IF(资产负债!AB27&lt;&gt;0,资产负债!AC27/资产负债!AB27-1,"-")</f>
        <v>-1.0475724735448111E-5</v>
      </c>
      <c r="AD106" s="222">
        <f>IF(资产负债!AC27&lt;&gt;0,资产负债!AD27/资产负债!AC27-1,"-")</f>
        <v>1.3268207651484509E-4</v>
      </c>
      <c r="AE106" s="222">
        <f>IF(资产负债!AD27&lt;&gt;0,资产负债!AE27/资产负债!AD27-1,"-")</f>
        <v>-3.9463042349918709E-5</v>
      </c>
      <c r="AF106" s="222">
        <f>IF(资产负债!AE27&lt;&gt;0,资产负债!AF27/资产负债!AE27-1,"-")</f>
        <v>-3.411769060734926E-5</v>
      </c>
      <c r="AG106" s="222">
        <f>IF(资产负债!AF27&lt;&gt;0,资产负债!AG27/资产负债!AF27-1,"-")</f>
        <v>1.2153555011495953E-5</v>
      </c>
      <c r="AH106" s="222">
        <f>IF(资产负债!AG27&lt;&gt;0,资产负债!AH27/资产负债!AG27-1,"-")</f>
        <v>1.7810531169448751E-5</v>
      </c>
      <c r="AI106" s="222">
        <f>IF(资产负债!AH27&lt;&gt;0,资产负债!AI27/资产负债!AH27-1,"-")</f>
        <v>-1.0904797808297673E-5</v>
      </c>
      <c r="AJ106" s="222">
        <f>IF(资产负债!AI27&lt;&gt;0,资产负债!AJ27/资产负债!AI27-1,"-")</f>
        <v>-3.7648473912854641E-6</v>
      </c>
      <c r="AK106" s="222">
        <f>IF(资产负债!AJ27&lt;&gt;0,资产负债!AK27/资产负债!AJ27-1,"-")</f>
        <v>3.8235062558289457E-6</v>
      </c>
      <c r="AL106" s="222">
        <f>IF(资产负债!AK27&lt;&gt;0,资产负债!AL27/资产负债!AK27-1,"-")</f>
        <v>1.741033878843723E-6</v>
      </c>
      <c r="AM106" s="196"/>
    </row>
    <row r="107" spans="1:39" s="262" customFormat="1" ht="16.5" customHeight="1">
      <c r="A107" s="247"/>
      <c r="B107" s="256" t="s">
        <v>319</v>
      </c>
      <c r="C107" s="256" t="s">
        <v>312</v>
      </c>
      <c r="D107" s="222" t="str">
        <f>IF(资产负债!C28&lt;&gt;0,资产负债!D28/资产负债!C28-1,"-")</f>
        <v>-</v>
      </c>
      <c r="E107" s="222" t="str">
        <f>IF(资产负债!D28&lt;&gt;0,资产负债!E28/资产负债!D28-1,"-")</f>
        <v>-</v>
      </c>
      <c r="F107" s="222" t="str">
        <f>IF(资产负债!E28&lt;&gt;0,资产负债!F28/资产负债!E28-1,"-")</f>
        <v>-</v>
      </c>
      <c r="G107" s="222" t="str">
        <f>IF(资产负债!F28&lt;&gt;0,资产负债!G28/资产负债!F28-1,"-")</f>
        <v>-</v>
      </c>
      <c r="H107" s="222" t="str">
        <f>IF(资产负债!G28&lt;&gt;0,资产负债!H28/资产负债!G28-1,"-")</f>
        <v>-</v>
      </c>
      <c r="I107" s="222" t="str">
        <f>IF(资产负债!H28&lt;&gt;0,资产负债!I28/资产负债!H28-1,"-")</f>
        <v>-</v>
      </c>
      <c r="J107" s="222" t="str">
        <f>IF(资产负债!I28&lt;&gt;0,资产负债!J28/资产负债!I28-1,"-")</f>
        <v>-</v>
      </c>
      <c r="K107" s="222" t="str">
        <f>IF(资产负债!J28&lt;&gt;0,资产负债!K28/资产负债!J28-1,"-")</f>
        <v>-</v>
      </c>
      <c r="L107" s="222" t="str">
        <f>IF(资产负债!K28&lt;&gt;0,资产负债!L28/资产负债!K28-1,"-")</f>
        <v>-</v>
      </c>
      <c r="M107" s="222" t="str">
        <f>IF(资产负债!L28&lt;&gt;0,资产负债!M28/资产负债!L28-1,"-")</f>
        <v>-</v>
      </c>
      <c r="N107" s="222" t="str">
        <f>IF(资产负债!M28&lt;&gt;0,资产负债!N28/资产负债!M28-1,"-")</f>
        <v>-</v>
      </c>
      <c r="O107" s="222" t="str">
        <f>IF(资产负债!N28&lt;&gt;0,资产负债!O28/资产负债!N28-1,"-")</f>
        <v>-</v>
      </c>
      <c r="P107" s="222" t="str">
        <f>IF(资产负债!O28&lt;&gt;0,资产负债!P28/资产负债!O28-1,"-")</f>
        <v>-</v>
      </c>
      <c r="Q107" s="222" t="str">
        <f>IF(资产负债!P28&lt;&gt;0,资产负债!Q28/资产负债!P28-1,"-")</f>
        <v>-</v>
      </c>
      <c r="R107" s="222" t="str">
        <f>IF(资产负债!Q28&lt;&gt;0,资产负债!R28/资产负债!Q28-1,"-")</f>
        <v>-</v>
      </c>
      <c r="S107" s="222" t="str">
        <f>IF(资产负债!R28&lt;&gt;0,资产负债!S28/资产负债!R28-1,"-")</f>
        <v>-</v>
      </c>
      <c r="T107" s="222" t="str">
        <f>IF(资产负债!S28&lt;&gt;0,资产负债!T28/资产负债!S28-1,"-")</f>
        <v>-</v>
      </c>
      <c r="U107" s="222" t="str">
        <f>IF(资产负债!T28&lt;&gt;0,资产负债!U28/资产负债!T28-1,"-")</f>
        <v>-</v>
      </c>
      <c r="V107" s="222" t="str">
        <f>IF(资产负债!U28&lt;&gt;0,资产负债!V28/资产负债!U28-1,"-")</f>
        <v>-</v>
      </c>
      <c r="W107" s="222" t="str">
        <f>IF(资产负债!V28&lt;&gt;0,资产负债!W28/资产负债!V28-1,"-")</f>
        <v>-</v>
      </c>
      <c r="X107" s="222" t="str">
        <f>IF(资产负债!W28&lt;&gt;0,资产负债!X28/资产负债!W28-1,"-")</f>
        <v>-</v>
      </c>
      <c r="Y107" s="222" t="str">
        <f>IF(资产负债!X28&lt;&gt;0,资产负债!Y28/资产负债!X28-1,"-")</f>
        <v>-</v>
      </c>
      <c r="Z107" s="222" t="str">
        <f>IF(资产负债!Y28&lt;&gt;0,资产负债!Z28/资产负债!Y28-1,"-")</f>
        <v>-</v>
      </c>
      <c r="AA107" s="222" t="str">
        <f>IF(资产负债!Z28&lt;&gt;0,资产负债!AA28/资产负债!Z28-1,"-")</f>
        <v>-</v>
      </c>
      <c r="AB107" s="222" t="str">
        <f>IF(资产负债!AA28&lt;&gt;0,资产负债!AB28/资产负债!AA28-1,"-")</f>
        <v>-</v>
      </c>
      <c r="AC107" s="222" t="str">
        <f>IF(资产负债!AB28&lt;&gt;0,资产负债!AC28/资产负债!AB28-1,"-")</f>
        <v>-</v>
      </c>
      <c r="AD107" s="222" t="str">
        <f>IF(资产负债!AC28&lt;&gt;0,资产负债!AD28/资产负债!AC28-1,"-")</f>
        <v>-</v>
      </c>
      <c r="AE107" s="222" t="str">
        <f>IF(资产负债!AD28&lt;&gt;0,资产负债!AE28/资产负债!AD28-1,"-")</f>
        <v>-</v>
      </c>
      <c r="AF107" s="222" t="str">
        <f>IF(资产负债!AE28&lt;&gt;0,资产负债!AF28/资产负债!AE28-1,"-")</f>
        <v>-</v>
      </c>
      <c r="AG107" s="222" t="str">
        <f>IF(资产负债!AF28&lt;&gt;0,资产负债!AG28/资产负债!AF28-1,"-")</f>
        <v>-</v>
      </c>
      <c r="AH107" s="222" t="str">
        <f>IF(资产负债!AG28&lt;&gt;0,资产负债!AH28/资产负债!AG28-1,"-")</f>
        <v>-</v>
      </c>
      <c r="AI107" s="222" t="str">
        <f>IF(资产负债!AH28&lt;&gt;0,资产负债!AI28/资产负债!AH28-1,"-")</f>
        <v>-</v>
      </c>
      <c r="AJ107" s="222" t="str">
        <f>IF(资产负债!AI28&lt;&gt;0,资产负债!AJ28/资产负债!AI28-1,"-")</f>
        <v>-</v>
      </c>
      <c r="AK107" s="222" t="str">
        <f>IF(资产负债!AJ28&lt;&gt;0,资产负债!AK28/资产负债!AJ28-1,"-")</f>
        <v>-</v>
      </c>
      <c r="AL107" s="222" t="str">
        <f>IF(资产负债!AK28&lt;&gt;0,资产负债!AL28/资产负债!AK28-1,"-")</f>
        <v>-</v>
      </c>
      <c r="AM107" s="196"/>
    </row>
    <row r="108" spans="1:39" s="262" customFormat="1" ht="16.5" customHeight="1">
      <c r="A108" s="247"/>
      <c r="B108" s="256" t="s">
        <v>320</v>
      </c>
      <c r="C108" s="256" t="s">
        <v>1559</v>
      </c>
      <c r="D108" s="222" t="str">
        <f>IF(资产负债!C29&lt;&gt;0,资产负债!D29/资产负债!C29-1,"-")</f>
        <v>-</v>
      </c>
      <c r="E108" s="222" t="str">
        <f>IF(资产负债!D29&lt;&gt;0,资产负债!E29/资产负债!D29-1,"-")</f>
        <v>-</v>
      </c>
      <c r="F108" s="222" t="str">
        <f>IF(资产负债!E29&lt;&gt;0,资产负债!F29/资产负债!E29-1,"-")</f>
        <v>-</v>
      </c>
      <c r="G108" s="222" t="str">
        <f>IF(资产负债!F29&lt;&gt;0,资产负债!G29/资产负债!F29-1,"-")</f>
        <v>-</v>
      </c>
      <c r="H108" s="222">
        <f>IF(资产负债!G29&lt;&gt;0,资产负债!H29/资产负债!G29-1,"-")</f>
        <v>0.3462799892158277</v>
      </c>
      <c r="I108" s="222">
        <f>IF(资产负债!H29&lt;&gt;0,资产负债!I29/资产负债!H29-1,"-")</f>
        <v>0.24655243943084448</v>
      </c>
      <c r="J108" s="222">
        <f>IF(资产负债!I29&lt;&gt;0,资产负债!J29/资产负债!I29-1,"-")</f>
        <v>0.19607713834278684</v>
      </c>
      <c r="K108" s="222">
        <f>IF(资产负债!J29&lt;&gt;0,资产负债!K29/资产负债!J29-1,"-")</f>
        <v>0.1622175923323923</v>
      </c>
      <c r="L108" s="222">
        <f>IF(资产负债!K29&lt;&gt;0,资产负债!L29/资产负债!K29-1,"-")</f>
        <v>0.13780420922534287</v>
      </c>
      <c r="M108" s="222">
        <f>IF(资产负债!L29&lt;&gt;0,资产负债!M29/资产负债!L29-1,"-")</f>
        <v>0.12104202852205681</v>
      </c>
      <c r="N108" s="222">
        <f>IF(资产负债!M29&lt;&gt;0,资产负债!N29/资产负债!M29-1,"-")</f>
        <v>0.1095135859959806</v>
      </c>
      <c r="O108" s="222">
        <f>IF(资产负债!N29&lt;&gt;0,资产负债!O29/资产负债!N29-1,"-")</f>
        <v>9.8337378166662326E-2</v>
      </c>
      <c r="P108" s="222">
        <f>IF(资产负债!O29&lt;&gt;0,资产负债!P29/资产负债!O29-1,"-")</f>
        <v>8.9290540214691516E-2</v>
      </c>
      <c r="Q108" s="222">
        <f>IF(资产负债!P29&lt;&gt;0,资产负债!Q29/资产负债!P29-1,"-")</f>
        <v>8.1878638389036862E-2</v>
      </c>
      <c r="R108" s="222">
        <f>IF(资产负债!Q29&lt;&gt;0,资产负债!R29/资产负债!Q29-1,"-")</f>
        <v>7.577258883629634E-2</v>
      </c>
      <c r="S108" s="222">
        <f>IF(资产负债!R29&lt;&gt;0,资产负债!S29/资产负债!R29-1,"-")</f>
        <v>7.0544992078995783E-2</v>
      </c>
      <c r="T108" s="222">
        <f>IF(资产负债!S29&lt;&gt;0,资产负债!T29/资产负债!S29-1,"-")</f>
        <v>6.5832738347000097E-2</v>
      </c>
      <c r="U108" s="222">
        <f>IF(资产负债!T29&lt;&gt;0,资产负债!U29/资产负债!T29-1,"-")</f>
        <v>6.1741047072452648E-2</v>
      </c>
      <c r="V108" s="222">
        <f>IF(资产负债!U29&lt;&gt;0,资产负债!V29/资产负债!U29-1,"-")</f>
        <v>5.8153577146492053E-2</v>
      </c>
      <c r="W108" s="222">
        <f>IF(资产负债!V29&lt;&gt;0,资产负债!W29/资产负债!V29-1,"-")</f>
        <v>5.4973211704350211E-2</v>
      </c>
      <c r="X108" s="222">
        <f>IF(资产负债!W29&lt;&gt;0,资产负债!X29/资产负债!W29-1,"-")</f>
        <v>5.2113928804528697E-2</v>
      </c>
      <c r="Y108" s="222">
        <f>IF(资产负债!X29&lt;&gt;0,资产负债!Y29/资产负债!X29-1,"-")</f>
        <v>4.952324212983239E-2</v>
      </c>
      <c r="Z108" s="222">
        <f>IF(资产负债!Y29&lt;&gt;0,资产负债!Z29/资产负债!Y29-1,"-")</f>
        <v>4.7184846928336244E-2</v>
      </c>
      <c r="AA108" s="222">
        <f>IF(资产负债!Z29&lt;&gt;0,资产负债!AA29/资产负债!Z29-1,"-")</f>
        <v>4.5060668031277507E-2</v>
      </c>
      <c r="AB108" s="222">
        <f>IF(资产负债!AA29&lt;&gt;0,资产负债!AB29/资产负债!AA29-1,"-")</f>
        <v>4.3119530397937922E-2</v>
      </c>
      <c r="AC108" s="222">
        <f>IF(资产负债!AB29&lt;&gt;0,资产负债!AC29/资产负债!AB29-1,"-")</f>
        <v>4.1336790227064268E-2</v>
      </c>
      <c r="AD108" s="222">
        <f>IF(资产负债!AC29&lt;&gt;0,资产负债!AD29/资产负债!AC29-1,"-")</f>
        <v>3.9694732234956343E-2</v>
      </c>
      <c r="AE108" s="222">
        <f>IF(资产负债!AD29&lt;&gt;0,资产负债!AE29/资产负债!AD29-1,"-")</f>
        <v>3.8179324046783147E-2</v>
      </c>
      <c r="AF108" s="222">
        <f>IF(资产负债!AE29&lt;&gt;0,资产负债!AF29/资产负债!AE29-1,"-")</f>
        <v>3.6775636103620668E-2</v>
      </c>
      <c r="AG108" s="222">
        <f>IF(资产负债!AF29&lt;&gt;0,资产负债!AG29/资产负债!AF29-1,"-")</f>
        <v>3.547128536546551E-2</v>
      </c>
      <c r="AH108" s="222">
        <f>IF(资产负债!AG29&lt;&gt;0,资产负债!AH29/资产负债!AG29-1,"-")</f>
        <v>3.4256035901586435E-2</v>
      </c>
      <c r="AI108" s="222">
        <f>IF(资产负债!AH29&lt;&gt;0,资产负债!AI29/资产负债!AH29-1,"-")</f>
        <v>3.3121314662383217E-2</v>
      </c>
      <c r="AJ108" s="222">
        <f>IF(资产负债!AI29&lt;&gt;0,资产负债!AJ29/资产负债!AI29-1,"-")</f>
        <v>3.2059519433577321E-2</v>
      </c>
      <c r="AK108" s="222">
        <f>IF(资产负债!AJ29&lt;&gt;0,资产负债!AK29/资产负债!AJ29-1,"-")</f>
        <v>3.1063682557542993E-2</v>
      </c>
      <c r="AL108" s="222">
        <f>IF(资产负债!AK29&lt;&gt;0,资产负债!AL29/资产负债!AK29-1,"-")</f>
        <v>3.012779817542266E-2</v>
      </c>
      <c r="AM108" s="196"/>
    </row>
    <row r="109" spans="1:39" s="262" customFormat="1" ht="16.5" customHeight="1">
      <c r="A109" s="247"/>
      <c r="B109" s="256" t="s">
        <v>1560</v>
      </c>
      <c r="C109" s="256" t="s">
        <v>1561</v>
      </c>
      <c r="D109" s="222">
        <f>IF(资产负债!C30&lt;&gt;0,资产负债!D30/资产负债!C30-1,"-")</f>
        <v>0.53848124665483632</v>
      </c>
      <c r="E109" s="222">
        <f>IF(资产负债!D30&lt;&gt;0,资产负债!E30/资产负债!D30-1,"-")</f>
        <v>0.36484246914970897</v>
      </c>
      <c r="F109" s="222">
        <f>IF(资产负债!E30&lt;&gt;0,资产负债!F30/资产负债!E30-1,"-")</f>
        <v>0.81038309348627546</v>
      </c>
      <c r="G109" s="222">
        <f>IF(资产负债!F30&lt;&gt;0,资产负债!G30/资产负债!F30-1,"-")</f>
        <v>0.28309628610783322</v>
      </c>
      <c r="H109" s="222">
        <f>IF(资产负债!G30&lt;&gt;0,资产负债!H30/资产负债!G30-1,"-")</f>
        <v>0.16180670451748913</v>
      </c>
      <c r="I109" s="222">
        <f ca="1">IF(资产负债!H30&lt;&gt;0,资产负债!I30/资产负债!H30-1,"-")</f>
        <v>1.9755807540929649E-2</v>
      </c>
      <c r="J109" s="222">
        <f ca="1">IF(资产负债!I30&lt;&gt;0,资产负债!J30/资产负债!I30-1,"-")</f>
        <v>8.1127875712713626E-2</v>
      </c>
      <c r="K109" s="222">
        <f ca="1">IF(资产负债!J30&lt;&gt;0,资产负债!K30/资产负债!J30-1,"-")</f>
        <v>9.9848785104281523E-2</v>
      </c>
      <c r="L109" s="222">
        <f ca="1">IF(资产负债!K30&lt;&gt;0,资产负债!L30/资产负债!K30-1,"-")</f>
        <v>6.8320830229297247E-2</v>
      </c>
      <c r="M109" s="222">
        <f ca="1">IF(资产负债!L30&lt;&gt;0,资产负债!M30/资产负债!L30-1,"-")</f>
        <v>4.4564104550379069E-2</v>
      </c>
      <c r="N109" s="222">
        <f ca="1">IF(资产负债!M30&lt;&gt;0,资产负债!N30/资产负债!M30-1,"-")</f>
        <v>6.9233323774273492E-2</v>
      </c>
      <c r="O109" s="222">
        <f ca="1">IF(资产负债!N30&lt;&gt;0,资产负债!O30/资产负债!N30-1,"-")</f>
        <v>8.347977379700966E-2</v>
      </c>
      <c r="P109" s="222">
        <f ca="1">IF(资产负债!O30&lt;&gt;0,资产负债!P30/资产负债!O30-1,"-")</f>
        <v>8.3163068538338658E-2</v>
      </c>
      <c r="Q109" s="222">
        <f ca="1">IF(资产负债!P30&lt;&gt;0,资产负债!Q30/资产负债!P30-1,"-")</f>
        <v>7.8041403544854893E-2</v>
      </c>
      <c r="R109" s="222">
        <f ca="1">IF(资产负债!Q30&lt;&gt;0,资产负债!R30/资产负债!Q30-1,"-")</f>
        <v>8.0258530679872875E-2</v>
      </c>
      <c r="S109" s="222">
        <f ca="1">IF(资产负债!R30&lt;&gt;0,资产负债!S30/资产负债!R30-1,"-")</f>
        <v>8.9106856169884674E-2</v>
      </c>
      <c r="T109" s="222">
        <f ca="1">IF(资产负债!S30&lt;&gt;0,资产负债!T30/资产负债!S30-1,"-")</f>
        <v>9.3356573429794976E-2</v>
      </c>
      <c r="U109" s="222">
        <f ca="1">IF(资产负债!T30&lt;&gt;0,资产负债!U30/资产负债!T30-1,"-")</f>
        <v>9.4767246651175086E-2</v>
      </c>
      <c r="V109" s="222">
        <f ca="1">IF(资产负债!U30&lt;&gt;0,资产负债!V30/资产负债!U30-1,"-")</f>
        <v>0.12752269339691558</v>
      </c>
      <c r="W109" s="222">
        <f ca="1">IF(资产负债!V30&lt;&gt;0,资产负债!W30/资产负债!V30-1,"-")</f>
        <v>0.12904269782605238</v>
      </c>
      <c r="X109" s="222">
        <f ca="1">IF(资产负债!W30&lt;&gt;0,资产负债!X30/资产负债!W30-1,"-")</f>
        <v>0.1311554812234399</v>
      </c>
      <c r="Y109" s="222">
        <f ca="1">IF(资产负债!X30&lt;&gt;0,资产负债!Y30/资产负债!X30-1,"-")</f>
        <v>0.131126333553792</v>
      </c>
      <c r="Z109" s="222">
        <f ca="1">IF(资产负债!Y30&lt;&gt;0,资产负债!Z30/资产负债!Y30-1,"-")</f>
        <v>0.13020168618228745</v>
      </c>
      <c r="AA109" s="222">
        <f ca="1">IF(资产负债!Z30&lt;&gt;0,资产负债!AA30/资产负债!Z30-1,"-")</f>
        <v>0.13012552221414508</v>
      </c>
      <c r="AB109" s="222">
        <f ca="1">IF(资产负债!AA30&lt;&gt;0,资产负债!AB30/资产负债!AA30-1,"-")</f>
        <v>0.13049353528345731</v>
      </c>
      <c r="AC109" s="222">
        <f ca="1">IF(资产负债!AB30&lt;&gt;0,资产负债!AC30/资产负债!AB30-1,"-")</f>
        <v>0.13065899717635521</v>
      </c>
      <c r="AD109" s="222">
        <f ca="1">IF(资产负债!AC30&lt;&gt;0,资产负债!AD30/资产负债!AC30-1,"-")</f>
        <v>0.13047332630295227</v>
      </c>
      <c r="AE109" s="222">
        <f ca="1">IF(资产负债!AD30&lt;&gt;0,资产负债!AE30/资产负债!AD30-1,"-")</f>
        <v>0.13029068542775635</v>
      </c>
      <c r="AF109" s="222">
        <f ca="1">IF(资产负债!AE30&lt;&gt;0,资产负债!AF30/资产负债!AE30-1,"-")</f>
        <v>0.13027737402505823</v>
      </c>
      <c r="AG109" s="222">
        <f ca="1">IF(资产负债!AF30&lt;&gt;0,资产负债!AG30/资产负债!AF30-1,"-")</f>
        <v>0.13029391688803771</v>
      </c>
      <c r="AH109" s="222">
        <f ca="1">IF(资产负债!AG30&lt;&gt;0,资产负债!AH30/资产负债!AG30-1,"-")</f>
        <v>0.13025105105288115</v>
      </c>
      <c r="AI109" s="222">
        <f ca="1">IF(资产负债!AH30&lt;&gt;0,资产负债!AI30/资产负债!AH30-1,"-")</f>
        <v>0.13017403646174164</v>
      </c>
      <c r="AJ109" s="222">
        <f ca="1">IF(资产负债!AI30&lt;&gt;0,资产负债!AJ30/资产负债!AI30-1,"-")</f>
        <v>0.13012353343378247</v>
      </c>
      <c r="AK109" s="222">
        <f ca="1">IF(资产负债!AJ30&lt;&gt;0,资产负债!AK30/资产负债!AJ30-1,"-")</f>
        <v>0.13010207589306222</v>
      </c>
      <c r="AL109" s="222">
        <f ca="1">IF(资产负债!AK30&lt;&gt;0,资产负债!AL30/资产负债!AK30-1,"-")</f>
        <v>0.13008007651922582</v>
      </c>
      <c r="AM109" s="196"/>
    </row>
    <row r="110" spans="1:39" s="262" customFormat="1" ht="16.5" customHeight="1">
      <c r="A110" s="247"/>
      <c r="B110" s="256" t="s">
        <v>1562</v>
      </c>
      <c r="C110" s="256" t="s">
        <v>1563</v>
      </c>
      <c r="D110" s="222">
        <f>IF(资产负债!C31&lt;&gt;0,资产负债!D31/资产负债!C31-1,"-")</f>
        <v>0.52152019374242542</v>
      </c>
      <c r="E110" s="222">
        <f>IF(资产负债!D31&lt;&gt;0,资产负债!E31/资产负债!D31-1,"-")</f>
        <v>0.58524338606298798</v>
      </c>
      <c r="F110" s="222">
        <f>IF(资产负债!E31&lt;&gt;0,资产负债!F31/资产负债!E31-1,"-")</f>
        <v>-0.26780855985741447</v>
      </c>
      <c r="G110" s="222">
        <f>IF(资产负债!F31&lt;&gt;0,资产负债!G31/资产负债!F31-1,"-")</f>
        <v>-0.27859293444506394</v>
      </c>
      <c r="H110" s="222">
        <f>IF(资产负债!G31&lt;&gt;0,资产负债!H31/资产负债!G31-1,"-")</f>
        <v>-0.40295874809553323</v>
      </c>
      <c r="I110" s="222">
        <f ca="1">IF(资产负债!H31&lt;&gt;0,资产负债!I31/资产负债!H31-1,"-")</f>
        <v>0.13691911309480176</v>
      </c>
      <c r="J110" s="222">
        <f ca="1">IF(资产负债!I31&lt;&gt;0,资产负债!J31/资产负债!I31-1,"-")</f>
        <v>0.21372409644699797</v>
      </c>
      <c r="K110" s="222">
        <f ca="1">IF(资产负债!J31&lt;&gt;0,资产负债!K31/资产负债!J31-1,"-")</f>
        <v>0.12894503815416014</v>
      </c>
      <c r="L110" s="222">
        <f ca="1">IF(资产负债!K31&lt;&gt;0,资产负债!L31/资产负债!K31-1,"-")</f>
        <v>4.8229315592281052E-2</v>
      </c>
      <c r="M110" s="222">
        <f ca="1">IF(资产负债!L31&lt;&gt;0,资产负债!M31/资产负债!L31-1,"-")</f>
        <v>1.6897709239374725E-2</v>
      </c>
      <c r="N110" s="222">
        <f ca="1">IF(资产负债!M31&lt;&gt;0,资产负债!N31/资产负债!M31-1,"-")</f>
        <v>0.10399975719290011</v>
      </c>
      <c r="O110" s="222">
        <f ca="1">IF(资产负债!N31&lt;&gt;0,资产负债!O31/资产负债!N31-1,"-")</f>
        <v>0.11282199200398835</v>
      </c>
      <c r="P110" s="222">
        <f ca="1">IF(资产负债!O31&lt;&gt;0,资产负债!P31/资产负债!O31-1,"-")</f>
        <v>0.10165551320034649</v>
      </c>
      <c r="Q110" s="222">
        <f ca="1">IF(资产负债!P31&lt;&gt;0,资产负债!Q31/资产负债!P31-1,"-")</f>
        <v>9.7530647758151234E-2</v>
      </c>
      <c r="R110" s="222">
        <f ca="1">IF(资产负债!Q31&lt;&gt;0,资产负债!R31/资产负债!Q31-1,"-")</f>
        <v>0.10844609483962242</v>
      </c>
      <c r="S110" s="222">
        <f ca="1">IF(资产负债!R31&lt;&gt;0,资产负债!S31/资产负债!R31-1,"-")</f>
        <v>0.12576878101157996</v>
      </c>
      <c r="T110" s="222">
        <f ca="1">IF(资产负债!S31&lt;&gt;0,资产负债!T31/资产负债!S31-1,"-")</f>
        <v>0.1242499060615625</v>
      </c>
      <c r="U110" s="222">
        <f ca="1">IF(资产负债!T31&lt;&gt;0,资产负债!U31/资产负债!T31-1,"-")</f>
        <v>0.12225702423989748</v>
      </c>
      <c r="V110" s="222">
        <f ca="1">IF(资产负债!U31&lt;&gt;0,资产负债!V31/资产负债!U31-1,"-")</f>
        <v>0.12429537212529618</v>
      </c>
      <c r="W110" s="222">
        <f ca="1">IF(资产负债!V31&lt;&gt;0,资产负债!W31/资产负债!V31-1,"-")</f>
        <v>0.1285952284342553</v>
      </c>
      <c r="X110" s="222">
        <f ca="1">IF(资产负债!W31&lt;&gt;0,资产负债!X31/资产负债!W31-1,"-")</f>
        <v>0.13103954337082935</v>
      </c>
      <c r="Y110" s="222">
        <f ca="1">IF(资产负债!X31&lt;&gt;0,资产负债!Y31/资产负债!X31-1,"-")</f>
        <v>0.13029053121329759</v>
      </c>
      <c r="Z110" s="222">
        <f ca="1">IF(资产负债!Y31&lt;&gt;0,资产负债!Z31/资产负债!Y31-1,"-")</f>
        <v>0.1297693040744905</v>
      </c>
      <c r="AA110" s="222">
        <f ca="1">IF(资产负债!Z31&lt;&gt;0,资产负债!AA31/资产负债!Z31-1,"-")</f>
        <v>0.12985449390159221</v>
      </c>
      <c r="AB110" s="222">
        <f ca="1">IF(资产负债!AA31&lt;&gt;0,资产负债!AB31/资产负债!AA31-1,"-")</f>
        <v>0.13010368451960241</v>
      </c>
      <c r="AC110" s="222">
        <f ca="1">IF(资产负债!AB31&lt;&gt;0,资产负债!AC31/资产负债!AB31-1,"-")</f>
        <v>0.1300595620285443</v>
      </c>
      <c r="AD110" s="222">
        <f ca="1">IF(资产负债!AC31&lt;&gt;0,资产负债!AD31/资产负债!AC31-1,"-")</f>
        <v>0.12979992178336963</v>
      </c>
      <c r="AE110" s="222">
        <f ca="1">IF(资产负债!AD31&lt;&gt;0,资产负债!AE31/资产负债!AD31-1,"-")</f>
        <v>0.12974440285425426</v>
      </c>
      <c r="AF110" s="222">
        <f ca="1">IF(资产负债!AE31&lt;&gt;0,资产负债!AF31/资产负债!AE31-1,"-")</f>
        <v>0.1297991550194324</v>
      </c>
      <c r="AG110" s="222">
        <f ca="1">IF(资产负债!AF31&lt;&gt;0,资产负债!AG31/资产负债!AF31-1,"-")</f>
        <v>0.12983415751103333</v>
      </c>
      <c r="AH110" s="222">
        <f ca="1">IF(资产负债!AG31&lt;&gt;0,资产负债!AH31/资产负债!AG31-1,"-")</f>
        <v>0.12980827056050503</v>
      </c>
      <c r="AI110" s="222">
        <f ca="1">IF(资产负债!AH31&lt;&gt;0,资产负债!AI31/资产负债!AH31-1,"-")</f>
        <v>0.12977822838447151</v>
      </c>
      <c r="AJ110" s="222">
        <f ca="1">IF(资产负债!AI31&lt;&gt;0,资产负债!AJ31/资产负债!AI31-1,"-")</f>
        <v>0.12978967983551915</v>
      </c>
      <c r="AK110" s="222">
        <f ca="1">IF(资产负债!AJ31&lt;&gt;0,资产负债!AK31/资产负债!AJ31-1,"-")</f>
        <v>0.12980610860774133</v>
      </c>
      <c r="AL110" s="222">
        <f ca="1">IF(资产负债!AK31&lt;&gt;0,资产负债!AL31/资产负债!AK31-1,"-")</f>
        <v>0.12981269024425224</v>
      </c>
      <c r="AM110" s="196"/>
    </row>
    <row r="111" spans="1:39" s="262" customFormat="1" ht="16.5" customHeight="1">
      <c r="B111" s="255" t="s">
        <v>1564</v>
      </c>
      <c r="C111" s="256" t="s">
        <v>1565</v>
      </c>
      <c r="D111" s="222">
        <f>IF(资产负债!C33&lt;&gt;0,资产负债!D33/资产负债!C33-1,"-")</f>
        <v>5.6709220085201073E-2</v>
      </c>
      <c r="E111" s="222">
        <f>IF(资产负债!D33&lt;&gt;0,资产负债!E33/资产负债!D33-1,"-")</f>
        <v>0.15202068422002624</v>
      </c>
      <c r="F111" s="222">
        <f>IF(资产负债!E33&lt;&gt;0,资产负债!F33/资产负债!E33-1,"-")</f>
        <v>5.8845819739397953E-2</v>
      </c>
      <c r="G111" s="222">
        <f>IF(资产负债!F33&lt;&gt;0,资产负债!G33/资产负债!F33-1,"-")</f>
        <v>-2.0252269656088284E-2</v>
      </c>
      <c r="H111" s="222">
        <f>IF(资产负债!G33&lt;&gt;0,资产负债!H33/资产负债!G33-1,"-")</f>
        <v>0.99732652062482119</v>
      </c>
      <c r="I111" s="222">
        <f>IF(资产负债!H33&lt;&gt;0,资产负债!I33/资产负债!H33-1,"-")</f>
        <v>8.9485426796570788E-2</v>
      </c>
      <c r="J111" s="222">
        <f>IF(资产负债!I33&lt;&gt;0,资产负债!J33/资产负债!I33-1,"-")</f>
        <v>9.6578118832916005E-2</v>
      </c>
      <c r="K111" s="222">
        <f>IF(资产负债!J33&lt;&gt;0,资产负债!K33/资产负债!J33-1,"-")</f>
        <v>9.7276298050852805E-2</v>
      </c>
      <c r="L111" s="222">
        <f>IF(资产负债!K33&lt;&gt;0,资产负债!L33/资产负债!K33-1,"-")</f>
        <v>0.10422234180627599</v>
      </c>
      <c r="M111" s="222">
        <f>IF(资产负债!L33&lt;&gt;0,资产负债!M33/资产负债!L33-1,"-")</f>
        <v>0.11661955609287089</v>
      </c>
      <c r="N111" s="222">
        <f>IF(资产负债!M33&lt;&gt;0,资产负债!N33/资产负债!M33-1,"-")</f>
        <v>6.6990722966506322E-2</v>
      </c>
      <c r="O111" s="222">
        <f>IF(资产负债!N33&lt;&gt;0,资产负债!O33/资产负债!N33-1,"-")</f>
        <v>6.4964409333506667E-2</v>
      </c>
      <c r="P111" s="222">
        <f>IF(资产负债!O33&lt;&gt;0,资产负债!P33/资产负债!O33-1,"-")</f>
        <v>6.174412772223592E-2</v>
      </c>
      <c r="Q111" s="222">
        <f>IF(资产负债!P33&lt;&gt;0,资产负债!Q33/资产负债!P33-1,"-")</f>
        <v>5.7865083771735826E-2</v>
      </c>
      <c r="R111" s="222">
        <f>IF(资产负债!Q33&lt;&gt;0,资产负债!R33/资产负债!Q33-1,"-")</f>
        <v>5.2393893429497629E-2</v>
      </c>
      <c r="S111" s="222">
        <f>IF(资产负债!R33&lt;&gt;0,资产负债!S33/资产负债!R33-1,"-")</f>
        <v>4.4191040701899054E-2</v>
      </c>
      <c r="T111" s="222">
        <f>IF(资产负债!S33&lt;&gt;0,资产负债!T33/资产负债!S33-1,"-")</f>
        <v>4.1231990876653191E-2</v>
      </c>
      <c r="U111" s="222">
        <f>IF(资产负债!T33&lt;&gt;0,资产负债!U33/资产负债!T33-1,"-")</f>
        <v>3.8025842674783927E-2</v>
      </c>
      <c r="V111" s="222">
        <f>IF(资产负债!U33&lt;&gt;0,资产负债!V33/资产负债!U33-1,"-")</f>
        <v>3.4702602970647201E-2</v>
      </c>
      <c r="W111" s="222">
        <f>IF(资产负债!V33&lt;&gt;0,资产负债!W33/资产负债!V33-1,"-")</f>
        <v>3.1344482477219993E-2</v>
      </c>
      <c r="X111" s="222">
        <f>IF(资产负债!W33&lt;&gt;0,资产负债!X33/资产负债!W33-1,"-")</f>
        <v>2.82026768826249E-2</v>
      </c>
      <c r="Y111" s="222">
        <f>IF(资产负债!X33&lt;&gt;0,资产负债!Y33/资产负债!X33-1,"-")</f>
        <v>2.5777678850151808E-2</v>
      </c>
      <c r="Z111" s="222">
        <f>IF(资产负债!Y33&lt;&gt;0,资产负债!Z33/资产负债!Y33-1,"-")</f>
        <v>2.3376995433006753E-2</v>
      </c>
      <c r="AA111" s="222">
        <f>IF(资产负债!Z33&lt;&gt;0,资产负债!AA33/资产负债!Z33-1,"-")</f>
        <v>2.1050764225041929E-2</v>
      </c>
      <c r="AB111" s="222">
        <f>IF(资产负债!AA33&lt;&gt;0,资产负债!AB33/资产负债!AA33-1,"-")</f>
        <v>1.8838681376900368E-2</v>
      </c>
      <c r="AC111" s="222">
        <f>IF(资产负债!AB33&lt;&gt;0,资产负债!AC33/资产负债!AB33-1,"-")</f>
        <v>1.6775056439198632E-2</v>
      </c>
      <c r="AD111" s="222">
        <f>IF(资产负债!AC33&lt;&gt;0,资产负债!AD33/资产负债!AC33-1,"-")</f>
        <v>1.4857408626470114E-2</v>
      </c>
      <c r="AE111" s="222">
        <f>IF(资产负债!AD33&lt;&gt;0,资产负债!AE33/资产负债!AD33-1,"-")</f>
        <v>1.2992759851786495E-2</v>
      </c>
      <c r="AF111" s="222">
        <f>IF(资产负债!AE33&lt;&gt;0,资产负债!AF33/资产负债!AE33-1,"-")</f>
        <v>1.1189935937956141E-2</v>
      </c>
      <c r="AG111" s="222">
        <f>IF(资产负债!AF33&lt;&gt;0,资产负债!AG33/资产负债!AF33-1,"-")</f>
        <v>9.4504098752064003E-3</v>
      </c>
      <c r="AH111" s="222">
        <f>IF(资产负债!AG33&lt;&gt;0,资产负债!AH33/资产负债!AG33-1,"-")</f>
        <v>7.7683824749037456E-3</v>
      </c>
      <c r="AI111" s="222">
        <f>IF(资产负债!AH33&lt;&gt;0,资产负债!AI33/资产负债!AH33-1,"-")</f>
        <v>6.1300225410114706E-3</v>
      </c>
      <c r="AJ111" s="222">
        <f>IF(资产负债!AI33&lt;&gt;0,资产负债!AJ33/资产负债!AI33-1,"-")</f>
        <v>4.5184780075355757E-3</v>
      </c>
      <c r="AK111" s="222">
        <f>IF(资产负债!AJ33&lt;&gt;0,资产负债!AK33/资产负债!AJ33-1,"-")</f>
        <v>2.9304121863267252E-3</v>
      </c>
      <c r="AL111" s="222">
        <f>IF(资产负债!AK33&lt;&gt;0,资产负债!AL33/资产负债!AK33-1,"-")</f>
        <v>1.3598909183958341E-3</v>
      </c>
      <c r="AM111" s="196"/>
    </row>
    <row r="112" spans="1:39" s="262" customFormat="1" ht="16.5" customHeight="1">
      <c r="B112" s="256" t="s">
        <v>1389</v>
      </c>
      <c r="C112" s="256" t="s">
        <v>1566</v>
      </c>
      <c r="D112" s="222">
        <f>IF(资产负债!C34&lt;&gt;0,资产负债!D34/资产负债!C34-1,"-")</f>
        <v>-0.22999408876909844</v>
      </c>
      <c r="E112" s="222">
        <f>IF(资产负债!D34&lt;&gt;0,资产负债!E34/资产负债!D34-1,"-")</f>
        <v>0.40573571141186027</v>
      </c>
      <c r="F112" s="222">
        <f>IF(资产负债!E34&lt;&gt;0,资产负债!F34/资产负债!E34-1,"-")</f>
        <v>0.63150392793990484</v>
      </c>
      <c r="G112" s="222">
        <f>IF(资产负债!F34&lt;&gt;0,资产负债!G34/资产负债!F34-1,"-")</f>
        <v>-0.52885090728203887</v>
      </c>
      <c r="H112" s="222">
        <f>IF(资产负债!G34&lt;&gt;0,资产负债!H34/资产负债!G34-1,"-")</f>
        <v>0.41133327805790088</v>
      </c>
      <c r="I112" s="222">
        <f>IF(资产负债!H34&lt;&gt;0,资产负债!I34/资产负债!H34-1,"-")</f>
        <v>-0.35388486795539831</v>
      </c>
      <c r="J112" s="222">
        <f>IF(资产负债!I34&lt;&gt;0,资产负债!J34/资产负债!I34-1,"-")</f>
        <v>-0.95612831931264974</v>
      </c>
      <c r="K112" s="222">
        <f>IF(资产负债!J34&lt;&gt;0,资产负债!K34/资产负债!J34-1,"-")</f>
        <v>7.6851429699094815</v>
      </c>
      <c r="L112" s="222">
        <f>IF(资产负债!K34&lt;&gt;0,资产负债!L34/资产负债!K34-1,"-")</f>
        <v>0.75766484560544112</v>
      </c>
      <c r="M112" s="222">
        <f>IF(资产负债!L34&lt;&gt;0,资产负债!M34/资产负债!L34-1,"-")</f>
        <v>-0.9310350893658611</v>
      </c>
      <c r="N112" s="222">
        <f>IF(资产负债!M34&lt;&gt;0,资产负债!N34/资产负债!M34-1,"-")</f>
        <v>14.045907523960764</v>
      </c>
      <c r="O112" s="222">
        <f>IF(资产负债!N34&lt;&gt;0,资产负债!O34/资产负债!N34-1,"-")</f>
        <v>0.91543136054177832</v>
      </c>
      <c r="P112" s="222">
        <f>IF(资产负债!O34&lt;&gt;0,资产负债!P34/资产负债!O34-1,"-")</f>
        <v>-0.25816801493535346</v>
      </c>
      <c r="Q112" s="222">
        <f>IF(资产负债!P34&lt;&gt;0,资产负债!Q34/资产负债!P34-1,"-")</f>
        <v>0.98509139821527958</v>
      </c>
      <c r="R112" s="222">
        <f>IF(资产负债!Q34&lt;&gt;0,资产负债!R34/资产负债!Q34-1,"-")</f>
        <v>0.49752361480176144</v>
      </c>
      <c r="S112" s="222">
        <f>IF(资产负债!R34&lt;&gt;0,资产负债!S34/资产负债!R34-1,"-")</f>
        <v>7.8243191158526848E-3</v>
      </c>
      <c r="T112" s="222">
        <f>IF(资产负债!S34&lt;&gt;0,资产负债!T34/资产负债!S34-1,"-")</f>
        <v>0.44739554363242573</v>
      </c>
      <c r="U112" s="222">
        <f>IF(资产负债!T34&lt;&gt;0,资产负债!U34/资产负债!T34-1,"-")</f>
        <v>0.30878490082863497</v>
      </c>
      <c r="V112" s="222">
        <f>IF(资产负债!U34&lt;&gt;0,资产负债!V34/资产负债!U34-1,"-")</f>
        <v>6.5119332773549976E-2</v>
      </c>
      <c r="W112" s="222">
        <f>IF(资产负债!V34&lt;&gt;0,资产负债!W34/资产负债!V34-1,"-")</f>
        <v>0.2792530885307245</v>
      </c>
      <c r="X112" s="222">
        <f>IF(资产负债!W34&lt;&gt;0,资产负债!X34/资产负债!W34-1,"-")</f>
        <v>0.21837225459816345</v>
      </c>
      <c r="Y112" s="222">
        <f>IF(资产负债!X34&lt;&gt;0,资产负债!Y34/资产负债!X34-1,"-")</f>
        <v>7.6099257924799657E-2</v>
      </c>
      <c r="Z112" s="222">
        <f>IF(资产负债!Y34&lt;&gt;0,资产负债!Z34/资产负债!Y34-1,"-")</f>
        <v>0.20089382188294391</v>
      </c>
      <c r="AA112" s="222">
        <f>IF(资产负债!Z34&lt;&gt;0,资产负债!AA34/资产负债!Z34-1,"-")</f>
        <v>0.16729534346925368</v>
      </c>
      <c r="AB112" s="222">
        <f>IF(资产负债!AA34&lt;&gt;0,资产负债!AB34/资产负债!AA34-1,"-")</f>
        <v>7.5051848767936802E-2</v>
      </c>
      <c r="AC112" s="222">
        <f>IF(资产负债!AB34&lt;&gt;0,资产负债!AC34/资产负债!AB34-1,"-")</f>
        <v>0.15614865413459333</v>
      </c>
      <c r="AD112" s="222">
        <f>IF(资产负债!AC34&lt;&gt;0,资产负债!AD34/资产负债!AC34-1,"-")</f>
        <v>0.13505292482928066</v>
      </c>
      <c r="AE112" s="222">
        <f>IF(资产负债!AD34&lt;&gt;0,资产负债!AE34/资产负债!AD34-1,"-")</f>
        <v>7.0583763790557308E-2</v>
      </c>
      <c r="AF112" s="222">
        <f>IF(资产负债!AE34&lt;&gt;0,资产负债!AF34/资产负债!AE34-1,"-")</f>
        <v>0.12738779341116846</v>
      </c>
      <c r="AG112" s="222">
        <f>IF(资产负债!AF34&lt;&gt;0,资产负债!AG34/资产负债!AF34-1,"-")</f>
        <v>0.11299448190850803</v>
      </c>
      <c r="AH112" s="222">
        <f>IF(资产负债!AG34&lt;&gt;0,资产负债!AH34/资产负债!AG34-1,"-")</f>
        <v>6.5490603986393392E-2</v>
      </c>
      <c r="AI112" s="222">
        <f>IF(资产负债!AH34&lt;&gt;0,资产负债!AI34/资产负债!AH34-1,"-")</f>
        <v>0.10743499410656976</v>
      </c>
      <c r="AJ112" s="222">
        <f>IF(资产负债!AI34&lt;&gt;0,资产负债!AJ34/资产负债!AI34-1,"-")</f>
        <v>9.701262057224147E-2</v>
      </c>
      <c r="AK112" s="222">
        <f>IF(资产负债!AJ34&lt;&gt;0,资产负债!AK34/资产负债!AJ34-1,"-")</f>
        <v>6.0598372888438501E-2</v>
      </c>
      <c r="AL112" s="222">
        <f>IF(资产负债!AK34&lt;&gt;0,资产负债!AL34/资产负债!AK34-1,"-")</f>
        <v>9.2812634534799709E-2</v>
      </c>
      <c r="AM112" s="196"/>
    </row>
    <row r="113" spans="1:39" s="262" customFormat="1" ht="16.5" customHeight="1">
      <c r="B113" s="256" t="s">
        <v>1567</v>
      </c>
      <c r="C113" s="256" t="s">
        <v>1568</v>
      </c>
      <c r="D113" s="222" t="str">
        <f>IF(资产负债!C35&lt;&gt;0,资产负债!D35/资产负债!C35-1,"-")</f>
        <v>-</v>
      </c>
      <c r="E113" s="222" t="str">
        <f>IF(资产负债!D35&lt;&gt;0,资产负债!E35/资产负债!D35-1,"-")</f>
        <v>-</v>
      </c>
      <c r="F113" s="222" t="str">
        <f>IF(资产负债!E35&lt;&gt;0,资产负债!F35/资产负债!E35-1,"-")</f>
        <v>-</v>
      </c>
      <c r="G113" s="222" t="str">
        <f>IF(资产负债!F35&lt;&gt;0,资产负债!G35/资产负债!F35-1,"-")</f>
        <v>-</v>
      </c>
      <c r="H113" s="222" t="str">
        <f>IF(资产负债!G35&lt;&gt;0,资产负债!H35/资产负债!G35-1,"-")</f>
        <v>-</v>
      </c>
      <c r="I113" s="222">
        <f>IF(资产负债!H35&lt;&gt;0,资产负债!I35/资产负债!H35-1,"-")</f>
        <v>-0.27909983173518438</v>
      </c>
      <c r="J113" s="222">
        <f>IF(资产负债!I35&lt;&gt;0,资产负债!J35/资产负债!I35-1,"-")</f>
        <v>0.19357731071624595</v>
      </c>
      <c r="K113" s="222">
        <f>IF(资产负债!J35&lt;&gt;0,资产负债!K35/资产负债!J35-1,"-")</f>
        <v>-8.1091232624086795E-2</v>
      </c>
      <c r="L113" s="222">
        <f>IF(资产负债!K35&lt;&gt;0,资产负债!L35/资产负债!K35-1,"-")</f>
        <v>4.4123658138367494E-2</v>
      </c>
      <c r="M113" s="222">
        <f>IF(资产负债!L35&lt;&gt;0,资产负债!M35/资产负债!L35-1,"-")</f>
        <v>-2.1129517463974623E-2</v>
      </c>
      <c r="N113" s="222">
        <f>IF(资产负债!M35&lt;&gt;0,资产负债!N35/资产负债!M35-1,"-")</f>
        <v>1.0792805504377334E-2</v>
      </c>
      <c r="O113" s="222">
        <f>IF(资产负债!N35&lt;&gt;0,资产负债!O35/资产负债!N35-1,"-")</f>
        <v>-5.3387823130536249E-3</v>
      </c>
      <c r="P113" s="222">
        <f>IF(资产负债!O35&lt;&gt;0,资产负债!P35/资产负债!O35-1,"-")</f>
        <v>2.6837189477784129E-3</v>
      </c>
      <c r="Q113" s="222">
        <f>IF(资产负债!P35&lt;&gt;0,资产负债!Q35/资产负债!P35-1,"-")</f>
        <v>-1.3382679388644902E-3</v>
      </c>
      <c r="R113" s="222">
        <f>IF(资产负债!Q35&lt;&gt;0,资产负债!R35/资产负债!Q35-1,"-")</f>
        <v>6.7003064996895567E-4</v>
      </c>
      <c r="S113" s="222">
        <f>IF(资产负债!R35&lt;&gt;0,资产负债!S35/资产负债!R35-1,"-")</f>
        <v>-3.3479100475009016E-4</v>
      </c>
      <c r="T113" s="222">
        <f>IF(资产负债!S35&lt;&gt;0,资产负债!T35/资产负债!S35-1,"-")</f>
        <v>1.6745156365227665E-4</v>
      </c>
      <c r="U113" s="222">
        <f>IF(资产负债!T35&lt;&gt;0,资产负债!U35/资产负债!T35-1,"-")</f>
        <v>-8.3711764160332436E-5</v>
      </c>
      <c r="V113" s="222">
        <f>IF(资产负债!U35&lt;&gt;0,资产负债!V35/资产负债!U35-1,"-")</f>
        <v>4.1859386203269011E-5</v>
      </c>
      <c r="W113" s="222">
        <f>IF(资产负债!V35&lt;&gt;0,资产负债!W35/资产负债!V35-1,"-")</f>
        <v>-2.0928817034304714E-5</v>
      </c>
      <c r="X113" s="222">
        <f>IF(资产负债!W35&lt;&gt;0,资产负债!X35/资产负债!W35-1,"-")</f>
        <v>1.0464627529405135E-5</v>
      </c>
      <c r="Y113" s="222">
        <f>IF(资产负债!X35&lt;&gt;0,资产负债!Y35/资产负债!X35-1,"-")</f>
        <v>-5.2322590110565059E-6</v>
      </c>
      <c r="Z113" s="222">
        <f>IF(资产负债!Y35&lt;&gt;0,资产负债!Z35/资产负债!Y35-1,"-")</f>
        <v>2.6161431938565016E-6</v>
      </c>
      <c r="AA113" s="222">
        <f>IF(资产负债!Z35&lt;&gt;0,资产负债!AA35/资产负债!Z35-1,"-")</f>
        <v>-1.3080681747767997E-6</v>
      </c>
      <c r="AB113" s="222">
        <f>IF(资产负债!AA35&lt;&gt;0,资产负债!AB35/资产负债!AA35-1,"-")</f>
        <v>6.5403494309279608E-7</v>
      </c>
      <c r="AC113" s="222">
        <f>IF(资产负债!AB35&lt;&gt;0,资产负债!AC35/资产负债!AB35-1,"-")</f>
        <v>-3.2701725749539889E-7</v>
      </c>
      <c r="AD113" s="222">
        <f>IF(资产负债!AC35&lt;&gt;0,资产负债!AD35/资产负债!AC35-1,"-")</f>
        <v>1.6350868214942693E-7</v>
      </c>
      <c r="AE113" s="222">
        <f>IF(资产负债!AD35&lt;&gt;0,资产负债!AE35/资产负债!AD35-1,"-")</f>
        <v>-8.1754327863059473E-8</v>
      </c>
      <c r="AF113" s="222">
        <f>IF(资产负债!AE35&lt;&gt;0,资产负债!AF35/资产负债!AE35-1,"-")</f>
        <v>4.0877167428732264E-8</v>
      </c>
      <c r="AG113" s="222">
        <f>IF(资产负债!AF35&lt;&gt;0,资产负债!AG35/资产负债!AF35-1,"-")</f>
        <v>-2.0438582826187712E-8</v>
      </c>
      <c r="AH113" s="222">
        <f>IF(资产负债!AG35&lt;&gt;0,资产负债!AH35/资产负债!AG35-1,"-")</f>
        <v>1.0219291635138461E-8</v>
      </c>
      <c r="AI113" s="222">
        <f>IF(资产负债!AH35&lt;&gt;0,资产负债!AI35/资产负债!AH35-1,"-")</f>
        <v>-5.1096457065469281E-9</v>
      </c>
      <c r="AJ113" s="222">
        <f>IF(资产负债!AI35&lt;&gt;0,资产负债!AJ35/资产负债!AI35-1,"-")</f>
        <v>2.5548230198069177E-9</v>
      </c>
      <c r="AK113" s="222">
        <f>IF(资产负债!AJ35&lt;&gt;0,资产负债!AK35/资产负债!AJ35-1,"-")</f>
        <v>-1.2774113988811564E-9</v>
      </c>
      <c r="AL113" s="222">
        <f>IF(资产负债!AK35&lt;&gt;0,资产负债!AL35/资产负债!AK35-1,"-")</f>
        <v>6.3870575495172943E-10</v>
      </c>
      <c r="AM113" s="196"/>
    </row>
    <row r="114" spans="1:39" s="262" customFormat="1" ht="16.5" customHeight="1">
      <c r="B114" s="260" t="s">
        <v>1390</v>
      </c>
      <c r="C114" s="260" t="s">
        <v>1390</v>
      </c>
      <c r="D114" s="401">
        <f>IF(资产负债!C40&lt;&gt;0,资产负债!D40/资产负债!C40-1,"-")</f>
        <v>0.93425386342396965</v>
      </c>
      <c r="E114" s="401">
        <f>IF(资产负债!D40&lt;&gt;0,资产负债!E40/资产负债!D40-1,"-")</f>
        <v>0.21361110882950607</v>
      </c>
      <c r="F114" s="401">
        <f>IF(资产负债!E40&lt;&gt;0,资产负债!F40/资产负债!E40-1,"-")</f>
        <v>0.36646838662544368</v>
      </c>
      <c r="G114" s="401">
        <f>IF(资产负债!F40&lt;&gt;0,资产负债!G40/资产负债!F40-1,"-")</f>
        <v>0.32141191248862544</v>
      </c>
      <c r="H114" s="401">
        <f>IF(资产负债!G40&lt;&gt;0,资产负债!H40/资产负债!G40-1,"-")</f>
        <v>0.17145446755386629</v>
      </c>
      <c r="I114" s="401">
        <f ca="1">IF(资产负债!H40&lt;&gt;0,资产负债!I40/资产负债!H40-1,"-")</f>
        <v>-0.17429716511391324</v>
      </c>
      <c r="J114" s="401">
        <f ca="1">IF(资产负债!I40&lt;&gt;0,资产负债!J40/资产负债!I40-1,"-")</f>
        <v>0.43108493633372724</v>
      </c>
      <c r="K114" s="401">
        <f ca="1">IF(资产负债!J40&lt;&gt;0,资产负债!K40/资产负债!J40-1,"-")</f>
        <v>-3.9942472967790299E-2</v>
      </c>
      <c r="L114" s="401">
        <f ca="1">IF(资产负债!K40&lt;&gt;0,资产负债!L40/资产负债!K40-1,"-")</f>
        <v>0.24762910856498799</v>
      </c>
      <c r="M114" s="401">
        <f ca="1">IF(资产负债!L40&lt;&gt;0,资产负债!M40/资产负债!L40-1,"-")</f>
        <v>-1.6918905362587666E-2</v>
      </c>
      <c r="N114" s="401">
        <f ca="1">IF(资产负债!M40&lt;&gt;0,资产负债!N40/资产负债!M40-1,"-")</f>
        <v>0.22674159731893218</v>
      </c>
      <c r="O114" s="401">
        <f ca="1">IF(资产负债!N40&lt;&gt;0,资产负债!O40/资产负债!N40-1,"-")</f>
        <v>1.5022583223890384E-2</v>
      </c>
      <c r="P114" s="401">
        <f ca="1">IF(资产负债!O40&lt;&gt;0,资产负债!P40/资产负债!O40-1,"-")</f>
        <v>0.2220914528256781</v>
      </c>
      <c r="Q114" s="401">
        <f ca="1">IF(资产负债!P40&lt;&gt;0,资产负债!Q40/资产负债!P40-1,"-")</f>
        <v>2.4968403055664057E-2</v>
      </c>
      <c r="R114" s="401">
        <f ca="1">IF(资产负债!Q40&lt;&gt;0,资产负债!R40/资产负债!Q40-1,"-")</f>
        <v>0.19727581293965435</v>
      </c>
      <c r="S114" s="401">
        <f ca="1">IF(资产负债!R40&lt;&gt;0,资产负债!S40/资产负债!R40-1,"-")</f>
        <v>4.9212526860864747E-2</v>
      </c>
      <c r="T114" s="401">
        <f ca="1">IF(资产负债!S40&lt;&gt;0,资产负债!T40/资产负债!S40-1,"-")</f>
        <v>0.18504689977881106</v>
      </c>
      <c r="U114" s="401">
        <f ca="1">IF(资产负债!T40&lt;&gt;0,资产负债!U40/资产负债!T40-1,"-")</f>
        <v>6.4178064471870577E-2</v>
      </c>
      <c r="V114" s="401">
        <f ca="1">IF(资产负债!U40&lt;&gt;0,资产负债!V40/资产负债!U40-1,"-")</f>
        <v>0.1756006701852515</v>
      </c>
      <c r="W114" s="401">
        <f ca="1">IF(资产负债!V40&lt;&gt;0,资产负债!W40/资产负债!V40-1,"-")</f>
        <v>7.9911819840188691E-2</v>
      </c>
      <c r="X114" s="401">
        <f ca="1">IF(资产负债!W40&lt;&gt;0,资产负债!X40/资产负债!W40-1,"-")</f>
        <v>0.16686061964866883</v>
      </c>
      <c r="Y114" s="401">
        <f ca="1">IF(资产负债!X40&lt;&gt;0,资产负债!Y40/资产负债!X40-1,"-")</f>
        <v>9.0465450496861388E-2</v>
      </c>
      <c r="Z114" s="401">
        <f ca="1">IF(资产负债!Y40&lt;&gt;0,资产负债!Z40/资产负债!Y40-1,"-")</f>
        <v>0.15844468583328397</v>
      </c>
      <c r="AA114" s="401">
        <f ca="1">IF(资产负债!Z40&lt;&gt;0,资产负债!AA40/资产负债!Z40-1,"-")</f>
        <v>9.8318533605330938E-2</v>
      </c>
      <c r="AB114" s="401">
        <f ca="1">IF(资产负债!AA40&lt;&gt;0,资产负债!AB40/资产负债!AA40-1,"-")</f>
        <v>0.15231678362697787</v>
      </c>
      <c r="AC114" s="401">
        <f ca="1">IF(资产负债!AB40&lt;&gt;0,资产负债!AC40/资产负债!AB40-1,"-")</f>
        <v>0.1050107563325664</v>
      </c>
      <c r="AD114" s="401">
        <f ca="1">IF(资产负债!AC40&lt;&gt;0,资产负债!AD40/资产负债!AC40-1,"-")</f>
        <v>0.14743090972975592</v>
      </c>
      <c r="AE114" s="401">
        <f ca="1">IF(资产负债!AD40&lt;&gt;0,资产负债!AE40/资产负债!AD40-1,"-")</f>
        <v>0.11010464508968543</v>
      </c>
      <c r="AF114" s="401">
        <f ca="1">IF(资产负债!AE40&lt;&gt;0,资产负债!AF40/资产负债!AE40-1,"-")</f>
        <v>0.14357580899420719</v>
      </c>
      <c r="AG114" s="401">
        <f ca="1">IF(资产负债!AF40&lt;&gt;0,资产负债!AG40/资产负债!AF40-1,"-")</f>
        <v>0.11429120521143199</v>
      </c>
      <c r="AH114" s="401">
        <f ca="1">IF(资产负债!AG40&lt;&gt;0,资产负债!AH40/资产负债!AG40-1,"-")</f>
        <v>0.14058651399367639</v>
      </c>
      <c r="AI114" s="401">
        <f ca="1">IF(资产负债!AH40&lt;&gt;0,资产负债!AI40/资产负债!AH40-1,"-")</f>
        <v>0.11756235369220103</v>
      </c>
      <c r="AJ114" s="401">
        <f ca="1">IF(资产负债!AI40&lt;&gt;0,资产负债!AJ40/资产负债!AI40-1,"-")</f>
        <v>0.13823847450842974</v>
      </c>
      <c r="AK114" s="401">
        <f ca="1">IF(资产负债!AJ40&lt;&gt;0,资产负债!AK40/资产负债!AJ40-1,"-")</f>
        <v>0.12015827362466114</v>
      </c>
      <c r="AL114" s="401">
        <f ca="1">IF(资产负债!AK40&lt;&gt;0,资产负债!AL40/资产负债!AK40-1,"-")</f>
        <v>0.13641412533092412</v>
      </c>
      <c r="AM114" s="196"/>
    </row>
    <row r="115" spans="1:39" s="262" customFormat="1" ht="16.5" customHeight="1">
      <c r="A115" s="254" t="s">
        <v>1391</v>
      </c>
      <c r="C115" s="256"/>
      <c r="D115" s="222"/>
      <c r="E115" s="222"/>
      <c r="F115" s="222"/>
      <c r="G115" s="222"/>
      <c r="H115" s="222"/>
      <c r="I115" s="222"/>
      <c r="J115" s="222"/>
      <c r="K115" s="222"/>
      <c r="L115" s="222"/>
      <c r="M115" s="222"/>
      <c r="N115" s="222"/>
      <c r="O115" s="222"/>
      <c r="P115" s="222"/>
      <c r="Q115" s="222"/>
      <c r="R115" s="222"/>
      <c r="S115" s="222"/>
      <c r="T115" s="222"/>
      <c r="U115" s="222"/>
      <c r="V115" s="222"/>
      <c r="W115" s="222"/>
      <c r="X115" s="222"/>
      <c r="Y115" s="222"/>
      <c r="Z115" s="222"/>
      <c r="AA115" s="222"/>
      <c r="AB115" s="222"/>
      <c r="AC115" s="222"/>
      <c r="AD115" s="222"/>
      <c r="AE115" s="222"/>
      <c r="AF115" s="222"/>
      <c r="AG115" s="222"/>
      <c r="AH115" s="222"/>
      <c r="AI115" s="222"/>
      <c r="AJ115" s="222"/>
      <c r="AK115" s="222"/>
      <c r="AL115" s="222"/>
      <c r="AM115" s="196"/>
    </row>
    <row r="116" spans="1:39" s="262" customFormat="1" ht="16.5" customHeight="1">
      <c r="B116" s="260" t="s">
        <v>1392</v>
      </c>
      <c r="C116" s="260" t="s">
        <v>1569</v>
      </c>
      <c r="D116" s="401">
        <f>资产负债!D60/资产负债!D$72</f>
        <v>0.92693303512722247</v>
      </c>
      <c r="E116" s="401">
        <f>资产负债!E60/资产负债!E$72</f>
        <v>0.96402966750857777</v>
      </c>
      <c r="F116" s="401">
        <f>资产负债!F60/资产负债!F$72</f>
        <v>0.93380561679978014</v>
      </c>
      <c r="G116" s="401">
        <f>资产负债!G60/资产负债!G$72</f>
        <v>0.83449495830001397</v>
      </c>
      <c r="H116" s="401">
        <f>资产负债!H60/资产负债!H$72</f>
        <v>0.86997007058443621</v>
      </c>
      <c r="I116" s="401">
        <f ca="1">资产负债!I60/资产负债!I$72</f>
        <v>0.84403423590134408</v>
      </c>
      <c r="J116" s="401">
        <f ca="1">资产负债!J60/资产负债!J$72</f>
        <v>0.92509831754575111</v>
      </c>
      <c r="K116" s="401">
        <f ca="1">资产负债!K60/资产负债!K$72</f>
        <v>0.9296189426926712</v>
      </c>
      <c r="L116" s="401">
        <f ca="1">资产负债!L60/资产负债!L$72</f>
        <v>0.95971323706190859</v>
      </c>
      <c r="M116" s="401">
        <f ca="1">资产负债!M60/资产负债!M$72</f>
        <v>0.97139741592382134</v>
      </c>
      <c r="N116" s="401">
        <f ca="1">资产负债!N60/资产负债!N$72</f>
        <v>0.9783983590264973</v>
      </c>
      <c r="O116" s="401">
        <f ca="1">资产负债!O60/资产负债!O$72</f>
        <v>0.97786100985177582</v>
      </c>
      <c r="P116" s="401">
        <f ca="1">资产负债!P60/资产负债!P$72</f>
        <v>0.98199219915137403</v>
      </c>
      <c r="Q116" s="401">
        <f ca="1">资产负债!Q60/资产负债!Q$72</f>
        <v>0.98200878931761182</v>
      </c>
      <c r="R116" s="401">
        <f ca="1">资产负债!R60/资产负债!R$72</f>
        <v>0.98508144224613892</v>
      </c>
      <c r="S116" s="401">
        <f ca="1">资产负债!S60/资产负债!S$72</f>
        <v>0.98530521344458477</v>
      </c>
      <c r="T116" s="401">
        <f ca="1">资产负债!T60/资产负债!T$72</f>
        <v>0.98719195425627215</v>
      </c>
      <c r="U116" s="401">
        <f ca="1">资产负债!U60/资产负债!U$72</f>
        <v>0.9874296236740161</v>
      </c>
      <c r="V116" s="401">
        <f ca="1">资产负债!V60/资产负债!V$72</f>
        <v>0.98809658915844278</v>
      </c>
      <c r="W116" s="401">
        <f ca="1">资产负债!W60/资产负债!W$72</f>
        <v>0.98782773352453468</v>
      </c>
      <c r="X116" s="401">
        <f ca="1">资产负债!X60/资产负债!X$72</f>
        <v>0.98855610630306245</v>
      </c>
      <c r="Y116" s="401">
        <f ca="1">资产负债!Y60/资产负债!Y$72</f>
        <v>0.98861181022714151</v>
      </c>
      <c r="Z116" s="401">
        <f ca="1">资产负债!Z60/资产负债!Z$72</f>
        <v>0.98941400749525876</v>
      </c>
      <c r="AA116" s="401">
        <f ca="1">资产负债!AA60/资产负债!AA$72</f>
        <v>0.98961704538481376</v>
      </c>
      <c r="AB116" s="401">
        <f ca="1">资产负债!AB60/资产负债!AB$72</f>
        <v>0.99022355655551053</v>
      </c>
      <c r="AC116" s="401">
        <f ca="1">资产负债!AC60/资产负债!AC$72</f>
        <v>0.99038276782964252</v>
      </c>
      <c r="AD116" s="401">
        <f ca="1">资产负债!AD60/资产负债!AD$72</f>
        <v>0.99083282455291344</v>
      </c>
      <c r="AE116" s="401">
        <f ca="1">资产负债!AE60/资产负债!AE$72</f>
        <v>0.99097621062664054</v>
      </c>
      <c r="AF116" s="401">
        <f ca="1">资产负债!AF60/资产负债!AF$72</f>
        <v>0.99132153005764789</v>
      </c>
      <c r="AG116" s="401">
        <f ca="1">资产负债!AG60/资产负债!AG$72</f>
        <v>0.99143659930370487</v>
      </c>
      <c r="AH116" s="401">
        <f ca="1">资产负债!AH60/资产负债!AH$72</f>
        <v>0.9917022977275961</v>
      </c>
      <c r="AI116" s="401">
        <f ca="1">资产负债!AI60/资产负债!AI$72</f>
        <v>0.99179645949106154</v>
      </c>
      <c r="AJ116" s="401">
        <f ca="1">资产负债!AJ60/资产负债!AJ$72</f>
        <v>0.99200188206465301</v>
      </c>
      <c r="AK116" s="401">
        <f ca="1">资产负债!AK60/资产负债!AK$72</f>
        <v>0.99208110188544596</v>
      </c>
      <c r="AL116" s="401">
        <f ca="1">资产负债!AL60/资产负债!AL$72</f>
        <v>0.99224019984349821</v>
      </c>
      <c r="AM116" s="196"/>
    </row>
    <row r="117" spans="1:39" s="262" customFormat="1" ht="16.5" customHeight="1">
      <c r="B117" s="255" t="s">
        <v>1393</v>
      </c>
      <c r="C117" s="255" t="s">
        <v>1585</v>
      </c>
      <c r="D117" s="403">
        <f>资产负债!D42/资产负债!D$72</f>
        <v>0.14238503996407217</v>
      </c>
      <c r="E117" s="403">
        <f>资产负债!E42/资产负债!E$72</f>
        <v>0.17954551028925639</v>
      </c>
      <c r="F117" s="403">
        <f>资产负债!F42/资产负债!F$72</f>
        <v>0.16427895900782633</v>
      </c>
      <c r="G117" s="403">
        <f>资产负债!G42/资产负债!G$72</f>
        <v>0.10229437854589737</v>
      </c>
      <c r="H117" s="403">
        <f>资产负债!H42/资产负债!H$72</f>
        <v>0.16548776973250137</v>
      </c>
      <c r="I117" s="403">
        <f ca="1">资产负债!I42/资产负债!I$72</f>
        <v>0.63594004547364802</v>
      </c>
      <c r="J117" s="403">
        <f ca="1">资产负债!J42/资产负债!J$72</f>
        <v>0.81344539358887491</v>
      </c>
      <c r="K117" s="403">
        <f ca="1">资产负债!K42/资产负债!K$72</f>
        <v>0.80060964993340256</v>
      </c>
      <c r="L117" s="403">
        <f ca="1">资产负债!L42/资产负债!L$72</f>
        <v>0.86610037772331305</v>
      </c>
      <c r="M117" s="403">
        <f ca="1">资产负债!M42/资产负债!M$72</f>
        <v>0.87021381519075269</v>
      </c>
      <c r="N117" s="403">
        <f ca="1">资产负债!N42/资产负债!N$72</f>
        <v>0.90908496050901733</v>
      </c>
      <c r="O117" s="403">
        <f ca="1">资产负债!O42/资产负债!O$72</f>
        <v>0.90580522045592704</v>
      </c>
      <c r="P117" s="403">
        <f ca="1">资产负债!P42/资产负债!P$72</f>
        <v>0.92458574299520724</v>
      </c>
      <c r="Q117" s="403">
        <f ca="1">资产负债!Q42/资产负债!Q$72</f>
        <v>0.92295628368841853</v>
      </c>
      <c r="R117" s="403">
        <f ca="1">资产负债!R42/资产负债!R$72</f>
        <v>0.93548747171081581</v>
      </c>
      <c r="S117" s="403">
        <f ca="1">资产负债!S42/资产负债!S$72</f>
        <v>0.93511124918581479</v>
      </c>
      <c r="T117" s="403">
        <f ca="1">资产负债!T42/资产负债!T$72</f>
        <v>0.94379300997822269</v>
      </c>
      <c r="U117" s="403">
        <f ca="1">资产负债!U42/资产负债!U$72</f>
        <v>0.94393469827344079</v>
      </c>
      <c r="V117" s="403">
        <f ca="1">资产负债!V42/资产负债!V$72</f>
        <v>0.94932821732125894</v>
      </c>
      <c r="W117" s="403">
        <f ca="1">资产负债!W42/资产负债!W$72</f>
        <v>0.94905567130837054</v>
      </c>
      <c r="X117" s="403">
        <f ca="1">资产负债!X42/资产负债!X$72</f>
        <v>0.95322976458763919</v>
      </c>
      <c r="Y117" s="403">
        <f ca="1">资产负债!Y42/资产负债!Y$72</f>
        <v>0.95342327297453699</v>
      </c>
      <c r="Z117" s="403">
        <f ca="1">资产负债!Z42/资产负债!Z$72</f>
        <v>0.95676613958477452</v>
      </c>
      <c r="AA117" s="403">
        <f ca="1">资产负债!AA42/资产负债!AA$72</f>
        <v>0.95723798575381713</v>
      </c>
      <c r="AB117" s="403">
        <f ca="1">资产负债!AB42/资产负债!AB$72</f>
        <v>0.95983288416740942</v>
      </c>
      <c r="AC117" s="403">
        <f ca="1">资产负债!AC42/资产负债!AC$72</f>
        <v>0.96026017411394016</v>
      </c>
      <c r="AD117" s="403">
        <f ca="1">资产负债!AD42/资产负债!AD$72</f>
        <v>0.96221966387454305</v>
      </c>
      <c r="AE117" s="403">
        <f ca="1">资产负债!AE42/资产负债!AE$72</f>
        <v>0.96260321931530846</v>
      </c>
      <c r="AF117" s="403">
        <f ca="1">资产负债!AF42/资产负债!AF$72</f>
        <v>0.96409943660885655</v>
      </c>
      <c r="AG117" s="403">
        <f ca="1">资产负债!AG42/资产负债!AG$72</f>
        <v>0.96442520947938881</v>
      </c>
      <c r="AH117" s="403">
        <f ca="1">资产负债!AH42/资产负债!AH$72</f>
        <v>0.96557994262357438</v>
      </c>
      <c r="AI117" s="403">
        <f ca="1">资产负债!AI42/资产负债!AI$72</f>
        <v>0.9658571561043805</v>
      </c>
      <c r="AJ117" s="403">
        <f ca="1">资产负债!AJ42/资产负债!AJ$72</f>
        <v>0.96675158572914832</v>
      </c>
      <c r="AK117" s="403">
        <f ca="1">资产负债!AK42/资产负债!AK$72</f>
        <v>0.96698764465115328</v>
      </c>
      <c r="AL117" s="403">
        <f ca="1">资产负债!AL42/资产负债!AL$72</f>
        <v>0.9676857295508382</v>
      </c>
      <c r="AM117" s="196"/>
    </row>
    <row r="118" spans="1:39" s="262" customFormat="1" ht="16.5" customHeight="1">
      <c r="B118" s="255" t="s">
        <v>1586</v>
      </c>
      <c r="C118" s="256" t="s">
        <v>1587</v>
      </c>
      <c r="D118" s="403">
        <f>资产负债!D43/资产负债!D$72</f>
        <v>0</v>
      </c>
      <c r="E118" s="403">
        <f>资产负债!E43/资产负债!E$72</f>
        <v>0</v>
      </c>
      <c r="F118" s="403">
        <f>资产负债!F43/资产负债!F$72</f>
        <v>0</v>
      </c>
      <c r="G118" s="403">
        <f>资产负债!G43/资产负债!G$72</f>
        <v>0</v>
      </c>
      <c r="H118" s="403">
        <f>资产负债!H43/资产负债!H$72</f>
        <v>0</v>
      </c>
      <c r="I118" s="403">
        <f ca="1">资产负债!I43/资产负债!I$72</f>
        <v>0</v>
      </c>
      <c r="J118" s="403">
        <f ca="1">资产负债!J43/资产负债!J$72</f>
        <v>0</v>
      </c>
      <c r="K118" s="403">
        <f ca="1">资产负债!K43/资产负债!K$72</f>
        <v>0</v>
      </c>
      <c r="L118" s="403">
        <f ca="1">资产负债!L43/资产负债!L$72</f>
        <v>0</v>
      </c>
      <c r="M118" s="403">
        <f ca="1">资产负债!M43/资产负债!M$72</f>
        <v>0</v>
      </c>
      <c r="N118" s="403">
        <f ca="1">资产负债!N43/资产负债!N$72</f>
        <v>0</v>
      </c>
      <c r="O118" s="403">
        <f ca="1">资产负债!O43/资产负债!O$72</f>
        <v>0</v>
      </c>
      <c r="P118" s="403">
        <f ca="1">资产负债!P43/资产负债!P$72</f>
        <v>0</v>
      </c>
      <c r="Q118" s="403">
        <f ca="1">资产负债!Q43/资产负债!Q$72</f>
        <v>0</v>
      </c>
      <c r="R118" s="403">
        <f ca="1">资产负债!R43/资产负债!R$72</f>
        <v>0</v>
      </c>
      <c r="S118" s="403">
        <f ca="1">资产负债!S43/资产负债!S$72</f>
        <v>0</v>
      </c>
      <c r="T118" s="403">
        <f ca="1">资产负债!T43/资产负债!T$72</f>
        <v>0</v>
      </c>
      <c r="U118" s="403">
        <f ca="1">资产负债!U43/资产负债!U$72</f>
        <v>0</v>
      </c>
      <c r="V118" s="403">
        <f ca="1">资产负债!V43/资产负债!V$72</f>
        <v>0</v>
      </c>
      <c r="W118" s="403">
        <f ca="1">资产负债!W43/资产负债!W$72</f>
        <v>0</v>
      </c>
      <c r="X118" s="403">
        <f ca="1">资产负债!X43/资产负债!X$72</f>
        <v>0</v>
      </c>
      <c r="Y118" s="403">
        <f ca="1">资产负债!Y43/资产负债!Y$72</f>
        <v>0</v>
      </c>
      <c r="Z118" s="403">
        <f ca="1">资产负债!Z43/资产负债!Z$72</f>
        <v>0</v>
      </c>
      <c r="AA118" s="403">
        <f ca="1">资产负债!AA43/资产负债!AA$72</f>
        <v>0</v>
      </c>
      <c r="AB118" s="403">
        <f ca="1">资产负债!AB43/资产负债!AB$72</f>
        <v>0</v>
      </c>
      <c r="AC118" s="403">
        <f ca="1">资产负债!AC43/资产负债!AC$72</f>
        <v>0</v>
      </c>
      <c r="AD118" s="403">
        <f ca="1">资产负债!AD43/资产负债!AD$72</f>
        <v>0</v>
      </c>
      <c r="AE118" s="403">
        <f ca="1">资产负债!AE43/资产负债!AE$72</f>
        <v>0</v>
      </c>
      <c r="AF118" s="403">
        <f ca="1">资产负债!AF43/资产负债!AF$72</f>
        <v>0</v>
      </c>
      <c r="AG118" s="403">
        <f ca="1">资产负债!AG43/资产负债!AG$72</f>
        <v>0</v>
      </c>
      <c r="AH118" s="403">
        <f ca="1">资产负债!AH43/资产负债!AH$72</f>
        <v>0</v>
      </c>
      <c r="AI118" s="403">
        <f ca="1">资产负债!AI43/资产负债!AI$72</f>
        <v>0</v>
      </c>
      <c r="AJ118" s="403">
        <f ca="1">资产负债!AJ43/资产负债!AJ$72</f>
        <v>0</v>
      </c>
      <c r="AK118" s="403">
        <f ca="1">资产负债!AK43/资产负债!AK$72</f>
        <v>0</v>
      </c>
      <c r="AL118" s="403">
        <f ca="1">资产负债!AL43/资产负债!AL$72</f>
        <v>0</v>
      </c>
      <c r="AM118" s="196"/>
    </row>
    <row r="119" spans="1:39" s="262" customFormat="1" ht="16.5" customHeight="1">
      <c r="B119" s="270" t="s">
        <v>2711</v>
      </c>
      <c r="C119" s="256" t="s">
        <v>1588</v>
      </c>
      <c r="D119" s="403">
        <f>资产负债!D45/资产负债!D$72</f>
        <v>0.58087091510511857</v>
      </c>
      <c r="E119" s="403">
        <f>资产负债!E45/资产负债!E$72</f>
        <v>0.55681525303159563</v>
      </c>
      <c r="F119" s="403">
        <f>资产负债!F45/资产负债!F$72</f>
        <v>0.50120332790506006</v>
      </c>
      <c r="G119" s="403">
        <f>资产负债!G45/资产负债!G$72</f>
        <v>0.5882729722357416</v>
      </c>
      <c r="H119" s="403">
        <f>资产负债!H45/资产负债!H$72</f>
        <v>0.51479236113566029</v>
      </c>
      <c r="I119" s="403">
        <f ca="1">资产负债!I45/资产负债!I$72</f>
        <v>0</v>
      </c>
      <c r="J119" s="403">
        <f ca="1">资产负债!J45/资产负债!J$72</f>
        <v>0</v>
      </c>
      <c r="K119" s="403">
        <f ca="1">资产负债!K45/资产负债!K$72</f>
        <v>0</v>
      </c>
      <c r="L119" s="403">
        <f ca="1">资产负债!L45/资产负债!L$72</f>
        <v>0</v>
      </c>
      <c r="M119" s="403">
        <f ca="1">资产负债!M45/资产负债!M$72</f>
        <v>0</v>
      </c>
      <c r="N119" s="403">
        <f ca="1">资产负债!N45/资产负债!N$72</f>
        <v>0</v>
      </c>
      <c r="O119" s="403">
        <f ca="1">资产负债!O45/资产负债!O$72</f>
        <v>0</v>
      </c>
      <c r="P119" s="403">
        <f ca="1">资产负债!P45/资产负债!P$72</f>
        <v>0</v>
      </c>
      <c r="Q119" s="403">
        <f ca="1">资产负债!Q45/资产负债!Q$72</f>
        <v>0</v>
      </c>
      <c r="R119" s="403">
        <f ca="1">资产负债!R45/资产负债!R$72</f>
        <v>0</v>
      </c>
      <c r="S119" s="403">
        <f ca="1">资产负债!S45/资产负债!S$72</f>
        <v>0</v>
      </c>
      <c r="T119" s="403">
        <f ca="1">资产负债!T45/资产负债!T$72</f>
        <v>0</v>
      </c>
      <c r="U119" s="403">
        <f ca="1">资产负债!U45/资产负债!U$72</f>
        <v>0</v>
      </c>
      <c r="V119" s="403">
        <f ca="1">资产负债!V45/资产负债!V$72</f>
        <v>0</v>
      </c>
      <c r="W119" s="403">
        <f ca="1">资产负债!W45/资产负债!W$72</f>
        <v>0</v>
      </c>
      <c r="X119" s="403">
        <f ca="1">资产负债!X45/资产负债!X$72</f>
        <v>0</v>
      </c>
      <c r="Y119" s="403">
        <f ca="1">资产负债!Y45/资产负债!Y$72</f>
        <v>0</v>
      </c>
      <c r="Z119" s="403">
        <f ca="1">资产负债!Z45/资产负债!Z$72</f>
        <v>0</v>
      </c>
      <c r="AA119" s="403">
        <f ca="1">资产负债!AA45/资产负债!AA$72</f>
        <v>0</v>
      </c>
      <c r="AB119" s="403">
        <f ca="1">资产负债!AB45/资产负债!AB$72</f>
        <v>0</v>
      </c>
      <c r="AC119" s="403">
        <f ca="1">资产负债!AC45/资产负债!AC$72</f>
        <v>0</v>
      </c>
      <c r="AD119" s="403">
        <f ca="1">资产负债!AD45/资产负债!AD$72</f>
        <v>0</v>
      </c>
      <c r="AE119" s="403">
        <f ca="1">资产负债!AE45/资产负债!AE$72</f>
        <v>0</v>
      </c>
      <c r="AF119" s="403">
        <f ca="1">资产负债!AF45/资产负债!AF$72</f>
        <v>0</v>
      </c>
      <c r="AG119" s="403">
        <f ca="1">资产负债!AG45/资产负债!AG$72</f>
        <v>0</v>
      </c>
      <c r="AH119" s="403">
        <f ca="1">资产负债!AH45/资产负债!AH$72</f>
        <v>0</v>
      </c>
      <c r="AI119" s="403">
        <f ca="1">资产负债!AI45/资产负债!AI$72</f>
        <v>0</v>
      </c>
      <c r="AJ119" s="403">
        <f ca="1">资产负债!AJ45/资产负债!AJ$72</f>
        <v>0</v>
      </c>
      <c r="AK119" s="403">
        <f ca="1">资产负债!AK45/资产负债!AK$72</f>
        <v>0</v>
      </c>
      <c r="AL119" s="403">
        <f ca="1">资产负债!AL45/资产负债!AL$72</f>
        <v>0</v>
      </c>
      <c r="AM119" s="196"/>
    </row>
    <row r="120" spans="1:39" s="262" customFormat="1" ht="16.5" hidden="1" customHeight="1">
      <c r="B120" s="256"/>
      <c r="C120" s="256"/>
      <c r="D120" s="403"/>
      <c r="E120" s="403"/>
      <c r="F120" s="403"/>
      <c r="G120" s="403"/>
      <c r="H120" s="403"/>
      <c r="I120" s="403"/>
      <c r="J120" s="403"/>
      <c r="K120" s="403"/>
      <c r="L120" s="403"/>
      <c r="M120" s="403"/>
      <c r="N120" s="403"/>
      <c r="O120" s="403"/>
      <c r="P120" s="403"/>
      <c r="Q120" s="403"/>
      <c r="R120" s="403"/>
      <c r="S120" s="403"/>
      <c r="T120" s="403"/>
      <c r="U120" s="403"/>
      <c r="V120" s="403"/>
      <c r="W120" s="403"/>
      <c r="X120" s="403"/>
      <c r="Y120" s="403"/>
      <c r="Z120" s="403"/>
      <c r="AA120" s="403"/>
      <c r="AB120" s="403"/>
      <c r="AC120" s="403"/>
      <c r="AD120" s="403"/>
      <c r="AE120" s="403"/>
      <c r="AF120" s="403"/>
      <c r="AG120" s="403"/>
      <c r="AH120" s="403"/>
      <c r="AI120" s="403"/>
      <c r="AJ120" s="403"/>
      <c r="AK120" s="403"/>
      <c r="AL120" s="403"/>
      <c r="AM120" s="196"/>
    </row>
    <row r="121" spans="1:39" s="262" customFormat="1" ht="16.5" customHeight="1">
      <c r="B121" s="256" t="s">
        <v>1394</v>
      </c>
      <c r="C121" s="256" t="s">
        <v>1590</v>
      </c>
      <c r="D121" s="403">
        <f>资产负债!D48/资产负债!D$72</f>
        <v>6.294741278984875E-2</v>
      </c>
      <c r="E121" s="403">
        <f>资产负债!E48/资产负债!E$72</f>
        <v>7.679389533584953E-2</v>
      </c>
      <c r="F121" s="403">
        <f>资产负债!F48/资产负债!F$72</f>
        <v>4.7883444243813203E-2</v>
      </c>
      <c r="G121" s="403">
        <f>资产负债!G48/资产负债!G$72</f>
        <v>3.0033784339228566E-2</v>
      </c>
      <c r="H121" s="403">
        <f>资产负债!H48/资产负债!H$72</f>
        <v>3.0738697384579221E-2</v>
      </c>
      <c r="I121" s="403">
        <f ca="1">资产负债!I48/资产负债!I$72</f>
        <v>4.5282863479401733E-2</v>
      </c>
      <c r="J121" s="403">
        <f ca="1">资产负债!J48/资产负债!J$72</f>
        <v>2.5777327397166871E-2</v>
      </c>
      <c r="K121" s="403">
        <f ca="1">资产负债!K48/资产负债!K$72</f>
        <v>3.5735819635420073E-2</v>
      </c>
      <c r="L121" s="403">
        <f ca="1">资产负债!L48/资产负债!L$72</f>
        <v>2.6030312226558241E-2</v>
      </c>
      <c r="M121" s="403">
        <f ca="1">资产负债!M48/资产负债!M$72</f>
        <v>3.1445601603069959E-2</v>
      </c>
      <c r="N121" s="403">
        <f ca="1">资产负债!N48/资产负债!N$72</f>
        <v>2.5185486999832096E-2</v>
      </c>
      <c r="O121" s="403">
        <f ca="1">资产负债!O48/资产负债!O$72</f>
        <v>2.9107560366137954E-2</v>
      </c>
      <c r="P121" s="403">
        <f ca="1">资产负债!P48/资产负债!P$72</f>
        <v>2.4291902945628011E-2</v>
      </c>
      <c r="Q121" s="403">
        <f ca="1">资产负债!Q48/资产负债!Q$72</f>
        <v>2.7073127822286942E-2</v>
      </c>
      <c r="R121" s="403">
        <f ca="1">资产负债!R48/资产负债!R$72</f>
        <v>2.3628707107567967E-2</v>
      </c>
      <c r="S121" s="403">
        <f ca="1">资产负债!S48/资产负债!S$72</f>
        <v>2.5637304526370003E-2</v>
      </c>
      <c r="T121" s="403">
        <f ca="1">资产负债!T48/资产负债!T$72</f>
        <v>2.3063587226161041E-2</v>
      </c>
      <c r="U121" s="403">
        <f ca="1">资产负债!U48/资产负债!U$72</f>
        <v>2.4483629155631202E-2</v>
      </c>
      <c r="V121" s="403">
        <f ca="1">资产负债!V48/资产负债!V$72</f>
        <v>2.2474825791831809E-2</v>
      </c>
      <c r="W121" s="403">
        <f ca="1">资产负债!W48/资产负债!W$72</f>
        <v>2.3442497175036027E-2</v>
      </c>
      <c r="X121" s="403">
        <f ca="1">资产负债!X48/资产负债!X$72</f>
        <v>2.1923760469856456E-2</v>
      </c>
      <c r="Y121" s="403">
        <f ca="1">资产负债!Y48/资产负债!Y$72</f>
        <v>2.2602974074479927E-2</v>
      </c>
      <c r="Z121" s="403">
        <f ca="1">资产负债!Z48/资产负债!Z$72</f>
        <v>2.1443582117099846E-2</v>
      </c>
      <c r="AA121" s="403">
        <f ca="1">资产负债!AA48/资产负债!AA$72</f>
        <v>2.1931061952090974E-2</v>
      </c>
      <c r="AB121" s="403">
        <f ca="1">资产负债!AB48/资产负债!AB$72</f>
        <v>2.1038757786649622E-2</v>
      </c>
      <c r="AC121" s="403">
        <f ca="1">资产负债!AC48/资产负债!AC$72</f>
        <v>2.1384973995428838E-2</v>
      </c>
      <c r="AD121" s="403">
        <f ca="1">资产负债!AD48/资产负债!AD$72</f>
        <v>2.0689541478947179E-2</v>
      </c>
      <c r="AE121" s="403">
        <f ca="1">资产负债!AE48/资产负债!AE$72</f>
        <v>2.0935185565281064E-2</v>
      </c>
      <c r="AF121" s="403">
        <f ca="1">资产负债!AF48/资产负债!AF$72</f>
        <v>2.0390887375830825E-2</v>
      </c>
      <c r="AG121" s="403">
        <f ca="1">资产负债!AG48/资产负债!AG$72</f>
        <v>2.0563095505349672E-2</v>
      </c>
      <c r="AH121" s="403">
        <f ca="1">资产负债!AH48/资产负债!AH$72</f>
        <v>2.0133692144848364E-2</v>
      </c>
      <c r="AI121" s="403">
        <f ca="1">资产负债!AI48/资产负债!AI$72</f>
        <v>2.0252625850466287E-2</v>
      </c>
      <c r="AJ121" s="403">
        <f ca="1">资产负债!AJ48/资产负债!AJ$72</f>
        <v>1.9911779732580553E-2</v>
      </c>
      <c r="AK121" s="403">
        <f ca="1">资产负债!AK48/资产负债!AK$72</f>
        <v>1.9992409888150493E-2</v>
      </c>
      <c r="AL121" s="403">
        <f ca="1">资产负债!AL48/资产负债!AL$72</f>
        <v>1.9720290628552593E-2</v>
      </c>
      <c r="AM121" s="196"/>
    </row>
    <row r="122" spans="1:39" s="262" customFormat="1" ht="16.5" customHeight="1">
      <c r="B122" s="256" t="s">
        <v>1016</v>
      </c>
      <c r="C122" s="256" t="s">
        <v>1589</v>
      </c>
      <c r="D122" s="403">
        <f>资产负债!D49/资产负债!D$72</f>
        <v>6.7122333572262521E-2</v>
      </c>
      <c r="E122" s="403">
        <f>资产负债!E49/资产负债!E$72</f>
        <v>0</v>
      </c>
      <c r="F122" s="403">
        <f>资产负债!F49/资产负债!F$72</f>
        <v>0</v>
      </c>
      <c r="G122" s="403">
        <f>资产负债!G49/资产负债!G$72</f>
        <v>0</v>
      </c>
      <c r="H122" s="403">
        <f>资产负债!H49/资产负债!H$72</f>
        <v>0</v>
      </c>
      <c r="I122" s="403">
        <f ca="1">资产负债!I49/资产负债!I$72</f>
        <v>0</v>
      </c>
      <c r="J122" s="403">
        <f ca="1">资产负债!J49/资产负债!J$72</f>
        <v>0</v>
      </c>
      <c r="K122" s="403">
        <f ca="1">资产负债!K49/资产负债!K$72</f>
        <v>0</v>
      </c>
      <c r="L122" s="403">
        <f ca="1">资产负债!L49/资产负债!L$72</f>
        <v>0</v>
      </c>
      <c r="M122" s="403">
        <f ca="1">资产负债!M49/资产负债!M$72</f>
        <v>0</v>
      </c>
      <c r="N122" s="403">
        <f ca="1">资产负债!N49/资产负债!N$72</f>
        <v>0</v>
      </c>
      <c r="O122" s="403">
        <f ca="1">资产负债!O49/资产负债!O$72</f>
        <v>0</v>
      </c>
      <c r="P122" s="403">
        <f ca="1">资产负债!P49/资产负债!P$72</f>
        <v>0</v>
      </c>
      <c r="Q122" s="403">
        <f ca="1">资产负债!Q49/资产负债!Q$72</f>
        <v>0</v>
      </c>
      <c r="R122" s="403">
        <f ca="1">资产负债!R49/资产负债!R$72</f>
        <v>0</v>
      </c>
      <c r="S122" s="403">
        <f ca="1">资产负债!S49/资产负债!S$72</f>
        <v>0</v>
      </c>
      <c r="T122" s="403">
        <f ca="1">资产负债!T49/资产负债!T$72</f>
        <v>0</v>
      </c>
      <c r="U122" s="403">
        <f ca="1">资产负债!U49/资产负债!U$72</f>
        <v>0</v>
      </c>
      <c r="V122" s="403">
        <f ca="1">资产负债!V49/资产负债!V$72</f>
        <v>0</v>
      </c>
      <c r="W122" s="403">
        <f ca="1">资产负债!W49/资产负债!W$72</f>
        <v>0</v>
      </c>
      <c r="X122" s="403">
        <f ca="1">资产负债!X49/资产负债!X$72</f>
        <v>0</v>
      </c>
      <c r="Y122" s="403">
        <f ca="1">资产负债!Y49/资产负债!Y$72</f>
        <v>0</v>
      </c>
      <c r="Z122" s="403">
        <f ca="1">资产负债!Z49/资产负债!Z$72</f>
        <v>0</v>
      </c>
      <c r="AA122" s="403">
        <f ca="1">资产负债!AA49/资产负债!AA$72</f>
        <v>0</v>
      </c>
      <c r="AB122" s="403">
        <f ca="1">资产负债!AB49/资产负债!AB$72</f>
        <v>0</v>
      </c>
      <c r="AC122" s="403">
        <f ca="1">资产负债!AC49/资产负债!AC$72</f>
        <v>0</v>
      </c>
      <c r="AD122" s="403">
        <f ca="1">资产负债!AD49/资产负债!AD$72</f>
        <v>0</v>
      </c>
      <c r="AE122" s="403">
        <f ca="1">资产负债!AE49/资产负债!AE$72</f>
        <v>0</v>
      </c>
      <c r="AF122" s="403">
        <f ca="1">资产负债!AF49/资产负债!AF$72</f>
        <v>0</v>
      </c>
      <c r="AG122" s="403">
        <f ca="1">资产负债!AG49/资产负债!AG$72</f>
        <v>0</v>
      </c>
      <c r="AH122" s="403">
        <f ca="1">资产负债!AH49/资产负债!AH$72</f>
        <v>0</v>
      </c>
      <c r="AI122" s="403">
        <f ca="1">资产负债!AI49/资产负债!AI$72</f>
        <v>0</v>
      </c>
      <c r="AJ122" s="403">
        <f ca="1">资产负债!AJ49/资产负债!AJ$72</f>
        <v>0</v>
      </c>
      <c r="AK122" s="403">
        <f ca="1">资产负债!AK49/资产负债!AK$72</f>
        <v>0</v>
      </c>
      <c r="AL122" s="403">
        <f ca="1">资产负债!AL49/资产负债!AL$72</f>
        <v>0</v>
      </c>
      <c r="AM122" s="196"/>
    </row>
    <row r="123" spans="1:39" s="262" customFormat="1" ht="16.5" customHeight="1">
      <c r="B123" s="256" t="s">
        <v>1592</v>
      </c>
      <c r="C123" s="256" t="s">
        <v>1591</v>
      </c>
      <c r="D123" s="403">
        <f>资产负债!D51/资产负债!D$72</f>
        <v>0</v>
      </c>
      <c r="E123" s="403">
        <f>资产负债!E51/资产负债!E$72</f>
        <v>0</v>
      </c>
      <c r="F123" s="403">
        <f>资产负债!F51/资产负债!F$72</f>
        <v>0</v>
      </c>
      <c r="G123" s="403">
        <f>资产负债!G51/资产负债!G$72</f>
        <v>0</v>
      </c>
      <c r="H123" s="403">
        <f>资产负债!H51/资产负债!H$72</f>
        <v>0</v>
      </c>
      <c r="I123" s="403">
        <f ca="1">资产负债!I51/资产负债!I$72</f>
        <v>0</v>
      </c>
      <c r="J123" s="403">
        <f ca="1">资产负债!J51/资产负债!J$72</f>
        <v>0</v>
      </c>
      <c r="K123" s="403">
        <f ca="1">资产负债!K51/资产负债!K$72</f>
        <v>0</v>
      </c>
      <c r="L123" s="403">
        <f ca="1">资产负债!L51/资产负债!L$72</f>
        <v>0</v>
      </c>
      <c r="M123" s="403">
        <f ca="1">资产负债!M51/资产负债!M$72</f>
        <v>0</v>
      </c>
      <c r="N123" s="403">
        <f ca="1">资产负债!N51/资产负债!N$72</f>
        <v>0</v>
      </c>
      <c r="O123" s="403">
        <f ca="1">资产负债!O51/资产负债!O$72</f>
        <v>0</v>
      </c>
      <c r="P123" s="403">
        <f ca="1">资产负债!P51/资产负债!P$72</f>
        <v>0</v>
      </c>
      <c r="Q123" s="403">
        <f ca="1">资产负债!Q51/资产负债!Q$72</f>
        <v>0</v>
      </c>
      <c r="R123" s="403">
        <f ca="1">资产负债!R51/资产负债!R$72</f>
        <v>0</v>
      </c>
      <c r="S123" s="403">
        <f ca="1">资产负债!S51/资产负债!S$72</f>
        <v>0</v>
      </c>
      <c r="T123" s="403">
        <f ca="1">资产负债!T51/资产负债!T$72</f>
        <v>0</v>
      </c>
      <c r="U123" s="403">
        <f ca="1">资产负债!U51/资产负债!U$72</f>
        <v>0</v>
      </c>
      <c r="V123" s="403">
        <f ca="1">资产负债!V51/资产负债!V$72</f>
        <v>0</v>
      </c>
      <c r="W123" s="403">
        <f ca="1">资产负债!W51/资产负债!W$72</f>
        <v>0</v>
      </c>
      <c r="X123" s="403">
        <f ca="1">资产负债!X51/资产负债!X$72</f>
        <v>0</v>
      </c>
      <c r="Y123" s="403">
        <f ca="1">资产负债!Y51/资产负债!Y$72</f>
        <v>0</v>
      </c>
      <c r="Z123" s="403">
        <f ca="1">资产负债!Z51/资产负债!Z$72</f>
        <v>0</v>
      </c>
      <c r="AA123" s="403">
        <f ca="1">资产负债!AA51/资产负债!AA$72</f>
        <v>0</v>
      </c>
      <c r="AB123" s="403">
        <f ca="1">资产负债!AB51/资产负债!AB$72</f>
        <v>0</v>
      </c>
      <c r="AC123" s="403">
        <f ca="1">资产负债!AC51/资产负债!AC$72</f>
        <v>0</v>
      </c>
      <c r="AD123" s="403">
        <f ca="1">资产负债!AD51/资产负债!AD$72</f>
        <v>0</v>
      </c>
      <c r="AE123" s="403">
        <f ca="1">资产负债!AE51/资产负债!AE$72</f>
        <v>0</v>
      </c>
      <c r="AF123" s="403">
        <f ca="1">资产负债!AF51/资产负债!AF$72</f>
        <v>0</v>
      </c>
      <c r="AG123" s="403">
        <f ca="1">资产负债!AG51/资产负债!AG$72</f>
        <v>0</v>
      </c>
      <c r="AH123" s="403">
        <f ca="1">资产负债!AH51/资产负债!AH$72</f>
        <v>0</v>
      </c>
      <c r="AI123" s="403">
        <f ca="1">资产负债!AI51/资产负债!AI$72</f>
        <v>0</v>
      </c>
      <c r="AJ123" s="403">
        <f ca="1">资产负债!AJ51/资产负债!AJ$72</f>
        <v>0</v>
      </c>
      <c r="AK123" s="403">
        <f ca="1">资产负债!AK51/资产负债!AK$72</f>
        <v>0</v>
      </c>
      <c r="AL123" s="403">
        <f ca="1">资产负债!AL51/资产负债!AL$72</f>
        <v>0</v>
      </c>
      <c r="AM123" s="196"/>
    </row>
    <row r="124" spans="1:39" s="262" customFormat="1" ht="16.5" customHeight="1">
      <c r="B124" s="256" t="s">
        <v>1593</v>
      </c>
      <c r="C124" s="256" t="s">
        <v>0</v>
      </c>
      <c r="D124" s="403">
        <f>资产负债!D52/资产负债!D$72</f>
        <v>1.7850193602082346E-2</v>
      </c>
      <c r="E124" s="403">
        <f>资产负债!E52/资产负债!E$72</f>
        <v>7.6045380861417631E-3</v>
      </c>
      <c r="F124" s="403">
        <f>资产负债!F52/资产负债!F$72</f>
        <v>8.1619063192208182E-3</v>
      </c>
      <c r="G124" s="403">
        <f>资产负债!G52/资产负债!G$72</f>
        <v>1.5578669615657971E-2</v>
      </c>
      <c r="H124" s="403">
        <f>资产负债!H52/资产负债!H$72</f>
        <v>7.7035539998175598E-2</v>
      </c>
      <c r="I124" s="403">
        <f ca="1">资产负债!I52/资产负债!I$72</f>
        <v>2.7985606425575162E-2</v>
      </c>
      <c r="J124" s="403">
        <f ca="1">资产负债!J52/资产负债!J$72</f>
        <v>1.6742364082884389E-2</v>
      </c>
      <c r="K124" s="403">
        <f ca="1">资产负债!K52/资产负债!K$72</f>
        <v>1.9897042865054247E-2</v>
      </c>
      <c r="L124" s="403">
        <f ca="1">资产负债!L52/资产负债!L$72</f>
        <v>1.5264837877050463E-2</v>
      </c>
      <c r="M124" s="403">
        <f ca="1">资产负债!M52/资产负债!M$72</f>
        <v>1.6283851709302397E-2</v>
      </c>
      <c r="N124" s="403">
        <f ca="1">资产负债!N52/资产负债!N$72</f>
        <v>4.419527176412627E-3</v>
      </c>
      <c r="O124" s="403">
        <f ca="1">资产负债!O52/资产负债!O$72</f>
        <v>4.4406437929274166E-3</v>
      </c>
      <c r="P124" s="403">
        <f ca="1">资产负债!P52/资产负债!P$72</f>
        <v>3.5389261270669329E-3</v>
      </c>
      <c r="Q124" s="403">
        <f ca="1">资产负债!Q52/资产负债!Q$72</f>
        <v>3.6804023326504716E-3</v>
      </c>
      <c r="R124" s="403">
        <f ca="1">资产负债!R52/资产负债!R$72</f>
        <v>3.3871063393834042E-3</v>
      </c>
      <c r="S124" s="403">
        <f ca="1">资产负债!S52/资产负债!S$72</f>
        <v>3.522922701464746E-3</v>
      </c>
      <c r="T124" s="403">
        <f ca="1">资产负债!T52/资产负债!T$72</f>
        <v>3.1696903723639302E-3</v>
      </c>
      <c r="U124" s="403">
        <f ca="1">资产负债!U52/资产负债!U$72</f>
        <v>3.2347715059319495E-3</v>
      </c>
      <c r="V124" s="403">
        <f ca="1">资产负债!V52/资产负债!V$72</f>
        <v>3.2091397191929064E-3</v>
      </c>
      <c r="W124" s="403">
        <f ca="1">资产负债!W52/资产负债!W$72</f>
        <v>3.463548669245239E-3</v>
      </c>
      <c r="X124" s="403">
        <f ca="1">资产负债!X52/资产负债!X$72</f>
        <v>3.4299484692786961E-3</v>
      </c>
      <c r="Y124" s="403">
        <f ca="1">资产负债!Y52/资产负债!Y$72</f>
        <v>3.6099311845836988E-3</v>
      </c>
      <c r="Z124" s="403">
        <f ca="1">资产负债!Z52/资产负债!Z$72</f>
        <v>3.5744702012594103E-3</v>
      </c>
      <c r="AA124" s="403">
        <f ca="1">资产负债!AA52/资产负债!AA$72</f>
        <v>3.6151465977000805E-3</v>
      </c>
      <c r="AB124" s="403">
        <f ca="1">资产负债!AB52/资产负债!AB$72</f>
        <v>3.4952238509997203E-3</v>
      </c>
      <c r="AC124" s="403">
        <f ca="1">资产负债!AC52/资产负债!AC$72</f>
        <v>3.5132188129860797E-3</v>
      </c>
      <c r="AD124" s="403">
        <f ca="1">资产负债!AD52/资产负债!AD$72</f>
        <v>3.4163879223650944E-3</v>
      </c>
      <c r="AE124" s="403">
        <f ca="1">资产负债!AE52/资产负债!AE$72</f>
        <v>3.4277524380704632E-3</v>
      </c>
      <c r="AF124" s="403">
        <f ca="1">资产负债!AF52/资产负债!AF$72</f>
        <v>3.3540044339874305E-3</v>
      </c>
      <c r="AG124" s="403">
        <f ca="1">资产负债!AG52/资产负债!AG$72</f>
        <v>3.3608111175680378E-3</v>
      </c>
      <c r="AH124" s="403">
        <f ca="1">资产负债!AH52/资产负债!AH$72</f>
        <v>3.3007917460827277E-3</v>
      </c>
      <c r="AI124" s="403">
        <f ca="1">资产负债!AI52/资产负债!AI$72</f>
        <v>3.3033475285215749E-3</v>
      </c>
      <c r="AJ124" s="403">
        <f ca="1">资产负债!AJ52/资产负债!AJ$72</f>
        <v>3.2571327807046024E-3</v>
      </c>
      <c r="AK124" s="403">
        <f ca="1">资产负债!AK52/资产负债!AK$72</f>
        <v>3.2572881228302391E-3</v>
      </c>
      <c r="AL124" s="403">
        <f ca="1">资产负债!AL52/资产负债!AL$72</f>
        <v>3.2199995675194007E-3</v>
      </c>
      <c r="AM124" s="196"/>
    </row>
    <row r="125" spans="1:39" s="262" customFormat="1" ht="16.5" customHeight="1">
      <c r="B125" s="256" t="s">
        <v>1395</v>
      </c>
      <c r="C125" s="256" t="s">
        <v>1</v>
      </c>
      <c r="D125" s="403">
        <f>资产负债!D58/资产负债!D$72</f>
        <v>0</v>
      </c>
      <c r="E125" s="403">
        <f>资产负债!E58/资产负债!E$72</f>
        <v>4.0334587304484026E-2</v>
      </c>
      <c r="F125" s="403">
        <f>资产负债!F58/资产负债!F$72</f>
        <v>9.2126344918301184E-2</v>
      </c>
      <c r="G125" s="403">
        <f>资产负债!G58/资产负债!G$72</f>
        <v>4.1349498251415312E-3</v>
      </c>
      <c r="H125" s="403">
        <f>资产负债!H58/资产负债!H$72</f>
        <v>4.6616154504895094E-3</v>
      </c>
      <c r="I125" s="403">
        <f ca="1">资产负债!I58/资产负债!I$72</f>
        <v>2.0824593063821065E-2</v>
      </c>
      <c r="J125" s="403">
        <f ca="1">资产负债!J58/资产负债!J$72</f>
        <v>9.9174850189969761E-3</v>
      </c>
      <c r="K125" s="403">
        <f ca="1">资产负债!K58/资产负债!K$72</f>
        <v>8.8592230371190555E-3</v>
      </c>
      <c r="L125" s="403">
        <f ca="1">资产负债!L58/资产负债!L$72</f>
        <v>6.761232291195283E-3</v>
      </c>
      <c r="M125" s="403">
        <f ca="1">资产负债!M58/资产负债!M$72</f>
        <v>7.0616044520587645E-3</v>
      </c>
      <c r="N125" s="403">
        <f ca="1">资产负债!N58/资产负债!N$72</f>
        <v>5.1688798555597762E-3</v>
      </c>
      <c r="O125" s="403">
        <f ca="1">资产负债!O58/资产负债!O$72</f>
        <v>4.990801869787679E-3</v>
      </c>
      <c r="P125" s="403">
        <f ca="1">资产负债!P58/资产负债!P$72</f>
        <v>3.852263750210823E-3</v>
      </c>
      <c r="Q125" s="403">
        <f ca="1">资产负债!Q58/资产负债!Q$72</f>
        <v>3.6851511405962809E-3</v>
      </c>
      <c r="R125" s="403">
        <f ca="1">资产负债!R58/资产负债!R$72</f>
        <v>2.9375382697041995E-3</v>
      </c>
      <c r="S125" s="403">
        <f ca="1">资产负债!S58/资产负债!S$72</f>
        <v>2.7368715186824903E-3</v>
      </c>
      <c r="T125" s="403">
        <f ca="1">资产负债!T58/资产负债!T$72</f>
        <v>2.234096430767584E-3</v>
      </c>
      <c r="U125" s="403">
        <f ca="1">资产负债!U58/资产负债!U$72</f>
        <v>2.0531256837832759E-3</v>
      </c>
      <c r="V125" s="403">
        <f ca="1">资产负债!V58/资产负债!V$72</f>
        <v>1.7027299082224743E-3</v>
      </c>
      <c r="W125" s="403">
        <f ca="1">资产负债!W58/资产负债!W$72</f>
        <v>1.5442039116523301E-3</v>
      </c>
      <c r="X125" s="403">
        <f ca="1">资产负债!X58/资产负债!X$72</f>
        <v>1.2978136645503421E-3</v>
      </c>
      <c r="Y125" s="403">
        <f ca="1">资产负债!Y58/资产负债!Y$72</f>
        <v>1.1680586486361032E-3</v>
      </c>
      <c r="Z125" s="403">
        <f ca="1">资产负债!Z58/资产负债!Z$72</f>
        <v>9.9291893501258664E-4</v>
      </c>
      <c r="AA125" s="403">
        <f ca="1">资产负债!AA58/资产负债!AA$72</f>
        <v>8.8920561129936769E-4</v>
      </c>
      <c r="AB125" s="403">
        <f ca="1">资产负债!AB58/资产负债!AB$72</f>
        <v>7.6217113436867349E-4</v>
      </c>
      <c r="AC125" s="403">
        <f ca="1">资产负债!AC58/资产负债!AC$72</f>
        <v>6.7988671689885483E-4</v>
      </c>
      <c r="AD125" s="403">
        <f ca="1">资产负债!AD58/资产负债!AD$72</f>
        <v>5.8655663782465357E-4</v>
      </c>
      <c r="AE125" s="403">
        <f ca="1">资产负债!AE58/资产负债!AE$72</f>
        <v>5.218555081924432E-4</v>
      </c>
      <c r="AF125" s="403">
        <f ca="1">资产负债!AF58/资产负债!AF$72</f>
        <v>4.5251188702202517E-4</v>
      </c>
      <c r="AG125" s="403">
        <f ca="1">资产负债!AG58/资产负债!AG$72</f>
        <v>4.0179517346619848E-4</v>
      </c>
      <c r="AH125" s="403">
        <f ca="1">资产负债!AH58/资产负债!AH$72</f>
        <v>3.4979095264016499E-4</v>
      </c>
      <c r="AI125" s="403">
        <f ca="1">资产负债!AI58/资产负债!AI$72</f>
        <v>3.1015893518770998E-4</v>
      </c>
      <c r="AJ125" s="403">
        <f ca="1">资产负债!AJ58/资产负债!AJ$72</f>
        <v>2.7086462515165316E-4</v>
      </c>
      <c r="AK125" s="403">
        <f ca="1">资产负债!AK58/资产负债!AK$72</f>
        <v>2.3994092082800329E-4</v>
      </c>
      <c r="AL125" s="403">
        <f ca="1">资产负债!AL58/资产负债!AL$72</f>
        <v>2.100642285845592E-4</v>
      </c>
      <c r="AM125" s="196"/>
    </row>
    <row r="126" spans="1:39" s="262" customFormat="1" ht="16.5" customHeight="1">
      <c r="B126" s="260" t="s">
        <v>6</v>
      </c>
      <c r="C126" s="261" t="s">
        <v>331</v>
      </c>
      <c r="D126" s="401">
        <f>资产负债!D70/资产负债!D72</f>
        <v>7.2597730926465209E-2</v>
      </c>
      <c r="E126" s="401">
        <f>资产负债!E70/资产负债!E72</f>
        <v>3.5203457098727943E-2</v>
      </c>
      <c r="F126" s="401">
        <f>资产负债!F70/资产负债!F72</f>
        <v>6.619438320021985E-2</v>
      </c>
      <c r="G126" s="401">
        <f>资产负债!G70/资产负债!G72</f>
        <v>0.16550504169998606</v>
      </c>
      <c r="H126" s="401">
        <f>资产负债!H70/资产负债!H72</f>
        <v>0.13002992941556366</v>
      </c>
      <c r="I126" s="401">
        <f ca="1">资产负债!I70/资产负债!I72</f>
        <v>0.15596576409865598</v>
      </c>
      <c r="J126" s="401">
        <f ca="1">资产负债!J70/资产负债!J72</f>
        <v>7.4901682454248872E-2</v>
      </c>
      <c r="K126" s="401">
        <f ca="1">资产负债!K70/资产负债!K72</f>
        <v>7.0381057307328798E-2</v>
      </c>
      <c r="L126" s="401">
        <f ca="1">资产负债!L70/资产负债!L72</f>
        <v>4.0286762938091421E-2</v>
      </c>
      <c r="M126" s="401">
        <f ca="1">资产负债!M70/资产负债!M72</f>
        <v>2.8602584076178671E-2</v>
      </c>
      <c r="N126" s="401">
        <f ca="1">资产负债!N70/资产负债!N72</f>
        <v>2.16016409735026E-2</v>
      </c>
      <c r="O126" s="401">
        <f ca="1">资产负债!O70/资产负债!O72</f>
        <v>2.2138990148224038E-2</v>
      </c>
      <c r="P126" s="401">
        <f ca="1">资产负债!P70/资产负债!P72</f>
        <v>1.8007800848625896E-2</v>
      </c>
      <c r="Q126" s="401">
        <f ca="1">资产负债!Q70/资产负债!Q72</f>
        <v>1.7991210682388199E-2</v>
      </c>
      <c r="R126" s="401">
        <f ca="1">资产负债!R70/资产负债!R72</f>
        <v>1.4918557753861071E-2</v>
      </c>
      <c r="S126" s="401">
        <f ca="1">资产负债!S70/资产负债!S72</f>
        <v>1.4694786555415253E-2</v>
      </c>
      <c r="T126" s="401">
        <f ca="1">资产负债!T70/资产负债!T72</f>
        <v>1.2808045743727894E-2</v>
      </c>
      <c r="U126" s="401">
        <f ca="1">资产负债!U70/资产负债!U72</f>
        <v>1.2570376325983847E-2</v>
      </c>
      <c r="V126" s="401">
        <f ca="1">资产负债!V70/资产负债!V72</f>
        <v>1.1903410841557209E-2</v>
      </c>
      <c r="W126" s="401">
        <f ca="1">资产负债!W70/资产负债!W72</f>
        <v>1.2172266475465366E-2</v>
      </c>
      <c r="X126" s="401">
        <f ca="1">资产负债!X70/资产负债!X72</f>
        <v>1.1443893696937593E-2</v>
      </c>
      <c r="Y126" s="401">
        <f ca="1">资产负债!Y70/资产负债!Y72</f>
        <v>1.1388189772858515E-2</v>
      </c>
      <c r="Z126" s="401">
        <f ca="1">资产负债!Z70/资产负债!Z72</f>
        <v>1.0585992504741286E-2</v>
      </c>
      <c r="AA126" s="401">
        <f ca="1">资产负债!AA70/资产负债!AA72</f>
        <v>1.0382954615186233E-2</v>
      </c>
      <c r="AB126" s="401">
        <f ca="1">资产负债!AB70/资产负债!AB72</f>
        <v>9.7764434444895451E-3</v>
      </c>
      <c r="AC126" s="401">
        <f ca="1">资产负债!AC70/资产负债!AC72</f>
        <v>9.6172321703574849E-3</v>
      </c>
      <c r="AD126" s="401">
        <f ca="1">资产负债!AD70/资产负债!AD72</f>
        <v>9.1671754470864699E-3</v>
      </c>
      <c r="AE126" s="401">
        <f ca="1">资产负债!AE70/资产负债!AE72</f>
        <v>9.0237893733594431E-3</v>
      </c>
      <c r="AF126" s="401">
        <f ca="1">资产负债!AF70/资产负债!AF72</f>
        <v>8.6784699423520482E-3</v>
      </c>
      <c r="AG126" s="401">
        <f ca="1">资产负债!AG70/资产负债!AG72</f>
        <v>8.5634006962951557E-3</v>
      </c>
      <c r="AH126" s="401">
        <f ca="1">资产负债!AH70/资产负债!AH72</f>
        <v>8.2977022724038743E-3</v>
      </c>
      <c r="AI126" s="401">
        <f ca="1">资产负债!AI70/资产负债!AI72</f>
        <v>8.2035405089384283E-3</v>
      </c>
      <c r="AJ126" s="401">
        <f ca="1">资产负债!AJ70/资产负债!AJ72</f>
        <v>7.9981179353469257E-3</v>
      </c>
      <c r="AK126" s="401">
        <f ca="1">资产负债!AK70/资产负债!AK72</f>
        <v>7.9188981145539884E-3</v>
      </c>
      <c r="AL126" s="401">
        <f ca="1">资产负债!AL70/资产负债!AL72</f>
        <v>7.7598001565018304E-3</v>
      </c>
      <c r="AM126" s="196"/>
    </row>
    <row r="127" spans="1:39" s="262" customFormat="1" ht="16.5" customHeight="1">
      <c r="B127" s="256" t="s">
        <v>1396</v>
      </c>
      <c r="C127" s="256" t="s">
        <v>2</v>
      </c>
      <c r="D127" s="222">
        <f>资产负债!D62/资产负债!D$72</f>
        <v>6.2715132205844057E-2</v>
      </c>
      <c r="E127" s="222">
        <f>资产负债!E62/资产负债!E$72</f>
        <v>2.5910565160450229E-2</v>
      </c>
      <c r="F127" s="222">
        <f>资产负债!F62/资产负债!F$72</f>
        <v>5.2677946741163606E-2</v>
      </c>
      <c r="G127" s="222">
        <f>资产负债!G62/资产负债!G$72</f>
        <v>0.14713938769929583</v>
      </c>
      <c r="H127" s="222">
        <f>资产负债!H62/资产负债!H$72</f>
        <v>0.10090203985832844</v>
      </c>
      <c r="I127" s="222">
        <f ca="1">资产负债!I62/资产负债!I$72</f>
        <v>0.11194242570230065</v>
      </c>
      <c r="J127" s="222">
        <f ca="1">资产负债!J62/资产负债!J$72</f>
        <v>5.1961959583993883E-2</v>
      </c>
      <c r="K127" s="222">
        <f ca="1">资产负债!K62/资产负债!K$72</f>
        <v>4.5547175012280484E-2</v>
      </c>
      <c r="L127" s="222">
        <f ca="1">资产负债!L62/资产负债!L$72</f>
        <v>2.2667004219294368E-2</v>
      </c>
      <c r="M127" s="222">
        <f ca="1">资产负债!M62/资产负债!M$72</f>
        <v>1.0712092203139512E-2</v>
      </c>
      <c r="N127" s="222">
        <f ca="1">资产负债!N62/资产负债!N$72</f>
        <v>8.2601370956099113E-3</v>
      </c>
      <c r="O127" s="222">
        <f ca="1">资产负债!O62/资产负债!O$72</f>
        <v>9.2039530789731622E-3</v>
      </c>
      <c r="P127" s="222">
        <f ca="1">资产负债!P62/资产负债!P$72</f>
        <v>8.0758782567526034E-3</v>
      </c>
      <c r="Q127" s="222">
        <f ca="1">资产负债!Q62/资产负债!Q$72</f>
        <v>8.4899404149532415E-3</v>
      </c>
      <c r="R127" s="222">
        <f ca="1">资产负债!R62/资产负债!R$72</f>
        <v>7.3360965790591377E-3</v>
      </c>
      <c r="S127" s="222">
        <f ca="1">资产负债!S62/资产负债!S$72</f>
        <v>7.6315268037656153E-3</v>
      </c>
      <c r="T127" s="222">
        <f ca="1">资产负债!T62/资产负债!T$72</f>
        <v>7.0437355551487089E-3</v>
      </c>
      <c r="U127" s="222">
        <f ca="1">资产负债!U62/资产负债!U$72</f>
        <v>7.2725608440974629E-3</v>
      </c>
      <c r="V127" s="222">
        <f ca="1">资产负债!V62/资产负债!V$72</f>
        <v>7.5095657162706272E-3</v>
      </c>
      <c r="W127" s="222">
        <f ca="1">资产负债!W62/资产负债!W$72</f>
        <v>8.1875925929411619E-3</v>
      </c>
      <c r="X127" s="222">
        <f ca="1">资产负债!X62/资产负债!X$72</f>
        <v>8.0950252023872359E-3</v>
      </c>
      <c r="Y127" s="222">
        <f ca="1">资产负债!Y62/资产负债!Y$72</f>
        <v>8.3741199072417914E-3</v>
      </c>
      <c r="Z127" s="222">
        <f ca="1">资产负债!Z62/资产负债!Z$72</f>
        <v>8.0238545522008931E-3</v>
      </c>
      <c r="AA127" s="222">
        <f ca="1">资产负债!AA62/资产负债!AA$72</f>
        <v>8.0884430834250471E-3</v>
      </c>
      <c r="AB127" s="222">
        <f ca="1">资产负债!AB62/资产负债!AB$72</f>
        <v>7.8097320221360992E-3</v>
      </c>
      <c r="AC127" s="222">
        <f ca="1">资产负债!AC62/资产负债!AC$72</f>
        <v>7.8628474403513483E-3</v>
      </c>
      <c r="AD127" s="222">
        <f ca="1">资产负债!AD62/资产负债!AD$72</f>
        <v>7.6536205014093965E-3</v>
      </c>
      <c r="AE127" s="222">
        <f ca="1">资产负债!AE62/资产负债!AE$72</f>
        <v>7.6771897606623318E-3</v>
      </c>
      <c r="AF127" s="222">
        <f ca="1">资产负债!AF62/资产负债!AF$72</f>
        <v>7.510805058247365E-3</v>
      </c>
      <c r="AG127" s="222">
        <f ca="1">资产负债!AG62/资产负债!AG$72</f>
        <v>7.5266055718119724E-3</v>
      </c>
      <c r="AH127" s="222">
        <f ca="1">资产负债!AH62/资产负债!AH$72</f>
        <v>7.395099217207597E-3</v>
      </c>
      <c r="AI127" s="222">
        <f ca="1">资产负债!AI62/资产负债!AI$72</f>
        <v>7.4032041929215876E-3</v>
      </c>
      <c r="AJ127" s="222">
        <f ca="1">资产负债!AJ62/资产负债!AJ$72</f>
        <v>7.2991769342071137E-3</v>
      </c>
      <c r="AK127" s="222">
        <f ca="1">资产负债!AK62/资产负债!AK$72</f>
        <v>7.2997528596833025E-3</v>
      </c>
      <c r="AL127" s="222">
        <f ca="1">资产负债!AL62/资产负债!AL$72</f>
        <v>7.2177489305491069E-3</v>
      </c>
      <c r="AM127" s="196"/>
    </row>
    <row r="128" spans="1:39" s="262" customFormat="1" ht="16.5" customHeight="1">
      <c r="B128" s="256" t="s">
        <v>1397</v>
      </c>
      <c r="C128" s="256" t="s">
        <v>3</v>
      </c>
      <c r="D128" s="222">
        <f>资产负债!D64/资产负债!D$72</f>
        <v>0</v>
      </c>
      <c r="E128" s="222">
        <f>资产负债!E64/资产负债!E$72</f>
        <v>0</v>
      </c>
      <c r="F128" s="222">
        <f>资产负债!F64/资产负债!F$72</f>
        <v>0</v>
      </c>
      <c r="G128" s="222">
        <f>资产负债!G64/资产负债!G$72</f>
        <v>0</v>
      </c>
      <c r="H128" s="222">
        <f>资产负债!H64/资产负债!H$72</f>
        <v>0</v>
      </c>
      <c r="I128" s="222">
        <f ca="1">资产负债!I64/资产负债!I$72</f>
        <v>0</v>
      </c>
      <c r="J128" s="222">
        <f ca="1">资产负债!J64/资产负债!J$72</f>
        <v>0</v>
      </c>
      <c r="K128" s="222">
        <f ca="1">资产负债!K64/资产负债!K$72</f>
        <v>0</v>
      </c>
      <c r="L128" s="222">
        <f ca="1">资产负债!L64/资产负债!L$72</f>
        <v>0</v>
      </c>
      <c r="M128" s="222">
        <f ca="1">资产负债!M64/资产负债!M$72</f>
        <v>0</v>
      </c>
      <c r="N128" s="222">
        <f ca="1">资产负债!N64/资产负债!N$72</f>
        <v>0</v>
      </c>
      <c r="O128" s="222">
        <f ca="1">资产负债!O64/资产负债!O$72</f>
        <v>0</v>
      </c>
      <c r="P128" s="222">
        <f ca="1">资产负债!P64/资产负债!P$72</f>
        <v>0</v>
      </c>
      <c r="Q128" s="222">
        <f ca="1">资产负债!Q64/资产负债!Q$72</f>
        <v>0</v>
      </c>
      <c r="R128" s="222">
        <f ca="1">资产负债!R64/资产负债!R$72</f>
        <v>0</v>
      </c>
      <c r="S128" s="222">
        <f ca="1">资产负债!S64/资产负债!S$72</f>
        <v>0</v>
      </c>
      <c r="T128" s="222">
        <f ca="1">资产负债!T64/资产负债!T$72</f>
        <v>0</v>
      </c>
      <c r="U128" s="222">
        <f ca="1">资产负债!U64/资产负债!U$72</f>
        <v>0</v>
      </c>
      <c r="V128" s="222">
        <f ca="1">资产负债!V64/资产负债!V$72</f>
        <v>0</v>
      </c>
      <c r="W128" s="222">
        <f ca="1">资产负债!W64/资产负债!W$72</f>
        <v>0</v>
      </c>
      <c r="X128" s="222">
        <f ca="1">资产负债!X64/资产负债!X$72</f>
        <v>0</v>
      </c>
      <c r="Y128" s="222">
        <f ca="1">资产负债!Y64/资产负债!Y$72</f>
        <v>0</v>
      </c>
      <c r="Z128" s="222">
        <f ca="1">资产负债!Z64/资产负债!Z$72</f>
        <v>0</v>
      </c>
      <c r="AA128" s="222">
        <f ca="1">资产负债!AA64/资产负债!AA$72</f>
        <v>0</v>
      </c>
      <c r="AB128" s="222">
        <f ca="1">资产负债!AB64/资产负债!AB$72</f>
        <v>0</v>
      </c>
      <c r="AC128" s="222">
        <f ca="1">资产负债!AC64/资产负债!AC$72</f>
        <v>0</v>
      </c>
      <c r="AD128" s="222">
        <f ca="1">资产负债!AD64/资产负债!AD$72</f>
        <v>0</v>
      </c>
      <c r="AE128" s="222">
        <f ca="1">资产负债!AE64/资产负债!AE$72</f>
        <v>0</v>
      </c>
      <c r="AF128" s="222">
        <f ca="1">资产负债!AF64/资产负债!AF$72</f>
        <v>0</v>
      </c>
      <c r="AG128" s="222">
        <f ca="1">资产负债!AG64/资产负债!AG$72</f>
        <v>0</v>
      </c>
      <c r="AH128" s="222">
        <f ca="1">资产负债!AH64/资产负债!AH$72</f>
        <v>0</v>
      </c>
      <c r="AI128" s="222">
        <f ca="1">资产负债!AI64/资产负债!AI$72</f>
        <v>0</v>
      </c>
      <c r="AJ128" s="222">
        <f ca="1">资产负债!AJ64/资产负债!AJ$72</f>
        <v>0</v>
      </c>
      <c r="AK128" s="222">
        <f ca="1">资产负债!AK64/资产负债!AK$72</f>
        <v>0</v>
      </c>
      <c r="AL128" s="222">
        <f ca="1">资产负债!AL64/资产负债!AL$72</f>
        <v>0</v>
      </c>
      <c r="AM128" s="196"/>
    </row>
    <row r="129" spans="1:39" s="262" customFormat="1" ht="16.5" customHeight="1">
      <c r="B129" s="256" t="s">
        <v>7</v>
      </c>
      <c r="C129" s="256" t="s">
        <v>4</v>
      </c>
      <c r="D129" s="222">
        <f>资产负债!D65/资产负债!D$72</f>
        <v>7.3932426666690836E-4</v>
      </c>
      <c r="E129" s="222">
        <f>资产负债!E65/资产负债!E$72</f>
        <v>0</v>
      </c>
      <c r="F129" s="222">
        <f>资产负债!F65/资产负债!F$72</f>
        <v>7.3407722579748567E-6</v>
      </c>
      <c r="G129" s="222">
        <f>资产负债!G65/资产负债!G$72</f>
        <v>2.2794191537296592E-7</v>
      </c>
      <c r="H129" s="222">
        <f>资产负债!H65/资产负债!H$72</f>
        <v>2.1257470035265218E-3</v>
      </c>
      <c r="I129" s="222">
        <f ca="1">资产负债!I65/资产负债!I$72</f>
        <v>3.2362892787458119E-3</v>
      </c>
      <c r="J129" s="222">
        <f ca="1">资产负债!J65/资产负债!J$72</f>
        <v>1.6825286292496246E-3</v>
      </c>
      <c r="K129" s="222">
        <f ca="1">资产负债!K65/资产负债!K$72</f>
        <v>1.8228693203947055E-3</v>
      </c>
      <c r="L129" s="222">
        <f ca="1">资产负债!L65/资产负债!L$72</f>
        <v>1.2930026577202126E-3</v>
      </c>
      <c r="M129" s="222">
        <f ca="1">资产负债!M65/资产负债!M$72</f>
        <v>1.312982617637381E-3</v>
      </c>
      <c r="N129" s="222">
        <f ca="1">资产负债!N65/资产负债!N$72</f>
        <v>9.7910457503600813E-4</v>
      </c>
      <c r="O129" s="222">
        <f ca="1">资产负债!O65/资产负债!O$72</f>
        <v>9.4928387966818138E-4</v>
      </c>
      <c r="P129" s="222">
        <f ca="1">资产负债!P65/资产负债!P$72</f>
        <v>7.2888728797485718E-4</v>
      </c>
      <c r="Q129" s="222">
        <f ca="1">资产负债!Q65/资产负债!Q$72</f>
        <v>6.9728316746219064E-4</v>
      </c>
      <c r="R129" s="222">
        <f ca="1">资产负债!R65/资产负债!R$72</f>
        <v>5.5646461282724295E-4</v>
      </c>
      <c r="S129" s="222">
        <f ca="1">资产负债!S65/资产负债!S$72</f>
        <v>5.1836131757058296E-4</v>
      </c>
      <c r="T129" s="222">
        <f ca="1">资产负债!T65/资产负债!T$72</f>
        <v>4.2303347352713028E-4</v>
      </c>
      <c r="U129" s="222">
        <f ca="1">资产负债!U65/资产负债!U$72</f>
        <v>3.8879818076390714E-4</v>
      </c>
      <c r="V129" s="222">
        <f ca="1">资产负债!V65/资产负债!V$72</f>
        <v>3.2245724481601393E-4</v>
      </c>
      <c r="W129" s="222">
        <f ca="1">资产负债!W65/资产负债!W$72</f>
        <v>2.9242882415657346E-4</v>
      </c>
      <c r="X129" s="222">
        <f ca="1">资产负债!X65/资产负债!X$72</f>
        <v>2.4576808655223743E-4</v>
      </c>
      <c r="Y129" s="222">
        <f ca="1">资产负债!Y65/资产负债!Y$72</f>
        <v>2.2119775229522166E-4</v>
      </c>
      <c r="Z129" s="222">
        <f ca="1">资产负债!Z65/资产负债!Z$72</f>
        <v>1.8803119416934715E-4</v>
      </c>
      <c r="AA129" s="222">
        <f ca="1">资产负债!AA65/资产负债!AA$72</f>
        <v>1.6839052047620801E-4</v>
      </c>
      <c r="AB129" s="222">
        <f ca="1">资产负债!AB65/资产负债!AB$72</f>
        <v>1.4433379630061129E-4</v>
      </c>
      <c r="AC129" s="222">
        <f ca="1">资产负债!AC65/资产负债!AC$72</f>
        <v>1.2875148096262287E-4</v>
      </c>
      <c r="AD129" s="222">
        <f ca="1">资产负债!AD65/资产负债!AD$72</f>
        <v>1.1107736942820669E-4</v>
      </c>
      <c r="AE129" s="222">
        <f ca="1">资产负债!AE65/资产负债!AE$72</f>
        <v>9.8824785369492233E-5</v>
      </c>
      <c r="AF129" s="222">
        <f ca="1">资产负债!AF65/资产负债!AF$72</f>
        <v>8.5693052684016378E-5</v>
      </c>
      <c r="AG129" s="222">
        <f ca="1">资产负债!AG65/资产负债!AG$72</f>
        <v>7.6088730965815187E-5</v>
      </c>
      <c r="AH129" s="222">
        <f ca="1">资产负债!AH65/资产负债!AH$72</f>
        <v>6.6240590270894598E-5</v>
      </c>
      <c r="AI129" s="222">
        <f ca="1">资产负债!AI65/资产负债!AI$72</f>
        <v>5.8735398338154934E-5</v>
      </c>
      <c r="AJ129" s="222">
        <f ca="1">资产负债!AJ65/资产负债!AJ$72</f>
        <v>5.1294158837035424E-5</v>
      </c>
      <c r="AK129" s="222">
        <f ca="1">资产负债!AK65/资产负债!AK$72</f>
        <v>4.5438077026162359E-5</v>
      </c>
      <c r="AL129" s="222">
        <f ca="1">资产负债!AL65/资产负债!AL$72</f>
        <v>3.9780269917613639E-5</v>
      </c>
      <c r="AM129" s="196"/>
    </row>
    <row r="130" spans="1:39" s="262" customFormat="1" ht="16.5" customHeight="1">
      <c r="B130" s="256" t="s">
        <v>8</v>
      </c>
      <c r="C130" s="256" t="s">
        <v>5</v>
      </c>
      <c r="D130" s="222">
        <f>资产负债!D68/资产负债!D$72</f>
        <v>0</v>
      </c>
      <c r="E130" s="222">
        <f>资产负债!E68/资产负债!E$72</f>
        <v>0</v>
      </c>
      <c r="F130" s="222">
        <f>资产负债!F68/资产负债!F$72</f>
        <v>7.2215284300676812E-4</v>
      </c>
      <c r="G130" s="222">
        <f>资产负债!G68/资产负债!G$72</f>
        <v>5.4613364581718232E-3</v>
      </c>
      <c r="H130" s="222">
        <f>资产负债!H68/资产负债!H$72</f>
        <v>1.19684234311299E-2</v>
      </c>
      <c r="I130" s="222">
        <f ca="1">资产负债!I68/资产负债!I$72</f>
        <v>1.6553038308591304E-2</v>
      </c>
      <c r="J130" s="222">
        <f ca="1">资产负债!J68/资产负债!J$72</f>
        <v>8.8766941405681622E-3</v>
      </c>
      <c r="K130" s="222">
        <f ca="1">资产负债!K68/资产负债!K$72</f>
        <v>9.5172547471108256E-3</v>
      </c>
      <c r="L130" s="222">
        <f ca="1">资产负债!L68/资产负债!L$72</f>
        <v>6.7742497529026712E-3</v>
      </c>
      <c r="M130" s="222">
        <f ca="1">资产负债!M68/资产负债!M$72</f>
        <v>6.8709740283934163E-3</v>
      </c>
      <c r="N130" s="222">
        <f ca="1">资产负债!N68/资产负债!N$72</f>
        <v>5.1257312426766814E-3</v>
      </c>
      <c r="O130" s="222">
        <f ca="1">资产负债!O68/资产负债!O$72</f>
        <v>4.9689776464787588E-3</v>
      </c>
      <c r="P130" s="222">
        <f ca="1">资产负债!P68/资产负债!P$72</f>
        <v>3.8154864630497794E-3</v>
      </c>
      <c r="Q130" s="222">
        <f ca="1">资产负债!Q68/资产负债!Q$72</f>
        <v>3.6499971134065015E-3</v>
      </c>
      <c r="R130" s="222">
        <f ca="1">资产负债!R68/资产负债!R$72</f>
        <v>2.912882445433587E-3</v>
      </c>
      <c r="S130" s="222">
        <f ca="1">资产负债!S68/资产负债!S$72</f>
        <v>2.7134217557189524E-3</v>
      </c>
      <c r="T130" s="222">
        <f ca="1">资产负债!T68/资产负债!T$72</f>
        <v>2.2144183962367709E-3</v>
      </c>
      <c r="U130" s="222">
        <f ca="1">资产负债!U68/资产负债!U$72</f>
        <v>2.0352093770568055E-3</v>
      </c>
      <c r="V130" s="222">
        <f ca="1">资产负债!V68/资产负债!V$72</f>
        <v>1.6879401174760699E-3</v>
      </c>
      <c r="W130" s="222">
        <f ca="1">资产负债!W68/资产负债!W$72</f>
        <v>1.5307528116278173E-3</v>
      </c>
      <c r="X130" s="222">
        <f ca="1">资产负债!X68/资产负债!X$72</f>
        <v>1.2865017429099759E-3</v>
      </c>
      <c r="Y130" s="222">
        <f ca="1">资产负债!Y68/资产负债!Y$72</f>
        <v>1.1578854570923054E-3</v>
      </c>
      <c r="Z130" s="222">
        <f ca="1">资产负债!Z68/资产负债!Z$72</f>
        <v>9.8427123742086649E-4</v>
      </c>
      <c r="AA130" s="222">
        <f ca="1">资产负债!AA68/资产负债!AA$72</f>
        <v>8.8145983782727427E-4</v>
      </c>
      <c r="AB130" s="222">
        <f ca="1">资产负债!AB68/资产负债!AB$72</f>
        <v>7.5553210673971641E-4</v>
      </c>
      <c r="AC130" s="222">
        <f ca="1">资产负债!AC68/资产负债!AC$72</f>
        <v>6.7396465795394067E-4</v>
      </c>
      <c r="AD130" s="222">
        <f ca="1">资产负债!AD68/资产负债!AD$72</f>
        <v>5.8144745780056831E-4</v>
      </c>
      <c r="AE130" s="222">
        <f ca="1">资产负债!AE68/资产负债!AE$72</f>
        <v>5.1730987613769416E-4</v>
      </c>
      <c r="AF130" s="222">
        <f ca="1">资产负债!AF68/资产负债!AF$72</f>
        <v>4.4857028835560114E-4</v>
      </c>
      <c r="AG130" s="222">
        <f ca="1">资产负债!AG68/资产负债!AG$72</f>
        <v>3.9829534508230161E-4</v>
      </c>
      <c r="AH130" s="222">
        <f ca="1">资产负债!AH68/资产负债!AH$72</f>
        <v>3.4674410291134461E-4</v>
      </c>
      <c r="AI130" s="222">
        <f ca="1">资产负债!AI68/资产负债!AI$72</f>
        <v>3.0745729955929953E-4</v>
      </c>
      <c r="AJ130" s="222">
        <f ca="1">资产负债!AJ68/资产负债!AJ$72</f>
        <v>2.6850526267659764E-4</v>
      </c>
      <c r="AK130" s="222">
        <f ca="1">资产负债!AK68/资产负债!AK$72</f>
        <v>2.3785091877986388E-4</v>
      </c>
      <c r="AL130" s="222">
        <f ca="1">资产负债!AL68/资产负债!AL$72</f>
        <v>2.0823446695967111E-4</v>
      </c>
      <c r="AM130" s="196"/>
    </row>
    <row r="131" spans="1:39" s="262" customFormat="1" ht="16.5" customHeight="1">
      <c r="A131" s="254" t="s">
        <v>1398</v>
      </c>
      <c r="C131" s="256"/>
      <c r="D131" s="222"/>
      <c r="E131" s="222"/>
      <c r="F131" s="222"/>
      <c r="G131" s="222"/>
      <c r="H131" s="222"/>
      <c r="I131" s="222"/>
      <c r="J131" s="222"/>
      <c r="K131" s="222"/>
      <c r="L131" s="222"/>
      <c r="M131" s="222"/>
      <c r="N131" s="222"/>
      <c r="O131" s="222"/>
      <c r="P131" s="222"/>
      <c r="Q131" s="222"/>
      <c r="R131" s="222"/>
      <c r="S131" s="222"/>
      <c r="T131" s="222"/>
      <c r="U131" s="222"/>
      <c r="V131" s="222"/>
      <c r="W131" s="222"/>
      <c r="X131" s="222"/>
      <c r="Y131" s="222"/>
      <c r="Z131" s="222"/>
      <c r="AA131" s="222"/>
      <c r="AB131" s="222"/>
      <c r="AC131" s="222"/>
      <c r="AD131" s="222"/>
      <c r="AE131" s="222"/>
      <c r="AF131" s="222"/>
      <c r="AG131" s="222"/>
      <c r="AH131" s="222"/>
      <c r="AI131" s="222"/>
      <c r="AJ131" s="222"/>
      <c r="AK131" s="222"/>
      <c r="AL131" s="222"/>
      <c r="AM131" s="196"/>
    </row>
    <row r="132" spans="1:39" s="262" customFormat="1" ht="16.5" customHeight="1">
      <c r="B132" s="260" t="s">
        <v>1399</v>
      </c>
      <c r="C132" s="260" t="s">
        <v>10</v>
      </c>
      <c r="D132" s="401">
        <f>IF(资产负债!C60&lt;&gt;0,资产负债!D60/资产负债!C60-1,"-")</f>
        <v>0.74233754830298548</v>
      </c>
      <c r="E132" s="401">
        <f>IF(资产负债!D60&lt;&gt;0,资产负债!E60/资产负债!D60-1,"-")</f>
        <v>0.46925046733469644</v>
      </c>
      <c r="F132" s="401">
        <f>IF(资产负债!E60&lt;&gt;0,资产负债!F60/资产负债!E60-1,"-")</f>
        <v>0.36631371622313691</v>
      </c>
      <c r="G132" s="401">
        <f>IF(资产负债!F60&lt;&gt;0,资产负债!G60/资产负债!F60-1,"-")</f>
        <v>0.29652584382882807</v>
      </c>
      <c r="H132" s="401">
        <f>IF(资产负债!G60&lt;&gt;0,资产负债!H60/资产负债!G60-1,"-")</f>
        <v>0.25738461257321577</v>
      </c>
      <c r="I132" s="401">
        <f ca="1">IF(资产负债!H60&lt;&gt;0,资产负债!I60/资产负债!H60-1,"-")</f>
        <v>-0.29852051159235837</v>
      </c>
      <c r="J132" s="401">
        <f ca="1">IF(资产负债!I60&lt;&gt;0,资产负债!J60/资产负债!I60-1,"-")</f>
        <v>1.043874815937845</v>
      </c>
      <c r="K132" s="401">
        <f ca="1">IF(资产负债!J60&lt;&gt;0,资产负债!K60/资产负债!J60-1,"-")</f>
        <v>-6.274744007650046E-2</v>
      </c>
      <c r="L132" s="401">
        <f ca="1">IF(资产负债!K60&lt;&gt;0,资产负债!L60/资产负债!K60-1,"-")</f>
        <v>0.45039739233930631</v>
      </c>
      <c r="M132" s="401">
        <f ca="1">IF(资产负债!L60&lt;&gt;0,资产负债!M60/资产负债!L60-1,"-")</f>
        <v>-2.0739581634090509E-3</v>
      </c>
      <c r="N132" s="401">
        <f ca="1">IF(资产负债!M60&lt;&gt;0,资产负债!N60/资产负债!M60-1,"-")</f>
        <v>0.35014759651915628</v>
      </c>
      <c r="O132" s="401">
        <f ca="1">IF(资产负债!N60&lt;&gt;0,资产负债!O60/资产负债!N60-1,"-")</f>
        <v>3.0979909453176635E-2</v>
      </c>
      <c r="P132" s="401">
        <f ca="1">IF(资产负债!O60&lt;&gt;0,资产负债!P60/资产负债!O60-1,"-")</f>
        <v>0.30782017856520771</v>
      </c>
      <c r="Q132" s="401">
        <f ca="1">IF(资产负债!P60&lt;&gt;0,资产负债!Q60/资产负债!P60-1,"-")</f>
        <v>4.5357244086283943E-2</v>
      </c>
      <c r="R132" s="401">
        <f ca="1">IF(资产负债!Q60&lt;&gt;0,资产负债!R60/资产负债!Q60-1,"-")</f>
        <v>0.25697408925869536</v>
      </c>
      <c r="S132" s="401">
        <f ca="1">IF(资产负债!R60&lt;&gt;0,资产负债!S60/资产负债!R60-1,"-")</f>
        <v>7.3752773581552633E-2</v>
      </c>
      <c r="T132" s="401">
        <f ca="1">IF(资产负债!S60&lt;&gt;0,资产负债!T60/资产负债!S60-1,"-")</f>
        <v>0.22768923713399603</v>
      </c>
      <c r="U132" s="401">
        <f ca="1">IF(资产负债!T60&lt;&gt;0,资产负债!U60/资产负债!T60-1,"-")</f>
        <v>8.8316292693555898E-2</v>
      </c>
      <c r="V132" s="401">
        <f ca="1">IF(资产负债!U60&lt;&gt;0,资产负债!V60/资产负债!U60-1,"-")</f>
        <v>0.20654995447445024</v>
      </c>
      <c r="W132" s="401">
        <f ca="1">IF(资产负债!V60&lt;&gt;0,资产负债!W60/资产负债!V60-1,"-")</f>
        <v>0.10238624123923934</v>
      </c>
      <c r="X132" s="401">
        <f ca="1">IF(资产负债!W60&lt;&gt;0,资产负债!X60/资产负债!W60-1,"-")</f>
        <v>0.19073411097602899</v>
      </c>
      <c r="Y132" s="401">
        <f ca="1">IF(资产负债!X60&lt;&gt;0,资产负债!Y60/资产负债!X60-1,"-")</f>
        <v>0.11114119952425394</v>
      </c>
      <c r="Z132" s="401">
        <f ca="1">IF(资产负债!Y60&lt;&gt;0,资产负债!Z60/资产负债!Y60-1,"-")</f>
        <v>0.17734316048874588</v>
      </c>
      <c r="AA132" s="401">
        <f ca="1">IF(资产负债!Z60&lt;&gt;0,资产负债!AA60/资产负债!Z60-1,"-")</f>
        <v>0.11686679042344883</v>
      </c>
      <c r="AB132" s="401">
        <f ca="1">IF(资产负债!AA60&lt;&gt;0,资产负债!AB60/资产负债!AA60-1,"-")</f>
        <v>0.16738925364337232</v>
      </c>
      <c r="AC132" s="401">
        <f ca="1">IF(资产负债!AB60&lt;&gt;0,资产负债!AC60/资产负债!AB60-1,"-")</f>
        <v>0.12120654200859327</v>
      </c>
      <c r="AD132" s="401">
        <f ca="1">IF(资产负债!AC60&lt;&gt;0,资产负债!AD60/资产负债!AC60-1,"-")</f>
        <v>0.15964205652964902</v>
      </c>
      <c r="AE132" s="401">
        <f ca="1">IF(资产负债!AD60&lt;&gt;0,资产负债!AE60/资产负债!AD60-1,"-")</f>
        <v>0.12414556041807834</v>
      </c>
      <c r="AF132" s="401">
        <f ca="1">IF(资产负债!AE60&lt;&gt;0,资产负债!AF60/资产负债!AE60-1,"-")</f>
        <v>0.15364337181029653</v>
      </c>
      <c r="AG132" s="401">
        <f ca="1">IF(资产负债!AF60&lt;&gt;0,资产负债!AG60/资产负债!AF60-1,"-")</f>
        <v>0.12635601298044397</v>
      </c>
      <c r="AH132" s="401">
        <f ca="1">IF(资产负债!AG60&lt;&gt;0,资产负债!AH60/资产负债!AG60-1,"-")</f>
        <v>0.14898013331557602</v>
      </c>
      <c r="AI132" s="401">
        <f ca="1">IF(资产负债!AH60&lt;&gt;0,资产负债!AI60/资产负债!AH60-1,"-")</f>
        <v>0.12788678828478339</v>
      </c>
      <c r="AJ132" s="401">
        <f ca="1">IF(资产负债!AI60&lt;&gt;0,资产负债!AJ60/资产负债!AI60-1,"-")</f>
        <v>0.14530708848622997</v>
      </c>
      <c r="AK132" s="401">
        <f ca="1">IF(资产负债!AJ60&lt;&gt;0,资产负债!AK60/资产负债!AJ60-1,"-")</f>
        <v>0.12897064468800101</v>
      </c>
      <c r="AL132" s="401">
        <f ca="1">IF(资产负债!AK60&lt;&gt;0,资产负债!AL60/资产负债!AK60-1,"-")</f>
        <v>0.14240963998108036</v>
      </c>
      <c r="AM132" s="196"/>
    </row>
    <row r="133" spans="1:39" s="262" customFormat="1" ht="16.5" customHeight="1">
      <c r="B133" s="256" t="s">
        <v>23</v>
      </c>
      <c r="C133" s="255" t="s">
        <v>11</v>
      </c>
      <c r="D133" s="403">
        <f>IF(资产负债!C42&lt;&gt;0,资产负债!D42/资产负债!C42-1,"-")</f>
        <v>0.87397719091503245</v>
      </c>
      <c r="E133" s="403">
        <f>IF(资产负债!D42&lt;&gt;0,资产负债!E42/资产负债!D42-1,"-")</f>
        <v>0.78141041353034302</v>
      </c>
      <c r="F133" s="403">
        <f>IF(资产负债!E42&lt;&gt;0,资产负债!F42/资产负债!E42-1,"-")</f>
        <v>0.2906002299352497</v>
      </c>
      <c r="G133" s="403">
        <f>IF(资产负债!F42&lt;&gt;0,资产负债!G42/资产负债!F42-1,"-")</f>
        <v>-9.6592339584779419E-2</v>
      </c>
      <c r="H133" s="403">
        <f>IF(资产负债!G42&lt;&gt;0,资产负债!H42/资产负债!G42-1,"-")</f>
        <v>0.95119952384078532</v>
      </c>
      <c r="I133" s="403">
        <f ca="1">IF(资产负债!H42&lt;&gt;0,资产负债!I42/资产负债!H42-1,"-")</f>
        <v>1.7784942100376449</v>
      </c>
      <c r="J133" s="403">
        <f ca="1">IF(资产负债!I42&lt;&gt;0,资产负债!J42/资产负债!I42-1,"-")</f>
        <v>1.3852763095950897</v>
      </c>
      <c r="K133" s="403">
        <f ca="1">IF(资产负债!J42&lt;&gt;0,资产负债!K42/资产负债!J42-1,"-")</f>
        <v>-8.2022623832905261E-2</v>
      </c>
      <c r="L133" s="403">
        <f ca="1">IF(资产负债!K42&lt;&gt;0,资产负债!L42/资产负债!K42-1,"-")</f>
        <v>0.51984009528913755</v>
      </c>
      <c r="M133" s="403">
        <f ca="1">IF(资产负债!L42&lt;&gt;0,资产负债!M42/资产负债!L42-1,"-")</f>
        <v>-9.3947098723237144E-3</v>
      </c>
      <c r="N133" s="403">
        <f ca="1">IF(资产负债!M42&lt;&gt;0,资产负债!N42/资产负债!M42-1,"-")</f>
        <v>0.40036412135380361</v>
      </c>
      <c r="O133" s="403">
        <f ca="1">IF(资产负债!N42&lt;&gt;0,资产负债!O42/资产负债!N42-1,"-")</f>
        <v>2.7824899278607873E-2</v>
      </c>
      <c r="P133" s="403">
        <f ca="1">IF(资产负债!O42&lt;&gt;0,资产负债!P42/资产负债!O42-1,"-")</f>
        <v>0.32931987794818873</v>
      </c>
      <c r="Q133" s="403">
        <f ca="1">IF(资产负债!P42&lt;&gt;0,资产负债!Q42/资产负债!P42-1,"-")</f>
        <v>4.3497311825845264E-2</v>
      </c>
      <c r="R133" s="403">
        <f ca="1">IF(资产负债!Q42&lt;&gt;0,资产负债!R42/资产负债!Q42-1,"-")</f>
        <v>0.27006634363410931</v>
      </c>
      <c r="S133" s="403">
        <f ca="1">IF(资产负债!R42&lt;&gt;0,资产负债!S42/资产负债!R42-1,"-")</f>
        <v>7.3077184945272489E-2</v>
      </c>
      <c r="T133" s="403">
        <f ca="1">IF(资产负债!S42&lt;&gt;0,资产负债!T42/资产负债!S42-1,"-")</f>
        <v>0.23671918249231028</v>
      </c>
      <c r="U133" s="403">
        <f ca="1">IF(资产负债!T42&lt;&gt;0,资产负债!U42/资产负债!T42-1,"-")</f>
        <v>8.8217686091255576E-2</v>
      </c>
      <c r="V133" s="403">
        <f ca="1">IF(资产负债!U42&lt;&gt;0,资产负债!V42/资产负债!U42-1,"-")</f>
        <v>0.21262494758091743</v>
      </c>
      <c r="W133" s="403">
        <f ca="1">IF(资产负债!V42&lt;&gt;0,资产负债!W42/资产负债!V42-1,"-")</f>
        <v>0.10236970197196893</v>
      </c>
      <c r="X133" s="403">
        <f ca="1">IF(资产负债!W42&lt;&gt;0,资产负债!X42/资产负债!W42-1,"-")</f>
        <v>0.19508994617209274</v>
      </c>
      <c r="Y133" s="403">
        <f ca="1">IF(资产负债!X42&lt;&gt;0,资产负债!Y42/资产负债!X42-1,"-")</f>
        <v>0.11130414376169329</v>
      </c>
      <c r="Z133" s="403">
        <f ca="1">IF(资产负债!Y42&lt;&gt;0,资产负债!Z42/资产负债!Y42-1,"-")</f>
        <v>0.18051321551017341</v>
      </c>
      <c r="AA133" s="403">
        <f ca="1">IF(资产负债!Z42&lt;&gt;0,资产负债!AA42/资产负债!Z42-1,"-")</f>
        <v>0.11718833457398548</v>
      </c>
      <c r="AB133" s="403">
        <f ca="1">IF(资产负债!AA42&lt;&gt;0,资产负债!AB42/资产负债!AA42-1,"-")</f>
        <v>0.16983687066816566</v>
      </c>
      <c r="AC133" s="403">
        <f ca="1">IF(资产负债!AB42&lt;&gt;0,资产负债!AC42/资产负债!AB42-1,"-")</f>
        <v>0.12152534846693785</v>
      </c>
      <c r="AD133" s="403">
        <f ca="1">IF(资产负债!AC42&lt;&gt;0,资产负债!AD42/资产负债!AC42-1,"-")</f>
        <v>0.16148059319450137</v>
      </c>
      <c r="AE133" s="403">
        <f ca="1">IF(资产负债!AD42&lt;&gt;0,资产负债!AE42/资产负债!AD42-1,"-")</f>
        <v>0.12443094257660925</v>
      </c>
      <c r="AF133" s="403">
        <f ca="1">IF(资产负债!AE42&lt;&gt;0,资产负债!AF42/资产负债!AE42-1,"-")</f>
        <v>0.15503404370585794</v>
      </c>
      <c r="AG133" s="403">
        <f ca="1">IF(资产负债!AF42&lt;&gt;0,资产负债!AG42/资产负债!AF42-1,"-")</f>
        <v>0.12660584037528722</v>
      </c>
      <c r="AH133" s="403">
        <f ca="1">IF(资产负债!AG42&lt;&gt;0,资产负债!AH42/资产负债!AG42-1,"-")</f>
        <v>0.15004763407863031</v>
      </c>
      <c r="AI133" s="403">
        <f ca="1">IF(资产负债!AH42&lt;&gt;0,资产负债!AI42/资产负债!AH42-1,"-")</f>
        <v>0.12810348629560897</v>
      </c>
      <c r="AJ133" s="403">
        <f ca="1">IF(资产负债!AI42&lt;&gt;0,资产负债!AJ42/资产负债!AI42-1,"-")</f>
        <v>0.1461303088123862</v>
      </c>
      <c r="AK133" s="403">
        <f ca="1">IF(资产负债!AJ42&lt;&gt;0,资产负债!AK42/资产负债!AJ42-1,"-")</f>
        <v>0.12915614108414109</v>
      </c>
      <c r="AL133" s="403">
        <f ca="1">IF(资产负债!AK42&lt;&gt;0,资产负债!AL42/资产负债!AK42-1,"-")</f>
        <v>0.1430510563240559</v>
      </c>
      <c r="AM133" s="196"/>
    </row>
    <row r="134" spans="1:39" s="262" customFormat="1" ht="16.5" customHeight="1">
      <c r="B134" s="256" t="s">
        <v>24</v>
      </c>
      <c r="C134" s="256" t="s">
        <v>12</v>
      </c>
      <c r="D134" s="403" t="str">
        <f>IF(资产负债!C43&lt;&gt;0,资产负债!D43/资产负债!C43-1,"-")</f>
        <v>-</v>
      </c>
      <c r="E134" s="403" t="str">
        <f>IF(资产负债!D43&lt;&gt;0,资产负债!E43/资产负债!D43-1,"-")</f>
        <v>-</v>
      </c>
      <c r="F134" s="403" t="str">
        <f>IF(资产负债!E43&lt;&gt;0,资产负债!F43/资产负债!E43-1,"-")</f>
        <v>-</v>
      </c>
      <c r="G134" s="403" t="str">
        <f>IF(资产负债!F43&lt;&gt;0,资产负债!G43/资产负债!F43-1,"-")</f>
        <v>-</v>
      </c>
      <c r="H134" s="403" t="str">
        <f>IF(资产负债!G43&lt;&gt;0,资产负债!H43/资产负债!G43-1,"-")</f>
        <v>-</v>
      </c>
      <c r="I134" s="403" t="str">
        <f>IF(资产负债!H43&lt;&gt;0,资产负债!I43/资产负债!H43-1,"-")</f>
        <v>-</v>
      </c>
      <c r="J134" s="403" t="str">
        <f>IF(资产负债!I43&lt;&gt;0,资产负债!J43/资产负债!I43-1,"-")</f>
        <v>-</v>
      </c>
      <c r="K134" s="403" t="str">
        <f>IF(资产负债!J43&lt;&gt;0,资产负债!K43/资产负债!J43-1,"-")</f>
        <v>-</v>
      </c>
      <c r="L134" s="403" t="str">
        <f>IF(资产负债!K43&lt;&gt;0,资产负债!L43/资产负债!K43-1,"-")</f>
        <v>-</v>
      </c>
      <c r="M134" s="403" t="str">
        <f>IF(资产负债!L43&lt;&gt;0,资产负债!M43/资产负债!L43-1,"-")</f>
        <v>-</v>
      </c>
      <c r="N134" s="403" t="str">
        <f>IF(资产负债!M43&lt;&gt;0,资产负债!N43/资产负债!M43-1,"-")</f>
        <v>-</v>
      </c>
      <c r="O134" s="403" t="str">
        <f>IF(资产负债!N43&lt;&gt;0,资产负债!O43/资产负债!N43-1,"-")</f>
        <v>-</v>
      </c>
      <c r="P134" s="403" t="str">
        <f>IF(资产负债!O43&lt;&gt;0,资产负债!P43/资产负债!O43-1,"-")</f>
        <v>-</v>
      </c>
      <c r="Q134" s="403" t="str">
        <f>IF(资产负债!P43&lt;&gt;0,资产负债!Q43/资产负债!P43-1,"-")</f>
        <v>-</v>
      </c>
      <c r="R134" s="403" t="str">
        <f>IF(资产负债!Q43&lt;&gt;0,资产负债!R43/资产负债!Q43-1,"-")</f>
        <v>-</v>
      </c>
      <c r="S134" s="403" t="str">
        <f>IF(资产负债!R43&lt;&gt;0,资产负债!S43/资产负债!R43-1,"-")</f>
        <v>-</v>
      </c>
      <c r="T134" s="403" t="str">
        <f>IF(资产负债!S43&lt;&gt;0,资产负债!T43/资产负债!S43-1,"-")</f>
        <v>-</v>
      </c>
      <c r="U134" s="403" t="str">
        <f>IF(资产负债!T43&lt;&gt;0,资产负债!U43/资产负债!T43-1,"-")</f>
        <v>-</v>
      </c>
      <c r="V134" s="403" t="str">
        <f>IF(资产负债!U43&lt;&gt;0,资产负债!V43/资产负债!U43-1,"-")</f>
        <v>-</v>
      </c>
      <c r="W134" s="403" t="str">
        <f>IF(资产负债!V43&lt;&gt;0,资产负债!W43/资产负债!V43-1,"-")</f>
        <v>-</v>
      </c>
      <c r="X134" s="403" t="str">
        <f>IF(资产负债!W43&lt;&gt;0,资产负债!X43/资产负债!W43-1,"-")</f>
        <v>-</v>
      </c>
      <c r="Y134" s="403" t="str">
        <f>IF(资产负债!X43&lt;&gt;0,资产负债!Y43/资产负债!X43-1,"-")</f>
        <v>-</v>
      </c>
      <c r="Z134" s="403" t="str">
        <f>IF(资产负债!Y43&lt;&gt;0,资产负债!Z43/资产负债!Y43-1,"-")</f>
        <v>-</v>
      </c>
      <c r="AA134" s="403" t="str">
        <f>IF(资产负债!Z43&lt;&gt;0,资产负债!AA43/资产负债!Z43-1,"-")</f>
        <v>-</v>
      </c>
      <c r="AB134" s="403" t="str">
        <f>IF(资产负债!AA43&lt;&gt;0,资产负债!AB43/资产负债!AA43-1,"-")</f>
        <v>-</v>
      </c>
      <c r="AC134" s="403" t="str">
        <f>IF(资产负债!AB43&lt;&gt;0,资产负债!AC43/资产负债!AB43-1,"-")</f>
        <v>-</v>
      </c>
      <c r="AD134" s="403" t="str">
        <f>IF(资产负债!AC43&lt;&gt;0,资产负债!AD43/资产负债!AC43-1,"-")</f>
        <v>-</v>
      </c>
      <c r="AE134" s="403" t="str">
        <f>IF(资产负债!AD43&lt;&gt;0,资产负债!AE43/资产负债!AD43-1,"-")</f>
        <v>-</v>
      </c>
      <c r="AF134" s="403" t="str">
        <f>IF(资产负债!AE43&lt;&gt;0,资产负债!AF43/资产负债!AE43-1,"-")</f>
        <v>-</v>
      </c>
      <c r="AG134" s="403" t="str">
        <f>IF(资产负债!AF43&lt;&gt;0,资产负债!AG43/资产负债!AF43-1,"-")</f>
        <v>-</v>
      </c>
      <c r="AH134" s="403" t="str">
        <f>IF(资产负债!AG43&lt;&gt;0,资产负债!AH43/资产负债!AG43-1,"-")</f>
        <v>-</v>
      </c>
      <c r="AI134" s="403" t="str">
        <f>IF(资产负债!AH43&lt;&gt;0,资产负债!AI43/资产负债!AH43-1,"-")</f>
        <v>-</v>
      </c>
      <c r="AJ134" s="403" t="str">
        <f>IF(资产负债!AI43&lt;&gt;0,资产负债!AJ43/资产负债!AI43-1,"-")</f>
        <v>-</v>
      </c>
      <c r="AK134" s="403" t="str">
        <f>IF(资产负债!AJ43&lt;&gt;0,资产负债!AK43/资产负债!AJ43-1,"-")</f>
        <v>-</v>
      </c>
      <c r="AL134" s="403" t="str">
        <f>IF(资产负债!AK43&lt;&gt;0,资产负债!AL43/资产负债!AK43-1,"-")</f>
        <v>-</v>
      </c>
      <c r="AM134" s="196"/>
    </row>
    <row r="135" spans="1:39" s="262" customFormat="1" ht="16.5" customHeight="1">
      <c r="B135" s="270" t="s">
        <v>2712</v>
      </c>
      <c r="C135" s="256" t="s">
        <v>13</v>
      </c>
      <c r="D135" s="403">
        <f>IF(资产负债!C45&lt;&gt;0,资产负债!D45/资产负债!C45-1,"-")</f>
        <v>0.60527295222191091</v>
      </c>
      <c r="E135" s="403">
        <f>IF(资产负债!D45&lt;&gt;0,资产负债!E45/资产负债!D45-1,"-")</f>
        <v>0.35420773699939012</v>
      </c>
      <c r="F135" s="403">
        <f>IF(资产负债!E45&lt;&gt;0,资产负债!F45/资产负债!E45-1,"-")</f>
        <v>0.26965921199659704</v>
      </c>
      <c r="G135" s="403">
        <f>IF(资产负债!F45&lt;&gt;0,资产负债!G45/资产负债!F45-1,"-")</f>
        <v>0.70285979685717215</v>
      </c>
      <c r="H135" s="403">
        <f>IF(资产负债!G45&lt;&gt;0,资产负债!H45/资产负债!G45-1,"-")</f>
        <v>5.5457487000714067E-2</v>
      </c>
      <c r="I135" s="403">
        <f>IF(资产负债!H45&lt;&gt;0,资产负债!I45/资产负债!H45-1,"-")</f>
        <v>-1</v>
      </c>
      <c r="J135" s="403" t="str">
        <f>IF(资产负债!I45&lt;&gt;0,资产负债!J45/资产负债!I45-1,"-")</f>
        <v>-</v>
      </c>
      <c r="K135" s="403" t="str">
        <f>IF(资产负债!J45&lt;&gt;0,资产负债!K45/资产负债!J45-1,"-")</f>
        <v>-</v>
      </c>
      <c r="L135" s="403" t="str">
        <f>IF(资产负债!K45&lt;&gt;0,资产负债!L45/资产负债!K45-1,"-")</f>
        <v>-</v>
      </c>
      <c r="M135" s="403" t="str">
        <f>IF(资产负债!L45&lt;&gt;0,资产负债!M45/资产负债!L45-1,"-")</f>
        <v>-</v>
      </c>
      <c r="N135" s="403" t="str">
        <f>IF(资产负债!M45&lt;&gt;0,资产负债!N45/资产负债!M45-1,"-")</f>
        <v>-</v>
      </c>
      <c r="O135" s="403" t="str">
        <f>IF(资产负债!N45&lt;&gt;0,资产负债!O45/资产负债!N45-1,"-")</f>
        <v>-</v>
      </c>
      <c r="P135" s="403" t="str">
        <f>IF(资产负债!O45&lt;&gt;0,资产负债!P45/资产负债!O45-1,"-")</f>
        <v>-</v>
      </c>
      <c r="Q135" s="403" t="str">
        <f>IF(资产负债!P45&lt;&gt;0,资产负债!Q45/资产负债!P45-1,"-")</f>
        <v>-</v>
      </c>
      <c r="R135" s="403" t="str">
        <f>IF(资产负债!Q45&lt;&gt;0,资产负债!R45/资产负债!Q45-1,"-")</f>
        <v>-</v>
      </c>
      <c r="S135" s="403" t="str">
        <f>IF(资产负债!R45&lt;&gt;0,资产负债!S45/资产负债!R45-1,"-")</f>
        <v>-</v>
      </c>
      <c r="T135" s="403" t="str">
        <f>IF(资产负债!S45&lt;&gt;0,资产负债!T45/资产负债!S45-1,"-")</f>
        <v>-</v>
      </c>
      <c r="U135" s="403" t="str">
        <f>IF(资产负债!T45&lt;&gt;0,资产负债!U45/资产负债!T45-1,"-")</f>
        <v>-</v>
      </c>
      <c r="V135" s="403" t="str">
        <f>IF(资产负债!U45&lt;&gt;0,资产负债!V45/资产负债!U45-1,"-")</f>
        <v>-</v>
      </c>
      <c r="W135" s="403" t="str">
        <f>IF(资产负债!V45&lt;&gt;0,资产负债!W45/资产负债!V45-1,"-")</f>
        <v>-</v>
      </c>
      <c r="X135" s="403" t="str">
        <f>IF(资产负债!W45&lt;&gt;0,资产负债!X45/资产负债!W45-1,"-")</f>
        <v>-</v>
      </c>
      <c r="Y135" s="403" t="str">
        <f>IF(资产负债!X45&lt;&gt;0,资产负债!Y45/资产负债!X45-1,"-")</f>
        <v>-</v>
      </c>
      <c r="Z135" s="403" t="str">
        <f>IF(资产负债!Y45&lt;&gt;0,资产负债!Z45/资产负债!Y45-1,"-")</f>
        <v>-</v>
      </c>
      <c r="AA135" s="403" t="str">
        <f>IF(资产负债!Z45&lt;&gt;0,资产负债!AA45/资产负债!Z45-1,"-")</f>
        <v>-</v>
      </c>
      <c r="AB135" s="403" t="str">
        <f>IF(资产负债!AA45&lt;&gt;0,资产负债!AB45/资产负债!AA45-1,"-")</f>
        <v>-</v>
      </c>
      <c r="AC135" s="403" t="str">
        <f>IF(资产负债!AB45&lt;&gt;0,资产负债!AC45/资产负债!AB45-1,"-")</f>
        <v>-</v>
      </c>
      <c r="AD135" s="403" t="str">
        <f>IF(资产负债!AC45&lt;&gt;0,资产负债!AD45/资产负债!AC45-1,"-")</f>
        <v>-</v>
      </c>
      <c r="AE135" s="403" t="str">
        <f>IF(资产负债!AD45&lt;&gt;0,资产负债!AE45/资产负债!AD45-1,"-")</f>
        <v>-</v>
      </c>
      <c r="AF135" s="403" t="str">
        <f>IF(资产负债!AE45&lt;&gt;0,资产负债!AF45/资产负债!AE45-1,"-")</f>
        <v>-</v>
      </c>
      <c r="AG135" s="403" t="str">
        <f>IF(资产负债!AF45&lt;&gt;0,资产负债!AG45/资产负债!AF45-1,"-")</f>
        <v>-</v>
      </c>
      <c r="AH135" s="403" t="str">
        <f>IF(资产负债!AG45&lt;&gt;0,资产负债!AH45/资产负债!AG45-1,"-")</f>
        <v>-</v>
      </c>
      <c r="AI135" s="403" t="str">
        <f>IF(资产负债!AH45&lt;&gt;0,资产负债!AI45/资产负债!AH45-1,"-")</f>
        <v>-</v>
      </c>
      <c r="AJ135" s="403" t="str">
        <f>IF(资产负债!AI45&lt;&gt;0,资产负债!AJ45/资产负债!AI45-1,"-")</f>
        <v>-</v>
      </c>
      <c r="AK135" s="403" t="str">
        <f>IF(资产负债!AJ45&lt;&gt;0,资产负债!AK45/资产负债!AJ45-1,"-")</f>
        <v>-</v>
      </c>
      <c r="AL135" s="403" t="str">
        <f>IF(资产负债!AK45&lt;&gt;0,资产负债!AL45/资产负债!AK45-1,"-")</f>
        <v>-</v>
      </c>
      <c r="AM135" s="196"/>
    </row>
    <row r="136" spans="1:39" s="262" customFormat="1" ht="16.5" hidden="1" customHeight="1">
      <c r="B136" s="256"/>
      <c r="C136" s="256"/>
      <c r="D136" s="403"/>
      <c r="E136" s="403"/>
      <c r="F136" s="403"/>
      <c r="G136" s="403"/>
      <c r="H136" s="403"/>
      <c r="I136" s="403"/>
      <c r="J136" s="403"/>
      <c r="K136" s="403"/>
      <c r="L136" s="403"/>
      <c r="M136" s="403"/>
      <c r="N136" s="403"/>
      <c r="O136" s="403"/>
      <c r="P136" s="403"/>
      <c r="Q136" s="403"/>
      <c r="R136" s="403"/>
      <c r="S136" s="403"/>
      <c r="T136" s="403"/>
      <c r="U136" s="403"/>
      <c r="V136" s="403"/>
      <c r="W136" s="403"/>
      <c r="X136" s="403"/>
      <c r="Y136" s="403"/>
      <c r="Z136" s="403"/>
      <c r="AA136" s="403"/>
      <c r="AB136" s="403"/>
      <c r="AC136" s="403"/>
      <c r="AD136" s="403"/>
      <c r="AE136" s="403"/>
      <c r="AF136" s="403"/>
      <c r="AG136" s="403"/>
      <c r="AH136" s="403"/>
      <c r="AI136" s="403"/>
      <c r="AJ136" s="403"/>
      <c r="AK136" s="403"/>
      <c r="AL136" s="403"/>
      <c r="AM136" s="196"/>
    </row>
    <row r="137" spans="1:39" s="262" customFormat="1" ht="16.5" customHeight="1">
      <c r="B137" s="256" t="s">
        <v>1400</v>
      </c>
      <c r="C137" s="256" t="s">
        <v>15</v>
      </c>
      <c r="D137" s="403">
        <f>IF(资产负债!C48&lt;&gt;0,资产负债!D48/资产负债!C48-1,"-")</f>
        <v>1.1255289050049977</v>
      </c>
      <c r="E137" s="403">
        <f>IF(资产负债!D48&lt;&gt;0,资产负债!E48/资产负债!D48-1,"-")</f>
        <v>0.72346556778326154</v>
      </c>
      <c r="F137" s="403">
        <f>IF(资产负债!E48&lt;&gt;0,资产负债!F48/资产负债!E48-1,"-")</f>
        <v>-0.12048544770784886</v>
      </c>
      <c r="G137" s="403">
        <f>IF(资产负债!F48&lt;&gt;0,资产负债!G48/资产负债!F48-1,"-")</f>
        <v>-9.0005810811551457E-2</v>
      </c>
      <c r="H137" s="403">
        <f>IF(资产负债!G48&lt;&gt;0,资产负债!H48/资产负债!G48-1,"-")</f>
        <v>0.23441999581104578</v>
      </c>
      <c r="I137" s="403">
        <f>IF(资产负债!H48&lt;&gt;0,资产负债!I48/资产负债!H48-1,"-")</f>
        <v>6.5142338743685801E-2</v>
      </c>
      <c r="J137" s="403">
        <f>IF(资产负债!I48&lt;&gt;0,资产负债!J48/资产负债!I48-1,"-")</f>
        <v>6.1525594586133936E-2</v>
      </c>
      <c r="K137" s="403">
        <f>IF(资产负债!J48&lt;&gt;0,资产负债!K48/资产负债!J48-1,"-")</f>
        <v>0.29302053364580916</v>
      </c>
      <c r="L137" s="403">
        <f>IF(资产负债!K48&lt;&gt;0,资产负债!L48/资产负债!K48-1,"-")</f>
        <v>2.3354538290709215E-2</v>
      </c>
      <c r="M137" s="403">
        <f>IF(资产负债!L48&lt;&gt;0,资产负债!M48/资产负债!L48-1,"-")</f>
        <v>0.19103199360398193</v>
      </c>
      <c r="N137" s="403">
        <f>IF(资产负债!M48&lt;&gt;0,资产负债!N48/资产负债!M48-1,"-")</f>
        <v>7.3625754639596419E-2</v>
      </c>
      <c r="O137" s="403">
        <f>IF(资产负债!N48&lt;&gt;0,资产负债!O48/资产负债!N48-1,"-")</f>
        <v>0.19218661577665541</v>
      </c>
      <c r="P137" s="403">
        <f>IF(资产负债!O48&lt;&gt;0,资产负债!P48/资产负债!O48-1,"-")</f>
        <v>8.6858125206912051E-2</v>
      </c>
      <c r="Q137" s="403">
        <f>IF(资产负债!P48&lt;&gt;0,资产负债!Q48/资产负债!P48-1,"-")</f>
        <v>0.16502244516058862</v>
      </c>
      <c r="R137" s="403">
        <f>IF(资产负债!Q48&lt;&gt;0,资产负债!R48/资产负债!Q48-1,"-")</f>
        <v>9.3631694440333924E-2</v>
      </c>
      <c r="S137" s="403">
        <f>IF(资产负债!R48&lt;&gt;0,资产负债!S48/资产负债!R48-1,"-")</f>
        <v>0.16476432016345055</v>
      </c>
      <c r="T137" s="403">
        <f>IF(资产负债!S48&lt;&gt;0,资产负债!T48/资产负债!S48-1,"-")</f>
        <v>0.10233124338698008</v>
      </c>
      <c r="U137" s="403">
        <f>IF(资产负债!T48&lt;&gt;0,资产负债!U48/资产负债!T48-1,"-")</f>
        <v>0.15504664166884297</v>
      </c>
      <c r="V137" s="403">
        <f>IF(资产负债!U48&lt;&gt;0,资产负债!V48/资产负债!U48-1,"-")</f>
        <v>0.1068087937784179</v>
      </c>
      <c r="W137" s="403">
        <f>IF(资产负债!V48&lt;&gt;0,资产负债!W48/资产负债!V48-1,"-")</f>
        <v>0.15016330501242314</v>
      </c>
      <c r="X137" s="403">
        <f>IF(资产负债!W48&lt;&gt;0,资产负债!X48/资产负债!W48-1,"-")</f>
        <v>0.11277116421675348</v>
      </c>
      <c r="Y137" s="403">
        <f>IF(资产负债!X48&lt;&gt;0,资产负债!Y48/资产负债!X48-1,"-")</f>
        <v>0.14550059217094402</v>
      </c>
      <c r="Z137" s="403">
        <f>IF(资产负债!Y48&lt;&gt;0,资产负债!Z48/资产负债!Y48-1,"-")</f>
        <v>0.11604717740581205</v>
      </c>
      <c r="AA137" s="403">
        <f>IF(资产负债!Z48&lt;&gt;0,资产负债!AA48/资产负债!Z48-1,"-")</f>
        <v>0.14202231863552739</v>
      </c>
      <c r="AB137" s="403">
        <f>IF(资产负债!AA48&lt;&gt;0,资产负债!AB48/资产负债!AA48-1,"-")</f>
        <v>0.11920601772302231</v>
      </c>
      <c r="AC137" s="403">
        <f>IF(资产负债!AB48&lt;&gt;0,资产负债!AC48/资产负债!AB48-1,"-")</f>
        <v>0.13947403709459816</v>
      </c>
      <c r="AD137" s="403">
        <f>IF(资产负债!AC48&lt;&gt;0,资产负债!AD48/资产负债!AC48-1,"-")</f>
        <v>0.12142126348630278</v>
      </c>
      <c r="AE137" s="403">
        <f>IF(资产负债!AD48&lt;&gt;0,资产负债!AE48/资产负债!AD48-1,"-")</f>
        <v>0.13732780061325611</v>
      </c>
      <c r="AF137" s="403">
        <f>IF(资产负债!AE48&lt;&gt;0,资产负债!AF48/资产负债!AE48-1,"-")</f>
        <v>0.12325814592691486</v>
      </c>
      <c r="AG137" s="403">
        <f>IF(资产负债!AF48&lt;&gt;0,资产负债!AG48/资产负债!AF48-1,"-")</f>
        <v>0.13573664844361111</v>
      </c>
      <c r="AH137" s="403">
        <f>IF(资产负债!AG48&lt;&gt;0,资产负债!AH48/资产负债!AG48-1,"-")</f>
        <v>0.12468545372691864</v>
      </c>
      <c r="AI137" s="403">
        <f>IF(资产负债!AH48&lt;&gt;0,资产负债!AI48/资产负债!AH48-1,"-")</f>
        <v>0.13444172402622545</v>
      </c>
      <c r="AJ137" s="403">
        <f>IF(资产负债!AI48&lt;&gt;0,资产负债!AJ48/资产负债!AI48-1,"-")</f>
        <v>0.12579870812132166</v>
      </c>
      <c r="AK137" s="403">
        <f>IF(资产负债!AJ48&lt;&gt;0,资产负债!AK48/资产负债!AJ48-1,"-")</f>
        <v>0.13345174829767625</v>
      </c>
      <c r="AL137" s="403">
        <f>IF(资产负债!AK48&lt;&gt;0,资产负债!AL48/资产负债!AK48-1,"-")</f>
        <v>0.12667947237992938</v>
      </c>
      <c r="AM137" s="196"/>
    </row>
    <row r="138" spans="1:39" s="262" customFormat="1" ht="16.5" customHeight="1">
      <c r="B138" s="256" t="s">
        <v>1017</v>
      </c>
      <c r="C138" s="256" t="s">
        <v>14</v>
      </c>
      <c r="D138" s="403">
        <f>IF(资产负债!C49&lt;&gt;0,资产负债!D49/资产负债!C49-1,"-")</f>
        <v>1.4612995366294155</v>
      </c>
      <c r="E138" s="403">
        <f>IF(资产负债!D49&lt;&gt;0,资产负债!E49/资产负债!D49-1,"-")</f>
        <v>-1</v>
      </c>
      <c r="F138" s="403" t="str">
        <f>IF(资产负债!E49&lt;&gt;0,资产负债!F49/资产负债!E49-1,"-")</f>
        <v>-</v>
      </c>
      <c r="G138" s="403" t="str">
        <f>IF(资产负债!F49&lt;&gt;0,资产负债!G49/资产负债!F49-1,"-")</f>
        <v>-</v>
      </c>
      <c r="H138" s="403" t="str">
        <f>IF(资产负债!G49&lt;&gt;0,资产负债!H49/资产负债!G49-1,"-")</f>
        <v>-</v>
      </c>
      <c r="I138" s="403" t="str">
        <f>IF(资产负债!H49&lt;&gt;0,资产负债!I49/资产负债!H49-1,"-")</f>
        <v>-</v>
      </c>
      <c r="J138" s="403" t="str">
        <f>IF(资产负债!I49&lt;&gt;0,资产负债!J49/资产负债!I49-1,"-")</f>
        <v>-</v>
      </c>
      <c r="K138" s="403" t="str">
        <f>IF(资产负债!J49&lt;&gt;0,资产负债!K49/资产负债!J49-1,"-")</f>
        <v>-</v>
      </c>
      <c r="L138" s="403" t="str">
        <f>IF(资产负债!K49&lt;&gt;0,资产负债!L49/资产负债!K49-1,"-")</f>
        <v>-</v>
      </c>
      <c r="M138" s="403" t="str">
        <f>IF(资产负债!L49&lt;&gt;0,资产负债!M49/资产负债!L49-1,"-")</f>
        <v>-</v>
      </c>
      <c r="N138" s="403" t="str">
        <f>IF(资产负债!M49&lt;&gt;0,资产负债!N49/资产负债!M49-1,"-")</f>
        <v>-</v>
      </c>
      <c r="O138" s="403" t="str">
        <f>IF(资产负债!N49&lt;&gt;0,资产负债!O49/资产负债!N49-1,"-")</f>
        <v>-</v>
      </c>
      <c r="P138" s="403" t="str">
        <f>IF(资产负债!O49&lt;&gt;0,资产负债!P49/资产负债!O49-1,"-")</f>
        <v>-</v>
      </c>
      <c r="Q138" s="403" t="str">
        <f>IF(资产负债!P49&lt;&gt;0,资产负债!Q49/资产负债!P49-1,"-")</f>
        <v>-</v>
      </c>
      <c r="R138" s="403" t="str">
        <f>IF(资产负债!Q49&lt;&gt;0,资产负债!R49/资产负债!Q49-1,"-")</f>
        <v>-</v>
      </c>
      <c r="S138" s="403" t="str">
        <f>IF(资产负债!R49&lt;&gt;0,资产负债!S49/资产负债!R49-1,"-")</f>
        <v>-</v>
      </c>
      <c r="T138" s="403" t="str">
        <f>IF(资产负债!S49&lt;&gt;0,资产负债!T49/资产负债!S49-1,"-")</f>
        <v>-</v>
      </c>
      <c r="U138" s="403" t="str">
        <f>IF(资产负债!T49&lt;&gt;0,资产负债!U49/资产负债!T49-1,"-")</f>
        <v>-</v>
      </c>
      <c r="V138" s="403" t="str">
        <f>IF(资产负债!U49&lt;&gt;0,资产负债!V49/资产负债!U49-1,"-")</f>
        <v>-</v>
      </c>
      <c r="W138" s="403" t="str">
        <f>IF(资产负债!V49&lt;&gt;0,资产负债!W49/资产负债!V49-1,"-")</f>
        <v>-</v>
      </c>
      <c r="X138" s="403" t="str">
        <f>IF(资产负债!W49&lt;&gt;0,资产负债!X49/资产负债!W49-1,"-")</f>
        <v>-</v>
      </c>
      <c r="Y138" s="403" t="str">
        <f>IF(资产负债!X49&lt;&gt;0,资产负债!Y49/资产负债!X49-1,"-")</f>
        <v>-</v>
      </c>
      <c r="Z138" s="403" t="str">
        <f>IF(资产负债!Y49&lt;&gt;0,资产负债!Z49/资产负债!Y49-1,"-")</f>
        <v>-</v>
      </c>
      <c r="AA138" s="403" t="str">
        <f>IF(资产负债!Z49&lt;&gt;0,资产负债!AA49/资产负债!Z49-1,"-")</f>
        <v>-</v>
      </c>
      <c r="AB138" s="403" t="str">
        <f>IF(资产负债!AA49&lt;&gt;0,资产负债!AB49/资产负债!AA49-1,"-")</f>
        <v>-</v>
      </c>
      <c r="AC138" s="403" t="str">
        <f>IF(资产负债!AB49&lt;&gt;0,资产负债!AC49/资产负债!AB49-1,"-")</f>
        <v>-</v>
      </c>
      <c r="AD138" s="403" t="str">
        <f>IF(资产负债!AC49&lt;&gt;0,资产负债!AD49/资产负债!AC49-1,"-")</f>
        <v>-</v>
      </c>
      <c r="AE138" s="403" t="str">
        <f>IF(资产负债!AD49&lt;&gt;0,资产负债!AE49/资产负债!AD49-1,"-")</f>
        <v>-</v>
      </c>
      <c r="AF138" s="403" t="str">
        <f>IF(资产负债!AE49&lt;&gt;0,资产负债!AF49/资产负债!AE49-1,"-")</f>
        <v>-</v>
      </c>
      <c r="AG138" s="403" t="str">
        <f>IF(资产负债!AF49&lt;&gt;0,资产负债!AG49/资产负债!AF49-1,"-")</f>
        <v>-</v>
      </c>
      <c r="AH138" s="403" t="str">
        <f>IF(资产负债!AG49&lt;&gt;0,资产负债!AH49/资产负债!AG49-1,"-")</f>
        <v>-</v>
      </c>
      <c r="AI138" s="403" t="str">
        <f>IF(资产负债!AH49&lt;&gt;0,资产负债!AI49/资产负债!AH49-1,"-")</f>
        <v>-</v>
      </c>
      <c r="AJ138" s="403" t="str">
        <f>IF(资产负债!AI49&lt;&gt;0,资产负债!AJ49/资产负债!AI49-1,"-")</f>
        <v>-</v>
      </c>
      <c r="AK138" s="403" t="str">
        <f>IF(资产负债!AJ49&lt;&gt;0,资产负债!AK49/资产负债!AJ49-1,"-")</f>
        <v>-</v>
      </c>
      <c r="AL138" s="403" t="str">
        <f>IF(资产负债!AK49&lt;&gt;0,资产负债!AL49/资产负债!AK49-1,"-")</f>
        <v>-</v>
      </c>
      <c r="AM138" s="196"/>
    </row>
    <row r="139" spans="1:39" s="262" customFormat="1" ht="16.5" customHeight="1">
      <c r="B139" s="256" t="s">
        <v>25</v>
      </c>
      <c r="C139" s="256" t="s">
        <v>16</v>
      </c>
      <c r="D139" s="403" t="str">
        <f>IF(资产负债!C51&lt;&gt;0,资产负债!D51/资产负债!C51-1,"-")</f>
        <v>-</v>
      </c>
      <c r="E139" s="403" t="str">
        <f>IF(资产负债!D51&lt;&gt;0,资产负债!E51/资产负债!D51-1,"-")</f>
        <v>-</v>
      </c>
      <c r="F139" s="403" t="str">
        <f>IF(资产负债!E51&lt;&gt;0,资产负债!F51/资产负债!E51-1,"-")</f>
        <v>-</v>
      </c>
      <c r="G139" s="403" t="str">
        <f>IF(资产负债!F51&lt;&gt;0,资产负债!G51/资产负债!F51-1,"-")</f>
        <v>-</v>
      </c>
      <c r="H139" s="403" t="str">
        <f>IF(资产负债!G51&lt;&gt;0,资产负债!H51/资产负债!G51-1,"-")</f>
        <v>-</v>
      </c>
      <c r="I139" s="403" t="str">
        <f>IF(资产负债!H51&lt;&gt;0,资产负债!I51/资产负债!H51-1,"-")</f>
        <v>-</v>
      </c>
      <c r="J139" s="403" t="str">
        <f>IF(资产负债!I51&lt;&gt;0,资产负债!J51/资产负债!I51-1,"-")</f>
        <v>-</v>
      </c>
      <c r="K139" s="403" t="str">
        <f>IF(资产负债!J51&lt;&gt;0,资产负债!K51/资产负债!J51-1,"-")</f>
        <v>-</v>
      </c>
      <c r="L139" s="403" t="str">
        <f>IF(资产负债!K51&lt;&gt;0,资产负债!L51/资产负债!K51-1,"-")</f>
        <v>-</v>
      </c>
      <c r="M139" s="403" t="str">
        <f>IF(资产负债!L51&lt;&gt;0,资产负债!M51/资产负债!L51-1,"-")</f>
        <v>-</v>
      </c>
      <c r="N139" s="403" t="str">
        <f>IF(资产负债!M51&lt;&gt;0,资产负债!N51/资产负债!M51-1,"-")</f>
        <v>-</v>
      </c>
      <c r="O139" s="403" t="str">
        <f>IF(资产负债!N51&lt;&gt;0,资产负债!O51/资产负债!N51-1,"-")</f>
        <v>-</v>
      </c>
      <c r="P139" s="403" t="str">
        <f>IF(资产负债!O51&lt;&gt;0,资产负债!P51/资产负债!O51-1,"-")</f>
        <v>-</v>
      </c>
      <c r="Q139" s="403" t="str">
        <f>IF(资产负债!P51&lt;&gt;0,资产负债!Q51/资产负债!P51-1,"-")</f>
        <v>-</v>
      </c>
      <c r="R139" s="403" t="str">
        <f>IF(资产负债!Q51&lt;&gt;0,资产负债!R51/资产负债!Q51-1,"-")</f>
        <v>-</v>
      </c>
      <c r="S139" s="403" t="str">
        <f>IF(资产负债!R51&lt;&gt;0,资产负债!S51/资产负债!R51-1,"-")</f>
        <v>-</v>
      </c>
      <c r="T139" s="403" t="str">
        <f>IF(资产负债!S51&lt;&gt;0,资产负债!T51/资产负债!S51-1,"-")</f>
        <v>-</v>
      </c>
      <c r="U139" s="403" t="str">
        <f>IF(资产负债!T51&lt;&gt;0,资产负债!U51/资产负债!T51-1,"-")</f>
        <v>-</v>
      </c>
      <c r="V139" s="403" t="str">
        <f>IF(资产负债!U51&lt;&gt;0,资产负债!V51/资产负债!U51-1,"-")</f>
        <v>-</v>
      </c>
      <c r="W139" s="403" t="str">
        <f>IF(资产负债!V51&lt;&gt;0,资产负债!W51/资产负债!V51-1,"-")</f>
        <v>-</v>
      </c>
      <c r="X139" s="403" t="str">
        <f>IF(资产负债!W51&lt;&gt;0,资产负债!X51/资产负债!W51-1,"-")</f>
        <v>-</v>
      </c>
      <c r="Y139" s="403" t="str">
        <f>IF(资产负债!X51&lt;&gt;0,资产负债!Y51/资产负债!X51-1,"-")</f>
        <v>-</v>
      </c>
      <c r="Z139" s="403" t="str">
        <f>IF(资产负债!Y51&lt;&gt;0,资产负债!Z51/资产负债!Y51-1,"-")</f>
        <v>-</v>
      </c>
      <c r="AA139" s="403" t="str">
        <f>IF(资产负债!Z51&lt;&gt;0,资产负债!AA51/资产负债!Z51-1,"-")</f>
        <v>-</v>
      </c>
      <c r="AB139" s="403" t="str">
        <f>IF(资产负债!AA51&lt;&gt;0,资产负债!AB51/资产负债!AA51-1,"-")</f>
        <v>-</v>
      </c>
      <c r="AC139" s="403" t="str">
        <f>IF(资产负债!AB51&lt;&gt;0,资产负债!AC51/资产负债!AB51-1,"-")</f>
        <v>-</v>
      </c>
      <c r="AD139" s="403" t="str">
        <f>IF(资产负债!AC51&lt;&gt;0,资产负债!AD51/资产负债!AC51-1,"-")</f>
        <v>-</v>
      </c>
      <c r="AE139" s="403" t="str">
        <f>IF(资产负债!AD51&lt;&gt;0,资产负债!AE51/资产负债!AD51-1,"-")</f>
        <v>-</v>
      </c>
      <c r="AF139" s="403" t="str">
        <f>IF(资产负债!AE51&lt;&gt;0,资产负债!AF51/资产负债!AE51-1,"-")</f>
        <v>-</v>
      </c>
      <c r="AG139" s="403" t="str">
        <f>IF(资产负债!AF51&lt;&gt;0,资产负债!AG51/资产负债!AF51-1,"-")</f>
        <v>-</v>
      </c>
      <c r="AH139" s="403" t="str">
        <f>IF(资产负债!AG51&lt;&gt;0,资产负债!AH51/资产负债!AG51-1,"-")</f>
        <v>-</v>
      </c>
      <c r="AI139" s="403" t="str">
        <f>IF(资产负债!AH51&lt;&gt;0,资产负债!AI51/资产负债!AH51-1,"-")</f>
        <v>-</v>
      </c>
      <c r="AJ139" s="403" t="str">
        <f>IF(资产负债!AI51&lt;&gt;0,资产负债!AJ51/资产负债!AI51-1,"-")</f>
        <v>-</v>
      </c>
      <c r="AK139" s="403" t="str">
        <f>IF(资产负债!AJ51&lt;&gt;0,资产负债!AK51/资产负债!AJ51-1,"-")</f>
        <v>-</v>
      </c>
      <c r="AL139" s="403" t="str">
        <f>IF(资产负债!AK51&lt;&gt;0,资产负债!AL51/资产负债!AK51-1,"-")</f>
        <v>-</v>
      </c>
      <c r="AM139" s="196"/>
    </row>
    <row r="140" spans="1:39" s="262" customFormat="1" ht="16.5" customHeight="1">
      <c r="B140" s="256" t="s">
        <v>26</v>
      </c>
      <c r="C140" s="256" t="s">
        <v>17</v>
      </c>
      <c r="D140" s="403">
        <f>IF(资产负债!C52&lt;&gt;0,资产负债!D52/资产负债!C52-1,"-")</f>
        <v>8.2610954635864893</v>
      </c>
      <c r="E140" s="403">
        <f>IF(资产负债!D52&lt;&gt;0,资产负债!E52/资产负债!D52-1,"-")</f>
        <v>-0.39815631617896596</v>
      </c>
      <c r="F140" s="403">
        <f>IF(资产负债!E52&lt;&gt;0,资产负债!F52/资产负债!E52-1,"-")</f>
        <v>0.51392064706747398</v>
      </c>
      <c r="G140" s="403">
        <f>IF(资产负债!F52&lt;&gt;0,资产负债!G52/资产负债!F52-1,"-")</f>
        <v>1.7691896779692295</v>
      </c>
      <c r="H140" s="403">
        <f>IF(资产负债!G52&lt;&gt;0,资产负债!H52/资产负债!G52-1,"-")</f>
        <v>4.9641466093167885</v>
      </c>
      <c r="I140" s="403">
        <f ca="1">IF(资产负债!H52&lt;&gt;0,资产负债!I52/资产负债!H52-1,"-")</f>
        <v>-0.73733463140607647</v>
      </c>
      <c r="J140" s="403">
        <f ca="1">IF(资产负债!I52&lt;&gt;0,资产负债!J52/资产负债!I52-1,"-")</f>
        <v>0.11560004739795615</v>
      </c>
      <c r="K140" s="403">
        <f ca="1">IF(资产负债!J52&lt;&gt;0,资产负债!K52/资产负债!J52-1,"-")</f>
        <v>0.10843776844393216</v>
      </c>
      <c r="L140" s="403">
        <f ca="1">IF(资产负债!K52&lt;&gt;0,资产负债!L52/资产负债!K52-1,"-")</f>
        <v>7.7839637218976909E-2</v>
      </c>
      <c r="M140" s="403">
        <f ca="1">IF(资产负债!L52&lt;&gt;0,资产负债!M52/资产负债!L52-1,"-")</f>
        <v>5.1738664215271957E-2</v>
      </c>
      <c r="N140" s="403">
        <f ca="1">IF(资产负债!M52&lt;&gt;0,资产负债!N52/资产负债!M52-1,"-")</f>
        <v>-0.63618454350430786</v>
      </c>
      <c r="O140" s="403">
        <f ca="1">IF(资产负债!N52&lt;&gt;0,资产负债!O52/资产负债!N52-1,"-")</f>
        <v>3.6475204180525189E-2</v>
      </c>
      <c r="P140" s="403">
        <f ca="1">IF(资产负债!O52&lt;&gt;0,资产负债!P52/资产负债!O52-1,"-")</f>
        <v>3.7869347131251896E-2</v>
      </c>
      <c r="Q140" s="403">
        <f ca="1">IF(资产负债!P52&lt;&gt;0,资产负债!Q52/资产负债!P52-1,"-")</f>
        <v>8.7129288416463391E-2</v>
      </c>
      <c r="R140" s="403">
        <f ca="1">IF(资产负债!Q52&lt;&gt;0,资产负债!R52/资产负债!Q52-1,"-")</f>
        <v>0.15319591987472392</v>
      </c>
      <c r="S140" s="403">
        <f ca="1">IF(资产负债!R52&lt;&gt;0,资产负债!S52/资产负债!R52-1,"-")</f>
        <v>0.11655453021133511</v>
      </c>
      <c r="T140" s="403">
        <f ca="1">IF(资产负债!S52&lt;&gt;0,资产负债!T52/资产负债!S52-1,"-")</f>
        <v>0.10248159656433109</v>
      </c>
      <c r="U140" s="403">
        <f ca="1">IF(资产负债!T52&lt;&gt;0,资产负债!U52/资产负债!T52-1,"-")</f>
        <v>0.11039463279163186</v>
      </c>
      <c r="V140" s="403">
        <f ca="1">IF(资产负债!U52&lt;&gt;0,资产负债!V52/资产负债!U52-1,"-")</f>
        <v>0.19618148681973424</v>
      </c>
      <c r="W140" s="403">
        <f ca="1">IF(资产负债!V52&lt;&gt;0,资产负债!W52/资产负债!V52-1,"-")</f>
        <v>0.1901032421003146</v>
      </c>
      <c r="X140" s="403">
        <f ca="1">IF(资产负债!W52&lt;&gt;0,资产负债!X52/资产负债!W52-1,"-")</f>
        <v>0.17831386396219551</v>
      </c>
      <c r="Y140" s="403">
        <f ca="1">IF(资产负债!X52&lt;&gt;0,资产负债!Y52/资产负债!X52-1,"-")</f>
        <v>0.16938119983301259</v>
      </c>
      <c r="Z140" s="403">
        <f ca="1">IF(资产负债!Y52&lt;&gt;0,资产负债!Z52/资产负债!Y52-1,"-")</f>
        <v>0.16483272375627744</v>
      </c>
      <c r="AA140" s="403">
        <f ca="1">IF(资产负债!Z52&lt;&gt;0,资产负债!AA52/资产负债!Z52-1,"-")</f>
        <v>0.1293446456896703</v>
      </c>
      <c r="AB140" s="403">
        <f ca="1">IF(资产负债!AA52&lt;&gt;0,资产负债!AB52/资产负债!AA52-1,"-")</f>
        <v>0.12797295490292959</v>
      </c>
      <c r="AC140" s="403">
        <f ca="1">IF(资产负债!AB52&lt;&gt;0,资产负债!AC52/资产负债!AB52-1,"-")</f>
        <v>0.12679784025256247</v>
      </c>
      <c r="AD140" s="403">
        <f ca="1">IF(资产负债!AC52&lt;&gt;0,资产负债!AD52/资产负债!AC52-1,"-")</f>
        <v>0.1271679338796905</v>
      </c>
      <c r="AE140" s="403">
        <f ca="1">IF(资产负债!AD52&lt;&gt;0,资产负债!AE52/资产负债!AD52-1,"-")</f>
        <v>0.1277218024973914</v>
      </c>
      <c r="AF140" s="403">
        <f ca="1">IF(资产负债!AE52&lt;&gt;0,资产负债!AF52/资产负债!AE52-1,"-")</f>
        <v>0.12842954787257477</v>
      </c>
      <c r="AG140" s="403">
        <f ca="1">IF(资产负债!AF52&lt;&gt;0,资产负债!AG52/资产负债!AF52-1,"-")</f>
        <v>0.12851086864757488</v>
      </c>
      <c r="AH140" s="403">
        <f ca="1">IF(资产负债!AG52&lt;&gt;0,资产负债!AH52/资产负债!AG52-1,"-")</f>
        <v>0.12815862108693654</v>
      </c>
      <c r="AI140" s="403">
        <f ca="1">IF(资产负债!AH52&lt;&gt;0,资产负债!AI52/资产负债!AH52-1,"-")</f>
        <v>0.12865293880664574</v>
      </c>
      <c r="AJ140" s="403">
        <f ca="1">IF(资产负债!AI52&lt;&gt;0,资产负债!AJ52/资产负债!AI52-1,"-")</f>
        <v>0.12905007399187096</v>
      </c>
      <c r="AK140" s="403">
        <f ca="1">IF(资产负债!AJ52&lt;&gt;0,资产负债!AK52/资产负债!AJ52-1,"-")</f>
        <v>0.12893433353189332</v>
      </c>
      <c r="AL140" s="403">
        <f ca="1">IF(资产负债!AK52&lt;&gt;0,资产负债!AL52/资产负债!AK52-1,"-")</f>
        <v>0.1291505632519121</v>
      </c>
      <c r="AM140" s="196"/>
    </row>
    <row r="141" spans="1:39" s="262" customFormat="1" ht="16.5" customHeight="1">
      <c r="B141" s="256" t="s">
        <v>994</v>
      </c>
      <c r="C141" s="256" t="s">
        <v>18</v>
      </c>
      <c r="D141" s="403">
        <f>IF(资产负债!C58&lt;&gt;0,资产负债!D58/资产负债!C58-1,"-")</f>
        <v>-1</v>
      </c>
      <c r="E141" s="403" t="str">
        <f>IF(资产负债!D58&lt;&gt;0,资产负债!E58/资产负债!D58-1,"-")</f>
        <v>-</v>
      </c>
      <c r="F141" s="403">
        <f>IF(资产负债!E58&lt;&gt;0,资产负债!F58/资产负债!E58-1,"-")</f>
        <v>2.2217405916504784</v>
      </c>
      <c r="G141" s="403">
        <f>IF(资产负债!F58&lt;&gt;0,资产负债!G58/资产负债!F58-1,"-")</f>
        <v>-0.93488210610290612</v>
      </c>
      <c r="H141" s="403">
        <f>IF(资产负债!G58&lt;&gt;0,资产负债!H58/资产负债!G58-1,"-")</f>
        <v>0.35973334206364127</v>
      </c>
      <c r="I141" s="403">
        <f>IF(资产负债!H58&lt;&gt;0,资产负债!I58/资产负债!H58-1,"-")</f>
        <v>2.2299760687680066</v>
      </c>
      <c r="J141" s="403">
        <f>IF(资产负债!I58&lt;&gt;0,资产负债!J58/资产负债!I58-1,"-")</f>
        <v>-0.11192121840657332</v>
      </c>
      <c r="K141" s="403">
        <f>IF(资产负债!J58&lt;&gt;0,资产负债!K58/资产负债!J58-1,"-")</f>
        <v>-0.16682996124830929</v>
      </c>
      <c r="L141" s="403">
        <f>IF(资产负债!K58&lt;&gt;0,资产负债!L58/资产负债!K58-1,"-")</f>
        <v>7.2212118550641025E-2</v>
      </c>
      <c r="M141" s="403">
        <f>IF(资产负债!L58&lt;&gt;0,资产负债!M58/资产负债!L58-1,"-")</f>
        <v>2.9723033993134473E-2</v>
      </c>
      <c r="N141" s="403">
        <f>IF(资产负债!M58&lt;&gt;0,资产负债!N58/资产负债!M58-1,"-")</f>
        <v>-1.8804548928898157E-2</v>
      </c>
      <c r="O141" s="403">
        <f>IF(资产负债!N58&lt;&gt;0,资产负债!O58/资产负债!N58-1,"-")</f>
        <v>-3.992337492752851E-3</v>
      </c>
      <c r="P141" s="403">
        <f>IF(资产负债!O58&lt;&gt;0,资产负债!P58/资产负债!O58-1,"-")</f>
        <v>5.2239118200534396E-3</v>
      </c>
      <c r="Q141" s="403">
        <f>IF(资产负债!P58&lt;&gt;0,资产负债!Q58/资产负债!P58-1,"-")</f>
        <v>-7.6295432659412299E-6</v>
      </c>
      <c r="R141" s="403">
        <f>IF(资产负债!Q58&lt;&gt;0,资产负债!R58/资产负债!Q58-1,"-")</f>
        <v>-1.155709431917451E-3</v>
      </c>
      <c r="S141" s="403">
        <f>IF(资产负债!R58&lt;&gt;0,资产负债!S58/资产负债!R58-1,"-")</f>
        <v>1.7623781625797363E-4</v>
      </c>
      <c r="T141" s="403">
        <f>IF(资产负债!S58&lt;&gt;0,资产负债!T58/资产负债!S58-1,"-")</f>
        <v>2.4209247981343829E-4</v>
      </c>
      <c r="U141" s="403">
        <f>IF(资产负债!T58&lt;&gt;0,资产负债!U58/资产负债!T58-1,"-")</f>
        <v>-8.2413288620464265E-5</v>
      </c>
      <c r="V141" s="403">
        <f>IF(资产负债!U58&lt;&gt;0,资产负债!V58/资产负债!U58-1,"-")</f>
        <v>-4.0781964768088486E-5</v>
      </c>
      <c r="W141" s="403">
        <f>IF(资产负债!V58&lt;&gt;0,资产负债!W58/资产负债!V58-1,"-")</f>
        <v>2.4990839007088539E-5</v>
      </c>
      <c r="X141" s="403">
        <f>IF(资产负债!W58&lt;&gt;0,资产负债!X58/资产负债!W58-1,"-")</f>
        <v>5.4827922295608289E-6</v>
      </c>
      <c r="Y141" s="403">
        <f>IF(资产负债!X58&lt;&gt;0,资产负债!Y58/资产负债!X58-1,"-")</f>
        <v>-6.7084420196650285E-6</v>
      </c>
      <c r="Z141" s="403">
        <f>IF(资产负债!Y58&lt;&gt;0,资产负债!Z58/资产负债!Y58-1,"-")</f>
        <v>-1.1877198224929941E-7</v>
      </c>
      <c r="AA141" s="403">
        <f>IF(资产负债!Z58&lt;&gt;0,资产负债!AA58/资产负债!Z58-1,"-")</f>
        <v>1.5355295837071736E-6</v>
      </c>
      <c r="AB141" s="403">
        <f>IF(资产负债!AA58&lt;&gt;0,资产负债!AB58/资产负债!AA58-1,"-")</f>
        <v>-2.1483703960267775E-7</v>
      </c>
      <c r="AC141" s="403">
        <f>IF(资产负债!AB58&lt;&gt;0,资产负债!AC58/资产负债!AB58-1,"-")</f>
        <v>-3.1987883153394847E-7</v>
      </c>
      <c r="AD141" s="403">
        <f>IF(资产负债!AC58&lt;&gt;0,资产负债!AD58/资产负债!AC58-1,"-")</f>
        <v>1.0282570217512443E-7</v>
      </c>
      <c r="AE141" s="403">
        <f>IF(资产负债!AD58&lt;&gt;0,资产负债!AE58/资产负债!AD58-1,"-")</f>
        <v>5.5751968597306245E-8</v>
      </c>
      <c r="AF141" s="403">
        <f>IF(资产负债!AE58&lt;&gt;0,资产负债!AF58/资产负债!AE58-1,"-")</f>
        <v>-3.2310996656015334E-8</v>
      </c>
      <c r="AG141" s="403">
        <f>IF(资产负债!AF58&lt;&gt;0,资产负债!AG58/资产负债!AF58-1,"-")</f>
        <v>-7.6215603828089229E-9</v>
      </c>
      <c r="AH141" s="403">
        <f>IF(资产负债!AG58&lt;&gt;0,资产负债!AH58/资产负债!AG58-1,"-")</f>
        <v>8.6910387775418485E-9</v>
      </c>
      <c r="AI141" s="403">
        <f>IF(资产负债!AH58&lt;&gt;0,资产负债!AI58/资产负债!AH58-1,"-")</f>
        <v>3.0294455832802214E-10</v>
      </c>
      <c r="AJ141" s="403">
        <f>IF(资产负债!AI58&lt;&gt;0,资产负债!AJ58/资产负债!AI58-1,"-")</f>
        <v>-2.0269225187163897E-9</v>
      </c>
      <c r="AK141" s="403">
        <f>IF(资产负债!AJ58&lt;&gt;0,资产负债!AK58/资产负债!AJ58-1,"-")</f>
        <v>2.5616619936386087E-10</v>
      </c>
      <c r="AL141" s="403">
        <f>IF(资产负债!AK58&lt;&gt;0,资产负债!AL58/资产负债!AK58-1,"-")</f>
        <v>4.2408232481250252E-10</v>
      </c>
      <c r="AM141" s="196"/>
    </row>
    <row r="142" spans="1:39" s="262" customFormat="1" ht="16.5" customHeight="1">
      <c r="B142" s="260" t="s">
        <v>332</v>
      </c>
      <c r="C142" s="261" t="s">
        <v>332</v>
      </c>
      <c r="D142" s="401">
        <f>IF(资产负债!C70&lt;&gt;0,资产负债!D70/资产负债!C70-1,"-")</f>
        <v>3.7021889112080038</v>
      </c>
      <c r="E142" s="401">
        <f>IF(资产负债!D70&lt;&gt;0,资产负债!E70/资产负债!D70-1,"-")</f>
        <v>-0.3149597863298822</v>
      </c>
      <c r="F142" s="401">
        <f>IF(资产负债!E70&lt;&gt;0,资产负债!F70/资产负债!E70-1,"-")</f>
        <v>1.6522848867865303</v>
      </c>
      <c r="G142" s="401">
        <f>IF(资产负债!F70&lt;&gt;0,资产负债!G70/资产负债!F70-1,"-")</f>
        <v>2.6274716836217635</v>
      </c>
      <c r="H142" s="401">
        <f>IF(资产负债!G70&lt;&gt;0,资产负债!H70/资产负债!G70-1,"-")</f>
        <v>-5.2411796977932079E-2</v>
      </c>
      <c r="I142" s="401">
        <f ca="1">IF(资产负债!H70&lt;&gt;0,资产负债!I70/资产负债!H70-1,"-")</f>
        <v>-0.13274826769558179</v>
      </c>
      <c r="J142" s="401">
        <f ca="1">IF(资产负债!I70&lt;&gt;0,资产负债!J70/资产负债!I70-1,"-")</f>
        <v>-0.10445222333564652</v>
      </c>
      <c r="K142" s="401">
        <f ca="1">IF(资产负债!J70&lt;&gt;0,资产负债!K70/资产负债!J70-1,"-")</f>
        <v>-0.12359716147602384</v>
      </c>
      <c r="L142" s="401">
        <f ca="1">IF(资产负债!K70&lt;&gt;0,资产负债!L70/资产负债!K70-1,"-")</f>
        <v>-0.19581294825149798</v>
      </c>
      <c r="M142" s="401">
        <f ca="1">IF(资产负债!L70&lt;&gt;0,资产负债!M70/资产负债!L70-1,"-")</f>
        <v>-0.30001973623899392</v>
      </c>
      <c r="N142" s="401">
        <f ca="1">IF(资产负债!M70&lt;&gt;0,资产负债!N70/资产负债!M70-1,"-")</f>
        <v>1.2380913263962956E-2</v>
      </c>
      <c r="O142" s="401">
        <f ca="1">IF(资产负债!N70&lt;&gt;0,资产负债!O70/资产负债!N70-1,"-")</f>
        <v>5.7206565155633493E-2</v>
      </c>
      <c r="P142" s="401">
        <f ca="1">IF(资产负债!O70&lt;&gt;0,资产负债!P70/资产负债!O70-1,"-")</f>
        <v>5.9302501946961961E-2</v>
      </c>
      <c r="Q142" s="401">
        <f ca="1">IF(资产负债!P70&lt;&gt;0,资产负债!Q70/资产负债!P70-1,"-")</f>
        <v>4.4376536766109309E-2</v>
      </c>
      <c r="R142" s="401">
        <f ca="1">IF(资产负债!Q70&lt;&gt;0,资产负债!R70/资产负债!Q70-1,"-")</f>
        <v>3.9048963213654364E-2</v>
      </c>
      <c r="S142" s="401">
        <f ca="1">IF(资产负债!R70&lt;&gt;0,资产负债!S70/资产负债!R70-1,"-")</f>
        <v>5.7406797246412289E-2</v>
      </c>
      <c r="T142" s="401">
        <f ca="1">IF(资产负债!S70&lt;&gt;0,资产负债!T70/资产负债!S70-1,"-")</f>
        <v>6.801464966827675E-2</v>
      </c>
      <c r="U142" s="401">
        <f ca="1">IF(资产负债!T70&lt;&gt;0,资产负债!U70/资产负债!T70-1,"-")</f>
        <v>6.7864121899591012E-2</v>
      </c>
      <c r="V142" s="401">
        <f ca="1">IF(资产负债!U70&lt;&gt;0,资产负债!V70/资产负债!U70-1,"-")</f>
        <v>0.14176099762146932</v>
      </c>
      <c r="W142" s="401">
        <f ca="1">IF(资产负债!V70&lt;&gt;0,资产负债!W70/资产负债!V70-1,"-")</f>
        <v>0.12759202972388817</v>
      </c>
      <c r="X142" s="401">
        <f ca="1">IF(资产负债!W70&lt;&gt;0,资产负债!X70/资产负债!W70-1,"-")</f>
        <v>0.11865727278134752</v>
      </c>
      <c r="Y142" s="401">
        <f ca="1">IF(资产负债!X70&lt;&gt;0,资产负债!Y70/资产负债!X70-1,"-")</f>
        <v>0.10567034165853206</v>
      </c>
      <c r="Z142" s="401">
        <f ca="1">IF(资产负债!Y70&lt;&gt;0,资产负债!Z70/资产负债!Y70-1,"-")</f>
        <v>9.3522419893223185E-2</v>
      </c>
      <c r="AA142" s="401">
        <f ca="1">IF(资产负债!Z70&lt;&gt;0,资产负债!AA70/资产负债!Z70-1,"-")</f>
        <v>9.5220687510439106E-2</v>
      </c>
      <c r="AB142" s="401">
        <f ca="1">IF(资产负债!AA70&lt;&gt;0,资产负债!AB70/资产负债!AA70-1,"-")</f>
        <v>9.8523978671008594E-2</v>
      </c>
      <c r="AC142" s="401">
        <f ca="1">IF(资产负债!AB70&lt;&gt;0,资产负债!AC70/资产负债!AB70-1,"-")</f>
        <v>0.10277016954127771</v>
      </c>
      <c r="AD142" s="401">
        <f ca="1">IF(资产负债!AC70&lt;&gt;0,资产负债!AD70/资产负债!AC70-1,"-")</f>
        <v>0.10487231073011816</v>
      </c>
      <c r="AE142" s="401">
        <f ca="1">IF(资产负债!AD70&lt;&gt;0,资产负债!AE70/资产负债!AD70-1,"-")</f>
        <v>0.10640240934551803</v>
      </c>
      <c r="AF142" s="401">
        <f ca="1">IF(资产负债!AE70&lt;&gt;0,资产负债!AF70/资产负债!AE70-1,"-")</f>
        <v>0.10910963854928624</v>
      </c>
      <c r="AG142" s="401">
        <f ca="1">IF(资产负债!AF70&lt;&gt;0,资产负债!AG70/资产负债!AF70-1,"-")</f>
        <v>0.11129248013524795</v>
      </c>
      <c r="AH142" s="401">
        <f ca="1">IF(资产负债!AG70&lt;&gt;0,资产负债!AH70/资产负债!AG70-1,"-")</f>
        <v>0.11303220124589286</v>
      </c>
      <c r="AI142" s="401">
        <f ca="1">IF(资产负债!AH70&lt;&gt;0,资产负债!AI70/资产负债!AH70-1,"-")</f>
        <v>0.11498173829162184</v>
      </c>
      <c r="AJ142" s="401">
        <f ca="1">IF(资产负债!AI70&lt;&gt;0,资产负债!AJ70/资产负债!AI70-1,"-")</f>
        <v>0.11639654264133137</v>
      </c>
      <c r="AK142" s="401">
        <f ca="1">IF(资产负债!AJ70&lt;&gt;0,资产负债!AK70/资产负债!AJ70-1,"-")</f>
        <v>0.11769914963632511</v>
      </c>
      <c r="AL142" s="401">
        <f ca="1">IF(资产负债!AK70&lt;&gt;0,资产负债!AL70/资产负债!AK70-1,"-")</f>
        <v>0.11927808165010956</v>
      </c>
      <c r="AM142" s="196"/>
    </row>
    <row r="143" spans="1:39" s="262" customFormat="1" ht="16.5" customHeight="1">
      <c r="B143" s="256" t="s">
        <v>999</v>
      </c>
      <c r="C143" s="256" t="s">
        <v>19</v>
      </c>
      <c r="D143" s="403">
        <f>IF(资产负债!C62&lt;&gt;0,资产负债!D62/资产负债!C62-1,"-")</f>
        <v>6.0382975347402432</v>
      </c>
      <c r="E143" s="403">
        <f>IF(资产负债!D62&lt;&gt;0,资产负债!E62/资产负债!D62-1,"-")</f>
        <v>-0.41634213475812176</v>
      </c>
      <c r="F143" s="403">
        <f>IF(资产负债!E62&lt;&gt;0,资产负债!F62/资产负债!E62-1,"-")</f>
        <v>1.8677170509208154</v>
      </c>
      <c r="G143" s="403">
        <f>IF(资产负债!F62&lt;&gt;0,资产负债!G62/资产负债!F62-1,"-")</f>
        <v>3.0524162511185002</v>
      </c>
      <c r="H143" s="403">
        <f>IF(资产负债!G62&lt;&gt;0,资产负债!H62/资产负债!G62-1,"-")</f>
        <v>-0.1728989955741963</v>
      </c>
      <c r="I143" s="403">
        <f ca="1">IF(资产负债!H62&lt;&gt;0,资产负债!I62/资产负债!H62-1,"-")</f>
        <v>-0.19785294581306423</v>
      </c>
      <c r="J143" s="403">
        <f ca="1">IF(资产负债!I62&lt;&gt;0,资产负债!J62/资产负债!I62-1,"-")</f>
        <v>-0.13439995260204396</v>
      </c>
      <c r="K143" s="403">
        <f ca="1">IF(资产负债!J62&lt;&gt;0,资产负债!K62/资产负债!J62-1,"-")</f>
        <v>-0.18244780913361458</v>
      </c>
      <c r="L143" s="403">
        <f ca="1">IF(资产负债!K62&lt;&gt;0,资产负债!L62/资产负债!K62-1,"-")</f>
        <v>-0.30082938114108948</v>
      </c>
      <c r="M143" s="403">
        <f ca="1">IF(资产负债!L62&lt;&gt;0,资产负债!M62/资产负债!L62-1,"-")</f>
        <v>-0.53406742571922461</v>
      </c>
      <c r="N143" s="403">
        <f ca="1">IF(资产负债!M62&lt;&gt;0,资产负债!N62/资产负债!M62-1,"-")</f>
        <v>3.3654570224343372E-2</v>
      </c>
      <c r="O143" s="403">
        <f ca="1">IF(资产负债!N62&lt;&gt;0,资产负债!O62/资产负债!N62-1,"-")</f>
        <v>0.14941253378876063</v>
      </c>
      <c r="P143" s="403">
        <f ca="1">IF(资产负债!O62&lt;&gt;0,资产负债!P62/资产负债!O62-1,"-")</f>
        <v>0.14270069974638044</v>
      </c>
      <c r="Q143" s="403">
        <f ca="1">IF(资产负债!P62&lt;&gt;0,资产负债!Q62/资产负债!P62-1,"-")</f>
        <v>9.8935681901812345E-2</v>
      </c>
      <c r="R143" s="403">
        <f ca="1">IF(资产负债!Q62&lt;&gt;0,资产负债!R62/资产负债!Q62-1,"-")</f>
        <v>8.2754408470498531E-2</v>
      </c>
      <c r="S143" s="403">
        <f ca="1">IF(资产负债!R62&lt;&gt;0,资产负债!S62/资产负债!R62-1,"-")</f>
        <v>0.11673994092933904</v>
      </c>
      <c r="T143" s="403">
        <f ca="1">IF(资产负债!S62&lt;&gt;0,资产负债!T62/资产负债!S62-1,"-")</f>
        <v>0.13096517170606092</v>
      </c>
      <c r="U143" s="403">
        <f ca="1">IF(资产负债!T62&lt;&gt;0,资产负债!U62/资产负债!T62-1,"-")</f>
        <v>0.12340125916966538</v>
      </c>
      <c r="V143" s="403">
        <f ca="1">IF(资产负债!U62&lt;&gt;0,资产负债!V62/资产负债!U62-1,"-")</f>
        <v>0.2450291465270884</v>
      </c>
      <c r="W143" s="403">
        <f ca="1">IF(资产负债!V62&lt;&gt;0,资产负债!W62/资产负债!V62-1,"-")</f>
        <v>0.2022460855403776</v>
      </c>
      <c r="X143" s="403">
        <f ca="1">IF(资产负债!W62&lt;&gt;0,资产负债!X62/资产负债!W62-1,"-")</f>
        <v>0.17640447436047402</v>
      </c>
      <c r="Y143" s="403">
        <f ca="1">IF(资产负债!X62&lt;&gt;0,资产负债!Y62/资产负债!X62-1,"-")</f>
        <v>0.14938559422326225</v>
      </c>
      <c r="Z143" s="403">
        <f ca="1">IF(资产负债!Y62&lt;&gt;0,资产负债!Z62/资产负债!Y62-1,"-")</f>
        <v>0.12718364193287113</v>
      </c>
      <c r="AA143" s="403">
        <f ca="1">IF(资产负债!Z62&lt;&gt;0,资产负债!AA62/资产负债!Z62-1,"-")</f>
        <v>0.12562609119474333</v>
      </c>
      <c r="AB143" s="403">
        <f ca="1">IF(资产负债!AA62&lt;&gt;0,资产负债!AB62/资产负债!AA62-1,"-")</f>
        <v>0.12647304168044315</v>
      </c>
      <c r="AC143" s="403">
        <f ca="1">IF(资产负债!AB62&lt;&gt;0,资产负债!AC62/资产负债!AB62-1,"-")</f>
        <v>0.128650605091718</v>
      </c>
      <c r="AD143" s="403">
        <f ca="1">IF(资产负债!AC62&lt;&gt;0,资产负债!AD62/资产负债!AC62-1,"-")</f>
        <v>0.12827177027141978</v>
      </c>
      <c r="AE143" s="403">
        <f ca="1">IF(资产负债!AD62&lt;&gt;0,资产负债!AE62/资产负债!AD62-1,"-")</f>
        <v>0.12744420164016179</v>
      </c>
      <c r="AF143" s="403">
        <f ca="1">IF(资产负债!AE62&lt;&gt;0,资产负债!AF62/资产负债!AE62-1,"-")</f>
        <v>0.12824776090834011</v>
      </c>
      <c r="AG143" s="403">
        <f ca="1">IF(资产负债!AF62&lt;&gt;0,资产负债!AG62/资产负债!AF62-1,"-")</f>
        <v>0.1285945296373574</v>
      </c>
      <c r="AH143" s="403">
        <f ca="1">IF(资产负债!AG62&lt;&gt;0,资产负债!AH62/资产负债!AG62-1,"-")</f>
        <v>0.12860246516411156</v>
      </c>
      <c r="AI143" s="403">
        <f ca="1">IF(资产负债!AH62&lt;&gt;0,资产负债!AI62/资产负债!AH62-1,"-")</f>
        <v>0.12901574449295516</v>
      </c>
      <c r="AJ143" s="403">
        <f ca="1">IF(资产负债!AI62&lt;&gt;0,资产负债!AJ62/资产负债!AI62-1,"-")</f>
        <v>0.12897979412367455</v>
      </c>
      <c r="AK143" s="403">
        <f ca="1">IF(资产负债!AJ62&lt;&gt;0,资产负债!AK62/资产负债!AJ62-1,"-")</f>
        <v>0.12896956576976426</v>
      </c>
      <c r="AL143" s="403">
        <f ca="1">IF(资产负债!AK62&lt;&gt;0,资产负债!AL62/资产负债!AK62-1,"-")</f>
        <v>0.12939492528623076</v>
      </c>
      <c r="AM143" s="196"/>
    </row>
    <row r="144" spans="1:39" s="262" customFormat="1" ht="16.5" customHeight="1">
      <c r="B144" s="256" t="s">
        <v>1000</v>
      </c>
      <c r="C144" s="256" t="s">
        <v>20</v>
      </c>
      <c r="D144" s="403" t="str">
        <f>IF(资产负债!C64&lt;&gt;0,资产负债!D64/资产负债!C64-1,"-")</f>
        <v>-</v>
      </c>
      <c r="E144" s="403" t="str">
        <f>IF(资产负债!D64&lt;&gt;0,资产负债!E64/资产负债!D64-1,"-")</f>
        <v>-</v>
      </c>
      <c r="F144" s="403" t="str">
        <f>IF(资产负债!E64&lt;&gt;0,资产负债!F64/资产负债!E64-1,"-")</f>
        <v>-</v>
      </c>
      <c r="G144" s="403" t="str">
        <f>IF(资产负债!F64&lt;&gt;0,资产负债!G64/资产负债!F64-1,"-")</f>
        <v>-</v>
      </c>
      <c r="H144" s="403" t="str">
        <f>IF(资产负债!G64&lt;&gt;0,资产负债!H64/资产负债!G64-1,"-")</f>
        <v>-</v>
      </c>
      <c r="I144" s="403" t="str">
        <f>IF(资产负债!H64&lt;&gt;0,资产负债!I64/资产负债!H64-1,"-")</f>
        <v>-</v>
      </c>
      <c r="J144" s="403" t="str">
        <f>IF(资产负债!I64&lt;&gt;0,资产负债!J64/资产负债!I64-1,"-")</f>
        <v>-</v>
      </c>
      <c r="K144" s="403" t="str">
        <f>IF(资产负债!J64&lt;&gt;0,资产负债!K64/资产负债!J64-1,"-")</f>
        <v>-</v>
      </c>
      <c r="L144" s="403" t="str">
        <f>IF(资产负债!K64&lt;&gt;0,资产负债!L64/资产负债!K64-1,"-")</f>
        <v>-</v>
      </c>
      <c r="M144" s="403" t="str">
        <f>IF(资产负债!L64&lt;&gt;0,资产负债!M64/资产负债!L64-1,"-")</f>
        <v>-</v>
      </c>
      <c r="N144" s="403" t="str">
        <f>IF(资产负债!M64&lt;&gt;0,资产负债!N64/资产负债!M64-1,"-")</f>
        <v>-</v>
      </c>
      <c r="O144" s="403" t="str">
        <f>IF(资产负债!N64&lt;&gt;0,资产负债!O64/资产负债!N64-1,"-")</f>
        <v>-</v>
      </c>
      <c r="P144" s="403" t="str">
        <f>IF(资产负债!O64&lt;&gt;0,资产负债!P64/资产负债!O64-1,"-")</f>
        <v>-</v>
      </c>
      <c r="Q144" s="403" t="str">
        <f>IF(资产负债!P64&lt;&gt;0,资产负债!Q64/资产负债!P64-1,"-")</f>
        <v>-</v>
      </c>
      <c r="R144" s="403" t="str">
        <f>IF(资产负债!Q64&lt;&gt;0,资产负债!R64/资产负债!Q64-1,"-")</f>
        <v>-</v>
      </c>
      <c r="S144" s="403" t="str">
        <f>IF(资产负债!R64&lt;&gt;0,资产负债!S64/资产负债!R64-1,"-")</f>
        <v>-</v>
      </c>
      <c r="T144" s="403" t="str">
        <f>IF(资产负债!S64&lt;&gt;0,资产负债!T64/资产负债!S64-1,"-")</f>
        <v>-</v>
      </c>
      <c r="U144" s="403" t="str">
        <f>IF(资产负债!T64&lt;&gt;0,资产负债!U64/资产负债!T64-1,"-")</f>
        <v>-</v>
      </c>
      <c r="V144" s="403" t="str">
        <f>IF(资产负债!U64&lt;&gt;0,资产负债!V64/资产负债!U64-1,"-")</f>
        <v>-</v>
      </c>
      <c r="W144" s="403" t="str">
        <f>IF(资产负债!V64&lt;&gt;0,资产负债!W64/资产负债!V64-1,"-")</f>
        <v>-</v>
      </c>
      <c r="X144" s="403" t="str">
        <f>IF(资产负债!W64&lt;&gt;0,资产负债!X64/资产负债!W64-1,"-")</f>
        <v>-</v>
      </c>
      <c r="Y144" s="403" t="str">
        <f>IF(资产负债!X64&lt;&gt;0,资产负债!Y64/资产负债!X64-1,"-")</f>
        <v>-</v>
      </c>
      <c r="Z144" s="403" t="str">
        <f>IF(资产负债!Y64&lt;&gt;0,资产负债!Z64/资产负债!Y64-1,"-")</f>
        <v>-</v>
      </c>
      <c r="AA144" s="403" t="str">
        <f>IF(资产负债!Z64&lt;&gt;0,资产负债!AA64/资产负债!Z64-1,"-")</f>
        <v>-</v>
      </c>
      <c r="AB144" s="403" t="str">
        <f>IF(资产负债!AA64&lt;&gt;0,资产负债!AB64/资产负债!AA64-1,"-")</f>
        <v>-</v>
      </c>
      <c r="AC144" s="403" t="str">
        <f>IF(资产负债!AB64&lt;&gt;0,资产负债!AC64/资产负债!AB64-1,"-")</f>
        <v>-</v>
      </c>
      <c r="AD144" s="403" t="str">
        <f>IF(资产负债!AC64&lt;&gt;0,资产负债!AD64/资产负债!AC64-1,"-")</f>
        <v>-</v>
      </c>
      <c r="AE144" s="403" t="str">
        <f>IF(资产负债!AD64&lt;&gt;0,资产负债!AE64/资产负债!AD64-1,"-")</f>
        <v>-</v>
      </c>
      <c r="AF144" s="403" t="str">
        <f>IF(资产负债!AE64&lt;&gt;0,资产负债!AF64/资产负债!AE64-1,"-")</f>
        <v>-</v>
      </c>
      <c r="AG144" s="403" t="str">
        <f>IF(资产负债!AF64&lt;&gt;0,资产负债!AG64/资产负债!AF64-1,"-")</f>
        <v>-</v>
      </c>
      <c r="AH144" s="403" t="str">
        <f>IF(资产负债!AG64&lt;&gt;0,资产负债!AH64/资产负债!AG64-1,"-")</f>
        <v>-</v>
      </c>
      <c r="AI144" s="403" t="str">
        <f>IF(资产负债!AH64&lt;&gt;0,资产负债!AI64/资产负债!AH64-1,"-")</f>
        <v>-</v>
      </c>
      <c r="AJ144" s="403" t="str">
        <f>IF(资产负债!AI64&lt;&gt;0,资产负债!AJ64/资产负债!AI64-1,"-")</f>
        <v>-</v>
      </c>
      <c r="AK144" s="403" t="str">
        <f>IF(资产负债!AJ64&lt;&gt;0,资产负债!AK64/资产负债!AJ64-1,"-")</f>
        <v>-</v>
      </c>
      <c r="AL144" s="403" t="str">
        <f>IF(资产负债!AK64&lt;&gt;0,资产负债!AL64/资产负债!AK64-1,"-")</f>
        <v>-</v>
      </c>
      <c r="AM144" s="196"/>
    </row>
    <row r="145" spans="2:39" s="262" customFormat="1" ht="16.5" customHeight="1">
      <c r="B145" s="256" t="s">
        <v>140</v>
      </c>
      <c r="C145" s="256" t="s">
        <v>21</v>
      </c>
      <c r="D145" s="403" t="str">
        <f>IF(资产负债!C65&lt;&gt;0,资产负债!D65/资产负债!C65-1,"-")</f>
        <v>-</v>
      </c>
      <c r="E145" s="403">
        <f>IF(资产负债!D65&lt;&gt;0,资产负债!E65/资产负债!D65-1,"-")</f>
        <v>-1</v>
      </c>
      <c r="F145" s="403" t="str">
        <f>IF(资产负债!E65&lt;&gt;0,资产负债!F65/资产负债!E65-1,"-")</f>
        <v>-</v>
      </c>
      <c r="G145" s="403">
        <f>IF(资产负债!F65&lt;&gt;0,资产负债!G65/资产负债!F65-1,"-")</f>
        <v>-0.95494983505811926</v>
      </c>
      <c r="H145" s="403">
        <f>IF(资产负债!G65&lt;&gt;0,资产负债!H65/资产负债!G65-1,"-")</f>
        <v>11246.990188320937</v>
      </c>
      <c r="I145" s="403">
        <f>IF(资产负债!H65&lt;&gt;0,资产负债!I65/资产负债!H65-1,"-")</f>
        <v>0.10076594349426049</v>
      </c>
      <c r="J145" s="403">
        <f>IF(资产负债!I65&lt;&gt;0,资产负债!J65/资产负债!I65-1,"-")</f>
        <v>-3.0513887198214684E-2</v>
      </c>
      <c r="K145" s="403">
        <f>IF(资产负债!J65&lt;&gt;0,资产负债!K65/资产负债!J65-1,"-")</f>
        <v>1.0491430045700634E-2</v>
      </c>
      <c r="L145" s="403">
        <f>IF(资产负债!K65&lt;&gt;0,资产负债!L65/资产负债!K65-1,"-")</f>
        <v>-3.4608342481526888E-3</v>
      </c>
      <c r="M145" s="403">
        <f>IF(资产负债!L65&lt;&gt;0,资产负债!M65/资产负债!L65-1,"-")</f>
        <v>1.1576177391687814E-3</v>
      </c>
      <c r="N145" s="403">
        <f>IF(资产负债!M65&lt;&gt;0,资产负债!N65/资产负债!M65-1,"-")</f>
        <v>-3.8542640328131927E-4</v>
      </c>
      <c r="O145" s="403">
        <f>IF(资产负债!N65&lt;&gt;0,资产负债!O65/资产负债!N65-1,"-")</f>
        <v>1.2852500469073824E-4</v>
      </c>
      <c r="P145" s="403">
        <f>IF(资产负债!O65&lt;&gt;0,资产负债!P65/资产负债!O65-1,"-")</f>
        <v>-4.2836162712167614E-5</v>
      </c>
      <c r="Q145" s="403">
        <f>IF(资产负债!P65&lt;&gt;0,资产负债!Q65/资产负债!P65-1,"-")</f>
        <v>1.4279332575695136E-5</v>
      </c>
      <c r="R145" s="403">
        <f>IF(资产负债!Q65&lt;&gt;0,资产负债!R65/资产负债!Q65-1,"-")</f>
        <v>-4.7597095597096128E-6</v>
      </c>
      <c r="S145" s="403">
        <f>IF(资产负债!R65&lt;&gt;0,资产负债!S65/资产负债!R65-1,"-")</f>
        <v>1.5865774047885139E-6</v>
      </c>
      <c r="T145" s="403">
        <f>IF(资产负债!S65&lt;&gt;0,资产负债!T65/资产负债!S65-1,"-")</f>
        <v>-5.2885829571192033E-7</v>
      </c>
      <c r="U145" s="403">
        <f>IF(资产负债!T65&lt;&gt;0,资产负债!U65/资产负债!T65-1,"-")</f>
        <v>1.7628619186638161E-7</v>
      </c>
      <c r="V145" s="403">
        <f>IF(资产负债!U65&lt;&gt;0,资产负债!V65/资产负债!U65-1,"-")</f>
        <v>-5.8762053556371541E-8</v>
      </c>
      <c r="W145" s="403">
        <f>IF(资产负债!V65&lt;&gt;0,资产负债!W65/资产负债!V65-1,"-")</f>
        <v>1.9587352406702507E-8</v>
      </c>
      <c r="X145" s="403">
        <f>IF(资产负债!W65&lt;&gt;0,资产负债!X65/资产负债!W65-1,"-")</f>
        <v>-6.5291172468562308E-9</v>
      </c>
      <c r="Y145" s="403">
        <f>IF(资产负债!X65&lt;&gt;0,资产负债!Y65/资产负债!X65-1,"-")</f>
        <v>2.1763721935741387E-9</v>
      </c>
      <c r="Z145" s="403">
        <f>IF(资产负债!Y65&lt;&gt;0,资产负债!Z65/资产负债!Y65-1,"-")</f>
        <v>-7.2545747187291454E-10</v>
      </c>
      <c r="AA145" s="403">
        <f>IF(资产负债!Z65&lt;&gt;0,资产负债!AA65/资产负债!Z65-1,"-")</f>
        <v>2.418190092612349E-10</v>
      </c>
      <c r="AB145" s="403">
        <f>IF(资产负债!AA65&lt;&gt;0,资产负债!AB65/资产负债!AA65-1,"-")</f>
        <v>-8.060641043527994E-11</v>
      </c>
      <c r="AC145" s="403">
        <f>IF(资产负债!AB65&lt;&gt;0,资产负债!AC65/资产负债!AB65-1,"-")</f>
        <v>2.6868951508163263E-11</v>
      </c>
      <c r="AD145" s="403">
        <f>IF(资产负债!AC65&lt;&gt;0,资产负债!AD65/资产负债!AC65-1,"-")</f>
        <v>-8.9563911842560628E-12</v>
      </c>
      <c r="AE145" s="403">
        <f>IF(资产负债!AD65&lt;&gt;0,资产负债!AE65/资产负债!AD65-1,"-")</f>
        <v>2.985611757821971E-12</v>
      </c>
      <c r="AF145" s="403">
        <f>IF(资产负债!AE65&lt;&gt;0,资产负债!AF65/资产负债!AE65-1,"-")</f>
        <v>-9.9520391927399032E-13</v>
      </c>
      <c r="AG145" s="403">
        <f>IF(资产负债!AF65&lt;&gt;0,资产负债!AG65/资产负债!AF65-1,"-")</f>
        <v>3.3173463975799677E-13</v>
      </c>
      <c r="AH145" s="403">
        <f>IF(资产负债!AG65&lt;&gt;0,资产负债!AH65/资产负债!AG65-1,"-")</f>
        <v>-1.1068923555512811E-13</v>
      </c>
      <c r="AI145" s="403">
        <f>IF(资产负债!AH65&lt;&gt;0,资产负债!AI65/资产负债!AH65-1,"-")</f>
        <v>3.6859404417555197E-14</v>
      </c>
      <c r="AJ145" s="403">
        <f>IF(资产负债!AI65&lt;&gt;0,资产负债!AJ65/资产负债!AI65-1,"-")</f>
        <v>-1.2434497875801753E-14</v>
      </c>
      <c r="AK145" s="403">
        <f>IF(资产负债!AJ65&lt;&gt;0,资产负债!AK65/资产负债!AJ65-1,"-")</f>
        <v>4.2188474935755949E-15</v>
      </c>
      <c r="AL145" s="403">
        <f>IF(资产负债!AK65&lt;&gt;0,资产负债!AL65/资产负债!AK65-1,"-")</f>
        <v>-1.3322676295501878E-15</v>
      </c>
      <c r="AM145" s="196"/>
    </row>
    <row r="146" spans="2:39" s="262" customFormat="1" ht="16.5" customHeight="1">
      <c r="B146" s="256" t="s">
        <v>141</v>
      </c>
      <c r="C146" s="256" t="s">
        <v>22</v>
      </c>
      <c r="D146" s="403" t="str">
        <f>IF(资产负债!C68&lt;&gt;0,资产负债!D68/资产负债!C68-1,"-")</f>
        <v>-</v>
      </c>
      <c r="E146" s="403" t="str">
        <f>IF(资产负债!D68&lt;&gt;0,资产负债!E68/资产负债!D68-1,"-")</f>
        <v>-</v>
      </c>
      <c r="F146" s="403" t="str">
        <f>IF(资产负债!E68&lt;&gt;0,资产负债!F68/资产负债!E68-1,"-")</f>
        <v>-</v>
      </c>
      <c r="G146" s="403">
        <f>IF(资产负债!F68&lt;&gt;0,资产负债!G68/资产负债!F68-1,"-")</f>
        <v>9.971948247493339</v>
      </c>
      <c r="H146" s="403">
        <f>IF(资产负债!G68&lt;&gt;0,资产负债!H68/资产负债!G68-1,"-")</f>
        <v>1.6431728165229975</v>
      </c>
      <c r="I146" s="403">
        <f>IF(资产负债!H68&lt;&gt;0,资产负债!I68/资产负债!H68-1,"-")</f>
        <v>0</v>
      </c>
      <c r="J146" s="403">
        <f>IF(资产负债!I68&lt;&gt;0,资产负债!J68/资产负债!I68-1,"-")</f>
        <v>0</v>
      </c>
      <c r="K146" s="403">
        <f>IF(资产负债!J68&lt;&gt;0,资产负债!K68/资产负债!J68-1,"-")</f>
        <v>0</v>
      </c>
      <c r="L146" s="403">
        <f>IF(资产负债!K68&lt;&gt;0,资产负债!L68/资产负债!K68-1,"-")</f>
        <v>0</v>
      </c>
      <c r="M146" s="403">
        <f>IF(资产负债!L68&lt;&gt;0,资产负债!M68/资产负债!L68-1,"-")</f>
        <v>0</v>
      </c>
      <c r="N146" s="403">
        <f>IF(资产负债!M68&lt;&gt;0,资产负债!N68/资产负债!M68-1,"-")</f>
        <v>0</v>
      </c>
      <c r="O146" s="403">
        <f>IF(资产负债!N68&lt;&gt;0,资产负债!O68/资产负债!N68-1,"-")</f>
        <v>0</v>
      </c>
      <c r="P146" s="403">
        <f>IF(资产负债!O68&lt;&gt;0,资产负债!P68/资产负债!O68-1,"-")</f>
        <v>0</v>
      </c>
      <c r="Q146" s="403">
        <f>IF(资产负债!P68&lt;&gt;0,资产负债!Q68/资产负债!P68-1,"-")</f>
        <v>0</v>
      </c>
      <c r="R146" s="403">
        <f>IF(资产负债!Q68&lt;&gt;0,资产负债!R68/资产负债!Q68-1,"-")</f>
        <v>0</v>
      </c>
      <c r="S146" s="403">
        <f>IF(资产负债!R68&lt;&gt;0,资产负债!S68/资产负债!R68-1,"-")</f>
        <v>0</v>
      </c>
      <c r="T146" s="403">
        <f>IF(资产负债!S68&lt;&gt;0,资产负债!T68/资产负债!S68-1,"-")</f>
        <v>0</v>
      </c>
      <c r="U146" s="403">
        <f>IF(资产负债!T68&lt;&gt;0,资产负债!U68/资产负债!T68-1,"-")</f>
        <v>0</v>
      </c>
      <c r="V146" s="403">
        <f>IF(资产负债!U68&lt;&gt;0,资产负债!V68/资产负债!U68-1,"-")</f>
        <v>0</v>
      </c>
      <c r="W146" s="403">
        <f>IF(资产负债!V68&lt;&gt;0,资产负债!W68/资产负债!V68-1,"-")</f>
        <v>0</v>
      </c>
      <c r="X146" s="403">
        <f>IF(资产负债!W68&lt;&gt;0,资产负债!X68/资产负债!W68-1,"-")</f>
        <v>0</v>
      </c>
      <c r="Y146" s="403">
        <f>IF(资产负债!X68&lt;&gt;0,资产负债!Y68/资产负债!X68-1,"-")</f>
        <v>0</v>
      </c>
      <c r="Z146" s="403">
        <f>IF(资产负债!Y68&lt;&gt;0,资产负债!Z68/资产负债!Y68-1,"-")</f>
        <v>0</v>
      </c>
      <c r="AA146" s="403">
        <f>IF(资产负债!Z68&lt;&gt;0,资产负债!AA68/资产负债!Z68-1,"-")</f>
        <v>0</v>
      </c>
      <c r="AB146" s="403">
        <f>IF(资产负债!AA68&lt;&gt;0,资产负债!AB68/资产负债!AA68-1,"-")</f>
        <v>0</v>
      </c>
      <c r="AC146" s="403">
        <f>IF(资产负债!AB68&lt;&gt;0,资产负债!AC68/资产负债!AB68-1,"-")</f>
        <v>0</v>
      </c>
      <c r="AD146" s="403">
        <f>IF(资产负债!AC68&lt;&gt;0,资产负债!AD68/资产负债!AC68-1,"-")</f>
        <v>0</v>
      </c>
      <c r="AE146" s="403">
        <f>IF(资产负债!AD68&lt;&gt;0,资产负债!AE68/资产负债!AD68-1,"-")</f>
        <v>0</v>
      </c>
      <c r="AF146" s="403">
        <f>IF(资产负债!AE68&lt;&gt;0,资产负债!AF68/资产负债!AE68-1,"-")</f>
        <v>0</v>
      </c>
      <c r="AG146" s="403">
        <f>IF(资产负债!AF68&lt;&gt;0,资产负债!AG68/资产负债!AF68-1,"-")</f>
        <v>0</v>
      </c>
      <c r="AH146" s="403">
        <f>IF(资产负债!AG68&lt;&gt;0,资产负债!AH68/资产负债!AG68-1,"-")</f>
        <v>0</v>
      </c>
      <c r="AI146" s="403">
        <f>IF(资产负债!AH68&lt;&gt;0,资产负债!AI68/资产负债!AH68-1,"-")</f>
        <v>0</v>
      </c>
      <c r="AJ146" s="403">
        <f>IF(资产负债!AI68&lt;&gt;0,资产负债!AJ68/资产负债!AI68-1,"-")</f>
        <v>0</v>
      </c>
      <c r="AK146" s="403">
        <f>IF(资产负债!AJ68&lt;&gt;0,资产负债!AK68/资产负债!AJ68-1,"-")</f>
        <v>0</v>
      </c>
      <c r="AL146" s="403">
        <f>IF(资产负债!AK68&lt;&gt;0,资产负债!AL68/资产负债!AK68-1,"-")</f>
        <v>0</v>
      </c>
      <c r="AM146" s="196"/>
    </row>
    <row r="147" spans="2:39" s="262" customFormat="1" ht="16.5" customHeight="1">
      <c r="B147" s="260"/>
      <c r="C147" s="413"/>
      <c r="D147" s="399"/>
      <c r="E147" s="399"/>
      <c r="F147" s="399"/>
      <c r="G147" s="396"/>
      <c r="H147" s="396"/>
      <c r="I147" s="396"/>
      <c r="J147" s="396"/>
      <c r="K147" s="396"/>
      <c r="L147" s="396"/>
      <c r="M147" s="397"/>
      <c r="N147" s="397"/>
      <c r="O147" s="397"/>
      <c r="P147" s="397"/>
      <c r="Q147" s="397"/>
      <c r="R147" s="397"/>
      <c r="S147" s="397"/>
      <c r="T147" s="397"/>
      <c r="U147" s="397"/>
      <c r="V147" s="397"/>
      <c r="W147" s="397"/>
      <c r="X147" s="397"/>
      <c r="Y147" s="397"/>
      <c r="Z147" s="397"/>
      <c r="AA147" s="397"/>
      <c r="AB147" s="397"/>
      <c r="AC147" s="397"/>
      <c r="AD147" s="196"/>
      <c r="AE147" s="196"/>
      <c r="AF147" s="196"/>
      <c r="AG147" s="196"/>
      <c r="AH147" s="196"/>
      <c r="AI147" s="196"/>
      <c r="AJ147" s="196"/>
      <c r="AK147" s="196"/>
      <c r="AL147" s="196"/>
      <c r="AM147" s="196"/>
    </row>
    <row r="148" spans="2:39" s="262" customFormat="1" ht="16.5" customHeight="1">
      <c r="B148" s="413"/>
      <c r="C148" s="413"/>
      <c r="D148" s="399"/>
      <c r="E148" s="399"/>
      <c r="F148" s="399"/>
      <c r="G148" s="396"/>
      <c r="H148" s="396"/>
      <c r="I148" s="396"/>
      <c r="J148" s="396"/>
      <c r="K148" s="396"/>
      <c r="L148" s="396"/>
      <c r="M148" s="397"/>
      <c r="N148" s="397"/>
      <c r="O148" s="397"/>
      <c r="P148" s="397"/>
      <c r="Q148" s="397"/>
      <c r="R148" s="397"/>
      <c r="S148" s="397"/>
      <c r="T148" s="397"/>
      <c r="U148" s="397"/>
      <c r="V148" s="397"/>
      <c r="W148" s="397"/>
      <c r="X148" s="397"/>
      <c r="Y148" s="397"/>
      <c r="Z148" s="397"/>
      <c r="AA148" s="397"/>
      <c r="AB148" s="397"/>
      <c r="AC148" s="397"/>
      <c r="AD148" s="196"/>
      <c r="AE148" s="196"/>
      <c r="AF148" s="196"/>
      <c r="AG148" s="196"/>
      <c r="AH148" s="196"/>
      <c r="AI148" s="196"/>
      <c r="AJ148" s="196"/>
      <c r="AK148" s="196"/>
      <c r="AL148" s="196"/>
      <c r="AM148" s="196"/>
    </row>
    <row r="149" spans="2:39" s="262" customFormat="1" ht="16.5" customHeight="1">
      <c r="B149" s="413"/>
      <c r="C149" s="413"/>
      <c r="D149" s="264"/>
      <c r="E149" s="264"/>
      <c r="F149" s="264"/>
      <c r="G149" s="252"/>
      <c r="H149" s="252"/>
      <c r="I149" s="252"/>
      <c r="J149" s="252"/>
      <c r="K149" s="252"/>
      <c r="L149" s="252"/>
      <c r="M149" s="253"/>
      <c r="N149" s="253"/>
      <c r="O149" s="253"/>
      <c r="P149" s="253"/>
      <c r="Q149" s="253"/>
      <c r="R149" s="253"/>
      <c r="S149" s="253"/>
      <c r="T149" s="253"/>
      <c r="U149" s="253"/>
      <c r="V149" s="253"/>
      <c r="W149" s="253"/>
      <c r="X149" s="253"/>
      <c r="Y149" s="253"/>
      <c r="Z149" s="253"/>
      <c r="AA149" s="253"/>
      <c r="AB149" s="253"/>
      <c r="AC149" s="265"/>
    </row>
    <row r="150" spans="2:39" s="262" customFormat="1" ht="16.5" customHeight="1">
      <c r="B150" s="413"/>
      <c r="C150" s="413"/>
      <c r="D150" s="264"/>
      <c r="E150" s="264"/>
      <c r="F150" s="264"/>
      <c r="G150" s="252"/>
      <c r="H150" s="252"/>
      <c r="I150" s="252"/>
      <c r="J150" s="252"/>
      <c r="K150" s="252"/>
      <c r="L150" s="252"/>
      <c r="M150" s="253"/>
      <c r="N150" s="253"/>
      <c r="O150" s="253"/>
      <c r="P150" s="253"/>
      <c r="Q150" s="253"/>
      <c r="R150" s="253"/>
      <c r="S150" s="253"/>
      <c r="T150" s="253"/>
      <c r="U150" s="253"/>
      <c r="V150" s="253"/>
      <c r="W150" s="253"/>
      <c r="X150" s="253"/>
      <c r="Y150" s="253"/>
      <c r="Z150" s="253"/>
      <c r="AA150" s="253"/>
      <c r="AB150" s="253"/>
      <c r="AC150" s="265"/>
    </row>
    <row r="151" spans="2:39" s="262" customFormat="1" ht="16.5" customHeight="1">
      <c r="B151" s="413"/>
      <c r="C151" s="413"/>
      <c r="D151" s="264"/>
      <c r="E151" s="264"/>
      <c r="F151" s="264"/>
      <c r="G151" s="252"/>
      <c r="H151" s="252"/>
      <c r="I151" s="252"/>
      <c r="J151" s="252"/>
      <c r="K151" s="252"/>
      <c r="L151" s="252"/>
      <c r="M151" s="253"/>
      <c r="N151" s="253"/>
      <c r="O151" s="253"/>
      <c r="P151" s="253"/>
      <c r="Q151" s="253"/>
      <c r="R151" s="253"/>
      <c r="S151" s="253"/>
      <c r="T151" s="253"/>
      <c r="U151" s="253"/>
      <c r="V151" s="253"/>
      <c r="W151" s="253"/>
      <c r="X151" s="253"/>
      <c r="Y151" s="253"/>
      <c r="Z151" s="253"/>
      <c r="AA151" s="253"/>
      <c r="AB151" s="253"/>
      <c r="AC151" s="265"/>
    </row>
    <row r="152" spans="2:39" s="262" customFormat="1" ht="16.5" customHeight="1">
      <c r="B152" s="413"/>
      <c r="C152" s="413"/>
      <c r="D152" s="264"/>
      <c r="E152" s="264"/>
      <c r="F152" s="264"/>
      <c r="G152" s="252"/>
      <c r="H152" s="252"/>
      <c r="I152" s="252"/>
      <c r="J152" s="252"/>
      <c r="K152" s="252"/>
      <c r="L152" s="252"/>
      <c r="M152" s="253"/>
      <c r="N152" s="253"/>
      <c r="O152" s="253"/>
      <c r="P152" s="253"/>
      <c r="Q152" s="253"/>
      <c r="R152" s="253"/>
      <c r="S152" s="253"/>
      <c r="T152" s="253"/>
      <c r="U152" s="253"/>
      <c r="V152" s="253"/>
      <c r="W152" s="253"/>
      <c r="X152" s="253"/>
      <c r="Y152" s="253"/>
      <c r="Z152" s="253"/>
      <c r="AA152" s="253"/>
      <c r="AB152" s="253"/>
      <c r="AC152" s="265"/>
    </row>
    <row r="153" spans="2:39" s="262" customFormat="1" ht="16.5" customHeight="1">
      <c r="B153" s="413"/>
      <c r="C153" s="413"/>
      <c r="D153" s="264"/>
      <c r="E153" s="264"/>
      <c r="F153" s="264"/>
      <c r="G153" s="252"/>
      <c r="H153" s="252"/>
      <c r="I153" s="252"/>
      <c r="J153" s="252"/>
      <c r="K153" s="252"/>
      <c r="L153" s="252"/>
      <c r="M153" s="253"/>
      <c r="N153" s="253"/>
      <c r="O153" s="253"/>
      <c r="P153" s="253"/>
      <c r="Q153" s="253"/>
      <c r="R153" s="253"/>
      <c r="S153" s="253"/>
      <c r="T153" s="253"/>
      <c r="U153" s="253"/>
      <c r="V153" s="253"/>
      <c r="W153" s="253"/>
      <c r="X153" s="253"/>
      <c r="Y153" s="253"/>
      <c r="Z153" s="253"/>
      <c r="AA153" s="253"/>
      <c r="AB153" s="253"/>
      <c r="AC153" s="265"/>
    </row>
    <row r="154" spans="2:39" s="262" customFormat="1" ht="16.5" customHeight="1">
      <c r="B154" s="413"/>
      <c r="C154" s="413"/>
      <c r="D154" s="264"/>
      <c r="E154" s="264"/>
      <c r="F154" s="264"/>
      <c r="G154" s="252"/>
      <c r="H154" s="252"/>
      <c r="I154" s="252"/>
      <c r="J154" s="252"/>
      <c r="K154" s="252"/>
      <c r="L154" s="252"/>
      <c r="M154" s="253"/>
      <c r="N154" s="253"/>
      <c r="O154" s="253"/>
      <c r="P154" s="253"/>
      <c r="Q154" s="253"/>
      <c r="R154" s="253"/>
      <c r="S154" s="253"/>
      <c r="T154" s="253"/>
      <c r="U154" s="253"/>
      <c r="V154" s="253"/>
      <c r="W154" s="253"/>
      <c r="X154" s="253"/>
      <c r="Y154" s="253"/>
      <c r="Z154" s="253"/>
      <c r="AA154" s="253"/>
      <c r="AB154" s="253"/>
      <c r="AC154" s="265"/>
    </row>
    <row r="155" spans="2:39" s="262" customFormat="1" ht="16.5" customHeight="1">
      <c r="B155" s="413"/>
      <c r="C155" s="413"/>
      <c r="D155" s="264"/>
      <c r="E155" s="264"/>
      <c r="F155" s="264"/>
      <c r="G155" s="252"/>
      <c r="H155" s="252"/>
      <c r="I155" s="252"/>
      <c r="J155" s="252"/>
      <c r="K155" s="252"/>
      <c r="L155" s="252"/>
      <c r="M155" s="253"/>
      <c r="N155" s="253"/>
      <c r="O155" s="253"/>
      <c r="P155" s="253"/>
      <c r="Q155" s="253"/>
      <c r="R155" s="253"/>
      <c r="S155" s="253"/>
      <c r="T155" s="253"/>
      <c r="U155" s="253"/>
      <c r="V155" s="253"/>
      <c r="W155" s="253"/>
      <c r="X155" s="253"/>
      <c r="Y155" s="253"/>
      <c r="Z155" s="253"/>
      <c r="AA155" s="253"/>
      <c r="AB155" s="253"/>
      <c r="AC155" s="265"/>
    </row>
    <row r="156" spans="2:39" s="262" customFormat="1" ht="16.5" customHeight="1">
      <c r="B156" s="413"/>
      <c r="C156" s="413"/>
      <c r="D156" s="264"/>
      <c r="E156" s="264"/>
      <c r="F156" s="264"/>
      <c r="G156" s="252"/>
      <c r="H156" s="252"/>
      <c r="I156" s="252"/>
      <c r="J156" s="252"/>
      <c r="K156" s="252"/>
      <c r="L156" s="252"/>
      <c r="M156" s="253"/>
      <c r="N156" s="253"/>
      <c r="O156" s="253"/>
      <c r="P156" s="253"/>
      <c r="Q156" s="253"/>
      <c r="R156" s="253"/>
      <c r="S156" s="253"/>
      <c r="T156" s="253"/>
      <c r="U156" s="253"/>
      <c r="V156" s="253"/>
      <c r="W156" s="253"/>
      <c r="X156" s="253"/>
      <c r="Y156" s="253"/>
      <c r="Z156" s="253"/>
      <c r="AA156" s="253"/>
      <c r="AB156" s="253"/>
      <c r="AC156" s="265"/>
    </row>
    <row r="157" spans="2:39" s="262" customFormat="1" ht="16.5" customHeight="1">
      <c r="B157" s="413"/>
      <c r="C157" s="413"/>
      <c r="D157" s="264"/>
      <c r="E157" s="264"/>
      <c r="F157" s="264"/>
      <c r="G157" s="252"/>
      <c r="H157" s="252"/>
      <c r="I157" s="252"/>
      <c r="J157" s="252"/>
      <c r="K157" s="252"/>
      <c r="L157" s="252"/>
      <c r="M157" s="253"/>
      <c r="N157" s="253"/>
      <c r="O157" s="253"/>
      <c r="P157" s="253"/>
      <c r="Q157" s="253"/>
      <c r="R157" s="253"/>
      <c r="S157" s="253"/>
      <c r="T157" s="253"/>
      <c r="U157" s="253"/>
      <c r="V157" s="253"/>
      <c r="W157" s="253"/>
      <c r="X157" s="253"/>
      <c r="Y157" s="253"/>
      <c r="Z157" s="253"/>
      <c r="AA157" s="253"/>
      <c r="AB157" s="253"/>
      <c r="AC157" s="265"/>
    </row>
    <row r="158" spans="2:39" s="262" customFormat="1" ht="16.5" customHeight="1">
      <c r="B158" s="413"/>
      <c r="C158" s="413"/>
      <c r="D158" s="264"/>
      <c r="E158" s="264"/>
      <c r="F158" s="264"/>
      <c r="G158" s="252"/>
      <c r="H158" s="252"/>
      <c r="I158" s="252"/>
      <c r="J158" s="252"/>
      <c r="K158" s="252"/>
      <c r="L158" s="252"/>
      <c r="M158" s="253"/>
      <c r="N158" s="253"/>
      <c r="O158" s="253"/>
      <c r="P158" s="253"/>
      <c r="Q158" s="253"/>
      <c r="R158" s="253"/>
      <c r="S158" s="253"/>
      <c r="T158" s="253"/>
      <c r="U158" s="253"/>
      <c r="V158" s="253"/>
      <c r="W158" s="253"/>
      <c r="X158" s="253"/>
      <c r="Y158" s="253"/>
      <c r="Z158" s="253"/>
      <c r="AA158" s="253"/>
      <c r="AB158" s="253"/>
      <c r="AC158" s="265"/>
    </row>
    <row r="159" spans="2:39" s="262" customFormat="1" ht="16.5" customHeight="1">
      <c r="B159" s="413"/>
      <c r="C159" s="413"/>
      <c r="D159" s="264"/>
      <c r="E159" s="264"/>
      <c r="F159" s="264"/>
      <c r="G159" s="252"/>
      <c r="H159" s="252"/>
      <c r="I159" s="252"/>
      <c r="J159" s="252"/>
      <c r="K159" s="252"/>
      <c r="L159" s="252"/>
      <c r="M159" s="253"/>
      <c r="N159" s="253"/>
      <c r="O159" s="253"/>
      <c r="P159" s="253"/>
      <c r="Q159" s="253"/>
      <c r="R159" s="253"/>
      <c r="S159" s="253"/>
      <c r="T159" s="253"/>
      <c r="U159" s="253"/>
      <c r="V159" s="253"/>
      <c r="W159" s="253"/>
      <c r="X159" s="253"/>
      <c r="Y159" s="253"/>
      <c r="Z159" s="253"/>
      <c r="AA159" s="253"/>
      <c r="AB159" s="253"/>
      <c r="AC159" s="265"/>
    </row>
    <row r="160" spans="2:39" s="262" customFormat="1" ht="16.5" customHeight="1">
      <c r="B160" s="413"/>
      <c r="C160" s="413"/>
      <c r="D160" s="264"/>
      <c r="E160" s="264"/>
      <c r="F160" s="264"/>
      <c r="G160" s="252"/>
      <c r="H160" s="252"/>
      <c r="I160" s="252"/>
      <c r="J160" s="252"/>
      <c r="K160" s="252"/>
      <c r="L160" s="252"/>
      <c r="M160" s="253"/>
      <c r="N160" s="253"/>
      <c r="O160" s="253"/>
      <c r="P160" s="253"/>
      <c r="Q160" s="253"/>
      <c r="R160" s="253"/>
      <c r="S160" s="253"/>
      <c r="T160" s="253"/>
      <c r="U160" s="253"/>
      <c r="V160" s="253"/>
      <c r="W160" s="253"/>
      <c r="X160" s="253"/>
      <c r="Y160" s="253"/>
      <c r="Z160" s="253"/>
      <c r="AA160" s="253"/>
      <c r="AB160" s="253"/>
      <c r="AC160" s="265"/>
    </row>
    <row r="161" spans="2:29" s="262" customFormat="1" ht="16.5" customHeight="1">
      <c r="B161" s="413"/>
      <c r="C161" s="413"/>
      <c r="D161" s="264"/>
      <c r="E161" s="264"/>
      <c r="F161" s="264"/>
      <c r="G161" s="252"/>
      <c r="H161" s="252"/>
      <c r="I161" s="252"/>
      <c r="J161" s="252"/>
      <c r="K161" s="252"/>
      <c r="L161" s="252"/>
      <c r="M161" s="253"/>
      <c r="N161" s="253"/>
      <c r="O161" s="253"/>
      <c r="P161" s="253"/>
      <c r="Q161" s="253"/>
      <c r="R161" s="253"/>
      <c r="S161" s="253"/>
      <c r="T161" s="253"/>
      <c r="U161" s="253"/>
      <c r="V161" s="253"/>
      <c r="W161" s="253"/>
      <c r="X161" s="253"/>
      <c r="Y161" s="253"/>
      <c r="Z161" s="253"/>
      <c r="AA161" s="253"/>
      <c r="AB161" s="253"/>
      <c r="AC161" s="265"/>
    </row>
    <row r="162" spans="2:29" s="262" customFormat="1" ht="16.5" customHeight="1">
      <c r="B162" s="413"/>
      <c r="C162" s="413"/>
      <c r="D162" s="264"/>
      <c r="E162" s="264"/>
      <c r="F162" s="264"/>
      <c r="G162" s="252"/>
      <c r="H162" s="252"/>
      <c r="I162" s="252"/>
      <c r="J162" s="252"/>
      <c r="K162" s="252"/>
      <c r="L162" s="252"/>
      <c r="M162" s="253"/>
      <c r="N162" s="253"/>
      <c r="O162" s="253"/>
      <c r="P162" s="253"/>
      <c r="Q162" s="253"/>
      <c r="R162" s="253"/>
      <c r="S162" s="253"/>
      <c r="T162" s="253"/>
      <c r="U162" s="253"/>
      <c r="V162" s="253"/>
      <c r="W162" s="253"/>
      <c r="X162" s="253"/>
      <c r="Y162" s="253"/>
      <c r="Z162" s="253"/>
      <c r="AA162" s="253"/>
      <c r="AB162" s="253"/>
      <c r="AC162" s="265"/>
    </row>
    <row r="163" spans="2:29" s="262" customFormat="1" ht="16.5" customHeight="1">
      <c r="B163" s="413"/>
      <c r="C163" s="413"/>
      <c r="D163" s="264"/>
      <c r="E163" s="264"/>
      <c r="F163" s="264"/>
      <c r="G163" s="252"/>
      <c r="H163" s="252"/>
      <c r="I163" s="252"/>
      <c r="J163" s="252"/>
      <c r="K163" s="252"/>
      <c r="L163" s="252"/>
      <c r="M163" s="253"/>
      <c r="N163" s="253"/>
      <c r="O163" s="253"/>
      <c r="P163" s="253"/>
      <c r="Q163" s="253"/>
      <c r="R163" s="253"/>
      <c r="S163" s="253"/>
      <c r="T163" s="253"/>
      <c r="U163" s="253"/>
      <c r="V163" s="253"/>
      <c r="W163" s="253"/>
      <c r="X163" s="253"/>
      <c r="Y163" s="253"/>
      <c r="Z163" s="253"/>
      <c r="AA163" s="253"/>
      <c r="AB163" s="253"/>
      <c r="AC163" s="265"/>
    </row>
    <row r="164" spans="2:29" s="262" customFormat="1" ht="16.5" customHeight="1">
      <c r="B164" s="413"/>
      <c r="C164" s="413"/>
      <c r="D164" s="264"/>
      <c r="E164" s="264"/>
      <c r="F164" s="264"/>
      <c r="G164" s="252"/>
      <c r="H164" s="252"/>
      <c r="I164" s="252"/>
      <c r="J164" s="252"/>
      <c r="K164" s="252"/>
      <c r="L164" s="252"/>
      <c r="M164" s="253"/>
      <c r="N164" s="253"/>
      <c r="O164" s="253"/>
      <c r="P164" s="253"/>
      <c r="Q164" s="253"/>
      <c r="R164" s="253"/>
      <c r="S164" s="253"/>
      <c r="T164" s="253"/>
      <c r="U164" s="253"/>
      <c r="V164" s="253"/>
      <c r="W164" s="253"/>
      <c r="X164" s="253"/>
      <c r="Y164" s="253"/>
      <c r="Z164" s="253"/>
      <c r="AA164" s="253"/>
      <c r="AB164" s="253"/>
      <c r="AC164" s="265"/>
    </row>
    <row r="165" spans="2:29" s="262" customFormat="1" ht="16.5" customHeight="1">
      <c r="B165" s="413"/>
      <c r="C165" s="413"/>
      <c r="D165" s="264"/>
      <c r="E165" s="264"/>
      <c r="F165" s="264"/>
      <c r="G165" s="252"/>
      <c r="H165" s="252"/>
      <c r="I165" s="252"/>
      <c r="J165" s="252"/>
      <c r="K165" s="252"/>
      <c r="L165" s="252"/>
      <c r="M165" s="253"/>
      <c r="N165" s="253"/>
      <c r="O165" s="253"/>
      <c r="P165" s="253"/>
      <c r="Q165" s="253"/>
      <c r="R165" s="253"/>
      <c r="S165" s="253"/>
      <c r="T165" s="253"/>
      <c r="U165" s="253"/>
      <c r="V165" s="253"/>
      <c r="W165" s="253"/>
      <c r="X165" s="253"/>
      <c r="Y165" s="253"/>
      <c r="Z165" s="253"/>
      <c r="AA165" s="253"/>
      <c r="AB165" s="253"/>
      <c r="AC165" s="265"/>
    </row>
    <row r="166" spans="2:29" s="262" customFormat="1" ht="16.5" customHeight="1">
      <c r="B166" s="413"/>
      <c r="C166" s="413"/>
      <c r="D166" s="264"/>
      <c r="E166" s="264"/>
      <c r="F166" s="264"/>
      <c r="G166" s="252"/>
      <c r="H166" s="252"/>
      <c r="I166" s="252"/>
      <c r="J166" s="252"/>
      <c r="K166" s="252"/>
      <c r="L166" s="252"/>
      <c r="M166" s="253"/>
      <c r="N166" s="253"/>
      <c r="O166" s="253"/>
      <c r="P166" s="253"/>
      <c r="Q166" s="253"/>
      <c r="R166" s="253"/>
      <c r="S166" s="253"/>
      <c r="T166" s="253"/>
      <c r="U166" s="253"/>
      <c r="V166" s="253"/>
      <c r="W166" s="253"/>
      <c r="X166" s="253"/>
      <c r="Y166" s="253"/>
      <c r="Z166" s="253"/>
      <c r="AA166" s="253"/>
      <c r="AB166" s="253"/>
      <c r="AC166" s="265"/>
    </row>
    <row r="167" spans="2:29" s="262" customFormat="1" ht="16.5" customHeight="1">
      <c r="B167" s="413"/>
      <c r="C167" s="413"/>
      <c r="D167" s="264"/>
      <c r="E167" s="264"/>
      <c r="F167" s="264"/>
      <c r="G167" s="252"/>
      <c r="H167" s="252"/>
      <c r="I167" s="252"/>
      <c r="J167" s="252"/>
      <c r="K167" s="252"/>
      <c r="L167" s="252"/>
      <c r="M167" s="253"/>
      <c r="N167" s="253"/>
      <c r="O167" s="253"/>
      <c r="P167" s="253"/>
      <c r="Q167" s="253"/>
      <c r="R167" s="253"/>
      <c r="S167" s="253"/>
      <c r="T167" s="253"/>
      <c r="U167" s="253"/>
      <c r="V167" s="253"/>
      <c r="W167" s="253"/>
      <c r="X167" s="253"/>
      <c r="Y167" s="253"/>
      <c r="Z167" s="253"/>
      <c r="AA167" s="253"/>
      <c r="AB167" s="253"/>
      <c r="AC167" s="265"/>
    </row>
    <row r="168" spans="2:29" s="262" customFormat="1" ht="16.5" customHeight="1">
      <c r="B168" s="413"/>
      <c r="C168" s="413"/>
      <c r="D168" s="264"/>
      <c r="E168" s="264"/>
      <c r="F168" s="264"/>
      <c r="G168" s="252"/>
      <c r="H168" s="252"/>
      <c r="I168" s="252"/>
      <c r="J168" s="252"/>
      <c r="K168" s="252"/>
      <c r="L168" s="252"/>
      <c r="M168" s="253"/>
      <c r="N168" s="253"/>
      <c r="O168" s="253"/>
      <c r="P168" s="253"/>
      <c r="Q168" s="253"/>
      <c r="R168" s="253"/>
      <c r="S168" s="253"/>
      <c r="T168" s="253"/>
      <c r="U168" s="253"/>
      <c r="V168" s="253"/>
      <c r="W168" s="253"/>
      <c r="X168" s="253"/>
      <c r="Y168" s="253"/>
      <c r="Z168" s="253"/>
      <c r="AA168" s="253"/>
      <c r="AB168" s="253"/>
      <c r="AC168" s="265"/>
    </row>
    <row r="169" spans="2:29" s="262" customFormat="1" ht="16.5" customHeight="1">
      <c r="B169" s="413"/>
      <c r="C169" s="413"/>
      <c r="D169" s="264"/>
      <c r="E169" s="264"/>
      <c r="F169" s="264"/>
      <c r="G169" s="252"/>
      <c r="H169" s="252"/>
      <c r="I169" s="252"/>
      <c r="J169" s="252"/>
      <c r="K169" s="252"/>
      <c r="L169" s="252"/>
      <c r="M169" s="253"/>
      <c r="N169" s="253"/>
      <c r="O169" s="253"/>
      <c r="P169" s="253"/>
      <c r="Q169" s="253"/>
      <c r="R169" s="253"/>
      <c r="S169" s="253"/>
      <c r="T169" s="253"/>
      <c r="U169" s="253"/>
      <c r="V169" s="253"/>
      <c r="W169" s="253"/>
      <c r="X169" s="253"/>
      <c r="Y169" s="253"/>
      <c r="Z169" s="253"/>
      <c r="AA169" s="253"/>
      <c r="AB169" s="253"/>
      <c r="AC169" s="265"/>
    </row>
    <row r="170" spans="2:29" s="262" customFormat="1" ht="16.5" customHeight="1">
      <c r="B170" s="413"/>
      <c r="C170" s="413"/>
      <c r="D170" s="264"/>
      <c r="E170" s="264"/>
      <c r="F170" s="264"/>
      <c r="G170" s="252"/>
      <c r="H170" s="252"/>
      <c r="I170" s="252"/>
      <c r="J170" s="252"/>
      <c r="K170" s="252"/>
      <c r="L170" s="252"/>
      <c r="M170" s="253"/>
      <c r="N170" s="253"/>
      <c r="O170" s="253"/>
      <c r="P170" s="253"/>
      <c r="Q170" s="253"/>
      <c r="R170" s="253"/>
      <c r="S170" s="253"/>
      <c r="T170" s="253"/>
      <c r="U170" s="253"/>
      <c r="V170" s="253"/>
      <c r="W170" s="253"/>
      <c r="X170" s="253"/>
      <c r="Y170" s="253"/>
      <c r="Z170" s="253"/>
      <c r="AA170" s="253"/>
      <c r="AB170" s="253"/>
      <c r="AC170" s="265"/>
    </row>
    <row r="171" spans="2:29" s="262" customFormat="1" ht="16.5" customHeight="1">
      <c r="B171" s="413"/>
      <c r="C171" s="413"/>
      <c r="D171" s="264"/>
      <c r="E171" s="264"/>
      <c r="F171" s="264"/>
      <c r="G171" s="252"/>
      <c r="H171" s="252"/>
      <c r="I171" s="252"/>
      <c r="J171" s="252"/>
      <c r="K171" s="252"/>
      <c r="L171" s="252"/>
      <c r="M171" s="253"/>
      <c r="N171" s="253"/>
      <c r="O171" s="253"/>
      <c r="P171" s="253"/>
      <c r="Q171" s="253"/>
      <c r="R171" s="253"/>
      <c r="S171" s="253"/>
      <c r="T171" s="253"/>
      <c r="U171" s="253"/>
      <c r="V171" s="253"/>
      <c r="W171" s="253"/>
      <c r="X171" s="253"/>
      <c r="Y171" s="253"/>
      <c r="Z171" s="253"/>
      <c r="AA171" s="253"/>
      <c r="AB171" s="253"/>
      <c r="AC171" s="265"/>
    </row>
    <row r="172" spans="2:29" s="262" customFormat="1" ht="16.5" customHeight="1">
      <c r="B172" s="413"/>
      <c r="C172" s="413"/>
      <c r="D172" s="264"/>
      <c r="E172" s="264"/>
      <c r="F172" s="264"/>
      <c r="G172" s="252"/>
      <c r="H172" s="252"/>
      <c r="I172" s="252"/>
      <c r="J172" s="252"/>
      <c r="K172" s="252"/>
      <c r="L172" s="252"/>
      <c r="M172" s="253"/>
      <c r="N172" s="253"/>
      <c r="O172" s="253"/>
      <c r="P172" s="253"/>
      <c r="Q172" s="253"/>
      <c r="R172" s="253"/>
      <c r="S172" s="253"/>
      <c r="T172" s="253"/>
      <c r="U172" s="253"/>
      <c r="V172" s="253"/>
      <c r="W172" s="253"/>
      <c r="X172" s="253"/>
      <c r="Y172" s="253"/>
      <c r="Z172" s="253"/>
      <c r="AA172" s="253"/>
      <c r="AB172" s="253"/>
      <c r="AC172" s="265"/>
    </row>
    <row r="173" spans="2:29" s="262" customFormat="1" ht="16.5" customHeight="1">
      <c r="B173" s="413"/>
      <c r="C173" s="413"/>
      <c r="D173" s="264"/>
      <c r="E173" s="264"/>
      <c r="F173" s="264"/>
      <c r="G173" s="252"/>
      <c r="H173" s="252"/>
      <c r="I173" s="252"/>
      <c r="J173" s="252"/>
      <c r="K173" s="252"/>
      <c r="L173" s="252"/>
      <c r="M173" s="253"/>
      <c r="N173" s="253"/>
      <c r="O173" s="253"/>
      <c r="P173" s="253"/>
      <c r="Q173" s="253"/>
      <c r="R173" s="253"/>
      <c r="S173" s="253"/>
      <c r="T173" s="253"/>
      <c r="U173" s="253"/>
      <c r="V173" s="253"/>
      <c r="W173" s="253"/>
      <c r="X173" s="253"/>
      <c r="Y173" s="253"/>
      <c r="Z173" s="253"/>
      <c r="AA173" s="253"/>
      <c r="AB173" s="253"/>
      <c r="AC173" s="265"/>
    </row>
    <row r="174" spans="2:29" s="262" customFormat="1" ht="16.5" customHeight="1">
      <c r="B174" s="413"/>
      <c r="C174" s="413"/>
      <c r="D174" s="264"/>
      <c r="E174" s="264"/>
      <c r="F174" s="264"/>
      <c r="G174" s="252"/>
      <c r="H174" s="252"/>
      <c r="I174" s="252"/>
      <c r="J174" s="252"/>
      <c r="K174" s="252"/>
      <c r="L174" s="252"/>
      <c r="M174" s="253"/>
      <c r="N174" s="253"/>
      <c r="O174" s="253"/>
      <c r="P174" s="253"/>
      <c r="Q174" s="253"/>
      <c r="R174" s="253"/>
      <c r="S174" s="253"/>
      <c r="T174" s="253"/>
      <c r="U174" s="253"/>
      <c r="V174" s="253"/>
      <c r="W174" s="253"/>
      <c r="X174" s="253"/>
      <c r="Y174" s="253"/>
      <c r="Z174" s="253"/>
      <c r="AA174" s="253"/>
      <c r="AB174" s="253"/>
      <c r="AC174" s="265"/>
    </row>
    <row r="175" spans="2:29" s="262" customFormat="1" ht="16.5" customHeight="1">
      <c r="B175" s="413"/>
      <c r="C175" s="413"/>
      <c r="D175" s="264"/>
      <c r="E175" s="264"/>
      <c r="F175" s="264"/>
      <c r="G175" s="252"/>
      <c r="H175" s="252"/>
      <c r="I175" s="252"/>
      <c r="J175" s="252"/>
      <c r="K175" s="252"/>
      <c r="L175" s="252"/>
      <c r="M175" s="253"/>
      <c r="N175" s="253"/>
      <c r="O175" s="253"/>
      <c r="P175" s="253"/>
      <c r="Q175" s="253"/>
      <c r="R175" s="253"/>
      <c r="S175" s="253"/>
      <c r="T175" s="253"/>
      <c r="U175" s="253"/>
      <c r="V175" s="253"/>
      <c r="W175" s="253"/>
      <c r="X175" s="253"/>
      <c r="Y175" s="253"/>
      <c r="Z175" s="253"/>
      <c r="AA175" s="253"/>
      <c r="AB175" s="253"/>
      <c r="AC175" s="265"/>
    </row>
    <row r="176" spans="2:29" s="262" customFormat="1" ht="16.5" customHeight="1">
      <c r="B176" s="413"/>
      <c r="C176" s="413"/>
      <c r="D176" s="264"/>
      <c r="E176" s="264"/>
      <c r="F176" s="264"/>
      <c r="G176" s="252"/>
      <c r="H176" s="252"/>
      <c r="I176" s="252"/>
      <c r="J176" s="252"/>
      <c r="K176" s="252"/>
      <c r="L176" s="252"/>
      <c r="M176" s="253"/>
      <c r="N176" s="253"/>
      <c r="O176" s="253"/>
      <c r="P176" s="253"/>
      <c r="Q176" s="253"/>
      <c r="R176" s="253"/>
      <c r="S176" s="253"/>
      <c r="T176" s="253"/>
      <c r="U176" s="253"/>
      <c r="V176" s="253"/>
      <c r="W176" s="253"/>
      <c r="X176" s="253"/>
      <c r="Y176" s="253"/>
      <c r="Z176" s="253"/>
      <c r="AA176" s="253"/>
      <c r="AB176" s="253"/>
      <c r="AC176" s="265"/>
    </row>
    <row r="177" spans="2:29" s="262" customFormat="1" ht="16.5" customHeight="1">
      <c r="B177" s="413"/>
      <c r="C177" s="413"/>
      <c r="D177" s="264"/>
      <c r="E177" s="264"/>
      <c r="F177" s="264"/>
      <c r="G177" s="252"/>
      <c r="H177" s="252"/>
      <c r="I177" s="252"/>
      <c r="J177" s="252"/>
      <c r="K177" s="252"/>
      <c r="L177" s="252"/>
      <c r="M177" s="253"/>
      <c r="N177" s="253"/>
      <c r="O177" s="253"/>
      <c r="P177" s="253"/>
      <c r="Q177" s="253"/>
      <c r="R177" s="253"/>
      <c r="S177" s="253"/>
      <c r="T177" s="253"/>
      <c r="U177" s="253"/>
      <c r="V177" s="253"/>
      <c r="W177" s="253"/>
      <c r="X177" s="253"/>
      <c r="Y177" s="253"/>
      <c r="Z177" s="253"/>
      <c r="AA177" s="253"/>
      <c r="AB177" s="253"/>
      <c r="AC177" s="265"/>
    </row>
    <row r="178" spans="2:29" s="262" customFormat="1" ht="16.5" customHeight="1">
      <c r="B178" s="413"/>
      <c r="C178" s="413"/>
      <c r="D178" s="264"/>
      <c r="E178" s="264"/>
      <c r="F178" s="264"/>
      <c r="G178" s="252"/>
      <c r="H178" s="252"/>
      <c r="I178" s="252"/>
      <c r="J178" s="252"/>
      <c r="K178" s="252"/>
      <c r="L178" s="252"/>
      <c r="M178" s="253"/>
      <c r="N178" s="253"/>
      <c r="O178" s="253"/>
      <c r="P178" s="253"/>
      <c r="Q178" s="253"/>
      <c r="R178" s="253"/>
      <c r="S178" s="253"/>
      <c r="T178" s="253"/>
      <c r="U178" s="253"/>
      <c r="V178" s="253"/>
      <c r="W178" s="253"/>
      <c r="X178" s="253"/>
      <c r="Y178" s="253"/>
      <c r="Z178" s="253"/>
      <c r="AA178" s="253"/>
      <c r="AB178" s="253"/>
      <c r="AC178" s="265"/>
    </row>
    <row r="179" spans="2:29" s="262" customFormat="1" ht="16.5" customHeight="1">
      <c r="B179" s="413"/>
      <c r="C179" s="413"/>
      <c r="D179" s="264"/>
      <c r="E179" s="264"/>
      <c r="F179" s="264"/>
      <c r="G179" s="252"/>
      <c r="H179" s="252"/>
      <c r="I179" s="252"/>
      <c r="J179" s="252"/>
      <c r="K179" s="252"/>
      <c r="L179" s="252"/>
      <c r="M179" s="253"/>
      <c r="N179" s="253"/>
      <c r="O179" s="253"/>
      <c r="P179" s="253"/>
      <c r="Q179" s="253"/>
      <c r="R179" s="253"/>
      <c r="S179" s="253"/>
      <c r="T179" s="253"/>
      <c r="U179" s="253"/>
      <c r="V179" s="253"/>
      <c r="W179" s="253"/>
      <c r="X179" s="253"/>
      <c r="Y179" s="253"/>
      <c r="Z179" s="253"/>
      <c r="AA179" s="253"/>
      <c r="AB179" s="253"/>
      <c r="AC179" s="265"/>
    </row>
    <row r="180" spans="2:29" s="262" customFormat="1" ht="16.5" customHeight="1">
      <c r="B180" s="413"/>
      <c r="C180" s="413"/>
      <c r="D180" s="264"/>
      <c r="E180" s="264"/>
      <c r="F180" s="264"/>
      <c r="G180" s="252"/>
      <c r="H180" s="252"/>
      <c r="I180" s="252"/>
      <c r="J180" s="252"/>
      <c r="K180" s="252"/>
      <c r="L180" s="252"/>
      <c r="M180" s="253"/>
      <c r="N180" s="253"/>
      <c r="O180" s="253"/>
      <c r="P180" s="253"/>
      <c r="Q180" s="253"/>
      <c r="R180" s="253"/>
      <c r="S180" s="253"/>
      <c r="T180" s="253"/>
      <c r="U180" s="253"/>
      <c r="V180" s="253"/>
      <c r="W180" s="253"/>
      <c r="X180" s="253"/>
      <c r="Y180" s="253"/>
      <c r="Z180" s="253"/>
      <c r="AA180" s="253"/>
      <c r="AB180" s="253"/>
      <c r="AC180" s="265"/>
    </row>
    <row r="181" spans="2:29" s="262" customFormat="1" ht="16.5" customHeight="1">
      <c r="B181" s="413"/>
      <c r="C181" s="413"/>
      <c r="D181" s="264"/>
      <c r="E181" s="264"/>
      <c r="F181" s="264"/>
      <c r="G181" s="252"/>
      <c r="H181" s="252"/>
      <c r="I181" s="252"/>
      <c r="J181" s="252"/>
      <c r="K181" s="252"/>
      <c r="L181" s="252"/>
      <c r="M181" s="253"/>
      <c r="N181" s="253"/>
      <c r="O181" s="253"/>
      <c r="P181" s="253"/>
      <c r="Q181" s="253"/>
      <c r="R181" s="253"/>
      <c r="S181" s="253"/>
      <c r="T181" s="253"/>
      <c r="U181" s="253"/>
      <c r="V181" s="253"/>
      <c r="W181" s="253"/>
      <c r="X181" s="253"/>
      <c r="Y181" s="253"/>
      <c r="Z181" s="253"/>
      <c r="AA181" s="253"/>
      <c r="AB181" s="253"/>
      <c r="AC181" s="265"/>
    </row>
    <row r="182" spans="2:29" s="262" customFormat="1" ht="16.5" customHeight="1">
      <c r="B182" s="413"/>
      <c r="C182" s="413"/>
      <c r="D182" s="264"/>
      <c r="E182" s="264"/>
      <c r="F182" s="264"/>
      <c r="G182" s="252"/>
      <c r="H182" s="252"/>
      <c r="I182" s="252"/>
      <c r="J182" s="252"/>
      <c r="K182" s="252"/>
      <c r="L182" s="252"/>
      <c r="M182" s="253"/>
      <c r="N182" s="253"/>
      <c r="O182" s="253"/>
      <c r="P182" s="253"/>
      <c r="Q182" s="253"/>
      <c r="R182" s="253"/>
      <c r="S182" s="253"/>
      <c r="T182" s="253"/>
      <c r="U182" s="253"/>
      <c r="V182" s="253"/>
      <c r="W182" s="253"/>
      <c r="X182" s="253"/>
      <c r="Y182" s="253"/>
      <c r="Z182" s="253"/>
      <c r="AA182" s="253"/>
      <c r="AB182" s="253"/>
      <c r="AC182" s="265"/>
    </row>
    <row r="183" spans="2:29" s="262" customFormat="1" ht="16.5" customHeight="1">
      <c r="B183" s="413"/>
      <c r="C183" s="413"/>
      <c r="D183" s="264"/>
      <c r="E183" s="264"/>
      <c r="F183" s="264"/>
      <c r="G183" s="252"/>
      <c r="H183" s="252"/>
      <c r="I183" s="252"/>
      <c r="J183" s="252"/>
      <c r="K183" s="252"/>
      <c r="L183" s="252"/>
      <c r="M183" s="253"/>
      <c r="N183" s="253"/>
      <c r="O183" s="253"/>
      <c r="P183" s="253"/>
      <c r="Q183" s="253"/>
      <c r="R183" s="253"/>
      <c r="S183" s="253"/>
      <c r="T183" s="253"/>
      <c r="U183" s="253"/>
      <c r="V183" s="253"/>
      <c r="W183" s="253"/>
      <c r="X183" s="253"/>
      <c r="Y183" s="253"/>
      <c r="Z183" s="253"/>
      <c r="AA183" s="253"/>
      <c r="AB183" s="253"/>
      <c r="AC183" s="265"/>
    </row>
    <row r="184" spans="2:29" s="262" customFormat="1" ht="16.5" customHeight="1">
      <c r="B184" s="413"/>
      <c r="C184" s="413"/>
      <c r="D184" s="264"/>
      <c r="E184" s="264"/>
      <c r="F184" s="264"/>
      <c r="G184" s="252"/>
      <c r="H184" s="252"/>
      <c r="I184" s="252"/>
      <c r="J184" s="252"/>
      <c r="K184" s="252"/>
      <c r="L184" s="252"/>
      <c r="M184" s="253"/>
      <c r="N184" s="253"/>
      <c r="O184" s="253"/>
      <c r="P184" s="253"/>
      <c r="Q184" s="253"/>
      <c r="R184" s="253"/>
      <c r="S184" s="253"/>
      <c r="T184" s="253"/>
      <c r="U184" s="253"/>
      <c r="V184" s="253"/>
      <c r="W184" s="253"/>
      <c r="X184" s="253"/>
      <c r="Y184" s="253"/>
      <c r="Z184" s="253"/>
      <c r="AA184" s="253"/>
      <c r="AB184" s="253"/>
      <c r="AC184" s="265"/>
    </row>
    <row r="185" spans="2:29" s="262" customFormat="1" ht="16.5" customHeight="1">
      <c r="B185" s="413"/>
      <c r="C185" s="413"/>
      <c r="D185" s="264"/>
      <c r="E185" s="264"/>
      <c r="F185" s="264"/>
      <c r="G185" s="252"/>
      <c r="H185" s="252"/>
      <c r="I185" s="252"/>
      <c r="J185" s="252"/>
      <c r="K185" s="252"/>
      <c r="L185" s="252"/>
      <c r="M185" s="253"/>
      <c r="N185" s="253"/>
      <c r="O185" s="253"/>
      <c r="P185" s="253"/>
      <c r="Q185" s="253"/>
      <c r="R185" s="253"/>
      <c r="S185" s="253"/>
      <c r="T185" s="253"/>
      <c r="U185" s="253"/>
      <c r="V185" s="253"/>
      <c r="W185" s="253"/>
      <c r="X185" s="253"/>
      <c r="Y185" s="253"/>
      <c r="Z185" s="253"/>
      <c r="AA185" s="253"/>
      <c r="AB185" s="253"/>
      <c r="AC185" s="265"/>
    </row>
    <row r="186" spans="2:29" s="262" customFormat="1" ht="16.5" customHeight="1">
      <c r="B186" s="413"/>
      <c r="C186" s="413"/>
      <c r="D186" s="264"/>
      <c r="E186" s="264"/>
      <c r="F186" s="264"/>
      <c r="G186" s="252"/>
      <c r="H186" s="252"/>
      <c r="I186" s="252"/>
      <c r="J186" s="252"/>
      <c r="K186" s="252"/>
      <c r="L186" s="252"/>
      <c r="M186" s="253"/>
      <c r="N186" s="253"/>
      <c r="O186" s="253"/>
      <c r="P186" s="253"/>
      <c r="Q186" s="253"/>
      <c r="R186" s="253"/>
      <c r="S186" s="253"/>
      <c r="T186" s="253"/>
      <c r="U186" s="253"/>
      <c r="V186" s="253"/>
      <c r="W186" s="253"/>
      <c r="X186" s="253"/>
      <c r="Y186" s="253"/>
      <c r="Z186" s="253"/>
      <c r="AA186" s="253"/>
      <c r="AB186" s="253"/>
      <c r="AC186" s="265"/>
    </row>
    <row r="187" spans="2:29" s="262" customFormat="1" ht="16.5" customHeight="1">
      <c r="B187" s="413"/>
      <c r="C187" s="413"/>
      <c r="D187" s="264"/>
      <c r="E187" s="264"/>
      <c r="F187" s="264"/>
      <c r="G187" s="252"/>
      <c r="H187" s="252"/>
      <c r="I187" s="252"/>
      <c r="J187" s="252"/>
      <c r="K187" s="252"/>
      <c r="L187" s="252"/>
      <c r="M187" s="253"/>
      <c r="N187" s="253"/>
      <c r="O187" s="253"/>
      <c r="P187" s="253"/>
      <c r="Q187" s="253"/>
      <c r="R187" s="253"/>
      <c r="S187" s="253"/>
      <c r="T187" s="253"/>
      <c r="U187" s="253"/>
      <c r="V187" s="253"/>
      <c r="W187" s="253"/>
      <c r="X187" s="253"/>
      <c r="Y187" s="253"/>
      <c r="Z187" s="253"/>
      <c r="AA187" s="253"/>
      <c r="AB187" s="253"/>
      <c r="AC187" s="265"/>
    </row>
    <row r="188" spans="2:29" s="262" customFormat="1" ht="16.5" customHeight="1">
      <c r="B188" s="413"/>
      <c r="C188" s="413"/>
      <c r="D188" s="264"/>
      <c r="E188" s="264"/>
      <c r="F188" s="264"/>
      <c r="G188" s="252"/>
      <c r="H188" s="252"/>
      <c r="I188" s="252"/>
      <c r="J188" s="252"/>
      <c r="K188" s="252"/>
      <c r="L188" s="252"/>
      <c r="M188" s="253"/>
      <c r="N188" s="253"/>
      <c r="O188" s="253"/>
      <c r="P188" s="253"/>
      <c r="Q188" s="253"/>
      <c r="R188" s="253"/>
      <c r="S188" s="253"/>
      <c r="T188" s="253"/>
      <c r="U188" s="253"/>
      <c r="V188" s="253"/>
      <c r="W188" s="253"/>
      <c r="X188" s="253"/>
      <c r="Y188" s="253"/>
      <c r="Z188" s="253"/>
      <c r="AA188" s="253"/>
      <c r="AB188" s="253"/>
      <c r="AC188" s="265"/>
    </row>
    <row r="189" spans="2:29" s="262" customFormat="1" ht="16.5" customHeight="1">
      <c r="B189" s="413"/>
      <c r="C189" s="413"/>
      <c r="D189" s="264"/>
      <c r="E189" s="264"/>
      <c r="F189" s="264"/>
      <c r="G189" s="252"/>
      <c r="H189" s="252"/>
      <c r="I189" s="252"/>
      <c r="J189" s="252"/>
      <c r="K189" s="252"/>
      <c r="L189" s="252"/>
      <c r="M189" s="253"/>
      <c r="N189" s="253"/>
      <c r="O189" s="253"/>
      <c r="P189" s="253"/>
      <c r="Q189" s="253"/>
      <c r="R189" s="253"/>
      <c r="S189" s="253"/>
      <c r="T189" s="253"/>
      <c r="U189" s="253"/>
      <c r="V189" s="253"/>
      <c r="W189" s="253"/>
      <c r="X189" s="253"/>
      <c r="Y189" s="253"/>
      <c r="Z189" s="253"/>
      <c r="AA189" s="253"/>
      <c r="AB189" s="253"/>
      <c r="AC189" s="265"/>
    </row>
    <row r="190" spans="2:29" s="262" customFormat="1" ht="16.5" customHeight="1">
      <c r="B190" s="413"/>
      <c r="C190" s="413"/>
      <c r="D190" s="264"/>
      <c r="E190" s="264"/>
      <c r="F190" s="264"/>
      <c r="G190" s="252"/>
      <c r="H190" s="252"/>
      <c r="I190" s="252"/>
      <c r="J190" s="252"/>
      <c r="K190" s="252"/>
      <c r="L190" s="252"/>
      <c r="M190" s="253"/>
      <c r="N190" s="253"/>
      <c r="O190" s="253"/>
      <c r="P190" s="253"/>
      <c r="Q190" s="253"/>
      <c r="R190" s="253"/>
      <c r="S190" s="253"/>
      <c r="T190" s="253"/>
      <c r="U190" s="253"/>
      <c r="V190" s="253"/>
      <c r="W190" s="253"/>
      <c r="X190" s="253"/>
      <c r="Y190" s="253"/>
      <c r="Z190" s="253"/>
      <c r="AA190" s="253"/>
      <c r="AB190" s="253"/>
      <c r="AC190" s="265"/>
    </row>
    <row r="191" spans="2:29" s="262" customFormat="1" ht="16.5" customHeight="1">
      <c r="B191" s="413"/>
      <c r="C191" s="413"/>
      <c r="D191" s="264"/>
      <c r="E191" s="264"/>
      <c r="F191" s="264"/>
      <c r="G191" s="252"/>
      <c r="H191" s="252"/>
      <c r="I191" s="252"/>
      <c r="J191" s="252"/>
      <c r="K191" s="252"/>
      <c r="L191" s="252"/>
      <c r="M191" s="253"/>
      <c r="N191" s="253"/>
      <c r="O191" s="253"/>
      <c r="P191" s="253"/>
      <c r="Q191" s="253"/>
      <c r="R191" s="253"/>
      <c r="S191" s="253"/>
      <c r="T191" s="253"/>
      <c r="U191" s="253"/>
      <c r="V191" s="253"/>
      <c r="W191" s="253"/>
      <c r="X191" s="253"/>
      <c r="Y191" s="253"/>
      <c r="Z191" s="253"/>
      <c r="AA191" s="253"/>
      <c r="AB191" s="253"/>
      <c r="AC191" s="265"/>
    </row>
    <row r="192" spans="2:29" s="262" customFormat="1" ht="16.5" customHeight="1">
      <c r="B192" s="413"/>
      <c r="C192" s="413"/>
      <c r="D192" s="264"/>
      <c r="E192" s="264"/>
      <c r="F192" s="264"/>
      <c r="G192" s="252"/>
      <c r="H192" s="252"/>
      <c r="I192" s="252"/>
      <c r="J192" s="252"/>
      <c r="K192" s="252"/>
      <c r="L192" s="252"/>
      <c r="M192" s="253"/>
      <c r="N192" s="253"/>
      <c r="O192" s="253"/>
      <c r="P192" s="253"/>
      <c r="Q192" s="253"/>
      <c r="R192" s="253"/>
      <c r="S192" s="253"/>
      <c r="T192" s="253"/>
      <c r="U192" s="253"/>
      <c r="V192" s="253"/>
      <c r="W192" s="253"/>
      <c r="X192" s="253"/>
      <c r="Y192" s="253"/>
      <c r="Z192" s="253"/>
      <c r="AA192" s="253"/>
      <c r="AB192" s="253"/>
      <c r="AC192" s="265"/>
    </row>
    <row r="193" spans="2:29" s="262" customFormat="1" ht="16.5" customHeight="1">
      <c r="B193" s="413"/>
      <c r="C193" s="413"/>
      <c r="D193" s="264"/>
      <c r="E193" s="264"/>
      <c r="F193" s="264"/>
      <c r="G193" s="252"/>
      <c r="H193" s="252"/>
      <c r="I193" s="252"/>
      <c r="J193" s="252"/>
      <c r="K193" s="252"/>
      <c r="L193" s="252"/>
      <c r="M193" s="253"/>
      <c r="N193" s="253"/>
      <c r="O193" s="253"/>
      <c r="P193" s="253"/>
      <c r="Q193" s="253"/>
      <c r="R193" s="253"/>
      <c r="S193" s="253"/>
      <c r="T193" s="253"/>
      <c r="U193" s="253"/>
      <c r="V193" s="253"/>
      <c r="W193" s="253"/>
      <c r="X193" s="253"/>
      <c r="Y193" s="253"/>
      <c r="Z193" s="253"/>
      <c r="AA193" s="253"/>
      <c r="AB193" s="253"/>
      <c r="AC193" s="265"/>
    </row>
    <row r="194" spans="2:29" s="262" customFormat="1" ht="16.5" customHeight="1">
      <c r="B194" s="413"/>
      <c r="C194" s="413"/>
      <c r="D194" s="264"/>
      <c r="E194" s="264"/>
      <c r="F194" s="264"/>
      <c r="G194" s="252"/>
      <c r="H194" s="252"/>
      <c r="I194" s="252"/>
      <c r="J194" s="252"/>
      <c r="K194" s="252"/>
      <c r="L194" s="252"/>
      <c r="M194" s="253"/>
      <c r="N194" s="253"/>
      <c r="O194" s="253"/>
      <c r="P194" s="253"/>
      <c r="Q194" s="253"/>
      <c r="R194" s="253"/>
      <c r="S194" s="253"/>
      <c r="T194" s="253"/>
      <c r="U194" s="253"/>
      <c r="V194" s="253"/>
      <c r="W194" s="253"/>
      <c r="X194" s="253"/>
      <c r="Y194" s="253"/>
      <c r="Z194" s="253"/>
      <c r="AA194" s="253"/>
      <c r="AB194" s="253"/>
      <c r="AC194" s="265"/>
    </row>
    <row r="195" spans="2:29" s="262" customFormat="1" ht="16.5" customHeight="1">
      <c r="B195" s="413"/>
      <c r="C195" s="413"/>
      <c r="D195" s="264"/>
      <c r="E195" s="264"/>
      <c r="F195" s="264"/>
      <c r="G195" s="252"/>
      <c r="H195" s="252"/>
      <c r="I195" s="252"/>
      <c r="J195" s="252"/>
      <c r="K195" s="252"/>
      <c r="L195" s="252"/>
      <c r="M195" s="253"/>
      <c r="N195" s="253"/>
      <c r="O195" s="253"/>
      <c r="P195" s="253"/>
      <c r="Q195" s="253"/>
      <c r="R195" s="253"/>
      <c r="S195" s="253"/>
      <c r="T195" s="253"/>
      <c r="U195" s="253"/>
      <c r="V195" s="253"/>
      <c r="W195" s="253"/>
      <c r="X195" s="253"/>
      <c r="Y195" s="253"/>
      <c r="Z195" s="253"/>
      <c r="AA195" s="253"/>
      <c r="AB195" s="253"/>
      <c r="AC195" s="265"/>
    </row>
    <row r="196" spans="2:29" s="262" customFormat="1" ht="16.5" customHeight="1">
      <c r="B196" s="413"/>
      <c r="C196" s="413"/>
      <c r="D196" s="264"/>
      <c r="E196" s="264"/>
      <c r="F196" s="264"/>
      <c r="G196" s="252"/>
      <c r="H196" s="252"/>
      <c r="I196" s="252"/>
      <c r="J196" s="252"/>
      <c r="K196" s="252"/>
      <c r="L196" s="252"/>
      <c r="M196" s="253"/>
      <c r="N196" s="253"/>
      <c r="O196" s="253"/>
      <c r="P196" s="253"/>
      <c r="Q196" s="253"/>
      <c r="R196" s="253"/>
      <c r="S196" s="253"/>
      <c r="T196" s="253"/>
      <c r="U196" s="253"/>
      <c r="V196" s="253"/>
      <c r="W196" s="253"/>
      <c r="X196" s="253"/>
      <c r="Y196" s="253"/>
      <c r="Z196" s="253"/>
      <c r="AA196" s="253"/>
      <c r="AB196" s="253"/>
      <c r="AC196" s="265"/>
    </row>
    <row r="197" spans="2:29" s="262" customFormat="1" ht="16.5" customHeight="1">
      <c r="B197" s="413"/>
      <c r="C197" s="413"/>
      <c r="D197" s="264"/>
      <c r="E197" s="264"/>
      <c r="F197" s="264"/>
      <c r="G197" s="252"/>
      <c r="H197" s="252"/>
      <c r="I197" s="252"/>
      <c r="J197" s="252"/>
      <c r="K197" s="252"/>
      <c r="L197" s="252"/>
      <c r="M197" s="253"/>
      <c r="N197" s="253"/>
      <c r="O197" s="253"/>
      <c r="P197" s="253"/>
      <c r="Q197" s="253"/>
      <c r="R197" s="253"/>
      <c r="S197" s="253"/>
      <c r="T197" s="253"/>
      <c r="U197" s="253"/>
      <c r="V197" s="253"/>
      <c r="W197" s="253"/>
      <c r="X197" s="253"/>
      <c r="Y197" s="253"/>
      <c r="Z197" s="253"/>
      <c r="AA197" s="253"/>
      <c r="AB197" s="253"/>
      <c r="AC197" s="265"/>
    </row>
    <row r="198" spans="2:29" s="262" customFormat="1" ht="16.5" customHeight="1">
      <c r="B198" s="413"/>
      <c r="C198" s="413"/>
      <c r="D198" s="264"/>
      <c r="E198" s="264"/>
      <c r="F198" s="264"/>
      <c r="G198" s="252"/>
      <c r="H198" s="252"/>
      <c r="I198" s="252"/>
      <c r="J198" s="252"/>
      <c r="K198" s="252"/>
      <c r="L198" s="252"/>
      <c r="M198" s="253"/>
      <c r="N198" s="253"/>
      <c r="O198" s="253"/>
      <c r="P198" s="253"/>
      <c r="Q198" s="253"/>
      <c r="R198" s="253"/>
      <c r="S198" s="253"/>
      <c r="T198" s="253"/>
      <c r="U198" s="253"/>
      <c r="V198" s="253"/>
      <c r="W198" s="253"/>
      <c r="X198" s="253"/>
      <c r="Y198" s="253"/>
      <c r="Z198" s="253"/>
      <c r="AA198" s="253"/>
      <c r="AB198" s="253"/>
      <c r="AC198" s="265"/>
    </row>
    <row r="199" spans="2:29" s="262" customFormat="1" ht="16.5" customHeight="1">
      <c r="B199" s="413"/>
      <c r="C199" s="413"/>
      <c r="D199" s="264"/>
      <c r="E199" s="264"/>
      <c r="F199" s="264"/>
      <c r="G199" s="252"/>
      <c r="H199" s="252"/>
      <c r="I199" s="252"/>
      <c r="J199" s="252"/>
      <c r="K199" s="252"/>
      <c r="L199" s="252"/>
      <c r="M199" s="253"/>
      <c r="N199" s="253"/>
      <c r="O199" s="253"/>
      <c r="P199" s="253"/>
      <c r="Q199" s="253"/>
      <c r="R199" s="253"/>
      <c r="S199" s="253"/>
      <c r="T199" s="253"/>
      <c r="U199" s="253"/>
      <c r="V199" s="253"/>
      <c r="W199" s="253"/>
      <c r="X199" s="253"/>
      <c r="Y199" s="253"/>
      <c r="Z199" s="253"/>
      <c r="AA199" s="253"/>
      <c r="AB199" s="253"/>
      <c r="AC199" s="265"/>
    </row>
    <row r="200" spans="2:29" s="262" customFormat="1" ht="16.5" customHeight="1">
      <c r="B200" s="413"/>
      <c r="C200" s="413"/>
      <c r="D200" s="264"/>
      <c r="E200" s="264"/>
      <c r="F200" s="264"/>
      <c r="G200" s="252"/>
      <c r="H200" s="252"/>
      <c r="I200" s="252"/>
      <c r="J200" s="252"/>
      <c r="K200" s="252"/>
      <c r="L200" s="252"/>
      <c r="M200" s="253"/>
      <c r="N200" s="253"/>
      <c r="O200" s="253"/>
      <c r="P200" s="253"/>
      <c r="Q200" s="253"/>
      <c r="R200" s="253"/>
      <c r="S200" s="253"/>
      <c r="T200" s="253"/>
      <c r="U200" s="253"/>
      <c r="V200" s="253"/>
      <c r="W200" s="253"/>
      <c r="X200" s="253"/>
      <c r="Y200" s="253"/>
      <c r="Z200" s="253"/>
      <c r="AA200" s="253"/>
      <c r="AB200" s="253"/>
      <c r="AC200" s="265"/>
    </row>
    <row r="201" spans="2:29" s="262" customFormat="1" ht="16.5" customHeight="1">
      <c r="B201" s="413"/>
      <c r="C201" s="413"/>
      <c r="D201" s="264"/>
      <c r="E201" s="264"/>
      <c r="F201" s="264"/>
      <c r="G201" s="252"/>
      <c r="H201" s="252"/>
      <c r="I201" s="252"/>
      <c r="J201" s="252"/>
      <c r="K201" s="252"/>
      <c r="L201" s="252"/>
      <c r="M201" s="253"/>
      <c r="N201" s="253"/>
      <c r="O201" s="253"/>
      <c r="P201" s="253"/>
      <c r="Q201" s="253"/>
      <c r="R201" s="253"/>
      <c r="S201" s="253"/>
      <c r="T201" s="253"/>
      <c r="U201" s="253"/>
      <c r="V201" s="253"/>
      <c r="W201" s="253"/>
      <c r="X201" s="253"/>
      <c r="Y201" s="253"/>
      <c r="Z201" s="253"/>
      <c r="AA201" s="253"/>
      <c r="AB201" s="253"/>
      <c r="AC201" s="265"/>
    </row>
    <row r="202" spans="2:29" s="262" customFormat="1" ht="16.5" customHeight="1">
      <c r="B202" s="413"/>
      <c r="C202" s="413"/>
      <c r="D202" s="264"/>
      <c r="E202" s="264"/>
      <c r="F202" s="264"/>
      <c r="G202" s="252"/>
      <c r="H202" s="252"/>
      <c r="I202" s="252"/>
      <c r="J202" s="252"/>
      <c r="K202" s="252"/>
      <c r="L202" s="252"/>
      <c r="M202" s="253"/>
      <c r="N202" s="253"/>
      <c r="O202" s="253"/>
      <c r="P202" s="253"/>
      <c r="Q202" s="253"/>
      <c r="R202" s="253"/>
      <c r="S202" s="253"/>
      <c r="T202" s="253"/>
      <c r="U202" s="253"/>
      <c r="V202" s="253"/>
      <c r="W202" s="253"/>
      <c r="X202" s="253"/>
      <c r="Y202" s="253"/>
      <c r="Z202" s="253"/>
      <c r="AA202" s="253"/>
      <c r="AB202" s="253"/>
      <c r="AC202" s="265"/>
    </row>
    <row r="203" spans="2:29" s="262" customFormat="1" ht="16.5" customHeight="1">
      <c r="B203" s="413"/>
      <c r="C203" s="413"/>
      <c r="D203" s="264"/>
      <c r="E203" s="264"/>
      <c r="F203" s="264"/>
      <c r="G203" s="252"/>
      <c r="H203" s="252"/>
      <c r="I203" s="252"/>
      <c r="J203" s="252"/>
      <c r="K203" s="252"/>
      <c r="L203" s="252"/>
      <c r="M203" s="253"/>
      <c r="N203" s="253"/>
      <c r="O203" s="253"/>
      <c r="P203" s="253"/>
      <c r="Q203" s="253"/>
      <c r="R203" s="253"/>
      <c r="S203" s="253"/>
      <c r="T203" s="253"/>
      <c r="U203" s="253"/>
      <c r="V203" s="253"/>
      <c r="W203" s="253"/>
      <c r="X203" s="253"/>
      <c r="Y203" s="253"/>
      <c r="Z203" s="253"/>
      <c r="AA203" s="253"/>
      <c r="AB203" s="253"/>
      <c r="AC203" s="265"/>
    </row>
    <row r="204" spans="2:29" s="262" customFormat="1" ht="16.5" customHeight="1">
      <c r="B204" s="413"/>
      <c r="C204" s="413"/>
      <c r="D204" s="264"/>
      <c r="E204" s="264"/>
      <c r="F204" s="264"/>
      <c r="G204" s="252"/>
      <c r="H204" s="252"/>
      <c r="I204" s="252"/>
      <c r="J204" s="252"/>
      <c r="K204" s="252"/>
      <c r="L204" s="252"/>
      <c r="M204" s="253"/>
      <c r="N204" s="253"/>
      <c r="O204" s="253"/>
      <c r="P204" s="253"/>
      <c r="Q204" s="253"/>
      <c r="R204" s="253"/>
      <c r="S204" s="253"/>
      <c r="T204" s="253"/>
      <c r="U204" s="253"/>
      <c r="V204" s="253"/>
      <c r="W204" s="253"/>
      <c r="X204" s="253"/>
      <c r="Y204" s="253"/>
      <c r="Z204" s="253"/>
      <c r="AA204" s="253"/>
      <c r="AB204" s="253"/>
      <c r="AC204" s="265"/>
    </row>
    <row r="205" spans="2:29" s="262" customFormat="1" ht="16.5" customHeight="1">
      <c r="B205" s="413"/>
      <c r="C205" s="413"/>
      <c r="D205" s="264"/>
      <c r="E205" s="264"/>
      <c r="F205" s="264"/>
      <c r="G205" s="252"/>
      <c r="H205" s="252"/>
      <c r="I205" s="252"/>
      <c r="J205" s="252"/>
      <c r="K205" s="252"/>
      <c r="L205" s="252"/>
      <c r="M205" s="253"/>
      <c r="N205" s="253"/>
      <c r="O205" s="253"/>
      <c r="P205" s="253"/>
      <c r="Q205" s="253"/>
      <c r="R205" s="253"/>
      <c r="S205" s="253"/>
      <c r="T205" s="253"/>
      <c r="U205" s="253"/>
      <c r="V205" s="253"/>
      <c r="W205" s="253"/>
      <c r="X205" s="253"/>
      <c r="Y205" s="253"/>
      <c r="Z205" s="253"/>
      <c r="AA205" s="253"/>
      <c r="AB205" s="253"/>
      <c r="AC205" s="265"/>
    </row>
    <row r="206" spans="2:29" s="262" customFormat="1" ht="16.5" customHeight="1">
      <c r="B206" s="413"/>
      <c r="C206" s="413"/>
      <c r="D206" s="264"/>
      <c r="E206" s="264"/>
      <c r="F206" s="264"/>
      <c r="G206" s="252"/>
      <c r="H206" s="252"/>
      <c r="I206" s="252"/>
      <c r="J206" s="252"/>
      <c r="K206" s="252"/>
      <c r="L206" s="252"/>
      <c r="M206" s="253"/>
      <c r="N206" s="253"/>
      <c r="O206" s="253"/>
      <c r="P206" s="253"/>
      <c r="Q206" s="253"/>
      <c r="R206" s="253"/>
      <c r="S206" s="253"/>
      <c r="T206" s="253"/>
      <c r="U206" s="253"/>
      <c r="V206" s="253"/>
      <c r="W206" s="253"/>
      <c r="X206" s="253"/>
      <c r="Y206" s="253"/>
      <c r="Z206" s="253"/>
      <c r="AA206" s="253"/>
      <c r="AB206" s="253"/>
      <c r="AC206" s="265"/>
    </row>
    <row r="207" spans="2:29" s="262" customFormat="1" ht="16.5" customHeight="1">
      <c r="B207" s="413"/>
      <c r="C207" s="413"/>
      <c r="D207" s="264"/>
      <c r="E207" s="264"/>
      <c r="F207" s="264"/>
      <c r="G207" s="252"/>
      <c r="H207" s="252"/>
      <c r="I207" s="252"/>
      <c r="J207" s="252"/>
      <c r="K207" s="252"/>
      <c r="L207" s="252"/>
      <c r="M207" s="253"/>
      <c r="N207" s="253"/>
      <c r="O207" s="253"/>
      <c r="P207" s="253"/>
      <c r="Q207" s="253"/>
      <c r="R207" s="253"/>
      <c r="S207" s="253"/>
      <c r="T207" s="253"/>
      <c r="U207" s="253"/>
      <c r="V207" s="253"/>
      <c r="W207" s="253"/>
      <c r="X207" s="253"/>
      <c r="Y207" s="253"/>
      <c r="Z207" s="253"/>
      <c r="AA207" s="253"/>
      <c r="AB207" s="253"/>
      <c r="AC207" s="265"/>
    </row>
    <row r="208" spans="2:29" s="262" customFormat="1" ht="16.5" customHeight="1">
      <c r="B208" s="413"/>
      <c r="C208" s="413"/>
      <c r="D208" s="264"/>
      <c r="E208" s="264"/>
      <c r="F208" s="264"/>
      <c r="G208" s="252"/>
      <c r="H208" s="252"/>
      <c r="I208" s="252"/>
      <c r="J208" s="252"/>
      <c r="K208" s="252"/>
      <c r="L208" s="252"/>
      <c r="M208" s="253"/>
      <c r="N208" s="253"/>
      <c r="O208" s="253"/>
      <c r="P208" s="253"/>
      <c r="Q208" s="253"/>
      <c r="R208" s="253"/>
      <c r="S208" s="253"/>
      <c r="T208" s="253"/>
      <c r="U208" s="253"/>
      <c r="V208" s="253"/>
      <c r="W208" s="253"/>
      <c r="X208" s="253"/>
      <c r="Y208" s="253"/>
      <c r="Z208" s="253"/>
      <c r="AA208" s="253"/>
      <c r="AB208" s="253"/>
      <c r="AC208" s="265"/>
    </row>
    <row r="209" spans="2:29" s="262" customFormat="1" ht="16.5" customHeight="1">
      <c r="B209" s="413"/>
      <c r="C209" s="413"/>
      <c r="D209" s="264"/>
      <c r="E209" s="264"/>
      <c r="F209" s="264"/>
      <c r="G209" s="252"/>
      <c r="H209" s="252"/>
      <c r="I209" s="252"/>
      <c r="J209" s="252"/>
      <c r="K209" s="252"/>
      <c r="L209" s="252"/>
      <c r="M209" s="253"/>
      <c r="N209" s="253"/>
      <c r="O209" s="253"/>
      <c r="P209" s="253"/>
      <c r="Q209" s="253"/>
      <c r="R209" s="253"/>
      <c r="S209" s="253"/>
      <c r="T209" s="253"/>
      <c r="U209" s="253"/>
      <c r="V209" s="253"/>
      <c r="W209" s="253"/>
      <c r="X209" s="253"/>
      <c r="Y209" s="253"/>
      <c r="Z209" s="253"/>
      <c r="AA209" s="253"/>
      <c r="AB209" s="253"/>
      <c r="AC209" s="265"/>
    </row>
    <row r="210" spans="2:29" s="262" customFormat="1" ht="16.5" customHeight="1">
      <c r="B210" s="413"/>
      <c r="C210" s="413"/>
      <c r="D210" s="264"/>
      <c r="E210" s="264"/>
      <c r="F210" s="264"/>
      <c r="G210" s="252"/>
      <c r="H210" s="252"/>
      <c r="I210" s="252"/>
      <c r="J210" s="252"/>
      <c r="K210" s="252"/>
      <c r="L210" s="252"/>
      <c r="M210" s="253"/>
      <c r="N210" s="253"/>
      <c r="O210" s="253"/>
      <c r="P210" s="253"/>
      <c r="Q210" s="253"/>
      <c r="R210" s="253"/>
      <c r="S210" s="253"/>
      <c r="T210" s="253"/>
      <c r="U210" s="253"/>
      <c r="V210" s="253"/>
      <c r="W210" s="253"/>
      <c r="X210" s="253"/>
      <c r="Y210" s="253"/>
      <c r="Z210" s="253"/>
      <c r="AA210" s="253"/>
      <c r="AB210" s="253"/>
      <c r="AC210" s="265"/>
    </row>
    <row r="211" spans="2:29" s="262" customFormat="1" ht="16.5" customHeight="1">
      <c r="B211" s="413"/>
      <c r="C211" s="413"/>
      <c r="D211" s="264"/>
      <c r="E211" s="264"/>
      <c r="F211" s="264"/>
      <c r="G211" s="252"/>
      <c r="H211" s="252"/>
      <c r="I211" s="252"/>
      <c r="J211" s="252"/>
      <c r="K211" s="252"/>
      <c r="L211" s="252"/>
      <c r="M211" s="253"/>
      <c r="N211" s="253"/>
      <c r="O211" s="253"/>
      <c r="P211" s="253"/>
      <c r="Q211" s="253"/>
      <c r="R211" s="253"/>
      <c r="S211" s="253"/>
      <c r="T211" s="253"/>
      <c r="U211" s="253"/>
      <c r="V211" s="253"/>
      <c r="W211" s="253"/>
      <c r="X211" s="253"/>
      <c r="Y211" s="253"/>
      <c r="Z211" s="253"/>
      <c r="AA211" s="253"/>
      <c r="AB211" s="253"/>
      <c r="AC211" s="265"/>
    </row>
    <row r="212" spans="2:29" s="262" customFormat="1" ht="16.5" customHeight="1">
      <c r="B212" s="413"/>
      <c r="C212" s="413"/>
      <c r="D212" s="264"/>
      <c r="E212" s="264"/>
      <c r="F212" s="264"/>
      <c r="G212" s="252"/>
      <c r="H212" s="252"/>
      <c r="I212" s="252"/>
      <c r="J212" s="252"/>
      <c r="K212" s="252"/>
      <c r="L212" s="252"/>
      <c r="M212" s="253"/>
      <c r="N212" s="253"/>
      <c r="O212" s="253"/>
      <c r="P212" s="253"/>
      <c r="Q212" s="253"/>
      <c r="R212" s="253"/>
      <c r="S212" s="253"/>
      <c r="T212" s="253"/>
      <c r="U212" s="253"/>
      <c r="V212" s="253"/>
      <c r="W212" s="253"/>
      <c r="X212" s="253"/>
      <c r="Y212" s="253"/>
      <c r="Z212" s="253"/>
      <c r="AA212" s="253"/>
      <c r="AB212" s="253"/>
      <c r="AC212" s="265"/>
    </row>
    <row r="213" spans="2:29" s="262" customFormat="1" ht="16.5" customHeight="1">
      <c r="B213" s="413"/>
      <c r="C213" s="413"/>
      <c r="D213" s="264"/>
      <c r="E213" s="264"/>
      <c r="F213" s="264"/>
      <c r="G213" s="252"/>
      <c r="H213" s="252"/>
      <c r="I213" s="252"/>
      <c r="J213" s="252"/>
      <c r="K213" s="252"/>
      <c r="L213" s="252"/>
      <c r="M213" s="253"/>
      <c r="N213" s="253"/>
      <c r="O213" s="253"/>
      <c r="P213" s="253"/>
      <c r="Q213" s="253"/>
      <c r="R213" s="253"/>
      <c r="S213" s="253"/>
      <c r="T213" s="253"/>
      <c r="U213" s="253"/>
      <c r="V213" s="253"/>
      <c r="W213" s="253"/>
      <c r="X213" s="253"/>
      <c r="Y213" s="253"/>
      <c r="Z213" s="253"/>
      <c r="AA213" s="253"/>
      <c r="AB213" s="253"/>
      <c r="AC213" s="265"/>
    </row>
    <row r="214" spans="2:29" s="262" customFormat="1" ht="16.5" customHeight="1">
      <c r="B214" s="413"/>
      <c r="C214" s="413"/>
      <c r="D214" s="264"/>
      <c r="E214" s="264"/>
      <c r="F214" s="264"/>
      <c r="G214" s="252"/>
      <c r="H214" s="252"/>
      <c r="I214" s="252"/>
      <c r="J214" s="252"/>
      <c r="K214" s="252"/>
      <c r="L214" s="252"/>
      <c r="M214" s="253"/>
      <c r="N214" s="253"/>
      <c r="O214" s="253"/>
      <c r="P214" s="253"/>
      <c r="Q214" s="253"/>
      <c r="R214" s="253"/>
      <c r="S214" s="253"/>
      <c r="T214" s="253"/>
      <c r="U214" s="253"/>
      <c r="V214" s="253"/>
      <c r="W214" s="253"/>
      <c r="X214" s="253"/>
      <c r="Y214" s="253"/>
      <c r="Z214" s="253"/>
      <c r="AA214" s="253"/>
      <c r="AB214" s="253"/>
      <c r="AC214" s="265"/>
    </row>
    <row r="215" spans="2:29" s="262" customFormat="1" ht="16.5" customHeight="1">
      <c r="B215" s="413"/>
      <c r="C215" s="413"/>
      <c r="D215" s="264"/>
      <c r="E215" s="264"/>
      <c r="F215" s="264"/>
      <c r="G215" s="252"/>
      <c r="H215" s="252"/>
      <c r="I215" s="252"/>
      <c r="J215" s="252"/>
      <c r="K215" s="252"/>
      <c r="L215" s="252"/>
      <c r="M215" s="253"/>
      <c r="N215" s="253"/>
      <c r="O215" s="253"/>
      <c r="P215" s="253"/>
      <c r="Q215" s="253"/>
      <c r="R215" s="253"/>
      <c r="S215" s="253"/>
      <c r="T215" s="253"/>
      <c r="U215" s="253"/>
      <c r="V215" s="253"/>
      <c r="W215" s="253"/>
      <c r="X215" s="253"/>
      <c r="Y215" s="253"/>
      <c r="Z215" s="253"/>
      <c r="AA215" s="253"/>
      <c r="AB215" s="253"/>
      <c r="AC215" s="265"/>
    </row>
    <row r="216" spans="2:29" s="262" customFormat="1" ht="16.5" customHeight="1">
      <c r="B216" s="413"/>
      <c r="C216" s="413"/>
      <c r="D216" s="264"/>
      <c r="E216" s="264"/>
      <c r="F216" s="264"/>
      <c r="G216" s="252"/>
      <c r="H216" s="252"/>
      <c r="I216" s="252"/>
      <c r="J216" s="252"/>
      <c r="K216" s="252"/>
      <c r="L216" s="252"/>
      <c r="M216" s="253"/>
      <c r="N216" s="253"/>
      <c r="O216" s="253"/>
      <c r="P216" s="253"/>
      <c r="Q216" s="253"/>
      <c r="R216" s="253"/>
      <c r="S216" s="253"/>
      <c r="T216" s="253"/>
      <c r="U216" s="253"/>
      <c r="V216" s="253"/>
      <c r="W216" s="253"/>
      <c r="X216" s="253"/>
      <c r="Y216" s="253"/>
      <c r="Z216" s="253"/>
      <c r="AA216" s="253"/>
      <c r="AB216" s="253"/>
      <c r="AC216" s="265"/>
    </row>
    <row r="217" spans="2:29" s="262" customFormat="1" ht="16.5" customHeight="1">
      <c r="B217" s="413"/>
      <c r="C217" s="413"/>
      <c r="D217" s="264"/>
      <c r="E217" s="264"/>
      <c r="F217" s="264"/>
      <c r="G217" s="252"/>
      <c r="H217" s="252"/>
      <c r="I217" s="252"/>
      <c r="J217" s="252"/>
      <c r="K217" s="252"/>
      <c r="L217" s="252"/>
      <c r="M217" s="253"/>
      <c r="N217" s="253"/>
      <c r="O217" s="253"/>
      <c r="P217" s="253"/>
      <c r="Q217" s="253"/>
      <c r="R217" s="253"/>
      <c r="S217" s="253"/>
      <c r="T217" s="253"/>
      <c r="U217" s="253"/>
      <c r="V217" s="253"/>
      <c r="W217" s="253"/>
      <c r="X217" s="253"/>
      <c r="Y217" s="253"/>
      <c r="Z217" s="253"/>
      <c r="AA217" s="253"/>
      <c r="AB217" s="253"/>
      <c r="AC217" s="265"/>
    </row>
    <row r="218" spans="2:29" s="262" customFormat="1" ht="16.5" customHeight="1">
      <c r="B218" s="413"/>
      <c r="C218" s="413"/>
      <c r="D218" s="264"/>
      <c r="E218" s="264"/>
      <c r="F218" s="264"/>
      <c r="G218" s="252"/>
      <c r="H218" s="252"/>
      <c r="I218" s="252"/>
      <c r="J218" s="252"/>
      <c r="K218" s="252"/>
      <c r="L218" s="252"/>
      <c r="M218" s="253"/>
      <c r="N218" s="253"/>
      <c r="O218" s="253"/>
      <c r="P218" s="253"/>
      <c r="Q218" s="253"/>
      <c r="R218" s="253"/>
      <c r="S218" s="253"/>
      <c r="T218" s="253"/>
      <c r="U218" s="253"/>
      <c r="V218" s="253"/>
      <c r="W218" s="253"/>
      <c r="X218" s="253"/>
      <c r="Y218" s="253"/>
      <c r="Z218" s="253"/>
      <c r="AA218" s="253"/>
      <c r="AB218" s="253"/>
      <c r="AC218" s="265"/>
    </row>
    <row r="219" spans="2:29" s="262" customFormat="1" ht="16.5" customHeight="1">
      <c r="B219" s="413"/>
      <c r="C219" s="413"/>
      <c r="D219" s="264"/>
      <c r="E219" s="264"/>
      <c r="F219" s="264"/>
      <c r="G219" s="252"/>
      <c r="H219" s="252"/>
      <c r="I219" s="252"/>
      <c r="J219" s="252"/>
      <c r="K219" s="252"/>
      <c r="L219" s="252"/>
      <c r="M219" s="253"/>
      <c r="N219" s="253"/>
      <c r="O219" s="253"/>
      <c r="P219" s="253"/>
      <c r="Q219" s="253"/>
      <c r="R219" s="253"/>
      <c r="S219" s="253"/>
      <c r="T219" s="253"/>
      <c r="U219" s="253"/>
      <c r="V219" s="253"/>
      <c r="W219" s="253"/>
      <c r="X219" s="253"/>
      <c r="Y219" s="253"/>
      <c r="Z219" s="253"/>
      <c r="AA219" s="253"/>
      <c r="AB219" s="253"/>
      <c r="AC219" s="265"/>
    </row>
    <row r="220" spans="2:29" s="262" customFormat="1" ht="16.5" customHeight="1">
      <c r="B220" s="413"/>
      <c r="C220" s="413"/>
      <c r="D220" s="264"/>
      <c r="E220" s="264"/>
      <c r="F220" s="264"/>
      <c r="G220" s="252"/>
      <c r="H220" s="252"/>
      <c r="I220" s="252"/>
      <c r="J220" s="252"/>
      <c r="K220" s="252"/>
      <c r="L220" s="252"/>
      <c r="M220" s="253"/>
      <c r="N220" s="253"/>
      <c r="O220" s="253"/>
      <c r="P220" s="253"/>
      <c r="Q220" s="253"/>
      <c r="R220" s="253"/>
      <c r="S220" s="253"/>
      <c r="T220" s="253"/>
      <c r="U220" s="253"/>
      <c r="V220" s="253"/>
      <c r="W220" s="253"/>
      <c r="X220" s="253"/>
      <c r="Y220" s="253"/>
      <c r="Z220" s="253"/>
      <c r="AA220" s="253"/>
      <c r="AB220" s="253"/>
      <c r="AC220" s="265"/>
    </row>
    <row r="221" spans="2:29" s="262" customFormat="1" ht="16.5" customHeight="1">
      <c r="B221" s="413"/>
      <c r="C221" s="413"/>
      <c r="D221" s="264"/>
      <c r="E221" s="264"/>
      <c r="F221" s="264"/>
      <c r="G221" s="252"/>
      <c r="H221" s="252"/>
      <c r="I221" s="252"/>
      <c r="J221" s="252"/>
      <c r="K221" s="252"/>
      <c r="L221" s="252"/>
      <c r="M221" s="253"/>
      <c r="N221" s="253"/>
      <c r="O221" s="253"/>
      <c r="P221" s="253"/>
      <c r="Q221" s="253"/>
      <c r="R221" s="253"/>
      <c r="S221" s="253"/>
      <c r="T221" s="253"/>
      <c r="U221" s="253"/>
      <c r="V221" s="253"/>
      <c r="W221" s="253"/>
      <c r="X221" s="253"/>
      <c r="Y221" s="253"/>
      <c r="Z221" s="253"/>
      <c r="AA221" s="253"/>
      <c r="AB221" s="253"/>
      <c r="AC221" s="265"/>
    </row>
    <row r="222" spans="2:29" s="262" customFormat="1" ht="16.5" customHeight="1">
      <c r="B222" s="413"/>
      <c r="C222" s="413"/>
      <c r="D222" s="264"/>
      <c r="E222" s="264"/>
      <c r="F222" s="264"/>
      <c r="G222" s="252"/>
      <c r="H222" s="252"/>
      <c r="I222" s="252"/>
      <c r="J222" s="252"/>
      <c r="K222" s="252"/>
      <c r="L222" s="252"/>
      <c r="M222" s="253"/>
      <c r="N222" s="253"/>
      <c r="O222" s="253"/>
      <c r="P222" s="253"/>
      <c r="Q222" s="253"/>
      <c r="R222" s="253"/>
      <c r="S222" s="253"/>
      <c r="T222" s="253"/>
      <c r="U222" s="253"/>
      <c r="V222" s="253"/>
      <c r="W222" s="253"/>
      <c r="X222" s="253"/>
      <c r="Y222" s="253"/>
      <c r="Z222" s="253"/>
      <c r="AA222" s="253"/>
      <c r="AB222" s="253"/>
      <c r="AC222" s="265"/>
    </row>
    <row r="223" spans="2:29" s="262" customFormat="1" ht="16.5" customHeight="1">
      <c r="B223" s="413"/>
      <c r="C223" s="413"/>
      <c r="D223" s="264"/>
      <c r="E223" s="264"/>
      <c r="F223" s="264"/>
      <c r="G223" s="252"/>
      <c r="H223" s="252"/>
      <c r="I223" s="252"/>
      <c r="J223" s="252"/>
      <c r="K223" s="252"/>
      <c r="L223" s="252"/>
      <c r="M223" s="253"/>
      <c r="N223" s="253"/>
      <c r="O223" s="253"/>
      <c r="P223" s="253"/>
      <c r="Q223" s="253"/>
      <c r="R223" s="253"/>
      <c r="S223" s="253"/>
      <c r="T223" s="253"/>
      <c r="U223" s="253"/>
      <c r="V223" s="253"/>
      <c r="W223" s="253"/>
      <c r="X223" s="253"/>
      <c r="Y223" s="253"/>
      <c r="Z223" s="253"/>
      <c r="AA223" s="253"/>
      <c r="AB223" s="253"/>
      <c r="AC223" s="265"/>
    </row>
    <row r="224" spans="2:29" s="262" customFormat="1" ht="16.5" customHeight="1">
      <c r="B224" s="413"/>
      <c r="C224" s="413"/>
      <c r="D224" s="264"/>
      <c r="E224" s="264"/>
      <c r="F224" s="264"/>
      <c r="G224" s="252"/>
      <c r="H224" s="252"/>
      <c r="I224" s="252"/>
      <c r="J224" s="252"/>
      <c r="K224" s="252"/>
      <c r="L224" s="252"/>
      <c r="M224" s="253"/>
      <c r="N224" s="253"/>
      <c r="O224" s="253"/>
      <c r="P224" s="253"/>
      <c r="Q224" s="253"/>
      <c r="R224" s="253"/>
      <c r="S224" s="253"/>
      <c r="T224" s="253"/>
      <c r="U224" s="253"/>
      <c r="V224" s="253"/>
      <c r="W224" s="253"/>
      <c r="X224" s="253"/>
      <c r="Y224" s="253"/>
      <c r="Z224" s="253"/>
      <c r="AA224" s="253"/>
      <c r="AB224" s="253"/>
      <c r="AC224" s="265"/>
    </row>
    <row r="225" spans="2:29" s="262" customFormat="1" ht="16.5" customHeight="1">
      <c r="B225" s="413"/>
      <c r="C225" s="413"/>
      <c r="D225" s="264"/>
      <c r="E225" s="264"/>
      <c r="F225" s="264"/>
      <c r="G225" s="252"/>
      <c r="H225" s="252"/>
      <c r="I225" s="252"/>
      <c r="J225" s="252"/>
      <c r="K225" s="252"/>
      <c r="L225" s="252"/>
      <c r="M225" s="253"/>
      <c r="N225" s="253"/>
      <c r="O225" s="253"/>
      <c r="P225" s="253"/>
      <c r="Q225" s="253"/>
      <c r="R225" s="253"/>
      <c r="S225" s="253"/>
      <c r="T225" s="253"/>
      <c r="U225" s="253"/>
      <c r="V225" s="253"/>
      <c r="W225" s="253"/>
      <c r="X225" s="253"/>
      <c r="Y225" s="253"/>
      <c r="Z225" s="253"/>
      <c r="AA225" s="253"/>
      <c r="AB225" s="253"/>
      <c r="AC225" s="265"/>
    </row>
    <row r="226" spans="2:29" s="262" customFormat="1" ht="16.5" customHeight="1">
      <c r="B226" s="413"/>
      <c r="C226" s="413"/>
      <c r="D226" s="264"/>
      <c r="E226" s="264"/>
      <c r="F226" s="264"/>
      <c r="G226" s="252"/>
      <c r="H226" s="252"/>
      <c r="I226" s="252"/>
      <c r="J226" s="252"/>
      <c r="K226" s="252"/>
      <c r="L226" s="252"/>
      <c r="M226" s="253"/>
      <c r="N226" s="253"/>
      <c r="O226" s="253"/>
      <c r="P226" s="253"/>
      <c r="Q226" s="253"/>
      <c r="R226" s="253"/>
      <c r="S226" s="253"/>
      <c r="T226" s="253"/>
      <c r="U226" s="253"/>
      <c r="V226" s="253"/>
      <c r="W226" s="253"/>
      <c r="X226" s="253"/>
      <c r="Y226" s="253"/>
      <c r="Z226" s="253"/>
      <c r="AA226" s="253"/>
      <c r="AB226" s="253"/>
      <c r="AC226" s="265"/>
    </row>
    <row r="227" spans="2:29" s="262" customFormat="1" ht="16.5" customHeight="1">
      <c r="B227" s="413"/>
      <c r="C227" s="413"/>
      <c r="D227" s="264"/>
      <c r="E227" s="264"/>
      <c r="F227" s="264"/>
      <c r="G227" s="252"/>
      <c r="H227" s="252"/>
      <c r="I227" s="252"/>
      <c r="J227" s="252"/>
      <c r="K227" s="252"/>
      <c r="L227" s="252"/>
      <c r="M227" s="253"/>
      <c r="N227" s="253"/>
      <c r="O227" s="253"/>
      <c r="P227" s="253"/>
      <c r="Q227" s="253"/>
      <c r="R227" s="253"/>
      <c r="S227" s="253"/>
      <c r="T227" s="253"/>
      <c r="U227" s="253"/>
      <c r="V227" s="253"/>
      <c r="W227" s="253"/>
      <c r="X227" s="253"/>
      <c r="Y227" s="253"/>
      <c r="Z227" s="253"/>
      <c r="AA227" s="253"/>
      <c r="AB227" s="253"/>
      <c r="AC227" s="265"/>
    </row>
    <row r="228" spans="2:29" s="262" customFormat="1" ht="16.5" customHeight="1">
      <c r="B228" s="413"/>
      <c r="C228" s="413"/>
      <c r="D228" s="264"/>
      <c r="E228" s="264"/>
      <c r="F228" s="264"/>
      <c r="G228" s="252"/>
      <c r="H228" s="252"/>
      <c r="I228" s="252"/>
      <c r="J228" s="252"/>
      <c r="K228" s="252"/>
      <c r="L228" s="252"/>
      <c r="M228" s="253"/>
      <c r="N228" s="253"/>
      <c r="O228" s="253"/>
      <c r="P228" s="253"/>
      <c r="Q228" s="253"/>
      <c r="R228" s="253"/>
      <c r="S228" s="253"/>
      <c r="T228" s="253"/>
      <c r="U228" s="253"/>
      <c r="V228" s="253"/>
      <c r="W228" s="253"/>
      <c r="X228" s="253"/>
      <c r="Y228" s="253"/>
      <c r="Z228" s="253"/>
      <c r="AA228" s="253"/>
      <c r="AB228" s="253"/>
      <c r="AC228" s="265"/>
    </row>
    <row r="229" spans="2:29" s="262" customFormat="1" ht="16.5" customHeight="1">
      <c r="B229" s="413"/>
      <c r="C229" s="413"/>
      <c r="D229" s="264"/>
      <c r="E229" s="264"/>
      <c r="F229" s="264"/>
      <c r="G229" s="252"/>
      <c r="H229" s="252"/>
      <c r="I229" s="252"/>
      <c r="J229" s="252"/>
      <c r="K229" s="252"/>
      <c r="L229" s="252"/>
      <c r="M229" s="253"/>
      <c r="N229" s="253"/>
      <c r="O229" s="253"/>
      <c r="P229" s="253"/>
      <c r="Q229" s="253"/>
      <c r="R229" s="253"/>
      <c r="S229" s="253"/>
      <c r="T229" s="253"/>
      <c r="U229" s="253"/>
      <c r="V229" s="253"/>
      <c r="W229" s="253"/>
      <c r="X229" s="253"/>
      <c r="Y229" s="253"/>
      <c r="Z229" s="253"/>
      <c r="AA229" s="253"/>
      <c r="AB229" s="253"/>
      <c r="AC229" s="265"/>
    </row>
    <row r="230" spans="2:29" s="262" customFormat="1" ht="16.5" customHeight="1">
      <c r="B230" s="413"/>
      <c r="C230" s="413"/>
      <c r="D230" s="264"/>
      <c r="E230" s="264"/>
      <c r="F230" s="264"/>
      <c r="G230" s="252"/>
      <c r="H230" s="252"/>
      <c r="I230" s="252"/>
      <c r="J230" s="252"/>
      <c r="K230" s="252"/>
      <c r="L230" s="252"/>
      <c r="M230" s="253"/>
      <c r="N230" s="253"/>
      <c r="O230" s="253"/>
      <c r="P230" s="253"/>
      <c r="Q230" s="253"/>
      <c r="R230" s="253"/>
      <c r="S230" s="253"/>
      <c r="T230" s="253"/>
      <c r="U230" s="253"/>
      <c r="V230" s="253"/>
      <c r="W230" s="253"/>
      <c r="X230" s="253"/>
      <c r="Y230" s="253"/>
      <c r="Z230" s="253"/>
      <c r="AA230" s="253"/>
      <c r="AB230" s="253"/>
      <c r="AC230" s="265"/>
    </row>
    <row r="231" spans="2:29" s="262" customFormat="1" ht="16.5" customHeight="1">
      <c r="B231" s="413"/>
      <c r="C231" s="413"/>
      <c r="D231" s="264"/>
      <c r="E231" s="264"/>
      <c r="F231" s="264"/>
      <c r="G231" s="252"/>
      <c r="H231" s="252"/>
      <c r="I231" s="252"/>
      <c r="J231" s="252"/>
      <c r="K231" s="252"/>
      <c r="L231" s="252"/>
      <c r="M231" s="253"/>
      <c r="N231" s="253"/>
      <c r="O231" s="253"/>
      <c r="P231" s="253"/>
      <c r="Q231" s="253"/>
      <c r="R231" s="253"/>
      <c r="S231" s="253"/>
      <c r="T231" s="253"/>
      <c r="U231" s="253"/>
      <c r="V231" s="253"/>
      <c r="W231" s="253"/>
      <c r="X231" s="253"/>
      <c r="Y231" s="253"/>
      <c r="Z231" s="253"/>
      <c r="AA231" s="253"/>
      <c r="AB231" s="253"/>
      <c r="AC231" s="265"/>
    </row>
    <row r="232" spans="2:29" s="262" customFormat="1" ht="16.5" customHeight="1">
      <c r="B232" s="413"/>
      <c r="C232" s="413"/>
      <c r="D232" s="264"/>
      <c r="E232" s="264"/>
      <c r="F232" s="264"/>
      <c r="G232" s="252"/>
      <c r="H232" s="252"/>
      <c r="I232" s="252"/>
      <c r="J232" s="252"/>
      <c r="K232" s="252"/>
      <c r="L232" s="252"/>
      <c r="M232" s="253"/>
      <c r="N232" s="253"/>
      <c r="O232" s="253"/>
      <c r="P232" s="253"/>
      <c r="Q232" s="253"/>
      <c r="R232" s="253"/>
      <c r="S232" s="253"/>
      <c r="T232" s="253"/>
      <c r="U232" s="253"/>
      <c r="V232" s="253"/>
      <c r="W232" s="253"/>
      <c r="X232" s="253"/>
      <c r="Y232" s="253"/>
      <c r="Z232" s="253"/>
      <c r="AA232" s="253"/>
      <c r="AB232" s="253"/>
      <c r="AC232" s="265"/>
    </row>
    <row r="233" spans="2:29" s="262" customFormat="1" ht="16.5" customHeight="1">
      <c r="B233" s="413"/>
      <c r="C233" s="413"/>
      <c r="D233" s="264"/>
      <c r="E233" s="264"/>
      <c r="F233" s="264"/>
      <c r="G233" s="252"/>
      <c r="H233" s="252"/>
      <c r="I233" s="252"/>
      <c r="J233" s="252"/>
      <c r="K233" s="252"/>
      <c r="L233" s="252"/>
      <c r="M233" s="253"/>
      <c r="N233" s="253"/>
      <c r="O233" s="253"/>
      <c r="P233" s="253"/>
      <c r="Q233" s="253"/>
      <c r="R233" s="253"/>
      <c r="S233" s="253"/>
      <c r="T233" s="253"/>
      <c r="U233" s="253"/>
      <c r="V233" s="253"/>
      <c r="W233" s="253"/>
      <c r="X233" s="253"/>
      <c r="Y233" s="253"/>
      <c r="Z233" s="253"/>
      <c r="AA233" s="253"/>
      <c r="AB233" s="253"/>
      <c r="AC233" s="265"/>
    </row>
    <row r="234" spans="2:29" s="262" customFormat="1" ht="16.5" customHeight="1">
      <c r="B234" s="413"/>
      <c r="C234" s="413"/>
      <c r="D234" s="264"/>
      <c r="E234" s="264"/>
      <c r="F234" s="264"/>
      <c r="G234" s="252"/>
      <c r="H234" s="252"/>
      <c r="I234" s="252"/>
      <c r="J234" s="252"/>
      <c r="K234" s="252"/>
      <c r="L234" s="252"/>
      <c r="M234" s="253"/>
      <c r="N234" s="253"/>
      <c r="O234" s="253"/>
      <c r="P234" s="253"/>
      <c r="Q234" s="253"/>
      <c r="R234" s="253"/>
      <c r="S234" s="253"/>
      <c r="T234" s="253"/>
      <c r="U234" s="253"/>
      <c r="V234" s="253"/>
      <c r="W234" s="253"/>
      <c r="X234" s="253"/>
      <c r="Y234" s="253"/>
      <c r="Z234" s="253"/>
      <c r="AA234" s="253"/>
      <c r="AB234" s="253"/>
      <c r="AC234" s="265"/>
    </row>
    <row r="235" spans="2:29" s="262" customFormat="1" ht="16.5" customHeight="1">
      <c r="B235" s="413"/>
      <c r="C235" s="413"/>
      <c r="D235" s="264"/>
      <c r="E235" s="264"/>
      <c r="F235" s="264"/>
      <c r="G235" s="252"/>
      <c r="H235" s="252"/>
      <c r="I235" s="252"/>
      <c r="J235" s="252"/>
      <c r="K235" s="252"/>
      <c r="L235" s="252"/>
      <c r="M235" s="253"/>
      <c r="N235" s="253"/>
      <c r="O235" s="253"/>
      <c r="P235" s="253"/>
      <c r="Q235" s="253"/>
      <c r="R235" s="253"/>
      <c r="S235" s="253"/>
      <c r="T235" s="253"/>
      <c r="U235" s="253"/>
      <c r="V235" s="253"/>
      <c r="W235" s="253"/>
      <c r="X235" s="253"/>
      <c r="Y235" s="253"/>
      <c r="Z235" s="253"/>
      <c r="AA235" s="253"/>
      <c r="AB235" s="253"/>
      <c r="AC235" s="265"/>
    </row>
    <row r="236" spans="2:29" s="262" customFormat="1" ht="16.5" customHeight="1">
      <c r="B236" s="413"/>
      <c r="C236" s="413"/>
      <c r="D236" s="264"/>
      <c r="E236" s="264"/>
      <c r="F236" s="264"/>
      <c r="G236" s="252"/>
      <c r="H236" s="252"/>
      <c r="I236" s="252"/>
      <c r="J236" s="252"/>
      <c r="K236" s="252"/>
      <c r="L236" s="252"/>
      <c r="M236" s="253"/>
      <c r="N236" s="253"/>
      <c r="O236" s="253"/>
      <c r="P236" s="253"/>
      <c r="Q236" s="253"/>
      <c r="R236" s="253"/>
      <c r="S236" s="253"/>
      <c r="T236" s="253"/>
      <c r="U236" s="253"/>
      <c r="V236" s="253"/>
      <c r="W236" s="253"/>
      <c r="X236" s="253"/>
      <c r="Y236" s="253"/>
      <c r="Z236" s="253"/>
      <c r="AA236" s="253"/>
      <c r="AB236" s="253"/>
      <c r="AC236" s="265"/>
    </row>
    <row r="237" spans="2:29" s="262" customFormat="1" ht="16.5" customHeight="1">
      <c r="B237" s="413"/>
      <c r="C237" s="413"/>
      <c r="D237" s="264"/>
      <c r="E237" s="264"/>
      <c r="F237" s="264"/>
      <c r="G237" s="252"/>
      <c r="H237" s="252"/>
      <c r="I237" s="252"/>
      <c r="J237" s="252"/>
      <c r="K237" s="252"/>
      <c r="L237" s="252"/>
      <c r="M237" s="253"/>
      <c r="N237" s="253"/>
      <c r="O237" s="253"/>
      <c r="P237" s="253"/>
      <c r="Q237" s="253"/>
      <c r="R237" s="253"/>
      <c r="S237" s="253"/>
      <c r="T237" s="253"/>
      <c r="U237" s="253"/>
      <c r="V237" s="253"/>
      <c r="W237" s="253"/>
      <c r="X237" s="253"/>
      <c r="Y237" s="253"/>
      <c r="Z237" s="253"/>
      <c r="AA237" s="253"/>
      <c r="AB237" s="253"/>
      <c r="AC237" s="265"/>
    </row>
    <row r="238" spans="2:29" s="262" customFormat="1" ht="16.5" customHeight="1">
      <c r="B238" s="413"/>
      <c r="C238" s="413"/>
      <c r="D238" s="264"/>
      <c r="E238" s="264"/>
      <c r="F238" s="264"/>
      <c r="G238" s="252"/>
      <c r="H238" s="252"/>
      <c r="I238" s="252"/>
      <c r="J238" s="252"/>
      <c r="K238" s="252"/>
      <c r="L238" s="252"/>
      <c r="M238" s="253"/>
      <c r="N238" s="253"/>
      <c r="O238" s="253"/>
      <c r="P238" s="253"/>
      <c r="Q238" s="253"/>
      <c r="R238" s="253"/>
      <c r="S238" s="253"/>
      <c r="T238" s="253"/>
      <c r="U238" s="253"/>
      <c r="V238" s="253"/>
      <c r="W238" s="253"/>
      <c r="X238" s="253"/>
      <c r="Y238" s="253"/>
      <c r="Z238" s="253"/>
      <c r="AA238" s="253"/>
      <c r="AB238" s="253"/>
      <c r="AC238" s="265"/>
    </row>
    <row r="239" spans="2:29" s="262" customFormat="1" ht="16.5" customHeight="1">
      <c r="B239" s="413"/>
      <c r="C239" s="413"/>
      <c r="D239" s="264"/>
      <c r="E239" s="264"/>
      <c r="F239" s="264"/>
      <c r="G239" s="252"/>
      <c r="H239" s="252"/>
      <c r="I239" s="252"/>
      <c r="J239" s="252"/>
      <c r="K239" s="252"/>
      <c r="L239" s="252"/>
      <c r="M239" s="253"/>
      <c r="N239" s="253"/>
      <c r="O239" s="253"/>
      <c r="P239" s="253"/>
      <c r="Q239" s="253"/>
      <c r="R239" s="253"/>
      <c r="S239" s="253"/>
      <c r="T239" s="253"/>
      <c r="U239" s="253"/>
      <c r="V239" s="253"/>
      <c r="W239" s="253"/>
      <c r="X239" s="253"/>
      <c r="Y239" s="253"/>
      <c r="Z239" s="253"/>
      <c r="AA239" s="253"/>
      <c r="AB239" s="253"/>
      <c r="AC239" s="265"/>
    </row>
    <row r="240" spans="2:29" s="262" customFormat="1" ht="16.5" customHeight="1">
      <c r="B240" s="413"/>
      <c r="C240" s="413"/>
      <c r="D240" s="264"/>
      <c r="E240" s="264"/>
      <c r="F240" s="264"/>
      <c r="G240" s="252"/>
      <c r="H240" s="252"/>
      <c r="I240" s="252"/>
      <c r="J240" s="252"/>
      <c r="K240" s="252"/>
      <c r="L240" s="252"/>
      <c r="M240" s="253"/>
      <c r="N240" s="253"/>
      <c r="O240" s="253"/>
      <c r="P240" s="253"/>
      <c r="Q240" s="253"/>
      <c r="R240" s="253"/>
      <c r="S240" s="253"/>
      <c r="T240" s="253"/>
      <c r="U240" s="253"/>
      <c r="V240" s="253"/>
      <c r="W240" s="253"/>
      <c r="X240" s="253"/>
      <c r="Y240" s="253"/>
      <c r="Z240" s="253"/>
      <c r="AA240" s="253"/>
      <c r="AB240" s="253"/>
      <c r="AC240" s="265"/>
    </row>
    <row r="241" spans="1:29" s="262" customFormat="1" ht="16.5" customHeight="1">
      <c r="B241" s="413"/>
      <c r="C241" s="413"/>
      <c r="D241" s="264"/>
      <c r="E241" s="264"/>
      <c r="F241" s="264"/>
      <c r="G241" s="252"/>
      <c r="H241" s="252"/>
      <c r="I241" s="252"/>
      <c r="J241" s="252"/>
      <c r="K241" s="252"/>
      <c r="L241" s="252"/>
      <c r="M241" s="253"/>
      <c r="N241" s="253"/>
      <c r="O241" s="253"/>
      <c r="P241" s="253"/>
      <c r="Q241" s="253"/>
      <c r="R241" s="253"/>
      <c r="S241" s="253"/>
      <c r="T241" s="253"/>
      <c r="U241" s="253"/>
      <c r="V241" s="253"/>
      <c r="W241" s="253"/>
      <c r="X241" s="253"/>
      <c r="Y241" s="253"/>
      <c r="Z241" s="253"/>
      <c r="AA241" s="253"/>
      <c r="AB241" s="253"/>
      <c r="AC241" s="265"/>
    </row>
    <row r="242" spans="1:29" s="262" customFormat="1" ht="16.5" customHeight="1">
      <c r="B242" s="413"/>
      <c r="C242" s="413"/>
      <c r="D242" s="264"/>
      <c r="E242" s="264"/>
      <c r="F242" s="264"/>
      <c r="G242" s="252"/>
      <c r="H242" s="252"/>
      <c r="I242" s="252"/>
      <c r="J242" s="252"/>
      <c r="K242" s="252"/>
      <c r="L242" s="252"/>
      <c r="M242" s="253"/>
      <c r="N242" s="253"/>
      <c r="O242" s="253"/>
      <c r="P242" s="253"/>
      <c r="Q242" s="253"/>
      <c r="R242" s="253"/>
      <c r="S242" s="253"/>
      <c r="T242" s="253"/>
      <c r="U242" s="253"/>
      <c r="V242" s="253"/>
      <c r="W242" s="253"/>
      <c r="X242" s="253"/>
      <c r="Y242" s="253"/>
      <c r="Z242" s="253"/>
      <c r="AA242" s="253"/>
      <c r="AB242" s="253"/>
      <c r="AC242" s="265"/>
    </row>
    <row r="243" spans="1:29" s="262" customFormat="1" ht="16.5" customHeight="1">
      <c r="B243" s="413"/>
      <c r="C243" s="413"/>
      <c r="D243" s="264"/>
      <c r="E243" s="264"/>
      <c r="F243" s="264"/>
      <c r="G243" s="252"/>
      <c r="H243" s="252"/>
      <c r="I243" s="252"/>
      <c r="J243" s="252"/>
      <c r="K243" s="252"/>
      <c r="L243" s="252"/>
      <c r="M243" s="253"/>
      <c r="N243" s="253"/>
      <c r="O243" s="253"/>
      <c r="P243" s="253"/>
      <c r="Q243" s="253"/>
      <c r="R243" s="253"/>
      <c r="S243" s="253"/>
      <c r="T243" s="253"/>
      <c r="U243" s="253"/>
      <c r="V243" s="253"/>
      <c r="W243" s="253"/>
      <c r="X243" s="253"/>
      <c r="Y243" s="253"/>
      <c r="Z243" s="253"/>
      <c r="AA243" s="253"/>
      <c r="AB243" s="253"/>
      <c r="AC243" s="265"/>
    </row>
    <row r="244" spans="1:29" s="262" customFormat="1" ht="16.5" customHeight="1">
      <c r="B244" s="413"/>
      <c r="C244" s="413"/>
      <c r="D244" s="264"/>
      <c r="E244" s="264"/>
      <c r="F244" s="264"/>
      <c r="G244" s="252"/>
      <c r="H244" s="252"/>
      <c r="I244" s="252"/>
      <c r="J244" s="252"/>
      <c r="K244" s="252"/>
      <c r="L244" s="252"/>
      <c r="M244" s="253"/>
      <c r="N244" s="253"/>
      <c r="O244" s="253"/>
      <c r="P244" s="253"/>
      <c r="Q244" s="253"/>
      <c r="R244" s="253"/>
      <c r="S244" s="253"/>
      <c r="T244" s="253"/>
      <c r="U244" s="253"/>
      <c r="V244" s="253"/>
      <c r="W244" s="253"/>
      <c r="X244" s="253"/>
      <c r="Y244" s="253"/>
      <c r="Z244" s="253"/>
      <c r="AA244" s="253"/>
      <c r="AB244" s="253"/>
      <c r="AC244" s="265"/>
    </row>
    <row r="245" spans="1:29" s="262" customFormat="1" ht="16.5" customHeight="1">
      <c r="B245" s="413"/>
      <c r="C245" s="413"/>
      <c r="D245" s="264"/>
      <c r="E245" s="264"/>
      <c r="F245" s="264"/>
      <c r="G245" s="252"/>
      <c r="H245" s="252"/>
      <c r="I245" s="252"/>
      <c r="J245" s="252"/>
      <c r="K245" s="252"/>
      <c r="L245" s="252"/>
      <c r="M245" s="253"/>
      <c r="N245" s="253"/>
      <c r="O245" s="253"/>
      <c r="P245" s="253"/>
      <c r="Q245" s="253"/>
      <c r="R245" s="253"/>
      <c r="S245" s="253"/>
      <c r="T245" s="253"/>
      <c r="U245" s="253"/>
      <c r="V245" s="253"/>
      <c r="W245" s="253"/>
      <c r="X245" s="253"/>
      <c r="Y245" s="253"/>
      <c r="Z245" s="253"/>
      <c r="AA245" s="253"/>
      <c r="AB245" s="253"/>
      <c r="AC245" s="265"/>
    </row>
    <row r="246" spans="1:29" s="262" customFormat="1" ht="16.5" customHeight="1">
      <c r="B246" s="413"/>
      <c r="C246" s="413"/>
      <c r="D246" s="264"/>
      <c r="E246" s="264"/>
      <c r="F246" s="264"/>
      <c r="G246" s="252"/>
      <c r="H246" s="252"/>
      <c r="I246" s="252"/>
      <c r="J246" s="252"/>
      <c r="K246" s="252"/>
      <c r="L246" s="252"/>
      <c r="M246" s="253"/>
      <c r="N246" s="253"/>
      <c r="O246" s="253"/>
      <c r="P246" s="253"/>
      <c r="Q246" s="253"/>
      <c r="R246" s="253"/>
      <c r="S246" s="253"/>
      <c r="T246" s="253"/>
      <c r="U246" s="253"/>
      <c r="V246" s="253"/>
      <c r="W246" s="253"/>
      <c r="X246" s="253"/>
      <c r="Y246" s="253"/>
      <c r="Z246" s="253"/>
      <c r="AA246" s="253"/>
      <c r="AB246" s="253"/>
      <c r="AC246" s="265"/>
    </row>
    <row r="247" spans="1:29" s="262" customFormat="1" ht="16.5" customHeight="1">
      <c r="B247" s="413"/>
      <c r="C247" s="413"/>
      <c r="D247" s="264"/>
      <c r="E247" s="264"/>
      <c r="F247" s="264"/>
      <c r="G247" s="252"/>
      <c r="H247" s="252"/>
      <c r="I247" s="252"/>
      <c r="J247" s="252"/>
      <c r="K247" s="252"/>
      <c r="L247" s="252"/>
      <c r="M247" s="253"/>
      <c r="N247" s="253"/>
      <c r="O247" s="253"/>
      <c r="P247" s="253"/>
      <c r="Q247" s="253"/>
      <c r="R247" s="253"/>
      <c r="S247" s="253"/>
      <c r="T247" s="253"/>
      <c r="U247" s="253"/>
      <c r="V247" s="253"/>
      <c r="W247" s="253"/>
      <c r="X247" s="253"/>
      <c r="Y247" s="253"/>
      <c r="Z247" s="253"/>
      <c r="AA247" s="253"/>
      <c r="AB247" s="253"/>
      <c r="AC247" s="265"/>
    </row>
    <row r="248" spans="1:29" s="262" customFormat="1" ht="16.5" customHeight="1">
      <c r="B248" s="413"/>
      <c r="C248" s="413"/>
      <c r="D248" s="264"/>
      <c r="E248" s="264"/>
      <c r="F248" s="264"/>
      <c r="G248" s="252"/>
      <c r="H248" s="252"/>
      <c r="I248" s="252"/>
      <c r="J248" s="252"/>
      <c r="K248" s="252"/>
      <c r="L248" s="252"/>
      <c r="M248" s="253"/>
      <c r="N248" s="253"/>
      <c r="O248" s="253"/>
      <c r="P248" s="253"/>
      <c r="Q248" s="253"/>
      <c r="R248" s="253"/>
      <c r="S248" s="253"/>
      <c r="T248" s="253"/>
      <c r="U248" s="253"/>
      <c r="V248" s="253"/>
      <c r="W248" s="253"/>
      <c r="X248" s="253"/>
      <c r="Y248" s="253"/>
      <c r="Z248" s="253"/>
      <c r="AA248" s="253"/>
      <c r="AB248" s="253"/>
      <c r="AC248" s="265"/>
    </row>
    <row r="249" spans="1:29" s="262" customFormat="1" ht="16.5" customHeight="1">
      <c r="B249" s="413"/>
      <c r="C249" s="413"/>
      <c r="D249" s="264"/>
      <c r="E249" s="264"/>
      <c r="F249" s="264"/>
      <c r="G249" s="252"/>
      <c r="H249" s="252"/>
      <c r="I249" s="252"/>
      <c r="J249" s="252"/>
      <c r="K249" s="252"/>
      <c r="L249" s="252"/>
      <c r="M249" s="253"/>
      <c r="N249" s="253"/>
      <c r="O249" s="253"/>
      <c r="P249" s="253"/>
      <c r="Q249" s="253"/>
      <c r="R249" s="253"/>
      <c r="S249" s="253"/>
      <c r="T249" s="253"/>
      <c r="U249" s="253"/>
      <c r="V249" s="253"/>
      <c r="W249" s="253"/>
      <c r="X249" s="253"/>
      <c r="Y249" s="253"/>
      <c r="Z249" s="253"/>
      <c r="AA249" s="253"/>
      <c r="AB249" s="253"/>
      <c r="AC249" s="265"/>
    </row>
    <row r="250" spans="1:29" s="262" customFormat="1" ht="16.5" customHeight="1">
      <c r="B250" s="413"/>
      <c r="C250" s="413"/>
      <c r="D250" s="264"/>
      <c r="E250" s="264"/>
      <c r="F250" s="264"/>
      <c r="G250" s="252"/>
      <c r="H250" s="252"/>
      <c r="I250" s="252"/>
      <c r="J250" s="252"/>
      <c r="K250" s="252"/>
      <c r="L250" s="252"/>
      <c r="M250" s="253"/>
      <c r="N250" s="253"/>
      <c r="O250" s="253"/>
      <c r="P250" s="253"/>
      <c r="Q250" s="253"/>
      <c r="R250" s="253"/>
      <c r="S250" s="253"/>
      <c r="T250" s="253"/>
      <c r="U250" s="253"/>
      <c r="V250" s="253"/>
      <c r="W250" s="253"/>
      <c r="X250" s="253"/>
      <c r="Y250" s="253"/>
      <c r="Z250" s="253"/>
      <c r="AA250" s="253"/>
      <c r="AB250" s="253"/>
      <c r="AC250" s="265"/>
    </row>
    <row r="251" spans="1:29" s="262" customFormat="1" ht="16.5" customHeight="1">
      <c r="B251" s="413"/>
      <c r="C251" s="413"/>
      <c r="D251" s="264"/>
      <c r="E251" s="264"/>
      <c r="F251" s="264"/>
      <c r="G251" s="252"/>
      <c r="H251" s="252"/>
      <c r="I251" s="252"/>
      <c r="J251" s="252"/>
      <c r="K251" s="252"/>
      <c r="L251" s="252"/>
      <c r="M251" s="253"/>
      <c r="N251" s="253"/>
      <c r="O251" s="253"/>
      <c r="P251" s="253"/>
      <c r="Q251" s="253"/>
      <c r="R251" s="253"/>
      <c r="S251" s="253"/>
      <c r="T251" s="253"/>
      <c r="U251" s="253"/>
      <c r="V251" s="253"/>
      <c r="W251" s="253"/>
      <c r="X251" s="253"/>
      <c r="Y251" s="253"/>
      <c r="Z251" s="253"/>
      <c r="AA251" s="253"/>
      <c r="AB251" s="253"/>
      <c r="AC251" s="265"/>
    </row>
    <row r="252" spans="1:29" s="262" customFormat="1" ht="16.5" customHeight="1">
      <c r="B252" s="413"/>
      <c r="C252" s="413"/>
      <c r="D252" s="264"/>
      <c r="E252" s="264"/>
      <c r="F252" s="264"/>
      <c r="G252" s="252"/>
      <c r="H252" s="252"/>
      <c r="I252" s="252"/>
      <c r="J252" s="252"/>
      <c r="K252" s="252"/>
      <c r="L252" s="252"/>
      <c r="M252" s="253"/>
      <c r="N252" s="253"/>
      <c r="O252" s="253"/>
      <c r="P252" s="253"/>
      <c r="Q252" s="253"/>
      <c r="R252" s="253"/>
      <c r="S252" s="253"/>
      <c r="T252" s="253"/>
      <c r="U252" s="253"/>
      <c r="V252" s="253"/>
      <c r="W252" s="253"/>
      <c r="X252" s="253"/>
      <c r="Y252" s="253"/>
      <c r="Z252" s="253"/>
      <c r="AA252" s="253"/>
      <c r="AB252" s="253"/>
      <c r="AC252" s="265"/>
    </row>
    <row r="253" spans="1:29" s="262" customFormat="1" ht="16.5" customHeight="1">
      <c r="B253" s="413"/>
      <c r="C253" s="413"/>
      <c r="D253" s="264"/>
      <c r="E253" s="264"/>
      <c r="F253" s="264"/>
      <c r="G253" s="252"/>
      <c r="H253" s="252"/>
      <c r="I253" s="252"/>
      <c r="J253" s="252"/>
      <c r="K253" s="252"/>
      <c r="L253" s="252"/>
      <c r="M253" s="253"/>
      <c r="N253" s="253"/>
      <c r="O253" s="253"/>
      <c r="P253" s="253"/>
      <c r="Q253" s="253"/>
      <c r="R253" s="253"/>
      <c r="S253" s="253"/>
      <c r="T253" s="253"/>
      <c r="U253" s="253"/>
      <c r="V253" s="253"/>
      <c r="W253" s="253"/>
      <c r="X253" s="253"/>
      <c r="Y253" s="253"/>
      <c r="Z253" s="253"/>
      <c r="AA253" s="253"/>
      <c r="AB253" s="253"/>
      <c r="AC253" s="265"/>
    </row>
    <row r="254" spans="1:29" s="262" customFormat="1" ht="16.5" customHeight="1">
      <c r="B254" s="413"/>
      <c r="C254" s="413"/>
      <c r="D254" s="264"/>
      <c r="E254" s="264"/>
      <c r="F254" s="264"/>
      <c r="G254" s="252"/>
      <c r="H254" s="252"/>
      <c r="I254" s="252"/>
      <c r="J254" s="252"/>
      <c r="K254" s="252"/>
      <c r="L254" s="252"/>
      <c r="M254" s="253"/>
      <c r="N254" s="253"/>
      <c r="O254" s="253"/>
      <c r="P254" s="253"/>
      <c r="Q254" s="253"/>
      <c r="R254" s="253"/>
      <c r="S254" s="253"/>
      <c r="T254" s="253"/>
      <c r="U254" s="253"/>
      <c r="V254" s="253"/>
      <c r="W254" s="253"/>
      <c r="X254" s="253"/>
      <c r="Y254" s="253"/>
      <c r="Z254" s="253"/>
      <c r="AA254" s="253"/>
      <c r="AB254" s="253"/>
      <c r="AC254" s="265"/>
    </row>
    <row r="255" spans="1:29" s="406" customFormat="1" ht="16.5" customHeight="1">
      <c r="A255" s="262"/>
      <c r="B255" s="413"/>
      <c r="C255" s="413"/>
      <c r="D255" s="257"/>
      <c r="E255" s="257"/>
      <c r="F255" s="257"/>
      <c r="G255" s="252"/>
      <c r="H255" s="252"/>
      <c r="I255" s="252"/>
      <c r="J255" s="252"/>
      <c r="K255" s="252"/>
      <c r="L255" s="252"/>
      <c r="M255" s="253"/>
      <c r="N255" s="253"/>
      <c r="O255" s="258"/>
      <c r="P255" s="258"/>
      <c r="Q255" s="258"/>
      <c r="R255" s="258"/>
      <c r="S255" s="258"/>
      <c r="T255" s="258"/>
      <c r="U255" s="258"/>
      <c r="V255" s="258"/>
      <c r="W255" s="258"/>
      <c r="X255" s="258"/>
      <c r="Y255" s="258"/>
      <c r="Z255" s="258"/>
      <c r="AA255" s="258"/>
      <c r="AB255" s="258"/>
      <c r="AC255" s="407"/>
    </row>
    <row r="256" spans="1:29" s="406" customFormat="1" ht="16.5" customHeight="1">
      <c r="A256" s="262"/>
      <c r="B256" s="413"/>
      <c r="C256" s="413"/>
      <c r="D256" s="257"/>
      <c r="E256" s="257"/>
      <c r="F256" s="257"/>
      <c r="G256" s="252"/>
      <c r="H256" s="252"/>
      <c r="I256" s="252"/>
      <c r="J256" s="252"/>
      <c r="K256" s="252"/>
      <c r="L256" s="252"/>
      <c r="M256" s="253"/>
      <c r="N256" s="253"/>
      <c r="O256" s="258"/>
      <c r="P256" s="258"/>
      <c r="Q256" s="258"/>
      <c r="R256" s="258"/>
      <c r="S256" s="258"/>
      <c r="T256" s="258"/>
      <c r="U256" s="258"/>
      <c r="V256" s="258"/>
      <c r="W256" s="258"/>
      <c r="X256" s="258"/>
      <c r="Y256" s="258"/>
      <c r="Z256" s="258"/>
      <c r="AA256" s="258"/>
      <c r="AB256" s="258"/>
      <c r="AC256" s="407"/>
    </row>
    <row r="257" spans="1:29" s="406" customFormat="1" ht="16.5" customHeight="1">
      <c r="A257" s="262"/>
      <c r="B257" s="413"/>
      <c r="C257" s="413"/>
      <c r="D257" s="257"/>
      <c r="E257" s="257"/>
      <c r="F257" s="257"/>
      <c r="G257" s="252"/>
      <c r="H257" s="252"/>
      <c r="I257" s="252"/>
      <c r="J257" s="252"/>
      <c r="K257" s="252"/>
      <c r="L257" s="252"/>
      <c r="M257" s="253"/>
      <c r="N257" s="253"/>
      <c r="O257" s="258"/>
      <c r="P257" s="258"/>
      <c r="Q257" s="258"/>
      <c r="R257" s="258"/>
      <c r="S257" s="258"/>
      <c r="T257" s="258"/>
      <c r="U257" s="258"/>
      <c r="V257" s="258"/>
      <c r="W257" s="258"/>
      <c r="X257" s="258"/>
      <c r="Y257" s="258"/>
      <c r="Z257" s="258"/>
      <c r="AA257" s="258"/>
      <c r="AB257" s="258"/>
      <c r="AC257" s="407"/>
    </row>
    <row r="258" spans="1:29" s="406" customFormat="1" ht="16.5" customHeight="1">
      <c r="A258" s="262"/>
      <c r="B258" s="413"/>
      <c r="C258" s="413"/>
      <c r="D258" s="257"/>
      <c r="E258" s="257"/>
      <c r="F258" s="257"/>
      <c r="G258" s="252"/>
      <c r="H258" s="252"/>
      <c r="I258" s="252"/>
      <c r="J258" s="252"/>
      <c r="K258" s="252"/>
      <c r="L258" s="252"/>
      <c r="M258" s="253"/>
      <c r="N258" s="253"/>
      <c r="O258" s="258"/>
      <c r="P258" s="258"/>
      <c r="Q258" s="258"/>
      <c r="R258" s="258"/>
      <c r="S258" s="258"/>
      <c r="T258" s="258"/>
      <c r="U258" s="258"/>
      <c r="V258" s="258"/>
      <c r="W258" s="258"/>
      <c r="X258" s="258"/>
      <c r="Y258" s="258"/>
      <c r="Z258" s="258"/>
      <c r="AA258" s="258"/>
      <c r="AB258" s="258"/>
      <c r="AC258" s="407"/>
    </row>
    <row r="259" spans="1:29" s="406" customFormat="1" ht="16.5" customHeight="1">
      <c r="B259" s="413"/>
      <c r="C259" s="413"/>
      <c r="D259" s="257"/>
      <c r="E259" s="257"/>
      <c r="F259" s="257"/>
      <c r="G259" s="252"/>
      <c r="H259" s="252"/>
      <c r="I259" s="252"/>
      <c r="J259" s="252"/>
      <c r="K259" s="252"/>
      <c r="L259" s="252"/>
      <c r="M259" s="253"/>
      <c r="N259" s="253"/>
      <c r="O259" s="258"/>
      <c r="P259" s="258"/>
      <c r="Q259" s="258"/>
      <c r="R259" s="258"/>
      <c r="S259" s="258"/>
      <c r="T259" s="258"/>
      <c r="U259" s="258"/>
      <c r="V259" s="258"/>
      <c r="W259" s="258"/>
      <c r="X259" s="258"/>
      <c r="Y259" s="258"/>
      <c r="Z259" s="258"/>
      <c r="AA259" s="258"/>
      <c r="AB259" s="258"/>
      <c r="AC259" s="407"/>
    </row>
    <row r="260" spans="1:29" s="406" customFormat="1" ht="16.5" customHeight="1">
      <c r="B260" s="413"/>
      <c r="C260" s="413"/>
      <c r="D260" s="257"/>
      <c r="E260" s="257"/>
      <c r="F260" s="257"/>
      <c r="G260" s="252"/>
      <c r="H260" s="252"/>
      <c r="I260" s="252"/>
      <c r="J260" s="252"/>
      <c r="K260" s="252"/>
      <c r="L260" s="252"/>
      <c r="M260" s="253"/>
      <c r="N260" s="253"/>
      <c r="O260" s="258"/>
      <c r="P260" s="258"/>
      <c r="Q260" s="258"/>
      <c r="R260" s="258"/>
      <c r="S260" s="258"/>
      <c r="T260" s="258"/>
      <c r="U260" s="258"/>
      <c r="V260" s="258"/>
      <c r="W260" s="258"/>
      <c r="X260" s="258"/>
      <c r="Y260" s="258"/>
      <c r="Z260" s="258"/>
      <c r="AA260" s="258"/>
      <c r="AB260" s="258"/>
      <c r="AC260" s="407"/>
    </row>
    <row r="261" spans="1:29" s="406" customFormat="1" ht="16.5" customHeight="1">
      <c r="B261" s="413"/>
      <c r="C261" s="413"/>
      <c r="D261" s="257"/>
      <c r="E261" s="257"/>
      <c r="F261" s="257"/>
      <c r="G261" s="252"/>
      <c r="H261" s="252"/>
      <c r="I261" s="252"/>
      <c r="J261" s="252"/>
      <c r="K261" s="252"/>
      <c r="L261" s="252"/>
      <c r="M261" s="253"/>
      <c r="N261" s="253"/>
      <c r="O261" s="258"/>
      <c r="P261" s="258"/>
      <c r="Q261" s="258"/>
      <c r="R261" s="258"/>
      <c r="S261" s="258"/>
      <c r="T261" s="258"/>
      <c r="U261" s="258"/>
      <c r="V261" s="258"/>
      <c r="W261" s="258"/>
      <c r="X261" s="258"/>
      <c r="Y261" s="258"/>
      <c r="Z261" s="258"/>
      <c r="AA261" s="258"/>
      <c r="AB261" s="258"/>
      <c r="AC261" s="407"/>
    </row>
    <row r="262" spans="1:29" s="406" customFormat="1" ht="16.5" customHeight="1">
      <c r="B262" s="413"/>
      <c r="C262" s="413"/>
      <c r="D262" s="257"/>
      <c r="E262" s="257"/>
      <c r="F262" s="257"/>
      <c r="G262" s="252"/>
      <c r="H262" s="252"/>
      <c r="I262" s="252"/>
      <c r="J262" s="252"/>
      <c r="K262" s="252"/>
      <c r="L262" s="252"/>
      <c r="M262" s="253"/>
      <c r="N262" s="253"/>
      <c r="O262" s="258"/>
      <c r="P262" s="258"/>
      <c r="Q262" s="258"/>
      <c r="R262" s="258"/>
      <c r="S262" s="258"/>
      <c r="T262" s="258"/>
      <c r="U262" s="258"/>
      <c r="V262" s="258"/>
      <c r="W262" s="258"/>
      <c r="X262" s="258"/>
      <c r="Y262" s="258"/>
      <c r="Z262" s="258"/>
      <c r="AA262" s="258"/>
      <c r="AB262" s="258"/>
      <c r="AC262" s="407"/>
    </row>
    <row r="263" spans="1:29" s="406" customFormat="1" ht="16.5" customHeight="1">
      <c r="B263" s="413"/>
      <c r="C263" s="413"/>
      <c r="D263" s="257"/>
      <c r="E263" s="257"/>
      <c r="F263" s="257"/>
      <c r="G263" s="252"/>
      <c r="H263" s="252"/>
      <c r="I263" s="252"/>
      <c r="J263" s="252"/>
      <c r="K263" s="252"/>
      <c r="L263" s="252"/>
      <c r="M263" s="253"/>
      <c r="N263" s="253"/>
      <c r="O263" s="258"/>
      <c r="P263" s="258"/>
      <c r="Q263" s="258"/>
      <c r="R263" s="258"/>
      <c r="S263" s="258"/>
      <c r="T263" s="258"/>
      <c r="U263" s="258"/>
      <c r="V263" s="258"/>
      <c r="W263" s="258"/>
      <c r="X263" s="258"/>
      <c r="Y263" s="258"/>
      <c r="Z263" s="258"/>
      <c r="AA263" s="258"/>
      <c r="AB263" s="258"/>
      <c r="AC263" s="407"/>
    </row>
    <row r="264" spans="1:29" s="406" customFormat="1" ht="16.5" customHeight="1">
      <c r="B264" s="413"/>
      <c r="C264" s="413"/>
      <c r="D264" s="257"/>
      <c r="E264" s="257"/>
      <c r="F264" s="257"/>
      <c r="G264" s="252"/>
      <c r="H264" s="252"/>
      <c r="I264" s="252"/>
      <c r="J264" s="252"/>
      <c r="K264" s="252"/>
      <c r="L264" s="252"/>
      <c r="M264" s="253"/>
      <c r="N264" s="253"/>
      <c r="O264" s="258"/>
      <c r="P264" s="258"/>
      <c r="Q264" s="258"/>
      <c r="R264" s="258"/>
      <c r="S264" s="258"/>
      <c r="T264" s="258"/>
      <c r="U264" s="258"/>
      <c r="V264" s="258"/>
      <c r="W264" s="258"/>
      <c r="X264" s="258"/>
      <c r="Y264" s="258"/>
      <c r="Z264" s="258"/>
      <c r="AA264" s="258"/>
      <c r="AB264" s="258"/>
      <c r="AC264" s="407"/>
    </row>
    <row r="265" spans="1:29" s="406" customFormat="1" ht="16.5" customHeight="1">
      <c r="B265" s="413"/>
      <c r="C265" s="413"/>
      <c r="D265" s="257"/>
      <c r="E265" s="257"/>
      <c r="F265" s="257"/>
      <c r="G265" s="252"/>
      <c r="H265" s="252"/>
      <c r="I265" s="252"/>
      <c r="J265" s="252"/>
      <c r="K265" s="252"/>
      <c r="L265" s="252"/>
      <c r="M265" s="253"/>
      <c r="N265" s="253"/>
      <c r="O265" s="258"/>
      <c r="P265" s="258"/>
      <c r="Q265" s="258"/>
      <c r="R265" s="258"/>
      <c r="S265" s="258"/>
      <c r="T265" s="258"/>
      <c r="U265" s="258"/>
      <c r="V265" s="258"/>
      <c r="W265" s="258"/>
      <c r="X265" s="258"/>
      <c r="Y265" s="258"/>
      <c r="Z265" s="258"/>
      <c r="AA265" s="258"/>
      <c r="AB265" s="258"/>
      <c r="AC265" s="407"/>
    </row>
    <row r="266" spans="1:29" s="406" customFormat="1" ht="16.5" customHeight="1">
      <c r="B266" s="413"/>
      <c r="C266" s="413"/>
      <c r="D266" s="257"/>
      <c r="E266" s="257"/>
      <c r="F266" s="257"/>
      <c r="G266" s="252"/>
      <c r="H266" s="252"/>
      <c r="I266" s="252"/>
      <c r="J266" s="252"/>
      <c r="K266" s="252"/>
      <c r="L266" s="252"/>
      <c r="M266" s="253"/>
      <c r="N266" s="253"/>
      <c r="O266" s="258"/>
      <c r="P266" s="258"/>
      <c r="Q266" s="258"/>
      <c r="R266" s="258"/>
      <c r="S266" s="258"/>
      <c r="T266" s="258"/>
      <c r="U266" s="258"/>
      <c r="V266" s="258"/>
      <c r="W266" s="258"/>
      <c r="X266" s="258"/>
      <c r="Y266" s="258"/>
      <c r="Z266" s="258"/>
      <c r="AA266" s="258"/>
      <c r="AB266" s="258"/>
      <c r="AC266" s="407"/>
    </row>
    <row r="267" spans="1:29" s="406" customFormat="1" ht="16.5" customHeight="1">
      <c r="B267" s="413"/>
      <c r="C267" s="413"/>
      <c r="D267" s="257"/>
      <c r="E267" s="257"/>
      <c r="F267" s="257"/>
      <c r="G267" s="252"/>
      <c r="H267" s="252"/>
      <c r="I267" s="252"/>
      <c r="J267" s="252"/>
      <c r="K267" s="252"/>
      <c r="L267" s="252"/>
      <c r="M267" s="253"/>
      <c r="N267" s="253"/>
      <c r="O267" s="258"/>
      <c r="P267" s="258"/>
      <c r="Q267" s="258"/>
      <c r="R267" s="258"/>
      <c r="S267" s="258"/>
      <c r="T267" s="258"/>
      <c r="U267" s="258"/>
      <c r="V267" s="258"/>
      <c r="W267" s="258"/>
      <c r="X267" s="258"/>
      <c r="Y267" s="258"/>
      <c r="Z267" s="258"/>
      <c r="AA267" s="258"/>
      <c r="AB267" s="258"/>
      <c r="AC267" s="407"/>
    </row>
    <row r="268" spans="1:29" s="406" customFormat="1" ht="16.5" customHeight="1">
      <c r="B268" s="413"/>
      <c r="C268" s="413"/>
      <c r="D268" s="257"/>
      <c r="E268" s="257"/>
      <c r="F268" s="257"/>
      <c r="G268" s="252"/>
      <c r="H268" s="252"/>
      <c r="I268" s="252"/>
      <c r="J268" s="252"/>
      <c r="K268" s="252"/>
      <c r="L268" s="252"/>
      <c r="M268" s="253"/>
      <c r="N268" s="253"/>
      <c r="O268" s="258"/>
      <c r="P268" s="258"/>
      <c r="Q268" s="258"/>
      <c r="R268" s="258"/>
      <c r="S268" s="258"/>
      <c r="T268" s="258"/>
      <c r="U268" s="258"/>
      <c r="V268" s="258"/>
      <c r="W268" s="258"/>
      <c r="X268" s="258"/>
      <c r="Y268" s="258"/>
      <c r="Z268" s="258"/>
      <c r="AA268" s="258"/>
      <c r="AB268" s="258"/>
      <c r="AC268" s="407"/>
    </row>
    <row r="269" spans="1:29" s="406" customFormat="1" ht="16.5" customHeight="1">
      <c r="B269" s="413"/>
      <c r="C269" s="413"/>
      <c r="D269" s="257"/>
      <c r="E269" s="257"/>
      <c r="F269" s="257"/>
      <c r="G269" s="252"/>
      <c r="H269" s="252"/>
      <c r="I269" s="252"/>
      <c r="J269" s="252"/>
      <c r="K269" s="252"/>
      <c r="L269" s="252"/>
      <c r="M269" s="253"/>
      <c r="N269" s="253"/>
      <c r="O269" s="258"/>
      <c r="P269" s="258"/>
      <c r="Q269" s="258"/>
      <c r="R269" s="258"/>
      <c r="S269" s="258"/>
      <c r="T269" s="258"/>
      <c r="U269" s="258"/>
      <c r="V269" s="258"/>
      <c r="W269" s="258"/>
      <c r="X269" s="258"/>
      <c r="Y269" s="258"/>
      <c r="Z269" s="258"/>
      <c r="AA269" s="258"/>
      <c r="AB269" s="258"/>
      <c r="AC269" s="407"/>
    </row>
    <row r="270" spans="1:29" s="406" customFormat="1" ht="16.5" customHeight="1">
      <c r="B270" s="413"/>
      <c r="C270" s="413"/>
      <c r="D270" s="257"/>
      <c r="E270" s="257"/>
      <c r="F270" s="257"/>
      <c r="G270" s="252"/>
      <c r="H270" s="252"/>
      <c r="I270" s="252"/>
      <c r="J270" s="252"/>
      <c r="K270" s="252"/>
      <c r="L270" s="252"/>
      <c r="M270" s="253"/>
      <c r="N270" s="253"/>
      <c r="O270" s="258"/>
      <c r="P270" s="258"/>
      <c r="Q270" s="258"/>
      <c r="R270" s="258"/>
      <c r="S270" s="258"/>
      <c r="T270" s="258"/>
      <c r="U270" s="258"/>
      <c r="V270" s="258"/>
      <c r="W270" s="258"/>
      <c r="X270" s="258"/>
      <c r="Y270" s="258"/>
      <c r="Z270" s="258"/>
      <c r="AA270" s="258"/>
      <c r="AB270" s="258"/>
      <c r="AC270" s="407"/>
    </row>
    <row r="271" spans="1:29" s="406" customFormat="1" ht="16.5" customHeight="1">
      <c r="B271" s="413"/>
      <c r="C271" s="413"/>
      <c r="D271" s="257"/>
      <c r="E271" s="257"/>
      <c r="F271" s="257"/>
      <c r="G271" s="252"/>
      <c r="H271" s="252"/>
      <c r="I271" s="252"/>
      <c r="J271" s="252"/>
      <c r="K271" s="252"/>
      <c r="L271" s="252"/>
      <c r="M271" s="253"/>
      <c r="N271" s="253"/>
      <c r="O271" s="258"/>
      <c r="P271" s="258"/>
      <c r="Q271" s="258"/>
      <c r="R271" s="258"/>
      <c r="S271" s="258"/>
      <c r="T271" s="258"/>
      <c r="U271" s="258"/>
      <c r="V271" s="258"/>
      <c r="W271" s="258"/>
      <c r="X271" s="258"/>
      <c r="Y271" s="258"/>
      <c r="Z271" s="258"/>
      <c r="AA271" s="258"/>
      <c r="AB271" s="258"/>
      <c r="AC271" s="407"/>
    </row>
    <row r="272" spans="1:29" s="406" customFormat="1" ht="16.5" customHeight="1">
      <c r="B272" s="255"/>
      <c r="C272" s="413"/>
      <c r="D272" s="257"/>
      <c r="E272" s="257"/>
      <c r="F272" s="257"/>
      <c r="G272" s="252"/>
      <c r="H272" s="252"/>
      <c r="I272" s="252"/>
      <c r="J272" s="252"/>
      <c r="K272" s="252"/>
      <c r="L272" s="252"/>
      <c r="M272" s="253"/>
      <c r="N272" s="253"/>
      <c r="O272" s="258"/>
      <c r="P272" s="258"/>
      <c r="Q272" s="258"/>
      <c r="R272" s="258"/>
      <c r="S272" s="258"/>
      <c r="T272" s="258"/>
      <c r="U272" s="258"/>
      <c r="V272" s="258"/>
      <c r="W272" s="258"/>
      <c r="X272" s="258"/>
      <c r="Y272" s="258"/>
      <c r="Z272" s="258"/>
      <c r="AA272" s="258"/>
      <c r="AB272" s="258"/>
      <c r="AC272" s="407"/>
    </row>
    <row r="273" spans="2:29" s="406" customFormat="1" ht="16.5" customHeight="1">
      <c r="B273" s="255"/>
      <c r="C273" s="413"/>
      <c r="D273" s="257"/>
      <c r="E273" s="257"/>
      <c r="F273" s="257"/>
      <c r="G273" s="252"/>
      <c r="H273" s="252"/>
      <c r="I273" s="252"/>
      <c r="J273" s="252"/>
      <c r="K273" s="252"/>
      <c r="L273" s="252"/>
      <c r="M273" s="253"/>
      <c r="N273" s="253"/>
      <c r="O273" s="258"/>
      <c r="P273" s="258"/>
      <c r="Q273" s="258"/>
      <c r="R273" s="258"/>
      <c r="S273" s="258"/>
      <c r="T273" s="258"/>
      <c r="U273" s="258"/>
      <c r="V273" s="258"/>
      <c r="W273" s="258"/>
      <c r="X273" s="258"/>
      <c r="Y273" s="258"/>
      <c r="Z273" s="258"/>
      <c r="AA273" s="258"/>
      <c r="AB273" s="258"/>
      <c r="AC273" s="407"/>
    </row>
    <row r="274" spans="2:29" s="406" customFormat="1" ht="16.5" customHeight="1">
      <c r="B274" s="255"/>
      <c r="C274" s="413"/>
      <c r="D274" s="257"/>
      <c r="E274" s="257"/>
      <c r="F274" s="257"/>
      <c r="G274" s="252"/>
      <c r="H274" s="252"/>
      <c r="I274" s="252"/>
      <c r="J274" s="252"/>
      <c r="K274" s="252"/>
      <c r="L274" s="252"/>
      <c r="M274" s="253"/>
      <c r="N274" s="253"/>
      <c r="O274" s="258"/>
      <c r="P274" s="258"/>
      <c r="Q274" s="258"/>
      <c r="R274" s="258"/>
      <c r="S274" s="258"/>
      <c r="T274" s="258"/>
      <c r="U274" s="258"/>
      <c r="V274" s="258"/>
      <c r="W274" s="258"/>
      <c r="X274" s="258"/>
      <c r="Y274" s="258"/>
      <c r="Z274" s="258"/>
      <c r="AA274" s="258"/>
      <c r="AB274" s="258"/>
      <c r="AC274" s="407"/>
    </row>
    <row r="275" spans="2:29" s="406" customFormat="1" ht="16.5" customHeight="1">
      <c r="B275" s="255"/>
      <c r="C275" s="413"/>
      <c r="D275" s="257"/>
      <c r="E275" s="257"/>
      <c r="F275" s="257"/>
      <c r="G275" s="252"/>
      <c r="H275" s="252"/>
      <c r="I275" s="252"/>
      <c r="J275" s="252"/>
      <c r="K275" s="252"/>
      <c r="L275" s="252"/>
      <c r="M275" s="253"/>
      <c r="N275" s="253"/>
      <c r="O275" s="258"/>
      <c r="P275" s="258"/>
      <c r="Q275" s="258"/>
      <c r="R275" s="258"/>
      <c r="S275" s="258"/>
      <c r="T275" s="258"/>
      <c r="U275" s="258"/>
      <c r="V275" s="258"/>
      <c r="W275" s="258"/>
      <c r="X275" s="258"/>
      <c r="Y275" s="258"/>
      <c r="Z275" s="258"/>
      <c r="AA275" s="258"/>
      <c r="AB275" s="258"/>
      <c r="AC275" s="407"/>
    </row>
    <row r="276" spans="2:29" s="406" customFormat="1" ht="16.5" customHeight="1">
      <c r="B276" s="255"/>
      <c r="C276" s="413"/>
      <c r="D276" s="257"/>
      <c r="E276" s="257"/>
      <c r="F276" s="257"/>
      <c r="G276" s="252"/>
      <c r="H276" s="252"/>
      <c r="I276" s="252"/>
      <c r="J276" s="252"/>
      <c r="K276" s="252"/>
      <c r="L276" s="252"/>
      <c r="M276" s="253"/>
      <c r="N276" s="253"/>
      <c r="O276" s="258"/>
      <c r="P276" s="258"/>
      <c r="Q276" s="258"/>
      <c r="R276" s="258"/>
      <c r="S276" s="258"/>
      <c r="T276" s="258"/>
      <c r="U276" s="258"/>
      <c r="V276" s="258"/>
      <c r="W276" s="258"/>
      <c r="X276" s="258"/>
      <c r="Y276" s="258"/>
      <c r="Z276" s="258"/>
      <c r="AA276" s="258"/>
      <c r="AB276" s="258"/>
      <c r="AC276" s="407"/>
    </row>
    <row r="277" spans="2:29" s="406" customFormat="1" ht="16.5" customHeight="1">
      <c r="B277" s="255"/>
      <c r="C277" s="413"/>
      <c r="D277" s="257"/>
      <c r="E277" s="257"/>
      <c r="F277" s="257"/>
      <c r="G277" s="252"/>
      <c r="H277" s="252"/>
      <c r="I277" s="252"/>
      <c r="J277" s="252"/>
      <c r="K277" s="252"/>
      <c r="L277" s="252"/>
      <c r="M277" s="253"/>
      <c r="N277" s="253"/>
      <c r="O277" s="258"/>
      <c r="P277" s="258"/>
      <c r="Q277" s="258"/>
      <c r="R277" s="258"/>
      <c r="S277" s="258"/>
      <c r="T277" s="258"/>
      <c r="U277" s="258"/>
      <c r="V277" s="258"/>
      <c r="W277" s="258"/>
      <c r="X277" s="258"/>
      <c r="Y277" s="258"/>
      <c r="Z277" s="258"/>
      <c r="AA277" s="258"/>
      <c r="AB277" s="258"/>
      <c r="AC277" s="407"/>
    </row>
    <row r="278" spans="2:29" s="406" customFormat="1" ht="16.5" customHeight="1">
      <c r="B278" s="255"/>
      <c r="C278" s="413"/>
      <c r="D278" s="257"/>
      <c r="E278" s="257"/>
      <c r="F278" s="257"/>
      <c r="G278" s="252"/>
      <c r="H278" s="252"/>
      <c r="I278" s="252"/>
      <c r="J278" s="252"/>
      <c r="K278" s="252"/>
      <c r="L278" s="252"/>
      <c r="M278" s="253"/>
      <c r="N278" s="253"/>
      <c r="O278" s="258"/>
      <c r="P278" s="258"/>
      <c r="Q278" s="258"/>
      <c r="R278" s="258"/>
      <c r="S278" s="258"/>
      <c r="T278" s="258"/>
      <c r="U278" s="258"/>
      <c r="V278" s="258"/>
      <c r="W278" s="258"/>
      <c r="X278" s="258"/>
      <c r="Y278" s="258"/>
      <c r="Z278" s="258"/>
      <c r="AA278" s="258"/>
      <c r="AB278" s="258"/>
      <c r="AC278" s="407"/>
    </row>
    <row r="279" spans="2:29" s="406" customFormat="1" ht="16.5" customHeight="1">
      <c r="B279" s="255"/>
      <c r="C279" s="413"/>
      <c r="D279" s="257"/>
      <c r="E279" s="257"/>
      <c r="F279" s="257"/>
      <c r="G279" s="252"/>
      <c r="H279" s="252"/>
      <c r="I279" s="252"/>
      <c r="J279" s="252"/>
      <c r="K279" s="252"/>
      <c r="L279" s="252"/>
      <c r="M279" s="253"/>
      <c r="N279" s="253"/>
      <c r="O279" s="258"/>
      <c r="P279" s="258"/>
      <c r="Q279" s="258"/>
      <c r="R279" s="258"/>
      <c r="S279" s="258"/>
      <c r="T279" s="258"/>
      <c r="U279" s="258"/>
      <c r="V279" s="258"/>
      <c r="W279" s="258"/>
      <c r="X279" s="258"/>
      <c r="Y279" s="258"/>
      <c r="Z279" s="258"/>
      <c r="AA279" s="258"/>
      <c r="AB279" s="258"/>
      <c r="AC279" s="407"/>
    </row>
    <row r="280" spans="2:29" s="406" customFormat="1" ht="16.5" customHeight="1">
      <c r="B280" s="255"/>
      <c r="C280" s="413"/>
      <c r="D280" s="257"/>
      <c r="E280" s="257"/>
      <c r="F280" s="257"/>
      <c r="G280" s="252"/>
      <c r="H280" s="252"/>
      <c r="I280" s="252"/>
      <c r="J280" s="252"/>
      <c r="K280" s="252"/>
      <c r="L280" s="252"/>
      <c r="M280" s="253"/>
      <c r="N280" s="253"/>
      <c r="O280" s="258"/>
      <c r="P280" s="258"/>
      <c r="Q280" s="258"/>
      <c r="R280" s="258"/>
      <c r="S280" s="258"/>
      <c r="T280" s="258"/>
      <c r="U280" s="258"/>
      <c r="V280" s="258"/>
      <c r="W280" s="258"/>
      <c r="X280" s="258"/>
      <c r="Y280" s="258"/>
      <c r="Z280" s="258"/>
      <c r="AA280" s="258"/>
      <c r="AB280" s="258"/>
      <c r="AC280" s="407"/>
    </row>
    <row r="281" spans="2:29" s="406" customFormat="1" ht="16.5" customHeight="1">
      <c r="B281" s="255"/>
      <c r="C281" s="413"/>
      <c r="D281" s="257"/>
      <c r="E281" s="257"/>
      <c r="F281" s="257"/>
      <c r="G281" s="252"/>
      <c r="H281" s="252"/>
      <c r="I281" s="252"/>
      <c r="J281" s="252"/>
      <c r="K281" s="252"/>
      <c r="L281" s="252"/>
      <c r="M281" s="253"/>
      <c r="N281" s="253"/>
      <c r="O281" s="258"/>
      <c r="P281" s="258"/>
      <c r="Q281" s="258"/>
      <c r="R281" s="258"/>
      <c r="S281" s="258"/>
      <c r="T281" s="258"/>
      <c r="U281" s="258"/>
      <c r="V281" s="258"/>
      <c r="W281" s="258"/>
      <c r="X281" s="258"/>
      <c r="Y281" s="258"/>
      <c r="Z281" s="258"/>
      <c r="AA281" s="258"/>
      <c r="AB281" s="258"/>
      <c r="AC281" s="407"/>
    </row>
    <row r="282" spans="2:29" s="406" customFormat="1" ht="16.5" customHeight="1">
      <c r="B282" s="255"/>
      <c r="C282" s="413"/>
      <c r="D282" s="257"/>
      <c r="E282" s="257"/>
      <c r="F282" s="257"/>
      <c r="G282" s="252"/>
      <c r="H282" s="252"/>
      <c r="I282" s="252"/>
      <c r="J282" s="252"/>
      <c r="K282" s="252"/>
      <c r="L282" s="252"/>
      <c r="M282" s="253"/>
      <c r="N282" s="253"/>
      <c r="O282" s="258"/>
      <c r="P282" s="258"/>
      <c r="Q282" s="258"/>
      <c r="R282" s="258"/>
      <c r="S282" s="258"/>
      <c r="T282" s="258"/>
      <c r="U282" s="258"/>
      <c r="V282" s="258"/>
      <c r="W282" s="258"/>
      <c r="X282" s="258"/>
      <c r="Y282" s="258"/>
      <c r="Z282" s="258"/>
      <c r="AA282" s="258"/>
      <c r="AB282" s="258"/>
      <c r="AC282" s="407"/>
    </row>
    <row r="283" spans="2:29" s="406" customFormat="1" ht="16.5" customHeight="1">
      <c r="B283" s="255"/>
      <c r="C283" s="413"/>
      <c r="D283" s="257"/>
      <c r="E283" s="257"/>
      <c r="F283" s="257"/>
      <c r="G283" s="252"/>
      <c r="H283" s="252"/>
      <c r="I283" s="252"/>
      <c r="J283" s="252"/>
      <c r="K283" s="252"/>
      <c r="L283" s="252"/>
      <c r="M283" s="253"/>
      <c r="N283" s="253"/>
      <c r="O283" s="258"/>
      <c r="P283" s="258"/>
      <c r="Q283" s="258"/>
      <c r="R283" s="258"/>
      <c r="S283" s="258"/>
      <c r="T283" s="258"/>
      <c r="U283" s="258"/>
      <c r="V283" s="258"/>
      <c r="W283" s="258"/>
      <c r="X283" s="258"/>
      <c r="Y283" s="258"/>
      <c r="Z283" s="258"/>
      <c r="AA283" s="258"/>
      <c r="AB283" s="258"/>
      <c r="AC283" s="407"/>
    </row>
    <row r="284" spans="2:29" s="406" customFormat="1" ht="16.5" customHeight="1">
      <c r="B284" s="255"/>
      <c r="C284" s="413"/>
      <c r="D284" s="257"/>
      <c r="E284" s="257"/>
      <c r="F284" s="257"/>
      <c r="G284" s="252"/>
      <c r="H284" s="252"/>
      <c r="I284" s="252"/>
      <c r="J284" s="252"/>
      <c r="K284" s="252"/>
      <c r="L284" s="252"/>
      <c r="M284" s="253"/>
      <c r="N284" s="253"/>
      <c r="O284" s="258"/>
      <c r="P284" s="258"/>
      <c r="Q284" s="258"/>
      <c r="R284" s="258"/>
      <c r="S284" s="258"/>
      <c r="T284" s="258"/>
      <c r="U284" s="258"/>
      <c r="V284" s="258"/>
      <c r="W284" s="258"/>
      <c r="X284" s="258"/>
      <c r="Y284" s="258"/>
      <c r="Z284" s="258"/>
      <c r="AA284" s="258"/>
      <c r="AB284" s="258"/>
      <c r="AC284" s="407"/>
    </row>
    <row r="285" spans="2:29" s="406" customFormat="1" ht="16.5" customHeight="1">
      <c r="B285" s="255"/>
      <c r="C285" s="413"/>
      <c r="D285" s="257"/>
      <c r="E285" s="257"/>
      <c r="F285" s="257"/>
      <c r="G285" s="252"/>
      <c r="H285" s="252"/>
      <c r="I285" s="252"/>
      <c r="J285" s="252"/>
      <c r="K285" s="252"/>
      <c r="L285" s="252"/>
      <c r="M285" s="253"/>
      <c r="N285" s="253"/>
      <c r="O285" s="258"/>
      <c r="P285" s="258"/>
      <c r="Q285" s="258"/>
      <c r="R285" s="258"/>
      <c r="S285" s="258"/>
      <c r="T285" s="258"/>
      <c r="U285" s="258"/>
      <c r="V285" s="258"/>
      <c r="W285" s="258"/>
      <c r="X285" s="258"/>
      <c r="Y285" s="258"/>
      <c r="Z285" s="258"/>
      <c r="AA285" s="258"/>
      <c r="AB285" s="258"/>
      <c r="AC285" s="407"/>
    </row>
    <row r="286" spans="2:29" s="406" customFormat="1" ht="16.5" customHeight="1">
      <c r="B286" s="255"/>
      <c r="C286" s="413"/>
      <c r="D286" s="257"/>
      <c r="E286" s="257"/>
      <c r="F286" s="257"/>
      <c r="G286" s="252"/>
      <c r="H286" s="252"/>
      <c r="I286" s="252"/>
      <c r="J286" s="252"/>
      <c r="K286" s="252"/>
      <c r="L286" s="252"/>
      <c r="M286" s="253"/>
      <c r="N286" s="253"/>
      <c r="O286" s="258"/>
      <c r="P286" s="258"/>
      <c r="Q286" s="258"/>
      <c r="R286" s="258"/>
      <c r="S286" s="258"/>
      <c r="T286" s="258"/>
      <c r="U286" s="258"/>
      <c r="V286" s="258"/>
      <c r="W286" s="258"/>
      <c r="X286" s="258"/>
      <c r="Y286" s="258"/>
      <c r="Z286" s="258"/>
      <c r="AA286" s="258"/>
      <c r="AB286" s="258"/>
      <c r="AC286" s="407"/>
    </row>
    <row r="287" spans="2:29" s="406" customFormat="1" ht="16.5" customHeight="1">
      <c r="B287" s="255"/>
      <c r="C287" s="413"/>
      <c r="D287" s="257"/>
      <c r="E287" s="257"/>
      <c r="F287" s="257"/>
      <c r="G287" s="252"/>
      <c r="H287" s="252"/>
      <c r="I287" s="252"/>
      <c r="J287" s="252"/>
      <c r="K287" s="252"/>
      <c r="L287" s="252"/>
      <c r="M287" s="253"/>
      <c r="N287" s="253"/>
      <c r="O287" s="258"/>
      <c r="P287" s="258"/>
      <c r="Q287" s="258"/>
      <c r="R287" s="258"/>
      <c r="S287" s="258"/>
      <c r="T287" s="258"/>
      <c r="U287" s="258"/>
      <c r="V287" s="258"/>
      <c r="W287" s="258"/>
      <c r="X287" s="258"/>
      <c r="Y287" s="258"/>
      <c r="Z287" s="258"/>
      <c r="AA287" s="258"/>
      <c r="AB287" s="258"/>
      <c r="AC287" s="407"/>
    </row>
    <row r="288" spans="2:29" s="406" customFormat="1" ht="16.5" customHeight="1">
      <c r="B288" s="255"/>
      <c r="C288" s="255"/>
      <c r="D288" s="257"/>
      <c r="E288" s="257"/>
      <c r="F288" s="257"/>
      <c r="G288" s="252"/>
      <c r="H288" s="252"/>
      <c r="I288" s="252"/>
      <c r="J288" s="252"/>
      <c r="K288" s="252"/>
      <c r="L288" s="252"/>
      <c r="M288" s="253"/>
      <c r="N288" s="253"/>
      <c r="O288" s="258"/>
      <c r="P288" s="258"/>
      <c r="Q288" s="258"/>
      <c r="R288" s="258"/>
      <c r="S288" s="258"/>
      <c r="T288" s="258"/>
      <c r="U288" s="258"/>
      <c r="V288" s="258"/>
      <c r="W288" s="258"/>
      <c r="X288" s="258"/>
      <c r="Y288" s="258"/>
      <c r="Z288" s="258"/>
      <c r="AA288" s="258"/>
      <c r="AB288" s="258"/>
      <c r="AC288" s="407"/>
    </row>
    <row r="289" spans="2:29" s="406" customFormat="1" ht="16.5" customHeight="1">
      <c r="B289" s="255"/>
      <c r="C289" s="255"/>
      <c r="D289" s="257"/>
      <c r="E289" s="257"/>
      <c r="F289" s="257"/>
      <c r="G289" s="252"/>
      <c r="H289" s="252"/>
      <c r="I289" s="252"/>
      <c r="J289" s="252"/>
      <c r="K289" s="252"/>
      <c r="L289" s="252"/>
      <c r="M289" s="253"/>
      <c r="N289" s="253"/>
      <c r="O289" s="258"/>
      <c r="P289" s="258"/>
      <c r="Q289" s="258"/>
      <c r="R289" s="258"/>
      <c r="S289" s="258"/>
      <c r="T289" s="258"/>
      <c r="U289" s="258"/>
      <c r="V289" s="258"/>
      <c r="W289" s="258"/>
      <c r="X289" s="258"/>
      <c r="Y289" s="258"/>
      <c r="Z289" s="258"/>
      <c r="AA289" s="258"/>
      <c r="AB289" s="258"/>
      <c r="AC289" s="407"/>
    </row>
    <row r="290" spans="2:29" s="406" customFormat="1" ht="16.5" customHeight="1">
      <c r="B290" s="255"/>
      <c r="C290" s="255"/>
      <c r="D290" s="257"/>
      <c r="E290" s="257"/>
      <c r="F290" s="257"/>
      <c r="G290" s="252"/>
      <c r="H290" s="252"/>
      <c r="I290" s="252"/>
      <c r="J290" s="252"/>
      <c r="K290" s="252"/>
      <c r="L290" s="252"/>
      <c r="M290" s="253"/>
      <c r="N290" s="253"/>
      <c r="O290" s="258"/>
      <c r="P290" s="258"/>
      <c r="Q290" s="258"/>
      <c r="R290" s="258"/>
      <c r="S290" s="258"/>
      <c r="T290" s="258"/>
      <c r="U290" s="258"/>
      <c r="V290" s="258"/>
      <c r="W290" s="258"/>
      <c r="X290" s="258"/>
      <c r="Y290" s="258"/>
      <c r="Z290" s="258"/>
      <c r="AA290" s="258"/>
      <c r="AB290" s="258"/>
      <c r="AC290" s="407"/>
    </row>
    <row r="291" spans="2:29" s="406" customFormat="1" ht="16.5" customHeight="1">
      <c r="B291" s="255"/>
      <c r="C291" s="255"/>
      <c r="D291" s="257"/>
      <c r="E291" s="257"/>
      <c r="F291" s="257"/>
      <c r="G291" s="252"/>
      <c r="H291" s="252"/>
      <c r="I291" s="252"/>
      <c r="J291" s="252"/>
      <c r="K291" s="252"/>
      <c r="L291" s="252"/>
      <c r="M291" s="253"/>
      <c r="N291" s="253"/>
      <c r="O291" s="258"/>
      <c r="P291" s="258"/>
      <c r="Q291" s="258"/>
      <c r="R291" s="258"/>
      <c r="S291" s="258"/>
      <c r="T291" s="258"/>
      <c r="U291" s="258"/>
      <c r="V291" s="258"/>
      <c r="W291" s="258"/>
      <c r="X291" s="258"/>
      <c r="Y291" s="258"/>
      <c r="Z291" s="258"/>
      <c r="AA291" s="258"/>
      <c r="AB291" s="258"/>
      <c r="AC291" s="407"/>
    </row>
    <row r="292" spans="2:29" s="406" customFormat="1" ht="16.5" customHeight="1">
      <c r="B292" s="255"/>
      <c r="C292" s="255"/>
      <c r="D292" s="257"/>
      <c r="E292" s="257"/>
      <c r="F292" s="257"/>
      <c r="G292" s="252"/>
      <c r="H292" s="252"/>
      <c r="I292" s="252"/>
      <c r="J292" s="252"/>
      <c r="K292" s="252"/>
      <c r="L292" s="252"/>
      <c r="M292" s="253"/>
      <c r="N292" s="253"/>
      <c r="O292" s="258"/>
      <c r="P292" s="258"/>
      <c r="Q292" s="258"/>
      <c r="R292" s="258"/>
      <c r="S292" s="258"/>
      <c r="T292" s="258"/>
      <c r="U292" s="258"/>
      <c r="V292" s="258"/>
      <c r="W292" s="258"/>
      <c r="X292" s="258"/>
      <c r="Y292" s="258"/>
      <c r="Z292" s="258"/>
      <c r="AA292" s="258"/>
      <c r="AB292" s="258"/>
      <c r="AC292" s="407"/>
    </row>
    <row r="293" spans="2:29" s="406" customFormat="1" ht="16.5" customHeight="1">
      <c r="B293" s="255"/>
      <c r="C293" s="255"/>
      <c r="D293" s="257"/>
      <c r="E293" s="257"/>
      <c r="F293" s="257"/>
      <c r="G293" s="252"/>
      <c r="H293" s="252"/>
      <c r="I293" s="252"/>
      <c r="J293" s="252"/>
      <c r="K293" s="252"/>
      <c r="L293" s="252"/>
      <c r="M293" s="253"/>
      <c r="N293" s="253"/>
      <c r="O293" s="258"/>
      <c r="P293" s="258"/>
      <c r="Q293" s="258"/>
      <c r="R293" s="258"/>
      <c r="S293" s="258"/>
      <c r="T293" s="258"/>
      <c r="U293" s="258"/>
      <c r="V293" s="258"/>
      <c r="W293" s="258"/>
      <c r="X293" s="258"/>
      <c r="Y293" s="258"/>
      <c r="Z293" s="258"/>
      <c r="AA293" s="258"/>
      <c r="AB293" s="258"/>
      <c r="AC293" s="407"/>
    </row>
    <row r="294" spans="2:29" s="406" customFormat="1" ht="16.5" customHeight="1">
      <c r="B294" s="255"/>
      <c r="C294" s="255"/>
      <c r="D294" s="257"/>
      <c r="E294" s="257"/>
      <c r="F294" s="257"/>
      <c r="G294" s="252"/>
      <c r="H294" s="252"/>
      <c r="I294" s="252"/>
      <c r="J294" s="252"/>
      <c r="K294" s="252"/>
      <c r="L294" s="252"/>
      <c r="M294" s="253"/>
      <c r="N294" s="253"/>
      <c r="O294" s="258"/>
      <c r="P294" s="258"/>
      <c r="Q294" s="258"/>
      <c r="R294" s="258"/>
      <c r="S294" s="258"/>
      <c r="T294" s="258"/>
      <c r="U294" s="258"/>
      <c r="V294" s="258"/>
      <c r="W294" s="258"/>
      <c r="X294" s="258"/>
      <c r="Y294" s="258"/>
      <c r="Z294" s="258"/>
      <c r="AA294" s="258"/>
      <c r="AB294" s="258"/>
      <c r="AC294" s="407"/>
    </row>
    <row r="295" spans="2:29" s="406" customFormat="1" ht="16.5" customHeight="1">
      <c r="B295" s="255"/>
      <c r="C295" s="255"/>
      <c r="D295" s="257"/>
      <c r="E295" s="257"/>
      <c r="F295" s="257"/>
      <c r="G295" s="252"/>
      <c r="H295" s="252"/>
      <c r="I295" s="252"/>
      <c r="J295" s="252"/>
      <c r="K295" s="252"/>
      <c r="L295" s="252"/>
      <c r="M295" s="253"/>
      <c r="N295" s="253"/>
      <c r="O295" s="258"/>
      <c r="P295" s="258"/>
      <c r="Q295" s="258"/>
      <c r="R295" s="258"/>
      <c r="S295" s="258"/>
      <c r="T295" s="258"/>
      <c r="U295" s="258"/>
      <c r="V295" s="258"/>
      <c r="W295" s="258"/>
      <c r="X295" s="258"/>
      <c r="Y295" s="258"/>
      <c r="Z295" s="258"/>
      <c r="AA295" s="258"/>
      <c r="AB295" s="258"/>
      <c r="AC295" s="407"/>
    </row>
    <row r="296" spans="2:29" s="406" customFormat="1" ht="16.5" customHeight="1">
      <c r="B296" s="255"/>
      <c r="C296" s="255"/>
      <c r="D296" s="257"/>
      <c r="E296" s="257"/>
      <c r="F296" s="257"/>
      <c r="G296" s="252"/>
      <c r="H296" s="252"/>
      <c r="I296" s="252"/>
      <c r="J296" s="252"/>
      <c r="K296" s="252"/>
      <c r="L296" s="252"/>
      <c r="M296" s="253"/>
      <c r="N296" s="253"/>
      <c r="O296" s="258"/>
      <c r="P296" s="258"/>
      <c r="Q296" s="258"/>
      <c r="R296" s="258"/>
      <c r="S296" s="258"/>
      <c r="T296" s="258"/>
      <c r="U296" s="258"/>
      <c r="V296" s="258"/>
      <c r="W296" s="258"/>
      <c r="X296" s="258"/>
      <c r="Y296" s="258"/>
      <c r="Z296" s="258"/>
      <c r="AA296" s="258"/>
      <c r="AB296" s="258"/>
      <c r="AC296" s="407"/>
    </row>
    <row r="297" spans="2:29" s="406" customFormat="1" ht="16.5" customHeight="1">
      <c r="B297" s="255"/>
      <c r="C297" s="255"/>
      <c r="D297" s="257"/>
      <c r="E297" s="257"/>
      <c r="F297" s="257"/>
      <c r="G297" s="252"/>
      <c r="H297" s="252"/>
      <c r="I297" s="252"/>
      <c r="J297" s="252"/>
      <c r="K297" s="252"/>
      <c r="L297" s="252"/>
      <c r="M297" s="253"/>
      <c r="N297" s="253"/>
      <c r="O297" s="258"/>
      <c r="P297" s="258"/>
      <c r="Q297" s="258"/>
      <c r="R297" s="258"/>
      <c r="S297" s="258"/>
      <c r="T297" s="258"/>
      <c r="U297" s="258"/>
      <c r="V297" s="258"/>
      <c r="W297" s="258"/>
      <c r="X297" s="258"/>
      <c r="Y297" s="258"/>
      <c r="Z297" s="258"/>
      <c r="AA297" s="258"/>
      <c r="AB297" s="258"/>
      <c r="AC297" s="407"/>
    </row>
    <row r="298" spans="2:29" s="406" customFormat="1" ht="16.5" customHeight="1">
      <c r="B298" s="255"/>
      <c r="C298" s="255"/>
      <c r="D298" s="257"/>
      <c r="E298" s="257"/>
      <c r="F298" s="257"/>
      <c r="G298" s="252"/>
      <c r="H298" s="252"/>
      <c r="I298" s="252"/>
      <c r="J298" s="252"/>
      <c r="K298" s="252"/>
      <c r="L298" s="252"/>
      <c r="M298" s="253"/>
      <c r="N298" s="253"/>
      <c r="O298" s="258"/>
      <c r="P298" s="258"/>
      <c r="Q298" s="258"/>
      <c r="R298" s="258"/>
      <c r="S298" s="258"/>
      <c r="T298" s="258"/>
      <c r="U298" s="258"/>
      <c r="V298" s="258"/>
      <c r="W298" s="258"/>
      <c r="X298" s="258"/>
      <c r="Y298" s="258"/>
      <c r="Z298" s="258"/>
      <c r="AA298" s="258"/>
      <c r="AB298" s="258"/>
      <c r="AC298" s="407"/>
    </row>
    <row r="299" spans="2:29" s="406" customFormat="1" ht="16.5" customHeight="1">
      <c r="B299" s="255"/>
      <c r="C299" s="255"/>
      <c r="D299" s="257"/>
      <c r="E299" s="257"/>
      <c r="F299" s="257"/>
      <c r="G299" s="252"/>
      <c r="H299" s="252"/>
      <c r="I299" s="252"/>
      <c r="J299" s="252"/>
      <c r="K299" s="252"/>
      <c r="L299" s="252"/>
      <c r="M299" s="253"/>
      <c r="N299" s="253"/>
      <c r="O299" s="258"/>
      <c r="P299" s="258"/>
      <c r="Q299" s="258"/>
      <c r="R299" s="258"/>
      <c r="S299" s="258"/>
      <c r="T299" s="258"/>
      <c r="U299" s="258"/>
      <c r="V299" s="258"/>
      <c r="W299" s="258"/>
      <c r="X299" s="258"/>
      <c r="Y299" s="258"/>
      <c r="Z299" s="258"/>
      <c r="AA299" s="258"/>
      <c r="AB299" s="258"/>
      <c r="AC299" s="407"/>
    </row>
    <row r="300" spans="2:29" s="406" customFormat="1" ht="16.5" customHeight="1">
      <c r="B300" s="255"/>
      <c r="C300" s="255"/>
      <c r="D300" s="257"/>
      <c r="E300" s="257"/>
      <c r="F300" s="257"/>
      <c r="G300" s="252"/>
      <c r="H300" s="252"/>
      <c r="I300" s="252"/>
      <c r="J300" s="252"/>
      <c r="K300" s="252"/>
      <c r="L300" s="252"/>
      <c r="M300" s="253"/>
      <c r="N300" s="253"/>
      <c r="O300" s="258"/>
      <c r="P300" s="258"/>
      <c r="Q300" s="258"/>
      <c r="R300" s="258"/>
      <c r="S300" s="258"/>
      <c r="T300" s="258"/>
      <c r="U300" s="258"/>
      <c r="V300" s="258"/>
      <c r="W300" s="258"/>
      <c r="X300" s="258"/>
      <c r="Y300" s="258"/>
      <c r="Z300" s="258"/>
      <c r="AA300" s="258"/>
      <c r="AB300" s="258"/>
      <c r="AC300" s="407"/>
    </row>
    <row r="301" spans="2:29" s="406" customFormat="1" ht="16.5" customHeight="1">
      <c r="B301" s="255"/>
      <c r="C301" s="255"/>
      <c r="D301" s="257"/>
      <c r="E301" s="257"/>
      <c r="F301" s="257"/>
      <c r="G301" s="252"/>
      <c r="H301" s="252"/>
      <c r="I301" s="252"/>
      <c r="J301" s="252"/>
      <c r="K301" s="252"/>
      <c r="L301" s="252"/>
      <c r="M301" s="253"/>
      <c r="N301" s="253"/>
      <c r="O301" s="258"/>
      <c r="P301" s="258"/>
      <c r="Q301" s="258"/>
      <c r="R301" s="258"/>
      <c r="S301" s="258"/>
      <c r="T301" s="258"/>
      <c r="U301" s="258"/>
      <c r="V301" s="258"/>
      <c r="W301" s="258"/>
      <c r="X301" s="258"/>
      <c r="Y301" s="258"/>
      <c r="Z301" s="258"/>
      <c r="AA301" s="258"/>
      <c r="AB301" s="258"/>
      <c r="AC301" s="407"/>
    </row>
    <row r="302" spans="2:29" s="406" customFormat="1" ht="16.5" customHeight="1">
      <c r="B302" s="255"/>
      <c r="C302" s="255"/>
      <c r="D302" s="257"/>
      <c r="E302" s="257"/>
      <c r="F302" s="257"/>
      <c r="G302" s="252"/>
      <c r="H302" s="252"/>
      <c r="I302" s="252"/>
      <c r="J302" s="252"/>
      <c r="K302" s="252"/>
      <c r="L302" s="252"/>
      <c r="M302" s="253"/>
      <c r="N302" s="253"/>
      <c r="O302" s="258"/>
      <c r="P302" s="258"/>
      <c r="Q302" s="258"/>
      <c r="R302" s="258"/>
      <c r="S302" s="258"/>
      <c r="T302" s="258"/>
      <c r="U302" s="258"/>
      <c r="V302" s="258"/>
      <c r="W302" s="258"/>
      <c r="X302" s="258"/>
      <c r="Y302" s="258"/>
      <c r="Z302" s="258"/>
      <c r="AA302" s="258"/>
      <c r="AB302" s="258"/>
      <c r="AC302" s="407"/>
    </row>
    <row r="303" spans="2:29" s="406" customFormat="1" ht="16.5" customHeight="1">
      <c r="B303" s="255"/>
      <c r="C303" s="255"/>
      <c r="D303" s="257"/>
      <c r="E303" s="257"/>
      <c r="F303" s="257"/>
      <c r="G303" s="252"/>
      <c r="H303" s="252"/>
      <c r="I303" s="252"/>
      <c r="J303" s="252"/>
      <c r="K303" s="252"/>
      <c r="L303" s="252"/>
      <c r="M303" s="253"/>
      <c r="N303" s="253"/>
      <c r="O303" s="258"/>
      <c r="P303" s="258"/>
      <c r="Q303" s="258"/>
      <c r="R303" s="258"/>
      <c r="S303" s="258"/>
      <c r="T303" s="258"/>
      <c r="U303" s="258"/>
      <c r="V303" s="258"/>
      <c r="W303" s="258"/>
      <c r="X303" s="258"/>
      <c r="Y303" s="258"/>
      <c r="Z303" s="258"/>
      <c r="AA303" s="258"/>
      <c r="AB303" s="258"/>
      <c r="AC303" s="407"/>
    </row>
    <row r="304" spans="2:29" s="406" customFormat="1" ht="16.5" customHeight="1">
      <c r="B304" s="255"/>
      <c r="C304" s="255"/>
      <c r="D304" s="257"/>
      <c r="E304" s="257"/>
      <c r="F304" s="257"/>
      <c r="G304" s="252"/>
      <c r="H304" s="252"/>
      <c r="I304" s="252"/>
      <c r="J304" s="252"/>
      <c r="K304" s="252"/>
      <c r="L304" s="252"/>
      <c r="M304" s="253"/>
      <c r="N304" s="253"/>
      <c r="O304" s="258"/>
      <c r="P304" s="258"/>
      <c r="Q304" s="258"/>
      <c r="R304" s="258"/>
      <c r="S304" s="258"/>
      <c r="T304" s="258"/>
      <c r="U304" s="258"/>
      <c r="V304" s="258"/>
      <c r="W304" s="258"/>
      <c r="X304" s="258"/>
      <c r="Y304" s="258"/>
      <c r="Z304" s="258"/>
      <c r="AA304" s="258"/>
      <c r="AB304" s="258"/>
      <c r="AC304" s="407"/>
    </row>
    <row r="305" spans="2:29" s="406" customFormat="1" ht="16.5" customHeight="1">
      <c r="B305" s="255"/>
      <c r="C305" s="255"/>
      <c r="D305" s="257"/>
      <c r="E305" s="257"/>
      <c r="F305" s="257"/>
      <c r="G305" s="252"/>
      <c r="H305" s="252"/>
      <c r="I305" s="252"/>
      <c r="J305" s="252"/>
      <c r="K305" s="252"/>
      <c r="L305" s="252"/>
      <c r="M305" s="253"/>
      <c r="N305" s="253"/>
      <c r="O305" s="258"/>
      <c r="P305" s="258"/>
      <c r="Q305" s="258"/>
      <c r="R305" s="258"/>
      <c r="S305" s="258"/>
      <c r="T305" s="258"/>
      <c r="U305" s="258"/>
      <c r="V305" s="258"/>
      <c r="W305" s="258"/>
      <c r="X305" s="258"/>
      <c r="Y305" s="258"/>
      <c r="Z305" s="258"/>
      <c r="AA305" s="258"/>
      <c r="AB305" s="258"/>
      <c r="AC305" s="407"/>
    </row>
    <row r="306" spans="2:29" s="406" customFormat="1" ht="16.5" customHeight="1">
      <c r="B306" s="255"/>
      <c r="C306" s="255"/>
      <c r="D306" s="257"/>
      <c r="E306" s="257"/>
      <c r="F306" s="257"/>
      <c r="G306" s="252"/>
      <c r="H306" s="252"/>
      <c r="I306" s="252"/>
      <c r="J306" s="252"/>
      <c r="K306" s="252"/>
      <c r="L306" s="252"/>
      <c r="M306" s="253"/>
      <c r="N306" s="253"/>
      <c r="O306" s="258"/>
      <c r="P306" s="258"/>
      <c r="Q306" s="258"/>
      <c r="R306" s="258"/>
      <c r="S306" s="258"/>
      <c r="T306" s="258"/>
      <c r="U306" s="258"/>
      <c r="V306" s="258"/>
      <c r="W306" s="258"/>
      <c r="X306" s="258"/>
      <c r="Y306" s="258"/>
      <c r="Z306" s="258"/>
      <c r="AA306" s="258"/>
      <c r="AB306" s="258"/>
      <c r="AC306" s="407"/>
    </row>
    <row r="307" spans="2:29" s="406" customFormat="1" ht="16.5" customHeight="1">
      <c r="B307" s="255"/>
      <c r="C307" s="255"/>
      <c r="D307" s="257"/>
      <c r="E307" s="257"/>
      <c r="F307" s="257"/>
      <c r="G307" s="252"/>
      <c r="H307" s="252"/>
      <c r="I307" s="252"/>
      <c r="J307" s="252"/>
      <c r="K307" s="252"/>
      <c r="L307" s="252"/>
      <c r="M307" s="253"/>
      <c r="N307" s="253"/>
      <c r="O307" s="258"/>
      <c r="P307" s="258"/>
      <c r="Q307" s="258"/>
      <c r="R307" s="258"/>
      <c r="S307" s="258"/>
      <c r="T307" s="258"/>
      <c r="U307" s="258"/>
      <c r="V307" s="258"/>
      <c r="W307" s="258"/>
      <c r="X307" s="258"/>
      <c r="Y307" s="258"/>
      <c r="Z307" s="258"/>
      <c r="AA307" s="258"/>
      <c r="AB307" s="258"/>
      <c r="AC307" s="407"/>
    </row>
    <row r="308" spans="2:29" s="406" customFormat="1" ht="16.5" customHeight="1">
      <c r="B308" s="255"/>
      <c r="C308" s="255"/>
      <c r="D308" s="257"/>
      <c r="E308" s="257"/>
      <c r="F308" s="257"/>
      <c r="G308" s="252"/>
      <c r="H308" s="252"/>
      <c r="I308" s="252"/>
      <c r="J308" s="252"/>
      <c r="K308" s="252"/>
      <c r="L308" s="252"/>
      <c r="M308" s="253"/>
      <c r="N308" s="253"/>
      <c r="O308" s="258"/>
      <c r="P308" s="258"/>
      <c r="Q308" s="258"/>
      <c r="R308" s="258"/>
      <c r="S308" s="258"/>
      <c r="T308" s="258"/>
      <c r="U308" s="258"/>
      <c r="V308" s="258"/>
      <c r="W308" s="258"/>
      <c r="X308" s="258"/>
      <c r="Y308" s="258"/>
      <c r="Z308" s="258"/>
      <c r="AA308" s="258"/>
      <c r="AB308" s="258"/>
      <c r="AC308" s="407"/>
    </row>
    <row r="309" spans="2:29" s="406" customFormat="1" ht="16.5" customHeight="1">
      <c r="B309" s="255"/>
      <c r="C309" s="255"/>
      <c r="D309" s="257"/>
      <c r="E309" s="257"/>
      <c r="F309" s="257"/>
      <c r="G309" s="252"/>
      <c r="H309" s="252"/>
      <c r="I309" s="252"/>
      <c r="J309" s="252"/>
      <c r="K309" s="252"/>
      <c r="L309" s="252"/>
      <c r="M309" s="253"/>
      <c r="N309" s="253"/>
      <c r="O309" s="258"/>
      <c r="P309" s="258"/>
      <c r="Q309" s="258"/>
      <c r="R309" s="258"/>
      <c r="S309" s="258"/>
      <c r="T309" s="258"/>
      <c r="U309" s="258"/>
      <c r="V309" s="258"/>
      <c r="W309" s="258"/>
      <c r="X309" s="258"/>
      <c r="Y309" s="258"/>
      <c r="Z309" s="258"/>
      <c r="AA309" s="258"/>
      <c r="AB309" s="258"/>
      <c r="AC309" s="407"/>
    </row>
    <row r="310" spans="2:29" s="406" customFormat="1" ht="16.5" customHeight="1">
      <c r="B310" s="255"/>
      <c r="C310" s="255"/>
      <c r="D310" s="257"/>
      <c r="E310" s="257"/>
      <c r="F310" s="257"/>
      <c r="G310" s="252"/>
      <c r="H310" s="252"/>
      <c r="I310" s="252"/>
      <c r="J310" s="252"/>
      <c r="K310" s="252"/>
      <c r="L310" s="252"/>
      <c r="M310" s="253"/>
      <c r="N310" s="253"/>
      <c r="O310" s="258"/>
      <c r="P310" s="258"/>
      <c r="Q310" s="258"/>
      <c r="R310" s="258"/>
      <c r="S310" s="258"/>
      <c r="T310" s="258"/>
      <c r="U310" s="258"/>
      <c r="V310" s="258"/>
      <c r="W310" s="258"/>
      <c r="X310" s="258"/>
      <c r="Y310" s="258"/>
      <c r="Z310" s="258"/>
      <c r="AA310" s="258"/>
      <c r="AB310" s="258"/>
      <c r="AC310" s="407"/>
    </row>
    <row r="311" spans="2:29" s="406" customFormat="1" ht="16.5" customHeight="1">
      <c r="B311" s="255"/>
      <c r="C311" s="255"/>
      <c r="D311" s="257"/>
      <c r="E311" s="257"/>
      <c r="F311" s="257"/>
      <c r="G311" s="252"/>
      <c r="H311" s="252"/>
      <c r="I311" s="252"/>
      <c r="J311" s="252"/>
      <c r="K311" s="252"/>
      <c r="L311" s="252"/>
      <c r="M311" s="253"/>
      <c r="N311" s="253"/>
      <c r="O311" s="258"/>
      <c r="P311" s="258"/>
      <c r="Q311" s="258"/>
      <c r="R311" s="258"/>
      <c r="S311" s="258"/>
      <c r="T311" s="258"/>
      <c r="U311" s="258"/>
      <c r="V311" s="258"/>
      <c r="W311" s="258"/>
      <c r="X311" s="258"/>
      <c r="Y311" s="258"/>
      <c r="Z311" s="258"/>
      <c r="AA311" s="258"/>
      <c r="AB311" s="258"/>
      <c r="AC311" s="407"/>
    </row>
    <row r="312" spans="2:29" s="406" customFormat="1" ht="16.5" customHeight="1">
      <c r="B312" s="255"/>
      <c r="C312" s="255"/>
      <c r="D312" s="257"/>
      <c r="E312" s="257"/>
      <c r="F312" s="257"/>
      <c r="G312" s="252"/>
      <c r="H312" s="252"/>
      <c r="I312" s="252"/>
      <c r="J312" s="252"/>
      <c r="K312" s="252"/>
      <c r="L312" s="252"/>
      <c r="M312" s="253"/>
      <c r="N312" s="253"/>
      <c r="O312" s="258"/>
      <c r="P312" s="258"/>
      <c r="Q312" s="258"/>
      <c r="R312" s="258"/>
      <c r="S312" s="258"/>
      <c r="T312" s="258"/>
      <c r="U312" s="258"/>
      <c r="V312" s="258"/>
      <c r="W312" s="258"/>
      <c r="X312" s="258"/>
      <c r="Y312" s="258"/>
      <c r="Z312" s="258"/>
      <c r="AA312" s="258"/>
      <c r="AB312" s="258"/>
      <c r="AC312" s="407"/>
    </row>
    <row r="313" spans="2:29" s="406" customFormat="1" ht="16.5" customHeight="1">
      <c r="B313" s="255"/>
      <c r="C313" s="255"/>
      <c r="D313" s="257"/>
      <c r="E313" s="257"/>
      <c r="F313" s="257"/>
      <c r="G313" s="252"/>
      <c r="H313" s="252"/>
      <c r="I313" s="252"/>
      <c r="J313" s="252"/>
      <c r="K313" s="252"/>
      <c r="L313" s="252"/>
      <c r="M313" s="253"/>
      <c r="N313" s="253"/>
      <c r="O313" s="258"/>
      <c r="P313" s="258"/>
      <c r="Q313" s="258"/>
      <c r="R313" s="258"/>
      <c r="S313" s="258"/>
      <c r="T313" s="258"/>
      <c r="U313" s="258"/>
      <c r="V313" s="258"/>
      <c r="W313" s="258"/>
      <c r="X313" s="258"/>
      <c r="Y313" s="258"/>
      <c r="Z313" s="258"/>
      <c r="AA313" s="258"/>
      <c r="AB313" s="258"/>
      <c r="AC313" s="407"/>
    </row>
    <row r="314" spans="2:29" s="406" customFormat="1" ht="16.5" customHeight="1">
      <c r="B314" s="255"/>
      <c r="C314" s="255"/>
      <c r="D314" s="257"/>
      <c r="E314" s="257"/>
      <c r="F314" s="257"/>
      <c r="G314" s="252"/>
      <c r="H314" s="252"/>
      <c r="I314" s="252"/>
      <c r="J314" s="252"/>
      <c r="K314" s="252"/>
      <c r="L314" s="252"/>
      <c r="M314" s="253"/>
      <c r="N314" s="253"/>
      <c r="O314" s="258"/>
      <c r="P314" s="258"/>
      <c r="Q314" s="258"/>
      <c r="R314" s="258"/>
      <c r="S314" s="258"/>
      <c r="T314" s="258"/>
      <c r="U314" s="258"/>
      <c r="V314" s="258"/>
      <c r="W314" s="258"/>
      <c r="X314" s="258"/>
      <c r="Y314" s="258"/>
      <c r="Z314" s="258"/>
      <c r="AA314" s="258"/>
      <c r="AB314" s="258"/>
      <c r="AC314" s="407"/>
    </row>
    <row r="315" spans="2:29" s="406" customFormat="1" ht="16.5" customHeight="1">
      <c r="B315" s="255"/>
      <c r="C315" s="255"/>
      <c r="D315" s="257"/>
      <c r="E315" s="257"/>
      <c r="F315" s="257"/>
      <c r="G315" s="252"/>
      <c r="H315" s="252"/>
      <c r="I315" s="252"/>
      <c r="J315" s="252"/>
      <c r="K315" s="252"/>
      <c r="L315" s="252"/>
      <c r="M315" s="253"/>
      <c r="N315" s="253"/>
      <c r="O315" s="258"/>
      <c r="P315" s="258"/>
      <c r="Q315" s="258"/>
      <c r="R315" s="258"/>
      <c r="S315" s="258"/>
      <c r="T315" s="258"/>
      <c r="U315" s="258"/>
      <c r="V315" s="258"/>
      <c r="W315" s="258"/>
      <c r="X315" s="258"/>
      <c r="Y315" s="258"/>
      <c r="Z315" s="258"/>
      <c r="AA315" s="258"/>
      <c r="AB315" s="258"/>
      <c r="AC315" s="407"/>
    </row>
    <row r="316" spans="2:29" s="406" customFormat="1" ht="16.5" customHeight="1">
      <c r="B316" s="255"/>
      <c r="C316" s="255"/>
      <c r="D316" s="257"/>
      <c r="E316" s="257"/>
      <c r="F316" s="257"/>
      <c r="G316" s="252"/>
      <c r="H316" s="252"/>
      <c r="I316" s="252"/>
      <c r="J316" s="252"/>
      <c r="K316" s="252"/>
      <c r="L316" s="252"/>
      <c r="M316" s="253"/>
      <c r="N316" s="253"/>
      <c r="O316" s="258"/>
      <c r="P316" s="258"/>
      <c r="Q316" s="258"/>
      <c r="R316" s="258"/>
      <c r="S316" s="258"/>
      <c r="T316" s="258"/>
      <c r="U316" s="258"/>
      <c r="V316" s="258"/>
      <c r="W316" s="258"/>
      <c r="X316" s="258"/>
      <c r="Y316" s="258"/>
      <c r="Z316" s="258"/>
      <c r="AA316" s="258"/>
      <c r="AB316" s="258"/>
      <c r="AC316" s="407"/>
    </row>
    <row r="317" spans="2:29" s="406" customFormat="1" ht="16.5" customHeight="1">
      <c r="B317" s="255"/>
      <c r="C317" s="255"/>
      <c r="D317" s="257"/>
      <c r="E317" s="257"/>
      <c r="F317" s="257"/>
      <c r="G317" s="252"/>
      <c r="H317" s="252"/>
      <c r="I317" s="252"/>
      <c r="J317" s="252"/>
      <c r="K317" s="252"/>
      <c r="L317" s="252"/>
      <c r="M317" s="253"/>
      <c r="N317" s="253"/>
      <c r="O317" s="258"/>
      <c r="P317" s="258"/>
      <c r="Q317" s="258"/>
      <c r="R317" s="258"/>
      <c r="S317" s="258"/>
      <c r="T317" s="258"/>
      <c r="U317" s="258"/>
      <c r="V317" s="258"/>
      <c r="W317" s="258"/>
      <c r="X317" s="258"/>
      <c r="Y317" s="258"/>
      <c r="Z317" s="258"/>
      <c r="AA317" s="258"/>
      <c r="AB317" s="258"/>
      <c r="AC317" s="407"/>
    </row>
    <row r="318" spans="2:29" s="406" customFormat="1" ht="16.5" customHeight="1">
      <c r="B318" s="255"/>
      <c r="C318" s="255"/>
      <c r="D318" s="257"/>
      <c r="E318" s="257"/>
      <c r="F318" s="257"/>
      <c r="G318" s="252"/>
      <c r="H318" s="252"/>
      <c r="I318" s="252"/>
      <c r="J318" s="252"/>
      <c r="K318" s="252"/>
      <c r="L318" s="252"/>
      <c r="M318" s="253"/>
      <c r="N318" s="253"/>
      <c r="O318" s="258"/>
      <c r="P318" s="258"/>
      <c r="Q318" s="258"/>
      <c r="R318" s="258"/>
      <c r="S318" s="258"/>
      <c r="T318" s="258"/>
      <c r="U318" s="258"/>
      <c r="V318" s="258"/>
      <c r="W318" s="258"/>
      <c r="X318" s="258"/>
      <c r="Y318" s="258"/>
      <c r="Z318" s="258"/>
      <c r="AA318" s="258"/>
      <c r="AB318" s="258"/>
      <c r="AC318" s="407"/>
    </row>
    <row r="319" spans="2:29" s="406" customFormat="1" ht="16.5" customHeight="1">
      <c r="B319" s="255"/>
      <c r="C319" s="255"/>
      <c r="D319" s="257"/>
      <c r="E319" s="257"/>
      <c r="F319" s="257"/>
      <c r="G319" s="252"/>
      <c r="H319" s="252"/>
      <c r="I319" s="252"/>
      <c r="J319" s="252"/>
      <c r="K319" s="252"/>
      <c r="L319" s="252"/>
      <c r="M319" s="253"/>
      <c r="N319" s="253"/>
      <c r="O319" s="258"/>
      <c r="P319" s="258"/>
      <c r="Q319" s="258"/>
      <c r="R319" s="258"/>
      <c r="S319" s="258"/>
      <c r="T319" s="258"/>
      <c r="U319" s="258"/>
      <c r="V319" s="258"/>
      <c r="W319" s="258"/>
      <c r="X319" s="258"/>
      <c r="Y319" s="258"/>
      <c r="Z319" s="258"/>
      <c r="AA319" s="258"/>
      <c r="AB319" s="258"/>
      <c r="AC319" s="407"/>
    </row>
    <row r="320" spans="2:29" s="406" customFormat="1" ht="16.5" customHeight="1">
      <c r="B320" s="255"/>
      <c r="C320" s="255"/>
      <c r="D320" s="257"/>
      <c r="E320" s="257"/>
      <c r="F320" s="257"/>
      <c r="G320" s="252"/>
      <c r="H320" s="252"/>
      <c r="I320" s="252"/>
      <c r="J320" s="252"/>
      <c r="K320" s="252"/>
      <c r="L320" s="252"/>
      <c r="M320" s="253"/>
      <c r="N320" s="253"/>
      <c r="O320" s="258"/>
      <c r="P320" s="258"/>
      <c r="Q320" s="258"/>
      <c r="R320" s="258"/>
      <c r="S320" s="258"/>
      <c r="T320" s="258"/>
      <c r="U320" s="258"/>
      <c r="V320" s="258"/>
      <c r="W320" s="258"/>
      <c r="X320" s="258"/>
      <c r="Y320" s="258"/>
      <c r="Z320" s="258"/>
      <c r="AA320" s="258"/>
      <c r="AB320" s="258"/>
      <c r="AC320" s="407"/>
    </row>
    <row r="321" spans="2:29" s="406" customFormat="1" ht="16.5" customHeight="1">
      <c r="B321" s="255"/>
      <c r="C321" s="255"/>
      <c r="D321" s="257"/>
      <c r="E321" s="257"/>
      <c r="F321" s="257"/>
      <c r="G321" s="252"/>
      <c r="H321" s="252"/>
      <c r="I321" s="252"/>
      <c r="J321" s="252"/>
      <c r="K321" s="252"/>
      <c r="L321" s="252"/>
      <c r="M321" s="253"/>
      <c r="N321" s="253"/>
      <c r="O321" s="258"/>
      <c r="P321" s="258"/>
      <c r="Q321" s="258"/>
      <c r="R321" s="258"/>
      <c r="S321" s="258"/>
      <c r="T321" s="258"/>
      <c r="U321" s="258"/>
      <c r="V321" s="258"/>
      <c r="W321" s="258"/>
      <c r="X321" s="258"/>
      <c r="Y321" s="258"/>
      <c r="Z321" s="258"/>
      <c r="AA321" s="258"/>
      <c r="AB321" s="258"/>
      <c r="AC321" s="407"/>
    </row>
    <row r="322" spans="2:29" s="406" customFormat="1" ht="16.5" customHeight="1">
      <c r="B322" s="255"/>
      <c r="C322" s="255"/>
      <c r="D322" s="257"/>
      <c r="E322" s="257"/>
      <c r="F322" s="257"/>
      <c r="G322" s="252"/>
      <c r="H322" s="252"/>
      <c r="I322" s="252"/>
      <c r="J322" s="252"/>
      <c r="K322" s="252"/>
      <c r="L322" s="252"/>
      <c r="M322" s="253"/>
      <c r="N322" s="253"/>
      <c r="O322" s="258"/>
      <c r="P322" s="258"/>
      <c r="Q322" s="258"/>
      <c r="R322" s="258"/>
      <c r="S322" s="258"/>
      <c r="T322" s="258"/>
      <c r="U322" s="258"/>
      <c r="V322" s="258"/>
      <c r="W322" s="258"/>
      <c r="X322" s="258"/>
      <c r="Y322" s="258"/>
      <c r="Z322" s="258"/>
      <c r="AA322" s="258"/>
      <c r="AB322" s="258"/>
      <c r="AC322" s="407"/>
    </row>
    <row r="323" spans="2:29" s="406" customFormat="1" ht="16.5" customHeight="1">
      <c r="B323" s="255"/>
      <c r="C323" s="255"/>
      <c r="D323" s="257"/>
      <c r="E323" s="257"/>
      <c r="F323" s="257"/>
      <c r="G323" s="252"/>
      <c r="H323" s="252"/>
      <c r="I323" s="252"/>
      <c r="J323" s="252"/>
      <c r="K323" s="252"/>
      <c r="L323" s="252"/>
      <c r="M323" s="253"/>
      <c r="N323" s="253"/>
      <c r="O323" s="258"/>
      <c r="P323" s="258"/>
      <c r="Q323" s="258"/>
      <c r="R323" s="258"/>
      <c r="S323" s="258"/>
      <c r="T323" s="258"/>
      <c r="U323" s="258"/>
      <c r="V323" s="258"/>
      <c r="W323" s="258"/>
      <c r="X323" s="258"/>
      <c r="Y323" s="258"/>
      <c r="Z323" s="258"/>
      <c r="AA323" s="258"/>
      <c r="AB323" s="258"/>
      <c r="AC323" s="407"/>
    </row>
    <row r="324" spans="2:29" s="406" customFormat="1" ht="16.5" customHeight="1">
      <c r="B324" s="255"/>
      <c r="C324" s="255"/>
      <c r="D324" s="257"/>
      <c r="E324" s="257"/>
      <c r="F324" s="257"/>
      <c r="G324" s="252"/>
      <c r="H324" s="252"/>
      <c r="I324" s="252"/>
      <c r="J324" s="252"/>
      <c r="K324" s="252"/>
      <c r="L324" s="252"/>
      <c r="M324" s="253"/>
      <c r="N324" s="253"/>
      <c r="O324" s="258"/>
      <c r="P324" s="258"/>
      <c r="Q324" s="258"/>
      <c r="R324" s="258"/>
      <c r="S324" s="258"/>
      <c r="T324" s="258"/>
      <c r="U324" s="258"/>
      <c r="V324" s="258"/>
      <c r="W324" s="258"/>
      <c r="X324" s="258"/>
      <c r="Y324" s="258"/>
      <c r="Z324" s="258"/>
      <c r="AA324" s="258"/>
      <c r="AB324" s="258"/>
      <c r="AC324" s="407"/>
    </row>
    <row r="325" spans="2:29" s="406" customFormat="1" ht="16.5" customHeight="1">
      <c r="B325" s="255"/>
      <c r="C325" s="255"/>
      <c r="D325" s="257"/>
      <c r="E325" s="257"/>
      <c r="F325" s="257"/>
      <c r="G325" s="252"/>
      <c r="H325" s="252"/>
      <c r="I325" s="252"/>
      <c r="J325" s="252"/>
      <c r="K325" s="252"/>
      <c r="L325" s="252"/>
      <c r="M325" s="253"/>
      <c r="N325" s="253"/>
      <c r="O325" s="258"/>
      <c r="P325" s="258"/>
      <c r="Q325" s="258"/>
      <c r="R325" s="258"/>
      <c r="S325" s="258"/>
      <c r="T325" s="258"/>
      <c r="U325" s="258"/>
      <c r="V325" s="258"/>
      <c r="W325" s="258"/>
      <c r="X325" s="258"/>
      <c r="Y325" s="258"/>
      <c r="Z325" s="258"/>
      <c r="AA325" s="258"/>
      <c r="AB325" s="258"/>
      <c r="AC325" s="407"/>
    </row>
    <row r="326" spans="2:29" s="406" customFormat="1" ht="16.5" customHeight="1">
      <c r="B326" s="255"/>
      <c r="C326" s="255"/>
      <c r="D326" s="257"/>
      <c r="E326" s="257"/>
      <c r="F326" s="257"/>
      <c r="G326" s="252"/>
      <c r="H326" s="252"/>
      <c r="I326" s="252"/>
      <c r="J326" s="252"/>
      <c r="K326" s="252"/>
      <c r="L326" s="252"/>
      <c r="M326" s="253"/>
      <c r="N326" s="253"/>
      <c r="O326" s="258"/>
      <c r="P326" s="258"/>
      <c r="Q326" s="258"/>
      <c r="R326" s="258"/>
      <c r="S326" s="258"/>
      <c r="T326" s="258"/>
      <c r="U326" s="258"/>
      <c r="V326" s="258"/>
      <c r="W326" s="258"/>
      <c r="X326" s="258"/>
      <c r="Y326" s="258"/>
      <c r="Z326" s="258"/>
      <c r="AA326" s="258"/>
      <c r="AB326" s="258"/>
      <c r="AC326" s="407"/>
    </row>
    <row r="327" spans="2:29" s="406" customFormat="1" ht="16.5" customHeight="1">
      <c r="B327" s="255"/>
      <c r="C327" s="255"/>
      <c r="D327" s="257"/>
      <c r="E327" s="257"/>
      <c r="F327" s="257"/>
      <c r="G327" s="252"/>
      <c r="H327" s="252"/>
      <c r="I327" s="252"/>
      <c r="J327" s="252"/>
      <c r="K327" s="252"/>
      <c r="L327" s="252"/>
      <c r="M327" s="253"/>
      <c r="N327" s="253"/>
      <c r="O327" s="258"/>
      <c r="P327" s="258"/>
      <c r="Q327" s="258"/>
      <c r="R327" s="258"/>
      <c r="S327" s="258"/>
      <c r="T327" s="258"/>
      <c r="U327" s="258"/>
      <c r="V327" s="258"/>
      <c r="W327" s="258"/>
      <c r="X327" s="258"/>
      <c r="Y327" s="258"/>
      <c r="Z327" s="258"/>
      <c r="AA327" s="258"/>
      <c r="AB327" s="258"/>
      <c r="AC327" s="407"/>
    </row>
    <row r="328" spans="2:29" s="406" customFormat="1" ht="16.5" customHeight="1">
      <c r="B328" s="255"/>
      <c r="C328" s="255"/>
      <c r="D328" s="257"/>
      <c r="E328" s="257"/>
      <c r="F328" s="257"/>
      <c r="G328" s="252"/>
      <c r="H328" s="252"/>
      <c r="I328" s="252"/>
      <c r="J328" s="252"/>
      <c r="K328" s="252"/>
      <c r="L328" s="252"/>
      <c r="M328" s="253"/>
      <c r="N328" s="253"/>
      <c r="O328" s="258"/>
      <c r="P328" s="258"/>
      <c r="Q328" s="258"/>
      <c r="R328" s="258"/>
      <c r="S328" s="258"/>
      <c r="T328" s="258"/>
      <c r="U328" s="258"/>
      <c r="V328" s="258"/>
      <c r="W328" s="258"/>
      <c r="X328" s="258"/>
      <c r="Y328" s="258"/>
      <c r="Z328" s="258"/>
      <c r="AA328" s="258"/>
      <c r="AB328" s="258"/>
      <c r="AC328" s="407"/>
    </row>
    <row r="329" spans="2:29" s="406" customFormat="1" ht="16.5" customHeight="1">
      <c r="B329" s="255"/>
      <c r="C329" s="255"/>
      <c r="D329" s="257"/>
      <c r="E329" s="257"/>
      <c r="F329" s="257"/>
      <c r="G329" s="252"/>
      <c r="H329" s="252"/>
      <c r="I329" s="252"/>
      <c r="J329" s="252"/>
      <c r="K329" s="252"/>
      <c r="L329" s="252"/>
      <c r="M329" s="253"/>
      <c r="N329" s="253"/>
      <c r="O329" s="258"/>
      <c r="P329" s="258"/>
      <c r="Q329" s="258"/>
      <c r="R329" s="258"/>
      <c r="S329" s="258"/>
      <c r="T329" s="258"/>
      <c r="U329" s="258"/>
      <c r="V329" s="258"/>
      <c r="W329" s="258"/>
      <c r="X329" s="258"/>
      <c r="Y329" s="258"/>
      <c r="Z329" s="258"/>
      <c r="AA329" s="258"/>
      <c r="AB329" s="258"/>
      <c r="AC329" s="407"/>
    </row>
    <row r="330" spans="2:29" s="406" customFormat="1" ht="16.5" customHeight="1">
      <c r="B330" s="255"/>
      <c r="C330" s="255"/>
      <c r="D330" s="257"/>
      <c r="E330" s="257"/>
      <c r="F330" s="257"/>
      <c r="G330" s="252"/>
      <c r="H330" s="252"/>
      <c r="I330" s="252"/>
      <c r="J330" s="252"/>
      <c r="K330" s="252"/>
      <c r="L330" s="252"/>
      <c r="M330" s="253"/>
      <c r="N330" s="253"/>
      <c r="O330" s="258"/>
      <c r="P330" s="258"/>
      <c r="Q330" s="258"/>
      <c r="R330" s="258"/>
      <c r="S330" s="258"/>
      <c r="T330" s="258"/>
      <c r="U330" s="258"/>
      <c r="V330" s="258"/>
      <c r="W330" s="258"/>
      <c r="X330" s="258"/>
      <c r="Y330" s="258"/>
      <c r="Z330" s="258"/>
      <c r="AA330" s="258"/>
      <c r="AB330" s="258"/>
      <c r="AC330" s="407"/>
    </row>
    <row r="331" spans="2:29" s="406" customFormat="1" ht="16.5" customHeight="1">
      <c r="B331" s="255"/>
      <c r="C331" s="255"/>
      <c r="D331" s="257"/>
      <c r="E331" s="257"/>
      <c r="F331" s="257"/>
      <c r="G331" s="252"/>
      <c r="H331" s="252"/>
      <c r="I331" s="252"/>
      <c r="J331" s="252"/>
      <c r="K331" s="252"/>
      <c r="L331" s="252"/>
      <c r="M331" s="253"/>
      <c r="N331" s="253"/>
      <c r="O331" s="258"/>
      <c r="P331" s="258"/>
      <c r="Q331" s="258"/>
      <c r="R331" s="258"/>
      <c r="S331" s="258"/>
      <c r="T331" s="258"/>
      <c r="U331" s="258"/>
      <c r="V331" s="258"/>
      <c r="W331" s="258"/>
      <c r="X331" s="258"/>
      <c r="Y331" s="258"/>
      <c r="Z331" s="258"/>
      <c r="AA331" s="258"/>
      <c r="AB331" s="258"/>
      <c r="AC331" s="407"/>
    </row>
    <row r="332" spans="2:29" s="406" customFormat="1" ht="16.5" customHeight="1">
      <c r="B332" s="255"/>
      <c r="C332" s="255"/>
      <c r="D332" s="257"/>
      <c r="E332" s="257"/>
      <c r="F332" s="257"/>
      <c r="G332" s="252"/>
      <c r="H332" s="252"/>
      <c r="I332" s="252"/>
      <c r="J332" s="252"/>
      <c r="K332" s="252"/>
      <c r="L332" s="252"/>
      <c r="M332" s="253"/>
      <c r="N332" s="253"/>
      <c r="O332" s="258"/>
      <c r="P332" s="258"/>
      <c r="Q332" s="258"/>
      <c r="R332" s="258"/>
      <c r="S332" s="258"/>
      <c r="T332" s="258"/>
      <c r="U332" s="258"/>
      <c r="V332" s="258"/>
      <c r="W332" s="258"/>
      <c r="X332" s="258"/>
      <c r="Y332" s="258"/>
      <c r="Z332" s="258"/>
      <c r="AA332" s="258"/>
      <c r="AB332" s="258"/>
      <c r="AC332" s="407"/>
    </row>
    <row r="333" spans="2:29" s="406" customFormat="1" ht="16.5" customHeight="1">
      <c r="B333" s="255"/>
      <c r="C333" s="255"/>
      <c r="D333" s="257"/>
      <c r="E333" s="257"/>
      <c r="F333" s="257"/>
      <c r="G333" s="252"/>
      <c r="H333" s="252"/>
      <c r="I333" s="252"/>
      <c r="J333" s="252"/>
      <c r="K333" s="252"/>
      <c r="L333" s="252"/>
      <c r="M333" s="253"/>
      <c r="N333" s="253"/>
      <c r="O333" s="258"/>
      <c r="P333" s="258"/>
      <c r="Q333" s="258"/>
      <c r="R333" s="258"/>
      <c r="S333" s="258"/>
      <c r="T333" s="258"/>
      <c r="U333" s="258"/>
      <c r="V333" s="258"/>
      <c r="W333" s="258"/>
      <c r="X333" s="258"/>
      <c r="Y333" s="258"/>
      <c r="Z333" s="258"/>
      <c r="AA333" s="258"/>
      <c r="AB333" s="258"/>
      <c r="AC333" s="407"/>
    </row>
    <row r="334" spans="2:29" s="406" customFormat="1" ht="16.5" customHeight="1">
      <c r="B334" s="255"/>
      <c r="C334" s="255"/>
      <c r="D334" s="257"/>
      <c r="E334" s="257"/>
      <c r="F334" s="257"/>
      <c r="G334" s="252"/>
      <c r="H334" s="252"/>
      <c r="I334" s="252"/>
      <c r="J334" s="252"/>
      <c r="K334" s="252"/>
      <c r="L334" s="252"/>
      <c r="M334" s="253"/>
      <c r="N334" s="253"/>
      <c r="O334" s="258"/>
      <c r="P334" s="258"/>
      <c r="Q334" s="258"/>
      <c r="R334" s="258"/>
      <c r="S334" s="258"/>
      <c r="T334" s="258"/>
      <c r="U334" s="258"/>
      <c r="V334" s="258"/>
      <c r="W334" s="258"/>
      <c r="X334" s="258"/>
      <c r="Y334" s="258"/>
      <c r="Z334" s="258"/>
      <c r="AA334" s="258"/>
      <c r="AB334" s="258"/>
      <c r="AC334" s="407"/>
    </row>
    <row r="335" spans="2:29" s="406" customFormat="1" ht="16.5" customHeight="1">
      <c r="B335" s="255"/>
      <c r="C335" s="255"/>
      <c r="D335" s="257"/>
      <c r="E335" s="257"/>
      <c r="F335" s="257"/>
      <c r="G335" s="252"/>
      <c r="H335" s="252"/>
      <c r="I335" s="252"/>
      <c r="J335" s="252"/>
      <c r="K335" s="252"/>
      <c r="L335" s="252"/>
      <c r="M335" s="253"/>
      <c r="N335" s="253"/>
      <c r="O335" s="258"/>
      <c r="P335" s="258"/>
      <c r="Q335" s="258"/>
      <c r="R335" s="258"/>
      <c r="S335" s="258"/>
      <c r="T335" s="258"/>
      <c r="U335" s="258"/>
      <c r="V335" s="258"/>
      <c r="W335" s="258"/>
      <c r="X335" s="258"/>
      <c r="Y335" s="258"/>
      <c r="Z335" s="258"/>
      <c r="AA335" s="258"/>
      <c r="AB335" s="258"/>
      <c r="AC335" s="407"/>
    </row>
    <row r="336" spans="2:29" s="406" customFormat="1" ht="16.5" customHeight="1">
      <c r="B336" s="255"/>
      <c r="C336" s="255"/>
      <c r="D336" s="257"/>
      <c r="E336" s="257"/>
      <c r="F336" s="257"/>
      <c r="G336" s="252"/>
      <c r="H336" s="252"/>
      <c r="I336" s="252"/>
      <c r="J336" s="252"/>
      <c r="K336" s="252"/>
      <c r="L336" s="252"/>
      <c r="M336" s="253"/>
      <c r="N336" s="253"/>
      <c r="O336" s="258"/>
      <c r="P336" s="258"/>
      <c r="Q336" s="258"/>
      <c r="R336" s="258"/>
      <c r="S336" s="258"/>
      <c r="T336" s="258"/>
      <c r="U336" s="258"/>
      <c r="V336" s="258"/>
      <c r="W336" s="258"/>
      <c r="X336" s="258"/>
      <c r="Y336" s="258"/>
      <c r="Z336" s="258"/>
      <c r="AA336" s="258"/>
      <c r="AB336" s="258"/>
      <c r="AC336" s="407"/>
    </row>
    <row r="337" spans="2:29" s="406" customFormat="1" ht="16.5" customHeight="1">
      <c r="B337" s="255"/>
      <c r="C337" s="255"/>
      <c r="D337" s="257"/>
      <c r="E337" s="257"/>
      <c r="F337" s="257"/>
      <c r="G337" s="252"/>
      <c r="H337" s="252"/>
      <c r="I337" s="252"/>
      <c r="J337" s="252"/>
      <c r="K337" s="252"/>
      <c r="L337" s="252"/>
      <c r="M337" s="253"/>
      <c r="N337" s="253"/>
      <c r="O337" s="258"/>
      <c r="P337" s="258"/>
      <c r="Q337" s="258"/>
      <c r="R337" s="258"/>
      <c r="S337" s="258"/>
      <c r="T337" s="258"/>
      <c r="U337" s="258"/>
      <c r="V337" s="258"/>
      <c r="W337" s="258"/>
      <c r="X337" s="258"/>
      <c r="Y337" s="258"/>
      <c r="Z337" s="258"/>
      <c r="AA337" s="258"/>
      <c r="AB337" s="258"/>
      <c r="AC337" s="407"/>
    </row>
    <row r="338" spans="2:29" s="406" customFormat="1" ht="16.5" customHeight="1">
      <c r="B338" s="255"/>
      <c r="C338" s="255"/>
      <c r="D338" s="257"/>
      <c r="E338" s="257"/>
      <c r="F338" s="257"/>
      <c r="G338" s="252"/>
      <c r="H338" s="252"/>
      <c r="I338" s="252"/>
      <c r="J338" s="252"/>
      <c r="K338" s="252"/>
      <c r="L338" s="252"/>
      <c r="M338" s="253"/>
      <c r="N338" s="253"/>
      <c r="O338" s="258"/>
      <c r="P338" s="258"/>
      <c r="Q338" s="258"/>
      <c r="R338" s="258"/>
      <c r="S338" s="258"/>
      <c r="T338" s="258"/>
      <c r="U338" s="258"/>
      <c r="V338" s="258"/>
      <c r="W338" s="258"/>
      <c r="X338" s="258"/>
      <c r="Y338" s="258"/>
      <c r="Z338" s="258"/>
      <c r="AA338" s="258"/>
      <c r="AB338" s="258"/>
      <c r="AC338" s="407"/>
    </row>
    <row r="339" spans="2:29" s="406" customFormat="1" ht="16.5" customHeight="1">
      <c r="B339" s="255"/>
      <c r="C339" s="255"/>
      <c r="D339" s="257"/>
      <c r="E339" s="257"/>
      <c r="F339" s="257"/>
      <c r="G339" s="252"/>
      <c r="H339" s="252"/>
      <c r="I339" s="252"/>
      <c r="J339" s="252"/>
      <c r="K339" s="252"/>
      <c r="L339" s="252"/>
      <c r="M339" s="253"/>
      <c r="N339" s="253"/>
      <c r="O339" s="258"/>
      <c r="P339" s="258"/>
      <c r="Q339" s="258"/>
      <c r="R339" s="258"/>
      <c r="S339" s="258"/>
      <c r="T339" s="258"/>
      <c r="U339" s="258"/>
      <c r="V339" s="258"/>
      <c r="W339" s="258"/>
      <c r="X339" s="258"/>
      <c r="Y339" s="258"/>
      <c r="Z339" s="258"/>
      <c r="AA339" s="258"/>
      <c r="AB339" s="258"/>
      <c r="AC339" s="407"/>
    </row>
    <row r="340" spans="2:29" s="406" customFormat="1" ht="16.5" customHeight="1">
      <c r="B340" s="255"/>
      <c r="C340" s="255"/>
      <c r="D340" s="257"/>
      <c r="E340" s="257"/>
      <c r="F340" s="257"/>
      <c r="G340" s="252"/>
      <c r="H340" s="252"/>
      <c r="I340" s="252"/>
      <c r="J340" s="252"/>
      <c r="K340" s="252"/>
      <c r="L340" s="252"/>
      <c r="M340" s="253"/>
      <c r="N340" s="253"/>
      <c r="O340" s="258"/>
      <c r="P340" s="258"/>
      <c r="Q340" s="258"/>
      <c r="R340" s="258"/>
      <c r="S340" s="258"/>
      <c r="T340" s="258"/>
      <c r="U340" s="258"/>
      <c r="V340" s="258"/>
      <c r="W340" s="258"/>
      <c r="X340" s="258"/>
      <c r="Y340" s="258"/>
      <c r="Z340" s="258"/>
      <c r="AA340" s="258"/>
      <c r="AB340" s="258"/>
      <c r="AC340" s="407"/>
    </row>
    <row r="341" spans="2:29" s="406" customFormat="1" ht="16.5" customHeight="1">
      <c r="B341" s="255"/>
      <c r="C341" s="255"/>
      <c r="D341" s="257"/>
      <c r="E341" s="257"/>
      <c r="F341" s="257"/>
      <c r="G341" s="252"/>
      <c r="H341" s="252"/>
      <c r="I341" s="252"/>
      <c r="J341" s="252"/>
      <c r="K341" s="252"/>
      <c r="L341" s="252"/>
      <c r="M341" s="253"/>
      <c r="N341" s="253"/>
      <c r="O341" s="258"/>
      <c r="P341" s="258"/>
      <c r="Q341" s="258"/>
      <c r="R341" s="258"/>
      <c r="S341" s="258"/>
      <c r="T341" s="258"/>
      <c r="U341" s="258"/>
      <c r="V341" s="258"/>
      <c r="W341" s="258"/>
      <c r="X341" s="258"/>
      <c r="Y341" s="258"/>
      <c r="Z341" s="258"/>
      <c r="AA341" s="258"/>
      <c r="AB341" s="258"/>
      <c r="AC341" s="407"/>
    </row>
    <row r="342" spans="2:29" s="406" customFormat="1" ht="16.5" customHeight="1">
      <c r="B342" s="255"/>
      <c r="C342" s="255"/>
      <c r="D342" s="257"/>
      <c r="E342" s="257"/>
      <c r="F342" s="257"/>
      <c r="G342" s="252"/>
      <c r="H342" s="252"/>
      <c r="I342" s="252"/>
      <c r="J342" s="252"/>
      <c r="K342" s="252"/>
      <c r="L342" s="252"/>
      <c r="M342" s="253"/>
      <c r="N342" s="253"/>
      <c r="O342" s="258"/>
      <c r="P342" s="258"/>
      <c r="Q342" s="258"/>
      <c r="R342" s="258"/>
      <c r="S342" s="258"/>
      <c r="T342" s="258"/>
      <c r="U342" s="258"/>
      <c r="V342" s="258"/>
      <c r="W342" s="258"/>
      <c r="X342" s="258"/>
      <c r="Y342" s="258"/>
      <c r="Z342" s="258"/>
      <c r="AA342" s="258"/>
      <c r="AB342" s="258"/>
      <c r="AC342" s="407"/>
    </row>
    <row r="343" spans="2:29" s="406" customFormat="1" ht="16.5" customHeight="1">
      <c r="B343" s="255"/>
      <c r="C343" s="255"/>
      <c r="D343" s="257"/>
      <c r="E343" s="257"/>
      <c r="F343" s="257"/>
      <c r="G343" s="252"/>
      <c r="H343" s="252"/>
      <c r="I343" s="252"/>
      <c r="J343" s="252"/>
      <c r="K343" s="252"/>
      <c r="L343" s="252"/>
      <c r="M343" s="253"/>
      <c r="N343" s="253"/>
      <c r="O343" s="258"/>
      <c r="P343" s="258"/>
      <c r="Q343" s="258"/>
      <c r="R343" s="258"/>
      <c r="S343" s="258"/>
      <c r="T343" s="258"/>
      <c r="U343" s="258"/>
      <c r="V343" s="258"/>
      <c r="W343" s="258"/>
      <c r="X343" s="258"/>
      <c r="Y343" s="258"/>
      <c r="Z343" s="258"/>
      <c r="AA343" s="258"/>
      <c r="AB343" s="258"/>
      <c r="AC343" s="407"/>
    </row>
    <row r="344" spans="2:29" s="406" customFormat="1" ht="16.5" customHeight="1">
      <c r="B344" s="255"/>
      <c r="C344" s="255"/>
      <c r="D344" s="257"/>
      <c r="E344" s="257"/>
      <c r="F344" s="257"/>
      <c r="G344" s="252"/>
      <c r="H344" s="252"/>
      <c r="I344" s="252"/>
      <c r="J344" s="252"/>
      <c r="K344" s="252"/>
      <c r="L344" s="252"/>
      <c r="M344" s="253"/>
      <c r="N344" s="253"/>
      <c r="O344" s="258"/>
      <c r="P344" s="258"/>
      <c r="Q344" s="258"/>
      <c r="R344" s="258"/>
      <c r="S344" s="258"/>
      <c r="T344" s="258"/>
      <c r="U344" s="258"/>
      <c r="V344" s="258"/>
      <c r="W344" s="258"/>
      <c r="X344" s="258"/>
      <c r="Y344" s="258"/>
      <c r="Z344" s="258"/>
      <c r="AA344" s="258"/>
      <c r="AB344" s="258"/>
      <c r="AC344" s="407"/>
    </row>
    <row r="345" spans="2:29" s="406" customFormat="1" ht="16.5" customHeight="1">
      <c r="B345" s="255"/>
      <c r="C345" s="255"/>
      <c r="D345" s="257"/>
      <c r="E345" s="257"/>
      <c r="F345" s="257"/>
      <c r="G345" s="252"/>
      <c r="H345" s="252"/>
      <c r="I345" s="252"/>
      <c r="J345" s="252"/>
      <c r="K345" s="252"/>
      <c r="L345" s="252"/>
      <c r="M345" s="253"/>
      <c r="N345" s="253"/>
      <c r="O345" s="258"/>
      <c r="P345" s="258"/>
      <c r="Q345" s="258"/>
      <c r="R345" s="258"/>
      <c r="S345" s="258"/>
      <c r="T345" s="258"/>
      <c r="U345" s="258"/>
      <c r="V345" s="258"/>
      <c r="W345" s="258"/>
      <c r="X345" s="258"/>
      <c r="Y345" s="258"/>
      <c r="Z345" s="258"/>
      <c r="AA345" s="258"/>
      <c r="AB345" s="258"/>
      <c r="AC345" s="407"/>
    </row>
    <row r="346" spans="2:29" s="406" customFormat="1" ht="16.5" customHeight="1">
      <c r="B346" s="255"/>
      <c r="C346" s="255"/>
      <c r="D346" s="257"/>
      <c r="E346" s="257"/>
      <c r="F346" s="257"/>
      <c r="G346" s="252"/>
      <c r="H346" s="252"/>
      <c r="I346" s="252"/>
      <c r="J346" s="252"/>
      <c r="K346" s="252"/>
      <c r="L346" s="252"/>
      <c r="M346" s="253"/>
      <c r="N346" s="253"/>
      <c r="O346" s="258"/>
      <c r="P346" s="258"/>
      <c r="Q346" s="258"/>
      <c r="R346" s="258"/>
      <c r="S346" s="258"/>
      <c r="T346" s="258"/>
      <c r="U346" s="258"/>
      <c r="V346" s="258"/>
      <c r="W346" s="258"/>
      <c r="X346" s="258"/>
      <c r="Y346" s="258"/>
      <c r="Z346" s="258"/>
      <c r="AA346" s="258"/>
      <c r="AB346" s="258"/>
      <c r="AC346" s="407"/>
    </row>
    <row r="347" spans="2:29" s="406" customFormat="1" ht="16.5" customHeight="1">
      <c r="B347" s="255"/>
      <c r="C347" s="255"/>
      <c r="D347" s="257"/>
      <c r="E347" s="257"/>
      <c r="F347" s="257"/>
      <c r="G347" s="252"/>
      <c r="H347" s="252"/>
      <c r="I347" s="252"/>
      <c r="J347" s="252"/>
      <c r="K347" s="252"/>
      <c r="L347" s="252"/>
      <c r="M347" s="253"/>
      <c r="N347" s="253"/>
      <c r="O347" s="258"/>
      <c r="P347" s="258"/>
      <c r="Q347" s="258"/>
      <c r="R347" s="258"/>
      <c r="S347" s="258"/>
      <c r="T347" s="258"/>
      <c r="U347" s="258"/>
      <c r="V347" s="258"/>
      <c r="W347" s="258"/>
      <c r="X347" s="258"/>
      <c r="Y347" s="258"/>
      <c r="Z347" s="258"/>
      <c r="AA347" s="258"/>
      <c r="AB347" s="258"/>
      <c r="AC347" s="407"/>
    </row>
    <row r="348" spans="2:29" s="406" customFormat="1" ht="16.5" customHeight="1">
      <c r="B348" s="255"/>
      <c r="C348" s="255"/>
      <c r="D348" s="257"/>
      <c r="E348" s="257"/>
      <c r="F348" s="257"/>
      <c r="G348" s="252"/>
      <c r="H348" s="252"/>
      <c r="I348" s="252"/>
      <c r="J348" s="252"/>
      <c r="K348" s="252"/>
      <c r="L348" s="252"/>
      <c r="M348" s="253"/>
      <c r="N348" s="253"/>
      <c r="O348" s="258"/>
      <c r="P348" s="258"/>
      <c r="Q348" s="258"/>
      <c r="R348" s="258"/>
      <c r="S348" s="258"/>
      <c r="T348" s="258"/>
      <c r="U348" s="258"/>
      <c r="V348" s="258"/>
      <c r="W348" s="258"/>
      <c r="X348" s="258"/>
      <c r="Y348" s="258"/>
      <c r="Z348" s="258"/>
      <c r="AA348" s="258"/>
      <c r="AB348" s="258"/>
      <c r="AC348" s="407"/>
    </row>
    <row r="349" spans="2:29" s="406" customFormat="1" ht="16.5" customHeight="1">
      <c r="B349" s="255"/>
      <c r="C349" s="255"/>
      <c r="D349" s="257"/>
      <c r="E349" s="257"/>
      <c r="F349" s="257"/>
      <c r="G349" s="252"/>
      <c r="H349" s="252"/>
      <c r="I349" s="252"/>
      <c r="J349" s="252"/>
      <c r="K349" s="252"/>
      <c r="L349" s="252"/>
      <c r="M349" s="253"/>
      <c r="N349" s="253"/>
      <c r="O349" s="258"/>
      <c r="P349" s="258"/>
      <c r="Q349" s="258"/>
      <c r="R349" s="258"/>
      <c r="S349" s="258"/>
      <c r="T349" s="258"/>
      <c r="U349" s="258"/>
      <c r="V349" s="258"/>
      <c r="W349" s="258"/>
      <c r="X349" s="258"/>
      <c r="Y349" s="258"/>
      <c r="Z349" s="258"/>
      <c r="AA349" s="258"/>
      <c r="AB349" s="258"/>
      <c r="AC349" s="407"/>
    </row>
    <row r="350" spans="2:29" s="406" customFormat="1" ht="16.5" customHeight="1">
      <c r="B350" s="255"/>
      <c r="C350" s="255"/>
      <c r="D350" s="257"/>
      <c r="E350" s="257"/>
      <c r="F350" s="257"/>
      <c r="G350" s="252"/>
      <c r="H350" s="252"/>
      <c r="I350" s="252"/>
      <c r="J350" s="252"/>
      <c r="K350" s="252"/>
      <c r="L350" s="252"/>
      <c r="M350" s="253"/>
      <c r="N350" s="253"/>
      <c r="O350" s="258"/>
      <c r="P350" s="258"/>
      <c r="Q350" s="258"/>
      <c r="R350" s="258"/>
      <c r="S350" s="258"/>
      <c r="T350" s="258"/>
      <c r="U350" s="258"/>
      <c r="V350" s="258"/>
      <c r="W350" s="258"/>
      <c r="X350" s="258"/>
      <c r="Y350" s="258"/>
      <c r="Z350" s="258"/>
      <c r="AA350" s="258"/>
      <c r="AB350" s="258"/>
      <c r="AC350" s="407"/>
    </row>
    <row r="351" spans="2:29" s="406" customFormat="1" ht="16.5" customHeight="1">
      <c r="B351" s="255"/>
      <c r="C351" s="255"/>
      <c r="D351" s="257"/>
      <c r="E351" s="257"/>
      <c r="F351" s="257"/>
      <c r="G351" s="252"/>
      <c r="H351" s="252"/>
      <c r="I351" s="252"/>
      <c r="J351" s="252"/>
      <c r="K351" s="252"/>
      <c r="L351" s="252"/>
      <c r="M351" s="253"/>
      <c r="N351" s="253"/>
      <c r="O351" s="258"/>
      <c r="P351" s="258"/>
      <c r="Q351" s="258"/>
      <c r="R351" s="258"/>
      <c r="S351" s="258"/>
      <c r="T351" s="258"/>
      <c r="U351" s="258"/>
      <c r="V351" s="258"/>
      <c r="W351" s="258"/>
      <c r="X351" s="258"/>
      <c r="Y351" s="258"/>
      <c r="Z351" s="258"/>
      <c r="AA351" s="258"/>
      <c r="AB351" s="258"/>
      <c r="AC351" s="407"/>
    </row>
    <row r="352" spans="2:29" s="406" customFormat="1" ht="16.5" customHeight="1">
      <c r="B352" s="255"/>
      <c r="C352" s="255"/>
      <c r="D352" s="257"/>
      <c r="E352" s="257"/>
      <c r="F352" s="257"/>
      <c r="G352" s="252"/>
      <c r="H352" s="252"/>
      <c r="I352" s="252"/>
      <c r="J352" s="252"/>
      <c r="K352" s="252"/>
      <c r="L352" s="252"/>
      <c r="M352" s="253"/>
      <c r="N352" s="253"/>
      <c r="O352" s="258"/>
      <c r="P352" s="258"/>
      <c r="Q352" s="258"/>
      <c r="R352" s="258"/>
      <c r="S352" s="258"/>
      <c r="T352" s="258"/>
      <c r="U352" s="258"/>
      <c r="V352" s="258"/>
      <c r="W352" s="258"/>
      <c r="X352" s="258"/>
      <c r="Y352" s="258"/>
      <c r="Z352" s="258"/>
      <c r="AA352" s="258"/>
      <c r="AB352" s="258"/>
      <c r="AC352" s="407"/>
    </row>
    <row r="353" spans="2:29" s="406" customFormat="1" ht="16.5" customHeight="1">
      <c r="B353" s="255"/>
      <c r="C353" s="255"/>
      <c r="D353" s="257"/>
      <c r="E353" s="257"/>
      <c r="F353" s="257"/>
      <c r="G353" s="252"/>
      <c r="H353" s="252"/>
      <c r="I353" s="252"/>
      <c r="J353" s="252"/>
      <c r="K353" s="252"/>
      <c r="L353" s="252"/>
      <c r="M353" s="253"/>
      <c r="N353" s="253"/>
      <c r="O353" s="258"/>
      <c r="P353" s="258"/>
      <c r="Q353" s="258"/>
      <c r="R353" s="258"/>
      <c r="S353" s="258"/>
      <c r="T353" s="258"/>
      <c r="U353" s="258"/>
      <c r="V353" s="258"/>
      <c r="W353" s="258"/>
      <c r="X353" s="258"/>
      <c r="Y353" s="258"/>
      <c r="Z353" s="258"/>
      <c r="AA353" s="258"/>
      <c r="AB353" s="258"/>
      <c r="AC353" s="407"/>
    </row>
    <row r="354" spans="2:29" s="406" customFormat="1" ht="16.5" customHeight="1">
      <c r="B354" s="255"/>
      <c r="C354" s="255"/>
      <c r="D354" s="257"/>
      <c r="E354" s="257"/>
      <c r="F354" s="257"/>
      <c r="G354" s="252"/>
      <c r="H354" s="252"/>
      <c r="I354" s="252"/>
      <c r="J354" s="252"/>
      <c r="K354" s="252"/>
      <c r="L354" s="252"/>
      <c r="M354" s="253"/>
      <c r="N354" s="253"/>
      <c r="O354" s="258"/>
      <c r="P354" s="258"/>
      <c r="Q354" s="258"/>
      <c r="R354" s="258"/>
      <c r="S354" s="258"/>
      <c r="T354" s="258"/>
      <c r="U354" s="258"/>
      <c r="V354" s="258"/>
      <c r="W354" s="258"/>
      <c r="X354" s="258"/>
      <c r="Y354" s="258"/>
      <c r="Z354" s="258"/>
      <c r="AA354" s="258"/>
      <c r="AB354" s="258"/>
      <c r="AC354" s="407"/>
    </row>
    <row r="355" spans="2:29" s="406" customFormat="1" ht="16.5" customHeight="1">
      <c r="B355" s="255"/>
      <c r="C355" s="255"/>
      <c r="D355" s="257"/>
      <c r="E355" s="257"/>
      <c r="F355" s="257"/>
      <c r="G355" s="252"/>
      <c r="H355" s="252"/>
      <c r="I355" s="252"/>
      <c r="J355" s="252"/>
      <c r="K355" s="252"/>
      <c r="L355" s="252"/>
      <c r="M355" s="253"/>
      <c r="N355" s="253"/>
      <c r="O355" s="258"/>
      <c r="P355" s="258"/>
      <c r="Q355" s="258"/>
      <c r="R355" s="258"/>
      <c r="S355" s="258"/>
      <c r="T355" s="258"/>
      <c r="U355" s="258"/>
      <c r="V355" s="258"/>
      <c r="W355" s="258"/>
      <c r="X355" s="258"/>
      <c r="Y355" s="258"/>
      <c r="Z355" s="258"/>
      <c r="AA355" s="258"/>
      <c r="AB355" s="258"/>
      <c r="AC355" s="407"/>
    </row>
    <row r="356" spans="2:29" s="406" customFormat="1" ht="16.5" customHeight="1">
      <c r="B356" s="255"/>
      <c r="C356" s="255"/>
      <c r="D356" s="257"/>
      <c r="E356" s="257"/>
      <c r="F356" s="257"/>
      <c r="G356" s="252"/>
      <c r="H356" s="252"/>
      <c r="I356" s="252"/>
      <c r="J356" s="252"/>
      <c r="K356" s="252"/>
      <c r="L356" s="252"/>
      <c r="M356" s="253"/>
      <c r="N356" s="253"/>
      <c r="O356" s="258"/>
      <c r="P356" s="258"/>
      <c r="Q356" s="258"/>
      <c r="R356" s="258"/>
      <c r="S356" s="258"/>
      <c r="T356" s="258"/>
      <c r="U356" s="258"/>
      <c r="V356" s="258"/>
      <c r="W356" s="258"/>
      <c r="X356" s="258"/>
      <c r="Y356" s="258"/>
      <c r="Z356" s="258"/>
      <c r="AA356" s="258"/>
      <c r="AB356" s="258"/>
      <c r="AC356" s="407"/>
    </row>
    <row r="357" spans="2:29" s="406" customFormat="1" ht="16.5" customHeight="1">
      <c r="B357" s="255"/>
      <c r="C357" s="255"/>
      <c r="D357" s="257"/>
      <c r="E357" s="257"/>
      <c r="F357" s="257"/>
      <c r="G357" s="252"/>
      <c r="H357" s="252"/>
      <c r="I357" s="252"/>
      <c r="J357" s="252"/>
      <c r="K357" s="252"/>
      <c r="L357" s="252"/>
      <c r="M357" s="253"/>
      <c r="N357" s="253"/>
      <c r="O357" s="258"/>
      <c r="P357" s="258"/>
      <c r="Q357" s="258"/>
      <c r="R357" s="258"/>
      <c r="S357" s="258"/>
      <c r="T357" s="258"/>
      <c r="U357" s="258"/>
      <c r="V357" s="258"/>
      <c r="W357" s="258"/>
      <c r="X357" s="258"/>
      <c r="Y357" s="258"/>
      <c r="Z357" s="258"/>
      <c r="AA357" s="258"/>
      <c r="AB357" s="258"/>
      <c r="AC357" s="407"/>
    </row>
    <row r="358" spans="2:29" s="406" customFormat="1" ht="16.5" customHeight="1">
      <c r="B358" s="255"/>
      <c r="C358" s="255"/>
      <c r="D358" s="257"/>
      <c r="E358" s="257"/>
      <c r="F358" s="257"/>
      <c r="G358" s="252"/>
      <c r="H358" s="252"/>
      <c r="I358" s="252"/>
      <c r="J358" s="252"/>
      <c r="K358" s="252"/>
      <c r="L358" s="252"/>
      <c r="M358" s="253"/>
      <c r="N358" s="253"/>
      <c r="O358" s="258"/>
      <c r="P358" s="258"/>
      <c r="Q358" s="258"/>
      <c r="R358" s="258"/>
      <c r="S358" s="258"/>
      <c r="T358" s="258"/>
      <c r="U358" s="258"/>
      <c r="V358" s="258"/>
      <c r="W358" s="258"/>
      <c r="X358" s="258"/>
      <c r="Y358" s="258"/>
      <c r="Z358" s="258"/>
      <c r="AA358" s="258"/>
      <c r="AB358" s="258"/>
      <c r="AC358" s="407"/>
    </row>
    <row r="359" spans="2:29" s="406" customFormat="1" ht="16.5" customHeight="1">
      <c r="B359" s="255"/>
      <c r="C359" s="255"/>
      <c r="D359" s="257"/>
      <c r="E359" s="257"/>
      <c r="F359" s="257"/>
      <c r="G359" s="252"/>
      <c r="H359" s="252"/>
      <c r="I359" s="252"/>
      <c r="J359" s="252"/>
      <c r="K359" s="252"/>
      <c r="L359" s="252"/>
      <c r="M359" s="253"/>
      <c r="N359" s="253"/>
      <c r="O359" s="258"/>
      <c r="P359" s="258"/>
      <c r="Q359" s="258"/>
      <c r="R359" s="258"/>
      <c r="S359" s="258"/>
      <c r="T359" s="258"/>
      <c r="U359" s="258"/>
      <c r="V359" s="258"/>
      <c r="W359" s="258"/>
      <c r="X359" s="258"/>
      <c r="Y359" s="258"/>
      <c r="Z359" s="258"/>
      <c r="AA359" s="258"/>
      <c r="AB359" s="258"/>
      <c r="AC359" s="407"/>
    </row>
    <row r="360" spans="2:29" s="406" customFormat="1" ht="16.5" customHeight="1">
      <c r="B360" s="255"/>
      <c r="C360" s="255"/>
      <c r="D360" s="257"/>
      <c r="E360" s="257"/>
      <c r="F360" s="257"/>
      <c r="G360" s="252"/>
      <c r="H360" s="252"/>
      <c r="I360" s="252"/>
      <c r="J360" s="252"/>
      <c r="K360" s="252"/>
      <c r="L360" s="252"/>
      <c r="M360" s="253"/>
      <c r="N360" s="253"/>
      <c r="O360" s="258"/>
      <c r="P360" s="258"/>
      <c r="Q360" s="258"/>
      <c r="R360" s="258"/>
      <c r="S360" s="258"/>
      <c r="T360" s="258"/>
      <c r="U360" s="258"/>
      <c r="V360" s="258"/>
      <c r="W360" s="258"/>
      <c r="X360" s="258"/>
      <c r="Y360" s="258"/>
      <c r="Z360" s="258"/>
      <c r="AA360" s="258"/>
      <c r="AB360" s="258"/>
      <c r="AC360" s="407"/>
    </row>
    <row r="361" spans="2:29" s="406" customFormat="1" ht="16.5" customHeight="1">
      <c r="B361" s="255"/>
      <c r="C361" s="255"/>
      <c r="D361" s="257"/>
      <c r="E361" s="257"/>
      <c r="F361" s="257"/>
      <c r="G361" s="252"/>
      <c r="H361" s="252"/>
      <c r="I361" s="252"/>
      <c r="J361" s="252"/>
      <c r="K361" s="252"/>
      <c r="L361" s="252"/>
      <c r="M361" s="253"/>
      <c r="N361" s="253"/>
      <c r="O361" s="258"/>
      <c r="P361" s="258"/>
      <c r="Q361" s="258"/>
      <c r="R361" s="258"/>
      <c r="S361" s="258"/>
      <c r="T361" s="258"/>
      <c r="U361" s="258"/>
      <c r="V361" s="258"/>
      <c r="W361" s="258"/>
      <c r="X361" s="258"/>
      <c r="Y361" s="258"/>
      <c r="Z361" s="258"/>
      <c r="AA361" s="258"/>
      <c r="AB361" s="258"/>
      <c r="AC361" s="407"/>
    </row>
    <row r="362" spans="2:29" s="406" customFormat="1" ht="16.5" customHeight="1">
      <c r="B362" s="255"/>
      <c r="C362" s="255"/>
      <c r="D362" s="257"/>
      <c r="E362" s="257"/>
      <c r="F362" s="257"/>
      <c r="G362" s="252"/>
      <c r="H362" s="252"/>
      <c r="I362" s="252"/>
      <c r="J362" s="252"/>
      <c r="K362" s="252"/>
      <c r="L362" s="252"/>
      <c r="M362" s="253"/>
      <c r="N362" s="253"/>
      <c r="O362" s="258"/>
      <c r="P362" s="258"/>
      <c r="Q362" s="258"/>
      <c r="R362" s="258"/>
      <c r="S362" s="258"/>
      <c r="T362" s="258"/>
      <c r="U362" s="258"/>
      <c r="V362" s="258"/>
      <c r="W362" s="258"/>
      <c r="X362" s="258"/>
      <c r="Y362" s="258"/>
      <c r="Z362" s="258"/>
      <c r="AA362" s="258"/>
      <c r="AB362" s="258"/>
      <c r="AC362" s="407"/>
    </row>
    <row r="363" spans="2:29" s="406" customFormat="1" ht="16.5" customHeight="1">
      <c r="B363" s="255"/>
      <c r="C363" s="255"/>
      <c r="D363" s="257"/>
      <c r="E363" s="257"/>
      <c r="F363" s="257"/>
      <c r="G363" s="252"/>
      <c r="H363" s="252"/>
      <c r="I363" s="252"/>
      <c r="J363" s="252"/>
      <c r="K363" s="252"/>
      <c r="L363" s="252"/>
      <c r="M363" s="253"/>
      <c r="N363" s="253"/>
      <c r="O363" s="258"/>
      <c r="P363" s="258"/>
      <c r="Q363" s="258"/>
      <c r="R363" s="258"/>
      <c r="S363" s="258"/>
      <c r="T363" s="258"/>
      <c r="U363" s="258"/>
      <c r="V363" s="258"/>
      <c r="W363" s="258"/>
      <c r="X363" s="258"/>
      <c r="Y363" s="258"/>
      <c r="Z363" s="258"/>
      <c r="AA363" s="258"/>
      <c r="AB363" s="258"/>
      <c r="AC363" s="407"/>
    </row>
    <row r="364" spans="2:29" s="406" customFormat="1" ht="16.5" customHeight="1">
      <c r="B364" s="255"/>
      <c r="C364" s="255"/>
      <c r="D364" s="257"/>
      <c r="E364" s="257"/>
      <c r="F364" s="257"/>
      <c r="G364" s="252"/>
      <c r="H364" s="252"/>
      <c r="I364" s="252"/>
      <c r="J364" s="252"/>
      <c r="K364" s="252"/>
      <c r="L364" s="252"/>
      <c r="M364" s="253"/>
      <c r="N364" s="253"/>
      <c r="O364" s="258"/>
      <c r="P364" s="258"/>
      <c r="Q364" s="258"/>
      <c r="R364" s="258"/>
      <c r="S364" s="258"/>
      <c r="T364" s="258"/>
      <c r="U364" s="258"/>
      <c r="V364" s="258"/>
      <c r="W364" s="258"/>
      <c r="X364" s="258"/>
      <c r="Y364" s="258"/>
      <c r="Z364" s="258"/>
      <c r="AA364" s="258"/>
      <c r="AB364" s="258"/>
      <c r="AC364" s="407"/>
    </row>
    <row r="365" spans="2:29" s="406" customFormat="1" ht="16.5" customHeight="1">
      <c r="B365" s="255"/>
      <c r="C365" s="255"/>
      <c r="D365" s="257"/>
      <c r="E365" s="257"/>
      <c r="F365" s="257"/>
      <c r="G365" s="252"/>
      <c r="H365" s="252"/>
      <c r="I365" s="252"/>
      <c r="J365" s="252"/>
      <c r="K365" s="252"/>
      <c r="L365" s="252"/>
      <c r="M365" s="253"/>
      <c r="N365" s="253"/>
      <c r="O365" s="258"/>
      <c r="P365" s="258"/>
      <c r="Q365" s="258"/>
      <c r="R365" s="258"/>
      <c r="S365" s="258"/>
      <c r="T365" s="258"/>
      <c r="U365" s="258"/>
      <c r="V365" s="258"/>
      <c r="W365" s="258"/>
      <c r="X365" s="258"/>
      <c r="Y365" s="258"/>
      <c r="Z365" s="258"/>
      <c r="AA365" s="258"/>
      <c r="AB365" s="258"/>
      <c r="AC365" s="407"/>
    </row>
    <row r="366" spans="2:29" s="406" customFormat="1" ht="16.5" customHeight="1">
      <c r="B366" s="255"/>
      <c r="C366" s="255"/>
      <c r="D366" s="257"/>
      <c r="E366" s="257"/>
      <c r="F366" s="257"/>
      <c r="G366" s="252"/>
      <c r="H366" s="252"/>
      <c r="I366" s="252"/>
      <c r="J366" s="252"/>
      <c r="K366" s="252"/>
      <c r="L366" s="252"/>
      <c r="M366" s="253"/>
      <c r="N366" s="253"/>
      <c r="O366" s="258"/>
      <c r="P366" s="258"/>
      <c r="Q366" s="258"/>
      <c r="R366" s="258"/>
      <c r="S366" s="258"/>
      <c r="T366" s="258"/>
      <c r="U366" s="258"/>
      <c r="V366" s="258"/>
      <c r="W366" s="258"/>
      <c r="X366" s="258"/>
      <c r="Y366" s="258"/>
      <c r="Z366" s="258"/>
      <c r="AA366" s="258"/>
      <c r="AB366" s="258"/>
      <c r="AC366" s="407"/>
    </row>
    <row r="367" spans="2:29" s="406" customFormat="1" ht="16.5" customHeight="1">
      <c r="B367" s="255"/>
      <c r="C367" s="255"/>
      <c r="D367" s="257"/>
      <c r="E367" s="257"/>
      <c r="F367" s="257"/>
      <c r="G367" s="252"/>
      <c r="H367" s="252"/>
      <c r="I367" s="252"/>
      <c r="J367" s="252"/>
      <c r="K367" s="252"/>
      <c r="L367" s="252"/>
      <c r="M367" s="253"/>
      <c r="N367" s="253"/>
      <c r="O367" s="258"/>
      <c r="P367" s="258"/>
      <c r="Q367" s="258"/>
      <c r="R367" s="258"/>
      <c r="S367" s="258"/>
      <c r="T367" s="258"/>
      <c r="U367" s="258"/>
      <c r="V367" s="258"/>
      <c r="W367" s="258"/>
      <c r="X367" s="258"/>
      <c r="Y367" s="258"/>
      <c r="Z367" s="258"/>
      <c r="AA367" s="258"/>
      <c r="AB367" s="258"/>
      <c r="AC367" s="407"/>
    </row>
    <row r="368" spans="2:29" s="406" customFormat="1" ht="16.5" customHeight="1">
      <c r="B368" s="255"/>
      <c r="C368" s="255"/>
      <c r="D368" s="257"/>
      <c r="E368" s="257"/>
      <c r="F368" s="257"/>
      <c r="G368" s="252"/>
      <c r="H368" s="252"/>
      <c r="I368" s="252"/>
      <c r="J368" s="252"/>
      <c r="K368" s="252"/>
      <c r="L368" s="252"/>
      <c r="M368" s="253"/>
      <c r="N368" s="253"/>
      <c r="O368" s="258"/>
      <c r="P368" s="258"/>
      <c r="Q368" s="258"/>
      <c r="R368" s="258"/>
      <c r="S368" s="258"/>
      <c r="T368" s="258"/>
      <c r="U368" s="258"/>
      <c r="V368" s="258"/>
      <c r="W368" s="258"/>
      <c r="X368" s="258"/>
      <c r="Y368" s="258"/>
      <c r="Z368" s="258"/>
      <c r="AA368" s="258"/>
      <c r="AB368" s="258"/>
      <c r="AC368" s="407"/>
    </row>
    <row r="369" spans="2:29" s="406" customFormat="1" ht="16.5" customHeight="1">
      <c r="B369" s="255"/>
      <c r="C369" s="255"/>
      <c r="D369" s="257"/>
      <c r="E369" s="257"/>
      <c r="F369" s="257"/>
      <c r="G369" s="252"/>
      <c r="H369" s="252"/>
      <c r="I369" s="252"/>
      <c r="J369" s="252"/>
      <c r="K369" s="252"/>
      <c r="L369" s="252"/>
      <c r="M369" s="253"/>
      <c r="N369" s="253"/>
      <c r="O369" s="258"/>
      <c r="P369" s="258"/>
      <c r="Q369" s="258"/>
      <c r="R369" s="258"/>
      <c r="S369" s="258"/>
      <c r="T369" s="258"/>
      <c r="U369" s="258"/>
      <c r="V369" s="258"/>
      <c r="W369" s="258"/>
      <c r="X369" s="258"/>
      <c r="Y369" s="258"/>
      <c r="Z369" s="258"/>
      <c r="AA369" s="258"/>
      <c r="AB369" s="258"/>
      <c r="AC369" s="407"/>
    </row>
    <row r="370" spans="2:29" s="406" customFormat="1" ht="16.5" customHeight="1">
      <c r="B370" s="255"/>
      <c r="C370" s="255"/>
      <c r="D370" s="257"/>
      <c r="E370" s="257"/>
      <c r="F370" s="257"/>
      <c r="G370" s="252"/>
      <c r="H370" s="252"/>
      <c r="I370" s="252"/>
      <c r="J370" s="252"/>
      <c r="K370" s="252"/>
      <c r="L370" s="252"/>
      <c r="M370" s="253"/>
      <c r="N370" s="253"/>
      <c r="O370" s="258"/>
      <c r="P370" s="258"/>
      <c r="Q370" s="258"/>
      <c r="R370" s="258"/>
      <c r="S370" s="258"/>
      <c r="T370" s="258"/>
      <c r="U370" s="258"/>
      <c r="V370" s="258"/>
      <c r="W370" s="258"/>
      <c r="X370" s="258"/>
      <c r="Y370" s="258"/>
      <c r="Z370" s="258"/>
      <c r="AA370" s="258"/>
      <c r="AB370" s="258"/>
      <c r="AC370" s="407"/>
    </row>
    <row r="371" spans="2:29" s="406" customFormat="1" ht="16.5" customHeight="1">
      <c r="B371" s="255"/>
      <c r="C371" s="255"/>
      <c r="D371" s="257"/>
      <c r="E371" s="257"/>
      <c r="F371" s="257"/>
      <c r="G371" s="252"/>
      <c r="H371" s="252"/>
      <c r="I371" s="252"/>
      <c r="J371" s="252"/>
      <c r="K371" s="252"/>
      <c r="L371" s="252"/>
      <c r="M371" s="253"/>
      <c r="N371" s="253"/>
      <c r="O371" s="258"/>
      <c r="P371" s="258"/>
      <c r="Q371" s="258"/>
      <c r="R371" s="258"/>
      <c r="S371" s="258"/>
      <c r="T371" s="258"/>
      <c r="U371" s="258"/>
      <c r="V371" s="258"/>
      <c r="W371" s="258"/>
      <c r="X371" s="258"/>
      <c r="Y371" s="258"/>
      <c r="Z371" s="258"/>
      <c r="AA371" s="258"/>
      <c r="AB371" s="258"/>
      <c r="AC371" s="407"/>
    </row>
    <row r="372" spans="2:29" s="406" customFormat="1" ht="16.5" customHeight="1">
      <c r="B372" s="255"/>
      <c r="C372" s="255"/>
      <c r="D372" s="257"/>
      <c r="E372" s="257"/>
      <c r="F372" s="257"/>
      <c r="G372" s="252"/>
      <c r="H372" s="252"/>
      <c r="I372" s="252"/>
      <c r="J372" s="252"/>
      <c r="K372" s="252"/>
      <c r="L372" s="252"/>
      <c r="M372" s="253"/>
      <c r="N372" s="253"/>
      <c r="O372" s="258"/>
      <c r="P372" s="258"/>
      <c r="Q372" s="258"/>
      <c r="R372" s="258"/>
      <c r="S372" s="258"/>
      <c r="T372" s="258"/>
      <c r="U372" s="258"/>
      <c r="V372" s="258"/>
      <c r="W372" s="258"/>
      <c r="X372" s="258"/>
      <c r="Y372" s="258"/>
      <c r="Z372" s="258"/>
      <c r="AA372" s="258"/>
      <c r="AB372" s="258"/>
      <c r="AC372" s="407"/>
    </row>
    <row r="373" spans="2:29" s="406" customFormat="1" ht="16.5" customHeight="1">
      <c r="B373" s="255"/>
      <c r="C373" s="255"/>
      <c r="D373" s="257"/>
      <c r="E373" s="257"/>
      <c r="F373" s="257"/>
      <c r="G373" s="252"/>
      <c r="H373" s="252"/>
      <c r="I373" s="252"/>
      <c r="J373" s="252"/>
      <c r="K373" s="252"/>
      <c r="L373" s="252"/>
      <c r="M373" s="253"/>
      <c r="N373" s="253"/>
      <c r="O373" s="258"/>
      <c r="P373" s="258"/>
      <c r="Q373" s="258"/>
      <c r="R373" s="258"/>
      <c r="S373" s="258"/>
      <c r="T373" s="258"/>
      <c r="U373" s="258"/>
      <c r="V373" s="258"/>
      <c r="W373" s="258"/>
      <c r="X373" s="258"/>
      <c r="Y373" s="258"/>
      <c r="Z373" s="258"/>
      <c r="AA373" s="258"/>
      <c r="AB373" s="258"/>
      <c r="AC373" s="407"/>
    </row>
    <row r="374" spans="2:29" s="406" customFormat="1" ht="16.5" customHeight="1">
      <c r="B374" s="255"/>
      <c r="C374" s="255"/>
      <c r="D374" s="257"/>
      <c r="E374" s="257"/>
      <c r="F374" s="257"/>
      <c r="G374" s="252"/>
      <c r="H374" s="252"/>
      <c r="I374" s="252"/>
      <c r="J374" s="252"/>
      <c r="K374" s="252"/>
      <c r="L374" s="252"/>
      <c r="M374" s="253"/>
      <c r="N374" s="253"/>
      <c r="O374" s="258"/>
      <c r="P374" s="258"/>
      <c r="Q374" s="258"/>
      <c r="R374" s="258"/>
      <c r="S374" s="258"/>
      <c r="T374" s="258"/>
      <c r="U374" s="258"/>
      <c r="V374" s="258"/>
      <c r="W374" s="258"/>
      <c r="X374" s="258"/>
      <c r="Y374" s="258"/>
      <c r="Z374" s="258"/>
      <c r="AA374" s="258"/>
      <c r="AB374" s="258"/>
      <c r="AC374" s="407"/>
    </row>
    <row r="375" spans="2:29" s="406" customFormat="1" ht="16.5" customHeight="1">
      <c r="B375" s="255"/>
      <c r="C375" s="255"/>
      <c r="D375" s="257"/>
      <c r="E375" s="257"/>
      <c r="F375" s="257"/>
      <c r="G375" s="252"/>
      <c r="H375" s="252"/>
      <c r="I375" s="252"/>
      <c r="J375" s="252"/>
      <c r="K375" s="252"/>
      <c r="L375" s="252"/>
      <c r="M375" s="253"/>
      <c r="N375" s="253"/>
      <c r="O375" s="258"/>
      <c r="P375" s="258"/>
      <c r="Q375" s="258"/>
      <c r="R375" s="258"/>
      <c r="S375" s="258"/>
      <c r="T375" s="258"/>
      <c r="U375" s="258"/>
      <c r="V375" s="258"/>
      <c r="W375" s="258"/>
      <c r="X375" s="258"/>
      <c r="Y375" s="258"/>
      <c r="Z375" s="258"/>
      <c r="AA375" s="258"/>
      <c r="AB375" s="258"/>
      <c r="AC375" s="407"/>
    </row>
    <row r="376" spans="2:29" s="406" customFormat="1" ht="16.5" customHeight="1">
      <c r="B376" s="255"/>
      <c r="C376" s="255"/>
      <c r="D376" s="257"/>
      <c r="E376" s="257"/>
      <c r="F376" s="257"/>
      <c r="G376" s="252"/>
      <c r="H376" s="252"/>
      <c r="I376" s="252"/>
      <c r="J376" s="252"/>
      <c r="K376" s="252"/>
      <c r="L376" s="252"/>
      <c r="M376" s="253"/>
      <c r="N376" s="253"/>
      <c r="O376" s="258"/>
      <c r="P376" s="258"/>
      <c r="Q376" s="258"/>
      <c r="R376" s="258"/>
      <c r="S376" s="258"/>
      <c r="T376" s="258"/>
      <c r="U376" s="258"/>
      <c r="V376" s="258"/>
      <c r="W376" s="258"/>
      <c r="X376" s="258"/>
      <c r="Y376" s="258"/>
      <c r="Z376" s="258"/>
      <c r="AA376" s="258"/>
      <c r="AB376" s="258"/>
      <c r="AC376" s="407"/>
    </row>
    <row r="377" spans="2:29" s="406" customFormat="1" ht="16.5" customHeight="1">
      <c r="B377" s="255"/>
      <c r="C377" s="255"/>
      <c r="D377" s="257"/>
      <c r="E377" s="257"/>
      <c r="F377" s="257"/>
      <c r="G377" s="252"/>
      <c r="H377" s="252"/>
      <c r="I377" s="252"/>
      <c r="J377" s="252"/>
      <c r="K377" s="252"/>
      <c r="L377" s="252"/>
      <c r="M377" s="253"/>
      <c r="N377" s="253"/>
      <c r="O377" s="258"/>
      <c r="P377" s="258"/>
      <c r="Q377" s="258"/>
      <c r="R377" s="258"/>
      <c r="S377" s="258"/>
      <c r="T377" s="258"/>
      <c r="U377" s="258"/>
      <c r="V377" s="258"/>
      <c r="W377" s="258"/>
      <c r="X377" s="258"/>
      <c r="Y377" s="258"/>
      <c r="Z377" s="258"/>
      <c r="AA377" s="258"/>
      <c r="AB377" s="258"/>
      <c r="AC377" s="407"/>
    </row>
    <row r="378" spans="2:29" s="406" customFormat="1" ht="16.5" customHeight="1">
      <c r="B378" s="255"/>
      <c r="C378" s="255"/>
      <c r="D378" s="257"/>
      <c r="E378" s="257"/>
      <c r="F378" s="257"/>
      <c r="G378" s="252"/>
      <c r="H378" s="252"/>
      <c r="I378" s="252"/>
      <c r="J378" s="252"/>
      <c r="K378" s="252"/>
      <c r="L378" s="252"/>
      <c r="M378" s="253"/>
      <c r="N378" s="253"/>
      <c r="O378" s="258"/>
      <c r="P378" s="258"/>
      <c r="Q378" s="258"/>
      <c r="R378" s="258"/>
      <c r="S378" s="258"/>
      <c r="T378" s="258"/>
      <c r="U378" s="258"/>
      <c r="V378" s="258"/>
      <c r="W378" s="258"/>
      <c r="X378" s="258"/>
      <c r="Y378" s="258"/>
      <c r="Z378" s="258"/>
      <c r="AA378" s="258"/>
      <c r="AB378" s="258"/>
      <c r="AC378" s="407"/>
    </row>
    <row r="379" spans="2:29" s="406" customFormat="1" ht="16.5" customHeight="1">
      <c r="B379" s="255"/>
      <c r="C379" s="255"/>
      <c r="D379" s="257"/>
      <c r="E379" s="257"/>
      <c r="F379" s="257"/>
      <c r="G379" s="252"/>
      <c r="H379" s="252"/>
      <c r="I379" s="252"/>
      <c r="J379" s="252"/>
      <c r="K379" s="252"/>
      <c r="L379" s="252"/>
      <c r="M379" s="253"/>
      <c r="N379" s="253"/>
      <c r="O379" s="258"/>
      <c r="P379" s="258"/>
      <c r="Q379" s="258"/>
      <c r="R379" s="258"/>
      <c r="S379" s="258"/>
      <c r="T379" s="258"/>
      <c r="U379" s="258"/>
      <c r="V379" s="258"/>
      <c r="W379" s="258"/>
      <c r="X379" s="258"/>
      <c r="Y379" s="258"/>
      <c r="Z379" s="258"/>
      <c r="AA379" s="258"/>
      <c r="AB379" s="258"/>
      <c r="AC379" s="407"/>
    </row>
    <row r="380" spans="2:29" s="406" customFormat="1" ht="16.5" customHeight="1">
      <c r="B380" s="255"/>
      <c r="C380" s="255"/>
      <c r="D380" s="257"/>
      <c r="E380" s="257"/>
      <c r="F380" s="257"/>
      <c r="G380" s="252"/>
      <c r="H380" s="252"/>
      <c r="I380" s="252"/>
      <c r="J380" s="252"/>
      <c r="K380" s="252"/>
      <c r="L380" s="252"/>
      <c r="M380" s="253"/>
      <c r="N380" s="253"/>
      <c r="O380" s="258"/>
      <c r="P380" s="258"/>
      <c r="Q380" s="258"/>
      <c r="R380" s="258"/>
      <c r="S380" s="258"/>
      <c r="T380" s="258"/>
      <c r="U380" s="258"/>
      <c r="V380" s="258"/>
      <c r="W380" s="258"/>
      <c r="X380" s="258"/>
      <c r="Y380" s="258"/>
      <c r="Z380" s="258"/>
      <c r="AA380" s="258"/>
      <c r="AB380" s="258"/>
      <c r="AC380" s="407"/>
    </row>
    <row r="381" spans="2:29" s="406" customFormat="1" ht="16.5" customHeight="1">
      <c r="B381" s="255"/>
      <c r="C381" s="255"/>
      <c r="D381" s="257"/>
      <c r="E381" s="257"/>
      <c r="F381" s="257"/>
      <c r="G381" s="252"/>
      <c r="H381" s="252"/>
      <c r="I381" s="252"/>
      <c r="J381" s="252"/>
      <c r="K381" s="252"/>
      <c r="L381" s="252"/>
      <c r="M381" s="253"/>
      <c r="N381" s="253"/>
      <c r="O381" s="258"/>
      <c r="P381" s="258"/>
      <c r="Q381" s="258"/>
      <c r="R381" s="258"/>
      <c r="S381" s="258"/>
      <c r="T381" s="258"/>
      <c r="U381" s="258"/>
      <c r="V381" s="258"/>
      <c r="W381" s="258"/>
      <c r="X381" s="258"/>
      <c r="Y381" s="258"/>
      <c r="Z381" s="258"/>
      <c r="AA381" s="258"/>
      <c r="AB381" s="258"/>
      <c r="AC381" s="407"/>
    </row>
    <row r="382" spans="2:29" s="406" customFormat="1" ht="16.5" customHeight="1">
      <c r="B382" s="255"/>
      <c r="C382" s="255"/>
      <c r="D382" s="257"/>
      <c r="E382" s="257"/>
      <c r="F382" s="257"/>
      <c r="G382" s="252"/>
      <c r="H382" s="252"/>
      <c r="I382" s="252"/>
      <c r="J382" s="252"/>
      <c r="K382" s="252"/>
      <c r="L382" s="252"/>
      <c r="M382" s="253"/>
      <c r="N382" s="253"/>
      <c r="O382" s="258"/>
      <c r="P382" s="258"/>
      <c r="Q382" s="258"/>
      <c r="R382" s="258"/>
      <c r="S382" s="258"/>
      <c r="T382" s="258"/>
      <c r="U382" s="258"/>
      <c r="V382" s="258"/>
      <c r="W382" s="258"/>
      <c r="X382" s="258"/>
      <c r="Y382" s="258"/>
      <c r="Z382" s="258"/>
      <c r="AA382" s="258"/>
      <c r="AB382" s="258"/>
      <c r="AC382" s="407"/>
    </row>
    <row r="383" spans="2:29" s="406" customFormat="1" ht="16.5" customHeight="1">
      <c r="B383" s="255"/>
      <c r="C383" s="255"/>
      <c r="D383" s="257"/>
      <c r="E383" s="257"/>
      <c r="F383" s="257"/>
      <c r="G383" s="252"/>
      <c r="H383" s="252"/>
      <c r="I383" s="252"/>
      <c r="J383" s="252"/>
      <c r="K383" s="252"/>
      <c r="L383" s="252"/>
      <c r="M383" s="253"/>
      <c r="N383" s="253"/>
      <c r="O383" s="258"/>
      <c r="P383" s="258"/>
      <c r="Q383" s="258"/>
      <c r="R383" s="258"/>
      <c r="S383" s="258"/>
      <c r="T383" s="258"/>
      <c r="U383" s="258"/>
      <c r="V383" s="258"/>
      <c r="W383" s="258"/>
      <c r="X383" s="258"/>
      <c r="Y383" s="258"/>
      <c r="Z383" s="258"/>
      <c r="AA383" s="258"/>
      <c r="AB383" s="258"/>
      <c r="AC383" s="407"/>
    </row>
    <row r="384" spans="2:29" s="406" customFormat="1" ht="16.5" customHeight="1">
      <c r="B384" s="255"/>
      <c r="C384" s="255"/>
      <c r="D384" s="257"/>
      <c r="E384" s="257"/>
      <c r="F384" s="257"/>
      <c r="G384" s="252"/>
      <c r="H384" s="252"/>
      <c r="I384" s="252"/>
      <c r="J384" s="252"/>
      <c r="K384" s="252"/>
      <c r="L384" s="252"/>
      <c r="M384" s="253"/>
      <c r="N384" s="253"/>
      <c r="O384" s="258"/>
      <c r="P384" s="258"/>
      <c r="Q384" s="258"/>
      <c r="R384" s="258"/>
      <c r="S384" s="258"/>
      <c r="T384" s="258"/>
      <c r="U384" s="258"/>
      <c r="V384" s="258"/>
      <c r="W384" s="258"/>
      <c r="X384" s="258"/>
      <c r="Y384" s="258"/>
      <c r="Z384" s="258"/>
      <c r="AA384" s="258"/>
      <c r="AB384" s="258"/>
      <c r="AC384" s="407"/>
    </row>
    <row r="385" spans="2:29" s="406" customFormat="1" ht="16.5" customHeight="1">
      <c r="B385" s="255"/>
      <c r="C385" s="255"/>
      <c r="D385" s="257"/>
      <c r="E385" s="257"/>
      <c r="F385" s="257"/>
      <c r="G385" s="252"/>
      <c r="H385" s="252"/>
      <c r="I385" s="252"/>
      <c r="J385" s="252"/>
      <c r="K385" s="252"/>
      <c r="L385" s="252"/>
      <c r="M385" s="253"/>
      <c r="N385" s="253"/>
      <c r="O385" s="258"/>
      <c r="P385" s="258"/>
      <c r="Q385" s="258"/>
      <c r="R385" s="258"/>
      <c r="S385" s="258"/>
      <c r="T385" s="258"/>
      <c r="U385" s="258"/>
      <c r="V385" s="258"/>
      <c r="W385" s="258"/>
      <c r="X385" s="258"/>
      <c r="Y385" s="258"/>
      <c r="Z385" s="258"/>
      <c r="AA385" s="258"/>
      <c r="AB385" s="258"/>
      <c r="AC385" s="407"/>
    </row>
    <row r="386" spans="2:29" s="406" customFormat="1" ht="16.5" customHeight="1">
      <c r="B386" s="255"/>
      <c r="C386" s="255"/>
      <c r="D386" s="257"/>
      <c r="E386" s="257"/>
      <c r="F386" s="257"/>
      <c r="G386" s="252"/>
      <c r="H386" s="252"/>
      <c r="I386" s="252"/>
      <c r="J386" s="252"/>
      <c r="K386" s="252"/>
      <c r="L386" s="252"/>
      <c r="M386" s="253"/>
      <c r="N386" s="253"/>
      <c r="O386" s="258"/>
      <c r="P386" s="258"/>
      <c r="Q386" s="258"/>
      <c r="R386" s="258"/>
      <c r="S386" s="258"/>
      <c r="T386" s="258"/>
      <c r="U386" s="258"/>
      <c r="V386" s="258"/>
      <c r="W386" s="258"/>
      <c r="X386" s="258"/>
      <c r="Y386" s="258"/>
      <c r="Z386" s="258"/>
      <c r="AA386" s="258"/>
      <c r="AB386" s="258"/>
      <c r="AC386" s="407"/>
    </row>
    <row r="387" spans="2:29" s="406" customFormat="1" ht="16.5" customHeight="1">
      <c r="B387" s="255"/>
      <c r="C387" s="255"/>
      <c r="D387" s="257"/>
      <c r="E387" s="257"/>
      <c r="F387" s="257"/>
      <c r="G387" s="252"/>
      <c r="H387" s="252"/>
      <c r="I387" s="252"/>
      <c r="J387" s="252"/>
      <c r="K387" s="252"/>
      <c r="L387" s="252"/>
      <c r="M387" s="253"/>
      <c r="N387" s="253"/>
      <c r="O387" s="258"/>
      <c r="P387" s="258"/>
      <c r="Q387" s="258"/>
      <c r="R387" s="258"/>
      <c r="S387" s="258"/>
      <c r="T387" s="258"/>
      <c r="U387" s="258"/>
      <c r="V387" s="258"/>
      <c r="W387" s="258"/>
      <c r="X387" s="258"/>
      <c r="Y387" s="258"/>
      <c r="Z387" s="258"/>
      <c r="AA387" s="258"/>
      <c r="AB387" s="258"/>
      <c r="AC387" s="407"/>
    </row>
    <row r="388" spans="2:29" s="406" customFormat="1" ht="16.5" customHeight="1">
      <c r="B388" s="255"/>
      <c r="C388" s="255"/>
      <c r="D388" s="257"/>
      <c r="E388" s="257"/>
      <c r="F388" s="257"/>
      <c r="G388" s="252"/>
      <c r="H388" s="252"/>
      <c r="I388" s="252"/>
      <c r="J388" s="252"/>
      <c r="K388" s="252"/>
      <c r="L388" s="252"/>
      <c r="M388" s="253"/>
      <c r="N388" s="253"/>
      <c r="O388" s="258"/>
      <c r="P388" s="258"/>
      <c r="Q388" s="258"/>
      <c r="R388" s="258"/>
      <c r="S388" s="258"/>
      <c r="T388" s="258"/>
      <c r="U388" s="258"/>
      <c r="V388" s="258"/>
      <c r="W388" s="258"/>
      <c r="X388" s="258"/>
      <c r="Y388" s="258"/>
      <c r="Z388" s="258"/>
      <c r="AA388" s="258"/>
      <c r="AB388" s="258"/>
      <c r="AC388" s="407"/>
    </row>
    <row r="389" spans="2:29" s="406" customFormat="1" ht="16.5" customHeight="1">
      <c r="B389" s="255"/>
      <c r="C389" s="255"/>
      <c r="D389" s="257"/>
      <c r="E389" s="257"/>
      <c r="F389" s="257"/>
      <c r="G389" s="252"/>
      <c r="H389" s="252"/>
      <c r="I389" s="252"/>
      <c r="J389" s="252"/>
      <c r="K389" s="252"/>
      <c r="L389" s="252"/>
      <c r="M389" s="253"/>
      <c r="N389" s="253"/>
      <c r="O389" s="258"/>
      <c r="P389" s="258"/>
      <c r="Q389" s="258"/>
      <c r="R389" s="258"/>
      <c r="S389" s="258"/>
      <c r="T389" s="258"/>
      <c r="U389" s="258"/>
      <c r="V389" s="258"/>
      <c r="W389" s="258"/>
      <c r="X389" s="258"/>
      <c r="Y389" s="258"/>
      <c r="Z389" s="258"/>
      <c r="AA389" s="258"/>
      <c r="AB389" s="258"/>
      <c r="AC389" s="407"/>
    </row>
    <row r="390" spans="2:29" s="406" customFormat="1" ht="16.5" customHeight="1">
      <c r="B390" s="255"/>
      <c r="C390" s="255"/>
      <c r="D390" s="257"/>
      <c r="E390" s="257"/>
      <c r="F390" s="257"/>
      <c r="G390" s="252"/>
      <c r="H390" s="252"/>
      <c r="I390" s="252"/>
      <c r="J390" s="252"/>
      <c r="K390" s="252"/>
      <c r="L390" s="252"/>
      <c r="M390" s="253"/>
      <c r="N390" s="253"/>
      <c r="O390" s="258"/>
      <c r="P390" s="258"/>
      <c r="Q390" s="258"/>
      <c r="R390" s="258"/>
      <c r="S390" s="258"/>
      <c r="T390" s="258"/>
      <c r="U390" s="258"/>
      <c r="V390" s="258"/>
      <c r="W390" s="258"/>
      <c r="X390" s="258"/>
      <c r="Y390" s="258"/>
      <c r="Z390" s="258"/>
      <c r="AA390" s="258"/>
      <c r="AB390" s="258"/>
      <c r="AC390" s="407"/>
    </row>
    <row r="391" spans="2:29" s="406" customFormat="1" ht="16.5" customHeight="1">
      <c r="B391" s="255"/>
      <c r="C391" s="255"/>
      <c r="D391" s="257"/>
      <c r="E391" s="257"/>
      <c r="F391" s="257"/>
      <c r="G391" s="252"/>
      <c r="H391" s="252"/>
      <c r="I391" s="252"/>
      <c r="J391" s="252"/>
      <c r="K391" s="252"/>
      <c r="L391" s="252"/>
      <c r="M391" s="253"/>
      <c r="N391" s="253"/>
      <c r="O391" s="258"/>
      <c r="P391" s="258"/>
      <c r="Q391" s="258"/>
      <c r="R391" s="258"/>
      <c r="S391" s="258"/>
      <c r="T391" s="258"/>
      <c r="U391" s="258"/>
      <c r="V391" s="258"/>
      <c r="W391" s="258"/>
      <c r="X391" s="258"/>
      <c r="Y391" s="258"/>
      <c r="Z391" s="258"/>
      <c r="AA391" s="258"/>
      <c r="AB391" s="258"/>
      <c r="AC391" s="407"/>
    </row>
    <row r="392" spans="2:29" s="406" customFormat="1" ht="16.5" customHeight="1">
      <c r="B392" s="255"/>
      <c r="C392" s="255"/>
      <c r="D392" s="257"/>
      <c r="E392" s="257"/>
      <c r="F392" s="257"/>
      <c r="G392" s="252"/>
      <c r="H392" s="252"/>
      <c r="I392" s="252"/>
      <c r="J392" s="252"/>
      <c r="K392" s="252"/>
      <c r="L392" s="252"/>
      <c r="M392" s="253"/>
      <c r="N392" s="253"/>
      <c r="O392" s="258"/>
      <c r="P392" s="258"/>
      <c r="Q392" s="258"/>
      <c r="R392" s="258"/>
      <c r="S392" s="258"/>
      <c r="T392" s="258"/>
      <c r="U392" s="258"/>
      <c r="V392" s="258"/>
      <c r="W392" s="258"/>
      <c r="X392" s="258"/>
      <c r="Y392" s="258"/>
      <c r="Z392" s="258"/>
      <c r="AA392" s="258"/>
      <c r="AB392" s="258"/>
      <c r="AC392" s="407"/>
    </row>
    <row r="393" spans="2:29" s="406" customFormat="1" ht="16.5" customHeight="1">
      <c r="B393" s="255"/>
      <c r="C393" s="255"/>
      <c r="D393" s="257"/>
      <c r="E393" s="257"/>
      <c r="F393" s="257"/>
      <c r="G393" s="252"/>
      <c r="H393" s="252"/>
      <c r="I393" s="252"/>
      <c r="J393" s="252"/>
      <c r="K393" s="252"/>
      <c r="L393" s="252"/>
      <c r="M393" s="253"/>
      <c r="N393" s="253"/>
      <c r="O393" s="258"/>
      <c r="P393" s="258"/>
      <c r="Q393" s="258"/>
      <c r="R393" s="258"/>
      <c r="S393" s="258"/>
      <c r="T393" s="258"/>
      <c r="U393" s="258"/>
      <c r="V393" s="258"/>
      <c r="W393" s="258"/>
      <c r="X393" s="258"/>
      <c r="Y393" s="258"/>
      <c r="Z393" s="258"/>
      <c r="AA393" s="258"/>
      <c r="AB393" s="258"/>
      <c r="AC393" s="407"/>
    </row>
    <row r="394" spans="2:29" s="406" customFormat="1" ht="16.5" customHeight="1">
      <c r="B394" s="255"/>
      <c r="C394" s="255"/>
      <c r="D394" s="257"/>
      <c r="E394" s="257"/>
      <c r="F394" s="257"/>
      <c r="G394" s="252"/>
      <c r="H394" s="252"/>
      <c r="I394" s="252"/>
      <c r="J394" s="252"/>
      <c r="K394" s="252"/>
      <c r="L394" s="252"/>
      <c r="M394" s="253"/>
      <c r="N394" s="253"/>
      <c r="O394" s="258"/>
      <c r="P394" s="258"/>
      <c r="Q394" s="258"/>
      <c r="R394" s="258"/>
      <c r="S394" s="258"/>
      <c r="T394" s="258"/>
      <c r="U394" s="258"/>
      <c r="V394" s="258"/>
      <c r="W394" s="258"/>
      <c r="X394" s="258"/>
      <c r="Y394" s="258"/>
      <c r="Z394" s="258"/>
      <c r="AA394" s="258"/>
      <c r="AB394" s="258"/>
      <c r="AC394" s="407"/>
    </row>
    <row r="395" spans="2:29" s="406" customFormat="1" ht="16.5" customHeight="1">
      <c r="B395" s="255"/>
      <c r="C395" s="255"/>
      <c r="D395" s="257"/>
      <c r="E395" s="257"/>
      <c r="F395" s="257"/>
      <c r="G395" s="252"/>
      <c r="H395" s="252"/>
      <c r="I395" s="252"/>
      <c r="J395" s="252"/>
      <c r="K395" s="252"/>
      <c r="L395" s="252"/>
      <c r="M395" s="253"/>
      <c r="N395" s="253"/>
      <c r="O395" s="258"/>
      <c r="P395" s="258"/>
      <c r="Q395" s="258"/>
      <c r="R395" s="258"/>
      <c r="S395" s="258"/>
      <c r="T395" s="258"/>
      <c r="U395" s="258"/>
      <c r="V395" s="258"/>
      <c r="W395" s="258"/>
      <c r="X395" s="258"/>
      <c r="Y395" s="258"/>
      <c r="Z395" s="258"/>
      <c r="AA395" s="258"/>
      <c r="AB395" s="258"/>
      <c r="AC395" s="407"/>
    </row>
    <row r="396" spans="2:29" s="406" customFormat="1" ht="16.5" customHeight="1">
      <c r="B396" s="255"/>
      <c r="C396" s="255"/>
      <c r="D396" s="257"/>
      <c r="E396" s="257"/>
      <c r="F396" s="257"/>
      <c r="G396" s="252"/>
      <c r="H396" s="252"/>
      <c r="I396" s="252"/>
      <c r="J396" s="252"/>
      <c r="K396" s="252"/>
      <c r="L396" s="252"/>
      <c r="M396" s="253"/>
      <c r="N396" s="253"/>
      <c r="O396" s="258"/>
      <c r="P396" s="258"/>
      <c r="Q396" s="258"/>
      <c r="R396" s="258"/>
      <c r="S396" s="258"/>
      <c r="T396" s="258"/>
      <c r="U396" s="258"/>
      <c r="V396" s="258"/>
      <c r="W396" s="258"/>
      <c r="X396" s="258"/>
      <c r="Y396" s="258"/>
      <c r="Z396" s="258"/>
      <c r="AA396" s="258"/>
      <c r="AB396" s="258"/>
      <c r="AC396" s="407"/>
    </row>
    <row r="397" spans="2:29" s="406" customFormat="1" ht="16.5" customHeight="1">
      <c r="B397" s="255"/>
      <c r="C397" s="255"/>
      <c r="D397" s="257"/>
      <c r="E397" s="257"/>
      <c r="F397" s="257"/>
      <c r="G397" s="252"/>
      <c r="H397" s="252"/>
      <c r="I397" s="252"/>
      <c r="J397" s="252"/>
      <c r="K397" s="252"/>
      <c r="L397" s="252"/>
      <c r="M397" s="253"/>
      <c r="N397" s="253"/>
      <c r="O397" s="258"/>
      <c r="P397" s="258"/>
      <c r="Q397" s="258"/>
      <c r="R397" s="258"/>
      <c r="S397" s="258"/>
      <c r="T397" s="258"/>
      <c r="U397" s="258"/>
      <c r="V397" s="258"/>
      <c r="W397" s="258"/>
      <c r="X397" s="258"/>
      <c r="Y397" s="258"/>
      <c r="Z397" s="258"/>
      <c r="AA397" s="258"/>
      <c r="AB397" s="258"/>
      <c r="AC397" s="407"/>
    </row>
    <row r="398" spans="2:29" s="406" customFormat="1" ht="16.5" customHeight="1">
      <c r="B398" s="255"/>
      <c r="C398" s="255"/>
      <c r="D398" s="257"/>
      <c r="E398" s="257"/>
      <c r="F398" s="257"/>
      <c r="G398" s="252"/>
      <c r="H398" s="252"/>
      <c r="I398" s="252"/>
      <c r="J398" s="252"/>
      <c r="K398" s="252"/>
      <c r="L398" s="252"/>
      <c r="M398" s="253"/>
      <c r="N398" s="253"/>
      <c r="O398" s="258"/>
      <c r="P398" s="258"/>
      <c r="Q398" s="258"/>
      <c r="R398" s="258"/>
      <c r="S398" s="258"/>
      <c r="T398" s="258"/>
      <c r="U398" s="258"/>
      <c r="V398" s="258"/>
      <c r="W398" s="258"/>
      <c r="X398" s="258"/>
      <c r="Y398" s="258"/>
      <c r="Z398" s="258"/>
      <c r="AA398" s="258"/>
      <c r="AB398" s="258"/>
      <c r="AC398" s="407"/>
    </row>
    <row r="399" spans="2:29" s="406" customFormat="1" ht="16.5" customHeight="1">
      <c r="B399" s="255"/>
      <c r="C399" s="255"/>
      <c r="D399" s="257"/>
      <c r="E399" s="257"/>
      <c r="F399" s="257"/>
      <c r="G399" s="252"/>
      <c r="H399" s="252"/>
      <c r="I399" s="252"/>
      <c r="J399" s="252"/>
      <c r="K399" s="252"/>
      <c r="L399" s="252"/>
      <c r="M399" s="253"/>
      <c r="N399" s="253"/>
      <c r="O399" s="258"/>
      <c r="P399" s="258"/>
      <c r="Q399" s="258"/>
      <c r="R399" s="258"/>
      <c r="S399" s="258"/>
      <c r="T399" s="258"/>
      <c r="U399" s="258"/>
      <c r="V399" s="258"/>
      <c r="W399" s="258"/>
      <c r="X399" s="258"/>
      <c r="Y399" s="258"/>
      <c r="Z399" s="258"/>
      <c r="AA399" s="258"/>
      <c r="AB399" s="258"/>
      <c r="AC399" s="407"/>
    </row>
    <row r="400" spans="2:29" s="406" customFormat="1" ht="16.5" customHeight="1">
      <c r="B400" s="255"/>
      <c r="C400" s="255"/>
      <c r="D400" s="257"/>
      <c r="E400" s="257"/>
      <c r="F400" s="257"/>
      <c r="G400" s="252"/>
      <c r="H400" s="252"/>
      <c r="I400" s="252"/>
      <c r="J400" s="252"/>
      <c r="K400" s="252"/>
      <c r="L400" s="252"/>
      <c r="M400" s="253"/>
      <c r="N400" s="253"/>
      <c r="O400" s="258"/>
      <c r="P400" s="258"/>
      <c r="Q400" s="258"/>
      <c r="R400" s="258"/>
      <c r="S400" s="258"/>
      <c r="T400" s="258"/>
      <c r="U400" s="258"/>
      <c r="V400" s="258"/>
      <c r="W400" s="258"/>
      <c r="X400" s="258"/>
      <c r="Y400" s="258"/>
      <c r="Z400" s="258"/>
      <c r="AA400" s="258"/>
      <c r="AB400" s="258"/>
      <c r="AC400" s="407"/>
    </row>
    <row r="401" spans="2:29" s="406" customFormat="1" ht="16.5" customHeight="1">
      <c r="B401" s="255"/>
      <c r="C401" s="255"/>
      <c r="D401" s="257"/>
      <c r="E401" s="257"/>
      <c r="F401" s="257"/>
      <c r="G401" s="252"/>
      <c r="H401" s="252"/>
      <c r="I401" s="252"/>
      <c r="J401" s="252"/>
      <c r="K401" s="252"/>
      <c r="L401" s="252"/>
      <c r="M401" s="253"/>
      <c r="N401" s="253"/>
      <c r="O401" s="258"/>
      <c r="P401" s="258"/>
      <c r="Q401" s="258"/>
      <c r="R401" s="258"/>
      <c r="S401" s="258"/>
      <c r="T401" s="258"/>
      <c r="U401" s="258"/>
      <c r="V401" s="258"/>
      <c r="W401" s="258"/>
      <c r="X401" s="258"/>
      <c r="Y401" s="258"/>
      <c r="Z401" s="258"/>
      <c r="AA401" s="258"/>
      <c r="AB401" s="258"/>
      <c r="AC401" s="407"/>
    </row>
    <row r="402" spans="2:29" s="406" customFormat="1" ht="16.5" customHeight="1">
      <c r="B402" s="255"/>
      <c r="C402" s="255"/>
      <c r="D402" s="257"/>
      <c r="E402" s="257"/>
      <c r="F402" s="257"/>
      <c r="G402" s="252"/>
      <c r="H402" s="252"/>
      <c r="I402" s="252"/>
      <c r="J402" s="252"/>
      <c r="K402" s="252"/>
      <c r="L402" s="252"/>
      <c r="M402" s="253"/>
      <c r="N402" s="253"/>
      <c r="O402" s="258"/>
      <c r="P402" s="258"/>
      <c r="Q402" s="258"/>
      <c r="R402" s="258"/>
      <c r="S402" s="258"/>
      <c r="T402" s="258"/>
      <c r="U402" s="258"/>
      <c r="V402" s="258"/>
      <c r="W402" s="258"/>
      <c r="X402" s="258"/>
      <c r="Y402" s="258"/>
      <c r="Z402" s="258"/>
      <c r="AA402" s="258"/>
      <c r="AB402" s="258"/>
      <c r="AC402" s="407"/>
    </row>
    <row r="403" spans="2:29" s="406" customFormat="1" ht="16.5" customHeight="1">
      <c r="B403" s="255"/>
      <c r="C403" s="255"/>
      <c r="D403" s="257"/>
      <c r="E403" s="257"/>
      <c r="F403" s="257"/>
      <c r="G403" s="252"/>
      <c r="H403" s="252"/>
      <c r="I403" s="252"/>
      <c r="J403" s="252"/>
      <c r="K403" s="252"/>
      <c r="L403" s="252"/>
      <c r="M403" s="253"/>
      <c r="N403" s="253"/>
      <c r="O403" s="258"/>
      <c r="P403" s="258"/>
      <c r="Q403" s="258"/>
      <c r="R403" s="258"/>
      <c r="S403" s="258"/>
      <c r="T403" s="258"/>
      <c r="U403" s="258"/>
      <c r="V403" s="258"/>
      <c r="W403" s="258"/>
      <c r="X403" s="258"/>
      <c r="Y403" s="258"/>
      <c r="Z403" s="258"/>
      <c r="AA403" s="258"/>
      <c r="AB403" s="258"/>
      <c r="AC403" s="407"/>
    </row>
    <row r="404" spans="2:29" s="406" customFormat="1" ht="16.5" customHeight="1">
      <c r="B404" s="255"/>
      <c r="C404" s="255"/>
      <c r="D404" s="257"/>
      <c r="E404" s="257"/>
      <c r="F404" s="257"/>
      <c r="G404" s="252"/>
      <c r="H404" s="252"/>
      <c r="I404" s="252"/>
      <c r="J404" s="252"/>
      <c r="K404" s="252"/>
      <c r="L404" s="252"/>
      <c r="M404" s="253"/>
      <c r="N404" s="253"/>
      <c r="O404" s="258"/>
      <c r="P404" s="258"/>
      <c r="Q404" s="258"/>
      <c r="R404" s="258"/>
      <c r="S404" s="258"/>
      <c r="T404" s="258"/>
      <c r="U404" s="258"/>
      <c r="V404" s="258"/>
      <c r="W404" s="258"/>
      <c r="X404" s="258"/>
      <c r="Y404" s="258"/>
      <c r="Z404" s="258"/>
      <c r="AA404" s="258"/>
      <c r="AB404" s="258"/>
      <c r="AC404" s="407"/>
    </row>
    <row r="405" spans="2:29" s="406" customFormat="1" ht="16.5" customHeight="1">
      <c r="B405" s="255"/>
      <c r="C405" s="255"/>
      <c r="D405" s="257"/>
      <c r="E405" s="257"/>
      <c r="F405" s="257"/>
      <c r="G405" s="252"/>
      <c r="H405" s="252"/>
      <c r="I405" s="252"/>
      <c r="J405" s="252"/>
      <c r="K405" s="252"/>
      <c r="L405" s="252"/>
      <c r="M405" s="253"/>
      <c r="N405" s="253"/>
      <c r="O405" s="258"/>
      <c r="P405" s="258"/>
      <c r="Q405" s="258"/>
      <c r="R405" s="258"/>
      <c r="S405" s="258"/>
      <c r="T405" s="258"/>
      <c r="U405" s="258"/>
      <c r="V405" s="258"/>
      <c r="W405" s="258"/>
      <c r="X405" s="258"/>
      <c r="Y405" s="258"/>
      <c r="Z405" s="258"/>
      <c r="AA405" s="258"/>
      <c r="AB405" s="258"/>
      <c r="AC405" s="407"/>
    </row>
    <row r="406" spans="2:29" s="406" customFormat="1" ht="16.5" customHeight="1">
      <c r="B406" s="255"/>
      <c r="C406" s="255"/>
      <c r="D406" s="257"/>
      <c r="E406" s="257"/>
      <c r="F406" s="257"/>
      <c r="G406" s="252"/>
      <c r="H406" s="252"/>
      <c r="I406" s="252"/>
      <c r="J406" s="252"/>
      <c r="K406" s="252"/>
      <c r="L406" s="252"/>
      <c r="M406" s="253"/>
      <c r="N406" s="253"/>
      <c r="O406" s="258"/>
      <c r="P406" s="258"/>
      <c r="Q406" s="258"/>
      <c r="R406" s="258"/>
      <c r="S406" s="258"/>
      <c r="T406" s="258"/>
      <c r="U406" s="258"/>
      <c r="V406" s="258"/>
      <c r="W406" s="258"/>
      <c r="X406" s="258"/>
      <c r="Y406" s="258"/>
      <c r="Z406" s="258"/>
      <c r="AA406" s="258"/>
      <c r="AB406" s="258"/>
      <c r="AC406" s="407"/>
    </row>
    <row r="407" spans="2:29" s="406" customFormat="1" ht="16.5" customHeight="1">
      <c r="B407" s="255"/>
      <c r="C407" s="255"/>
      <c r="D407" s="257"/>
      <c r="E407" s="257"/>
      <c r="F407" s="257"/>
      <c r="G407" s="252"/>
      <c r="H407" s="252"/>
      <c r="I407" s="252"/>
      <c r="J407" s="252"/>
      <c r="K407" s="252"/>
      <c r="L407" s="252"/>
      <c r="M407" s="253"/>
      <c r="N407" s="253"/>
      <c r="O407" s="258"/>
      <c r="P407" s="258"/>
      <c r="Q407" s="258"/>
      <c r="R407" s="258"/>
      <c r="S407" s="258"/>
      <c r="T407" s="258"/>
      <c r="U407" s="258"/>
      <c r="V407" s="258"/>
      <c r="W407" s="258"/>
      <c r="X407" s="258"/>
      <c r="Y407" s="258"/>
      <c r="Z407" s="258"/>
      <c r="AA407" s="258"/>
      <c r="AB407" s="258"/>
      <c r="AC407" s="407"/>
    </row>
    <row r="408" spans="2:29" s="406" customFormat="1" ht="16.5" customHeight="1">
      <c r="B408" s="255"/>
      <c r="C408" s="255"/>
      <c r="D408" s="257"/>
      <c r="E408" s="257"/>
      <c r="F408" s="257"/>
      <c r="G408" s="252"/>
      <c r="H408" s="252"/>
      <c r="I408" s="252"/>
      <c r="J408" s="252"/>
      <c r="K408" s="252"/>
      <c r="L408" s="252"/>
      <c r="M408" s="253"/>
      <c r="N408" s="253"/>
      <c r="O408" s="258"/>
      <c r="P408" s="258"/>
      <c r="Q408" s="258"/>
      <c r="R408" s="258"/>
      <c r="S408" s="258"/>
      <c r="T408" s="258"/>
      <c r="U408" s="258"/>
      <c r="V408" s="258"/>
      <c r="W408" s="258"/>
      <c r="X408" s="258"/>
      <c r="Y408" s="258"/>
      <c r="Z408" s="258"/>
      <c r="AA408" s="258"/>
      <c r="AB408" s="258"/>
      <c r="AC408" s="407"/>
    </row>
    <row r="409" spans="2:29" s="406" customFormat="1" ht="16.5" customHeight="1">
      <c r="B409" s="255"/>
      <c r="C409" s="255"/>
      <c r="D409" s="257"/>
      <c r="E409" s="257"/>
      <c r="F409" s="257"/>
      <c r="G409" s="252"/>
      <c r="H409" s="252"/>
      <c r="I409" s="252"/>
      <c r="J409" s="252"/>
      <c r="K409" s="252"/>
      <c r="L409" s="252"/>
      <c r="M409" s="253"/>
      <c r="N409" s="253"/>
      <c r="O409" s="258"/>
      <c r="P409" s="258"/>
      <c r="Q409" s="258"/>
      <c r="R409" s="258"/>
      <c r="S409" s="258"/>
      <c r="T409" s="258"/>
      <c r="U409" s="258"/>
      <c r="V409" s="258"/>
      <c r="W409" s="258"/>
      <c r="X409" s="258"/>
      <c r="Y409" s="258"/>
      <c r="Z409" s="258"/>
      <c r="AA409" s="258"/>
      <c r="AB409" s="258"/>
      <c r="AC409" s="407"/>
    </row>
    <row r="410" spans="2:29" s="406" customFormat="1" ht="16.5" customHeight="1">
      <c r="B410" s="255"/>
      <c r="C410" s="255"/>
      <c r="D410" s="257"/>
      <c r="E410" s="257"/>
      <c r="F410" s="257"/>
      <c r="G410" s="252"/>
      <c r="H410" s="252"/>
      <c r="I410" s="252"/>
      <c r="J410" s="252"/>
      <c r="K410" s="252"/>
      <c r="L410" s="252"/>
      <c r="M410" s="253"/>
      <c r="N410" s="253"/>
      <c r="O410" s="258"/>
      <c r="P410" s="258"/>
      <c r="Q410" s="258"/>
      <c r="R410" s="258"/>
      <c r="S410" s="258"/>
      <c r="T410" s="258"/>
      <c r="U410" s="258"/>
      <c r="V410" s="258"/>
      <c r="W410" s="258"/>
      <c r="X410" s="258"/>
      <c r="Y410" s="258"/>
      <c r="Z410" s="258"/>
      <c r="AA410" s="258"/>
      <c r="AB410" s="258"/>
      <c r="AC410" s="407"/>
    </row>
    <row r="411" spans="2:29" s="406" customFormat="1" ht="16.5" customHeight="1">
      <c r="B411" s="255"/>
      <c r="C411" s="255"/>
      <c r="D411" s="257"/>
      <c r="E411" s="257"/>
      <c r="F411" s="257"/>
      <c r="G411" s="252"/>
      <c r="H411" s="252"/>
      <c r="I411" s="252"/>
      <c r="J411" s="252"/>
      <c r="K411" s="252"/>
      <c r="L411" s="252"/>
      <c r="M411" s="253"/>
      <c r="N411" s="253"/>
      <c r="O411" s="258"/>
      <c r="P411" s="258"/>
      <c r="Q411" s="258"/>
      <c r="R411" s="258"/>
      <c r="S411" s="258"/>
      <c r="T411" s="258"/>
      <c r="U411" s="258"/>
      <c r="V411" s="258"/>
      <c r="W411" s="258"/>
      <c r="X411" s="258"/>
      <c r="Y411" s="258"/>
      <c r="Z411" s="258"/>
      <c r="AA411" s="258"/>
      <c r="AB411" s="258"/>
      <c r="AC411" s="407"/>
    </row>
    <row r="412" spans="2:29" s="406" customFormat="1" ht="16.5" customHeight="1">
      <c r="B412" s="255"/>
      <c r="C412" s="255"/>
      <c r="D412" s="257"/>
      <c r="E412" s="257"/>
      <c r="F412" s="257"/>
      <c r="G412" s="252"/>
      <c r="H412" s="252"/>
      <c r="I412" s="252"/>
      <c r="J412" s="252"/>
      <c r="K412" s="252"/>
      <c r="L412" s="252"/>
      <c r="M412" s="253"/>
      <c r="N412" s="253"/>
      <c r="O412" s="258"/>
      <c r="P412" s="258"/>
      <c r="Q412" s="258"/>
      <c r="R412" s="258"/>
      <c r="S412" s="258"/>
      <c r="T412" s="258"/>
      <c r="U412" s="258"/>
      <c r="V412" s="258"/>
      <c r="W412" s="258"/>
      <c r="X412" s="258"/>
      <c r="Y412" s="258"/>
      <c r="Z412" s="258"/>
      <c r="AA412" s="258"/>
      <c r="AB412" s="258"/>
      <c r="AC412" s="407"/>
    </row>
    <row r="413" spans="2:29" s="406" customFormat="1" ht="16.5" customHeight="1">
      <c r="B413" s="255"/>
      <c r="C413" s="255"/>
      <c r="D413" s="257"/>
      <c r="E413" s="257"/>
      <c r="F413" s="257"/>
      <c r="G413" s="252"/>
      <c r="H413" s="252"/>
      <c r="I413" s="252"/>
      <c r="J413" s="252"/>
      <c r="K413" s="252"/>
      <c r="L413" s="252"/>
      <c r="M413" s="253"/>
      <c r="N413" s="253"/>
      <c r="O413" s="258"/>
      <c r="P413" s="258"/>
      <c r="Q413" s="258"/>
      <c r="R413" s="258"/>
      <c r="S413" s="258"/>
      <c r="T413" s="258"/>
      <c r="U413" s="258"/>
      <c r="V413" s="258"/>
      <c r="W413" s="258"/>
      <c r="X413" s="258"/>
      <c r="Y413" s="258"/>
      <c r="Z413" s="258"/>
      <c r="AA413" s="258"/>
      <c r="AB413" s="258"/>
      <c r="AC413" s="407"/>
    </row>
    <row r="414" spans="2:29" s="406" customFormat="1" ht="16.5" customHeight="1">
      <c r="B414" s="255"/>
      <c r="C414" s="255"/>
      <c r="D414" s="257"/>
      <c r="E414" s="257"/>
      <c r="F414" s="257"/>
      <c r="G414" s="252"/>
      <c r="H414" s="252"/>
      <c r="I414" s="252"/>
      <c r="J414" s="252"/>
      <c r="K414" s="252"/>
      <c r="L414" s="252"/>
      <c r="M414" s="253"/>
      <c r="N414" s="253"/>
      <c r="O414" s="258"/>
      <c r="P414" s="258"/>
      <c r="Q414" s="258"/>
      <c r="R414" s="258"/>
      <c r="S414" s="258"/>
      <c r="T414" s="258"/>
      <c r="U414" s="258"/>
      <c r="V414" s="258"/>
      <c r="W414" s="258"/>
      <c r="X414" s="258"/>
      <c r="Y414" s="258"/>
      <c r="Z414" s="258"/>
      <c r="AA414" s="258"/>
      <c r="AB414" s="258"/>
      <c r="AC414" s="407"/>
    </row>
    <row r="415" spans="2:29" s="406" customFormat="1" ht="16.5" customHeight="1">
      <c r="B415" s="255"/>
      <c r="C415" s="255"/>
      <c r="D415" s="257"/>
      <c r="E415" s="257"/>
      <c r="F415" s="257"/>
      <c r="G415" s="252"/>
      <c r="H415" s="252"/>
      <c r="I415" s="252"/>
      <c r="J415" s="252"/>
      <c r="K415" s="252"/>
      <c r="L415" s="252"/>
      <c r="M415" s="253"/>
      <c r="N415" s="253"/>
      <c r="O415" s="258"/>
      <c r="P415" s="258"/>
      <c r="Q415" s="258"/>
      <c r="R415" s="258"/>
      <c r="S415" s="258"/>
      <c r="T415" s="258"/>
      <c r="U415" s="258"/>
      <c r="V415" s="258"/>
      <c r="W415" s="258"/>
      <c r="X415" s="258"/>
      <c r="Y415" s="258"/>
      <c r="Z415" s="258"/>
      <c r="AA415" s="258"/>
      <c r="AB415" s="258"/>
      <c r="AC415" s="407"/>
    </row>
    <row r="416" spans="2:29" s="406" customFormat="1" ht="16.5" customHeight="1">
      <c r="B416" s="255"/>
      <c r="C416" s="255"/>
      <c r="D416" s="257"/>
      <c r="E416" s="257"/>
      <c r="F416" s="257"/>
      <c r="G416" s="252"/>
      <c r="H416" s="252"/>
      <c r="I416" s="252"/>
      <c r="J416" s="252"/>
      <c r="K416" s="252"/>
      <c r="L416" s="252"/>
      <c r="M416" s="253"/>
      <c r="N416" s="253"/>
      <c r="O416" s="258"/>
      <c r="P416" s="258"/>
      <c r="Q416" s="258"/>
      <c r="R416" s="258"/>
      <c r="S416" s="258"/>
      <c r="T416" s="258"/>
      <c r="U416" s="258"/>
      <c r="V416" s="258"/>
      <c r="W416" s="258"/>
      <c r="X416" s="258"/>
      <c r="Y416" s="258"/>
      <c r="Z416" s="258"/>
      <c r="AA416" s="258"/>
      <c r="AB416" s="258"/>
      <c r="AC416" s="407"/>
    </row>
    <row r="417" spans="2:29" s="406" customFormat="1" ht="16.5" customHeight="1">
      <c r="B417" s="255"/>
      <c r="C417" s="255"/>
      <c r="D417" s="257"/>
      <c r="E417" s="257"/>
      <c r="F417" s="257"/>
      <c r="G417" s="252"/>
      <c r="H417" s="252"/>
      <c r="I417" s="252"/>
      <c r="J417" s="252"/>
      <c r="K417" s="252"/>
      <c r="L417" s="252"/>
      <c r="M417" s="253"/>
      <c r="N417" s="253"/>
      <c r="O417" s="258"/>
      <c r="P417" s="258"/>
      <c r="Q417" s="258"/>
      <c r="R417" s="258"/>
      <c r="S417" s="258"/>
      <c r="T417" s="258"/>
      <c r="U417" s="258"/>
      <c r="V417" s="258"/>
      <c r="W417" s="258"/>
      <c r="X417" s="258"/>
      <c r="Y417" s="258"/>
      <c r="Z417" s="258"/>
      <c r="AA417" s="258"/>
      <c r="AB417" s="258"/>
      <c r="AC417" s="407"/>
    </row>
    <row r="418" spans="2:29" s="406" customFormat="1" ht="16.5" customHeight="1">
      <c r="B418" s="255"/>
      <c r="C418" s="255"/>
      <c r="D418" s="257"/>
      <c r="E418" s="257"/>
      <c r="F418" s="257"/>
      <c r="G418" s="252"/>
      <c r="H418" s="252"/>
      <c r="I418" s="252"/>
      <c r="J418" s="252"/>
      <c r="K418" s="252"/>
      <c r="L418" s="252"/>
      <c r="M418" s="253"/>
      <c r="N418" s="253"/>
      <c r="O418" s="258"/>
      <c r="P418" s="258"/>
      <c r="Q418" s="258"/>
      <c r="R418" s="258"/>
      <c r="S418" s="258"/>
      <c r="T418" s="258"/>
      <c r="U418" s="258"/>
      <c r="V418" s="258"/>
      <c r="W418" s="258"/>
      <c r="X418" s="258"/>
      <c r="Y418" s="258"/>
      <c r="Z418" s="258"/>
      <c r="AA418" s="258"/>
      <c r="AB418" s="258"/>
      <c r="AC418" s="407"/>
    </row>
    <row r="419" spans="2:29" s="406" customFormat="1" ht="16.5" customHeight="1">
      <c r="B419" s="255"/>
      <c r="C419" s="255"/>
      <c r="D419" s="257"/>
      <c r="E419" s="257"/>
      <c r="F419" s="257"/>
      <c r="G419" s="252"/>
      <c r="H419" s="252"/>
      <c r="I419" s="252"/>
      <c r="J419" s="252"/>
      <c r="K419" s="252"/>
      <c r="L419" s="252"/>
      <c r="M419" s="253"/>
      <c r="N419" s="253"/>
      <c r="O419" s="258"/>
      <c r="P419" s="258"/>
      <c r="Q419" s="258"/>
      <c r="R419" s="258"/>
      <c r="S419" s="258"/>
      <c r="T419" s="258"/>
      <c r="U419" s="258"/>
      <c r="V419" s="258"/>
      <c r="W419" s="258"/>
      <c r="X419" s="258"/>
      <c r="Y419" s="258"/>
      <c r="Z419" s="258"/>
      <c r="AA419" s="258"/>
      <c r="AB419" s="258"/>
      <c r="AC419" s="407"/>
    </row>
    <row r="420" spans="2:29" s="406" customFormat="1" ht="16.5" customHeight="1">
      <c r="B420" s="255"/>
      <c r="C420" s="255"/>
      <c r="D420" s="257"/>
      <c r="E420" s="257"/>
      <c r="F420" s="257"/>
      <c r="G420" s="252"/>
      <c r="H420" s="252"/>
      <c r="I420" s="252"/>
      <c r="J420" s="252"/>
      <c r="K420" s="252"/>
      <c r="L420" s="252"/>
      <c r="M420" s="253"/>
      <c r="N420" s="253"/>
      <c r="O420" s="258"/>
      <c r="P420" s="258"/>
      <c r="Q420" s="258"/>
      <c r="R420" s="258"/>
      <c r="S420" s="258"/>
      <c r="T420" s="258"/>
      <c r="U420" s="258"/>
      <c r="V420" s="258"/>
      <c r="W420" s="258"/>
      <c r="X420" s="258"/>
      <c r="Y420" s="258"/>
      <c r="Z420" s="258"/>
      <c r="AA420" s="258"/>
      <c r="AB420" s="258"/>
      <c r="AC420" s="407"/>
    </row>
    <row r="421" spans="2:29" s="406" customFormat="1" ht="16.5" customHeight="1">
      <c r="B421" s="255"/>
      <c r="C421" s="255"/>
      <c r="D421" s="257"/>
      <c r="E421" s="257"/>
      <c r="F421" s="257"/>
      <c r="G421" s="252"/>
      <c r="H421" s="252"/>
      <c r="I421" s="252"/>
      <c r="J421" s="252"/>
      <c r="K421" s="252"/>
      <c r="L421" s="252"/>
      <c r="M421" s="253"/>
      <c r="N421" s="253"/>
      <c r="O421" s="258"/>
      <c r="P421" s="258"/>
      <c r="Q421" s="258"/>
      <c r="R421" s="258"/>
      <c r="S421" s="258"/>
      <c r="T421" s="258"/>
      <c r="U421" s="258"/>
      <c r="V421" s="258"/>
      <c r="W421" s="258"/>
      <c r="X421" s="258"/>
      <c r="Y421" s="258"/>
      <c r="Z421" s="258"/>
      <c r="AA421" s="258"/>
      <c r="AB421" s="258"/>
      <c r="AC421" s="407"/>
    </row>
    <row r="422" spans="2:29" s="406" customFormat="1" ht="16.5" customHeight="1">
      <c r="B422" s="255"/>
      <c r="C422" s="255"/>
      <c r="D422" s="257"/>
      <c r="E422" s="257"/>
      <c r="F422" s="257"/>
      <c r="G422" s="252"/>
      <c r="H422" s="252"/>
      <c r="I422" s="252"/>
      <c r="J422" s="252"/>
      <c r="K422" s="252"/>
      <c r="L422" s="252"/>
      <c r="M422" s="253"/>
      <c r="N422" s="253"/>
      <c r="O422" s="258"/>
      <c r="P422" s="258"/>
      <c r="Q422" s="258"/>
      <c r="R422" s="258"/>
      <c r="S422" s="258"/>
      <c r="T422" s="258"/>
      <c r="U422" s="258"/>
      <c r="V422" s="258"/>
      <c r="W422" s="258"/>
      <c r="X422" s="258"/>
      <c r="Y422" s="258"/>
      <c r="Z422" s="258"/>
      <c r="AA422" s="258"/>
      <c r="AB422" s="258"/>
      <c r="AC422" s="407"/>
    </row>
    <row r="423" spans="2:29" s="406" customFormat="1" ht="16.5" customHeight="1">
      <c r="B423" s="255"/>
      <c r="C423" s="255"/>
      <c r="D423" s="257"/>
      <c r="E423" s="257"/>
      <c r="F423" s="257"/>
      <c r="G423" s="252"/>
      <c r="H423" s="252"/>
      <c r="I423" s="252"/>
      <c r="J423" s="252"/>
      <c r="K423" s="252"/>
      <c r="L423" s="252"/>
      <c r="M423" s="253"/>
      <c r="N423" s="253"/>
      <c r="O423" s="258"/>
      <c r="P423" s="258"/>
      <c r="Q423" s="258"/>
      <c r="R423" s="258"/>
      <c r="S423" s="258"/>
      <c r="T423" s="258"/>
      <c r="U423" s="258"/>
      <c r="V423" s="258"/>
      <c r="W423" s="258"/>
      <c r="X423" s="258"/>
      <c r="Y423" s="258"/>
      <c r="Z423" s="258"/>
      <c r="AA423" s="258"/>
      <c r="AB423" s="258"/>
      <c r="AC423" s="407"/>
    </row>
    <row r="424" spans="2:29" s="406" customFormat="1" ht="16.5" customHeight="1">
      <c r="B424" s="255"/>
      <c r="C424" s="255"/>
      <c r="D424" s="257"/>
      <c r="E424" s="257"/>
      <c r="F424" s="257"/>
      <c r="G424" s="252"/>
      <c r="H424" s="252"/>
      <c r="I424" s="252"/>
      <c r="J424" s="252"/>
      <c r="K424" s="252"/>
      <c r="L424" s="252"/>
      <c r="M424" s="253"/>
      <c r="N424" s="253"/>
      <c r="O424" s="258"/>
      <c r="P424" s="258"/>
      <c r="Q424" s="258"/>
      <c r="R424" s="258"/>
      <c r="S424" s="258"/>
      <c r="T424" s="258"/>
      <c r="U424" s="258"/>
      <c r="V424" s="258"/>
      <c r="W424" s="258"/>
      <c r="X424" s="258"/>
      <c r="Y424" s="258"/>
      <c r="Z424" s="258"/>
      <c r="AA424" s="258"/>
      <c r="AB424" s="258"/>
      <c r="AC424" s="407"/>
    </row>
    <row r="425" spans="2:29" s="406" customFormat="1" ht="16.5" customHeight="1">
      <c r="B425" s="255"/>
      <c r="C425" s="255"/>
      <c r="D425" s="257"/>
      <c r="E425" s="257"/>
      <c r="F425" s="257"/>
      <c r="G425" s="252"/>
      <c r="H425" s="252"/>
      <c r="I425" s="252"/>
      <c r="J425" s="252"/>
      <c r="K425" s="252"/>
      <c r="L425" s="252"/>
      <c r="M425" s="253"/>
      <c r="N425" s="253"/>
      <c r="O425" s="258"/>
      <c r="P425" s="258"/>
      <c r="Q425" s="258"/>
      <c r="R425" s="258"/>
      <c r="S425" s="258"/>
      <c r="T425" s="258"/>
      <c r="U425" s="258"/>
      <c r="V425" s="258"/>
      <c r="W425" s="258"/>
      <c r="X425" s="258"/>
      <c r="Y425" s="258"/>
      <c r="Z425" s="258"/>
      <c r="AA425" s="258"/>
      <c r="AB425" s="258"/>
      <c r="AC425" s="407"/>
    </row>
    <row r="426" spans="2:29" s="406" customFormat="1" ht="16.5" customHeight="1">
      <c r="B426" s="255"/>
      <c r="C426" s="255"/>
      <c r="D426" s="257"/>
      <c r="E426" s="257"/>
      <c r="F426" s="257"/>
      <c r="G426" s="252"/>
      <c r="H426" s="252"/>
      <c r="I426" s="252"/>
      <c r="J426" s="252"/>
      <c r="K426" s="252"/>
      <c r="L426" s="252"/>
      <c r="M426" s="253"/>
      <c r="N426" s="253"/>
      <c r="O426" s="258"/>
      <c r="P426" s="258"/>
      <c r="Q426" s="258"/>
      <c r="R426" s="258"/>
      <c r="S426" s="258"/>
      <c r="T426" s="258"/>
      <c r="U426" s="258"/>
      <c r="V426" s="258"/>
      <c r="W426" s="258"/>
      <c r="X426" s="258"/>
      <c r="Y426" s="258"/>
      <c r="Z426" s="258"/>
      <c r="AA426" s="258"/>
      <c r="AB426" s="258"/>
      <c r="AC426" s="407"/>
    </row>
    <row r="427" spans="2:29" s="406" customFormat="1" ht="16.5" customHeight="1">
      <c r="B427" s="255"/>
      <c r="C427" s="255"/>
      <c r="D427" s="257"/>
      <c r="E427" s="257"/>
      <c r="F427" s="257"/>
      <c r="G427" s="252"/>
      <c r="H427" s="252"/>
      <c r="I427" s="252"/>
      <c r="J427" s="252"/>
      <c r="K427" s="252"/>
      <c r="L427" s="252"/>
      <c r="M427" s="253"/>
      <c r="N427" s="253"/>
      <c r="O427" s="258"/>
      <c r="P427" s="258"/>
      <c r="Q427" s="258"/>
      <c r="R427" s="258"/>
      <c r="S427" s="258"/>
      <c r="T427" s="258"/>
      <c r="U427" s="258"/>
      <c r="V427" s="258"/>
      <c r="W427" s="258"/>
      <c r="X427" s="258"/>
      <c r="Y427" s="258"/>
      <c r="Z427" s="258"/>
      <c r="AA427" s="258"/>
      <c r="AB427" s="258"/>
      <c r="AC427" s="407"/>
    </row>
    <row r="428" spans="2:29" s="406" customFormat="1" ht="16.5" customHeight="1">
      <c r="B428" s="255"/>
      <c r="C428" s="255"/>
      <c r="D428" s="257"/>
      <c r="E428" s="257"/>
      <c r="F428" s="257"/>
      <c r="G428" s="252"/>
      <c r="H428" s="252"/>
      <c r="I428" s="252"/>
      <c r="J428" s="252"/>
      <c r="K428" s="252"/>
      <c r="L428" s="252"/>
      <c r="M428" s="253"/>
      <c r="N428" s="253"/>
      <c r="O428" s="258"/>
      <c r="P428" s="258"/>
      <c r="Q428" s="258"/>
      <c r="R428" s="258"/>
      <c r="S428" s="258"/>
      <c r="T428" s="258"/>
      <c r="U428" s="258"/>
      <c r="V428" s="258"/>
      <c r="W428" s="258"/>
      <c r="X428" s="258"/>
      <c r="Y428" s="258"/>
      <c r="Z428" s="258"/>
      <c r="AA428" s="258"/>
      <c r="AB428" s="258"/>
      <c r="AC428" s="407"/>
    </row>
    <row r="429" spans="2:29" s="406" customFormat="1" ht="16.5" customHeight="1">
      <c r="B429" s="255"/>
      <c r="C429" s="255"/>
      <c r="D429" s="257"/>
      <c r="E429" s="257"/>
      <c r="F429" s="257"/>
      <c r="G429" s="252"/>
      <c r="H429" s="252"/>
      <c r="I429" s="252"/>
      <c r="J429" s="252"/>
      <c r="K429" s="252"/>
      <c r="L429" s="252"/>
      <c r="M429" s="253"/>
      <c r="N429" s="253"/>
      <c r="O429" s="258"/>
      <c r="P429" s="258"/>
      <c r="Q429" s="258"/>
      <c r="R429" s="258"/>
      <c r="S429" s="258"/>
      <c r="T429" s="258"/>
      <c r="U429" s="258"/>
      <c r="V429" s="258"/>
      <c r="W429" s="258"/>
      <c r="X429" s="258"/>
      <c r="Y429" s="258"/>
      <c r="Z429" s="258"/>
      <c r="AA429" s="258"/>
      <c r="AB429" s="258"/>
      <c r="AC429" s="407"/>
    </row>
    <row r="430" spans="2:29" s="406" customFormat="1" ht="16.5" customHeight="1">
      <c r="B430" s="255"/>
      <c r="C430" s="255"/>
      <c r="D430" s="257"/>
      <c r="E430" s="257"/>
      <c r="F430" s="257"/>
      <c r="G430" s="252"/>
      <c r="H430" s="252"/>
      <c r="I430" s="252"/>
      <c r="J430" s="252"/>
      <c r="K430" s="252"/>
      <c r="L430" s="252"/>
      <c r="M430" s="253"/>
      <c r="N430" s="253"/>
      <c r="O430" s="258"/>
      <c r="P430" s="258"/>
      <c r="Q430" s="258"/>
      <c r="R430" s="258"/>
      <c r="S430" s="258"/>
      <c r="T430" s="258"/>
      <c r="U430" s="258"/>
      <c r="V430" s="258"/>
      <c r="W430" s="258"/>
      <c r="X430" s="258"/>
      <c r="Y430" s="258"/>
      <c r="Z430" s="258"/>
      <c r="AA430" s="258"/>
      <c r="AB430" s="258"/>
      <c r="AC430" s="407"/>
    </row>
    <row r="431" spans="2:29" s="406" customFormat="1" ht="16.5" customHeight="1">
      <c r="B431" s="255"/>
      <c r="C431" s="255"/>
      <c r="D431" s="257"/>
      <c r="E431" s="257"/>
      <c r="F431" s="257"/>
      <c r="G431" s="252"/>
      <c r="H431" s="252"/>
      <c r="I431" s="252"/>
      <c r="J431" s="252"/>
      <c r="K431" s="252"/>
      <c r="L431" s="252"/>
      <c r="M431" s="253"/>
      <c r="N431" s="253"/>
      <c r="O431" s="258"/>
      <c r="P431" s="258"/>
      <c r="Q431" s="258"/>
      <c r="R431" s="258"/>
      <c r="S431" s="258"/>
      <c r="T431" s="258"/>
      <c r="U431" s="258"/>
      <c r="V431" s="258"/>
      <c r="W431" s="258"/>
      <c r="X431" s="258"/>
      <c r="Y431" s="258"/>
      <c r="Z431" s="258"/>
      <c r="AA431" s="258"/>
      <c r="AB431" s="258"/>
      <c r="AC431" s="407"/>
    </row>
    <row r="432" spans="2:29" s="406" customFormat="1" ht="16.5" customHeight="1">
      <c r="B432" s="255"/>
      <c r="C432" s="255"/>
      <c r="D432" s="257"/>
      <c r="E432" s="257"/>
      <c r="F432" s="257"/>
      <c r="G432" s="252"/>
      <c r="H432" s="252"/>
      <c r="I432" s="252"/>
      <c r="J432" s="252"/>
      <c r="K432" s="252"/>
      <c r="L432" s="252"/>
      <c r="M432" s="253"/>
      <c r="N432" s="253"/>
      <c r="O432" s="258"/>
      <c r="P432" s="258"/>
      <c r="Q432" s="258"/>
      <c r="R432" s="258"/>
      <c r="S432" s="258"/>
      <c r="T432" s="258"/>
      <c r="U432" s="258"/>
      <c r="V432" s="258"/>
      <c r="W432" s="258"/>
      <c r="X432" s="258"/>
      <c r="Y432" s="258"/>
      <c r="Z432" s="258"/>
      <c r="AA432" s="258"/>
      <c r="AB432" s="258"/>
      <c r="AC432" s="407"/>
    </row>
    <row r="433" spans="2:29" s="406" customFormat="1" ht="16.5" customHeight="1">
      <c r="B433" s="255"/>
      <c r="C433" s="255"/>
      <c r="D433" s="257"/>
      <c r="E433" s="257"/>
      <c r="F433" s="257"/>
      <c r="G433" s="252"/>
      <c r="H433" s="252"/>
      <c r="I433" s="252"/>
      <c r="J433" s="252"/>
      <c r="K433" s="252"/>
      <c r="L433" s="252"/>
      <c r="M433" s="253"/>
      <c r="N433" s="253"/>
      <c r="O433" s="258"/>
      <c r="P433" s="258"/>
      <c r="Q433" s="258"/>
      <c r="R433" s="258"/>
      <c r="S433" s="258"/>
      <c r="T433" s="258"/>
      <c r="U433" s="258"/>
      <c r="V433" s="258"/>
      <c r="W433" s="258"/>
      <c r="X433" s="258"/>
      <c r="Y433" s="258"/>
      <c r="Z433" s="258"/>
      <c r="AA433" s="258"/>
      <c r="AB433" s="258"/>
      <c r="AC433" s="407"/>
    </row>
    <row r="434" spans="2:29" s="406" customFormat="1" ht="16.5" customHeight="1">
      <c r="B434" s="255"/>
      <c r="C434" s="255"/>
      <c r="D434" s="257"/>
      <c r="E434" s="257"/>
      <c r="F434" s="257"/>
      <c r="G434" s="252"/>
      <c r="H434" s="252"/>
      <c r="I434" s="252"/>
      <c r="J434" s="252"/>
      <c r="K434" s="252"/>
      <c r="L434" s="252"/>
      <c r="M434" s="253"/>
      <c r="N434" s="253"/>
      <c r="O434" s="258"/>
      <c r="P434" s="258"/>
      <c r="Q434" s="258"/>
      <c r="R434" s="258"/>
      <c r="S434" s="258"/>
      <c r="T434" s="258"/>
      <c r="U434" s="258"/>
      <c r="V434" s="258"/>
      <c r="W434" s="258"/>
      <c r="X434" s="258"/>
      <c r="Y434" s="258"/>
      <c r="Z434" s="258"/>
      <c r="AA434" s="258"/>
      <c r="AB434" s="258"/>
      <c r="AC434" s="407"/>
    </row>
    <row r="435" spans="2:29" s="406" customFormat="1" ht="16.5" customHeight="1">
      <c r="B435" s="255"/>
      <c r="C435" s="255"/>
      <c r="D435" s="257"/>
      <c r="E435" s="257"/>
      <c r="F435" s="257"/>
      <c r="G435" s="252"/>
      <c r="H435" s="252"/>
      <c r="I435" s="252"/>
      <c r="J435" s="252"/>
      <c r="K435" s="252"/>
      <c r="L435" s="252"/>
      <c r="M435" s="253"/>
      <c r="N435" s="253"/>
      <c r="O435" s="258"/>
      <c r="P435" s="258"/>
      <c r="Q435" s="258"/>
      <c r="R435" s="258"/>
      <c r="S435" s="258"/>
      <c r="T435" s="258"/>
      <c r="U435" s="258"/>
      <c r="V435" s="258"/>
      <c r="W435" s="258"/>
      <c r="X435" s="258"/>
      <c r="Y435" s="258"/>
      <c r="Z435" s="258"/>
      <c r="AA435" s="258"/>
      <c r="AB435" s="258"/>
      <c r="AC435" s="407"/>
    </row>
    <row r="436" spans="2:29" s="406" customFormat="1" ht="16.5" customHeight="1">
      <c r="B436" s="255"/>
      <c r="C436" s="255"/>
      <c r="D436" s="257"/>
      <c r="E436" s="257"/>
      <c r="F436" s="257"/>
      <c r="G436" s="252"/>
      <c r="H436" s="252"/>
      <c r="I436" s="252"/>
      <c r="J436" s="252"/>
      <c r="K436" s="252"/>
      <c r="L436" s="252"/>
      <c r="M436" s="253"/>
      <c r="N436" s="253"/>
      <c r="O436" s="258"/>
      <c r="P436" s="258"/>
      <c r="Q436" s="258"/>
      <c r="R436" s="258"/>
      <c r="S436" s="258"/>
      <c r="T436" s="258"/>
      <c r="U436" s="258"/>
      <c r="V436" s="258"/>
      <c r="W436" s="258"/>
      <c r="X436" s="258"/>
      <c r="Y436" s="258"/>
      <c r="Z436" s="258"/>
      <c r="AA436" s="258"/>
      <c r="AB436" s="258"/>
      <c r="AC436" s="407"/>
    </row>
    <row r="437" spans="2:29" s="406" customFormat="1" ht="16.5" customHeight="1">
      <c r="B437" s="255"/>
      <c r="C437" s="255"/>
      <c r="D437" s="257"/>
      <c r="E437" s="257"/>
      <c r="F437" s="257"/>
      <c r="G437" s="252"/>
      <c r="H437" s="252"/>
      <c r="I437" s="252"/>
      <c r="J437" s="252"/>
      <c r="K437" s="252"/>
      <c r="L437" s="252"/>
      <c r="M437" s="253"/>
      <c r="N437" s="253"/>
      <c r="O437" s="258"/>
      <c r="P437" s="258"/>
      <c r="Q437" s="258"/>
      <c r="R437" s="258"/>
      <c r="S437" s="258"/>
      <c r="T437" s="258"/>
      <c r="U437" s="258"/>
      <c r="V437" s="258"/>
      <c r="W437" s="258"/>
      <c r="X437" s="258"/>
      <c r="Y437" s="258"/>
      <c r="Z437" s="258"/>
      <c r="AA437" s="258"/>
      <c r="AB437" s="258"/>
      <c r="AC437" s="407"/>
    </row>
    <row r="438" spans="2:29" s="406" customFormat="1" ht="16.5" customHeight="1">
      <c r="B438" s="255"/>
      <c r="C438" s="255"/>
      <c r="D438" s="257"/>
      <c r="E438" s="257"/>
      <c r="F438" s="257"/>
      <c r="G438" s="252"/>
      <c r="H438" s="252"/>
      <c r="I438" s="252"/>
      <c r="J438" s="252"/>
      <c r="K438" s="252"/>
      <c r="L438" s="252"/>
      <c r="M438" s="253"/>
      <c r="N438" s="253"/>
      <c r="O438" s="258"/>
      <c r="P438" s="258"/>
      <c r="Q438" s="258"/>
      <c r="R438" s="258"/>
      <c r="S438" s="258"/>
      <c r="T438" s="258"/>
      <c r="U438" s="258"/>
      <c r="V438" s="258"/>
      <c r="W438" s="258"/>
      <c r="X438" s="258"/>
      <c r="Y438" s="258"/>
      <c r="Z438" s="258"/>
      <c r="AA438" s="258"/>
      <c r="AB438" s="258"/>
      <c r="AC438" s="407"/>
    </row>
    <row r="439" spans="2:29" s="406" customFormat="1" ht="16.5" customHeight="1">
      <c r="B439" s="255"/>
      <c r="C439" s="255"/>
      <c r="D439" s="257"/>
      <c r="E439" s="257"/>
      <c r="F439" s="257"/>
      <c r="G439" s="252"/>
      <c r="H439" s="252"/>
      <c r="I439" s="252"/>
      <c r="J439" s="252"/>
      <c r="K439" s="252"/>
      <c r="L439" s="252"/>
      <c r="M439" s="253"/>
      <c r="N439" s="253"/>
      <c r="O439" s="258"/>
      <c r="P439" s="258"/>
      <c r="Q439" s="258"/>
      <c r="R439" s="258"/>
      <c r="S439" s="258"/>
      <c r="T439" s="258"/>
      <c r="U439" s="258"/>
      <c r="V439" s="258"/>
      <c r="W439" s="258"/>
      <c r="X439" s="258"/>
      <c r="Y439" s="258"/>
      <c r="Z439" s="258"/>
      <c r="AA439" s="258"/>
      <c r="AB439" s="258"/>
      <c r="AC439" s="407"/>
    </row>
    <row r="440" spans="2:29" s="406" customFormat="1" ht="16.5" customHeight="1">
      <c r="B440" s="255"/>
      <c r="C440" s="255"/>
      <c r="D440" s="257"/>
      <c r="E440" s="257"/>
      <c r="F440" s="257"/>
      <c r="G440" s="252"/>
      <c r="H440" s="252"/>
      <c r="I440" s="252"/>
      <c r="J440" s="252"/>
      <c r="K440" s="252"/>
      <c r="L440" s="252"/>
      <c r="M440" s="253"/>
      <c r="N440" s="253"/>
      <c r="O440" s="258"/>
      <c r="P440" s="258"/>
      <c r="Q440" s="258"/>
      <c r="R440" s="258"/>
      <c r="S440" s="258"/>
      <c r="T440" s="258"/>
      <c r="U440" s="258"/>
      <c r="V440" s="258"/>
      <c r="W440" s="258"/>
      <c r="X440" s="258"/>
      <c r="Y440" s="258"/>
      <c r="Z440" s="258"/>
      <c r="AA440" s="258"/>
      <c r="AB440" s="258"/>
      <c r="AC440" s="407"/>
    </row>
    <row r="441" spans="2:29" s="406" customFormat="1" ht="16.5" customHeight="1">
      <c r="B441" s="255"/>
      <c r="C441" s="255"/>
      <c r="D441" s="257"/>
      <c r="E441" s="257"/>
      <c r="F441" s="257"/>
      <c r="G441" s="252"/>
      <c r="H441" s="252"/>
      <c r="I441" s="252"/>
      <c r="J441" s="252"/>
      <c r="K441" s="252"/>
      <c r="L441" s="252"/>
      <c r="M441" s="253"/>
      <c r="N441" s="253"/>
      <c r="O441" s="258"/>
      <c r="P441" s="258"/>
      <c r="Q441" s="258"/>
      <c r="R441" s="258"/>
      <c r="S441" s="258"/>
      <c r="T441" s="258"/>
      <c r="U441" s="258"/>
      <c r="V441" s="258"/>
      <c r="W441" s="258"/>
      <c r="X441" s="258"/>
      <c r="Y441" s="258"/>
      <c r="Z441" s="258"/>
      <c r="AA441" s="258"/>
      <c r="AB441" s="258"/>
      <c r="AC441" s="407"/>
    </row>
    <row r="442" spans="2:29" s="406" customFormat="1" ht="16.5" customHeight="1">
      <c r="B442" s="255"/>
      <c r="C442" s="255"/>
      <c r="D442" s="257"/>
      <c r="E442" s="257"/>
      <c r="F442" s="257"/>
      <c r="G442" s="252"/>
      <c r="H442" s="252"/>
      <c r="I442" s="252"/>
      <c r="J442" s="252"/>
      <c r="K442" s="252"/>
      <c r="L442" s="252"/>
      <c r="M442" s="253"/>
      <c r="N442" s="253"/>
      <c r="O442" s="258"/>
      <c r="P442" s="258"/>
      <c r="Q442" s="258"/>
      <c r="R442" s="258"/>
      <c r="S442" s="258"/>
      <c r="T442" s="258"/>
      <c r="U442" s="258"/>
      <c r="V442" s="258"/>
      <c r="W442" s="258"/>
      <c r="X442" s="258"/>
      <c r="Y442" s="258"/>
      <c r="Z442" s="258"/>
      <c r="AA442" s="258"/>
      <c r="AB442" s="258"/>
      <c r="AC442" s="407"/>
    </row>
    <row r="443" spans="2:29" s="406" customFormat="1" ht="16.5" customHeight="1">
      <c r="B443" s="255"/>
      <c r="C443" s="255"/>
      <c r="D443" s="257"/>
      <c r="E443" s="257"/>
      <c r="F443" s="257"/>
      <c r="G443" s="252"/>
      <c r="H443" s="252"/>
      <c r="I443" s="252"/>
      <c r="J443" s="252"/>
      <c r="K443" s="252"/>
      <c r="L443" s="252"/>
      <c r="M443" s="253"/>
      <c r="N443" s="253"/>
      <c r="O443" s="258"/>
      <c r="P443" s="258"/>
      <c r="Q443" s="258"/>
      <c r="R443" s="258"/>
      <c r="S443" s="258"/>
      <c r="T443" s="258"/>
      <c r="U443" s="258"/>
      <c r="V443" s="258"/>
      <c r="W443" s="258"/>
      <c r="X443" s="258"/>
      <c r="Y443" s="258"/>
      <c r="Z443" s="258"/>
      <c r="AA443" s="258"/>
      <c r="AB443" s="258"/>
      <c r="AC443" s="407"/>
    </row>
    <row r="444" spans="2:29" s="406" customFormat="1" ht="16.5" customHeight="1">
      <c r="B444" s="255"/>
      <c r="C444" s="255"/>
      <c r="D444" s="257"/>
      <c r="E444" s="257"/>
      <c r="F444" s="257"/>
      <c r="G444" s="252"/>
      <c r="H444" s="252"/>
      <c r="I444" s="252"/>
      <c r="J444" s="252"/>
      <c r="K444" s="252"/>
      <c r="L444" s="252"/>
      <c r="M444" s="253"/>
      <c r="N444" s="253"/>
      <c r="O444" s="258"/>
      <c r="P444" s="258"/>
      <c r="Q444" s="258"/>
      <c r="R444" s="258"/>
      <c r="S444" s="258"/>
      <c r="T444" s="258"/>
      <c r="U444" s="258"/>
      <c r="V444" s="258"/>
      <c r="W444" s="258"/>
      <c r="X444" s="258"/>
      <c r="Y444" s="258"/>
      <c r="Z444" s="258"/>
      <c r="AA444" s="258"/>
      <c r="AB444" s="258"/>
      <c r="AC444" s="407"/>
    </row>
    <row r="445" spans="2:29" s="406" customFormat="1" ht="16.5" customHeight="1">
      <c r="B445" s="255"/>
      <c r="C445" s="255"/>
      <c r="D445" s="257"/>
      <c r="E445" s="257"/>
      <c r="F445" s="257"/>
      <c r="G445" s="252"/>
      <c r="H445" s="252"/>
      <c r="I445" s="252"/>
      <c r="J445" s="252"/>
      <c r="K445" s="252"/>
      <c r="L445" s="252"/>
      <c r="M445" s="253"/>
      <c r="N445" s="253"/>
      <c r="O445" s="258"/>
      <c r="P445" s="258"/>
      <c r="Q445" s="258"/>
      <c r="R445" s="258"/>
      <c r="S445" s="258"/>
      <c r="T445" s="258"/>
      <c r="U445" s="258"/>
      <c r="V445" s="258"/>
      <c r="W445" s="258"/>
      <c r="X445" s="258"/>
      <c r="Y445" s="258"/>
      <c r="Z445" s="258"/>
      <c r="AA445" s="258"/>
      <c r="AB445" s="258"/>
      <c r="AC445" s="407"/>
    </row>
    <row r="446" spans="2:29" s="406" customFormat="1" ht="16.5" customHeight="1">
      <c r="B446" s="255"/>
      <c r="C446" s="255"/>
      <c r="D446" s="257"/>
      <c r="E446" s="257"/>
      <c r="F446" s="257"/>
      <c r="G446" s="252"/>
      <c r="H446" s="252"/>
      <c r="I446" s="252"/>
      <c r="J446" s="252"/>
      <c r="K446" s="252"/>
      <c r="L446" s="252"/>
      <c r="M446" s="253"/>
      <c r="N446" s="253"/>
      <c r="O446" s="258"/>
      <c r="P446" s="258"/>
      <c r="Q446" s="258"/>
      <c r="R446" s="258"/>
      <c r="S446" s="258"/>
      <c r="T446" s="258"/>
      <c r="U446" s="258"/>
      <c r="V446" s="258"/>
      <c r="W446" s="258"/>
      <c r="X446" s="258"/>
      <c r="Y446" s="258"/>
      <c r="Z446" s="258"/>
      <c r="AA446" s="258"/>
      <c r="AB446" s="258"/>
      <c r="AC446" s="407"/>
    </row>
    <row r="447" spans="2:29" s="406" customFormat="1" ht="16.5" customHeight="1">
      <c r="B447" s="255"/>
      <c r="C447" s="255"/>
      <c r="D447" s="257"/>
      <c r="E447" s="257"/>
      <c r="F447" s="257"/>
      <c r="G447" s="252"/>
      <c r="H447" s="252"/>
      <c r="I447" s="252"/>
      <c r="J447" s="252"/>
      <c r="K447" s="252"/>
      <c r="L447" s="252"/>
      <c r="M447" s="253"/>
      <c r="N447" s="253"/>
      <c r="O447" s="258"/>
      <c r="P447" s="258"/>
      <c r="Q447" s="258"/>
      <c r="R447" s="258"/>
      <c r="S447" s="258"/>
      <c r="T447" s="258"/>
      <c r="U447" s="258"/>
      <c r="V447" s="258"/>
      <c r="W447" s="258"/>
      <c r="X447" s="258"/>
      <c r="Y447" s="258"/>
      <c r="Z447" s="258"/>
      <c r="AA447" s="258"/>
      <c r="AB447" s="258"/>
      <c r="AC447" s="407"/>
    </row>
    <row r="448" spans="2:29" s="406" customFormat="1" ht="16.5" customHeight="1">
      <c r="B448" s="255"/>
      <c r="C448" s="255"/>
      <c r="D448" s="257"/>
      <c r="E448" s="257"/>
      <c r="F448" s="257"/>
      <c r="G448" s="252"/>
      <c r="H448" s="252"/>
      <c r="I448" s="252"/>
      <c r="J448" s="252"/>
      <c r="K448" s="252"/>
      <c r="L448" s="252"/>
      <c r="M448" s="253"/>
      <c r="N448" s="253"/>
      <c r="O448" s="258"/>
      <c r="P448" s="258"/>
      <c r="Q448" s="258"/>
      <c r="R448" s="258"/>
      <c r="S448" s="258"/>
      <c r="T448" s="258"/>
      <c r="U448" s="258"/>
      <c r="V448" s="258"/>
      <c r="W448" s="258"/>
      <c r="X448" s="258"/>
      <c r="Y448" s="258"/>
      <c r="Z448" s="258"/>
      <c r="AA448" s="258"/>
      <c r="AB448" s="258"/>
      <c r="AC448" s="407"/>
    </row>
    <row r="449" spans="2:29" s="406" customFormat="1" ht="16.5" customHeight="1">
      <c r="B449" s="255"/>
      <c r="C449" s="255"/>
      <c r="D449" s="257"/>
      <c r="E449" s="257"/>
      <c r="F449" s="257"/>
      <c r="G449" s="252"/>
      <c r="H449" s="252"/>
      <c r="I449" s="252"/>
      <c r="J449" s="252"/>
      <c r="K449" s="252"/>
      <c r="L449" s="252"/>
      <c r="M449" s="253"/>
      <c r="N449" s="253"/>
      <c r="O449" s="258"/>
      <c r="P449" s="258"/>
      <c r="Q449" s="258"/>
      <c r="R449" s="258"/>
      <c r="S449" s="258"/>
      <c r="T449" s="258"/>
      <c r="U449" s="258"/>
      <c r="V449" s="258"/>
      <c r="W449" s="258"/>
      <c r="X449" s="258"/>
      <c r="Y449" s="258"/>
      <c r="Z449" s="258"/>
      <c r="AA449" s="258"/>
      <c r="AB449" s="258"/>
      <c r="AC449" s="407"/>
    </row>
    <row r="450" spans="2:29" s="406" customFormat="1" ht="16.5" customHeight="1">
      <c r="B450" s="255"/>
      <c r="C450" s="255"/>
      <c r="D450" s="257"/>
      <c r="E450" s="257"/>
      <c r="F450" s="257"/>
      <c r="G450" s="252"/>
      <c r="H450" s="252"/>
      <c r="I450" s="252"/>
      <c r="J450" s="252"/>
      <c r="K450" s="252"/>
      <c r="L450" s="252"/>
      <c r="M450" s="253"/>
      <c r="N450" s="253"/>
      <c r="O450" s="258"/>
      <c r="P450" s="258"/>
      <c r="Q450" s="258"/>
      <c r="R450" s="258"/>
      <c r="S450" s="258"/>
      <c r="T450" s="258"/>
      <c r="U450" s="258"/>
      <c r="V450" s="258"/>
      <c r="W450" s="258"/>
      <c r="X450" s="258"/>
      <c r="Y450" s="258"/>
      <c r="Z450" s="258"/>
      <c r="AA450" s="258"/>
      <c r="AB450" s="258"/>
      <c r="AC450" s="407"/>
    </row>
    <row r="451" spans="2:29" s="406" customFormat="1" ht="16.5" customHeight="1">
      <c r="B451" s="255"/>
      <c r="C451" s="255"/>
      <c r="D451" s="257"/>
      <c r="E451" s="257"/>
      <c r="F451" s="257"/>
      <c r="G451" s="252"/>
      <c r="H451" s="252"/>
      <c r="I451" s="252"/>
      <c r="J451" s="252"/>
      <c r="K451" s="252"/>
      <c r="L451" s="252"/>
      <c r="M451" s="253"/>
      <c r="N451" s="253"/>
      <c r="O451" s="258"/>
      <c r="P451" s="258"/>
      <c r="Q451" s="258"/>
      <c r="R451" s="258"/>
      <c r="S451" s="258"/>
      <c r="T451" s="258"/>
      <c r="U451" s="258"/>
      <c r="V451" s="258"/>
      <c r="W451" s="258"/>
      <c r="X451" s="258"/>
      <c r="Y451" s="258"/>
      <c r="Z451" s="258"/>
      <c r="AA451" s="258"/>
      <c r="AB451" s="258"/>
      <c r="AC451" s="407"/>
    </row>
    <row r="452" spans="2:29" s="406" customFormat="1" ht="16.5" customHeight="1">
      <c r="B452" s="255"/>
      <c r="C452" s="255"/>
      <c r="D452" s="257"/>
      <c r="E452" s="257"/>
      <c r="F452" s="257"/>
      <c r="G452" s="252"/>
      <c r="H452" s="252"/>
      <c r="I452" s="252"/>
      <c r="J452" s="252"/>
      <c r="K452" s="252"/>
      <c r="L452" s="252"/>
      <c r="M452" s="253"/>
      <c r="N452" s="253"/>
      <c r="O452" s="258"/>
      <c r="P452" s="258"/>
      <c r="Q452" s="258"/>
      <c r="R452" s="258"/>
      <c r="S452" s="258"/>
      <c r="T452" s="258"/>
      <c r="U452" s="258"/>
      <c r="V452" s="258"/>
      <c r="W452" s="258"/>
      <c r="X452" s="258"/>
      <c r="Y452" s="258"/>
      <c r="Z452" s="258"/>
      <c r="AA452" s="258"/>
      <c r="AB452" s="258"/>
      <c r="AC452" s="407"/>
    </row>
    <row r="453" spans="2:29" s="406" customFormat="1" ht="16.5" customHeight="1">
      <c r="B453" s="255"/>
      <c r="C453" s="255"/>
      <c r="D453" s="257"/>
      <c r="E453" s="257"/>
      <c r="F453" s="257"/>
      <c r="G453" s="252"/>
      <c r="H453" s="252"/>
      <c r="I453" s="252"/>
      <c r="J453" s="252"/>
      <c r="K453" s="252"/>
      <c r="L453" s="252"/>
      <c r="M453" s="253"/>
      <c r="N453" s="253"/>
      <c r="O453" s="258"/>
      <c r="P453" s="258"/>
      <c r="Q453" s="258"/>
      <c r="R453" s="258"/>
      <c r="S453" s="258"/>
      <c r="T453" s="258"/>
      <c r="U453" s="258"/>
      <c r="V453" s="258"/>
      <c r="W453" s="258"/>
      <c r="X453" s="258"/>
      <c r="Y453" s="258"/>
      <c r="Z453" s="258"/>
      <c r="AA453" s="258"/>
      <c r="AB453" s="258"/>
      <c r="AC453" s="407"/>
    </row>
    <row r="454" spans="2:29" s="406" customFormat="1" ht="16.5" customHeight="1">
      <c r="B454" s="255"/>
      <c r="C454" s="255"/>
      <c r="D454" s="257"/>
      <c r="E454" s="257"/>
      <c r="F454" s="257"/>
      <c r="G454" s="252"/>
      <c r="H454" s="252"/>
      <c r="I454" s="252"/>
      <c r="J454" s="252"/>
      <c r="K454" s="252"/>
      <c r="L454" s="252"/>
      <c r="M454" s="253"/>
      <c r="N454" s="253"/>
      <c r="O454" s="258"/>
      <c r="P454" s="258"/>
      <c r="Q454" s="258"/>
      <c r="R454" s="258"/>
      <c r="S454" s="258"/>
      <c r="T454" s="258"/>
      <c r="U454" s="258"/>
      <c r="V454" s="258"/>
      <c r="W454" s="258"/>
      <c r="X454" s="258"/>
      <c r="Y454" s="258"/>
      <c r="Z454" s="258"/>
      <c r="AA454" s="258"/>
      <c r="AB454" s="258"/>
      <c r="AC454" s="407"/>
    </row>
    <row r="455" spans="2:29" s="406" customFormat="1" ht="16.5" customHeight="1">
      <c r="B455" s="255"/>
      <c r="C455" s="255"/>
      <c r="D455" s="257"/>
      <c r="E455" s="257"/>
      <c r="F455" s="257"/>
      <c r="G455" s="252"/>
      <c r="H455" s="252"/>
      <c r="I455" s="252"/>
      <c r="J455" s="252"/>
      <c r="K455" s="252"/>
      <c r="L455" s="252"/>
      <c r="M455" s="253"/>
      <c r="N455" s="253"/>
      <c r="O455" s="258"/>
      <c r="P455" s="258"/>
      <c r="Q455" s="258"/>
      <c r="R455" s="258"/>
      <c r="S455" s="258"/>
      <c r="T455" s="258"/>
      <c r="U455" s="258"/>
      <c r="V455" s="258"/>
      <c r="W455" s="258"/>
      <c r="X455" s="258"/>
      <c r="Y455" s="258"/>
      <c r="Z455" s="258"/>
      <c r="AA455" s="258"/>
      <c r="AB455" s="258"/>
      <c r="AC455" s="407"/>
    </row>
    <row r="456" spans="2:29" s="406" customFormat="1" ht="16.5" customHeight="1">
      <c r="B456" s="255"/>
      <c r="C456" s="255"/>
      <c r="D456" s="257"/>
      <c r="E456" s="257"/>
      <c r="F456" s="257"/>
      <c r="G456" s="252"/>
      <c r="H456" s="252"/>
      <c r="I456" s="252"/>
      <c r="J456" s="252"/>
      <c r="K456" s="252"/>
      <c r="L456" s="252"/>
      <c r="M456" s="253"/>
      <c r="N456" s="253"/>
      <c r="O456" s="258"/>
      <c r="P456" s="258"/>
      <c r="Q456" s="258"/>
      <c r="R456" s="258"/>
      <c r="S456" s="258"/>
      <c r="T456" s="258"/>
      <c r="U456" s="258"/>
      <c r="V456" s="258"/>
      <c r="W456" s="258"/>
      <c r="X456" s="258"/>
      <c r="Y456" s="258"/>
      <c r="Z456" s="258"/>
      <c r="AA456" s="258"/>
      <c r="AB456" s="258"/>
      <c r="AC456" s="407"/>
    </row>
    <row r="457" spans="2:29" s="406" customFormat="1" ht="16.5" customHeight="1">
      <c r="B457" s="255"/>
      <c r="C457" s="255"/>
      <c r="D457" s="257"/>
      <c r="E457" s="257"/>
      <c r="F457" s="257"/>
      <c r="G457" s="252"/>
      <c r="H457" s="252"/>
      <c r="I457" s="252"/>
      <c r="J457" s="252"/>
      <c r="K457" s="252"/>
      <c r="L457" s="252"/>
      <c r="M457" s="253"/>
      <c r="N457" s="253"/>
      <c r="O457" s="258"/>
      <c r="P457" s="258"/>
      <c r="Q457" s="258"/>
      <c r="R457" s="258"/>
      <c r="S457" s="258"/>
      <c r="T457" s="258"/>
      <c r="U457" s="258"/>
      <c r="V457" s="258"/>
      <c r="W457" s="258"/>
      <c r="X457" s="258"/>
      <c r="Y457" s="258"/>
      <c r="Z457" s="258"/>
      <c r="AA457" s="258"/>
      <c r="AB457" s="258"/>
      <c r="AC457" s="407"/>
    </row>
    <row r="458" spans="2:29" s="406" customFormat="1" ht="16.5" customHeight="1">
      <c r="B458" s="255"/>
      <c r="C458" s="255"/>
      <c r="D458" s="257"/>
      <c r="E458" s="257"/>
      <c r="F458" s="257"/>
      <c r="G458" s="252"/>
      <c r="H458" s="252"/>
      <c r="I458" s="252"/>
      <c r="J458" s="252"/>
      <c r="K458" s="252"/>
      <c r="L458" s="252"/>
      <c r="M458" s="253"/>
      <c r="N458" s="253"/>
      <c r="O458" s="258"/>
      <c r="P458" s="258"/>
      <c r="Q458" s="258"/>
      <c r="R458" s="258"/>
      <c r="S458" s="258"/>
      <c r="T458" s="258"/>
      <c r="U458" s="258"/>
      <c r="V458" s="258"/>
      <c r="W458" s="258"/>
      <c r="X458" s="258"/>
      <c r="Y458" s="258"/>
      <c r="Z458" s="258"/>
      <c r="AA458" s="258"/>
      <c r="AB458" s="258"/>
      <c r="AC458" s="407"/>
    </row>
    <row r="459" spans="2:29" s="406" customFormat="1" ht="16.5" customHeight="1">
      <c r="B459" s="255"/>
      <c r="C459" s="255"/>
      <c r="D459" s="257"/>
      <c r="E459" s="257"/>
      <c r="F459" s="257"/>
      <c r="G459" s="252"/>
      <c r="H459" s="252"/>
      <c r="I459" s="252"/>
      <c r="J459" s="252"/>
      <c r="K459" s="252"/>
      <c r="L459" s="252"/>
      <c r="M459" s="253"/>
      <c r="N459" s="253"/>
      <c r="O459" s="258"/>
      <c r="P459" s="258"/>
      <c r="Q459" s="258"/>
      <c r="R459" s="258"/>
      <c r="S459" s="258"/>
      <c r="T459" s="258"/>
      <c r="U459" s="258"/>
      <c r="V459" s="258"/>
      <c r="W459" s="258"/>
      <c r="X459" s="258"/>
      <c r="Y459" s="258"/>
      <c r="Z459" s="258"/>
      <c r="AA459" s="258"/>
      <c r="AB459" s="258"/>
      <c r="AC459" s="407"/>
    </row>
    <row r="460" spans="2:29" s="406" customFormat="1" ht="16.5" customHeight="1">
      <c r="B460" s="255"/>
      <c r="C460" s="255"/>
      <c r="D460" s="257"/>
      <c r="E460" s="257"/>
      <c r="F460" s="257"/>
      <c r="G460" s="252"/>
      <c r="H460" s="252"/>
      <c r="I460" s="252"/>
      <c r="J460" s="252"/>
      <c r="K460" s="252"/>
      <c r="L460" s="252"/>
      <c r="M460" s="253"/>
      <c r="N460" s="253"/>
      <c r="O460" s="258"/>
      <c r="P460" s="258"/>
      <c r="Q460" s="258"/>
      <c r="R460" s="258"/>
      <c r="S460" s="258"/>
      <c r="T460" s="258"/>
      <c r="U460" s="258"/>
      <c r="V460" s="258"/>
      <c r="W460" s="258"/>
      <c r="X460" s="258"/>
      <c r="Y460" s="258"/>
      <c r="Z460" s="258"/>
      <c r="AA460" s="258"/>
      <c r="AB460" s="258"/>
      <c r="AC460" s="407"/>
    </row>
    <row r="461" spans="2:29" s="406" customFormat="1" ht="16.5" customHeight="1">
      <c r="B461" s="255"/>
      <c r="C461" s="255"/>
      <c r="D461" s="257"/>
      <c r="E461" s="257"/>
      <c r="F461" s="257"/>
      <c r="G461" s="252"/>
      <c r="H461" s="252"/>
      <c r="I461" s="252"/>
      <c r="J461" s="252"/>
      <c r="K461" s="252"/>
      <c r="L461" s="252"/>
      <c r="M461" s="253"/>
      <c r="N461" s="253"/>
      <c r="O461" s="258"/>
      <c r="P461" s="258"/>
      <c r="Q461" s="258"/>
      <c r="R461" s="258"/>
      <c r="S461" s="258"/>
      <c r="T461" s="258"/>
      <c r="U461" s="258"/>
      <c r="V461" s="258"/>
      <c r="W461" s="258"/>
      <c r="X461" s="258"/>
      <c r="Y461" s="258"/>
      <c r="Z461" s="258"/>
      <c r="AA461" s="258"/>
      <c r="AB461" s="258"/>
      <c r="AC461" s="407"/>
    </row>
    <row r="462" spans="2:29" s="406" customFormat="1" ht="16.5" customHeight="1">
      <c r="B462" s="255"/>
      <c r="C462" s="255"/>
      <c r="D462" s="257"/>
      <c r="E462" s="257"/>
      <c r="F462" s="257"/>
      <c r="G462" s="252"/>
      <c r="H462" s="252"/>
      <c r="I462" s="252"/>
      <c r="J462" s="252"/>
      <c r="K462" s="252"/>
      <c r="L462" s="252"/>
      <c r="M462" s="253"/>
      <c r="N462" s="253"/>
      <c r="O462" s="258"/>
      <c r="P462" s="258"/>
      <c r="Q462" s="258"/>
      <c r="R462" s="258"/>
      <c r="S462" s="258"/>
      <c r="T462" s="258"/>
      <c r="U462" s="258"/>
      <c r="V462" s="258"/>
      <c r="W462" s="258"/>
      <c r="X462" s="258"/>
      <c r="Y462" s="258"/>
      <c r="Z462" s="258"/>
      <c r="AA462" s="258"/>
      <c r="AB462" s="258"/>
      <c r="AC462" s="407"/>
    </row>
    <row r="463" spans="2:29" s="406" customFormat="1" ht="16.5" customHeight="1">
      <c r="B463" s="255"/>
      <c r="C463" s="255"/>
      <c r="D463" s="257"/>
      <c r="E463" s="257"/>
      <c r="F463" s="257"/>
      <c r="G463" s="252"/>
      <c r="H463" s="252"/>
      <c r="I463" s="252"/>
      <c r="J463" s="252"/>
      <c r="K463" s="252"/>
      <c r="L463" s="252"/>
      <c r="M463" s="253"/>
      <c r="N463" s="253"/>
      <c r="O463" s="258"/>
      <c r="P463" s="258"/>
      <c r="Q463" s="258"/>
      <c r="R463" s="258"/>
      <c r="S463" s="258"/>
      <c r="T463" s="258"/>
      <c r="U463" s="258"/>
      <c r="V463" s="258"/>
      <c r="W463" s="258"/>
      <c r="X463" s="258"/>
      <c r="Y463" s="258"/>
      <c r="Z463" s="258"/>
      <c r="AA463" s="258"/>
      <c r="AB463" s="258"/>
      <c r="AC463" s="407"/>
    </row>
    <row r="464" spans="2:29" s="406" customFormat="1" ht="16.5" customHeight="1">
      <c r="B464" s="255"/>
      <c r="C464" s="255"/>
      <c r="D464" s="257"/>
      <c r="E464" s="257"/>
      <c r="F464" s="257"/>
      <c r="G464" s="252"/>
      <c r="H464" s="252"/>
      <c r="I464" s="252"/>
      <c r="J464" s="252"/>
      <c r="K464" s="252"/>
      <c r="L464" s="252"/>
      <c r="M464" s="253"/>
      <c r="N464" s="253"/>
      <c r="O464" s="258"/>
      <c r="P464" s="258"/>
      <c r="Q464" s="258"/>
      <c r="R464" s="258"/>
      <c r="S464" s="258"/>
      <c r="T464" s="258"/>
      <c r="U464" s="258"/>
      <c r="V464" s="258"/>
      <c r="W464" s="258"/>
      <c r="X464" s="258"/>
      <c r="Y464" s="258"/>
      <c r="Z464" s="258"/>
      <c r="AA464" s="258"/>
      <c r="AB464" s="258"/>
      <c r="AC464" s="407"/>
    </row>
    <row r="465" spans="2:29" s="406" customFormat="1" ht="16.5" customHeight="1">
      <c r="B465" s="255"/>
      <c r="C465" s="255"/>
      <c r="D465" s="257"/>
      <c r="E465" s="257"/>
      <c r="F465" s="257"/>
      <c r="G465" s="252"/>
      <c r="H465" s="252"/>
      <c r="I465" s="252"/>
      <c r="J465" s="252"/>
      <c r="K465" s="252"/>
      <c r="L465" s="252"/>
      <c r="M465" s="253"/>
      <c r="N465" s="253"/>
      <c r="O465" s="258"/>
      <c r="P465" s="258"/>
      <c r="Q465" s="258"/>
      <c r="R465" s="258"/>
      <c r="S465" s="258"/>
      <c r="T465" s="258"/>
      <c r="U465" s="258"/>
      <c r="V465" s="258"/>
      <c r="W465" s="258"/>
      <c r="X465" s="258"/>
      <c r="Y465" s="258"/>
      <c r="Z465" s="258"/>
      <c r="AA465" s="258"/>
      <c r="AB465" s="258"/>
      <c r="AC465" s="407"/>
    </row>
    <row r="466" spans="2:29" s="406" customFormat="1" ht="16.5" customHeight="1">
      <c r="B466" s="255"/>
      <c r="C466" s="255"/>
      <c r="D466" s="257"/>
      <c r="E466" s="257"/>
      <c r="F466" s="257"/>
      <c r="G466" s="252"/>
      <c r="H466" s="252"/>
      <c r="I466" s="252"/>
      <c r="J466" s="252"/>
      <c r="K466" s="252"/>
      <c r="L466" s="252"/>
      <c r="M466" s="253"/>
      <c r="N466" s="253"/>
      <c r="O466" s="258"/>
      <c r="P466" s="258"/>
      <c r="Q466" s="258"/>
      <c r="R466" s="258"/>
      <c r="S466" s="258"/>
      <c r="T466" s="258"/>
      <c r="U466" s="258"/>
      <c r="V466" s="258"/>
      <c r="W466" s="258"/>
      <c r="X466" s="258"/>
      <c r="Y466" s="258"/>
      <c r="Z466" s="258"/>
      <c r="AA466" s="258"/>
      <c r="AB466" s="258"/>
      <c r="AC466" s="407"/>
    </row>
    <row r="467" spans="2:29" s="406" customFormat="1" ht="16.5" customHeight="1">
      <c r="B467" s="255"/>
      <c r="C467" s="255"/>
      <c r="D467" s="257"/>
      <c r="E467" s="257"/>
      <c r="F467" s="257"/>
      <c r="G467" s="252"/>
      <c r="H467" s="252"/>
      <c r="I467" s="252"/>
      <c r="J467" s="252"/>
      <c r="K467" s="252"/>
      <c r="L467" s="252"/>
      <c r="M467" s="253"/>
      <c r="N467" s="253"/>
      <c r="O467" s="258"/>
      <c r="P467" s="258"/>
      <c r="Q467" s="258"/>
      <c r="R467" s="258"/>
      <c r="S467" s="258"/>
      <c r="T467" s="258"/>
      <c r="U467" s="258"/>
      <c r="V467" s="258"/>
      <c r="W467" s="258"/>
      <c r="X467" s="258"/>
      <c r="Y467" s="258"/>
      <c r="Z467" s="258"/>
      <c r="AA467" s="258"/>
      <c r="AB467" s="258"/>
      <c r="AC467" s="407"/>
    </row>
    <row r="468" spans="2:29" s="406" customFormat="1" ht="16.5" customHeight="1">
      <c r="B468" s="255"/>
      <c r="C468" s="255"/>
      <c r="D468" s="257"/>
      <c r="E468" s="257"/>
      <c r="F468" s="257"/>
      <c r="G468" s="252"/>
      <c r="H468" s="252"/>
      <c r="I468" s="252"/>
      <c r="J468" s="252"/>
      <c r="K468" s="252"/>
      <c r="L468" s="252"/>
      <c r="M468" s="253"/>
      <c r="N468" s="253"/>
      <c r="O468" s="258"/>
      <c r="P468" s="258"/>
      <c r="Q468" s="258"/>
      <c r="R468" s="258"/>
      <c r="S468" s="258"/>
      <c r="T468" s="258"/>
      <c r="U468" s="258"/>
      <c r="V468" s="258"/>
      <c r="W468" s="258"/>
      <c r="X468" s="258"/>
      <c r="Y468" s="258"/>
      <c r="Z468" s="258"/>
      <c r="AA468" s="258"/>
      <c r="AB468" s="258"/>
      <c r="AC468" s="407"/>
    </row>
    <row r="469" spans="2:29" s="406" customFormat="1" ht="16.5" customHeight="1">
      <c r="B469" s="255"/>
      <c r="C469" s="255"/>
      <c r="D469" s="257"/>
      <c r="E469" s="257"/>
      <c r="F469" s="257"/>
      <c r="G469" s="252"/>
      <c r="H469" s="252"/>
      <c r="I469" s="252"/>
      <c r="J469" s="252"/>
      <c r="K469" s="252"/>
      <c r="L469" s="252"/>
      <c r="M469" s="253"/>
      <c r="N469" s="253"/>
      <c r="O469" s="258"/>
      <c r="P469" s="258"/>
      <c r="Q469" s="258"/>
      <c r="R469" s="258"/>
      <c r="S469" s="258"/>
      <c r="T469" s="258"/>
      <c r="U469" s="258"/>
      <c r="V469" s="258"/>
      <c r="W469" s="258"/>
      <c r="X469" s="258"/>
      <c r="Y469" s="258"/>
      <c r="Z469" s="258"/>
      <c r="AA469" s="258"/>
      <c r="AB469" s="258"/>
      <c r="AC469" s="407"/>
    </row>
    <row r="470" spans="2:29" s="406" customFormat="1" ht="16.5" customHeight="1">
      <c r="B470" s="255"/>
      <c r="C470" s="255"/>
      <c r="D470" s="257"/>
      <c r="E470" s="257"/>
      <c r="F470" s="257"/>
      <c r="G470" s="252"/>
      <c r="H470" s="252"/>
      <c r="I470" s="252"/>
      <c r="J470" s="252"/>
      <c r="K470" s="252"/>
      <c r="L470" s="252"/>
      <c r="M470" s="253"/>
      <c r="N470" s="253"/>
      <c r="O470" s="258"/>
      <c r="P470" s="258"/>
      <c r="Q470" s="258"/>
      <c r="R470" s="258"/>
      <c r="S470" s="258"/>
      <c r="T470" s="258"/>
      <c r="U470" s="258"/>
      <c r="V470" s="258"/>
      <c r="W470" s="258"/>
      <c r="X470" s="258"/>
      <c r="Y470" s="258"/>
      <c r="Z470" s="258"/>
      <c r="AA470" s="258"/>
      <c r="AB470" s="258"/>
      <c r="AC470" s="407"/>
    </row>
    <row r="471" spans="2:29" s="406" customFormat="1" ht="16.5" customHeight="1">
      <c r="B471" s="255"/>
      <c r="C471" s="255"/>
      <c r="D471" s="257"/>
      <c r="E471" s="257"/>
      <c r="F471" s="257"/>
      <c r="G471" s="252"/>
      <c r="H471" s="252"/>
      <c r="I471" s="252"/>
      <c r="J471" s="252"/>
      <c r="K471" s="252"/>
      <c r="L471" s="252"/>
      <c r="M471" s="253"/>
      <c r="N471" s="253"/>
      <c r="O471" s="258"/>
      <c r="P471" s="258"/>
      <c r="Q471" s="258"/>
      <c r="R471" s="258"/>
      <c r="S471" s="258"/>
      <c r="T471" s="258"/>
      <c r="U471" s="258"/>
      <c r="V471" s="258"/>
      <c r="W471" s="258"/>
      <c r="X471" s="258"/>
      <c r="Y471" s="258"/>
      <c r="Z471" s="258"/>
      <c r="AA471" s="258"/>
      <c r="AB471" s="258"/>
      <c r="AC471" s="407"/>
    </row>
    <row r="472" spans="2:29" s="406" customFormat="1" ht="16.5" customHeight="1">
      <c r="B472" s="255"/>
      <c r="C472" s="255"/>
      <c r="D472" s="257"/>
      <c r="E472" s="257"/>
      <c r="F472" s="257"/>
      <c r="G472" s="252"/>
      <c r="H472" s="252"/>
      <c r="I472" s="252"/>
      <c r="J472" s="252"/>
      <c r="K472" s="252"/>
      <c r="L472" s="252"/>
      <c r="M472" s="253"/>
      <c r="N472" s="253"/>
      <c r="O472" s="258"/>
      <c r="P472" s="258"/>
      <c r="Q472" s="258"/>
      <c r="R472" s="258"/>
      <c r="S472" s="258"/>
      <c r="T472" s="258"/>
      <c r="U472" s="258"/>
      <c r="V472" s="258"/>
      <c r="W472" s="258"/>
      <c r="X472" s="258"/>
      <c r="Y472" s="258"/>
      <c r="Z472" s="258"/>
      <c r="AA472" s="258"/>
      <c r="AB472" s="258"/>
      <c r="AC472" s="407"/>
    </row>
    <row r="473" spans="2:29" s="406" customFormat="1" ht="16.5" customHeight="1">
      <c r="B473" s="255"/>
      <c r="C473" s="255"/>
      <c r="D473" s="257"/>
      <c r="E473" s="257"/>
      <c r="F473" s="257"/>
      <c r="G473" s="252"/>
      <c r="H473" s="252"/>
      <c r="I473" s="252"/>
      <c r="J473" s="252"/>
      <c r="K473" s="252"/>
      <c r="L473" s="252"/>
      <c r="M473" s="253"/>
      <c r="N473" s="253"/>
      <c r="O473" s="258"/>
      <c r="P473" s="258"/>
      <c r="Q473" s="258"/>
      <c r="R473" s="258"/>
      <c r="S473" s="258"/>
      <c r="T473" s="258"/>
      <c r="U473" s="258"/>
      <c r="V473" s="258"/>
      <c r="W473" s="258"/>
      <c r="X473" s="258"/>
      <c r="Y473" s="258"/>
      <c r="Z473" s="258"/>
      <c r="AA473" s="258"/>
      <c r="AB473" s="258"/>
      <c r="AC473" s="407"/>
    </row>
    <row r="474" spans="2:29" s="406" customFormat="1" ht="16.5" customHeight="1">
      <c r="B474" s="255"/>
      <c r="C474" s="255"/>
      <c r="D474" s="257"/>
      <c r="E474" s="257"/>
      <c r="F474" s="257"/>
      <c r="G474" s="252"/>
      <c r="H474" s="252"/>
      <c r="I474" s="252"/>
      <c r="J474" s="252"/>
      <c r="K474" s="252"/>
      <c r="L474" s="252"/>
      <c r="M474" s="253"/>
      <c r="N474" s="253"/>
      <c r="O474" s="258"/>
      <c r="P474" s="258"/>
      <c r="Q474" s="258"/>
      <c r="R474" s="258"/>
      <c r="S474" s="258"/>
      <c r="T474" s="258"/>
      <c r="U474" s="258"/>
      <c r="V474" s="258"/>
      <c r="W474" s="258"/>
      <c r="X474" s="258"/>
      <c r="Y474" s="258"/>
      <c r="Z474" s="258"/>
      <c r="AA474" s="258"/>
      <c r="AB474" s="258"/>
      <c r="AC474" s="407"/>
    </row>
    <row r="475" spans="2:29" s="406" customFormat="1" ht="16.5" customHeight="1">
      <c r="B475" s="255"/>
      <c r="C475" s="255"/>
      <c r="D475" s="257"/>
      <c r="E475" s="257"/>
      <c r="F475" s="257"/>
      <c r="G475" s="252"/>
      <c r="H475" s="252"/>
      <c r="I475" s="252"/>
      <c r="J475" s="252"/>
      <c r="K475" s="252"/>
      <c r="L475" s="252"/>
      <c r="M475" s="253"/>
      <c r="N475" s="253"/>
      <c r="O475" s="258"/>
      <c r="P475" s="258"/>
      <c r="Q475" s="258"/>
      <c r="R475" s="258"/>
      <c r="S475" s="258"/>
      <c r="T475" s="258"/>
      <c r="U475" s="258"/>
      <c r="V475" s="258"/>
      <c r="W475" s="258"/>
      <c r="X475" s="258"/>
      <c r="Y475" s="258"/>
      <c r="Z475" s="258"/>
      <c r="AA475" s="258"/>
      <c r="AB475" s="258"/>
      <c r="AC475" s="407"/>
    </row>
    <row r="476" spans="2:29" s="406" customFormat="1" ht="16.5" customHeight="1">
      <c r="B476" s="255"/>
      <c r="C476" s="255"/>
      <c r="D476" s="257"/>
      <c r="E476" s="257"/>
      <c r="F476" s="257"/>
      <c r="G476" s="252"/>
      <c r="H476" s="252"/>
      <c r="I476" s="252"/>
      <c r="J476" s="252"/>
      <c r="K476" s="252"/>
      <c r="L476" s="252"/>
      <c r="M476" s="253"/>
      <c r="N476" s="253"/>
      <c r="O476" s="258"/>
      <c r="P476" s="258"/>
      <c r="Q476" s="258"/>
      <c r="R476" s="258"/>
      <c r="S476" s="258"/>
      <c r="T476" s="258"/>
      <c r="U476" s="258"/>
      <c r="V476" s="258"/>
      <c r="W476" s="258"/>
      <c r="X476" s="258"/>
      <c r="Y476" s="258"/>
      <c r="Z476" s="258"/>
      <c r="AA476" s="258"/>
      <c r="AB476" s="258"/>
      <c r="AC476" s="407"/>
    </row>
    <row r="477" spans="2:29" s="406" customFormat="1" ht="16.5" customHeight="1">
      <c r="B477" s="255"/>
      <c r="C477" s="255"/>
      <c r="D477" s="257"/>
      <c r="E477" s="257"/>
      <c r="F477" s="257"/>
      <c r="G477" s="252"/>
      <c r="H477" s="252"/>
      <c r="I477" s="252"/>
      <c r="J477" s="252"/>
      <c r="K477" s="252"/>
      <c r="L477" s="252"/>
      <c r="M477" s="253"/>
      <c r="N477" s="253"/>
      <c r="O477" s="258"/>
      <c r="P477" s="258"/>
      <c r="Q477" s="258"/>
      <c r="R477" s="258"/>
      <c r="S477" s="258"/>
      <c r="T477" s="258"/>
      <c r="U477" s="258"/>
      <c r="V477" s="258"/>
      <c r="W477" s="258"/>
      <c r="X477" s="258"/>
      <c r="Y477" s="258"/>
      <c r="Z477" s="258"/>
      <c r="AA477" s="258"/>
      <c r="AB477" s="258"/>
      <c r="AC477" s="407"/>
    </row>
    <row r="478" spans="2:29" s="406" customFormat="1" ht="16.5" customHeight="1">
      <c r="B478" s="255"/>
      <c r="C478" s="255"/>
      <c r="D478" s="257"/>
      <c r="E478" s="257"/>
      <c r="F478" s="257"/>
      <c r="G478" s="252"/>
      <c r="H478" s="252"/>
      <c r="I478" s="252"/>
      <c r="J478" s="252"/>
      <c r="K478" s="252"/>
      <c r="L478" s="252"/>
      <c r="M478" s="253"/>
      <c r="N478" s="253"/>
      <c r="O478" s="258"/>
      <c r="P478" s="258"/>
      <c r="Q478" s="258"/>
      <c r="R478" s="258"/>
      <c r="S478" s="258"/>
      <c r="T478" s="258"/>
      <c r="U478" s="258"/>
      <c r="V478" s="258"/>
      <c r="W478" s="258"/>
      <c r="X478" s="258"/>
      <c r="Y478" s="258"/>
      <c r="Z478" s="258"/>
      <c r="AA478" s="258"/>
      <c r="AB478" s="258"/>
      <c r="AC478" s="407"/>
    </row>
    <row r="479" spans="2:29" s="406" customFormat="1" ht="16.5" customHeight="1">
      <c r="B479" s="255"/>
      <c r="C479" s="255"/>
      <c r="D479" s="257"/>
      <c r="E479" s="257"/>
      <c r="F479" s="257"/>
      <c r="G479" s="252"/>
      <c r="H479" s="252"/>
      <c r="I479" s="252"/>
      <c r="J479" s="252"/>
      <c r="K479" s="252"/>
      <c r="L479" s="252"/>
      <c r="M479" s="253"/>
      <c r="N479" s="253"/>
      <c r="O479" s="258"/>
      <c r="P479" s="258"/>
      <c r="Q479" s="258"/>
      <c r="R479" s="258"/>
      <c r="S479" s="258"/>
      <c r="T479" s="258"/>
      <c r="U479" s="258"/>
      <c r="V479" s="258"/>
      <c r="W479" s="258"/>
      <c r="X479" s="258"/>
      <c r="Y479" s="258"/>
      <c r="Z479" s="258"/>
      <c r="AA479" s="258"/>
      <c r="AB479" s="258"/>
      <c r="AC479" s="407"/>
    </row>
    <row r="480" spans="2:29" s="406" customFormat="1" ht="16.5" customHeight="1">
      <c r="B480" s="255"/>
      <c r="C480" s="255"/>
      <c r="D480" s="257"/>
      <c r="E480" s="257"/>
      <c r="F480" s="257"/>
      <c r="G480" s="252"/>
      <c r="H480" s="252"/>
      <c r="I480" s="252"/>
      <c r="J480" s="252"/>
      <c r="K480" s="252"/>
      <c r="L480" s="252"/>
      <c r="M480" s="253"/>
      <c r="N480" s="253"/>
      <c r="O480" s="258"/>
      <c r="P480" s="258"/>
      <c r="Q480" s="258"/>
      <c r="R480" s="258"/>
      <c r="S480" s="258"/>
      <c r="T480" s="258"/>
      <c r="U480" s="258"/>
      <c r="V480" s="258"/>
      <c r="W480" s="258"/>
      <c r="X480" s="258"/>
      <c r="Y480" s="258"/>
      <c r="Z480" s="258"/>
      <c r="AA480" s="258"/>
      <c r="AB480" s="258"/>
      <c r="AC480" s="407"/>
    </row>
    <row r="481" spans="2:29" s="406" customFormat="1" ht="16.5" customHeight="1">
      <c r="B481" s="255"/>
      <c r="C481" s="255"/>
      <c r="D481" s="257"/>
      <c r="E481" s="257"/>
      <c r="F481" s="257"/>
      <c r="G481" s="252"/>
      <c r="H481" s="252"/>
      <c r="I481" s="252"/>
      <c r="J481" s="252"/>
      <c r="K481" s="252"/>
      <c r="L481" s="252"/>
      <c r="M481" s="253"/>
      <c r="N481" s="253"/>
      <c r="O481" s="258"/>
      <c r="P481" s="258"/>
      <c r="Q481" s="258"/>
      <c r="R481" s="258"/>
      <c r="S481" s="258"/>
      <c r="T481" s="258"/>
      <c r="U481" s="258"/>
      <c r="V481" s="258"/>
      <c r="W481" s="258"/>
      <c r="X481" s="258"/>
      <c r="Y481" s="258"/>
      <c r="Z481" s="258"/>
      <c r="AA481" s="258"/>
      <c r="AB481" s="258"/>
      <c r="AC481" s="407"/>
    </row>
    <row r="482" spans="2:29" s="406" customFormat="1" ht="16.5" customHeight="1">
      <c r="B482" s="255"/>
      <c r="C482" s="255"/>
      <c r="D482" s="257"/>
      <c r="E482" s="257"/>
      <c r="F482" s="257"/>
      <c r="G482" s="252"/>
      <c r="H482" s="252"/>
      <c r="I482" s="252"/>
      <c r="J482" s="252"/>
      <c r="K482" s="252"/>
      <c r="L482" s="252"/>
      <c r="M482" s="253"/>
      <c r="N482" s="253"/>
      <c r="O482" s="258"/>
      <c r="P482" s="258"/>
      <c r="Q482" s="258"/>
      <c r="R482" s="258"/>
      <c r="S482" s="258"/>
      <c r="T482" s="258"/>
      <c r="U482" s="258"/>
      <c r="V482" s="258"/>
      <c r="W482" s="258"/>
      <c r="X482" s="258"/>
      <c r="Y482" s="258"/>
      <c r="Z482" s="258"/>
      <c r="AA482" s="258"/>
      <c r="AB482" s="258"/>
      <c r="AC482" s="407"/>
    </row>
    <row r="483" spans="2:29" s="406" customFormat="1" ht="16.5" customHeight="1">
      <c r="B483" s="255"/>
      <c r="C483" s="255"/>
      <c r="D483" s="257"/>
      <c r="E483" s="257"/>
      <c r="F483" s="257"/>
      <c r="G483" s="252"/>
      <c r="H483" s="252"/>
      <c r="I483" s="252"/>
      <c r="J483" s="252"/>
      <c r="K483" s="252"/>
      <c r="L483" s="252"/>
      <c r="M483" s="253"/>
      <c r="N483" s="253"/>
      <c r="O483" s="258"/>
      <c r="P483" s="258"/>
      <c r="Q483" s="258"/>
      <c r="R483" s="258"/>
      <c r="S483" s="258"/>
      <c r="T483" s="258"/>
      <c r="U483" s="258"/>
      <c r="V483" s="258"/>
      <c r="W483" s="258"/>
      <c r="X483" s="258"/>
      <c r="Y483" s="258"/>
      <c r="Z483" s="258"/>
      <c r="AA483" s="258"/>
      <c r="AB483" s="258"/>
      <c r="AC483" s="407"/>
    </row>
    <row r="484" spans="2:29" s="406" customFormat="1" ht="16.5" customHeight="1">
      <c r="B484" s="255"/>
      <c r="C484" s="255"/>
      <c r="D484" s="257"/>
      <c r="E484" s="257"/>
      <c r="F484" s="257"/>
      <c r="G484" s="252"/>
      <c r="H484" s="252"/>
      <c r="I484" s="252"/>
      <c r="J484" s="252"/>
      <c r="K484" s="252"/>
      <c r="L484" s="252"/>
      <c r="M484" s="253"/>
      <c r="N484" s="253"/>
      <c r="O484" s="258"/>
      <c r="P484" s="258"/>
      <c r="Q484" s="258"/>
      <c r="R484" s="258"/>
      <c r="S484" s="258"/>
      <c r="T484" s="258"/>
      <c r="U484" s="258"/>
      <c r="V484" s="258"/>
      <c r="W484" s="258"/>
      <c r="X484" s="258"/>
      <c r="Y484" s="258"/>
      <c r="Z484" s="258"/>
      <c r="AA484" s="258"/>
      <c r="AB484" s="258"/>
      <c r="AC484" s="407"/>
    </row>
    <row r="485" spans="2:29" s="406" customFormat="1" ht="16.5" customHeight="1">
      <c r="B485" s="255"/>
      <c r="C485" s="255"/>
      <c r="D485" s="257"/>
      <c r="E485" s="257"/>
      <c r="F485" s="257"/>
      <c r="G485" s="252"/>
      <c r="H485" s="252"/>
      <c r="I485" s="252"/>
      <c r="J485" s="252"/>
      <c r="K485" s="252"/>
      <c r="L485" s="252"/>
      <c r="M485" s="253"/>
      <c r="N485" s="253"/>
      <c r="O485" s="258"/>
      <c r="P485" s="258"/>
      <c r="Q485" s="258"/>
      <c r="R485" s="258"/>
      <c r="S485" s="258"/>
      <c r="T485" s="258"/>
      <c r="U485" s="258"/>
      <c r="V485" s="258"/>
      <c r="W485" s="258"/>
      <c r="X485" s="258"/>
      <c r="Y485" s="258"/>
      <c r="Z485" s="258"/>
      <c r="AA485" s="258"/>
      <c r="AB485" s="258"/>
      <c r="AC485" s="407"/>
    </row>
    <row r="486" spans="2:29" s="406" customFormat="1" ht="16.5" customHeight="1">
      <c r="B486" s="255"/>
      <c r="C486" s="255"/>
      <c r="D486" s="257"/>
      <c r="E486" s="257"/>
      <c r="F486" s="257"/>
      <c r="G486" s="252"/>
      <c r="H486" s="252"/>
      <c r="I486" s="252"/>
      <c r="J486" s="252"/>
      <c r="K486" s="252"/>
      <c r="L486" s="252"/>
      <c r="M486" s="253"/>
      <c r="N486" s="253"/>
      <c r="O486" s="258"/>
      <c r="P486" s="258"/>
      <c r="Q486" s="258"/>
      <c r="R486" s="258"/>
      <c r="S486" s="258"/>
      <c r="T486" s="258"/>
      <c r="U486" s="258"/>
      <c r="V486" s="258"/>
      <c r="W486" s="258"/>
      <c r="X486" s="258"/>
      <c r="Y486" s="258"/>
      <c r="Z486" s="258"/>
      <c r="AA486" s="258"/>
      <c r="AB486" s="258"/>
      <c r="AC486" s="407"/>
    </row>
    <row r="487" spans="2:29" s="406" customFormat="1" ht="16.5" customHeight="1">
      <c r="B487" s="255"/>
      <c r="C487" s="255"/>
      <c r="D487" s="257"/>
      <c r="E487" s="257"/>
      <c r="F487" s="257"/>
      <c r="G487" s="252"/>
      <c r="H487" s="252"/>
      <c r="I487" s="252"/>
      <c r="J487" s="252"/>
      <c r="K487" s="252"/>
      <c r="L487" s="252"/>
      <c r="M487" s="253"/>
      <c r="N487" s="253"/>
      <c r="O487" s="258"/>
      <c r="P487" s="258"/>
      <c r="Q487" s="258"/>
      <c r="R487" s="258"/>
      <c r="S487" s="258"/>
      <c r="T487" s="258"/>
      <c r="U487" s="258"/>
      <c r="V487" s="258"/>
      <c r="W487" s="258"/>
      <c r="X487" s="258"/>
      <c r="Y487" s="258"/>
      <c r="Z487" s="258"/>
      <c r="AA487" s="258"/>
      <c r="AB487" s="258"/>
      <c r="AC487" s="407"/>
    </row>
    <row r="488" spans="2:29" s="406" customFormat="1" ht="16.5" customHeight="1">
      <c r="B488" s="255"/>
      <c r="C488" s="255"/>
      <c r="D488" s="257"/>
      <c r="E488" s="257"/>
      <c r="F488" s="257"/>
      <c r="G488" s="252"/>
      <c r="H488" s="252"/>
      <c r="I488" s="252"/>
      <c r="J488" s="252"/>
      <c r="K488" s="252"/>
      <c r="L488" s="252"/>
      <c r="M488" s="253"/>
      <c r="N488" s="253"/>
      <c r="O488" s="258"/>
      <c r="P488" s="258"/>
      <c r="Q488" s="258"/>
      <c r="R488" s="258"/>
      <c r="S488" s="258"/>
      <c r="T488" s="258"/>
      <c r="U488" s="258"/>
      <c r="V488" s="258"/>
      <c r="W488" s="258"/>
      <c r="X488" s="258"/>
      <c r="Y488" s="258"/>
      <c r="Z488" s="258"/>
      <c r="AA488" s="258"/>
      <c r="AB488" s="258"/>
      <c r="AC488" s="407"/>
    </row>
    <row r="489" spans="2:29" s="406" customFormat="1" ht="16.5" customHeight="1">
      <c r="B489" s="255"/>
      <c r="C489" s="255"/>
      <c r="D489" s="257"/>
      <c r="E489" s="257"/>
      <c r="F489" s="257"/>
      <c r="G489" s="252"/>
      <c r="H489" s="252"/>
      <c r="I489" s="252"/>
      <c r="J489" s="252"/>
      <c r="K489" s="252"/>
      <c r="L489" s="252"/>
      <c r="M489" s="253"/>
      <c r="N489" s="253"/>
      <c r="O489" s="258"/>
      <c r="P489" s="258"/>
      <c r="Q489" s="258"/>
      <c r="R489" s="258"/>
      <c r="S489" s="258"/>
      <c r="T489" s="258"/>
      <c r="U489" s="258"/>
      <c r="V489" s="258"/>
      <c r="W489" s="258"/>
      <c r="X489" s="258"/>
      <c r="Y489" s="258"/>
      <c r="Z489" s="258"/>
      <c r="AA489" s="258"/>
      <c r="AB489" s="258"/>
      <c r="AC489" s="407"/>
    </row>
    <row r="490" spans="2:29" s="406" customFormat="1" ht="16.5" customHeight="1">
      <c r="B490" s="255"/>
      <c r="C490" s="255"/>
      <c r="D490" s="257"/>
      <c r="E490" s="257"/>
      <c r="F490" s="257"/>
      <c r="G490" s="252"/>
      <c r="H490" s="252"/>
      <c r="I490" s="252"/>
      <c r="J490" s="252"/>
      <c r="K490" s="252"/>
      <c r="L490" s="252"/>
      <c r="M490" s="253"/>
      <c r="N490" s="253"/>
      <c r="O490" s="258"/>
      <c r="P490" s="258"/>
      <c r="Q490" s="258"/>
      <c r="R490" s="258"/>
      <c r="S490" s="258"/>
      <c r="T490" s="258"/>
      <c r="U490" s="258"/>
      <c r="V490" s="258"/>
      <c r="W490" s="258"/>
      <c r="X490" s="258"/>
      <c r="Y490" s="258"/>
      <c r="Z490" s="258"/>
      <c r="AA490" s="258"/>
      <c r="AB490" s="258"/>
      <c r="AC490" s="407"/>
    </row>
    <row r="491" spans="2:29" s="406" customFormat="1" ht="16.5" customHeight="1">
      <c r="B491" s="255"/>
      <c r="C491" s="255"/>
      <c r="D491" s="257"/>
      <c r="E491" s="257"/>
      <c r="F491" s="257"/>
      <c r="G491" s="252"/>
      <c r="H491" s="252"/>
      <c r="I491" s="252"/>
      <c r="J491" s="252"/>
      <c r="K491" s="252"/>
      <c r="L491" s="252"/>
      <c r="M491" s="253"/>
      <c r="N491" s="253"/>
      <c r="O491" s="258"/>
      <c r="P491" s="258"/>
      <c r="Q491" s="258"/>
      <c r="R491" s="258"/>
      <c r="S491" s="258"/>
      <c r="T491" s="258"/>
      <c r="U491" s="258"/>
      <c r="V491" s="258"/>
      <c r="W491" s="258"/>
      <c r="X491" s="258"/>
      <c r="Y491" s="258"/>
      <c r="Z491" s="258"/>
      <c r="AA491" s="258"/>
      <c r="AB491" s="258"/>
      <c r="AC491" s="407"/>
    </row>
    <row r="492" spans="2:29" s="406" customFormat="1" ht="16.5" customHeight="1">
      <c r="B492" s="255"/>
      <c r="C492" s="255"/>
      <c r="D492" s="257"/>
      <c r="E492" s="257"/>
      <c r="F492" s="257"/>
      <c r="G492" s="252"/>
      <c r="H492" s="252"/>
      <c r="I492" s="252"/>
      <c r="J492" s="252"/>
      <c r="K492" s="252"/>
      <c r="L492" s="252"/>
      <c r="M492" s="253"/>
      <c r="N492" s="253"/>
      <c r="O492" s="258"/>
      <c r="P492" s="258"/>
      <c r="Q492" s="258"/>
      <c r="R492" s="258"/>
      <c r="S492" s="258"/>
      <c r="T492" s="258"/>
      <c r="U492" s="258"/>
      <c r="V492" s="258"/>
      <c r="W492" s="258"/>
      <c r="X492" s="258"/>
      <c r="Y492" s="258"/>
      <c r="Z492" s="258"/>
      <c r="AA492" s="258"/>
      <c r="AB492" s="258"/>
      <c r="AC492" s="407"/>
    </row>
    <row r="493" spans="2:29" s="406" customFormat="1" ht="16.5" customHeight="1">
      <c r="B493" s="255"/>
      <c r="C493" s="255"/>
      <c r="D493" s="257"/>
      <c r="E493" s="257"/>
      <c r="F493" s="257"/>
      <c r="G493" s="252"/>
      <c r="H493" s="252"/>
      <c r="I493" s="252"/>
      <c r="J493" s="252"/>
      <c r="K493" s="252"/>
      <c r="L493" s="252"/>
      <c r="M493" s="253"/>
      <c r="N493" s="253"/>
      <c r="O493" s="258"/>
      <c r="P493" s="258"/>
      <c r="Q493" s="258"/>
      <c r="R493" s="258"/>
      <c r="S493" s="258"/>
      <c r="T493" s="258"/>
      <c r="U493" s="258"/>
      <c r="V493" s="258"/>
      <c r="W493" s="258"/>
      <c r="X493" s="258"/>
      <c r="Y493" s="258"/>
      <c r="Z493" s="258"/>
      <c r="AA493" s="258"/>
      <c r="AB493" s="258"/>
      <c r="AC493" s="407"/>
    </row>
    <row r="494" spans="2:29" s="406" customFormat="1" ht="16.5" customHeight="1">
      <c r="B494" s="255"/>
      <c r="C494" s="255"/>
      <c r="D494" s="257"/>
      <c r="E494" s="257"/>
      <c r="F494" s="257"/>
      <c r="G494" s="252"/>
      <c r="H494" s="252"/>
      <c r="I494" s="252"/>
      <c r="J494" s="252"/>
      <c r="K494" s="252"/>
      <c r="L494" s="252"/>
      <c r="M494" s="253"/>
      <c r="N494" s="253"/>
      <c r="O494" s="258"/>
      <c r="P494" s="258"/>
      <c r="Q494" s="258"/>
      <c r="R494" s="258"/>
      <c r="S494" s="258"/>
      <c r="T494" s="258"/>
      <c r="U494" s="258"/>
      <c r="V494" s="258"/>
      <c r="W494" s="258"/>
      <c r="X494" s="258"/>
      <c r="Y494" s="258"/>
      <c r="Z494" s="258"/>
      <c r="AA494" s="258"/>
      <c r="AB494" s="258"/>
      <c r="AC494" s="407"/>
    </row>
    <row r="495" spans="2:29" s="406" customFormat="1" ht="16.5" customHeight="1">
      <c r="B495" s="255"/>
      <c r="C495" s="255"/>
      <c r="D495" s="257"/>
      <c r="E495" s="257"/>
      <c r="F495" s="257"/>
      <c r="G495" s="252"/>
      <c r="H495" s="252"/>
      <c r="I495" s="252"/>
      <c r="J495" s="252"/>
      <c r="K495" s="252"/>
      <c r="L495" s="252"/>
      <c r="M495" s="253"/>
      <c r="N495" s="253"/>
      <c r="O495" s="258"/>
      <c r="P495" s="258"/>
      <c r="Q495" s="258"/>
      <c r="R495" s="258"/>
      <c r="S495" s="258"/>
      <c r="T495" s="258"/>
      <c r="U495" s="258"/>
      <c r="V495" s="258"/>
      <c r="W495" s="258"/>
      <c r="X495" s="258"/>
      <c r="Y495" s="258"/>
      <c r="Z495" s="258"/>
      <c r="AA495" s="258"/>
      <c r="AB495" s="258"/>
      <c r="AC495" s="407"/>
    </row>
    <row r="496" spans="2:29" s="406" customFormat="1" ht="16.5" customHeight="1">
      <c r="B496" s="255"/>
      <c r="C496" s="255"/>
      <c r="D496" s="257"/>
      <c r="E496" s="257"/>
      <c r="F496" s="257"/>
      <c r="G496" s="252"/>
      <c r="H496" s="252"/>
      <c r="I496" s="252"/>
      <c r="J496" s="252"/>
      <c r="K496" s="252"/>
      <c r="L496" s="252"/>
      <c r="M496" s="253"/>
      <c r="N496" s="253"/>
      <c r="O496" s="258"/>
      <c r="P496" s="258"/>
      <c r="Q496" s="258"/>
      <c r="R496" s="258"/>
      <c r="S496" s="258"/>
      <c r="T496" s="258"/>
      <c r="U496" s="258"/>
      <c r="V496" s="258"/>
      <c r="W496" s="258"/>
      <c r="X496" s="258"/>
      <c r="Y496" s="258"/>
      <c r="Z496" s="258"/>
      <c r="AA496" s="258"/>
      <c r="AB496" s="258"/>
      <c r="AC496" s="407"/>
    </row>
    <row r="497" spans="2:29" s="406" customFormat="1" ht="16.5" customHeight="1">
      <c r="B497" s="255"/>
      <c r="C497" s="255"/>
      <c r="D497" s="257"/>
      <c r="E497" s="257"/>
      <c r="F497" s="257"/>
      <c r="G497" s="252"/>
      <c r="H497" s="252"/>
      <c r="I497" s="252"/>
      <c r="J497" s="252"/>
      <c r="K497" s="252"/>
      <c r="L497" s="252"/>
      <c r="M497" s="253"/>
      <c r="N497" s="253"/>
      <c r="O497" s="258"/>
      <c r="P497" s="258"/>
      <c r="Q497" s="258"/>
      <c r="R497" s="258"/>
      <c r="S497" s="258"/>
      <c r="T497" s="258"/>
      <c r="U497" s="258"/>
      <c r="V497" s="258"/>
      <c r="W497" s="258"/>
      <c r="X497" s="258"/>
      <c r="Y497" s="258"/>
      <c r="Z497" s="258"/>
      <c r="AA497" s="258"/>
      <c r="AB497" s="258"/>
      <c r="AC497" s="407"/>
    </row>
    <row r="498" spans="2:29" s="406" customFormat="1" ht="16.5" customHeight="1">
      <c r="B498" s="255"/>
      <c r="C498" s="255"/>
      <c r="D498" s="257"/>
      <c r="E498" s="257"/>
      <c r="F498" s="257"/>
      <c r="G498" s="252"/>
      <c r="H498" s="252"/>
      <c r="I498" s="252"/>
      <c r="J498" s="252"/>
      <c r="K498" s="252"/>
      <c r="L498" s="252"/>
      <c r="M498" s="253"/>
      <c r="N498" s="253"/>
      <c r="O498" s="258"/>
      <c r="P498" s="258"/>
      <c r="Q498" s="258"/>
      <c r="R498" s="258"/>
      <c r="S498" s="258"/>
      <c r="T498" s="258"/>
      <c r="U498" s="258"/>
      <c r="V498" s="258"/>
      <c r="W498" s="258"/>
      <c r="X498" s="258"/>
      <c r="Y498" s="258"/>
      <c r="Z498" s="258"/>
      <c r="AA498" s="258"/>
      <c r="AB498" s="258"/>
      <c r="AC498" s="407"/>
    </row>
    <row r="499" spans="2:29" s="406" customFormat="1" ht="16.5" customHeight="1">
      <c r="B499" s="255"/>
      <c r="C499" s="255"/>
      <c r="D499" s="257"/>
      <c r="E499" s="257"/>
      <c r="F499" s="257"/>
      <c r="G499" s="252"/>
      <c r="H499" s="252"/>
      <c r="I499" s="252"/>
      <c r="J499" s="252"/>
      <c r="K499" s="252"/>
      <c r="L499" s="252"/>
      <c r="M499" s="253"/>
      <c r="N499" s="253"/>
      <c r="O499" s="258"/>
      <c r="P499" s="258"/>
      <c r="Q499" s="258"/>
      <c r="R499" s="258"/>
      <c r="S499" s="258"/>
      <c r="T499" s="258"/>
      <c r="U499" s="258"/>
      <c r="V499" s="258"/>
      <c r="W499" s="258"/>
      <c r="X499" s="258"/>
      <c r="Y499" s="258"/>
      <c r="Z499" s="258"/>
      <c r="AA499" s="258"/>
      <c r="AB499" s="258"/>
      <c r="AC499" s="407"/>
    </row>
    <row r="500" spans="2:29" s="406" customFormat="1" ht="16.5" customHeight="1">
      <c r="B500" s="255"/>
      <c r="C500" s="255"/>
      <c r="D500" s="257"/>
      <c r="E500" s="257"/>
      <c r="F500" s="257"/>
      <c r="G500" s="252"/>
      <c r="H500" s="252"/>
      <c r="I500" s="252"/>
      <c r="J500" s="252"/>
      <c r="K500" s="252"/>
      <c r="L500" s="252"/>
      <c r="M500" s="253"/>
      <c r="N500" s="253"/>
      <c r="O500" s="258"/>
      <c r="P500" s="258"/>
      <c r="Q500" s="258"/>
      <c r="R500" s="258"/>
      <c r="S500" s="258"/>
      <c r="T500" s="258"/>
      <c r="U500" s="258"/>
      <c r="V500" s="258"/>
      <c r="W500" s="258"/>
      <c r="X500" s="258"/>
      <c r="Y500" s="258"/>
      <c r="Z500" s="258"/>
      <c r="AA500" s="258"/>
      <c r="AB500" s="258"/>
      <c r="AC500" s="407"/>
    </row>
    <row r="501" spans="2:29" s="406" customFormat="1" ht="16.5" customHeight="1">
      <c r="B501" s="255"/>
      <c r="C501" s="255"/>
      <c r="D501" s="257"/>
      <c r="E501" s="257"/>
      <c r="F501" s="257"/>
      <c r="G501" s="252"/>
      <c r="H501" s="252"/>
      <c r="I501" s="252"/>
      <c r="J501" s="252"/>
      <c r="K501" s="252"/>
      <c r="L501" s="252"/>
      <c r="M501" s="253"/>
      <c r="N501" s="253"/>
      <c r="O501" s="258"/>
      <c r="P501" s="258"/>
      <c r="Q501" s="258"/>
      <c r="R501" s="258"/>
      <c r="S501" s="258"/>
      <c r="T501" s="258"/>
      <c r="U501" s="258"/>
      <c r="V501" s="258"/>
      <c r="W501" s="258"/>
      <c r="X501" s="258"/>
      <c r="Y501" s="258"/>
      <c r="Z501" s="258"/>
      <c r="AA501" s="258"/>
      <c r="AB501" s="258"/>
      <c r="AC501" s="407"/>
    </row>
    <row r="502" spans="2:29" s="406" customFormat="1" ht="16.5" customHeight="1">
      <c r="B502" s="255"/>
      <c r="C502" s="255"/>
      <c r="D502" s="257"/>
      <c r="E502" s="257"/>
      <c r="F502" s="257"/>
      <c r="G502" s="252"/>
      <c r="H502" s="252"/>
      <c r="I502" s="252"/>
      <c r="J502" s="252"/>
      <c r="K502" s="252"/>
      <c r="L502" s="252"/>
      <c r="M502" s="253"/>
      <c r="N502" s="253"/>
      <c r="O502" s="258"/>
      <c r="P502" s="258"/>
      <c r="Q502" s="258"/>
      <c r="R502" s="258"/>
      <c r="S502" s="258"/>
      <c r="T502" s="258"/>
      <c r="U502" s="258"/>
      <c r="V502" s="258"/>
      <c r="W502" s="258"/>
      <c r="X502" s="258"/>
      <c r="Y502" s="258"/>
      <c r="Z502" s="258"/>
      <c r="AA502" s="258"/>
      <c r="AB502" s="258"/>
      <c r="AC502" s="407"/>
    </row>
    <row r="503" spans="2:29" s="406" customFormat="1" ht="16.5" customHeight="1">
      <c r="B503" s="255"/>
      <c r="C503" s="255"/>
      <c r="D503" s="257"/>
      <c r="E503" s="257"/>
      <c r="F503" s="257"/>
      <c r="G503" s="252"/>
      <c r="H503" s="252"/>
      <c r="I503" s="252"/>
      <c r="J503" s="252"/>
      <c r="K503" s="252"/>
      <c r="L503" s="252"/>
      <c r="M503" s="253"/>
      <c r="N503" s="253"/>
      <c r="O503" s="258"/>
      <c r="P503" s="258"/>
      <c r="Q503" s="258"/>
      <c r="R503" s="258"/>
      <c r="S503" s="258"/>
      <c r="T503" s="258"/>
      <c r="U503" s="258"/>
      <c r="V503" s="258"/>
      <c r="W503" s="258"/>
      <c r="X503" s="258"/>
      <c r="Y503" s="258"/>
      <c r="Z503" s="258"/>
      <c r="AA503" s="258"/>
      <c r="AB503" s="258"/>
      <c r="AC503" s="407"/>
    </row>
    <row r="504" spans="2:29" s="406" customFormat="1" ht="16.5" customHeight="1">
      <c r="B504" s="255"/>
      <c r="C504" s="255"/>
      <c r="D504" s="257"/>
      <c r="E504" s="257"/>
      <c r="F504" s="257"/>
      <c r="G504" s="252"/>
      <c r="H504" s="252"/>
      <c r="I504" s="252"/>
      <c r="J504" s="252"/>
      <c r="K504" s="252"/>
      <c r="L504" s="252"/>
      <c r="M504" s="253"/>
      <c r="N504" s="253"/>
      <c r="O504" s="258"/>
      <c r="P504" s="258"/>
      <c r="Q504" s="258"/>
      <c r="R504" s="258"/>
      <c r="S504" s="258"/>
      <c r="T504" s="258"/>
      <c r="U504" s="258"/>
      <c r="V504" s="258"/>
      <c r="W504" s="258"/>
      <c r="X504" s="258"/>
      <c r="Y504" s="258"/>
      <c r="Z504" s="258"/>
      <c r="AA504" s="258"/>
      <c r="AB504" s="258"/>
      <c r="AC504" s="407"/>
    </row>
    <row r="505" spans="2:29" s="406" customFormat="1" ht="16.5" customHeight="1">
      <c r="B505" s="255"/>
      <c r="C505" s="255"/>
      <c r="D505" s="257"/>
      <c r="E505" s="257"/>
      <c r="F505" s="257"/>
      <c r="G505" s="252"/>
      <c r="H505" s="252"/>
      <c r="I505" s="252"/>
      <c r="J505" s="252"/>
      <c r="K505" s="252"/>
      <c r="L505" s="252"/>
      <c r="M505" s="253"/>
      <c r="N505" s="253"/>
      <c r="O505" s="258"/>
      <c r="P505" s="258"/>
      <c r="Q505" s="258"/>
      <c r="R505" s="258"/>
      <c r="S505" s="258"/>
      <c r="T505" s="258"/>
      <c r="U505" s="258"/>
      <c r="V505" s="258"/>
      <c r="W505" s="258"/>
      <c r="X505" s="258"/>
      <c r="Y505" s="258"/>
      <c r="Z505" s="258"/>
      <c r="AA505" s="258"/>
      <c r="AB505" s="258"/>
      <c r="AC505" s="407"/>
    </row>
    <row r="506" spans="2:29" s="406" customFormat="1" ht="16.5" customHeight="1">
      <c r="B506" s="255"/>
      <c r="C506" s="255"/>
      <c r="D506" s="257"/>
      <c r="E506" s="257"/>
      <c r="F506" s="257"/>
      <c r="G506" s="252"/>
      <c r="H506" s="252"/>
      <c r="I506" s="252"/>
      <c r="J506" s="252"/>
      <c r="K506" s="252"/>
      <c r="L506" s="252"/>
      <c r="M506" s="253"/>
      <c r="N506" s="253"/>
      <c r="O506" s="258"/>
      <c r="P506" s="258"/>
      <c r="Q506" s="258"/>
      <c r="R506" s="258"/>
      <c r="S506" s="258"/>
      <c r="T506" s="258"/>
      <c r="U506" s="258"/>
      <c r="V506" s="258"/>
      <c r="W506" s="258"/>
      <c r="X506" s="258"/>
      <c r="Y506" s="258"/>
      <c r="Z506" s="258"/>
      <c r="AA506" s="258"/>
      <c r="AB506" s="258"/>
      <c r="AC506" s="407"/>
    </row>
    <row r="507" spans="2:29" s="406" customFormat="1" ht="16.5" customHeight="1">
      <c r="B507" s="255"/>
      <c r="C507" s="255"/>
      <c r="D507" s="257"/>
      <c r="E507" s="257"/>
      <c r="F507" s="257"/>
      <c r="G507" s="252"/>
      <c r="H507" s="252"/>
      <c r="I507" s="252"/>
      <c r="J507" s="252"/>
      <c r="K507" s="252"/>
      <c r="L507" s="252"/>
      <c r="M507" s="253"/>
      <c r="N507" s="253"/>
      <c r="O507" s="258"/>
      <c r="P507" s="258"/>
      <c r="Q507" s="258"/>
      <c r="R507" s="258"/>
      <c r="S507" s="258"/>
      <c r="T507" s="258"/>
      <c r="U507" s="258"/>
      <c r="V507" s="258"/>
      <c r="W507" s="258"/>
      <c r="X507" s="258"/>
      <c r="Y507" s="258"/>
      <c r="Z507" s="258"/>
      <c r="AA507" s="258"/>
      <c r="AB507" s="258"/>
      <c r="AC507" s="407"/>
    </row>
    <row r="508" spans="2:29" s="406" customFormat="1" ht="16.5" customHeight="1">
      <c r="B508" s="255"/>
      <c r="C508" s="255"/>
      <c r="D508" s="257"/>
      <c r="E508" s="257"/>
      <c r="F508" s="257"/>
      <c r="G508" s="252"/>
      <c r="H508" s="252"/>
      <c r="I508" s="252"/>
      <c r="J508" s="252"/>
      <c r="K508" s="252"/>
      <c r="L508" s="252"/>
      <c r="M508" s="253"/>
      <c r="N508" s="253"/>
      <c r="O508" s="258"/>
      <c r="P508" s="258"/>
      <c r="Q508" s="258"/>
      <c r="R508" s="258"/>
      <c r="S508" s="258"/>
      <c r="T508" s="258"/>
      <c r="U508" s="258"/>
      <c r="V508" s="258"/>
      <c r="W508" s="258"/>
      <c r="X508" s="258"/>
      <c r="Y508" s="258"/>
      <c r="Z508" s="258"/>
      <c r="AA508" s="258"/>
      <c r="AB508" s="258"/>
      <c r="AC508" s="407"/>
    </row>
    <row r="509" spans="2:29" s="406" customFormat="1" ht="16.5" customHeight="1">
      <c r="B509" s="255"/>
      <c r="C509" s="255"/>
      <c r="D509" s="257"/>
      <c r="E509" s="257"/>
      <c r="F509" s="257"/>
      <c r="G509" s="252"/>
      <c r="H509" s="252"/>
      <c r="I509" s="252"/>
      <c r="J509" s="252"/>
      <c r="K509" s="252"/>
      <c r="L509" s="252"/>
      <c r="M509" s="253"/>
      <c r="N509" s="253"/>
      <c r="O509" s="258"/>
      <c r="P509" s="258"/>
      <c r="Q509" s="258"/>
      <c r="R509" s="258"/>
      <c r="S509" s="258"/>
      <c r="T509" s="258"/>
      <c r="U509" s="258"/>
      <c r="V509" s="258"/>
      <c r="W509" s="258"/>
      <c r="X509" s="258"/>
      <c r="Y509" s="258"/>
      <c r="Z509" s="258"/>
      <c r="AA509" s="258"/>
      <c r="AB509" s="258"/>
      <c r="AC509" s="407"/>
    </row>
    <row r="510" spans="2:29" s="406" customFormat="1" ht="16.5" customHeight="1">
      <c r="B510" s="255"/>
      <c r="C510" s="255"/>
      <c r="D510" s="257"/>
      <c r="E510" s="257"/>
      <c r="F510" s="257"/>
      <c r="G510" s="252"/>
      <c r="H510" s="252"/>
      <c r="I510" s="252"/>
      <c r="J510" s="252"/>
      <c r="K510" s="252"/>
      <c r="L510" s="252"/>
      <c r="M510" s="253"/>
      <c r="N510" s="253"/>
      <c r="O510" s="258"/>
      <c r="P510" s="258"/>
      <c r="Q510" s="258"/>
      <c r="R510" s="258"/>
      <c r="S510" s="258"/>
      <c r="T510" s="258"/>
      <c r="U510" s="258"/>
      <c r="V510" s="258"/>
      <c r="W510" s="258"/>
      <c r="X510" s="258"/>
      <c r="Y510" s="258"/>
      <c r="Z510" s="258"/>
      <c r="AA510" s="258"/>
      <c r="AB510" s="258"/>
      <c r="AC510" s="407"/>
    </row>
    <row r="511" spans="2:29" s="406" customFormat="1" ht="16.5" customHeight="1">
      <c r="B511" s="255"/>
      <c r="C511" s="255"/>
      <c r="D511" s="257"/>
      <c r="E511" s="257"/>
      <c r="F511" s="257"/>
      <c r="G511" s="252"/>
      <c r="H511" s="252"/>
      <c r="I511" s="252"/>
      <c r="J511" s="252"/>
      <c r="K511" s="252"/>
      <c r="L511" s="252"/>
      <c r="M511" s="253"/>
      <c r="N511" s="253"/>
      <c r="O511" s="258"/>
      <c r="P511" s="258"/>
      <c r="Q511" s="258"/>
      <c r="R511" s="258"/>
      <c r="S511" s="258"/>
      <c r="T511" s="258"/>
      <c r="U511" s="258"/>
      <c r="V511" s="258"/>
      <c r="W511" s="258"/>
      <c r="X511" s="258"/>
      <c r="Y511" s="258"/>
      <c r="Z511" s="258"/>
      <c r="AA511" s="258"/>
      <c r="AB511" s="258"/>
      <c r="AC511" s="407"/>
    </row>
    <row r="512" spans="2:29" s="406" customFormat="1" ht="16.5" customHeight="1">
      <c r="B512" s="255"/>
      <c r="C512" s="255"/>
      <c r="D512" s="257"/>
      <c r="E512" s="257"/>
      <c r="F512" s="257"/>
      <c r="G512" s="252"/>
      <c r="H512" s="252"/>
      <c r="I512" s="252"/>
      <c r="J512" s="252"/>
      <c r="K512" s="252"/>
      <c r="L512" s="252"/>
      <c r="M512" s="253"/>
      <c r="N512" s="253"/>
      <c r="O512" s="258"/>
      <c r="P512" s="258"/>
      <c r="Q512" s="258"/>
      <c r="R512" s="258"/>
      <c r="S512" s="258"/>
      <c r="T512" s="258"/>
      <c r="U512" s="258"/>
      <c r="V512" s="258"/>
      <c r="W512" s="258"/>
      <c r="X512" s="258"/>
      <c r="Y512" s="258"/>
      <c r="Z512" s="258"/>
      <c r="AA512" s="258"/>
      <c r="AB512" s="258"/>
      <c r="AC512" s="407"/>
    </row>
    <row r="513" spans="2:29" s="406" customFormat="1" ht="16.5" customHeight="1">
      <c r="B513" s="255"/>
      <c r="C513" s="255"/>
      <c r="D513" s="257"/>
      <c r="E513" s="257"/>
      <c r="F513" s="257"/>
      <c r="G513" s="252"/>
      <c r="H513" s="252"/>
      <c r="I513" s="252"/>
      <c r="J513" s="252"/>
      <c r="K513" s="252"/>
      <c r="L513" s="252"/>
      <c r="M513" s="253"/>
      <c r="N513" s="253"/>
      <c r="O513" s="258"/>
      <c r="P513" s="258"/>
      <c r="Q513" s="258"/>
      <c r="R513" s="258"/>
      <c r="S513" s="258"/>
      <c r="T513" s="258"/>
      <c r="U513" s="258"/>
      <c r="V513" s="258"/>
      <c r="W513" s="258"/>
      <c r="X513" s="258"/>
      <c r="Y513" s="258"/>
      <c r="Z513" s="258"/>
      <c r="AA513" s="258"/>
      <c r="AB513" s="258"/>
      <c r="AC513" s="407"/>
    </row>
    <row r="514" spans="2:29" s="406" customFormat="1" ht="16.5" customHeight="1">
      <c r="B514" s="255"/>
      <c r="C514" s="255"/>
      <c r="D514" s="257"/>
      <c r="E514" s="257"/>
      <c r="F514" s="257"/>
      <c r="G514" s="252"/>
      <c r="H514" s="252"/>
      <c r="I514" s="252"/>
      <c r="J514" s="252"/>
      <c r="K514" s="252"/>
      <c r="L514" s="252"/>
      <c r="M514" s="253"/>
      <c r="N514" s="253"/>
      <c r="O514" s="258"/>
      <c r="P514" s="258"/>
      <c r="Q514" s="258"/>
      <c r="R514" s="258"/>
      <c r="S514" s="258"/>
      <c r="T514" s="258"/>
      <c r="U514" s="258"/>
      <c r="V514" s="258"/>
      <c r="W514" s="258"/>
      <c r="X514" s="258"/>
      <c r="Y514" s="258"/>
      <c r="Z514" s="258"/>
      <c r="AA514" s="258"/>
      <c r="AB514" s="258"/>
      <c r="AC514" s="407"/>
    </row>
    <row r="515" spans="2:29" s="406" customFormat="1" ht="16.5" customHeight="1">
      <c r="B515" s="255"/>
      <c r="C515" s="255"/>
      <c r="D515" s="257"/>
      <c r="E515" s="257"/>
      <c r="F515" s="257"/>
      <c r="G515" s="252"/>
      <c r="H515" s="252"/>
      <c r="I515" s="252"/>
      <c r="J515" s="252"/>
      <c r="K515" s="252"/>
      <c r="L515" s="252"/>
      <c r="M515" s="253"/>
      <c r="N515" s="253"/>
      <c r="O515" s="258"/>
      <c r="P515" s="258"/>
      <c r="Q515" s="258"/>
      <c r="R515" s="258"/>
      <c r="S515" s="258"/>
      <c r="T515" s="258"/>
      <c r="U515" s="258"/>
      <c r="V515" s="258"/>
      <c r="W515" s="258"/>
      <c r="X515" s="258"/>
      <c r="Y515" s="258"/>
      <c r="Z515" s="258"/>
      <c r="AA515" s="258"/>
      <c r="AB515" s="258"/>
      <c r="AC515" s="407"/>
    </row>
    <row r="516" spans="2:29" s="406" customFormat="1" ht="16.5" customHeight="1">
      <c r="B516" s="255"/>
      <c r="C516" s="255"/>
      <c r="D516" s="257"/>
      <c r="E516" s="257"/>
      <c r="F516" s="257"/>
      <c r="G516" s="252"/>
      <c r="H516" s="252"/>
      <c r="I516" s="252"/>
      <c r="J516" s="252"/>
      <c r="K516" s="252"/>
      <c r="L516" s="252"/>
      <c r="M516" s="253"/>
      <c r="N516" s="253"/>
      <c r="O516" s="258"/>
      <c r="P516" s="258"/>
      <c r="Q516" s="258"/>
      <c r="R516" s="258"/>
      <c r="S516" s="258"/>
      <c r="T516" s="258"/>
      <c r="U516" s="258"/>
      <c r="V516" s="258"/>
      <c r="W516" s="258"/>
      <c r="X516" s="258"/>
      <c r="Y516" s="258"/>
      <c r="Z516" s="258"/>
      <c r="AA516" s="258"/>
      <c r="AB516" s="258"/>
      <c r="AC516" s="407"/>
    </row>
    <row r="517" spans="2:29" s="406" customFormat="1" ht="16.5" customHeight="1">
      <c r="B517" s="255"/>
      <c r="C517" s="255"/>
      <c r="D517" s="257"/>
      <c r="E517" s="257"/>
      <c r="F517" s="257"/>
      <c r="G517" s="252"/>
      <c r="H517" s="252"/>
      <c r="I517" s="252"/>
      <c r="J517" s="252"/>
      <c r="K517" s="252"/>
      <c r="L517" s="252"/>
      <c r="M517" s="253"/>
      <c r="N517" s="253"/>
      <c r="O517" s="258"/>
      <c r="P517" s="258"/>
      <c r="Q517" s="258"/>
      <c r="R517" s="258"/>
      <c r="S517" s="258"/>
      <c r="T517" s="258"/>
      <c r="U517" s="258"/>
      <c r="V517" s="258"/>
      <c r="W517" s="258"/>
      <c r="X517" s="258"/>
      <c r="Y517" s="258"/>
      <c r="Z517" s="258"/>
      <c r="AA517" s="258"/>
      <c r="AB517" s="258"/>
      <c r="AC517" s="407"/>
    </row>
    <row r="518" spans="2:29" s="406" customFormat="1" ht="16.5" customHeight="1">
      <c r="B518" s="255"/>
      <c r="C518" s="255"/>
      <c r="D518" s="257"/>
      <c r="E518" s="257"/>
      <c r="F518" s="257"/>
      <c r="G518" s="252"/>
      <c r="H518" s="252"/>
      <c r="I518" s="252"/>
      <c r="J518" s="252"/>
      <c r="K518" s="252"/>
      <c r="L518" s="252"/>
      <c r="M518" s="253"/>
      <c r="N518" s="253"/>
      <c r="O518" s="258"/>
      <c r="P518" s="258"/>
      <c r="Q518" s="258"/>
      <c r="R518" s="258"/>
      <c r="S518" s="258"/>
      <c r="T518" s="258"/>
      <c r="U518" s="258"/>
      <c r="V518" s="258"/>
      <c r="W518" s="258"/>
      <c r="X518" s="258"/>
      <c r="Y518" s="258"/>
      <c r="Z518" s="258"/>
      <c r="AA518" s="258"/>
      <c r="AB518" s="258"/>
      <c r="AC518" s="407"/>
    </row>
    <row r="519" spans="2:29" s="406" customFormat="1" ht="16.5" customHeight="1">
      <c r="B519" s="255"/>
      <c r="C519" s="255"/>
      <c r="D519" s="257"/>
      <c r="E519" s="257"/>
      <c r="F519" s="257"/>
      <c r="G519" s="252"/>
      <c r="H519" s="252"/>
      <c r="I519" s="252"/>
      <c r="J519" s="252"/>
      <c r="K519" s="252"/>
      <c r="L519" s="252"/>
      <c r="M519" s="253"/>
      <c r="N519" s="253"/>
      <c r="O519" s="258"/>
      <c r="P519" s="258"/>
      <c r="Q519" s="258"/>
      <c r="R519" s="258"/>
      <c r="S519" s="258"/>
      <c r="T519" s="258"/>
      <c r="U519" s="258"/>
      <c r="V519" s="258"/>
      <c r="W519" s="258"/>
      <c r="X519" s="258"/>
      <c r="Y519" s="258"/>
      <c r="Z519" s="258"/>
      <c r="AA519" s="258"/>
      <c r="AB519" s="258"/>
      <c r="AC519" s="407"/>
    </row>
    <row r="520" spans="2:29" s="406" customFormat="1" ht="16.5" customHeight="1">
      <c r="B520" s="255"/>
      <c r="C520" s="255"/>
      <c r="D520" s="257"/>
      <c r="E520" s="257"/>
      <c r="F520" s="257"/>
      <c r="G520" s="252"/>
      <c r="H520" s="252"/>
      <c r="I520" s="252"/>
      <c r="J520" s="252"/>
      <c r="K520" s="252"/>
      <c r="L520" s="252"/>
      <c r="M520" s="253"/>
      <c r="N520" s="253"/>
      <c r="O520" s="258"/>
      <c r="P520" s="258"/>
      <c r="Q520" s="258"/>
      <c r="R520" s="258"/>
      <c r="S520" s="258"/>
      <c r="T520" s="258"/>
      <c r="U520" s="258"/>
      <c r="V520" s="258"/>
      <c r="W520" s="258"/>
      <c r="X520" s="258"/>
      <c r="Y520" s="258"/>
      <c r="Z520" s="258"/>
      <c r="AA520" s="258"/>
      <c r="AB520" s="258"/>
      <c r="AC520" s="407"/>
    </row>
    <row r="521" spans="2:29" s="406" customFormat="1" ht="16.5" customHeight="1">
      <c r="B521" s="255"/>
      <c r="C521" s="255"/>
      <c r="D521" s="257"/>
      <c r="E521" s="257"/>
      <c r="F521" s="257"/>
      <c r="G521" s="252"/>
      <c r="H521" s="252"/>
      <c r="I521" s="252"/>
      <c r="J521" s="252"/>
      <c r="K521" s="252"/>
      <c r="L521" s="252"/>
      <c r="M521" s="253"/>
      <c r="N521" s="253"/>
      <c r="O521" s="258"/>
      <c r="P521" s="258"/>
      <c r="Q521" s="258"/>
      <c r="R521" s="258"/>
      <c r="S521" s="258"/>
      <c r="T521" s="258"/>
      <c r="U521" s="258"/>
      <c r="V521" s="258"/>
      <c r="W521" s="258"/>
      <c r="X521" s="258"/>
      <c r="Y521" s="258"/>
      <c r="Z521" s="258"/>
      <c r="AA521" s="258"/>
      <c r="AB521" s="258"/>
      <c r="AC521" s="407"/>
    </row>
    <row r="522" spans="2:29" s="406" customFormat="1" ht="16.5" customHeight="1">
      <c r="B522" s="255"/>
      <c r="C522" s="255"/>
      <c r="D522" s="257"/>
      <c r="E522" s="257"/>
      <c r="F522" s="257"/>
      <c r="G522" s="252"/>
      <c r="H522" s="252"/>
      <c r="I522" s="252"/>
      <c r="J522" s="252"/>
      <c r="K522" s="252"/>
      <c r="L522" s="252"/>
      <c r="M522" s="253"/>
      <c r="N522" s="253"/>
      <c r="O522" s="258"/>
      <c r="P522" s="258"/>
      <c r="Q522" s="258"/>
      <c r="R522" s="258"/>
      <c r="S522" s="258"/>
      <c r="T522" s="258"/>
      <c r="U522" s="258"/>
      <c r="V522" s="258"/>
      <c r="W522" s="258"/>
      <c r="X522" s="258"/>
      <c r="Y522" s="258"/>
      <c r="Z522" s="258"/>
      <c r="AA522" s="258"/>
      <c r="AB522" s="258"/>
      <c r="AC522" s="407"/>
    </row>
    <row r="523" spans="2:29" s="406" customFormat="1" ht="16.5" customHeight="1">
      <c r="B523" s="255"/>
      <c r="C523" s="255"/>
      <c r="D523" s="257"/>
      <c r="E523" s="257"/>
      <c r="F523" s="257"/>
      <c r="G523" s="252"/>
      <c r="H523" s="252"/>
      <c r="I523" s="252"/>
      <c r="J523" s="252"/>
      <c r="K523" s="252"/>
      <c r="L523" s="252"/>
      <c r="M523" s="253"/>
      <c r="N523" s="253"/>
      <c r="O523" s="258"/>
      <c r="P523" s="258"/>
      <c r="Q523" s="258"/>
      <c r="R523" s="258"/>
      <c r="S523" s="258"/>
      <c r="T523" s="258"/>
      <c r="U523" s="258"/>
      <c r="V523" s="258"/>
      <c r="W523" s="258"/>
      <c r="X523" s="258"/>
      <c r="Y523" s="258"/>
      <c r="Z523" s="258"/>
      <c r="AA523" s="258"/>
      <c r="AB523" s="258"/>
      <c r="AC523" s="407"/>
    </row>
    <row r="524" spans="2:29" s="406" customFormat="1" ht="16.5" customHeight="1">
      <c r="B524" s="255"/>
      <c r="C524" s="255"/>
      <c r="D524" s="257"/>
      <c r="E524" s="257"/>
      <c r="F524" s="257"/>
      <c r="G524" s="252"/>
      <c r="H524" s="252"/>
      <c r="I524" s="252"/>
      <c r="J524" s="252"/>
      <c r="K524" s="252"/>
      <c r="L524" s="252"/>
      <c r="M524" s="253"/>
      <c r="N524" s="253"/>
      <c r="O524" s="258"/>
      <c r="P524" s="258"/>
      <c r="Q524" s="258"/>
      <c r="R524" s="258"/>
      <c r="S524" s="258"/>
      <c r="T524" s="258"/>
      <c r="U524" s="258"/>
      <c r="V524" s="258"/>
      <c r="W524" s="258"/>
      <c r="X524" s="258"/>
      <c r="Y524" s="258"/>
      <c r="Z524" s="258"/>
      <c r="AA524" s="258"/>
      <c r="AB524" s="258"/>
      <c r="AC524" s="407"/>
    </row>
    <row r="525" spans="2:29" s="406" customFormat="1" ht="16.5" customHeight="1">
      <c r="B525" s="255"/>
      <c r="C525" s="255"/>
      <c r="D525" s="257"/>
      <c r="E525" s="257"/>
      <c r="F525" s="257"/>
      <c r="G525" s="252"/>
      <c r="H525" s="252"/>
      <c r="I525" s="252"/>
      <c r="J525" s="252"/>
      <c r="K525" s="252"/>
      <c r="L525" s="252"/>
      <c r="M525" s="253"/>
      <c r="N525" s="253"/>
      <c r="O525" s="258"/>
      <c r="P525" s="258"/>
      <c r="Q525" s="258"/>
      <c r="R525" s="258"/>
      <c r="S525" s="258"/>
      <c r="T525" s="258"/>
      <c r="U525" s="258"/>
      <c r="V525" s="258"/>
      <c r="W525" s="258"/>
      <c r="X525" s="258"/>
      <c r="Y525" s="258"/>
      <c r="Z525" s="258"/>
      <c r="AA525" s="258"/>
      <c r="AB525" s="258"/>
      <c r="AC525" s="407"/>
    </row>
    <row r="526" spans="2:29" s="406" customFormat="1" ht="16.5" customHeight="1">
      <c r="B526" s="255"/>
      <c r="C526" s="255"/>
      <c r="D526" s="257"/>
      <c r="E526" s="257"/>
      <c r="F526" s="257"/>
      <c r="G526" s="252"/>
      <c r="H526" s="252"/>
      <c r="I526" s="252"/>
      <c r="J526" s="252"/>
      <c r="K526" s="252"/>
      <c r="L526" s="252"/>
      <c r="M526" s="253"/>
      <c r="N526" s="253"/>
      <c r="O526" s="258"/>
      <c r="P526" s="258"/>
      <c r="Q526" s="258"/>
      <c r="R526" s="258"/>
      <c r="S526" s="258"/>
      <c r="T526" s="258"/>
      <c r="U526" s="258"/>
      <c r="V526" s="258"/>
      <c r="W526" s="258"/>
      <c r="X526" s="258"/>
      <c r="Y526" s="258"/>
      <c r="Z526" s="258"/>
      <c r="AA526" s="258"/>
      <c r="AB526" s="258"/>
      <c r="AC526" s="407"/>
    </row>
    <row r="527" spans="2:29" s="406" customFormat="1" ht="16.5" customHeight="1">
      <c r="B527" s="255"/>
      <c r="C527" s="255"/>
      <c r="D527" s="257"/>
      <c r="E527" s="257"/>
      <c r="F527" s="257"/>
      <c r="G527" s="252"/>
      <c r="H527" s="252"/>
      <c r="I527" s="252"/>
      <c r="J527" s="252"/>
      <c r="K527" s="252"/>
      <c r="L527" s="252"/>
      <c r="M527" s="253"/>
      <c r="N527" s="253"/>
      <c r="O527" s="258"/>
      <c r="P527" s="258"/>
      <c r="Q527" s="258"/>
      <c r="R527" s="258"/>
      <c r="S527" s="258"/>
      <c r="T527" s="258"/>
      <c r="U527" s="258"/>
      <c r="V527" s="258"/>
      <c r="W527" s="258"/>
      <c r="X527" s="258"/>
      <c r="Y527" s="258"/>
      <c r="Z527" s="258"/>
      <c r="AA527" s="258"/>
      <c r="AB527" s="258"/>
      <c r="AC527" s="407"/>
    </row>
    <row r="528" spans="2:29" s="406" customFormat="1" ht="16.5" customHeight="1">
      <c r="B528" s="255"/>
      <c r="C528" s="255"/>
      <c r="D528" s="257"/>
      <c r="E528" s="257"/>
      <c r="F528" s="257"/>
      <c r="G528" s="252"/>
      <c r="H528" s="252"/>
      <c r="I528" s="252"/>
      <c r="J528" s="252"/>
      <c r="K528" s="252"/>
      <c r="L528" s="252"/>
      <c r="M528" s="253"/>
      <c r="N528" s="253"/>
      <c r="O528" s="258"/>
      <c r="P528" s="258"/>
      <c r="Q528" s="258"/>
      <c r="R528" s="258"/>
      <c r="S528" s="258"/>
      <c r="T528" s="258"/>
      <c r="U528" s="258"/>
      <c r="V528" s="258"/>
      <c r="W528" s="258"/>
      <c r="X528" s="258"/>
      <c r="Y528" s="258"/>
      <c r="Z528" s="258"/>
      <c r="AA528" s="258"/>
      <c r="AB528" s="258"/>
      <c r="AC528" s="407"/>
    </row>
    <row r="529" spans="2:29" s="406" customFormat="1" ht="16.5" customHeight="1">
      <c r="B529" s="255"/>
      <c r="C529" s="255"/>
      <c r="D529" s="257"/>
      <c r="E529" s="257"/>
      <c r="F529" s="257"/>
      <c r="G529" s="252"/>
      <c r="H529" s="252"/>
      <c r="I529" s="252"/>
      <c r="J529" s="252"/>
      <c r="K529" s="252"/>
      <c r="L529" s="252"/>
      <c r="M529" s="253"/>
      <c r="N529" s="253"/>
      <c r="O529" s="258"/>
      <c r="P529" s="258"/>
      <c r="Q529" s="258"/>
      <c r="R529" s="258"/>
      <c r="S529" s="258"/>
      <c r="T529" s="258"/>
      <c r="U529" s="258"/>
      <c r="V529" s="258"/>
      <c r="W529" s="258"/>
      <c r="X529" s="258"/>
      <c r="Y529" s="258"/>
      <c r="Z529" s="258"/>
      <c r="AA529" s="258"/>
      <c r="AB529" s="258"/>
      <c r="AC529" s="407"/>
    </row>
    <row r="530" spans="2:29" s="406" customFormat="1" ht="16.5" customHeight="1">
      <c r="B530" s="255"/>
      <c r="C530" s="255"/>
      <c r="D530" s="257"/>
      <c r="E530" s="257"/>
      <c r="F530" s="257"/>
      <c r="G530" s="252"/>
      <c r="H530" s="252"/>
      <c r="I530" s="252"/>
      <c r="J530" s="252"/>
      <c r="K530" s="252"/>
      <c r="L530" s="252"/>
      <c r="M530" s="253"/>
      <c r="N530" s="253"/>
      <c r="O530" s="258"/>
      <c r="P530" s="258"/>
      <c r="Q530" s="258"/>
      <c r="R530" s="258"/>
      <c r="S530" s="258"/>
      <c r="T530" s="258"/>
      <c r="U530" s="258"/>
      <c r="V530" s="258"/>
      <c r="W530" s="258"/>
      <c r="X530" s="258"/>
      <c r="Y530" s="258"/>
      <c r="Z530" s="258"/>
      <c r="AA530" s="258"/>
      <c r="AB530" s="258"/>
      <c r="AC530" s="407"/>
    </row>
    <row r="531" spans="2:29" s="406" customFormat="1" ht="16.5" customHeight="1">
      <c r="B531" s="255"/>
      <c r="C531" s="255"/>
      <c r="D531" s="257"/>
      <c r="E531" s="257"/>
      <c r="F531" s="257"/>
      <c r="G531" s="252"/>
      <c r="H531" s="252"/>
      <c r="I531" s="252"/>
      <c r="J531" s="252"/>
      <c r="K531" s="252"/>
      <c r="L531" s="252"/>
      <c r="M531" s="253"/>
      <c r="N531" s="253"/>
      <c r="O531" s="258"/>
      <c r="P531" s="258"/>
      <c r="Q531" s="258"/>
      <c r="R531" s="258"/>
      <c r="S531" s="258"/>
      <c r="T531" s="258"/>
      <c r="U531" s="258"/>
      <c r="V531" s="258"/>
      <c r="W531" s="258"/>
      <c r="X531" s="258"/>
      <c r="Y531" s="258"/>
      <c r="Z531" s="258"/>
      <c r="AA531" s="258"/>
      <c r="AB531" s="258"/>
      <c r="AC531" s="407"/>
    </row>
    <row r="532" spans="2:29" s="406" customFormat="1" ht="16.5" customHeight="1">
      <c r="B532" s="255"/>
      <c r="C532" s="255"/>
      <c r="D532" s="257"/>
      <c r="E532" s="257"/>
      <c r="F532" s="257"/>
      <c r="G532" s="252"/>
      <c r="H532" s="252"/>
      <c r="I532" s="252"/>
      <c r="J532" s="252"/>
      <c r="K532" s="252"/>
      <c r="L532" s="252"/>
      <c r="M532" s="253"/>
      <c r="N532" s="253"/>
      <c r="O532" s="258"/>
      <c r="P532" s="258"/>
      <c r="Q532" s="258"/>
      <c r="R532" s="258"/>
      <c r="S532" s="258"/>
      <c r="T532" s="258"/>
      <c r="U532" s="258"/>
      <c r="V532" s="258"/>
      <c r="W532" s="258"/>
      <c r="X532" s="258"/>
      <c r="Y532" s="258"/>
      <c r="Z532" s="258"/>
      <c r="AA532" s="258"/>
      <c r="AB532" s="258"/>
      <c r="AC532" s="407"/>
    </row>
    <row r="533" spans="2:29" s="406" customFormat="1" ht="16.5" customHeight="1">
      <c r="B533" s="255"/>
      <c r="C533" s="255"/>
      <c r="D533" s="257"/>
      <c r="E533" s="257"/>
      <c r="F533" s="257"/>
      <c r="G533" s="252"/>
      <c r="H533" s="252"/>
      <c r="I533" s="252"/>
      <c r="J533" s="252"/>
      <c r="K533" s="252"/>
      <c r="L533" s="252"/>
      <c r="M533" s="253"/>
      <c r="N533" s="253"/>
      <c r="O533" s="258"/>
      <c r="P533" s="258"/>
      <c r="Q533" s="258"/>
      <c r="R533" s="258"/>
      <c r="S533" s="258"/>
      <c r="T533" s="258"/>
      <c r="U533" s="258"/>
      <c r="V533" s="258"/>
      <c r="W533" s="258"/>
      <c r="X533" s="258"/>
      <c r="Y533" s="258"/>
      <c r="Z533" s="258"/>
      <c r="AA533" s="258"/>
      <c r="AB533" s="258"/>
      <c r="AC533" s="407"/>
    </row>
    <row r="534" spans="2:29" s="406" customFormat="1" ht="16.5" customHeight="1">
      <c r="B534" s="255"/>
      <c r="C534" s="255"/>
      <c r="D534" s="257"/>
      <c r="E534" s="257"/>
      <c r="F534" s="257"/>
      <c r="G534" s="252"/>
      <c r="H534" s="252"/>
      <c r="I534" s="252"/>
      <c r="J534" s="252"/>
      <c r="K534" s="252"/>
      <c r="L534" s="252"/>
      <c r="M534" s="253"/>
      <c r="N534" s="253"/>
      <c r="O534" s="258"/>
      <c r="P534" s="258"/>
      <c r="Q534" s="258"/>
      <c r="R534" s="258"/>
      <c r="S534" s="258"/>
      <c r="T534" s="258"/>
      <c r="U534" s="258"/>
      <c r="V534" s="258"/>
      <c r="W534" s="258"/>
      <c r="X534" s="258"/>
      <c r="Y534" s="258"/>
      <c r="Z534" s="258"/>
      <c r="AA534" s="258"/>
      <c r="AB534" s="258"/>
      <c r="AC534" s="407"/>
    </row>
    <row r="535" spans="2:29" s="406" customFormat="1" ht="16.5" customHeight="1">
      <c r="B535" s="255"/>
      <c r="C535" s="255"/>
      <c r="D535" s="257"/>
      <c r="E535" s="257"/>
      <c r="F535" s="257"/>
      <c r="G535" s="252"/>
      <c r="H535" s="252"/>
      <c r="I535" s="252"/>
      <c r="J535" s="252"/>
      <c r="K535" s="252"/>
      <c r="L535" s="252"/>
      <c r="M535" s="253"/>
      <c r="N535" s="253"/>
      <c r="O535" s="258"/>
      <c r="P535" s="258"/>
      <c r="Q535" s="258"/>
      <c r="R535" s="258"/>
      <c r="S535" s="258"/>
      <c r="T535" s="258"/>
      <c r="U535" s="258"/>
      <c r="V535" s="258"/>
      <c r="W535" s="258"/>
      <c r="X535" s="258"/>
      <c r="Y535" s="258"/>
      <c r="Z535" s="258"/>
      <c r="AA535" s="258"/>
      <c r="AB535" s="258"/>
      <c r="AC535" s="407"/>
    </row>
    <row r="536" spans="2:29" s="406" customFormat="1" ht="16.5" customHeight="1">
      <c r="B536" s="255"/>
      <c r="C536" s="255"/>
      <c r="D536" s="257"/>
      <c r="E536" s="257"/>
      <c r="F536" s="257"/>
      <c r="G536" s="252"/>
      <c r="H536" s="252"/>
      <c r="I536" s="252"/>
      <c r="J536" s="252"/>
      <c r="K536" s="252"/>
      <c r="L536" s="252"/>
      <c r="M536" s="253"/>
      <c r="N536" s="253"/>
      <c r="O536" s="258"/>
      <c r="P536" s="258"/>
      <c r="Q536" s="258"/>
      <c r="R536" s="258"/>
      <c r="S536" s="258"/>
      <c r="T536" s="258"/>
      <c r="U536" s="258"/>
      <c r="V536" s="258"/>
      <c r="W536" s="258"/>
      <c r="X536" s="258"/>
      <c r="Y536" s="258"/>
      <c r="Z536" s="258"/>
      <c r="AA536" s="258"/>
      <c r="AB536" s="258"/>
      <c r="AC536" s="407"/>
    </row>
    <row r="537" spans="2:29" s="406" customFormat="1" ht="16.5" customHeight="1">
      <c r="B537" s="255"/>
      <c r="C537" s="255"/>
      <c r="D537" s="257"/>
      <c r="E537" s="257"/>
      <c r="F537" s="257"/>
      <c r="G537" s="252"/>
      <c r="H537" s="252"/>
      <c r="I537" s="252"/>
      <c r="J537" s="252"/>
      <c r="K537" s="252"/>
      <c r="L537" s="252"/>
      <c r="M537" s="253"/>
      <c r="N537" s="253"/>
      <c r="O537" s="258"/>
      <c r="P537" s="258"/>
      <c r="Q537" s="258"/>
      <c r="R537" s="258"/>
      <c r="S537" s="258"/>
      <c r="T537" s="258"/>
      <c r="U537" s="258"/>
      <c r="V537" s="258"/>
      <c r="W537" s="258"/>
      <c r="X537" s="258"/>
      <c r="Y537" s="258"/>
      <c r="Z537" s="258"/>
      <c r="AA537" s="258"/>
      <c r="AB537" s="258"/>
      <c r="AC537" s="407"/>
    </row>
    <row r="538" spans="2:29" s="406" customFormat="1" ht="16.5" customHeight="1">
      <c r="B538" s="255"/>
      <c r="C538" s="255"/>
      <c r="D538" s="257"/>
      <c r="E538" s="257"/>
      <c r="F538" s="257"/>
      <c r="G538" s="252"/>
      <c r="H538" s="252"/>
      <c r="I538" s="252"/>
      <c r="J538" s="252"/>
      <c r="K538" s="252"/>
      <c r="L538" s="252"/>
      <c r="M538" s="253"/>
      <c r="N538" s="253"/>
      <c r="O538" s="258"/>
      <c r="P538" s="258"/>
      <c r="Q538" s="258"/>
      <c r="R538" s="258"/>
      <c r="S538" s="258"/>
      <c r="T538" s="258"/>
      <c r="U538" s="258"/>
      <c r="V538" s="258"/>
      <c r="W538" s="258"/>
      <c r="X538" s="258"/>
      <c r="Y538" s="258"/>
      <c r="Z538" s="258"/>
      <c r="AA538" s="258"/>
      <c r="AB538" s="258"/>
      <c r="AC538" s="407"/>
    </row>
    <row r="539" spans="2:29" s="406" customFormat="1" ht="16.5" customHeight="1">
      <c r="B539" s="255"/>
      <c r="C539" s="255"/>
      <c r="D539" s="257"/>
      <c r="E539" s="257"/>
      <c r="F539" s="257"/>
      <c r="G539" s="252"/>
      <c r="H539" s="252"/>
      <c r="I539" s="252"/>
      <c r="J539" s="252"/>
      <c r="K539" s="252"/>
      <c r="L539" s="252"/>
      <c r="M539" s="253"/>
      <c r="N539" s="253"/>
      <c r="O539" s="258"/>
      <c r="P539" s="258"/>
      <c r="Q539" s="258"/>
      <c r="R539" s="258"/>
      <c r="S539" s="258"/>
      <c r="T539" s="258"/>
      <c r="U539" s="258"/>
      <c r="V539" s="258"/>
      <c r="W539" s="258"/>
      <c r="X539" s="258"/>
      <c r="Y539" s="258"/>
      <c r="Z539" s="258"/>
      <c r="AA539" s="258"/>
      <c r="AB539" s="258"/>
      <c r="AC539" s="407"/>
    </row>
    <row r="540" spans="2:29" s="406" customFormat="1" ht="16.5" customHeight="1">
      <c r="B540" s="255"/>
      <c r="C540" s="255"/>
      <c r="D540" s="257"/>
      <c r="E540" s="257"/>
      <c r="F540" s="257"/>
      <c r="G540" s="252"/>
      <c r="H540" s="252"/>
      <c r="I540" s="252"/>
      <c r="J540" s="252"/>
      <c r="K540" s="252"/>
      <c r="L540" s="252"/>
      <c r="M540" s="253"/>
      <c r="N540" s="253"/>
      <c r="O540" s="258"/>
      <c r="P540" s="258"/>
      <c r="Q540" s="258"/>
      <c r="R540" s="258"/>
      <c r="S540" s="258"/>
      <c r="T540" s="258"/>
      <c r="U540" s="258"/>
      <c r="V540" s="258"/>
      <c r="W540" s="258"/>
      <c r="X540" s="258"/>
      <c r="Y540" s="258"/>
      <c r="Z540" s="258"/>
      <c r="AA540" s="258"/>
      <c r="AB540" s="258"/>
      <c r="AC540" s="407"/>
    </row>
    <row r="541" spans="2:29" s="406" customFormat="1" ht="16.5" customHeight="1">
      <c r="B541" s="255"/>
      <c r="C541" s="255"/>
      <c r="D541" s="257"/>
      <c r="E541" s="257"/>
      <c r="F541" s="257"/>
      <c r="G541" s="252"/>
      <c r="H541" s="252"/>
      <c r="I541" s="252"/>
      <c r="J541" s="252"/>
      <c r="K541" s="252"/>
      <c r="L541" s="252"/>
      <c r="M541" s="253"/>
      <c r="N541" s="253"/>
      <c r="O541" s="258"/>
      <c r="P541" s="258"/>
      <c r="Q541" s="258"/>
      <c r="R541" s="258"/>
      <c r="S541" s="258"/>
      <c r="T541" s="258"/>
      <c r="U541" s="258"/>
      <c r="V541" s="258"/>
      <c r="W541" s="258"/>
      <c r="X541" s="258"/>
      <c r="Y541" s="258"/>
      <c r="Z541" s="258"/>
      <c r="AA541" s="258"/>
      <c r="AB541" s="258"/>
      <c r="AC541" s="407"/>
    </row>
    <row r="542" spans="2:29" s="406" customFormat="1" ht="16.5" customHeight="1">
      <c r="B542" s="255"/>
      <c r="C542" s="255"/>
      <c r="D542" s="257"/>
      <c r="E542" s="257"/>
      <c r="F542" s="257"/>
      <c r="G542" s="252"/>
      <c r="H542" s="252"/>
      <c r="I542" s="252"/>
      <c r="J542" s="252"/>
      <c r="K542" s="252"/>
      <c r="L542" s="252"/>
      <c r="M542" s="253"/>
      <c r="N542" s="253"/>
      <c r="O542" s="258"/>
      <c r="P542" s="258"/>
      <c r="Q542" s="258"/>
      <c r="R542" s="258"/>
      <c r="S542" s="258"/>
      <c r="T542" s="258"/>
      <c r="U542" s="258"/>
      <c r="V542" s="258"/>
      <c r="W542" s="258"/>
      <c r="X542" s="258"/>
      <c r="Y542" s="258"/>
      <c r="Z542" s="258"/>
      <c r="AA542" s="258"/>
      <c r="AB542" s="258"/>
      <c r="AC542" s="407"/>
    </row>
    <row r="543" spans="2:29" s="406" customFormat="1" ht="16.5" customHeight="1">
      <c r="B543" s="255"/>
      <c r="C543" s="255"/>
      <c r="D543" s="257"/>
      <c r="E543" s="257"/>
      <c r="F543" s="257"/>
      <c r="G543" s="252"/>
      <c r="H543" s="252"/>
      <c r="I543" s="252"/>
      <c r="J543" s="252"/>
      <c r="K543" s="252"/>
      <c r="L543" s="252"/>
      <c r="M543" s="253"/>
      <c r="N543" s="253"/>
      <c r="O543" s="258"/>
      <c r="P543" s="258"/>
      <c r="Q543" s="258"/>
      <c r="R543" s="258"/>
      <c r="S543" s="258"/>
      <c r="T543" s="258"/>
      <c r="U543" s="258"/>
      <c r="V543" s="258"/>
      <c r="W543" s="258"/>
      <c r="X543" s="258"/>
      <c r="Y543" s="258"/>
      <c r="Z543" s="258"/>
      <c r="AA543" s="258"/>
      <c r="AB543" s="258"/>
      <c r="AC543" s="407"/>
    </row>
    <row r="544" spans="2:29" s="406" customFormat="1" ht="16.5" customHeight="1">
      <c r="B544" s="255"/>
      <c r="C544" s="255"/>
      <c r="D544" s="257"/>
      <c r="E544" s="257"/>
      <c r="F544" s="257"/>
      <c r="G544" s="252"/>
      <c r="H544" s="252"/>
      <c r="I544" s="252"/>
      <c r="J544" s="252"/>
      <c r="K544" s="252"/>
      <c r="L544" s="252"/>
      <c r="M544" s="253"/>
      <c r="N544" s="253"/>
      <c r="O544" s="258"/>
      <c r="P544" s="258"/>
      <c r="Q544" s="258"/>
      <c r="R544" s="258"/>
      <c r="S544" s="258"/>
      <c r="T544" s="258"/>
      <c r="U544" s="258"/>
      <c r="V544" s="258"/>
      <c r="W544" s="258"/>
      <c r="X544" s="258"/>
      <c r="Y544" s="258"/>
      <c r="Z544" s="258"/>
      <c r="AA544" s="258"/>
      <c r="AB544" s="258"/>
      <c r="AC544" s="407"/>
    </row>
    <row r="545" spans="2:29" s="406" customFormat="1" ht="16.5" customHeight="1">
      <c r="B545" s="255"/>
      <c r="C545" s="255"/>
      <c r="D545" s="257"/>
      <c r="E545" s="257"/>
      <c r="F545" s="257"/>
      <c r="G545" s="252"/>
      <c r="H545" s="252"/>
      <c r="I545" s="252"/>
      <c r="J545" s="252"/>
      <c r="K545" s="252"/>
      <c r="L545" s="252"/>
      <c r="M545" s="253"/>
      <c r="N545" s="253"/>
      <c r="O545" s="258"/>
      <c r="P545" s="258"/>
      <c r="Q545" s="258"/>
      <c r="R545" s="258"/>
      <c r="S545" s="258"/>
      <c r="T545" s="258"/>
      <c r="U545" s="258"/>
      <c r="V545" s="258"/>
      <c r="W545" s="258"/>
      <c r="X545" s="258"/>
      <c r="Y545" s="258"/>
      <c r="Z545" s="258"/>
      <c r="AA545" s="258"/>
      <c r="AB545" s="258"/>
      <c r="AC545" s="407"/>
    </row>
    <row r="546" spans="2:29" s="406" customFormat="1" ht="16.5" customHeight="1">
      <c r="B546" s="255"/>
      <c r="C546" s="255"/>
      <c r="D546" s="257"/>
      <c r="E546" s="257"/>
      <c r="F546" s="257"/>
      <c r="G546" s="252"/>
      <c r="H546" s="252"/>
      <c r="I546" s="252"/>
      <c r="J546" s="252"/>
      <c r="K546" s="252"/>
      <c r="L546" s="252"/>
      <c r="M546" s="253"/>
      <c r="N546" s="253"/>
      <c r="O546" s="258"/>
      <c r="P546" s="258"/>
      <c r="Q546" s="258"/>
      <c r="R546" s="258"/>
      <c r="S546" s="258"/>
      <c r="T546" s="258"/>
      <c r="U546" s="258"/>
      <c r="V546" s="258"/>
      <c r="W546" s="258"/>
      <c r="X546" s="258"/>
      <c r="Y546" s="258"/>
      <c r="Z546" s="258"/>
      <c r="AA546" s="258"/>
      <c r="AB546" s="258"/>
      <c r="AC546" s="407"/>
    </row>
    <row r="547" spans="2:29" s="406" customFormat="1" ht="16.5" customHeight="1">
      <c r="B547" s="255"/>
      <c r="C547" s="255"/>
      <c r="D547" s="257"/>
      <c r="E547" s="257"/>
      <c r="F547" s="257"/>
      <c r="G547" s="252"/>
      <c r="H547" s="252"/>
      <c r="I547" s="252"/>
      <c r="J547" s="252"/>
      <c r="K547" s="252"/>
      <c r="L547" s="252"/>
      <c r="M547" s="253"/>
      <c r="N547" s="253"/>
      <c r="O547" s="258"/>
      <c r="P547" s="258"/>
      <c r="Q547" s="258"/>
      <c r="R547" s="258"/>
      <c r="S547" s="258"/>
      <c r="T547" s="258"/>
      <c r="U547" s="258"/>
      <c r="V547" s="258"/>
      <c r="W547" s="258"/>
      <c r="X547" s="258"/>
      <c r="Y547" s="258"/>
      <c r="Z547" s="258"/>
      <c r="AA547" s="258"/>
      <c r="AB547" s="258"/>
      <c r="AC547" s="407"/>
    </row>
    <row r="548" spans="2:29" s="406" customFormat="1" ht="16.5" customHeight="1">
      <c r="B548" s="255"/>
      <c r="C548" s="255"/>
      <c r="D548" s="257"/>
      <c r="E548" s="257"/>
      <c r="F548" s="257"/>
      <c r="G548" s="252"/>
      <c r="H548" s="252"/>
      <c r="I548" s="252"/>
      <c r="J548" s="252"/>
      <c r="K548" s="252"/>
      <c r="L548" s="252"/>
      <c r="M548" s="253"/>
      <c r="N548" s="253"/>
      <c r="O548" s="258"/>
      <c r="P548" s="258"/>
      <c r="Q548" s="258"/>
      <c r="R548" s="258"/>
      <c r="S548" s="258"/>
      <c r="T548" s="258"/>
      <c r="U548" s="258"/>
      <c r="V548" s="258"/>
      <c r="W548" s="258"/>
      <c r="X548" s="258"/>
      <c r="Y548" s="258"/>
      <c r="Z548" s="258"/>
      <c r="AA548" s="258"/>
      <c r="AB548" s="258"/>
      <c r="AC548" s="407"/>
    </row>
    <row r="549" spans="2:29" s="406" customFormat="1" ht="16.5" customHeight="1">
      <c r="B549" s="255"/>
      <c r="C549" s="255"/>
      <c r="D549" s="257"/>
      <c r="E549" s="257"/>
      <c r="F549" s="257"/>
      <c r="G549" s="252"/>
      <c r="H549" s="252"/>
      <c r="I549" s="252"/>
      <c r="J549" s="252"/>
      <c r="K549" s="252"/>
      <c r="L549" s="252"/>
      <c r="M549" s="253"/>
      <c r="N549" s="253"/>
      <c r="O549" s="258"/>
      <c r="P549" s="258"/>
      <c r="Q549" s="258"/>
      <c r="R549" s="258"/>
      <c r="S549" s="258"/>
      <c r="T549" s="258"/>
      <c r="U549" s="258"/>
      <c r="V549" s="258"/>
      <c r="W549" s="258"/>
      <c r="X549" s="258"/>
      <c r="Y549" s="258"/>
      <c r="Z549" s="258"/>
      <c r="AA549" s="258"/>
      <c r="AB549" s="258"/>
      <c r="AC549" s="407"/>
    </row>
    <row r="550" spans="2:29" s="406" customFormat="1" ht="16.5" customHeight="1">
      <c r="B550" s="255"/>
      <c r="C550" s="255"/>
      <c r="D550" s="257"/>
      <c r="E550" s="257"/>
      <c r="F550" s="257"/>
      <c r="G550" s="252"/>
      <c r="H550" s="252"/>
      <c r="I550" s="252"/>
      <c r="J550" s="252"/>
      <c r="K550" s="252"/>
      <c r="L550" s="252"/>
      <c r="M550" s="253"/>
      <c r="N550" s="253"/>
      <c r="O550" s="258"/>
      <c r="P550" s="258"/>
      <c r="Q550" s="258"/>
      <c r="R550" s="258"/>
      <c r="S550" s="258"/>
      <c r="T550" s="258"/>
      <c r="U550" s="258"/>
      <c r="V550" s="258"/>
      <c r="W550" s="258"/>
      <c r="X550" s="258"/>
      <c r="Y550" s="258"/>
      <c r="Z550" s="258"/>
      <c r="AA550" s="258"/>
      <c r="AB550" s="258"/>
      <c r="AC550" s="407"/>
    </row>
    <row r="551" spans="2:29" s="406" customFormat="1" ht="16.5" customHeight="1">
      <c r="B551" s="255"/>
      <c r="C551" s="255"/>
      <c r="D551" s="257"/>
      <c r="E551" s="257"/>
      <c r="F551" s="257"/>
      <c r="G551" s="252"/>
      <c r="H551" s="252"/>
      <c r="I551" s="252"/>
      <c r="J551" s="252"/>
      <c r="K551" s="252"/>
      <c r="L551" s="252"/>
      <c r="M551" s="253"/>
      <c r="N551" s="253"/>
      <c r="O551" s="258"/>
      <c r="P551" s="258"/>
      <c r="Q551" s="258"/>
      <c r="R551" s="258"/>
      <c r="S551" s="258"/>
      <c r="T551" s="258"/>
      <c r="U551" s="258"/>
      <c r="V551" s="258"/>
      <c r="W551" s="258"/>
      <c r="X551" s="258"/>
      <c r="Y551" s="258"/>
      <c r="Z551" s="258"/>
      <c r="AA551" s="258"/>
      <c r="AB551" s="258"/>
      <c r="AC551" s="407"/>
    </row>
    <row r="552" spans="2:29" s="406" customFormat="1" ht="16.5" customHeight="1">
      <c r="B552" s="255"/>
      <c r="C552" s="255"/>
      <c r="D552" s="257"/>
      <c r="E552" s="257"/>
      <c r="F552" s="257"/>
      <c r="G552" s="252"/>
      <c r="H552" s="252"/>
      <c r="I552" s="252"/>
      <c r="J552" s="252"/>
      <c r="K552" s="252"/>
      <c r="L552" s="252"/>
      <c r="M552" s="253"/>
      <c r="N552" s="253"/>
      <c r="O552" s="258"/>
      <c r="P552" s="258"/>
      <c r="Q552" s="258"/>
      <c r="R552" s="258"/>
      <c r="S552" s="258"/>
      <c r="T552" s="258"/>
      <c r="U552" s="258"/>
      <c r="V552" s="258"/>
      <c r="W552" s="258"/>
      <c r="X552" s="258"/>
      <c r="Y552" s="258"/>
      <c r="Z552" s="258"/>
      <c r="AA552" s="258"/>
      <c r="AB552" s="258"/>
      <c r="AC552" s="407"/>
    </row>
    <row r="553" spans="2:29" s="406" customFormat="1" ht="16.5" customHeight="1">
      <c r="B553" s="255"/>
      <c r="C553" s="255"/>
      <c r="D553" s="257"/>
      <c r="E553" s="257"/>
      <c r="F553" s="257"/>
      <c r="G553" s="252"/>
      <c r="H553" s="252"/>
      <c r="I553" s="252"/>
      <c r="J553" s="252"/>
      <c r="K553" s="252"/>
      <c r="L553" s="252"/>
      <c r="M553" s="253"/>
      <c r="N553" s="253"/>
      <c r="O553" s="258"/>
      <c r="P553" s="258"/>
      <c r="Q553" s="258"/>
      <c r="R553" s="258"/>
      <c r="S553" s="258"/>
      <c r="T553" s="258"/>
      <c r="U553" s="258"/>
      <c r="V553" s="258"/>
      <c r="W553" s="258"/>
      <c r="X553" s="258"/>
      <c r="Y553" s="258"/>
      <c r="Z553" s="258"/>
      <c r="AA553" s="258"/>
      <c r="AB553" s="258"/>
      <c r="AC553" s="407"/>
    </row>
    <row r="554" spans="2:29" s="406" customFormat="1" ht="16.5" customHeight="1">
      <c r="B554" s="255"/>
      <c r="C554" s="255"/>
      <c r="D554" s="257"/>
      <c r="E554" s="257"/>
      <c r="F554" s="257"/>
      <c r="G554" s="252"/>
      <c r="H554" s="252"/>
      <c r="I554" s="252"/>
      <c r="J554" s="252"/>
      <c r="K554" s="252"/>
      <c r="L554" s="252"/>
      <c r="M554" s="253"/>
      <c r="N554" s="253"/>
      <c r="O554" s="258"/>
      <c r="P554" s="258"/>
      <c r="Q554" s="258"/>
      <c r="R554" s="258"/>
      <c r="S554" s="258"/>
      <c r="T554" s="258"/>
      <c r="U554" s="258"/>
      <c r="V554" s="258"/>
      <c r="W554" s="258"/>
      <c r="X554" s="258"/>
      <c r="Y554" s="258"/>
      <c r="Z554" s="258"/>
      <c r="AA554" s="258"/>
      <c r="AB554" s="258"/>
      <c r="AC554" s="407"/>
    </row>
    <row r="555" spans="2:29" s="406" customFormat="1" ht="16.5" customHeight="1">
      <c r="B555" s="255"/>
      <c r="C555" s="255"/>
      <c r="D555" s="257"/>
      <c r="E555" s="257"/>
      <c r="F555" s="257"/>
      <c r="G555" s="252"/>
      <c r="H555" s="252"/>
      <c r="I555" s="252"/>
      <c r="J555" s="252"/>
      <c r="K555" s="252"/>
      <c r="L555" s="252"/>
      <c r="M555" s="253"/>
      <c r="N555" s="253"/>
      <c r="O555" s="258"/>
      <c r="P555" s="258"/>
      <c r="Q555" s="258"/>
      <c r="R555" s="258"/>
      <c r="S555" s="258"/>
      <c r="T555" s="258"/>
      <c r="U555" s="258"/>
      <c r="V555" s="258"/>
      <c r="W555" s="258"/>
      <c r="X555" s="258"/>
      <c r="Y555" s="258"/>
      <c r="Z555" s="258"/>
      <c r="AA555" s="258"/>
      <c r="AB555" s="258"/>
      <c r="AC555" s="407"/>
    </row>
    <row r="556" spans="2:29" s="406" customFormat="1" ht="16.5" customHeight="1">
      <c r="B556" s="255"/>
      <c r="C556" s="255"/>
      <c r="D556" s="257"/>
      <c r="E556" s="257"/>
      <c r="F556" s="257"/>
      <c r="G556" s="252"/>
      <c r="H556" s="252"/>
      <c r="I556" s="252"/>
      <c r="J556" s="252"/>
      <c r="K556" s="252"/>
      <c r="L556" s="252"/>
      <c r="M556" s="253"/>
      <c r="N556" s="253"/>
      <c r="O556" s="258"/>
      <c r="P556" s="258"/>
      <c r="Q556" s="258"/>
      <c r="R556" s="258"/>
      <c r="S556" s="258"/>
      <c r="T556" s="258"/>
      <c r="U556" s="258"/>
      <c r="V556" s="258"/>
      <c r="W556" s="258"/>
      <c r="X556" s="258"/>
      <c r="Y556" s="258"/>
      <c r="Z556" s="258"/>
      <c r="AA556" s="258"/>
      <c r="AB556" s="258"/>
      <c r="AC556" s="407"/>
    </row>
    <row r="557" spans="2:29" s="406" customFormat="1" ht="16.5" customHeight="1">
      <c r="B557" s="255"/>
      <c r="C557" s="255"/>
      <c r="D557" s="257"/>
      <c r="E557" s="257"/>
      <c r="F557" s="257"/>
      <c r="G557" s="252"/>
      <c r="H557" s="252"/>
      <c r="I557" s="252"/>
      <c r="J557" s="252"/>
      <c r="K557" s="252"/>
      <c r="L557" s="252"/>
      <c r="M557" s="253"/>
      <c r="N557" s="253"/>
      <c r="O557" s="258"/>
      <c r="P557" s="258"/>
      <c r="Q557" s="258"/>
      <c r="R557" s="258"/>
      <c r="S557" s="258"/>
      <c r="T557" s="258"/>
      <c r="U557" s="258"/>
      <c r="V557" s="258"/>
      <c r="W557" s="258"/>
      <c r="X557" s="258"/>
      <c r="Y557" s="258"/>
      <c r="Z557" s="258"/>
      <c r="AA557" s="258"/>
      <c r="AB557" s="258"/>
      <c r="AC557" s="407"/>
    </row>
    <row r="558" spans="2:29" s="406" customFormat="1" ht="16.5" customHeight="1">
      <c r="B558" s="255"/>
      <c r="C558" s="255"/>
      <c r="D558" s="257"/>
      <c r="E558" s="257"/>
      <c r="F558" s="257"/>
      <c r="G558" s="252"/>
      <c r="H558" s="252"/>
      <c r="I558" s="252"/>
      <c r="J558" s="252"/>
      <c r="K558" s="252"/>
      <c r="L558" s="252"/>
      <c r="M558" s="253"/>
      <c r="N558" s="253"/>
      <c r="O558" s="258"/>
      <c r="P558" s="258"/>
      <c r="Q558" s="258"/>
      <c r="R558" s="258"/>
      <c r="S558" s="258"/>
      <c r="T558" s="258"/>
      <c r="U558" s="258"/>
      <c r="V558" s="258"/>
      <c r="W558" s="258"/>
      <c r="X558" s="258"/>
      <c r="Y558" s="258"/>
      <c r="Z558" s="258"/>
      <c r="AA558" s="258"/>
      <c r="AB558" s="258"/>
      <c r="AC558" s="407"/>
    </row>
    <row r="559" spans="2:29" s="406" customFormat="1" ht="16.5" customHeight="1">
      <c r="B559" s="255"/>
      <c r="C559" s="255"/>
      <c r="D559" s="257"/>
      <c r="E559" s="257"/>
      <c r="F559" s="257"/>
      <c r="G559" s="252"/>
      <c r="H559" s="252"/>
      <c r="I559" s="252"/>
      <c r="J559" s="252"/>
      <c r="K559" s="252"/>
      <c r="L559" s="252"/>
      <c r="M559" s="253"/>
      <c r="N559" s="253"/>
      <c r="O559" s="258"/>
      <c r="P559" s="258"/>
      <c r="Q559" s="258"/>
      <c r="R559" s="258"/>
      <c r="S559" s="258"/>
      <c r="T559" s="258"/>
      <c r="U559" s="258"/>
      <c r="V559" s="258"/>
      <c r="W559" s="258"/>
      <c r="X559" s="258"/>
      <c r="Y559" s="258"/>
      <c r="Z559" s="258"/>
      <c r="AA559" s="258"/>
      <c r="AB559" s="258"/>
      <c r="AC559" s="407"/>
    </row>
    <row r="560" spans="2:29" s="406" customFormat="1" ht="16.5" customHeight="1">
      <c r="B560" s="255"/>
      <c r="C560" s="255"/>
      <c r="D560" s="257"/>
      <c r="E560" s="257"/>
      <c r="F560" s="257"/>
      <c r="G560" s="252"/>
      <c r="H560" s="252"/>
      <c r="I560" s="252"/>
      <c r="J560" s="252"/>
      <c r="K560" s="252"/>
      <c r="L560" s="252"/>
      <c r="M560" s="253"/>
      <c r="N560" s="253"/>
      <c r="O560" s="258"/>
      <c r="P560" s="258"/>
      <c r="Q560" s="258"/>
      <c r="R560" s="258"/>
      <c r="S560" s="258"/>
      <c r="T560" s="258"/>
      <c r="U560" s="258"/>
      <c r="V560" s="258"/>
      <c r="W560" s="258"/>
      <c r="X560" s="258"/>
      <c r="Y560" s="258"/>
      <c r="Z560" s="258"/>
      <c r="AA560" s="258"/>
      <c r="AB560" s="258"/>
      <c r="AC560" s="407"/>
    </row>
    <row r="561" spans="2:29" s="406" customFormat="1" ht="16.5" customHeight="1">
      <c r="B561" s="255"/>
      <c r="C561" s="255"/>
      <c r="D561" s="257"/>
      <c r="E561" s="257"/>
      <c r="F561" s="257"/>
      <c r="G561" s="252"/>
      <c r="H561" s="252"/>
      <c r="I561" s="252"/>
      <c r="J561" s="252"/>
      <c r="K561" s="252"/>
      <c r="L561" s="252"/>
      <c r="M561" s="253"/>
      <c r="N561" s="253"/>
      <c r="O561" s="258"/>
      <c r="P561" s="258"/>
      <c r="Q561" s="258"/>
      <c r="R561" s="258"/>
      <c r="S561" s="258"/>
      <c r="T561" s="258"/>
      <c r="U561" s="258"/>
      <c r="V561" s="258"/>
      <c r="W561" s="258"/>
      <c r="X561" s="258"/>
      <c r="Y561" s="258"/>
      <c r="Z561" s="258"/>
      <c r="AA561" s="258"/>
      <c r="AB561" s="258"/>
      <c r="AC561" s="407"/>
    </row>
    <row r="562" spans="2:29" s="406" customFormat="1" ht="16.5" customHeight="1">
      <c r="B562" s="255"/>
      <c r="C562" s="255"/>
      <c r="D562" s="257"/>
      <c r="E562" s="257"/>
      <c r="F562" s="257"/>
      <c r="G562" s="252"/>
      <c r="H562" s="252"/>
      <c r="I562" s="252"/>
      <c r="J562" s="252"/>
      <c r="K562" s="252"/>
      <c r="L562" s="252"/>
      <c r="M562" s="253"/>
      <c r="N562" s="253"/>
      <c r="O562" s="258"/>
      <c r="P562" s="258"/>
      <c r="Q562" s="258"/>
      <c r="R562" s="258"/>
      <c r="S562" s="258"/>
      <c r="T562" s="258"/>
      <c r="U562" s="258"/>
      <c r="V562" s="258"/>
      <c r="W562" s="258"/>
      <c r="X562" s="258"/>
      <c r="Y562" s="258"/>
      <c r="Z562" s="258"/>
      <c r="AA562" s="258"/>
      <c r="AB562" s="258"/>
      <c r="AC562" s="407"/>
    </row>
    <row r="563" spans="2:29" s="406" customFormat="1" ht="16.5" customHeight="1">
      <c r="B563" s="255"/>
      <c r="C563" s="255"/>
      <c r="D563" s="257"/>
      <c r="E563" s="257"/>
      <c r="F563" s="257"/>
      <c r="G563" s="252"/>
      <c r="H563" s="252"/>
      <c r="I563" s="252"/>
      <c r="J563" s="252"/>
      <c r="K563" s="252"/>
      <c r="L563" s="252"/>
      <c r="M563" s="253"/>
      <c r="N563" s="253"/>
      <c r="O563" s="258"/>
      <c r="P563" s="258"/>
      <c r="Q563" s="258"/>
      <c r="R563" s="258"/>
      <c r="S563" s="258"/>
      <c r="T563" s="258"/>
      <c r="U563" s="258"/>
      <c r="V563" s="258"/>
      <c r="W563" s="258"/>
      <c r="X563" s="258"/>
      <c r="Y563" s="258"/>
      <c r="Z563" s="258"/>
      <c r="AA563" s="258"/>
      <c r="AB563" s="258"/>
      <c r="AC563" s="407"/>
    </row>
    <row r="564" spans="2:29" s="406" customFormat="1" ht="16.5" customHeight="1">
      <c r="B564" s="255"/>
      <c r="C564" s="255"/>
      <c r="D564" s="257"/>
      <c r="E564" s="257"/>
      <c r="F564" s="257"/>
      <c r="G564" s="252"/>
      <c r="H564" s="252"/>
      <c r="I564" s="252"/>
      <c r="J564" s="252"/>
      <c r="K564" s="252"/>
      <c r="L564" s="252"/>
      <c r="M564" s="253"/>
      <c r="N564" s="253"/>
      <c r="O564" s="258"/>
      <c r="P564" s="258"/>
      <c r="Q564" s="258"/>
      <c r="R564" s="258"/>
      <c r="S564" s="258"/>
      <c r="T564" s="258"/>
      <c r="U564" s="258"/>
      <c r="V564" s="258"/>
      <c r="W564" s="258"/>
      <c r="X564" s="258"/>
      <c r="Y564" s="258"/>
      <c r="Z564" s="258"/>
      <c r="AA564" s="258"/>
      <c r="AB564" s="258"/>
      <c r="AC564" s="407"/>
    </row>
    <row r="565" spans="2:29" s="406" customFormat="1" ht="16.5" customHeight="1">
      <c r="B565" s="255"/>
      <c r="C565" s="255"/>
      <c r="D565" s="257"/>
      <c r="E565" s="257"/>
      <c r="F565" s="257"/>
      <c r="G565" s="252"/>
      <c r="H565" s="252"/>
      <c r="I565" s="252"/>
      <c r="J565" s="252"/>
      <c r="K565" s="252"/>
      <c r="L565" s="252"/>
      <c r="M565" s="253"/>
      <c r="N565" s="253"/>
      <c r="O565" s="258"/>
      <c r="P565" s="258"/>
      <c r="Q565" s="258"/>
      <c r="R565" s="258"/>
      <c r="S565" s="258"/>
      <c r="T565" s="258"/>
      <c r="U565" s="258"/>
      <c r="V565" s="258"/>
      <c r="W565" s="258"/>
      <c r="X565" s="258"/>
      <c r="Y565" s="258"/>
      <c r="Z565" s="258"/>
      <c r="AA565" s="258"/>
      <c r="AB565" s="258"/>
      <c r="AC565" s="407"/>
    </row>
    <row r="566" spans="2:29" s="406" customFormat="1" ht="16.5" customHeight="1">
      <c r="B566" s="255"/>
      <c r="C566" s="255"/>
      <c r="D566" s="257"/>
      <c r="E566" s="257"/>
      <c r="F566" s="257"/>
      <c r="G566" s="252"/>
      <c r="H566" s="252"/>
      <c r="I566" s="252"/>
      <c r="J566" s="252"/>
      <c r="K566" s="252"/>
      <c r="L566" s="252"/>
      <c r="M566" s="253"/>
      <c r="N566" s="253"/>
      <c r="O566" s="258"/>
      <c r="P566" s="258"/>
      <c r="Q566" s="258"/>
      <c r="R566" s="258"/>
      <c r="S566" s="258"/>
      <c r="T566" s="258"/>
      <c r="U566" s="258"/>
      <c r="V566" s="258"/>
      <c r="W566" s="258"/>
      <c r="X566" s="258"/>
      <c r="Y566" s="258"/>
      <c r="Z566" s="258"/>
      <c r="AA566" s="258"/>
      <c r="AB566" s="258"/>
      <c r="AC566" s="407"/>
    </row>
    <row r="567" spans="2:29" s="406" customFormat="1" ht="16.5" customHeight="1">
      <c r="B567" s="255"/>
      <c r="C567" s="255"/>
      <c r="D567" s="257"/>
      <c r="E567" s="257"/>
      <c r="F567" s="257"/>
      <c r="G567" s="252"/>
      <c r="H567" s="252"/>
      <c r="I567" s="252"/>
      <c r="J567" s="252"/>
      <c r="K567" s="252"/>
      <c r="L567" s="252"/>
      <c r="M567" s="253"/>
      <c r="N567" s="253"/>
      <c r="O567" s="258"/>
      <c r="P567" s="258"/>
      <c r="Q567" s="258"/>
      <c r="R567" s="258"/>
      <c r="S567" s="258"/>
      <c r="T567" s="258"/>
      <c r="U567" s="258"/>
      <c r="V567" s="258"/>
      <c r="W567" s="258"/>
      <c r="X567" s="258"/>
      <c r="Y567" s="258"/>
      <c r="Z567" s="258"/>
      <c r="AA567" s="258"/>
      <c r="AB567" s="258"/>
      <c r="AC567" s="407"/>
    </row>
    <row r="568" spans="2:29" s="406" customFormat="1" ht="16.5" customHeight="1">
      <c r="B568" s="255"/>
      <c r="C568" s="255"/>
      <c r="D568" s="257"/>
      <c r="E568" s="257"/>
      <c r="F568" s="257"/>
      <c r="G568" s="252"/>
      <c r="H568" s="252"/>
      <c r="I568" s="252"/>
      <c r="J568" s="252"/>
      <c r="K568" s="252"/>
      <c r="L568" s="252"/>
      <c r="M568" s="253"/>
      <c r="N568" s="253"/>
      <c r="O568" s="258"/>
      <c r="P568" s="258"/>
      <c r="Q568" s="258"/>
      <c r="R568" s="258"/>
      <c r="S568" s="258"/>
      <c r="T568" s="258"/>
      <c r="U568" s="258"/>
      <c r="V568" s="258"/>
      <c r="W568" s="258"/>
      <c r="X568" s="258"/>
      <c r="Y568" s="258"/>
      <c r="Z568" s="258"/>
      <c r="AA568" s="258"/>
      <c r="AB568" s="258"/>
      <c r="AC568" s="407"/>
    </row>
    <row r="569" spans="2:29" s="406" customFormat="1" ht="16.5" customHeight="1">
      <c r="B569" s="255"/>
      <c r="C569" s="255"/>
      <c r="D569" s="257"/>
      <c r="E569" s="257"/>
      <c r="F569" s="257"/>
      <c r="G569" s="252"/>
      <c r="H569" s="252"/>
      <c r="I569" s="252"/>
      <c r="J569" s="252"/>
      <c r="K569" s="252"/>
      <c r="L569" s="252"/>
      <c r="M569" s="253"/>
      <c r="N569" s="253"/>
      <c r="O569" s="258"/>
      <c r="P569" s="258"/>
      <c r="Q569" s="258"/>
      <c r="R569" s="258"/>
      <c r="S569" s="258"/>
      <c r="T569" s="258"/>
      <c r="U569" s="258"/>
      <c r="V569" s="258"/>
      <c r="W569" s="258"/>
      <c r="X569" s="258"/>
      <c r="Y569" s="258"/>
      <c r="Z569" s="258"/>
      <c r="AA569" s="258"/>
      <c r="AB569" s="258"/>
      <c r="AC569" s="407"/>
    </row>
    <row r="570" spans="2:29" s="406" customFormat="1" ht="16.5" customHeight="1">
      <c r="B570" s="255"/>
      <c r="C570" s="255"/>
      <c r="D570" s="257"/>
      <c r="E570" s="257"/>
      <c r="F570" s="257"/>
      <c r="G570" s="252"/>
      <c r="H570" s="252"/>
      <c r="I570" s="252"/>
      <c r="J570" s="252"/>
      <c r="K570" s="252"/>
      <c r="L570" s="252"/>
      <c r="M570" s="253"/>
      <c r="N570" s="253"/>
      <c r="O570" s="258"/>
      <c r="P570" s="258"/>
      <c r="Q570" s="258"/>
      <c r="R570" s="258"/>
      <c r="S570" s="258"/>
      <c r="T570" s="258"/>
      <c r="U570" s="258"/>
      <c r="V570" s="258"/>
      <c r="W570" s="258"/>
      <c r="X570" s="258"/>
      <c r="Y570" s="258"/>
      <c r="Z570" s="258"/>
      <c r="AA570" s="258"/>
      <c r="AB570" s="258"/>
      <c r="AC570" s="407"/>
    </row>
    <row r="571" spans="2:29" s="406" customFormat="1" ht="16.5" customHeight="1">
      <c r="B571" s="255"/>
      <c r="C571" s="255"/>
      <c r="D571" s="257"/>
      <c r="E571" s="257"/>
      <c r="F571" s="257"/>
      <c r="G571" s="252"/>
      <c r="H571" s="252"/>
      <c r="I571" s="252"/>
      <c r="J571" s="252"/>
      <c r="K571" s="252"/>
      <c r="L571" s="252"/>
      <c r="M571" s="253"/>
      <c r="N571" s="253"/>
      <c r="O571" s="258"/>
      <c r="P571" s="258"/>
      <c r="Q571" s="258"/>
      <c r="R571" s="258"/>
      <c r="S571" s="258"/>
      <c r="T571" s="258"/>
      <c r="U571" s="258"/>
      <c r="V571" s="258"/>
      <c r="W571" s="258"/>
      <c r="X571" s="258"/>
      <c r="Y571" s="258"/>
      <c r="Z571" s="258"/>
      <c r="AA571" s="258"/>
      <c r="AB571" s="258"/>
      <c r="AC571" s="407"/>
    </row>
    <row r="572" spans="2:29" s="406" customFormat="1" ht="16.5" customHeight="1">
      <c r="B572" s="255"/>
      <c r="C572" s="255"/>
      <c r="D572" s="257"/>
      <c r="E572" s="257"/>
      <c r="F572" s="257"/>
      <c r="G572" s="252"/>
      <c r="H572" s="252"/>
      <c r="I572" s="252"/>
      <c r="J572" s="252"/>
      <c r="K572" s="252"/>
      <c r="L572" s="252"/>
      <c r="M572" s="253"/>
      <c r="N572" s="253"/>
      <c r="O572" s="258"/>
      <c r="P572" s="258"/>
      <c r="Q572" s="258"/>
      <c r="R572" s="258"/>
      <c r="S572" s="258"/>
      <c r="T572" s="258"/>
      <c r="U572" s="258"/>
      <c r="V572" s="258"/>
      <c r="W572" s="258"/>
      <c r="X572" s="258"/>
      <c r="Y572" s="258"/>
      <c r="Z572" s="258"/>
      <c r="AA572" s="258"/>
      <c r="AB572" s="258"/>
      <c r="AC572" s="407"/>
    </row>
    <row r="573" spans="2:29" s="406" customFormat="1" ht="16.5" customHeight="1">
      <c r="B573" s="255"/>
      <c r="C573" s="255"/>
      <c r="D573" s="257"/>
      <c r="E573" s="257"/>
      <c r="F573" s="257"/>
      <c r="G573" s="252"/>
      <c r="H573" s="252"/>
      <c r="I573" s="252"/>
      <c r="J573" s="252"/>
      <c r="K573" s="252"/>
      <c r="L573" s="252"/>
      <c r="M573" s="253"/>
      <c r="N573" s="253"/>
      <c r="O573" s="258"/>
      <c r="P573" s="258"/>
      <c r="Q573" s="258"/>
      <c r="R573" s="258"/>
      <c r="S573" s="258"/>
      <c r="T573" s="258"/>
      <c r="U573" s="258"/>
      <c r="V573" s="258"/>
      <c r="W573" s="258"/>
      <c r="X573" s="258"/>
      <c r="Y573" s="258"/>
      <c r="Z573" s="258"/>
      <c r="AA573" s="258"/>
      <c r="AB573" s="258"/>
      <c r="AC573" s="407"/>
    </row>
    <row r="574" spans="2:29" s="406" customFormat="1" ht="16.5" customHeight="1">
      <c r="B574" s="255"/>
      <c r="C574" s="255"/>
      <c r="D574" s="257"/>
      <c r="E574" s="257"/>
      <c r="F574" s="257"/>
      <c r="G574" s="252"/>
      <c r="H574" s="252"/>
      <c r="I574" s="252"/>
      <c r="J574" s="252"/>
      <c r="K574" s="252"/>
      <c r="L574" s="252"/>
      <c r="M574" s="253"/>
      <c r="N574" s="253"/>
      <c r="O574" s="258"/>
      <c r="P574" s="258"/>
      <c r="Q574" s="258"/>
      <c r="R574" s="258"/>
      <c r="S574" s="258"/>
      <c r="T574" s="258"/>
      <c r="U574" s="258"/>
      <c r="V574" s="258"/>
      <c r="W574" s="258"/>
      <c r="X574" s="258"/>
      <c r="Y574" s="258"/>
      <c r="Z574" s="258"/>
      <c r="AA574" s="258"/>
      <c r="AB574" s="258"/>
      <c r="AC574" s="407"/>
    </row>
    <row r="575" spans="2:29" s="406" customFormat="1" ht="16.5" customHeight="1">
      <c r="B575" s="255"/>
      <c r="C575" s="255"/>
      <c r="D575" s="257"/>
      <c r="E575" s="257"/>
      <c r="F575" s="257"/>
      <c r="G575" s="252"/>
      <c r="H575" s="252"/>
      <c r="I575" s="252"/>
      <c r="J575" s="252"/>
      <c r="K575" s="252"/>
      <c r="L575" s="252"/>
      <c r="M575" s="253"/>
      <c r="N575" s="253"/>
      <c r="O575" s="258"/>
      <c r="P575" s="258"/>
      <c r="Q575" s="258"/>
      <c r="R575" s="258"/>
      <c r="S575" s="258"/>
      <c r="T575" s="258"/>
      <c r="U575" s="258"/>
      <c r="V575" s="258"/>
      <c r="W575" s="258"/>
      <c r="X575" s="258"/>
      <c r="Y575" s="258"/>
      <c r="Z575" s="258"/>
      <c r="AA575" s="258"/>
      <c r="AB575" s="258"/>
      <c r="AC575" s="407"/>
    </row>
    <row r="576" spans="2:29" s="406" customFormat="1" ht="16.5" customHeight="1">
      <c r="B576" s="255"/>
      <c r="C576" s="255"/>
      <c r="D576" s="257"/>
      <c r="E576" s="257"/>
      <c r="F576" s="257"/>
      <c r="G576" s="252"/>
      <c r="H576" s="252"/>
      <c r="I576" s="252"/>
      <c r="J576" s="252"/>
      <c r="K576" s="252"/>
      <c r="L576" s="252"/>
      <c r="M576" s="253"/>
      <c r="N576" s="253"/>
      <c r="O576" s="258"/>
      <c r="P576" s="258"/>
      <c r="Q576" s="258"/>
      <c r="R576" s="258"/>
      <c r="S576" s="258"/>
      <c r="T576" s="258"/>
      <c r="U576" s="258"/>
      <c r="V576" s="258"/>
      <c r="W576" s="258"/>
      <c r="X576" s="258"/>
      <c r="Y576" s="258"/>
      <c r="Z576" s="258"/>
      <c r="AA576" s="258"/>
      <c r="AB576" s="258"/>
      <c r="AC576" s="407"/>
    </row>
    <row r="577" spans="2:29" s="406" customFormat="1" ht="16.5" customHeight="1">
      <c r="B577" s="255"/>
      <c r="C577" s="255"/>
      <c r="D577" s="257"/>
      <c r="E577" s="257"/>
      <c r="F577" s="257"/>
      <c r="G577" s="252"/>
      <c r="H577" s="252"/>
      <c r="I577" s="252"/>
      <c r="J577" s="252"/>
      <c r="K577" s="252"/>
      <c r="L577" s="252"/>
      <c r="M577" s="253"/>
      <c r="N577" s="253"/>
      <c r="O577" s="258"/>
      <c r="P577" s="258"/>
      <c r="Q577" s="258"/>
      <c r="R577" s="258"/>
      <c r="S577" s="258"/>
      <c r="T577" s="258"/>
      <c r="U577" s="258"/>
      <c r="V577" s="258"/>
      <c r="W577" s="258"/>
      <c r="X577" s="258"/>
      <c r="Y577" s="258"/>
      <c r="Z577" s="258"/>
      <c r="AA577" s="258"/>
      <c r="AB577" s="258"/>
      <c r="AC577" s="407"/>
    </row>
    <row r="578" spans="2:29" s="406" customFormat="1" ht="16.5" customHeight="1">
      <c r="B578" s="255"/>
      <c r="C578" s="255"/>
      <c r="D578" s="257"/>
      <c r="E578" s="257"/>
      <c r="F578" s="257"/>
      <c r="G578" s="252"/>
      <c r="H578" s="252"/>
      <c r="I578" s="252"/>
      <c r="J578" s="252"/>
      <c r="K578" s="252"/>
      <c r="L578" s="252"/>
      <c r="M578" s="253"/>
      <c r="N578" s="253"/>
      <c r="O578" s="258"/>
      <c r="P578" s="258"/>
      <c r="Q578" s="258"/>
      <c r="R578" s="258"/>
      <c r="S578" s="258"/>
      <c r="T578" s="258"/>
      <c r="U578" s="258"/>
      <c r="V578" s="258"/>
      <c r="W578" s="258"/>
      <c r="X578" s="258"/>
      <c r="Y578" s="258"/>
      <c r="Z578" s="258"/>
      <c r="AA578" s="258"/>
      <c r="AB578" s="258"/>
      <c r="AC578" s="407"/>
    </row>
    <row r="579" spans="2:29" s="406" customFormat="1" ht="16.5" customHeight="1">
      <c r="B579" s="255"/>
      <c r="C579" s="255"/>
      <c r="D579" s="257"/>
      <c r="E579" s="257"/>
      <c r="F579" s="257"/>
      <c r="G579" s="252"/>
      <c r="H579" s="252"/>
      <c r="I579" s="252"/>
      <c r="J579" s="252"/>
      <c r="K579" s="252"/>
      <c r="L579" s="252"/>
      <c r="M579" s="253"/>
      <c r="N579" s="253"/>
      <c r="O579" s="258"/>
      <c r="P579" s="258"/>
      <c r="Q579" s="258"/>
      <c r="R579" s="258"/>
      <c r="S579" s="258"/>
      <c r="T579" s="258"/>
      <c r="U579" s="258"/>
      <c r="V579" s="258"/>
      <c r="W579" s="258"/>
      <c r="X579" s="258"/>
      <c r="Y579" s="258"/>
      <c r="Z579" s="258"/>
      <c r="AA579" s="258"/>
      <c r="AB579" s="258"/>
      <c r="AC579" s="407"/>
    </row>
    <row r="580" spans="2:29" s="406" customFormat="1" ht="16.5" customHeight="1">
      <c r="B580" s="255"/>
      <c r="C580" s="255"/>
      <c r="D580" s="257"/>
      <c r="E580" s="257"/>
      <c r="F580" s="257"/>
      <c r="G580" s="252"/>
      <c r="H580" s="252"/>
      <c r="I580" s="252"/>
      <c r="J580" s="252"/>
      <c r="K580" s="252"/>
      <c r="L580" s="252"/>
      <c r="M580" s="253"/>
      <c r="N580" s="253"/>
      <c r="O580" s="258"/>
      <c r="P580" s="258"/>
      <c r="Q580" s="258"/>
      <c r="R580" s="258"/>
      <c r="S580" s="258"/>
      <c r="T580" s="258"/>
      <c r="U580" s="258"/>
      <c r="V580" s="258"/>
      <c r="W580" s="258"/>
      <c r="X580" s="258"/>
      <c r="Y580" s="258"/>
      <c r="Z580" s="258"/>
      <c r="AA580" s="258"/>
      <c r="AB580" s="258"/>
      <c r="AC580" s="407"/>
    </row>
    <row r="581" spans="2:29" s="406" customFormat="1" ht="16.5" customHeight="1">
      <c r="B581" s="255"/>
      <c r="C581" s="255"/>
      <c r="D581" s="257"/>
      <c r="E581" s="257"/>
      <c r="F581" s="257"/>
      <c r="G581" s="252"/>
      <c r="H581" s="252"/>
      <c r="I581" s="252"/>
      <c r="J581" s="252"/>
      <c r="K581" s="252"/>
      <c r="L581" s="252"/>
      <c r="M581" s="253"/>
      <c r="N581" s="253"/>
      <c r="O581" s="258"/>
      <c r="P581" s="258"/>
      <c r="Q581" s="258"/>
      <c r="R581" s="258"/>
      <c r="S581" s="258"/>
      <c r="T581" s="258"/>
      <c r="U581" s="258"/>
      <c r="V581" s="258"/>
      <c r="W581" s="258"/>
      <c r="X581" s="258"/>
      <c r="Y581" s="258"/>
      <c r="Z581" s="258"/>
      <c r="AA581" s="258"/>
      <c r="AB581" s="258"/>
      <c r="AC581" s="407"/>
    </row>
    <row r="582" spans="2:29" s="406" customFormat="1" ht="16.5" customHeight="1">
      <c r="B582" s="255"/>
      <c r="C582" s="255"/>
      <c r="D582" s="257"/>
      <c r="E582" s="257"/>
      <c r="F582" s="257"/>
      <c r="G582" s="252"/>
      <c r="H582" s="252"/>
      <c r="I582" s="252"/>
      <c r="J582" s="252"/>
      <c r="K582" s="252"/>
      <c r="L582" s="252"/>
      <c r="M582" s="253"/>
      <c r="N582" s="253"/>
      <c r="O582" s="258"/>
      <c r="P582" s="258"/>
      <c r="Q582" s="258"/>
      <c r="R582" s="258"/>
      <c r="S582" s="258"/>
      <c r="T582" s="258"/>
      <c r="U582" s="258"/>
      <c r="V582" s="258"/>
      <c r="W582" s="258"/>
      <c r="X582" s="258"/>
      <c r="Y582" s="258"/>
      <c r="Z582" s="258"/>
      <c r="AA582" s="258"/>
      <c r="AB582" s="258"/>
      <c r="AC582" s="407"/>
    </row>
    <row r="583" spans="2:29" s="406" customFormat="1" ht="16.5" customHeight="1">
      <c r="B583" s="255"/>
      <c r="C583" s="255"/>
      <c r="D583" s="257"/>
      <c r="E583" s="257"/>
      <c r="F583" s="257"/>
      <c r="G583" s="252"/>
      <c r="H583" s="252"/>
      <c r="I583" s="252"/>
      <c r="J583" s="252"/>
      <c r="K583" s="252"/>
      <c r="L583" s="252"/>
      <c r="M583" s="253"/>
      <c r="N583" s="253"/>
      <c r="O583" s="258"/>
      <c r="P583" s="258"/>
      <c r="Q583" s="258"/>
      <c r="R583" s="258"/>
      <c r="S583" s="258"/>
      <c r="T583" s="258"/>
      <c r="U583" s="258"/>
      <c r="V583" s="258"/>
      <c r="W583" s="258"/>
      <c r="X583" s="258"/>
      <c r="Y583" s="258"/>
      <c r="Z583" s="258"/>
      <c r="AA583" s="258"/>
      <c r="AB583" s="258"/>
      <c r="AC583" s="407"/>
    </row>
    <row r="584" spans="2:29" s="406" customFormat="1" ht="16.5" customHeight="1">
      <c r="B584" s="255"/>
      <c r="C584" s="255"/>
      <c r="D584" s="257"/>
      <c r="E584" s="257"/>
      <c r="F584" s="257"/>
      <c r="G584" s="252"/>
      <c r="H584" s="252"/>
      <c r="I584" s="252"/>
      <c r="J584" s="252"/>
      <c r="K584" s="252"/>
      <c r="L584" s="252"/>
      <c r="M584" s="253"/>
      <c r="N584" s="253"/>
      <c r="O584" s="258"/>
      <c r="P584" s="258"/>
      <c r="Q584" s="258"/>
      <c r="R584" s="258"/>
      <c r="S584" s="258"/>
      <c r="T584" s="258"/>
      <c r="U584" s="258"/>
      <c r="V584" s="258"/>
      <c r="W584" s="258"/>
      <c r="X584" s="258"/>
      <c r="Y584" s="258"/>
      <c r="Z584" s="258"/>
      <c r="AA584" s="258"/>
      <c r="AB584" s="258"/>
      <c r="AC584" s="407"/>
    </row>
    <row r="585" spans="2:29" s="406" customFormat="1" ht="16.5" customHeight="1">
      <c r="B585" s="255"/>
      <c r="C585" s="255"/>
      <c r="D585" s="257"/>
      <c r="E585" s="257"/>
      <c r="F585" s="257"/>
      <c r="G585" s="252"/>
      <c r="H585" s="252"/>
      <c r="I585" s="252"/>
      <c r="J585" s="252"/>
      <c r="K585" s="252"/>
      <c r="L585" s="252"/>
      <c r="M585" s="253"/>
      <c r="N585" s="253"/>
      <c r="O585" s="258"/>
      <c r="P585" s="258"/>
      <c r="Q585" s="258"/>
      <c r="R585" s="258"/>
      <c r="S585" s="258"/>
      <c r="T585" s="258"/>
      <c r="U585" s="258"/>
      <c r="V585" s="258"/>
      <c r="W585" s="258"/>
      <c r="X585" s="258"/>
      <c r="Y585" s="258"/>
      <c r="Z585" s="258"/>
      <c r="AA585" s="258"/>
      <c r="AB585" s="258"/>
      <c r="AC585" s="407"/>
    </row>
    <row r="586" spans="2:29" s="406" customFormat="1" ht="16.5" customHeight="1">
      <c r="B586" s="255"/>
      <c r="C586" s="255"/>
      <c r="D586" s="257"/>
      <c r="E586" s="257"/>
      <c r="F586" s="257"/>
      <c r="G586" s="252"/>
      <c r="H586" s="252"/>
      <c r="I586" s="252"/>
      <c r="J586" s="252"/>
      <c r="K586" s="252"/>
      <c r="L586" s="252"/>
      <c r="M586" s="253"/>
      <c r="N586" s="253"/>
      <c r="O586" s="258"/>
      <c r="P586" s="258"/>
      <c r="Q586" s="258"/>
      <c r="R586" s="258"/>
      <c r="S586" s="258"/>
      <c r="T586" s="258"/>
      <c r="U586" s="258"/>
      <c r="V586" s="258"/>
      <c r="W586" s="258"/>
      <c r="X586" s="258"/>
      <c r="Y586" s="258"/>
      <c r="Z586" s="258"/>
      <c r="AA586" s="258"/>
      <c r="AB586" s="258"/>
      <c r="AC586" s="407"/>
    </row>
    <row r="587" spans="2:29" s="406" customFormat="1" ht="16.5" customHeight="1">
      <c r="B587" s="255"/>
      <c r="C587" s="255"/>
      <c r="D587" s="257"/>
      <c r="E587" s="257"/>
      <c r="F587" s="257"/>
      <c r="G587" s="252"/>
      <c r="H587" s="252"/>
      <c r="I587" s="252"/>
      <c r="J587" s="252"/>
      <c r="K587" s="252"/>
      <c r="L587" s="252"/>
      <c r="M587" s="253"/>
      <c r="N587" s="253"/>
      <c r="O587" s="258"/>
      <c r="P587" s="258"/>
      <c r="Q587" s="258"/>
      <c r="R587" s="258"/>
      <c r="S587" s="258"/>
      <c r="T587" s="258"/>
      <c r="U587" s="258"/>
      <c r="V587" s="258"/>
      <c r="W587" s="258"/>
      <c r="X587" s="258"/>
      <c r="Y587" s="258"/>
      <c r="Z587" s="258"/>
      <c r="AA587" s="258"/>
      <c r="AB587" s="258"/>
      <c r="AC587" s="407"/>
    </row>
    <row r="588" spans="2:29" s="406" customFormat="1" ht="16.5" customHeight="1">
      <c r="B588" s="255"/>
      <c r="C588" s="255"/>
      <c r="D588" s="257"/>
      <c r="E588" s="257"/>
      <c r="F588" s="257"/>
      <c r="G588" s="252"/>
      <c r="H588" s="252"/>
      <c r="I588" s="252"/>
      <c r="J588" s="252"/>
      <c r="K588" s="252"/>
      <c r="L588" s="252"/>
      <c r="M588" s="253"/>
      <c r="N588" s="253"/>
      <c r="O588" s="258"/>
      <c r="P588" s="258"/>
      <c r="Q588" s="258"/>
      <c r="R588" s="258"/>
      <c r="S588" s="258"/>
      <c r="T588" s="258"/>
      <c r="U588" s="258"/>
      <c r="V588" s="258"/>
      <c r="W588" s="258"/>
      <c r="X588" s="258"/>
      <c r="Y588" s="258"/>
      <c r="Z588" s="258"/>
      <c r="AA588" s="258"/>
      <c r="AB588" s="258"/>
      <c r="AC588" s="407"/>
    </row>
    <row r="589" spans="2:29" s="406" customFormat="1" ht="16.5" customHeight="1">
      <c r="B589" s="255"/>
      <c r="C589" s="255"/>
      <c r="D589" s="257"/>
      <c r="E589" s="257"/>
      <c r="F589" s="257"/>
      <c r="G589" s="252"/>
      <c r="H589" s="252"/>
      <c r="I589" s="252"/>
      <c r="J589" s="252"/>
      <c r="K589" s="252"/>
      <c r="L589" s="252"/>
      <c r="M589" s="253"/>
      <c r="N589" s="253"/>
      <c r="O589" s="258"/>
      <c r="P589" s="258"/>
      <c r="Q589" s="258"/>
      <c r="R589" s="258"/>
      <c r="S589" s="258"/>
      <c r="T589" s="258"/>
      <c r="U589" s="258"/>
      <c r="V589" s="258"/>
      <c r="W589" s="258"/>
      <c r="X589" s="258"/>
      <c r="Y589" s="258"/>
      <c r="Z589" s="258"/>
      <c r="AA589" s="258"/>
      <c r="AB589" s="258"/>
      <c r="AC589" s="407"/>
    </row>
    <row r="590" spans="2:29" s="406" customFormat="1" ht="16.5" customHeight="1">
      <c r="B590" s="255"/>
      <c r="C590" s="255"/>
      <c r="D590" s="257"/>
      <c r="E590" s="257"/>
      <c r="F590" s="257"/>
      <c r="G590" s="252"/>
      <c r="H590" s="252"/>
      <c r="I590" s="252"/>
      <c r="J590" s="252"/>
      <c r="K590" s="252"/>
      <c r="L590" s="252"/>
      <c r="M590" s="253"/>
      <c r="N590" s="253"/>
      <c r="O590" s="258"/>
      <c r="P590" s="258"/>
      <c r="Q590" s="258"/>
      <c r="R590" s="258"/>
      <c r="S590" s="258"/>
      <c r="T590" s="258"/>
      <c r="U590" s="258"/>
      <c r="V590" s="258"/>
      <c r="W590" s="258"/>
      <c r="X590" s="258"/>
      <c r="Y590" s="258"/>
      <c r="Z590" s="258"/>
      <c r="AA590" s="258"/>
      <c r="AB590" s="258"/>
      <c r="AC590" s="407"/>
    </row>
    <row r="591" spans="2:29" s="406" customFormat="1" ht="16.5" customHeight="1">
      <c r="B591" s="255"/>
      <c r="C591" s="255"/>
      <c r="D591" s="257"/>
      <c r="E591" s="257"/>
      <c r="F591" s="257"/>
      <c r="G591" s="252"/>
      <c r="H591" s="252"/>
      <c r="I591" s="252"/>
      <c r="J591" s="252"/>
      <c r="K591" s="252"/>
      <c r="L591" s="252"/>
      <c r="M591" s="253"/>
      <c r="N591" s="253"/>
      <c r="O591" s="258"/>
      <c r="P591" s="258"/>
      <c r="Q591" s="258"/>
      <c r="R591" s="258"/>
      <c r="S591" s="258"/>
      <c r="T591" s="258"/>
      <c r="U591" s="258"/>
      <c r="V591" s="258"/>
      <c r="W591" s="258"/>
      <c r="X591" s="258"/>
      <c r="Y591" s="258"/>
      <c r="Z591" s="258"/>
      <c r="AA591" s="258"/>
      <c r="AB591" s="258"/>
      <c r="AC591" s="407"/>
    </row>
    <row r="592" spans="2:29" s="406" customFormat="1" ht="16.5" customHeight="1">
      <c r="B592" s="255"/>
      <c r="C592" s="255"/>
      <c r="D592" s="257"/>
      <c r="E592" s="257"/>
      <c r="F592" s="257"/>
      <c r="G592" s="252"/>
      <c r="H592" s="252"/>
      <c r="I592" s="252"/>
      <c r="J592" s="252"/>
      <c r="K592" s="252"/>
      <c r="L592" s="252"/>
      <c r="M592" s="253"/>
      <c r="N592" s="253"/>
      <c r="O592" s="258"/>
      <c r="P592" s="258"/>
      <c r="Q592" s="258"/>
      <c r="R592" s="258"/>
      <c r="S592" s="258"/>
      <c r="T592" s="258"/>
      <c r="U592" s="258"/>
      <c r="V592" s="258"/>
      <c r="W592" s="258"/>
      <c r="X592" s="258"/>
      <c r="Y592" s="258"/>
      <c r="Z592" s="258"/>
      <c r="AA592" s="258"/>
      <c r="AB592" s="258"/>
      <c r="AC592" s="407"/>
    </row>
    <row r="593" spans="2:29" s="406" customFormat="1" ht="16.5" customHeight="1">
      <c r="B593" s="255"/>
      <c r="C593" s="255"/>
      <c r="D593" s="257"/>
      <c r="E593" s="257"/>
      <c r="F593" s="257"/>
      <c r="G593" s="252"/>
      <c r="H593" s="252"/>
      <c r="I593" s="252"/>
      <c r="J593" s="252"/>
      <c r="K593" s="252"/>
      <c r="L593" s="252"/>
      <c r="M593" s="253"/>
      <c r="N593" s="253"/>
      <c r="O593" s="258"/>
      <c r="P593" s="258"/>
      <c r="Q593" s="258"/>
      <c r="R593" s="258"/>
      <c r="S593" s="258"/>
      <c r="T593" s="258"/>
      <c r="U593" s="258"/>
      <c r="V593" s="258"/>
      <c r="W593" s="258"/>
      <c r="X593" s="258"/>
      <c r="Y593" s="258"/>
      <c r="Z593" s="258"/>
      <c r="AA593" s="258"/>
      <c r="AB593" s="258"/>
      <c r="AC593" s="407"/>
    </row>
    <row r="594" spans="2:29" s="406" customFormat="1" ht="16.5" customHeight="1">
      <c r="B594" s="255"/>
      <c r="C594" s="255"/>
      <c r="D594" s="257"/>
      <c r="E594" s="257"/>
      <c r="F594" s="257"/>
      <c r="G594" s="252"/>
      <c r="H594" s="252"/>
      <c r="I594" s="252"/>
      <c r="J594" s="252"/>
      <c r="K594" s="252"/>
      <c r="L594" s="252"/>
      <c r="M594" s="253"/>
      <c r="N594" s="253"/>
      <c r="O594" s="258"/>
      <c r="P594" s="258"/>
      <c r="Q594" s="258"/>
      <c r="R594" s="258"/>
      <c r="S594" s="258"/>
      <c r="T594" s="258"/>
      <c r="U594" s="258"/>
      <c r="V594" s="258"/>
      <c r="W594" s="258"/>
      <c r="X594" s="258"/>
      <c r="Y594" s="258"/>
      <c r="Z594" s="258"/>
      <c r="AA594" s="258"/>
      <c r="AB594" s="258"/>
      <c r="AC594" s="407"/>
    </row>
    <row r="595" spans="2:29" s="406" customFormat="1" ht="16.5" customHeight="1">
      <c r="B595" s="255"/>
      <c r="C595" s="255"/>
      <c r="D595" s="257"/>
      <c r="E595" s="257"/>
      <c r="F595" s="257"/>
      <c r="G595" s="252"/>
      <c r="H595" s="252"/>
      <c r="I595" s="252"/>
      <c r="J595" s="252"/>
      <c r="K595" s="252"/>
      <c r="L595" s="252"/>
      <c r="M595" s="253"/>
      <c r="N595" s="253"/>
      <c r="O595" s="258"/>
      <c r="P595" s="258"/>
      <c r="Q595" s="258"/>
      <c r="R595" s="258"/>
      <c r="S595" s="258"/>
      <c r="T595" s="258"/>
      <c r="U595" s="258"/>
      <c r="V595" s="258"/>
      <c r="W595" s="258"/>
      <c r="X595" s="258"/>
      <c r="Y595" s="258"/>
      <c r="Z595" s="258"/>
      <c r="AA595" s="258"/>
      <c r="AB595" s="258"/>
      <c r="AC595" s="407"/>
    </row>
    <row r="596" spans="2:29" s="406" customFormat="1" ht="16.5" customHeight="1">
      <c r="B596" s="255"/>
      <c r="C596" s="255"/>
      <c r="D596" s="257"/>
      <c r="E596" s="257"/>
      <c r="F596" s="257"/>
      <c r="G596" s="252"/>
      <c r="H596" s="252"/>
      <c r="I596" s="252"/>
      <c r="J596" s="252"/>
      <c r="K596" s="252"/>
      <c r="L596" s="252"/>
      <c r="M596" s="253"/>
      <c r="N596" s="253"/>
      <c r="O596" s="258"/>
      <c r="P596" s="258"/>
      <c r="Q596" s="258"/>
      <c r="R596" s="258"/>
      <c r="S596" s="258"/>
      <c r="T596" s="258"/>
      <c r="U596" s="258"/>
      <c r="V596" s="258"/>
      <c r="W596" s="258"/>
      <c r="X596" s="258"/>
      <c r="Y596" s="258"/>
      <c r="Z596" s="258"/>
      <c r="AA596" s="258"/>
      <c r="AB596" s="258"/>
      <c r="AC596" s="407"/>
    </row>
    <row r="597" spans="2:29" s="406" customFormat="1" ht="16.5" customHeight="1">
      <c r="B597" s="255"/>
      <c r="C597" s="255"/>
      <c r="D597" s="257"/>
      <c r="E597" s="257"/>
      <c r="F597" s="257"/>
      <c r="G597" s="252"/>
      <c r="H597" s="252"/>
      <c r="I597" s="252"/>
      <c r="J597" s="252"/>
      <c r="K597" s="252"/>
      <c r="L597" s="252"/>
      <c r="M597" s="253"/>
      <c r="N597" s="253"/>
      <c r="O597" s="258"/>
      <c r="P597" s="258"/>
      <c r="Q597" s="258"/>
      <c r="R597" s="258"/>
      <c r="S597" s="258"/>
      <c r="T597" s="258"/>
      <c r="U597" s="258"/>
      <c r="V597" s="258"/>
      <c r="W597" s="258"/>
      <c r="X597" s="258"/>
      <c r="Y597" s="258"/>
      <c r="Z597" s="258"/>
      <c r="AA597" s="258"/>
      <c r="AB597" s="258"/>
      <c r="AC597" s="407"/>
    </row>
    <row r="598" spans="2:29" s="406" customFormat="1" ht="16.5" customHeight="1">
      <c r="B598" s="255"/>
      <c r="C598" s="255"/>
      <c r="D598" s="257"/>
      <c r="E598" s="257"/>
      <c r="F598" s="257"/>
      <c r="G598" s="252"/>
      <c r="H598" s="252"/>
      <c r="I598" s="252"/>
      <c r="J598" s="252"/>
      <c r="K598" s="252"/>
      <c r="L598" s="252"/>
      <c r="M598" s="253"/>
      <c r="N598" s="253"/>
      <c r="O598" s="258"/>
      <c r="P598" s="258"/>
      <c r="Q598" s="258"/>
      <c r="R598" s="258"/>
      <c r="S598" s="258"/>
      <c r="T598" s="258"/>
      <c r="U598" s="258"/>
      <c r="V598" s="258"/>
      <c r="W598" s="258"/>
      <c r="X598" s="258"/>
      <c r="Y598" s="258"/>
      <c r="Z598" s="258"/>
      <c r="AA598" s="258"/>
      <c r="AB598" s="258"/>
      <c r="AC598" s="407"/>
    </row>
    <row r="599" spans="2:29" s="406" customFormat="1" ht="16.5" customHeight="1">
      <c r="B599" s="255"/>
      <c r="C599" s="255"/>
      <c r="D599" s="257"/>
      <c r="E599" s="257"/>
      <c r="F599" s="257"/>
      <c r="G599" s="252"/>
      <c r="H599" s="252"/>
      <c r="I599" s="252"/>
      <c r="J599" s="252"/>
      <c r="K599" s="252"/>
      <c r="L599" s="252"/>
      <c r="M599" s="253"/>
      <c r="N599" s="253"/>
      <c r="O599" s="258"/>
      <c r="P599" s="258"/>
      <c r="Q599" s="258"/>
      <c r="R599" s="258"/>
      <c r="S599" s="258"/>
      <c r="T599" s="258"/>
      <c r="U599" s="258"/>
      <c r="V599" s="258"/>
      <c r="W599" s="258"/>
      <c r="X599" s="258"/>
      <c r="Y599" s="258"/>
      <c r="Z599" s="258"/>
      <c r="AA599" s="258"/>
      <c r="AB599" s="258"/>
      <c r="AC599" s="407"/>
    </row>
    <row r="600" spans="2:29" s="406" customFormat="1" ht="16.5" customHeight="1">
      <c r="B600" s="255"/>
      <c r="C600" s="255"/>
      <c r="D600" s="257"/>
      <c r="E600" s="257"/>
      <c r="F600" s="257"/>
      <c r="G600" s="252"/>
      <c r="H600" s="252"/>
      <c r="I600" s="252"/>
      <c r="J600" s="252"/>
      <c r="K600" s="252"/>
      <c r="L600" s="252"/>
      <c r="M600" s="253"/>
      <c r="N600" s="253"/>
      <c r="O600" s="258"/>
      <c r="P600" s="258"/>
      <c r="Q600" s="258"/>
      <c r="R600" s="258"/>
      <c r="S600" s="258"/>
      <c r="T600" s="258"/>
      <c r="U600" s="258"/>
      <c r="V600" s="258"/>
      <c r="W600" s="258"/>
      <c r="X600" s="258"/>
      <c r="Y600" s="258"/>
      <c r="Z600" s="258"/>
      <c r="AA600" s="258"/>
      <c r="AB600" s="258"/>
      <c r="AC600" s="407"/>
    </row>
    <row r="601" spans="2:29" s="406" customFormat="1" ht="16.5" customHeight="1">
      <c r="B601" s="255"/>
      <c r="C601" s="255"/>
      <c r="D601" s="257"/>
      <c r="E601" s="257"/>
      <c r="F601" s="257"/>
      <c r="G601" s="252"/>
      <c r="H601" s="252"/>
      <c r="I601" s="252"/>
      <c r="J601" s="252"/>
      <c r="K601" s="252"/>
      <c r="L601" s="252"/>
      <c r="M601" s="253"/>
      <c r="N601" s="253"/>
      <c r="O601" s="258"/>
      <c r="P601" s="258"/>
      <c r="Q601" s="258"/>
      <c r="R601" s="258"/>
      <c r="S601" s="258"/>
      <c r="T601" s="258"/>
      <c r="U601" s="258"/>
      <c r="V601" s="258"/>
      <c r="W601" s="258"/>
      <c r="X601" s="258"/>
      <c r="Y601" s="258"/>
      <c r="Z601" s="258"/>
      <c r="AA601" s="258"/>
      <c r="AB601" s="258"/>
      <c r="AC601" s="407"/>
    </row>
    <row r="602" spans="2:29" s="406" customFormat="1" ht="16.5" customHeight="1">
      <c r="B602" s="255"/>
      <c r="C602" s="255"/>
      <c r="D602" s="257"/>
      <c r="E602" s="257"/>
      <c r="F602" s="257"/>
      <c r="G602" s="252"/>
      <c r="H602" s="252"/>
      <c r="I602" s="252"/>
      <c r="J602" s="252"/>
      <c r="K602" s="252"/>
      <c r="L602" s="252"/>
      <c r="M602" s="253"/>
      <c r="N602" s="253"/>
      <c r="O602" s="258"/>
      <c r="P602" s="258"/>
      <c r="Q602" s="258"/>
      <c r="R602" s="258"/>
      <c r="S602" s="258"/>
      <c r="T602" s="258"/>
      <c r="U602" s="258"/>
      <c r="V602" s="258"/>
      <c r="W602" s="258"/>
      <c r="X602" s="258"/>
      <c r="Y602" s="258"/>
      <c r="Z602" s="258"/>
      <c r="AA602" s="258"/>
      <c r="AB602" s="258"/>
      <c r="AC602" s="407"/>
    </row>
    <row r="603" spans="2:29" s="406" customFormat="1" ht="16.5" customHeight="1">
      <c r="B603" s="255"/>
      <c r="C603" s="255"/>
      <c r="D603" s="257"/>
      <c r="E603" s="257"/>
      <c r="F603" s="257"/>
      <c r="G603" s="252"/>
      <c r="H603" s="252"/>
      <c r="I603" s="252"/>
      <c r="J603" s="252"/>
      <c r="K603" s="252"/>
      <c r="L603" s="252"/>
      <c r="M603" s="253"/>
      <c r="N603" s="253"/>
      <c r="O603" s="258"/>
      <c r="P603" s="258"/>
      <c r="Q603" s="258"/>
      <c r="R603" s="258"/>
      <c r="S603" s="258"/>
      <c r="T603" s="258"/>
      <c r="U603" s="258"/>
      <c r="V603" s="258"/>
      <c r="W603" s="258"/>
      <c r="X603" s="258"/>
      <c r="Y603" s="258"/>
      <c r="Z603" s="258"/>
      <c r="AA603" s="258"/>
      <c r="AB603" s="258"/>
      <c r="AC603" s="407"/>
    </row>
    <row r="604" spans="2:29" s="406" customFormat="1" ht="16.5" customHeight="1">
      <c r="B604" s="255"/>
      <c r="C604" s="255"/>
      <c r="D604" s="257"/>
      <c r="E604" s="257"/>
      <c r="F604" s="257"/>
      <c r="G604" s="252"/>
      <c r="H604" s="252"/>
      <c r="I604" s="252"/>
      <c r="J604" s="252"/>
      <c r="K604" s="252"/>
      <c r="L604" s="252"/>
      <c r="M604" s="253"/>
      <c r="N604" s="253"/>
      <c r="O604" s="258"/>
      <c r="P604" s="258"/>
      <c r="Q604" s="258"/>
      <c r="R604" s="258"/>
      <c r="S604" s="258"/>
      <c r="T604" s="258"/>
      <c r="U604" s="258"/>
      <c r="V604" s="258"/>
      <c r="W604" s="258"/>
      <c r="X604" s="258"/>
      <c r="Y604" s="258"/>
      <c r="Z604" s="258"/>
      <c r="AA604" s="258"/>
      <c r="AB604" s="258"/>
      <c r="AC604" s="407"/>
    </row>
    <row r="605" spans="2:29" s="406" customFormat="1" ht="16.5" customHeight="1">
      <c r="B605" s="255"/>
      <c r="C605" s="255"/>
      <c r="D605" s="257"/>
      <c r="E605" s="257"/>
      <c r="F605" s="257"/>
      <c r="G605" s="252"/>
      <c r="H605" s="252"/>
      <c r="I605" s="252"/>
      <c r="J605" s="252"/>
      <c r="K605" s="252"/>
      <c r="L605" s="252"/>
      <c r="M605" s="253"/>
      <c r="N605" s="253"/>
      <c r="O605" s="258"/>
      <c r="P605" s="258"/>
      <c r="Q605" s="258"/>
      <c r="R605" s="258"/>
      <c r="S605" s="258"/>
      <c r="T605" s="258"/>
      <c r="U605" s="258"/>
      <c r="V605" s="258"/>
      <c r="W605" s="258"/>
      <c r="X605" s="258"/>
      <c r="Y605" s="258"/>
      <c r="Z605" s="258"/>
      <c r="AA605" s="258"/>
      <c r="AB605" s="258"/>
      <c r="AC605" s="407"/>
    </row>
    <row r="606" spans="2:29" s="406" customFormat="1" ht="16.5" customHeight="1">
      <c r="B606" s="255"/>
      <c r="C606" s="255"/>
      <c r="D606" s="257"/>
      <c r="E606" s="257"/>
      <c r="F606" s="257"/>
      <c r="G606" s="252"/>
      <c r="H606" s="252"/>
      <c r="I606" s="252"/>
      <c r="J606" s="252"/>
      <c r="K606" s="252"/>
      <c r="L606" s="252"/>
      <c r="M606" s="253"/>
      <c r="N606" s="253"/>
      <c r="O606" s="258"/>
      <c r="P606" s="258"/>
      <c r="Q606" s="258"/>
      <c r="R606" s="258"/>
      <c r="S606" s="258"/>
      <c r="T606" s="258"/>
      <c r="U606" s="258"/>
      <c r="V606" s="258"/>
      <c r="W606" s="258"/>
      <c r="X606" s="258"/>
      <c r="Y606" s="258"/>
      <c r="Z606" s="258"/>
      <c r="AA606" s="258"/>
      <c r="AB606" s="258"/>
      <c r="AC606" s="407"/>
    </row>
    <row r="607" spans="2:29" s="406" customFormat="1" ht="16.5" customHeight="1">
      <c r="B607" s="255"/>
      <c r="C607" s="255"/>
      <c r="D607" s="257"/>
      <c r="E607" s="257"/>
      <c r="F607" s="257"/>
      <c r="G607" s="252"/>
      <c r="H607" s="252"/>
      <c r="I607" s="252"/>
      <c r="J607" s="252"/>
      <c r="K607" s="252"/>
      <c r="L607" s="252"/>
      <c r="M607" s="253"/>
      <c r="N607" s="253"/>
      <c r="O607" s="258"/>
      <c r="P607" s="258"/>
      <c r="Q607" s="258"/>
      <c r="R607" s="258"/>
      <c r="S607" s="258"/>
      <c r="T607" s="258"/>
      <c r="U607" s="258"/>
      <c r="V607" s="258"/>
      <c r="W607" s="258"/>
      <c r="X607" s="258"/>
      <c r="Y607" s="258"/>
      <c r="Z607" s="258"/>
      <c r="AA607" s="258"/>
      <c r="AB607" s="258"/>
      <c r="AC607" s="407"/>
    </row>
    <row r="608" spans="2:29" s="406" customFormat="1" ht="16.5" customHeight="1">
      <c r="B608" s="255"/>
      <c r="C608" s="255"/>
      <c r="D608" s="257"/>
      <c r="E608" s="257"/>
      <c r="F608" s="257"/>
      <c r="G608" s="252"/>
      <c r="H608" s="252"/>
      <c r="I608" s="252"/>
      <c r="J608" s="252"/>
      <c r="K608" s="252"/>
      <c r="L608" s="252"/>
      <c r="M608" s="253"/>
      <c r="N608" s="253"/>
      <c r="O608" s="258"/>
      <c r="P608" s="258"/>
      <c r="Q608" s="258"/>
      <c r="R608" s="258"/>
      <c r="S608" s="258"/>
      <c r="T608" s="258"/>
      <c r="U608" s="258"/>
      <c r="V608" s="258"/>
      <c r="W608" s="258"/>
      <c r="X608" s="258"/>
      <c r="Y608" s="258"/>
      <c r="Z608" s="258"/>
      <c r="AA608" s="258"/>
      <c r="AB608" s="258"/>
      <c r="AC608" s="407"/>
    </row>
    <row r="609" spans="2:29" s="406" customFormat="1" ht="16.5" customHeight="1">
      <c r="B609" s="255"/>
      <c r="C609" s="255"/>
      <c r="D609" s="257"/>
      <c r="E609" s="257"/>
      <c r="F609" s="257"/>
      <c r="G609" s="252"/>
      <c r="H609" s="252"/>
      <c r="I609" s="252"/>
      <c r="J609" s="252"/>
      <c r="K609" s="252"/>
      <c r="L609" s="252"/>
      <c r="M609" s="253"/>
      <c r="N609" s="253"/>
      <c r="O609" s="258"/>
      <c r="P609" s="258"/>
      <c r="Q609" s="258"/>
      <c r="R609" s="258"/>
      <c r="S609" s="258"/>
      <c r="T609" s="258"/>
      <c r="U609" s="258"/>
      <c r="V609" s="258"/>
      <c r="W609" s="258"/>
      <c r="X609" s="258"/>
      <c r="Y609" s="258"/>
      <c r="Z609" s="258"/>
      <c r="AA609" s="258"/>
      <c r="AB609" s="258"/>
      <c r="AC609" s="407"/>
    </row>
    <row r="610" spans="2:29" s="406" customFormat="1" ht="16.5" customHeight="1">
      <c r="B610" s="255"/>
      <c r="C610" s="255"/>
      <c r="D610" s="257"/>
      <c r="E610" s="257"/>
      <c r="F610" s="257"/>
      <c r="G610" s="252"/>
      <c r="H610" s="252"/>
      <c r="I610" s="252"/>
      <c r="J610" s="252"/>
      <c r="K610" s="252"/>
      <c r="L610" s="252"/>
      <c r="M610" s="253"/>
      <c r="N610" s="253"/>
      <c r="O610" s="258"/>
      <c r="P610" s="258"/>
      <c r="Q610" s="258"/>
      <c r="R610" s="258"/>
      <c r="S610" s="258"/>
      <c r="T610" s="258"/>
      <c r="U610" s="258"/>
      <c r="V610" s="258"/>
      <c r="W610" s="258"/>
      <c r="X610" s="258"/>
      <c r="Y610" s="258"/>
      <c r="Z610" s="258"/>
      <c r="AA610" s="258"/>
      <c r="AB610" s="258"/>
      <c r="AC610" s="407"/>
    </row>
    <row r="611" spans="2:29" s="406" customFormat="1" ht="16.5" customHeight="1">
      <c r="B611" s="255"/>
      <c r="C611" s="255"/>
      <c r="D611" s="257"/>
      <c r="E611" s="257"/>
      <c r="F611" s="257"/>
      <c r="G611" s="252"/>
      <c r="H611" s="252"/>
      <c r="I611" s="252"/>
      <c r="J611" s="252"/>
      <c r="K611" s="252"/>
      <c r="L611" s="252"/>
      <c r="M611" s="253"/>
      <c r="N611" s="253"/>
      <c r="O611" s="258"/>
      <c r="P611" s="258"/>
      <c r="Q611" s="258"/>
      <c r="R611" s="258"/>
      <c r="S611" s="258"/>
      <c r="T611" s="258"/>
      <c r="U611" s="258"/>
      <c r="V611" s="258"/>
      <c r="W611" s="258"/>
      <c r="X611" s="258"/>
      <c r="Y611" s="258"/>
      <c r="Z611" s="258"/>
      <c r="AA611" s="258"/>
      <c r="AB611" s="258"/>
      <c r="AC611" s="407"/>
    </row>
    <row r="612" spans="2:29" s="406" customFormat="1" ht="16.5" customHeight="1">
      <c r="B612" s="255"/>
      <c r="C612" s="255"/>
      <c r="D612" s="257"/>
      <c r="E612" s="257"/>
      <c r="F612" s="257"/>
      <c r="G612" s="252"/>
      <c r="H612" s="252"/>
      <c r="I612" s="252"/>
      <c r="J612" s="252"/>
      <c r="K612" s="252"/>
      <c r="L612" s="252"/>
      <c r="M612" s="253"/>
      <c r="N612" s="253"/>
      <c r="O612" s="258"/>
      <c r="P612" s="258"/>
      <c r="Q612" s="258"/>
      <c r="R612" s="258"/>
      <c r="S612" s="258"/>
      <c r="T612" s="258"/>
      <c r="U612" s="258"/>
      <c r="V612" s="258"/>
      <c r="W612" s="258"/>
      <c r="X612" s="258"/>
      <c r="Y612" s="258"/>
      <c r="Z612" s="258"/>
      <c r="AA612" s="258"/>
      <c r="AB612" s="258"/>
      <c r="AC612" s="407"/>
    </row>
    <row r="613" spans="2:29" s="406" customFormat="1" ht="16.5" customHeight="1">
      <c r="B613" s="255"/>
      <c r="C613" s="255"/>
      <c r="D613" s="257"/>
      <c r="E613" s="257"/>
      <c r="F613" s="257"/>
      <c r="G613" s="252"/>
      <c r="H613" s="252"/>
      <c r="I613" s="252"/>
      <c r="J613" s="252"/>
      <c r="K613" s="252"/>
      <c r="L613" s="252"/>
      <c r="M613" s="253"/>
      <c r="N613" s="253"/>
      <c r="O613" s="258"/>
      <c r="P613" s="258"/>
      <c r="Q613" s="258"/>
      <c r="R613" s="258"/>
      <c r="S613" s="258"/>
      <c r="T613" s="258"/>
      <c r="U613" s="258"/>
      <c r="V613" s="258"/>
      <c r="W613" s="258"/>
      <c r="X613" s="258"/>
      <c r="Y613" s="258"/>
      <c r="Z613" s="258"/>
      <c r="AA613" s="258"/>
      <c r="AB613" s="258"/>
      <c r="AC613" s="407"/>
    </row>
    <row r="614" spans="2:29" s="406" customFormat="1" ht="16.5" customHeight="1">
      <c r="B614" s="255"/>
      <c r="C614" s="255"/>
      <c r="D614" s="257"/>
      <c r="E614" s="257"/>
      <c r="F614" s="257"/>
      <c r="G614" s="252"/>
      <c r="H614" s="252"/>
      <c r="I614" s="252"/>
      <c r="J614" s="252"/>
      <c r="K614" s="252"/>
      <c r="L614" s="252"/>
      <c r="M614" s="253"/>
      <c r="N614" s="253"/>
      <c r="O614" s="258"/>
      <c r="P614" s="258"/>
      <c r="Q614" s="258"/>
      <c r="R614" s="258"/>
      <c r="S614" s="258"/>
      <c r="T614" s="258"/>
      <c r="U614" s="258"/>
      <c r="V614" s="258"/>
      <c r="W614" s="258"/>
      <c r="X614" s="258"/>
      <c r="Y614" s="258"/>
      <c r="Z614" s="258"/>
      <c r="AA614" s="258"/>
      <c r="AB614" s="258"/>
      <c r="AC614" s="407"/>
    </row>
    <row r="615" spans="2:29" s="406" customFormat="1" ht="16.5" customHeight="1">
      <c r="B615" s="255"/>
      <c r="C615" s="255"/>
      <c r="D615" s="257"/>
      <c r="E615" s="257"/>
      <c r="F615" s="257"/>
      <c r="G615" s="252"/>
      <c r="H615" s="252"/>
      <c r="I615" s="252"/>
      <c r="J615" s="252"/>
      <c r="K615" s="252"/>
      <c r="L615" s="252"/>
      <c r="M615" s="253"/>
      <c r="N615" s="253"/>
      <c r="O615" s="258"/>
      <c r="P615" s="258"/>
      <c r="Q615" s="258"/>
      <c r="R615" s="258"/>
      <c r="S615" s="258"/>
      <c r="T615" s="258"/>
      <c r="U615" s="258"/>
      <c r="V615" s="258"/>
      <c r="W615" s="258"/>
      <c r="X615" s="258"/>
      <c r="Y615" s="258"/>
      <c r="Z615" s="258"/>
      <c r="AA615" s="258"/>
      <c r="AB615" s="258"/>
      <c r="AC615" s="407"/>
    </row>
    <row r="616" spans="2:29" s="406" customFormat="1" ht="16.5" customHeight="1">
      <c r="B616" s="255"/>
      <c r="C616" s="255"/>
      <c r="D616" s="257"/>
      <c r="E616" s="257"/>
      <c r="F616" s="257"/>
      <c r="G616" s="252"/>
      <c r="H616" s="252"/>
      <c r="I616" s="252"/>
      <c r="J616" s="252"/>
      <c r="K616" s="252"/>
      <c r="L616" s="252"/>
      <c r="M616" s="253"/>
      <c r="N616" s="253"/>
      <c r="O616" s="258"/>
      <c r="P616" s="258"/>
      <c r="Q616" s="258"/>
      <c r="R616" s="258"/>
      <c r="S616" s="258"/>
      <c r="T616" s="258"/>
      <c r="U616" s="258"/>
      <c r="V616" s="258"/>
      <c r="W616" s="258"/>
      <c r="X616" s="258"/>
      <c r="Y616" s="258"/>
      <c r="Z616" s="258"/>
      <c r="AA616" s="258"/>
      <c r="AB616" s="258"/>
      <c r="AC616" s="407"/>
    </row>
    <row r="617" spans="2:29" s="406" customFormat="1" ht="16.5" customHeight="1">
      <c r="B617" s="255"/>
      <c r="C617" s="255"/>
      <c r="D617" s="257"/>
      <c r="E617" s="257"/>
      <c r="F617" s="257"/>
      <c r="G617" s="252"/>
      <c r="H617" s="252"/>
      <c r="I617" s="252"/>
      <c r="J617" s="252"/>
      <c r="K617" s="252"/>
      <c r="L617" s="252"/>
      <c r="M617" s="253"/>
      <c r="N617" s="253"/>
      <c r="O617" s="258"/>
      <c r="P617" s="258"/>
      <c r="Q617" s="258"/>
      <c r="R617" s="258"/>
      <c r="S617" s="258"/>
      <c r="T617" s="258"/>
      <c r="U617" s="258"/>
      <c r="V617" s="258"/>
      <c r="W617" s="258"/>
      <c r="X617" s="258"/>
      <c r="Y617" s="258"/>
      <c r="Z617" s="258"/>
      <c r="AA617" s="258"/>
      <c r="AB617" s="258"/>
      <c r="AC617" s="407"/>
    </row>
    <row r="618" spans="2:29" s="406" customFormat="1" ht="16.5" customHeight="1">
      <c r="B618" s="255"/>
      <c r="C618" s="255"/>
      <c r="D618" s="257"/>
      <c r="E618" s="257"/>
      <c r="F618" s="257"/>
      <c r="G618" s="252"/>
      <c r="H618" s="252"/>
      <c r="I618" s="252"/>
      <c r="J618" s="252"/>
      <c r="K618" s="252"/>
      <c r="L618" s="252"/>
      <c r="M618" s="253"/>
      <c r="N618" s="253"/>
      <c r="O618" s="258"/>
      <c r="P618" s="258"/>
      <c r="Q618" s="258"/>
      <c r="R618" s="258"/>
      <c r="S618" s="258"/>
      <c r="T618" s="258"/>
      <c r="U618" s="258"/>
      <c r="V618" s="258"/>
      <c r="W618" s="258"/>
      <c r="X618" s="258"/>
      <c r="Y618" s="258"/>
      <c r="Z618" s="258"/>
      <c r="AA618" s="258"/>
      <c r="AB618" s="258"/>
      <c r="AC618" s="407"/>
    </row>
    <row r="619" spans="2:29" s="406" customFormat="1" ht="16.5" customHeight="1">
      <c r="B619" s="255"/>
      <c r="C619" s="255"/>
      <c r="D619" s="257"/>
      <c r="E619" s="257"/>
      <c r="F619" s="257"/>
      <c r="G619" s="252"/>
      <c r="H619" s="252"/>
      <c r="I619" s="252"/>
      <c r="J619" s="252"/>
      <c r="K619" s="252"/>
      <c r="L619" s="252"/>
      <c r="M619" s="253"/>
      <c r="N619" s="253"/>
      <c r="O619" s="258"/>
      <c r="P619" s="258"/>
      <c r="Q619" s="258"/>
      <c r="R619" s="258"/>
      <c r="S619" s="258"/>
      <c r="T619" s="258"/>
      <c r="U619" s="258"/>
      <c r="V619" s="258"/>
      <c r="W619" s="258"/>
      <c r="X619" s="258"/>
      <c r="Y619" s="258"/>
      <c r="Z619" s="258"/>
      <c r="AA619" s="258"/>
      <c r="AB619" s="258"/>
      <c r="AC619" s="407"/>
    </row>
    <row r="620" spans="2:29" s="406" customFormat="1" ht="16.5" customHeight="1">
      <c r="B620" s="255"/>
      <c r="C620" s="255"/>
      <c r="D620" s="257"/>
      <c r="E620" s="257"/>
      <c r="F620" s="257"/>
      <c r="G620" s="252"/>
      <c r="H620" s="252"/>
      <c r="I620" s="252"/>
      <c r="J620" s="252"/>
      <c r="K620" s="252"/>
      <c r="L620" s="252"/>
      <c r="M620" s="253"/>
      <c r="N620" s="253"/>
      <c r="O620" s="258"/>
      <c r="P620" s="258"/>
      <c r="Q620" s="258"/>
      <c r="R620" s="258"/>
      <c r="S620" s="258"/>
      <c r="T620" s="258"/>
      <c r="U620" s="258"/>
      <c r="V620" s="258"/>
      <c r="W620" s="258"/>
      <c r="X620" s="258"/>
      <c r="Y620" s="258"/>
      <c r="Z620" s="258"/>
      <c r="AA620" s="258"/>
      <c r="AB620" s="258"/>
      <c r="AC620" s="407"/>
    </row>
    <row r="621" spans="2:29" s="406" customFormat="1" ht="16.5" customHeight="1">
      <c r="B621" s="255"/>
      <c r="C621" s="255"/>
      <c r="D621" s="257"/>
      <c r="E621" s="257"/>
      <c r="F621" s="257"/>
      <c r="G621" s="252"/>
      <c r="H621" s="252"/>
      <c r="I621" s="252"/>
      <c r="J621" s="252"/>
      <c r="K621" s="252"/>
      <c r="L621" s="252"/>
      <c r="M621" s="253"/>
      <c r="N621" s="253"/>
      <c r="O621" s="258"/>
      <c r="P621" s="258"/>
      <c r="Q621" s="258"/>
      <c r="R621" s="258"/>
      <c r="S621" s="258"/>
      <c r="T621" s="258"/>
      <c r="U621" s="258"/>
      <c r="V621" s="258"/>
      <c r="W621" s="258"/>
      <c r="X621" s="258"/>
      <c r="Y621" s="258"/>
      <c r="Z621" s="258"/>
      <c r="AA621" s="258"/>
      <c r="AB621" s="258"/>
      <c r="AC621" s="407"/>
    </row>
    <row r="622" spans="2:29" s="406" customFormat="1" ht="16.5" customHeight="1">
      <c r="B622" s="255"/>
      <c r="C622" s="255"/>
      <c r="D622" s="257"/>
      <c r="E622" s="257"/>
      <c r="F622" s="257"/>
      <c r="G622" s="252"/>
      <c r="H622" s="252"/>
      <c r="I622" s="252"/>
      <c r="J622" s="252"/>
      <c r="K622" s="252"/>
      <c r="L622" s="252"/>
      <c r="M622" s="253"/>
      <c r="N622" s="253"/>
      <c r="O622" s="258"/>
      <c r="P622" s="258"/>
      <c r="Q622" s="258"/>
      <c r="R622" s="258"/>
      <c r="S622" s="258"/>
      <c r="T622" s="258"/>
      <c r="U622" s="258"/>
      <c r="V622" s="258"/>
      <c r="W622" s="258"/>
      <c r="X622" s="258"/>
      <c r="Y622" s="258"/>
      <c r="Z622" s="258"/>
      <c r="AA622" s="258"/>
      <c r="AB622" s="258"/>
      <c r="AC622" s="407"/>
    </row>
    <row r="623" spans="2:29" s="406" customFormat="1" ht="16.5" customHeight="1">
      <c r="B623" s="255"/>
      <c r="C623" s="255"/>
      <c r="D623" s="257"/>
      <c r="E623" s="257"/>
      <c r="F623" s="257"/>
      <c r="G623" s="252"/>
      <c r="H623" s="252"/>
      <c r="I623" s="252"/>
      <c r="J623" s="252"/>
      <c r="K623" s="252"/>
      <c r="L623" s="252"/>
      <c r="M623" s="253"/>
      <c r="N623" s="253"/>
      <c r="O623" s="258"/>
      <c r="P623" s="258"/>
      <c r="Q623" s="258"/>
      <c r="R623" s="258"/>
      <c r="S623" s="258"/>
      <c r="T623" s="258"/>
      <c r="U623" s="258"/>
      <c r="V623" s="258"/>
      <c r="W623" s="258"/>
      <c r="X623" s="258"/>
      <c r="Y623" s="258"/>
      <c r="Z623" s="258"/>
      <c r="AA623" s="258"/>
      <c r="AB623" s="258"/>
      <c r="AC623" s="407"/>
    </row>
    <row r="624" spans="2:29" s="406" customFormat="1" ht="16.5" customHeight="1">
      <c r="B624" s="255"/>
      <c r="C624" s="255"/>
      <c r="D624" s="257"/>
      <c r="E624" s="257"/>
      <c r="F624" s="257"/>
      <c r="G624" s="252"/>
      <c r="H624" s="252"/>
      <c r="I624" s="252"/>
      <c r="J624" s="252"/>
      <c r="K624" s="252"/>
      <c r="L624" s="252"/>
      <c r="M624" s="253"/>
      <c r="N624" s="253"/>
      <c r="O624" s="258"/>
      <c r="P624" s="258"/>
      <c r="Q624" s="258"/>
      <c r="R624" s="258"/>
      <c r="S624" s="258"/>
      <c r="T624" s="258"/>
      <c r="U624" s="258"/>
      <c r="V624" s="258"/>
      <c r="W624" s="258"/>
      <c r="X624" s="258"/>
      <c r="Y624" s="258"/>
      <c r="Z624" s="258"/>
      <c r="AA624" s="258"/>
      <c r="AB624" s="258"/>
      <c r="AC624" s="407"/>
    </row>
    <row r="625" spans="2:29" s="406" customFormat="1" ht="16.5" customHeight="1">
      <c r="B625" s="255"/>
      <c r="C625" s="255"/>
      <c r="D625" s="257"/>
      <c r="E625" s="257"/>
      <c r="F625" s="257"/>
      <c r="G625" s="252"/>
      <c r="H625" s="252"/>
      <c r="I625" s="252"/>
      <c r="J625" s="252"/>
      <c r="K625" s="252"/>
      <c r="L625" s="252"/>
      <c r="M625" s="253"/>
      <c r="N625" s="253"/>
      <c r="O625" s="258"/>
      <c r="P625" s="258"/>
      <c r="Q625" s="258"/>
      <c r="R625" s="258"/>
      <c r="S625" s="258"/>
      <c r="T625" s="258"/>
      <c r="U625" s="258"/>
      <c r="V625" s="258"/>
      <c r="W625" s="258"/>
      <c r="X625" s="258"/>
      <c r="Y625" s="258"/>
      <c r="Z625" s="258"/>
      <c r="AA625" s="258"/>
      <c r="AB625" s="258"/>
      <c r="AC625" s="407"/>
    </row>
    <row r="626" spans="2:29" s="406" customFormat="1" ht="16.5" customHeight="1">
      <c r="B626" s="255"/>
      <c r="C626" s="255"/>
      <c r="D626" s="257"/>
      <c r="E626" s="257"/>
      <c r="F626" s="257"/>
      <c r="G626" s="252"/>
      <c r="H626" s="252"/>
      <c r="I626" s="252"/>
      <c r="J626" s="252"/>
      <c r="K626" s="252"/>
      <c r="L626" s="252"/>
      <c r="M626" s="253"/>
      <c r="N626" s="253"/>
      <c r="O626" s="258"/>
      <c r="P626" s="258"/>
      <c r="Q626" s="258"/>
      <c r="R626" s="258"/>
      <c r="S626" s="258"/>
      <c r="T626" s="258"/>
      <c r="U626" s="258"/>
      <c r="V626" s="258"/>
      <c r="W626" s="258"/>
      <c r="X626" s="258"/>
      <c r="Y626" s="258"/>
      <c r="Z626" s="258"/>
      <c r="AA626" s="258"/>
      <c r="AB626" s="258"/>
      <c r="AC626" s="407"/>
    </row>
    <row r="627" spans="2:29" s="406" customFormat="1" ht="16.5" customHeight="1">
      <c r="B627" s="255"/>
      <c r="C627" s="255"/>
      <c r="D627" s="257"/>
      <c r="E627" s="257"/>
      <c r="F627" s="257"/>
      <c r="G627" s="252"/>
      <c r="H627" s="252"/>
      <c r="I627" s="252"/>
      <c r="J627" s="252"/>
      <c r="K627" s="252"/>
      <c r="L627" s="252"/>
      <c r="M627" s="253"/>
      <c r="N627" s="253"/>
      <c r="O627" s="258"/>
      <c r="P627" s="258"/>
      <c r="Q627" s="258"/>
      <c r="R627" s="258"/>
      <c r="S627" s="258"/>
      <c r="T627" s="258"/>
      <c r="U627" s="258"/>
      <c r="V627" s="258"/>
      <c r="W627" s="258"/>
      <c r="X627" s="258"/>
      <c r="Y627" s="258"/>
      <c r="Z627" s="258"/>
      <c r="AA627" s="258"/>
      <c r="AB627" s="258"/>
      <c r="AC627" s="407"/>
    </row>
    <row r="628" spans="2:29" s="406" customFormat="1" ht="16.5" customHeight="1">
      <c r="B628" s="255"/>
      <c r="C628" s="255"/>
      <c r="D628" s="257"/>
      <c r="E628" s="257"/>
      <c r="F628" s="257"/>
      <c r="G628" s="252"/>
      <c r="H628" s="252"/>
      <c r="I628" s="252"/>
      <c r="J628" s="252"/>
      <c r="K628" s="252"/>
      <c r="L628" s="252"/>
      <c r="M628" s="253"/>
      <c r="N628" s="253"/>
      <c r="O628" s="258"/>
      <c r="P628" s="258"/>
      <c r="Q628" s="258"/>
      <c r="R628" s="258"/>
      <c r="S628" s="258"/>
      <c r="T628" s="258"/>
      <c r="U628" s="258"/>
      <c r="V628" s="258"/>
      <c r="W628" s="258"/>
      <c r="X628" s="258"/>
      <c r="Y628" s="258"/>
      <c r="Z628" s="258"/>
      <c r="AA628" s="258"/>
      <c r="AB628" s="258"/>
      <c r="AC628" s="407"/>
    </row>
    <row r="629" spans="2:29" s="406" customFormat="1" ht="16.5" customHeight="1">
      <c r="B629" s="255"/>
      <c r="C629" s="255"/>
      <c r="D629" s="257"/>
      <c r="E629" s="257"/>
      <c r="F629" s="257"/>
      <c r="G629" s="252"/>
      <c r="H629" s="252"/>
      <c r="I629" s="252"/>
      <c r="J629" s="252"/>
      <c r="K629" s="252"/>
      <c r="L629" s="252"/>
      <c r="M629" s="253"/>
      <c r="N629" s="253"/>
      <c r="O629" s="258"/>
      <c r="P629" s="258"/>
      <c r="Q629" s="258"/>
      <c r="R629" s="258"/>
      <c r="S629" s="258"/>
      <c r="T629" s="258"/>
      <c r="U629" s="258"/>
      <c r="V629" s="258"/>
      <c r="W629" s="258"/>
      <c r="X629" s="258"/>
      <c r="Y629" s="258"/>
      <c r="Z629" s="258"/>
      <c r="AA629" s="258"/>
      <c r="AB629" s="258"/>
      <c r="AC629" s="407"/>
    </row>
    <row r="630" spans="2:29" s="406" customFormat="1" ht="16.5" customHeight="1">
      <c r="B630" s="255"/>
      <c r="C630" s="255"/>
      <c r="D630" s="257"/>
      <c r="E630" s="257"/>
      <c r="F630" s="257"/>
      <c r="G630" s="252"/>
      <c r="H630" s="252"/>
      <c r="I630" s="252"/>
      <c r="J630" s="252"/>
      <c r="K630" s="252"/>
      <c r="L630" s="252"/>
      <c r="M630" s="253"/>
      <c r="N630" s="253"/>
      <c r="O630" s="258"/>
      <c r="P630" s="258"/>
      <c r="Q630" s="258"/>
      <c r="R630" s="258"/>
      <c r="S630" s="258"/>
      <c r="T630" s="258"/>
      <c r="U630" s="258"/>
      <c r="V630" s="258"/>
      <c r="W630" s="258"/>
      <c r="X630" s="258"/>
      <c r="Y630" s="258"/>
      <c r="Z630" s="258"/>
      <c r="AA630" s="258"/>
      <c r="AB630" s="258"/>
      <c r="AC630" s="407"/>
    </row>
    <row r="631" spans="2:29" s="406" customFormat="1" ht="16.5" customHeight="1">
      <c r="B631" s="255"/>
      <c r="C631" s="255"/>
      <c r="D631" s="257"/>
      <c r="E631" s="257"/>
      <c r="F631" s="257"/>
      <c r="G631" s="252"/>
      <c r="H631" s="252"/>
      <c r="I631" s="252"/>
      <c r="J631" s="252"/>
      <c r="K631" s="252"/>
      <c r="L631" s="252"/>
      <c r="M631" s="253"/>
      <c r="N631" s="253"/>
      <c r="O631" s="258"/>
      <c r="P631" s="258"/>
      <c r="Q631" s="258"/>
      <c r="R631" s="258"/>
      <c r="S631" s="258"/>
      <c r="T631" s="258"/>
      <c r="U631" s="258"/>
      <c r="V631" s="258"/>
      <c r="W631" s="258"/>
      <c r="X631" s="258"/>
      <c r="Y631" s="258"/>
      <c r="Z631" s="258"/>
      <c r="AA631" s="258"/>
      <c r="AB631" s="258"/>
      <c r="AC631" s="407"/>
    </row>
    <row r="632" spans="2:29" s="406" customFormat="1" ht="16.5" customHeight="1">
      <c r="B632" s="255"/>
      <c r="C632" s="255"/>
      <c r="D632" s="257"/>
      <c r="E632" s="257"/>
      <c r="F632" s="257"/>
      <c r="G632" s="252"/>
      <c r="H632" s="252"/>
      <c r="I632" s="252"/>
      <c r="J632" s="252"/>
      <c r="K632" s="252"/>
      <c r="L632" s="252"/>
      <c r="M632" s="253"/>
      <c r="N632" s="253"/>
      <c r="O632" s="258"/>
      <c r="P632" s="258"/>
      <c r="Q632" s="258"/>
      <c r="R632" s="258"/>
      <c r="S632" s="258"/>
      <c r="T632" s="258"/>
      <c r="U632" s="258"/>
      <c r="V632" s="258"/>
      <c r="W632" s="258"/>
      <c r="X632" s="258"/>
      <c r="Y632" s="258"/>
      <c r="Z632" s="258"/>
      <c r="AA632" s="258"/>
      <c r="AB632" s="258"/>
      <c r="AC632" s="407"/>
    </row>
    <row r="633" spans="2:29" s="406" customFormat="1" ht="16.5" customHeight="1">
      <c r="B633" s="255"/>
      <c r="C633" s="255"/>
      <c r="D633" s="257"/>
      <c r="E633" s="257"/>
      <c r="F633" s="257"/>
      <c r="G633" s="252"/>
      <c r="H633" s="252"/>
      <c r="I633" s="252"/>
      <c r="J633" s="252"/>
      <c r="K633" s="252"/>
      <c r="L633" s="252"/>
      <c r="M633" s="253"/>
      <c r="N633" s="253"/>
      <c r="O633" s="258"/>
      <c r="P633" s="258"/>
      <c r="Q633" s="258"/>
      <c r="R633" s="258"/>
      <c r="S633" s="258"/>
      <c r="T633" s="258"/>
      <c r="U633" s="258"/>
      <c r="V633" s="258"/>
      <c r="W633" s="258"/>
      <c r="X633" s="258"/>
      <c r="Y633" s="258"/>
      <c r="Z633" s="258"/>
      <c r="AA633" s="258"/>
      <c r="AB633" s="258"/>
      <c r="AC633" s="407"/>
    </row>
    <row r="634" spans="2:29" s="406" customFormat="1" ht="16.5" customHeight="1">
      <c r="B634" s="255"/>
      <c r="C634" s="255"/>
      <c r="D634" s="257"/>
      <c r="E634" s="257"/>
      <c r="F634" s="257"/>
      <c r="G634" s="252"/>
      <c r="H634" s="252"/>
      <c r="I634" s="252"/>
      <c r="J634" s="252"/>
      <c r="K634" s="252"/>
      <c r="L634" s="252"/>
      <c r="M634" s="253"/>
      <c r="N634" s="253"/>
      <c r="O634" s="258"/>
      <c r="P634" s="258"/>
      <c r="Q634" s="258"/>
      <c r="R634" s="258"/>
      <c r="S634" s="258"/>
      <c r="T634" s="258"/>
      <c r="U634" s="258"/>
      <c r="V634" s="258"/>
      <c r="W634" s="258"/>
      <c r="X634" s="258"/>
      <c r="Y634" s="258"/>
      <c r="Z634" s="258"/>
      <c r="AA634" s="258"/>
      <c r="AB634" s="258"/>
      <c r="AC634" s="407"/>
    </row>
    <row r="635" spans="2:29" s="406" customFormat="1" ht="16.5" customHeight="1">
      <c r="B635" s="255"/>
      <c r="C635" s="255"/>
      <c r="D635" s="257"/>
      <c r="E635" s="257"/>
      <c r="F635" s="257"/>
      <c r="G635" s="252"/>
      <c r="H635" s="252"/>
      <c r="I635" s="252"/>
      <c r="J635" s="252"/>
      <c r="K635" s="252"/>
      <c r="L635" s="252"/>
      <c r="M635" s="253"/>
      <c r="N635" s="253"/>
      <c r="O635" s="258"/>
      <c r="P635" s="258"/>
      <c r="Q635" s="258"/>
      <c r="R635" s="258"/>
      <c r="S635" s="258"/>
      <c r="T635" s="258"/>
      <c r="U635" s="258"/>
      <c r="V635" s="258"/>
      <c r="W635" s="258"/>
      <c r="X635" s="258"/>
      <c r="Y635" s="258"/>
      <c r="Z635" s="258"/>
      <c r="AA635" s="258"/>
      <c r="AB635" s="258"/>
      <c r="AC635" s="407"/>
    </row>
    <row r="636" spans="2:29" s="406" customFormat="1" ht="16.5" customHeight="1">
      <c r="B636" s="255"/>
      <c r="C636" s="255"/>
      <c r="D636" s="257"/>
      <c r="E636" s="257"/>
      <c r="F636" s="257"/>
      <c r="G636" s="252"/>
      <c r="H636" s="252"/>
      <c r="I636" s="252"/>
      <c r="J636" s="252"/>
      <c r="K636" s="252"/>
      <c r="L636" s="252"/>
      <c r="M636" s="253"/>
      <c r="N636" s="253"/>
      <c r="O636" s="258"/>
      <c r="P636" s="258"/>
      <c r="Q636" s="258"/>
      <c r="R636" s="258"/>
      <c r="S636" s="258"/>
      <c r="T636" s="258"/>
      <c r="U636" s="258"/>
      <c r="V636" s="258"/>
      <c r="W636" s="258"/>
      <c r="X636" s="258"/>
      <c r="Y636" s="258"/>
      <c r="Z636" s="258"/>
      <c r="AA636" s="258"/>
      <c r="AB636" s="258"/>
      <c r="AC636" s="407"/>
    </row>
    <row r="637" spans="2:29" s="406" customFormat="1" ht="16.5" customHeight="1">
      <c r="B637" s="255"/>
      <c r="C637" s="255"/>
      <c r="D637" s="257"/>
      <c r="E637" s="257"/>
      <c r="F637" s="257"/>
      <c r="G637" s="252"/>
      <c r="H637" s="252"/>
      <c r="I637" s="252"/>
      <c r="J637" s="252"/>
      <c r="K637" s="252"/>
      <c r="L637" s="252"/>
      <c r="M637" s="253"/>
      <c r="N637" s="253"/>
      <c r="O637" s="258"/>
      <c r="P637" s="258"/>
      <c r="Q637" s="258"/>
      <c r="R637" s="258"/>
      <c r="S637" s="258"/>
      <c r="T637" s="258"/>
      <c r="U637" s="258"/>
      <c r="V637" s="258"/>
      <c r="W637" s="258"/>
      <c r="X637" s="258"/>
      <c r="Y637" s="258"/>
      <c r="Z637" s="258"/>
      <c r="AA637" s="258"/>
      <c r="AB637" s="258"/>
      <c r="AC637" s="407"/>
    </row>
    <row r="638" spans="2:29" s="406" customFormat="1" ht="16.5" customHeight="1">
      <c r="B638" s="255"/>
      <c r="C638" s="255"/>
      <c r="D638" s="257"/>
      <c r="E638" s="257"/>
      <c r="F638" s="257"/>
      <c r="G638" s="252"/>
      <c r="H638" s="252"/>
      <c r="I638" s="252"/>
      <c r="J638" s="252"/>
      <c r="K638" s="252"/>
      <c r="L638" s="252"/>
      <c r="M638" s="253"/>
      <c r="N638" s="253"/>
      <c r="O638" s="258"/>
      <c r="P638" s="258"/>
      <c r="Q638" s="258"/>
      <c r="R638" s="258"/>
      <c r="S638" s="258"/>
      <c r="T638" s="258"/>
      <c r="U638" s="258"/>
      <c r="V638" s="258"/>
      <c r="W638" s="258"/>
      <c r="X638" s="258"/>
      <c r="Y638" s="258"/>
      <c r="Z638" s="258"/>
      <c r="AA638" s="258"/>
      <c r="AB638" s="258"/>
      <c r="AC638" s="407"/>
    </row>
    <row r="639" spans="2:29" s="406" customFormat="1" ht="16.5" customHeight="1">
      <c r="B639" s="255"/>
      <c r="C639" s="255"/>
      <c r="D639" s="257"/>
      <c r="E639" s="257"/>
      <c r="F639" s="257"/>
      <c r="G639" s="252"/>
      <c r="H639" s="252"/>
      <c r="I639" s="252"/>
      <c r="J639" s="252"/>
      <c r="K639" s="252"/>
      <c r="L639" s="252"/>
      <c r="M639" s="253"/>
      <c r="N639" s="253"/>
      <c r="O639" s="258"/>
      <c r="P639" s="258"/>
      <c r="Q639" s="258"/>
      <c r="R639" s="258"/>
      <c r="S639" s="258"/>
      <c r="T639" s="258"/>
      <c r="U639" s="258"/>
      <c r="V639" s="258"/>
      <c r="W639" s="258"/>
      <c r="X639" s="258"/>
      <c r="Y639" s="258"/>
      <c r="Z639" s="258"/>
      <c r="AA639" s="258"/>
      <c r="AB639" s="258"/>
      <c r="AC639" s="407"/>
    </row>
    <row r="640" spans="2:29" s="406" customFormat="1" ht="16.5" customHeight="1">
      <c r="B640" s="255"/>
      <c r="C640" s="255"/>
      <c r="D640" s="257"/>
      <c r="E640" s="257"/>
      <c r="F640" s="257"/>
      <c r="G640" s="252"/>
      <c r="H640" s="252"/>
      <c r="I640" s="252"/>
      <c r="J640" s="252"/>
      <c r="K640" s="252"/>
      <c r="L640" s="252"/>
      <c r="M640" s="253"/>
      <c r="N640" s="253"/>
      <c r="O640" s="258"/>
      <c r="P640" s="258"/>
      <c r="Q640" s="258"/>
      <c r="R640" s="258"/>
      <c r="S640" s="258"/>
      <c r="T640" s="258"/>
      <c r="U640" s="258"/>
      <c r="V640" s="258"/>
      <c r="W640" s="258"/>
      <c r="X640" s="258"/>
      <c r="Y640" s="258"/>
      <c r="Z640" s="258"/>
      <c r="AA640" s="258"/>
      <c r="AB640" s="258"/>
      <c r="AC640" s="407"/>
    </row>
    <row r="641" spans="2:29" s="406" customFormat="1" ht="16.5" customHeight="1">
      <c r="B641" s="255"/>
      <c r="C641" s="255"/>
      <c r="D641" s="257"/>
      <c r="E641" s="257"/>
      <c r="F641" s="257"/>
      <c r="G641" s="252"/>
      <c r="H641" s="252"/>
      <c r="I641" s="252"/>
      <c r="J641" s="252"/>
      <c r="K641" s="252"/>
      <c r="L641" s="252"/>
      <c r="M641" s="253"/>
      <c r="N641" s="253"/>
      <c r="O641" s="258"/>
      <c r="P641" s="258"/>
      <c r="Q641" s="258"/>
      <c r="R641" s="258"/>
      <c r="S641" s="258"/>
      <c r="T641" s="258"/>
      <c r="U641" s="258"/>
      <c r="V641" s="258"/>
      <c r="W641" s="258"/>
      <c r="X641" s="258"/>
      <c r="Y641" s="258"/>
      <c r="Z641" s="258"/>
      <c r="AA641" s="258"/>
      <c r="AB641" s="258"/>
      <c r="AC641" s="407"/>
    </row>
    <row r="642" spans="2:29" s="406" customFormat="1" ht="16.5" customHeight="1">
      <c r="B642" s="255"/>
      <c r="C642" s="255"/>
      <c r="D642" s="257"/>
      <c r="E642" s="257"/>
      <c r="F642" s="257"/>
      <c r="G642" s="252"/>
      <c r="H642" s="252"/>
      <c r="I642" s="252"/>
      <c r="J642" s="252"/>
      <c r="K642" s="252"/>
      <c r="L642" s="252"/>
      <c r="M642" s="253"/>
      <c r="N642" s="253"/>
      <c r="O642" s="258"/>
      <c r="P642" s="258"/>
      <c r="Q642" s="258"/>
      <c r="R642" s="258"/>
      <c r="S642" s="258"/>
      <c r="T642" s="258"/>
      <c r="U642" s="258"/>
      <c r="V642" s="258"/>
      <c r="W642" s="258"/>
      <c r="X642" s="258"/>
      <c r="Y642" s="258"/>
      <c r="Z642" s="258"/>
      <c r="AA642" s="258"/>
      <c r="AB642" s="258"/>
      <c r="AC642" s="407"/>
    </row>
    <row r="643" spans="2:29" s="406" customFormat="1" ht="16.5" customHeight="1">
      <c r="B643" s="255"/>
      <c r="C643" s="255"/>
      <c r="D643" s="257"/>
      <c r="E643" s="257"/>
      <c r="F643" s="257"/>
      <c r="G643" s="252"/>
      <c r="H643" s="252"/>
      <c r="I643" s="252"/>
      <c r="J643" s="252"/>
      <c r="K643" s="252"/>
      <c r="L643" s="252"/>
      <c r="M643" s="253"/>
      <c r="N643" s="253"/>
      <c r="O643" s="258"/>
      <c r="P643" s="258"/>
      <c r="Q643" s="258"/>
      <c r="R643" s="258"/>
      <c r="S643" s="258"/>
      <c r="T643" s="258"/>
      <c r="U643" s="258"/>
      <c r="V643" s="258"/>
      <c r="W643" s="258"/>
      <c r="X643" s="258"/>
      <c r="Y643" s="258"/>
      <c r="Z643" s="258"/>
      <c r="AA643" s="258"/>
      <c r="AB643" s="258"/>
      <c r="AC643" s="407"/>
    </row>
    <row r="644" spans="2:29" s="406" customFormat="1" ht="16.5" customHeight="1">
      <c r="B644" s="255"/>
      <c r="C644" s="255"/>
      <c r="D644" s="257"/>
      <c r="E644" s="257"/>
      <c r="F644" s="257"/>
      <c r="G644" s="252"/>
      <c r="H644" s="252"/>
      <c r="I644" s="252"/>
      <c r="J644" s="252"/>
      <c r="K644" s="252"/>
      <c r="L644" s="252"/>
      <c r="M644" s="253"/>
      <c r="N644" s="253"/>
      <c r="O644" s="258"/>
      <c r="P644" s="258"/>
      <c r="Q644" s="258"/>
      <c r="R644" s="258"/>
      <c r="S644" s="258"/>
      <c r="T644" s="258"/>
      <c r="U644" s="258"/>
      <c r="V644" s="258"/>
      <c r="W644" s="258"/>
      <c r="X644" s="258"/>
      <c r="Y644" s="258"/>
      <c r="Z644" s="258"/>
      <c r="AA644" s="258"/>
      <c r="AB644" s="258"/>
      <c r="AC644" s="407"/>
    </row>
    <row r="645" spans="2:29" s="406" customFormat="1" ht="16.5" customHeight="1">
      <c r="B645" s="255"/>
      <c r="C645" s="255"/>
      <c r="D645" s="257"/>
      <c r="E645" s="257"/>
      <c r="F645" s="257"/>
      <c r="G645" s="252"/>
      <c r="H645" s="252"/>
      <c r="I645" s="252"/>
      <c r="J645" s="252"/>
      <c r="K645" s="252"/>
      <c r="L645" s="252"/>
      <c r="M645" s="253"/>
      <c r="N645" s="253"/>
      <c r="O645" s="258"/>
      <c r="P645" s="258"/>
      <c r="Q645" s="258"/>
      <c r="R645" s="258"/>
      <c r="S645" s="258"/>
      <c r="T645" s="258"/>
      <c r="U645" s="258"/>
      <c r="V645" s="258"/>
      <c r="W645" s="258"/>
      <c r="X645" s="258"/>
      <c r="Y645" s="258"/>
      <c r="Z645" s="258"/>
      <c r="AA645" s="258"/>
      <c r="AB645" s="258"/>
      <c r="AC645" s="407"/>
    </row>
    <row r="646" spans="2:29" s="406" customFormat="1" ht="16.5" customHeight="1">
      <c r="B646" s="255"/>
      <c r="C646" s="255"/>
      <c r="D646" s="257"/>
      <c r="E646" s="257"/>
      <c r="F646" s="257"/>
      <c r="G646" s="252"/>
      <c r="H646" s="252"/>
      <c r="I646" s="252"/>
      <c r="J646" s="252"/>
      <c r="K646" s="252"/>
      <c r="L646" s="252"/>
      <c r="M646" s="253"/>
      <c r="N646" s="253"/>
      <c r="O646" s="258"/>
      <c r="P646" s="258"/>
      <c r="Q646" s="258"/>
      <c r="R646" s="258"/>
      <c r="S646" s="258"/>
      <c r="T646" s="258"/>
      <c r="U646" s="258"/>
      <c r="V646" s="258"/>
      <c r="W646" s="258"/>
      <c r="X646" s="258"/>
      <c r="Y646" s="258"/>
      <c r="Z646" s="258"/>
      <c r="AA646" s="258"/>
      <c r="AB646" s="258"/>
      <c r="AC646" s="407"/>
    </row>
    <row r="647" spans="2:29" s="406" customFormat="1" ht="16.5" customHeight="1">
      <c r="B647" s="255"/>
      <c r="C647" s="255"/>
      <c r="D647" s="257"/>
      <c r="E647" s="257"/>
      <c r="F647" s="257"/>
      <c r="G647" s="252"/>
      <c r="H647" s="252"/>
      <c r="I647" s="252"/>
      <c r="J647" s="252"/>
      <c r="K647" s="252"/>
      <c r="L647" s="252"/>
      <c r="M647" s="253"/>
      <c r="N647" s="253"/>
      <c r="O647" s="258"/>
      <c r="P647" s="258"/>
      <c r="Q647" s="258"/>
      <c r="R647" s="258"/>
      <c r="S647" s="258"/>
      <c r="T647" s="258"/>
      <c r="U647" s="258"/>
      <c r="V647" s="258"/>
      <c r="W647" s="258"/>
      <c r="X647" s="258"/>
      <c r="Y647" s="258"/>
      <c r="Z647" s="258"/>
      <c r="AA647" s="258"/>
      <c r="AB647" s="258"/>
      <c r="AC647" s="407"/>
    </row>
    <row r="648" spans="2:29" s="406" customFormat="1" ht="16.5" customHeight="1">
      <c r="B648" s="255"/>
      <c r="C648" s="255"/>
      <c r="D648" s="257"/>
      <c r="E648" s="257"/>
      <c r="F648" s="257"/>
      <c r="G648" s="252"/>
      <c r="H648" s="252"/>
      <c r="I648" s="252"/>
      <c r="J648" s="252"/>
      <c r="K648" s="252"/>
      <c r="L648" s="252"/>
      <c r="M648" s="253"/>
      <c r="N648" s="253"/>
      <c r="O648" s="258"/>
      <c r="P648" s="258"/>
      <c r="Q648" s="258"/>
      <c r="R648" s="258"/>
      <c r="S648" s="258"/>
      <c r="T648" s="258"/>
      <c r="U648" s="258"/>
      <c r="V648" s="258"/>
      <c r="W648" s="258"/>
      <c r="X648" s="258"/>
      <c r="Y648" s="258"/>
      <c r="Z648" s="258"/>
      <c r="AA648" s="258"/>
      <c r="AB648" s="258"/>
      <c r="AC648" s="407"/>
    </row>
    <row r="649" spans="2:29" s="406" customFormat="1" ht="16.5" customHeight="1">
      <c r="B649" s="255"/>
      <c r="C649" s="255"/>
      <c r="D649" s="257"/>
      <c r="E649" s="257"/>
      <c r="F649" s="257"/>
      <c r="G649" s="252"/>
      <c r="H649" s="252"/>
      <c r="I649" s="252"/>
      <c r="J649" s="252"/>
      <c r="K649" s="252"/>
      <c r="L649" s="252"/>
      <c r="M649" s="253"/>
      <c r="N649" s="253"/>
      <c r="O649" s="258"/>
      <c r="P649" s="258"/>
      <c r="Q649" s="258"/>
      <c r="R649" s="258"/>
      <c r="S649" s="258"/>
      <c r="T649" s="258"/>
      <c r="U649" s="258"/>
      <c r="V649" s="258"/>
      <c r="W649" s="258"/>
      <c r="X649" s="258"/>
      <c r="Y649" s="258"/>
      <c r="Z649" s="258"/>
      <c r="AA649" s="258"/>
      <c r="AB649" s="258"/>
      <c r="AC649" s="407"/>
    </row>
    <row r="650" spans="2:29" s="406" customFormat="1" ht="16.5" customHeight="1">
      <c r="B650" s="255"/>
      <c r="C650" s="255"/>
      <c r="D650" s="257"/>
      <c r="E650" s="257"/>
      <c r="F650" s="257"/>
      <c r="G650" s="252"/>
      <c r="H650" s="252"/>
      <c r="I650" s="252"/>
      <c r="J650" s="252"/>
      <c r="K650" s="252"/>
      <c r="L650" s="252"/>
      <c r="M650" s="253"/>
      <c r="N650" s="253"/>
      <c r="O650" s="258"/>
      <c r="P650" s="258"/>
      <c r="Q650" s="258"/>
      <c r="R650" s="258"/>
      <c r="S650" s="258"/>
      <c r="T650" s="258"/>
      <c r="U650" s="258"/>
      <c r="V650" s="258"/>
      <c r="W650" s="258"/>
      <c r="X650" s="258"/>
      <c r="Y650" s="258"/>
      <c r="Z650" s="258"/>
      <c r="AA650" s="258"/>
      <c r="AB650" s="258"/>
      <c r="AC650" s="407"/>
    </row>
    <row r="651" spans="2:29" s="406" customFormat="1" ht="16.5" customHeight="1">
      <c r="B651" s="255"/>
      <c r="C651" s="255"/>
      <c r="D651" s="257"/>
      <c r="E651" s="257"/>
      <c r="F651" s="257"/>
      <c r="G651" s="252"/>
      <c r="H651" s="252"/>
      <c r="I651" s="252"/>
      <c r="J651" s="252"/>
      <c r="K651" s="252"/>
      <c r="L651" s="252"/>
      <c r="M651" s="253"/>
      <c r="N651" s="253"/>
      <c r="O651" s="258"/>
      <c r="P651" s="258"/>
      <c r="Q651" s="258"/>
      <c r="R651" s="258"/>
      <c r="S651" s="258"/>
      <c r="T651" s="258"/>
      <c r="U651" s="258"/>
      <c r="V651" s="258"/>
      <c r="W651" s="258"/>
      <c r="X651" s="258"/>
      <c r="Y651" s="258"/>
      <c r="Z651" s="258"/>
      <c r="AA651" s="258"/>
      <c r="AB651" s="258"/>
      <c r="AC651" s="407"/>
    </row>
    <row r="652" spans="2:29" s="406" customFormat="1" ht="16.5" customHeight="1">
      <c r="B652" s="255"/>
      <c r="C652" s="255"/>
      <c r="D652" s="257"/>
      <c r="E652" s="257"/>
      <c r="F652" s="257"/>
      <c r="G652" s="252"/>
      <c r="H652" s="252"/>
      <c r="I652" s="252"/>
      <c r="J652" s="252"/>
      <c r="K652" s="252"/>
      <c r="L652" s="252"/>
      <c r="M652" s="253"/>
      <c r="N652" s="253"/>
      <c r="O652" s="258"/>
      <c r="P652" s="258"/>
      <c r="Q652" s="258"/>
      <c r="R652" s="258"/>
      <c r="S652" s="258"/>
      <c r="T652" s="258"/>
      <c r="U652" s="258"/>
      <c r="V652" s="258"/>
      <c r="W652" s="258"/>
      <c r="X652" s="258"/>
      <c r="Y652" s="258"/>
      <c r="Z652" s="258"/>
      <c r="AA652" s="258"/>
      <c r="AB652" s="258"/>
      <c r="AC652" s="407"/>
    </row>
    <row r="653" spans="2:29" s="406" customFormat="1" ht="16.5" customHeight="1">
      <c r="B653" s="255"/>
      <c r="C653" s="255"/>
      <c r="D653" s="257"/>
      <c r="E653" s="257"/>
      <c r="F653" s="257"/>
      <c r="G653" s="252"/>
      <c r="H653" s="252"/>
      <c r="I653" s="252"/>
      <c r="J653" s="252"/>
      <c r="K653" s="252"/>
      <c r="L653" s="252"/>
      <c r="M653" s="253"/>
      <c r="N653" s="253"/>
      <c r="O653" s="258"/>
      <c r="P653" s="258"/>
      <c r="Q653" s="258"/>
      <c r="R653" s="258"/>
      <c r="S653" s="258"/>
      <c r="T653" s="258"/>
      <c r="U653" s="258"/>
      <c r="V653" s="258"/>
      <c r="W653" s="258"/>
      <c r="X653" s="258"/>
      <c r="Y653" s="258"/>
      <c r="Z653" s="258"/>
      <c r="AA653" s="258"/>
      <c r="AB653" s="258"/>
      <c r="AC653" s="407"/>
    </row>
    <row r="654" spans="2:29" s="406" customFormat="1" ht="16.5" customHeight="1">
      <c r="B654" s="255"/>
      <c r="C654" s="255"/>
      <c r="D654" s="257"/>
      <c r="E654" s="257"/>
      <c r="F654" s="257"/>
      <c r="G654" s="252"/>
      <c r="H654" s="252"/>
      <c r="I654" s="252"/>
      <c r="J654" s="252"/>
      <c r="K654" s="252"/>
      <c r="L654" s="252"/>
      <c r="M654" s="253"/>
      <c r="N654" s="253"/>
      <c r="O654" s="258"/>
      <c r="P654" s="258"/>
      <c r="Q654" s="258"/>
      <c r="R654" s="258"/>
      <c r="S654" s="258"/>
      <c r="T654" s="258"/>
      <c r="U654" s="258"/>
      <c r="V654" s="258"/>
      <c r="W654" s="258"/>
      <c r="X654" s="258"/>
      <c r="Y654" s="258"/>
      <c r="Z654" s="258"/>
      <c r="AA654" s="258"/>
      <c r="AB654" s="258"/>
      <c r="AC654" s="407"/>
    </row>
    <row r="655" spans="2:29" s="406" customFormat="1" ht="16.5" customHeight="1">
      <c r="B655" s="255"/>
      <c r="C655" s="255"/>
      <c r="D655" s="257"/>
      <c r="E655" s="257"/>
      <c r="F655" s="257"/>
      <c r="G655" s="252"/>
      <c r="H655" s="252"/>
      <c r="I655" s="252"/>
      <c r="J655" s="252"/>
      <c r="K655" s="252"/>
      <c r="L655" s="252"/>
      <c r="M655" s="253"/>
      <c r="N655" s="253"/>
      <c r="O655" s="258"/>
      <c r="P655" s="258"/>
      <c r="Q655" s="258"/>
      <c r="R655" s="258"/>
      <c r="S655" s="258"/>
      <c r="T655" s="258"/>
      <c r="U655" s="258"/>
      <c r="V655" s="258"/>
      <c r="W655" s="258"/>
      <c r="X655" s="258"/>
      <c r="Y655" s="258"/>
      <c r="Z655" s="258"/>
      <c r="AA655" s="258"/>
      <c r="AB655" s="258"/>
      <c r="AC655" s="407"/>
    </row>
    <row r="656" spans="2:29" s="406" customFormat="1" ht="16.5" customHeight="1">
      <c r="B656" s="255"/>
      <c r="C656" s="255"/>
      <c r="D656" s="257"/>
      <c r="E656" s="257"/>
      <c r="F656" s="257"/>
      <c r="G656" s="252"/>
      <c r="H656" s="252"/>
      <c r="I656" s="252"/>
      <c r="J656" s="252"/>
      <c r="K656" s="252"/>
      <c r="L656" s="252"/>
      <c r="M656" s="253"/>
      <c r="N656" s="253"/>
      <c r="O656" s="258"/>
      <c r="P656" s="258"/>
      <c r="Q656" s="258"/>
      <c r="R656" s="258"/>
      <c r="S656" s="258"/>
      <c r="T656" s="258"/>
      <c r="U656" s="258"/>
      <c r="V656" s="258"/>
      <c r="W656" s="258"/>
      <c r="X656" s="258"/>
      <c r="Y656" s="258"/>
      <c r="Z656" s="258"/>
      <c r="AA656" s="258"/>
      <c r="AB656" s="258"/>
      <c r="AC656" s="407"/>
    </row>
    <row r="657" spans="2:29" s="406" customFormat="1" ht="16.5" customHeight="1">
      <c r="B657" s="255"/>
      <c r="C657" s="255"/>
      <c r="D657" s="257"/>
      <c r="E657" s="257"/>
      <c r="F657" s="257"/>
      <c r="G657" s="252"/>
      <c r="H657" s="252"/>
      <c r="I657" s="252"/>
      <c r="J657" s="252"/>
      <c r="K657" s="252"/>
      <c r="L657" s="252"/>
      <c r="M657" s="253"/>
      <c r="N657" s="253"/>
      <c r="O657" s="258"/>
      <c r="P657" s="258"/>
      <c r="Q657" s="258"/>
      <c r="R657" s="258"/>
      <c r="S657" s="258"/>
      <c r="T657" s="258"/>
      <c r="U657" s="258"/>
      <c r="V657" s="258"/>
      <c r="W657" s="258"/>
      <c r="X657" s="258"/>
      <c r="Y657" s="258"/>
      <c r="Z657" s="258"/>
      <c r="AA657" s="258"/>
      <c r="AB657" s="258"/>
      <c r="AC657" s="407"/>
    </row>
    <row r="658" spans="2:29" s="406" customFormat="1" ht="16.5" customHeight="1">
      <c r="B658" s="255"/>
      <c r="C658" s="255"/>
      <c r="D658" s="257"/>
      <c r="E658" s="257"/>
      <c r="F658" s="257"/>
      <c r="G658" s="252"/>
      <c r="H658" s="252"/>
      <c r="I658" s="252"/>
      <c r="J658" s="252"/>
      <c r="K658" s="252"/>
      <c r="L658" s="252"/>
      <c r="M658" s="253"/>
      <c r="N658" s="253"/>
      <c r="O658" s="258"/>
      <c r="P658" s="258"/>
      <c r="Q658" s="258"/>
      <c r="R658" s="258"/>
      <c r="S658" s="258"/>
      <c r="T658" s="258"/>
      <c r="U658" s="258"/>
      <c r="V658" s="258"/>
      <c r="W658" s="258"/>
      <c r="X658" s="258"/>
      <c r="Y658" s="258"/>
      <c r="Z658" s="258"/>
      <c r="AA658" s="258"/>
      <c r="AB658" s="258"/>
      <c r="AC658" s="407"/>
    </row>
    <row r="659" spans="2:29" s="406" customFormat="1" ht="16.5" customHeight="1">
      <c r="B659" s="255"/>
      <c r="C659" s="255"/>
      <c r="D659" s="257"/>
      <c r="E659" s="257"/>
      <c r="F659" s="257"/>
      <c r="G659" s="252"/>
      <c r="H659" s="252"/>
      <c r="I659" s="252"/>
      <c r="J659" s="252"/>
      <c r="K659" s="252"/>
      <c r="L659" s="252"/>
      <c r="M659" s="253"/>
      <c r="N659" s="253"/>
      <c r="O659" s="258"/>
      <c r="P659" s="258"/>
      <c r="Q659" s="258"/>
      <c r="R659" s="258"/>
      <c r="S659" s="258"/>
      <c r="T659" s="258"/>
      <c r="U659" s="258"/>
      <c r="V659" s="258"/>
      <c r="W659" s="258"/>
      <c r="X659" s="258"/>
      <c r="Y659" s="258"/>
      <c r="Z659" s="258"/>
      <c r="AA659" s="258"/>
      <c r="AB659" s="258"/>
      <c r="AC659" s="407"/>
    </row>
    <row r="660" spans="2:29" s="406" customFormat="1" ht="16.5" customHeight="1">
      <c r="B660" s="255"/>
      <c r="C660" s="255"/>
      <c r="D660" s="257"/>
      <c r="E660" s="257"/>
      <c r="F660" s="257"/>
      <c r="G660" s="252"/>
      <c r="H660" s="252"/>
      <c r="I660" s="252"/>
      <c r="J660" s="252"/>
      <c r="K660" s="252"/>
      <c r="L660" s="252"/>
      <c r="M660" s="253"/>
      <c r="N660" s="253"/>
      <c r="O660" s="258"/>
      <c r="P660" s="258"/>
      <c r="Q660" s="258"/>
      <c r="R660" s="258"/>
      <c r="S660" s="258"/>
      <c r="T660" s="258"/>
      <c r="U660" s="258"/>
      <c r="V660" s="258"/>
      <c r="W660" s="258"/>
      <c r="X660" s="258"/>
      <c r="Y660" s="258"/>
      <c r="Z660" s="258"/>
      <c r="AA660" s="258"/>
      <c r="AB660" s="258"/>
      <c r="AC660" s="407"/>
    </row>
    <row r="661" spans="2:29" s="406" customFormat="1" ht="16.5" customHeight="1">
      <c r="B661" s="255"/>
      <c r="C661" s="255"/>
      <c r="D661" s="257"/>
      <c r="E661" s="257"/>
      <c r="F661" s="257"/>
      <c r="G661" s="252"/>
      <c r="H661" s="252"/>
      <c r="I661" s="252"/>
      <c r="J661" s="252"/>
      <c r="K661" s="252"/>
      <c r="L661" s="252"/>
      <c r="M661" s="253"/>
      <c r="N661" s="253"/>
      <c r="O661" s="258"/>
      <c r="P661" s="258"/>
      <c r="Q661" s="258"/>
      <c r="R661" s="258"/>
      <c r="S661" s="258"/>
      <c r="T661" s="258"/>
      <c r="U661" s="258"/>
      <c r="V661" s="258"/>
      <c r="W661" s="258"/>
      <c r="X661" s="258"/>
      <c r="Y661" s="258"/>
      <c r="Z661" s="258"/>
      <c r="AA661" s="258"/>
      <c r="AB661" s="258"/>
      <c r="AC661" s="407"/>
    </row>
    <row r="662" spans="2:29" s="406" customFormat="1" ht="16.5" customHeight="1">
      <c r="B662" s="255"/>
      <c r="C662" s="255"/>
      <c r="D662" s="257"/>
      <c r="E662" s="257"/>
      <c r="F662" s="257"/>
      <c r="G662" s="252"/>
      <c r="H662" s="252"/>
      <c r="I662" s="252"/>
      <c r="J662" s="252"/>
      <c r="K662" s="252"/>
      <c r="L662" s="252"/>
      <c r="M662" s="253"/>
      <c r="N662" s="253"/>
      <c r="O662" s="258"/>
      <c r="P662" s="258"/>
      <c r="Q662" s="258"/>
      <c r="R662" s="258"/>
      <c r="S662" s="258"/>
      <c r="T662" s="258"/>
      <c r="U662" s="258"/>
      <c r="V662" s="258"/>
      <c r="W662" s="258"/>
      <c r="X662" s="258"/>
      <c r="Y662" s="258"/>
      <c r="Z662" s="258"/>
      <c r="AA662" s="258"/>
      <c r="AB662" s="258"/>
      <c r="AC662" s="407"/>
    </row>
    <row r="663" spans="2:29" s="406" customFormat="1" ht="16.5" customHeight="1">
      <c r="B663" s="255"/>
      <c r="C663" s="255"/>
      <c r="D663" s="257"/>
      <c r="E663" s="257"/>
      <c r="F663" s="257"/>
      <c r="G663" s="252"/>
      <c r="H663" s="252"/>
      <c r="I663" s="252"/>
      <c r="J663" s="252"/>
      <c r="K663" s="252"/>
      <c r="L663" s="252"/>
      <c r="M663" s="253"/>
      <c r="N663" s="253"/>
      <c r="O663" s="258"/>
      <c r="P663" s="258"/>
      <c r="Q663" s="258"/>
      <c r="R663" s="258"/>
      <c r="S663" s="258"/>
      <c r="T663" s="258"/>
      <c r="U663" s="258"/>
      <c r="V663" s="258"/>
      <c r="W663" s="258"/>
      <c r="X663" s="258"/>
      <c r="Y663" s="258"/>
      <c r="Z663" s="258"/>
      <c r="AA663" s="258"/>
      <c r="AB663" s="258"/>
      <c r="AC663" s="407"/>
    </row>
    <row r="664" spans="2:29" s="406" customFormat="1" ht="16.5" customHeight="1">
      <c r="B664" s="255"/>
      <c r="C664" s="255"/>
      <c r="D664" s="257"/>
      <c r="E664" s="257"/>
      <c r="F664" s="257"/>
      <c r="G664" s="252"/>
      <c r="H664" s="252"/>
      <c r="I664" s="252"/>
      <c r="J664" s="252"/>
      <c r="K664" s="252"/>
      <c r="L664" s="252"/>
      <c r="M664" s="253"/>
      <c r="N664" s="253"/>
      <c r="O664" s="258"/>
      <c r="P664" s="258"/>
      <c r="Q664" s="258"/>
      <c r="R664" s="258"/>
      <c r="S664" s="258"/>
      <c r="T664" s="258"/>
      <c r="U664" s="258"/>
      <c r="V664" s="258"/>
      <c r="W664" s="258"/>
      <c r="X664" s="258"/>
      <c r="Y664" s="258"/>
      <c r="Z664" s="258"/>
      <c r="AA664" s="258"/>
      <c r="AB664" s="258"/>
      <c r="AC664" s="407"/>
    </row>
    <row r="665" spans="2:29" s="406" customFormat="1" ht="16.5" customHeight="1">
      <c r="B665" s="255"/>
      <c r="C665" s="255"/>
      <c r="D665" s="257"/>
      <c r="E665" s="257"/>
      <c r="F665" s="257"/>
      <c r="G665" s="252"/>
      <c r="H665" s="252"/>
      <c r="I665" s="252"/>
      <c r="J665" s="252"/>
      <c r="K665" s="252"/>
      <c r="L665" s="252"/>
      <c r="M665" s="253"/>
      <c r="N665" s="253"/>
      <c r="O665" s="258"/>
      <c r="P665" s="258"/>
      <c r="Q665" s="258"/>
      <c r="R665" s="258"/>
      <c r="S665" s="258"/>
      <c r="T665" s="258"/>
      <c r="U665" s="258"/>
      <c r="V665" s="258"/>
      <c r="W665" s="258"/>
      <c r="X665" s="258"/>
      <c r="Y665" s="258"/>
      <c r="Z665" s="258"/>
      <c r="AA665" s="258"/>
      <c r="AB665" s="258"/>
      <c r="AC665" s="407"/>
    </row>
    <row r="666" spans="2:29" s="406" customFormat="1" ht="16.5" customHeight="1">
      <c r="B666" s="255"/>
      <c r="C666" s="255"/>
      <c r="D666" s="257"/>
      <c r="E666" s="257"/>
      <c r="F666" s="257"/>
      <c r="G666" s="252"/>
      <c r="H666" s="252"/>
      <c r="I666" s="252"/>
      <c r="J666" s="252"/>
      <c r="K666" s="252"/>
      <c r="L666" s="252"/>
      <c r="M666" s="253"/>
      <c r="N666" s="253"/>
      <c r="O666" s="258"/>
      <c r="P666" s="258"/>
      <c r="Q666" s="258"/>
      <c r="R666" s="258"/>
      <c r="S666" s="258"/>
      <c r="T666" s="258"/>
      <c r="U666" s="258"/>
      <c r="V666" s="258"/>
      <c r="W666" s="258"/>
      <c r="X666" s="258"/>
      <c r="Y666" s="258"/>
      <c r="Z666" s="258"/>
      <c r="AA666" s="258"/>
      <c r="AB666" s="258"/>
      <c r="AC666" s="407"/>
    </row>
    <row r="667" spans="2:29" s="406" customFormat="1" ht="16.5" customHeight="1">
      <c r="B667" s="255"/>
      <c r="C667" s="255"/>
      <c r="D667" s="257"/>
      <c r="E667" s="257"/>
      <c r="F667" s="257"/>
      <c r="G667" s="252"/>
      <c r="H667" s="252"/>
      <c r="I667" s="252"/>
      <c r="J667" s="252"/>
      <c r="K667" s="252"/>
      <c r="L667" s="252"/>
      <c r="M667" s="253"/>
      <c r="N667" s="253"/>
      <c r="O667" s="258"/>
      <c r="P667" s="258"/>
      <c r="Q667" s="258"/>
      <c r="R667" s="258"/>
      <c r="S667" s="258"/>
      <c r="T667" s="258"/>
      <c r="U667" s="258"/>
      <c r="V667" s="258"/>
      <c r="W667" s="258"/>
      <c r="X667" s="258"/>
      <c r="Y667" s="258"/>
      <c r="Z667" s="258"/>
      <c r="AA667" s="258"/>
      <c r="AB667" s="258"/>
      <c r="AC667" s="407"/>
    </row>
    <row r="668" spans="2:29" s="406" customFormat="1" ht="16.5" customHeight="1">
      <c r="B668" s="255"/>
      <c r="C668" s="255"/>
      <c r="D668" s="257"/>
      <c r="E668" s="257"/>
      <c r="F668" s="257"/>
      <c r="G668" s="252"/>
      <c r="H668" s="252"/>
      <c r="I668" s="252"/>
      <c r="J668" s="252"/>
      <c r="K668" s="252"/>
      <c r="L668" s="252"/>
      <c r="M668" s="253"/>
      <c r="N668" s="253"/>
      <c r="O668" s="258"/>
      <c r="P668" s="258"/>
      <c r="Q668" s="258"/>
      <c r="R668" s="258"/>
      <c r="S668" s="258"/>
      <c r="T668" s="258"/>
      <c r="U668" s="258"/>
      <c r="V668" s="258"/>
      <c r="W668" s="258"/>
      <c r="X668" s="258"/>
      <c r="Y668" s="258"/>
      <c r="Z668" s="258"/>
      <c r="AA668" s="258"/>
      <c r="AB668" s="258"/>
      <c r="AC668" s="407"/>
    </row>
    <row r="669" spans="2:29" s="406" customFormat="1" ht="16.5" customHeight="1">
      <c r="B669" s="255"/>
      <c r="C669" s="255"/>
      <c r="D669" s="257"/>
      <c r="E669" s="257"/>
      <c r="F669" s="257"/>
      <c r="G669" s="252"/>
      <c r="H669" s="252"/>
      <c r="I669" s="252"/>
      <c r="J669" s="252"/>
      <c r="K669" s="252"/>
      <c r="L669" s="252"/>
      <c r="M669" s="253"/>
      <c r="N669" s="253"/>
      <c r="O669" s="258"/>
      <c r="P669" s="258"/>
      <c r="Q669" s="258"/>
      <c r="R669" s="258"/>
      <c r="S669" s="258"/>
      <c r="T669" s="258"/>
      <c r="U669" s="258"/>
      <c r="V669" s="258"/>
      <c r="W669" s="258"/>
      <c r="X669" s="258"/>
      <c r="Y669" s="258"/>
      <c r="Z669" s="258"/>
      <c r="AA669" s="258"/>
      <c r="AB669" s="258"/>
      <c r="AC669" s="407"/>
    </row>
    <row r="670" spans="2:29" s="406" customFormat="1" ht="16.5" customHeight="1">
      <c r="B670" s="255"/>
      <c r="C670" s="255"/>
      <c r="D670" s="257"/>
      <c r="E670" s="257"/>
      <c r="F670" s="257"/>
      <c r="G670" s="252"/>
      <c r="H670" s="252"/>
      <c r="I670" s="252"/>
      <c r="J670" s="252"/>
      <c r="K670" s="252"/>
      <c r="L670" s="252"/>
      <c r="M670" s="253"/>
      <c r="N670" s="253"/>
      <c r="O670" s="258"/>
      <c r="P670" s="258"/>
      <c r="Q670" s="258"/>
      <c r="R670" s="258"/>
      <c r="S670" s="258"/>
      <c r="T670" s="258"/>
      <c r="U670" s="258"/>
      <c r="V670" s="258"/>
      <c r="W670" s="258"/>
      <c r="X670" s="258"/>
      <c r="Y670" s="258"/>
      <c r="Z670" s="258"/>
      <c r="AA670" s="258"/>
      <c r="AB670" s="258"/>
      <c r="AC670" s="407"/>
    </row>
    <row r="671" spans="2:29" s="406" customFormat="1" ht="16.5" customHeight="1">
      <c r="B671" s="255"/>
      <c r="C671" s="255"/>
      <c r="D671" s="257"/>
      <c r="E671" s="257"/>
      <c r="F671" s="257"/>
      <c r="G671" s="252"/>
      <c r="H671" s="252"/>
      <c r="I671" s="252"/>
      <c r="J671" s="252"/>
      <c r="K671" s="252"/>
      <c r="L671" s="252"/>
      <c r="M671" s="253"/>
      <c r="N671" s="253"/>
      <c r="O671" s="258"/>
      <c r="P671" s="258"/>
      <c r="Q671" s="258"/>
      <c r="R671" s="258"/>
      <c r="S671" s="258"/>
      <c r="T671" s="258"/>
      <c r="U671" s="258"/>
      <c r="V671" s="258"/>
      <c r="W671" s="258"/>
      <c r="X671" s="258"/>
      <c r="Y671" s="258"/>
      <c r="Z671" s="258"/>
      <c r="AA671" s="258"/>
      <c r="AB671" s="258"/>
      <c r="AC671" s="407"/>
    </row>
    <row r="672" spans="2:29" s="406" customFormat="1" ht="16.5" customHeight="1">
      <c r="B672" s="255"/>
      <c r="C672" s="255"/>
      <c r="D672" s="257"/>
      <c r="E672" s="257"/>
      <c r="F672" s="257"/>
      <c r="G672" s="252"/>
      <c r="H672" s="252"/>
      <c r="I672" s="252"/>
      <c r="J672" s="252"/>
      <c r="K672" s="252"/>
      <c r="L672" s="252"/>
      <c r="M672" s="253"/>
      <c r="N672" s="253"/>
      <c r="O672" s="258"/>
      <c r="P672" s="258"/>
      <c r="Q672" s="258"/>
      <c r="R672" s="258"/>
      <c r="S672" s="258"/>
      <c r="T672" s="258"/>
      <c r="U672" s="258"/>
      <c r="V672" s="258"/>
      <c r="W672" s="258"/>
      <c r="X672" s="258"/>
      <c r="Y672" s="258"/>
      <c r="Z672" s="258"/>
      <c r="AA672" s="258"/>
      <c r="AB672" s="258"/>
      <c r="AC672" s="407"/>
    </row>
    <row r="673" spans="2:29" s="406" customFormat="1" ht="16.5" customHeight="1">
      <c r="B673" s="255"/>
      <c r="C673" s="255"/>
      <c r="D673" s="257"/>
      <c r="E673" s="257"/>
      <c r="F673" s="257"/>
      <c r="G673" s="252"/>
      <c r="H673" s="252"/>
      <c r="I673" s="252"/>
      <c r="J673" s="252"/>
      <c r="K673" s="252"/>
      <c r="L673" s="252"/>
      <c r="M673" s="253"/>
      <c r="N673" s="253"/>
      <c r="O673" s="258"/>
      <c r="P673" s="258"/>
      <c r="Q673" s="258"/>
      <c r="R673" s="258"/>
      <c r="S673" s="258"/>
      <c r="T673" s="258"/>
      <c r="U673" s="258"/>
      <c r="V673" s="258"/>
      <c r="W673" s="258"/>
      <c r="X673" s="258"/>
      <c r="Y673" s="258"/>
      <c r="Z673" s="258"/>
      <c r="AA673" s="258"/>
      <c r="AB673" s="258"/>
      <c r="AC673" s="407"/>
    </row>
    <row r="674" spans="2:29" s="406" customFormat="1" ht="16.5" customHeight="1">
      <c r="B674" s="255"/>
      <c r="C674" s="255"/>
      <c r="D674" s="257"/>
      <c r="E674" s="257"/>
      <c r="F674" s="257"/>
      <c r="G674" s="252"/>
      <c r="H674" s="252"/>
      <c r="I674" s="252"/>
      <c r="J674" s="252"/>
      <c r="K674" s="252"/>
      <c r="L674" s="252"/>
      <c r="M674" s="253"/>
      <c r="N674" s="253"/>
      <c r="O674" s="258"/>
      <c r="P674" s="258"/>
      <c r="Q674" s="258"/>
      <c r="R674" s="258"/>
      <c r="S674" s="258"/>
      <c r="T674" s="258"/>
      <c r="U674" s="258"/>
      <c r="V674" s="258"/>
      <c r="W674" s="258"/>
      <c r="X674" s="258"/>
      <c r="Y674" s="258"/>
      <c r="Z674" s="258"/>
      <c r="AA674" s="258"/>
      <c r="AB674" s="258"/>
      <c r="AC674" s="407"/>
    </row>
    <row r="675" spans="2:29" s="406" customFormat="1" ht="16.5" customHeight="1">
      <c r="B675" s="255"/>
      <c r="C675" s="255"/>
      <c r="D675" s="257"/>
      <c r="E675" s="257"/>
      <c r="F675" s="257"/>
      <c r="G675" s="252"/>
      <c r="H675" s="252"/>
      <c r="I675" s="252"/>
      <c r="J675" s="252"/>
      <c r="K675" s="252"/>
      <c r="L675" s="252"/>
      <c r="M675" s="253"/>
      <c r="N675" s="253"/>
      <c r="O675" s="258"/>
      <c r="P675" s="258"/>
      <c r="Q675" s="258"/>
      <c r="R675" s="258"/>
      <c r="S675" s="258"/>
      <c r="T675" s="258"/>
      <c r="U675" s="258"/>
      <c r="V675" s="258"/>
      <c r="W675" s="258"/>
      <c r="X675" s="258"/>
      <c r="Y675" s="258"/>
      <c r="Z675" s="258"/>
      <c r="AA675" s="258"/>
      <c r="AB675" s="258"/>
      <c r="AC675" s="407"/>
    </row>
    <row r="676" spans="2:29" s="406" customFormat="1" ht="16.5" customHeight="1">
      <c r="B676" s="255"/>
      <c r="C676" s="255"/>
      <c r="D676" s="257"/>
      <c r="E676" s="257"/>
      <c r="F676" s="257"/>
      <c r="G676" s="252"/>
      <c r="H676" s="252"/>
      <c r="I676" s="252"/>
      <c r="J676" s="252"/>
      <c r="K676" s="252"/>
      <c r="L676" s="252"/>
      <c r="M676" s="253"/>
      <c r="N676" s="253"/>
      <c r="O676" s="258"/>
      <c r="P676" s="258"/>
      <c r="Q676" s="258"/>
      <c r="R676" s="258"/>
      <c r="S676" s="258"/>
      <c r="T676" s="258"/>
      <c r="U676" s="258"/>
      <c r="V676" s="258"/>
      <c r="W676" s="258"/>
      <c r="X676" s="258"/>
      <c r="Y676" s="258"/>
      <c r="Z676" s="258"/>
      <c r="AA676" s="258"/>
      <c r="AB676" s="258"/>
      <c r="AC676" s="407"/>
    </row>
    <row r="677" spans="2:29" s="406" customFormat="1" ht="16.5" customHeight="1">
      <c r="B677" s="255"/>
      <c r="C677" s="255"/>
      <c r="D677" s="257"/>
      <c r="E677" s="257"/>
      <c r="F677" s="257"/>
      <c r="G677" s="252"/>
      <c r="H677" s="252"/>
      <c r="I677" s="252"/>
      <c r="J677" s="252"/>
      <c r="K677" s="252"/>
      <c r="L677" s="252"/>
      <c r="M677" s="253"/>
      <c r="N677" s="253"/>
      <c r="O677" s="258"/>
      <c r="P677" s="258"/>
      <c r="Q677" s="258"/>
      <c r="R677" s="258"/>
      <c r="S677" s="258"/>
      <c r="T677" s="258"/>
      <c r="U677" s="258"/>
      <c r="V677" s="258"/>
      <c r="W677" s="258"/>
      <c r="X677" s="258"/>
      <c r="Y677" s="258"/>
      <c r="Z677" s="258"/>
      <c r="AA677" s="258"/>
      <c r="AB677" s="258"/>
      <c r="AC677" s="407"/>
    </row>
    <row r="678" spans="2:29" s="406" customFormat="1" ht="16.5" customHeight="1">
      <c r="B678" s="255"/>
      <c r="C678" s="255"/>
      <c r="D678" s="257"/>
      <c r="E678" s="257"/>
      <c r="F678" s="257"/>
      <c r="G678" s="252"/>
      <c r="H678" s="252"/>
      <c r="I678" s="252"/>
      <c r="J678" s="252"/>
      <c r="K678" s="252"/>
      <c r="L678" s="252"/>
      <c r="M678" s="253"/>
      <c r="N678" s="253"/>
      <c r="O678" s="258"/>
      <c r="P678" s="258"/>
      <c r="Q678" s="258"/>
      <c r="R678" s="258"/>
      <c r="S678" s="258"/>
      <c r="T678" s="258"/>
      <c r="U678" s="258"/>
      <c r="V678" s="258"/>
      <c r="W678" s="258"/>
      <c r="X678" s="258"/>
      <c r="Y678" s="258"/>
      <c r="Z678" s="258"/>
      <c r="AA678" s="258"/>
      <c r="AB678" s="258"/>
      <c r="AC678" s="407"/>
    </row>
    <row r="679" spans="2:29" s="406" customFormat="1" ht="16.5" customHeight="1">
      <c r="B679" s="255"/>
      <c r="C679" s="255"/>
      <c r="D679" s="257"/>
      <c r="E679" s="257"/>
      <c r="F679" s="257"/>
      <c r="G679" s="252"/>
      <c r="H679" s="252"/>
      <c r="I679" s="252"/>
      <c r="J679" s="252"/>
      <c r="K679" s="252"/>
      <c r="L679" s="252"/>
      <c r="M679" s="253"/>
      <c r="N679" s="253"/>
      <c r="O679" s="258"/>
      <c r="P679" s="258"/>
      <c r="Q679" s="258"/>
      <c r="R679" s="258"/>
      <c r="S679" s="258"/>
      <c r="T679" s="258"/>
      <c r="U679" s="258"/>
      <c r="V679" s="258"/>
      <c r="W679" s="258"/>
      <c r="X679" s="258"/>
      <c r="Y679" s="258"/>
      <c r="Z679" s="258"/>
      <c r="AA679" s="258"/>
      <c r="AB679" s="258"/>
      <c r="AC679" s="407"/>
    </row>
    <row r="680" spans="2:29" s="406" customFormat="1" ht="16.5" customHeight="1">
      <c r="B680" s="255"/>
      <c r="C680" s="255"/>
      <c r="D680" s="257"/>
      <c r="E680" s="257"/>
      <c r="F680" s="257"/>
      <c r="G680" s="252"/>
      <c r="H680" s="252"/>
      <c r="I680" s="252"/>
      <c r="J680" s="252"/>
      <c r="K680" s="252"/>
      <c r="L680" s="252"/>
      <c r="M680" s="253"/>
      <c r="N680" s="253"/>
      <c r="O680" s="258"/>
      <c r="P680" s="258"/>
      <c r="Q680" s="258"/>
      <c r="R680" s="258"/>
      <c r="S680" s="258"/>
      <c r="T680" s="258"/>
      <c r="U680" s="258"/>
      <c r="V680" s="258"/>
      <c r="W680" s="258"/>
      <c r="X680" s="258"/>
      <c r="Y680" s="258"/>
      <c r="Z680" s="258"/>
      <c r="AA680" s="258"/>
      <c r="AB680" s="258"/>
      <c r="AC680" s="407"/>
    </row>
    <row r="681" spans="2:29" s="406" customFormat="1" ht="16.5" customHeight="1">
      <c r="B681" s="255"/>
      <c r="C681" s="255"/>
      <c r="D681" s="257"/>
      <c r="E681" s="257"/>
      <c r="F681" s="257"/>
      <c r="G681" s="252"/>
      <c r="H681" s="252"/>
      <c r="I681" s="252"/>
      <c r="J681" s="252"/>
      <c r="K681" s="252"/>
      <c r="L681" s="252"/>
      <c r="M681" s="253"/>
      <c r="N681" s="253"/>
      <c r="O681" s="258"/>
      <c r="P681" s="258"/>
      <c r="Q681" s="258"/>
      <c r="R681" s="258"/>
      <c r="S681" s="258"/>
      <c r="T681" s="258"/>
      <c r="U681" s="258"/>
      <c r="V681" s="258"/>
      <c r="W681" s="258"/>
      <c r="X681" s="258"/>
      <c r="Y681" s="258"/>
      <c r="Z681" s="258"/>
      <c r="AA681" s="258"/>
      <c r="AB681" s="258"/>
      <c r="AC681" s="407"/>
    </row>
    <row r="682" spans="2:29" s="406" customFormat="1" ht="16.5" customHeight="1">
      <c r="B682" s="255"/>
      <c r="C682" s="255"/>
      <c r="D682" s="257"/>
      <c r="E682" s="257"/>
      <c r="F682" s="257"/>
      <c r="G682" s="252"/>
      <c r="H682" s="252"/>
      <c r="I682" s="252"/>
      <c r="J682" s="252"/>
      <c r="K682" s="252"/>
      <c r="L682" s="252"/>
      <c r="M682" s="253"/>
      <c r="N682" s="253"/>
      <c r="O682" s="258"/>
      <c r="P682" s="258"/>
      <c r="Q682" s="258"/>
      <c r="R682" s="258"/>
      <c r="S682" s="258"/>
      <c r="T682" s="258"/>
      <c r="U682" s="258"/>
      <c r="V682" s="258"/>
      <c r="W682" s="258"/>
      <c r="X682" s="258"/>
      <c r="Y682" s="258"/>
      <c r="Z682" s="258"/>
      <c r="AA682" s="258"/>
      <c r="AB682" s="258"/>
      <c r="AC682" s="407"/>
    </row>
    <row r="683" spans="2:29" s="406" customFormat="1" ht="16.5" customHeight="1">
      <c r="B683" s="255"/>
      <c r="C683" s="255"/>
      <c r="D683" s="257"/>
      <c r="E683" s="257"/>
      <c r="F683" s="257"/>
      <c r="G683" s="252"/>
      <c r="H683" s="252"/>
      <c r="I683" s="252"/>
      <c r="J683" s="252"/>
      <c r="K683" s="252"/>
      <c r="L683" s="252"/>
      <c r="M683" s="253"/>
      <c r="N683" s="253"/>
      <c r="O683" s="258"/>
      <c r="P683" s="258"/>
      <c r="Q683" s="258"/>
      <c r="R683" s="258"/>
      <c r="S683" s="258"/>
      <c r="T683" s="258"/>
      <c r="U683" s="258"/>
      <c r="V683" s="258"/>
      <c r="W683" s="258"/>
      <c r="X683" s="258"/>
      <c r="Y683" s="258"/>
      <c r="Z683" s="258"/>
      <c r="AA683" s="258"/>
      <c r="AB683" s="258"/>
      <c r="AC683" s="407"/>
    </row>
    <row r="684" spans="2:29" s="406" customFormat="1" ht="16.5" customHeight="1">
      <c r="B684" s="255"/>
      <c r="C684" s="255"/>
      <c r="D684" s="257"/>
      <c r="E684" s="257"/>
      <c r="F684" s="257"/>
      <c r="G684" s="252"/>
      <c r="H684" s="252"/>
      <c r="I684" s="252"/>
      <c r="J684" s="252"/>
      <c r="K684" s="252"/>
      <c r="L684" s="252"/>
      <c r="M684" s="253"/>
      <c r="N684" s="253"/>
      <c r="O684" s="258"/>
      <c r="P684" s="258"/>
      <c r="Q684" s="258"/>
      <c r="R684" s="258"/>
      <c r="S684" s="258"/>
      <c r="T684" s="258"/>
      <c r="U684" s="258"/>
      <c r="V684" s="258"/>
      <c r="W684" s="258"/>
      <c r="X684" s="258"/>
      <c r="Y684" s="258"/>
      <c r="Z684" s="258"/>
      <c r="AA684" s="258"/>
      <c r="AB684" s="258"/>
      <c r="AC684" s="407"/>
    </row>
    <row r="685" spans="2:29" s="406" customFormat="1" ht="16.5" customHeight="1">
      <c r="B685" s="255"/>
      <c r="C685" s="255"/>
      <c r="D685" s="257"/>
      <c r="E685" s="257"/>
      <c r="F685" s="257"/>
      <c r="G685" s="252"/>
      <c r="H685" s="252"/>
      <c r="I685" s="252"/>
      <c r="J685" s="252"/>
      <c r="K685" s="252"/>
      <c r="L685" s="252"/>
      <c r="M685" s="253"/>
      <c r="N685" s="253"/>
      <c r="O685" s="258"/>
      <c r="P685" s="258"/>
      <c r="Q685" s="258"/>
      <c r="R685" s="258"/>
      <c r="S685" s="258"/>
      <c r="T685" s="258"/>
      <c r="U685" s="258"/>
      <c r="V685" s="258"/>
      <c r="W685" s="258"/>
      <c r="X685" s="258"/>
      <c r="Y685" s="258"/>
      <c r="Z685" s="258"/>
      <c r="AA685" s="258"/>
      <c r="AB685" s="258"/>
      <c r="AC685" s="407"/>
    </row>
    <row r="686" spans="2:29" s="406" customFormat="1" ht="16.5" customHeight="1">
      <c r="B686" s="255"/>
      <c r="C686" s="255"/>
      <c r="D686" s="257"/>
      <c r="E686" s="257"/>
      <c r="F686" s="257"/>
      <c r="G686" s="252"/>
      <c r="H686" s="252"/>
      <c r="I686" s="252"/>
      <c r="J686" s="252"/>
      <c r="K686" s="252"/>
      <c r="L686" s="252"/>
      <c r="M686" s="253"/>
      <c r="N686" s="253"/>
      <c r="O686" s="258"/>
      <c r="P686" s="258"/>
      <c r="Q686" s="258"/>
      <c r="R686" s="258"/>
      <c r="S686" s="258"/>
      <c r="T686" s="258"/>
      <c r="U686" s="258"/>
      <c r="V686" s="258"/>
      <c r="W686" s="258"/>
      <c r="X686" s="258"/>
      <c r="Y686" s="258"/>
      <c r="Z686" s="258"/>
      <c r="AA686" s="258"/>
      <c r="AB686" s="258"/>
      <c r="AC686" s="407"/>
    </row>
    <row r="687" spans="2:29" s="406" customFormat="1" ht="16.5" customHeight="1">
      <c r="B687" s="255"/>
      <c r="C687" s="255"/>
      <c r="D687" s="257"/>
      <c r="E687" s="257"/>
      <c r="F687" s="257"/>
      <c r="G687" s="252"/>
      <c r="H687" s="252"/>
      <c r="I687" s="252"/>
      <c r="J687" s="252"/>
      <c r="K687" s="252"/>
      <c r="L687" s="252"/>
      <c r="M687" s="253"/>
      <c r="N687" s="253"/>
      <c r="O687" s="258"/>
      <c r="P687" s="258"/>
      <c r="Q687" s="258"/>
      <c r="R687" s="258"/>
      <c r="S687" s="258"/>
      <c r="T687" s="258"/>
      <c r="U687" s="258"/>
      <c r="V687" s="258"/>
      <c r="W687" s="258"/>
      <c r="X687" s="258"/>
      <c r="Y687" s="258"/>
      <c r="Z687" s="258"/>
      <c r="AA687" s="258"/>
      <c r="AB687" s="258"/>
      <c r="AC687" s="407"/>
    </row>
    <row r="688" spans="2:29" s="406" customFormat="1" ht="16.5" customHeight="1">
      <c r="B688" s="255"/>
      <c r="C688" s="255"/>
      <c r="D688" s="257"/>
      <c r="E688" s="257"/>
      <c r="F688" s="257"/>
      <c r="G688" s="252"/>
      <c r="H688" s="252"/>
      <c r="I688" s="252"/>
      <c r="J688" s="252"/>
      <c r="K688" s="252"/>
      <c r="L688" s="252"/>
      <c r="M688" s="253"/>
      <c r="N688" s="253"/>
      <c r="O688" s="258"/>
      <c r="P688" s="258"/>
      <c r="Q688" s="258"/>
      <c r="R688" s="258"/>
      <c r="S688" s="258"/>
      <c r="T688" s="258"/>
      <c r="U688" s="258"/>
      <c r="V688" s="258"/>
      <c r="W688" s="258"/>
      <c r="X688" s="258"/>
      <c r="Y688" s="258"/>
      <c r="Z688" s="258"/>
      <c r="AA688" s="258"/>
      <c r="AB688" s="258"/>
      <c r="AC688" s="407"/>
    </row>
    <row r="689" spans="2:29" s="406" customFormat="1" ht="16.5" customHeight="1">
      <c r="B689" s="255"/>
      <c r="C689" s="255"/>
      <c r="D689" s="257"/>
      <c r="E689" s="257"/>
      <c r="F689" s="257"/>
      <c r="G689" s="252"/>
      <c r="H689" s="252"/>
      <c r="I689" s="252"/>
      <c r="J689" s="252"/>
      <c r="K689" s="252"/>
      <c r="L689" s="252"/>
      <c r="M689" s="253"/>
      <c r="N689" s="253"/>
      <c r="O689" s="258"/>
      <c r="P689" s="258"/>
      <c r="Q689" s="258"/>
      <c r="R689" s="258"/>
      <c r="S689" s="258"/>
      <c r="T689" s="258"/>
      <c r="U689" s="258"/>
      <c r="V689" s="258"/>
      <c r="W689" s="258"/>
      <c r="X689" s="258"/>
      <c r="Y689" s="258"/>
      <c r="Z689" s="258"/>
      <c r="AA689" s="258"/>
      <c r="AB689" s="258"/>
      <c r="AC689" s="407"/>
    </row>
    <row r="690" spans="2:29" s="406" customFormat="1" ht="16.5" customHeight="1">
      <c r="B690" s="255"/>
      <c r="C690" s="255"/>
      <c r="D690" s="257"/>
      <c r="E690" s="257"/>
      <c r="F690" s="257"/>
      <c r="G690" s="252"/>
      <c r="H690" s="252"/>
      <c r="I690" s="252"/>
      <c r="J690" s="252"/>
      <c r="K690" s="252"/>
      <c r="L690" s="252"/>
      <c r="M690" s="253"/>
      <c r="N690" s="253"/>
      <c r="O690" s="258"/>
      <c r="P690" s="258"/>
      <c r="Q690" s="258"/>
      <c r="R690" s="258"/>
      <c r="S690" s="258"/>
      <c r="T690" s="258"/>
      <c r="U690" s="258"/>
      <c r="V690" s="258"/>
      <c r="W690" s="258"/>
      <c r="X690" s="258"/>
      <c r="Y690" s="258"/>
      <c r="Z690" s="258"/>
      <c r="AA690" s="258"/>
      <c r="AB690" s="258"/>
      <c r="AC690" s="407"/>
    </row>
    <row r="691" spans="2:29" s="406" customFormat="1" ht="16.5" customHeight="1">
      <c r="B691" s="255"/>
      <c r="C691" s="255"/>
      <c r="D691" s="257"/>
      <c r="E691" s="257"/>
      <c r="F691" s="257"/>
      <c r="G691" s="252"/>
      <c r="H691" s="252"/>
      <c r="I691" s="252"/>
      <c r="J691" s="252"/>
      <c r="K691" s="252"/>
      <c r="L691" s="252"/>
      <c r="M691" s="253"/>
      <c r="N691" s="253"/>
      <c r="O691" s="258"/>
      <c r="P691" s="258"/>
      <c r="Q691" s="258"/>
      <c r="R691" s="258"/>
      <c r="S691" s="258"/>
      <c r="T691" s="258"/>
      <c r="U691" s="258"/>
      <c r="V691" s="258"/>
      <c r="W691" s="258"/>
      <c r="X691" s="258"/>
      <c r="Y691" s="258"/>
      <c r="Z691" s="258"/>
      <c r="AA691" s="258"/>
      <c r="AB691" s="258"/>
      <c r="AC691" s="407"/>
    </row>
    <row r="692" spans="2:29" s="406" customFormat="1" ht="16.5" customHeight="1">
      <c r="B692" s="255"/>
      <c r="C692" s="255"/>
      <c r="D692" s="257"/>
      <c r="E692" s="257"/>
      <c r="F692" s="257"/>
      <c r="G692" s="252"/>
      <c r="H692" s="252"/>
      <c r="I692" s="252"/>
      <c r="J692" s="252"/>
      <c r="K692" s="252"/>
      <c r="L692" s="252"/>
      <c r="M692" s="253"/>
      <c r="N692" s="253"/>
      <c r="O692" s="258"/>
      <c r="P692" s="258"/>
      <c r="Q692" s="258"/>
      <c r="R692" s="258"/>
      <c r="S692" s="258"/>
      <c r="T692" s="258"/>
      <c r="U692" s="258"/>
      <c r="V692" s="258"/>
      <c r="W692" s="258"/>
      <c r="X692" s="258"/>
      <c r="Y692" s="258"/>
      <c r="Z692" s="258"/>
      <c r="AA692" s="258"/>
      <c r="AB692" s="258"/>
      <c r="AC692" s="407"/>
    </row>
    <row r="693" spans="2:29" s="406" customFormat="1" ht="16.5" customHeight="1">
      <c r="B693" s="255"/>
      <c r="C693" s="255"/>
      <c r="D693" s="257"/>
      <c r="E693" s="257"/>
      <c r="F693" s="257"/>
      <c r="G693" s="252"/>
      <c r="H693" s="252"/>
      <c r="I693" s="252"/>
      <c r="J693" s="252"/>
      <c r="K693" s="252"/>
      <c r="L693" s="252"/>
      <c r="M693" s="253"/>
      <c r="N693" s="253"/>
      <c r="O693" s="258"/>
      <c r="P693" s="258"/>
      <c r="Q693" s="258"/>
      <c r="R693" s="258"/>
      <c r="S693" s="258"/>
      <c r="T693" s="258"/>
      <c r="U693" s="258"/>
      <c r="V693" s="258"/>
      <c r="W693" s="258"/>
      <c r="X693" s="258"/>
      <c r="Y693" s="258"/>
      <c r="Z693" s="258"/>
      <c r="AA693" s="258"/>
      <c r="AB693" s="258"/>
      <c r="AC693" s="407"/>
    </row>
    <row r="694" spans="2:29" s="406" customFormat="1" ht="16.5" customHeight="1">
      <c r="B694" s="255"/>
      <c r="C694" s="255"/>
      <c r="D694" s="257"/>
      <c r="E694" s="257"/>
      <c r="F694" s="257"/>
      <c r="G694" s="252"/>
      <c r="H694" s="252"/>
      <c r="I694" s="252"/>
      <c r="J694" s="252"/>
      <c r="K694" s="252"/>
      <c r="L694" s="252"/>
      <c r="M694" s="253"/>
      <c r="N694" s="253"/>
      <c r="O694" s="258"/>
      <c r="P694" s="258"/>
      <c r="Q694" s="258"/>
      <c r="R694" s="258"/>
      <c r="S694" s="258"/>
      <c r="T694" s="258"/>
      <c r="U694" s="258"/>
      <c r="V694" s="258"/>
      <c r="W694" s="258"/>
      <c r="X694" s="258"/>
      <c r="Y694" s="258"/>
      <c r="Z694" s="258"/>
      <c r="AA694" s="258"/>
      <c r="AB694" s="258"/>
      <c r="AC694" s="407"/>
    </row>
    <row r="695" spans="2:29" s="406" customFormat="1" ht="16.5" customHeight="1">
      <c r="B695" s="255"/>
      <c r="C695" s="255"/>
      <c r="D695" s="257"/>
      <c r="E695" s="257"/>
      <c r="F695" s="257"/>
      <c r="G695" s="252"/>
      <c r="H695" s="252"/>
      <c r="I695" s="252"/>
      <c r="J695" s="252"/>
      <c r="K695" s="252"/>
      <c r="L695" s="252"/>
      <c r="M695" s="253"/>
      <c r="N695" s="253"/>
      <c r="O695" s="258"/>
      <c r="P695" s="258"/>
      <c r="Q695" s="258"/>
      <c r="R695" s="258"/>
      <c r="S695" s="258"/>
      <c r="T695" s="258"/>
      <c r="U695" s="258"/>
      <c r="V695" s="258"/>
      <c r="W695" s="258"/>
      <c r="X695" s="258"/>
      <c r="Y695" s="258"/>
      <c r="Z695" s="258"/>
      <c r="AA695" s="258"/>
      <c r="AB695" s="258"/>
      <c r="AC695" s="407"/>
    </row>
    <row r="696" spans="2:29" s="406" customFormat="1" ht="16.5" customHeight="1">
      <c r="B696" s="255"/>
      <c r="C696" s="255"/>
      <c r="D696" s="257"/>
      <c r="E696" s="257"/>
      <c r="F696" s="257"/>
      <c r="G696" s="252"/>
      <c r="H696" s="252"/>
      <c r="I696" s="252"/>
      <c r="J696" s="252"/>
      <c r="K696" s="252"/>
      <c r="L696" s="252"/>
      <c r="M696" s="253"/>
      <c r="N696" s="253"/>
      <c r="O696" s="258"/>
      <c r="P696" s="258"/>
      <c r="Q696" s="258"/>
      <c r="R696" s="258"/>
      <c r="S696" s="258"/>
      <c r="T696" s="258"/>
      <c r="U696" s="258"/>
      <c r="V696" s="258"/>
      <c r="W696" s="258"/>
      <c r="X696" s="258"/>
      <c r="Y696" s="258"/>
      <c r="Z696" s="258"/>
      <c r="AA696" s="258"/>
      <c r="AB696" s="258"/>
      <c r="AC696" s="407"/>
    </row>
    <row r="697" spans="2:29" s="406" customFormat="1" ht="16.5" customHeight="1">
      <c r="B697" s="255"/>
      <c r="C697" s="255"/>
      <c r="D697" s="257"/>
      <c r="E697" s="257"/>
      <c r="F697" s="257"/>
      <c r="G697" s="252"/>
      <c r="H697" s="252"/>
      <c r="I697" s="252"/>
      <c r="J697" s="252"/>
      <c r="K697" s="252"/>
      <c r="L697" s="252"/>
      <c r="M697" s="253"/>
      <c r="N697" s="253"/>
      <c r="O697" s="258"/>
      <c r="P697" s="258"/>
      <c r="Q697" s="258"/>
      <c r="R697" s="258"/>
      <c r="S697" s="258"/>
      <c r="T697" s="258"/>
      <c r="U697" s="258"/>
      <c r="V697" s="258"/>
      <c r="W697" s="258"/>
      <c r="X697" s="258"/>
      <c r="Y697" s="258"/>
      <c r="Z697" s="258"/>
      <c r="AA697" s="258"/>
      <c r="AB697" s="258"/>
      <c r="AC697" s="407"/>
    </row>
    <row r="698" spans="2:29" s="406" customFormat="1" ht="16.5" customHeight="1">
      <c r="B698" s="255"/>
      <c r="C698" s="255"/>
      <c r="D698" s="257"/>
      <c r="E698" s="257"/>
      <c r="F698" s="257"/>
      <c r="G698" s="252"/>
      <c r="H698" s="252"/>
      <c r="I698" s="252"/>
      <c r="J698" s="252"/>
      <c r="K698" s="252"/>
      <c r="L698" s="252"/>
      <c r="M698" s="253"/>
      <c r="N698" s="253"/>
      <c r="O698" s="258"/>
      <c r="P698" s="258"/>
      <c r="Q698" s="258"/>
      <c r="R698" s="258"/>
      <c r="S698" s="258"/>
      <c r="T698" s="258"/>
      <c r="U698" s="258"/>
      <c r="V698" s="258"/>
      <c r="W698" s="258"/>
      <c r="X698" s="258"/>
      <c r="Y698" s="258"/>
      <c r="Z698" s="258"/>
      <c r="AA698" s="258"/>
      <c r="AB698" s="258"/>
      <c r="AC698" s="407"/>
    </row>
    <row r="699" spans="2:29" s="406" customFormat="1" ht="16.5" customHeight="1">
      <c r="B699" s="255"/>
      <c r="C699" s="255"/>
      <c r="D699" s="257"/>
      <c r="E699" s="257"/>
      <c r="F699" s="257"/>
      <c r="G699" s="252"/>
      <c r="H699" s="252"/>
      <c r="I699" s="252"/>
      <c r="J699" s="252"/>
      <c r="K699" s="252"/>
      <c r="L699" s="252"/>
      <c r="M699" s="253"/>
      <c r="N699" s="253"/>
      <c r="O699" s="258"/>
      <c r="P699" s="258"/>
      <c r="Q699" s="258"/>
      <c r="R699" s="258"/>
      <c r="S699" s="258"/>
      <c r="T699" s="258"/>
      <c r="U699" s="258"/>
      <c r="V699" s="258"/>
      <c r="W699" s="258"/>
      <c r="X699" s="258"/>
      <c r="Y699" s="258"/>
      <c r="Z699" s="258"/>
      <c r="AA699" s="258"/>
      <c r="AB699" s="258"/>
      <c r="AC699" s="407"/>
    </row>
    <row r="700" spans="2:29" s="406" customFormat="1" ht="16.5" customHeight="1">
      <c r="B700" s="255"/>
      <c r="C700" s="255"/>
      <c r="D700" s="257"/>
      <c r="E700" s="257"/>
      <c r="F700" s="257"/>
      <c r="G700" s="252"/>
      <c r="H700" s="252"/>
      <c r="I700" s="252"/>
      <c r="J700" s="252"/>
      <c r="K700" s="252"/>
      <c r="L700" s="252"/>
      <c r="M700" s="253"/>
      <c r="N700" s="253"/>
      <c r="O700" s="258"/>
      <c r="P700" s="258"/>
      <c r="Q700" s="258"/>
      <c r="R700" s="258"/>
      <c r="S700" s="258"/>
      <c r="T700" s="258"/>
      <c r="U700" s="258"/>
      <c r="V700" s="258"/>
      <c r="W700" s="258"/>
      <c r="X700" s="258"/>
      <c r="Y700" s="258"/>
      <c r="Z700" s="258"/>
      <c r="AA700" s="258"/>
      <c r="AB700" s="258"/>
      <c r="AC700" s="407"/>
    </row>
    <row r="701" spans="2:29" s="406" customFormat="1" ht="16.5" customHeight="1">
      <c r="B701" s="255"/>
      <c r="C701" s="255"/>
      <c r="D701" s="257"/>
      <c r="E701" s="257"/>
      <c r="F701" s="257"/>
      <c r="G701" s="252"/>
      <c r="H701" s="252"/>
      <c r="I701" s="252"/>
      <c r="J701" s="252"/>
      <c r="K701" s="252"/>
      <c r="L701" s="252"/>
      <c r="M701" s="253"/>
      <c r="N701" s="253"/>
      <c r="O701" s="258"/>
      <c r="P701" s="258"/>
      <c r="Q701" s="258"/>
      <c r="R701" s="258"/>
      <c r="S701" s="258"/>
      <c r="T701" s="258"/>
      <c r="U701" s="258"/>
      <c r="V701" s="258"/>
      <c r="W701" s="258"/>
      <c r="X701" s="258"/>
      <c r="Y701" s="258"/>
      <c r="Z701" s="258"/>
      <c r="AA701" s="258"/>
      <c r="AB701" s="258"/>
      <c r="AC701" s="407"/>
    </row>
    <row r="702" spans="2:29" s="406" customFormat="1" ht="16.5" customHeight="1">
      <c r="B702" s="255"/>
      <c r="C702" s="255"/>
      <c r="D702" s="257"/>
      <c r="E702" s="257"/>
      <c r="F702" s="257"/>
      <c r="G702" s="252"/>
      <c r="H702" s="252"/>
      <c r="I702" s="252"/>
      <c r="J702" s="252"/>
      <c r="K702" s="252"/>
      <c r="L702" s="252"/>
      <c r="M702" s="253"/>
      <c r="N702" s="253"/>
      <c r="O702" s="258"/>
      <c r="P702" s="258"/>
      <c r="Q702" s="258"/>
      <c r="R702" s="258"/>
      <c r="S702" s="258"/>
      <c r="T702" s="258"/>
      <c r="U702" s="258"/>
      <c r="V702" s="258"/>
      <c r="W702" s="258"/>
      <c r="X702" s="258"/>
      <c r="Y702" s="258"/>
      <c r="Z702" s="258"/>
      <c r="AA702" s="258"/>
      <c r="AB702" s="258"/>
      <c r="AC702" s="407"/>
    </row>
    <row r="703" spans="2:29" s="406" customFormat="1" ht="16.5" customHeight="1">
      <c r="B703" s="255"/>
      <c r="C703" s="255"/>
      <c r="D703" s="257"/>
      <c r="E703" s="257"/>
      <c r="F703" s="257"/>
      <c r="G703" s="252"/>
      <c r="H703" s="252"/>
      <c r="I703" s="252"/>
      <c r="J703" s="252"/>
      <c r="K703" s="252"/>
      <c r="L703" s="252"/>
      <c r="M703" s="253"/>
      <c r="N703" s="253"/>
      <c r="O703" s="258"/>
      <c r="P703" s="258"/>
      <c r="Q703" s="258"/>
      <c r="R703" s="258"/>
      <c r="S703" s="258"/>
      <c r="T703" s="258"/>
      <c r="U703" s="258"/>
      <c r="V703" s="258"/>
      <c r="W703" s="258"/>
      <c r="X703" s="258"/>
      <c r="Y703" s="258"/>
      <c r="Z703" s="258"/>
      <c r="AA703" s="258"/>
      <c r="AB703" s="258"/>
      <c r="AC703" s="407"/>
    </row>
    <row r="704" spans="2:29" s="406" customFormat="1" ht="16.5" customHeight="1">
      <c r="B704" s="255"/>
      <c r="C704" s="255"/>
      <c r="D704" s="257"/>
      <c r="E704" s="257"/>
      <c r="F704" s="257"/>
      <c r="G704" s="252"/>
      <c r="H704" s="252"/>
      <c r="I704" s="252"/>
      <c r="J704" s="252"/>
      <c r="K704" s="252"/>
      <c r="L704" s="252"/>
      <c r="M704" s="253"/>
      <c r="N704" s="253"/>
      <c r="O704" s="258"/>
      <c r="P704" s="258"/>
      <c r="Q704" s="258"/>
      <c r="R704" s="258"/>
      <c r="S704" s="258"/>
      <c r="T704" s="258"/>
      <c r="U704" s="258"/>
      <c r="V704" s="258"/>
      <c r="W704" s="258"/>
      <c r="X704" s="258"/>
      <c r="Y704" s="258"/>
      <c r="Z704" s="258"/>
      <c r="AA704" s="258"/>
      <c r="AB704" s="258"/>
      <c r="AC704" s="407"/>
    </row>
    <row r="705" spans="2:29" s="406" customFormat="1" ht="16.5" customHeight="1">
      <c r="B705" s="255"/>
      <c r="C705" s="255"/>
      <c r="D705" s="257"/>
      <c r="E705" s="257"/>
      <c r="F705" s="257"/>
      <c r="G705" s="252"/>
      <c r="H705" s="252"/>
      <c r="I705" s="252"/>
      <c r="J705" s="252"/>
      <c r="K705" s="252"/>
      <c r="L705" s="252"/>
      <c r="M705" s="253"/>
      <c r="N705" s="253"/>
      <c r="O705" s="258"/>
      <c r="P705" s="258"/>
      <c r="Q705" s="258"/>
      <c r="R705" s="258"/>
      <c r="S705" s="258"/>
      <c r="T705" s="258"/>
      <c r="U705" s="258"/>
      <c r="V705" s="258"/>
      <c r="W705" s="258"/>
      <c r="X705" s="258"/>
      <c r="Y705" s="258"/>
      <c r="Z705" s="258"/>
      <c r="AA705" s="258"/>
      <c r="AB705" s="258"/>
      <c r="AC705" s="407"/>
    </row>
    <row r="706" spans="2:29" s="406" customFormat="1" ht="16.5" customHeight="1">
      <c r="B706" s="255"/>
      <c r="C706" s="255"/>
      <c r="D706" s="257"/>
      <c r="E706" s="257"/>
      <c r="F706" s="257"/>
      <c r="G706" s="252"/>
      <c r="H706" s="252"/>
      <c r="I706" s="252"/>
      <c r="J706" s="252"/>
      <c r="K706" s="252"/>
      <c r="L706" s="252"/>
      <c r="M706" s="253"/>
      <c r="N706" s="253"/>
      <c r="O706" s="258"/>
      <c r="P706" s="258"/>
      <c r="Q706" s="258"/>
      <c r="R706" s="258"/>
      <c r="S706" s="258"/>
      <c r="T706" s="258"/>
      <c r="U706" s="258"/>
      <c r="V706" s="258"/>
      <c r="W706" s="258"/>
      <c r="X706" s="258"/>
      <c r="Y706" s="258"/>
      <c r="Z706" s="258"/>
      <c r="AA706" s="258"/>
      <c r="AB706" s="258"/>
      <c r="AC706" s="407"/>
    </row>
    <row r="707" spans="2:29" s="406" customFormat="1" ht="16.5" customHeight="1">
      <c r="B707" s="255"/>
      <c r="C707" s="255"/>
      <c r="D707" s="257"/>
      <c r="E707" s="257"/>
      <c r="F707" s="257"/>
      <c r="G707" s="252"/>
      <c r="H707" s="252"/>
      <c r="I707" s="252"/>
      <c r="J707" s="252"/>
      <c r="K707" s="252"/>
      <c r="L707" s="252"/>
      <c r="M707" s="253"/>
      <c r="N707" s="253"/>
      <c r="O707" s="258"/>
      <c r="P707" s="258"/>
      <c r="Q707" s="258"/>
      <c r="R707" s="258"/>
      <c r="S707" s="258"/>
      <c r="T707" s="258"/>
      <c r="U707" s="258"/>
      <c r="V707" s="258"/>
      <c r="W707" s="258"/>
      <c r="X707" s="258"/>
      <c r="Y707" s="258"/>
      <c r="Z707" s="258"/>
      <c r="AA707" s="258"/>
      <c r="AB707" s="258"/>
      <c r="AC707" s="407"/>
    </row>
    <row r="708" spans="2:29" s="406" customFormat="1" ht="16.5" customHeight="1">
      <c r="B708" s="255"/>
      <c r="C708" s="255"/>
      <c r="D708" s="257"/>
      <c r="E708" s="257"/>
      <c r="F708" s="257"/>
      <c r="G708" s="252"/>
      <c r="H708" s="252"/>
      <c r="I708" s="252"/>
      <c r="J708" s="252"/>
      <c r="K708" s="252"/>
      <c r="L708" s="252"/>
      <c r="M708" s="253"/>
      <c r="N708" s="253"/>
      <c r="O708" s="258"/>
      <c r="P708" s="258"/>
      <c r="Q708" s="258"/>
      <c r="R708" s="258"/>
      <c r="S708" s="258"/>
      <c r="T708" s="258"/>
      <c r="U708" s="258"/>
      <c r="V708" s="258"/>
      <c r="W708" s="258"/>
      <c r="X708" s="258"/>
      <c r="Y708" s="258"/>
      <c r="Z708" s="258"/>
      <c r="AA708" s="258"/>
      <c r="AB708" s="258"/>
      <c r="AC708" s="407"/>
    </row>
    <row r="709" spans="2:29" s="406" customFormat="1" ht="16.5" customHeight="1">
      <c r="B709" s="255"/>
      <c r="C709" s="255"/>
      <c r="D709" s="257"/>
      <c r="E709" s="257"/>
      <c r="F709" s="257"/>
      <c r="G709" s="252"/>
      <c r="H709" s="252"/>
      <c r="I709" s="252"/>
      <c r="J709" s="252"/>
      <c r="K709" s="252"/>
      <c r="L709" s="252"/>
      <c r="M709" s="253"/>
      <c r="N709" s="253"/>
      <c r="O709" s="258"/>
      <c r="P709" s="258"/>
      <c r="Q709" s="258"/>
      <c r="R709" s="258"/>
      <c r="S709" s="258"/>
      <c r="T709" s="258"/>
      <c r="U709" s="258"/>
      <c r="V709" s="258"/>
      <c r="W709" s="258"/>
      <c r="X709" s="258"/>
      <c r="Y709" s="258"/>
      <c r="Z709" s="258"/>
      <c r="AA709" s="258"/>
      <c r="AB709" s="258"/>
      <c r="AC709" s="407"/>
    </row>
    <row r="710" spans="2:29" s="406" customFormat="1" ht="16.5" customHeight="1">
      <c r="B710" s="255"/>
      <c r="C710" s="255"/>
      <c r="D710" s="257"/>
      <c r="E710" s="257"/>
      <c r="F710" s="257"/>
      <c r="G710" s="252"/>
      <c r="H710" s="252"/>
      <c r="I710" s="252"/>
      <c r="J710" s="252"/>
      <c r="K710" s="252"/>
      <c r="L710" s="252"/>
      <c r="M710" s="253"/>
      <c r="N710" s="253"/>
      <c r="O710" s="258"/>
      <c r="P710" s="258"/>
      <c r="Q710" s="258"/>
      <c r="R710" s="258"/>
      <c r="S710" s="258"/>
      <c r="T710" s="258"/>
      <c r="U710" s="258"/>
      <c r="V710" s="258"/>
      <c r="W710" s="258"/>
      <c r="X710" s="258"/>
      <c r="Y710" s="258"/>
      <c r="Z710" s="258"/>
      <c r="AA710" s="258"/>
      <c r="AB710" s="258"/>
      <c r="AC710" s="407"/>
    </row>
    <row r="711" spans="2:29" s="406" customFormat="1" ht="16.5" customHeight="1">
      <c r="B711" s="255"/>
      <c r="C711" s="255"/>
      <c r="D711" s="257"/>
      <c r="E711" s="257"/>
      <c r="F711" s="257"/>
      <c r="G711" s="252"/>
      <c r="H711" s="252"/>
      <c r="I711" s="252"/>
      <c r="J711" s="252"/>
      <c r="K711" s="252"/>
      <c r="L711" s="252"/>
      <c r="M711" s="253"/>
      <c r="N711" s="253"/>
      <c r="O711" s="258"/>
      <c r="P711" s="258"/>
      <c r="Q711" s="258"/>
      <c r="R711" s="258"/>
      <c r="S711" s="258"/>
      <c r="T711" s="258"/>
      <c r="U711" s="258"/>
      <c r="V711" s="258"/>
      <c r="W711" s="258"/>
      <c r="X711" s="258"/>
      <c r="Y711" s="258"/>
      <c r="Z711" s="258"/>
      <c r="AA711" s="258"/>
      <c r="AB711" s="258"/>
      <c r="AC711" s="407"/>
    </row>
    <row r="712" spans="2:29" s="406" customFormat="1" ht="16.5" customHeight="1">
      <c r="B712" s="255"/>
      <c r="C712" s="255"/>
      <c r="D712" s="257"/>
      <c r="E712" s="257"/>
      <c r="F712" s="257"/>
      <c r="G712" s="252"/>
      <c r="H712" s="252"/>
      <c r="I712" s="252"/>
      <c r="J712" s="252"/>
      <c r="K712" s="252"/>
      <c r="L712" s="252"/>
      <c r="M712" s="253"/>
      <c r="N712" s="253"/>
      <c r="O712" s="258"/>
      <c r="P712" s="258"/>
      <c r="Q712" s="258"/>
      <c r="R712" s="258"/>
      <c r="S712" s="258"/>
      <c r="T712" s="258"/>
      <c r="U712" s="258"/>
      <c r="V712" s="258"/>
      <c r="W712" s="258"/>
      <c r="X712" s="258"/>
      <c r="Y712" s="258"/>
      <c r="Z712" s="258"/>
      <c r="AA712" s="258"/>
      <c r="AB712" s="258"/>
      <c r="AC712" s="407"/>
    </row>
    <row r="713" spans="2:29" s="406" customFormat="1" ht="16.5" customHeight="1">
      <c r="B713" s="255"/>
      <c r="C713" s="255"/>
      <c r="D713" s="257"/>
      <c r="E713" s="257"/>
      <c r="F713" s="257"/>
      <c r="G713" s="252"/>
      <c r="H713" s="252"/>
      <c r="I713" s="252"/>
      <c r="J713" s="252"/>
      <c r="K713" s="252"/>
      <c r="L713" s="252"/>
      <c r="M713" s="253"/>
      <c r="N713" s="253"/>
      <c r="O713" s="258"/>
      <c r="P713" s="258"/>
      <c r="Q713" s="258"/>
      <c r="R713" s="258"/>
      <c r="S713" s="258"/>
      <c r="T713" s="258"/>
      <c r="U713" s="258"/>
      <c r="V713" s="258"/>
      <c r="W713" s="258"/>
      <c r="X713" s="258"/>
      <c r="Y713" s="258"/>
      <c r="Z713" s="258"/>
      <c r="AA713" s="258"/>
      <c r="AB713" s="258"/>
      <c r="AC713" s="407"/>
    </row>
    <row r="714" spans="2:29" s="406" customFormat="1" ht="16.5" customHeight="1">
      <c r="B714" s="255"/>
      <c r="C714" s="255"/>
      <c r="D714" s="257"/>
      <c r="E714" s="257"/>
      <c r="F714" s="257"/>
      <c r="G714" s="252"/>
      <c r="H714" s="252"/>
      <c r="I714" s="252"/>
      <c r="J714" s="252"/>
      <c r="K714" s="252"/>
      <c r="L714" s="252"/>
      <c r="M714" s="253"/>
      <c r="N714" s="253"/>
      <c r="O714" s="258"/>
      <c r="P714" s="258"/>
      <c r="Q714" s="258"/>
      <c r="R714" s="258"/>
      <c r="S714" s="258"/>
      <c r="T714" s="258"/>
      <c r="U714" s="258"/>
      <c r="V714" s="258"/>
      <c r="W714" s="258"/>
      <c r="X714" s="258"/>
      <c r="Y714" s="258"/>
      <c r="Z714" s="258"/>
      <c r="AA714" s="258"/>
      <c r="AB714" s="258"/>
      <c r="AC714" s="407"/>
    </row>
    <row r="715" spans="2:29" s="406" customFormat="1" ht="16.5" customHeight="1">
      <c r="B715" s="255"/>
      <c r="C715" s="255"/>
      <c r="D715" s="257"/>
      <c r="E715" s="257"/>
      <c r="F715" s="257"/>
      <c r="G715" s="252"/>
      <c r="H715" s="252"/>
      <c r="I715" s="252"/>
      <c r="J715" s="252"/>
      <c r="K715" s="252"/>
      <c r="L715" s="252"/>
      <c r="M715" s="253"/>
      <c r="N715" s="253"/>
      <c r="O715" s="258"/>
      <c r="P715" s="258"/>
      <c r="Q715" s="258"/>
      <c r="R715" s="258"/>
      <c r="S715" s="258"/>
      <c r="T715" s="258"/>
      <c r="U715" s="258"/>
      <c r="V715" s="258"/>
      <c r="W715" s="258"/>
      <c r="X715" s="258"/>
      <c r="Y715" s="258"/>
      <c r="Z715" s="258"/>
      <c r="AA715" s="258"/>
      <c r="AB715" s="258"/>
      <c r="AC715" s="407"/>
    </row>
    <row r="716" spans="2:29" s="406" customFormat="1" ht="16.5" customHeight="1">
      <c r="B716" s="255"/>
      <c r="C716" s="255"/>
      <c r="D716" s="257"/>
      <c r="E716" s="257"/>
      <c r="F716" s="257"/>
      <c r="G716" s="252"/>
      <c r="H716" s="252"/>
      <c r="I716" s="252"/>
      <c r="J716" s="252"/>
      <c r="K716" s="252"/>
      <c r="L716" s="252"/>
      <c r="M716" s="253"/>
      <c r="N716" s="253"/>
      <c r="O716" s="258"/>
      <c r="P716" s="258"/>
      <c r="Q716" s="258"/>
      <c r="R716" s="258"/>
      <c r="S716" s="258"/>
      <c r="T716" s="258"/>
      <c r="U716" s="258"/>
      <c r="V716" s="258"/>
      <c r="W716" s="258"/>
      <c r="X716" s="258"/>
      <c r="Y716" s="258"/>
      <c r="Z716" s="258"/>
      <c r="AA716" s="258"/>
      <c r="AB716" s="258"/>
      <c r="AC716" s="407"/>
    </row>
    <row r="717" spans="2:29" s="406" customFormat="1" ht="16.5" customHeight="1">
      <c r="B717" s="255"/>
      <c r="C717" s="255"/>
      <c r="D717" s="257"/>
      <c r="E717" s="257"/>
      <c r="F717" s="257"/>
      <c r="G717" s="252"/>
      <c r="H717" s="252"/>
      <c r="I717" s="252"/>
      <c r="J717" s="252"/>
      <c r="K717" s="252"/>
      <c r="L717" s="252"/>
      <c r="M717" s="253"/>
      <c r="N717" s="253"/>
      <c r="O717" s="258"/>
      <c r="P717" s="258"/>
      <c r="Q717" s="258"/>
      <c r="R717" s="258"/>
      <c r="S717" s="258"/>
      <c r="T717" s="258"/>
      <c r="U717" s="258"/>
      <c r="V717" s="258"/>
      <c r="W717" s="258"/>
      <c r="X717" s="258"/>
      <c r="Y717" s="258"/>
      <c r="Z717" s="258"/>
      <c r="AA717" s="258"/>
      <c r="AB717" s="258"/>
      <c r="AC717" s="407"/>
    </row>
    <row r="718" spans="2:29" s="406" customFormat="1" ht="16.5" customHeight="1">
      <c r="B718" s="255"/>
      <c r="C718" s="255"/>
      <c r="D718" s="257"/>
      <c r="E718" s="257"/>
      <c r="F718" s="257"/>
      <c r="G718" s="252"/>
      <c r="H718" s="252"/>
      <c r="I718" s="252"/>
      <c r="J718" s="252"/>
      <c r="K718" s="252"/>
      <c r="L718" s="252"/>
      <c r="M718" s="253"/>
      <c r="N718" s="253"/>
      <c r="O718" s="258"/>
      <c r="P718" s="258"/>
      <c r="Q718" s="258"/>
      <c r="R718" s="258"/>
      <c r="S718" s="258"/>
      <c r="T718" s="258"/>
      <c r="U718" s="258"/>
      <c r="V718" s="258"/>
      <c r="W718" s="258"/>
      <c r="X718" s="258"/>
      <c r="Y718" s="258"/>
      <c r="Z718" s="258"/>
      <c r="AA718" s="258"/>
      <c r="AB718" s="258"/>
      <c r="AC718" s="407"/>
    </row>
    <row r="719" spans="2:29" s="406" customFormat="1" ht="16.5" customHeight="1">
      <c r="B719" s="255"/>
      <c r="C719" s="255"/>
      <c r="D719" s="257"/>
      <c r="E719" s="257"/>
      <c r="F719" s="257"/>
      <c r="G719" s="252"/>
      <c r="H719" s="252"/>
      <c r="I719" s="252"/>
      <c r="J719" s="252"/>
      <c r="K719" s="252"/>
      <c r="L719" s="252"/>
      <c r="M719" s="253"/>
      <c r="N719" s="253"/>
      <c r="O719" s="258"/>
      <c r="P719" s="258"/>
      <c r="Q719" s="258"/>
      <c r="R719" s="258"/>
      <c r="S719" s="258"/>
      <c r="T719" s="258"/>
      <c r="U719" s="258"/>
      <c r="V719" s="258"/>
      <c r="W719" s="258"/>
      <c r="X719" s="258"/>
      <c r="Y719" s="258"/>
      <c r="Z719" s="258"/>
      <c r="AA719" s="258"/>
      <c r="AB719" s="258"/>
      <c r="AC719" s="407"/>
    </row>
    <row r="720" spans="2:29" s="406" customFormat="1" ht="16.5" customHeight="1">
      <c r="B720" s="255"/>
      <c r="C720" s="255"/>
      <c r="D720" s="257"/>
      <c r="E720" s="257"/>
      <c r="F720" s="257"/>
      <c r="G720" s="252"/>
      <c r="H720" s="252"/>
      <c r="I720" s="252"/>
      <c r="J720" s="252"/>
      <c r="K720" s="252"/>
      <c r="L720" s="252"/>
      <c r="M720" s="253"/>
      <c r="N720" s="253"/>
      <c r="O720" s="258"/>
      <c r="P720" s="258"/>
      <c r="Q720" s="258"/>
      <c r="R720" s="258"/>
      <c r="S720" s="258"/>
      <c r="T720" s="258"/>
      <c r="U720" s="258"/>
      <c r="V720" s="258"/>
      <c r="W720" s="258"/>
      <c r="X720" s="258"/>
      <c r="Y720" s="258"/>
      <c r="Z720" s="258"/>
      <c r="AA720" s="258"/>
      <c r="AB720" s="258"/>
      <c r="AC720" s="407"/>
    </row>
    <row r="721" spans="2:29" s="406" customFormat="1" ht="16.5" customHeight="1">
      <c r="B721" s="255"/>
      <c r="C721" s="255"/>
      <c r="D721" s="257"/>
      <c r="E721" s="257"/>
      <c r="F721" s="257"/>
      <c r="G721" s="252"/>
      <c r="H721" s="252"/>
      <c r="I721" s="252"/>
      <c r="J721" s="252"/>
      <c r="K721" s="252"/>
      <c r="L721" s="252"/>
      <c r="M721" s="253"/>
      <c r="N721" s="253"/>
      <c r="O721" s="258"/>
      <c r="P721" s="258"/>
      <c r="Q721" s="258"/>
      <c r="R721" s="258"/>
      <c r="S721" s="258"/>
      <c r="T721" s="258"/>
      <c r="U721" s="258"/>
      <c r="V721" s="258"/>
      <c r="W721" s="258"/>
      <c r="X721" s="258"/>
      <c r="Y721" s="258"/>
      <c r="Z721" s="258"/>
      <c r="AA721" s="258"/>
      <c r="AB721" s="258"/>
      <c r="AC721" s="407"/>
    </row>
    <row r="722" spans="2:29" s="406" customFormat="1" ht="16.5" customHeight="1">
      <c r="B722" s="255"/>
      <c r="C722" s="255"/>
      <c r="D722" s="257"/>
      <c r="E722" s="257"/>
      <c r="F722" s="257"/>
      <c r="G722" s="252"/>
      <c r="H722" s="252"/>
      <c r="I722" s="252"/>
      <c r="J722" s="252"/>
      <c r="K722" s="252"/>
      <c r="L722" s="252"/>
      <c r="M722" s="253"/>
      <c r="N722" s="253"/>
      <c r="O722" s="258"/>
      <c r="P722" s="258"/>
      <c r="Q722" s="258"/>
      <c r="R722" s="258"/>
      <c r="S722" s="258"/>
      <c r="T722" s="258"/>
      <c r="U722" s="258"/>
      <c r="V722" s="258"/>
      <c r="W722" s="258"/>
      <c r="X722" s="258"/>
      <c r="Y722" s="258"/>
      <c r="Z722" s="258"/>
      <c r="AA722" s="258"/>
      <c r="AB722" s="258"/>
      <c r="AC722" s="407"/>
    </row>
    <row r="723" spans="2:29" s="406" customFormat="1" ht="16.5" customHeight="1">
      <c r="B723" s="255"/>
      <c r="C723" s="255"/>
      <c r="D723" s="257"/>
      <c r="E723" s="257"/>
      <c r="F723" s="257"/>
      <c r="G723" s="252"/>
      <c r="H723" s="252"/>
      <c r="I723" s="252"/>
      <c r="J723" s="252"/>
      <c r="K723" s="252"/>
      <c r="L723" s="252"/>
      <c r="M723" s="253"/>
      <c r="N723" s="253"/>
      <c r="O723" s="258"/>
      <c r="P723" s="258"/>
      <c r="Q723" s="258"/>
      <c r="R723" s="258"/>
      <c r="S723" s="258"/>
      <c r="T723" s="258"/>
      <c r="U723" s="258"/>
      <c r="V723" s="258"/>
      <c r="W723" s="258"/>
      <c r="X723" s="258"/>
      <c r="Y723" s="258"/>
      <c r="Z723" s="258"/>
      <c r="AA723" s="258"/>
      <c r="AB723" s="258"/>
      <c r="AC723" s="407"/>
    </row>
    <row r="724" spans="2:29" s="406" customFormat="1" ht="16.5" customHeight="1">
      <c r="B724" s="255"/>
      <c r="C724" s="255"/>
      <c r="D724" s="257"/>
      <c r="E724" s="257"/>
      <c r="F724" s="257"/>
      <c r="G724" s="252"/>
      <c r="H724" s="252"/>
      <c r="I724" s="252"/>
      <c r="J724" s="252"/>
      <c r="K724" s="252"/>
      <c r="L724" s="252"/>
      <c r="M724" s="253"/>
      <c r="N724" s="253"/>
      <c r="O724" s="258"/>
      <c r="P724" s="258"/>
      <c r="Q724" s="258"/>
      <c r="R724" s="258"/>
      <c r="S724" s="258"/>
      <c r="T724" s="258"/>
      <c r="U724" s="258"/>
      <c r="V724" s="258"/>
      <c r="W724" s="258"/>
      <c r="X724" s="258"/>
      <c r="Y724" s="258"/>
      <c r="Z724" s="258"/>
      <c r="AA724" s="258"/>
      <c r="AB724" s="258"/>
      <c r="AC724" s="407"/>
    </row>
    <row r="725" spans="2:29" s="406" customFormat="1" ht="16.5" customHeight="1">
      <c r="B725" s="255"/>
      <c r="C725" s="255"/>
      <c r="D725" s="257"/>
      <c r="E725" s="257"/>
      <c r="F725" s="257"/>
      <c r="G725" s="252"/>
      <c r="H725" s="252"/>
      <c r="I725" s="252"/>
      <c r="J725" s="252"/>
      <c r="K725" s="252"/>
      <c r="L725" s="252"/>
      <c r="M725" s="253"/>
      <c r="N725" s="253"/>
      <c r="O725" s="258"/>
      <c r="P725" s="258"/>
      <c r="Q725" s="258"/>
      <c r="R725" s="258"/>
      <c r="S725" s="258"/>
      <c r="T725" s="258"/>
      <c r="U725" s="258"/>
      <c r="V725" s="258"/>
      <c r="W725" s="258"/>
      <c r="X725" s="258"/>
      <c r="Y725" s="258"/>
      <c r="Z725" s="258"/>
      <c r="AA725" s="258"/>
      <c r="AB725" s="258"/>
      <c r="AC725" s="407"/>
    </row>
    <row r="726" spans="2:29" s="406" customFormat="1" ht="16.5" customHeight="1">
      <c r="B726" s="255"/>
      <c r="C726" s="255"/>
      <c r="D726" s="257"/>
      <c r="E726" s="257"/>
      <c r="F726" s="257"/>
      <c r="G726" s="252"/>
      <c r="H726" s="252"/>
      <c r="I726" s="252"/>
      <c r="J726" s="252"/>
      <c r="K726" s="252"/>
      <c r="L726" s="252"/>
      <c r="M726" s="253"/>
      <c r="N726" s="253"/>
      <c r="O726" s="258"/>
      <c r="P726" s="258"/>
      <c r="Q726" s="258"/>
      <c r="R726" s="258"/>
      <c r="S726" s="258"/>
      <c r="T726" s="258"/>
      <c r="U726" s="258"/>
      <c r="V726" s="258"/>
      <c r="W726" s="258"/>
      <c r="X726" s="258"/>
      <c r="Y726" s="258"/>
      <c r="Z726" s="258"/>
      <c r="AA726" s="258"/>
      <c r="AB726" s="258"/>
      <c r="AC726" s="407"/>
    </row>
    <row r="727" spans="2:29" s="406" customFormat="1" ht="16.5" customHeight="1">
      <c r="B727" s="255"/>
      <c r="C727" s="255"/>
      <c r="D727" s="257"/>
      <c r="E727" s="257"/>
      <c r="F727" s="257"/>
      <c r="G727" s="252"/>
      <c r="H727" s="252"/>
      <c r="I727" s="252"/>
      <c r="J727" s="252"/>
      <c r="K727" s="252"/>
      <c r="L727" s="252"/>
      <c r="M727" s="253"/>
      <c r="N727" s="253"/>
      <c r="O727" s="258"/>
      <c r="P727" s="258"/>
      <c r="Q727" s="258"/>
      <c r="R727" s="258"/>
      <c r="S727" s="258"/>
      <c r="T727" s="258"/>
      <c r="U727" s="258"/>
      <c r="V727" s="258"/>
      <c r="W727" s="258"/>
      <c r="X727" s="258"/>
      <c r="Y727" s="258"/>
      <c r="Z727" s="258"/>
      <c r="AA727" s="258"/>
      <c r="AB727" s="258"/>
      <c r="AC727" s="407"/>
    </row>
    <row r="728" spans="2:29" s="406" customFormat="1" ht="16.5" customHeight="1">
      <c r="B728" s="255"/>
      <c r="C728" s="255"/>
      <c r="D728" s="257"/>
      <c r="E728" s="257"/>
      <c r="F728" s="257"/>
      <c r="G728" s="252"/>
      <c r="H728" s="252"/>
      <c r="I728" s="252"/>
      <c r="J728" s="252"/>
      <c r="K728" s="252"/>
      <c r="L728" s="252"/>
      <c r="M728" s="253"/>
      <c r="N728" s="253"/>
      <c r="O728" s="258"/>
      <c r="P728" s="258"/>
      <c r="Q728" s="258"/>
      <c r="R728" s="258"/>
      <c r="S728" s="258"/>
      <c r="T728" s="258"/>
      <c r="U728" s="258"/>
      <c r="V728" s="258"/>
      <c r="W728" s="258"/>
      <c r="X728" s="258"/>
      <c r="Y728" s="258"/>
      <c r="Z728" s="258"/>
      <c r="AA728" s="258"/>
      <c r="AB728" s="258"/>
      <c r="AC728" s="407"/>
    </row>
    <row r="729" spans="2:29" s="406" customFormat="1" ht="16.5" customHeight="1">
      <c r="B729" s="255"/>
      <c r="C729" s="255"/>
      <c r="D729" s="257"/>
      <c r="E729" s="257"/>
      <c r="F729" s="257"/>
      <c r="G729" s="252"/>
      <c r="H729" s="252"/>
      <c r="I729" s="252"/>
      <c r="J729" s="252"/>
      <c r="K729" s="252"/>
      <c r="L729" s="252"/>
      <c r="M729" s="253"/>
      <c r="N729" s="253"/>
      <c r="O729" s="258"/>
      <c r="P729" s="258"/>
      <c r="Q729" s="258"/>
      <c r="R729" s="258"/>
      <c r="S729" s="258"/>
      <c r="T729" s="258"/>
      <c r="U729" s="258"/>
      <c r="V729" s="258"/>
      <c r="W729" s="258"/>
      <c r="X729" s="258"/>
      <c r="Y729" s="258"/>
      <c r="Z729" s="258"/>
      <c r="AA729" s="258"/>
      <c r="AB729" s="258"/>
      <c r="AC729" s="407"/>
    </row>
    <row r="730" spans="2:29" s="406" customFormat="1" ht="16.5" customHeight="1">
      <c r="B730" s="255"/>
      <c r="C730" s="255"/>
      <c r="D730" s="257"/>
      <c r="E730" s="257"/>
      <c r="F730" s="257"/>
      <c r="G730" s="252"/>
      <c r="H730" s="252"/>
      <c r="I730" s="252"/>
      <c r="J730" s="252"/>
      <c r="K730" s="252"/>
      <c r="L730" s="252"/>
      <c r="M730" s="253"/>
      <c r="N730" s="253"/>
      <c r="O730" s="258"/>
      <c r="P730" s="258"/>
      <c r="Q730" s="258"/>
      <c r="R730" s="258"/>
      <c r="S730" s="258"/>
      <c r="T730" s="258"/>
      <c r="U730" s="258"/>
      <c r="V730" s="258"/>
      <c r="W730" s="258"/>
      <c r="X730" s="258"/>
      <c r="Y730" s="258"/>
      <c r="Z730" s="258"/>
      <c r="AA730" s="258"/>
      <c r="AB730" s="258"/>
      <c r="AC730" s="407"/>
    </row>
    <row r="731" spans="2:29" s="406" customFormat="1" ht="16.5" customHeight="1">
      <c r="B731" s="255"/>
      <c r="C731" s="255"/>
      <c r="D731" s="257"/>
      <c r="E731" s="257"/>
      <c r="F731" s="257"/>
      <c r="G731" s="252"/>
      <c r="H731" s="252"/>
      <c r="I731" s="252"/>
      <c r="J731" s="252"/>
      <c r="K731" s="252"/>
      <c r="L731" s="252"/>
      <c r="M731" s="253"/>
      <c r="N731" s="253"/>
      <c r="O731" s="258"/>
      <c r="P731" s="258"/>
      <c r="Q731" s="258"/>
      <c r="R731" s="258"/>
      <c r="S731" s="258"/>
      <c r="T731" s="258"/>
      <c r="U731" s="258"/>
      <c r="V731" s="258"/>
      <c r="W731" s="258"/>
      <c r="X731" s="258"/>
      <c r="Y731" s="258"/>
      <c r="Z731" s="258"/>
      <c r="AA731" s="258"/>
      <c r="AB731" s="258"/>
      <c r="AC731" s="407"/>
    </row>
    <row r="732" spans="2:29" s="406" customFormat="1" ht="16.5" customHeight="1">
      <c r="B732" s="255"/>
      <c r="C732" s="255"/>
      <c r="D732" s="257"/>
      <c r="E732" s="257"/>
      <c r="F732" s="257"/>
      <c r="G732" s="252"/>
      <c r="H732" s="252"/>
      <c r="I732" s="252"/>
      <c r="J732" s="252"/>
      <c r="K732" s="252"/>
      <c r="L732" s="252"/>
      <c r="M732" s="253"/>
      <c r="N732" s="253"/>
      <c r="O732" s="258"/>
      <c r="P732" s="258"/>
      <c r="Q732" s="258"/>
      <c r="R732" s="258"/>
      <c r="S732" s="258"/>
      <c r="T732" s="258"/>
      <c r="U732" s="258"/>
      <c r="V732" s="258"/>
      <c r="W732" s="258"/>
      <c r="X732" s="258"/>
      <c r="Y732" s="258"/>
      <c r="Z732" s="258"/>
      <c r="AA732" s="258"/>
      <c r="AB732" s="258"/>
      <c r="AC732" s="407"/>
    </row>
    <row r="733" spans="2:29" s="406" customFormat="1" ht="16.5" customHeight="1">
      <c r="B733" s="255"/>
      <c r="C733" s="255"/>
      <c r="D733" s="257"/>
      <c r="E733" s="257"/>
      <c r="F733" s="257"/>
      <c r="G733" s="252"/>
      <c r="H733" s="252"/>
      <c r="I733" s="252"/>
      <c r="J733" s="252"/>
      <c r="K733" s="252"/>
      <c r="L733" s="252"/>
      <c r="M733" s="253"/>
      <c r="N733" s="253"/>
      <c r="O733" s="258"/>
      <c r="P733" s="258"/>
      <c r="Q733" s="258"/>
      <c r="R733" s="258"/>
      <c r="S733" s="258"/>
      <c r="T733" s="258"/>
      <c r="U733" s="258"/>
      <c r="V733" s="258"/>
      <c r="W733" s="258"/>
      <c r="X733" s="258"/>
      <c r="Y733" s="258"/>
      <c r="Z733" s="258"/>
      <c r="AA733" s="258"/>
      <c r="AB733" s="258"/>
      <c r="AC733" s="407"/>
    </row>
    <row r="734" spans="2:29" s="406" customFormat="1" ht="16.5" customHeight="1">
      <c r="B734" s="255"/>
      <c r="C734" s="255"/>
      <c r="D734" s="257"/>
      <c r="E734" s="257"/>
      <c r="F734" s="257"/>
      <c r="G734" s="252"/>
      <c r="H734" s="252"/>
      <c r="I734" s="252"/>
      <c r="J734" s="252"/>
      <c r="K734" s="252"/>
      <c r="L734" s="252"/>
      <c r="M734" s="253"/>
      <c r="N734" s="253"/>
      <c r="O734" s="258"/>
      <c r="P734" s="258"/>
      <c r="Q734" s="258"/>
      <c r="R734" s="258"/>
      <c r="S734" s="258"/>
      <c r="T734" s="258"/>
      <c r="U734" s="258"/>
      <c r="V734" s="258"/>
      <c r="W734" s="258"/>
      <c r="X734" s="258"/>
      <c r="Y734" s="258"/>
      <c r="Z734" s="258"/>
      <c r="AA734" s="258"/>
      <c r="AB734" s="258"/>
      <c r="AC734" s="407"/>
    </row>
    <row r="735" spans="2:29" s="406" customFormat="1" ht="16.5" customHeight="1">
      <c r="B735" s="255"/>
      <c r="C735" s="255"/>
      <c r="D735" s="257"/>
      <c r="E735" s="257"/>
      <c r="F735" s="257"/>
      <c r="G735" s="252"/>
      <c r="H735" s="252"/>
      <c r="I735" s="252"/>
      <c r="J735" s="252"/>
      <c r="K735" s="252"/>
      <c r="L735" s="252"/>
      <c r="M735" s="253"/>
      <c r="N735" s="253"/>
      <c r="O735" s="258"/>
      <c r="P735" s="258"/>
      <c r="Q735" s="258"/>
      <c r="R735" s="258"/>
      <c r="S735" s="258"/>
      <c r="T735" s="258"/>
      <c r="U735" s="258"/>
      <c r="V735" s="258"/>
      <c r="W735" s="258"/>
      <c r="X735" s="258"/>
      <c r="Y735" s="258"/>
      <c r="Z735" s="258"/>
      <c r="AA735" s="258"/>
      <c r="AB735" s="258"/>
      <c r="AC735" s="407"/>
    </row>
    <row r="736" spans="2:29" s="406" customFormat="1" ht="16.5" customHeight="1">
      <c r="B736" s="255"/>
      <c r="C736" s="255"/>
      <c r="D736" s="257"/>
      <c r="E736" s="257"/>
      <c r="F736" s="257"/>
      <c r="G736" s="252"/>
      <c r="H736" s="252"/>
      <c r="I736" s="252"/>
      <c r="J736" s="252"/>
      <c r="K736" s="252"/>
      <c r="L736" s="252"/>
      <c r="M736" s="253"/>
      <c r="N736" s="253"/>
      <c r="O736" s="258"/>
      <c r="P736" s="258"/>
      <c r="Q736" s="258"/>
      <c r="R736" s="258"/>
      <c r="S736" s="258"/>
      <c r="T736" s="258"/>
      <c r="U736" s="258"/>
      <c r="V736" s="258"/>
      <c r="W736" s="258"/>
      <c r="X736" s="258"/>
      <c r="Y736" s="258"/>
      <c r="Z736" s="258"/>
      <c r="AA736" s="258"/>
      <c r="AB736" s="258"/>
      <c r="AC736" s="407"/>
    </row>
    <row r="737" spans="2:29" s="406" customFormat="1" ht="16.5" customHeight="1">
      <c r="B737" s="255"/>
      <c r="C737" s="255"/>
      <c r="D737" s="257"/>
      <c r="E737" s="257"/>
      <c r="F737" s="257"/>
      <c r="G737" s="252"/>
      <c r="H737" s="252"/>
      <c r="I737" s="252"/>
      <c r="J737" s="252"/>
      <c r="K737" s="252"/>
      <c r="L737" s="252"/>
      <c r="M737" s="253"/>
      <c r="N737" s="253"/>
      <c r="O737" s="258"/>
      <c r="P737" s="258"/>
      <c r="Q737" s="258"/>
      <c r="R737" s="258"/>
      <c r="S737" s="258"/>
      <c r="T737" s="258"/>
      <c r="U737" s="258"/>
      <c r="V737" s="258"/>
      <c r="W737" s="258"/>
      <c r="X737" s="258"/>
      <c r="Y737" s="258"/>
      <c r="Z737" s="258"/>
      <c r="AA737" s="258"/>
      <c r="AB737" s="258"/>
      <c r="AC737" s="407"/>
    </row>
    <row r="738" spans="2:29" s="406" customFormat="1" ht="16.5" customHeight="1">
      <c r="B738" s="255"/>
      <c r="C738" s="255"/>
      <c r="D738" s="257"/>
      <c r="E738" s="257"/>
      <c r="F738" s="257"/>
      <c r="G738" s="252"/>
      <c r="H738" s="252"/>
      <c r="I738" s="252"/>
      <c r="J738" s="252"/>
      <c r="K738" s="252"/>
      <c r="L738" s="252"/>
      <c r="M738" s="253"/>
      <c r="N738" s="253"/>
      <c r="O738" s="258"/>
      <c r="P738" s="258"/>
      <c r="Q738" s="258"/>
      <c r="R738" s="258"/>
      <c r="S738" s="258"/>
      <c r="T738" s="258"/>
      <c r="U738" s="258"/>
      <c r="V738" s="258"/>
      <c r="W738" s="258"/>
      <c r="X738" s="258"/>
      <c r="Y738" s="258"/>
      <c r="Z738" s="258"/>
      <c r="AA738" s="258"/>
      <c r="AB738" s="258"/>
      <c r="AC738" s="407"/>
    </row>
    <row r="739" spans="2:29" s="406" customFormat="1" ht="16.5" customHeight="1">
      <c r="B739" s="255"/>
      <c r="C739" s="255"/>
      <c r="D739" s="257"/>
      <c r="E739" s="257"/>
      <c r="F739" s="257"/>
      <c r="G739" s="252"/>
      <c r="H739" s="252"/>
      <c r="I739" s="252"/>
      <c r="J739" s="252"/>
      <c r="K739" s="252"/>
      <c r="L739" s="252"/>
      <c r="M739" s="253"/>
      <c r="N739" s="253"/>
      <c r="O739" s="258"/>
      <c r="P739" s="258"/>
      <c r="Q739" s="258"/>
      <c r="R739" s="258"/>
      <c r="S739" s="258"/>
      <c r="T739" s="258"/>
      <c r="U739" s="258"/>
      <c r="V739" s="258"/>
      <c r="W739" s="258"/>
      <c r="X739" s="258"/>
      <c r="Y739" s="258"/>
      <c r="Z739" s="258"/>
      <c r="AA739" s="258"/>
      <c r="AB739" s="258"/>
      <c r="AC739" s="407"/>
    </row>
    <row r="740" spans="2:29" s="406" customFormat="1" ht="16.5" customHeight="1">
      <c r="B740" s="255"/>
      <c r="C740" s="255"/>
      <c r="D740" s="257"/>
      <c r="E740" s="257"/>
      <c r="F740" s="257"/>
      <c r="G740" s="252"/>
      <c r="H740" s="252"/>
      <c r="I740" s="252"/>
      <c r="J740" s="252"/>
      <c r="K740" s="252"/>
      <c r="L740" s="252"/>
      <c r="M740" s="253"/>
      <c r="N740" s="253"/>
      <c r="O740" s="258"/>
      <c r="P740" s="258"/>
      <c r="Q740" s="258"/>
      <c r="R740" s="258"/>
      <c r="S740" s="258"/>
      <c r="T740" s="258"/>
      <c r="U740" s="258"/>
      <c r="V740" s="258"/>
      <c r="W740" s="258"/>
      <c r="X740" s="258"/>
      <c r="Y740" s="258"/>
      <c r="Z740" s="258"/>
      <c r="AA740" s="258"/>
      <c r="AB740" s="258"/>
      <c r="AC740" s="407"/>
    </row>
    <row r="741" spans="2:29" s="406" customFormat="1" ht="16.5" customHeight="1">
      <c r="B741" s="255"/>
      <c r="C741" s="255"/>
      <c r="D741" s="257"/>
      <c r="E741" s="257"/>
      <c r="F741" s="257"/>
      <c r="G741" s="252"/>
      <c r="H741" s="252"/>
      <c r="I741" s="252"/>
      <c r="J741" s="252"/>
      <c r="K741" s="252"/>
      <c r="L741" s="252"/>
      <c r="M741" s="253"/>
      <c r="N741" s="253"/>
      <c r="O741" s="258"/>
      <c r="P741" s="258"/>
      <c r="Q741" s="258"/>
      <c r="R741" s="258"/>
      <c r="S741" s="258"/>
      <c r="T741" s="258"/>
      <c r="U741" s="258"/>
      <c r="V741" s="258"/>
      <c r="W741" s="258"/>
      <c r="X741" s="258"/>
      <c r="Y741" s="258"/>
      <c r="Z741" s="258"/>
      <c r="AA741" s="258"/>
      <c r="AB741" s="258"/>
      <c r="AC741" s="407"/>
    </row>
    <row r="742" spans="2:29" s="406" customFormat="1" ht="16.5" customHeight="1">
      <c r="B742" s="255"/>
      <c r="C742" s="255"/>
      <c r="D742" s="257"/>
      <c r="E742" s="257"/>
      <c r="F742" s="257"/>
      <c r="G742" s="252"/>
      <c r="H742" s="252"/>
      <c r="I742" s="252"/>
      <c r="J742" s="252"/>
      <c r="K742" s="252"/>
      <c r="L742" s="252"/>
      <c r="M742" s="253"/>
      <c r="N742" s="253"/>
      <c r="O742" s="258"/>
      <c r="P742" s="258"/>
      <c r="Q742" s="258"/>
      <c r="R742" s="258"/>
      <c r="S742" s="258"/>
      <c r="T742" s="258"/>
      <c r="U742" s="258"/>
      <c r="V742" s="258"/>
      <c r="W742" s="258"/>
      <c r="X742" s="258"/>
      <c r="Y742" s="258"/>
      <c r="Z742" s="258"/>
      <c r="AA742" s="258"/>
      <c r="AB742" s="258"/>
      <c r="AC742" s="407"/>
    </row>
    <row r="743" spans="2:29" s="406" customFormat="1" ht="16.5" customHeight="1">
      <c r="B743" s="255"/>
      <c r="C743" s="255"/>
      <c r="D743" s="257"/>
      <c r="E743" s="257"/>
      <c r="F743" s="257"/>
      <c r="G743" s="252"/>
      <c r="H743" s="252"/>
      <c r="I743" s="252"/>
      <c r="J743" s="252"/>
      <c r="K743" s="252"/>
      <c r="L743" s="252"/>
      <c r="M743" s="253"/>
      <c r="N743" s="253"/>
      <c r="O743" s="258"/>
      <c r="P743" s="258"/>
      <c r="Q743" s="258"/>
      <c r="R743" s="258"/>
      <c r="S743" s="258"/>
      <c r="T743" s="258"/>
      <c r="U743" s="258"/>
      <c r="V743" s="258"/>
      <c r="W743" s="258"/>
      <c r="X743" s="258"/>
      <c r="Y743" s="258"/>
      <c r="Z743" s="258"/>
      <c r="AA743" s="258"/>
      <c r="AB743" s="258"/>
      <c r="AC743" s="407"/>
    </row>
    <row r="744" spans="2:29" s="406" customFormat="1" ht="16.5" customHeight="1">
      <c r="B744" s="255"/>
      <c r="C744" s="255"/>
      <c r="D744" s="257"/>
      <c r="E744" s="257"/>
      <c r="F744" s="257"/>
      <c r="G744" s="252"/>
      <c r="H744" s="252"/>
      <c r="I744" s="252"/>
      <c r="J744" s="252"/>
      <c r="K744" s="252"/>
      <c r="L744" s="252"/>
      <c r="M744" s="253"/>
      <c r="N744" s="253"/>
      <c r="O744" s="258"/>
      <c r="P744" s="258"/>
      <c r="Q744" s="258"/>
      <c r="R744" s="258"/>
      <c r="S744" s="258"/>
      <c r="T744" s="258"/>
      <c r="U744" s="258"/>
      <c r="V744" s="258"/>
      <c r="W744" s="258"/>
      <c r="X744" s="258"/>
      <c r="Y744" s="258"/>
      <c r="Z744" s="258"/>
      <c r="AA744" s="258"/>
      <c r="AB744" s="258"/>
      <c r="AC744" s="407"/>
    </row>
    <row r="745" spans="2:29" s="406" customFormat="1" ht="16.5" customHeight="1">
      <c r="B745" s="255"/>
      <c r="C745" s="255"/>
      <c r="D745" s="257"/>
      <c r="E745" s="257"/>
      <c r="F745" s="257"/>
      <c r="G745" s="252"/>
      <c r="H745" s="252"/>
      <c r="I745" s="252"/>
      <c r="J745" s="252"/>
      <c r="K745" s="252"/>
      <c r="L745" s="252"/>
      <c r="M745" s="253"/>
      <c r="N745" s="253"/>
      <c r="O745" s="258"/>
      <c r="P745" s="258"/>
      <c r="Q745" s="258"/>
      <c r="R745" s="258"/>
      <c r="S745" s="258"/>
      <c r="T745" s="258"/>
      <c r="U745" s="258"/>
      <c r="V745" s="258"/>
      <c r="W745" s="258"/>
      <c r="X745" s="258"/>
      <c r="Y745" s="258"/>
      <c r="Z745" s="258"/>
      <c r="AA745" s="258"/>
      <c r="AB745" s="258"/>
      <c r="AC745" s="407"/>
    </row>
    <row r="746" spans="2:29" s="406" customFormat="1" ht="16.5" customHeight="1">
      <c r="B746" s="255"/>
      <c r="C746" s="255"/>
      <c r="D746" s="257"/>
      <c r="E746" s="257"/>
      <c r="F746" s="257"/>
      <c r="G746" s="252"/>
      <c r="H746" s="252"/>
      <c r="I746" s="252"/>
      <c r="J746" s="252"/>
      <c r="K746" s="252"/>
      <c r="L746" s="252"/>
      <c r="M746" s="253"/>
      <c r="N746" s="253"/>
      <c r="O746" s="258"/>
      <c r="P746" s="258"/>
      <c r="Q746" s="258"/>
      <c r="R746" s="258"/>
      <c r="S746" s="258"/>
      <c r="T746" s="258"/>
      <c r="U746" s="258"/>
      <c r="V746" s="258"/>
      <c r="W746" s="258"/>
      <c r="X746" s="258"/>
      <c r="Y746" s="258"/>
      <c r="Z746" s="258"/>
      <c r="AA746" s="258"/>
      <c r="AB746" s="258"/>
      <c r="AC746" s="407"/>
    </row>
    <row r="747" spans="2:29" s="406" customFormat="1" ht="16.5" customHeight="1">
      <c r="B747" s="255"/>
      <c r="C747" s="255"/>
      <c r="D747" s="257"/>
      <c r="E747" s="257"/>
      <c r="F747" s="257"/>
      <c r="G747" s="252"/>
      <c r="H747" s="252"/>
      <c r="I747" s="252"/>
      <c r="J747" s="252"/>
      <c r="K747" s="252"/>
      <c r="L747" s="252"/>
      <c r="M747" s="253"/>
      <c r="N747" s="253"/>
      <c r="O747" s="258"/>
      <c r="P747" s="258"/>
      <c r="Q747" s="258"/>
      <c r="R747" s="258"/>
      <c r="S747" s="258"/>
      <c r="T747" s="258"/>
      <c r="U747" s="258"/>
      <c r="V747" s="258"/>
      <c r="W747" s="258"/>
      <c r="X747" s="258"/>
      <c r="Y747" s="258"/>
      <c r="Z747" s="258"/>
      <c r="AA747" s="258"/>
      <c r="AB747" s="258"/>
      <c r="AC747" s="407"/>
    </row>
    <row r="748" spans="2:29" s="406" customFormat="1" ht="16.5" customHeight="1">
      <c r="B748" s="255"/>
      <c r="C748" s="255"/>
      <c r="D748" s="257"/>
      <c r="E748" s="257"/>
      <c r="F748" s="257"/>
      <c r="G748" s="252"/>
      <c r="H748" s="252"/>
      <c r="I748" s="252"/>
      <c r="J748" s="252"/>
      <c r="K748" s="252"/>
      <c r="L748" s="252"/>
      <c r="M748" s="253"/>
      <c r="N748" s="253"/>
      <c r="O748" s="258"/>
      <c r="P748" s="258"/>
      <c r="Q748" s="258"/>
      <c r="R748" s="258"/>
      <c r="S748" s="258"/>
      <c r="T748" s="258"/>
      <c r="U748" s="258"/>
      <c r="V748" s="258"/>
      <c r="W748" s="258"/>
      <c r="X748" s="258"/>
      <c r="Y748" s="258"/>
      <c r="Z748" s="258"/>
      <c r="AA748" s="258"/>
      <c r="AB748" s="258"/>
      <c r="AC748" s="407"/>
    </row>
    <row r="749" spans="2:29" s="406" customFormat="1" ht="16.5" customHeight="1">
      <c r="B749" s="255"/>
      <c r="C749" s="255"/>
      <c r="D749" s="257"/>
      <c r="E749" s="257"/>
      <c r="F749" s="257"/>
      <c r="G749" s="252"/>
      <c r="H749" s="252"/>
      <c r="I749" s="252"/>
      <c r="J749" s="252"/>
      <c r="K749" s="252"/>
      <c r="L749" s="252"/>
      <c r="M749" s="253"/>
      <c r="N749" s="253"/>
      <c r="O749" s="258"/>
      <c r="P749" s="258"/>
      <c r="Q749" s="258"/>
      <c r="R749" s="258"/>
      <c r="S749" s="258"/>
      <c r="T749" s="258"/>
      <c r="U749" s="258"/>
      <c r="V749" s="258"/>
      <c r="W749" s="258"/>
      <c r="X749" s="258"/>
      <c r="Y749" s="258"/>
      <c r="Z749" s="258"/>
      <c r="AA749" s="258"/>
      <c r="AB749" s="258"/>
      <c r="AC749" s="407"/>
    </row>
    <row r="750" spans="2:29" s="406" customFormat="1" ht="16.5" customHeight="1">
      <c r="B750" s="255"/>
      <c r="C750" s="255"/>
      <c r="D750" s="257"/>
      <c r="E750" s="257"/>
      <c r="F750" s="257"/>
      <c r="G750" s="252"/>
      <c r="H750" s="252"/>
      <c r="I750" s="252"/>
      <c r="J750" s="252"/>
      <c r="K750" s="252"/>
      <c r="L750" s="252"/>
      <c r="M750" s="253"/>
      <c r="N750" s="253"/>
      <c r="O750" s="258"/>
      <c r="P750" s="258"/>
      <c r="Q750" s="258"/>
      <c r="R750" s="258"/>
      <c r="S750" s="258"/>
      <c r="T750" s="258"/>
      <c r="U750" s="258"/>
      <c r="V750" s="258"/>
      <c r="W750" s="258"/>
      <c r="X750" s="258"/>
      <c r="Y750" s="258"/>
      <c r="Z750" s="258"/>
      <c r="AA750" s="258"/>
      <c r="AB750" s="258"/>
      <c r="AC750" s="407"/>
    </row>
    <row r="751" spans="2:29" s="406" customFormat="1" ht="16.5" customHeight="1">
      <c r="B751" s="255"/>
      <c r="C751" s="255"/>
      <c r="D751" s="257"/>
      <c r="E751" s="257"/>
      <c r="F751" s="257"/>
      <c r="G751" s="252"/>
      <c r="H751" s="252"/>
      <c r="I751" s="252"/>
      <c r="J751" s="252"/>
      <c r="K751" s="252"/>
      <c r="L751" s="252"/>
      <c r="M751" s="253"/>
      <c r="N751" s="253"/>
      <c r="O751" s="258"/>
      <c r="P751" s="258"/>
      <c r="Q751" s="258"/>
      <c r="R751" s="258"/>
      <c r="S751" s="258"/>
      <c r="T751" s="258"/>
      <c r="U751" s="258"/>
      <c r="V751" s="258"/>
      <c r="W751" s="258"/>
      <c r="X751" s="258"/>
      <c r="Y751" s="258"/>
      <c r="Z751" s="258"/>
      <c r="AA751" s="258"/>
      <c r="AB751" s="258"/>
      <c r="AC751" s="407"/>
    </row>
    <row r="752" spans="2:29" s="406" customFormat="1" ht="16.5" customHeight="1">
      <c r="B752" s="255"/>
      <c r="C752" s="255"/>
      <c r="D752" s="257"/>
      <c r="E752" s="257"/>
      <c r="F752" s="257"/>
      <c r="G752" s="252"/>
      <c r="H752" s="252"/>
      <c r="I752" s="252"/>
      <c r="J752" s="252"/>
      <c r="K752" s="252"/>
      <c r="L752" s="252"/>
      <c r="M752" s="253"/>
      <c r="N752" s="253"/>
      <c r="O752" s="258"/>
      <c r="P752" s="258"/>
      <c r="Q752" s="258"/>
      <c r="R752" s="258"/>
      <c r="S752" s="258"/>
      <c r="T752" s="258"/>
      <c r="U752" s="258"/>
      <c r="V752" s="258"/>
      <c r="W752" s="258"/>
      <c r="X752" s="258"/>
      <c r="Y752" s="258"/>
      <c r="Z752" s="258"/>
      <c r="AA752" s="258"/>
      <c r="AB752" s="258"/>
      <c r="AC752" s="407"/>
    </row>
    <row r="753" spans="2:29" s="406" customFormat="1" ht="16.5" customHeight="1">
      <c r="B753" s="255"/>
      <c r="C753" s="255"/>
      <c r="D753" s="257"/>
      <c r="E753" s="257"/>
      <c r="F753" s="257"/>
      <c r="G753" s="252"/>
      <c r="H753" s="252"/>
      <c r="I753" s="252"/>
      <c r="J753" s="252"/>
      <c r="K753" s="252"/>
      <c r="L753" s="252"/>
      <c r="M753" s="253"/>
      <c r="N753" s="253"/>
      <c r="O753" s="258"/>
      <c r="P753" s="258"/>
      <c r="Q753" s="258"/>
      <c r="R753" s="258"/>
      <c r="S753" s="258"/>
      <c r="T753" s="258"/>
      <c r="U753" s="258"/>
      <c r="V753" s="258"/>
      <c r="W753" s="258"/>
      <c r="X753" s="258"/>
      <c r="Y753" s="258"/>
      <c r="Z753" s="258"/>
      <c r="AA753" s="258"/>
      <c r="AB753" s="258"/>
      <c r="AC753" s="407"/>
    </row>
    <row r="754" spans="2:29" s="406" customFormat="1" ht="16.5" customHeight="1">
      <c r="B754" s="255"/>
      <c r="C754" s="255"/>
      <c r="D754" s="257"/>
      <c r="E754" s="257"/>
      <c r="F754" s="257"/>
      <c r="G754" s="252"/>
      <c r="H754" s="252"/>
      <c r="I754" s="252"/>
      <c r="J754" s="252"/>
      <c r="K754" s="252"/>
      <c r="L754" s="252"/>
      <c r="M754" s="253"/>
      <c r="N754" s="253"/>
      <c r="O754" s="258"/>
      <c r="P754" s="258"/>
      <c r="Q754" s="258"/>
      <c r="R754" s="258"/>
      <c r="S754" s="258"/>
      <c r="T754" s="258"/>
      <c r="U754" s="258"/>
      <c r="V754" s="258"/>
      <c r="W754" s="258"/>
      <c r="X754" s="258"/>
      <c r="Y754" s="258"/>
      <c r="Z754" s="258"/>
      <c r="AA754" s="258"/>
      <c r="AB754" s="258"/>
      <c r="AC754" s="407"/>
    </row>
    <row r="755" spans="2:29" s="406" customFormat="1" ht="16.5" customHeight="1">
      <c r="B755" s="255"/>
      <c r="C755" s="255"/>
      <c r="D755" s="257"/>
      <c r="E755" s="257"/>
      <c r="F755" s="257"/>
      <c r="G755" s="252"/>
      <c r="H755" s="252"/>
      <c r="I755" s="252"/>
      <c r="J755" s="252"/>
      <c r="K755" s="252"/>
      <c r="L755" s="252"/>
      <c r="M755" s="253"/>
      <c r="N755" s="253"/>
      <c r="O755" s="258"/>
      <c r="P755" s="258"/>
      <c r="Q755" s="258"/>
      <c r="R755" s="258"/>
      <c r="S755" s="258"/>
      <c r="T755" s="258"/>
      <c r="U755" s="258"/>
      <c r="V755" s="258"/>
      <c r="W755" s="258"/>
      <c r="X755" s="258"/>
      <c r="Y755" s="258"/>
      <c r="Z755" s="258"/>
      <c r="AA755" s="258"/>
      <c r="AB755" s="258"/>
      <c r="AC755" s="407"/>
    </row>
    <row r="756" spans="2:29" s="406" customFormat="1" ht="16.5" customHeight="1">
      <c r="B756" s="255"/>
      <c r="C756" s="255"/>
      <c r="D756" s="257"/>
      <c r="E756" s="257"/>
      <c r="F756" s="257"/>
      <c r="G756" s="252"/>
      <c r="H756" s="252"/>
      <c r="I756" s="252"/>
      <c r="J756" s="252"/>
      <c r="K756" s="252"/>
      <c r="L756" s="252"/>
      <c r="M756" s="253"/>
      <c r="N756" s="253"/>
      <c r="O756" s="258"/>
      <c r="P756" s="258"/>
      <c r="Q756" s="258"/>
      <c r="R756" s="258"/>
      <c r="S756" s="258"/>
      <c r="T756" s="258"/>
      <c r="U756" s="258"/>
      <c r="V756" s="258"/>
      <c r="W756" s="258"/>
      <c r="X756" s="258"/>
      <c r="Y756" s="258"/>
      <c r="Z756" s="258"/>
      <c r="AA756" s="258"/>
      <c r="AB756" s="258"/>
      <c r="AC756" s="407"/>
    </row>
    <row r="757" spans="2:29" s="406" customFormat="1" ht="16.5" customHeight="1">
      <c r="B757" s="255"/>
      <c r="C757" s="255"/>
      <c r="D757" s="257"/>
      <c r="E757" s="257"/>
      <c r="F757" s="257"/>
      <c r="G757" s="252"/>
      <c r="H757" s="252"/>
      <c r="I757" s="252"/>
      <c r="J757" s="252"/>
      <c r="K757" s="252"/>
      <c r="L757" s="252"/>
      <c r="M757" s="253"/>
      <c r="N757" s="253"/>
      <c r="O757" s="258"/>
      <c r="P757" s="258"/>
      <c r="Q757" s="258"/>
      <c r="R757" s="258"/>
      <c r="S757" s="258"/>
      <c r="T757" s="258"/>
      <c r="U757" s="258"/>
      <c r="V757" s="258"/>
      <c r="W757" s="258"/>
      <c r="X757" s="258"/>
      <c r="Y757" s="258"/>
      <c r="Z757" s="258"/>
      <c r="AA757" s="258"/>
      <c r="AB757" s="258"/>
      <c r="AC757" s="407"/>
    </row>
    <row r="758" spans="2:29" s="406" customFormat="1" ht="16.5" customHeight="1">
      <c r="B758" s="255"/>
      <c r="C758" s="255"/>
      <c r="D758" s="257"/>
      <c r="E758" s="257"/>
      <c r="F758" s="257"/>
      <c r="G758" s="252"/>
      <c r="H758" s="252"/>
      <c r="I758" s="252"/>
      <c r="J758" s="252"/>
      <c r="K758" s="252"/>
      <c r="L758" s="252"/>
      <c r="M758" s="253"/>
      <c r="N758" s="253"/>
      <c r="O758" s="258"/>
      <c r="P758" s="258"/>
      <c r="Q758" s="258"/>
      <c r="R758" s="258"/>
      <c r="S758" s="258"/>
      <c r="T758" s="258"/>
      <c r="U758" s="258"/>
      <c r="V758" s="258"/>
      <c r="W758" s="258"/>
      <c r="X758" s="258"/>
      <c r="Y758" s="258"/>
      <c r="Z758" s="258"/>
      <c r="AA758" s="258"/>
      <c r="AB758" s="258"/>
      <c r="AC758" s="407"/>
    </row>
    <row r="759" spans="2:29" s="406" customFormat="1" ht="16.5" customHeight="1">
      <c r="B759" s="255"/>
      <c r="C759" s="255"/>
      <c r="D759" s="257"/>
      <c r="E759" s="257"/>
      <c r="F759" s="257"/>
      <c r="G759" s="252"/>
      <c r="H759" s="252"/>
      <c r="I759" s="252"/>
      <c r="J759" s="252"/>
      <c r="K759" s="252"/>
      <c r="L759" s="252"/>
      <c r="M759" s="253"/>
      <c r="N759" s="253"/>
      <c r="O759" s="258"/>
      <c r="P759" s="258"/>
      <c r="Q759" s="258"/>
      <c r="R759" s="258"/>
      <c r="S759" s="258"/>
      <c r="T759" s="258"/>
      <c r="U759" s="258"/>
      <c r="V759" s="258"/>
      <c r="W759" s="258"/>
      <c r="X759" s="258"/>
      <c r="Y759" s="258"/>
      <c r="Z759" s="258"/>
      <c r="AA759" s="258"/>
      <c r="AB759" s="258"/>
      <c r="AC759" s="407"/>
    </row>
    <row r="760" spans="2:29" s="406" customFormat="1" ht="16.5" customHeight="1">
      <c r="B760" s="255"/>
      <c r="C760" s="255"/>
      <c r="D760" s="257"/>
      <c r="E760" s="257"/>
      <c r="F760" s="257"/>
      <c r="G760" s="252"/>
      <c r="H760" s="252"/>
      <c r="I760" s="252"/>
      <c r="J760" s="252"/>
      <c r="K760" s="252"/>
      <c r="L760" s="252"/>
      <c r="M760" s="253"/>
      <c r="N760" s="253"/>
      <c r="O760" s="258"/>
      <c r="P760" s="258"/>
      <c r="Q760" s="258"/>
      <c r="R760" s="258"/>
      <c r="S760" s="258"/>
      <c r="T760" s="258"/>
      <c r="U760" s="258"/>
      <c r="V760" s="258"/>
      <c r="W760" s="258"/>
      <c r="X760" s="258"/>
      <c r="Y760" s="258"/>
      <c r="Z760" s="258"/>
      <c r="AA760" s="258"/>
      <c r="AB760" s="258"/>
      <c r="AC760" s="407"/>
    </row>
    <row r="761" spans="2:29" s="406" customFormat="1" ht="16.5" customHeight="1">
      <c r="B761" s="255"/>
      <c r="C761" s="255"/>
      <c r="D761" s="257"/>
      <c r="E761" s="257"/>
      <c r="F761" s="257"/>
      <c r="G761" s="252"/>
      <c r="H761" s="252"/>
      <c r="I761" s="252"/>
      <c r="J761" s="252"/>
      <c r="K761" s="252"/>
      <c r="L761" s="252"/>
      <c r="M761" s="253"/>
      <c r="N761" s="253"/>
      <c r="O761" s="258"/>
      <c r="P761" s="258"/>
      <c r="Q761" s="258"/>
      <c r="R761" s="258"/>
      <c r="S761" s="258"/>
      <c r="T761" s="258"/>
      <c r="U761" s="258"/>
      <c r="V761" s="258"/>
      <c r="W761" s="258"/>
      <c r="X761" s="258"/>
      <c r="Y761" s="258"/>
      <c r="Z761" s="258"/>
      <c r="AA761" s="258"/>
      <c r="AB761" s="258"/>
      <c r="AC761" s="407"/>
    </row>
    <row r="762" spans="2:29" s="406" customFormat="1" ht="16.5" customHeight="1">
      <c r="B762" s="255"/>
      <c r="C762" s="255"/>
      <c r="D762" s="257"/>
      <c r="E762" s="257"/>
      <c r="F762" s="257"/>
      <c r="G762" s="252"/>
      <c r="H762" s="252"/>
      <c r="I762" s="252"/>
      <c r="J762" s="252"/>
      <c r="K762" s="252"/>
      <c r="L762" s="252"/>
      <c r="M762" s="253"/>
      <c r="N762" s="253"/>
      <c r="O762" s="258"/>
      <c r="P762" s="258"/>
      <c r="Q762" s="258"/>
      <c r="R762" s="258"/>
      <c r="S762" s="258"/>
      <c r="T762" s="258"/>
      <c r="U762" s="258"/>
      <c r="V762" s="258"/>
      <c r="W762" s="258"/>
      <c r="X762" s="258"/>
      <c r="Y762" s="258"/>
      <c r="Z762" s="258"/>
      <c r="AA762" s="258"/>
      <c r="AB762" s="258"/>
      <c r="AC762" s="407"/>
    </row>
    <row r="763" spans="2:29" s="406" customFormat="1" ht="16.5" customHeight="1">
      <c r="B763" s="255"/>
      <c r="C763" s="255"/>
      <c r="D763" s="257"/>
      <c r="E763" s="257"/>
      <c r="F763" s="257"/>
      <c r="G763" s="252"/>
      <c r="H763" s="252"/>
      <c r="I763" s="252"/>
      <c r="J763" s="252"/>
      <c r="K763" s="252"/>
      <c r="L763" s="252"/>
      <c r="M763" s="253"/>
      <c r="N763" s="253"/>
      <c r="O763" s="258"/>
      <c r="P763" s="258"/>
      <c r="Q763" s="258"/>
      <c r="R763" s="258"/>
      <c r="S763" s="258"/>
      <c r="T763" s="258"/>
      <c r="U763" s="258"/>
      <c r="V763" s="258"/>
      <c r="W763" s="258"/>
      <c r="X763" s="258"/>
      <c r="Y763" s="258"/>
      <c r="Z763" s="258"/>
      <c r="AA763" s="258"/>
      <c r="AB763" s="258"/>
      <c r="AC763" s="407"/>
    </row>
    <row r="764" spans="2:29" s="406" customFormat="1" ht="16.5" customHeight="1">
      <c r="B764" s="255"/>
      <c r="C764" s="255"/>
      <c r="D764" s="257"/>
      <c r="E764" s="257"/>
      <c r="F764" s="257"/>
      <c r="G764" s="252"/>
      <c r="H764" s="252"/>
      <c r="I764" s="252"/>
      <c r="J764" s="252"/>
      <c r="K764" s="252"/>
      <c r="L764" s="252"/>
      <c r="M764" s="253"/>
      <c r="N764" s="253"/>
      <c r="O764" s="258"/>
      <c r="P764" s="258"/>
      <c r="Q764" s="258"/>
      <c r="R764" s="258"/>
      <c r="S764" s="258"/>
      <c r="T764" s="258"/>
      <c r="U764" s="258"/>
      <c r="V764" s="258"/>
      <c r="W764" s="258"/>
      <c r="X764" s="258"/>
      <c r="Y764" s="258"/>
      <c r="Z764" s="258"/>
      <c r="AA764" s="258"/>
      <c r="AB764" s="258"/>
      <c r="AC764" s="407"/>
    </row>
    <row r="765" spans="2:29" s="406" customFormat="1" ht="16.5" customHeight="1">
      <c r="B765" s="255"/>
      <c r="C765" s="255"/>
      <c r="D765" s="257"/>
      <c r="E765" s="257"/>
      <c r="F765" s="257"/>
      <c r="G765" s="252"/>
      <c r="H765" s="252"/>
      <c r="I765" s="252"/>
      <c r="J765" s="252"/>
      <c r="K765" s="252"/>
      <c r="L765" s="252"/>
      <c r="M765" s="253"/>
      <c r="N765" s="253"/>
      <c r="O765" s="258"/>
      <c r="P765" s="258"/>
      <c r="Q765" s="258"/>
      <c r="R765" s="258"/>
      <c r="S765" s="258"/>
      <c r="T765" s="258"/>
      <c r="U765" s="258"/>
      <c r="V765" s="258"/>
      <c r="W765" s="258"/>
      <c r="X765" s="258"/>
      <c r="Y765" s="258"/>
      <c r="Z765" s="258"/>
      <c r="AA765" s="258"/>
      <c r="AB765" s="258"/>
      <c r="AC765" s="407"/>
    </row>
    <row r="766" spans="2:29" s="406" customFormat="1" ht="16.5" customHeight="1">
      <c r="B766" s="255"/>
      <c r="C766" s="255"/>
      <c r="D766" s="257"/>
      <c r="E766" s="257"/>
      <c r="F766" s="257"/>
      <c r="G766" s="252"/>
      <c r="H766" s="252"/>
      <c r="I766" s="252"/>
      <c r="J766" s="252"/>
      <c r="K766" s="252"/>
      <c r="L766" s="252"/>
      <c r="M766" s="253"/>
      <c r="N766" s="253"/>
      <c r="O766" s="258"/>
      <c r="P766" s="258"/>
      <c r="Q766" s="258"/>
      <c r="R766" s="258"/>
      <c r="S766" s="258"/>
      <c r="T766" s="258"/>
      <c r="U766" s="258"/>
      <c r="V766" s="258"/>
      <c r="W766" s="258"/>
      <c r="X766" s="258"/>
      <c r="Y766" s="258"/>
      <c r="Z766" s="258"/>
      <c r="AA766" s="258"/>
      <c r="AB766" s="258"/>
      <c r="AC766" s="407"/>
    </row>
    <row r="767" spans="2:29" s="406" customFormat="1" ht="16.5" customHeight="1">
      <c r="B767" s="255"/>
      <c r="C767" s="255"/>
      <c r="D767" s="257"/>
      <c r="E767" s="257"/>
      <c r="F767" s="257"/>
      <c r="G767" s="252"/>
      <c r="H767" s="252"/>
      <c r="I767" s="252"/>
      <c r="J767" s="252"/>
      <c r="K767" s="252"/>
      <c r="L767" s="252"/>
      <c r="M767" s="253"/>
      <c r="N767" s="253"/>
      <c r="O767" s="258"/>
      <c r="P767" s="258"/>
      <c r="Q767" s="258"/>
      <c r="R767" s="258"/>
      <c r="S767" s="258"/>
      <c r="T767" s="258"/>
      <c r="U767" s="258"/>
      <c r="V767" s="258"/>
      <c r="W767" s="258"/>
      <c r="X767" s="258"/>
      <c r="Y767" s="258"/>
      <c r="Z767" s="258"/>
      <c r="AA767" s="258"/>
      <c r="AB767" s="258"/>
      <c r="AC767" s="407"/>
    </row>
    <row r="768" spans="2:29" s="406" customFormat="1" ht="16.5" customHeight="1">
      <c r="B768" s="255"/>
      <c r="C768" s="255"/>
      <c r="D768" s="257"/>
      <c r="E768" s="257"/>
      <c r="F768" s="257"/>
      <c r="G768" s="252"/>
      <c r="H768" s="252"/>
      <c r="I768" s="252"/>
      <c r="J768" s="252"/>
      <c r="K768" s="252"/>
      <c r="L768" s="252"/>
      <c r="M768" s="253"/>
      <c r="N768" s="253"/>
      <c r="O768" s="258"/>
      <c r="P768" s="258"/>
      <c r="Q768" s="258"/>
      <c r="R768" s="258"/>
      <c r="S768" s="258"/>
      <c r="T768" s="258"/>
      <c r="U768" s="258"/>
      <c r="V768" s="258"/>
      <c r="W768" s="258"/>
      <c r="X768" s="258"/>
      <c r="Y768" s="258"/>
      <c r="Z768" s="258"/>
      <c r="AA768" s="258"/>
      <c r="AB768" s="258"/>
      <c r="AC768" s="407"/>
    </row>
    <row r="769" spans="2:29" s="406" customFormat="1" ht="16.5" customHeight="1">
      <c r="B769" s="255"/>
      <c r="C769" s="255"/>
      <c r="D769" s="257"/>
      <c r="E769" s="257"/>
      <c r="F769" s="257"/>
      <c r="G769" s="252"/>
      <c r="H769" s="252"/>
      <c r="I769" s="252"/>
      <c r="J769" s="252"/>
      <c r="K769" s="252"/>
      <c r="L769" s="252"/>
      <c r="M769" s="253"/>
      <c r="N769" s="253"/>
      <c r="O769" s="258"/>
      <c r="P769" s="258"/>
      <c r="Q769" s="258"/>
      <c r="R769" s="258"/>
      <c r="S769" s="258"/>
      <c r="T769" s="258"/>
      <c r="U769" s="258"/>
      <c r="V769" s="258"/>
      <c r="W769" s="258"/>
      <c r="X769" s="258"/>
      <c r="Y769" s="258"/>
      <c r="Z769" s="258"/>
      <c r="AA769" s="258"/>
      <c r="AB769" s="258"/>
      <c r="AC769" s="407"/>
    </row>
    <row r="770" spans="2:29" s="406" customFormat="1" ht="16.5" customHeight="1">
      <c r="B770" s="255"/>
      <c r="C770" s="255"/>
      <c r="D770" s="257"/>
      <c r="E770" s="257"/>
      <c r="F770" s="257"/>
      <c r="G770" s="252"/>
      <c r="H770" s="252"/>
      <c r="I770" s="252"/>
      <c r="J770" s="252"/>
      <c r="K770" s="252"/>
      <c r="L770" s="252"/>
      <c r="M770" s="253"/>
      <c r="N770" s="253"/>
      <c r="O770" s="258"/>
      <c r="P770" s="258"/>
      <c r="Q770" s="258"/>
      <c r="R770" s="258"/>
      <c r="S770" s="258"/>
      <c r="T770" s="258"/>
      <c r="U770" s="258"/>
      <c r="V770" s="258"/>
      <c r="W770" s="258"/>
      <c r="X770" s="258"/>
      <c r="Y770" s="258"/>
      <c r="Z770" s="258"/>
      <c r="AA770" s="258"/>
      <c r="AB770" s="258"/>
      <c r="AC770" s="407"/>
    </row>
    <row r="771" spans="2:29" s="406" customFormat="1" ht="16.5" customHeight="1">
      <c r="B771" s="255"/>
      <c r="C771" s="255"/>
      <c r="D771" s="257"/>
      <c r="E771" s="257"/>
      <c r="F771" s="257"/>
      <c r="G771" s="252"/>
      <c r="H771" s="252"/>
      <c r="I771" s="252"/>
      <c r="J771" s="252"/>
      <c r="K771" s="252"/>
      <c r="L771" s="252"/>
      <c r="M771" s="253"/>
      <c r="N771" s="253"/>
      <c r="O771" s="258"/>
      <c r="P771" s="258"/>
      <c r="Q771" s="258"/>
      <c r="R771" s="258"/>
      <c r="S771" s="258"/>
      <c r="T771" s="258"/>
      <c r="U771" s="258"/>
      <c r="V771" s="258"/>
      <c r="W771" s="258"/>
      <c r="X771" s="258"/>
      <c r="Y771" s="258"/>
      <c r="Z771" s="258"/>
      <c r="AA771" s="258"/>
      <c r="AB771" s="258"/>
      <c r="AC771" s="407"/>
    </row>
    <row r="772" spans="2:29" s="406" customFormat="1" ht="16.5" customHeight="1">
      <c r="B772" s="255"/>
      <c r="C772" s="255"/>
      <c r="D772" s="257"/>
      <c r="E772" s="257"/>
      <c r="F772" s="257"/>
      <c r="G772" s="252"/>
      <c r="H772" s="252"/>
      <c r="I772" s="252"/>
      <c r="J772" s="252"/>
      <c r="K772" s="252"/>
      <c r="L772" s="252"/>
      <c r="M772" s="253"/>
      <c r="N772" s="253"/>
      <c r="O772" s="258"/>
      <c r="P772" s="258"/>
      <c r="Q772" s="258"/>
      <c r="R772" s="258"/>
      <c r="S772" s="258"/>
      <c r="T772" s="258"/>
      <c r="U772" s="258"/>
      <c r="V772" s="258"/>
      <c r="W772" s="258"/>
      <c r="X772" s="258"/>
      <c r="Y772" s="258"/>
      <c r="Z772" s="258"/>
      <c r="AA772" s="258"/>
      <c r="AB772" s="258"/>
      <c r="AC772" s="407"/>
    </row>
    <row r="773" spans="2:29" s="406" customFormat="1" ht="16.5" customHeight="1">
      <c r="B773" s="255"/>
      <c r="C773" s="255"/>
      <c r="D773" s="257"/>
      <c r="E773" s="257"/>
      <c r="F773" s="257"/>
      <c r="G773" s="252"/>
      <c r="H773" s="252"/>
      <c r="I773" s="252"/>
      <c r="J773" s="252"/>
      <c r="K773" s="252"/>
      <c r="L773" s="252"/>
      <c r="M773" s="253"/>
      <c r="N773" s="253"/>
      <c r="O773" s="258"/>
      <c r="P773" s="258"/>
      <c r="Q773" s="258"/>
      <c r="R773" s="258"/>
      <c r="S773" s="258"/>
      <c r="T773" s="258"/>
      <c r="U773" s="258"/>
      <c r="V773" s="258"/>
      <c r="W773" s="258"/>
      <c r="X773" s="258"/>
      <c r="Y773" s="258"/>
      <c r="Z773" s="258"/>
      <c r="AA773" s="258"/>
      <c r="AB773" s="258"/>
      <c r="AC773" s="407"/>
    </row>
    <row r="774" spans="2:29" s="406" customFormat="1" ht="16.5" customHeight="1">
      <c r="B774" s="255"/>
      <c r="C774" s="255"/>
      <c r="D774" s="257"/>
      <c r="E774" s="257"/>
      <c r="F774" s="257"/>
      <c r="G774" s="252"/>
      <c r="H774" s="252"/>
      <c r="I774" s="252"/>
      <c r="J774" s="252"/>
      <c r="K774" s="252"/>
      <c r="L774" s="252"/>
      <c r="M774" s="253"/>
      <c r="N774" s="253"/>
      <c r="O774" s="258"/>
      <c r="P774" s="258"/>
      <c r="Q774" s="258"/>
      <c r="R774" s="258"/>
      <c r="S774" s="258"/>
      <c r="T774" s="258"/>
      <c r="U774" s="258"/>
      <c r="V774" s="258"/>
      <c r="W774" s="258"/>
      <c r="X774" s="258"/>
      <c r="Y774" s="258"/>
      <c r="Z774" s="258"/>
      <c r="AA774" s="258"/>
      <c r="AB774" s="258"/>
      <c r="AC774" s="407"/>
    </row>
    <row r="775" spans="2:29" s="406" customFormat="1" ht="16.5" customHeight="1">
      <c r="B775" s="255"/>
      <c r="C775" s="255"/>
      <c r="D775" s="257"/>
      <c r="E775" s="257"/>
      <c r="F775" s="257"/>
      <c r="G775" s="252"/>
      <c r="H775" s="252"/>
      <c r="I775" s="252"/>
      <c r="J775" s="252"/>
      <c r="K775" s="252"/>
      <c r="L775" s="252"/>
      <c r="M775" s="253"/>
      <c r="N775" s="253"/>
      <c r="O775" s="258"/>
      <c r="P775" s="258"/>
      <c r="Q775" s="258"/>
      <c r="R775" s="258"/>
      <c r="S775" s="258"/>
      <c r="T775" s="258"/>
      <c r="U775" s="258"/>
      <c r="V775" s="258"/>
      <c r="W775" s="258"/>
      <c r="X775" s="258"/>
      <c r="Y775" s="258"/>
      <c r="Z775" s="258"/>
      <c r="AA775" s="258"/>
      <c r="AB775" s="258"/>
      <c r="AC775" s="407"/>
    </row>
    <row r="776" spans="2:29" s="406" customFormat="1" ht="16.5" customHeight="1">
      <c r="B776" s="255"/>
      <c r="C776" s="255"/>
      <c r="D776" s="257"/>
      <c r="E776" s="257"/>
      <c r="F776" s="257"/>
      <c r="G776" s="252"/>
      <c r="H776" s="252"/>
      <c r="I776" s="252"/>
      <c r="J776" s="252"/>
      <c r="K776" s="252"/>
      <c r="L776" s="252"/>
      <c r="M776" s="253"/>
      <c r="N776" s="253"/>
      <c r="O776" s="258"/>
      <c r="P776" s="258"/>
      <c r="Q776" s="258"/>
      <c r="R776" s="258"/>
      <c r="S776" s="258"/>
      <c r="T776" s="258"/>
      <c r="U776" s="258"/>
      <c r="V776" s="258"/>
      <c r="W776" s="258"/>
      <c r="X776" s="258"/>
      <c r="Y776" s="258"/>
      <c r="Z776" s="258"/>
      <c r="AA776" s="258"/>
      <c r="AB776" s="258"/>
      <c r="AC776" s="407"/>
    </row>
    <row r="777" spans="2:29" s="406" customFormat="1" ht="16.5" customHeight="1">
      <c r="B777" s="255"/>
      <c r="C777" s="255"/>
      <c r="D777" s="257"/>
      <c r="E777" s="257"/>
      <c r="F777" s="257"/>
      <c r="G777" s="252"/>
      <c r="H777" s="252"/>
      <c r="I777" s="252"/>
      <c r="J777" s="252"/>
      <c r="K777" s="252"/>
      <c r="L777" s="252"/>
      <c r="M777" s="253"/>
      <c r="N777" s="253"/>
      <c r="O777" s="258"/>
      <c r="P777" s="258"/>
      <c r="Q777" s="258"/>
      <c r="R777" s="258"/>
      <c r="S777" s="258"/>
      <c r="T777" s="258"/>
      <c r="U777" s="258"/>
      <c r="V777" s="258"/>
      <c r="W777" s="258"/>
      <c r="X777" s="258"/>
      <c r="Y777" s="258"/>
      <c r="Z777" s="258"/>
      <c r="AA777" s="258"/>
      <c r="AB777" s="258"/>
      <c r="AC777" s="407"/>
    </row>
    <row r="778" spans="2:29" s="406" customFormat="1" ht="16.5" customHeight="1">
      <c r="B778" s="255"/>
      <c r="C778" s="255"/>
      <c r="D778" s="257"/>
      <c r="E778" s="257"/>
      <c r="F778" s="257"/>
      <c r="G778" s="252"/>
      <c r="H778" s="252"/>
      <c r="I778" s="252"/>
      <c r="J778" s="252"/>
      <c r="K778" s="252"/>
      <c r="L778" s="252"/>
      <c r="M778" s="253"/>
      <c r="N778" s="253"/>
      <c r="O778" s="258"/>
      <c r="P778" s="258"/>
      <c r="Q778" s="258"/>
      <c r="R778" s="258"/>
      <c r="S778" s="258"/>
      <c r="T778" s="258"/>
      <c r="U778" s="258"/>
      <c r="V778" s="258"/>
      <c r="W778" s="258"/>
      <c r="X778" s="258"/>
      <c r="Y778" s="258"/>
      <c r="Z778" s="258"/>
      <c r="AA778" s="258"/>
      <c r="AB778" s="258"/>
      <c r="AC778" s="407"/>
    </row>
    <row r="779" spans="2:29" s="406" customFormat="1" ht="16.5" customHeight="1">
      <c r="B779" s="255"/>
      <c r="C779" s="255"/>
      <c r="D779" s="257"/>
      <c r="E779" s="257"/>
      <c r="F779" s="257"/>
      <c r="G779" s="252"/>
      <c r="H779" s="252"/>
      <c r="I779" s="252"/>
      <c r="J779" s="252"/>
      <c r="K779" s="252"/>
      <c r="L779" s="252"/>
      <c r="M779" s="253"/>
      <c r="N779" s="253"/>
      <c r="O779" s="258"/>
      <c r="P779" s="258"/>
      <c r="Q779" s="258"/>
      <c r="R779" s="258"/>
      <c r="S779" s="258"/>
      <c r="T779" s="258"/>
      <c r="U779" s="258"/>
      <c r="V779" s="258"/>
      <c r="W779" s="258"/>
      <c r="X779" s="258"/>
      <c r="Y779" s="258"/>
      <c r="Z779" s="258"/>
      <c r="AA779" s="258"/>
      <c r="AB779" s="258"/>
      <c r="AC779" s="407"/>
    </row>
    <row r="780" spans="2:29" s="406" customFormat="1" ht="16.5" customHeight="1">
      <c r="B780" s="255"/>
      <c r="C780" s="255"/>
      <c r="D780" s="257"/>
      <c r="E780" s="257"/>
      <c r="F780" s="257"/>
      <c r="G780" s="252"/>
      <c r="H780" s="252"/>
      <c r="I780" s="252"/>
      <c r="J780" s="252"/>
      <c r="K780" s="252"/>
      <c r="L780" s="252"/>
      <c r="M780" s="253"/>
      <c r="N780" s="253"/>
      <c r="O780" s="258"/>
      <c r="P780" s="258"/>
      <c r="Q780" s="258"/>
      <c r="R780" s="258"/>
      <c r="S780" s="258"/>
      <c r="T780" s="258"/>
      <c r="U780" s="258"/>
      <c r="V780" s="258"/>
      <c r="W780" s="258"/>
      <c r="X780" s="258"/>
      <c r="Y780" s="258"/>
      <c r="Z780" s="258"/>
      <c r="AA780" s="258"/>
      <c r="AB780" s="258"/>
      <c r="AC780" s="407"/>
    </row>
    <row r="781" spans="2:29" s="406" customFormat="1" ht="16.5" customHeight="1">
      <c r="B781" s="255"/>
      <c r="C781" s="255"/>
      <c r="D781" s="257"/>
      <c r="E781" s="257"/>
      <c r="F781" s="257"/>
      <c r="G781" s="252"/>
      <c r="H781" s="252"/>
      <c r="I781" s="252"/>
      <c r="J781" s="252"/>
      <c r="K781" s="252"/>
      <c r="L781" s="252"/>
      <c r="M781" s="253"/>
      <c r="N781" s="253"/>
      <c r="O781" s="258"/>
      <c r="P781" s="258"/>
      <c r="Q781" s="258"/>
      <c r="R781" s="258"/>
      <c r="S781" s="258"/>
      <c r="T781" s="258"/>
      <c r="U781" s="258"/>
      <c r="V781" s="258"/>
      <c r="W781" s="258"/>
      <c r="X781" s="258"/>
      <c r="Y781" s="258"/>
      <c r="Z781" s="258"/>
      <c r="AA781" s="258"/>
      <c r="AB781" s="258"/>
      <c r="AC781" s="407"/>
    </row>
    <row r="782" spans="2:29" s="406" customFormat="1" ht="16.5" customHeight="1">
      <c r="B782" s="255"/>
      <c r="C782" s="255"/>
      <c r="D782" s="257"/>
      <c r="E782" s="257"/>
      <c r="F782" s="257"/>
      <c r="G782" s="252"/>
      <c r="H782" s="252"/>
      <c r="I782" s="252"/>
      <c r="J782" s="252"/>
      <c r="K782" s="252"/>
      <c r="L782" s="252"/>
      <c r="M782" s="253"/>
      <c r="N782" s="253"/>
      <c r="O782" s="258"/>
      <c r="P782" s="258"/>
      <c r="Q782" s="258"/>
      <c r="R782" s="258"/>
      <c r="S782" s="258"/>
      <c r="T782" s="258"/>
      <c r="U782" s="258"/>
      <c r="V782" s="258"/>
      <c r="W782" s="258"/>
      <c r="X782" s="258"/>
      <c r="Y782" s="258"/>
      <c r="Z782" s="258"/>
      <c r="AA782" s="258"/>
      <c r="AB782" s="258"/>
      <c r="AC782" s="407"/>
    </row>
    <row r="783" spans="2:29" s="406" customFormat="1" ht="16.5" customHeight="1">
      <c r="B783" s="255"/>
      <c r="C783" s="255"/>
      <c r="D783" s="257"/>
      <c r="E783" s="257"/>
      <c r="F783" s="257"/>
      <c r="G783" s="252"/>
      <c r="H783" s="252"/>
      <c r="I783" s="252"/>
      <c r="J783" s="252"/>
      <c r="K783" s="252"/>
      <c r="L783" s="252"/>
      <c r="M783" s="253"/>
      <c r="N783" s="253"/>
      <c r="O783" s="258"/>
      <c r="P783" s="258"/>
      <c r="Q783" s="258"/>
      <c r="R783" s="258"/>
      <c r="S783" s="258"/>
      <c r="T783" s="258"/>
      <c r="U783" s="258"/>
      <c r="V783" s="258"/>
      <c r="W783" s="258"/>
      <c r="X783" s="258"/>
      <c r="Y783" s="258"/>
      <c r="Z783" s="258"/>
      <c r="AA783" s="258"/>
      <c r="AB783" s="258"/>
      <c r="AC783" s="407"/>
    </row>
    <row r="784" spans="2:29" s="406" customFormat="1" ht="16.5" customHeight="1">
      <c r="B784" s="255"/>
      <c r="C784" s="255"/>
      <c r="D784" s="257"/>
      <c r="E784" s="257"/>
      <c r="F784" s="257"/>
      <c r="G784" s="252"/>
      <c r="H784" s="252"/>
      <c r="I784" s="252"/>
      <c r="J784" s="252"/>
      <c r="K784" s="252"/>
      <c r="L784" s="252"/>
      <c r="M784" s="253"/>
      <c r="N784" s="253"/>
      <c r="O784" s="258"/>
      <c r="P784" s="258"/>
      <c r="Q784" s="258"/>
      <c r="R784" s="258"/>
      <c r="S784" s="258"/>
      <c r="T784" s="258"/>
      <c r="U784" s="258"/>
      <c r="V784" s="258"/>
      <c r="W784" s="258"/>
      <c r="X784" s="258"/>
      <c r="Y784" s="258"/>
      <c r="Z784" s="258"/>
      <c r="AA784" s="258"/>
      <c r="AB784" s="258"/>
      <c r="AC784" s="407"/>
    </row>
    <row r="785" spans="2:29" s="406" customFormat="1" ht="16.5" customHeight="1">
      <c r="B785" s="255"/>
      <c r="C785" s="255"/>
      <c r="D785" s="257"/>
      <c r="E785" s="257"/>
      <c r="F785" s="257"/>
      <c r="G785" s="252"/>
      <c r="H785" s="252"/>
      <c r="I785" s="252"/>
      <c r="J785" s="252"/>
      <c r="K785" s="252"/>
      <c r="L785" s="252"/>
      <c r="M785" s="253"/>
      <c r="N785" s="253"/>
      <c r="O785" s="258"/>
      <c r="P785" s="258"/>
      <c r="Q785" s="258"/>
      <c r="R785" s="258"/>
      <c r="S785" s="258"/>
      <c r="T785" s="258"/>
      <c r="U785" s="258"/>
      <c r="V785" s="258"/>
      <c r="W785" s="258"/>
      <c r="X785" s="258"/>
      <c r="Y785" s="258"/>
      <c r="Z785" s="258"/>
      <c r="AA785" s="258"/>
      <c r="AB785" s="258"/>
      <c r="AC785" s="407"/>
    </row>
    <row r="786" spans="2:29" s="406" customFormat="1" ht="16.5" customHeight="1">
      <c r="B786" s="255"/>
      <c r="C786" s="255"/>
      <c r="D786" s="257"/>
      <c r="E786" s="257"/>
      <c r="F786" s="257"/>
      <c r="G786" s="252"/>
      <c r="H786" s="252"/>
      <c r="I786" s="252"/>
      <c r="J786" s="252"/>
      <c r="K786" s="252"/>
      <c r="L786" s="252"/>
      <c r="M786" s="253"/>
      <c r="N786" s="253"/>
      <c r="O786" s="258"/>
      <c r="P786" s="258"/>
      <c r="Q786" s="258"/>
      <c r="R786" s="258"/>
      <c r="S786" s="258"/>
      <c r="T786" s="258"/>
      <c r="U786" s="258"/>
      <c r="V786" s="258"/>
      <c r="W786" s="258"/>
      <c r="X786" s="258"/>
      <c r="Y786" s="258"/>
      <c r="Z786" s="258"/>
      <c r="AA786" s="258"/>
      <c r="AB786" s="258"/>
      <c r="AC786" s="407"/>
    </row>
    <row r="787" spans="2:29" s="406" customFormat="1" ht="16.5" customHeight="1">
      <c r="B787" s="255"/>
      <c r="C787" s="255"/>
      <c r="D787" s="257"/>
      <c r="E787" s="257"/>
      <c r="F787" s="257"/>
      <c r="G787" s="252"/>
      <c r="H787" s="252"/>
      <c r="I787" s="252"/>
      <c r="J787" s="252"/>
      <c r="K787" s="252"/>
      <c r="L787" s="252"/>
      <c r="M787" s="253"/>
      <c r="N787" s="253"/>
      <c r="O787" s="258"/>
      <c r="P787" s="258"/>
      <c r="Q787" s="258"/>
      <c r="R787" s="258"/>
      <c r="S787" s="258"/>
      <c r="T787" s="258"/>
      <c r="U787" s="258"/>
      <c r="V787" s="258"/>
      <c r="W787" s="258"/>
      <c r="X787" s="258"/>
      <c r="Y787" s="258"/>
      <c r="Z787" s="258"/>
      <c r="AA787" s="258"/>
      <c r="AB787" s="258"/>
      <c r="AC787" s="407"/>
    </row>
    <row r="788" spans="2:29" s="406" customFormat="1" ht="16.5" customHeight="1">
      <c r="B788" s="255"/>
      <c r="C788" s="255"/>
      <c r="D788" s="257"/>
      <c r="E788" s="257"/>
      <c r="F788" s="257"/>
      <c r="G788" s="252"/>
      <c r="H788" s="252"/>
      <c r="I788" s="252"/>
      <c r="J788" s="252"/>
      <c r="K788" s="252"/>
      <c r="L788" s="252"/>
      <c r="M788" s="253"/>
      <c r="N788" s="253"/>
      <c r="O788" s="258"/>
      <c r="P788" s="258"/>
      <c r="Q788" s="258"/>
      <c r="R788" s="258"/>
      <c r="S788" s="258"/>
      <c r="T788" s="258"/>
      <c r="U788" s="258"/>
      <c r="V788" s="258"/>
      <c r="W788" s="258"/>
      <c r="X788" s="258"/>
      <c r="Y788" s="258"/>
      <c r="Z788" s="258"/>
      <c r="AA788" s="258"/>
      <c r="AB788" s="258"/>
      <c r="AC788" s="407"/>
    </row>
    <row r="789" spans="2:29" s="406" customFormat="1" ht="16.5" customHeight="1">
      <c r="B789" s="255"/>
      <c r="C789" s="255"/>
      <c r="D789" s="257"/>
      <c r="E789" s="257"/>
      <c r="F789" s="257"/>
      <c r="G789" s="252"/>
      <c r="H789" s="252"/>
      <c r="I789" s="252"/>
      <c r="J789" s="252"/>
      <c r="K789" s="252"/>
      <c r="L789" s="252"/>
      <c r="M789" s="253"/>
      <c r="N789" s="253"/>
      <c r="O789" s="258"/>
      <c r="P789" s="258"/>
      <c r="Q789" s="258"/>
      <c r="R789" s="258"/>
      <c r="S789" s="258"/>
      <c r="T789" s="258"/>
      <c r="U789" s="258"/>
      <c r="V789" s="258"/>
      <c r="W789" s="258"/>
      <c r="X789" s="258"/>
      <c r="Y789" s="258"/>
      <c r="Z789" s="258"/>
      <c r="AA789" s="258"/>
      <c r="AB789" s="258"/>
      <c r="AC789" s="407"/>
    </row>
    <row r="790" spans="2:29" s="406" customFormat="1" ht="16.5" customHeight="1">
      <c r="B790" s="255"/>
      <c r="C790" s="255"/>
      <c r="D790" s="257"/>
      <c r="E790" s="257"/>
      <c r="F790" s="257"/>
      <c r="G790" s="252"/>
      <c r="H790" s="252"/>
      <c r="I790" s="252"/>
      <c r="J790" s="252"/>
      <c r="K790" s="252"/>
      <c r="L790" s="252"/>
      <c r="M790" s="253"/>
      <c r="N790" s="253"/>
      <c r="O790" s="258"/>
      <c r="P790" s="258"/>
      <c r="Q790" s="258"/>
      <c r="R790" s="258"/>
      <c r="S790" s="258"/>
      <c r="T790" s="258"/>
      <c r="U790" s="258"/>
      <c r="V790" s="258"/>
      <c r="W790" s="258"/>
      <c r="X790" s="258"/>
      <c r="Y790" s="258"/>
      <c r="Z790" s="258"/>
      <c r="AA790" s="258"/>
      <c r="AB790" s="258"/>
      <c r="AC790" s="407"/>
    </row>
    <row r="791" spans="2:29" s="406" customFormat="1" ht="16.5" customHeight="1">
      <c r="B791" s="255"/>
      <c r="C791" s="255"/>
      <c r="D791" s="257"/>
      <c r="E791" s="257"/>
      <c r="F791" s="257"/>
      <c r="G791" s="252"/>
      <c r="H791" s="252"/>
      <c r="I791" s="252"/>
      <c r="J791" s="252"/>
      <c r="K791" s="252"/>
      <c r="L791" s="252"/>
      <c r="M791" s="253"/>
      <c r="N791" s="253"/>
      <c r="O791" s="258"/>
      <c r="P791" s="258"/>
      <c r="Q791" s="258"/>
      <c r="R791" s="258"/>
      <c r="S791" s="258"/>
      <c r="T791" s="258"/>
      <c r="U791" s="258"/>
      <c r="V791" s="258"/>
      <c r="W791" s="258"/>
      <c r="X791" s="258"/>
      <c r="Y791" s="258"/>
      <c r="Z791" s="258"/>
      <c r="AA791" s="258"/>
      <c r="AB791" s="258"/>
      <c r="AC791" s="407"/>
    </row>
    <row r="792" spans="2:29" s="406" customFormat="1" ht="16.5" customHeight="1">
      <c r="B792" s="255"/>
      <c r="C792" s="255"/>
      <c r="D792" s="257"/>
      <c r="E792" s="257"/>
      <c r="F792" s="257"/>
      <c r="G792" s="252"/>
      <c r="H792" s="252"/>
      <c r="I792" s="252"/>
      <c r="J792" s="252"/>
      <c r="K792" s="252"/>
      <c r="L792" s="252"/>
      <c r="M792" s="253"/>
      <c r="N792" s="253"/>
      <c r="O792" s="258"/>
      <c r="P792" s="258"/>
      <c r="Q792" s="258"/>
      <c r="R792" s="258"/>
      <c r="S792" s="258"/>
      <c r="T792" s="258"/>
      <c r="U792" s="258"/>
      <c r="V792" s="258"/>
      <c r="W792" s="258"/>
      <c r="X792" s="258"/>
      <c r="Y792" s="258"/>
      <c r="Z792" s="258"/>
      <c r="AA792" s="258"/>
      <c r="AB792" s="258"/>
      <c r="AC792" s="407"/>
    </row>
    <row r="793" spans="2:29" s="406" customFormat="1" ht="16.5" customHeight="1">
      <c r="B793" s="255"/>
      <c r="C793" s="255"/>
      <c r="D793" s="257"/>
      <c r="E793" s="257"/>
      <c r="F793" s="257"/>
      <c r="G793" s="252"/>
      <c r="H793" s="252"/>
      <c r="I793" s="252"/>
      <c r="J793" s="252"/>
      <c r="K793" s="252"/>
      <c r="L793" s="252"/>
      <c r="M793" s="253"/>
      <c r="N793" s="253"/>
      <c r="O793" s="258"/>
      <c r="P793" s="258"/>
      <c r="Q793" s="258"/>
      <c r="R793" s="258"/>
      <c r="S793" s="258"/>
      <c r="T793" s="258"/>
      <c r="U793" s="258"/>
      <c r="V793" s="258"/>
      <c r="W793" s="258"/>
      <c r="X793" s="258"/>
      <c r="Y793" s="258"/>
      <c r="Z793" s="258"/>
      <c r="AA793" s="258"/>
      <c r="AB793" s="258"/>
      <c r="AC793" s="407"/>
    </row>
    <row r="794" spans="2:29" s="406" customFormat="1" ht="16.5" customHeight="1">
      <c r="B794" s="255"/>
      <c r="C794" s="255"/>
      <c r="D794" s="257"/>
      <c r="E794" s="257"/>
      <c r="F794" s="257"/>
      <c r="G794" s="252"/>
      <c r="H794" s="252"/>
      <c r="I794" s="252"/>
      <c r="J794" s="252"/>
      <c r="K794" s="252"/>
      <c r="L794" s="252"/>
      <c r="M794" s="253"/>
      <c r="N794" s="253"/>
      <c r="O794" s="258"/>
      <c r="P794" s="258"/>
      <c r="Q794" s="258"/>
      <c r="R794" s="258"/>
      <c r="S794" s="258"/>
      <c r="T794" s="258"/>
      <c r="U794" s="258"/>
      <c r="V794" s="258"/>
      <c r="W794" s="258"/>
      <c r="X794" s="258"/>
      <c r="Y794" s="258"/>
      <c r="Z794" s="258"/>
      <c r="AA794" s="258"/>
      <c r="AB794" s="258"/>
      <c r="AC794" s="407"/>
    </row>
    <row r="795" spans="2:29" s="406" customFormat="1" ht="16.5" customHeight="1">
      <c r="B795" s="255"/>
      <c r="C795" s="255"/>
      <c r="D795" s="257"/>
      <c r="E795" s="257"/>
      <c r="F795" s="257"/>
      <c r="G795" s="252"/>
      <c r="H795" s="252"/>
      <c r="I795" s="252"/>
      <c r="J795" s="252"/>
      <c r="K795" s="252"/>
      <c r="L795" s="252"/>
      <c r="M795" s="253"/>
      <c r="N795" s="253"/>
      <c r="O795" s="258"/>
      <c r="P795" s="258"/>
      <c r="Q795" s="258"/>
      <c r="R795" s="258"/>
      <c r="S795" s="258"/>
      <c r="T795" s="258"/>
      <c r="U795" s="258"/>
      <c r="V795" s="258"/>
      <c r="W795" s="258"/>
      <c r="X795" s="258"/>
      <c r="Y795" s="258"/>
      <c r="Z795" s="258"/>
      <c r="AA795" s="258"/>
      <c r="AB795" s="258"/>
      <c r="AC795" s="407"/>
    </row>
    <row r="796" spans="2:29" s="406" customFormat="1" ht="16.5" customHeight="1">
      <c r="B796" s="255"/>
      <c r="C796" s="255"/>
      <c r="D796" s="257"/>
      <c r="E796" s="257"/>
      <c r="F796" s="257"/>
      <c r="G796" s="252"/>
      <c r="H796" s="252"/>
      <c r="I796" s="252"/>
      <c r="J796" s="252"/>
      <c r="K796" s="252"/>
      <c r="L796" s="252"/>
      <c r="M796" s="253"/>
      <c r="N796" s="253"/>
      <c r="O796" s="258"/>
      <c r="P796" s="258"/>
      <c r="Q796" s="258"/>
      <c r="R796" s="258"/>
      <c r="S796" s="258"/>
      <c r="T796" s="258"/>
      <c r="U796" s="258"/>
      <c r="V796" s="258"/>
      <c r="W796" s="258"/>
      <c r="X796" s="258"/>
      <c r="Y796" s="258"/>
      <c r="Z796" s="258"/>
      <c r="AA796" s="258"/>
      <c r="AB796" s="258"/>
      <c r="AC796" s="407"/>
    </row>
    <row r="797" spans="2:29" s="406" customFormat="1" ht="16.5" customHeight="1">
      <c r="B797" s="255"/>
      <c r="C797" s="255"/>
      <c r="D797" s="257"/>
      <c r="E797" s="257"/>
      <c r="F797" s="257"/>
      <c r="G797" s="252"/>
      <c r="H797" s="252"/>
      <c r="I797" s="252"/>
      <c r="J797" s="252"/>
      <c r="K797" s="252"/>
      <c r="L797" s="252"/>
      <c r="M797" s="253"/>
      <c r="N797" s="253"/>
      <c r="O797" s="258"/>
      <c r="P797" s="258"/>
      <c r="Q797" s="258"/>
      <c r="R797" s="258"/>
      <c r="S797" s="258"/>
      <c r="T797" s="258"/>
      <c r="U797" s="258"/>
      <c r="V797" s="258"/>
      <c r="W797" s="258"/>
      <c r="X797" s="258"/>
      <c r="Y797" s="258"/>
      <c r="Z797" s="258"/>
      <c r="AA797" s="258"/>
      <c r="AB797" s="258"/>
      <c r="AC797" s="407"/>
    </row>
    <row r="798" spans="2:29" s="406" customFormat="1" ht="16.5" customHeight="1">
      <c r="B798" s="255"/>
      <c r="C798" s="255"/>
      <c r="D798" s="257"/>
      <c r="E798" s="257"/>
      <c r="F798" s="257"/>
      <c r="G798" s="252"/>
      <c r="H798" s="252"/>
      <c r="I798" s="252"/>
      <c r="J798" s="252"/>
      <c r="K798" s="252"/>
      <c r="L798" s="252"/>
      <c r="M798" s="253"/>
      <c r="N798" s="253"/>
      <c r="O798" s="258"/>
      <c r="P798" s="258"/>
      <c r="Q798" s="258"/>
      <c r="R798" s="258"/>
      <c r="S798" s="258"/>
      <c r="T798" s="258"/>
      <c r="U798" s="258"/>
      <c r="V798" s="258"/>
      <c r="W798" s="258"/>
      <c r="X798" s="258"/>
      <c r="Y798" s="258"/>
      <c r="Z798" s="258"/>
      <c r="AA798" s="258"/>
      <c r="AB798" s="258"/>
      <c r="AC798" s="407"/>
    </row>
    <row r="799" spans="2:29" s="406" customFormat="1" ht="16.5" customHeight="1">
      <c r="B799" s="255"/>
      <c r="C799" s="255"/>
      <c r="D799" s="257"/>
      <c r="E799" s="257"/>
      <c r="F799" s="257"/>
      <c r="G799" s="252"/>
      <c r="H799" s="252"/>
      <c r="I799" s="252"/>
      <c r="J799" s="252"/>
      <c r="K799" s="252"/>
      <c r="L799" s="252"/>
      <c r="M799" s="253"/>
      <c r="N799" s="253"/>
      <c r="O799" s="258"/>
      <c r="P799" s="258"/>
      <c r="Q799" s="258"/>
      <c r="R799" s="258"/>
      <c r="S799" s="258"/>
      <c r="T799" s="258"/>
      <c r="U799" s="258"/>
      <c r="V799" s="258"/>
      <c r="W799" s="258"/>
      <c r="X799" s="258"/>
      <c r="Y799" s="258"/>
      <c r="Z799" s="258"/>
      <c r="AA799" s="258"/>
      <c r="AB799" s="258"/>
      <c r="AC799" s="407"/>
    </row>
    <row r="800" spans="2:29" s="406" customFormat="1" ht="16.5" customHeight="1">
      <c r="B800" s="255"/>
      <c r="C800" s="255"/>
      <c r="D800" s="257"/>
      <c r="E800" s="257"/>
      <c r="F800" s="257"/>
      <c r="G800" s="252"/>
      <c r="H800" s="252"/>
      <c r="I800" s="252"/>
      <c r="J800" s="252"/>
      <c r="K800" s="252"/>
      <c r="L800" s="252"/>
      <c r="M800" s="253"/>
      <c r="N800" s="253"/>
      <c r="O800" s="258"/>
      <c r="P800" s="258"/>
      <c r="Q800" s="258"/>
      <c r="R800" s="258"/>
      <c r="S800" s="258"/>
      <c r="T800" s="258"/>
      <c r="U800" s="258"/>
      <c r="V800" s="258"/>
      <c r="W800" s="258"/>
      <c r="X800" s="258"/>
      <c r="Y800" s="258"/>
      <c r="Z800" s="258"/>
      <c r="AA800" s="258"/>
      <c r="AB800" s="258"/>
      <c r="AC800" s="407"/>
    </row>
    <row r="801" spans="2:29" s="406" customFormat="1" ht="16.5" customHeight="1">
      <c r="B801" s="255"/>
      <c r="C801" s="255"/>
      <c r="D801" s="257"/>
      <c r="E801" s="257"/>
      <c r="F801" s="257"/>
      <c r="G801" s="252"/>
      <c r="H801" s="252"/>
      <c r="I801" s="252"/>
      <c r="J801" s="252"/>
      <c r="K801" s="252"/>
      <c r="L801" s="252"/>
      <c r="M801" s="253"/>
      <c r="N801" s="253"/>
      <c r="O801" s="258"/>
      <c r="P801" s="258"/>
      <c r="Q801" s="258"/>
      <c r="R801" s="258"/>
      <c r="S801" s="258"/>
      <c r="T801" s="258"/>
      <c r="U801" s="258"/>
      <c r="V801" s="258"/>
      <c r="W801" s="258"/>
      <c r="X801" s="258"/>
      <c r="Y801" s="258"/>
      <c r="Z801" s="258"/>
      <c r="AA801" s="258"/>
      <c r="AB801" s="258"/>
      <c r="AC801" s="407"/>
    </row>
    <row r="802" spans="2:29" s="406" customFormat="1" ht="16.5" customHeight="1">
      <c r="B802" s="255"/>
      <c r="C802" s="255"/>
      <c r="D802" s="257"/>
      <c r="E802" s="257"/>
      <c r="F802" s="257"/>
      <c r="G802" s="252"/>
      <c r="H802" s="252"/>
      <c r="I802" s="252"/>
      <c r="J802" s="252"/>
      <c r="K802" s="252"/>
      <c r="L802" s="252"/>
      <c r="M802" s="253"/>
      <c r="N802" s="253"/>
      <c r="O802" s="258"/>
      <c r="P802" s="258"/>
      <c r="Q802" s="258"/>
      <c r="R802" s="258"/>
      <c r="S802" s="258"/>
      <c r="T802" s="258"/>
      <c r="U802" s="258"/>
      <c r="V802" s="258"/>
      <c r="W802" s="258"/>
      <c r="X802" s="258"/>
      <c r="Y802" s="258"/>
      <c r="Z802" s="258"/>
      <c r="AA802" s="258"/>
      <c r="AB802" s="258"/>
      <c r="AC802" s="407"/>
    </row>
    <row r="803" spans="2:29" s="406" customFormat="1" ht="16.5" customHeight="1">
      <c r="B803" s="255"/>
      <c r="C803" s="255"/>
      <c r="D803" s="257"/>
      <c r="E803" s="257"/>
      <c r="F803" s="257"/>
      <c r="G803" s="252"/>
      <c r="H803" s="252"/>
      <c r="I803" s="252"/>
      <c r="J803" s="252"/>
      <c r="K803" s="252"/>
      <c r="L803" s="252"/>
      <c r="M803" s="253"/>
      <c r="N803" s="253"/>
      <c r="O803" s="258"/>
      <c r="P803" s="258"/>
      <c r="Q803" s="258"/>
      <c r="R803" s="258"/>
      <c r="S803" s="258"/>
      <c r="T803" s="258"/>
      <c r="U803" s="258"/>
      <c r="V803" s="258"/>
      <c r="W803" s="258"/>
      <c r="X803" s="258"/>
      <c r="Y803" s="258"/>
      <c r="Z803" s="258"/>
      <c r="AA803" s="258"/>
      <c r="AB803" s="258"/>
      <c r="AC803" s="407"/>
    </row>
    <row r="804" spans="2:29" s="406" customFormat="1" ht="16.5" customHeight="1">
      <c r="B804" s="255"/>
      <c r="C804" s="255"/>
      <c r="D804" s="257"/>
      <c r="E804" s="257"/>
      <c r="F804" s="257"/>
      <c r="G804" s="252"/>
      <c r="H804" s="252"/>
      <c r="I804" s="252"/>
      <c r="J804" s="252"/>
      <c r="K804" s="252"/>
      <c r="L804" s="252"/>
      <c r="M804" s="253"/>
      <c r="N804" s="253"/>
      <c r="O804" s="258"/>
      <c r="P804" s="258"/>
      <c r="Q804" s="258"/>
      <c r="R804" s="258"/>
      <c r="S804" s="258"/>
      <c r="T804" s="258"/>
      <c r="U804" s="258"/>
      <c r="V804" s="258"/>
      <c r="W804" s="258"/>
      <c r="X804" s="258"/>
      <c r="Y804" s="258"/>
      <c r="Z804" s="258"/>
      <c r="AA804" s="258"/>
      <c r="AB804" s="258"/>
      <c r="AC804" s="407"/>
    </row>
    <row r="805" spans="2:29" s="406" customFormat="1" ht="16.5" customHeight="1">
      <c r="B805" s="255"/>
      <c r="C805" s="255"/>
      <c r="D805" s="257"/>
      <c r="E805" s="257"/>
      <c r="F805" s="257"/>
      <c r="G805" s="252"/>
      <c r="H805" s="252"/>
      <c r="I805" s="252"/>
      <c r="J805" s="252"/>
      <c r="K805" s="252"/>
      <c r="L805" s="252"/>
      <c r="M805" s="253"/>
      <c r="N805" s="253"/>
      <c r="O805" s="258"/>
      <c r="P805" s="258"/>
      <c r="Q805" s="258"/>
      <c r="R805" s="258"/>
      <c r="S805" s="258"/>
      <c r="T805" s="258"/>
      <c r="U805" s="258"/>
      <c r="V805" s="258"/>
      <c r="W805" s="258"/>
      <c r="X805" s="258"/>
      <c r="Y805" s="258"/>
      <c r="Z805" s="258"/>
      <c r="AA805" s="258"/>
      <c r="AB805" s="258"/>
      <c r="AC805" s="407"/>
    </row>
    <row r="806" spans="2:29" s="406" customFormat="1" ht="16.5" customHeight="1">
      <c r="B806" s="255"/>
      <c r="C806" s="255"/>
      <c r="D806" s="257"/>
      <c r="E806" s="257"/>
      <c r="F806" s="257"/>
      <c r="G806" s="252"/>
      <c r="H806" s="252"/>
      <c r="I806" s="252"/>
      <c r="J806" s="252"/>
      <c r="K806" s="252"/>
      <c r="L806" s="252"/>
      <c r="M806" s="253"/>
      <c r="N806" s="253"/>
      <c r="O806" s="258"/>
      <c r="P806" s="258"/>
      <c r="Q806" s="258"/>
      <c r="R806" s="258"/>
      <c r="S806" s="258"/>
      <c r="T806" s="258"/>
      <c r="U806" s="258"/>
      <c r="V806" s="258"/>
      <c r="W806" s="258"/>
      <c r="X806" s="258"/>
      <c r="Y806" s="258"/>
      <c r="Z806" s="258"/>
      <c r="AA806" s="258"/>
      <c r="AB806" s="258"/>
      <c r="AC806" s="407"/>
    </row>
    <row r="807" spans="2:29" s="406" customFormat="1" ht="16.5" customHeight="1">
      <c r="B807" s="255"/>
      <c r="C807" s="255"/>
      <c r="D807" s="257"/>
      <c r="E807" s="257"/>
      <c r="F807" s="257"/>
      <c r="G807" s="252"/>
      <c r="H807" s="252"/>
      <c r="I807" s="252"/>
      <c r="J807" s="252"/>
      <c r="K807" s="252"/>
      <c r="L807" s="252"/>
      <c r="M807" s="253"/>
      <c r="N807" s="253"/>
      <c r="O807" s="258"/>
      <c r="P807" s="258"/>
      <c r="Q807" s="258"/>
      <c r="R807" s="258"/>
      <c r="S807" s="258"/>
      <c r="T807" s="258"/>
      <c r="U807" s="258"/>
      <c r="V807" s="258"/>
      <c r="W807" s="258"/>
      <c r="X807" s="258"/>
      <c r="Y807" s="258"/>
      <c r="Z807" s="258"/>
      <c r="AA807" s="258"/>
      <c r="AB807" s="258"/>
      <c r="AC807" s="407"/>
    </row>
    <row r="808" spans="2:29" s="406" customFormat="1" ht="16.5" customHeight="1">
      <c r="B808" s="255"/>
      <c r="C808" s="255"/>
      <c r="D808" s="257"/>
      <c r="E808" s="257"/>
      <c r="F808" s="257"/>
      <c r="G808" s="252"/>
      <c r="H808" s="252"/>
      <c r="I808" s="252"/>
      <c r="J808" s="252"/>
      <c r="K808" s="252"/>
      <c r="L808" s="252"/>
      <c r="M808" s="253"/>
      <c r="N808" s="253"/>
      <c r="O808" s="258"/>
      <c r="P808" s="258"/>
      <c r="Q808" s="258"/>
      <c r="R808" s="258"/>
      <c r="S808" s="258"/>
      <c r="T808" s="258"/>
      <c r="U808" s="258"/>
      <c r="V808" s="258"/>
      <c r="W808" s="258"/>
      <c r="X808" s="258"/>
      <c r="Y808" s="258"/>
      <c r="Z808" s="258"/>
      <c r="AA808" s="258"/>
      <c r="AB808" s="258"/>
      <c r="AC808" s="407"/>
    </row>
    <row r="809" spans="2:29" s="406" customFormat="1" ht="16.5" customHeight="1">
      <c r="B809" s="255"/>
      <c r="C809" s="255"/>
      <c r="D809" s="257"/>
      <c r="E809" s="257"/>
      <c r="F809" s="257"/>
      <c r="G809" s="252"/>
      <c r="H809" s="252"/>
      <c r="I809" s="252"/>
      <c r="J809" s="252"/>
      <c r="K809" s="252"/>
      <c r="L809" s="252"/>
      <c r="M809" s="253"/>
      <c r="N809" s="253"/>
      <c r="O809" s="258"/>
      <c r="P809" s="258"/>
      <c r="Q809" s="258"/>
      <c r="R809" s="258"/>
      <c r="S809" s="258"/>
      <c r="T809" s="258"/>
      <c r="U809" s="258"/>
      <c r="V809" s="258"/>
      <c r="W809" s="258"/>
      <c r="X809" s="258"/>
      <c r="Y809" s="258"/>
      <c r="Z809" s="258"/>
      <c r="AA809" s="258"/>
      <c r="AB809" s="258"/>
      <c r="AC809" s="407"/>
    </row>
    <row r="810" spans="2:29" s="406" customFormat="1" ht="16.5" customHeight="1">
      <c r="B810" s="255"/>
      <c r="C810" s="255"/>
      <c r="D810" s="257"/>
      <c r="E810" s="257"/>
      <c r="F810" s="257"/>
      <c r="G810" s="252"/>
      <c r="H810" s="252"/>
      <c r="I810" s="252"/>
      <c r="J810" s="252"/>
      <c r="K810" s="252"/>
      <c r="L810" s="252"/>
      <c r="M810" s="253"/>
      <c r="N810" s="253"/>
      <c r="O810" s="258"/>
      <c r="P810" s="258"/>
      <c r="Q810" s="258"/>
      <c r="R810" s="258"/>
      <c r="S810" s="258"/>
      <c r="T810" s="258"/>
      <c r="U810" s="258"/>
      <c r="V810" s="258"/>
      <c r="W810" s="258"/>
      <c r="X810" s="258"/>
      <c r="Y810" s="258"/>
      <c r="Z810" s="258"/>
      <c r="AA810" s="258"/>
      <c r="AB810" s="258"/>
      <c r="AC810" s="407"/>
    </row>
    <row r="811" spans="2:29" s="406" customFormat="1" ht="16.5" customHeight="1">
      <c r="B811" s="255"/>
      <c r="C811" s="255"/>
      <c r="D811" s="257"/>
      <c r="E811" s="257"/>
      <c r="F811" s="257"/>
      <c r="G811" s="252"/>
      <c r="H811" s="252"/>
      <c r="I811" s="252"/>
      <c r="J811" s="252"/>
      <c r="K811" s="252"/>
      <c r="L811" s="252"/>
      <c r="M811" s="253"/>
      <c r="N811" s="253"/>
      <c r="O811" s="258"/>
      <c r="P811" s="258"/>
      <c r="Q811" s="258"/>
      <c r="R811" s="258"/>
      <c r="S811" s="258"/>
      <c r="T811" s="258"/>
      <c r="U811" s="258"/>
      <c r="V811" s="258"/>
      <c r="W811" s="258"/>
      <c r="X811" s="258"/>
      <c r="Y811" s="258"/>
      <c r="Z811" s="258"/>
      <c r="AA811" s="258"/>
      <c r="AB811" s="258"/>
      <c r="AC811" s="407"/>
    </row>
    <row r="812" spans="2:29" s="406" customFormat="1" ht="16.5" customHeight="1">
      <c r="B812" s="255"/>
      <c r="C812" s="255"/>
      <c r="D812" s="257"/>
      <c r="E812" s="257"/>
      <c r="F812" s="257"/>
      <c r="G812" s="252"/>
      <c r="H812" s="252"/>
      <c r="I812" s="252"/>
      <c r="J812" s="252"/>
      <c r="K812" s="252"/>
      <c r="L812" s="252"/>
      <c r="M812" s="253"/>
      <c r="N812" s="253"/>
      <c r="O812" s="258"/>
      <c r="P812" s="258"/>
      <c r="Q812" s="258"/>
      <c r="R812" s="258"/>
      <c r="S812" s="258"/>
      <c r="T812" s="258"/>
      <c r="U812" s="258"/>
      <c r="V812" s="258"/>
      <c r="W812" s="258"/>
      <c r="X812" s="258"/>
      <c r="Y812" s="258"/>
      <c r="Z812" s="258"/>
      <c r="AA812" s="258"/>
      <c r="AB812" s="258"/>
      <c r="AC812" s="407"/>
    </row>
    <row r="813" spans="2:29" s="406" customFormat="1" ht="16.5" customHeight="1">
      <c r="B813" s="255"/>
      <c r="C813" s="255"/>
      <c r="D813" s="257"/>
      <c r="E813" s="257"/>
      <c r="F813" s="257"/>
      <c r="G813" s="252"/>
      <c r="H813" s="252"/>
      <c r="I813" s="252"/>
      <c r="J813" s="252"/>
      <c r="K813" s="252"/>
      <c r="L813" s="252"/>
      <c r="M813" s="253"/>
      <c r="N813" s="253"/>
      <c r="O813" s="258"/>
      <c r="P813" s="258"/>
      <c r="Q813" s="258"/>
      <c r="R813" s="258"/>
      <c r="S813" s="258"/>
      <c r="T813" s="258"/>
      <c r="U813" s="258"/>
      <c r="V813" s="258"/>
      <c r="W813" s="258"/>
      <c r="X813" s="258"/>
      <c r="Y813" s="258"/>
      <c r="Z813" s="258"/>
      <c r="AA813" s="258"/>
      <c r="AB813" s="258"/>
      <c r="AC813" s="407"/>
    </row>
    <row r="814" spans="2:29" s="406" customFormat="1" ht="16.5" customHeight="1">
      <c r="B814" s="255"/>
      <c r="C814" s="255"/>
      <c r="D814" s="257"/>
      <c r="E814" s="257"/>
      <c r="F814" s="257"/>
      <c r="G814" s="252"/>
      <c r="H814" s="252"/>
      <c r="I814" s="252"/>
      <c r="J814" s="252"/>
      <c r="K814" s="252"/>
      <c r="L814" s="252"/>
      <c r="M814" s="253"/>
      <c r="N814" s="253"/>
      <c r="O814" s="258"/>
      <c r="P814" s="258"/>
      <c r="Q814" s="258"/>
      <c r="R814" s="258"/>
      <c r="S814" s="258"/>
      <c r="T814" s="258"/>
      <c r="U814" s="258"/>
      <c r="V814" s="258"/>
      <c r="W814" s="258"/>
      <c r="X814" s="258"/>
      <c r="Y814" s="258"/>
      <c r="Z814" s="258"/>
      <c r="AA814" s="258"/>
      <c r="AB814" s="258"/>
      <c r="AC814" s="407"/>
    </row>
    <row r="815" spans="2:29" s="406" customFormat="1" ht="16.5" customHeight="1">
      <c r="B815" s="255"/>
      <c r="C815" s="255"/>
      <c r="D815" s="257"/>
      <c r="E815" s="257"/>
      <c r="F815" s="257"/>
      <c r="G815" s="252"/>
      <c r="H815" s="252"/>
      <c r="I815" s="252"/>
      <c r="J815" s="252"/>
      <c r="K815" s="252"/>
      <c r="L815" s="252"/>
      <c r="M815" s="253"/>
      <c r="N815" s="253"/>
      <c r="O815" s="258"/>
      <c r="P815" s="258"/>
      <c r="Q815" s="258"/>
      <c r="R815" s="258"/>
      <c r="S815" s="258"/>
      <c r="T815" s="258"/>
      <c r="U815" s="258"/>
      <c r="V815" s="258"/>
      <c r="W815" s="258"/>
      <c r="X815" s="258"/>
      <c r="Y815" s="258"/>
      <c r="Z815" s="258"/>
      <c r="AA815" s="258"/>
      <c r="AB815" s="258"/>
      <c r="AC815" s="407"/>
    </row>
    <row r="816" spans="2:29" s="406" customFormat="1" ht="16.5" customHeight="1">
      <c r="B816" s="255"/>
      <c r="C816" s="255"/>
      <c r="D816" s="257"/>
      <c r="E816" s="257"/>
      <c r="F816" s="257"/>
      <c r="G816" s="252"/>
      <c r="H816" s="252"/>
      <c r="I816" s="252"/>
      <c r="J816" s="252"/>
      <c r="K816" s="252"/>
      <c r="L816" s="252"/>
      <c r="M816" s="253"/>
      <c r="N816" s="253"/>
      <c r="O816" s="258"/>
      <c r="P816" s="258"/>
      <c r="Q816" s="258"/>
      <c r="R816" s="258"/>
      <c r="S816" s="258"/>
      <c r="T816" s="258"/>
      <c r="U816" s="258"/>
      <c r="V816" s="258"/>
      <c r="W816" s="258"/>
      <c r="X816" s="258"/>
      <c r="Y816" s="258"/>
      <c r="Z816" s="258"/>
      <c r="AA816" s="258"/>
      <c r="AB816" s="258"/>
      <c r="AC816" s="407"/>
    </row>
    <row r="817" spans="2:29" s="406" customFormat="1" ht="16.5" customHeight="1">
      <c r="B817" s="255"/>
      <c r="C817" s="255"/>
      <c r="D817" s="257"/>
      <c r="E817" s="257"/>
      <c r="F817" s="257"/>
      <c r="G817" s="252"/>
      <c r="H817" s="252"/>
      <c r="I817" s="252"/>
      <c r="J817" s="252"/>
      <c r="K817" s="252"/>
      <c r="L817" s="252"/>
      <c r="M817" s="253"/>
      <c r="N817" s="253"/>
      <c r="O817" s="258"/>
      <c r="P817" s="258"/>
      <c r="Q817" s="258"/>
      <c r="R817" s="258"/>
      <c r="S817" s="258"/>
      <c r="T817" s="258"/>
      <c r="U817" s="258"/>
      <c r="V817" s="258"/>
      <c r="W817" s="258"/>
      <c r="X817" s="258"/>
      <c r="Y817" s="258"/>
      <c r="Z817" s="258"/>
      <c r="AA817" s="258"/>
      <c r="AB817" s="258"/>
      <c r="AC817" s="407"/>
    </row>
    <row r="818" spans="2:29" s="406" customFormat="1" ht="16.5" customHeight="1">
      <c r="B818" s="255"/>
      <c r="C818" s="255"/>
      <c r="D818" s="257"/>
      <c r="E818" s="257"/>
      <c r="F818" s="257"/>
      <c r="G818" s="252"/>
      <c r="H818" s="252"/>
      <c r="I818" s="252"/>
      <c r="J818" s="252"/>
      <c r="K818" s="252"/>
      <c r="L818" s="252"/>
      <c r="M818" s="253"/>
      <c r="N818" s="253"/>
      <c r="O818" s="258"/>
      <c r="P818" s="258"/>
      <c r="Q818" s="258"/>
      <c r="R818" s="258"/>
      <c r="S818" s="258"/>
      <c r="T818" s="258"/>
      <c r="U818" s="258"/>
      <c r="V818" s="258"/>
      <c r="W818" s="258"/>
      <c r="X818" s="258"/>
      <c r="Y818" s="258"/>
      <c r="Z818" s="258"/>
      <c r="AA818" s="258"/>
      <c r="AB818" s="258"/>
      <c r="AC818" s="407"/>
    </row>
    <row r="819" spans="2:29" s="406" customFormat="1" ht="16.5" customHeight="1">
      <c r="B819" s="255"/>
      <c r="C819" s="255"/>
      <c r="D819" s="257"/>
      <c r="E819" s="257"/>
      <c r="F819" s="257"/>
      <c r="G819" s="252"/>
      <c r="H819" s="252"/>
      <c r="I819" s="252"/>
      <c r="J819" s="252"/>
      <c r="K819" s="252"/>
      <c r="L819" s="252"/>
      <c r="M819" s="253"/>
      <c r="N819" s="253"/>
      <c r="O819" s="258"/>
      <c r="P819" s="258"/>
      <c r="Q819" s="258"/>
      <c r="R819" s="258"/>
      <c r="S819" s="258"/>
      <c r="T819" s="258"/>
      <c r="U819" s="258"/>
      <c r="V819" s="258"/>
      <c r="W819" s="258"/>
      <c r="X819" s="258"/>
      <c r="Y819" s="258"/>
      <c r="Z819" s="258"/>
      <c r="AA819" s="258"/>
      <c r="AB819" s="258"/>
      <c r="AC819" s="407"/>
    </row>
    <row r="820" spans="2:29" s="406" customFormat="1" ht="16.5" customHeight="1">
      <c r="B820" s="255"/>
      <c r="C820" s="255"/>
      <c r="D820" s="257"/>
      <c r="E820" s="257"/>
      <c r="F820" s="257"/>
      <c r="G820" s="252"/>
      <c r="H820" s="252"/>
      <c r="I820" s="252"/>
      <c r="J820" s="252"/>
      <c r="K820" s="252"/>
      <c r="L820" s="252"/>
      <c r="M820" s="253"/>
      <c r="N820" s="253"/>
      <c r="O820" s="258"/>
      <c r="P820" s="258"/>
      <c r="Q820" s="258"/>
      <c r="R820" s="258"/>
      <c r="S820" s="258"/>
      <c r="T820" s="258"/>
      <c r="U820" s="258"/>
      <c r="V820" s="258"/>
      <c r="W820" s="258"/>
      <c r="X820" s="258"/>
      <c r="Y820" s="258"/>
      <c r="Z820" s="258"/>
      <c r="AA820" s="258"/>
      <c r="AB820" s="258"/>
      <c r="AC820" s="407"/>
    </row>
    <row r="821" spans="2:29" s="406" customFormat="1" ht="16.5" customHeight="1">
      <c r="B821" s="255"/>
      <c r="C821" s="255"/>
      <c r="D821" s="257"/>
      <c r="E821" s="257"/>
      <c r="F821" s="257"/>
      <c r="G821" s="252"/>
      <c r="H821" s="252"/>
      <c r="I821" s="252"/>
      <c r="J821" s="252"/>
      <c r="K821" s="252"/>
      <c r="L821" s="252"/>
      <c r="M821" s="253"/>
      <c r="N821" s="253"/>
      <c r="O821" s="258"/>
      <c r="P821" s="258"/>
      <c r="Q821" s="258"/>
      <c r="R821" s="258"/>
      <c r="S821" s="258"/>
      <c r="T821" s="258"/>
      <c r="U821" s="258"/>
      <c r="V821" s="258"/>
      <c r="W821" s="258"/>
      <c r="X821" s="258"/>
      <c r="Y821" s="258"/>
      <c r="Z821" s="258"/>
      <c r="AA821" s="258"/>
      <c r="AB821" s="258"/>
      <c r="AC821" s="407"/>
    </row>
    <row r="822" spans="2:29" s="406" customFormat="1" ht="16.5" customHeight="1">
      <c r="B822" s="255"/>
      <c r="C822" s="255"/>
      <c r="D822" s="257"/>
      <c r="E822" s="257"/>
      <c r="F822" s="257"/>
      <c r="G822" s="252"/>
      <c r="H822" s="252"/>
      <c r="I822" s="252"/>
      <c r="J822" s="252"/>
      <c r="K822" s="252"/>
      <c r="L822" s="252"/>
      <c r="M822" s="253"/>
      <c r="N822" s="253"/>
      <c r="O822" s="258"/>
      <c r="P822" s="258"/>
      <c r="Q822" s="258"/>
      <c r="R822" s="258"/>
      <c r="S822" s="258"/>
      <c r="T822" s="258"/>
      <c r="U822" s="258"/>
      <c r="V822" s="258"/>
      <c r="W822" s="258"/>
      <c r="X822" s="258"/>
      <c r="Y822" s="258"/>
      <c r="Z822" s="258"/>
      <c r="AA822" s="258"/>
      <c r="AB822" s="258"/>
      <c r="AC822" s="407"/>
    </row>
    <row r="823" spans="2:29" s="406" customFormat="1" ht="16.5" customHeight="1">
      <c r="B823" s="255"/>
      <c r="C823" s="255"/>
      <c r="D823" s="257"/>
      <c r="E823" s="257"/>
      <c r="F823" s="257"/>
      <c r="G823" s="252"/>
      <c r="H823" s="252"/>
      <c r="I823" s="252"/>
      <c r="J823" s="252"/>
      <c r="K823" s="252"/>
      <c r="L823" s="252"/>
      <c r="M823" s="253"/>
      <c r="N823" s="253"/>
      <c r="O823" s="258"/>
      <c r="P823" s="258"/>
      <c r="Q823" s="258"/>
      <c r="R823" s="258"/>
      <c r="S823" s="258"/>
      <c r="T823" s="258"/>
      <c r="U823" s="258"/>
      <c r="V823" s="258"/>
      <c r="W823" s="258"/>
      <c r="X823" s="258"/>
      <c r="Y823" s="258"/>
      <c r="Z823" s="258"/>
      <c r="AA823" s="258"/>
      <c r="AB823" s="258"/>
      <c r="AC823" s="407"/>
    </row>
    <row r="824" spans="2:29" s="406" customFormat="1" ht="16.5" customHeight="1">
      <c r="B824" s="255"/>
      <c r="C824" s="255"/>
      <c r="D824" s="257"/>
      <c r="E824" s="257"/>
      <c r="F824" s="257"/>
      <c r="G824" s="252"/>
      <c r="H824" s="252"/>
      <c r="I824" s="252"/>
      <c r="J824" s="252"/>
      <c r="K824" s="252"/>
      <c r="L824" s="252"/>
      <c r="M824" s="253"/>
      <c r="N824" s="253"/>
      <c r="O824" s="258"/>
      <c r="P824" s="258"/>
      <c r="Q824" s="258"/>
      <c r="R824" s="258"/>
      <c r="S824" s="258"/>
      <c r="T824" s="258"/>
      <c r="U824" s="258"/>
      <c r="V824" s="258"/>
      <c r="W824" s="258"/>
      <c r="X824" s="258"/>
      <c r="Y824" s="258"/>
      <c r="Z824" s="258"/>
      <c r="AA824" s="258"/>
      <c r="AB824" s="258"/>
      <c r="AC824" s="407"/>
    </row>
    <row r="825" spans="2:29" s="406" customFormat="1" ht="16.5" customHeight="1">
      <c r="B825" s="255"/>
      <c r="C825" s="255"/>
      <c r="D825" s="257"/>
      <c r="E825" s="257"/>
      <c r="F825" s="257"/>
      <c r="G825" s="252"/>
      <c r="H825" s="252"/>
      <c r="I825" s="252"/>
      <c r="J825" s="252"/>
      <c r="K825" s="252"/>
      <c r="L825" s="252"/>
      <c r="M825" s="253"/>
      <c r="N825" s="253"/>
      <c r="O825" s="258"/>
      <c r="P825" s="258"/>
      <c r="Q825" s="258"/>
      <c r="R825" s="258"/>
      <c r="S825" s="258"/>
      <c r="T825" s="258"/>
      <c r="U825" s="258"/>
      <c r="V825" s="258"/>
      <c r="W825" s="258"/>
      <c r="X825" s="258"/>
      <c r="Y825" s="258"/>
      <c r="Z825" s="258"/>
      <c r="AA825" s="258"/>
      <c r="AB825" s="258"/>
      <c r="AC825" s="407"/>
    </row>
    <row r="826" spans="2:29" s="406" customFormat="1" ht="16.5" customHeight="1">
      <c r="B826" s="255"/>
      <c r="C826" s="255"/>
      <c r="D826" s="257"/>
      <c r="E826" s="257"/>
      <c r="F826" s="257"/>
      <c r="G826" s="252"/>
      <c r="H826" s="252"/>
      <c r="I826" s="252"/>
      <c r="J826" s="252"/>
      <c r="K826" s="252"/>
      <c r="L826" s="252"/>
      <c r="M826" s="253"/>
      <c r="N826" s="253"/>
      <c r="O826" s="258"/>
      <c r="P826" s="258"/>
      <c r="Q826" s="258"/>
      <c r="R826" s="258"/>
      <c r="S826" s="258"/>
      <c r="T826" s="258"/>
      <c r="U826" s="258"/>
      <c r="V826" s="258"/>
      <c r="W826" s="258"/>
      <c r="X826" s="258"/>
      <c r="Y826" s="258"/>
      <c r="Z826" s="258"/>
      <c r="AA826" s="258"/>
      <c r="AB826" s="258"/>
      <c r="AC826" s="407"/>
    </row>
    <row r="827" spans="2:29" s="406" customFormat="1" ht="16.5" customHeight="1">
      <c r="B827" s="255"/>
      <c r="C827" s="255"/>
      <c r="D827" s="257"/>
      <c r="E827" s="257"/>
      <c r="F827" s="257"/>
      <c r="G827" s="252"/>
      <c r="H827" s="252"/>
      <c r="I827" s="252"/>
      <c r="J827" s="252"/>
      <c r="K827" s="252"/>
      <c r="L827" s="252"/>
      <c r="M827" s="253"/>
      <c r="N827" s="253"/>
      <c r="O827" s="258"/>
      <c r="P827" s="258"/>
      <c r="Q827" s="258"/>
      <c r="R827" s="258"/>
      <c r="S827" s="258"/>
      <c r="T827" s="258"/>
      <c r="U827" s="258"/>
      <c r="V827" s="258"/>
      <c r="W827" s="258"/>
      <c r="X827" s="258"/>
      <c r="Y827" s="258"/>
      <c r="Z827" s="258"/>
      <c r="AA827" s="258"/>
      <c r="AB827" s="258"/>
      <c r="AC827" s="407"/>
    </row>
    <row r="828" spans="2:29" s="406" customFormat="1" ht="16.5" customHeight="1">
      <c r="B828" s="255"/>
      <c r="C828" s="255"/>
      <c r="D828" s="257"/>
      <c r="E828" s="257"/>
      <c r="F828" s="257"/>
      <c r="G828" s="252"/>
      <c r="H828" s="252"/>
      <c r="I828" s="252"/>
      <c r="J828" s="252"/>
      <c r="K828" s="252"/>
      <c r="L828" s="252"/>
      <c r="M828" s="253"/>
      <c r="N828" s="253"/>
      <c r="O828" s="258"/>
      <c r="P828" s="258"/>
      <c r="Q828" s="258"/>
      <c r="R828" s="258"/>
      <c r="S828" s="258"/>
      <c r="T828" s="258"/>
      <c r="U828" s="258"/>
      <c r="V828" s="258"/>
      <c r="W828" s="258"/>
      <c r="X828" s="258"/>
      <c r="Y828" s="258"/>
      <c r="Z828" s="258"/>
      <c r="AA828" s="258"/>
      <c r="AB828" s="258"/>
      <c r="AC828" s="407"/>
    </row>
    <row r="829" spans="2:29" s="406" customFormat="1" ht="16.5" customHeight="1">
      <c r="B829" s="255"/>
      <c r="C829" s="255"/>
      <c r="D829" s="257"/>
      <c r="E829" s="257"/>
      <c r="F829" s="257"/>
      <c r="G829" s="252"/>
      <c r="H829" s="252"/>
      <c r="I829" s="252"/>
      <c r="J829" s="252"/>
      <c r="K829" s="252"/>
      <c r="L829" s="252"/>
      <c r="M829" s="253"/>
      <c r="N829" s="253"/>
      <c r="O829" s="258"/>
      <c r="P829" s="258"/>
      <c r="Q829" s="258"/>
      <c r="R829" s="258"/>
      <c r="S829" s="258"/>
      <c r="T829" s="258"/>
      <c r="U829" s="258"/>
      <c r="V829" s="258"/>
      <c r="W829" s="258"/>
      <c r="X829" s="258"/>
      <c r="Y829" s="258"/>
      <c r="Z829" s="258"/>
      <c r="AA829" s="258"/>
      <c r="AB829" s="258"/>
      <c r="AC829" s="407"/>
    </row>
    <row r="830" spans="2:29" s="406" customFormat="1" ht="16.5" customHeight="1">
      <c r="B830" s="255"/>
      <c r="C830" s="255"/>
      <c r="D830" s="257"/>
      <c r="E830" s="257"/>
      <c r="F830" s="257"/>
      <c r="G830" s="252"/>
      <c r="H830" s="252"/>
      <c r="I830" s="252"/>
      <c r="J830" s="252"/>
      <c r="K830" s="252"/>
      <c r="L830" s="252"/>
      <c r="M830" s="253"/>
      <c r="N830" s="253"/>
      <c r="O830" s="258"/>
      <c r="P830" s="258"/>
      <c r="Q830" s="258"/>
      <c r="R830" s="258"/>
      <c r="S830" s="258"/>
      <c r="T830" s="258"/>
      <c r="U830" s="258"/>
      <c r="V830" s="258"/>
      <c r="W830" s="258"/>
      <c r="X830" s="258"/>
      <c r="Y830" s="258"/>
      <c r="Z830" s="258"/>
      <c r="AA830" s="258"/>
      <c r="AB830" s="258"/>
      <c r="AC830" s="407"/>
    </row>
    <row r="831" spans="2:29" s="406" customFormat="1" ht="16.5" customHeight="1">
      <c r="B831" s="255"/>
      <c r="C831" s="255"/>
      <c r="D831" s="257"/>
      <c r="E831" s="257"/>
      <c r="F831" s="257"/>
      <c r="G831" s="252"/>
      <c r="H831" s="252"/>
      <c r="I831" s="252"/>
      <c r="J831" s="252"/>
      <c r="K831" s="252"/>
      <c r="L831" s="252"/>
      <c r="M831" s="253"/>
      <c r="N831" s="253"/>
      <c r="O831" s="258"/>
      <c r="P831" s="258"/>
      <c r="Q831" s="258"/>
      <c r="R831" s="258"/>
      <c r="S831" s="258"/>
      <c r="T831" s="258"/>
      <c r="U831" s="258"/>
      <c r="V831" s="258"/>
      <c r="W831" s="258"/>
      <c r="X831" s="258"/>
      <c r="Y831" s="258"/>
      <c r="Z831" s="258"/>
      <c r="AA831" s="258"/>
      <c r="AB831" s="258"/>
      <c r="AC831" s="407"/>
    </row>
    <row r="832" spans="2:29" s="406" customFormat="1" ht="16.5" customHeight="1">
      <c r="B832" s="255"/>
      <c r="C832" s="255"/>
      <c r="D832" s="257"/>
      <c r="E832" s="257"/>
      <c r="F832" s="257"/>
      <c r="G832" s="252"/>
      <c r="H832" s="252"/>
      <c r="I832" s="252"/>
      <c r="J832" s="252"/>
      <c r="K832" s="252"/>
      <c r="L832" s="252"/>
      <c r="M832" s="253"/>
      <c r="N832" s="253"/>
      <c r="O832" s="258"/>
      <c r="P832" s="258"/>
      <c r="Q832" s="258"/>
      <c r="R832" s="258"/>
      <c r="S832" s="258"/>
      <c r="T832" s="258"/>
      <c r="U832" s="258"/>
      <c r="V832" s="258"/>
      <c r="W832" s="258"/>
      <c r="X832" s="258"/>
      <c r="Y832" s="258"/>
      <c r="Z832" s="258"/>
      <c r="AA832" s="258"/>
      <c r="AB832" s="258"/>
      <c r="AC832" s="407"/>
    </row>
    <row r="833" spans="2:29" s="406" customFormat="1" ht="16.5" customHeight="1">
      <c r="B833" s="255"/>
      <c r="C833" s="255"/>
      <c r="D833" s="257"/>
      <c r="E833" s="257"/>
      <c r="F833" s="257"/>
      <c r="G833" s="252"/>
      <c r="H833" s="252"/>
      <c r="I833" s="252"/>
      <c r="J833" s="252"/>
      <c r="K833" s="252"/>
      <c r="L833" s="252"/>
      <c r="M833" s="253"/>
      <c r="N833" s="253"/>
      <c r="O833" s="258"/>
      <c r="P833" s="258"/>
      <c r="Q833" s="258"/>
      <c r="R833" s="258"/>
      <c r="S833" s="258"/>
      <c r="T833" s="258"/>
      <c r="U833" s="258"/>
      <c r="V833" s="258"/>
      <c r="W833" s="258"/>
      <c r="X833" s="258"/>
      <c r="Y833" s="258"/>
      <c r="Z833" s="258"/>
      <c r="AA833" s="258"/>
      <c r="AB833" s="258"/>
      <c r="AC833" s="407"/>
    </row>
    <row r="834" spans="2:29" s="406" customFormat="1" ht="16.5" customHeight="1">
      <c r="B834" s="255"/>
      <c r="C834" s="255"/>
      <c r="D834" s="257"/>
      <c r="E834" s="257"/>
      <c r="F834" s="257"/>
      <c r="G834" s="252"/>
      <c r="H834" s="252"/>
      <c r="I834" s="252"/>
      <c r="J834" s="252"/>
      <c r="K834" s="252"/>
      <c r="L834" s="252"/>
      <c r="M834" s="253"/>
      <c r="N834" s="253"/>
      <c r="O834" s="258"/>
      <c r="P834" s="258"/>
      <c r="Q834" s="258"/>
      <c r="R834" s="258"/>
      <c r="S834" s="258"/>
      <c r="T834" s="258"/>
      <c r="U834" s="258"/>
      <c r="V834" s="258"/>
      <c r="W834" s="258"/>
      <c r="X834" s="258"/>
      <c r="Y834" s="258"/>
      <c r="Z834" s="258"/>
      <c r="AA834" s="258"/>
      <c r="AB834" s="258"/>
      <c r="AC834" s="407"/>
    </row>
    <row r="835" spans="2:29" s="406" customFormat="1" ht="16.5" customHeight="1">
      <c r="B835" s="255"/>
      <c r="C835" s="255"/>
      <c r="D835" s="257"/>
      <c r="E835" s="257"/>
      <c r="F835" s="257"/>
      <c r="G835" s="252"/>
      <c r="H835" s="252"/>
      <c r="I835" s="252"/>
      <c r="J835" s="252"/>
      <c r="K835" s="252"/>
      <c r="L835" s="252"/>
      <c r="M835" s="253"/>
      <c r="N835" s="253"/>
      <c r="O835" s="258"/>
      <c r="P835" s="258"/>
      <c r="Q835" s="258"/>
      <c r="R835" s="258"/>
      <c r="S835" s="258"/>
      <c r="T835" s="258"/>
      <c r="U835" s="258"/>
      <c r="V835" s="258"/>
      <c r="W835" s="258"/>
      <c r="X835" s="258"/>
      <c r="Y835" s="258"/>
      <c r="Z835" s="258"/>
      <c r="AA835" s="258"/>
      <c r="AB835" s="258"/>
      <c r="AC835" s="407"/>
    </row>
    <row r="836" spans="2:29" s="406" customFormat="1" ht="16.5" customHeight="1">
      <c r="B836" s="255"/>
      <c r="C836" s="255"/>
      <c r="D836" s="257"/>
      <c r="E836" s="257"/>
      <c r="F836" s="257"/>
      <c r="G836" s="252"/>
      <c r="H836" s="252"/>
      <c r="I836" s="252"/>
      <c r="J836" s="252"/>
      <c r="K836" s="252"/>
      <c r="L836" s="252"/>
      <c r="M836" s="253"/>
      <c r="N836" s="253"/>
      <c r="O836" s="258"/>
      <c r="P836" s="258"/>
      <c r="Q836" s="258"/>
      <c r="R836" s="258"/>
      <c r="S836" s="258"/>
      <c r="T836" s="258"/>
      <c r="U836" s="258"/>
      <c r="V836" s="258"/>
      <c r="W836" s="258"/>
      <c r="X836" s="258"/>
      <c r="Y836" s="258"/>
      <c r="Z836" s="258"/>
      <c r="AA836" s="258"/>
      <c r="AB836" s="258"/>
      <c r="AC836" s="407"/>
    </row>
    <row r="837" spans="2:29" s="406" customFormat="1" ht="16.5" customHeight="1">
      <c r="B837" s="255"/>
      <c r="C837" s="255"/>
      <c r="D837" s="257"/>
      <c r="E837" s="257"/>
      <c r="F837" s="257"/>
      <c r="G837" s="252"/>
      <c r="H837" s="252"/>
      <c r="I837" s="252"/>
      <c r="J837" s="252"/>
      <c r="K837" s="252"/>
      <c r="L837" s="252"/>
      <c r="M837" s="253"/>
      <c r="N837" s="253"/>
      <c r="O837" s="258"/>
      <c r="P837" s="258"/>
      <c r="Q837" s="258"/>
      <c r="R837" s="258"/>
      <c r="S837" s="258"/>
      <c r="T837" s="258"/>
      <c r="U837" s="258"/>
      <c r="V837" s="258"/>
      <c r="W837" s="258"/>
      <c r="X837" s="258"/>
      <c r="Y837" s="258"/>
      <c r="Z837" s="258"/>
      <c r="AA837" s="258"/>
      <c r="AB837" s="258"/>
      <c r="AC837" s="407"/>
    </row>
    <row r="838" spans="2:29" s="406" customFormat="1" ht="16.5" customHeight="1">
      <c r="B838" s="255"/>
      <c r="C838" s="255"/>
      <c r="D838" s="257"/>
      <c r="E838" s="257"/>
      <c r="F838" s="257"/>
      <c r="G838" s="252"/>
      <c r="H838" s="252"/>
      <c r="I838" s="252"/>
      <c r="J838" s="252"/>
      <c r="K838" s="252"/>
      <c r="L838" s="252"/>
      <c r="M838" s="253"/>
      <c r="N838" s="253"/>
      <c r="O838" s="258"/>
      <c r="P838" s="258"/>
      <c r="Q838" s="258"/>
      <c r="R838" s="258"/>
      <c r="S838" s="258"/>
      <c r="T838" s="258"/>
      <c r="U838" s="258"/>
      <c r="V838" s="258"/>
      <c r="W838" s="258"/>
      <c r="X838" s="258"/>
      <c r="Y838" s="258"/>
      <c r="Z838" s="258"/>
      <c r="AA838" s="258"/>
      <c r="AB838" s="258"/>
      <c r="AC838" s="407"/>
    </row>
    <row r="839" spans="2:29" s="406" customFormat="1" ht="16.5" customHeight="1">
      <c r="B839" s="255"/>
      <c r="C839" s="255"/>
      <c r="D839" s="257"/>
      <c r="E839" s="257"/>
      <c r="F839" s="257"/>
      <c r="G839" s="252"/>
      <c r="H839" s="252"/>
      <c r="I839" s="252"/>
      <c r="J839" s="252"/>
      <c r="K839" s="252"/>
      <c r="L839" s="252"/>
      <c r="M839" s="253"/>
      <c r="N839" s="253"/>
      <c r="O839" s="258"/>
      <c r="P839" s="258"/>
      <c r="Q839" s="258"/>
      <c r="R839" s="258"/>
      <c r="S839" s="258"/>
      <c r="T839" s="258"/>
      <c r="U839" s="258"/>
      <c r="V839" s="258"/>
      <c r="W839" s="258"/>
      <c r="X839" s="258"/>
      <c r="Y839" s="258"/>
      <c r="Z839" s="258"/>
      <c r="AA839" s="258"/>
      <c r="AB839" s="258"/>
      <c r="AC839" s="407"/>
    </row>
    <row r="840" spans="2:29" s="406" customFormat="1" ht="16.5" customHeight="1">
      <c r="B840" s="255"/>
      <c r="C840" s="255"/>
      <c r="D840" s="257"/>
      <c r="E840" s="257"/>
      <c r="F840" s="257"/>
      <c r="G840" s="252"/>
      <c r="H840" s="252"/>
      <c r="I840" s="252"/>
      <c r="J840" s="252"/>
      <c r="K840" s="252"/>
      <c r="L840" s="252"/>
      <c r="M840" s="253"/>
      <c r="N840" s="253"/>
      <c r="O840" s="258"/>
      <c r="P840" s="258"/>
      <c r="Q840" s="258"/>
      <c r="R840" s="258"/>
      <c r="S840" s="258"/>
      <c r="T840" s="258"/>
      <c r="U840" s="258"/>
      <c r="V840" s="258"/>
      <c r="W840" s="258"/>
      <c r="X840" s="258"/>
      <c r="Y840" s="258"/>
      <c r="Z840" s="258"/>
      <c r="AA840" s="258"/>
      <c r="AB840" s="258"/>
      <c r="AC840" s="407"/>
    </row>
    <row r="841" spans="2:29" s="406" customFormat="1" ht="16.5" customHeight="1">
      <c r="B841" s="255"/>
      <c r="C841" s="255"/>
      <c r="D841" s="257"/>
      <c r="E841" s="257"/>
      <c r="F841" s="257"/>
      <c r="G841" s="252"/>
      <c r="H841" s="252"/>
      <c r="I841" s="252"/>
      <c r="J841" s="252"/>
      <c r="K841" s="252"/>
      <c r="L841" s="252"/>
      <c r="M841" s="253"/>
      <c r="N841" s="253"/>
      <c r="O841" s="258"/>
      <c r="P841" s="258"/>
      <c r="Q841" s="258"/>
      <c r="R841" s="258"/>
      <c r="S841" s="258"/>
      <c r="T841" s="258"/>
      <c r="U841" s="258"/>
      <c r="V841" s="258"/>
      <c r="W841" s="258"/>
      <c r="X841" s="258"/>
      <c r="Y841" s="258"/>
      <c r="Z841" s="258"/>
      <c r="AA841" s="258"/>
      <c r="AB841" s="258"/>
      <c r="AC841" s="407"/>
    </row>
    <row r="842" spans="2:29" s="406" customFormat="1" ht="16.5" customHeight="1">
      <c r="B842" s="255"/>
      <c r="C842" s="255"/>
      <c r="D842" s="257"/>
      <c r="E842" s="257"/>
      <c r="F842" s="257"/>
      <c r="G842" s="252"/>
      <c r="H842" s="252"/>
      <c r="I842" s="252"/>
      <c r="J842" s="252"/>
      <c r="K842" s="252"/>
      <c r="L842" s="252"/>
      <c r="M842" s="253"/>
      <c r="N842" s="253"/>
      <c r="O842" s="258"/>
      <c r="P842" s="258"/>
      <c r="Q842" s="258"/>
      <c r="R842" s="258"/>
      <c r="S842" s="258"/>
      <c r="T842" s="258"/>
      <c r="U842" s="258"/>
      <c r="V842" s="258"/>
      <c r="W842" s="258"/>
      <c r="X842" s="258"/>
      <c r="Y842" s="258"/>
      <c r="Z842" s="258"/>
      <c r="AA842" s="258"/>
      <c r="AB842" s="258"/>
      <c r="AC842" s="407"/>
    </row>
    <row r="843" spans="2:29" s="406" customFormat="1" ht="16.5" customHeight="1">
      <c r="B843" s="255"/>
      <c r="C843" s="255"/>
      <c r="D843" s="257"/>
      <c r="E843" s="257"/>
      <c r="F843" s="257"/>
      <c r="G843" s="252"/>
      <c r="H843" s="252"/>
      <c r="I843" s="252"/>
      <c r="J843" s="252"/>
      <c r="K843" s="252"/>
      <c r="L843" s="252"/>
      <c r="M843" s="253"/>
      <c r="N843" s="253"/>
      <c r="O843" s="258"/>
      <c r="P843" s="258"/>
      <c r="Q843" s="258"/>
      <c r="R843" s="258"/>
      <c r="S843" s="258"/>
      <c r="T843" s="258"/>
      <c r="U843" s="258"/>
      <c r="V843" s="258"/>
      <c r="W843" s="258"/>
      <c r="X843" s="258"/>
      <c r="Y843" s="258"/>
      <c r="Z843" s="258"/>
      <c r="AA843" s="258"/>
      <c r="AB843" s="258"/>
      <c r="AC843" s="407"/>
    </row>
    <row r="844" spans="2:29" s="406" customFormat="1" ht="16.5" customHeight="1">
      <c r="B844" s="255"/>
      <c r="C844" s="255"/>
      <c r="D844" s="257"/>
      <c r="E844" s="257"/>
      <c r="F844" s="257"/>
      <c r="G844" s="252"/>
      <c r="H844" s="252"/>
      <c r="I844" s="252"/>
      <c r="J844" s="252"/>
      <c r="K844" s="252"/>
      <c r="L844" s="252"/>
      <c r="M844" s="253"/>
      <c r="N844" s="253"/>
      <c r="O844" s="258"/>
      <c r="P844" s="258"/>
      <c r="Q844" s="258"/>
      <c r="R844" s="258"/>
      <c r="S844" s="258"/>
      <c r="T844" s="258"/>
      <c r="U844" s="258"/>
      <c r="V844" s="258"/>
      <c r="W844" s="258"/>
      <c r="X844" s="258"/>
      <c r="Y844" s="258"/>
      <c r="Z844" s="258"/>
      <c r="AA844" s="258"/>
      <c r="AB844" s="258"/>
      <c r="AC844" s="407"/>
    </row>
    <row r="845" spans="2:29" s="406" customFormat="1" ht="16.5" customHeight="1">
      <c r="B845" s="255"/>
      <c r="C845" s="255"/>
      <c r="D845" s="257"/>
      <c r="E845" s="257"/>
      <c r="F845" s="257"/>
      <c r="G845" s="252"/>
      <c r="H845" s="252"/>
      <c r="I845" s="252"/>
      <c r="J845" s="252"/>
      <c r="K845" s="252"/>
      <c r="L845" s="252"/>
      <c r="M845" s="253"/>
      <c r="N845" s="253"/>
      <c r="O845" s="258"/>
      <c r="P845" s="258"/>
      <c r="Q845" s="258"/>
      <c r="R845" s="258"/>
      <c r="S845" s="258"/>
      <c r="T845" s="258"/>
      <c r="U845" s="258"/>
      <c r="V845" s="258"/>
      <c r="W845" s="258"/>
      <c r="X845" s="258"/>
      <c r="Y845" s="258"/>
      <c r="Z845" s="258"/>
      <c r="AA845" s="258"/>
      <c r="AB845" s="258"/>
      <c r="AC845" s="407"/>
    </row>
    <row r="846" spans="2:29" s="406" customFormat="1" ht="16.5" customHeight="1">
      <c r="B846" s="255"/>
      <c r="C846" s="255"/>
      <c r="D846" s="257"/>
      <c r="E846" s="257"/>
      <c r="F846" s="257"/>
      <c r="G846" s="252"/>
      <c r="H846" s="252"/>
      <c r="I846" s="252"/>
      <c r="J846" s="252"/>
      <c r="K846" s="252"/>
      <c r="L846" s="252"/>
      <c r="M846" s="253"/>
      <c r="N846" s="253"/>
      <c r="O846" s="258"/>
      <c r="P846" s="258"/>
      <c r="Q846" s="258"/>
      <c r="R846" s="258"/>
      <c r="S846" s="258"/>
      <c r="T846" s="258"/>
      <c r="U846" s="258"/>
      <c r="V846" s="258"/>
      <c r="W846" s="258"/>
      <c r="X846" s="258"/>
      <c r="Y846" s="258"/>
      <c r="Z846" s="258"/>
      <c r="AA846" s="258"/>
      <c r="AB846" s="258"/>
      <c r="AC846" s="407"/>
    </row>
    <row r="847" spans="2:29" s="406" customFormat="1" ht="16.5" customHeight="1">
      <c r="B847" s="255"/>
      <c r="C847" s="255"/>
      <c r="D847" s="257"/>
      <c r="E847" s="257"/>
      <c r="F847" s="257"/>
      <c r="G847" s="252"/>
      <c r="H847" s="252"/>
      <c r="I847" s="252"/>
      <c r="J847" s="252"/>
      <c r="K847" s="252"/>
      <c r="L847" s="252"/>
      <c r="M847" s="253"/>
      <c r="N847" s="253"/>
      <c r="O847" s="258"/>
      <c r="P847" s="258"/>
      <c r="Q847" s="258"/>
      <c r="R847" s="258"/>
      <c r="S847" s="258"/>
      <c r="T847" s="258"/>
      <c r="U847" s="258"/>
      <c r="V847" s="258"/>
      <c r="W847" s="258"/>
      <c r="X847" s="258"/>
      <c r="Y847" s="258"/>
      <c r="Z847" s="258"/>
      <c r="AA847" s="258"/>
      <c r="AB847" s="258"/>
      <c r="AC847" s="407"/>
    </row>
    <row r="848" spans="2:29" s="406" customFormat="1" ht="16.5" customHeight="1">
      <c r="B848" s="255"/>
      <c r="C848" s="255"/>
      <c r="D848" s="257"/>
      <c r="E848" s="257"/>
      <c r="F848" s="257"/>
      <c r="G848" s="252"/>
      <c r="H848" s="252"/>
      <c r="I848" s="252"/>
      <c r="J848" s="252"/>
      <c r="K848" s="252"/>
      <c r="L848" s="252"/>
      <c r="M848" s="253"/>
      <c r="N848" s="253"/>
      <c r="O848" s="258"/>
      <c r="P848" s="258"/>
      <c r="Q848" s="258"/>
      <c r="R848" s="258"/>
      <c r="S848" s="258"/>
      <c r="T848" s="258"/>
      <c r="U848" s="258"/>
      <c r="V848" s="258"/>
      <c r="W848" s="258"/>
      <c r="X848" s="258"/>
      <c r="Y848" s="258"/>
      <c r="Z848" s="258"/>
      <c r="AA848" s="258"/>
      <c r="AB848" s="258"/>
      <c r="AC848" s="407"/>
    </row>
    <row r="849" spans="2:29" s="406" customFormat="1" ht="16.5" customHeight="1">
      <c r="B849" s="255"/>
      <c r="C849" s="255"/>
      <c r="D849" s="257"/>
      <c r="E849" s="257"/>
      <c r="F849" s="257"/>
      <c r="G849" s="252"/>
      <c r="H849" s="252"/>
      <c r="I849" s="252"/>
      <c r="J849" s="252"/>
      <c r="K849" s="252"/>
      <c r="L849" s="252"/>
      <c r="M849" s="253"/>
      <c r="N849" s="253"/>
      <c r="O849" s="258"/>
      <c r="P849" s="258"/>
      <c r="Q849" s="258"/>
      <c r="R849" s="258"/>
      <c r="S849" s="258"/>
      <c r="T849" s="258"/>
      <c r="U849" s="258"/>
      <c r="V849" s="258"/>
      <c r="W849" s="258"/>
      <c r="X849" s="258"/>
      <c r="Y849" s="258"/>
      <c r="Z849" s="258"/>
      <c r="AA849" s="258"/>
      <c r="AB849" s="258"/>
      <c r="AC849" s="407"/>
    </row>
    <row r="850" spans="2:29" s="406" customFormat="1" ht="16.5" customHeight="1">
      <c r="B850" s="255"/>
      <c r="C850" s="255"/>
      <c r="D850" s="257"/>
      <c r="E850" s="257"/>
      <c r="F850" s="257"/>
      <c r="G850" s="252"/>
      <c r="H850" s="252"/>
      <c r="I850" s="252"/>
      <c r="J850" s="252"/>
      <c r="K850" s="252"/>
      <c r="L850" s="252"/>
      <c r="M850" s="253"/>
      <c r="N850" s="253"/>
      <c r="O850" s="258"/>
      <c r="P850" s="258"/>
      <c r="Q850" s="258"/>
      <c r="R850" s="258"/>
      <c r="S850" s="258"/>
      <c r="T850" s="258"/>
      <c r="U850" s="258"/>
      <c r="V850" s="258"/>
      <c r="W850" s="258"/>
      <c r="X850" s="258"/>
      <c r="Y850" s="258"/>
      <c r="Z850" s="258"/>
      <c r="AA850" s="258"/>
      <c r="AB850" s="258"/>
      <c r="AC850" s="407"/>
    </row>
    <row r="851" spans="2:29" s="406" customFormat="1" ht="16.5" customHeight="1">
      <c r="B851" s="255"/>
      <c r="C851" s="255"/>
      <c r="D851" s="257"/>
      <c r="E851" s="257"/>
      <c r="F851" s="257"/>
      <c r="G851" s="252"/>
      <c r="H851" s="252"/>
      <c r="I851" s="252"/>
      <c r="J851" s="252"/>
      <c r="K851" s="252"/>
      <c r="L851" s="252"/>
      <c r="M851" s="253"/>
      <c r="N851" s="253"/>
      <c r="O851" s="258"/>
      <c r="P851" s="258"/>
      <c r="Q851" s="258"/>
      <c r="R851" s="258"/>
      <c r="S851" s="258"/>
      <c r="T851" s="258"/>
      <c r="U851" s="258"/>
      <c r="V851" s="258"/>
      <c r="W851" s="258"/>
      <c r="X851" s="258"/>
      <c r="Y851" s="258"/>
      <c r="Z851" s="258"/>
      <c r="AA851" s="258"/>
      <c r="AB851" s="258"/>
      <c r="AC851" s="407"/>
    </row>
    <row r="852" spans="2:29" s="406" customFormat="1" ht="16.5" customHeight="1">
      <c r="B852" s="255"/>
      <c r="C852" s="255"/>
      <c r="D852" s="257"/>
      <c r="E852" s="257"/>
      <c r="F852" s="257"/>
      <c r="G852" s="252"/>
      <c r="H852" s="252"/>
      <c r="I852" s="252"/>
      <c r="J852" s="252"/>
      <c r="K852" s="252"/>
      <c r="L852" s="252"/>
      <c r="M852" s="253"/>
      <c r="N852" s="253"/>
      <c r="O852" s="258"/>
      <c r="P852" s="258"/>
      <c r="Q852" s="258"/>
      <c r="R852" s="258"/>
      <c r="S852" s="258"/>
      <c r="T852" s="258"/>
      <c r="U852" s="258"/>
      <c r="V852" s="258"/>
      <c r="W852" s="258"/>
      <c r="X852" s="258"/>
      <c r="Y852" s="258"/>
      <c r="Z852" s="258"/>
      <c r="AA852" s="258"/>
      <c r="AB852" s="258"/>
      <c r="AC852" s="407"/>
    </row>
    <row r="853" spans="2:29" s="406" customFormat="1" ht="16.5" customHeight="1">
      <c r="B853" s="255"/>
      <c r="C853" s="255"/>
      <c r="D853" s="257"/>
      <c r="E853" s="257"/>
      <c r="F853" s="257"/>
      <c r="G853" s="252"/>
      <c r="H853" s="252"/>
      <c r="I853" s="252"/>
      <c r="J853" s="252"/>
      <c r="K853" s="252"/>
      <c r="L853" s="252"/>
      <c r="M853" s="253"/>
      <c r="N853" s="253"/>
      <c r="O853" s="258"/>
      <c r="P853" s="258"/>
      <c r="Q853" s="258"/>
      <c r="R853" s="258"/>
      <c r="S853" s="258"/>
      <c r="T853" s="258"/>
      <c r="U853" s="258"/>
      <c r="V853" s="258"/>
      <c r="W853" s="258"/>
      <c r="X853" s="258"/>
      <c r="Y853" s="258"/>
      <c r="Z853" s="258"/>
      <c r="AA853" s="258"/>
      <c r="AB853" s="258"/>
      <c r="AC853" s="407"/>
    </row>
    <row r="854" spans="2:29" s="406" customFormat="1" ht="16.5" customHeight="1">
      <c r="B854" s="255"/>
      <c r="C854" s="255"/>
      <c r="D854" s="257"/>
      <c r="E854" s="257"/>
      <c r="F854" s="257"/>
      <c r="G854" s="252"/>
      <c r="H854" s="252"/>
      <c r="I854" s="252"/>
      <c r="J854" s="252"/>
      <c r="K854" s="252"/>
      <c r="L854" s="252"/>
      <c r="M854" s="253"/>
      <c r="N854" s="253"/>
      <c r="O854" s="258"/>
      <c r="P854" s="258"/>
      <c r="Q854" s="258"/>
      <c r="R854" s="258"/>
      <c r="S854" s="258"/>
      <c r="T854" s="258"/>
      <c r="U854" s="258"/>
      <c r="V854" s="258"/>
      <c r="W854" s="258"/>
      <c r="X854" s="258"/>
      <c r="Y854" s="258"/>
      <c r="Z854" s="258"/>
      <c r="AA854" s="258"/>
      <c r="AB854" s="258"/>
      <c r="AC854" s="407"/>
    </row>
    <row r="855" spans="2:29" s="406" customFormat="1" ht="16.5" customHeight="1">
      <c r="B855" s="255"/>
      <c r="C855" s="255"/>
      <c r="D855" s="257"/>
      <c r="E855" s="257"/>
      <c r="F855" s="257"/>
      <c r="G855" s="252"/>
      <c r="H855" s="252"/>
      <c r="I855" s="252"/>
      <c r="J855" s="252"/>
      <c r="K855" s="252"/>
      <c r="L855" s="252"/>
      <c r="M855" s="253"/>
      <c r="N855" s="253"/>
      <c r="O855" s="258"/>
      <c r="P855" s="258"/>
      <c r="Q855" s="258"/>
      <c r="R855" s="258"/>
      <c r="S855" s="258"/>
      <c r="T855" s="258"/>
      <c r="U855" s="258"/>
      <c r="V855" s="258"/>
      <c r="W855" s="258"/>
      <c r="X855" s="258"/>
      <c r="Y855" s="258"/>
      <c r="Z855" s="258"/>
      <c r="AA855" s="258"/>
      <c r="AB855" s="258"/>
      <c r="AC855" s="407"/>
    </row>
    <row r="856" spans="2:29" s="406" customFormat="1" ht="16.5" customHeight="1">
      <c r="B856" s="255"/>
      <c r="C856" s="255"/>
      <c r="D856" s="257"/>
      <c r="E856" s="257"/>
      <c r="F856" s="257"/>
      <c r="G856" s="252"/>
      <c r="H856" s="252"/>
      <c r="I856" s="252"/>
      <c r="J856" s="252"/>
      <c r="K856" s="252"/>
      <c r="L856" s="252"/>
      <c r="M856" s="253"/>
      <c r="N856" s="253"/>
      <c r="O856" s="258"/>
      <c r="P856" s="258"/>
      <c r="Q856" s="258"/>
      <c r="R856" s="258"/>
      <c r="S856" s="258"/>
      <c r="T856" s="258"/>
      <c r="U856" s="258"/>
      <c r="V856" s="258"/>
      <c r="W856" s="258"/>
      <c r="X856" s="258"/>
      <c r="Y856" s="258"/>
      <c r="Z856" s="258"/>
      <c r="AA856" s="258"/>
      <c r="AB856" s="258"/>
      <c r="AC856" s="407"/>
    </row>
    <row r="857" spans="2:29" s="406" customFormat="1" ht="16.5" customHeight="1">
      <c r="B857" s="255"/>
      <c r="C857" s="255"/>
      <c r="D857" s="257"/>
      <c r="E857" s="257"/>
      <c r="F857" s="257"/>
      <c r="G857" s="252"/>
      <c r="H857" s="252"/>
      <c r="I857" s="252"/>
      <c r="J857" s="252"/>
      <c r="K857" s="252"/>
      <c r="L857" s="252"/>
      <c r="M857" s="253"/>
      <c r="N857" s="253"/>
      <c r="O857" s="258"/>
      <c r="P857" s="258"/>
      <c r="Q857" s="258"/>
      <c r="R857" s="258"/>
      <c r="S857" s="258"/>
      <c r="T857" s="258"/>
      <c r="U857" s="258"/>
      <c r="V857" s="258"/>
      <c r="W857" s="258"/>
      <c r="X857" s="258"/>
      <c r="Y857" s="258"/>
      <c r="Z857" s="258"/>
      <c r="AA857" s="258"/>
      <c r="AB857" s="258"/>
      <c r="AC857" s="407"/>
    </row>
    <row r="858" spans="2:29" s="406" customFormat="1" ht="16.5" customHeight="1">
      <c r="B858" s="255"/>
      <c r="C858" s="255"/>
      <c r="D858" s="257"/>
      <c r="E858" s="257"/>
      <c r="F858" s="257"/>
      <c r="G858" s="252"/>
      <c r="H858" s="252"/>
      <c r="I858" s="252"/>
      <c r="J858" s="252"/>
      <c r="K858" s="252"/>
      <c r="L858" s="252"/>
      <c r="M858" s="253"/>
      <c r="N858" s="253"/>
      <c r="O858" s="258"/>
      <c r="P858" s="258"/>
      <c r="Q858" s="258"/>
      <c r="R858" s="258"/>
      <c r="S858" s="258"/>
      <c r="T858" s="258"/>
      <c r="U858" s="258"/>
      <c r="V858" s="258"/>
      <c r="W858" s="258"/>
      <c r="X858" s="258"/>
      <c r="Y858" s="258"/>
      <c r="Z858" s="258"/>
      <c r="AA858" s="258"/>
      <c r="AB858" s="258"/>
      <c r="AC858" s="407"/>
    </row>
    <row r="859" spans="2:29" s="406" customFormat="1" ht="16.5" customHeight="1">
      <c r="B859" s="255"/>
      <c r="C859" s="255"/>
      <c r="D859" s="257"/>
      <c r="E859" s="257"/>
      <c r="F859" s="257"/>
      <c r="G859" s="252"/>
      <c r="H859" s="252"/>
      <c r="I859" s="252"/>
      <c r="J859" s="252"/>
      <c r="K859" s="252"/>
      <c r="L859" s="252"/>
      <c r="M859" s="253"/>
      <c r="N859" s="253"/>
      <c r="O859" s="258"/>
      <c r="P859" s="258"/>
      <c r="Q859" s="258"/>
      <c r="R859" s="258"/>
      <c r="S859" s="258"/>
      <c r="T859" s="258"/>
      <c r="U859" s="258"/>
      <c r="V859" s="258"/>
      <c r="W859" s="258"/>
      <c r="X859" s="258"/>
      <c r="Y859" s="258"/>
      <c r="Z859" s="258"/>
      <c r="AA859" s="258"/>
      <c r="AB859" s="258"/>
      <c r="AC859" s="407"/>
    </row>
    <row r="860" spans="2:29" s="406" customFormat="1" ht="16.5" customHeight="1">
      <c r="B860" s="255"/>
      <c r="C860" s="255"/>
      <c r="D860" s="257"/>
      <c r="E860" s="257"/>
      <c r="F860" s="257"/>
      <c r="G860" s="252"/>
      <c r="H860" s="252"/>
      <c r="I860" s="252"/>
      <c r="J860" s="252"/>
      <c r="K860" s="252"/>
      <c r="L860" s="252"/>
      <c r="M860" s="253"/>
      <c r="N860" s="253"/>
      <c r="O860" s="258"/>
      <c r="P860" s="258"/>
      <c r="Q860" s="258"/>
      <c r="R860" s="258"/>
      <c r="S860" s="258"/>
      <c r="T860" s="258"/>
      <c r="U860" s="258"/>
      <c r="V860" s="258"/>
      <c r="W860" s="258"/>
      <c r="X860" s="258"/>
      <c r="Y860" s="258"/>
      <c r="Z860" s="258"/>
      <c r="AA860" s="258"/>
      <c r="AB860" s="258"/>
      <c r="AC860" s="407"/>
    </row>
    <row r="861" spans="2:29" s="406" customFormat="1" ht="16.5" customHeight="1">
      <c r="B861" s="255"/>
      <c r="C861" s="255"/>
      <c r="D861" s="257"/>
      <c r="E861" s="257"/>
      <c r="F861" s="257"/>
      <c r="G861" s="252"/>
      <c r="H861" s="252"/>
      <c r="I861" s="252"/>
      <c r="J861" s="252"/>
      <c r="K861" s="252"/>
      <c r="L861" s="252"/>
      <c r="M861" s="253"/>
      <c r="N861" s="253"/>
      <c r="O861" s="258"/>
      <c r="P861" s="258"/>
      <c r="Q861" s="258"/>
      <c r="R861" s="258"/>
      <c r="S861" s="258"/>
      <c r="T861" s="258"/>
      <c r="U861" s="258"/>
      <c r="V861" s="258"/>
      <c r="W861" s="258"/>
      <c r="X861" s="258"/>
      <c r="Y861" s="258"/>
      <c r="Z861" s="258"/>
      <c r="AA861" s="258"/>
      <c r="AB861" s="258"/>
      <c r="AC861" s="407"/>
    </row>
    <row r="862" spans="2:29" s="406" customFormat="1" ht="16.5" customHeight="1">
      <c r="B862" s="255"/>
      <c r="C862" s="255"/>
      <c r="D862" s="257"/>
      <c r="E862" s="257"/>
      <c r="F862" s="257"/>
      <c r="G862" s="252"/>
      <c r="H862" s="252"/>
      <c r="I862" s="252"/>
      <c r="J862" s="252"/>
      <c r="K862" s="252"/>
      <c r="L862" s="252"/>
      <c r="M862" s="253"/>
      <c r="N862" s="253"/>
      <c r="O862" s="258"/>
      <c r="P862" s="258"/>
      <c r="Q862" s="258"/>
      <c r="R862" s="258"/>
      <c r="S862" s="258"/>
      <c r="T862" s="258"/>
      <c r="U862" s="258"/>
      <c r="V862" s="258"/>
      <c r="W862" s="258"/>
      <c r="X862" s="258"/>
      <c r="Y862" s="258"/>
      <c r="Z862" s="258"/>
      <c r="AA862" s="258"/>
      <c r="AB862" s="258"/>
      <c r="AC862" s="407"/>
    </row>
    <row r="863" spans="2:29" s="406" customFormat="1" ht="16.5" customHeight="1">
      <c r="B863" s="255"/>
      <c r="C863" s="255"/>
      <c r="D863" s="257"/>
      <c r="E863" s="257"/>
      <c r="F863" s="257"/>
      <c r="G863" s="252"/>
      <c r="H863" s="252"/>
      <c r="I863" s="252"/>
      <c r="J863" s="252"/>
      <c r="K863" s="252"/>
      <c r="L863" s="252"/>
      <c r="M863" s="253"/>
      <c r="N863" s="253"/>
      <c r="O863" s="258"/>
      <c r="P863" s="258"/>
      <c r="Q863" s="258"/>
      <c r="R863" s="258"/>
      <c r="S863" s="258"/>
      <c r="T863" s="258"/>
      <c r="U863" s="258"/>
      <c r="V863" s="258"/>
      <c r="W863" s="258"/>
      <c r="X863" s="258"/>
      <c r="Y863" s="258"/>
      <c r="Z863" s="258"/>
      <c r="AA863" s="258"/>
      <c r="AB863" s="258"/>
      <c r="AC863" s="407"/>
    </row>
    <row r="864" spans="2:29" s="406" customFormat="1" ht="16.5" customHeight="1">
      <c r="B864" s="255"/>
      <c r="C864" s="255"/>
      <c r="D864" s="257"/>
      <c r="E864" s="257"/>
      <c r="F864" s="257"/>
      <c r="G864" s="252"/>
      <c r="H864" s="252"/>
      <c r="I864" s="252"/>
      <c r="J864" s="252"/>
      <c r="K864" s="252"/>
      <c r="L864" s="252"/>
      <c r="M864" s="253"/>
      <c r="N864" s="253"/>
      <c r="O864" s="258"/>
      <c r="P864" s="258"/>
      <c r="Q864" s="258"/>
      <c r="R864" s="258"/>
      <c r="S864" s="258"/>
      <c r="T864" s="258"/>
      <c r="U864" s="258"/>
      <c r="V864" s="258"/>
      <c r="W864" s="258"/>
      <c r="X864" s="258"/>
      <c r="Y864" s="258"/>
      <c r="Z864" s="258"/>
      <c r="AA864" s="258"/>
      <c r="AB864" s="258"/>
      <c r="AC864" s="407"/>
    </row>
    <row r="865" spans="2:29" s="406" customFormat="1" ht="16.5" customHeight="1">
      <c r="B865" s="255"/>
      <c r="C865" s="255"/>
      <c r="D865" s="257"/>
      <c r="E865" s="257"/>
      <c r="F865" s="257"/>
      <c r="G865" s="252"/>
      <c r="H865" s="252"/>
      <c r="I865" s="252"/>
      <c r="J865" s="252"/>
      <c r="K865" s="252"/>
      <c r="L865" s="252"/>
      <c r="M865" s="253"/>
      <c r="N865" s="253"/>
      <c r="O865" s="258"/>
      <c r="P865" s="258"/>
      <c r="Q865" s="258"/>
      <c r="R865" s="258"/>
      <c r="S865" s="258"/>
      <c r="T865" s="258"/>
      <c r="U865" s="258"/>
      <c r="V865" s="258"/>
      <c r="W865" s="258"/>
      <c r="X865" s="258"/>
      <c r="Y865" s="258"/>
      <c r="Z865" s="258"/>
      <c r="AA865" s="258"/>
      <c r="AB865" s="258"/>
      <c r="AC865" s="407"/>
    </row>
    <row r="866" spans="2:29" s="406" customFormat="1" ht="16.5" customHeight="1">
      <c r="B866" s="255"/>
      <c r="C866" s="255"/>
      <c r="D866" s="257"/>
      <c r="E866" s="257"/>
      <c r="F866" s="257"/>
      <c r="G866" s="252"/>
      <c r="H866" s="252"/>
      <c r="I866" s="252"/>
      <c r="J866" s="252"/>
      <c r="K866" s="252"/>
      <c r="L866" s="252"/>
      <c r="M866" s="253"/>
      <c r="N866" s="253"/>
      <c r="O866" s="258"/>
      <c r="P866" s="258"/>
      <c r="Q866" s="258"/>
      <c r="R866" s="258"/>
      <c r="S866" s="258"/>
      <c r="T866" s="258"/>
      <c r="U866" s="258"/>
      <c r="V866" s="258"/>
      <c r="W866" s="258"/>
      <c r="X866" s="258"/>
      <c r="Y866" s="258"/>
      <c r="Z866" s="258"/>
      <c r="AA866" s="258"/>
      <c r="AB866" s="258"/>
      <c r="AC866" s="407"/>
    </row>
    <row r="867" spans="2:29" s="406" customFormat="1" ht="16.5" customHeight="1">
      <c r="B867" s="255"/>
      <c r="C867" s="255"/>
      <c r="D867" s="257"/>
      <c r="E867" s="257"/>
      <c r="F867" s="257"/>
      <c r="G867" s="252"/>
      <c r="H867" s="252"/>
      <c r="I867" s="252"/>
      <c r="J867" s="252"/>
      <c r="K867" s="252"/>
      <c r="L867" s="252"/>
      <c r="M867" s="253"/>
      <c r="N867" s="253"/>
      <c r="O867" s="258"/>
      <c r="P867" s="258"/>
      <c r="Q867" s="258"/>
      <c r="R867" s="258"/>
      <c r="S867" s="258"/>
      <c r="T867" s="258"/>
      <c r="U867" s="258"/>
      <c r="V867" s="258"/>
      <c r="W867" s="258"/>
      <c r="X867" s="258"/>
      <c r="Y867" s="258"/>
      <c r="Z867" s="258"/>
      <c r="AA867" s="258"/>
      <c r="AB867" s="258"/>
      <c r="AC867" s="407"/>
    </row>
    <row r="868" spans="2:29" s="406" customFormat="1" ht="16.5" customHeight="1">
      <c r="B868" s="255"/>
      <c r="C868" s="255"/>
      <c r="D868" s="257"/>
      <c r="E868" s="257"/>
      <c r="F868" s="257"/>
      <c r="G868" s="252"/>
      <c r="H868" s="252"/>
      <c r="I868" s="252"/>
      <c r="J868" s="252"/>
      <c r="K868" s="252"/>
      <c r="L868" s="252"/>
      <c r="M868" s="253"/>
      <c r="N868" s="253"/>
      <c r="O868" s="258"/>
      <c r="P868" s="258"/>
      <c r="Q868" s="258"/>
      <c r="R868" s="258"/>
      <c r="S868" s="258"/>
      <c r="T868" s="258"/>
      <c r="U868" s="258"/>
      <c r="V868" s="258"/>
      <c r="W868" s="258"/>
      <c r="X868" s="258"/>
      <c r="Y868" s="258"/>
      <c r="Z868" s="258"/>
      <c r="AA868" s="258"/>
      <c r="AB868" s="258"/>
      <c r="AC868" s="407"/>
    </row>
    <row r="869" spans="2:29" s="406" customFormat="1" ht="16.5" customHeight="1">
      <c r="B869" s="255"/>
      <c r="C869" s="255"/>
      <c r="D869" s="257"/>
      <c r="E869" s="257"/>
      <c r="F869" s="257"/>
      <c r="G869" s="252"/>
      <c r="H869" s="252"/>
      <c r="I869" s="252"/>
      <c r="J869" s="252"/>
      <c r="K869" s="252"/>
      <c r="L869" s="252"/>
      <c r="M869" s="253"/>
      <c r="N869" s="253"/>
      <c r="O869" s="258"/>
      <c r="P869" s="258"/>
      <c r="Q869" s="258"/>
      <c r="R869" s="258"/>
      <c r="S869" s="258"/>
      <c r="T869" s="258"/>
      <c r="U869" s="258"/>
      <c r="V869" s="258"/>
      <c r="W869" s="258"/>
      <c r="X869" s="258"/>
      <c r="Y869" s="258"/>
      <c r="Z869" s="258"/>
      <c r="AA869" s="258"/>
      <c r="AB869" s="258"/>
      <c r="AC869" s="407"/>
    </row>
    <row r="870" spans="2:29" s="406" customFormat="1" ht="16.5" customHeight="1">
      <c r="B870" s="255"/>
      <c r="C870" s="255"/>
      <c r="D870" s="257"/>
      <c r="E870" s="257"/>
      <c r="F870" s="257"/>
      <c r="G870" s="252"/>
      <c r="H870" s="252"/>
      <c r="I870" s="252"/>
      <c r="J870" s="252"/>
      <c r="K870" s="252"/>
      <c r="L870" s="252"/>
      <c r="M870" s="253"/>
      <c r="N870" s="253"/>
      <c r="O870" s="258"/>
      <c r="P870" s="258"/>
      <c r="Q870" s="258"/>
      <c r="R870" s="258"/>
      <c r="S870" s="258"/>
      <c r="T870" s="258"/>
      <c r="U870" s="258"/>
      <c r="V870" s="258"/>
      <c r="W870" s="258"/>
      <c r="X870" s="258"/>
      <c r="Y870" s="258"/>
      <c r="Z870" s="258"/>
      <c r="AA870" s="258"/>
      <c r="AB870" s="258"/>
      <c r="AC870" s="407"/>
    </row>
    <row r="871" spans="2:29" s="406" customFormat="1" ht="16.5" customHeight="1">
      <c r="B871" s="255"/>
      <c r="C871" s="255"/>
      <c r="D871" s="257"/>
      <c r="E871" s="257"/>
      <c r="F871" s="257"/>
      <c r="G871" s="252"/>
      <c r="H871" s="252"/>
      <c r="I871" s="252"/>
      <c r="J871" s="252"/>
      <c r="K871" s="252"/>
      <c r="L871" s="252"/>
      <c r="M871" s="253"/>
      <c r="N871" s="253"/>
      <c r="O871" s="258"/>
      <c r="P871" s="258"/>
      <c r="Q871" s="258"/>
      <c r="R871" s="258"/>
      <c r="S871" s="258"/>
      <c r="T871" s="258"/>
      <c r="U871" s="258"/>
      <c r="V871" s="258"/>
      <c r="W871" s="258"/>
      <c r="X871" s="258"/>
      <c r="Y871" s="258"/>
      <c r="Z871" s="258"/>
      <c r="AA871" s="258"/>
      <c r="AB871" s="258"/>
      <c r="AC871" s="407"/>
    </row>
    <row r="872" spans="2:29" s="406" customFormat="1" ht="16.5" customHeight="1">
      <c r="B872" s="255"/>
      <c r="C872" s="255"/>
      <c r="D872" s="257"/>
      <c r="E872" s="257"/>
      <c r="F872" s="257"/>
      <c r="G872" s="252"/>
      <c r="H872" s="252"/>
      <c r="I872" s="252"/>
      <c r="J872" s="252"/>
      <c r="K872" s="252"/>
      <c r="L872" s="252"/>
      <c r="M872" s="253"/>
      <c r="N872" s="253"/>
      <c r="O872" s="258"/>
      <c r="P872" s="258"/>
      <c r="Q872" s="258"/>
      <c r="R872" s="258"/>
      <c r="S872" s="258"/>
      <c r="T872" s="258"/>
      <c r="U872" s="258"/>
      <c r="V872" s="258"/>
      <c r="W872" s="258"/>
      <c r="X872" s="258"/>
      <c r="Y872" s="258"/>
      <c r="Z872" s="258"/>
      <c r="AA872" s="258"/>
      <c r="AB872" s="258"/>
      <c r="AC872" s="407"/>
    </row>
    <row r="873" spans="2:29" s="406" customFormat="1" ht="16.5" customHeight="1">
      <c r="B873" s="255"/>
      <c r="C873" s="255"/>
      <c r="D873" s="257"/>
      <c r="E873" s="257"/>
      <c r="F873" s="257"/>
      <c r="G873" s="252"/>
      <c r="H873" s="252"/>
      <c r="I873" s="252"/>
      <c r="J873" s="252"/>
      <c r="K873" s="252"/>
      <c r="L873" s="252"/>
      <c r="M873" s="253"/>
      <c r="N873" s="253"/>
      <c r="O873" s="258"/>
      <c r="P873" s="258"/>
      <c r="Q873" s="258"/>
      <c r="R873" s="258"/>
      <c r="S873" s="258"/>
      <c r="T873" s="258"/>
      <c r="U873" s="258"/>
      <c r="V873" s="258"/>
      <c r="W873" s="258"/>
      <c r="X873" s="258"/>
      <c r="Y873" s="258"/>
      <c r="Z873" s="258"/>
      <c r="AA873" s="258"/>
      <c r="AB873" s="258"/>
      <c r="AC873" s="407"/>
    </row>
    <row r="874" spans="2:29" s="406" customFormat="1" ht="16.5" customHeight="1">
      <c r="B874" s="255"/>
      <c r="C874" s="255"/>
      <c r="D874" s="257"/>
      <c r="E874" s="257"/>
      <c r="F874" s="257"/>
      <c r="G874" s="252"/>
      <c r="H874" s="252"/>
      <c r="I874" s="252"/>
      <c r="J874" s="252"/>
      <c r="K874" s="252"/>
      <c r="L874" s="252"/>
      <c r="M874" s="253"/>
      <c r="N874" s="253"/>
      <c r="O874" s="258"/>
      <c r="P874" s="258"/>
      <c r="Q874" s="258"/>
      <c r="R874" s="258"/>
      <c r="S874" s="258"/>
      <c r="T874" s="258"/>
      <c r="U874" s="258"/>
      <c r="V874" s="258"/>
      <c r="W874" s="258"/>
      <c r="X874" s="258"/>
      <c r="Y874" s="258"/>
      <c r="Z874" s="258"/>
      <c r="AA874" s="258"/>
      <c r="AB874" s="258"/>
      <c r="AC874" s="407"/>
    </row>
    <row r="875" spans="2:29" s="406" customFormat="1" ht="16.5" customHeight="1">
      <c r="B875" s="255"/>
      <c r="C875" s="255"/>
      <c r="D875" s="257"/>
      <c r="E875" s="257"/>
      <c r="F875" s="257"/>
      <c r="G875" s="252"/>
      <c r="H875" s="252"/>
      <c r="I875" s="252"/>
      <c r="J875" s="252"/>
      <c r="K875" s="252"/>
      <c r="L875" s="252"/>
      <c r="M875" s="253"/>
      <c r="N875" s="253"/>
      <c r="O875" s="258"/>
      <c r="P875" s="258"/>
      <c r="Q875" s="258"/>
      <c r="R875" s="258"/>
      <c r="S875" s="258"/>
      <c r="T875" s="258"/>
      <c r="U875" s="258"/>
      <c r="V875" s="258"/>
      <c r="W875" s="258"/>
      <c r="X875" s="258"/>
      <c r="Y875" s="258"/>
      <c r="Z875" s="258"/>
      <c r="AA875" s="258"/>
      <c r="AB875" s="258"/>
      <c r="AC875" s="407"/>
    </row>
    <row r="876" spans="2:29" s="406" customFormat="1" ht="16.5" customHeight="1">
      <c r="B876" s="255"/>
      <c r="C876" s="255"/>
      <c r="D876" s="257"/>
      <c r="E876" s="257"/>
      <c r="F876" s="257"/>
      <c r="G876" s="252"/>
      <c r="H876" s="252"/>
      <c r="I876" s="252"/>
      <c r="J876" s="252"/>
      <c r="K876" s="252"/>
      <c r="L876" s="252"/>
      <c r="M876" s="253"/>
      <c r="N876" s="253"/>
      <c r="O876" s="258"/>
      <c r="P876" s="258"/>
      <c r="Q876" s="258"/>
      <c r="R876" s="258"/>
      <c r="S876" s="258"/>
      <c r="T876" s="258"/>
      <c r="U876" s="258"/>
      <c r="V876" s="258"/>
      <c r="W876" s="258"/>
      <c r="X876" s="258"/>
      <c r="Y876" s="258"/>
      <c r="Z876" s="258"/>
      <c r="AA876" s="258"/>
      <c r="AB876" s="258"/>
      <c r="AC876" s="407"/>
    </row>
    <row r="877" spans="2:29" s="406" customFormat="1" ht="16.5" customHeight="1">
      <c r="B877" s="255"/>
      <c r="C877" s="255"/>
      <c r="D877" s="257"/>
      <c r="E877" s="257"/>
      <c r="F877" s="257"/>
      <c r="G877" s="252"/>
      <c r="H877" s="252"/>
      <c r="I877" s="252"/>
      <c r="J877" s="252"/>
      <c r="K877" s="252"/>
      <c r="L877" s="252"/>
      <c r="M877" s="253"/>
      <c r="N877" s="253"/>
      <c r="O877" s="258"/>
      <c r="P877" s="258"/>
      <c r="Q877" s="258"/>
      <c r="R877" s="258"/>
      <c r="S877" s="258"/>
      <c r="T877" s="258"/>
      <c r="U877" s="258"/>
      <c r="V877" s="258"/>
      <c r="W877" s="258"/>
      <c r="X877" s="258"/>
      <c r="Y877" s="258"/>
      <c r="Z877" s="258"/>
      <c r="AA877" s="258"/>
      <c r="AB877" s="258"/>
      <c r="AC877" s="407"/>
    </row>
    <row r="878" spans="2:29" s="406" customFormat="1" ht="16.5" customHeight="1">
      <c r="B878" s="255"/>
      <c r="C878" s="255"/>
      <c r="D878" s="257"/>
      <c r="E878" s="257"/>
      <c r="F878" s="257"/>
      <c r="G878" s="252"/>
      <c r="H878" s="252"/>
      <c r="I878" s="252"/>
      <c r="J878" s="252"/>
      <c r="K878" s="252"/>
      <c r="L878" s="252"/>
      <c r="M878" s="253"/>
      <c r="N878" s="253"/>
      <c r="O878" s="258"/>
      <c r="P878" s="258"/>
      <c r="Q878" s="258"/>
      <c r="R878" s="258"/>
      <c r="S878" s="258"/>
      <c r="T878" s="258"/>
      <c r="U878" s="258"/>
      <c r="V878" s="258"/>
      <c r="W878" s="258"/>
      <c r="X878" s="258"/>
      <c r="Y878" s="258"/>
      <c r="Z878" s="258"/>
      <c r="AA878" s="258"/>
      <c r="AB878" s="258"/>
      <c r="AC878" s="407"/>
    </row>
    <row r="879" spans="2:29" s="406" customFormat="1" ht="16.5" customHeight="1">
      <c r="B879" s="255"/>
      <c r="C879" s="255"/>
      <c r="D879" s="257"/>
      <c r="E879" s="257"/>
      <c r="F879" s="257"/>
      <c r="G879" s="252"/>
      <c r="H879" s="252"/>
      <c r="I879" s="252"/>
      <c r="J879" s="252"/>
      <c r="K879" s="252"/>
      <c r="L879" s="252"/>
      <c r="M879" s="253"/>
      <c r="N879" s="253"/>
      <c r="O879" s="258"/>
      <c r="P879" s="258"/>
      <c r="Q879" s="258"/>
      <c r="R879" s="258"/>
      <c r="S879" s="258"/>
      <c r="T879" s="258"/>
      <c r="U879" s="258"/>
      <c r="V879" s="258"/>
      <c r="W879" s="258"/>
      <c r="X879" s="258"/>
      <c r="Y879" s="258"/>
      <c r="Z879" s="258"/>
      <c r="AA879" s="258"/>
      <c r="AB879" s="258"/>
      <c r="AC879" s="407"/>
    </row>
    <row r="880" spans="2:29" s="406" customFormat="1" ht="16.5" customHeight="1">
      <c r="B880" s="255"/>
      <c r="C880" s="255"/>
      <c r="D880" s="257"/>
      <c r="E880" s="257"/>
      <c r="F880" s="257"/>
      <c r="G880" s="252"/>
      <c r="H880" s="252"/>
      <c r="I880" s="252"/>
      <c r="J880" s="252"/>
      <c r="K880" s="252"/>
      <c r="L880" s="252"/>
      <c r="M880" s="253"/>
      <c r="N880" s="253"/>
      <c r="O880" s="258"/>
      <c r="P880" s="258"/>
      <c r="Q880" s="258"/>
      <c r="R880" s="258"/>
      <c r="S880" s="258"/>
      <c r="T880" s="258"/>
      <c r="U880" s="258"/>
      <c r="V880" s="258"/>
      <c r="W880" s="258"/>
      <c r="X880" s="258"/>
      <c r="Y880" s="258"/>
      <c r="Z880" s="258"/>
      <c r="AA880" s="258"/>
      <c r="AB880" s="258"/>
      <c r="AC880" s="407"/>
    </row>
    <row r="881" spans="2:29" s="406" customFormat="1" ht="16.5" customHeight="1">
      <c r="B881" s="255"/>
      <c r="C881" s="255"/>
      <c r="D881" s="257"/>
      <c r="E881" s="257"/>
      <c r="F881" s="257"/>
      <c r="G881" s="252"/>
      <c r="H881" s="252"/>
      <c r="I881" s="252"/>
      <c r="J881" s="252"/>
      <c r="K881" s="252"/>
      <c r="L881" s="252"/>
      <c r="M881" s="253"/>
      <c r="N881" s="253"/>
      <c r="O881" s="258"/>
      <c r="P881" s="258"/>
      <c r="Q881" s="258"/>
      <c r="R881" s="258"/>
      <c r="S881" s="258"/>
      <c r="T881" s="258"/>
      <c r="U881" s="258"/>
      <c r="V881" s="258"/>
      <c r="W881" s="258"/>
      <c r="X881" s="258"/>
      <c r="Y881" s="258"/>
      <c r="Z881" s="258"/>
      <c r="AA881" s="258"/>
      <c r="AB881" s="258"/>
      <c r="AC881" s="407"/>
    </row>
    <row r="882" spans="2:29" s="406" customFormat="1" ht="16.5" customHeight="1">
      <c r="B882" s="255"/>
      <c r="C882" s="255"/>
      <c r="D882" s="257"/>
      <c r="E882" s="257"/>
      <c r="F882" s="257"/>
      <c r="G882" s="252"/>
      <c r="H882" s="252"/>
      <c r="I882" s="252"/>
      <c r="J882" s="252"/>
      <c r="K882" s="252"/>
      <c r="L882" s="252"/>
      <c r="M882" s="253"/>
      <c r="N882" s="253"/>
      <c r="O882" s="258"/>
      <c r="P882" s="258"/>
      <c r="Q882" s="258"/>
      <c r="R882" s="258"/>
      <c r="S882" s="258"/>
      <c r="T882" s="258"/>
      <c r="U882" s="258"/>
      <c r="V882" s="258"/>
      <c r="W882" s="258"/>
      <c r="X882" s="258"/>
      <c r="Y882" s="258"/>
      <c r="Z882" s="258"/>
      <c r="AA882" s="258"/>
      <c r="AB882" s="258"/>
      <c r="AC882" s="407"/>
    </row>
    <row r="883" spans="2:29" s="406" customFormat="1" ht="16.5" customHeight="1">
      <c r="B883" s="255"/>
      <c r="C883" s="255"/>
      <c r="D883" s="257"/>
      <c r="E883" s="257"/>
      <c r="F883" s="257"/>
      <c r="G883" s="252"/>
      <c r="H883" s="252"/>
      <c r="I883" s="252"/>
      <c r="J883" s="252"/>
      <c r="K883" s="252"/>
      <c r="L883" s="252"/>
      <c r="M883" s="253"/>
      <c r="N883" s="253"/>
      <c r="O883" s="258"/>
      <c r="P883" s="258"/>
      <c r="Q883" s="258"/>
      <c r="R883" s="258"/>
      <c r="S883" s="258"/>
      <c r="T883" s="258"/>
      <c r="U883" s="258"/>
      <c r="V883" s="258"/>
      <c r="W883" s="258"/>
      <c r="X883" s="258"/>
      <c r="Y883" s="258"/>
      <c r="Z883" s="258"/>
      <c r="AA883" s="258"/>
      <c r="AB883" s="258"/>
      <c r="AC883" s="407"/>
    </row>
    <row r="884" spans="2:29" s="406" customFormat="1" ht="16.5" customHeight="1">
      <c r="B884" s="255"/>
      <c r="C884" s="255"/>
      <c r="D884" s="257"/>
      <c r="E884" s="257"/>
      <c r="F884" s="257"/>
      <c r="G884" s="252"/>
      <c r="H884" s="252"/>
      <c r="I884" s="252"/>
      <c r="J884" s="252"/>
      <c r="K884" s="252"/>
      <c r="L884" s="252"/>
      <c r="M884" s="253"/>
      <c r="N884" s="253"/>
      <c r="O884" s="258"/>
      <c r="P884" s="258"/>
      <c r="Q884" s="258"/>
      <c r="R884" s="258"/>
      <c r="S884" s="258"/>
      <c r="T884" s="258"/>
      <c r="U884" s="258"/>
      <c r="V884" s="258"/>
      <c r="W884" s="258"/>
      <c r="X884" s="258"/>
      <c r="Y884" s="258"/>
      <c r="Z884" s="258"/>
      <c r="AA884" s="258"/>
      <c r="AB884" s="258"/>
      <c r="AC884" s="407"/>
    </row>
    <row r="885" spans="2:29" s="406" customFormat="1" ht="16.5" customHeight="1">
      <c r="B885" s="255"/>
      <c r="C885" s="255"/>
      <c r="D885" s="257"/>
      <c r="E885" s="257"/>
      <c r="F885" s="257"/>
      <c r="G885" s="252"/>
      <c r="H885" s="252"/>
      <c r="I885" s="252"/>
      <c r="J885" s="252"/>
      <c r="K885" s="252"/>
      <c r="L885" s="252"/>
      <c r="M885" s="253"/>
      <c r="N885" s="253"/>
      <c r="O885" s="258"/>
      <c r="P885" s="258"/>
      <c r="Q885" s="258"/>
      <c r="R885" s="258"/>
      <c r="S885" s="258"/>
      <c r="T885" s="258"/>
      <c r="U885" s="258"/>
      <c r="V885" s="258"/>
      <c r="W885" s="258"/>
      <c r="X885" s="258"/>
      <c r="Y885" s="258"/>
      <c r="Z885" s="258"/>
      <c r="AA885" s="258"/>
      <c r="AB885" s="258"/>
      <c r="AC885" s="407"/>
    </row>
    <row r="886" spans="2:29" s="406" customFormat="1" ht="16.5" customHeight="1">
      <c r="B886" s="255"/>
      <c r="C886" s="255"/>
      <c r="D886" s="257"/>
      <c r="E886" s="257"/>
      <c r="F886" s="257"/>
      <c r="G886" s="252"/>
      <c r="H886" s="252"/>
      <c r="I886" s="252"/>
      <c r="J886" s="252"/>
      <c r="K886" s="252"/>
      <c r="L886" s="252"/>
      <c r="M886" s="253"/>
      <c r="N886" s="253"/>
      <c r="O886" s="258"/>
      <c r="P886" s="258"/>
      <c r="Q886" s="258"/>
      <c r="R886" s="258"/>
      <c r="S886" s="258"/>
      <c r="T886" s="258"/>
      <c r="U886" s="258"/>
      <c r="V886" s="258"/>
      <c r="W886" s="258"/>
      <c r="X886" s="258"/>
      <c r="Y886" s="258"/>
      <c r="Z886" s="258"/>
      <c r="AA886" s="258"/>
      <c r="AB886" s="258"/>
      <c r="AC886" s="407"/>
    </row>
    <row r="887" spans="2:29" s="406" customFormat="1" ht="16.5" customHeight="1">
      <c r="B887" s="255"/>
      <c r="C887" s="255"/>
      <c r="D887" s="257"/>
      <c r="E887" s="257"/>
      <c r="F887" s="257"/>
      <c r="G887" s="252"/>
      <c r="H887" s="252"/>
      <c r="I887" s="252"/>
      <c r="J887" s="252"/>
      <c r="K887" s="252"/>
      <c r="L887" s="252"/>
      <c r="M887" s="253"/>
      <c r="N887" s="253"/>
      <c r="O887" s="258"/>
      <c r="P887" s="258"/>
      <c r="Q887" s="258"/>
      <c r="R887" s="258"/>
      <c r="S887" s="258"/>
      <c r="T887" s="258"/>
      <c r="U887" s="258"/>
      <c r="V887" s="258"/>
      <c r="W887" s="258"/>
      <c r="X887" s="258"/>
      <c r="Y887" s="258"/>
      <c r="Z887" s="258"/>
      <c r="AA887" s="258"/>
      <c r="AB887" s="258"/>
      <c r="AC887" s="407"/>
    </row>
    <row r="888" spans="2:29" s="406" customFormat="1" ht="16.5" customHeight="1">
      <c r="B888" s="255"/>
      <c r="C888" s="255"/>
      <c r="D888" s="257"/>
      <c r="E888" s="257"/>
      <c r="F888" s="257"/>
      <c r="G888" s="252"/>
      <c r="H888" s="252"/>
      <c r="I888" s="252"/>
      <c r="J888" s="252"/>
      <c r="K888" s="252"/>
      <c r="L888" s="252"/>
      <c r="M888" s="253"/>
      <c r="N888" s="253"/>
      <c r="O888" s="258"/>
      <c r="P888" s="258"/>
      <c r="Q888" s="258"/>
      <c r="R888" s="258"/>
      <c r="S888" s="258"/>
      <c r="T888" s="258"/>
      <c r="U888" s="258"/>
      <c r="V888" s="258"/>
      <c r="W888" s="258"/>
      <c r="X888" s="258"/>
      <c r="Y888" s="258"/>
      <c r="Z888" s="258"/>
      <c r="AA888" s="258"/>
      <c r="AB888" s="258"/>
      <c r="AC888" s="407"/>
    </row>
    <row r="889" spans="2:29" s="406" customFormat="1" ht="16.5" customHeight="1">
      <c r="B889" s="255"/>
      <c r="C889" s="255"/>
      <c r="D889" s="257"/>
      <c r="E889" s="257"/>
      <c r="F889" s="257"/>
      <c r="G889" s="252"/>
      <c r="H889" s="252"/>
      <c r="I889" s="252"/>
      <c r="J889" s="252"/>
      <c r="K889" s="252"/>
      <c r="L889" s="252"/>
      <c r="M889" s="253"/>
      <c r="N889" s="253"/>
      <c r="O889" s="258"/>
      <c r="P889" s="258"/>
      <c r="Q889" s="258"/>
      <c r="R889" s="258"/>
      <c r="S889" s="258"/>
      <c r="T889" s="258"/>
      <c r="U889" s="258"/>
      <c r="V889" s="258"/>
      <c r="W889" s="258"/>
      <c r="X889" s="258"/>
      <c r="Y889" s="258"/>
      <c r="Z889" s="258"/>
      <c r="AA889" s="258"/>
      <c r="AB889" s="258"/>
      <c r="AC889" s="407"/>
    </row>
    <row r="890" spans="2:29" s="406" customFormat="1" ht="16.5" customHeight="1">
      <c r="B890" s="255"/>
      <c r="C890" s="255"/>
      <c r="D890" s="257"/>
      <c r="E890" s="257"/>
      <c r="F890" s="257"/>
      <c r="G890" s="252"/>
      <c r="H890" s="252"/>
      <c r="I890" s="252"/>
      <c r="J890" s="252"/>
      <c r="K890" s="252"/>
      <c r="L890" s="252"/>
      <c r="M890" s="253"/>
      <c r="N890" s="253"/>
      <c r="O890" s="258"/>
      <c r="P890" s="258"/>
      <c r="Q890" s="258"/>
      <c r="R890" s="258"/>
      <c r="S890" s="258"/>
      <c r="T890" s="258"/>
      <c r="U890" s="258"/>
      <c r="V890" s="258"/>
      <c r="W890" s="258"/>
      <c r="X890" s="258"/>
      <c r="Y890" s="258"/>
      <c r="Z890" s="258"/>
      <c r="AA890" s="258"/>
      <c r="AB890" s="258"/>
      <c r="AC890" s="407"/>
    </row>
    <row r="891" spans="2:29" s="406" customFormat="1" ht="16.5" customHeight="1">
      <c r="B891" s="255"/>
      <c r="C891" s="255"/>
      <c r="D891" s="257"/>
      <c r="E891" s="257"/>
      <c r="F891" s="257"/>
      <c r="G891" s="252"/>
      <c r="H891" s="252"/>
      <c r="I891" s="252"/>
      <c r="J891" s="252"/>
      <c r="K891" s="252"/>
      <c r="L891" s="252"/>
      <c r="M891" s="253"/>
      <c r="N891" s="253"/>
      <c r="O891" s="258"/>
      <c r="P891" s="258"/>
      <c r="Q891" s="258"/>
      <c r="R891" s="258"/>
      <c r="S891" s="258"/>
      <c r="T891" s="258"/>
      <c r="U891" s="258"/>
      <c r="V891" s="258"/>
      <c r="W891" s="258"/>
      <c r="X891" s="258"/>
      <c r="Y891" s="258"/>
      <c r="Z891" s="258"/>
      <c r="AA891" s="258"/>
      <c r="AB891" s="258"/>
      <c r="AC891" s="407"/>
    </row>
    <row r="892" spans="2:29" s="406" customFormat="1" ht="16.5" customHeight="1">
      <c r="B892" s="255"/>
      <c r="C892" s="255"/>
      <c r="D892" s="257"/>
      <c r="E892" s="257"/>
      <c r="F892" s="257"/>
      <c r="G892" s="252"/>
      <c r="H892" s="252"/>
      <c r="I892" s="252"/>
      <c r="J892" s="252"/>
      <c r="K892" s="252"/>
      <c r="L892" s="252"/>
      <c r="M892" s="253"/>
      <c r="N892" s="253"/>
      <c r="O892" s="258"/>
      <c r="P892" s="258"/>
      <c r="Q892" s="258"/>
      <c r="R892" s="258"/>
      <c r="S892" s="258"/>
      <c r="T892" s="258"/>
      <c r="U892" s="258"/>
      <c r="V892" s="258"/>
      <c r="W892" s="258"/>
      <c r="X892" s="258"/>
      <c r="Y892" s="258"/>
      <c r="Z892" s="258"/>
      <c r="AA892" s="258"/>
      <c r="AB892" s="258"/>
      <c r="AC892" s="407"/>
    </row>
    <row r="893" spans="2:29" s="406" customFormat="1" ht="16.5" customHeight="1">
      <c r="B893" s="255"/>
      <c r="C893" s="255"/>
      <c r="D893" s="257"/>
      <c r="E893" s="257"/>
      <c r="F893" s="257"/>
      <c r="G893" s="252"/>
      <c r="H893" s="252"/>
      <c r="I893" s="252"/>
      <c r="J893" s="252"/>
      <c r="K893" s="252"/>
      <c r="L893" s="252"/>
      <c r="M893" s="253"/>
      <c r="N893" s="253"/>
      <c r="O893" s="258"/>
      <c r="P893" s="258"/>
      <c r="Q893" s="258"/>
      <c r="R893" s="258"/>
      <c r="S893" s="258"/>
      <c r="T893" s="258"/>
      <c r="U893" s="258"/>
      <c r="V893" s="258"/>
      <c r="W893" s="258"/>
      <c r="X893" s="258"/>
      <c r="Y893" s="258"/>
      <c r="Z893" s="258"/>
      <c r="AA893" s="258"/>
      <c r="AB893" s="258"/>
      <c r="AC893" s="407"/>
    </row>
    <row r="894" spans="2:29" s="406" customFormat="1" ht="16.5" customHeight="1">
      <c r="B894" s="255"/>
      <c r="C894" s="255"/>
      <c r="D894" s="257"/>
      <c r="E894" s="257"/>
      <c r="F894" s="257"/>
      <c r="G894" s="252"/>
      <c r="H894" s="252"/>
      <c r="I894" s="252"/>
      <c r="J894" s="252"/>
      <c r="K894" s="252"/>
      <c r="L894" s="252"/>
      <c r="M894" s="253"/>
      <c r="N894" s="253"/>
      <c r="O894" s="258"/>
      <c r="P894" s="258"/>
      <c r="Q894" s="258"/>
      <c r="R894" s="258"/>
      <c r="S894" s="258"/>
      <c r="T894" s="258"/>
      <c r="U894" s="258"/>
      <c r="V894" s="258"/>
      <c r="W894" s="258"/>
      <c r="X894" s="258"/>
      <c r="Y894" s="258"/>
      <c r="Z894" s="258"/>
      <c r="AA894" s="258"/>
      <c r="AB894" s="258"/>
      <c r="AC894" s="407"/>
    </row>
    <row r="895" spans="2:29" s="406" customFormat="1" ht="16.5" customHeight="1">
      <c r="B895" s="255"/>
      <c r="C895" s="255"/>
      <c r="D895" s="257"/>
      <c r="E895" s="257"/>
      <c r="F895" s="257"/>
      <c r="G895" s="252"/>
      <c r="H895" s="252"/>
      <c r="I895" s="252"/>
      <c r="J895" s="252"/>
      <c r="K895" s="252"/>
      <c r="L895" s="252"/>
      <c r="M895" s="253"/>
      <c r="N895" s="253"/>
      <c r="O895" s="258"/>
      <c r="P895" s="258"/>
      <c r="Q895" s="258"/>
      <c r="R895" s="258"/>
      <c r="S895" s="258"/>
      <c r="T895" s="258"/>
      <c r="U895" s="258"/>
      <c r="V895" s="258"/>
      <c r="W895" s="258"/>
      <c r="X895" s="258"/>
      <c r="Y895" s="258"/>
      <c r="Z895" s="258"/>
      <c r="AA895" s="258"/>
      <c r="AB895" s="258"/>
      <c r="AC895" s="407"/>
    </row>
    <row r="896" spans="2:29" s="406" customFormat="1" ht="16.5" customHeight="1">
      <c r="B896" s="255"/>
      <c r="C896" s="255"/>
      <c r="D896" s="257"/>
      <c r="E896" s="257"/>
      <c r="F896" s="257"/>
      <c r="G896" s="252"/>
      <c r="H896" s="252"/>
      <c r="I896" s="252"/>
      <c r="J896" s="252"/>
      <c r="K896" s="252"/>
      <c r="L896" s="252"/>
      <c r="M896" s="253"/>
      <c r="N896" s="253"/>
      <c r="O896" s="258"/>
      <c r="P896" s="258"/>
      <c r="Q896" s="258"/>
      <c r="R896" s="258"/>
      <c r="S896" s="258"/>
      <c r="T896" s="258"/>
      <c r="U896" s="258"/>
      <c r="V896" s="258"/>
      <c r="W896" s="258"/>
      <c r="X896" s="258"/>
      <c r="Y896" s="258"/>
      <c r="Z896" s="258"/>
      <c r="AA896" s="258"/>
      <c r="AB896" s="258"/>
      <c r="AC896" s="407"/>
    </row>
    <row r="897" spans="2:29" s="406" customFormat="1" ht="16.5" customHeight="1">
      <c r="B897" s="255"/>
      <c r="C897" s="255"/>
      <c r="D897" s="257"/>
      <c r="E897" s="257"/>
      <c r="F897" s="257"/>
      <c r="G897" s="252"/>
      <c r="H897" s="252"/>
      <c r="I897" s="252"/>
      <c r="J897" s="252"/>
      <c r="K897" s="252"/>
      <c r="L897" s="252"/>
      <c r="M897" s="253"/>
      <c r="N897" s="253"/>
      <c r="O897" s="258"/>
      <c r="P897" s="258"/>
      <c r="Q897" s="258"/>
      <c r="R897" s="258"/>
      <c r="S897" s="258"/>
      <c r="T897" s="258"/>
      <c r="U897" s="258"/>
      <c r="V897" s="258"/>
      <c r="W897" s="258"/>
      <c r="X897" s="258"/>
      <c r="Y897" s="258"/>
      <c r="Z897" s="258"/>
      <c r="AA897" s="258"/>
      <c r="AB897" s="258"/>
      <c r="AC897" s="407"/>
    </row>
    <row r="898" spans="2:29" s="406" customFormat="1" ht="16.5" customHeight="1">
      <c r="B898" s="255"/>
      <c r="C898" s="255"/>
      <c r="D898" s="257"/>
      <c r="E898" s="257"/>
      <c r="F898" s="257"/>
      <c r="G898" s="252"/>
      <c r="H898" s="252"/>
      <c r="I898" s="252"/>
      <c r="J898" s="252"/>
      <c r="K898" s="252"/>
      <c r="L898" s="252"/>
      <c r="M898" s="253"/>
      <c r="N898" s="253"/>
      <c r="O898" s="258"/>
      <c r="P898" s="258"/>
      <c r="Q898" s="258"/>
      <c r="R898" s="258"/>
      <c r="S898" s="258"/>
      <c r="T898" s="258"/>
      <c r="U898" s="258"/>
      <c r="V898" s="258"/>
      <c r="W898" s="258"/>
      <c r="X898" s="258"/>
      <c r="Y898" s="258"/>
      <c r="Z898" s="258"/>
      <c r="AA898" s="258"/>
      <c r="AB898" s="258"/>
      <c r="AC898" s="407"/>
    </row>
    <row r="899" spans="2:29" s="406" customFormat="1" ht="16.5" customHeight="1">
      <c r="B899" s="255"/>
      <c r="C899" s="255"/>
      <c r="D899" s="257"/>
      <c r="E899" s="257"/>
      <c r="F899" s="257"/>
      <c r="G899" s="252"/>
      <c r="H899" s="252"/>
      <c r="I899" s="252"/>
      <c r="J899" s="252"/>
      <c r="K899" s="252"/>
      <c r="L899" s="252"/>
      <c r="M899" s="253"/>
      <c r="N899" s="253"/>
      <c r="O899" s="258"/>
      <c r="P899" s="258"/>
      <c r="Q899" s="258"/>
      <c r="R899" s="258"/>
      <c r="S899" s="258"/>
      <c r="T899" s="258"/>
      <c r="U899" s="258"/>
      <c r="V899" s="258"/>
      <c r="W899" s="258"/>
      <c r="X899" s="258"/>
      <c r="Y899" s="258"/>
      <c r="Z899" s="258"/>
      <c r="AA899" s="258"/>
      <c r="AB899" s="258"/>
      <c r="AC899" s="407"/>
    </row>
    <row r="900" spans="2:29" s="406" customFormat="1" ht="16.5" customHeight="1">
      <c r="B900" s="255"/>
      <c r="C900" s="255"/>
      <c r="D900" s="257"/>
      <c r="E900" s="257"/>
      <c r="F900" s="257"/>
      <c r="G900" s="252"/>
      <c r="H900" s="252"/>
      <c r="I900" s="252"/>
      <c r="J900" s="252"/>
      <c r="K900" s="252"/>
      <c r="L900" s="252"/>
      <c r="M900" s="253"/>
      <c r="N900" s="253"/>
      <c r="O900" s="258"/>
      <c r="P900" s="258"/>
      <c r="Q900" s="258"/>
      <c r="R900" s="258"/>
      <c r="S900" s="258"/>
      <c r="T900" s="258"/>
      <c r="U900" s="258"/>
      <c r="V900" s="258"/>
      <c r="W900" s="258"/>
      <c r="X900" s="258"/>
      <c r="Y900" s="258"/>
      <c r="Z900" s="258"/>
      <c r="AA900" s="258"/>
      <c r="AB900" s="258"/>
      <c r="AC900" s="407"/>
    </row>
    <row r="901" spans="2:29" s="406" customFormat="1" ht="16.5" customHeight="1">
      <c r="B901" s="255"/>
      <c r="C901" s="255"/>
      <c r="D901" s="257"/>
      <c r="E901" s="257"/>
      <c r="F901" s="257"/>
      <c r="G901" s="252"/>
      <c r="H901" s="252"/>
      <c r="I901" s="252"/>
      <c r="J901" s="252"/>
      <c r="K901" s="252"/>
      <c r="L901" s="252"/>
      <c r="M901" s="253"/>
      <c r="N901" s="253"/>
      <c r="O901" s="258"/>
      <c r="P901" s="258"/>
      <c r="Q901" s="258"/>
      <c r="R901" s="258"/>
      <c r="S901" s="258"/>
      <c r="T901" s="258"/>
      <c r="U901" s="258"/>
      <c r="V901" s="258"/>
      <c r="W901" s="258"/>
      <c r="X901" s="258"/>
      <c r="Y901" s="258"/>
      <c r="Z901" s="258"/>
      <c r="AA901" s="258"/>
      <c r="AB901" s="258"/>
      <c r="AC901" s="407"/>
    </row>
    <row r="902" spans="2:29" s="406" customFormat="1" ht="16.5" customHeight="1">
      <c r="B902" s="255"/>
      <c r="C902" s="255"/>
      <c r="D902" s="257"/>
      <c r="E902" s="257"/>
      <c r="F902" s="257"/>
      <c r="G902" s="252"/>
      <c r="H902" s="252"/>
      <c r="I902" s="252"/>
      <c r="J902" s="252"/>
      <c r="K902" s="252"/>
      <c r="L902" s="252"/>
      <c r="M902" s="253"/>
      <c r="N902" s="253"/>
      <c r="O902" s="258"/>
      <c r="P902" s="258"/>
      <c r="Q902" s="258"/>
      <c r="R902" s="258"/>
      <c r="S902" s="258"/>
      <c r="T902" s="258"/>
      <c r="U902" s="258"/>
      <c r="V902" s="258"/>
      <c r="W902" s="258"/>
      <c r="X902" s="258"/>
      <c r="Y902" s="258"/>
      <c r="Z902" s="258"/>
      <c r="AA902" s="258"/>
      <c r="AB902" s="258"/>
      <c r="AC902" s="407"/>
    </row>
    <row r="903" spans="2:29" s="406" customFormat="1" ht="16.5" customHeight="1">
      <c r="B903" s="255"/>
      <c r="C903" s="255"/>
      <c r="D903" s="257"/>
      <c r="E903" s="257"/>
      <c r="F903" s="257"/>
      <c r="G903" s="252"/>
      <c r="H903" s="252"/>
      <c r="I903" s="252"/>
      <c r="J903" s="252"/>
      <c r="K903" s="252"/>
      <c r="L903" s="252"/>
      <c r="M903" s="253"/>
      <c r="N903" s="253"/>
      <c r="O903" s="258"/>
      <c r="P903" s="258"/>
      <c r="Q903" s="258"/>
      <c r="R903" s="258"/>
      <c r="S903" s="258"/>
      <c r="T903" s="258"/>
      <c r="U903" s="258"/>
      <c r="V903" s="258"/>
      <c r="W903" s="258"/>
      <c r="X903" s="258"/>
      <c r="Y903" s="258"/>
      <c r="Z903" s="258"/>
      <c r="AA903" s="258"/>
      <c r="AB903" s="258"/>
      <c r="AC903" s="407"/>
    </row>
    <row r="904" spans="2:29" s="406" customFormat="1" ht="16.5" customHeight="1">
      <c r="B904" s="255"/>
      <c r="C904" s="255"/>
      <c r="D904" s="257"/>
      <c r="E904" s="257"/>
      <c r="F904" s="257"/>
      <c r="G904" s="252"/>
      <c r="H904" s="252"/>
      <c r="I904" s="252"/>
      <c r="J904" s="252"/>
      <c r="K904" s="252"/>
      <c r="L904" s="252"/>
      <c r="M904" s="253"/>
      <c r="N904" s="253"/>
      <c r="O904" s="258"/>
      <c r="P904" s="258"/>
      <c r="Q904" s="258"/>
      <c r="R904" s="258"/>
      <c r="S904" s="258"/>
      <c r="T904" s="258"/>
      <c r="U904" s="258"/>
      <c r="V904" s="258"/>
      <c r="W904" s="258"/>
      <c r="X904" s="258"/>
      <c r="Y904" s="258"/>
      <c r="Z904" s="258"/>
      <c r="AA904" s="258"/>
      <c r="AB904" s="258"/>
      <c r="AC904" s="407"/>
    </row>
    <row r="905" spans="2:29" s="406" customFormat="1" ht="16.5" customHeight="1">
      <c r="B905" s="255"/>
      <c r="C905" s="255"/>
      <c r="D905" s="257"/>
      <c r="E905" s="257"/>
      <c r="F905" s="257"/>
      <c r="G905" s="252"/>
      <c r="H905" s="252"/>
      <c r="I905" s="252"/>
      <c r="J905" s="252"/>
      <c r="K905" s="252"/>
      <c r="L905" s="252"/>
      <c r="M905" s="253"/>
      <c r="N905" s="253"/>
      <c r="O905" s="258"/>
      <c r="P905" s="258"/>
      <c r="Q905" s="258"/>
      <c r="R905" s="258"/>
      <c r="S905" s="258"/>
      <c r="T905" s="258"/>
      <c r="U905" s="258"/>
      <c r="V905" s="258"/>
      <c r="W905" s="258"/>
      <c r="X905" s="258"/>
      <c r="Y905" s="258"/>
      <c r="Z905" s="258"/>
      <c r="AA905" s="258"/>
      <c r="AB905" s="258"/>
      <c r="AC905" s="407"/>
    </row>
    <row r="906" spans="2:29" s="406" customFormat="1" ht="16.5" customHeight="1">
      <c r="B906" s="255"/>
      <c r="C906" s="255"/>
      <c r="D906" s="257"/>
      <c r="E906" s="257"/>
      <c r="F906" s="257"/>
      <c r="G906" s="252"/>
      <c r="H906" s="252"/>
      <c r="I906" s="252"/>
      <c r="J906" s="252"/>
      <c r="K906" s="252"/>
      <c r="L906" s="252"/>
      <c r="M906" s="253"/>
      <c r="N906" s="253"/>
      <c r="O906" s="258"/>
      <c r="P906" s="258"/>
      <c r="Q906" s="258"/>
      <c r="R906" s="258"/>
      <c r="S906" s="258"/>
      <c r="T906" s="258"/>
      <c r="U906" s="258"/>
      <c r="V906" s="258"/>
      <c r="W906" s="258"/>
      <c r="X906" s="258"/>
      <c r="Y906" s="258"/>
      <c r="Z906" s="258"/>
      <c r="AA906" s="258"/>
      <c r="AB906" s="258"/>
      <c r="AC906" s="407"/>
    </row>
    <row r="907" spans="2:29" s="406" customFormat="1" ht="16.5" customHeight="1">
      <c r="B907" s="255"/>
      <c r="C907" s="255"/>
      <c r="D907" s="257"/>
      <c r="E907" s="257"/>
      <c r="F907" s="257"/>
      <c r="G907" s="252"/>
      <c r="H907" s="252"/>
      <c r="I907" s="252"/>
      <c r="J907" s="252"/>
      <c r="K907" s="252"/>
      <c r="L907" s="252"/>
      <c r="M907" s="253"/>
      <c r="N907" s="253"/>
      <c r="O907" s="258"/>
      <c r="P907" s="258"/>
      <c r="Q907" s="258"/>
      <c r="R907" s="258"/>
      <c r="S907" s="258"/>
      <c r="T907" s="258"/>
      <c r="U907" s="258"/>
      <c r="V907" s="258"/>
      <c r="W907" s="258"/>
      <c r="X907" s="258"/>
      <c r="Y907" s="258"/>
      <c r="Z907" s="258"/>
      <c r="AA907" s="258"/>
      <c r="AB907" s="258"/>
      <c r="AC907" s="407"/>
    </row>
    <row r="908" spans="2:29" s="406" customFormat="1" ht="16.5" customHeight="1">
      <c r="B908" s="255"/>
      <c r="C908" s="255"/>
      <c r="D908" s="257"/>
      <c r="E908" s="257"/>
      <c r="F908" s="257"/>
      <c r="G908" s="252"/>
      <c r="H908" s="252"/>
      <c r="I908" s="252"/>
      <c r="J908" s="252"/>
      <c r="K908" s="252"/>
      <c r="L908" s="252"/>
      <c r="M908" s="253"/>
      <c r="N908" s="253"/>
      <c r="O908" s="258"/>
      <c r="P908" s="258"/>
      <c r="Q908" s="258"/>
      <c r="R908" s="258"/>
      <c r="S908" s="258"/>
      <c r="T908" s="258"/>
      <c r="U908" s="258"/>
      <c r="V908" s="258"/>
      <c r="W908" s="258"/>
      <c r="X908" s="258"/>
      <c r="Y908" s="258"/>
      <c r="Z908" s="258"/>
      <c r="AA908" s="258"/>
      <c r="AB908" s="258"/>
      <c r="AC908" s="407"/>
    </row>
    <row r="909" spans="2:29" s="406" customFormat="1" ht="16.5" customHeight="1">
      <c r="B909" s="255"/>
      <c r="C909" s="255"/>
      <c r="D909" s="257"/>
      <c r="E909" s="257"/>
      <c r="F909" s="257"/>
      <c r="G909" s="252"/>
      <c r="H909" s="252"/>
      <c r="I909" s="252"/>
      <c r="J909" s="252"/>
      <c r="K909" s="252"/>
      <c r="L909" s="252"/>
      <c r="M909" s="253"/>
      <c r="N909" s="253"/>
      <c r="O909" s="258"/>
      <c r="P909" s="258"/>
      <c r="Q909" s="258"/>
      <c r="R909" s="258"/>
      <c r="S909" s="258"/>
      <c r="T909" s="258"/>
      <c r="U909" s="258"/>
      <c r="V909" s="258"/>
      <c r="W909" s="258"/>
      <c r="X909" s="258"/>
      <c r="Y909" s="258"/>
      <c r="Z909" s="258"/>
      <c r="AA909" s="258"/>
      <c r="AB909" s="258"/>
      <c r="AC909" s="407"/>
    </row>
    <row r="910" spans="2:29" s="406" customFormat="1" ht="16.5" customHeight="1">
      <c r="B910" s="255"/>
      <c r="C910" s="255"/>
      <c r="D910" s="257"/>
      <c r="E910" s="257"/>
      <c r="F910" s="257"/>
      <c r="G910" s="252"/>
      <c r="H910" s="252"/>
      <c r="I910" s="252"/>
      <c r="J910" s="252"/>
      <c r="K910" s="252"/>
      <c r="L910" s="252"/>
      <c r="M910" s="253"/>
      <c r="N910" s="253"/>
      <c r="O910" s="258"/>
      <c r="P910" s="258"/>
      <c r="Q910" s="258"/>
      <c r="R910" s="258"/>
      <c r="S910" s="258"/>
      <c r="T910" s="258"/>
      <c r="U910" s="258"/>
      <c r="V910" s="258"/>
      <c r="W910" s="258"/>
      <c r="X910" s="258"/>
      <c r="Y910" s="258"/>
      <c r="Z910" s="258"/>
      <c r="AA910" s="258"/>
      <c r="AB910" s="258"/>
      <c r="AC910" s="407"/>
    </row>
    <row r="911" spans="2:29" s="406" customFormat="1" ht="16.5" customHeight="1">
      <c r="B911" s="255"/>
      <c r="C911" s="255"/>
      <c r="D911" s="257"/>
      <c r="E911" s="257"/>
      <c r="F911" s="257"/>
      <c r="G911" s="252"/>
      <c r="H911" s="252"/>
      <c r="I911" s="252"/>
      <c r="J911" s="252"/>
      <c r="K911" s="252"/>
      <c r="L911" s="252"/>
      <c r="M911" s="253"/>
      <c r="N911" s="253"/>
      <c r="O911" s="258"/>
      <c r="P911" s="258"/>
      <c r="Q911" s="258"/>
      <c r="R911" s="258"/>
      <c r="S911" s="258"/>
      <c r="T911" s="258"/>
      <c r="U911" s="258"/>
      <c r="V911" s="258"/>
      <c r="W911" s="258"/>
      <c r="X911" s="258"/>
      <c r="Y911" s="258"/>
      <c r="Z911" s="258"/>
      <c r="AA911" s="258"/>
      <c r="AB911" s="258"/>
      <c r="AC911" s="407"/>
    </row>
    <row r="912" spans="2:29" s="406" customFormat="1" ht="16.5" customHeight="1">
      <c r="B912" s="255"/>
      <c r="C912" s="255"/>
      <c r="D912" s="257"/>
      <c r="E912" s="257"/>
      <c r="F912" s="257"/>
      <c r="G912" s="252"/>
      <c r="H912" s="252"/>
      <c r="I912" s="252"/>
      <c r="J912" s="252"/>
      <c r="K912" s="252"/>
      <c r="L912" s="252"/>
      <c r="M912" s="253"/>
      <c r="N912" s="253"/>
      <c r="O912" s="258"/>
      <c r="P912" s="258"/>
      <c r="Q912" s="258"/>
      <c r="R912" s="258"/>
      <c r="S912" s="258"/>
      <c r="T912" s="258"/>
      <c r="U912" s="258"/>
      <c r="V912" s="258"/>
      <c r="W912" s="258"/>
      <c r="X912" s="258"/>
      <c r="Y912" s="258"/>
      <c r="Z912" s="258"/>
      <c r="AA912" s="258"/>
      <c r="AB912" s="258"/>
      <c r="AC912" s="407"/>
    </row>
    <row r="913" spans="2:29" s="406" customFormat="1" ht="16.5" customHeight="1">
      <c r="B913" s="255"/>
      <c r="C913" s="255"/>
      <c r="D913" s="257"/>
      <c r="E913" s="257"/>
      <c r="F913" s="257"/>
      <c r="G913" s="252"/>
      <c r="H913" s="252"/>
      <c r="I913" s="252"/>
      <c r="J913" s="252"/>
      <c r="K913" s="252"/>
      <c r="L913" s="252"/>
      <c r="M913" s="253"/>
      <c r="N913" s="253"/>
      <c r="O913" s="258"/>
      <c r="P913" s="258"/>
      <c r="Q913" s="258"/>
      <c r="R913" s="258"/>
      <c r="S913" s="258"/>
      <c r="T913" s="258"/>
      <c r="U913" s="258"/>
      <c r="V913" s="258"/>
      <c r="W913" s="258"/>
      <c r="X913" s="258"/>
      <c r="Y913" s="258"/>
      <c r="Z913" s="258"/>
      <c r="AA913" s="258"/>
      <c r="AB913" s="258"/>
      <c r="AC913" s="407"/>
    </row>
    <row r="914" spans="2:29" s="406" customFormat="1" ht="16.5" customHeight="1">
      <c r="B914" s="255"/>
      <c r="C914" s="255"/>
      <c r="D914" s="257"/>
      <c r="E914" s="257"/>
      <c r="F914" s="257"/>
      <c r="G914" s="252"/>
      <c r="H914" s="252"/>
      <c r="I914" s="252"/>
      <c r="J914" s="252"/>
      <c r="K914" s="252"/>
      <c r="L914" s="252"/>
      <c r="M914" s="253"/>
      <c r="N914" s="253"/>
      <c r="O914" s="258"/>
      <c r="P914" s="258"/>
      <c r="Q914" s="258"/>
      <c r="R914" s="258"/>
      <c r="S914" s="258"/>
      <c r="T914" s="258"/>
      <c r="U914" s="258"/>
      <c r="V914" s="258"/>
      <c r="W914" s="258"/>
      <c r="X914" s="258"/>
      <c r="Y914" s="258"/>
      <c r="Z914" s="258"/>
      <c r="AA914" s="258"/>
      <c r="AB914" s="258"/>
      <c r="AC914" s="407"/>
    </row>
    <row r="915" spans="2:29" s="406" customFormat="1" ht="16.5" customHeight="1">
      <c r="B915" s="255"/>
      <c r="C915" s="255"/>
      <c r="D915" s="257"/>
      <c r="E915" s="257"/>
      <c r="F915" s="257"/>
      <c r="G915" s="252"/>
      <c r="H915" s="252"/>
      <c r="I915" s="252"/>
      <c r="J915" s="252"/>
      <c r="K915" s="252"/>
      <c r="L915" s="252"/>
      <c r="M915" s="253"/>
      <c r="N915" s="253"/>
      <c r="O915" s="258"/>
      <c r="P915" s="258"/>
      <c r="Q915" s="258"/>
      <c r="R915" s="258"/>
      <c r="S915" s="258"/>
      <c r="T915" s="258"/>
      <c r="U915" s="258"/>
      <c r="V915" s="258"/>
      <c r="W915" s="258"/>
      <c r="X915" s="258"/>
      <c r="Y915" s="258"/>
      <c r="Z915" s="258"/>
      <c r="AA915" s="258"/>
      <c r="AB915" s="258"/>
      <c r="AC915" s="407"/>
    </row>
    <row r="916" spans="2:29" s="406" customFormat="1" ht="16.5" customHeight="1">
      <c r="B916" s="255"/>
      <c r="C916" s="255"/>
      <c r="D916" s="257"/>
      <c r="E916" s="257"/>
      <c r="F916" s="257"/>
      <c r="G916" s="252"/>
      <c r="H916" s="252"/>
      <c r="I916" s="252"/>
      <c r="J916" s="252"/>
      <c r="K916" s="252"/>
      <c r="L916" s="252"/>
      <c r="M916" s="253"/>
      <c r="N916" s="253"/>
      <c r="O916" s="258"/>
      <c r="P916" s="258"/>
      <c r="Q916" s="258"/>
      <c r="R916" s="258"/>
      <c r="S916" s="258"/>
      <c r="T916" s="258"/>
      <c r="U916" s="258"/>
      <c r="V916" s="258"/>
      <c r="W916" s="258"/>
      <c r="X916" s="258"/>
      <c r="Y916" s="258"/>
      <c r="Z916" s="258"/>
      <c r="AA916" s="258"/>
      <c r="AB916" s="258"/>
      <c r="AC916" s="407"/>
    </row>
    <row r="917" spans="2:29" s="406" customFormat="1" ht="16.5" customHeight="1">
      <c r="B917" s="255"/>
      <c r="C917" s="255"/>
      <c r="D917" s="257"/>
      <c r="E917" s="257"/>
      <c r="F917" s="257"/>
      <c r="G917" s="252"/>
      <c r="H917" s="252"/>
      <c r="I917" s="252"/>
      <c r="J917" s="252"/>
      <c r="K917" s="252"/>
      <c r="L917" s="252"/>
      <c r="M917" s="253"/>
      <c r="N917" s="253"/>
      <c r="O917" s="258"/>
      <c r="P917" s="258"/>
      <c r="Q917" s="258"/>
      <c r="R917" s="258"/>
      <c r="S917" s="258"/>
      <c r="T917" s="258"/>
      <c r="U917" s="258"/>
      <c r="V917" s="258"/>
      <c r="W917" s="258"/>
      <c r="X917" s="258"/>
      <c r="Y917" s="258"/>
      <c r="Z917" s="258"/>
      <c r="AA917" s="258"/>
      <c r="AB917" s="258"/>
      <c r="AC917" s="407"/>
    </row>
    <row r="918" spans="2:29" s="406" customFormat="1" ht="16.5" customHeight="1">
      <c r="B918" s="255"/>
      <c r="C918" s="255"/>
      <c r="D918" s="257"/>
      <c r="E918" s="257"/>
      <c r="F918" s="257"/>
      <c r="G918" s="252"/>
      <c r="H918" s="252"/>
      <c r="I918" s="252"/>
      <c r="J918" s="252"/>
      <c r="K918" s="252"/>
      <c r="L918" s="252"/>
      <c r="M918" s="253"/>
      <c r="N918" s="253"/>
      <c r="O918" s="258"/>
      <c r="P918" s="258"/>
      <c r="Q918" s="258"/>
      <c r="R918" s="258"/>
      <c r="S918" s="258"/>
      <c r="T918" s="258"/>
      <c r="U918" s="258"/>
      <c r="V918" s="258"/>
      <c r="W918" s="258"/>
      <c r="X918" s="258"/>
      <c r="Y918" s="258"/>
      <c r="Z918" s="258"/>
      <c r="AA918" s="258"/>
      <c r="AB918" s="258"/>
      <c r="AC918" s="407"/>
    </row>
    <row r="919" spans="2:29" s="406" customFormat="1" ht="16.5" customHeight="1">
      <c r="B919" s="255"/>
      <c r="C919" s="255"/>
      <c r="D919" s="257"/>
      <c r="E919" s="257"/>
      <c r="F919" s="257"/>
      <c r="G919" s="252"/>
      <c r="H919" s="252"/>
      <c r="I919" s="252"/>
      <c r="J919" s="252"/>
      <c r="K919" s="252"/>
      <c r="L919" s="252"/>
      <c r="M919" s="253"/>
      <c r="N919" s="253"/>
      <c r="O919" s="258"/>
      <c r="P919" s="258"/>
      <c r="Q919" s="258"/>
      <c r="R919" s="258"/>
      <c r="S919" s="258"/>
      <c r="T919" s="258"/>
      <c r="U919" s="258"/>
      <c r="V919" s="258"/>
      <c r="W919" s="258"/>
      <c r="X919" s="258"/>
      <c r="Y919" s="258"/>
      <c r="Z919" s="258"/>
      <c r="AA919" s="258"/>
      <c r="AB919" s="258"/>
      <c r="AC919" s="407"/>
    </row>
    <row r="920" spans="2:29" s="406" customFormat="1" ht="16.5" customHeight="1">
      <c r="B920" s="255"/>
      <c r="C920" s="255"/>
      <c r="D920" s="257"/>
      <c r="E920" s="257"/>
      <c r="F920" s="257"/>
      <c r="G920" s="252"/>
      <c r="H920" s="252"/>
      <c r="I920" s="252"/>
      <c r="J920" s="252"/>
      <c r="K920" s="252"/>
      <c r="L920" s="252"/>
      <c r="M920" s="253"/>
      <c r="N920" s="253"/>
      <c r="O920" s="258"/>
      <c r="P920" s="258"/>
      <c r="Q920" s="258"/>
      <c r="R920" s="258"/>
      <c r="S920" s="258"/>
      <c r="T920" s="258"/>
      <c r="U920" s="258"/>
      <c r="V920" s="258"/>
      <c r="W920" s="258"/>
      <c r="X920" s="258"/>
      <c r="Y920" s="258"/>
      <c r="Z920" s="258"/>
      <c r="AA920" s="258"/>
      <c r="AB920" s="258"/>
      <c r="AC920" s="407"/>
    </row>
    <row r="921" spans="2:29" s="406" customFormat="1" ht="16.5" customHeight="1">
      <c r="B921" s="255"/>
      <c r="C921" s="255"/>
      <c r="D921" s="257"/>
      <c r="E921" s="257"/>
      <c r="F921" s="257"/>
      <c r="G921" s="252"/>
      <c r="H921" s="252"/>
      <c r="I921" s="252"/>
      <c r="J921" s="252"/>
      <c r="K921" s="252"/>
      <c r="L921" s="252"/>
      <c r="M921" s="253"/>
      <c r="N921" s="253"/>
      <c r="O921" s="258"/>
      <c r="P921" s="258"/>
      <c r="Q921" s="258"/>
      <c r="R921" s="258"/>
      <c r="S921" s="258"/>
      <c r="T921" s="258"/>
      <c r="U921" s="258"/>
      <c r="V921" s="258"/>
      <c r="W921" s="258"/>
      <c r="X921" s="258"/>
      <c r="Y921" s="258"/>
      <c r="Z921" s="258"/>
      <c r="AA921" s="258"/>
      <c r="AB921" s="258"/>
      <c r="AC921" s="407"/>
    </row>
    <row r="922" spans="2:29" s="406" customFormat="1" ht="16.5" customHeight="1">
      <c r="B922" s="255"/>
      <c r="C922" s="255"/>
      <c r="D922" s="257"/>
      <c r="E922" s="257"/>
      <c r="F922" s="257"/>
      <c r="G922" s="252"/>
      <c r="H922" s="252"/>
      <c r="I922" s="252"/>
      <c r="J922" s="252"/>
      <c r="K922" s="252"/>
      <c r="L922" s="252"/>
      <c r="M922" s="253"/>
      <c r="N922" s="253"/>
      <c r="O922" s="258"/>
      <c r="P922" s="258"/>
      <c r="Q922" s="258"/>
      <c r="R922" s="258"/>
      <c r="S922" s="258"/>
      <c r="T922" s="258"/>
      <c r="U922" s="258"/>
      <c r="V922" s="258"/>
      <c r="W922" s="258"/>
      <c r="X922" s="258"/>
      <c r="Y922" s="258"/>
      <c r="Z922" s="258"/>
      <c r="AA922" s="258"/>
      <c r="AB922" s="258"/>
      <c r="AC922" s="407"/>
    </row>
    <row r="923" spans="2:29" s="406" customFormat="1" ht="16.5" customHeight="1">
      <c r="B923" s="255"/>
      <c r="C923" s="255"/>
      <c r="D923" s="257"/>
      <c r="E923" s="257"/>
      <c r="F923" s="257"/>
      <c r="G923" s="252"/>
      <c r="H923" s="252"/>
      <c r="I923" s="252"/>
      <c r="J923" s="252"/>
      <c r="K923" s="252"/>
      <c r="L923" s="252"/>
      <c r="M923" s="253"/>
      <c r="N923" s="253"/>
      <c r="O923" s="258"/>
      <c r="P923" s="258"/>
      <c r="Q923" s="258"/>
      <c r="R923" s="258"/>
      <c r="S923" s="258"/>
      <c r="T923" s="258"/>
      <c r="U923" s="258"/>
      <c r="V923" s="258"/>
      <c r="W923" s="258"/>
      <c r="X923" s="258"/>
      <c r="Y923" s="258"/>
      <c r="Z923" s="258"/>
      <c r="AA923" s="258"/>
      <c r="AB923" s="258"/>
      <c r="AC923" s="407"/>
    </row>
    <row r="924" spans="2:29" s="406" customFormat="1" ht="16.5" customHeight="1">
      <c r="B924" s="255"/>
      <c r="C924" s="255"/>
      <c r="D924" s="257"/>
      <c r="E924" s="257"/>
      <c r="F924" s="257"/>
      <c r="G924" s="252"/>
      <c r="H924" s="252"/>
      <c r="I924" s="252"/>
      <c r="J924" s="252"/>
      <c r="K924" s="252"/>
      <c r="L924" s="252"/>
      <c r="M924" s="253"/>
      <c r="N924" s="253"/>
      <c r="O924" s="258"/>
      <c r="P924" s="258"/>
      <c r="Q924" s="258"/>
      <c r="R924" s="258"/>
      <c r="S924" s="258"/>
      <c r="T924" s="258"/>
      <c r="U924" s="258"/>
      <c r="V924" s="258"/>
      <c r="W924" s="258"/>
      <c r="X924" s="258"/>
      <c r="Y924" s="258"/>
      <c r="Z924" s="258"/>
      <c r="AA924" s="258"/>
      <c r="AB924" s="258"/>
      <c r="AC924" s="407"/>
    </row>
    <row r="925" spans="2:29" s="406" customFormat="1" ht="16.5" customHeight="1">
      <c r="B925" s="255"/>
      <c r="C925" s="255"/>
      <c r="D925" s="257"/>
      <c r="E925" s="257"/>
      <c r="F925" s="257"/>
      <c r="G925" s="252"/>
      <c r="H925" s="252"/>
      <c r="I925" s="252"/>
      <c r="J925" s="252"/>
      <c r="K925" s="252"/>
      <c r="L925" s="252"/>
      <c r="M925" s="253"/>
      <c r="N925" s="253"/>
      <c r="O925" s="258"/>
      <c r="P925" s="258"/>
      <c r="Q925" s="258"/>
      <c r="R925" s="258"/>
      <c r="S925" s="258"/>
      <c r="T925" s="258"/>
      <c r="U925" s="258"/>
      <c r="V925" s="258"/>
      <c r="W925" s="258"/>
      <c r="X925" s="258"/>
      <c r="Y925" s="258"/>
      <c r="Z925" s="258"/>
      <c r="AA925" s="258"/>
      <c r="AB925" s="258"/>
      <c r="AC925" s="407"/>
    </row>
    <row r="926" spans="2:29" s="406" customFormat="1" ht="16.5" customHeight="1">
      <c r="B926" s="255"/>
      <c r="C926" s="255"/>
      <c r="D926" s="257"/>
      <c r="E926" s="257"/>
      <c r="F926" s="257"/>
      <c r="G926" s="252"/>
      <c r="H926" s="252"/>
      <c r="I926" s="252"/>
      <c r="J926" s="252"/>
      <c r="K926" s="252"/>
      <c r="L926" s="252"/>
      <c r="M926" s="253"/>
      <c r="N926" s="253"/>
      <c r="O926" s="258"/>
      <c r="P926" s="258"/>
      <c r="Q926" s="258"/>
      <c r="R926" s="258"/>
      <c r="S926" s="258"/>
      <c r="T926" s="258"/>
      <c r="U926" s="258"/>
      <c r="V926" s="258"/>
      <c r="W926" s="258"/>
      <c r="X926" s="258"/>
      <c r="Y926" s="258"/>
      <c r="Z926" s="258"/>
      <c r="AA926" s="258"/>
      <c r="AB926" s="258"/>
      <c r="AC926" s="407"/>
    </row>
    <row r="927" spans="2:29" s="406" customFormat="1" ht="16.5" customHeight="1">
      <c r="B927" s="255"/>
      <c r="C927" s="255"/>
      <c r="D927" s="257"/>
      <c r="E927" s="257"/>
      <c r="F927" s="257"/>
      <c r="G927" s="252"/>
      <c r="H927" s="252"/>
      <c r="I927" s="252"/>
      <c r="J927" s="252"/>
      <c r="K927" s="252"/>
      <c r="L927" s="252"/>
      <c r="M927" s="253"/>
      <c r="N927" s="253"/>
      <c r="O927" s="258"/>
      <c r="P927" s="258"/>
      <c r="Q927" s="258"/>
      <c r="R927" s="258"/>
      <c r="S927" s="258"/>
      <c r="T927" s="258"/>
      <c r="U927" s="258"/>
      <c r="V927" s="258"/>
      <c r="W927" s="258"/>
      <c r="X927" s="258"/>
      <c r="Y927" s="258"/>
      <c r="Z927" s="258"/>
      <c r="AA927" s="258"/>
      <c r="AB927" s="258"/>
      <c r="AC927" s="407"/>
    </row>
    <row r="928" spans="2:29" s="406" customFormat="1" ht="16.5" customHeight="1">
      <c r="B928" s="255"/>
      <c r="C928" s="255"/>
      <c r="D928" s="257"/>
      <c r="E928" s="257"/>
      <c r="F928" s="257"/>
      <c r="G928" s="252"/>
      <c r="H928" s="252"/>
      <c r="I928" s="252"/>
      <c r="J928" s="252"/>
      <c r="K928" s="252"/>
      <c r="L928" s="252"/>
      <c r="M928" s="253"/>
      <c r="N928" s="253"/>
      <c r="O928" s="258"/>
      <c r="P928" s="258"/>
      <c r="Q928" s="258"/>
      <c r="R928" s="258"/>
      <c r="S928" s="258"/>
      <c r="T928" s="258"/>
      <c r="U928" s="258"/>
      <c r="V928" s="258"/>
      <c r="W928" s="258"/>
      <c r="X928" s="258"/>
      <c r="Y928" s="258"/>
      <c r="Z928" s="258"/>
      <c r="AA928" s="258"/>
      <c r="AB928" s="258"/>
      <c r="AC928" s="407"/>
    </row>
    <row r="929" spans="2:29" s="406" customFormat="1" ht="16.5" customHeight="1">
      <c r="B929" s="255"/>
      <c r="C929" s="255"/>
      <c r="D929" s="257"/>
      <c r="E929" s="257"/>
      <c r="F929" s="257"/>
      <c r="G929" s="252"/>
      <c r="H929" s="252"/>
      <c r="I929" s="252"/>
      <c r="J929" s="252"/>
      <c r="K929" s="252"/>
      <c r="L929" s="252"/>
      <c r="M929" s="253"/>
      <c r="N929" s="253"/>
      <c r="O929" s="258"/>
      <c r="P929" s="258"/>
      <c r="Q929" s="258"/>
      <c r="R929" s="258"/>
      <c r="S929" s="258"/>
      <c r="T929" s="258"/>
      <c r="U929" s="258"/>
      <c r="V929" s="258"/>
      <c r="W929" s="258"/>
      <c r="X929" s="258"/>
      <c r="Y929" s="258"/>
      <c r="Z929" s="258"/>
      <c r="AA929" s="258"/>
      <c r="AB929" s="258"/>
      <c r="AC929" s="407"/>
    </row>
    <row r="930" spans="2:29" s="406" customFormat="1" ht="16.5" customHeight="1">
      <c r="B930" s="255"/>
      <c r="C930" s="255"/>
      <c r="D930" s="257"/>
      <c r="E930" s="257"/>
      <c r="F930" s="257"/>
      <c r="G930" s="252"/>
      <c r="H930" s="252"/>
      <c r="I930" s="252"/>
      <c r="J930" s="252"/>
      <c r="K930" s="252"/>
      <c r="L930" s="252"/>
      <c r="M930" s="253"/>
      <c r="N930" s="253"/>
      <c r="O930" s="258"/>
      <c r="P930" s="258"/>
      <c r="Q930" s="258"/>
      <c r="R930" s="258"/>
      <c r="S930" s="258"/>
      <c r="T930" s="258"/>
      <c r="U930" s="258"/>
      <c r="V930" s="258"/>
      <c r="W930" s="258"/>
      <c r="X930" s="258"/>
      <c r="Y930" s="258"/>
      <c r="Z930" s="258"/>
      <c r="AA930" s="258"/>
      <c r="AB930" s="258"/>
      <c r="AC930" s="407"/>
    </row>
    <row r="931" spans="2:29" s="406" customFormat="1" ht="16.5" customHeight="1">
      <c r="B931" s="255"/>
      <c r="C931" s="255"/>
      <c r="D931" s="257"/>
      <c r="E931" s="257"/>
      <c r="F931" s="257"/>
      <c r="G931" s="252"/>
      <c r="H931" s="252"/>
      <c r="I931" s="252"/>
      <c r="J931" s="252"/>
      <c r="K931" s="252"/>
      <c r="L931" s="252"/>
      <c r="M931" s="253"/>
      <c r="N931" s="253"/>
      <c r="O931" s="258"/>
      <c r="P931" s="258"/>
      <c r="Q931" s="258"/>
      <c r="R931" s="258"/>
      <c r="S931" s="258"/>
      <c r="T931" s="258"/>
      <c r="U931" s="258"/>
      <c r="V931" s="258"/>
      <c r="W931" s="258"/>
      <c r="X931" s="258"/>
      <c r="Y931" s="258"/>
      <c r="Z931" s="258"/>
      <c r="AA931" s="258"/>
      <c r="AB931" s="258"/>
      <c r="AC931" s="407"/>
    </row>
    <row r="932" spans="2:29" s="406" customFormat="1" ht="16.5" customHeight="1">
      <c r="B932" s="255"/>
      <c r="C932" s="255"/>
      <c r="D932" s="257"/>
      <c r="E932" s="257"/>
      <c r="F932" s="257"/>
      <c r="G932" s="252"/>
      <c r="H932" s="252"/>
      <c r="I932" s="252"/>
      <c r="J932" s="252"/>
      <c r="K932" s="252"/>
      <c r="L932" s="252"/>
      <c r="M932" s="253"/>
      <c r="N932" s="253"/>
      <c r="O932" s="258"/>
      <c r="P932" s="258"/>
      <c r="Q932" s="258"/>
      <c r="R932" s="258"/>
      <c r="S932" s="258"/>
      <c r="T932" s="258"/>
      <c r="U932" s="258"/>
      <c r="V932" s="258"/>
      <c r="W932" s="258"/>
      <c r="X932" s="258"/>
      <c r="Y932" s="258"/>
      <c r="Z932" s="258"/>
      <c r="AA932" s="258"/>
      <c r="AB932" s="258"/>
      <c r="AC932" s="407"/>
    </row>
    <row r="933" spans="2:29" s="406" customFormat="1" ht="16.5" customHeight="1">
      <c r="B933" s="255"/>
      <c r="C933" s="255"/>
      <c r="D933" s="257"/>
      <c r="E933" s="257"/>
      <c r="F933" s="257"/>
      <c r="G933" s="252"/>
      <c r="H933" s="252"/>
      <c r="I933" s="252"/>
      <c r="J933" s="252"/>
      <c r="K933" s="252"/>
      <c r="L933" s="252"/>
      <c r="M933" s="253"/>
      <c r="N933" s="253"/>
      <c r="O933" s="258"/>
      <c r="P933" s="258"/>
      <c r="Q933" s="258"/>
      <c r="R933" s="258"/>
      <c r="S933" s="258"/>
      <c r="T933" s="258"/>
      <c r="U933" s="258"/>
      <c r="V933" s="258"/>
      <c r="W933" s="258"/>
      <c r="X933" s="258"/>
      <c r="Y933" s="258"/>
      <c r="Z933" s="258"/>
      <c r="AA933" s="258"/>
      <c r="AB933" s="258"/>
      <c r="AC933" s="407"/>
    </row>
    <row r="934" spans="2:29" s="406" customFormat="1" ht="16.5" customHeight="1">
      <c r="B934" s="255"/>
      <c r="C934" s="255"/>
      <c r="D934" s="257"/>
      <c r="E934" s="257"/>
      <c r="F934" s="257"/>
      <c r="G934" s="252"/>
      <c r="H934" s="252"/>
      <c r="I934" s="252"/>
      <c r="J934" s="252"/>
      <c r="K934" s="252"/>
      <c r="L934" s="252"/>
      <c r="M934" s="253"/>
      <c r="N934" s="253"/>
      <c r="O934" s="258"/>
      <c r="P934" s="258"/>
      <c r="Q934" s="258"/>
      <c r="R934" s="258"/>
      <c r="S934" s="258"/>
      <c r="T934" s="258"/>
      <c r="U934" s="258"/>
      <c r="V934" s="258"/>
      <c r="W934" s="258"/>
      <c r="X934" s="258"/>
      <c r="Y934" s="258"/>
      <c r="Z934" s="258"/>
      <c r="AA934" s="258"/>
      <c r="AB934" s="258"/>
      <c r="AC934" s="407"/>
    </row>
    <row r="935" spans="2:29" s="406" customFormat="1" ht="16.5" customHeight="1">
      <c r="B935" s="255"/>
      <c r="C935" s="255"/>
      <c r="D935" s="257"/>
      <c r="E935" s="257"/>
      <c r="F935" s="257"/>
      <c r="G935" s="252"/>
      <c r="H935" s="252"/>
      <c r="I935" s="252"/>
      <c r="J935" s="252"/>
      <c r="K935" s="252"/>
      <c r="L935" s="252"/>
      <c r="M935" s="253"/>
      <c r="N935" s="253"/>
      <c r="O935" s="258"/>
      <c r="P935" s="258"/>
      <c r="Q935" s="258"/>
      <c r="R935" s="258"/>
      <c r="S935" s="258"/>
      <c r="T935" s="258"/>
      <c r="U935" s="258"/>
      <c r="V935" s="258"/>
      <c r="W935" s="258"/>
      <c r="X935" s="258"/>
      <c r="Y935" s="258"/>
      <c r="Z935" s="258"/>
      <c r="AA935" s="258"/>
      <c r="AB935" s="258"/>
      <c r="AC935" s="407"/>
    </row>
    <row r="936" spans="2:29" s="406" customFormat="1" ht="16.5" customHeight="1">
      <c r="B936" s="255"/>
      <c r="C936" s="255"/>
      <c r="D936" s="257"/>
      <c r="E936" s="257"/>
      <c r="F936" s="257"/>
      <c r="G936" s="252"/>
      <c r="H936" s="252"/>
      <c r="I936" s="252"/>
      <c r="J936" s="252"/>
      <c r="K936" s="252"/>
      <c r="L936" s="252"/>
      <c r="M936" s="253"/>
      <c r="N936" s="253"/>
      <c r="O936" s="258"/>
      <c r="P936" s="258"/>
      <c r="Q936" s="258"/>
      <c r="R936" s="258"/>
      <c r="S936" s="258"/>
      <c r="T936" s="258"/>
      <c r="U936" s="258"/>
      <c r="V936" s="258"/>
      <c r="W936" s="258"/>
      <c r="X936" s="258"/>
      <c r="Y936" s="258"/>
      <c r="Z936" s="258"/>
      <c r="AA936" s="258"/>
      <c r="AB936" s="258"/>
      <c r="AC936" s="407"/>
    </row>
    <row r="937" spans="2:29" s="406" customFormat="1" ht="16.5" customHeight="1">
      <c r="B937" s="255"/>
      <c r="C937" s="255"/>
      <c r="D937" s="257"/>
      <c r="E937" s="257"/>
      <c r="F937" s="257"/>
      <c r="G937" s="252"/>
      <c r="H937" s="252"/>
      <c r="I937" s="252"/>
      <c r="J937" s="252"/>
      <c r="K937" s="252"/>
      <c r="L937" s="252"/>
      <c r="M937" s="253"/>
      <c r="N937" s="253"/>
      <c r="O937" s="258"/>
      <c r="P937" s="258"/>
      <c r="Q937" s="258"/>
      <c r="R937" s="258"/>
      <c r="S937" s="258"/>
      <c r="T937" s="258"/>
      <c r="U937" s="258"/>
      <c r="V937" s="258"/>
      <c r="W937" s="258"/>
      <c r="X937" s="258"/>
      <c r="Y937" s="258"/>
      <c r="Z937" s="258"/>
      <c r="AA937" s="258"/>
      <c r="AB937" s="258"/>
      <c r="AC937" s="407"/>
    </row>
    <row r="938" spans="2:29" s="406" customFormat="1" ht="16.5" customHeight="1">
      <c r="B938" s="255"/>
      <c r="C938" s="255"/>
      <c r="D938" s="257"/>
      <c r="E938" s="257"/>
      <c r="F938" s="257"/>
      <c r="G938" s="252"/>
      <c r="H938" s="252"/>
      <c r="I938" s="252"/>
      <c r="J938" s="252"/>
      <c r="K938" s="252"/>
      <c r="L938" s="252"/>
      <c r="M938" s="253"/>
      <c r="N938" s="253"/>
      <c r="O938" s="258"/>
      <c r="P938" s="258"/>
      <c r="Q938" s="258"/>
      <c r="R938" s="258"/>
      <c r="S938" s="258"/>
      <c r="T938" s="258"/>
      <c r="U938" s="258"/>
      <c r="V938" s="258"/>
      <c r="W938" s="258"/>
      <c r="X938" s="258"/>
      <c r="Y938" s="258"/>
      <c r="Z938" s="258"/>
      <c r="AA938" s="258"/>
      <c r="AB938" s="258"/>
      <c r="AC938" s="407"/>
    </row>
    <row r="939" spans="2:29" s="406" customFormat="1" ht="16.5" customHeight="1">
      <c r="B939" s="255"/>
      <c r="C939" s="255"/>
      <c r="D939" s="257"/>
      <c r="E939" s="257"/>
      <c r="F939" s="257"/>
      <c r="G939" s="252"/>
      <c r="H939" s="252"/>
      <c r="I939" s="252"/>
      <c r="J939" s="252"/>
      <c r="K939" s="252"/>
      <c r="L939" s="252"/>
      <c r="M939" s="253"/>
      <c r="N939" s="253"/>
      <c r="O939" s="258"/>
      <c r="P939" s="258"/>
      <c r="Q939" s="258"/>
      <c r="R939" s="258"/>
      <c r="S939" s="258"/>
      <c r="T939" s="258"/>
      <c r="U939" s="258"/>
      <c r="V939" s="258"/>
      <c r="W939" s="258"/>
      <c r="X939" s="258"/>
      <c r="Y939" s="258"/>
      <c r="Z939" s="258"/>
      <c r="AA939" s="258"/>
      <c r="AB939" s="258"/>
      <c r="AC939" s="407"/>
    </row>
    <row r="940" spans="2:29" s="406" customFormat="1" ht="16.5" customHeight="1">
      <c r="B940" s="255"/>
      <c r="C940" s="255"/>
      <c r="D940" s="257"/>
      <c r="E940" s="257"/>
      <c r="F940" s="257"/>
      <c r="G940" s="252"/>
      <c r="H940" s="252"/>
      <c r="I940" s="252"/>
      <c r="J940" s="252"/>
      <c r="K940" s="252"/>
      <c r="L940" s="252"/>
      <c r="M940" s="253"/>
      <c r="N940" s="253"/>
      <c r="O940" s="258"/>
      <c r="P940" s="258"/>
      <c r="Q940" s="258"/>
      <c r="R940" s="258"/>
      <c r="S940" s="258"/>
      <c r="T940" s="258"/>
      <c r="U940" s="258"/>
      <c r="V940" s="258"/>
      <c r="W940" s="258"/>
      <c r="X940" s="258"/>
      <c r="Y940" s="258"/>
      <c r="Z940" s="258"/>
      <c r="AA940" s="258"/>
      <c r="AB940" s="258"/>
      <c r="AC940" s="407"/>
    </row>
    <row r="941" spans="2:29" s="406" customFormat="1" ht="16.5" customHeight="1">
      <c r="B941" s="255"/>
      <c r="C941" s="255"/>
      <c r="D941" s="257"/>
      <c r="E941" s="257"/>
      <c r="F941" s="257"/>
      <c r="G941" s="252"/>
      <c r="H941" s="252"/>
      <c r="I941" s="252"/>
      <c r="J941" s="252"/>
      <c r="K941" s="252"/>
      <c r="L941" s="252"/>
      <c r="M941" s="253"/>
      <c r="N941" s="253"/>
      <c r="O941" s="258"/>
      <c r="P941" s="258"/>
      <c r="Q941" s="258"/>
      <c r="R941" s="258"/>
      <c r="S941" s="258"/>
      <c r="T941" s="258"/>
      <c r="U941" s="258"/>
      <c r="V941" s="258"/>
      <c r="W941" s="258"/>
      <c r="X941" s="258"/>
      <c r="Y941" s="258"/>
      <c r="Z941" s="258"/>
      <c r="AA941" s="258"/>
      <c r="AB941" s="258"/>
      <c r="AC941" s="407"/>
    </row>
    <row r="942" spans="2:29" s="406" customFormat="1" ht="16.5" customHeight="1">
      <c r="B942" s="255"/>
      <c r="C942" s="255"/>
      <c r="D942" s="257"/>
      <c r="E942" s="257"/>
      <c r="F942" s="257"/>
      <c r="G942" s="252"/>
      <c r="H942" s="252"/>
      <c r="I942" s="252"/>
      <c r="J942" s="252"/>
      <c r="K942" s="252"/>
      <c r="L942" s="252"/>
      <c r="M942" s="253"/>
      <c r="N942" s="253"/>
      <c r="O942" s="258"/>
      <c r="P942" s="258"/>
      <c r="Q942" s="258"/>
      <c r="R942" s="258"/>
      <c r="S942" s="258"/>
      <c r="T942" s="258"/>
      <c r="U942" s="258"/>
      <c r="V942" s="258"/>
      <c r="W942" s="258"/>
      <c r="X942" s="258"/>
      <c r="Y942" s="258"/>
      <c r="Z942" s="258"/>
      <c r="AA942" s="258"/>
      <c r="AB942" s="258"/>
      <c r="AC942" s="407"/>
    </row>
    <row r="943" spans="2:29" s="406" customFormat="1" ht="16.5" customHeight="1">
      <c r="B943" s="255"/>
      <c r="C943" s="255"/>
      <c r="D943" s="257"/>
      <c r="E943" s="257"/>
      <c r="F943" s="257"/>
      <c r="G943" s="252"/>
      <c r="H943" s="252"/>
      <c r="I943" s="252"/>
      <c r="J943" s="252"/>
      <c r="K943" s="252"/>
      <c r="L943" s="252"/>
      <c r="M943" s="253"/>
      <c r="N943" s="253"/>
      <c r="O943" s="258"/>
      <c r="P943" s="258"/>
      <c r="Q943" s="258"/>
      <c r="R943" s="258"/>
      <c r="S943" s="258"/>
      <c r="T943" s="258"/>
      <c r="U943" s="258"/>
      <c r="V943" s="258"/>
      <c r="W943" s="258"/>
      <c r="X943" s="258"/>
      <c r="Y943" s="258"/>
      <c r="Z943" s="258"/>
      <c r="AA943" s="258"/>
      <c r="AB943" s="258"/>
      <c r="AC943" s="407"/>
    </row>
    <row r="944" spans="2:29" s="406" customFormat="1" ht="16.5" customHeight="1">
      <c r="B944" s="255"/>
      <c r="C944" s="255"/>
      <c r="D944" s="257"/>
      <c r="E944" s="257"/>
      <c r="F944" s="257"/>
      <c r="G944" s="252"/>
      <c r="H944" s="252"/>
      <c r="I944" s="252"/>
      <c r="J944" s="252"/>
      <c r="K944" s="252"/>
      <c r="L944" s="252"/>
      <c r="M944" s="253"/>
      <c r="N944" s="253"/>
      <c r="O944" s="258"/>
      <c r="P944" s="258"/>
      <c r="Q944" s="258"/>
      <c r="R944" s="258"/>
      <c r="S944" s="258"/>
      <c r="T944" s="258"/>
      <c r="U944" s="258"/>
      <c r="V944" s="258"/>
      <c r="W944" s="258"/>
      <c r="X944" s="258"/>
      <c r="Y944" s="258"/>
      <c r="Z944" s="258"/>
      <c r="AA944" s="258"/>
      <c r="AB944" s="258"/>
      <c r="AC944" s="407"/>
    </row>
    <row r="945" spans="2:29" s="406" customFormat="1" ht="16.5" customHeight="1">
      <c r="B945" s="255"/>
      <c r="C945" s="255"/>
      <c r="D945" s="257"/>
      <c r="E945" s="257"/>
      <c r="F945" s="257"/>
      <c r="G945" s="252"/>
      <c r="H945" s="252"/>
      <c r="I945" s="252"/>
      <c r="J945" s="252"/>
      <c r="K945" s="252"/>
      <c r="L945" s="252"/>
      <c r="M945" s="253"/>
      <c r="N945" s="253"/>
      <c r="O945" s="258"/>
      <c r="P945" s="258"/>
      <c r="Q945" s="258"/>
      <c r="R945" s="258"/>
      <c r="S945" s="258"/>
      <c r="T945" s="258"/>
      <c r="U945" s="258"/>
      <c r="V945" s="258"/>
      <c r="W945" s="258"/>
      <c r="X945" s="258"/>
      <c r="Y945" s="258"/>
      <c r="Z945" s="258"/>
      <c r="AA945" s="258"/>
      <c r="AB945" s="258"/>
      <c r="AC945" s="407"/>
    </row>
    <row r="946" spans="2:29" s="406" customFormat="1" ht="16.5" customHeight="1">
      <c r="B946" s="255"/>
      <c r="C946" s="255"/>
      <c r="D946" s="257"/>
      <c r="E946" s="257"/>
      <c r="F946" s="257"/>
      <c r="G946" s="252"/>
      <c r="H946" s="252"/>
      <c r="I946" s="252"/>
      <c r="J946" s="252"/>
      <c r="K946" s="252"/>
      <c r="L946" s="252"/>
      <c r="M946" s="253"/>
      <c r="N946" s="253"/>
      <c r="O946" s="258"/>
      <c r="P946" s="258"/>
      <c r="Q946" s="258"/>
      <c r="R946" s="258"/>
      <c r="S946" s="258"/>
      <c r="T946" s="258"/>
      <c r="U946" s="258"/>
      <c r="V946" s="258"/>
      <c r="W946" s="258"/>
      <c r="X946" s="258"/>
      <c r="Y946" s="258"/>
      <c r="Z946" s="258"/>
      <c r="AA946" s="258"/>
      <c r="AB946" s="258"/>
      <c r="AC946" s="407"/>
    </row>
    <row r="947" spans="2:29" s="406" customFormat="1" ht="16.5" customHeight="1">
      <c r="B947" s="255"/>
      <c r="C947" s="255"/>
      <c r="D947" s="257"/>
      <c r="E947" s="257"/>
      <c r="F947" s="257"/>
      <c r="G947" s="252"/>
      <c r="H947" s="252"/>
      <c r="I947" s="252"/>
      <c r="J947" s="252"/>
      <c r="K947" s="252"/>
      <c r="L947" s="252"/>
      <c r="M947" s="253"/>
      <c r="N947" s="253"/>
      <c r="O947" s="258"/>
      <c r="P947" s="258"/>
      <c r="Q947" s="258"/>
      <c r="R947" s="258"/>
      <c r="S947" s="258"/>
      <c r="T947" s="258"/>
      <c r="U947" s="258"/>
      <c r="V947" s="258"/>
      <c r="W947" s="258"/>
      <c r="X947" s="258"/>
      <c r="Y947" s="258"/>
      <c r="Z947" s="258"/>
      <c r="AA947" s="258"/>
      <c r="AB947" s="258"/>
      <c r="AC947" s="407"/>
    </row>
    <row r="948" spans="2:29" s="406" customFormat="1" ht="16.5" customHeight="1">
      <c r="B948" s="255"/>
      <c r="C948" s="255"/>
      <c r="D948" s="257"/>
      <c r="E948" s="257"/>
      <c r="F948" s="257"/>
      <c r="G948" s="252"/>
      <c r="H948" s="252"/>
      <c r="I948" s="252"/>
      <c r="J948" s="252"/>
      <c r="K948" s="252"/>
      <c r="L948" s="252"/>
      <c r="M948" s="253"/>
      <c r="N948" s="253"/>
      <c r="O948" s="258"/>
      <c r="P948" s="258"/>
      <c r="Q948" s="258"/>
      <c r="R948" s="258"/>
      <c r="S948" s="258"/>
      <c r="T948" s="258"/>
      <c r="U948" s="258"/>
      <c r="V948" s="258"/>
      <c r="W948" s="258"/>
      <c r="X948" s="258"/>
      <c r="Y948" s="258"/>
      <c r="Z948" s="258"/>
      <c r="AA948" s="258"/>
      <c r="AB948" s="258"/>
      <c r="AC948" s="407"/>
    </row>
    <row r="949" spans="2:29" s="406" customFormat="1" ht="16.5" customHeight="1">
      <c r="B949" s="255"/>
      <c r="C949" s="255"/>
      <c r="D949" s="257"/>
      <c r="E949" s="257"/>
      <c r="F949" s="257"/>
      <c r="G949" s="252"/>
      <c r="H949" s="252"/>
      <c r="I949" s="252"/>
      <c r="J949" s="252"/>
      <c r="K949" s="252"/>
      <c r="L949" s="252"/>
      <c r="M949" s="253"/>
      <c r="N949" s="253"/>
      <c r="O949" s="258"/>
      <c r="P949" s="258"/>
      <c r="Q949" s="258"/>
      <c r="R949" s="258"/>
      <c r="S949" s="258"/>
      <c r="T949" s="258"/>
      <c r="U949" s="258"/>
      <c r="V949" s="258"/>
      <c r="W949" s="258"/>
      <c r="X949" s="258"/>
      <c r="Y949" s="258"/>
      <c r="Z949" s="258"/>
      <c r="AA949" s="258"/>
      <c r="AB949" s="258"/>
      <c r="AC949" s="407"/>
    </row>
    <row r="950" spans="2:29" s="406" customFormat="1" ht="16.5" customHeight="1">
      <c r="B950" s="255"/>
      <c r="C950" s="255"/>
      <c r="D950" s="257"/>
      <c r="E950" s="257"/>
      <c r="F950" s="257"/>
      <c r="G950" s="252"/>
      <c r="H950" s="252"/>
      <c r="I950" s="252"/>
      <c r="J950" s="252"/>
      <c r="K950" s="252"/>
      <c r="L950" s="252"/>
      <c r="M950" s="253"/>
      <c r="N950" s="253"/>
      <c r="O950" s="258"/>
      <c r="P950" s="258"/>
      <c r="Q950" s="258"/>
      <c r="R950" s="258"/>
      <c r="S950" s="258"/>
      <c r="T950" s="258"/>
      <c r="U950" s="258"/>
      <c r="V950" s="258"/>
      <c r="W950" s="258"/>
      <c r="X950" s="258"/>
      <c r="Y950" s="258"/>
      <c r="Z950" s="258"/>
      <c r="AA950" s="258"/>
      <c r="AB950" s="258"/>
      <c r="AC950" s="407"/>
    </row>
    <row r="951" spans="2:29" s="406" customFormat="1" ht="16.5" customHeight="1">
      <c r="B951" s="255"/>
      <c r="C951" s="255"/>
      <c r="D951" s="257"/>
      <c r="E951" s="257"/>
      <c r="F951" s="257"/>
      <c r="G951" s="252"/>
      <c r="H951" s="252"/>
      <c r="I951" s="252"/>
      <c r="J951" s="252"/>
      <c r="K951" s="252"/>
      <c r="L951" s="252"/>
      <c r="M951" s="253"/>
      <c r="N951" s="253"/>
      <c r="O951" s="258"/>
      <c r="P951" s="258"/>
      <c r="Q951" s="258"/>
      <c r="R951" s="258"/>
      <c r="S951" s="258"/>
      <c r="T951" s="258"/>
      <c r="U951" s="258"/>
      <c r="V951" s="258"/>
      <c r="W951" s="258"/>
      <c r="X951" s="258"/>
      <c r="Y951" s="258"/>
      <c r="Z951" s="258"/>
      <c r="AA951" s="258"/>
      <c r="AB951" s="258"/>
      <c r="AC951" s="407"/>
    </row>
    <row r="952" spans="2:29" s="406" customFormat="1" ht="16.5" customHeight="1">
      <c r="B952" s="255"/>
      <c r="C952" s="255"/>
      <c r="D952" s="257"/>
      <c r="E952" s="257"/>
      <c r="F952" s="257"/>
      <c r="G952" s="252"/>
      <c r="H952" s="252"/>
      <c r="I952" s="252"/>
      <c r="J952" s="252"/>
      <c r="K952" s="252"/>
      <c r="L952" s="252"/>
      <c r="M952" s="253"/>
      <c r="N952" s="253"/>
      <c r="O952" s="258"/>
      <c r="P952" s="258"/>
      <c r="Q952" s="258"/>
      <c r="R952" s="258"/>
      <c r="S952" s="258"/>
      <c r="T952" s="258"/>
      <c r="U952" s="258"/>
      <c r="V952" s="258"/>
      <c r="W952" s="258"/>
      <c r="X952" s="258"/>
      <c r="Y952" s="258"/>
      <c r="Z952" s="258"/>
      <c r="AA952" s="258"/>
      <c r="AB952" s="258"/>
      <c r="AC952" s="407"/>
    </row>
    <row r="953" spans="2:29" s="406" customFormat="1" ht="16.5" customHeight="1">
      <c r="B953" s="255"/>
      <c r="C953" s="255"/>
      <c r="D953" s="257"/>
      <c r="E953" s="257"/>
      <c r="F953" s="257"/>
      <c r="G953" s="252"/>
      <c r="H953" s="252"/>
      <c r="I953" s="252"/>
      <c r="J953" s="252"/>
      <c r="K953" s="252"/>
      <c r="L953" s="252"/>
      <c r="M953" s="253"/>
      <c r="N953" s="253"/>
      <c r="O953" s="258"/>
      <c r="P953" s="258"/>
      <c r="Q953" s="258"/>
      <c r="R953" s="258"/>
      <c r="S953" s="258"/>
      <c r="T953" s="258"/>
      <c r="U953" s="258"/>
      <c r="V953" s="258"/>
      <c r="W953" s="258"/>
      <c r="X953" s="258"/>
      <c r="Y953" s="258"/>
      <c r="Z953" s="258"/>
      <c r="AA953" s="258"/>
      <c r="AB953" s="258"/>
      <c r="AC953" s="407"/>
    </row>
    <row r="954" spans="2:29" s="406" customFormat="1" ht="16.5" customHeight="1">
      <c r="B954" s="255"/>
      <c r="C954" s="255"/>
      <c r="D954" s="257"/>
      <c r="E954" s="257"/>
      <c r="F954" s="257"/>
      <c r="G954" s="252"/>
      <c r="H954" s="252"/>
      <c r="I954" s="252"/>
      <c r="J954" s="252"/>
      <c r="K954" s="252"/>
      <c r="L954" s="252"/>
      <c r="M954" s="253"/>
      <c r="N954" s="253"/>
      <c r="O954" s="258"/>
      <c r="P954" s="258"/>
      <c r="Q954" s="258"/>
      <c r="R954" s="258"/>
      <c r="S954" s="258"/>
      <c r="T954" s="258"/>
      <c r="U954" s="258"/>
      <c r="V954" s="258"/>
      <c r="W954" s="258"/>
      <c r="X954" s="258"/>
      <c r="Y954" s="258"/>
      <c r="Z954" s="258"/>
      <c r="AA954" s="258"/>
      <c r="AB954" s="258"/>
      <c r="AC954" s="407"/>
    </row>
    <row r="955" spans="2:29" s="406" customFormat="1" ht="16.5" customHeight="1">
      <c r="B955" s="255"/>
      <c r="C955" s="255"/>
      <c r="D955" s="257"/>
      <c r="E955" s="257"/>
      <c r="F955" s="257"/>
      <c r="G955" s="252"/>
      <c r="H955" s="252"/>
      <c r="I955" s="252"/>
      <c r="J955" s="252"/>
      <c r="K955" s="252"/>
      <c r="L955" s="252"/>
      <c r="M955" s="253"/>
      <c r="N955" s="253"/>
      <c r="O955" s="258"/>
      <c r="P955" s="258"/>
      <c r="Q955" s="258"/>
      <c r="R955" s="258"/>
      <c r="S955" s="258"/>
      <c r="T955" s="258"/>
      <c r="U955" s="258"/>
      <c r="V955" s="258"/>
      <c r="W955" s="258"/>
      <c r="X955" s="258"/>
      <c r="Y955" s="258"/>
      <c r="Z955" s="258"/>
      <c r="AA955" s="258"/>
      <c r="AB955" s="258"/>
      <c r="AC955" s="407"/>
    </row>
    <row r="956" spans="2:29" s="406" customFormat="1" ht="16.5" customHeight="1">
      <c r="B956" s="255"/>
      <c r="C956" s="255"/>
      <c r="D956" s="257"/>
      <c r="E956" s="257"/>
      <c r="F956" s="257"/>
      <c r="G956" s="252"/>
      <c r="H956" s="252"/>
      <c r="I956" s="252"/>
      <c r="J956" s="252"/>
      <c r="K956" s="252"/>
      <c r="L956" s="252"/>
      <c r="M956" s="253"/>
      <c r="N956" s="253"/>
      <c r="O956" s="258"/>
      <c r="P956" s="258"/>
      <c r="Q956" s="258"/>
      <c r="R956" s="258"/>
      <c r="S956" s="258"/>
      <c r="T956" s="258"/>
      <c r="U956" s="258"/>
      <c r="V956" s="258"/>
      <c r="W956" s="258"/>
      <c r="X956" s="258"/>
      <c r="Y956" s="258"/>
      <c r="Z956" s="258"/>
      <c r="AA956" s="258"/>
      <c r="AB956" s="258"/>
      <c r="AC956" s="407"/>
    </row>
    <row r="957" spans="2:29" s="406" customFormat="1" ht="16.5" customHeight="1">
      <c r="B957" s="255"/>
      <c r="C957" s="255"/>
      <c r="D957" s="257"/>
      <c r="E957" s="257"/>
      <c r="F957" s="257"/>
      <c r="G957" s="252"/>
      <c r="H957" s="252"/>
      <c r="I957" s="252"/>
      <c r="J957" s="252"/>
      <c r="K957" s="252"/>
      <c r="L957" s="252"/>
      <c r="M957" s="253"/>
      <c r="N957" s="253"/>
      <c r="O957" s="258"/>
      <c r="P957" s="258"/>
      <c r="Q957" s="258"/>
      <c r="R957" s="258"/>
      <c r="S957" s="258"/>
      <c r="T957" s="258"/>
      <c r="U957" s="258"/>
      <c r="V957" s="258"/>
      <c r="W957" s="258"/>
      <c r="X957" s="258"/>
      <c r="Y957" s="258"/>
      <c r="Z957" s="258"/>
      <c r="AA957" s="258"/>
      <c r="AB957" s="258"/>
      <c r="AC957" s="407"/>
    </row>
    <row r="958" spans="2:29" s="406" customFormat="1" ht="16.5" customHeight="1">
      <c r="B958" s="255"/>
      <c r="C958" s="255"/>
      <c r="D958" s="257"/>
      <c r="E958" s="257"/>
      <c r="F958" s="257"/>
      <c r="G958" s="252"/>
      <c r="H958" s="252"/>
      <c r="I958" s="252"/>
      <c r="J958" s="252"/>
      <c r="K958" s="252"/>
      <c r="L958" s="252"/>
      <c r="M958" s="253"/>
      <c r="N958" s="253"/>
      <c r="O958" s="258"/>
      <c r="P958" s="258"/>
      <c r="Q958" s="258"/>
      <c r="R958" s="258"/>
      <c r="S958" s="258"/>
      <c r="T958" s="258"/>
      <c r="U958" s="258"/>
      <c r="V958" s="258"/>
      <c r="W958" s="258"/>
      <c r="X958" s="258"/>
      <c r="Y958" s="258"/>
      <c r="Z958" s="258"/>
      <c r="AA958" s="258"/>
      <c r="AB958" s="258"/>
      <c r="AC958" s="407"/>
    </row>
    <row r="959" spans="2:29" s="406" customFormat="1" ht="16.5" customHeight="1">
      <c r="B959" s="255"/>
      <c r="C959" s="255"/>
      <c r="D959" s="257"/>
      <c r="E959" s="257"/>
      <c r="F959" s="257"/>
      <c r="G959" s="252"/>
      <c r="H959" s="252"/>
      <c r="I959" s="252"/>
      <c r="J959" s="252"/>
      <c r="K959" s="252"/>
      <c r="L959" s="252"/>
      <c r="M959" s="253"/>
      <c r="N959" s="253"/>
      <c r="O959" s="258"/>
      <c r="P959" s="258"/>
      <c r="Q959" s="258"/>
      <c r="R959" s="258"/>
      <c r="S959" s="258"/>
      <c r="T959" s="258"/>
      <c r="U959" s="258"/>
      <c r="V959" s="258"/>
      <c r="W959" s="258"/>
      <c r="X959" s="258"/>
      <c r="Y959" s="258"/>
      <c r="Z959" s="258"/>
      <c r="AA959" s="258"/>
      <c r="AB959" s="258"/>
      <c r="AC959" s="407"/>
    </row>
    <row r="960" spans="2:29" s="406" customFormat="1" ht="16.5" customHeight="1">
      <c r="B960" s="255"/>
      <c r="C960" s="255"/>
      <c r="D960" s="257"/>
      <c r="E960" s="257"/>
      <c r="F960" s="257"/>
      <c r="G960" s="252"/>
      <c r="H960" s="252"/>
      <c r="I960" s="252"/>
      <c r="J960" s="252"/>
      <c r="K960" s="252"/>
      <c r="L960" s="252"/>
      <c r="M960" s="253"/>
      <c r="N960" s="253"/>
      <c r="O960" s="258"/>
      <c r="P960" s="258"/>
      <c r="Q960" s="258"/>
      <c r="R960" s="258"/>
      <c r="S960" s="258"/>
      <c r="T960" s="258"/>
      <c r="U960" s="258"/>
      <c r="V960" s="258"/>
      <c r="W960" s="258"/>
      <c r="X960" s="258"/>
      <c r="Y960" s="258"/>
      <c r="Z960" s="258"/>
      <c r="AA960" s="258"/>
      <c r="AB960" s="258"/>
      <c r="AC960" s="407"/>
    </row>
    <row r="961" spans="2:29" s="406" customFormat="1" ht="16.5" customHeight="1">
      <c r="B961" s="255"/>
      <c r="C961" s="255"/>
      <c r="D961" s="257"/>
      <c r="E961" s="257"/>
      <c r="F961" s="257"/>
      <c r="G961" s="252"/>
      <c r="H961" s="252"/>
      <c r="I961" s="252"/>
      <c r="J961" s="252"/>
      <c r="K961" s="252"/>
      <c r="L961" s="252"/>
      <c r="M961" s="253"/>
      <c r="N961" s="253"/>
      <c r="O961" s="258"/>
      <c r="P961" s="258"/>
      <c r="Q961" s="258"/>
      <c r="R961" s="258"/>
      <c r="S961" s="258"/>
      <c r="T961" s="258"/>
      <c r="U961" s="258"/>
      <c r="V961" s="258"/>
      <c r="W961" s="258"/>
      <c r="X961" s="258"/>
      <c r="Y961" s="258"/>
      <c r="Z961" s="258"/>
      <c r="AA961" s="258"/>
      <c r="AB961" s="258"/>
      <c r="AC961" s="407"/>
    </row>
    <row r="962" spans="2:29" s="406" customFormat="1" ht="16.5" customHeight="1">
      <c r="B962" s="255"/>
      <c r="C962" s="255"/>
      <c r="D962" s="257"/>
      <c r="E962" s="257"/>
      <c r="F962" s="257"/>
      <c r="G962" s="252"/>
      <c r="H962" s="252"/>
      <c r="I962" s="252"/>
      <c r="J962" s="252"/>
      <c r="K962" s="252"/>
      <c r="L962" s="252"/>
      <c r="M962" s="253"/>
      <c r="N962" s="253"/>
      <c r="O962" s="258"/>
      <c r="P962" s="258"/>
      <c r="Q962" s="258"/>
      <c r="R962" s="258"/>
      <c r="S962" s="258"/>
      <c r="T962" s="258"/>
      <c r="U962" s="258"/>
      <c r="V962" s="258"/>
      <c r="W962" s="258"/>
      <c r="X962" s="258"/>
      <c r="Y962" s="258"/>
      <c r="Z962" s="258"/>
      <c r="AA962" s="258"/>
      <c r="AB962" s="258"/>
      <c r="AC962" s="407"/>
    </row>
    <row r="963" spans="2:29" s="406" customFormat="1" ht="16.5" customHeight="1">
      <c r="B963" s="255"/>
      <c r="C963" s="255"/>
      <c r="D963" s="257"/>
      <c r="E963" s="257"/>
      <c r="F963" s="257"/>
      <c r="G963" s="252"/>
      <c r="H963" s="252"/>
      <c r="I963" s="252"/>
      <c r="J963" s="252"/>
      <c r="K963" s="252"/>
      <c r="L963" s="252"/>
      <c r="M963" s="253"/>
      <c r="N963" s="253"/>
      <c r="O963" s="258"/>
      <c r="P963" s="258"/>
      <c r="Q963" s="258"/>
      <c r="R963" s="258"/>
      <c r="S963" s="258"/>
      <c r="T963" s="258"/>
      <c r="U963" s="258"/>
      <c r="V963" s="258"/>
      <c r="W963" s="258"/>
      <c r="X963" s="258"/>
      <c r="Y963" s="258"/>
      <c r="Z963" s="258"/>
      <c r="AA963" s="258"/>
      <c r="AB963" s="258"/>
      <c r="AC963" s="407"/>
    </row>
    <row r="964" spans="2:29" s="406" customFormat="1" ht="16.5" customHeight="1">
      <c r="B964" s="255"/>
      <c r="C964" s="255"/>
      <c r="D964" s="257"/>
      <c r="E964" s="257"/>
      <c r="F964" s="257"/>
      <c r="G964" s="252"/>
      <c r="H964" s="252"/>
      <c r="I964" s="252"/>
      <c r="J964" s="252"/>
      <c r="K964" s="252"/>
      <c r="L964" s="252"/>
      <c r="M964" s="253"/>
      <c r="N964" s="253"/>
      <c r="O964" s="258"/>
      <c r="P964" s="258"/>
      <c r="Q964" s="258"/>
      <c r="R964" s="258"/>
      <c r="S964" s="258"/>
      <c r="T964" s="258"/>
      <c r="U964" s="258"/>
      <c r="V964" s="258"/>
      <c r="W964" s="258"/>
      <c r="X964" s="258"/>
      <c r="Y964" s="258"/>
      <c r="Z964" s="258"/>
      <c r="AA964" s="258"/>
      <c r="AB964" s="258"/>
      <c r="AC964" s="407"/>
    </row>
    <row r="965" spans="2:29" s="406" customFormat="1" ht="16.5" customHeight="1">
      <c r="B965" s="255"/>
      <c r="C965" s="255"/>
      <c r="D965" s="257"/>
      <c r="E965" s="257"/>
      <c r="F965" s="257"/>
      <c r="G965" s="252"/>
      <c r="H965" s="252"/>
      <c r="I965" s="252"/>
      <c r="J965" s="252"/>
      <c r="K965" s="252"/>
      <c r="L965" s="252"/>
      <c r="M965" s="253"/>
      <c r="N965" s="253"/>
      <c r="O965" s="258"/>
      <c r="P965" s="258"/>
      <c r="Q965" s="258"/>
      <c r="R965" s="258"/>
      <c r="S965" s="258"/>
      <c r="T965" s="258"/>
      <c r="U965" s="258"/>
      <c r="V965" s="258"/>
      <c r="W965" s="258"/>
      <c r="X965" s="258"/>
      <c r="Y965" s="258"/>
      <c r="Z965" s="258"/>
      <c r="AA965" s="258"/>
      <c r="AB965" s="258"/>
      <c r="AC965" s="407"/>
    </row>
    <row r="966" spans="2:29" s="406" customFormat="1" ht="16.5" customHeight="1">
      <c r="B966" s="255"/>
      <c r="C966" s="255"/>
      <c r="D966" s="257"/>
      <c r="E966" s="257"/>
      <c r="F966" s="257"/>
      <c r="G966" s="252"/>
      <c r="H966" s="252"/>
      <c r="I966" s="252"/>
      <c r="J966" s="252"/>
      <c r="K966" s="252"/>
      <c r="L966" s="252"/>
      <c r="M966" s="253"/>
      <c r="N966" s="253"/>
      <c r="O966" s="258"/>
      <c r="P966" s="258"/>
      <c r="Q966" s="258"/>
      <c r="R966" s="258"/>
      <c r="S966" s="258"/>
      <c r="T966" s="258"/>
      <c r="U966" s="258"/>
      <c r="V966" s="258"/>
      <c r="W966" s="258"/>
      <c r="X966" s="258"/>
      <c r="Y966" s="258"/>
      <c r="Z966" s="258"/>
      <c r="AA966" s="258"/>
      <c r="AB966" s="258"/>
      <c r="AC966" s="407"/>
    </row>
    <row r="967" spans="2:29" s="406" customFormat="1" ht="16.5" customHeight="1">
      <c r="B967" s="255"/>
      <c r="C967" s="255"/>
      <c r="D967" s="257"/>
      <c r="E967" s="257"/>
      <c r="F967" s="257"/>
      <c r="G967" s="252"/>
      <c r="H967" s="252"/>
      <c r="I967" s="252"/>
      <c r="J967" s="252"/>
      <c r="K967" s="252"/>
      <c r="L967" s="252"/>
      <c r="M967" s="253"/>
      <c r="N967" s="253"/>
      <c r="O967" s="258"/>
      <c r="P967" s="258"/>
      <c r="Q967" s="258"/>
      <c r="R967" s="258"/>
      <c r="S967" s="258"/>
      <c r="T967" s="258"/>
      <c r="U967" s="258"/>
      <c r="V967" s="258"/>
      <c r="W967" s="258"/>
      <c r="X967" s="258"/>
      <c r="Y967" s="258"/>
      <c r="Z967" s="258"/>
      <c r="AA967" s="258"/>
      <c r="AB967" s="258"/>
      <c r="AC967" s="407"/>
    </row>
    <row r="968" spans="2:29" s="406" customFormat="1" ht="16.5" customHeight="1">
      <c r="B968" s="255"/>
      <c r="C968" s="255"/>
      <c r="D968" s="257"/>
      <c r="E968" s="257"/>
      <c r="F968" s="257"/>
      <c r="G968" s="252"/>
      <c r="H968" s="252"/>
      <c r="I968" s="252"/>
      <c r="J968" s="252"/>
      <c r="K968" s="252"/>
      <c r="L968" s="252"/>
      <c r="M968" s="253"/>
      <c r="N968" s="253"/>
      <c r="O968" s="258"/>
      <c r="P968" s="258"/>
      <c r="Q968" s="258"/>
      <c r="R968" s="258"/>
      <c r="S968" s="258"/>
      <c r="T968" s="258"/>
      <c r="U968" s="258"/>
      <c r="V968" s="258"/>
      <c r="W968" s="258"/>
      <c r="X968" s="258"/>
      <c r="Y968" s="258"/>
      <c r="Z968" s="258"/>
      <c r="AA968" s="258"/>
      <c r="AB968" s="258"/>
      <c r="AC968" s="407"/>
    </row>
    <row r="969" spans="2:29" s="406" customFormat="1" ht="16.5" customHeight="1">
      <c r="B969" s="255"/>
      <c r="C969" s="255"/>
      <c r="D969" s="257"/>
      <c r="E969" s="257"/>
      <c r="F969" s="257"/>
      <c r="G969" s="252"/>
      <c r="H969" s="252"/>
      <c r="I969" s="252"/>
      <c r="J969" s="252"/>
      <c r="K969" s="252"/>
      <c r="L969" s="252"/>
      <c r="M969" s="253"/>
      <c r="N969" s="253"/>
      <c r="O969" s="258"/>
      <c r="P969" s="258"/>
      <c r="Q969" s="258"/>
      <c r="R969" s="258"/>
      <c r="S969" s="258"/>
      <c r="T969" s="258"/>
      <c r="U969" s="258"/>
      <c r="V969" s="258"/>
      <c r="W969" s="258"/>
      <c r="X969" s="258"/>
      <c r="Y969" s="258"/>
      <c r="Z969" s="258"/>
      <c r="AA969" s="258"/>
      <c r="AB969" s="258"/>
      <c r="AC969" s="407"/>
    </row>
    <row r="970" spans="2:29" s="406" customFormat="1" ht="16.5" customHeight="1">
      <c r="B970" s="255"/>
      <c r="C970" s="255"/>
      <c r="D970" s="257"/>
      <c r="E970" s="257"/>
      <c r="F970" s="257"/>
      <c r="G970" s="252"/>
      <c r="H970" s="252"/>
      <c r="I970" s="252"/>
      <c r="J970" s="252"/>
      <c r="K970" s="252"/>
      <c r="L970" s="252"/>
      <c r="M970" s="253"/>
      <c r="N970" s="253"/>
      <c r="O970" s="258"/>
      <c r="P970" s="258"/>
      <c r="Q970" s="258"/>
      <c r="R970" s="258"/>
      <c r="S970" s="258"/>
      <c r="T970" s="258"/>
      <c r="U970" s="258"/>
      <c r="V970" s="258"/>
      <c r="W970" s="258"/>
      <c r="X970" s="258"/>
      <c r="Y970" s="258"/>
      <c r="Z970" s="258"/>
      <c r="AA970" s="258"/>
      <c r="AB970" s="258"/>
      <c r="AC970" s="407"/>
    </row>
    <row r="971" spans="2:29" s="406" customFormat="1" ht="16.5" customHeight="1">
      <c r="B971" s="255"/>
      <c r="C971" s="255"/>
      <c r="D971" s="257"/>
      <c r="E971" s="257"/>
      <c r="F971" s="257"/>
      <c r="G971" s="252"/>
      <c r="H971" s="252"/>
      <c r="I971" s="252"/>
      <c r="J971" s="252"/>
      <c r="K971" s="252"/>
      <c r="L971" s="252"/>
      <c r="M971" s="253"/>
      <c r="N971" s="253"/>
      <c r="O971" s="258"/>
      <c r="P971" s="258"/>
      <c r="Q971" s="258"/>
      <c r="R971" s="258"/>
      <c r="S971" s="258"/>
      <c r="T971" s="258"/>
      <c r="U971" s="258"/>
      <c r="V971" s="258"/>
      <c r="W971" s="258"/>
      <c r="X971" s="258"/>
      <c r="Y971" s="258"/>
      <c r="Z971" s="258"/>
      <c r="AA971" s="258"/>
      <c r="AB971" s="258"/>
      <c r="AC971" s="407"/>
    </row>
    <row r="972" spans="2:29" s="406" customFormat="1" ht="16.5" customHeight="1">
      <c r="B972" s="255"/>
      <c r="C972" s="255"/>
      <c r="D972" s="257"/>
      <c r="E972" s="257"/>
      <c r="F972" s="257"/>
      <c r="G972" s="252"/>
      <c r="H972" s="252"/>
      <c r="I972" s="252"/>
      <c r="J972" s="252"/>
      <c r="K972" s="252"/>
      <c r="L972" s="252"/>
      <c r="M972" s="253"/>
      <c r="N972" s="253"/>
      <c r="O972" s="258"/>
      <c r="P972" s="258"/>
      <c r="Q972" s="258"/>
      <c r="R972" s="258"/>
      <c r="S972" s="258"/>
      <c r="T972" s="258"/>
      <c r="U972" s="258"/>
      <c r="V972" s="258"/>
      <c r="W972" s="258"/>
      <c r="X972" s="258"/>
      <c r="Y972" s="258"/>
      <c r="Z972" s="258"/>
      <c r="AA972" s="258"/>
      <c r="AB972" s="258"/>
      <c r="AC972" s="407"/>
    </row>
    <row r="973" spans="2:29" s="406" customFormat="1" ht="16.5" customHeight="1">
      <c r="B973" s="255"/>
      <c r="C973" s="255"/>
      <c r="D973" s="257"/>
      <c r="E973" s="257"/>
      <c r="F973" s="257"/>
      <c r="G973" s="252"/>
      <c r="H973" s="252"/>
      <c r="I973" s="252"/>
      <c r="J973" s="252"/>
      <c r="K973" s="252"/>
      <c r="L973" s="252"/>
      <c r="M973" s="253"/>
      <c r="N973" s="253"/>
      <c r="O973" s="258"/>
      <c r="P973" s="258"/>
      <c r="Q973" s="258"/>
      <c r="R973" s="258"/>
      <c r="S973" s="258"/>
      <c r="T973" s="258"/>
      <c r="U973" s="258"/>
      <c r="V973" s="258"/>
      <c r="W973" s="258"/>
      <c r="X973" s="258"/>
      <c r="Y973" s="258"/>
      <c r="Z973" s="258"/>
      <c r="AA973" s="258"/>
      <c r="AB973" s="258"/>
      <c r="AC973" s="407"/>
    </row>
    <row r="974" spans="2:29" s="406" customFormat="1" ht="16.5" customHeight="1">
      <c r="B974" s="255"/>
      <c r="C974" s="255"/>
      <c r="D974" s="257"/>
      <c r="E974" s="257"/>
      <c r="F974" s="257"/>
      <c r="G974" s="252"/>
      <c r="H974" s="252"/>
      <c r="I974" s="252"/>
      <c r="J974" s="252"/>
      <c r="K974" s="252"/>
      <c r="L974" s="252"/>
      <c r="M974" s="253"/>
      <c r="N974" s="253"/>
      <c r="O974" s="258"/>
      <c r="P974" s="258"/>
      <c r="Q974" s="258"/>
      <c r="R974" s="258"/>
      <c r="S974" s="258"/>
      <c r="T974" s="258"/>
      <c r="U974" s="258"/>
      <c r="V974" s="258"/>
      <c r="W974" s="258"/>
      <c r="X974" s="258"/>
      <c r="Y974" s="258"/>
      <c r="Z974" s="258"/>
      <c r="AA974" s="258"/>
      <c r="AB974" s="258"/>
      <c r="AC974" s="407"/>
    </row>
    <row r="975" spans="2:29" s="406" customFormat="1" ht="16.5" customHeight="1">
      <c r="B975" s="255"/>
      <c r="C975" s="255"/>
      <c r="D975" s="257"/>
      <c r="E975" s="257"/>
      <c r="F975" s="257"/>
      <c r="G975" s="252"/>
      <c r="H975" s="252"/>
      <c r="I975" s="252"/>
      <c r="J975" s="252"/>
      <c r="K975" s="252"/>
      <c r="L975" s="252"/>
      <c r="M975" s="253"/>
      <c r="N975" s="253"/>
      <c r="O975" s="258"/>
      <c r="P975" s="258"/>
      <c r="Q975" s="258"/>
      <c r="R975" s="258"/>
      <c r="S975" s="258"/>
      <c r="T975" s="258"/>
      <c r="U975" s="258"/>
      <c r="V975" s="258"/>
      <c r="W975" s="258"/>
      <c r="X975" s="258"/>
      <c r="Y975" s="258"/>
      <c r="Z975" s="258"/>
      <c r="AA975" s="258"/>
      <c r="AB975" s="258"/>
      <c r="AC975" s="407"/>
    </row>
    <row r="976" spans="2:29" s="406" customFormat="1" ht="16.5" customHeight="1">
      <c r="B976" s="255"/>
      <c r="C976" s="255"/>
      <c r="D976" s="257"/>
      <c r="E976" s="257"/>
      <c r="F976" s="257"/>
      <c r="G976" s="252"/>
      <c r="H976" s="252"/>
      <c r="I976" s="252"/>
      <c r="J976" s="252"/>
      <c r="K976" s="252"/>
      <c r="L976" s="252"/>
      <c r="M976" s="253"/>
      <c r="N976" s="253"/>
      <c r="O976" s="258"/>
      <c r="P976" s="258"/>
      <c r="Q976" s="258"/>
      <c r="R976" s="258"/>
      <c r="S976" s="258"/>
      <c r="T976" s="258"/>
      <c r="U976" s="258"/>
      <c r="V976" s="258"/>
      <c r="W976" s="258"/>
      <c r="X976" s="258"/>
      <c r="Y976" s="258"/>
      <c r="Z976" s="258"/>
      <c r="AA976" s="258"/>
      <c r="AB976" s="258"/>
      <c r="AC976" s="407"/>
    </row>
    <row r="977" spans="2:29" s="406" customFormat="1" ht="16.5" customHeight="1">
      <c r="B977" s="255"/>
      <c r="C977" s="255"/>
      <c r="D977" s="257"/>
      <c r="E977" s="257"/>
      <c r="F977" s="257"/>
      <c r="G977" s="252"/>
      <c r="H977" s="252"/>
      <c r="I977" s="252"/>
      <c r="J977" s="252"/>
      <c r="K977" s="252"/>
      <c r="L977" s="252"/>
      <c r="M977" s="253"/>
      <c r="N977" s="253"/>
      <c r="O977" s="258"/>
      <c r="P977" s="258"/>
      <c r="Q977" s="258"/>
      <c r="R977" s="258"/>
      <c r="S977" s="258"/>
      <c r="T977" s="258"/>
      <c r="U977" s="258"/>
      <c r="V977" s="258"/>
      <c r="W977" s="258"/>
      <c r="X977" s="258"/>
      <c r="Y977" s="258"/>
      <c r="Z977" s="258"/>
      <c r="AA977" s="258"/>
      <c r="AB977" s="258"/>
      <c r="AC977" s="407"/>
    </row>
    <row r="978" spans="2:29" s="406" customFormat="1" ht="16.5" customHeight="1">
      <c r="B978" s="255"/>
      <c r="C978" s="255"/>
      <c r="D978" s="257"/>
      <c r="E978" s="257"/>
      <c r="F978" s="257"/>
      <c r="G978" s="252"/>
      <c r="H978" s="252"/>
      <c r="I978" s="252"/>
      <c r="J978" s="252"/>
      <c r="K978" s="252"/>
      <c r="L978" s="252"/>
      <c r="M978" s="253"/>
      <c r="N978" s="253"/>
      <c r="O978" s="258"/>
      <c r="P978" s="258"/>
      <c r="Q978" s="258"/>
      <c r="R978" s="258"/>
      <c r="S978" s="258"/>
      <c r="T978" s="258"/>
      <c r="U978" s="258"/>
      <c r="V978" s="258"/>
      <c r="W978" s="258"/>
      <c r="X978" s="258"/>
      <c r="Y978" s="258"/>
      <c r="Z978" s="258"/>
      <c r="AA978" s="258"/>
      <c r="AB978" s="258"/>
      <c r="AC978" s="407"/>
    </row>
    <row r="979" spans="2:29" s="406" customFormat="1" ht="16.5" customHeight="1">
      <c r="B979" s="255"/>
      <c r="C979" s="255"/>
      <c r="D979" s="257"/>
      <c r="E979" s="257"/>
      <c r="F979" s="257"/>
      <c r="G979" s="252"/>
      <c r="H979" s="252"/>
      <c r="I979" s="252"/>
      <c r="J979" s="252"/>
      <c r="K979" s="252"/>
      <c r="L979" s="252"/>
      <c r="M979" s="253"/>
      <c r="N979" s="253"/>
      <c r="O979" s="258"/>
      <c r="P979" s="258"/>
      <c r="Q979" s="258"/>
      <c r="R979" s="258"/>
      <c r="S979" s="258"/>
      <c r="T979" s="258"/>
      <c r="U979" s="258"/>
      <c r="V979" s="258"/>
      <c r="W979" s="258"/>
      <c r="X979" s="258"/>
      <c r="Y979" s="258"/>
      <c r="Z979" s="258"/>
      <c r="AA979" s="258"/>
      <c r="AB979" s="258"/>
      <c r="AC979" s="407"/>
    </row>
    <row r="980" spans="2:29" s="406" customFormat="1" ht="16.5" customHeight="1">
      <c r="B980" s="255"/>
      <c r="C980" s="255"/>
      <c r="D980" s="257"/>
      <c r="E980" s="257"/>
      <c r="F980" s="257"/>
      <c r="G980" s="252"/>
      <c r="H980" s="252"/>
      <c r="I980" s="252"/>
      <c r="J980" s="252"/>
      <c r="K980" s="252"/>
      <c r="L980" s="252"/>
      <c r="M980" s="253"/>
      <c r="N980" s="253"/>
      <c r="O980" s="258"/>
      <c r="P980" s="258"/>
      <c r="Q980" s="258"/>
      <c r="R980" s="258"/>
      <c r="S980" s="258"/>
      <c r="T980" s="258"/>
      <c r="U980" s="258"/>
      <c r="V980" s="258"/>
      <c r="W980" s="258"/>
      <c r="X980" s="258"/>
      <c r="Y980" s="258"/>
      <c r="Z980" s="258"/>
      <c r="AA980" s="258"/>
      <c r="AB980" s="258"/>
      <c r="AC980" s="407"/>
    </row>
    <row r="981" spans="2:29" s="406" customFormat="1" ht="16.5" customHeight="1">
      <c r="B981" s="255"/>
      <c r="C981" s="255"/>
      <c r="D981" s="257"/>
      <c r="E981" s="257"/>
      <c r="F981" s="257"/>
      <c r="G981" s="252"/>
      <c r="H981" s="252"/>
      <c r="I981" s="252"/>
      <c r="J981" s="252"/>
      <c r="K981" s="252"/>
      <c r="L981" s="252"/>
      <c r="M981" s="253"/>
      <c r="N981" s="253"/>
      <c r="O981" s="258"/>
      <c r="P981" s="258"/>
      <c r="Q981" s="258"/>
      <c r="R981" s="258"/>
      <c r="S981" s="258"/>
      <c r="T981" s="258"/>
      <c r="U981" s="258"/>
      <c r="V981" s="258"/>
      <c r="W981" s="258"/>
      <c r="X981" s="258"/>
      <c r="Y981" s="258"/>
      <c r="Z981" s="258"/>
      <c r="AA981" s="258"/>
      <c r="AB981" s="258"/>
      <c r="AC981" s="407"/>
    </row>
    <row r="982" spans="2:29" s="406" customFormat="1" ht="16.5" customHeight="1">
      <c r="B982" s="255"/>
      <c r="C982" s="255"/>
      <c r="D982" s="257"/>
      <c r="E982" s="257"/>
      <c r="F982" s="257"/>
      <c r="G982" s="252"/>
      <c r="H982" s="252"/>
      <c r="I982" s="252"/>
      <c r="J982" s="252"/>
      <c r="K982" s="252"/>
      <c r="L982" s="252"/>
      <c r="M982" s="253"/>
      <c r="N982" s="253"/>
      <c r="O982" s="258"/>
      <c r="P982" s="258"/>
      <c r="Q982" s="258"/>
      <c r="R982" s="258"/>
      <c r="S982" s="258"/>
      <c r="T982" s="258"/>
      <c r="U982" s="258"/>
      <c r="V982" s="258"/>
      <c r="W982" s="258"/>
      <c r="X982" s="258"/>
      <c r="Y982" s="258"/>
      <c r="Z982" s="258"/>
      <c r="AA982" s="258"/>
      <c r="AB982" s="258"/>
      <c r="AC982" s="407"/>
    </row>
    <row r="983" spans="2:29" s="406" customFormat="1" ht="16.5" customHeight="1">
      <c r="B983" s="255"/>
      <c r="C983" s="255"/>
      <c r="D983" s="257"/>
      <c r="E983" s="257"/>
      <c r="F983" s="257"/>
      <c r="G983" s="252"/>
      <c r="H983" s="252"/>
      <c r="I983" s="252"/>
      <c r="J983" s="252"/>
      <c r="K983" s="252"/>
      <c r="L983" s="252"/>
      <c r="M983" s="253"/>
      <c r="N983" s="253"/>
      <c r="O983" s="258"/>
      <c r="P983" s="258"/>
      <c r="Q983" s="258"/>
      <c r="R983" s="258"/>
      <c r="S983" s="258"/>
      <c r="T983" s="258"/>
      <c r="U983" s="258"/>
      <c r="V983" s="258"/>
      <c r="W983" s="258"/>
      <c r="X983" s="258"/>
      <c r="Y983" s="258"/>
      <c r="Z983" s="258"/>
      <c r="AA983" s="258"/>
      <c r="AB983" s="258"/>
      <c r="AC983" s="407"/>
    </row>
    <row r="984" spans="2:29" s="406" customFormat="1" ht="16.5" customHeight="1">
      <c r="B984" s="255"/>
      <c r="C984" s="255"/>
      <c r="D984" s="257"/>
      <c r="E984" s="257"/>
      <c r="F984" s="257"/>
      <c r="G984" s="252"/>
      <c r="H984" s="252"/>
      <c r="I984" s="252"/>
      <c r="J984" s="252"/>
      <c r="K984" s="252"/>
      <c r="L984" s="252"/>
      <c r="M984" s="253"/>
      <c r="N984" s="253"/>
      <c r="O984" s="258"/>
      <c r="P984" s="258"/>
      <c r="Q984" s="258"/>
      <c r="R984" s="258"/>
      <c r="S984" s="258"/>
      <c r="T984" s="258"/>
      <c r="U984" s="258"/>
      <c r="V984" s="258"/>
      <c r="W984" s="258"/>
      <c r="X984" s="258"/>
      <c r="Y984" s="258"/>
      <c r="Z984" s="258"/>
      <c r="AA984" s="258"/>
      <c r="AB984" s="258"/>
      <c r="AC984" s="407"/>
    </row>
    <row r="985" spans="2:29" s="406" customFormat="1" ht="16.5" customHeight="1">
      <c r="B985" s="255"/>
      <c r="C985" s="255"/>
      <c r="D985" s="257"/>
      <c r="E985" s="257"/>
      <c r="F985" s="257"/>
      <c r="G985" s="252"/>
      <c r="H985" s="252"/>
      <c r="I985" s="252"/>
      <c r="J985" s="252"/>
      <c r="K985" s="252"/>
      <c r="L985" s="252"/>
      <c r="M985" s="253"/>
      <c r="N985" s="253"/>
      <c r="O985" s="258"/>
      <c r="P985" s="258"/>
      <c r="Q985" s="258"/>
      <c r="R985" s="258"/>
      <c r="S985" s="258"/>
      <c r="T985" s="258"/>
      <c r="U985" s="258"/>
      <c r="V985" s="258"/>
      <c r="W985" s="258"/>
      <c r="X985" s="258"/>
      <c r="Y985" s="258"/>
      <c r="Z985" s="258"/>
      <c r="AA985" s="258"/>
      <c r="AB985" s="258"/>
      <c r="AC985" s="407"/>
    </row>
    <row r="986" spans="2:29" s="406" customFormat="1" ht="16.5" customHeight="1">
      <c r="B986" s="255"/>
      <c r="C986" s="255"/>
      <c r="D986" s="257"/>
      <c r="E986" s="257"/>
      <c r="F986" s="257"/>
      <c r="G986" s="252"/>
      <c r="H986" s="252"/>
      <c r="I986" s="252"/>
      <c r="J986" s="252"/>
      <c r="K986" s="252"/>
      <c r="L986" s="252"/>
      <c r="M986" s="253"/>
      <c r="N986" s="253"/>
      <c r="O986" s="258"/>
      <c r="P986" s="258"/>
      <c r="Q986" s="258"/>
      <c r="R986" s="258"/>
      <c r="S986" s="258"/>
      <c r="T986" s="258"/>
      <c r="U986" s="258"/>
      <c r="V986" s="258"/>
      <c r="W986" s="258"/>
      <c r="X986" s="258"/>
      <c r="Y986" s="258"/>
      <c r="Z986" s="258"/>
      <c r="AA986" s="258"/>
      <c r="AB986" s="258"/>
      <c r="AC986" s="407"/>
    </row>
    <row r="987" spans="2:29" s="406" customFormat="1" ht="16.5" customHeight="1">
      <c r="B987" s="255"/>
      <c r="C987" s="255"/>
      <c r="D987" s="257"/>
      <c r="E987" s="257"/>
      <c r="F987" s="257"/>
      <c r="G987" s="252"/>
      <c r="H987" s="252"/>
      <c r="I987" s="252"/>
      <c r="J987" s="252"/>
      <c r="K987" s="252"/>
      <c r="L987" s="252"/>
      <c r="M987" s="253"/>
      <c r="N987" s="253"/>
      <c r="O987" s="258"/>
      <c r="P987" s="258"/>
      <c r="Q987" s="258"/>
      <c r="R987" s="258"/>
      <c r="S987" s="258"/>
      <c r="T987" s="258"/>
      <c r="U987" s="258"/>
      <c r="V987" s="258"/>
      <c r="W987" s="258"/>
      <c r="X987" s="258"/>
      <c r="Y987" s="258"/>
      <c r="Z987" s="258"/>
      <c r="AA987" s="258"/>
      <c r="AB987" s="258"/>
      <c r="AC987" s="407"/>
    </row>
    <row r="988" spans="2:29" s="406" customFormat="1" ht="16.5" customHeight="1">
      <c r="B988" s="255"/>
      <c r="C988" s="255"/>
      <c r="D988" s="257"/>
      <c r="E988" s="257"/>
      <c r="F988" s="257"/>
      <c r="G988" s="252"/>
      <c r="H988" s="252"/>
      <c r="I988" s="252"/>
      <c r="J988" s="252"/>
      <c r="K988" s="252"/>
      <c r="L988" s="252"/>
      <c r="M988" s="253"/>
      <c r="N988" s="253"/>
      <c r="O988" s="258"/>
      <c r="P988" s="258"/>
      <c r="Q988" s="258"/>
      <c r="R988" s="258"/>
      <c r="S988" s="258"/>
      <c r="T988" s="258"/>
      <c r="U988" s="258"/>
      <c r="V988" s="258"/>
      <c r="W988" s="258"/>
      <c r="X988" s="258"/>
      <c r="Y988" s="258"/>
      <c r="Z988" s="258"/>
      <c r="AA988" s="258"/>
      <c r="AB988" s="258"/>
      <c r="AC988" s="407"/>
    </row>
    <row r="989" spans="2:29" s="406" customFormat="1" ht="16.5" customHeight="1">
      <c r="B989" s="255"/>
      <c r="C989" s="255"/>
      <c r="D989" s="257"/>
      <c r="E989" s="257"/>
      <c r="F989" s="257"/>
      <c r="G989" s="252"/>
      <c r="H989" s="252"/>
      <c r="I989" s="252"/>
      <c r="J989" s="252"/>
      <c r="K989" s="252"/>
      <c r="L989" s="252"/>
      <c r="M989" s="253"/>
      <c r="N989" s="253"/>
      <c r="O989" s="258"/>
      <c r="P989" s="258"/>
      <c r="Q989" s="258"/>
      <c r="R989" s="258"/>
      <c r="S989" s="258"/>
      <c r="T989" s="258"/>
      <c r="U989" s="258"/>
      <c r="V989" s="258"/>
      <c r="W989" s="258"/>
      <c r="X989" s="258"/>
      <c r="Y989" s="258"/>
      <c r="Z989" s="258"/>
      <c r="AA989" s="258"/>
      <c r="AB989" s="258"/>
      <c r="AC989" s="407"/>
    </row>
    <row r="990" spans="2:29" s="406" customFormat="1" ht="16.5" customHeight="1">
      <c r="B990" s="255"/>
      <c r="C990" s="255"/>
      <c r="D990" s="257"/>
      <c r="E990" s="257"/>
      <c r="F990" s="257"/>
      <c r="G990" s="252"/>
      <c r="H990" s="252"/>
      <c r="I990" s="252"/>
      <c r="J990" s="252"/>
      <c r="K990" s="252"/>
      <c r="L990" s="252"/>
      <c r="M990" s="253"/>
      <c r="N990" s="253"/>
      <c r="O990" s="258"/>
      <c r="P990" s="258"/>
      <c r="Q990" s="258"/>
      <c r="R990" s="258"/>
      <c r="S990" s="258"/>
      <c r="T990" s="258"/>
      <c r="U990" s="258"/>
      <c r="V990" s="258"/>
      <c r="W990" s="258"/>
      <c r="X990" s="258"/>
      <c r="Y990" s="258"/>
      <c r="Z990" s="258"/>
      <c r="AA990" s="258"/>
      <c r="AB990" s="258"/>
      <c r="AC990" s="407"/>
    </row>
    <row r="991" spans="2:29" s="406" customFormat="1" ht="16.5" customHeight="1">
      <c r="B991" s="255"/>
      <c r="C991" s="255"/>
      <c r="D991" s="257"/>
      <c r="E991" s="257"/>
      <c r="F991" s="257"/>
      <c r="G991" s="252"/>
      <c r="H991" s="252"/>
      <c r="I991" s="252"/>
      <c r="J991" s="252"/>
      <c r="K991" s="252"/>
      <c r="L991" s="252"/>
      <c r="M991" s="253"/>
      <c r="N991" s="253"/>
      <c r="O991" s="258"/>
      <c r="P991" s="258"/>
      <c r="Q991" s="258"/>
      <c r="R991" s="258"/>
      <c r="S991" s="258"/>
      <c r="T991" s="258"/>
      <c r="U991" s="258"/>
      <c r="V991" s="258"/>
      <c r="W991" s="258"/>
      <c r="X991" s="258"/>
      <c r="Y991" s="258"/>
      <c r="Z991" s="258"/>
      <c r="AA991" s="258"/>
      <c r="AB991" s="258"/>
      <c r="AC991" s="407"/>
    </row>
    <row r="992" spans="2:29" s="406" customFormat="1" ht="16.5" customHeight="1">
      <c r="B992" s="255"/>
      <c r="C992" s="255"/>
      <c r="D992" s="257"/>
      <c r="E992" s="257"/>
      <c r="F992" s="257"/>
      <c r="G992" s="252"/>
      <c r="H992" s="252"/>
      <c r="I992" s="252"/>
      <c r="J992" s="252"/>
      <c r="K992" s="252"/>
      <c r="L992" s="252"/>
      <c r="M992" s="253"/>
      <c r="N992" s="253"/>
      <c r="O992" s="258"/>
      <c r="P992" s="258"/>
      <c r="Q992" s="258"/>
      <c r="R992" s="258"/>
      <c r="S992" s="258"/>
      <c r="T992" s="258"/>
      <c r="U992" s="258"/>
      <c r="V992" s="258"/>
      <c r="W992" s="258"/>
      <c r="X992" s="258"/>
      <c r="Y992" s="258"/>
      <c r="Z992" s="258"/>
      <c r="AA992" s="258"/>
      <c r="AB992" s="258"/>
      <c r="AC992" s="407"/>
    </row>
    <row r="993" spans="2:29" s="406" customFormat="1" ht="16.5" customHeight="1">
      <c r="B993" s="255"/>
      <c r="C993" s="255"/>
      <c r="D993" s="257"/>
      <c r="E993" s="257"/>
      <c r="F993" s="257"/>
      <c r="G993" s="252"/>
      <c r="H993" s="252"/>
      <c r="I993" s="252"/>
      <c r="J993" s="252"/>
      <c r="K993" s="252"/>
      <c r="L993" s="252"/>
      <c r="M993" s="253"/>
      <c r="N993" s="253"/>
      <c r="O993" s="258"/>
      <c r="P993" s="258"/>
      <c r="Q993" s="258"/>
      <c r="R993" s="258"/>
      <c r="S993" s="258"/>
      <c r="T993" s="258"/>
      <c r="U993" s="258"/>
      <c r="V993" s="258"/>
      <c r="W993" s="258"/>
      <c r="X993" s="258"/>
      <c r="Y993" s="258"/>
      <c r="Z993" s="258"/>
      <c r="AA993" s="258"/>
      <c r="AB993" s="258"/>
      <c r="AC993" s="407"/>
    </row>
    <row r="994" spans="2:29" s="406" customFormat="1" ht="16.5" customHeight="1">
      <c r="B994" s="255"/>
      <c r="C994" s="255"/>
      <c r="D994" s="257"/>
      <c r="E994" s="257"/>
      <c r="F994" s="257"/>
      <c r="G994" s="252"/>
      <c r="H994" s="252"/>
      <c r="I994" s="252"/>
      <c r="J994" s="252"/>
      <c r="K994" s="252"/>
      <c r="L994" s="252"/>
      <c r="M994" s="253"/>
      <c r="N994" s="253"/>
      <c r="O994" s="258"/>
      <c r="P994" s="258"/>
      <c r="Q994" s="258"/>
      <c r="R994" s="258"/>
      <c r="S994" s="258"/>
      <c r="T994" s="258"/>
      <c r="U994" s="258"/>
      <c r="V994" s="258"/>
      <c r="W994" s="258"/>
      <c r="X994" s="258"/>
      <c r="Y994" s="258"/>
      <c r="Z994" s="258"/>
      <c r="AA994" s="258"/>
      <c r="AB994" s="258"/>
      <c r="AC994" s="407"/>
    </row>
    <row r="995" spans="2:29" s="406" customFormat="1" ht="16.5" customHeight="1">
      <c r="B995" s="255"/>
      <c r="C995" s="255"/>
      <c r="D995" s="257"/>
      <c r="E995" s="257"/>
      <c r="F995" s="257"/>
      <c r="G995" s="252"/>
      <c r="H995" s="252"/>
      <c r="I995" s="252"/>
      <c r="J995" s="252"/>
      <c r="K995" s="252"/>
      <c r="L995" s="252"/>
      <c r="M995" s="253"/>
      <c r="N995" s="253"/>
      <c r="O995" s="258"/>
      <c r="P995" s="258"/>
      <c r="Q995" s="258"/>
      <c r="R995" s="258"/>
      <c r="S995" s="258"/>
      <c r="T995" s="258"/>
      <c r="U995" s="258"/>
      <c r="V995" s="258"/>
      <c r="W995" s="258"/>
      <c r="X995" s="258"/>
      <c r="Y995" s="258"/>
      <c r="Z995" s="258"/>
      <c r="AA995" s="258"/>
      <c r="AB995" s="258"/>
      <c r="AC995" s="407"/>
    </row>
    <row r="996" spans="2:29" s="406" customFormat="1" ht="16.5" customHeight="1">
      <c r="B996" s="255"/>
      <c r="C996" s="255"/>
      <c r="D996" s="257"/>
      <c r="E996" s="257"/>
      <c r="F996" s="257"/>
      <c r="G996" s="252"/>
      <c r="H996" s="252"/>
      <c r="I996" s="252"/>
      <c r="J996" s="252"/>
      <c r="K996" s="252"/>
      <c r="L996" s="252"/>
      <c r="M996" s="253"/>
      <c r="N996" s="253"/>
      <c r="O996" s="258"/>
      <c r="P996" s="258"/>
      <c r="Q996" s="258"/>
      <c r="R996" s="258"/>
      <c r="S996" s="258"/>
      <c r="T996" s="258"/>
      <c r="U996" s="258"/>
      <c r="V996" s="258"/>
      <c r="W996" s="258"/>
      <c r="X996" s="258"/>
      <c r="Y996" s="258"/>
      <c r="Z996" s="258"/>
      <c r="AA996" s="258"/>
      <c r="AB996" s="258"/>
      <c r="AC996" s="407"/>
    </row>
    <row r="997" spans="2:29" s="406" customFormat="1" ht="16.5" customHeight="1">
      <c r="B997" s="255"/>
      <c r="C997" s="255"/>
      <c r="D997" s="257"/>
      <c r="E997" s="257"/>
      <c r="F997" s="257"/>
      <c r="G997" s="252"/>
      <c r="H997" s="252"/>
      <c r="I997" s="252"/>
      <c r="J997" s="252"/>
      <c r="K997" s="252"/>
      <c r="L997" s="252"/>
      <c r="M997" s="253"/>
      <c r="N997" s="253"/>
      <c r="O997" s="258"/>
      <c r="P997" s="258"/>
      <c r="Q997" s="258"/>
      <c r="R997" s="258"/>
      <c r="S997" s="258"/>
      <c r="T997" s="258"/>
      <c r="U997" s="258"/>
      <c r="V997" s="258"/>
      <c r="W997" s="258"/>
      <c r="X997" s="258"/>
      <c r="Y997" s="258"/>
      <c r="Z997" s="258"/>
      <c r="AA997" s="258"/>
      <c r="AB997" s="258"/>
      <c r="AC997" s="407"/>
    </row>
    <row r="998" spans="2:29" s="406" customFormat="1" ht="16.5" customHeight="1">
      <c r="B998" s="255"/>
      <c r="C998" s="255"/>
      <c r="D998" s="257"/>
      <c r="E998" s="257"/>
      <c r="F998" s="257"/>
      <c r="G998" s="252"/>
      <c r="H998" s="252"/>
      <c r="I998" s="252"/>
      <c r="J998" s="252"/>
      <c r="K998" s="252"/>
      <c r="L998" s="252"/>
      <c r="M998" s="253"/>
      <c r="N998" s="253"/>
      <c r="O998" s="258"/>
      <c r="P998" s="258"/>
      <c r="Q998" s="258"/>
      <c r="R998" s="258"/>
      <c r="S998" s="258"/>
      <c r="T998" s="258"/>
      <c r="U998" s="258"/>
      <c r="V998" s="258"/>
      <c r="W998" s="258"/>
      <c r="X998" s="258"/>
      <c r="Y998" s="258"/>
      <c r="Z998" s="258"/>
      <c r="AA998" s="258"/>
      <c r="AB998" s="258"/>
      <c r="AC998" s="407"/>
    </row>
    <row r="999" spans="2:29" s="406" customFormat="1" ht="16.5" customHeight="1">
      <c r="B999" s="255"/>
      <c r="C999" s="255"/>
      <c r="D999" s="257"/>
      <c r="E999" s="257"/>
      <c r="F999" s="257"/>
      <c r="G999" s="252"/>
      <c r="H999" s="252"/>
      <c r="I999" s="252"/>
      <c r="J999" s="252"/>
      <c r="K999" s="252"/>
      <c r="L999" s="252"/>
      <c r="M999" s="253"/>
      <c r="N999" s="253"/>
      <c r="O999" s="258"/>
      <c r="P999" s="258"/>
      <c r="Q999" s="258"/>
      <c r="R999" s="258"/>
      <c r="S999" s="258"/>
      <c r="T999" s="258"/>
      <c r="U999" s="258"/>
      <c r="V999" s="258"/>
      <c r="W999" s="258"/>
      <c r="X999" s="258"/>
      <c r="Y999" s="258"/>
      <c r="Z999" s="258"/>
      <c r="AA999" s="258"/>
      <c r="AB999" s="258"/>
      <c r="AC999" s="407"/>
    </row>
    <row r="1000" spans="2:29" s="406" customFormat="1" ht="16.5" customHeight="1">
      <c r="B1000" s="255"/>
      <c r="C1000" s="255"/>
      <c r="D1000" s="257"/>
      <c r="E1000" s="257"/>
      <c r="F1000" s="257"/>
      <c r="G1000" s="252"/>
      <c r="H1000" s="252"/>
      <c r="I1000" s="252"/>
      <c r="J1000" s="252"/>
      <c r="K1000" s="252"/>
      <c r="L1000" s="252"/>
      <c r="M1000" s="253"/>
      <c r="N1000" s="253"/>
      <c r="O1000" s="258"/>
      <c r="P1000" s="258"/>
      <c r="Q1000" s="258"/>
      <c r="R1000" s="258"/>
      <c r="S1000" s="258"/>
      <c r="T1000" s="258"/>
      <c r="U1000" s="258"/>
      <c r="V1000" s="258"/>
      <c r="W1000" s="258"/>
      <c r="X1000" s="258"/>
      <c r="Y1000" s="258"/>
      <c r="Z1000" s="258"/>
      <c r="AA1000" s="258"/>
      <c r="AB1000" s="258"/>
      <c r="AC1000" s="407"/>
    </row>
    <row r="1001" spans="2:29" s="406" customFormat="1" ht="16.5" customHeight="1">
      <c r="B1001" s="255"/>
      <c r="C1001" s="255"/>
      <c r="D1001" s="257"/>
      <c r="E1001" s="257"/>
      <c r="F1001" s="257"/>
      <c r="G1001" s="252"/>
      <c r="H1001" s="252"/>
      <c r="I1001" s="252"/>
      <c r="J1001" s="252"/>
      <c r="K1001" s="252"/>
      <c r="L1001" s="252"/>
      <c r="M1001" s="253"/>
      <c r="N1001" s="253"/>
      <c r="O1001" s="258"/>
      <c r="P1001" s="258"/>
      <c r="Q1001" s="258"/>
      <c r="R1001" s="258"/>
      <c r="S1001" s="258"/>
      <c r="T1001" s="258"/>
      <c r="U1001" s="258"/>
      <c r="V1001" s="258"/>
      <c r="W1001" s="258"/>
      <c r="X1001" s="258"/>
      <c r="Y1001" s="258"/>
      <c r="Z1001" s="258"/>
      <c r="AA1001" s="258"/>
      <c r="AB1001" s="258"/>
      <c r="AC1001" s="407"/>
    </row>
    <row r="1002" spans="2:29" s="406" customFormat="1" ht="16.5" customHeight="1">
      <c r="B1002" s="255"/>
      <c r="C1002" s="255"/>
      <c r="D1002" s="257"/>
      <c r="E1002" s="257"/>
      <c r="F1002" s="257"/>
      <c r="G1002" s="252"/>
      <c r="H1002" s="252"/>
      <c r="I1002" s="252"/>
      <c r="J1002" s="252"/>
      <c r="K1002" s="252"/>
      <c r="L1002" s="252"/>
      <c r="M1002" s="253"/>
      <c r="N1002" s="253"/>
      <c r="O1002" s="258"/>
      <c r="P1002" s="258"/>
      <c r="Q1002" s="258"/>
      <c r="R1002" s="258"/>
      <c r="S1002" s="258"/>
      <c r="T1002" s="258"/>
      <c r="U1002" s="258"/>
      <c r="V1002" s="258"/>
      <c r="W1002" s="258"/>
      <c r="X1002" s="258"/>
      <c r="Y1002" s="258"/>
      <c r="Z1002" s="258"/>
      <c r="AA1002" s="258"/>
      <c r="AB1002" s="258"/>
      <c r="AC1002" s="407"/>
    </row>
    <row r="1003" spans="2:29" s="406" customFormat="1" ht="16.5" customHeight="1">
      <c r="B1003" s="255"/>
      <c r="C1003" s="255"/>
      <c r="D1003" s="257"/>
      <c r="E1003" s="257"/>
      <c r="F1003" s="257"/>
      <c r="G1003" s="252"/>
      <c r="H1003" s="252"/>
      <c r="I1003" s="252"/>
      <c r="J1003" s="252"/>
      <c r="K1003" s="252"/>
      <c r="L1003" s="252"/>
      <c r="M1003" s="253"/>
      <c r="N1003" s="253"/>
      <c r="O1003" s="258"/>
      <c r="P1003" s="258"/>
      <c r="Q1003" s="258"/>
      <c r="R1003" s="258"/>
      <c r="S1003" s="258"/>
      <c r="T1003" s="258"/>
      <c r="U1003" s="258"/>
      <c r="V1003" s="258"/>
      <c r="W1003" s="258"/>
      <c r="X1003" s="258"/>
      <c r="Y1003" s="258"/>
      <c r="Z1003" s="258"/>
      <c r="AA1003" s="258"/>
      <c r="AB1003" s="258"/>
      <c r="AC1003" s="407"/>
    </row>
    <row r="1004" spans="2:29" s="406" customFormat="1" ht="16.5" customHeight="1">
      <c r="B1004" s="255"/>
      <c r="C1004" s="255"/>
      <c r="D1004" s="257"/>
      <c r="E1004" s="257"/>
      <c r="F1004" s="257"/>
      <c r="G1004" s="252"/>
      <c r="H1004" s="252"/>
      <c r="I1004" s="252"/>
      <c r="J1004" s="252"/>
      <c r="K1004" s="252"/>
      <c r="L1004" s="252"/>
      <c r="M1004" s="253"/>
      <c r="N1004" s="253"/>
      <c r="O1004" s="258"/>
      <c r="P1004" s="258"/>
      <c r="Q1004" s="258"/>
      <c r="R1004" s="258"/>
      <c r="S1004" s="258"/>
      <c r="T1004" s="258"/>
      <c r="U1004" s="258"/>
      <c r="V1004" s="258"/>
      <c r="W1004" s="258"/>
      <c r="X1004" s="258"/>
      <c r="Y1004" s="258"/>
      <c r="Z1004" s="258"/>
      <c r="AA1004" s="258"/>
      <c r="AB1004" s="258"/>
      <c r="AC1004" s="407"/>
    </row>
    <row r="1005" spans="2:29" s="406" customFormat="1" ht="16.5" customHeight="1">
      <c r="B1005" s="255"/>
      <c r="C1005" s="255"/>
      <c r="D1005" s="257"/>
      <c r="E1005" s="257"/>
      <c r="F1005" s="257"/>
      <c r="G1005" s="252"/>
      <c r="H1005" s="252"/>
      <c r="I1005" s="252"/>
      <c r="J1005" s="252"/>
      <c r="K1005" s="252"/>
      <c r="L1005" s="252"/>
      <c r="M1005" s="253"/>
      <c r="N1005" s="253"/>
      <c r="O1005" s="258"/>
      <c r="P1005" s="258"/>
      <c r="Q1005" s="258"/>
      <c r="R1005" s="258"/>
      <c r="S1005" s="258"/>
      <c r="T1005" s="258"/>
      <c r="U1005" s="258"/>
      <c r="V1005" s="258"/>
      <c r="W1005" s="258"/>
      <c r="X1005" s="258"/>
      <c r="Y1005" s="258"/>
      <c r="Z1005" s="258"/>
      <c r="AA1005" s="258"/>
      <c r="AB1005" s="258"/>
      <c r="AC1005" s="407"/>
    </row>
    <row r="1006" spans="2:29" s="406" customFormat="1" ht="16.5" customHeight="1">
      <c r="B1006" s="255"/>
      <c r="C1006" s="255"/>
      <c r="D1006" s="257"/>
      <c r="E1006" s="257"/>
      <c r="F1006" s="257"/>
      <c r="G1006" s="252"/>
      <c r="H1006" s="252"/>
      <c r="I1006" s="252"/>
      <c r="J1006" s="252"/>
      <c r="K1006" s="252"/>
      <c r="L1006" s="252"/>
      <c r="M1006" s="253"/>
      <c r="N1006" s="253"/>
      <c r="O1006" s="258"/>
      <c r="P1006" s="258"/>
      <c r="Q1006" s="258"/>
      <c r="R1006" s="258"/>
      <c r="S1006" s="258"/>
      <c r="T1006" s="258"/>
      <c r="U1006" s="258"/>
      <c r="V1006" s="258"/>
      <c r="W1006" s="258"/>
      <c r="X1006" s="258"/>
      <c r="Y1006" s="258"/>
      <c r="Z1006" s="258"/>
      <c r="AA1006" s="258"/>
      <c r="AB1006" s="258"/>
      <c r="AC1006" s="407"/>
    </row>
    <row r="1007" spans="2:29" s="406" customFormat="1" ht="16.5" customHeight="1">
      <c r="B1007" s="255"/>
      <c r="C1007" s="255"/>
      <c r="D1007" s="257"/>
      <c r="E1007" s="257"/>
      <c r="F1007" s="257"/>
      <c r="G1007" s="252"/>
      <c r="H1007" s="252"/>
      <c r="I1007" s="252"/>
      <c r="J1007" s="252"/>
      <c r="K1007" s="252"/>
      <c r="L1007" s="252"/>
      <c r="M1007" s="253"/>
      <c r="N1007" s="253"/>
      <c r="O1007" s="258"/>
      <c r="P1007" s="258"/>
      <c r="Q1007" s="258"/>
      <c r="R1007" s="258"/>
      <c r="S1007" s="258"/>
      <c r="T1007" s="258"/>
      <c r="U1007" s="258"/>
      <c r="V1007" s="258"/>
      <c r="W1007" s="258"/>
      <c r="X1007" s="258"/>
      <c r="Y1007" s="258"/>
      <c r="Z1007" s="258"/>
      <c r="AA1007" s="258"/>
      <c r="AB1007" s="258"/>
      <c r="AC1007" s="407"/>
    </row>
    <row r="1008" spans="2:29" s="406" customFormat="1" ht="16.5" customHeight="1">
      <c r="B1008" s="255"/>
      <c r="C1008" s="255"/>
      <c r="D1008" s="257"/>
      <c r="E1008" s="257"/>
      <c r="F1008" s="257"/>
      <c r="G1008" s="252"/>
      <c r="H1008" s="252"/>
      <c r="I1008" s="252"/>
      <c r="J1008" s="252"/>
      <c r="K1008" s="252"/>
      <c r="L1008" s="252"/>
      <c r="M1008" s="253"/>
      <c r="N1008" s="253"/>
      <c r="O1008" s="258"/>
      <c r="P1008" s="258"/>
      <c r="Q1008" s="258"/>
      <c r="R1008" s="258"/>
      <c r="S1008" s="258"/>
      <c r="T1008" s="258"/>
      <c r="U1008" s="258"/>
      <c r="V1008" s="258"/>
      <c r="W1008" s="258"/>
      <c r="X1008" s="258"/>
      <c r="Y1008" s="258"/>
      <c r="Z1008" s="258"/>
      <c r="AA1008" s="258"/>
      <c r="AB1008" s="258"/>
      <c r="AC1008" s="407"/>
    </row>
    <row r="1009" spans="2:29" s="406" customFormat="1" ht="16.5" customHeight="1">
      <c r="B1009" s="255"/>
      <c r="C1009" s="255"/>
      <c r="D1009" s="257"/>
      <c r="E1009" s="257"/>
      <c r="F1009" s="257"/>
      <c r="G1009" s="252"/>
      <c r="H1009" s="252"/>
      <c r="I1009" s="252"/>
      <c r="J1009" s="252"/>
      <c r="K1009" s="252"/>
      <c r="L1009" s="252"/>
      <c r="M1009" s="253"/>
      <c r="N1009" s="253"/>
      <c r="O1009" s="258"/>
      <c r="P1009" s="258"/>
      <c r="Q1009" s="258"/>
      <c r="R1009" s="258"/>
      <c r="S1009" s="258"/>
      <c r="T1009" s="258"/>
      <c r="U1009" s="258"/>
      <c r="V1009" s="258"/>
      <c r="W1009" s="258"/>
      <c r="X1009" s="258"/>
      <c r="Y1009" s="258"/>
      <c r="Z1009" s="258"/>
      <c r="AA1009" s="258"/>
      <c r="AB1009" s="258"/>
      <c r="AC1009" s="407"/>
    </row>
    <row r="1010" spans="2:29" s="406" customFormat="1" ht="16.5" customHeight="1">
      <c r="B1010" s="255"/>
      <c r="C1010" s="255"/>
      <c r="D1010" s="257"/>
      <c r="E1010" s="257"/>
      <c r="F1010" s="257"/>
      <c r="G1010" s="252"/>
      <c r="H1010" s="252"/>
      <c r="I1010" s="252"/>
      <c r="J1010" s="252"/>
      <c r="K1010" s="252"/>
      <c r="L1010" s="252"/>
      <c r="M1010" s="253"/>
      <c r="N1010" s="253"/>
      <c r="O1010" s="258"/>
      <c r="P1010" s="258"/>
      <c r="Q1010" s="258"/>
      <c r="R1010" s="258"/>
      <c r="S1010" s="258"/>
      <c r="T1010" s="258"/>
      <c r="U1010" s="258"/>
      <c r="V1010" s="258"/>
      <c r="W1010" s="258"/>
      <c r="X1010" s="258"/>
      <c r="Y1010" s="258"/>
      <c r="Z1010" s="258"/>
      <c r="AA1010" s="258"/>
      <c r="AB1010" s="258"/>
      <c r="AC1010" s="407"/>
    </row>
    <row r="1011" spans="2:29" s="406" customFormat="1" ht="16.5" customHeight="1">
      <c r="B1011" s="255"/>
      <c r="C1011" s="255"/>
      <c r="D1011" s="257"/>
      <c r="E1011" s="257"/>
      <c r="F1011" s="257"/>
      <c r="G1011" s="252"/>
      <c r="H1011" s="252"/>
      <c r="I1011" s="252"/>
      <c r="J1011" s="252"/>
      <c r="K1011" s="252"/>
      <c r="L1011" s="252"/>
      <c r="M1011" s="253"/>
      <c r="N1011" s="253"/>
      <c r="O1011" s="258"/>
      <c r="P1011" s="258"/>
      <c r="Q1011" s="258"/>
      <c r="R1011" s="258"/>
      <c r="S1011" s="258"/>
      <c r="T1011" s="258"/>
      <c r="U1011" s="258"/>
      <c r="V1011" s="258"/>
      <c r="W1011" s="258"/>
      <c r="X1011" s="258"/>
      <c r="Y1011" s="258"/>
      <c r="Z1011" s="258"/>
      <c r="AA1011" s="258"/>
      <c r="AB1011" s="258"/>
      <c r="AC1011" s="407"/>
    </row>
    <row r="1012" spans="2:29" s="406" customFormat="1" ht="16.5" customHeight="1">
      <c r="B1012" s="255"/>
      <c r="C1012" s="255"/>
      <c r="D1012" s="257"/>
      <c r="E1012" s="257"/>
      <c r="F1012" s="257"/>
      <c r="G1012" s="252"/>
      <c r="H1012" s="252"/>
      <c r="I1012" s="252"/>
      <c r="J1012" s="252"/>
      <c r="K1012" s="252"/>
      <c r="L1012" s="252"/>
      <c r="M1012" s="253"/>
      <c r="N1012" s="253"/>
      <c r="O1012" s="258"/>
      <c r="P1012" s="258"/>
      <c r="Q1012" s="258"/>
      <c r="R1012" s="258"/>
      <c r="S1012" s="258"/>
      <c r="T1012" s="258"/>
      <c r="U1012" s="258"/>
      <c r="V1012" s="258"/>
      <c r="W1012" s="258"/>
      <c r="X1012" s="258"/>
      <c r="Y1012" s="258"/>
      <c r="Z1012" s="258"/>
      <c r="AA1012" s="258"/>
      <c r="AB1012" s="258"/>
      <c r="AC1012" s="407"/>
    </row>
    <row r="1013" spans="2:29" s="406" customFormat="1" ht="16.5" customHeight="1">
      <c r="B1013" s="255"/>
      <c r="C1013" s="255"/>
      <c r="D1013" s="257"/>
      <c r="E1013" s="257"/>
      <c r="F1013" s="257"/>
      <c r="G1013" s="252"/>
      <c r="H1013" s="252"/>
      <c r="I1013" s="252"/>
      <c r="J1013" s="252"/>
      <c r="K1013" s="252"/>
      <c r="L1013" s="252"/>
      <c r="M1013" s="253"/>
      <c r="N1013" s="253"/>
      <c r="O1013" s="258"/>
      <c r="P1013" s="258"/>
      <c r="Q1013" s="258"/>
      <c r="R1013" s="258"/>
      <c r="S1013" s="258"/>
      <c r="T1013" s="258"/>
      <c r="U1013" s="258"/>
      <c r="V1013" s="258"/>
      <c r="W1013" s="258"/>
      <c r="X1013" s="258"/>
      <c r="Y1013" s="258"/>
      <c r="Z1013" s="258"/>
      <c r="AA1013" s="258"/>
      <c r="AB1013" s="258"/>
      <c r="AC1013" s="407"/>
    </row>
    <row r="1014" spans="2:29" s="406" customFormat="1" ht="16.5" customHeight="1">
      <c r="B1014" s="255"/>
      <c r="C1014" s="255"/>
      <c r="D1014" s="257"/>
      <c r="E1014" s="257"/>
      <c r="F1014" s="257"/>
      <c r="G1014" s="252"/>
      <c r="H1014" s="252"/>
      <c r="I1014" s="252"/>
      <c r="J1014" s="252"/>
      <c r="K1014" s="252"/>
      <c r="L1014" s="252"/>
      <c r="M1014" s="253"/>
      <c r="N1014" s="253"/>
      <c r="O1014" s="258"/>
      <c r="P1014" s="258"/>
      <c r="Q1014" s="258"/>
      <c r="R1014" s="258"/>
      <c r="S1014" s="258"/>
      <c r="T1014" s="258"/>
      <c r="U1014" s="258"/>
      <c r="V1014" s="258"/>
      <c r="W1014" s="258"/>
      <c r="X1014" s="258"/>
      <c r="Y1014" s="258"/>
      <c r="Z1014" s="258"/>
      <c r="AA1014" s="258"/>
      <c r="AB1014" s="258"/>
      <c r="AC1014" s="407"/>
    </row>
    <row r="1015" spans="2:29" s="406" customFormat="1" ht="16.5" customHeight="1">
      <c r="B1015" s="255"/>
      <c r="C1015" s="255"/>
      <c r="D1015" s="257"/>
      <c r="E1015" s="257"/>
      <c r="F1015" s="257"/>
      <c r="G1015" s="252"/>
      <c r="H1015" s="252"/>
      <c r="I1015" s="252"/>
      <c r="J1015" s="252"/>
      <c r="K1015" s="252"/>
      <c r="L1015" s="252"/>
      <c r="M1015" s="253"/>
      <c r="N1015" s="253"/>
      <c r="O1015" s="258"/>
      <c r="P1015" s="258"/>
      <c r="Q1015" s="258"/>
      <c r="R1015" s="258"/>
      <c r="S1015" s="258"/>
      <c r="T1015" s="258"/>
      <c r="U1015" s="258"/>
      <c r="V1015" s="258"/>
      <c r="W1015" s="258"/>
      <c r="X1015" s="258"/>
      <c r="Y1015" s="258"/>
      <c r="Z1015" s="258"/>
      <c r="AA1015" s="258"/>
      <c r="AB1015" s="258"/>
      <c r="AC1015" s="407"/>
    </row>
    <row r="1016" spans="2:29" s="406" customFormat="1" ht="16.5" customHeight="1">
      <c r="B1016" s="255"/>
      <c r="C1016" s="255"/>
      <c r="D1016" s="257"/>
      <c r="E1016" s="257"/>
      <c r="F1016" s="257"/>
      <c r="G1016" s="252"/>
      <c r="H1016" s="252"/>
      <c r="I1016" s="252"/>
      <c r="J1016" s="252"/>
      <c r="K1016" s="252"/>
      <c r="L1016" s="252"/>
      <c r="M1016" s="253"/>
      <c r="N1016" s="253"/>
      <c r="O1016" s="258"/>
      <c r="P1016" s="258"/>
      <c r="Q1016" s="258"/>
      <c r="R1016" s="258"/>
      <c r="S1016" s="258"/>
      <c r="T1016" s="258"/>
      <c r="U1016" s="258"/>
      <c r="V1016" s="258"/>
      <c r="W1016" s="258"/>
      <c r="X1016" s="258"/>
      <c r="Y1016" s="258"/>
      <c r="Z1016" s="258"/>
      <c r="AA1016" s="258"/>
      <c r="AB1016" s="258"/>
      <c r="AC1016" s="407"/>
    </row>
    <row r="1017" spans="2:29" s="406" customFormat="1" ht="16.5" customHeight="1">
      <c r="B1017" s="255"/>
      <c r="C1017" s="255"/>
      <c r="D1017" s="257"/>
      <c r="E1017" s="257"/>
      <c r="F1017" s="257"/>
      <c r="G1017" s="252"/>
      <c r="H1017" s="252"/>
      <c r="I1017" s="252"/>
      <c r="J1017" s="252"/>
      <c r="K1017" s="252"/>
      <c r="L1017" s="252"/>
      <c r="M1017" s="253"/>
      <c r="N1017" s="253"/>
      <c r="O1017" s="258"/>
      <c r="P1017" s="258"/>
      <c r="Q1017" s="258"/>
      <c r="R1017" s="258"/>
      <c r="S1017" s="258"/>
      <c r="T1017" s="258"/>
      <c r="U1017" s="258"/>
      <c r="V1017" s="258"/>
      <c r="W1017" s="258"/>
      <c r="X1017" s="258"/>
      <c r="Y1017" s="258"/>
      <c r="Z1017" s="258"/>
      <c r="AA1017" s="258"/>
      <c r="AB1017" s="258"/>
      <c r="AC1017" s="407"/>
    </row>
    <row r="1018" spans="2:29" s="406" customFormat="1" ht="16.5" customHeight="1">
      <c r="B1018" s="255"/>
      <c r="C1018" s="255"/>
      <c r="D1018" s="257"/>
      <c r="E1018" s="257"/>
      <c r="F1018" s="257"/>
      <c r="G1018" s="252"/>
      <c r="H1018" s="252"/>
      <c r="I1018" s="252"/>
      <c r="J1018" s="252"/>
      <c r="K1018" s="252"/>
      <c r="L1018" s="252"/>
      <c r="M1018" s="253"/>
      <c r="N1018" s="253"/>
      <c r="O1018" s="258"/>
      <c r="P1018" s="258"/>
      <c r="Q1018" s="258"/>
      <c r="R1018" s="258"/>
      <c r="S1018" s="258"/>
      <c r="T1018" s="258"/>
      <c r="U1018" s="258"/>
      <c r="V1018" s="258"/>
      <c r="W1018" s="258"/>
      <c r="X1018" s="258"/>
      <c r="Y1018" s="258"/>
      <c r="Z1018" s="258"/>
      <c r="AA1018" s="258"/>
      <c r="AB1018" s="258"/>
      <c r="AC1018" s="407"/>
    </row>
    <row r="1019" spans="2:29" s="406" customFormat="1" ht="16.5" customHeight="1">
      <c r="B1019" s="255"/>
      <c r="C1019" s="255"/>
      <c r="D1019" s="257"/>
      <c r="E1019" s="257"/>
      <c r="F1019" s="257"/>
      <c r="G1019" s="252"/>
      <c r="H1019" s="252"/>
      <c r="I1019" s="252"/>
      <c r="J1019" s="252"/>
      <c r="K1019" s="252"/>
      <c r="L1019" s="252"/>
      <c r="M1019" s="253"/>
      <c r="N1019" s="253"/>
      <c r="O1019" s="258"/>
      <c r="P1019" s="258"/>
      <c r="Q1019" s="258"/>
      <c r="R1019" s="258"/>
      <c r="S1019" s="258"/>
      <c r="T1019" s="258"/>
      <c r="U1019" s="258"/>
      <c r="V1019" s="258"/>
      <c r="W1019" s="258"/>
      <c r="X1019" s="258"/>
      <c r="Y1019" s="258"/>
      <c r="Z1019" s="258"/>
      <c r="AA1019" s="258"/>
      <c r="AB1019" s="258"/>
      <c r="AC1019" s="407"/>
    </row>
    <row r="1020" spans="2:29" s="406" customFormat="1" ht="16.5" customHeight="1">
      <c r="B1020" s="255"/>
      <c r="C1020" s="255"/>
      <c r="D1020" s="257"/>
      <c r="E1020" s="257"/>
      <c r="F1020" s="257"/>
      <c r="G1020" s="252"/>
      <c r="H1020" s="252"/>
      <c r="I1020" s="252"/>
      <c r="J1020" s="252"/>
      <c r="K1020" s="252"/>
      <c r="L1020" s="252"/>
      <c r="M1020" s="253"/>
      <c r="N1020" s="253"/>
      <c r="O1020" s="258"/>
      <c r="P1020" s="258"/>
      <c r="Q1020" s="258"/>
      <c r="R1020" s="258"/>
      <c r="S1020" s="258"/>
      <c r="T1020" s="258"/>
      <c r="U1020" s="258"/>
      <c r="V1020" s="258"/>
      <c r="W1020" s="258"/>
      <c r="X1020" s="258"/>
      <c r="Y1020" s="258"/>
      <c r="Z1020" s="258"/>
      <c r="AA1020" s="258"/>
      <c r="AB1020" s="258"/>
      <c r="AC1020" s="407"/>
    </row>
    <row r="1021" spans="2:29" s="406" customFormat="1" ht="16.5" customHeight="1">
      <c r="B1021" s="255"/>
      <c r="C1021" s="255"/>
      <c r="D1021" s="257"/>
      <c r="E1021" s="257"/>
      <c r="F1021" s="257"/>
      <c r="G1021" s="252"/>
      <c r="H1021" s="252"/>
      <c r="I1021" s="252"/>
      <c r="J1021" s="252"/>
      <c r="K1021" s="252"/>
      <c r="L1021" s="252"/>
      <c r="M1021" s="253"/>
      <c r="N1021" s="253"/>
      <c r="O1021" s="258"/>
      <c r="P1021" s="258"/>
      <c r="Q1021" s="258"/>
      <c r="R1021" s="258"/>
      <c r="S1021" s="258"/>
      <c r="T1021" s="258"/>
      <c r="U1021" s="258"/>
      <c r="V1021" s="258"/>
      <c r="W1021" s="258"/>
      <c r="X1021" s="258"/>
      <c r="Y1021" s="258"/>
      <c r="Z1021" s="258"/>
      <c r="AA1021" s="258"/>
      <c r="AB1021" s="258"/>
      <c r="AC1021" s="407"/>
    </row>
    <row r="1022" spans="2:29" s="406" customFormat="1" ht="16.5" customHeight="1">
      <c r="B1022" s="255"/>
      <c r="C1022" s="255"/>
      <c r="D1022" s="257"/>
      <c r="E1022" s="257"/>
      <c r="F1022" s="257"/>
      <c r="G1022" s="252"/>
      <c r="H1022" s="252"/>
      <c r="I1022" s="252"/>
      <c r="J1022" s="252"/>
      <c r="K1022" s="252"/>
      <c r="L1022" s="252"/>
      <c r="M1022" s="253"/>
      <c r="N1022" s="253"/>
      <c r="O1022" s="258"/>
      <c r="P1022" s="258"/>
      <c r="Q1022" s="258"/>
      <c r="R1022" s="258"/>
      <c r="S1022" s="258"/>
      <c r="T1022" s="258"/>
      <c r="U1022" s="258"/>
      <c r="V1022" s="258"/>
      <c r="W1022" s="258"/>
      <c r="X1022" s="258"/>
      <c r="Y1022" s="258"/>
      <c r="Z1022" s="258"/>
      <c r="AA1022" s="258"/>
      <c r="AB1022" s="258"/>
      <c r="AC1022" s="407"/>
    </row>
    <row r="1023" spans="2:29" s="406" customFormat="1" ht="16.5" customHeight="1">
      <c r="B1023" s="255"/>
      <c r="C1023" s="255"/>
      <c r="D1023" s="257"/>
      <c r="E1023" s="257"/>
      <c r="F1023" s="257"/>
      <c r="G1023" s="252"/>
      <c r="H1023" s="252"/>
      <c r="I1023" s="252"/>
      <c r="J1023" s="252"/>
      <c r="K1023" s="252"/>
      <c r="L1023" s="252"/>
      <c r="M1023" s="253"/>
      <c r="N1023" s="253"/>
      <c r="O1023" s="258"/>
      <c r="P1023" s="258"/>
      <c r="Q1023" s="258"/>
      <c r="R1023" s="258"/>
      <c r="S1023" s="258"/>
      <c r="T1023" s="258"/>
      <c r="U1023" s="258"/>
      <c r="V1023" s="258"/>
      <c r="W1023" s="258"/>
      <c r="X1023" s="258"/>
      <c r="Y1023" s="258"/>
      <c r="Z1023" s="258"/>
      <c r="AA1023" s="258"/>
      <c r="AB1023" s="258"/>
      <c r="AC1023" s="407"/>
    </row>
    <row r="1024" spans="2:29" s="406" customFormat="1" ht="16.5" customHeight="1">
      <c r="B1024" s="255"/>
      <c r="C1024" s="255"/>
      <c r="D1024" s="257"/>
      <c r="E1024" s="257"/>
      <c r="F1024" s="257"/>
      <c r="G1024" s="252"/>
      <c r="H1024" s="252"/>
      <c r="I1024" s="252"/>
      <c r="J1024" s="252"/>
      <c r="K1024" s="252"/>
      <c r="L1024" s="252"/>
      <c r="M1024" s="253"/>
      <c r="N1024" s="253"/>
      <c r="O1024" s="258"/>
      <c r="P1024" s="258"/>
      <c r="Q1024" s="258"/>
      <c r="R1024" s="258"/>
      <c r="S1024" s="258"/>
      <c r="T1024" s="258"/>
      <c r="U1024" s="258"/>
      <c r="V1024" s="258"/>
      <c r="W1024" s="258"/>
      <c r="X1024" s="258"/>
      <c r="Y1024" s="258"/>
      <c r="Z1024" s="258"/>
      <c r="AA1024" s="258"/>
      <c r="AB1024" s="258"/>
      <c r="AC1024" s="407"/>
    </row>
    <row r="1025" spans="2:29" s="406" customFormat="1" ht="16.5" customHeight="1">
      <c r="B1025" s="255"/>
      <c r="C1025" s="255"/>
      <c r="D1025" s="257"/>
      <c r="E1025" s="257"/>
      <c r="F1025" s="257"/>
      <c r="G1025" s="252"/>
      <c r="H1025" s="252"/>
      <c r="I1025" s="252"/>
      <c r="J1025" s="252"/>
      <c r="K1025" s="252"/>
      <c r="L1025" s="252"/>
      <c r="M1025" s="253"/>
      <c r="N1025" s="253"/>
      <c r="O1025" s="258"/>
      <c r="P1025" s="258"/>
      <c r="Q1025" s="258"/>
      <c r="R1025" s="258"/>
      <c r="S1025" s="258"/>
      <c r="T1025" s="258"/>
      <c r="U1025" s="258"/>
      <c r="V1025" s="258"/>
      <c r="W1025" s="258"/>
      <c r="X1025" s="258"/>
      <c r="Y1025" s="258"/>
      <c r="Z1025" s="258"/>
      <c r="AA1025" s="258"/>
      <c r="AB1025" s="258"/>
      <c r="AC1025" s="407"/>
    </row>
    <row r="1026" spans="2:29" s="406" customFormat="1" ht="16.5" customHeight="1">
      <c r="B1026" s="255"/>
      <c r="C1026" s="255"/>
      <c r="D1026" s="257"/>
      <c r="E1026" s="257"/>
      <c r="F1026" s="257"/>
      <c r="G1026" s="252"/>
      <c r="H1026" s="252"/>
      <c r="I1026" s="252"/>
      <c r="J1026" s="252"/>
      <c r="K1026" s="252"/>
      <c r="L1026" s="252"/>
      <c r="M1026" s="253"/>
      <c r="N1026" s="253"/>
      <c r="O1026" s="258"/>
      <c r="P1026" s="258"/>
      <c r="Q1026" s="258"/>
      <c r="R1026" s="258"/>
      <c r="S1026" s="258"/>
      <c r="T1026" s="258"/>
      <c r="U1026" s="258"/>
      <c r="V1026" s="258"/>
      <c r="W1026" s="258"/>
      <c r="X1026" s="258"/>
      <c r="Y1026" s="258"/>
      <c r="Z1026" s="258"/>
      <c r="AA1026" s="258"/>
      <c r="AB1026" s="258"/>
      <c r="AC1026" s="407"/>
    </row>
    <row r="1027" spans="2:29" s="406" customFormat="1" ht="16.5" customHeight="1">
      <c r="B1027" s="255"/>
      <c r="C1027" s="255"/>
      <c r="D1027" s="257"/>
      <c r="E1027" s="257"/>
      <c r="F1027" s="257"/>
      <c r="G1027" s="252"/>
      <c r="H1027" s="252"/>
      <c r="I1027" s="252"/>
      <c r="J1027" s="252"/>
      <c r="K1027" s="252"/>
      <c r="L1027" s="252"/>
      <c r="M1027" s="253"/>
      <c r="N1027" s="253"/>
      <c r="O1027" s="258"/>
      <c r="P1027" s="258"/>
      <c r="Q1027" s="258"/>
      <c r="R1027" s="258"/>
      <c r="S1027" s="258"/>
      <c r="T1027" s="258"/>
      <c r="U1027" s="258"/>
      <c r="V1027" s="258"/>
      <c r="W1027" s="258"/>
      <c r="X1027" s="258"/>
      <c r="Y1027" s="258"/>
      <c r="Z1027" s="258"/>
      <c r="AA1027" s="258"/>
      <c r="AB1027" s="258"/>
      <c r="AC1027" s="407"/>
    </row>
    <row r="1028" spans="2:29" s="406" customFormat="1" ht="16.5" customHeight="1">
      <c r="B1028" s="255"/>
      <c r="C1028" s="255"/>
      <c r="D1028" s="257"/>
      <c r="E1028" s="257"/>
      <c r="F1028" s="257"/>
      <c r="G1028" s="252"/>
      <c r="H1028" s="252"/>
      <c r="I1028" s="252"/>
      <c r="J1028" s="252"/>
      <c r="K1028" s="252"/>
      <c r="L1028" s="252"/>
      <c r="M1028" s="253"/>
      <c r="N1028" s="253"/>
      <c r="O1028" s="258"/>
      <c r="P1028" s="258"/>
      <c r="Q1028" s="258"/>
      <c r="R1028" s="258"/>
      <c r="S1028" s="258"/>
      <c r="T1028" s="258"/>
      <c r="U1028" s="258"/>
      <c r="V1028" s="258"/>
      <c r="W1028" s="258"/>
      <c r="X1028" s="258"/>
      <c r="Y1028" s="258"/>
      <c r="Z1028" s="258"/>
      <c r="AA1028" s="258"/>
      <c r="AB1028" s="258"/>
      <c r="AC1028" s="407"/>
    </row>
    <row r="1029" spans="2:29" s="406" customFormat="1" ht="16.5" customHeight="1">
      <c r="B1029" s="255"/>
      <c r="C1029" s="255"/>
      <c r="D1029" s="257"/>
      <c r="E1029" s="257"/>
      <c r="F1029" s="257"/>
      <c r="G1029" s="252"/>
      <c r="H1029" s="252"/>
      <c r="I1029" s="252"/>
      <c r="J1029" s="252"/>
      <c r="K1029" s="252"/>
      <c r="L1029" s="252"/>
      <c r="M1029" s="253"/>
      <c r="N1029" s="253"/>
      <c r="O1029" s="258"/>
      <c r="P1029" s="258"/>
      <c r="Q1029" s="258"/>
      <c r="R1029" s="258"/>
      <c r="S1029" s="258"/>
      <c r="T1029" s="258"/>
      <c r="U1029" s="258"/>
      <c r="V1029" s="258"/>
      <c r="W1029" s="258"/>
      <c r="X1029" s="258"/>
      <c r="Y1029" s="258"/>
      <c r="Z1029" s="258"/>
      <c r="AA1029" s="258"/>
      <c r="AB1029" s="258"/>
      <c r="AC1029" s="407"/>
    </row>
    <row r="1030" spans="2:29" s="406" customFormat="1" ht="16.5" customHeight="1">
      <c r="B1030" s="255"/>
      <c r="C1030" s="255"/>
      <c r="D1030" s="257"/>
      <c r="E1030" s="257"/>
      <c r="F1030" s="257"/>
      <c r="G1030" s="252"/>
      <c r="H1030" s="252"/>
      <c r="I1030" s="252"/>
      <c r="J1030" s="252"/>
      <c r="K1030" s="252"/>
      <c r="L1030" s="252"/>
      <c r="M1030" s="253"/>
      <c r="N1030" s="253"/>
      <c r="O1030" s="258"/>
      <c r="P1030" s="258"/>
      <c r="Q1030" s="258"/>
      <c r="R1030" s="258"/>
      <c r="S1030" s="258"/>
      <c r="T1030" s="258"/>
      <c r="U1030" s="258"/>
      <c r="V1030" s="258"/>
      <c r="W1030" s="258"/>
      <c r="X1030" s="258"/>
      <c r="Y1030" s="258"/>
      <c r="Z1030" s="258"/>
      <c r="AA1030" s="258"/>
      <c r="AB1030" s="258"/>
      <c r="AC1030" s="407"/>
    </row>
    <row r="1031" spans="2:29" s="406" customFormat="1" ht="16.5" customHeight="1">
      <c r="B1031" s="255"/>
      <c r="C1031" s="255"/>
      <c r="D1031" s="257"/>
      <c r="E1031" s="257"/>
      <c r="F1031" s="257"/>
      <c r="G1031" s="252"/>
      <c r="H1031" s="252"/>
      <c r="I1031" s="252"/>
      <c r="J1031" s="252"/>
      <c r="K1031" s="252"/>
      <c r="L1031" s="252"/>
      <c r="M1031" s="253"/>
      <c r="N1031" s="253"/>
      <c r="O1031" s="258"/>
      <c r="P1031" s="258"/>
      <c r="Q1031" s="258"/>
      <c r="R1031" s="258"/>
      <c r="S1031" s="258"/>
      <c r="T1031" s="258"/>
      <c r="U1031" s="258"/>
      <c r="V1031" s="258"/>
      <c r="W1031" s="258"/>
      <c r="X1031" s="258"/>
      <c r="Y1031" s="258"/>
      <c r="Z1031" s="258"/>
      <c r="AA1031" s="258"/>
      <c r="AB1031" s="258"/>
      <c r="AC1031" s="407"/>
    </row>
    <row r="1032" spans="2:29" s="406" customFormat="1" ht="16.5" customHeight="1">
      <c r="B1032" s="255"/>
      <c r="C1032" s="255"/>
      <c r="D1032" s="257"/>
      <c r="E1032" s="257"/>
      <c r="F1032" s="257"/>
      <c r="G1032" s="252"/>
      <c r="H1032" s="252"/>
      <c r="I1032" s="252"/>
      <c r="J1032" s="252"/>
      <c r="K1032" s="252"/>
      <c r="L1032" s="252"/>
      <c r="M1032" s="253"/>
      <c r="N1032" s="253"/>
      <c r="O1032" s="258"/>
      <c r="P1032" s="258"/>
      <c r="Q1032" s="258"/>
      <c r="R1032" s="258"/>
      <c r="S1032" s="258"/>
      <c r="T1032" s="258"/>
      <c r="U1032" s="258"/>
      <c r="V1032" s="258"/>
      <c r="W1032" s="258"/>
      <c r="X1032" s="258"/>
      <c r="Y1032" s="258"/>
      <c r="Z1032" s="258"/>
      <c r="AA1032" s="258"/>
      <c r="AB1032" s="258"/>
      <c r="AC1032" s="407"/>
    </row>
    <row r="1033" spans="2:29" s="406" customFormat="1" ht="16.5" customHeight="1">
      <c r="B1033" s="255"/>
      <c r="C1033" s="255"/>
      <c r="D1033" s="257"/>
      <c r="E1033" s="257"/>
      <c r="F1033" s="257"/>
      <c r="G1033" s="252"/>
      <c r="H1033" s="252"/>
      <c r="I1033" s="252"/>
      <c r="J1033" s="252"/>
      <c r="K1033" s="252"/>
      <c r="L1033" s="252"/>
      <c r="M1033" s="253"/>
      <c r="N1033" s="253"/>
      <c r="O1033" s="258"/>
      <c r="P1033" s="258"/>
      <c r="Q1033" s="258"/>
      <c r="R1033" s="258"/>
      <c r="S1033" s="258"/>
      <c r="T1033" s="258"/>
      <c r="U1033" s="258"/>
      <c r="V1033" s="258"/>
      <c r="W1033" s="258"/>
      <c r="X1033" s="258"/>
      <c r="Y1033" s="258"/>
      <c r="Z1033" s="258"/>
      <c r="AA1033" s="258"/>
      <c r="AB1033" s="258"/>
      <c r="AC1033" s="407"/>
    </row>
    <row r="1034" spans="2:29" s="406" customFormat="1" ht="16.5" customHeight="1">
      <c r="B1034" s="255"/>
      <c r="C1034" s="255"/>
      <c r="D1034" s="257"/>
      <c r="E1034" s="257"/>
      <c r="F1034" s="257"/>
      <c r="G1034" s="252"/>
      <c r="H1034" s="252"/>
      <c r="I1034" s="252"/>
      <c r="J1034" s="252"/>
      <c r="K1034" s="252"/>
      <c r="L1034" s="252"/>
      <c r="M1034" s="253"/>
      <c r="N1034" s="253"/>
      <c r="O1034" s="258"/>
      <c r="P1034" s="258"/>
      <c r="Q1034" s="258"/>
      <c r="R1034" s="258"/>
      <c r="S1034" s="258"/>
      <c r="T1034" s="258"/>
      <c r="U1034" s="258"/>
      <c r="V1034" s="258"/>
      <c r="W1034" s="258"/>
      <c r="X1034" s="258"/>
      <c r="Y1034" s="258"/>
      <c r="Z1034" s="258"/>
      <c r="AA1034" s="258"/>
      <c r="AB1034" s="258"/>
      <c r="AC1034" s="407"/>
    </row>
    <row r="1035" spans="2:29" s="406" customFormat="1" ht="16.5" customHeight="1">
      <c r="B1035" s="255"/>
      <c r="C1035" s="255"/>
      <c r="D1035" s="257"/>
      <c r="E1035" s="257"/>
      <c r="F1035" s="257"/>
      <c r="G1035" s="252"/>
      <c r="H1035" s="252"/>
      <c r="I1035" s="252"/>
      <c r="J1035" s="252"/>
      <c r="K1035" s="252"/>
      <c r="L1035" s="252"/>
      <c r="M1035" s="253"/>
      <c r="N1035" s="253"/>
      <c r="O1035" s="258"/>
      <c r="P1035" s="258"/>
      <c r="Q1035" s="258"/>
      <c r="R1035" s="258"/>
      <c r="S1035" s="258"/>
      <c r="T1035" s="258"/>
      <c r="U1035" s="258"/>
      <c r="V1035" s="258"/>
      <c r="W1035" s="258"/>
      <c r="X1035" s="258"/>
      <c r="Y1035" s="258"/>
      <c r="Z1035" s="258"/>
      <c r="AA1035" s="258"/>
      <c r="AB1035" s="258"/>
      <c r="AC1035" s="407"/>
    </row>
    <row r="1036" spans="2:29" s="406" customFormat="1" ht="16.5" customHeight="1">
      <c r="B1036" s="255"/>
      <c r="C1036" s="255"/>
      <c r="D1036" s="257"/>
      <c r="E1036" s="257"/>
      <c r="F1036" s="257"/>
      <c r="G1036" s="252"/>
      <c r="H1036" s="252"/>
      <c r="I1036" s="252"/>
      <c r="J1036" s="252"/>
      <c r="K1036" s="252"/>
      <c r="L1036" s="252"/>
      <c r="M1036" s="253"/>
      <c r="N1036" s="253"/>
      <c r="O1036" s="258"/>
      <c r="P1036" s="258"/>
      <c r="Q1036" s="258"/>
      <c r="R1036" s="258"/>
      <c r="S1036" s="258"/>
      <c r="T1036" s="258"/>
      <c r="U1036" s="258"/>
      <c r="V1036" s="258"/>
      <c r="W1036" s="258"/>
      <c r="X1036" s="258"/>
      <c r="Y1036" s="258"/>
      <c r="Z1036" s="258"/>
      <c r="AA1036" s="258"/>
      <c r="AB1036" s="258"/>
      <c r="AC1036" s="407"/>
    </row>
    <row r="1037" spans="2:29" s="406" customFormat="1" ht="16.5" customHeight="1">
      <c r="B1037" s="255"/>
      <c r="C1037" s="255"/>
      <c r="D1037" s="257"/>
      <c r="E1037" s="257"/>
      <c r="F1037" s="257"/>
      <c r="G1037" s="252"/>
      <c r="H1037" s="252"/>
      <c r="I1037" s="252"/>
      <c r="J1037" s="252"/>
      <c r="K1037" s="252"/>
      <c r="L1037" s="252"/>
      <c r="M1037" s="253"/>
      <c r="N1037" s="253"/>
      <c r="O1037" s="258"/>
      <c r="P1037" s="258"/>
      <c r="Q1037" s="258"/>
      <c r="R1037" s="258"/>
      <c r="S1037" s="258"/>
      <c r="T1037" s="258"/>
      <c r="U1037" s="258"/>
      <c r="V1037" s="258"/>
      <c r="W1037" s="258"/>
      <c r="X1037" s="258"/>
      <c r="Y1037" s="258"/>
      <c r="Z1037" s="258"/>
      <c r="AA1037" s="258"/>
      <c r="AB1037" s="258"/>
      <c r="AC1037" s="407"/>
    </row>
    <row r="1038" spans="2:29" s="406" customFormat="1" ht="16.5" customHeight="1">
      <c r="B1038" s="255"/>
      <c r="C1038" s="255"/>
      <c r="D1038" s="257"/>
      <c r="E1038" s="257"/>
      <c r="F1038" s="257"/>
      <c r="G1038" s="252"/>
      <c r="H1038" s="252"/>
      <c r="I1038" s="252"/>
      <c r="J1038" s="252"/>
      <c r="K1038" s="252"/>
      <c r="L1038" s="252"/>
      <c r="M1038" s="253"/>
      <c r="N1038" s="253"/>
      <c r="O1038" s="258"/>
      <c r="P1038" s="258"/>
      <c r="Q1038" s="258"/>
      <c r="R1038" s="258"/>
      <c r="S1038" s="258"/>
      <c r="T1038" s="258"/>
      <c r="U1038" s="258"/>
      <c r="V1038" s="258"/>
      <c r="W1038" s="258"/>
      <c r="X1038" s="258"/>
      <c r="Y1038" s="258"/>
      <c r="Z1038" s="258"/>
      <c r="AA1038" s="258"/>
      <c r="AB1038" s="258"/>
      <c r="AC1038" s="407"/>
    </row>
    <row r="1039" spans="2:29" s="406" customFormat="1" ht="16.5" customHeight="1">
      <c r="B1039" s="255"/>
      <c r="C1039" s="255"/>
      <c r="D1039" s="257"/>
      <c r="E1039" s="257"/>
      <c r="F1039" s="257"/>
      <c r="G1039" s="252"/>
      <c r="H1039" s="252"/>
      <c r="I1039" s="252"/>
      <c r="J1039" s="252"/>
      <c r="K1039" s="252"/>
      <c r="L1039" s="252"/>
      <c r="M1039" s="253"/>
      <c r="N1039" s="253"/>
      <c r="O1039" s="258"/>
      <c r="P1039" s="258"/>
      <c r="Q1039" s="258"/>
      <c r="R1039" s="258"/>
      <c r="S1039" s="258"/>
      <c r="T1039" s="258"/>
      <c r="U1039" s="258"/>
      <c r="V1039" s="258"/>
      <c r="W1039" s="258"/>
      <c r="X1039" s="258"/>
      <c r="Y1039" s="258"/>
      <c r="Z1039" s="258"/>
      <c r="AA1039" s="258"/>
      <c r="AB1039" s="258"/>
      <c r="AC1039" s="407"/>
    </row>
    <row r="1040" spans="2:29" s="406" customFormat="1" ht="16.5" customHeight="1">
      <c r="B1040" s="255"/>
      <c r="C1040" s="255"/>
      <c r="D1040" s="257"/>
      <c r="E1040" s="257"/>
      <c r="F1040" s="257"/>
      <c r="G1040" s="252"/>
      <c r="H1040" s="252"/>
      <c r="I1040" s="252"/>
      <c r="J1040" s="252"/>
      <c r="K1040" s="252"/>
      <c r="L1040" s="252"/>
      <c r="M1040" s="253"/>
      <c r="N1040" s="253"/>
      <c r="O1040" s="258"/>
      <c r="P1040" s="258"/>
      <c r="Q1040" s="258"/>
      <c r="R1040" s="258"/>
      <c r="S1040" s="258"/>
      <c r="T1040" s="258"/>
      <c r="U1040" s="258"/>
      <c r="V1040" s="258"/>
      <c r="W1040" s="258"/>
      <c r="X1040" s="258"/>
      <c r="Y1040" s="258"/>
      <c r="Z1040" s="258"/>
      <c r="AA1040" s="258"/>
      <c r="AB1040" s="258"/>
      <c r="AC1040" s="407"/>
    </row>
    <row r="1041" spans="2:29" s="406" customFormat="1" ht="16.5" customHeight="1">
      <c r="B1041" s="255"/>
      <c r="C1041" s="255"/>
      <c r="D1041" s="257"/>
      <c r="E1041" s="257"/>
      <c r="F1041" s="257"/>
      <c r="G1041" s="252"/>
      <c r="H1041" s="252"/>
      <c r="I1041" s="252"/>
      <c r="J1041" s="252"/>
      <c r="K1041" s="252"/>
      <c r="L1041" s="252"/>
      <c r="M1041" s="253"/>
      <c r="N1041" s="253"/>
      <c r="O1041" s="258"/>
      <c r="P1041" s="258"/>
      <c r="Q1041" s="258"/>
      <c r="R1041" s="258"/>
      <c r="S1041" s="258"/>
      <c r="T1041" s="258"/>
      <c r="U1041" s="258"/>
      <c r="V1041" s="258"/>
      <c r="W1041" s="258"/>
      <c r="X1041" s="258"/>
      <c r="Y1041" s="258"/>
      <c r="Z1041" s="258"/>
      <c r="AA1041" s="258"/>
      <c r="AB1041" s="258"/>
      <c r="AC1041" s="407"/>
    </row>
    <row r="1042" spans="2:29" s="406" customFormat="1" ht="16.5" customHeight="1">
      <c r="B1042" s="255"/>
      <c r="C1042" s="255"/>
      <c r="D1042" s="257"/>
      <c r="E1042" s="257"/>
      <c r="F1042" s="257"/>
      <c r="G1042" s="252"/>
      <c r="H1042" s="252"/>
      <c r="I1042" s="252"/>
      <c r="J1042" s="252"/>
      <c r="K1042" s="252"/>
      <c r="L1042" s="252"/>
      <c r="M1042" s="253"/>
      <c r="N1042" s="253"/>
      <c r="O1042" s="258"/>
      <c r="P1042" s="258"/>
      <c r="Q1042" s="258"/>
      <c r="R1042" s="258"/>
      <c r="S1042" s="258"/>
      <c r="T1042" s="258"/>
      <c r="U1042" s="258"/>
      <c r="V1042" s="258"/>
      <c r="W1042" s="258"/>
      <c r="X1042" s="258"/>
      <c r="Y1042" s="258"/>
      <c r="Z1042" s="258"/>
      <c r="AA1042" s="258"/>
      <c r="AB1042" s="258"/>
      <c r="AC1042" s="407"/>
    </row>
    <row r="1043" spans="2:29" s="406" customFormat="1" ht="16.5" customHeight="1">
      <c r="B1043" s="255"/>
      <c r="C1043" s="255"/>
      <c r="D1043" s="257"/>
      <c r="E1043" s="257"/>
      <c r="F1043" s="257"/>
      <c r="G1043" s="252"/>
      <c r="H1043" s="252"/>
      <c r="I1043" s="252"/>
      <c r="J1043" s="252"/>
      <c r="K1043" s="252"/>
      <c r="L1043" s="252"/>
      <c r="M1043" s="253"/>
      <c r="N1043" s="253"/>
      <c r="O1043" s="258"/>
      <c r="P1043" s="258"/>
      <c r="Q1043" s="258"/>
      <c r="R1043" s="258"/>
      <c r="S1043" s="258"/>
      <c r="T1043" s="258"/>
      <c r="U1043" s="258"/>
      <c r="V1043" s="258"/>
      <c r="W1043" s="258"/>
      <c r="X1043" s="258"/>
      <c r="Y1043" s="258"/>
      <c r="Z1043" s="258"/>
      <c r="AA1043" s="258"/>
      <c r="AB1043" s="258"/>
      <c r="AC1043" s="407"/>
    </row>
    <row r="1044" spans="2:29" s="406" customFormat="1" ht="16.5" customHeight="1">
      <c r="B1044" s="255"/>
      <c r="C1044" s="255"/>
      <c r="D1044" s="257"/>
      <c r="E1044" s="257"/>
      <c r="F1044" s="257"/>
      <c r="G1044" s="252"/>
      <c r="H1044" s="252"/>
      <c r="I1044" s="252"/>
      <c r="J1044" s="252"/>
      <c r="K1044" s="252"/>
      <c r="L1044" s="252"/>
      <c r="M1044" s="253"/>
      <c r="N1044" s="253"/>
      <c r="O1044" s="258"/>
      <c r="P1044" s="258"/>
      <c r="Q1044" s="258"/>
      <c r="R1044" s="258"/>
      <c r="S1044" s="258"/>
      <c r="T1044" s="258"/>
      <c r="U1044" s="258"/>
      <c r="V1044" s="258"/>
      <c r="W1044" s="258"/>
      <c r="X1044" s="258"/>
      <c r="Y1044" s="258"/>
      <c r="Z1044" s="258"/>
      <c r="AA1044" s="258"/>
      <c r="AB1044" s="258"/>
      <c r="AC1044" s="407"/>
    </row>
    <row r="1045" spans="2:29" s="406" customFormat="1" ht="16.5" customHeight="1">
      <c r="B1045" s="255"/>
      <c r="C1045" s="255"/>
      <c r="D1045" s="257"/>
      <c r="E1045" s="257"/>
      <c r="F1045" s="257"/>
      <c r="G1045" s="252"/>
      <c r="H1045" s="252"/>
      <c r="I1045" s="252"/>
      <c r="J1045" s="252"/>
      <c r="K1045" s="252"/>
      <c r="L1045" s="252"/>
      <c r="M1045" s="253"/>
      <c r="N1045" s="253"/>
      <c r="O1045" s="258"/>
      <c r="P1045" s="258"/>
      <c r="Q1045" s="258"/>
      <c r="R1045" s="258"/>
      <c r="S1045" s="258"/>
      <c r="T1045" s="258"/>
      <c r="U1045" s="258"/>
      <c r="V1045" s="258"/>
      <c r="W1045" s="258"/>
      <c r="X1045" s="258"/>
      <c r="Y1045" s="258"/>
      <c r="Z1045" s="258"/>
      <c r="AA1045" s="258"/>
      <c r="AB1045" s="258"/>
      <c r="AC1045" s="407"/>
    </row>
    <row r="1046" spans="2:29" s="406" customFormat="1" ht="16.5" customHeight="1">
      <c r="B1046" s="255"/>
      <c r="C1046" s="255"/>
      <c r="D1046" s="257"/>
      <c r="E1046" s="257"/>
      <c r="F1046" s="257"/>
      <c r="G1046" s="252"/>
      <c r="H1046" s="252"/>
      <c r="I1046" s="252"/>
      <c r="J1046" s="252"/>
      <c r="K1046" s="252"/>
      <c r="L1046" s="252"/>
      <c r="M1046" s="253"/>
      <c r="N1046" s="253"/>
      <c r="O1046" s="258"/>
      <c r="P1046" s="258"/>
      <c r="Q1046" s="258"/>
      <c r="R1046" s="258"/>
      <c r="S1046" s="258"/>
      <c r="T1046" s="258"/>
      <c r="U1046" s="258"/>
      <c r="V1046" s="258"/>
      <c r="W1046" s="258"/>
      <c r="X1046" s="258"/>
      <c r="Y1046" s="258"/>
      <c r="Z1046" s="258"/>
      <c r="AA1046" s="258"/>
      <c r="AB1046" s="258"/>
      <c r="AC1046" s="407"/>
    </row>
    <row r="1047" spans="2:29" s="406" customFormat="1" ht="16.5" customHeight="1">
      <c r="B1047" s="255"/>
      <c r="C1047" s="255"/>
      <c r="D1047" s="257"/>
      <c r="E1047" s="257"/>
      <c r="F1047" s="257"/>
      <c r="G1047" s="252"/>
      <c r="H1047" s="252"/>
      <c r="I1047" s="252"/>
      <c r="J1047" s="252"/>
      <c r="K1047" s="252"/>
      <c r="L1047" s="252"/>
      <c r="M1047" s="253"/>
      <c r="N1047" s="253"/>
      <c r="O1047" s="258"/>
      <c r="P1047" s="258"/>
      <c r="Q1047" s="258"/>
      <c r="R1047" s="258"/>
      <c r="S1047" s="258"/>
      <c r="T1047" s="258"/>
      <c r="U1047" s="258"/>
      <c r="V1047" s="258"/>
      <c r="W1047" s="258"/>
      <c r="X1047" s="258"/>
      <c r="Y1047" s="258"/>
      <c r="Z1047" s="258"/>
      <c r="AA1047" s="258"/>
      <c r="AB1047" s="258"/>
      <c r="AC1047" s="407"/>
    </row>
    <row r="1048" spans="2:29" s="406" customFormat="1" ht="16.5" customHeight="1">
      <c r="B1048" s="255"/>
      <c r="C1048" s="255"/>
      <c r="D1048" s="257"/>
      <c r="E1048" s="257"/>
      <c r="F1048" s="257"/>
      <c r="G1048" s="252"/>
      <c r="H1048" s="252"/>
      <c r="I1048" s="252"/>
      <c r="J1048" s="252"/>
      <c r="K1048" s="252"/>
      <c r="L1048" s="252"/>
      <c r="M1048" s="253"/>
      <c r="N1048" s="253"/>
      <c r="O1048" s="258"/>
      <c r="P1048" s="258"/>
      <c r="Q1048" s="258"/>
      <c r="R1048" s="258"/>
      <c r="S1048" s="258"/>
      <c r="T1048" s="258"/>
      <c r="U1048" s="258"/>
      <c r="V1048" s="258"/>
      <c r="W1048" s="258"/>
      <c r="X1048" s="258"/>
      <c r="Y1048" s="258"/>
      <c r="Z1048" s="258"/>
      <c r="AA1048" s="258"/>
      <c r="AB1048" s="258"/>
      <c r="AC1048" s="407"/>
    </row>
    <row r="1049" spans="2:29" s="406" customFormat="1" ht="16.5" customHeight="1">
      <c r="B1049" s="255"/>
      <c r="C1049" s="255"/>
      <c r="D1049" s="257"/>
      <c r="E1049" s="257"/>
      <c r="F1049" s="257"/>
      <c r="G1049" s="252"/>
      <c r="H1049" s="252"/>
      <c r="I1049" s="252"/>
      <c r="J1049" s="252"/>
      <c r="K1049" s="252"/>
      <c r="L1049" s="252"/>
      <c r="M1049" s="253"/>
      <c r="N1049" s="253"/>
      <c r="O1049" s="258"/>
      <c r="P1049" s="258"/>
      <c r="Q1049" s="258"/>
      <c r="R1049" s="258"/>
      <c r="S1049" s="258"/>
      <c r="T1049" s="258"/>
      <c r="U1049" s="258"/>
      <c r="V1049" s="258"/>
      <c r="W1049" s="258"/>
      <c r="X1049" s="258"/>
      <c r="Y1049" s="258"/>
      <c r="Z1049" s="258"/>
      <c r="AA1049" s="258"/>
      <c r="AB1049" s="258"/>
      <c r="AC1049" s="407"/>
    </row>
    <row r="1050" spans="2:29" s="406" customFormat="1" ht="16.5" customHeight="1">
      <c r="B1050" s="255"/>
      <c r="C1050" s="255"/>
      <c r="D1050" s="257"/>
      <c r="E1050" s="257"/>
      <c r="F1050" s="257"/>
      <c r="G1050" s="252"/>
      <c r="H1050" s="252"/>
      <c r="I1050" s="252"/>
      <c r="J1050" s="252"/>
      <c r="K1050" s="252"/>
      <c r="L1050" s="252"/>
      <c r="M1050" s="253"/>
      <c r="N1050" s="253"/>
      <c r="O1050" s="258"/>
      <c r="P1050" s="258"/>
      <c r="Q1050" s="258"/>
      <c r="R1050" s="258"/>
      <c r="S1050" s="258"/>
      <c r="T1050" s="258"/>
      <c r="U1050" s="258"/>
      <c r="V1050" s="258"/>
      <c r="W1050" s="258"/>
      <c r="X1050" s="258"/>
      <c r="Y1050" s="258"/>
      <c r="Z1050" s="258"/>
      <c r="AA1050" s="258"/>
      <c r="AB1050" s="258"/>
      <c r="AC1050" s="407"/>
    </row>
    <row r="1051" spans="2:29" s="406" customFormat="1" ht="16.5" customHeight="1">
      <c r="B1051" s="255"/>
      <c r="C1051" s="255"/>
      <c r="D1051" s="257"/>
      <c r="E1051" s="257"/>
      <c r="F1051" s="257"/>
      <c r="G1051" s="252"/>
      <c r="H1051" s="252"/>
      <c r="I1051" s="252"/>
      <c r="J1051" s="252"/>
      <c r="K1051" s="252"/>
      <c r="L1051" s="252"/>
      <c r="M1051" s="253"/>
      <c r="N1051" s="253"/>
      <c r="O1051" s="258"/>
      <c r="P1051" s="258"/>
      <c r="Q1051" s="258"/>
      <c r="R1051" s="258"/>
      <c r="S1051" s="258"/>
      <c r="T1051" s="258"/>
      <c r="U1051" s="258"/>
      <c r="V1051" s="258"/>
      <c r="W1051" s="258"/>
      <c r="X1051" s="258"/>
      <c r="Y1051" s="258"/>
      <c r="Z1051" s="258"/>
      <c r="AA1051" s="258"/>
      <c r="AB1051" s="258"/>
      <c r="AC1051" s="407"/>
    </row>
    <row r="1052" spans="2:29" s="406" customFormat="1" ht="16.5" customHeight="1">
      <c r="B1052" s="255"/>
      <c r="C1052" s="255"/>
      <c r="D1052" s="257"/>
      <c r="E1052" s="257"/>
      <c r="F1052" s="257"/>
      <c r="G1052" s="252"/>
      <c r="H1052" s="252"/>
      <c r="I1052" s="252"/>
      <c r="J1052" s="252"/>
      <c r="K1052" s="252"/>
      <c r="L1052" s="252"/>
      <c r="M1052" s="253"/>
      <c r="N1052" s="253"/>
      <c r="O1052" s="258"/>
      <c r="P1052" s="258"/>
      <c r="Q1052" s="258"/>
      <c r="R1052" s="258"/>
      <c r="S1052" s="258"/>
      <c r="T1052" s="258"/>
      <c r="U1052" s="258"/>
      <c r="V1052" s="258"/>
      <c r="W1052" s="258"/>
      <c r="X1052" s="258"/>
      <c r="Y1052" s="258"/>
      <c r="Z1052" s="258"/>
      <c r="AA1052" s="258"/>
      <c r="AB1052" s="258"/>
      <c r="AC1052" s="407"/>
    </row>
    <row r="1053" spans="2:29" s="406" customFormat="1" ht="16.5" customHeight="1">
      <c r="B1053" s="255"/>
      <c r="C1053" s="255"/>
      <c r="D1053" s="257"/>
      <c r="E1053" s="257"/>
      <c r="F1053" s="257"/>
      <c r="G1053" s="252"/>
      <c r="H1053" s="252"/>
      <c r="I1053" s="252"/>
      <c r="J1053" s="252"/>
      <c r="K1053" s="252"/>
      <c r="L1053" s="252"/>
      <c r="M1053" s="253"/>
      <c r="N1053" s="253"/>
      <c r="O1053" s="258"/>
      <c r="P1053" s="258"/>
      <c r="Q1053" s="258"/>
      <c r="R1053" s="258"/>
      <c r="S1053" s="258"/>
      <c r="T1053" s="258"/>
      <c r="U1053" s="258"/>
      <c r="V1053" s="258"/>
      <c r="W1053" s="258"/>
      <c r="X1053" s="258"/>
      <c r="Y1053" s="258"/>
      <c r="Z1053" s="258"/>
      <c r="AA1053" s="258"/>
      <c r="AB1053" s="258"/>
      <c r="AC1053" s="407"/>
    </row>
    <row r="1054" spans="2:29" s="406" customFormat="1" ht="16.5" customHeight="1">
      <c r="B1054" s="255"/>
      <c r="C1054" s="255"/>
      <c r="D1054" s="257"/>
      <c r="E1054" s="257"/>
      <c r="F1054" s="257"/>
      <c r="G1054" s="252"/>
      <c r="H1054" s="252"/>
      <c r="I1054" s="252"/>
      <c r="J1054" s="252"/>
      <c r="K1054" s="252"/>
      <c r="L1054" s="252"/>
      <c r="M1054" s="253"/>
      <c r="N1054" s="253"/>
      <c r="O1054" s="258"/>
      <c r="P1054" s="258"/>
      <c r="Q1054" s="258"/>
      <c r="R1054" s="258"/>
      <c r="S1054" s="258"/>
      <c r="T1054" s="258"/>
      <c r="U1054" s="258"/>
      <c r="V1054" s="258"/>
      <c r="W1054" s="258"/>
      <c r="X1054" s="258"/>
      <c r="Y1054" s="258"/>
      <c r="Z1054" s="258"/>
      <c r="AA1054" s="258"/>
      <c r="AB1054" s="258"/>
      <c r="AC1054" s="407"/>
    </row>
    <row r="1055" spans="2:29" s="406" customFormat="1" ht="16.5" customHeight="1">
      <c r="B1055" s="255"/>
      <c r="C1055" s="255"/>
      <c r="D1055" s="257"/>
      <c r="E1055" s="257"/>
      <c r="F1055" s="257"/>
      <c r="G1055" s="252"/>
      <c r="H1055" s="252"/>
      <c r="I1055" s="252"/>
      <c r="J1055" s="252"/>
      <c r="K1055" s="252"/>
      <c r="L1055" s="252"/>
      <c r="M1055" s="253"/>
      <c r="N1055" s="253"/>
      <c r="O1055" s="258"/>
      <c r="P1055" s="258"/>
      <c r="Q1055" s="258"/>
      <c r="R1055" s="258"/>
      <c r="S1055" s="258"/>
      <c r="T1055" s="258"/>
      <c r="U1055" s="258"/>
      <c r="V1055" s="258"/>
      <c r="W1055" s="258"/>
      <c r="X1055" s="258"/>
      <c r="Y1055" s="258"/>
      <c r="Z1055" s="258"/>
      <c r="AA1055" s="258"/>
      <c r="AB1055" s="258"/>
      <c r="AC1055" s="407"/>
    </row>
    <row r="1056" spans="2:29" s="406" customFormat="1" ht="16.5" customHeight="1">
      <c r="B1056" s="255"/>
      <c r="C1056" s="255"/>
      <c r="D1056" s="257"/>
      <c r="E1056" s="257"/>
      <c r="F1056" s="257"/>
      <c r="G1056" s="252"/>
      <c r="H1056" s="252"/>
      <c r="I1056" s="252"/>
      <c r="J1056" s="252"/>
      <c r="K1056" s="252"/>
      <c r="L1056" s="252"/>
      <c r="M1056" s="253"/>
      <c r="N1056" s="253"/>
      <c r="O1056" s="258"/>
      <c r="P1056" s="258"/>
      <c r="Q1056" s="258"/>
      <c r="R1056" s="258"/>
      <c r="S1056" s="258"/>
      <c r="T1056" s="258"/>
      <c r="U1056" s="258"/>
      <c r="V1056" s="258"/>
      <c r="W1056" s="258"/>
      <c r="X1056" s="258"/>
      <c r="Y1056" s="258"/>
      <c r="Z1056" s="258"/>
      <c r="AA1056" s="258"/>
      <c r="AB1056" s="258"/>
      <c r="AC1056" s="407"/>
    </row>
    <row r="1057" spans="2:29" s="406" customFormat="1" ht="16.5" customHeight="1">
      <c r="B1057" s="255"/>
      <c r="C1057" s="255"/>
      <c r="D1057" s="257"/>
      <c r="E1057" s="257"/>
      <c r="F1057" s="257"/>
      <c r="G1057" s="252"/>
      <c r="H1057" s="252"/>
      <c r="I1057" s="252"/>
      <c r="J1057" s="252"/>
      <c r="K1057" s="252"/>
      <c r="L1057" s="252"/>
      <c r="M1057" s="253"/>
      <c r="N1057" s="253"/>
      <c r="O1057" s="258"/>
      <c r="P1057" s="258"/>
      <c r="Q1057" s="258"/>
      <c r="R1057" s="258"/>
      <c r="S1057" s="258"/>
      <c r="T1057" s="258"/>
      <c r="U1057" s="258"/>
      <c r="V1057" s="258"/>
      <c r="W1057" s="258"/>
      <c r="X1057" s="258"/>
      <c r="Y1057" s="258"/>
      <c r="Z1057" s="258"/>
      <c r="AA1057" s="258"/>
      <c r="AB1057" s="258"/>
      <c r="AC1057" s="407"/>
    </row>
    <row r="1058" spans="2:29" s="406" customFormat="1" ht="16.5" customHeight="1">
      <c r="B1058" s="255"/>
      <c r="C1058" s="255"/>
      <c r="D1058" s="257"/>
      <c r="E1058" s="257"/>
      <c r="F1058" s="257"/>
      <c r="G1058" s="252"/>
      <c r="H1058" s="252"/>
      <c r="I1058" s="252"/>
      <c r="J1058" s="252"/>
      <c r="K1058" s="252"/>
      <c r="L1058" s="252"/>
      <c r="M1058" s="253"/>
      <c r="N1058" s="253"/>
      <c r="O1058" s="258"/>
      <c r="P1058" s="258"/>
      <c r="Q1058" s="258"/>
      <c r="R1058" s="258"/>
      <c r="S1058" s="258"/>
      <c r="T1058" s="258"/>
      <c r="U1058" s="258"/>
      <c r="V1058" s="258"/>
      <c r="W1058" s="258"/>
      <c r="X1058" s="258"/>
      <c r="Y1058" s="258"/>
      <c r="Z1058" s="258"/>
      <c r="AA1058" s="258"/>
      <c r="AB1058" s="258"/>
      <c r="AC1058" s="407"/>
    </row>
    <row r="1059" spans="2:29" s="406" customFormat="1" ht="16.5" customHeight="1">
      <c r="B1059" s="255"/>
      <c r="C1059" s="255"/>
      <c r="D1059" s="257"/>
      <c r="E1059" s="257"/>
      <c r="F1059" s="257"/>
      <c r="G1059" s="252"/>
      <c r="H1059" s="252"/>
      <c r="I1059" s="252"/>
      <c r="J1059" s="252"/>
      <c r="K1059" s="252"/>
      <c r="L1059" s="252"/>
      <c r="M1059" s="253"/>
      <c r="N1059" s="253"/>
      <c r="O1059" s="258"/>
      <c r="P1059" s="258"/>
      <c r="Q1059" s="258"/>
      <c r="R1059" s="258"/>
      <c r="S1059" s="258"/>
      <c r="T1059" s="258"/>
      <c r="U1059" s="258"/>
      <c r="V1059" s="258"/>
      <c r="W1059" s="258"/>
      <c r="X1059" s="258"/>
      <c r="Y1059" s="258"/>
      <c r="Z1059" s="258"/>
      <c r="AA1059" s="258"/>
      <c r="AB1059" s="258"/>
      <c r="AC1059" s="407"/>
    </row>
    <row r="1060" spans="2:29" s="406" customFormat="1" ht="16.5" customHeight="1">
      <c r="B1060" s="255"/>
      <c r="C1060" s="255"/>
      <c r="D1060" s="257"/>
      <c r="E1060" s="257"/>
      <c r="F1060" s="257"/>
      <c r="G1060" s="252"/>
      <c r="H1060" s="252"/>
      <c r="I1060" s="252"/>
      <c r="J1060" s="252"/>
      <c r="K1060" s="252"/>
      <c r="L1060" s="252"/>
      <c r="M1060" s="253"/>
      <c r="N1060" s="253"/>
      <c r="O1060" s="258"/>
      <c r="P1060" s="258"/>
      <c r="Q1060" s="258"/>
      <c r="R1060" s="258"/>
      <c r="S1060" s="258"/>
      <c r="T1060" s="258"/>
      <c r="U1060" s="258"/>
      <c r="V1060" s="258"/>
      <c r="W1060" s="258"/>
      <c r="X1060" s="258"/>
      <c r="Y1060" s="258"/>
      <c r="Z1060" s="258"/>
      <c r="AA1060" s="258"/>
      <c r="AB1060" s="258"/>
      <c r="AC1060" s="407"/>
    </row>
    <row r="1061" spans="2:29" s="406" customFormat="1" ht="16.5" customHeight="1">
      <c r="B1061" s="255"/>
      <c r="C1061" s="255"/>
      <c r="D1061" s="257"/>
      <c r="E1061" s="257"/>
      <c r="F1061" s="257"/>
      <c r="G1061" s="252"/>
      <c r="H1061" s="252"/>
      <c r="I1061" s="252"/>
      <c r="J1061" s="252"/>
      <c r="K1061" s="252"/>
      <c r="L1061" s="252"/>
      <c r="M1061" s="253"/>
      <c r="N1061" s="253"/>
      <c r="O1061" s="258"/>
      <c r="P1061" s="258"/>
      <c r="Q1061" s="258"/>
      <c r="R1061" s="258"/>
      <c r="S1061" s="258"/>
      <c r="T1061" s="258"/>
      <c r="U1061" s="258"/>
      <c r="V1061" s="258"/>
      <c r="W1061" s="258"/>
      <c r="X1061" s="258"/>
      <c r="Y1061" s="258"/>
      <c r="Z1061" s="258"/>
      <c r="AA1061" s="258"/>
      <c r="AB1061" s="258"/>
      <c r="AC1061" s="407"/>
    </row>
    <row r="1062" spans="2:29" s="406" customFormat="1" ht="16.5" customHeight="1">
      <c r="B1062" s="255"/>
      <c r="C1062" s="255"/>
      <c r="D1062" s="257"/>
      <c r="E1062" s="257"/>
      <c r="F1062" s="257"/>
      <c r="G1062" s="252"/>
      <c r="H1062" s="252"/>
      <c r="I1062" s="252"/>
      <c r="J1062" s="252"/>
      <c r="K1062" s="252"/>
      <c r="L1062" s="252"/>
      <c r="M1062" s="253"/>
      <c r="N1062" s="253"/>
      <c r="O1062" s="258"/>
      <c r="P1062" s="258"/>
      <c r="Q1062" s="258"/>
      <c r="R1062" s="258"/>
      <c r="S1062" s="258"/>
      <c r="T1062" s="258"/>
      <c r="U1062" s="258"/>
      <c r="V1062" s="258"/>
      <c r="W1062" s="258"/>
      <c r="X1062" s="258"/>
      <c r="Y1062" s="258"/>
      <c r="Z1062" s="258"/>
      <c r="AA1062" s="258"/>
      <c r="AB1062" s="258"/>
      <c r="AC1062" s="407"/>
    </row>
    <row r="1063" spans="2:29" s="406" customFormat="1" ht="16.5" customHeight="1">
      <c r="B1063" s="255"/>
      <c r="C1063" s="255"/>
      <c r="D1063" s="257"/>
      <c r="E1063" s="257"/>
      <c r="F1063" s="257"/>
      <c r="G1063" s="252"/>
      <c r="H1063" s="252"/>
      <c r="I1063" s="252"/>
      <c r="J1063" s="252"/>
      <c r="K1063" s="252"/>
      <c r="L1063" s="252"/>
      <c r="M1063" s="253"/>
      <c r="N1063" s="253"/>
      <c r="O1063" s="258"/>
      <c r="P1063" s="258"/>
      <c r="Q1063" s="258"/>
      <c r="R1063" s="258"/>
      <c r="S1063" s="258"/>
      <c r="T1063" s="258"/>
      <c r="U1063" s="258"/>
      <c r="V1063" s="258"/>
      <c r="W1063" s="258"/>
      <c r="X1063" s="258"/>
      <c r="Y1063" s="258"/>
      <c r="Z1063" s="258"/>
      <c r="AA1063" s="258"/>
      <c r="AB1063" s="258"/>
      <c r="AC1063" s="407"/>
    </row>
    <row r="1064" spans="2:29" s="406" customFormat="1" ht="16.5" customHeight="1">
      <c r="B1064" s="255"/>
      <c r="C1064" s="255"/>
      <c r="D1064" s="257"/>
      <c r="E1064" s="257"/>
      <c r="F1064" s="257"/>
      <c r="G1064" s="252"/>
      <c r="H1064" s="252"/>
      <c r="I1064" s="252"/>
      <c r="J1064" s="252"/>
      <c r="K1064" s="252"/>
      <c r="L1064" s="252"/>
      <c r="M1064" s="253"/>
      <c r="N1064" s="253"/>
      <c r="O1064" s="258"/>
      <c r="P1064" s="258"/>
      <c r="Q1064" s="258"/>
      <c r="R1064" s="258"/>
      <c r="S1064" s="258"/>
      <c r="T1064" s="258"/>
      <c r="U1064" s="258"/>
      <c r="V1064" s="258"/>
      <c r="W1064" s="258"/>
      <c r="X1064" s="258"/>
      <c r="Y1064" s="258"/>
      <c r="Z1064" s="258"/>
      <c r="AA1064" s="258"/>
      <c r="AB1064" s="258"/>
      <c r="AC1064" s="407"/>
    </row>
    <row r="1065" spans="2:29" s="406" customFormat="1" ht="16.5" customHeight="1">
      <c r="B1065" s="255"/>
      <c r="C1065" s="255"/>
      <c r="D1065" s="257"/>
      <c r="E1065" s="257"/>
      <c r="F1065" s="257"/>
      <c r="G1065" s="252"/>
      <c r="H1065" s="252"/>
      <c r="I1065" s="252"/>
      <c r="J1065" s="252"/>
      <c r="K1065" s="252"/>
      <c r="L1065" s="252"/>
      <c r="M1065" s="253"/>
      <c r="N1065" s="253"/>
      <c r="O1065" s="258"/>
      <c r="P1065" s="258"/>
      <c r="Q1065" s="258"/>
      <c r="R1065" s="258"/>
      <c r="S1065" s="258"/>
      <c r="T1065" s="258"/>
      <c r="U1065" s="258"/>
      <c r="V1065" s="258"/>
      <c r="W1065" s="258"/>
      <c r="X1065" s="258"/>
      <c r="Y1065" s="258"/>
      <c r="Z1065" s="258"/>
      <c r="AA1065" s="258"/>
      <c r="AB1065" s="258"/>
      <c r="AC1065" s="407"/>
    </row>
    <row r="1066" spans="2:29" s="406" customFormat="1" ht="16.5" customHeight="1">
      <c r="B1066" s="255"/>
      <c r="C1066" s="255"/>
      <c r="D1066" s="257"/>
      <c r="E1066" s="257"/>
      <c r="F1066" s="257"/>
      <c r="G1066" s="252"/>
      <c r="H1066" s="252"/>
      <c r="I1066" s="252"/>
      <c r="J1066" s="252"/>
      <c r="K1066" s="252"/>
      <c r="L1066" s="252"/>
      <c r="M1066" s="253"/>
      <c r="N1066" s="253"/>
      <c r="O1066" s="258"/>
      <c r="P1066" s="258"/>
      <c r="Q1066" s="258"/>
      <c r="R1066" s="258"/>
      <c r="S1066" s="258"/>
      <c r="T1066" s="258"/>
      <c r="U1066" s="258"/>
      <c r="V1066" s="258"/>
      <c r="W1066" s="258"/>
      <c r="X1066" s="258"/>
      <c r="Y1066" s="258"/>
      <c r="Z1066" s="258"/>
      <c r="AA1066" s="258"/>
      <c r="AB1066" s="258"/>
      <c r="AC1066" s="407"/>
    </row>
    <row r="1067" spans="2:29" s="406" customFormat="1" ht="16.5" customHeight="1">
      <c r="B1067" s="255"/>
      <c r="C1067" s="255"/>
      <c r="D1067" s="257"/>
      <c r="E1067" s="257"/>
      <c r="F1067" s="257"/>
      <c r="G1067" s="252"/>
      <c r="H1067" s="252"/>
      <c r="I1067" s="252"/>
      <c r="J1067" s="252"/>
      <c r="K1067" s="252"/>
      <c r="L1067" s="252"/>
      <c r="M1067" s="253"/>
      <c r="N1067" s="253"/>
      <c r="O1067" s="258"/>
      <c r="P1067" s="258"/>
      <c r="Q1067" s="258"/>
      <c r="R1067" s="258"/>
      <c r="S1067" s="258"/>
      <c r="T1067" s="258"/>
      <c r="U1067" s="258"/>
      <c r="V1067" s="258"/>
      <c r="W1067" s="258"/>
      <c r="X1067" s="258"/>
      <c r="Y1067" s="258"/>
      <c r="Z1067" s="258"/>
      <c r="AA1067" s="258"/>
      <c r="AB1067" s="258"/>
      <c r="AC1067" s="407"/>
    </row>
    <row r="1068" spans="2:29" s="406" customFormat="1" ht="16.5" customHeight="1">
      <c r="B1068" s="255"/>
      <c r="C1068" s="255"/>
      <c r="D1068" s="257"/>
      <c r="E1068" s="257"/>
      <c r="F1068" s="257"/>
      <c r="G1068" s="252"/>
      <c r="H1068" s="252"/>
      <c r="I1068" s="252"/>
      <c r="J1068" s="252"/>
      <c r="K1068" s="252"/>
      <c r="L1068" s="252"/>
      <c r="M1068" s="253"/>
      <c r="N1068" s="253"/>
      <c r="O1068" s="258"/>
      <c r="P1068" s="258"/>
      <c r="Q1068" s="258"/>
      <c r="R1068" s="258"/>
      <c r="S1068" s="258"/>
      <c r="T1068" s="258"/>
      <c r="U1068" s="258"/>
      <c r="V1068" s="258"/>
      <c r="W1068" s="258"/>
      <c r="X1068" s="258"/>
      <c r="Y1068" s="258"/>
      <c r="Z1068" s="258"/>
      <c r="AA1068" s="258"/>
      <c r="AB1068" s="258"/>
      <c r="AC1068" s="407"/>
    </row>
    <row r="1069" spans="2:29" s="406" customFormat="1" ht="16.5" customHeight="1">
      <c r="B1069" s="255"/>
      <c r="C1069" s="255"/>
      <c r="D1069" s="257"/>
      <c r="E1069" s="257"/>
      <c r="F1069" s="257"/>
      <c r="G1069" s="252"/>
      <c r="H1069" s="252"/>
      <c r="I1069" s="252"/>
      <c r="J1069" s="252"/>
      <c r="K1069" s="252"/>
      <c r="L1069" s="252"/>
      <c r="M1069" s="253"/>
      <c r="N1069" s="253"/>
      <c r="O1069" s="258"/>
      <c r="P1069" s="258"/>
      <c r="Q1069" s="258"/>
      <c r="R1069" s="258"/>
      <c r="S1069" s="258"/>
      <c r="T1069" s="258"/>
      <c r="U1069" s="258"/>
      <c r="V1069" s="258"/>
      <c r="W1069" s="258"/>
      <c r="X1069" s="258"/>
      <c r="Y1069" s="258"/>
      <c r="Z1069" s="258"/>
      <c r="AA1069" s="258"/>
      <c r="AB1069" s="258"/>
      <c r="AC1069" s="407"/>
    </row>
    <row r="1070" spans="2:29" s="406" customFormat="1" ht="16.5" customHeight="1">
      <c r="B1070" s="255"/>
      <c r="C1070" s="255"/>
      <c r="D1070" s="257"/>
      <c r="E1070" s="257"/>
      <c r="F1070" s="257"/>
      <c r="G1070" s="252"/>
      <c r="H1070" s="252"/>
      <c r="I1070" s="252"/>
      <c r="J1070" s="252"/>
      <c r="K1070" s="252"/>
      <c r="L1070" s="252"/>
      <c r="M1070" s="253"/>
      <c r="N1070" s="253"/>
      <c r="O1070" s="258"/>
      <c r="P1070" s="258"/>
      <c r="Q1070" s="258"/>
      <c r="R1070" s="258"/>
      <c r="S1070" s="258"/>
      <c r="T1070" s="258"/>
      <c r="U1070" s="258"/>
      <c r="V1070" s="258"/>
      <c r="W1070" s="258"/>
      <c r="X1070" s="258"/>
      <c r="Y1070" s="258"/>
      <c r="Z1070" s="258"/>
      <c r="AA1070" s="258"/>
      <c r="AB1070" s="258"/>
      <c r="AC1070" s="407"/>
    </row>
    <row r="1071" spans="2:29" s="406" customFormat="1" ht="16.5" customHeight="1">
      <c r="B1071" s="255"/>
      <c r="C1071" s="255"/>
      <c r="D1071" s="257"/>
      <c r="E1071" s="257"/>
      <c r="F1071" s="257"/>
      <c r="G1071" s="252"/>
      <c r="H1071" s="252"/>
      <c r="I1071" s="252"/>
      <c r="J1071" s="252"/>
      <c r="K1071" s="252"/>
      <c r="L1071" s="252"/>
      <c r="M1071" s="253"/>
      <c r="N1071" s="253"/>
      <c r="O1071" s="258"/>
      <c r="P1071" s="258"/>
      <c r="Q1071" s="258"/>
      <c r="R1071" s="258"/>
      <c r="S1071" s="258"/>
      <c r="T1071" s="258"/>
      <c r="U1071" s="258"/>
      <c r="V1071" s="258"/>
      <c r="W1071" s="258"/>
      <c r="X1071" s="258"/>
      <c r="Y1071" s="258"/>
      <c r="Z1071" s="258"/>
      <c r="AA1071" s="258"/>
      <c r="AB1071" s="258"/>
      <c r="AC1071" s="407"/>
    </row>
    <row r="1072" spans="2:29" s="406" customFormat="1" ht="16.5" customHeight="1">
      <c r="B1072" s="255"/>
      <c r="C1072" s="255"/>
      <c r="D1072" s="257"/>
      <c r="E1072" s="257"/>
      <c r="F1072" s="257"/>
      <c r="G1072" s="252"/>
      <c r="H1072" s="252"/>
      <c r="I1072" s="252"/>
      <c r="J1072" s="252"/>
      <c r="K1072" s="252"/>
      <c r="L1072" s="252"/>
      <c r="M1072" s="253"/>
      <c r="N1072" s="253"/>
      <c r="O1072" s="258"/>
      <c r="P1072" s="258"/>
      <c r="Q1072" s="258"/>
      <c r="R1072" s="258"/>
      <c r="S1072" s="258"/>
      <c r="T1072" s="258"/>
      <c r="U1072" s="258"/>
      <c r="V1072" s="258"/>
      <c r="W1072" s="258"/>
      <c r="X1072" s="258"/>
      <c r="Y1072" s="258"/>
      <c r="Z1072" s="258"/>
      <c r="AA1072" s="258"/>
      <c r="AB1072" s="258"/>
      <c r="AC1072" s="407"/>
    </row>
    <row r="1073" spans="2:29" s="406" customFormat="1" ht="16.5" customHeight="1">
      <c r="B1073" s="255"/>
      <c r="C1073" s="255"/>
      <c r="D1073" s="257"/>
      <c r="E1073" s="257"/>
      <c r="F1073" s="257"/>
      <c r="G1073" s="252"/>
      <c r="H1073" s="252"/>
      <c r="I1073" s="252"/>
      <c r="J1073" s="252"/>
      <c r="K1073" s="252"/>
      <c r="L1073" s="252"/>
      <c r="M1073" s="253"/>
      <c r="N1073" s="253"/>
      <c r="O1073" s="258"/>
      <c r="P1073" s="258"/>
      <c r="Q1073" s="258"/>
      <c r="R1073" s="258"/>
      <c r="S1073" s="258"/>
      <c r="T1073" s="258"/>
      <c r="U1073" s="258"/>
      <c r="V1073" s="258"/>
      <c r="W1073" s="258"/>
      <c r="X1073" s="258"/>
      <c r="Y1073" s="258"/>
      <c r="Z1073" s="258"/>
      <c r="AA1073" s="258"/>
      <c r="AB1073" s="258"/>
      <c r="AC1073" s="407"/>
    </row>
    <row r="1074" spans="2:29" s="406" customFormat="1" ht="16.5" customHeight="1">
      <c r="B1074" s="255"/>
      <c r="C1074" s="255"/>
      <c r="D1074" s="257"/>
      <c r="E1074" s="257"/>
      <c r="F1074" s="257"/>
      <c r="G1074" s="252"/>
      <c r="H1074" s="252"/>
      <c r="I1074" s="252"/>
      <c r="J1074" s="252"/>
      <c r="K1074" s="252"/>
      <c r="L1074" s="252"/>
      <c r="M1074" s="253"/>
      <c r="N1074" s="253"/>
      <c r="O1074" s="258"/>
      <c r="P1074" s="258"/>
      <c r="Q1074" s="258"/>
      <c r="R1074" s="258"/>
      <c r="S1074" s="258"/>
      <c r="T1074" s="258"/>
      <c r="U1074" s="258"/>
      <c r="V1074" s="258"/>
      <c r="W1074" s="258"/>
      <c r="X1074" s="258"/>
      <c r="Y1074" s="258"/>
      <c r="Z1074" s="258"/>
      <c r="AA1074" s="258"/>
      <c r="AB1074" s="258"/>
      <c r="AC1074" s="407"/>
    </row>
    <row r="1075" spans="2:29" s="406" customFormat="1" ht="16.5" customHeight="1">
      <c r="B1075" s="255"/>
      <c r="C1075" s="255"/>
      <c r="D1075" s="257"/>
      <c r="E1075" s="257"/>
      <c r="F1075" s="257"/>
      <c r="G1075" s="252"/>
      <c r="H1075" s="252"/>
      <c r="I1075" s="252"/>
      <c r="J1075" s="252"/>
      <c r="K1075" s="252"/>
      <c r="L1075" s="252"/>
      <c r="M1075" s="253"/>
      <c r="N1075" s="253"/>
      <c r="O1075" s="258"/>
      <c r="P1075" s="258"/>
      <c r="Q1075" s="258"/>
      <c r="R1075" s="258"/>
      <c r="S1075" s="258"/>
      <c r="T1075" s="258"/>
      <c r="U1075" s="258"/>
      <c r="V1075" s="258"/>
      <c r="W1075" s="258"/>
      <c r="X1075" s="258"/>
      <c r="Y1075" s="258"/>
      <c r="Z1075" s="258"/>
      <c r="AA1075" s="258"/>
      <c r="AB1075" s="258"/>
      <c r="AC1075" s="407"/>
    </row>
    <row r="1076" spans="2:29" s="406" customFormat="1" ht="16.5" customHeight="1">
      <c r="B1076" s="255"/>
      <c r="C1076" s="255"/>
      <c r="D1076" s="257"/>
      <c r="E1076" s="257"/>
      <c r="F1076" s="257"/>
      <c r="G1076" s="252"/>
      <c r="H1076" s="252"/>
      <c r="I1076" s="252"/>
      <c r="J1076" s="252"/>
      <c r="K1076" s="252"/>
      <c r="L1076" s="252"/>
      <c r="M1076" s="253"/>
      <c r="N1076" s="253"/>
      <c r="O1076" s="258"/>
      <c r="P1076" s="258"/>
      <c r="Q1076" s="258"/>
      <c r="R1076" s="258"/>
      <c r="S1076" s="258"/>
      <c r="T1076" s="258"/>
      <c r="U1076" s="258"/>
      <c r="V1076" s="258"/>
      <c r="W1076" s="258"/>
      <c r="X1076" s="258"/>
      <c r="Y1076" s="258"/>
      <c r="Z1076" s="258"/>
      <c r="AA1076" s="258"/>
      <c r="AB1076" s="258"/>
      <c r="AC1076" s="407"/>
    </row>
    <row r="1077" spans="2:29" s="406" customFormat="1" ht="16.5" customHeight="1">
      <c r="B1077" s="255"/>
      <c r="C1077" s="255"/>
      <c r="D1077" s="257"/>
      <c r="E1077" s="257"/>
      <c r="F1077" s="257"/>
      <c r="G1077" s="252"/>
      <c r="H1077" s="252"/>
      <c r="I1077" s="252"/>
      <c r="J1077" s="252"/>
      <c r="K1077" s="252"/>
      <c r="L1077" s="252"/>
      <c r="M1077" s="253"/>
      <c r="N1077" s="253"/>
      <c r="O1077" s="258"/>
      <c r="P1077" s="258"/>
      <c r="Q1077" s="258"/>
      <c r="R1077" s="258"/>
      <c r="S1077" s="258"/>
      <c r="T1077" s="258"/>
      <c r="U1077" s="258"/>
      <c r="V1077" s="258"/>
      <c r="W1077" s="258"/>
      <c r="X1077" s="258"/>
      <c r="Y1077" s="258"/>
      <c r="Z1077" s="258"/>
      <c r="AA1077" s="258"/>
      <c r="AB1077" s="258"/>
      <c r="AC1077" s="407"/>
    </row>
    <row r="1078" spans="2:29" s="406" customFormat="1" ht="16.5" customHeight="1">
      <c r="B1078" s="255"/>
      <c r="C1078" s="255"/>
      <c r="D1078" s="257"/>
      <c r="E1078" s="257"/>
      <c r="F1078" s="257"/>
      <c r="G1078" s="252"/>
      <c r="H1078" s="252"/>
      <c r="I1078" s="252"/>
      <c r="J1078" s="252"/>
      <c r="K1078" s="252"/>
      <c r="L1078" s="252"/>
      <c r="M1078" s="253"/>
      <c r="N1078" s="253"/>
      <c r="O1078" s="258"/>
      <c r="P1078" s="258"/>
      <c r="Q1078" s="258"/>
      <c r="R1078" s="258"/>
      <c r="S1078" s="258"/>
      <c r="T1078" s="258"/>
      <c r="U1078" s="258"/>
      <c r="V1078" s="258"/>
      <c r="W1078" s="258"/>
      <c r="X1078" s="258"/>
      <c r="Y1078" s="258"/>
      <c r="Z1078" s="258"/>
      <c r="AA1078" s="258"/>
      <c r="AB1078" s="258"/>
      <c r="AC1078" s="407"/>
    </row>
    <row r="1079" spans="2:29" s="406" customFormat="1" ht="16.5" customHeight="1">
      <c r="B1079" s="255"/>
      <c r="C1079" s="255"/>
      <c r="D1079" s="257"/>
      <c r="E1079" s="257"/>
      <c r="F1079" s="257"/>
      <c r="G1079" s="252"/>
      <c r="H1079" s="252"/>
      <c r="I1079" s="252"/>
      <c r="J1079" s="252"/>
      <c r="K1079" s="252"/>
      <c r="L1079" s="252"/>
      <c r="M1079" s="253"/>
      <c r="N1079" s="253"/>
      <c r="O1079" s="258"/>
      <c r="P1079" s="258"/>
      <c r="Q1079" s="258"/>
      <c r="R1079" s="258"/>
      <c r="S1079" s="258"/>
      <c r="T1079" s="258"/>
      <c r="U1079" s="258"/>
      <c r="V1079" s="258"/>
      <c r="W1079" s="258"/>
      <c r="X1079" s="258"/>
      <c r="Y1079" s="258"/>
      <c r="Z1079" s="258"/>
      <c r="AA1079" s="258"/>
      <c r="AB1079" s="258"/>
      <c r="AC1079" s="407"/>
    </row>
    <row r="1080" spans="2:29" s="406" customFormat="1" ht="16.5" customHeight="1">
      <c r="B1080" s="255"/>
      <c r="C1080" s="255"/>
      <c r="D1080" s="257"/>
      <c r="E1080" s="257"/>
      <c r="F1080" s="257"/>
      <c r="G1080" s="252"/>
      <c r="H1080" s="252"/>
      <c r="I1080" s="252"/>
      <c r="J1080" s="252"/>
      <c r="K1080" s="252"/>
      <c r="L1080" s="252"/>
      <c r="M1080" s="253"/>
      <c r="N1080" s="253"/>
      <c r="O1080" s="258"/>
      <c r="P1080" s="258"/>
      <c r="Q1080" s="258"/>
      <c r="R1080" s="258"/>
      <c r="S1080" s="258"/>
      <c r="T1080" s="258"/>
      <c r="U1080" s="258"/>
      <c r="V1080" s="258"/>
      <c r="W1080" s="258"/>
      <c r="X1080" s="258"/>
      <c r="Y1080" s="258"/>
      <c r="Z1080" s="258"/>
      <c r="AA1080" s="258"/>
      <c r="AB1080" s="258"/>
      <c r="AC1080" s="407"/>
    </row>
    <row r="1081" spans="2:29" s="406" customFormat="1" ht="16.5" customHeight="1">
      <c r="B1081" s="255"/>
      <c r="C1081" s="255"/>
      <c r="D1081" s="257"/>
      <c r="E1081" s="257"/>
      <c r="F1081" s="257"/>
      <c r="G1081" s="252"/>
      <c r="H1081" s="252"/>
      <c r="I1081" s="252"/>
      <c r="J1081" s="252"/>
      <c r="K1081" s="252"/>
      <c r="L1081" s="252"/>
      <c r="M1081" s="253"/>
      <c r="N1081" s="253"/>
      <c r="O1081" s="258"/>
      <c r="P1081" s="258"/>
      <c r="Q1081" s="258"/>
      <c r="R1081" s="258"/>
      <c r="S1081" s="258"/>
      <c r="T1081" s="258"/>
      <c r="U1081" s="258"/>
      <c r="V1081" s="258"/>
      <c r="W1081" s="258"/>
      <c r="X1081" s="258"/>
      <c r="Y1081" s="258"/>
      <c r="Z1081" s="258"/>
      <c r="AA1081" s="258"/>
      <c r="AB1081" s="258"/>
      <c r="AC1081" s="407"/>
    </row>
    <row r="1082" spans="2:29" s="406" customFormat="1" ht="16.5" customHeight="1">
      <c r="B1082" s="255"/>
      <c r="C1082" s="255"/>
      <c r="D1082" s="257"/>
      <c r="E1082" s="257"/>
      <c r="F1082" s="257"/>
      <c r="G1082" s="252"/>
      <c r="H1082" s="252"/>
      <c r="I1082" s="252"/>
      <c r="J1082" s="252"/>
      <c r="K1082" s="252"/>
      <c r="L1082" s="252"/>
      <c r="M1082" s="253"/>
      <c r="N1082" s="253"/>
      <c r="O1082" s="258"/>
      <c r="P1082" s="258"/>
      <c r="Q1082" s="258"/>
      <c r="R1082" s="258"/>
      <c r="S1082" s="258"/>
      <c r="T1082" s="258"/>
      <c r="U1082" s="258"/>
      <c r="V1082" s="258"/>
      <c r="W1082" s="258"/>
      <c r="X1082" s="258"/>
      <c r="Y1082" s="258"/>
      <c r="Z1082" s="258"/>
      <c r="AA1082" s="258"/>
      <c r="AB1082" s="258"/>
      <c r="AC1082" s="407"/>
    </row>
    <row r="1083" spans="2:29" s="406" customFormat="1" ht="16.5" customHeight="1">
      <c r="B1083" s="255"/>
      <c r="C1083" s="255"/>
      <c r="D1083" s="257"/>
      <c r="E1083" s="257"/>
      <c r="F1083" s="257"/>
      <c r="G1083" s="252"/>
      <c r="H1083" s="252"/>
      <c r="I1083" s="252"/>
      <c r="J1083" s="252"/>
      <c r="K1083" s="252"/>
      <c r="L1083" s="252"/>
      <c r="M1083" s="253"/>
      <c r="N1083" s="253"/>
      <c r="O1083" s="258"/>
      <c r="P1083" s="258"/>
      <c r="Q1083" s="258"/>
      <c r="R1083" s="258"/>
      <c r="S1083" s="258"/>
      <c r="T1083" s="258"/>
      <c r="U1083" s="258"/>
      <c r="V1083" s="258"/>
      <c r="W1083" s="258"/>
      <c r="X1083" s="258"/>
      <c r="Y1083" s="258"/>
      <c r="Z1083" s="258"/>
      <c r="AA1083" s="258"/>
      <c r="AB1083" s="258"/>
      <c r="AC1083" s="407"/>
    </row>
    <row r="1084" spans="2:29" s="406" customFormat="1" ht="16.5" customHeight="1">
      <c r="B1084" s="255"/>
      <c r="C1084" s="255"/>
      <c r="D1084" s="257"/>
      <c r="E1084" s="257"/>
      <c r="F1084" s="257"/>
      <c r="G1084" s="252"/>
      <c r="H1084" s="252"/>
      <c r="I1084" s="252"/>
      <c r="J1084" s="252"/>
      <c r="K1084" s="252"/>
      <c r="L1084" s="252"/>
      <c r="M1084" s="253"/>
      <c r="N1084" s="253"/>
      <c r="O1084" s="258"/>
      <c r="P1084" s="258"/>
      <c r="Q1084" s="258"/>
      <c r="R1084" s="258"/>
      <c r="S1084" s="258"/>
      <c r="T1084" s="258"/>
      <c r="U1084" s="258"/>
      <c r="V1084" s="258"/>
      <c r="W1084" s="258"/>
      <c r="X1084" s="258"/>
      <c r="Y1084" s="258"/>
      <c r="Z1084" s="258"/>
      <c r="AA1084" s="258"/>
      <c r="AB1084" s="258"/>
      <c r="AC1084" s="407"/>
    </row>
    <row r="1085" spans="2:29" s="406" customFormat="1" ht="16.5" customHeight="1">
      <c r="B1085" s="255"/>
      <c r="C1085" s="255"/>
      <c r="D1085" s="257"/>
      <c r="E1085" s="257"/>
      <c r="F1085" s="257"/>
      <c r="G1085" s="252"/>
      <c r="H1085" s="252"/>
      <c r="I1085" s="252"/>
      <c r="J1085" s="252"/>
      <c r="K1085" s="252"/>
      <c r="L1085" s="252"/>
      <c r="M1085" s="253"/>
      <c r="N1085" s="253"/>
      <c r="O1085" s="258"/>
      <c r="P1085" s="258"/>
      <c r="Q1085" s="258"/>
      <c r="R1085" s="258"/>
      <c r="S1085" s="258"/>
      <c r="T1085" s="258"/>
      <c r="U1085" s="258"/>
      <c r="V1085" s="258"/>
      <c r="W1085" s="258"/>
      <c r="X1085" s="258"/>
      <c r="Y1085" s="258"/>
      <c r="Z1085" s="258"/>
      <c r="AA1085" s="258"/>
      <c r="AB1085" s="258"/>
      <c r="AC1085" s="407"/>
    </row>
    <row r="1086" spans="2:29" s="406" customFormat="1" ht="16.5" customHeight="1">
      <c r="B1086" s="255"/>
      <c r="C1086" s="255"/>
      <c r="D1086" s="257"/>
      <c r="E1086" s="257"/>
      <c r="F1086" s="257"/>
      <c r="G1086" s="252"/>
      <c r="H1086" s="252"/>
      <c r="I1086" s="252"/>
      <c r="J1086" s="252"/>
      <c r="K1086" s="252"/>
      <c r="L1086" s="252"/>
      <c r="M1086" s="253"/>
      <c r="N1086" s="253"/>
      <c r="O1086" s="258"/>
      <c r="P1086" s="258"/>
      <c r="Q1086" s="258"/>
      <c r="R1086" s="258"/>
      <c r="S1086" s="258"/>
      <c r="T1086" s="258"/>
      <c r="U1086" s="258"/>
      <c r="V1086" s="258"/>
      <c r="W1086" s="258"/>
      <c r="X1086" s="258"/>
      <c r="Y1086" s="258"/>
      <c r="Z1086" s="258"/>
      <c r="AA1086" s="258"/>
      <c r="AB1086" s="258"/>
      <c r="AC1086" s="407"/>
    </row>
    <row r="1087" spans="2:29" s="406" customFormat="1" ht="16.5" customHeight="1">
      <c r="B1087" s="255"/>
      <c r="C1087" s="255"/>
      <c r="D1087" s="257"/>
      <c r="E1087" s="257"/>
      <c r="F1087" s="257"/>
      <c r="G1087" s="252"/>
      <c r="H1087" s="252"/>
      <c r="I1087" s="252"/>
      <c r="J1087" s="252"/>
      <c r="K1087" s="252"/>
      <c r="L1087" s="252"/>
      <c r="M1087" s="253"/>
      <c r="N1087" s="253"/>
      <c r="O1087" s="258"/>
      <c r="P1087" s="258"/>
      <c r="Q1087" s="258"/>
      <c r="R1087" s="258"/>
      <c r="S1087" s="258"/>
      <c r="T1087" s="258"/>
      <c r="U1087" s="258"/>
      <c r="V1087" s="258"/>
      <c r="W1087" s="258"/>
      <c r="X1087" s="258"/>
      <c r="Y1087" s="258"/>
      <c r="Z1087" s="258"/>
      <c r="AA1087" s="258"/>
      <c r="AB1087" s="258"/>
      <c r="AC1087" s="407"/>
    </row>
    <row r="1088" spans="2:29" s="406" customFormat="1" ht="16.5" customHeight="1">
      <c r="B1088" s="255"/>
      <c r="C1088" s="255"/>
      <c r="D1088" s="257"/>
      <c r="E1088" s="257"/>
      <c r="F1088" s="257"/>
      <c r="G1088" s="252"/>
      <c r="H1088" s="252"/>
      <c r="I1088" s="252"/>
      <c r="J1088" s="252"/>
      <c r="K1088" s="252"/>
      <c r="L1088" s="252"/>
      <c r="M1088" s="253"/>
      <c r="N1088" s="253"/>
      <c r="O1088" s="258"/>
      <c r="P1088" s="258"/>
      <c r="Q1088" s="258"/>
      <c r="R1088" s="258"/>
      <c r="S1088" s="258"/>
      <c r="T1088" s="258"/>
      <c r="U1088" s="258"/>
      <c r="V1088" s="258"/>
      <c r="W1088" s="258"/>
      <c r="X1088" s="258"/>
      <c r="Y1088" s="258"/>
      <c r="Z1088" s="258"/>
      <c r="AA1088" s="258"/>
      <c r="AB1088" s="258"/>
      <c r="AC1088" s="407"/>
    </row>
    <row r="1089" spans="2:29" s="406" customFormat="1" ht="16.5" customHeight="1">
      <c r="B1089" s="255"/>
      <c r="C1089" s="255"/>
      <c r="D1089" s="257"/>
      <c r="E1089" s="257"/>
      <c r="F1089" s="257"/>
      <c r="G1089" s="252"/>
      <c r="H1089" s="252"/>
      <c r="I1089" s="252"/>
      <c r="J1089" s="252"/>
      <c r="K1089" s="252"/>
      <c r="L1089" s="252"/>
      <c r="M1089" s="253"/>
      <c r="N1089" s="253"/>
      <c r="O1089" s="258"/>
      <c r="P1089" s="258"/>
      <c r="Q1089" s="258"/>
      <c r="R1089" s="258"/>
      <c r="S1089" s="258"/>
      <c r="T1089" s="258"/>
      <c r="U1089" s="258"/>
      <c r="V1089" s="258"/>
      <c r="W1089" s="258"/>
      <c r="X1089" s="258"/>
      <c r="Y1089" s="258"/>
      <c r="Z1089" s="258"/>
      <c r="AA1089" s="258"/>
      <c r="AB1089" s="258"/>
      <c r="AC1089" s="407"/>
    </row>
    <row r="1090" spans="2:29" s="406" customFormat="1" ht="16.5" customHeight="1">
      <c r="B1090" s="255"/>
      <c r="C1090" s="255"/>
      <c r="D1090" s="257"/>
      <c r="E1090" s="257"/>
      <c r="F1090" s="257"/>
      <c r="G1090" s="252"/>
      <c r="H1090" s="252"/>
      <c r="I1090" s="252"/>
      <c r="J1090" s="252"/>
      <c r="K1090" s="252"/>
      <c r="L1090" s="252"/>
      <c r="M1090" s="253"/>
      <c r="N1090" s="253"/>
      <c r="O1090" s="258"/>
      <c r="P1090" s="258"/>
      <c r="Q1090" s="258"/>
      <c r="R1090" s="258"/>
      <c r="S1090" s="258"/>
      <c r="T1090" s="258"/>
      <c r="U1090" s="258"/>
      <c r="V1090" s="258"/>
      <c r="W1090" s="258"/>
      <c r="X1090" s="258"/>
      <c r="Y1090" s="258"/>
      <c r="Z1090" s="258"/>
      <c r="AA1090" s="258"/>
      <c r="AB1090" s="258"/>
      <c r="AC1090" s="407"/>
    </row>
    <row r="1091" spans="2:29" s="406" customFormat="1" ht="16.5" customHeight="1">
      <c r="B1091" s="255"/>
      <c r="C1091" s="255"/>
      <c r="D1091" s="257"/>
      <c r="E1091" s="257"/>
      <c r="F1091" s="257"/>
      <c r="G1091" s="252"/>
      <c r="H1091" s="252"/>
      <c r="I1091" s="252"/>
      <c r="J1091" s="252"/>
      <c r="K1091" s="252"/>
      <c r="L1091" s="252"/>
      <c r="M1091" s="253"/>
      <c r="N1091" s="253"/>
      <c r="O1091" s="258"/>
      <c r="P1091" s="258"/>
      <c r="Q1091" s="258"/>
      <c r="R1091" s="258"/>
      <c r="S1091" s="258"/>
      <c r="T1091" s="258"/>
      <c r="U1091" s="258"/>
      <c r="V1091" s="258"/>
      <c r="W1091" s="258"/>
      <c r="X1091" s="258"/>
      <c r="Y1091" s="258"/>
      <c r="Z1091" s="258"/>
      <c r="AA1091" s="258"/>
      <c r="AB1091" s="258"/>
      <c r="AC1091" s="407"/>
    </row>
    <row r="1092" spans="2:29" s="406" customFormat="1" ht="16.5" customHeight="1">
      <c r="B1092" s="255"/>
      <c r="C1092" s="255"/>
      <c r="D1092" s="257"/>
      <c r="E1092" s="257"/>
      <c r="F1092" s="257"/>
      <c r="G1092" s="252"/>
      <c r="H1092" s="252"/>
      <c r="I1092" s="252"/>
      <c r="J1092" s="252"/>
      <c r="K1092" s="252"/>
      <c r="L1092" s="252"/>
      <c r="M1092" s="253"/>
      <c r="N1092" s="253"/>
      <c r="O1092" s="258"/>
      <c r="P1092" s="258"/>
      <c r="Q1092" s="258"/>
      <c r="R1092" s="258"/>
      <c r="S1092" s="258"/>
      <c r="T1092" s="258"/>
      <c r="U1092" s="258"/>
      <c r="V1092" s="258"/>
      <c r="W1092" s="258"/>
      <c r="X1092" s="258"/>
      <c r="Y1092" s="258"/>
      <c r="Z1092" s="258"/>
      <c r="AA1092" s="258"/>
      <c r="AB1092" s="258"/>
      <c r="AC1092" s="407"/>
    </row>
    <row r="1093" spans="2:29" s="406" customFormat="1" ht="16.5" customHeight="1">
      <c r="B1093" s="255"/>
      <c r="C1093" s="255"/>
      <c r="D1093" s="257"/>
      <c r="E1093" s="257"/>
      <c r="F1093" s="257"/>
      <c r="G1093" s="252"/>
      <c r="H1093" s="252"/>
      <c r="I1093" s="252"/>
      <c r="J1093" s="252"/>
      <c r="K1093" s="252"/>
      <c r="L1093" s="252"/>
      <c r="M1093" s="253"/>
      <c r="N1093" s="253"/>
      <c r="O1093" s="258"/>
      <c r="P1093" s="258"/>
      <c r="Q1093" s="258"/>
      <c r="R1093" s="258"/>
      <c r="S1093" s="258"/>
      <c r="T1093" s="258"/>
      <c r="U1093" s="258"/>
      <c r="V1093" s="258"/>
      <c r="W1093" s="258"/>
      <c r="X1093" s="258"/>
      <c r="Y1093" s="258"/>
      <c r="Z1093" s="258"/>
      <c r="AA1093" s="258"/>
      <c r="AB1093" s="258"/>
      <c r="AC1093" s="407"/>
    </row>
    <row r="1094" spans="2:29" s="406" customFormat="1" ht="16.5" customHeight="1">
      <c r="B1094" s="255"/>
      <c r="C1094" s="255"/>
      <c r="D1094" s="257"/>
      <c r="E1094" s="257"/>
      <c r="F1094" s="257"/>
      <c r="G1094" s="252"/>
      <c r="H1094" s="252"/>
      <c r="I1094" s="252"/>
      <c r="J1094" s="252"/>
      <c r="K1094" s="252"/>
      <c r="L1094" s="252"/>
      <c r="M1094" s="253"/>
      <c r="N1094" s="253"/>
      <c r="O1094" s="258"/>
      <c r="P1094" s="258"/>
      <c r="Q1094" s="258"/>
      <c r="R1094" s="258"/>
      <c r="S1094" s="258"/>
      <c r="T1094" s="258"/>
      <c r="U1094" s="258"/>
      <c r="V1094" s="258"/>
      <c r="W1094" s="258"/>
      <c r="X1094" s="258"/>
      <c r="Y1094" s="258"/>
      <c r="Z1094" s="258"/>
      <c r="AA1094" s="258"/>
      <c r="AB1094" s="258"/>
      <c r="AC1094" s="407"/>
    </row>
    <row r="1095" spans="2:29" s="406" customFormat="1" ht="16.5" customHeight="1">
      <c r="B1095" s="255"/>
      <c r="C1095" s="255"/>
      <c r="D1095" s="257"/>
      <c r="E1095" s="257"/>
      <c r="F1095" s="257"/>
      <c r="G1095" s="252"/>
      <c r="H1095" s="252"/>
      <c r="I1095" s="252"/>
      <c r="J1095" s="252"/>
      <c r="K1095" s="252"/>
      <c r="L1095" s="252"/>
      <c r="M1095" s="253"/>
      <c r="N1095" s="253"/>
      <c r="O1095" s="258"/>
      <c r="P1095" s="258"/>
      <c r="Q1095" s="258"/>
      <c r="R1095" s="258"/>
      <c r="S1095" s="258"/>
      <c r="T1095" s="258"/>
      <c r="U1095" s="258"/>
      <c r="V1095" s="258"/>
      <c r="W1095" s="258"/>
      <c r="X1095" s="258"/>
      <c r="Y1095" s="258"/>
      <c r="Z1095" s="258"/>
      <c r="AA1095" s="258"/>
      <c r="AB1095" s="258"/>
      <c r="AC1095" s="407"/>
    </row>
    <row r="1096" spans="2:29" s="406" customFormat="1" ht="16.5" customHeight="1">
      <c r="B1096" s="255"/>
      <c r="C1096" s="255"/>
      <c r="D1096" s="257"/>
      <c r="E1096" s="257"/>
      <c r="F1096" s="257"/>
      <c r="G1096" s="252"/>
      <c r="H1096" s="252"/>
      <c r="I1096" s="252"/>
      <c r="J1096" s="252"/>
      <c r="K1096" s="252"/>
      <c r="L1096" s="252"/>
      <c r="M1096" s="253"/>
      <c r="N1096" s="253"/>
      <c r="O1096" s="258"/>
      <c r="P1096" s="258"/>
      <c r="Q1096" s="258"/>
      <c r="R1096" s="258"/>
      <c r="S1096" s="258"/>
      <c r="T1096" s="258"/>
      <c r="U1096" s="258"/>
      <c r="V1096" s="258"/>
      <c r="W1096" s="258"/>
      <c r="X1096" s="258"/>
      <c r="Y1096" s="258"/>
      <c r="Z1096" s="258"/>
      <c r="AA1096" s="258"/>
      <c r="AB1096" s="258"/>
      <c r="AC1096" s="407"/>
    </row>
    <row r="1097" spans="2:29" s="406" customFormat="1" ht="16.5" customHeight="1">
      <c r="B1097" s="255"/>
      <c r="C1097" s="255"/>
      <c r="D1097" s="257"/>
      <c r="E1097" s="257"/>
      <c r="F1097" s="257"/>
      <c r="G1097" s="252"/>
      <c r="H1097" s="252"/>
      <c r="I1097" s="252"/>
      <c r="J1097" s="252"/>
      <c r="K1097" s="252"/>
      <c r="L1097" s="252"/>
      <c r="M1097" s="253"/>
      <c r="N1097" s="253"/>
      <c r="O1097" s="258"/>
      <c r="P1097" s="258"/>
      <c r="Q1097" s="258"/>
      <c r="R1097" s="258"/>
      <c r="S1097" s="258"/>
      <c r="T1097" s="258"/>
      <c r="U1097" s="258"/>
      <c r="V1097" s="258"/>
      <c r="W1097" s="258"/>
      <c r="X1097" s="258"/>
      <c r="Y1097" s="258"/>
      <c r="Z1097" s="258"/>
      <c r="AA1097" s="258"/>
      <c r="AB1097" s="258"/>
      <c r="AC1097" s="407"/>
    </row>
    <row r="1098" spans="2:29" s="406" customFormat="1" ht="16.5" customHeight="1">
      <c r="B1098" s="255"/>
      <c r="C1098" s="255"/>
      <c r="D1098" s="257"/>
      <c r="E1098" s="257"/>
      <c r="F1098" s="257"/>
      <c r="G1098" s="252"/>
      <c r="H1098" s="252"/>
      <c r="I1098" s="252"/>
      <c r="J1098" s="252"/>
      <c r="K1098" s="252"/>
      <c r="L1098" s="252"/>
      <c r="M1098" s="253"/>
      <c r="N1098" s="253"/>
      <c r="O1098" s="258"/>
      <c r="P1098" s="258"/>
      <c r="Q1098" s="258"/>
      <c r="R1098" s="258"/>
      <c r="S1098" s="258"/>
      <c r="T1098" s="258"/>
      <c r="U1098" s="258"/>
      <c r="V1098" s="258"/>
      <c r="W1098" s="258"/>
      <c r="X1098" s="258"/>
      <c r="Y1098" s="258"/>
      <c r="Z1098" s="258"/>
      <c r="AA1098" s="258"/>
      <c r="AB1098" s="258"/>
      <c r="AC1098" s="407"/>
    </row>
    <row r="1099" spans="2:29" s="406" customFormat="1" ht="16.5" customHeight="1">
      <c r="B1099" s="255"/>
      <c r="C1099" s="255"/>
      <c r="D1099" s="257"/>
      <c r="E1099" s="257"/>
      <c r="F1099" s="257"/>
      <c r="G1099" s="252"/>
      <c r="H1099" s="252"/>
      <c r="I1099" s="252"/>
      <c r="J1099" s="252"/>
      <c r="K1099" s="252"/>
      <c r="L1099" s="252"/>
      <c r="M1099" s="253"/>
      <c r="N1099" s="253"/>
      <c r="O1099" s="258"/>
      <c r="P1099" s="258"/>
      <c r="Q1099" s="258"/>
      <c r="R1099" s="258"/>
      <c r="S1099" s="258"/>
      <c r="T1099" s="258"/>
      <c r="U1099" s="258"/>
      <c r="V1099" s="258"/>
      <c r="W1099" s="258"/>
      <c r="X1099" s="258"/>
      <c r="Y1099" s="258"/>
      <c r="Z1099" s="258"/>
      <c r="AA1099" s="258"/>
      <c r="AB1099" s="258"/>
      <c r="AC1099" s="407"/>
    </row>
    <row r="1100" spans="2:29" s="406" customFormat="1" ht="16.5" customHeight="1">
      <c r="B1100" s="255"/>
      <c r="C1100" s="255"/>
      <c r="D1100" s="257"/>
      <c r="E1100" s="257"/>
      <c r="F1100" s="257"/>
      <c r="G1100" s="252"/>
      <c r="H1100" s="252"/>
      <c r="I1100" s="252"/>
      <c r="J1100" s="252"/>
      <c r="K1100" s="252"/>
      <c r="L1100" s="252"/>
      <c r="M1100" s="253"/>
      <c r="N1100" s="253"/>
      <c r="O1100" s="258"/>
      <c r="P1100" s="258"/>
      <c r="Q1100" s="258"/>
      <c r="R1100" s="258"/>
      <c r="S1100" s="258"/>
      <c r="T1100" s="258"/>
      <c r="U1100" s="258"/>
      <c r="V1100" s="258"/>
      <c r="W1100" s="258"/>
      <c r="X1100" s="258"/>
      <c r="Y1100" s="258"/>
      <c r="Z1100" s="258"/>
      <c r="AA1100" s="258"/>
      <c r="AB1100" s="258"/>
      <c r="AC1100" s="407"/>
    </row>
    <row r="1101" spans="2:29" s="406" customFormat="1" ht="16.5" customHeight="1">
      <c r="B1101" s="255"/>
      <c r="C1101" s="255"/>
      <c r="D1101" s="257"/>
      <c r="E1101" s="257"/>
      <c r="F1101" s="257"/>
      <c r="G1101" s="252"/>
      <c r="H1101" s="252"/>
      <c r="I1101" s="252"/>
      <c r="J1101" s="252"/>
      <c r="K1101" s="252"/>
      <c r="L1101" s="252"/>
      <c r="M1101" s="253"/>
      <c r="N1101" s="253"/>
      <c r="O1101" s="258"/>
      <c r="P1101" s="258"/>
      <c r="Q1101" s="258"/>
      <c r="R1101" s="258"/>
      <c r="S1101" s="258"/>
      <c r="T1101" s="258"/>
      <c r="U1101" s="258"/>
      <c r="V1101" s="258"/>
      <c r="W1101" s="258"/>
      <c r="X1101" s="258"/>
      <c r="Y1101" s="258"/>
      <c r="Z1101" s="258"/>
      <c r="AA1101" s="258"/>
      <c r="AB1101" s="258"/>
      <c r="AC1101" s="407"/>
    </row>
    <row r="1102" spans="2:29" s="406" customFormat="1" ht="16.5" customHeight="1">
      <c r="B1102" s="255"/>
      <c r="C1102" s="255"/>
      <c r="D1102" s="257"/>
      <c r="E1102" s="257"/>
      <c r="F1102" s="257"/>
      <c r="G1102" s="252"/>
      <c r="H1102" s="252"/>
      <c r="I1102" s="252"/>
      <c r="J1102" s="252"/>
      <c r="K1102" s="252"/>
      <c r="L1102" s="252"/>
      <c r="M1102" s="253"/>
      <c r="N1102" s="253"/>
      <c r="O1102" s="258"/>
      <c r="P1102" s="258"/>
      <c r="Q1102" s="258"/>
      <c r="R1102" s="258"/>
      <c r="S1102" s="258"/>
      <c r="T1102" s="258"/>
      <c r="U1102" s="258"/>
      <c r="V1102" s="258"/>
      <c r="W1102" s="258"/>
      <c r="X1102" s="258"/>
      <c r="Y1102" s="258"/>
      <c r="Z1102" s="258"/>
      <c r="AA1102" s="258"/>
      <c r="AB1102" s="258"/>
      <c r="AC1102" s="407"/>
    </row>
    <row r="1103" spans="2:29" s="406" customFormat="1" ht="16.5" customHeight="1">
      <c r="B1103" s="255"/>
      <c r="C1103" s="255"/>
      <c r="D1103" s="257"/>
      <c r="E1103" s="257"/>
      <c r="F1103" s="257"/>
      <c r="G1103" s="252"/>
      <c r="H1103" s="252"/>
      <c r="I1103" s="252"/>
      <c r="J1103" s="252"/>
      <c r="K1103" s="252"/>
      <c r="L1103" s="252"/>
      <c r="M1103" s="253"/>
      <c r="N1103" s="253"/>
      <c r="O1103" s="258"/>
      <c r="P1103" s="258"/>
      <c r="Q1103" s="258"/>
      <c r="R1103" s="258"/>
      <c r="S1103" s="258"/>
      <c r="T1103" s="258"/>
      <c r="U1103" s="258"/>
      <c r="V1103" s="258"/>
      <c r="W1103" s="258"/>
      <c r="X1103" s="258"/>
      <c r="Y1103" s="258"/>
      <c r="Z1103" s="258"/>
      <c r="AA1103" s="258"/>
      <c r="AB1103" s="258"/>
      <c r="AC1103" s="407"/>
    </row>
    <row r="1104" spans="2:29" s="406" customFormat="1" ht="16.5" customHeight="1">
      <c r="B1104" s="255"/>
      <c r="C1104" s="255"/>
      <c r="D1104" s="257"/>
      <c r="E1104" s="257"/>
      <c r="F1104" s="257"/>
      <c r="G1104" s="252"/>
      <c r="H1104" s="252"/>
      <c r="I1104" s="252"/>
      <c r="J1104" s="252"/>
      <c r="K1104" s="252"/>
      <c r="L1104" s="252"/>
      <c r="M1104" s="253"/>
      <c r="N1104" s="253"/>
      <c r="O1104" s="258"/>
      <c r="P1104" s="258"/>
      <c r="Q1104" s="258"/>
      <c r="R1104" s="258"/>
      <c r="S1104" s="258"/>
      <c r="T1104" s="258"/>
      <c r="U1104" s="258"/>
      <c r="V1104" s="258"/>
      <c r="W1104" s="258"/>
      <c r="X1104" s="258"/>
      <c r="Y1104" s="258"/>
      <c r="Z1104" s="258"/>
      <c r="AA1104" s="258"/>
      <c r="AB1104" s="258"/>
      <c r="AC1104" s="407"/>
    </row>
    <row r="1105" spans="2:29" s="406" customFormat="1" ht="16.5" customHeight="1">
      <c r="B1105" s="255"/>
      <c r="C1105" s="255"/>
      <c r="D1105" s="257"/>
      <c r="E1105" s="257"/>
      <c r="F1105" s="257"/>
      <c r="G1105" s="252"/>
      <c r="H1105" s="252"/>
      <c r="I1105" s="252"/>
      <c r="J1105" s="252"/>
      <c r="K1105" s="252"/>
      <c r="L1105" s="252"/>
      <c r="M1105" s="253"/>
      <c r="N1105" s="253"/>
      <c r="O1105" s="258"/>
      <c r="P1105" s="258"/>
      <c r="Q1105" s="258"/>
      <c r="R1105" s="258"/>
      <c r="S1105" s="258"/>
      <c r="T1105" s="258"/>
      <c r="U1105" s="258"/>
      <c r="V1105" s="258"/>
      <c r="W1105" s="258"/>
      <c r="X1105" s="258"/>
      <c r="Y1105" s="258"/>
      <c r="Z1105" s="258"/>
      <c r="AA1105" s="258"/>
      <c r="AB1105" s="258"/>
      <c r="AC1105" s="407"/>
    </row>
    <row r="1106" spans="2:29" s="406" customFormat="1" ht="16.5" customHeight="1">
      <c r="B1106" s="255"/>
      <c r="C1106" s="255"/>
      <c r="D1106" s="257"/>
      <c r="E1106" s="257"/>
      <c r="F1106" s="257"/>
      <c r="G1106" s="252"/>
      <c r="H1106" s="252"/>
      <c r="I1106" s="252"/>
      <c r="J1106" s="252"/>
      <c r="K1106" s="252"/>
      <c r="L1106" s="252"/>
      <c r="M1106" s="253"/>
      <c r="N1106" s="253"/>
      <c r="O1106" s="258"/>
      <c r="P1106" s="258"/>
      <c r="Q1106" s="258"/>
      <c r="R1106" s="258"/>
      <c r="S1106" s="258"/>
      <c r="T1106" s="258"/>
      <c r="U1106" s="258"/>
      <c r="V1106" s="258"/>
      <c r="W1106" s="258"/>
      <c r="X1106" s="258"/>
      <c r="Y1106" s="258"/>
      <c r="Z1106" s="258"/>
      <c r="AA1106" s="258"/>
      <c r="AB1106" s="258"/>
      <c r="AC1106" s="407"/>
    </row>
    <row r="1107" spans="2:29" s="406" customFormat="1" ht="16.5" customHeight="1">
      <c r="B1107" s="255"/>
      <c r="C1107" s="255"/>
      <c r="D1107" s="257"/>
      <c r="E1107" s="257"/>
      <c r="F1107" s="257"/>
      <c r="G1107" s="252"/>
      <c r="H1107" s="252"/>
      <c r="I1107" s="252"/>
      <c r="J1107" s="252"/>
      <c r="K1107" s="252"/>
      <c r="L1107" s="252"/>
      <c r="M1107" s="253"/>
      <c r="N1107" s="253"/>
      <c r="O1107" s="258"/>
      <c r="P1107" s="258"/>
      <c r="Q1107" s="258"/>
      <c r="R1107" s="258"/>
      <c r="S1107" s="258"/>
      <c r="T1107" s="258"/>
      <c r="U1107" s="258"/>
      <c r="V1107" s="258"/>
      <c r="W1107" s="258"/>
      <c r="X1107" s="258"/>
      <c r="Y1107" s="258"/>
      <c r="Z1107" s="258"/>
      <c r="AA1107" s="258"/>
      <c r="AB1107" s="258"/>
      <c r="AC1107" s="407"/>
    </row>
    <row r="1108" spans="2:29" s="406" customFormat="1" ht="16.5" customHeight="1">
      <c r="B1108" s="255"/>
      <c r="C1108" s="255"/>
      <c r="D1108" s="257"/>
      <c r="E1108" s="257"/>
      <c r="F1108" s="257"/>
      <c r="G1108" s="252"/>
      <c r="H1108" s="252"/>
      <c r="I1108" s="252"/>
      <c r="J1108" s="252"/>
      <c r="K1108" s="252"/>
      <c r="L1108" s="252"/>
      <c r="M1108" s="253"/>
      <c r="N1108" s="253"/>
      <c r="O1108" s="258"/>
      <c r="P1108" s="258"/>
      <c r="Q1108" s="258"/>
      <c r="R1108" s="258"/>
      <c r="S1108" s="258"/>
      <c r="T1108" s="258"/>
      <c r="U1108" s="258"/>
      <c r="V1108" s="258"/>
      <c r="W1108" s="258"/>
      <c r="X1108" s="258"/>
      <c r="Y1108" s="258"/>
      <c r="Z1108" s="258"/>
      <c r="AA1108" s="258"/>
      <c r="AB1108" s="258"/>
      <c r="AC1108" s="407"/>
    </row>
    <row r="1109" spans="2:29" s="406" customFormat="1" ht="16.5" customHeight="1">
      <c r="B1109" s="255"/>
      <c r="C1109" s="255"/>
      <c r="D1109" s="257"/>
      <c r="E1109" s="257"/>
      <c r="F1109" s="257"/>
      <c r="G1109" s="252"/>
      <c r="H1109" s="252"/>
      <c r="I1109" s="252"/>
      <c r="J1109" s="252"/>
      <c r="K1109" s="252"/>
      <c r="L1109" s="252"/>
      <c r="M1109" s="253"/>
      <c r="N1109" s="253"/>
      <c r="O1109" s="258"/>
      <c r="P1109" s="258"/>
      <c r="Q1109" s="258"/>
      <c r="R1109" s="258"/>
      <c r="S1109" s="258"/>
      <c r="T1109" s="258"/>
      <c r="U1109" s="258"/>
      <c r="V1109" s="258"/>
      <c r="W1109" s="258"/>
      <c r="X1109" s="258"/>
      <c r="Y1109" s="258"/>
      <c r="Z1109" s="258"/>
      <c r="AA1109" s="258"/>
      <c r="AB1109" s="258"/>
      <c r="AC1109" s="407"/>
    </row>
    <row r="1110" spans="2:29" s="406" customFormat="1" ht="16.5" customHeight="1">
      <c r="B1110" s="255"/>
      <c r="C1110" s="255"/>
      <c r="D1110" s="257"/>
      <c r="E1110" s="257"/>
      <c r="F1110" s="257"/>
      <c r="G1110" s="252"/>
      <c r="H1110" s="252"/>
      <c r="I1110" s="252"/>
      <c r="J1110" s="252"/>
      <c r="K1110" s="252"/>
      <c r="L1110" s="252"/>
      <c r="M1110" s="253"/>
      <c r="N1110" s="253"/>
      <c r="O1110" s="258"/>
      <c r="P1110" s="258"/>
      <c r="Q1110" s="258"/>
      <c r="R1110" s="258"/>
      <c r="S1110" s="258"/>
      <c r="T1110" s="258"/>
      <c r="U1110" s="258"/>
      <c r="V1110" s="258"/>
      <c r="W1110" s="258"/>
      <c r="X1110" s="258"/>
      <c r="Y1110" s="258"/>
      <c r="Z1110" s="258"/>
      <c r="AA1110" s="258"/>
      <c r="AB1110" s="258"/>
      <c r="AC1110" s="407"/>
    </row>
    <row r="1111" spans="2:29" s="406" customFormat="1" ht="16.5" customHeight="1">
      <c r="B1111" s="255"/>
      <c r="C1111" s="255"/>
      <c r="D1111" s="257"/>
      <c r="E1111" s="257"/>
      <c r="F1111" s="257"/>
      <c r="G1111" s="252"/>
      <c r="H1111" s="252"/>
      <c r="I1111" s="252"/>
      <c r="J1111" s="252"/>
      <c r="K1111" s="252"/>
      <c r="L1111" s="252"/>
      <c r="M1111" s="253"/>
      <c r="N1111" s="253"/>
      <c r="O1111" s="258"/>
      <c r="P1111" s="258"/>
      <c r="Q1111" s="258"/>
      <c r="R1111" s="258"/>
      <c r="S1111" s="258"/>
      <c r="T1111" s="258"/>
      <c r="U1111" s="258"/>
      <c r="V1111" s="258"/>
      <c r="W1111" s="258"/>
      <c r="X1111" s="258"/>
      <c r="Y1111" s="258"/>
      <c r="Z1111" s="258"/>
      <c r="AA1111" s="258"/>
      <c r="AB1111" s="258"/>
      <c r="AC1111" s="407"/>
    </row>
    <row r="1112" spans="2:29" s="406" customFormat="1" ht="16.5" customHeight="1">
      <c r="B1112" s="255"/>
      <c r="C1112" s="255"/>
      <c r="D1112" s="257"/>
      <c r="E1112" s="257"/>
      <c r="F1112" s="257"/>
      <c r="G1112" s="252"/>
      <c r="H1112" s="252"/>
      <c r="I1112" s="252"/>
      <c r="J1112" s="252"/>
      <c r="K1112" s="252"/>
      <c r="L1112" s="252"/>
      <c r="M1112" s="253"/>
      <c r="N1112" s="253"/>
      <c r="O1112" s="258"/>
      <c r="P1112" s="258"/>
      <c r="Q1112" s="258"/>
      <c r="R1112" s="258"/>
      <c r="S1112" s="258"/>
      <c r="T1112" s="258"/>
      <c r="U1112" s="258"/>
      <c r="V1112" s="258"/>
      <c r="W1112" s="258"/>
      <c r="X1112" s="258"/>
      <c r="Y1112" s="258"/>
      <c r="Z1112" s="258"/>
      <c r="AA1112" s="258"/>
      <c r="AB1112" s="258"/>
      <c r="AC1112" s="407"/>
    </row>
    <row r="1113" spans="2:29" s="406" customFormat="1" ht="16.5" customHeight="1">
      <c r="B1113" s="255"/>
      <c r="C1113" s="255"/>
      <c r="D1113" s="257"/>
      <c r="E1113" s="257"/>
      <c r="F1113" s="257"/>
      <c r="G1113" s="252"/>
      <c r="H1113" s="252"/>
      <c r="I1113" s="252"/>
      <c r="J1113" s="252"/>
      <c r="K1113" s="252"/>
      <c r="L1113" s="252"/>
      <c r="M1113" s="253"/>
      <c r="N1113" s="253"/>
      <c r="O1113" s="258"/>
      <c r="P1113" s="258"/>
      <c r="Q1113" s="258"/>
      <c r="R1113" s="258"/>
      <c r="S1113" s="258"/>
      <c r="T1113" s="258"/>
      <c r="U1113" s="258"/>
      <c r="V1113" s="258"/>
      <c r="W1113" s="258"/>
      <c r="X1113" s="258"/>
      <c r="Y1113" s="258"/>
      <c r="Z1113" s="258"/>
      <c r="AA1113" s="258"/>
      <c r="AB1113" s="258"/>
      <c r="AC1113" s="407"/>
    </row>
    <row r="1114" spans="2:29" s="406" customFormat="1" ht="16.5" customHeight="1">
      <c r="B1114" s="255"/>
      <c r="C1114" s="255"/>
      <c r="D1114" s="257"/>
      <c r="E1114" s="257"/>
      <c r="F1114" s="257"/>
      <c r="G1114" s="252"/>
      <c r="H1114" s="252"/>
      <c r="I1114" s="252"/>
      <c r="J1114" s="252"/>
      <c r="K1114" s="252"/>
      <c r="L1114" s="252"/>
      <c r="M1114" s="253"/>
      <c r="N1114" s="253"/>
      <c r="O1114" s="258"/>
      <c r="P1114" s="258"/>
      <c r="Q1114" s="258"/>
      <c r="R1114" s="258"/>
      <c r="S1114" s="258"/>
      <c r="T1114" s="258"/>
      <c r="U1114" s="258"/>
      <c r="V1114" s="258"/>
      <c r="W1114" s="258"/>
      <c r="X1114" s="258"/>
      <c r="Y1114" s="258"/>
      <c r="Z1114" s="258"/>
      <c r="AA1114" s="258"/>
      <c r="AB1114" s="258"/>
      <c r="AC1114" s="407"/>
    </row>
    <row r="1115" spans="2:29" s="406" customFormat="1" ht="16.5" customHeight="1">
      <c r="B1115" s="255"/>
      <c r="C1115" s="255"/>
      <c r="D1115" s="257"/>
      <c r="E1115" s="257"/>
      <c r="F1115" s="257"/>
      <c r="G1115" s="252"/>
      <c r="H1115" s="252"/>
      <c r="I1115" s="252"/>
      <c r="J1115" s="252"/>
      <c r="K1115" s="252"/>
      <c r="L1115" s="252"/>
      <c r="M1115" s="253"/>
      <c r="N1115" s="253"/>
      <c r="O1115" s="258"/>
      <c r="P1115" s="258"/>
      <c r="Q1115" s="258"/>
      <c r="R1115" s="258"/>
      <c r="S1115" s="258"/>
      <c r="T1115" s="258"/>
      <c r="U1115" s="258"/>
      <c r="V1115" s="258"/>
      <c r="W1115" s="258"/>
      <c r="X1115" s="258"/>
      <c r="Y1115" s="258"/>
      <c r="Z1115" s="258"/>
      <c r="AA1115" s="258"/>
      <c r="AB1115" s="258"/>
      <c r="AC1115" s="407"/>
    </row>
    <row r="1116" spans="2:29" s="406" customFormat="1" ht="16.5" customHeight="1">
      <c r="B1116" s="255"/>
      <c r="C1116" s="255"/>
      <c r="D1116" s="257"/>
      <c r="E1116" s="257"/>
      <c r="F1116" s="257"/>
      <c r="G1116" s="252"/>
      <c r="H1116" s="252"/>
      <c r="I1116" s="252"/>
      <c r="J1116" s="252"/>
      <c r="K1116" s="252"/>
      <c r="L1116" s="252"/>
      <c r="M1116" s="253"/>
      <c r="N1116" s="253"/>
      <c r="O1116" s="258"/>
      <c r="P1116" s="258"/>
      <c r="Q1116" s="258"/>
      <c r="R1116" s="258"/>
      <c r="S1116" s="258"/>
      <c r="T1116" s="258"/>
      <c r="U1116" s="258"/>
      <c r="V1116" s="258"/>
      <c r="W1116" s="258"/>
      <c r="X1116" s="258"/>
      <c r="Y1116" s="258"/>
      <c r="Z1116" s="258"/>
      <c r="AA1116" s="258"/>
      <c r="AB1116" s="258"/>
      <c r="AC1116" s="407"/>
    </row>
    <row r="1117" spans="2:29" s="406" customFormat="1" ht="16.5" customHeight="1">
      <c r="B1117" s="255"/>
      <c r="C1117" s="255"/>
      <c r="D1117" s="257"/>
      <c r="E1117" s="257"/>
      <c r="F1117" s="257"/>
      <c r="G1117" s="252"/>
      <c r="H1117" s="252"/>
      <c r="I1117" s="252"/>
      <c r="J1117" s="252"/>
      <c r="K1117" s="252"/>
      <c r="L1117" s="252"/>
      <c r="M1117" s="253"/>
      <c r="N1117" s="253"/>
      <c r="O1117" s="258"/>
      <c r="P1117" s="258"/>
      <c r="Q1117" s="258"/>
      <c r="R1117" s="258"/>
      <c r="S1117" s="258"/>
      <c r="T1117" s="258"/>
      <c r="U1117" s="258"/>
      <c r="V1117" s="258"/>
      <c r="W1117" s="258"/>
      <c r="X1117" s="258"/>
      <c r="Y1117" s="258"/>
      <c r="Z1117" s="258"/>
      <c r="AA1117" s="258"/>
      <c r="AB1117" s="258"/>
      <c r="AC1117" s="407"/>
    </row>
    <row r="1118" spans="2:29" s="406" customFormat="1" ht="16.5" customHeight="1">
      <c r="B1118" s="255"/>
      <c r="C1118" s="255"/>
      <c r="D1118" s="257"/>
      <c r="E1118" s="257"/>
      <c r="F1118" s="257"/>
      <c r="G1118" s="252"/>
      <c r="H1118" s="252"/>
      <c r="I1118" s="252"/>
      <c r="J1118" s="252"/>
      <c r="K1118" s="252"/>
      <c r="L1118" s="252"/>
      <c r="M1118" s="253"/>
      <c r="N1118" s="253"/>
      <c r="O1118" s="258"/>
      <c r="P1118" s="258"/>
      <c r="Q1118" s="258"/>
      <c r="R1118" s="258"/>
      <c r="S1118" s="258"/>
      <c r="T1118" s="258"/>
      <c r="U1118" s="258"/>
      <c r="V1118" s="258"/>
      <c r="W1118" s="258"/>
      <c r="X1118" s="258"/>
      <c r="Y1118" s="258"/>
      <c r="Z1118" s="258"/>
      <c r="AA1118" s="258"/>
      <c r="AB1118" s="258"/>
      <c r="AC1118" s="407"/>
    </row>
    <row r="1119" spans="2:29" s="406" customFormat="1" ht="16.5" customHeight="1">
      <c r="B1119" s="255"/>
      <c r="C1119" s="255"/>
      <c r="D1119" s="257"/>
      <c r="E1119" s="257"/>
      <c r="F1119" s="257"/>
      <c r="G1119" s="252"/>
      <c r="H1119" s="252"/>
      <c r="I1119" s="252"/>
      <c r="J1119" s="252"/>
      <c r="K1119" s="252"/>
      <c r="L1119" s="252"/>
      <c r="M1119" s="253"/>
      <c r="N1119" s="253"/>
      <c r="O1119" s="258"/>
      <c r="P1119" s="258"/>
      <c r="Q1119" s="258"/>
      <c r="R1119" s="258"/>
      <c r="S1119" s="258"/>
      <c r="T1119" s="258"/>
      <c r="U1119" s="258"/>
      <c r="V1119" s="258"/>
      <c r="W1119" s="258"/>
      <c r="X1119" s="258"/>
      <c r="Y1119" s="258"/>
      <c r="Z1119" s="258"/>
      <c r="AA1119" s="258"/>
      <c r="AB1119" s="258"/>
      <c r="AC1119" s="407"/>
    </row>
    <row r="1120" spans="2:29" s="406" customFormat="1" ht="16.5" customHeight="1">
      <c r="B1120" s="255"/>
      <c r="C1120" s="255"/>
      <c r="D1120" s="257"/>
      <c r="E1120" s="257"/>
      <c r="F1120" s="257"/>
      <c r="G1120" s="252"/>
      <c r="H1120" s="252"/>
      <c r="I1120" s="252"/>
      <c r="J1120" s="252"/>
      <c r="K1120" s="252"/>
      <c r="L1120" s="252"/>
      <c r="M1120" s="253"/>
      <c r="N1120" s="253"/>
      <c r="O1120" s="258"/>
      <c r="P1120" s="258"/>
      <c r="Q1120" s="258"/>
      <c r="R1120" s="258"/>
      <c r="S1120" s="258"/>
      <c r="T1120" s="258"/>
      <c r="U1120" s="258"/>
      <c r="V1120" s="258"/>
      <c r="W1120" s="258"/>
      <c r="X1120" s="258"/>
      <c r="Y1120" s="258"/>
      <c r="Z1120" s="258"/>
      <c r="AA1120" s="258"/>
      <c r="AB1120" s="258"/>
      <c r="AC1120" s="407"/>
    </row>
    <row r="1121" spans="2:29" s="406" customFormat="1" ht="16.5" customHeight="1">
      <c r="B1121" s="255"/>
      <c r="C1121" s="255"/>
      <c r="D1121" s="257"/>
      <c r="E1121" s="257"/>
      <c r="F1121" s="257"/>
      <c r="G1121" s="252"/>
      <c r="H1121" s="252"/>
      <c r="I1121" s="252"/>
      <c r="J1121" s="252"/>
      <c r="K1121" s="252"/>
      <c r="L1121" s="252"/>
      <c r="M1121" s="253"/>
      <c r="N1121" s="253"/>
      <c r="O1121" s="258"/>
      <c r="P1121" s="258"/>
      <c r="Q1121" s="258"/>
      <c r="R1121" s="258"/>
      <c r="S1121" s="258"/>
      <c r="T1121" s="258"/>
      <c r="U1121" s="258"/>
      <c r="V1121" s="258"/>
      <c r="W1121" s="258"/>
      <c r="X1121" s="258"/>
      <c r="Y1121" s="258"/>
      <c r="Z1121" s="258"/>
      <c r="AA1121" s="258"/>
      <c r="AB1121" s="258"/>
      <c r="AC1121" s="407"/>
    </row>
    <row r="1122" spans="2:29" s="406" customFormat="1" ht="16.5" customHeight="1">
      <c r="B1122" s="255"/>
      <c r="C1122" s="255"/>
      <c r="D1122" s="257"/>
      <c r="E1122" s="257"/>
      <c r="F1122" s="257"/>
      <c r="G1122" s="252"/>
      <c r="H1122" s="252"/>
      <c r="I1122" s="252"/>
      <c r="J1122" s="252"/>
      <c r="K1122" s="252"/>
      <c r="L1122" s="252"/>
      <c r="M1122" s="253"/>
      <c r="N1122" s="253"/>
      <c r="O1122" s="258"/>
      <c r="P1122" s="258"/>
      <c r="Q1122" s="258"/>
      <c r="R1122" s="258"/>
      <c r="S1122" s="258"/>
      <c r="T1122" s="258"/>
      <c r="U1122" s="258"/>
      <c r="V1122" s="258"/>
      <c r="W1122" s="258"/>
      <c r="X1122" s="258"/>
      <c r="Y1122" s="258"/>
      <c r="Z1122" s="258"/>
      <c r="AA1122" s="258"/>
      <c r="AB1122" s="258"/>
      <c r="AC1122" s="407"/>
    </row>
    <row r="1123" spans="2:29" s="406" customFormat="1" ht="16.5" customHeight="1">
      <c r="B1123" s="255"/>
      <c r="C1123" s="255"/>
      <c r="D1123" s="257"/>
      <c r="E1123" s="257"/>
      <c r="F1123" s="257"/>
      <c r="G1123" s="252"/>
      <c r="H1123" s="252"/>
      <c r="I1123" s="252"/>
      <c r="J1123" s="252"/>
      <c r="K1123" s="252"/>
      <c r="L1123" s="252"/>
      <c r="M1123" s="253"/>
      <c r="N1123" s="253"/>
      <c r="O1123" s="258"/>
      <c r="P1123" s="258"/>
      <c r="Q1123" s="258"/>
      <c r="R1123" s="258"/>
      <c r="S1123" s="258"/>
      <c r="T1123" s="258"/>
      <c r="U1123" s="258"/>
      <c r="V1123" s="258"/>
      <c r="W1123" s="258"/>
      <c r="X1123" s="258"/>
      <c r="Y1123" s="258"/>
      <c r="Z1123" s="258"/>
      <c r="AA1123" s="258"/>
      <c r="AB1123" s="258"/>
      <c r="AC1123" s="407"/>
    </row>
    <row r="1124" spans="2:29" s="406" customFormat="1" ht="16.5" customHeight="1">
      <c r="B1124" s="255"/>
      <c r="C1124" s="255"/>
      <c r="D1124" s="257"/>
      <c r="E1124" s="257"/>
      <c r="F1124" s="257"/>
      <c r="G1124" s="252"/>
      <c r="H1124" s="252"/>
      <c r="I1124" s="252"/>
      <c r="J1124" s="252"/>
      <c r="K1124" s="252"/>
      <c r="L1124" s="252"/>
      <c r="M1124" s="253"/>
      <c r="N1124" s="253"/>
      <c r="O1124" s="258"/>
      <c r="P1124" s="258"/>
      <c r="Q1124" s="258"/>
      <c r="R1124" s="258"/>
      <c r="S1124" s="258"/>
      <c r="T1124" s="258"/>
      <c r="U1124" s="258"/>
      <c r="V1124" s="258"/>
      <c r="W1124" s="258"/>
      <c r="X1124" s="258"/>
      <c r="Y1124" s="258"/>
      <c r="Z1124" s="258"/>
      <c r="AA1124" s="258"/>
      <c r="AB1124" s="258"/>
      <c r="AC1124" s="407"/>
    </row>
    <row r="1125" spans="2:29" s="406" customFormat="1" ht="16.5" customHeight="1">
      <c r="B1125" s="255"/>
      <c r="C1125" s="255"/>
      <c r="D1125" s="257"/>
      <c r="E1125" s="257"/>
      <c r="F1125" s="257"/>
      <c r="G1125" s="252"/>
      <c r="H1125" s="252"/>
      <c r="I1125" s="252"/>
      <c r="J1125" s="252"/>
      <c r="K1125" s="252"/>
      <c r="L1125" s="252"/>
      <c r="M1125" s="253"/>
      <c r="N1125" s="253"/>
      <c r="O1125" s="258"/>
      <c r="P1125" s="258"/>
      <c r="Q1125" s="258"/>
      <c r="R1125" s="258"/>
      <c r="S1125" s="258"/>
      <c r="T1125" s="258"/>
      <c r="U1125" s="258"/>
      <c r="V1125" s="258"/>
      <c r="W1125" s="258"/>
      <c r="X1125" s="258"/>
      <c r="Y1125" s="258"/>
      <c r="Z1125" s="258"/>
      <c r="AA1125" s="258"/>
      <c r="AB1125" s="258"/>
      <c r="AC1125" s="407"/>
    </row>
    <row r="1126" spans="2:29" s="406" customFormat="1" ht="16.5" customHeight="1">
      <c r="B1126" s="255"/>
      <c r="C1126" s="255"/>
      <c r="D1126" s="257"/>
      <c r="E1126" s="257"/>
      <c r="F1126" s="257"/>
      <c r="G1126" s="252"/>
      <c r="H1126" s="252"/>
      <c r="I1126" s="252"/>
      <c r="J1126" s="252"/>
      <c r="K1126" s="252"/>
      <c r="L1126" s="252"/>
      <c r="M1126" s="253"/>
      <c r="N1126" s="253"/>
      <c r="O1126" s="258"/>
      <c r="P1126" s="258"/>
      <c r="Q1126" s="258"/>
      <c r="R1126" s="258"/>
      <c r="S1126" s="258"/>
      <c r="T1126" s="258"/>
      <c r="U1126" s="258"/>
      <c r="V1126" s="258"/>
      <c r="W1126" s="258"/>
      <c r="X1126" s="258"/>
      <c r="Y1126" s="258"/>
      <c r="Z1126" s="258"/>
      <c r="AA1126" s="258"/>
      <c r="AB1126" s="258"/>
      <c r="AC1126" s="407"/>
    </row>
    <row r="1127" spans="2:29" s="406" customFormat="1" ht="16.5" customHeight="1">
      <c r="B1127" s="255"/>
      <c r="C1127" s="255"/>
      <c r="D1127" s="257"/>
      <c r="E1127" s="257"/>
      <c r="F1127" s="257"/>
      <c r="G1127" s="252"/>
      <c r="H1127" s="252"/>
      <c r="I1127" s="252"/>
      <c r="J1127" s="252"/>
      <c r="K1127" s="252"/>
      <c r="L1127" s="252"/>
      <c r="M1127" s="253"/>
      <c r="N1127" s="253"/>
      <c r="O1127" s="258"/>
      <c r="P1127" s="258"/>
      <c r="Q1127" s="258"/>
      <c r="R1127" s="258"/>
      <c r="S1127" s="258"/>
      <c r="T1127" s="258"/>
      <c r="U1127" s="258"/>
      <c r="V1127" s="258"/>
      <c r="W1127" s="258"/>
      <c r="X1127" s="258"/>
      <c r="Y1127" s="258"/>
      <c r="Z1127" s="258"/>
      <c r="AA1127" s="258"/>
      <c r="AB1127" s="258"/>
      <c r="AC1127" s="407"/>
    </row>
    <row r="1128" spans="2:29" s="406" customFormat="1" ht="16.5" customHeight="1">
      <c r="B1128" s="255"/>
      <c r="C1128" s="255"/>
      <c r="D1128" s="257"/>
      <c r="E1128" s="257"/>
      <c r="F1128" s="257"/>
      <c r="G1128" s="252"/>
      <c r="H1128" s="252"/>
      <c r="I1128" s="252"/>
      <c r="J1128" s="252"/>
      <c r="K1128" s="252"/>
      <c r="L1128" s="252"/>
      <c r="M1128" s="253"/>
      <c r="N1128" s="253"/>
      <c r="O1128" s="258"/>
      <c r="P1128" s="258"/>
      <c r="Q1128" s="258"/>
      <c r="R1128" s="258"/>
      <c r="S1128" s="258"/>
      <c r="T1128" s="258"/>
      <c r="U1128" s="258"/>
      <c r="V1128" s="258"/>
      <c r="W1128" s="258"/>
      <c r="X1128" s="258"/>
      <c r="Y1128" s="258"/>
      <c r="Z1128" s="258"/>
      <c r="AA1128" s="258"/>
      <c r="AB1128" s="258"/>
      <c r="AC1128" s="407"/>
    </row>
    <row r="1129" spans="2:29" s="406" customFormat="1" ht="16.5" customHeight="1">
      <c r="B1129" s="255"/>
      <c r="C1129" s="255"/>
      <c r="D1129" s="257"/>
      <c r="E1129" s="257"/>
      <c r="F1129" s="257"/>
      <c r="G1129" s="252"/>
      <c r="H1129" s="252"/>
      <c r="I1129" s="252"/>
      <c r="J1129" s="252"/>
      <c r="K1129" s="252"/>
      <c r="L1129" s="252"/>
      <c r="M1129" s="253"/>
      <c r="N1129" s="253"/>
      <c r="O1129" s="258"/>
      <c r="P1129" s="258"/>
      <c r="Q1129" s="258"/>
      <c r="R1129" s="258"/>
      <c r="S1129" s="258"/>
      <c r="T1129" s="258"/>
      <c r="U1129" s="258"/>
      <c r="V1129" s="258"/>
      <c r="W1129" s="258"/>
      <c r="X1129" s="258"/>
      <c r="Y1129" s="258"/>
      <c r="Z1129" s="258"/>
      <c r="AA1129" s="258"/>
      <c r="AB1129" s="258"/>
      <c r="AC1129" s="407"/>
    </row>
    <row r="1130" spans="2:29" s="406" customFormat="1" ht="16.5" customHeight="1">
      <c r="B1130" s="255"/>
      <c r="C1130" s="255"/>
      <c r="D1130" s="257"/>
      <c r="E1130" s="257"/>
      <c r="F1130" s="257"/>
      <c r="G1130" s="252"/>
      <c r="H1130" s="252"/>
      <c r="I1130" s="252"/>
      <c r="J1130" s="252"/>
      <c r="K1130" s="252"/>
      <c r="L1130" s="252"/>
      <c r="M1130" s="253"/>
      <c r="N1130" s="253"/>
      <c r="O1130" s="258"/>
      <c r="P1130" s="258"/>
      <c r="Q1130" s="258"/>
      <c r="R1130" s="258"/>
      <c r="S1130" s="258"/>
      <c r="T1130" s="258"/>
      <c r="U1130" s="258"/>
      <c r="V1130" s="258"/>
      <c r="W1130" s="258"/>
      <c r="X1130" s="258"/>
      <c r="Y1130" s="258"/>
      <c r="Z1130" s="258"/>
      <c r="AA1130" s="258"/>
      <c r="AB1130" s="258"/>
      <c r="AC1130" s="407"/>
    </row>
    <row r="1131" spans="2:29" s="406" customFormat="1" ht="16.5" customHeight="1">
      <c r="B1131" s="255"/>
      <c r="C1131" s="255"/>
      <c r="D1131" s="257"/>
      <c r="E1131" s="257"/>
      <c r="F1131" s="257"/>
      <c r="G1131" s="252"/>
      <c r="H1131" s="252"/>
      <c r="I1131" s="252"/>
      <c r="J1131" s="252"/>
      <c r="K1131" s="252"/>
      <c r="L1131" s="252"/>
      <c r="M1131" s="253"/>
      <c r="N1131" s="253"/>
      <c r="O1131" s="258"/>
      <c r="P1131" s="258"/>
      <c r="Q1131" s="258"/>
      <c r="R1131" s="258"/>
      <c r="S1131" s="258"/>
      <c r="T1131" s="258"/>
      <c r="U1131" s="258"/>
      <c r="V1131" s="258"/>
      <c r="W1131" s="258"/>
      <c r="X1131" s="258"/>
      <c r="Y1131" s="258"/>
      <c r="Z1131" s="258"/>
      <c r="AA1131" s="258"/>
      <c r="AB1131" s="258"/>
      <c r="AC1131" s="407"/>
    </row>
    <row r="1132" spans="2:29" s="406" customFormat="1" ht="16.5" customHeight="1">
      <c r="B1132" s="255"/>
      <c r="C1132" s="255"/>
      <c r="D1132" s="257"/>
      <c r="E1132" s="257"/>
      <c r="F1132" s="257"/>
      <c r="G1132" s="252"/>
      <c r="H1132" s="252"/>
      <c r="I1132" s="252"/>
      <c r="J1132" s="252"/>
      <c r="K1132" s="252"/>
      <c r="L1132" s="252"/>
      <c r="M1132" s="253"/>
      <c r="N1132" s="253"/>
      <c r="O1132" s="258"/>
      <c r="P1132" s="258"/>
      <c r="Q1132" s="258"/>
      <c r="R1132" s="258"/>
      <c r="S1132" s="258"/>
      <c r="T1132" s="258"/>
      <c r="U1132" s="258"/>
      <c r="V1132" s="258"/>
      <c r="W1132" s="258"/>
      <c r="X1132" s="258"/>
      <c r="Y1132" s="258"/>
      <c r="Z1132" s="258"/>
      <c r="AA1132" s="258"/>
      <c r="AB1132" s="258"/>
      <c r="AC1132" s="407"/>
    </row>
    <row r="1133" spans="2:29" s="406" customFormat="1" ht="16.5" customHeight="1">
      <c r="B1133" s="255"/>
      <c r="C1133" s="255"/>
      <c r="D1133" s="257"/>
      <c r="E1133" s="257"/>
      <c r="F1133" s="257"/>
      <c r="G1133" s="252"/>
      <c r="H1133" s="252"/>
      <c r="I1133" s="252"/>
      <c r="J1133" s="252"/>
      <c r="K1133" s="252"/>
      <c r="L1133" s="252"/>
      <c r="M1133" s="253"/>
      <c r="N1133" s="253"/>
      <c r="O1133" s="258"/>
      <c r="P1133" s="258"/>
      <c r="Q1133" s="258"/>
      <c r="R1133" s="258"/>
      <c r="S1133" s="258"/>
      <c r="T1133" s="258"/>
      <c r="U1133" s="258"/>
      <c r="V1133" s="258"/>
      <c r="W1133" s="258"/>
      <c r="X1133" s="258"/>
      <c r="Y1133" s="258"/>
      <c r="Z1133" s="258"/>
      <c r="AA1133" s="258"/>
      <c r="AB1133" s="258"/>
      <c r="AC1133" s="407"/>
    </row>
    <row r="1134" spans="2:29" s="406" customFormat="1" ht="16.5" customHeight="1">
      <c r="B1134" s="255"/>
      <c r="C1134" s="255"/>
      <c r="D1134" s="257"/>
      <c r="E1134" s="257"/>
      <c r="F1134" s="257"/>
      <c r="G1134" s="252"/>
      <c r="H1134" s="252"/>
      <c r="I1134" s="252"/>
      <c r="J1134" s="252"/>
      <c r="K1134" s="252"/>
      <c r="L1134" s="252"/>
      <c r="M1134" s="253"/>
      <c r="N1134" s="253"/>
      <c r="O1134" s="258"/>
      <c r="P1134" s="258"/>
      <c r="Q1134" s="258"/>
      <c r="R1134" s="258"/>
      <c r="S1134" s="258"/>
      <c r="T1134" s="258"/>
      <c r="U1134" s="258"/>
      <c r="V1134" s="258"/>
      <c r="W1134" s="258"/>
      <c r="X1134" s="258"/>
      <c r="Y1134" s="258"/>
      <c r="Z1134" s="258"/>
      <c r="AA1134" s="258"/>
      <c r="AB1134" s="258"/>
      <c r="AC1134" s="407"/>
    </row>
    <row r="1135" spans="2:29" s="406" customFormat="1" ht="16.5" customHeight="1">
      <c r="B1135" s="255"/>
      <c r="C1135" s="255"/>
      <c r="D1135" s="257"/>
      <c r="E1135" s="257"/>
      <c r="F1135" s="257"/>
      <c r="G1135" s="252"/>
      <c r="H1135" s="252"/>
      <c r="I1135" s="252"/>
      <c r="J1135" s="252"/>
      <c r="K1135" s="252"/>
      <c r="L1135" s="252"/>
      <c r="M1135" s="253"/>
      <c r="N1135" s="253"/>
      <c r="O1135" s="258"/>
      <c r="P1135" s="258"/>
      <c r="Q1135" s="258"/>
      <c r="R1135" s="258"/>
      <c r="S1135" s="258"/>
      <c r="T1135" s="258"/>
      <c r="U1135" s="258"/>
      <c r="V1135" s="258"/>
      <c r="W1135" s="258"/>
      <c r="X1135" s="258"/>
      <c r="Y1135" s="258"/>
      <c r="Z1135" s="258"/>
      <c r="AA1135" s="258"/>
      <c r="AB1135" s="258"/>
      <c r="AC1135" s="407"/>
    </row>
    <row r="1136" spans="2:29" s="406" customFormat="1" ht="16.5" customHeight="1">
      <c r="B1136" s="255"/>
      <c r="C1136" s="255"/>
      <c r="D1136" s="257"/>
      <c r="E1136" s="257"/>
      <c r="F1136" s="257"/>
      <c r="G1136" s="252"/>
      <c r="H1136" s="252"/>
      <c r="I1136" s="252"/>
      <c r="J1136" s="252"/>
      <c r="K1136" s="252"/>
      <c r="L1136" s="252"/>
      <c r="M1136" s="253"/>
      <c r="N1136" s="253"/>
      <c r="O1136" s="258"/>
      <c r="P1136" s="258"/>
      <c r="Q1136" s="258"/>
      <c r="R1136" s="258"/>
      <c r="S1136" s="258"/>
      <c r="T1136" s="258"/>
      <c r="U1136" s="258"/>
      <c r="V1136" s="258"/>
      <c r="W1136" s="258"/>
      <c r="X1136" s="258"/>
      <c r="Y1136" s="258"/>
      <c r="Z1136" s="258"/>
      <c r="AA1136" s="258"/>
      <c r="AB1136" s="258"/>
      <c r="AC1136" s="407"/>
    </row>
    <row r="1137" spans="2:29" s="406" customFormat="1" ht="16.5" customHeight="1">
      <c r="B1137" s="255"/>
      <c r="C1137" s="255"/>
      <c r="D1137" s="257"/>
      <c r="E1137" s="257"/>
      <c r="F1137" s="257"/>
      <c r="G1137" s="252"/>
      <c r="H1137" s="252"/>
      <c r="I1137" s="252"/>
      <c r="J1137" s="252"/>
      <c r="K1137" s="252"/>
      <c r="L1137" s="252"/>
      <c r="M1137" s="253"/>
      <c r="N1137" s="253"/>
      <c r="O1137" s="258"/>
      <c r="P1137" s="258"/>
      <c r="Q1137" s="258"/>
      <c r="R1137" s="258"/>
      <c r="S1137" s="258"/>
      <c r="T1137" s="258"/>
      <c r="U1137" s="258"/>
      <c r="V1137" s="258"/>
      <c r="W1137" s="258"/>
      <c r="X1137" s="258"/>
      <c r="Y1137" s="258"/>
      <c r="Z1137" s="258"/>
      <c r="AA1137" s="258"/>
      <c r="AB1137" s="258"/>
      <c r="AC1137" s="407"/>
    </row>
    <row r="1138" spans="2:29" s="406" customFormat="1" ht="16.5" customHeight="1">
      <c r="B1138" s="255"/>
      <c r="C1138" s="255"/>
      <c r="D1138" s="257"/>
      <c r="E1138" s="257"/>
      <c r="F1138" s="257"/>
      <c r="G1138" s="252"/>
      <c r="H1138" s="252"/>
      <c r="I1138" s="252"/>
      <c r="J1138" s="252"/>
      <c r="K1138" s="252"/>
      <c r="L1138" s="252"/>
      <c r="M1138" s="253"/>
      <c r="N1138" s="253"/>
      <c r="O1138" s="258"/>
      <c r="P1138" s="258"/>
      <c r="Q1138" s="258"/>
      <c r="R1138" s="258"/>
      <c r="S1138" s="258"/>
      <c r="T1138" s="258"/>
      <c r="U1138" s="258"/>
      <c r="V1138" s="258"/>
      <c r="W1138" s="258"/>
      <c r="X1138" s="258"/>
      <c r="Y1138" s="258"/>
      <c r="Z1138" s="258"/>
      <c r="AA1138" s="258"/>
      <c r="AB1138" s="258"/>
      <c r="AC1138" s="407"/>
    </row>
    <row r="1139" spans="2:29" s="406" customFormat="1" ht="16.5" customHeight="1">
      <c r="B1139" s="255"/>
      <c r="C1139" s="255"/>
      <c r="D1139" s="257"/>
      <c r="E1139" s="257"/>
      <c r="F1139" s="257"/>
      <c r="G1139" s="252"/>
      <c r="H1139" s="252"/>
      <c r="I1139" s="252"/>
      <c r="J1139" s="252"/>
      <c r="K1139" s="252"/>
      <c r="L1139" s="252"/>
      <c r="M1139" s="253"/>
      <c r="N1139" s="253"/>
      <c r="O1139" s="258"/>
      <c r="P1139" s="258"/>
      <c r="Q1139" s="258"/>
      <c r="R1139" s="258"/>
      <c r="S1139" s="258"/>
      <c r="T1139" s="258"/>
      <c r="U1139" s="258"/>
      <c r="V1139" s="258"/>
      <c r="W1139" s="258"/>
      <c r="X1139" s="258"/>
      <c r="Y1139" s="258"/>
      <c r="Z1139" s="258"/>
      <c r="AA1139" s="258"/>
      <c r="AB1139" s="258"/>
      <c r="AC1139" s="407"/>
    </row>
    <row r="1140" spans="2:29" s="406" customFormat="1" ht="16.5" customHeight="1">
      <c r="B1140" s="255"/>
      <c r="C1140" s="255"/>
      <c r="D1140" s="257"/>
      <c r="E1140" s="257"/>
      <c r="F1140" s="257"/>
      <c r="G1140" s="252"/>
      <c r="H1140" s="252"/>
      <c r="I1140" s="252"/>
      <c r="J1140" s="252"/>
      <c r="K1140" s="252"/>
      <c r="L1140" s="252"/>
      <c r="M1140" s="253"/>
      <c r="N1140" s="253"/>
      <c r="O1140" s="258"/>
      <c r="P1140" s="258"/>
      <c r="Q1140" s="258"/>
      <c r="R1140" s="258"/>
      <c r="S1140" s="258"/>
      <c r="T1140" s="258"/>
      <c r="U1140" s="258"/>
      <c r="V1140" s="258"/>
      <c r="W1140" s="258"/>
      <c r="X1140" s="258"/>
      <c r="Y1140" s="258"/>
      <c r="Z1140" s="258"/>
      <c r="AA1140" s="258"/>
      <c r="AB1140" s="258"/>
      <c r="AC1140" s="407"/>
    </row>
    <row r="1141" spans="2:29" s="406" customFormat="1" ht="16.5" customHeight="1">
      <c r="B1141" s="255"/>
      <c r="C1141" s="255"/>
      <c r="D1141" s="257"/>
      <c r="E1141" s="257"/>
      <c r="F1141" s="257"/>
      <c r="G1141" s="252"/>
      <c r="H1141" s="252"/>
      <c r="I1141" s="252"/>
      <c r="J1141" s="252"/>
      <c r="K1141" s="252"/>
      <c r="L1141" s="252"/>
      <c r="M1141" s="253"/>
      <c r="N1141" s="253"/>
      <c r="O1141" s="258"/>
      <c r="P1141" s="258"/>
      <c r="Q1141" s="258"/>
      <c r="R1141" s="258"/>
      <c r="S1141" s="258"/>
      <c r="T1141" s="258"/>
      <c r="U1141" s="258"/>
      <c r="V1141" s="258"/>
      <c r="W1141" s="258"/>
      <c r="X1141" s="258"/>
      <c r="Y1141" s="258"/>
      <c r="Z1141" s="258"/>
      <c r="AA1141" s="258"/>
      <c r="AB1141" s="258"/>
      <c r="AC1141" s="407"/>
    </row>
    <row r="1142" spans="2:29" s="406" customFormat="1" ht="16.5" customHeight="1">
      <c r="B1142" s="255"/>
      <c r="C1142" s="255"/>
      <c r="D1142" s="257"/>
      <c r="E1142" s="257"/>
      <c r="F1142" s="257"/>
      <c r="G1142" s="252"/>
      <c r="H1142" s="252"/>
      <c r="I1142" s="252"/>
      <c r="J1142" s="252"/>
      <c r="K1142" s="252"/>
      <c r="L1142" s="252"/>
      <c r="M1142" s="253"/>
      <c r="N1142" s="253"/>
      <c r="O1142" s="258"/>
      <c r="P1142" s="258"/>
      <c r="Q1142" s="258"/>
      <c r="R1142" s="258"/>
      <c r="S1142" s="258"/>
      <c r="T1142" s="258"/>
      <c r="U1142" s="258"/>
      <c r="V1142" s="258"/>
      <c r="W1142" s="258"/>
      <c r="X1142" s="258"/>
      <c r="Y1142" s="258"/>
      <c r="Z1142" s="258"/>
      <c r="AA1142" s="258"/>
      <c r="AB1142" s="258"/>
      <c r="AC1142" s="407"/>
    </row>
    <row r="1143" spans="2:29" s="406" customFormat="1" ht="16.5" customHeight="1">
      <c r="B1143" s="255"/>
      <c r="C1143" s="255"/>
      <c r="D1143" s="257"/>
      <c r="E1143" s="257"/>
      <c r="F1143" s="257"/>
      <c r="G1143" s="252"/>
      <c r="H1143" s="252"/>
      <c r="I1143" s="252"/>
      <c r="J1143" s="252"/>
      <c r="K1143" s="252"/>
      <c r="L1143" s="252"/>
      <c r="M1143" s="253"/>
      <c r="N1143" s="253"/>
      <c r="O1143" s="258"/>
      <c r="P1143" s="258"/>
      <c r="Q1143" s="258"/>
      <c r="R1143" s="258"/>
      <c r="S1143" s="258"/>
      <c r="T1143" s="258"/>
      <c r="U1143" s="258"/>
      <c r="V1143" s="258"/>
      <c r="W1143" s="258"/>
      <c r="X1143" s="258"/>
      <c r="Y1143" s="258"/>
      <c r="Z1143" s="258"/>
      <c r="AA1143" s="258"/>
      <c r="AB1143" s="258"/>
      <c r="AC1143" s="407"/>
    </row>
    <row r="1144" spans="2:29" s="406" customFormat="1" ht="16.5" customHeight="1">
      <c r="B1144" s="255"/>
      <c r="C1144" s="255"/>
      <c r="D1144" s="257"/>
      <c r="E1144" s="257"/>
      <c r="F1144" s="257"/>
      <c r="G1144" s="252"/>
      <c r="H1144" s="252"/>
      <c r="I1144" s="252"/>
      <c r="J1144" s="252"/>
      <c r="K1144" s="252"/>
      <c r="L1144" s="252"/>
      <c r="M1144" s="253"/>
      <c r="N1144" s="253"/>
      <c r="O1144" s="258"/>
      <c r="P1144" s="258"/>
      <c r="Q1144" s="258"/>
      <c r="R1144" s="258"/>
      <c r="S1144" s="258"/>
      <c r="T1144" s="258"/>
      <c r="U1144" s="258"/>
      <c r="V1144" s="258"/>
      <c r="W1144" s="258"/>
      <c r="X1144" s="258"/>
      <c r="Y1144" s="258"/>
      <c r="Z1144" s="258"/>
      <c r="AA1144" s="258"/>
      <c r="AB1144" s="258"/>
      <c r="AC1144" s="407"/>
    </row>
    <row r="1145" spans="2:29" s="406" customFormat="1" ht="16.5" customHeight="1">
      <c r="B1145" s="255"/>
      <c r="C1145" s="255"/>
      <c r="D1145" s="257"/>
      <c r="E1145" s="257"/>
      <c r="F1145" s="257"/>
      <c r="G1145" s="252"/>
      <c r="H1145" s="252"/>
      <c r="I1145" s="252"/>
      <c r="J1145" s="252"/>
      <c r="K1145" s="252"/>
      <c r="L1145" s="252"/>
      <c r="M1145" s="253"/>
      <c r="N1145" s="253"/>
      <c r="O1145" s="258"/>
      <c r="P1145" s="258"/>
      <c r="Q1145" s="258"/>
      <c r="R1145" s="258"/>
      <c r="S1145" s="258"/>
      <c r="T1145" s="258"/>
      <c r="U1145" s="258"/>
      <c r="V1145" s="258"/>
      <c r="W1145" s="258"/>
      <c r="X1145" s="258"/>
      <c r="Y1145" s="258"/>
      <c r="Z1145" s="258"/>
      <c r="AA1145" s="258"/>
      <c r="AB1145" s="258"/>
      <c r="AC1145" s="407"/>
    </row>
    <row r="1146" spans="2:29" s="406" customFormat="1" ht="16.5" customHeight="1">
      <c r="B1146" s="255"/>
      <c r="C1146" s="255"/>
      <c r="D1146" s="257"/>
      <c r="E1146" s="257"/>
      <c r="F1146" s="257"/>
      <c r="G1146" s="252"/>
      <c r="H1146" s="252"/>
      <c r="I1146" s="252"/>
      <c r="J1146" s="252"/>
      <c r="K1146" s="252"/>
      <c r="L1146" s="252"/>
      <c r="M1146" s="253"/>
      <c r="N1146" s="253"/>
      <c r="O1146" s="258"/>
      <c r="P1146" s="258"/>
      <c r="Q1146" s="258"/>
      <c r="R1146" s="258"/>
      <c r="S1146" s="258"/>
      <c r="T1146" s="258"/>
      <c r="U1146" s="258"/>
      <c r="V1146" s="258"/>
      <c r="W1146" s="258"/>
      <c r="X1146" s="258"/>
      <c r="Y1146" s="258"/>
      <c r="Z1146" s="258"/>
      <c r="AA1146" s="258"/>
      <c r="AB1146" s="258"/>
      <c r="AC1146" s="407"/>
    </row>
    <row r="1147" spans="2:29" s="406" customFormat="1" ht="16.5" customHeight="1">
      <c r="B1147" s="255"/>
      <c r="C1147" s="255"/>
      <c r="D1147" s="257"/>
      <c r="E1147" s="257"/>
      <c r="F1147" s="257"/>
      <c r="G1147" s="252"/>
      <c r="H1147" s="252"/>
      <c r="I1147" s="252"/>
      <c r="J1147" s="252"/>
      <c r="K1147" s="252"/>
      <c r="L1147" s="252"/>
      <c r="M1147" s="253"/>
      <c r="N1147" s="253"/>
      <c r="O1147" s="258"/>
      <c r="P1147" s="258"/>
      <c r="Q1147" s="258"/>
      <c r="R1147" s="258"/>
      <c r="S1147" s="258"/>
      <c r="T1147" s="258"/>
      <c r="U1147" s="258"/>
      <c r="V1147" s="258"/>
      <c r="W1147" s="258"/>
      <c r="X1147" s="258"/>
      <c r="Y1147" s="258"/>
      <c r="Z1147" s="258"/>
      <c r="AA1147" s="258"/>
      <c r="AB1147" s="258"/>
      <c r="AC1147" s="407"/>
    </row>
    <row r="1148" spans="2:29" s="406" customFormat="1" ht="16.5" customHeight="1">
      <c r="B1148" s="255"/>
      <c r="C1148" s="255"/>
      <c r="D1148" s="257"/>
      <c r="E1148" s="257"/>
      <c r="F1148" s="257"/>
      <c r="G1148" s="252"/>
      <c r="H1148" s="252"/>
      <c r="I1148" s="252"/>
      <c r="J1148" s="252"/>
      <c r="K1148" s="252"/>
      <c r="L1148" s="252"/>
      <c r="M1148" s="253"/>
      <c r="N1148" s="253"/>
      <c r="O1148" s="258"/>
      <c r="P1148" s="258"/>
      <c r="Q1148" s="258"/>
      <c r="R1148" s="258"/>
      <c r="S1148" s="258"/>
      <c r="T1148" s="258"/>
      <c r="U1148" s="258"/>
      <c r="V1148" s="258"/>
      <c r="W1148" s="258"/>
      <c r="X1148" s="258"/>
      <c r="Y1148" s="258"/>
      <c r="Z1148" s="258"/>
      <c r="AA1148" s="258"/>
      <c r="AB1148" s="258"/>
      <c r="AC1148" s="407"/>
    </row>
    <row r="1149" spans="2:29" s="406" customFormat="1" ht="16.5" customHeight="1">
      <c r="B1149" s="255"/>
      <c r="C1149" s="255"/>
      <c r="D1149" s="257"/>
      <c r="E1149" s="257"/>
      <c r="F1149" s="257"/>
      <c r="G1149" s="252"/>
      <c r="H1149" s="252"/>
      <c r="I1149" s="252"/>
      <c r="J1149" s="252"/>
      <c r="K1149" s="252"/>
      <c r="L1149" s="252"/>
      <c r="M1149" s="253"/>
      <c r="N1149" s="253"/>
      <c r="O1149" s="258"/>
      <c r="P1149" s="258"/>
      <c r="Q1149" s="258"/>
      <c r="R1149" s="258"/>
      <c r="S1149" s="258"/>
      <c r="T1149" s="258"/>
      <c r="U1149" s="258"/>
      <c r="V1149" s="258"/>
      <c r="W1149" s="258"/>
      <c r="X1149" s="258"/>
      <c r="Y1149" s="258"/>
      <c r="Z1149" s="258"/>
      <c r="AA1149" s="258"/>
      <c r="AB1149" s="258"/>
      <c r="AC1149" s="407"/>
    </row>
    <row r="1150" spans="2:29" s="406" customFormat="1" ht="16.5" customHeight="1">
      <c r="B1150" s="255"/>
      <c r="C1150" s="255"/>
      <c r="D1150" s="257"/>
      <c r="E1150" s="257"/>
      <c r="F1150" s="257"/>
      <c r="G1150" s="252"/>
      <c r="H1150" s="252"/>
      <c r="I1150" s="252"/>
      <c r="J1150" s="252"/>
      <c r="K1150" s="252"/>
      <c r="L1150" s="252"/>
      <c r="M1150" s="253"/>
      <c r="N1150" s="253"/>
      <c r="O1150" s="258"/>
      <c r="P1150" s="258"/>
      <c r="Q1150" s="258"/>
      <c r="R1150" s="258"/>
      <c r="S1150" s="258"/>
      <c r="T1150" s="258"/>
      <c r="U1150" s="258"/>
      <c r="V1150" s="258"/>
      <c r="W1150" s="258"/>
      <c r="X1150" s="258"/>
      <c r="Y1150" s="258"/>
      <c r="Z1150" s="258"/>
      <c r="AA1150" s="258"/>
      <c r="AB1150" s="258"/>
      <c r="AC1150" s="407"/>
    </row>
    <row r="1151" spans="2:29" s="406" customFormat="1" ht="16.5" customHeight="1">
      <c r="B1151" s="255"/>
      <c r="C1151" s="255"/>
      <c r="D1151" s="257"/>
      <c r="E1151" s="257"/>
      <c r="F1151" s="257"/>
      <c r="G1151" s="252"/>
      <c r="H1151" s="252"/>
      <c r="I1151" s="252"/>
      <c r="J1151" s="252"/>
      <c r="K1151" s="252"/>
      <c r="L1151" s="252"/>
      <c r="M1151" s="253"/>
      <c r="N1151" s="253"/>
      <c r="O1151" s="258"/>
      <c r="P1151" s="258"/>
      <c r="Q1151" s="258"/>
      <c r="R1151" s="258"/>
      <c r="S1151" s="258"/>
      <c r="T1151" s="258"/>
      <c r="U1151" s="258"/>
      <c r="V1151" s="258"/>
      <c r="W1151" s="258"/>
      <c r="X1151" s="258"/>
      <c r="Y1151" s="258"/>
      <c r="Z1151" s="258"/>
      <c r="AA1151" s="258"/>
      <c r="AB1151" s="258"/>
      <c r="AC1151" s="407"/>
    </row>
    <row r="1152" spans="2:29" s="406" customFormat="1" ht="16.5" customHeight="1">
      <c r="B1152" s="255"/>
      <c r="C1152" s="255"/>
      <c r="D1152" s="257"/>
      <c r="E1152" s="257"/>
      <c r="F1152" s="257"/>
      <c r="G1152" s="252"/>
      <c r="H1152" s="252"/>
      <c r="I1152" s="252"/>
      <c r="J1152" s="252"/>
      <c r="K1152" s="252"/>
      <c r="L1152" s="252"/>
      <c r="M1152" s="253"/>
      <c r="N1152" s="253"/>
      <c r="O1152" s="258"/>
      <c r="P1152" s="258"/>
      <c r="Q1152" s="258"/>
      <c r="R1152" s="258"/>
      <c r="S1152" s="258"/>
      <c r="T1152" s="258"/>
      <c r="U1152" s="258"/>
      <c r="V1152" s="258"/>
      <c r="W1152" s="258"/>
      <c r="X1152" s="258"/>
      <c r="Y1152" s="258"/>
      <c r="Z1152" s="258"/>
      <c r="AA1152" s="258"/>
      <c r="AB1152" s="258"/>
      <c r="AC1152" s="407"/>
    </row>
    <row r="1153" spans="2:29" s="406" customFormat="1" ht="16.5" customHeight="1">
      <c r="B1153" s="255"/>
      <c r="C1153" s="255"/>
      <c r="D1153" s="257"/>
      <c r="E1153" s="257"/>
      <c r="F1153" s="257"/>
      <c r="G1153" s="252"/>
      <c r="H1153" s="252"/>
      <c r="I1153" s="252"/>
      <c r="J1153" s="252"/>
      <c r="K1153" s="252"/>
      <c r="L1153" s="252"/>
      <c r="M1153" s="253"/>
      <c r="N1153" s="253"/>
      <c r="O1153" s="258"/>
      <c r="P1153" s="258"/>
      <c r="Q1153" s="258"/>
      <c r="R1153" s="258"/>
      <c r="S1153" s="258"/>
      <c r="T1153" s="258"/>
      <c r="U1153" s="258"/>
      <c r="V1153" s="258"/>
      <c r="W1153" s="258"/>
      <c r="X1153" s="258"/>
      <c r="Y1153" s="258"/>
      <c r="Z1153" s="258"/>
      <c r="AA1153" s="258"/>
      <c r="AB1153" s="258"/>
      <c r="AC1153" s="407"/>
    </row>
    <row r="1154" spans="2:29" s="406" customFormat="1" ht="16.5" customHeight="1">
      <c r="B1154" s="255"/>
      <c r="C1154" s="255"/>
      <c r="D1154" s="257"/>
      <c r="E1154" s="257"/>
      <c r="F1154" s="257"/>
      <c r="G1154" s="252"/>
      <c r="H1154" s="252"/>
      <c r="I1154" s="252"/>
      <c r="J1154" s="252"/>
      <c r="K1154" s="252"/>
      <c r="L1154" s="252"/>
      <c r="M1154" s="253"/>
      <c r="N1154" s="253"/>
      <c r="O1154" s="258"/>
      <c r="P1154" s="258"/>
      <c r="Q1154" s="258"/>
      <c r="R1154" s="258"/>
      <c r="S1154" s="258"/>
      <c r="T1154" s="258"/>
      <c r="U1154" s="258"/>
      <c r="V1154" s="258"/>
      <c r="W1154" s="258"/>
      <c r="X1154" s="258"/>
      <c r="Y1154" s="258"/>
      <c r="Z1154" s="258"/>
      <c r="AA1154" s="258"/>
      <c r="AB1154" s="258"/>
      <c r="AC1154" s="407"/>
    </row>
    <row r="1155" spans="2:29" s="406" customFormat="1" ht="16.5" customHeight="1">
      <c r="B1155" s="255"/>
      <c r="C1155" s="255"/>
      <c r="D1155" s="257"/>
      <c r="E1155" s="257"/>
      <c r="F1155" s="257"/>
      <c r="G1155" s="252"/>
      <c r="H1155" s="252"/>
      <c r="I1155" s="252"/>
      <c r="J1155" s="252"/>
      <c r="K1155" s="252"/>
      <c r="L1155" s="252"/>
      <c r="M1155" s="253"/>
      <c r="N1155" s="253"/>
      <c r="O1155" s="258"/>
      <c r="P1155" s="258"/>
      <c r="Q1155" s="258"/>
      <c r="R1155" s="258"/>
      <c r="S1155" s="258"/>
      <c r="T1155" s="258"/>
      <c r="U1155" s="258"/>
      <c r="V1155" s="258"/>
      <c r="W1155" s="258"/>
      <c r="X1155" s="258"/>
      <c r="Y1155" s="258"/>
      <c r="Z1155" s="258"/>
      <c r="AA1155" s="258"/>
      <c r="AB1155" s="258"/>
      <c r="AC1155" s="407"/>
    </row>
    <row r="1156" spans="2:29" s="406" customFormat="1" ht="16.5" customHeight="1">
      <c r="B1156" s="255"/>
      <c r="C1156" s="255"/>
      <c r="D1156" s="257"/>
      <c r="E1156" s="257"/>
      <c r="F1156" s="257"/>
      <c r="G1156" s="252"/>
      <c r="H1156" s="252"/>
      <c r="I1156" s="252"/>
      <c r="J1156" s="252"/>
      <c r="K1156" s="252"/>
      <c r="L1156" s="252"/>
      <c r="M1156" s="253"/>
      <c r="N1156" s="253"/>
      <c r="O1156" s="258"/>
      <c r="P1156" s="258"/>
      <c r="Q1156" s="258"/>
      <c r="R1156" s="258"/>
      <c r="S1156" s="258"/>
      <c r="T1156" s="258"/>
      <c r="U1156" s="258"/>
      <c r="V1156" s="258"/>
      <c r="W1156" s="258"/>
      <c r="X1156" s="258"/>
      <c r="Y1156" s="258"/>
      <c r="Z1156" s="258"/>
      <c r="AA1156" s="258"/>
      <c r="AB1156" s="258"/>
      <c r="AC1156" s="407"/>
    </row>
    <row r="1157" spans="2:29" s="406" customFormat="1" ht="16.5" customHeight="1">
      <c r="B1157" s="255"/>
      <c r="C1157" s="255"/>
      <c r="D1157" s="257"/>
      <c r="E1157" s="257"/>
      <c r="F1157" s="257"/>
      <c r="G1157" s="252"/>
      <c r="H1157" s="252"/>
      <c r="I1157" s="252"/>
      <c r="J1157" s="252"/>
      <c r="K1157" s="252"/>
      <c r="L1157" s="252"/>
      <c r="M1157" s="253"/>
      <c r="N1157" s="253"/>
      <c r="O1157" s="258"/>
      <c r="P1157" s="258"/>
      <c r="Q1157" s="258"/>
      <c r="R1157" s="258"/>
      <c r="S1157" s="258"/>
      <c r="T1157" s="258"/>
      <c r="U1157" s="258"/>
      <c r="V1157" s="258"/>
      <c r="W1157" s="258"/>
      <c r="X1157" s="258"/>
      <c r="Y1157" s="258"/>
      <c r="Z1157" s="258"/>
      <c r="AA1157" s="258"/>
      <c r="AB1157" s="258"/>
      <c r="AC1157" s="407"/>
    </row>
    <row r="1158" spans="2:29" s="406" customFormat="1" ht="16.5" customHeight="1">
      <c r="B1158" s="255"/>
      <c r="C1158" s="255"/>
      <c r="D1158" s="257"/>
      <c r="E1158" s="257"/>
      <c r="F1158" s="257"/>
      <c r="G1158" s="252"/>
      <c r="H1158" s="252"/>
      <c r="I1158" s="252"/>
      <c r="J1158" s="252"/>
      <c r="K1158" s="252"/>
      <c r="L1158" s="252"/>
      <c r="M1158" s="253"/>
      <c r="N1158" s="253"/>
      <c r="O1158" s="258"/>
      <c r="P1158" s="258"/>
      <c r="Q1158" s="258"/>
      <c r="R1158" s="258"/>
      <c r="S1158" s="258"/>
      <c r="T1158" s="258"/>
      <c r="U1158" s="258"/>
      <c r="V1158" s="258"/>
      <c r="W1158" s="258"/>
      <c r="X1158" s="258"/>
      <c r="Y1158" s="258"/>
      <c r="Z1158" s="258"/>
      <c r="AA1158" s="258"/>
      <c r="AB1158" s="258"/>
      <c r="AC1158" s="407"/>
    </row>
    <row r="1159" spans="2:29" s="406" customFormat="1" ht="16.5" customHeight="1">
      <c r="B1159" s="255"/>
      <c r="C1159" s="255"/>
      <c r="D1159" s="257"/>
      <c r="E1159" s="257"/>
      <c r="F1159" s="257"/>
      <c r="G1159" s="252"/>
      <c r="H1159" s="252"/>
      <c r="I1159" s="252"/>
      <c r="J1159" s="252"/>
      <c r="K1159" s="252"/>
      <c r="L1159" s="252"/>
      <c r="M1159" s="253"/>
      <c r="N1159" s="253"/>
      <c r="O1159" s="258"/>
      <c r="P1159" s="258"/>
      <c r="Q1159" s="258"/>
      <c r="R1159" s="258"/>
      <c r="S1159" s="258"/>
      <c r="T1159" s="258"/>
      <c r="U1159" s="258"/>
      <c r="V1159" s="258"/>
      <c r="W1159" s="258"/>
      <c r="X1159" s="258"/>
      <c r="Y1159" s="258"/>
      <c r="Z1159" s="258"/>
      <c r="AA1159" s="258"/>
      <c r="AB1159" s="258"/>
      <c r="AC1159" s="407"/>
    </row>
    <row r="1160" spans="2:29" s="406" customFormat="1" ht="16.5" customHeight="1">
      <c r="B1160" s="255"/>
      <c r="C1160" s="255"/>
      <c r="D1160" s="257"/>
      <c r="E1160" s="257"/>
      <c r="F1160" s="257"/>
      <c r="G1160" s="252"/>
      <c r="H1160" s="252"/>
      <c r="I1160" s="252"/>
      <c r="J1160" s="252"/>
      <c r="K1160" s="252"/>
      <c r="L1160" s="252"/>
      <c r="M1160" s="253"/>
      <c r="N1160" s="253"/>
      <c r="O1160" s="258"/>
      <c r="P1160" s="258"/>
      <c r="Q1160" s="258"/>
      <c r="R1160" s="258"/>
      <c r="S1160" s="258"/>
      <c r="T1160" s="258"/>
      <c r="U1160" s="258"/>
      <c r="V1160" s="258"/>
      <c r="W1160" s="258"/>
      <c r="X1160" s="258"/>
      <c r="Y1160" s="258"/>
      <c r="Z1160" s="258"/>
      <c r="AA1160" s="258"/>
      <c r="AB1160" s="258"/>
      <c r="AC1160" s="407"/>
    </row>
    <row r="1161" spans="2:29" s="406" customFormat="1" ht="16.5" customHeight="1">
      <c r="B1161" s="255"/>
      <c r="C1161" s="255"/>
      <c r="D1161" s="257"/>
      <c r="E1161" s="257"/>
      <c r="F1161" s="257"/>
      <c r="G1161" s="252"/>
      <c r="H1161" s="252"/>
      <c r="I1161" s="252"/>
      <c r="J1161" s="252"/>
      <c r="K1161" s="252"/>
      <c r="L1161" s="252"/>
      <c r="M1161" s="253"/>
      <c r="N1161" s="253"/>
      <c r="O1161" s="258"/>
      <c r="P1161" s="258"/>
      <c r="Q1161" s="258"/>
      <c r="R1161" s="258"/>
      <c r="S1161" s="258"/>
      <c r="T1161" s="258"/>
      <c r="U1161" s="258"/>
      <c r="V1161" s="258"/>
      <c r="W1161" s="258"/>
      <c r="X1161" s="258"/>
      <c r="Y1161" s="258"/>
      <c r="Z1161" s="258"/>
      <c r="AA1161" s="258"/>
      <c r="AB1161" s="258"/>
      <c r="AC1161" s="407"/>
    </row>
    <row r="1162" spans="2:29" s="406" customFormat="1" ht="16.5" customHeight="1">
      <c r="B1162" s="255"/>
      <c r="C1162" s="255"/>
      <c r="D1162" s="257"/>
      <c r="E1162" s="257"/>
      <c r="F1162" s="257"/>
      <c r="G1162" s="252"/>
      <c r="H1162" s="252"/>
      <c r="I1162" s="252"/>
      <c r="J1162" s="252"/>
      <c r="K1162" s="252"/>
      <c r="L1162" s="252"/>
      <c r="M1162" s="253"/>
      <c r="N1162" s="253"/>
      <c r="O1162" s="258"/>
      <c r="P1162" s="258"/>
      <c r="Q1162" s="258"/>
      <c r="R1162" s="258"/>
      <c r="S1162" s="258"/>
      <c r="T1162" s="258"/>
      <c r="U1162" s="258"/>
      <c r="V1162" s="258"/>
      <c r="W1162" s="258"/>
      <c r="X1162" s="258"/>
      <c r="Y1162" s="258"/>
      <c r="Z1162" s="258"/>
      <c r="AA1162" s="258"/>
      <c r="AB1162" s="258"/>
      <c r="AC1162" s="407"/>
    </row>
    <row r="1163" spans="2:29" s="406" customFormat="1" ht="16.5" customHeight="1">
      <c r="B1163" s="255"/>
      <c r="C1163" s="255"/>
      <c r="D1163" s="257"/>
      <c r="E1163" s="257"/>
      <c r="F1163" s="257"/>
      <c r="G1163" s="252"/>
      <c r="H1163" s="252"/>
      <c r="I1163" s="252"/>
      <c r="J1163" s="252"/>
      <c r="K1163" s="252"/>
      <c r="L1163" s="252"/>
      <c r="M1163" s="253"/>
      <c r="N1163" s="253"/>
      <c r="O1163" s="258"/>
      <c r="P1163" s="258"/>
      <c r="Q1163" s="258"/>
      <c r="R1163" s="258"/>
      <c r="S1163" s="258"/>
      <c r="T1163" s="258"/>
      <c r="U1163" s="258"/>
      <c r="V1163" s="258"/>
      <c r="W1163" s="258"/>
      <c r="X1163" s="258"/>
      <c r="Y1163" s="258"/>
      <c r="Z1163" s="258"/>
      <c r="AA1163" s="258"/>
      <c r="AB1163" s="258"/>
      <c r="AC1163" s="407"/>
    </row>
    <row r="1164" spans="2:29" s="406" customFormat="1" ht="16.5" customHeight="1">
      <c r="B1164" s="255"/>
      <c r="C1164" s="255"/>
      <c r="D1164" s="257"/>
      <c r="E1164" s="257"/>
      <c r="F1164" s="257"/>
      <c r="G1164" s="252"/>
      <c r="H1164" s="252"/>
      <c r="I1164" s="252"/>
      <c r="J1164" s="252"/>
      <c r="K1164" s="252"/>
      <c r="L1164" s="252"/>
      <c r="M1164" s="253"/>
      <c r="N1164" s="253"/>
      <c r="O1164" s="258"/>
      <c r="P1164" s="258"/>
      <c r="Q1164" s="258"/>
      <c r="R1164" s="258"/>
      <c r="S1164" s="258"/>
      <c r="T1164" s="258"/>
      <c r="U1164" s="258"/>
      <c r="V1164" s="258"/>
      <c r="W1164" s="258"/>
      <c r="X1164" s="258"/>
      <c r="Y1164" s="258"/>
      <c r="Z1164" s="258"/>
      <c r="AA1164" s="258"/>
      <c r="AB1164" s="258"/>
      <c r="AC1164" s="407"/>
    </row>
    <row r="1165" spans="2:29" s="406" customFormat="1" ht="16.5" customHeight="1">
      <c r="B1165" s="255"/>
      <c r="C1165" s="255"/>
      <c r="D1165" s="257"/>
      <c r="E1165" s="257"/>
      <c r="F1165" s="257"/>
      <c r="G1165" s="252"/>
      <c r="H1165" s="252"/>
      <c r="I1165" s="252"/>
      <c r="J1165" s="252"/>
      <c r="K1165" s="252"/>
      <c r="L1165" s="252"/>
      <c r="M1165" s="253"/>
      <c r="N1165" s="253"/>
      <c r="O1165" s="258"/>
      <c r="P1165" s="258"/>
      <c r="Q1165" s="258"/>
      <c r="R1165" s="258"/>
      <c r="S1165" s="258"/>
      <c r="T1165" s="258"/>
      <c r="U1165" s="258"/>
      <c r="V1165" s="258"/>
      <c r="W1165" s="258"/>
      <c r="X1165" s="258"/>
      <c r="Y1165" s="258"/>
      <c r="Z1165" s="258"/>
      <c r="AA1165" s="258"/>
      <c r="AB1165" s="258"/>
      <c r="AC1165" s="407"/>
    </row>
    <row r="1166" spans="2:29" s="406" customFormat="1" ht="16.5" customHeight="1">
      <c r="B1166" s="255"/>
      <c r="C1166" s="255"/>
      <c r="D1166" s="257"/>
      <c r="E1166" s="257"/>
      <c r="F1166" s="257"/>
      <c r="G1166" s="252"/>
      <c r="H1166" s="252"/>
      <c r="I1166" s="252"/>
      <c r="J1166" s="252"/>
      <c r="K1166" s="252"/>
      <c r="L1166" s="252"/>
      <c r="M1166" s="253"/>
      <c r="N1166" s="253"/>
      <c r="O1166" s="258"/>
      <c r="P1166" s="258"/>
      <c r="Q1166" s="258"/>
      <c r="R1166" s="258"/>
      <c r="S1166" s="258"/>
      <c r="T1166" s="258"/>
      <c r="U1166" s="258"/>
      <c r="V1166" s="258"/>
      <c r="W1166" s="258"/>
      <c r="X1166" s="258"/>
      <c r="Y1166" s="258"/>
      <c r="Z1166" s="258"/>
      <c r="AA1166" s="258"/>
      <c r="AB1166" s="258"/>
      <c r="AC1166" s="407"/>
    </row>
    <row r="1167" spans="2:29" s="406" customFormat="1" ht="16.5" customHeight="1">
      <c r="B1167" s="255"/>
      <c r="C1167" s="255"/>
      <c r="D1167" s="257"/>
      <c r="E1167" s="257"/>
      <c r="F1167" s="257"/>
      <c r="G1167" s="252"/>
      <c r="H1167" s="252"/>
      <c r="I1167" s="252"/>
      <c r="J1167" s="252"/>
      <c r="K1167" s="252"/>
      <c r="L1167" s="252"/>
      <c r="M1167" s="253"/>
      <c r="N1167" s="253"/>
      <c r="O1167" s="258"/>
      <c r="P1167" s="258"/>
      <c r="Q1167" s="258"/>
      <c r="R1167" s="258"/>
      <c r="S1167" s="258"/>
      <c r="T1167" s="258"/>
      <c r="U1167" s="258"/>
      <c r="V1167" s="258"/>
      <c r="W1167" s="258"/>
      <c r="X1167" s="258"/>
      <c r="Y1167" s="258"/>
      <c r="Z1167" s="258"/>
      <c r="AA1167" s="258"/>
      <c r="AB1167" s="258"/>
      <c r="AC1167" s="407"/>
    </row>
    <row r="1168" spans="2:29" s="406" customFormat="1" ht="16.5" customHeight="1">
      <c r="B1168" s="255"/>
      <c r="C1168" s="255"/>
      <c r="D1168" s="257"/>
      <c r="E1168" s="257"/>
      <c r="F1168" s="257"/>
      <c r="G1168" s="252"/>
      <c r="H1168" s="252"/>
      <c r="I1168" s="252"/>
      <c r="J1168" s="252"/>
      <c r="K1168" s="252"/>
      <c r="L1168" s="252"/>
      <c r="M1168" s="253"/>
      <c r="N1168" s="253"/>
      <c r="O1168" s="258"/>
      <c r="P1168" s="258"/>
      <c r="Q1168" s="258"/>
      <c r="R1168" s="258"/>
      <c r="S1168" s="258"/>
      <c r="T1168" s="258"/>
      <c r="U1168" s="258"/>
      <c r="V1168" s="258"/>
      <c r="W1168" s="258"/>
      <c r="X1168" s="258"/>
      <c r="Y1168" s="258"/>
      <c r="Z1168" s="258"/>
      <c r="AA1168" s="258"/>
      <c r="AB1168" s="258"/>
      <c r="AC1168" s="407"/>
    </row>
    <row r="1169" spans="2:29" s="406" customFormat="1" ht="16.5" customHeight="1">
      <c r="B1169" s="255"/>
      <c r="C1169" s="255"/>
      <c r="D1169" s="257"/>
      <c r="E1169" s="257"/>
      <c r="F1169" s="257"/>
      <c r="G1169" s="252"/>
      <c r="H1169" s="252"/>
      <c r="I1169" s="252"/>
      <c r="J1169" s="252"/>
      <c r="K1169" s="252"/>
      <c r="L1169" s="252"/>
      <c r="M1169" s="253"/>
      <c r="N1169" s="253"/>
      <c r="O1169" s="258"/>
      <c r="P1169" s="258"/>
      <c r="Q1169" s="258"/>
      <c r="R1169" s="258"/>
      <c r="S1169" s="258"/>
      <c r="T1169" s="258"/>
      <c r="U1169" s="258"/>
      <c r="V1169" s="258"/>
      <c r="W1169" s="258"/>
      <c r="X1169" s="258"/>
      <c r="Y1169" s="258"/>
      <c r="Z1169" s="258"/>
      <c r="AA1169" s="258"/>
      <c r="AB1169" s="258"/>
      <c r="AC1169" s="407"/>
    </row>
    <row r="1170" spans="2:29" s="406" customFormat="1" ht="16.5" customHeight="1">
      <c r="B1170" s="255"/>
      <c r="C1170" s="255"/>
      <c r="D1170" s="257"/>
      <c r="E1170" s="257"/>
      <c r="F1170" s="257"/>
      <c r="G1170" s="252"/>
      <c r="H1170" s="252"/>
      <c r="I1170" s="252"/>
      <c r="J1170" s="252"/>
      <c r="K1170" s="252"/>
      <c r="L1170" s="252"/>
      <c r="M1170" s="253"/>
      <c r="N1170" s="253"/>
      <c r="O1170" s="258"/>
      <c r="P1170" s="258"/>
      <c r="Q1170" s="258"/>
      <c r="R1170" s="258"/>
      <c r="S1170" s="258"/>
      <c r="T1170" s="258"/>
      <c r="U1170" s="258"/>
      <c r="V1170" s="258"/>
      <c r="W1170" s="258"/>
      <c r="X1170" s="258"/>
      <c r="Y1170" s="258"/>
      <c r="Z1170" s="258"/>
      <c r="AA1170" s="258"/>
      <c r="AB1170" s="258"/>
      <c r="AC1170" s="407"/>
    </row>
    <row r="1171" spans="2:29" s="406" customFormat="1" ht="16.5" customHeight="1">
      <c r="B1171" s="255"/>
      <c r="C1171" s="255"/>
      <c r="D1171" s="257"/>
      <c r="E1171" s="257"/>
      <c r="F1171" s="257"/>
      <c r="G1171" s="252"/>
      <c r="H1171" s="252"/>
      <c r="I1171" s="252"/>
      <c r="J1171" s="252"/>
      <c r="K1171" s="252"/>
      <c r="L1171" s="252"/>
      <c r="M1171" s="253"/>
      <c r="N1171" s="253"/>
      <c r="O1171" s="258"/>
      <c r="P1171" s="258"/>
      <c r="Q1171" s="258"/>
      <c r="R1171" s="258"/>
      <c r="S1171" s="258"/>
      <c r="T1171" s="258"/>
      <c r="U1171" s="258"/>
      <c r="V1171" s="258"/>
      <c r="W1171" s="258"/>
      <c r="X1171" s="258"/>
      <c r="Y1171" s="258"/>
      <c r="Z1171" s="258"/>
      <c r="AA1171" s="258"/>
      <c r="AB1171" s="258"/>
      <c r="AC1171" s="407"/>
    </row>
    <row r="1172" spans="2:29" s="406" customFormat="1" ht="16.5" customHeight="1">
      <c r="B1172" s="255"/>
      <c r="C1172" s="255"/>
      <c r="D1172" s="257"/>
      <c r="E1172" s="257"/>
      <c r="F1172" s="257"/>
      <c r="G1172" s="252"/>
      <c r="H1172" s="252"/>
      <c r="I1172" s="252"/>
      <c r="J1172" s="252"/>
      <c r="K1172" s="252"/>
      <c r="L1172" s="252"/>
      <c r="M1172" s="253"/>
      <c r="N1172" s="253"/>
      <c r="O1172" s="258"/>
      <c r="P1172" s="258"/>
      <c r="Q1172" s="258"/>
      <c r="R1172" s="258"/>
      <c r="S1172" s="258"/>
      <c r="T1172" s="258"/>
      <c r="U1172" s="258"/>
      <c r="V1172" s="258"/>
      <c r="W1172" s="258"/>
      <c r="X1172" s="258"/>
      <c r="Y1172" s="258"/>
      <c r="Z1172" s="258"/>
      <c r="AA1172" s="258"/>
      <c r="AB1172" s="258"/>
      <c r="AC1172" s="407"/>
    </row>
    <row r="1173" spans="2:29" s="406" customFormat="1" ht="16.5" customHeight="1">
      <c r="B1173" s="255"/>
      <c r="C1173" s="255"/>
      <c r="D1173" s="257"/>
      <c r="E1173" s="257"/>
      <c r="F1173" s="257"/>
      <c r="G1173" s="252"/>
      <c r="H1173" s="252"/>
      <c r="I1173" s="252"/>
      <c r="J1173" s="252"/>
      <c r="K1173" s="252"/>
      <c r="L1173" s="252"/>
      <c r="M1173" s="253"/>
      <c r="N1173" s="253"/>
      <c r="O1173" s="258"/>
      <c r="P1173" s="258"/>
      <c r="Q1173" s="258"/>
      <c r="R1173" s="258"/>
      <c r="S1173" s="258"/>
      <c r="T1173" s="258"/>
      <c r="U1173" s="258"/>
      <c r="V1173" s="258"/>
      <c r="W1173" s="258"/>
      <c r="X1173" s="258"/>
      <c r="Y1173" s="258"/>
      <c r="Z1173" s="258"/>
      <c r="AA1173" s="258"/>
      <c r="AB1173" s="258"/>
      <c r="AC1173" s="407"/>
    </row>
    <row r="1174" spans="2:29" s="406" customFormat="1" ht="16.5" customHeight="1">
      <c r="B1174" s="255"/>
      <c r="C1174" s="255"/>
      <c r="D1174" s="257"/>
      <c r="E1174" s="257"/>
      <c r="F1174" s="257"/>
      <c r="G1174" s="252"/>
      <c r="H1174" s="252"/>
      <c r="I1174" s="252"/>
      <c r="J1174" s="252"/>
      <c r="K1174" s="252"/>
      <c r="L1174" s="252"/>
      <c r="M1174" s="253"/>
      <c r="N1174" s="253"/>
      <c r="O1174" s="258"/>
      <c r="P1174" s="258"/>
      <c r="Q1174" s="258"/>
      <c r="R1174" s="258"/>
      <c r="S1174" s="258"/>
      <c r="T1174" s="258"/>
      <c r="U1174" s="258"/>
      <c r="V1174" s="258"/>
      <c r="W1174" s="258"/>
      <c r="X1174" s="258"/>
      <c r="Y1174" s="258"/>
      <c r="Z1174" s="258"/>
      <c r="AA1174" s="258"/>
      <c r="AB1174" s="258"/>
      <c r="AC1174" s="407"/>
    </row>
    <row r="1175" spans="2:29" s="406" customFormat="1" ht="16.5" customHeight="1">
      <c r="B1175" s="255"/>
      <c r="C1175" s="255"/>
      <c r="D1175" s="257"/>
      <c r="E1175" s="257"/>
      <c r="F1175" s="257"/>
      <c r="G1175" s="252"/>
      <c r="H1175" s="252"/>
      <c r="I1175" s="252"/>
      <c r="J1175" s="252"/>
      <c r="K1175" s="252"/>
      <c r="L1175" s="252"/>
      <c r="M1175" s="253"/>
      <c r="N1175" s="253"/>
      <c r="O1175" s="258"/>
      <c r="P1175" s="258"/>
      <c r="Q1175" s="258"/>
      <c r="R1175" s="258"/>
      <c r="S1175" s="258"/>
      <c r="T1175" s="258"/>
      <c r="U1175" s="258"/>
      <c r="V1175" s="258"/>
      <c r="W1175" s="258"/>
      <c r="X1175" s="258"/>
      <c r="Y1175" s="258"/>
      <c r="Z1175" s="258"/>
      <c r="AA1175" s="258"/>
      <c r="AB1175" s="258"/>
      <c r="AC1175" s="407"/>
    </row>
    <row r="1176" spans="2:29" s="406" customFormat="1" ht="16.5" customHeight="1">
      <c r="B1176" s="255"/>
      <c r="C1176" s="255"/>
      <c r="D1176" s="257"/>
      <c r="E1176" s="257"/>
      <c r="F1176" s="257"/>
      <c r="G1176" s="252"/>
      <c r="H1176" s="252"/>
      <c r="I1176" s="252"/>
      <c r="J1176" s="252"/>
      <c r="K1176" s="252"/>
      <c r="L1176" s="252"/>
      <c r="M1176" s="253"/>
      <c r="N1176" s="253"/>
      <c r="O1176" s="258"/>
      <c r="P1176" s="258"/>
      <c r="Q1176" s="258"/>
      <c r="R1176" s="258"/>
      <c r="S1176" s="258"/>
      <c r="T1176" s="258"/>
      <c r="U1176" s="258"/>
      <c r="V1176" s="258"/>
      <c r="W1176" s="258"/>
      <c r="X1176" s="258"/>
      <c r="Y1176" s="258"/>
      <c r="Z1176" s="258"/>
      <c r="AA1176" s="258"/>
      <c r="AB1176" s="258"/>
      <c r="AC1176" s="407"/>
    </row>
    <row r="1177" spans="2:29" s="406" customFormat="1" ht="16.5" customHeight="1">
      <c r="B1177" s="255"/>
      <c r="C1177" s="255"/>
      <c r="D1177" s="257"/>
      <c r="E1177" s="257"/>
      <c r="F1177" s="257"/>
      <c r="G1177" s="252"/>
      <c r="H1177" s="252"/>
      <c r="I1177" s="252"/>
      <c r="J1177" s="252"/>
      <c r="K1177" s="252"/>
      <c r="L1177" s="252"/>
      <c r="M1177" s="253"/>
      <c r="N1177" s="253"/>
      <c r="O1177" s="258"/>
      <c r="P1177" s="258"/>
      <c r="Q1177" s="258"/>
      <c r="R1177" s="258"/>
      <c r="S1177" s="258"/>
      <c r="T1177" s="258"/>
      <c r="U1177" s="258"/>
      <c r="V1177" s="258"/>
      <c r="W1177" s="258"/>
      <c r="X1177" s="258"/>
      <c r="Y1177" s="258"/>
      <c r="Z1177" s="258"/>
      <c r="AA1177" s="258"/>
      <c r="AB1177" s="258"/>
      <c r="AC1177" s="407"/>
    </row>
    <row r="1178" spans="2:29" s="406" customFormat="1" ht="16.5" customHeight="1">
      <c r="B1178" s="255"/>
      <c r="C1178" s="255"/>
      <c r="D1178" s="257"/>
      <c r="E1178" s="257"/>
      <c r="F1178" s="257"/>
      <c r="G1178" s="252"/>
      <c r="H1178" s="252"/>
      <c r="I1178" s="252"/>
      <c r="J1178" s="252"/>
      <c r="K1178" s="252"/>
      <c r="L1178" s="252"/>
      <c r="M1178" s="253"/>
      <c r="N1178" s="253"/>
      <c r="O1178" s="258"/>
      <c r="P1178" s="258"/>
      <c r="Q1178" s="258"/>
      <c r="R1178" s="258"/>
      <c r="S1178" s="258"/>
      <c r="T1178" s="258"/>
      <c r="U1178" s="258"/>
      <c r="V1178" s="258"/>
      <c r="W1178" s="258"/>
      <c r="X1178" s="258"/>
      <c r="Y1178" s="258"/>
      <c r="Z1178" s="258"/>
      <c r="AA1178" s="258"/>
      <c r="AB1178" s="258"/>
      <c r="AC1178" s="407"/>
    </row>
    <row r="1179" spans="2:29" s="406" customFormat="1" ht="16.5" customHeight="1">
      <c r="B1179" s="255"/>
      <c r="C1179" s="255"/>
      <c r="D1179" s="257"/>
      <c r="E1179" s="257"/>
      <c r="F1179" s="257"/>
      <c r="G1179" s="252"/>
      <c r="H1179" s="252"/>
      <c r="I1179" s="252"/>
      <c r="J1179" s="252"/>
      <c r="K1179" s="252"/>
      <c r="L1179" s="252"/>
      <c r="M1179" s="253"/>
      <c r="N1179" s="253"/>
      <c r="O1179" s="258"/>
      <c r="P1179" s="258"/>
      <c r="Q1179" s="258"/>
      <c r="R1179" s="258"/>
      <c r="S1179" s="258"/>
      <c r="T1179" s="258"/>
      <c r="U1179" s="258"/>
      <c r="V1179" s="258"/>
      <c r="W1179" s="258"/>
      <c r="X1179" s="258"/>
      <c r="Y1179" s="258"/>
      <c r="Z1179" s="258"/>
      <c r="AA1179" s="258"/>
      <c r="AB1179" s="258"/>
      <c r="AC1179" s="407"/>
    </row>
    <row r="1180" spans="2:29" s="406" customFormat="1" ht="16.5" customHeight="1">
      <c r="B1180" s="255"/>
      <c r="C1180" s="255"/>
      <c r="D1180" s="257"/>
      <c r="E1180" s="257"/>
      <c r="F1180" s="257"/>
      <c r="G1180" s="252"/>
      <c r="H1180" s="252"/>
      <c r="I1180" s="252"/>
      <c r="J1180" s="252"/>
      <c r="K1180" s="252"/>
      <c r="L1180" s="252"/>
      <c r="M1180" s="253"/>
      <c r="N1180" s="253"/>
      <c r="O1180" s="258"/>
      <c r="P1180" s="258"/>
      <c r="Q1180" s="258"/>
      <c r="R1180" s="258"/>
      <c r="S1180" s="258"/>
      <c r="T1180" s="258"/>
      <c r="U1180" s="258"/>
      <c r="V1180" s="258"/>
      <c r="W1180" s="258"/>
      <c r="X1180" s="258"/>
      <c r="Y1180" s="258"/>
      <c r="Z1180" s="258"/>
      <c r="AA1180" s="258"/>
      <c r="AB1180" s="258"/>
      <c r="AC1180" s="407"/>
    </row>
    <row r="1181" spans="2:29" s="406" customFormat="1" ht="16.5" customHeight="1">
      <c r="B1181" s="255"/>
      <c r="C1181" s="255"/>
      <c r="D1181" s="257"/>
      <c r="E1181" s="257"/>
      <c r="F1181" s="257"/>
      <c r="G1181" s="252"/>
      <c r="H1181" s="252"/>
      <c r="I1181" s="252"/>
      <c r="J1181" s="252"/>
      <c r="K1181" s="252"/>
      <c r="L1181" s="252"/>
      <c r="M1181" s="253"/>
      <c r="N1181" s="253"/>
      <c r="O1181" s="258"/>
      <c r="P1181" s="258"/>
      <c r="Q1181" s="258"/>
      <c r="R1181" s="258"/>
      <c r="S1181" s="258"/>
      <c r="T1181" s="258"/>
      <c r="U1181" s="258"/>
      <c r="V1181" s="258"/>
      <c r="W1181" s="258"/>
      <c r="X1181" s="258"/>
      <c r="Y1181" s="258"/>
      <c r="Z1181" s="258"/>
      <c r="AA1181" s="258"/>
      <c r="AB1181" s="258"/>
      <c r="AC1181" s="407"/>
    </row>
    <row r="1182" spans="2:29" s="406" customFormat="1" ht="16.5" customHeight="1">
      <c r="B1182" s="255"/>
      <c r="C1182" s="255"/>
      <c r="D1182" s="257"/>
      <c r="E1182" s="257"/>
      <c r="F1182" s="257"/>
      <c r="G1182" s="252"/>
      <c r="H1182" s="252"/>
      <c r="I1182" s="252"/>
      <c r="J1182" s="252"/>
      <c r="K1182" s="252"/>
      <c r="L1182" s="252"/>
      <c r="M1182" s="253"/>
      <c r="N1182" s="253"/>
      <c r="O1182" s="258"/>
      <c r="P1182" s="258"/>
      <c r="Q1182" s="258"/>
      <c r="R1182" s="258"/>
      <c r="S1182" s="258"/>
      <c r="T1182" s="258"/>
      <c r="U1182" s="258"/>
      <c r="V1182" s="258"/>
      <c r="W1182" s="258"/>
      <c r="X1182" s="258"/>
      <c r="Y1182" s="258"/>
      <c r="Z1182" s="258"/>
      <c r="AA1182" s="258"/>
      <c r="AB1182" s="258"/>
      <c r="AC1182" s="407"/>
    </row>
    <row r="1183" spans="2:29" s="406" customFormat="1" ht="16.5" customHeight="1">
      <c r="B1183" s="255"/>
      <c r="C1183" s="255"/>
      <c r="D1183" s="257"/>
      <c r="E1183" s="257"/>
      <c r="F1183" s="257"/>
      <c r="G1183" s="252"/>
      <c r="H1183" s="252"/>
      <c r="I1183" s="252"/>
      <c r="J1183" s="252"/>
      <c r="K1183" s="252"/>
      <c r="L1183" s="252"/>
      <c r="M1183" s="253"/>
      <c r="N1183" s="253"/>
      <c r="O1183" s="258"/>
      <c r="P1183" s="258"/>
      <c r="Q1183" s="258"/>
      <c r="R1183" s="258"/>
      <c r="S1183" s="258"/>
      <c r="T1183" s="258"/>
      <c r="U1183" s="258"/>
      <c r="V1183" s="258"/>
      <c r="W1183" s="258"/>
      <c r="X1183" s="258"/>
      <c r="Y1183" s="258"/>
      <c r="Z1183" s="258"/>
      <c r="AA1183" s="258"/>
      <c r="AB1183" s="258"/>
      <c r="AC1183" s="407"/>
    </row>
    <row r="1184" spans="2:29" s="406" customFormat="1" ht="16.5" customHeight="1">
      <c r="B1184" s="255"/>
      <c r="C1184" s="255"/>
      <c r="D1184" s="257"/>
      <c r="E1184" s="257"/>
      <c r="F1184" s="257"/>
      <c r="G1184" s="252"/>
      <c r="H1184" s="252"/>
      <c r="I1184" s="252"/>
      <c r="J1184" s="252"/>
      <c r="K1184" s="252"/>
      <c r="L1184" s="252"/>
      <c r="M1184" s="253"/>
      <c r="N1184" s="253"/>
      <c r="O1184" s="258"/>
      <c r="P1184" s="258"/>
      <c r="Q1184" s="258"/>
      <c r="R1184" s="258"/>
      <c r="S1184" s="258"/>
      <c r="T1184" s="258"/>
      <c r="U1184" s="258"/>
      <c r="V1184" s="258"/>
      <c r="W1184" s="258"/>
      <c r="X1184" s="258"/>
      <c r="Y1184" s="258"/>
      <c r="Z1184" s="258"/>
      <c r="AA1184" s="258"/>
      <c r="AB1184" s="258"/>
      <c r="AC1184" s="407"/>
    </row>
    <row r="1185" spans="2:29" s="406" customFormat="1" ht="16.5" customHeight="1">
      <c r="B1185" s="255"/>
      <c r="C1185" s="255"/>
      <c r="D1185" s="257"/>
      <c r="E1185" s="257"/>
      <c r="F1185" s="257"/>
      <c r="G1185" s="252"/>
      <c r="H1185" s="252"/>
      <c r="I1185" s="252"/>
      <c r="J1185" s="252"/>
      <c r="K1185" s="252"/>
      <c r="L1185" s="252"/>
      <c r="M1185" s="253"/>
      <c r="N1185" s="253"/>
      <c r="O1185" s="258"/>
      <c r="P1185" s="258"/>
      <c r="Q1185" s="258"/>
      <c r="R1185" s="258"/>
      <c r="S1185" s="258"/>
      <c r="T1185" s="258"/>
      <c r="U1185" s="258"/>
      <c r="V1185" s="258"/>
      <c r="W1185" s="258"/>
      <c r="X1185" s="258"/>
      <c r="Y1185" s="258"/>
      <c r="Z1185" s="258"/>
      <c r="AA1185" s="258"/>
      <c r="AB1185" s="258"/>
      <c r="AC1185" s="407"/>
    </row>
    <row r="1186" spans="2:29" s="406" customFormat="1" ht="16.5" customHeight="1">
      <c r="B1186" s="255"/>
      <c r="C1186" s="255"/>
      <c r="D1186" s="257"/>
      <c r="E1186" s="257"/>
      <c r="F1186" s="257"/>
      <c r="G1186" s="252"/>
      <c r="H1186" s="252"/>
      <c r="I1186" s="252"/>
      <c r="J1186" s="252"/>
      <c r="K1186" s="252"/>
      <c r="L1186" s="252"/>
      <c r="M1186" s="253"/>
      <c r="N1186" s="253"/>
      <c r="O1186" s="258"/>
      <c r="P1186" s="258"/>
      <c r="Q1186" s="258"/>
      <c r="R1186" s="258"/>
      <c r="S1186" s="258"/>
      <c r="T1186" s="258"/>
      <c r="U1186" s="258"/>
      <c r="V1186" s="258"/>
      <c r="W1186" s="258"/>
      <c r="X1186" s="258"/>
      <c r="Y1186" s="258"/>
      <c r="Z1186" s="258"/>
      <c r="AA1186" s="258"/>
      <c r="AB1186" s="258"/>
      <c r="AC1186" s="407"/>
    </row>
    <row r="1187" spans="2:29" s="406" customFormat="1" ht="16.5" customHeight="1">
      <c r="B1187" s="255"/>
      <c r="C1187" s="255"/>
      <c r="D1187" s="257"/>
      <c r="E1187" s="257"/>
      <c r="F1187" s="257"/>
      <c r="G1187" s="252"/>
      <c r="H1187" s="252"/>
      <c r="I1187" s="252"/>
      <c r="J1187" s="252"/>
      <c r="K1187" s="252"/>
      <c r="L1187" s="252"/>
      <c r="M1187" s="253"/>
      <c r="N1187" s="253"/>
      <c r="O1187" s="258"/>
      <c r="P1187" s="258"/>
      <c r="Q1187" s="258"/>
      <c r="R1187" s="258"/>
      <c r="S1187" s="258"/>
      <c r="T1187" s="258"/>
      <c r="U1187" s="258"/>
      <c r="V1187" s="258"/>
      <c r="W1187" s="258"/>
      <c r="X1187" s="258"/>
      <c r="Y1187" s="258"/>
      <c r="Z1187" s="258"/>
      <c r="AA1187" s="258"/>
      <c r="AB1187" s="258"/>
      <c r="AC1187" s="407"/>
    </row>
    <row r="1188" spans="2:29" s="406" customFormat="1" ht="16.5" customHeight="1">
      <c r="B1188" s="255"/>
      <c r="C1188" s="255"/>
      <c r="D1188" s="257"/>
      <c r="E1188" s="257"/>
      <c r="F1188" s="257"/>
      <c r="G1188" s="252"/>
      <c r="H1188" s="252"/>
      <c r="I1188" s="252"/>
      <c r="J1188" s="252"/>
      <c r="K1188" s="252"/>
      <c r="L1188" s="252"/>
      <c r="M1188" s="253"/>
      <c r="N1188" s="253"/>
      <c r="O1188" s="258"/>
      <c r="P1188" s="258"/>
      <c r="Q1188" s="258"/>
      <c r="R1188" s="258"/>
      <c r="S1188" s="258"/>
      <c r="T1188" s="258"/>
      <c r="U1188" s="258"/>
      <c r="V1188" s="258"/>
      <c r="W1188" s="258"/>
      <c r="X1188" s="258"/>
      <c r="Y1188" s="258"/>
      <c r="Z1188" s="258"/>
      <c r="AA1188" s="258"/>
      <c r="AB1188" s="258"/>
      <c r="AC1188" s="407"/>
    </row>
    <row r="1189" spans="2:29" s="406" customFormat="1" ht="16.5" customHeight="1">
      <c r="B1189" s="255"/>
      <c r="C1189" s="255"/>
      <c r="D1189" s="257"/>
      <c r="E1189" s="257"/>
      <c r="F1189" s="257"/>
      <c r="G1189" s="252"/>
      <c r="H1189" s="252"/>
      <c r="I1189" s="252"/>
      <c r="J1189" s="252"/>
      <c r="K1189" s="252"/>
      <c r="L1189" s="252"/>
      <c r="M1189" s="253"/>
      <c r="N1189" s="253"/>
      <c r="O1189" s="258"/>
      <c r="P1189" s="258"/>
      <c r="Q1189" s="258"/>
      <c r="R1189" s="258"/>
      <c r="S1189" s="258"/>
      <c r="T1189" s="258"/>
      <c r="U1189" s="258"/>
      <c r="V1189" s="258"/>
      <c r="W1189" s="258"/>
      <c r="X1189" s="258"/>
      <c r="Y1189" s="258"/>
      <c r="Z1189" s="258"/>
      <c r="AA1189" s="258"/>
      <c r="AB1189" s="258"/>
      <c r="AC1189" s="407"/>
    </row>
    <row r="1190" spans="2:29" s="406" customFormat="1" ht="16.5" customHeight="1">
      <c r="B1190" s="255"/>
      <c r="C1190" s="255"/>
      <c r="D1190" s="257"/>
      <c r="E1190" s="257"/>
      <c r="F1190" s="257"/>
      <c r="G1190" s="252"/>
      <c r="H1190" s="252"/>
      <c r="I1190" s="252"/>
      <c r="J1190" s="252"/>
      <c r="K1190" s="252"/>
      <c r="L1190" s="252"/>
      <c r="M1190" s="253"/>
      <c r="N1190" s="253"/>
      <c r="O1190" s="258"/>
      <c r="P1190" s="258"/>
      <c r="Q1190" s="258"/>
      <c r="R1190" s="258"/>
      <c r="S1190" s="258"/>
      <c r="T1190" s="258"/>
      <c r="U1190" s="258"/>
      <c r="V1190" s="258"/>
      <c r="W1190" s="258"/>
      <c r="X1190" s="258"/>
      <c r="Y1190" s="258"/>
      <c r="Z1190" s="258"/>
      <c r="AA1190" s="258"/>
      <c r="AB1190" s="258"/>
      <c r="AC1190" s="407"/>
    </row>
    <row r="1191" spans="2:29" s="406" customFormat="1" ht="16.5" customHeight="1">
      <c r="B1191" s="255"/>
      <c r="C1191" s="255"/>
      <c r="D1191" s="257"/>
      <c r="E1191" s="257"/>
      <c r="F1191" s="257"/>
      <c r="G1191" s="252"/>
      <c r="H1191" s="252"/>
      <c r="I1191" s="252"/>
      <c r="J1191" s="252"/>
      <c r="K1191" s="252"/>
      <c r="L1191" s="252"/>
      <c r="M1191" s="253"/>
      <c r="N1191" s="253"/>
      <c r="O1191" s="258"/>
      <c r="P1191" s="258"/>
      <c r="Q1191" s="258"/>
      <c r="R1191" s="258"/>
      <c r="S1191" s="258"/>
      <c r="T1191" s="258"/>
      <c r="U1191" s="258"/>
      <c r="V1191" s="258"/>
      <c r="W1191" s="258"/>
      <c r="X1191" s="258"/>
      <c r="Y1191" s="258"/>
      <c r="Z1191" s="258"/>
      <c r="AA1191" s="258"/>
      <c r="AB1191" s="258"/>
      <c r="AC1191" s="407"/>
    </row>
    <row r="1192" spans="2:29" s="406" customFormat="1" ht="16.5" customHeight="1">
      <c r="B1192" s="255"/>
      <c r="C1192" s="255"/>
      <c r="D1192" s="257"/>
      <c r="E1192" s="257"/>
      <c r="F1192" s="257"/>
      <c r="G1192" s="252"/>
      <c r="H1192" s="252"/>
      <c r="I1192" s="252"/>
      <c r="J1192" s="252"/>
      <c r="K1192" s="252"/>
      <c r="L1192" s="252"/>
      <c r="M1192" s="253"/>
      <c r="N1192" s="253"/>
      <c r="O1192" s="258"/>
      <c r="P1192" s="258"/>
      <c r="Q1192" s="258"/>
      <c r="R1192" s="258"/>
      <c r="S1192" s="258"/>
      <c r="T1192" s="258"/>
      <c r="U1192" s="258"/>
      <c r="V1192" s="258"/>
      <c r="W1192" s="258"/>
      <c r="X1192" s="258"/>
      <c r="Y1192" s="258"/>
      <c r="Z1192" s="258"/>
      <c r="AA1192" s="258"/>
      <c r="AB1192" s="258"/>
      <c r="AC1192" s="407"/>
    </row>
    <row r="1193" spans="2:29" s="406" customFormat="1" ht="16.5" customHeight="1">
      <c r="B1193" s="255"/>
      <c r="C1193" s="255"/>
      <c r="D1193" s="257"/>
      <c r="E1193" s="257"/>
      <c r="F1193" s="257"/>
      <c r="G1193" s="252"/>
      <c r="H1193" s="252"/>
      <c r="I1193" s="252"/>
      <c r="J1193" s="252"/>
      <c r="K1193" s="252"/>
      <c r="L1193" s="252"/>
      <c r="M1193" s="253"/>
      <c r="N1193" s="253"/>
      <c r="O1193" s="258"/>
      <c r="P1193" s="258"/>
      <c r="Q1193" s="258"/>
      <c r="R1193" s="258"/>
      <c r="S1193" s="258"/>
      <c r="T1193" s="258"/>
      <c r="U1193" s="258"/>
      <c r="V1193" s="258"/>
      <c r="W1193" s="258"/>
      <c r="X1193" s="258"/>
      <c r="Y1193" s="258"/>
      <c r="Z1193" s="258"/>
      <c r="AA1193" s="258"/>
      <c r="AB1193" s="258"/>
      <c r="AC1193" s="407"/>
    </row>
    <row r="1194" spans="2:29" s="406" customFormat="1" ht="16.5" customHeight="1">
      <c r="B1194" s="255"/>
      <c r="C1194" s="255"/>
      <c r="D1194" s="257"/>
      <c r="E1194" s="257"/>
      <c r="F1194" s="257"/>
      <c r="G1194" s="252"/>
      <c r="H1194" s="252"/>
      <c r="I1194" s="252"/>
      <c r="J1194" s="252"/>
      <c r="K1194" s="252"/>
      <c r="L1194" s="252"/>
      <c r="M1194" s="253"/>
      <c r="N1194" s="253"/>
      <c r="O1194" s="258"/>
      <c r="P1194" s="258"/>
      <c r="Q1194" s="258"/>
      <c r="R1194" s="258"/>
      <c r="S1194" s="258"/>
      <c r="T1194" s="258"/>
      <c r="U1194" s="258"/>
      <c r="V1194" s="258"/>
      <c r="W1194" s="258"/>
      <c r="X1194" s="258"/>
      <c r="Y1194" s="258"/>
      <c r="Z1194" s="258"/>
      <c r="AA1194" s="258"/>
      <c r="AB1194" s="258"/>
      <c r="AC1194" s="407"/>
    </row>
    <row r="1195" spans="2:29" s="406" customFormat="1" ht="16.5" customHeight="1">
      <c r="B1195" s="255"/>
      <c r="C1195" s="255"/>
      <c r="D1195" s="257"/>
      <c r="E1195" s="257"/>
      <c r="F1195" s="257"/>
      <c r="G1195" s="252"/>
      <c r="H1195" s="252"/>
      <c r="I1195" s="252"/>
      <c r="J1195" s="252"/>
      <c r="K1195" s="252"/>
      <c r="L1195" s="252"/>
      <c r="M1195" s="253"/>
      <c r="N1195" s="253"/>
      <c r="O1195" s="258"/>
      <c r="P1195" s="258"/>
      <c r="Q1195" s="258"/>
      <c r="R1195" s="258"/>
      <c r="S1195" s="258"/>
      <c r="T1195" s="258"/>
      <c r="U1195" s="258"/>
      <c r="V1195" s="258"/>
      <c r="W1195" s="258"/>
      <c r="X1195" s="258"/>
      <c r="Y1195" s="258"/>
      <c r="Z1195" s="258"/>
      <c r="AA1195" s="258"/>
      <c r="AB1195" s="258"/>
      <c r="AC1195" s="407"/>
    </row>
    <row r="1196" spans="2:29" s="406" customFormat="1" ht="16.5" customHeight="1">
      <c r="B1196" s="255"/>
      <c r="C1196" s="255"/>
      <c r="D1196" s="257"/>
      <c r="E1196" s="257"/>
      <c r="F1196" s="257"/>
      <c r="G1196" s="252"/>
      <c r="H1196" s="252"/>
      <c r="I1196" s="252"/>
      <c r="J1196" s="252"/>
      <c r="K1196" s="252"/>
      <c r="L1196" s="252"/>
      <c r="M1196" s="253"/>
      <c r="N1196" s="253"/>
      <c r="O1196" s="258"/>
      <c r="P1196" s="258"/>
      <c r="Q1196" s="258"/>
      <c r="R1196" s="258"/>
      <c r="S1196" s="258"/>
      <c r="T1196" s="258"/>
      <c r="U1196" s="258"/>
      <c r="V1196" s="258"/>
      <c r="W1196" s="258"/>
      <c r="X1196" s="258"/>
      <c r="Y1196" s="258"/>
      <c r="Z1196" s="258"/>
      <c r="AA1196" s="258"/>
      <c r="AB1196" s="258"/>
      <c r="AC1196" s="407"/>
    </row>
    <row r="1197" spans="2:29" s="406" customFormat="1" ht="16.5" customHeight="1">
      <c r="B1197" s="255"/>
      <c r="C1197" s="255"/>
      <c r="D1197" s="257"/>
      <c r="E1197" s="257"/>
      <c r="F1197" s="257"/>
      <c r="G1197" s="252"/>
      <c r="H1197" s="252"/>
      <c r="I1197" s="252"/>
      <c r="J1197" s="252"/>
      <c r="K1197" s="252"/>
      <c r="L1197" s="252"/>
      <c r="M1197" s="253"/>
      <c r="N1197" s="253"/>
      <c r="O1197" s="258"/>
      <c r="P1197" s="258"/>
      <c r="Q1197" s="258"/>
      <c r="R1197" s="258"/>
      <c r="S1197" s="258"/>
      <c r="T1197" s="258"/>
      <c r="U1197" s="258"/>
      <c r="V1197" s="258"/>
      <c r="W1197" s="258"/>
      <c r="X1197" s="258"/>
      <c r="Y1197" s="258"/>
      <c r="Z1197" s="258"/>
      <c r="AA1197" s="258"/>
      <c r="AB1197" s="258"/>
      <c r="AC1197" s="407"/>
    </row>
    <row r="1198" spans="2:29" s="406" customFormat="1" ht="16.5" customHeight="1">
      <c r="B1198" s="255"/>
      <c r="C1198" s="255"/>
      <c r="D1198" s="257"/>
      <c r="E1198" s="257"/>
      <c r="F1198" s="257"/>
      <c r="G1198" s="252"/>
      <c r="H1198" s="252"/>
      <c r="I1198" s="252"/>
      <c r="J1198" s="252"/>
      <c r="K1198" s="252"/>
      <c r="L1198" s="252"/>
      <c r="M1198" s="253"/>
      <c r="N1198" s="253"/>
      <c r="O1198" s="258"/>
      <c r="P1198" s="258"/>
      <c r="Q1198" s="258"/>
      <c r="R1198" s="258"/>
      <c r="S1198" s="258"/>
      <c r="T1198" s="258"/>
      <c r="U1198" s="258"/>
      <c r="V1198" s="258"/>
      <c r="W1198" s="258"/>
      <c r="X1198" s="258"/>
      <c r="Y1198" s="258"/>
      <c r="Z1198" s="258"/>
      <c r="AA1198" s="258"/>
      <c r="AB1198" s="258"/>
      <c r="AC1198" s="407"/>
    </row>
    <row r="1199" spans="2:29" s="406" customFormat="1" ht="16.5" customHeight="1">
      <c r="B1199" s="255"/>
      <c r="C1199" s="255"/>
      <c r="D1199" s="257"/>
      <c r="E1199" s="257"/>
      <c r="F1199" s="257"/>
      <c r="G1199" s="252"/>
      <c r="H1199" s="252"/>
      <c r="I1199" s="252"/>
      <c r="J1199" s="252"/>
      <c r="K1199" s="252"/>
      <c r="L1199" s="252"/>
      <c r="M1199" s="253"/>
      <c r="N1199" s="253"/>
      <c r="O1199" s="258"/>
      <c r="P1199" s="258"/>
      <c r="Q1199" s="258"/>
      <c r="R1199" s="258"/>
      <c r="S1199" s="258"/>
      <c r="T1199" s="258"/>
      <c r="U1199" s="258"/>
      <c r="V1199" s="258"/>
      <c r="W1199" s="258"/>
      <c r="X1199" s="258"/>
      <c r="Y1199" s="258"/>
      <c r="Z1199" s="258"/>
      <c r="AA1199" s="258"/>
      <c r="AB1199" s="258"/>
      <c r="AC1199" s="407"/>
    </row>
    <row r="1200" spans="2:29" s="406" customFormat="1" ht="16.5" customHeight="1">
      <c r="B1200" s="255"/>
      <c r="C1200" s="255"/>
      <c r="D1200" s="257"/>
      <c r="E1200" s="257"/>
      <c r="F1200" s="257"/>
      <c r="G1200" s="252"/>
      <c r="H1200" s="252"/>
      <c r="I1200" s="252"/>
      <c r="J1200" s="252"/>
      <c r="K1200" s="252"/>
      <c r="L1200" s="252"/>
      <c r="M1200" s="253"/>
      <c r="N1200" s="253"/>
      <c r="O1200" s="258"/>
      <c r="P1200" s="258"/>
      <c r="Q1200" s="258"/>
      <c r="R1200" s="258"/>
      <c r="S1200" s="258"/>
      <c r="T1200" s="258"/>
      <c r="U1200" s="258"/>
      <c r="V1200" s="258"/>
      <c r="W1200" s="258"/>
      <c r="X1200" s="258"/>
      <c r="Y1200" s="258"/>
      <c r="Z1200" s="258"/>
      <c r="AA1200" s="258"/>
      <c r="AB1200" s="258"/>
      <c r="AC1200" s="407"/>
    </row>
    <row r="1201" spans="2:29" s="406" customFormat="1" ht="16.5" customHeight="1">
      <c r="B1201" s="255"/>
      <c r="C1201" s="255"/>
      <c r="D1201" s="257"/>
      <c r="E1201" s="257"/>
      <c r="F1201" s="257"/>
      <c r="G1201" s="252"/>
      <c r="H1201" s="252"/>
      <c r="I1201" s="252"/>
      <c r="J1201" s="252"/>
      <c r="K1201" s="252"/>
      <c r="L1201" s="252"/>
      <c r="M1201" s="253"/>
      <c r="N1201" s="253"/>
      <c r="O1201" s="258"/>
      <c r="P1201" s="258"/>
      <c r="Q1201" s="258"/>
      <c r="R1201" s="258"/>
      <c r="S1201" s="258"/>
      <c r="T1201" s="258"/>
      <c r="U1201" s="258"/>
      <c r="V1201" s="258"/>
      <c r="W1201" s="258"/>
      <c r="X1201" s="258"/>
      <c r="Y1201" s="258"/>
      <c r="Z1201" s="258"/>
      <c r="AA1201" s="258"/>
      <c r="AB1201" s="258"/>
      <c r="AC1201" s="407"/>
    </row>
    <row r="1202" spans="2:29" s="406" customFormat="1" ht="16.5" customHeight="1">
      <c r="B1202" s="255"/>
      <c r="C1202" s="255"/>
      <c r="D1202" s="257"/>
      <c r="E1202" s="257"/>
      <c r="F1202" s="257"/>
      <c r="G1202" s="252"/>
      <c r="H1202" s="252"/>
      <c r="I1202" s="252"/>
      <c r="J1202" s="252"/>
      <c r="K1202" s="252"/>
      <c r="L1202" s="252"/>
      <c r="M1202" s="253"/>
      <c r="N1202" s="253"/>
      <c r="O1202" s="258"/>
      <c r="P1202" s="258"/>
      <c r="Q1202" s="258"/>
      <c r="R1202" s="258"/>
      <c r="S1202" s="258"/>
      <c r="T1202" s="258"/>
      <c r="U1202" s="258"/>
      <c r="V1202" s="258"/>
      <c r="W1202" s="258"/>
      <c r="X1202" s="258"/>
      <c r="Y1202" s="258"/>
      <c r="Z1202" s="258"/>
      <c r="AA1202" s="258"/>
      <c r="AB1202" s="258"/>
      <c r="AC1202" s="407"/>
    </row>
    <row r="1203" spans="2:29" s="406" customFormat="1" ht="16.5" customHeight="1">
      <c r="B1203" s="255"/>
      <c r="C1203" s="255"/>
      <c r="D1203" s="257"/>
      <c r="E1203" s="257"/>
      <c r="F1203" s="257"/>
      <c r="G1203" s="252"/>
      <c r="H1203" s="252"/>
      <c r="I1203" s="252"/>
      <c r="J1203" s="252"/>
      <c r="K1203" s="252"/>
      <c r="L1203" s="252"/>
      <c r="M1203" s="253"/>
      <c r="N1203" s="253"/>
      <c r="O1203" s="258"/>
      <c r="P1203" s="258"/>
      <c r="Q1203" s="258"/>
      <c r="R1203" s="258"/>
      <c r="S1203" s="258"/>
      <c r="T1203" s="258"/>
      <c r="U1203" s="258"/>
      <c r="V1203" s="258"/>
      <c r="W1203" s="258"/>
      <c r="X1203" s="258"/>
      <c r="Y1203" s="258"/>
      <c r="Z1203" s="258"/>
      <c r="AA1203" s="258"/>
      <c r="AB1203" s="258"/>
      <c r="AC1203" s="407"/>
    </row>
    <row r="1204" spans="2:29" s="406" customFormat="1" ht="16.5" customHeight="1">
      <c r="B1204" s="255"/>
      <c r="C1204" s="255"/>
      <c r="D1204" s="257"/>
      <c r="E1204" s="257"/>
      <c r="F1204" s="257"/>
      <c r="G1204" s="252"/>
      <c r="H1204" s="252"/>
      <c r="I1204" s="252"/>
      <c r="J1204" s="252"/>
      <c r="K1204" s="252"/>
      <c r="L1204" s="252"/>
      <c r="M1204" s="253"/>
      <c r="N1204" s="253"/>
      <c r="O1204" s="258"/>
      <c r="P1204" s="258"/>
      <c r="Q1204" s="258"/>
      <c r="R1204" s="258"/>
      <c r="S1204" s="258"/>
      <c r="T1204" s="258"/>
      <c r="U1204" s="258"/>
      <c r="V1204" s="258"/>
      <c r="W1204" s="258"/>
      <c r="X1204" s="258"/>
      <c r="Y1204" s="258"/>
      <c r="Z1204" s="258"/>
      <c r="AA1204" s="258"/>
      <c r="AB1204" s="258"/>
      <c r="AC1204" s="407"/>
    </row>
    <row r="1205" spans="2:29" s="406" customFormat="1" ht="16.5" customHeight="1">
      <c r="B1205" s="255"/>
      <c r="C1205" s="255"/>
      <c r="D1205" s="257"/>
      <c r="E1205" s="257"/>
      <c r="F1205" s="257"/>
      <c r="G1205" s="252"/>
      <c r="H1205" s="252"/>
      <c r="I1205" s="252"/>
      <c r="J1205" s="252"/>
      <c r="K1205" s="252"/>
      <c r="L1205" s="252"/>
      <c r="M1205" s="253"/>
      <c r="N1205" s="253"/>
      <c r="O1205" s="258"/>
      <c r="P1205" s="258"/>
      <c r="Q1205" s="258"/>
      <c r="R1205" s="258"/>
      <c r="S1205" s="258"/>
      <c r="T1205" s="258"/>
      <c r="U1205" s="258"/>
      <c r="V1205" s="258"/>
      <c r="W1205" s="258"/>
      <c r="X1205" s="258"/>
      <c r="Y1205" s="258"/>
      <c r="Z1205" s="258"/>
      <c r="AA1205" s="258"/>
      <c r="AB1205" s="258"/>
      <c r="AC1205" s="407"/>
    </row>
    <row r="1206" spans="2:29" s="406" customFormat="1" ht="16.5" customHeight="1">
      <c r="B1206" s="255"/>
      <c r="C1206" s="255"/>
      <c r="D1206" s="257"/>
      <c r="E1206" s="257"/>
      <c r="F1206" s="257"/>
      <c r="G1206" s="252"/>
      <c r="H1206" s="252"/>
      <c r="I1206" s="252"/>
      <c r="J1206" s="252"/>
      <c r="K1206" s="252"/>
      <c r="L1206" s="252"/>
      <c r="M1206" s="253"/>
      <c r="N1206" s="253"/>
      <c r="O1206" s="258"/>
      <c r="P1206" s="258"/>
      <c r="Q1206" s="258"/>
      <c r="R1206" s="258"/>
      <c r="S1206" s="258"/>
      <c r="T1206" s="258"/>
      <c r="U1206" s="258"/>
      <c r="V1206" s="258"/>
      <c r="W1206" s="258"/>
      <c r="X1206" s="258"/>
      <c r="Y1206" s="258"/>
      <c r="Z1206" s="258"/>
      <c r="AA1206" s="258"/>
      <c r="AB1206" s="258"/>
      <c r="AC1206" s="407"/>
    </row>
    <row r="1207" spans="2:29" s="406" customFormat="1" ht="16.5" customHeight="1">
      <c r="B1207" s="255"/>
      <c r="C1207" s="255"/>
      <c r="D1207" s="257"/>
      <c r="E1207" s="257"/>
      <c r="F1207" s="257"/>
      <c r="G1207" s="252"/>
      <c r="H1207" s="252"/>
      <c r="I1207" s="252"/>
      <c r="J1207" s="252"/>
      <c r="K1207" s="252"/>
      <c r="L1207" s="252"/>
      <c r="M1207" s="253"/>
      <c r="N1207" s="253"/>
      <c r="O1207" s="258"/>
      <c r="P1207" s="258"/>
      <c r="Q1207" s="258"/>
      <c r="R1207" s="258"/>
      <c r="S1207" s="258"/>
      <c r="T1207" s="258"/>
      <c r="U1207" s="258"/>
      <c r="V1207" s="258"/>
      <c r="W1207" s="258"/>
      <c r="X1207" s="258"/>
      <c r="Y1207" s="258"/>
      <c r="Z1207" s="258"/>
      <c r="AA1207" s="258"/>
      <c r="AB1207" s="258"/>
      <c r="AC1207" s="407"/>
    </row>
    <row r="1208" spans="2:29" s="406" customFormat="1" ht="16.5" customHeight="1">
      <c r="B1208" s="255"/>
      <c r="C1208" s="255"/>
      <c r="D1208" s="257"/>
      <c r="E1208" s="257"/>
      <c r="F1208" s="257"/>
      <c r="G1208" s="252"/>
      <c r="H1208" s="252"/>
      <c r="I1208" s="252"/>
      <c r="J1208" s="252"/>
      <c r="K1208" s="252"/>
      <c r="L1208" s="252"/>
      <c r="M1208" s="253"/>
      <c r="N1208" s="253"/>
      <c r="O1208" s="258"/>
      <c r="P1208" s="258"/>
      <c r="Q1208" s="258"/>
      <c r="R1208" s="258"/>
      <c r="S1208" s="258"/>
      <c r="T1208" s="258"/>
      <c r="U1208" s="258"/>
      <c r="V1208" s="258"/>
      <c r="W1208" s="258"/>
      <c r="X1208" s="258"/>
      <c r="Y1208" s="258"/>
      <c r="Z1208" s="258"/>
      <c r="AA1208" s="258"/>
      <c r="AB1208" s="258"/>
      <c r="AC1208" s="407"/>
    </row>
    <row r="1209" spans="2:29" s="406" customFormat="1" ht="16.5" customHeight="1">
      <c r="B1209" s="255"/>
      <c r="C1209" s="255"/>
      <c r="D1209" s="257"/>
      <c r="E1209" s="257"/>
      <c r="F1209" s="257"/>
      <c r="G1209" s="252"/>
      <c r="H1209" s="252"/>
      <c r="I1209" s="252"/>
      <c r="J1209" s="252"/>
      <c r="K1209" s="252"/>
      <c r="L1209" s="252"/>
      <c r="M1209" s="253"/>
      <c r="N1209" s="253"/>
      <c r="O1209" s="258"/>
      <c r="P1209" s="258"/>
      <c r="Q1209" s="258"/>
      <c r="R1209" s="258"/>
      <c r="S1209" s="258"/>
      <c r="T1209" s="258"/>
      <c r="U1209" s="258"/>
      <c r="V1209" s="258"/>
      <c r="W1209" s="258"/>
      <c r="X1209" s="258"/>
      <c r="Y1209" s="258"/>
      <c r="Z1209" s="258"/>
      <c r="AA1209" s="258"/>
      <c r="AB1209" s="258"/>
      <c r="AC1209" s="407"/>
    </row>
    <row r="1210" spans="2:29" s="406" customFormat="1" ht="16.5" customHeight="1">
      <c r="B1210" s="255"/>
      <c r="C1210" s="255"/>
      <c r="D1210" s="257"/>
      <c r="E1210" s="257"/>
      <c r="F1210" s="257"/>
      <c r="G1210" s="252"/>
      <c r="H1210" s="252"/>
      <c r="I1210" s="252"/>
      <c r="J1210" s="252"/>
      <c r="K1210" s="252"/>
      <c r="L1210" s="252"/>
      <c r="M1210" s="253"/>
      <c r="N1210" s="253"/>
      <c r="O1210" s="258"/>
      <c r="P1210" s="258"/>
      <c r="Q1210" s="258"/>
      <c r="R1210" s="258"/>
      <c r="S1210" s="258"/>
      <c r="T1210" s="258"/>
      <c r="U1210" s="258"/>
      <c r="V1210" s="258"/>
      <c r="W1210" s="258"/>
      <c r="X1210" s="258"/>
      <c r="Y1210" s="258"/>
      <c r="Z1210" s="258"/>
      <c r="AA1210" s="258"/>
      <c r="AB1210" s="258"/>
      <c r="AC1210" s="407"/>
    </row>
    <row r="1211" spans="2:29" s="406" customFormat="1" ht="16.5" customHeight="1">
      <c r="B1211" s="255"/>
      <c r="C1211" s="255"/>
      <c r="D1211" s="257"/>
      <c r="E1211" s="257"/>
      <c r="F1211" s="257"/>
      <c r="G1211" s="252"/>
      <c r="H1211" s="252"/>
      <c r="I1211" s="252"/>
      <c r="J1211" s="252"/>
      <c r="K1211" s="252"/>
      <c r="L1211" s="252"/>
      <c r="M1211" s="253"/>
      <c r="N1211" s="253"/>
      <c r="O1211" s="258"/>
      <c r="P1211" s="258"/>
      <c r="Q1211" s="258"/>
      <c r="R1211" s="258"/>
      <c r="S1211" s="258"/>
      <c r="T1211" s="258"/>
      <c r="U1211" s="258"/>
      <c r="V1211" s="258"/>
      <c r="W1211" s="258"/>
      <c r="X1211" s="258"/>
      <c r="Y1211" s="258"/>
      <c r="Z1211" s="258"/>
      <c r="AA1211" s="258"/>
      <c r="AB1211" s="258"/>
      <c r="AC1211" s="407"/>
    </row>
    <row r="1212" spans="2:29" s="406" customFormat="1" ht="16.5" customHeight="1">
      <c r="B1212" s="255"/>
      <c r="C1212" s="255"/>
      <c r="D1212" s="257"/>
      <c r="E1212" s="257"/>
      <c r="F1212" s="257"/>
      <c r="G1212" s="252"/>
      <c r="H1212" s="252"/>
      <c r="I1212" s="252"/>
      <c r="J1212" s="252"/>
      <c r="K1212" s="252"/>
      <c r="L1212" s="252"/>
      <c r="M1212" s="253"/>
      <c r="N1212" s="253"/>
      <c r="O1212" s="258"/>
      <c r="P1212" s="258"/>
      <c r="Q1212" s="258"/>
      <c r="R1212" s="258"/>
      <c r="S1212" s="258"/>
      <c r="T1212" s="258"/>
      <c r="U1212" s="258"/>
      <c r="V1212" s="258"/>
      <c r="W1212" s="258"/>
      <c r="X1212" s="258"/>
      <c r="Y1212" s="258"/>
      <c r="Z1212" s="258"/>
      <c r="AA1212" s="258"/>
      <c r="AB1212" s="258"/>
      <c r="AC1212" s="407"/>
    </row>
    <row r="1213" spans="2:29" s="406" customFormat="1" ht="16.5" customHeight="1">
      <c r="B1213" s="255"/>
      <c r="C1213" s="255"/>
      <c r="D1213" s="257"/>
      <c r="E1213" s="257"/>
      <c r="F1213" s="257"/>
      <c r="G1213" s="252"/>
      <c r="H1213" s="252"/>
      <c r="I1213" s="252"/>
      <c r="J1213" s="252"/>
      <c r="K1213" s="252"/>
      <c r="L1213" s="252"/>
      <c r="M1213" s="253"/>
      <c r="N1213" s="253"/>
      <c r="O1213" s="258"/>
      <c r="P1213" s="258"/>
      <c r="Q1213" s="258"/>
      <c r="R1213" s="258"/>
      <c r="S1213" s="258"/>
      <c r="T1213" s="258"/>
      <c r="U1213" s="258"/>
      <c r="V1213" s="258"/>
      <c r="W1213" s="258"/>
      <c r="X1213" s="258"/>
      <c r="Y1213" s="258"/>
      <c r="Z1213" s="258"/>
      <c r="AA1213" s="258"/>
      <c r="AB1213" s="258"/>
      <c r="AC1213" s="407"/>
    </row>
    <row r="1214" spans="2:29" s="406" customFormat="1" ht="16.5" customHeight="1">
      <c r="B1214" s="255"/>
      <c r="C1214" s="255"/>
      <c r="D1214" s="257"/>
      <c r="E1214" s="257"/>
      <c r="F1214" s="257"/>
      <c r="G1214" s="252"/>
      <c r="H1214" s="252"/>
      <c r="I1214" s="252"/>
      <c r="J1214" s="252"/>
      <c r="K1214" s="252"/>
      <c r="L1214" s="252"/>
      <c r="M1214" s="253"/>
      <c r="N1214" s="253"/>
      <c r="O1214" s="258"/>
      <c r="P1214" s="258"/>
      <c r="Q1214" s="258"/>
      <c r="R1214" s="258"/>
      <c r="S1214" s="258"/>
      <c r="T1214" s="258"/>
      <c r="U1214" s="258"/>
      <c r="V1214" s="258"/>
      <c r="W1214" s="258"/>
      <c r="X1214" s="258"/>
      <c r="Y1214" s="258"/>
      <c r="Z1214" s="258"/>
      <c r="AA1214" s="258"/>
      <c r="AB1214" s="258"/>
      <c r="AC1214" s="407"/>
    </row>
    <row r="1215" spans="2:29" s="406" customFormat="1" ht="16.5" customHeight="1">
      <c r="B1215" s="255"/>
      <c r="C1215" s="255"/>
      <c r="D1215" s="257"/>
      <c r="E1215" s="257"/>
      <c r="F1215" s="257"/>
      <c r="G1215" s="252"/>
      <c r="H1215" s="252"/>
      <c r="I1215" s="252"/>
      <c r="J1215" s="252"/>
      <c r="K1215" s="252"/>
      <c r="L1215" s="252"/>
      <c r="M1215" s="253"/>
      <c r="N1215" s="253"/>
      <c r="O1215" s="258"/>
      <c r="P1215" s="258"/>
      <c r="Q1215" s="258"/>
      <c r="R1215" s="258"/>
      <c r="S1215" s="258"/>
      <c r="T1215" s="258"/>
      <c r="U1215" s="258"/>
      <c r="V1215" s="258"/>
      <c r="W1215" s="258"/>
      <c r="X1215" s="258"/>
      <c r="Y1215" s="258"/>
      <c r="Z1215" s="258"/>
      <c r="AA1215" s="258"/>
      <c r="AB1215" s="258"/>
      <c r="AC1215" s="407"/>
    </row>
    <row r="1216" spans="2:29" s="406" customFormat="1" ht="16.5" customHeight="1">
      <c r="B1216" s="255"/>
      <c r="C1216" s="255"/>
      <c r="D1216" s="257"/>
      <c r="E1216" s="257"/>
      <c r="F1216" s="257"/>
      <c r="G1216" s="252"/>
      <c r="H1216" s="252"/>
      <c r="I1216" s="252"/>
      <c r="J1216" s="252"/>
      <c r="K1216" s="252"/>
      <c r="L1216" s="252"/>
      <c r="M1216" s="253"/>
      <c r="N1216" s="253"/>
      <c r="O1216" s="258"/>
      <c r="P1216" s="258"/>
      <c r="Q1216" s="258"/>
      <c r="R1216" s="258"/>
      <c r="S1216" s="258"/>
      <c r="T1216" s="258"/>
      <c r="U1216" s="258"/>
      <c r="V1216" s="258"/>
      <c r="W1216" s="258"/>
      <c r="X1216" s="258"/>
      <c r="Y1216" s="258"/>
      <c r="Z1216" s="258"/>
      <c r="AA1216" s="258"/>
      <c r="AB1216" s="258"/>
      <c r="AC1216" s="407"/>
    </row>
    <row r="1217" spans="2:29" s="406" customFormat="1" ht="16.5" customHeight="1">
      <c r="B1217" s="255"/>
      <c r="C1217" s="255"/>
      <c r="D1217" s="257"/>
      <c r="E1217" s="257"/>
      <c r="F1217" s="257"/>
      <c r="G1217" s="252"/>
      <c r="H1217" s="252"/>
      <c r="I1217" s="252"/>
      <c r="J1217" s="252"/>
      <c r="K1217" s="252"/>
      <c r="L1217" s="252"/>
      <c r="M1217" s="253"/>
      <c r="N1217" s="253"/>
      <c r="O1217" s="258"/>
      <c r="P1217" s="258"/>
      <c r="Q1217" s="258"/>
      <c r="R1217" s="258"/>
      <c r="S1217" s="258"/>
      <c r="T1217" s="258"/>
      <c r="U1217" s="258"/>
      <c r="V1217" s="258"/>
      <c r="W1217" s="258"/>
      <c r="X1217" s="258"/>
      <c r="Y1217" s="258"/>
      <c r="Z1217" s="258"/>
      <c r="AA1217" s="258"/>
      <c r="AB1217" s="258"/>
      <c r="AC1217" s="407"/>
    </row>
    <row r="1218" spans="2:29" s="406" customFormat="1" ht="16.5" customHeight="1">
      <c r="B1218" s="255"/>
      <c r="C1218" s="255"/>
      <c r="D1218" s="257"/>
      <c r="E1218" s="257"/>
      <c r="F1218" s="257"/>
      <c r="G1218" s="252"/>
      <c r="H1218" s="252"/>
      <c r="I1218" s="252"/>
      <c r="J1218" s="252"/>
      <c r="K1218" s="252"/>
      <c r="L1218" s="252"/>
      <c r="M1218" s="253"/>
      <c r="N1218" s="253"/>
      <c r="O1218" s="258"/>
      <c r="P1218" s="258"/>
      <c r="Q1218" s="258"/>
      <c r="R1218" s="258"/>
      <c r="S1218" s="258"/>
      <c r="T1218" s="258"/>
      <c r="U1218" s="258"/>
      <c r="V1218" s="258"/>
      <c r="W1218" s="258"/>
      <c r="X1218" s="258"/>
      <c r="Y1218" s="258"/>
      <c r="Z1218" s="258"/>
      <c r="AA1218" s="258"/>
      <c r="AB1218" s="258"/>
      <c r="AC1218" s="407"/>
    </row>
    <row r="1219" spans="2:29" s="406" customFormat="1" ht="16.5" customHeight="1">
      <c r="B1219" s="255"/>
      <c r="C1219" s="255"/>
      <c r="D1219" s="257"/>
      <c r="E1219" s="257"/>
      <c r="F1219" s="257"/>
      <c r="G1219" s="252"/>
      <c r="H1219" s="252"/>
      <c r="I1219" s="252"/>
      <c r="J1219" s="252"/>
      <c r="K1219" s="252"/>
      <c r="L1219" s="252"/>
      <c r="M1219" s="253"/>
      <c r="N1219" s="253"/>
      <c r="O1219" s="258"/>
      <c r="P1219" s="258"/>
      <c r="Q1219" s="258"/>
      <c r="R1219" s="258"/>
      <c r="S1219" s="258"/>
      <c r="T1219" s="258"/>
      <c r="U1219" s="258"/>
      <c r="V1219" s="258"/>
      <c r="W1219" s="258"/>
      <c r="X1219" s="258"/>
      <c r="Y1219" s="258"/>
      <c r="Z1219" s="258"/>
      <c r="AA1219" s="258"/>
      <c r="AB1219" s="258"/>
      <c r="AC1219" s="407"/>
    </row>
    <row r="1220" spans="2:29" s="406" customFormat="1" ht="16.5" customHeight="1">
      <c r="B1220" s="255"/>
      <c r="C1220" s="255"/>
      <c r="D1220" s="257"/>
      <c r="E1220" s="257"/>
      <c r="F1220" s="257"/>
      <c r="G1220" s="252"/>
      <c r="H1220" s="252"/>
      <c r="I1220" s="252"/>
      <c r="J1220" s="252"/>
      <c r="K1220" s="252"/>
      <c r="L1220" s="252"/>
      <c r="M1220" s="253"/>
      <c r="N1220" s="253"/>
      <c r="O1220" s="258"/>
      <c r="P1220" s="258"/>
      <c r="Q1220" s="258"/>
      <c r="R1220" s="258"/>
      <c r="S1220" s="258"/>
      <c r="T1220" s="258"/>
      <c r="U1220" s="258"/>
      <c r="V1220" s="258"/>
      <c r="W1220" s="258"/>
      <c r="X1220" s="258"/>
      <c r="Y1220" s="258"/>
      <c r="Z1220" s="258"/>
      <c r="AA1220" s="258"/>
      <c r="AB1220" s="258"/>
      <c r="AC1220" s="407"/>
    </row>
    <row r="1221" spans="2:29" s="406" customFormat="1" ht="16.5" customHeight="1">
      <c r="B1221" s="255"/>
      <c r="C1221" s="255"/>
      <c r="D1221" s="257"/>
      <c r="E1221" s="257"/>
      <c r="F1221" s="257"/>
      <c r="G1221" s="252"/>
      <c r="H1221" s="252"/>
      <c r="I1221" s="252"/>
      <c r="J1221" s="252"/>
      <c r="K1221" s="252"/>
      <c r="L1221" s="252"/>
      <c r="M1221" s="253"/>
      <c r="N1221" s="253"/>
      <c r="O1221" s="258"/>
      <c r="P1221" s="258"/>
      <c r="Q1221" s="258"/>
      <c r="R1221" s="258"/>
      <c r="S1221" s="258"/>
      <c r="T1221" s="258"/>
      <c r="U1221" s="258"/>
      <c r="V1221" s="258"/>
      <c r="W1221" s="258"/>
      <c r="X1221" s="258"/>
      <c r="Y1221" s="258"/>
      <c r="Z1221" s="258"/>
      <c r="AA1221" s="258"/>
      <c r="AB1221" s="258"/>
      <c r="AC1221" s="407"/>
    </row>
    <row r="1222" spans="2:29" s="406" customFormat="1" ht="16.5" customHeight="1">
      <c r="B1222" s="255"/>
      <c r="C1222" s="255"/>
      <c r="D1222" s="257"/>
      <c r="E1222" s="257"/>
      <c r="F1222" s="257"/>
      <c r="G1222" s="252"/>
      <c r="H1222" s="252"/>
      <c r="I1222" s="252"/>
      <c r="J1222" s="252"/>
      <c r="K1222" s="252"/>
      <c r="L1222" s="252"/>
      <c r="M1222" s="253"/>
      <c r="N1222" s="253"/>
      <c r="O1222" s="258"/>
      <c r="P1222" s="258"/>
      <c r="Q1222" s="258"/>
      <c r="R1222" s="258"/>
      <c r="S1222" s="258"/>
      <c r="T1222" s="258"/>
      <c r="U1222" s="258"/>
      <c r="V1222" s="258"/>
      <c r="W1222" s="258"/>
      <c r="X1222" s="258"/>
      <c r="Y1222" s="258"/>
      <c r="Z1222" s="258"/>
      <c r="AA1222" s="258"/>
      <c r="AB1222" s="258"/>
      <c r="AC1222" s="407"/>
    </row>
    <row r="1223" spans="2:29" s="406" customFormat="1" ht="16.5" customHeight="1">
      <c r="B1223" s="255"/>
      <c r="C1223" s="255"/>
      <c r="D1223" s="257"/>
      <c r="E1223" s="257"/>
      <c r="F1223" s="257"/>
      <c r="G1223" s="252"/>
      <c r="H1223" s="252"/>
      <c r="I1223" s="252"/>
      <c r="J1223" s="252"/>
      <c r="K1223" s="252"/>
      <c r="L1223" s="252"/>
      <c r="M1223" s="253"/>
      <c r="N1223" s="253"/>
      <c r="O1223" s="258"/>
      <c r="P1223" s="258"/>
      <c r="Q1223" s="258"/>
      <c r="R1223" s="258"/>
      <c r="S1223" s="258"/>
      <c r="T1223" s="258"/>
      <c r="U1223" s="258"/>
      <c r="V1223" s="258"/>
      <c r="W1223" s="258"/>
      <c r="X1223" s="258"/>
      <c r="Y1223" s="258"/>
      <c r="Z1223" s="258"/>
      <c r="AA1223" s="258"/>
      <c r="AB1223" s="258"/>
      <c r="AC1223" s="407"/>
    </row>
    <row r="1224" spans="2:29" s="406" customFormat="1" ht="16.5" customHeight="1">
      <c r="B1224" s="255"/>
      <c r="C1224" s="255"/>
      <c r="D1224" s="257"/>
      <c r="E1224" s="257"/>
      <c r="F1224" s="257"/>
      <c r="G1224" s="252"/>
      <c r="H1224" s="252"/>
      <c r="I1224" s="252"/>
      <c r="J1224" s="252"/>
      <c r="K1224" s="252"/>
      <c r="L1224" s="252"/>
      <c r="M1224" s="253"/>
      <c r="N1224" s="253"/>
      <c r="O1224" s="258"/>
      <c r="P1224" s="258"/>
      <c r="Q1224" s="258"/>
      <c r="R1224" s="258"/>
      <c r="S1224" s="258"/>
      <c r="T1224" s="258"/>
      <c r="U1224" s="258"/>
      <c r="V1224" s="258"/>
      <c r="W1224" s="258"/>
      <c r="X1224" s="258"/>
      <c r="Y1224" s="258"/>
      <c r="Z1224" s="258"/>
      <c r="AA1224" s="258"/>
      <c r="AB1224" s="258"/>
      <c r="AC1224" s="407"/>
    </row>
    <row r="1225" spans="2:29" s="406" customFormat="1" ht="16.5" customHeight="1">
      <c r="B1225" s="255"/>
      <c r="C1225" s="255"/>
      <c r="D1225" s="257"/>
      <c r="E1225" s="257"/>
      <c r="F1225" s="257"/>
      <c r="G1225" s="252"/>
      <c r="H1225" s="252"/>
      <c r="I1225" s="252"/>
      <c r="J1225" s="252"/>
      <c r="K1225" s="252"/>
      <c r="L1225" s="252"/>
      <c r="M1225" s="253"/>
      <c r="N1225" s="253"/>
      <c r="O1225" s="258"/>
      <c r="P1225" s="258"/>
      <c r="Q1225" s="258"/>
      <c r="R1225" s="258"/>
      <c r="S1225" s="258"/>
      <c r="T1225" s="258"/>
      <c r="U1225" s="258"/>
      <c r="V1225" s="258"/>
      <c r="W1225" s="258"/>
      <c r="X1225" s="258"/>
      <c r="Y1225" s="258"/>
      <c r="Z1225" s="258"/>
      <c r="AA1225" s="258"/>
      <c r="AB1225" s="258"/>
      <c r="AC1225" s="407"/>
    </row>
    <row r="1226" spans="2:29" s="406" customFormat="1" ht="16.5" customHeight="1">
      <c r="B1226" s="255"/>
      <c r="C1226" s="255"/>
      <c r="D1226" s="257"/>
      <c r="E1226" s="257"/>
      <c r="F1226" s="257"/>
      <c r="G1226" s="252"/>
      <c r="H1226" s="252"/>
      <c r="I1226" s="252"/>
      <c r="J1226" s="252"/>
      <c r="K1226" s="252"/>
      <c r="L1226" s="252"/>
      <c r="M1226" s="253"/>
      <c r="N1226" s="253"/>
      <c r="O1226" s="258"/>
      <c r="P1226" s="258"/>
      <c r="Q1226" s="258"/>
      <c r="R1226" s="258"/>
      <c r="S1226" s="258"/>
      <c r="T1226" s="258"/>
      <c r="U1226" s="258"/>
      <c r="V1226" s="258"/>
      <c r="W1226" s="258"/>
      <c r="X1226" s="258"/>
      <c r="Y1226" s="258"/>
      <c r="Z1226" s="258"/>
      <c r="AA1226" s="258"/>
      <c r="AB1226" s="258"/>
      <c r="AC1226" s="407"/>
    </row>
    <row r="1227" spans="2:29" s="406" customFormat="1" ht="16.5" customHeight="1">
      <c r="B1227" s="255"/>
      <c r="C1227" s="255"/>
      <c r="D1227" s="257"/>
      <c r="E1227" s="257"/>
      <c r="F1227" s="257"/>
      <c r="G1227" s="252"/>
      <c r="H1227" s="252"/>
      <c r="I1227" s="252"/>
      <c r="J1227" s="252"/>
      <c r="K1227" s="252"/>
      <c r="L1227" s="252"/>
      <c r="M1227" s="253"/>
      <c r="N1227" s="253"/>
      <c r="O1227" s="258"/>
      <c r="P1227" s="258"/>
      <c r="Q1227" s="258"/>
      <c r="R1227" s="258"/>
      <c r="S1227" s="258"/>
      <c r="T1227" s="258"/>
      <c r="U1227" s="258"/>
      <c r="V1227" s="258"/>
      <c r="W1227" s="258"/>
      <c r="X1227" s="258"/>
      <c r="Y1227" s="258"/>
      <c r="Z1227" s="258"/>
      <c r="AA1227" s="258"/>
      <c r="AB1227" s="258"/>
      <c r="AC1227" s="407"/>
    </row>
    <row r="1228" spans="2:29" s="406" customFormat="1" ht="16.5" customHeight="1">
      <c r="B1228" s="255"/>
      <c r="C1228" s="255"/>
      <c r="D1228" s="257"/>
      <c r="E1228" s="257"/>
      <c r="F1228" s="257"/>
      <c r="G1228" s="252"/>
      <c r="H1228" s="252"/>
      <c r="I1228" s="252"/>
      <c r="J1228" s="252"/>
      <c r="K1228" s="252"/>
      <c r="L1228" s="252"/>
      <c r="M1228" s="253"/>
      <c r="N1228" s="253"/>
      <c r="O1228" s="258"/>
      <c r="P1228" s="258"/>
      <c r="Q1228" s="258"/>
      <c r="R1228" s="258"/>
      <c r="S1228" s="258"/>
      <c r="T1228" s="258"/>
      <c r="U1228" s="258"/>
      <c r="V1228" s="258"/>
      <c r="W1228" s="258"/>
      <c r="X1228" s="258"/>
      <c r="Y1228" s="258"/>
      <c r="Z1228" s="258"/>
      <c r="AA1228" s="258"/>
      <c r="AB1228" s="258"/>
      <c r="AC1228" s="407"/>
    </row>
    <row r="1229" spans="2:29" s="406" customFormat="1" ht="16.5" customHeight="1">
      <c r="B1229" s="255"/>
      <c r="C1229" s="255"/>
      <c r="D1229" s="257"/>
      <c r="E1229" s="257"/>
      <c r="F1229" s="257"/>
      <c r="G1229" s="252"/>
      <c r="H1229" s="252"/>
      <c r="I1229" s="252"/>
      <c r="J1229" s="252"/>
      <c r="K1229" s="252"/>
      <c r="L1229" s="252"/>
      <c r="M1229" s="253"/>
      <c r="N1229" s="253"/>
      <c r="O1229" s="258"/>
      <c r="P1229" s="258"/>
      <c r="Q1229" s="258"/>
      <c r="R1229" s="258"/>
      <c r="S1229" s="258"/>
      <c r="T1229" s="258"/>
      <c r="U1229" s="258"/>
      <c r="V1229" s="258"/>
      <c r="W1229" s="258"/>
      <c r="X1229" s="258"/>
      <c r="Y1229" s="258"/>
      <c r="Z1229" s="258"/>
      <c r="AA1229" s="258"/>
      <c r="AB1229" s="258"/>
      <c r="AC1229" s="407"/>
    </row>
    <row r="1230" spans="2:29" s="406" customFormat="1" ht="16.5" customHeight="1">
      <c r="B1230" s="255"/>
      <c r="C1230" s="255"/>
      <c r="D1230" s="257"/>
      <c r="E1230" s="257"/>
      <c r="F1230" s="257"/>
      <c r="G1230" s="252"/>
      <c r="H1230" s="252"/>
      <c r="I1230" s="252"/>
      <c r="J1230" s="252"/>
      <c r="K1230" s="252"/>
      <c r="L1230" s="252"/>
      <c r="M1230" s="253"/>
      <c r="N1230" s="253"/>
      <c r="O1230" s="258"/>
      <c r="P1230" s="258"/>
      <c r="Q1230" s="258"/>
      <c r="R1230" s="258"/>
      <c r="S1230" s="258"/>
      <c r="T1230" s="258"/>
      <c r="U1230" s="258"/>
      <c r="V1230" s="258"/>
      <c r="W1230" s="258"/>
      <c r="X1230" s="258"/>
      <c r="Y1230" s="258"/>
      <c r="Z1230" s="258"/>
      <c r="AA1230" s="258"/>
      <c r="AB1230" s="258"/>
      <c r="AC1230" s="407"/>
    </row>
    <row r="1231" spans="2:29" s="406" customFormat="1" ht="16.5" customHeight="1">
      <c r="B1231" s="255"/>
      <c r="C1231" s="255"/>
      <c r="D1231" s="257"/>
      <c r="E1231" s="257"/>
      <c r="F1231" s="257"/>
      <c r="G1231" s="252"/>
      <c r="H1231" s="252"/>
      <c r="I1231" s="252"/>
      <c r="J1231" s="252"/>
      <c r="K1231" s="252"/>
      <c r="L1231" s="252"/>
      <c r="M1231" s="253"/>
      <c r="N1231" s="253"/>
      <c r="O1231" s="258"/>
      <c r="P1231" s="258"/>
      <c r="Q1231" s="258"/>
      <c r="R1231" s="258"/>
      <c r="S1231" s="258"/>
      <c r="T1231" s="258"/>
      <c r="U1231" s="258"/>
      <c r="V1231" s="258"/>
      <c r="W1231" s="258"/>
      <c r="X1231" s="258"/>
      <c r="Y1231" s="258"/>
      <c r="Z1231" s="258"/>
      <c r="AA1231" s="258"/>
      <c r="AB1231" s="258"/>
      <c r="AC1231" s="407"/>
    </row>
    <row r="1232" spans="2:29" s="406" customFormat="1" ht="16.5" customHeight="1">
      <c r="B1232" s="255"/>
      <c r="C1232" s="255"/>
      <c r="D1232" s="257"/>
      <c r="E1232" s="257"/>
      <c r="F1232" s="257"/>
      <c r="G1232" s="252"/>
      <c r="H1232" s="252"/>
      <c r="I1232" s="252"/>
      <c r="J1232" s="252"/>
      <c r="K1232" s="252"/>
      <c r="L1232" s="252"/>
      <c r="M1232" s="253"/>
      <c r="N1232" s="253"/>
      <c r="O1232" s="258"/>
      <c r="P1232" s="258"/>
      <c r="Q1232" s="258"/>
      <c r="R1232" s="258"/>
      <c r="S1232" s="258"/>
      <c r="T1232" s="258"/>
      <c r="U1232" s="258"/>
      <c r="V1232" s="258"/>
      <c r="W1232" s="258"/>
      <c r="X1232" s="258"/>
      <c r="Y1232" s="258"/>
      <c r="Z1232" s="258"/>
      <c r="AA1232" s="258"/>
      <c r="AB1232" s="258"/>
      <c r="AC1232" s="407"/>
    </row>
    <row r="1233" spans="2:29" s="406" customFormat="1" ht="16.5" customHeight="1">
      <c r="B1233" s="255"/>
      <c r="C1233" s="255"/>
      <c r="D1233" s="257"/>
      <c r="E1233" s="257"/>
      <c r="F1233" s="257"/>
      <c r="G1233" s="252"/>
      <c r="H1233" s="252"/>
      <c r="I1233" s="252"/>
      <c r="J1233" s="252"/>
      <c r="K1233" s="252"/>
      <c r="L1233" s="252"/>
      <c r="M1233" s="253"/>
      <c r="N1233" s="253"/>
      <c r="O1233" s="258"/>
      <c r="P1233" s="258"/>
      <c r="Q1233" s="258"/>
      <c r="R1233" s="258"/>
      <c r="S1233" s="258"/>
      <c r="T1233" s="258"/>
      <c r="U1233" s="258"/>
      <c r="V1233" s="258"/>
      <c r="W1233" s="258"/>
      <c r="X1233" s="258"/>
      <c r="Y1233" s="258"/>
      <c r="Z1233" s="258"/>
      <c r="AA1233" s="258"/>
      <c r="AB1233" s="258"/>
      <c r="AC1233" s="407"/>
    </row>
    <row r="1234" spans="2:29" s="406" customFormat="1" ht="16.5" customHeight="1">
      <c r="B1234" s="255"/>
      <c r="C1234" s="255"/>
      <c r="D1234" s="257"/>
      <c r="E1234" s="257"/>
      <c r="F1234" s="257"/>
      <c r="G1234" s="252"/>
      <c r="H1234" s="252"/>
      <c r="I1234" s="252"/>
      <c r="J1234" s="252"/>
      <c r="K1234" s="252"/>
      <c r="L1234" s="252"/>
      <c r="M1234" s="253"/>
      <c r="N1234" s="253"/>
      <c r="O1234" s="258"/>
      <c r="P1234" s="258"/>
      <c r="Q1234" s="258"/>
      <c r="R1234" s="258"/>
      <c r="S1234" s="258"/>
      <c r="T1234" s="258"/>
      <c r="U1234" s="258"/>
      <c r="V1234" s="258"/>
      <c r="W1234" s="258"/>
      <c r="X1234" s="258"/>
      <c r="Y1234" s="258"/>
      <c r="Z1234" s="258"/>
      <c r="AA1234" s="258"/>
      <c r="AB1234" s="258"/>
      <c r="AC1234" s="407"/>
    </row>
    <row r="1235" spans="2:29" s="406" customFormat="1" ht="16.5" customHeight="1">
      <c r="B1235" s="255"/>
      <c r="C1235" s="255"/>
      <c r="D1235" s="257"/>
      <c r="E1235" s="257"/>
      <c r="F1235" s="257"/>
      <c r="G1235" s="252"/>
      <c r="H1235" s="252"/>
      <c r="I1235" s="252"/>
      <c r="J1235" s="252"/>
      <c r="K1235" s="252"/>
      <c r="L1235" s="252"/>
      <c r="M1235" s="253"/>
      <c r="N1235" s="253"/>
      <c r="O1235" s="258"/>
      <c r="P1235" s="258"/>
      <c r="Q1235" s="258"/>
      <c r="R1235" s="258"/>
      <c r="S1235" s="258"/>
      <c r="T1235" s="258"/>
      <c r="U1235" s="258"/>
      <c r="V1235" s="258"/>
      <c r="W1235" s="258"/>
      <c r="X1235" s="258"/>
      <c r="Y1235" s="258"/>
      <c r="Z1235" s="258"/>
      <c r="AA1235" s="258"/>
      <c r="AB1235" s="258"/>
      <c r="AC1235" s="407"/>
    </row>
    <row r="1236" spans="2:29" s="406" customFormat="1" ht="16.5" customHeight="1">
      <c r="B1236" s="255"/>
      <c r="C1236" s="255"/>
      <c r="D1236" s="257"/>
      <c r="E1236" s="257"/>
      <c r="F1236" s="257"/>
      <c r="G1236" s="252"/>
      <c r="H1236" s="252"/>
      <c r="I1236" s="252"/>
      <c r="J1236" s="252"/>
      <c r="K1236" s="252"/>
      <c r="L1236" s="252"/>
      <c r="M1236" s="253"/>
      <c r="N1236" s="253"/>
      <c r="O1236" s="258"/>
      <c r="P1236" s="258"/>
      <c r="Q1236" s="258"/>
      <c r="R1236" s="258"/>
      <c r="S1236" s="258"/>
      <c r="T1236" s="258"/>
      <c r="U1236" s="258"/>
      <c r="V1236" s="258"/>
      <c r="W1236" s="258"/>
      <c r="X1236" s="258"/>
      <c r="Y1236" s="258"/>
      <c r="Z1236" s="258"/>
      <c r="AA1236" s="258"/>
      <c r="AB1236" s="258"/>
      <c r="AC1236" s="407"/>
    </row>
    <row r="1237" spans="2:29" s="406" customFormat="1" ht="16.5" customHeight="1">
      <c r="B1237" s="255"/>
      <c r="C1237" s="255"/>
      <c r="D1237" s="257"/>
      <c r="E1237" s="257"/>
      <c r="F1237" s="257"/>
      <c r="G1237" s="252"/>
      <c r="H1237" s="252"/>
      <c r="I1237" s="252"/>
      <c r="J1237" s="252"/>
      <c r="K1237" s="252"/>
      <c r="L1237" s="252"/>
      <c r="M1237" s="253"/>
      <c r="N1237" s="253"/>
      <c r="O1237" s="258"/>
      <c r="P1237" s="258"/>
      <c r="Q1237" s="258"/>
      <c r="R1237" s="258"/>
      <c r="S1237" s="258"/>
      <c r="T1237" s="258"/>
      <c r="U1237" s="258"/>
      <c r="V1237" s="258"/>
      <c r="W1237" s="258"/>
      <c r="X1237" s="258"/>
      <c r="Y1237" s="258"/>
      <c r="Z1237" s="258"/>
      <c r="AA1237" s="258"/>
      <c r="AB1237" s="258"/>
      <c r="AC1237" s="407"/>
    </row>
    <row r="1238" spans="2:29" s="406" customFormat="1" ht="16.5" customHeight="1">
      <c r="B1238" s="255"/>
      <c r="C1238" s="255"/>
      <c r="D1238" s="257"/>
      <c r="E1238" s="257"/>
      <c r="F1238" s="257"/>
      <c r="G1238" s="252"/>
      <c r="H1238" s="252"/>
      <c r="I1238" s="252"/>
      <c r="J1238" s="252"/>
      <c r="K1238" s="252"/>
      <c r="L1238" s="252"/>
      <c r="M1238" s="253"/>
      <c r="N1238" s="253"/>
      <c r="O1238" s="258"/>
      <c r="P1238" s="258"/>
      <c r="Q1238" s="258"/>
      <c r="R1238" s="258"/>
      <c r="S1238" s="258"/>
      <c r="T1238" s="258"/>
      <c r="U1238" s="258"/>
      <c r="V1238" s="258"/>
      <c r="W1238" s="258"/>
      <c r="X1238" s="258"/>
      <c r="Y1238" s="258"/>
      <c r="Z1238" s="258"/>
      <c r="AA1238" s="258"/>
      <c r="AB1238" s="258"/>
      <c r="AC1238" s="407"/>
    </row>
    <row r="1239" spans="2:29" s="406" customFormat="1" ht="16.5" customHeight="1">
      <c r="B1239" s="255"/>
      <c r="C1239" s="255"/>
      <c r="D1239" s="257"/>
      <c r="E1239" s="257"/>
      <c r="F1239" s="257"/>
      <c r="G1239" s="252"/>
      <c r="H1239" s="252"/>
      <c r="I1239" s="252"/>
      <c r="J1239" s="252"/>
      <c r="K1239" s="252"/>
      <c r="L1239" s="252"/>
      <c r="M1239" s="253"/>
      <c r="N1239" s="253"/>
      <c r="O1239" s="258"/>
      <c r="P1239" s="258"/>
      <c r="Q1239" s="258"/>
      <c r="R1239" s="258"/>
      <c r="S1239" s="258"/>
      <c r="T1239" s="258"/>
      <c r="U1239" s="258"/>
      <c r="V1239" s="258"/>
      <c r="W1239" s="258"/>
      <c r="X1239" s="258"/>
      <c r="Y1239" s="258"/>
      <c r="Z1239" s="258"/>
      <c r="AA1239" s="258"/>
      <c r="AB1239" s="258"/>
      <c r="AC1239" s="407"/>
    </row>
    <row r="1240" spans="2:29" s="406" customFormat="1" ht="16.5" customHeight="1">
      <c r="B1240" s="255"/>
      <c r="C1240" s="255"/>
      <c r="D1240" s="257"/>
      <c r="E1240" s="257"/>
      <c r="F1240" s="257"/>
      <c r="G1240" s="252"/>
      <c r="H1240" s="252"/>
      <c r="I1240" s="252"/>
      <c r="J1240" s="252"/>
      <c r="K1240" s="252"/>
      <c r="L1240" s="252"/>
      <c r="M1240" s="253"/>
      <c r="N1240" s="253"/>
      <c r="O1240" s="258"/>
      <c r="P1240" s="258"/>
      <c r="Q1240" s="258"/>
      <c r="R1240" s="258"/>
      <c r="S1240" s="258"/>
      <c r="T1240" s="258"/>
      <c r="U1240" s="258"/>
      <c r="V1240" s="258"/>
      <c r="W1240" s="258"/>
      <c r="X1240" s="258"/>
      <c r="Y1240" s="258"/>
      <c r="Z1240" s="258"/>
      <c r="AA1240" s="258"/>
      <c r="AB1240" s="258"/>
      <c r="AC1240" s="407"/>
    </row>
    <row r="1241" spans="2:29" s="406" customFormat="1" ht="16.5" customHeight="1">
      <c r="B1241" s="255"/>
      <c r="C1241" s="255"/>
      <c r="D1241" s="257"/>
      <c r="E1241" s="257"/>
      <c r="F1241" s="257"/>
      <c r="G1241" s="252"/>
      <c r="H1241" s="252"/>
      <c r="I1241" s="252"/>
      <c r="J1241" s="252"/>
      <c r="K1241" s="252"/>
      <c r="L1241" s="252"/>
      <c r="M1241" s="253"/>
      <c r="N1241" s="253"/>
      <c r="O1241" s="258"/>
      <c r="P1241" s="258"/>
      <c r="Q1241" s="258"/>
      <c r="R1241" s="258"/>
      <c r="S1241" s="258"/>
      <c r="T1241" s="258"/>
      <c r="U1241" s="258"/>
      <c r="V1241" s="258"/>
      <c r="W1241" s="258"/>
      <c r="X1241" s="258"/>
      <c r="Y1241" s="258"/>
      <c r="Z1241" s="258"/>
      <c r="AA1241" s="258"/>
      <c r="AB1241" s="258"/>
      <c r="AC1241" s="407"/>
    </row>
    <row r="1242" spans="2:29" s="406" customFormat="1" ht="16.5" customHeight="1">
      <c r="B1242" s="255"/>
      <c r="C1242" s="255"/>
      <c r="D1242" s="257"/>
      <c r="E1242" s="257"/>
      <c r="F1242" s="257"/>
      <c r="G1242" s="252"/>
      <c r="H1242" s="252"/>
      <c r="I1242" s="252"/>
      <c r="J1242" s="252"/>
      <c r="K1242" s="252"/>
      <c r="L1242" s="252"/>
      <c r="M1242" s="253"/>
      <c r="N1242" s="253"/>
      <c r="O1242" s="258"/>
      <c r="P1242" s="258"/>
      <c r="Q1242" s="258"/>
      <c r="R1242" s="258"/>
      <c r="S1242" s="258"/>
      <c r="T1242" s="258"/>
      <c r="U1242" s="258"/>
      <c r="V1242" s="258"/>
      <c r="W1242" s="258"/>
      <c r="X1242" s="258"/>
      <c r="Y1242" s="258"/>
      <c r="Z1242" s="258"/>
      <c r="AA1242" s="258"/>
      <c r="AB1242" s="258"/>
      <c r="AC1242" s="407"/>
    </row>
    <row r="1243" spans="2:29" s="406" customFormat="1" ht="16.5" customHeight="1">
      <c r="B1243" s="255"/>
      <c r="C1243" s="255"/>
      <c r="D1243" s="257"/>
      <c r="E1243" s="257"/>
      <c r="F1243" s="257"/>
      <c r="G1243" s="252"/>
      <c r="H1243" s="252"/>
      <c r="I1243" s="252"/>
      <c r="J1243" s="252"/>
      <c r="K1243" s="252"/>
      <c r="L1243" s="252"/>
      <c r="M1243" s="253"/>
      <c r="N1243" s="253"/>
      <c r="O1243" s="258"/>
      <c r="P1243" s="258"/>
      <c r="Q1243" s="258"/>
      <c r="R1243" s="258"/>
      <c r="S1243" s="258"/>
      <c r="T1243" s="258"/>
      <c r="U1243" s="258"/>
      <c r="V1243" s="258"/>
      <c r="W1243" s="258"/>
      <c r="X1243" s="258"/>
      <c r="Y1243" s="258"/>
      <c r="Z1243" s="258"/>
      <c r="AA1243" s="258"/>
      <c r="AB1243" s="258"/>
      <c r="AC1243" s="407"/>
    </row>
    <row r="1244" spans="2:29" s="406" customFormat="1" ht="16.5" customHeight="1">
      <c r="B1244" s="255"/>
      <c r="C1244" s="255"/>
      <c r="D1244" s="257"/>
      <c r="E1244" s="257"/>
      <c r="F1244" s="257"/>
      <c r="G1244" s="252"/>
      <c r="H1244" s="252"/>
      <c r="I1244" s="252"/>
      <c r="J1244" s="252"/>
      <c r="K1244" s="252"/>
      <c r="L1244" s="252"/>
      <c r="M1244" s="253"/>
      <c r="N1244" s="253"/>
      <c r="O1244" s="258"/>
      <c r="P1244" s="258"/>
      <c r="Q1244" s="258"/>
      <c r="R1244" s="258"/>
      <c r="S1244" s="258"/>
      <c r="T1244" s="258"/>
      <c r="U1244" s="258"/>
      <c r="V1244" s="258"/>
      <c r="W1244" s="258"/>
      <c r="X1244" s="258"/>
      <c r="Y1244" s="258"/>
      <c r="Z1244" s="258"/>
      <c r="AA1244" s="258"/>
      <c r="AB1244" s="258"/>
      <c r="AC1244" s="407"/>
    </row>
    <row r="1245" spans="2:29" s="406" customFormat="1" ht="16.5" customHeight="1">
      <c r="B1245" s="255"/>
      <c r="C1245" s="255"/>
      <c r="D1245" s="257"/>
      <c r="E1245" s="257"/>
      <c r="F1245" s="257"/>
      <c r="G1245" s="252"/>
      <c r="H1245" s="252"/>
      <c r="I1245" s="252"/>
      <c r="J1245" s="252"/>
      <c r="K1245" s="252"/>
      <c r="L1245" s="252"/>
      <c r="M1245" s="253"/>
      <c r="N1245" s="253"/>
      <c r="O1245" s="258"/>
      <c r="P1245" s="258"/>
      <c r="Q1245" s="258"/>
      <c r="R1245" s="258"/>
      <c r="S1245" s="258"/>
      <c r="T1245" s="258"/>
      <c r="U1245" s="258"/>
      <c r="V1245" s="258"/>
      <c r="W1245" s="258"/>
      <c r="X1245" s="258"/>
      <c r="Y1245" s="258"/>
      <c r="Z1245" s="258"/>
      <c r="AA1245" s="258"/>
      <c r="AB1245" s="258"/>
      <c r="AC1245" s="407"/>
    </row>
    <row r="1246" spans="2:29" s="406" customFormat="1" ht="16.5" customHeight="1">
      <c r="B1246" s="255"/>
      <c r="C1246" s="255"/>
      <c r="D1246" s="257"/>
      <c r="E1246" s="257"/>
      <c r="F1246" s="257"/>
      <c r="G1246" s="252"/>
      <c r="H1246" s="252"/>
      <c r="I1246" s="252"/>
      <c r="J1246" s="252"/>
      <c r="K1246" s="252"/>
      <c r="L1246" s="252"/>
      <c r="M1246" s="253"/>
      <c r="N1246" s="253"/>
      <c r="O1246" s="258"/>
      <c r="P1246" s="258"/>
      <c r="Q1246" s="258"/>
      <c r="R1246" s="258"/>
      <c r="S1246" s="258"/>
      <c r="T1246" s="258"/>
      <c r="U1246" s="258"/>
      <c r="V1246" s="258"/>
      <c r="W1246" s="258"/>
      <c r="X1246" s="258"/>
      <c r="Y1246" s="258"/>
      <c r="Z1246" s="258"/>
      <c r="AA1246" s="258"/>
      <c r="AB1246" s="258"/>
      <c r="AC1246" s="407"/>
    </row>
    <row r="1247" spans="2:29" s="406" customFormat="1" ht="16.5" customHeight="1">
      <c r="B1247" s="255"/>
      <c r="C1247" s="255"/>
      <c r="D1247" s="257"/>
      <c r="E1247" s="257"/>
      <c r="F1247" s="257"/>
      <c r="G1247" s="252"/>
      <c r="H1247" s="252"/>
      <c r="I1247" s="252"/>
      <c r="J1247" s="252"/>
      <c r="K1247" s="252"/>
      <c r="L1247" s="252"/>
      <c r="M1247" s="253"/>
      <c r="N1247" s="253"/>
      <c r="O1247" s="258"/>
      <c r="P1247" s="258"/>
      <c r="Q1247" s="258"/>
      <c r="R1247" s="258"/>
      <c r="S1247" s="258"/>
      <c r="T1247" s="258"/>
      <c r="U1247" s="258"/>
      <c r="V1247" s="258"/>
      <c r="W1247" s="258"/>
      <c r="X1247" s="258"/>
      <c r="Y1247" s="258"/>
      <c r="Z1247" s="258"/>
      <c r="AA1247" s="258"/>
      <c r="AB1247" s="258"/>
      <c r="AC1247" s="407"/>
    </row>
    <row r="1248" spans="2:29" s="406" customFormat="1" ht="16.5" customHeight="1">
      <c r="B1248" s="255"/>
      <c r="C1248" s="255"/>
      <c r="D1248" s="257"/>
      <c r="E1248" s="257"/>
      <c r="F1248" s="257"/>
      <c r="G1248" s="252"/>
      <c r="H1248" s="252"/>
      <c r="I1248" s="252"/>
      <c r="J1248" s="252"/>
      <c r="K1248" s="252"/>
      <c r="L1248" s="252"/>
      <c r="M1248" s="253"/>
      <c r="N1248" s="253"/>
      <c r="O1248" s="258"/>
      <c r="P1248" s="258"/>
      <c r="Q1248" s="258"/>
      <c r="R1248" s="258"/>
      <c r="S1248" s="258"/>
      <c r="T1248" s="258"/>
      <c r="U1248" s="258"/>
      <c r="V1248" s="258"/>
      <c r="W1248" s="258"/>
      <c r="X1248" s="258"/>
      <c r="Y1248" s="258"/>
      <c r="Z1248" s="258"/>
      <c r="AA1248" s="258"/>
      <c r="AB1248" s="258"/>
      <c r="AC1248" s="407"/>
    </row>
    <row r="1249" spans="2:29" s="406" customFormat="1" ht="16.5" customHeight="1">
      <c r="B1249" s="255"/>
      <c r="C1249" s="255"/>
      <c r="D1249" s="257"/>
      <c r="E1249" s="257"/>
      <c r="F1249" s="257"/>
      <c r="G1249" s="252"/>
      <c r="H1249" s="252"/>
      <c r="I1249" s="252"/>
      <c r="J1249" s="252"/>
      <c r="K1249" s="252"/>
      <c r="L1249" s="252"/>
      <c r="M1249" s="253"/>
      <c r="N1249" s="253"/>
      <c r="O1249" s="258"/>
      <c r="P1249" s="258"/>
      <c r="Q1249" s="258"/>
      <c r="R1249" s="258"/>
      <c r="S1249" s="258"/>
      <c r="T1249" s="258"/>
      <c r="U1249" s="258"/>
      <c r="V1249" s="258"/>
      <c r="W1249" s="258"/>
      <c r="X1249" s="258"/>
      <c r="Y1249" s="258"/>
      <c r="Z1249" s="258"/>
      <c r="AA1249" s="258"/>
      <c r="AB1249" s="258"/>
      <c r="AC1249" s="407"/>
    </row>
    <row r="1250" spans="2:29" s="406" customFormat="1" ht="16.5" customHeight="1">
      <c r="B1250" s="255"/>
      <c r="C1250" s="255"/>
      <c r="D1250" s="257"/>
      <c r="E1250" s="257"/>
      <c r="F1250" s="257"/>
      <c r="G1250" s="252"/>
      <c r="H1250" s="252"/>
      <c r="I1250" s="252"/>
      <c r="J1250" s="252"/>
      <c r="K1250" s="252"/>
      <c r="L1250" s="252"/>
      <c r="M1250" s="253"/>
      <c r="N1250" s="253"/>
      <c r="O1250" s="258"/>
      <c r="P1250" s="258"/>
      <c r="Q1250" s="258"/>
      <c r="R1250" s="258"/>
      <c r="S1250" s="258"/>
      <c r="T1250" s="258"/>
      <c r="U1250" s="258"/>
      <c r="V1250" s="258"/>
      <c r="W1250" s="258"/>
      <c r="X1250" s="258"/>
      <c r="Y1250" s="258"/>
      <c r="Z1250" s="258"/>
      <c r="AA1250" s="258"/>
      <c r="AB1250" s="258"/>
      <c r="AC1250" s="407"/>
    </row>
    <row r="1251" spans="2:29" s="406" customFormat="1" ht="16.5" customHeight="1">
      <c r="B1251" s="255"/>
      <c r="C1251" s="255"/>
      <c r="D1251" s="257"/>
      <c r="E1251" s="257"/>
      <c r="F1251" s="257"/>
      <c r="G1251" s="252"/>
      <c r="H1251" s="252"/>
      <c r="I1251" s="252"/>
      <c r="J1251" s="252"/>
      <c r="K1251" s="252"/>
      <c r="L1251" s="252"/>
      <c r="M1251" s="253"/>
      <c r="N1251" s="253"/>
      <c r="O1251" s="258"/>
      <c r="P1251" s="258"/>
      <c r="Q1251" s="258"/>
      <c r="R1251" s="258"/>
      <c r="S1251" s="258"/>
      <c r="T1251" s="258"/>
      <c r="U1251" s="258"/>
      <c r="V1251" s="258"/>
      <c r="W1251" s="258"/>
      <c r="X1251" s="258"/>
      <c r="Y1251" s="258"/>
      <c r="Z1251" s="258"/>
      <c r="AA1251" s="258"/>
      <c r="AB1251" s="258"/>
      <c r="AC1251" s="407"/>
    </row>
    <row r="1252" spans="2:29" s="406" customFormat="1" ht="16.5" customHeight="1">
      <c r="B1252" s="255"/>
      <c r="C1252" s="255"/>
      <c r="D1252" s="257"/>
      <c r="E1252" s="257"/>
      <c r="F1252" s="257"/>
      <c r="G1252" s="252"/>
      <c r="H1252" s="252"/>
      <c r="I1252" s="252"/>
      <c r="J1252" s="252"/>
      <c r="K1252" s="252"/>
      <c r="L1252" s="252"/>
      <c r="M1252" s="253"/>
      <c r="N1252" s="253"/>
      <c r="O1252" s="258"/>
      <c r="P1252" s="258"/>
      <c r="Q1252" s="258"/>
      <c r="R1252" s="258"/>
      <c r="S1252" s="258"/>
      <c r="T1252" s="258"/>
      <c r="U1252" s="258"/>
      <c r="V1252" s="258"/>
      <c r="W1252" s="258"/>
      <c r="X1252" s="258"/>
      <c r="Y1252" s="258"/>
      <c r="Z1252" s="258"/>
      <c r="AA1252" s="258"/>
      <c r="AB1252" s="258"/>
      <c r="AC1252" s="407"/>
    </row>
    <row r="1253" spans="2:29" s="406" customFormat="1" ht="16.5" customHeight="1">
      <c r="B1253" s="255"/>
      <c r="C1253" s="255"/>
      <c r="D1253" s="257"/>
      <c r="E1253" s="257"/>
      <c r="F1253" s="257"/>
      <c r="G1253" s="252"/>
      <c r="H1253" s="252"/>
      <c r="I1253" s="252"/>
      <c r="J1253" s="252"/>
      <c r="K1253" s="252"/>
      <c r="L1253" s="252"/>
      <c r="M1253" s="253"/>
      <c r="N1253" s="253"/>
      <c r="O1253" s="258"/>
      <c r="P1253" s="258"/>
      <c r="Q1253" s="258"/>
      <c r="R1253" s="258"/>
      <c r="S1253" s="258"/>
      <c r="T1253" s="258"/>
      <c r="U1253" s="258"/>
      <c r="V1253" s="258"/>
      <c r="W1253" s="258"/>
      <c r="X1253" s="258"/>
      <c r="Y1253" s="258"/>
      <c r="Z1253" s="258"/>
      <c r="AA1253" s="258"/>
      <c r="AB1253" s="258"/>
      <c r="AC1253" s="407"/>
    </row>
    <row r="1254" spans="2:29" s="406" customFormat="1" ht="16.5" customHeight="1">
      <c r="B1254" s="255"/>
      <c r="C1254" s="255"/>
      <c r="D1254" s="257"/>
      <c r="E1254" s="257"/>
      <c r="F1254" s="257"/>
      <c r="G1254" s="252"/>
      <c r="H1254" s="252"/>
      <c r="I1254" s="252"/>
      <c r="J1254" s="252"/>
      <c r="K1254" s="252"/>
      <c r="L1254" s="252"/>
      <c r="M1254" s="253"/>
      <c r="N1254" s="253"/>
      <c r="O1254" s="258"/>
      <c r="P1254" s="258"/>
      <c r="Q1254" s="258"/>
      <c r="R1254" s="258"/>
      <c r="S1254" s="258"/>
      <c r="T1254" s="258"/>
      <c r="U1254" s="258"/>
      <c r="V1254" s="258"/>
      <c r="W1254" s="258"/>
      <c r="X1254" s="258"/>
      <c r="Y1254" s="258"/>
      <c r="Z1254" s="258"/>
      <c r="AA1254" s="258"/>
      <c r="AB1254" s="258"/>
      <c r="AC1254" s="407"/>
    </row>
    <row r="1255" spans="2:29" s="406" customFormat="1" ht="16.5" customHeight="1">
      <c r="B1255" s="255"/>
      <c r="C1255" s="255"/>
      <c r="D1255" s="257"/>
      <c r="E1255" s="257"/>
      <c r="F1255" s="257"/>
      <c r="G1255" s="252"/>
      <c r="H1255" s="252"/>
      <c r="I1255" s="252"/>
      <c r="J1255" s="252"/>
      <c r="K1255" s="252"/>
      <c r="L1255" s="252"/>
      <c r="M1255" s="253"/>
      <c r="N1255" s="253"/>
      <c r="O1255" s="258"/>
      <c r="P1255" s="258"/>
      <c r="Q1255" s="258"/>
      <c r="R1255" s="258"/>
      <c r="S1255" s="258"/>
      <c r="T1255" s="258"/>
      <c r="U1255" s="258"/>
      <c r="V1255" s="258"/>
      <c r="W1255" s="258"/>
      <c r="X1255" s="258"/>
      <c r="Y1255" s="258"/>
      <c r="Z1255" s="258"/>
      <c r="AA1255" s="258"/>
      <c r="AB1255" s="258"/>
      <c r="AC1255" s="407"/>
    </row>
    <row r="1256" spans="2:29" s="406" customFormat="1" ht="16.5" customHeight="1">
      <c r="B1256" s="255"/>
      <c r="C1256" s="255"/>
      <c r="D1256" s="257"/>
      <c r="E1256" s="257"/>
      <c r="F1256" s="257"/>
      <c r="G1256" s="252"/>
      <c r="H1256" s="252"/>
      <c r="I1256" s="252"/>
      <c r="J1256" s="252"/>
      <c r="K1256" s="252"/>
      <c r="L1256" s="252"/>
      <c r="M1256" s="253"/>
      <c r="N1256" s="253"/>
      <c r="O1256" s="258"/>
      <c r="P1256" s="258"/>
      <c r="Q1256" s="258"/>
      <c r="R1256" s="258"/>
      <c r="S1256" s="258"/>
      <c r="T1256" s="258"/>
      <c r="U1256" s="258"/>
      <c r="V1256" s="258"/>
      <c r="W1256" s="258"/>
      <c r="X1256" s="258"/>
      <c r="Y1256" s="258"/>
      <c r="Z1256" s="258"/>
      <c r="AA1256" s="258"/>
      <c r="AB1256" s="258"/>
      <c r="AC1256" s="407"/>
    </row>
    <row r="1257" spans="2:29" s="406" customFormat="1" ht="16.5" customHeight="1">
      <c r="B1257" s="255"/>
      <c r="C1257" s="255"/>
      <c r="D1257" s="257"/>
      <c r="E1257" s="257"/>
      <c r="F1257" s="257"/>
      <c r="G1257" s="252"/>
      <c r="H1257" s="252"/>
      <c r="I1257" s="252"/>
      <c r="J1257" s="252"/>
      <c r="K1257" s="252"/>
      <c r="L1257" s="252"/>
      <c r="M1257" s="253"/>
      <c r="N1257" s="253"/>
      <c r="O1257" s="258"/>
      <c r="P1257" s="258"/>
      <c r="Q1257" s="258"/>
      <c r="R1257" s="258"/>
      <c r="S1257" s="258"/>
      <c r="T1257" s="258"/>
      <c r="U1257" s="258"/>
      <c r="V1257" s="258"/>
      <c r="W1257" s="258"/>
      <c r="X1257" s="258"/>
      <c r="Y1257" s="258"/>
      <c r="Z1257" s="258"/>
      <c r="AA1257" s="258"/>
      <c r="AB1257" s="258"/>
      <c r="AC1257" s="407"/>
    </row>
    <row r="1258" spans="2:29" s="406" customFormat="1" ht="16.5" customHeight="1">
      <c r="B1258" s="255"/>
      <c r="C1258" s="255"/>
      <c r="D1258" s="257"/>
      <c r="E1258" s="257"/>
      <c r="F1258" s="257"/>
      <c r="G1258" s="252"/>
      <c r="H1258" s="252"/>
      <c r="I1258" s="252"/>
      <c r="J1258" s="252"/>
      <c r="K1258" s="252"/>
      <c r="L1258" s="252"/>
      <c r="M1258" s="253"/>
      <c r="N1258" s="253"/>
      <c r="O1258" s="258"/>
      <c r="P1258" s="258"/>
      <c r="Q1258" s="258"/>
      <c r="R1258" s="258"/>
      <c r="S1258" s="258"/>
      <c r="T1258" s="258"/>
      <c r="U1258" s="258"/>
      <c r="V1258" s="258"/>
      <c r="W1258" s="258"/>
      <c r="X1258" s="258"/>
      <c r="Y1258" s="258"/>
      <c r="Z1258" s="258"/>
      <c r="AA1258" s="258"/>
      <c r="AB1258" s="258"/>
      <c r="AC1258" s="407"/>
    </row>
    <row r="1259" spans="2:29" s="406" customFormat="1" ht="16.5" customHeight="1">
      <c r="B1259" s="255"/>
      <c r="C1259" s="255"/>
      <c r="D1259" s="257"/>
      <c r="E1259" s="257"/>
      <c r="F1259" s="257"/>
      <c r="G1259" s="252"/>
      <c r="H1259" s="252"/>
      <c r="I1259" s="252"/>
      <c r="J1259" s="252"/>
      <c r="K1259" s="252"/>
      <c r="L1259" s="252"/>
      <c r="M1259" s="253"/>
      <c r="N1259" s="253"/>
      <c r="O1259" s="258"/>
      <c r="P1259" s="258"/>
      <c r="Q1259" s="258"/>
      <c r="R1259" s="258"/>
      <c r="S1259" s="258"/>
      <c r="T1259" s="258"/>
      <c r="U1259" s="258"/>
      <c r="V1259" s="258"/>
      <c r="W1259" s="258"/>
      <c r="X1259" s="258"/>
      <c r="Y1259" s="258"/>
      <c r="Z1259" s="258"/>
      <c r="AA1259" s="258"/>
      <c r="AB1259" s="258"/>
      <c r="AC1259" s="407"/>
    </row>
    <row r="1260" spans="2:29" s="406" customFormat="1" ht="16.5" customHeight="1">
      <c r="B1260" s="255"/>
      <c r="C1260" s="255"/>
      <c r="D1260" s="257"/>
      <c r="E1260" s="257"/>
      <c r="F1260" s="257"/>
      <c r="G1260" s="252"/>
      <c r="H1260" s="252"/>
      <c r="I1260" s="252"/>
      <c r="J1260" s="252"/>
      <c r="K1260" s="252"/>
      <c r="L1260" s="252"/>
      <c r="M1260" s="253"/>
      <c r="N1260" s="253"/>
      <c r="O1260" s="258"/>
      <c r="P1260" s="258"/>
      <c r="Q1260" s="258"/>
      <c r="R1260" s="258"/>
      <c r="S1260" s="258"/>
      <c r="T1260" s="258"/>
      <c r="U1260" s="258"/>
      <c r="V1260" s="258"/>
      <c r="W1260" s="258"/>
      <c r="X1260" s="258"/>
      <c r="Y1260" s="258"/>
      <c r="Z1260" s="258"/>
      <c r="AA1260" s="258"/>
      <c r="AB1260" s="258"/>
      <c r="AC1260" s="407"/>
    </row>
    <row r="1261" spans="2:29" s="406" customFormat="1" ht="16.5" customHeight="1">
      <c r="B1261" s="255"/>
      <c r="C1261" s="255"/>
      <c r="D1261" s="257"/>
      <c r="E1261" s="257"/>
      <c r="F1261" s="257"/>
      <c r="G1261" s="252"/>
      <c r="H1261" s="252"/>
      <c r="I1261" s="252"/>
      <c r="J1261" s="252"/>
      <c r="K1261" s="252"/>
      <c r="L1261" s="252"/>
      <c r="M1261" s="253"/>
      <c r="N1261" s="253"/>
      <c r="O1261" s="258"/>
      <c r="P1261" s="258"/>
      <c r="Q1261" s="258"/>
      <c r="R1261" s="258"/>
      <c r="S1261" s="258"/>
      <c r="T1261" s="258"/>
      <c r="U1261" s="258"/>
      <c r="V1261" s="258"/>
      <c r="W1261" s="258"/>
      <c r="X1261" s="258"/>
      <c r="Y1261" s="258"/>
      <c r="Z1261" s="258"/>
      <c r="AA1261" s="258"/>
      <c r="AB1261" s="258"/>
      <c r="AC1261" s="407"/>
    </row>
    <row r="1262" spans="2:29" s="406" customFormat="1" ht="16.5" customHeight="1">
      <c r="B1262" s="255"/>
      <c r="C1262" s="255"/>
      <c r="D1262" s="257"/>
      <c r="E1262" s="257"/>
      <c r="F1262" s="257"/>
      <c r="G1262" s="252"/>
      <c r="H1262" s="252"/>
      <c r="I1262" s="252"/>
      <c r="J1262" s="252"/>
      <c r="K1262" s="252"/>
      <c r="L1262" s="252"/>
      <c r="M1262" s="253"/>
      <c r="N1262" s="253"/>
      <c r="O1262" s="258"/>
      <c r="P1262" s="258"/>
      <c r="Q1262" s="258"/>
      <c r="R1262" s="258"/>
      <c r="S1262" s="258"/>
      <c r="T1262" s="258"/>
      <c r="U1262" s="258"/>
      <c r="V1262" s="258"/>
      <c r="W1262" s="258"/>
      <c r="X1262" s="258"/>
      <c r="Y1262" s="258"/>
      <c r="Z1262" s="258"/>
      <c r="AA1262" s="258"/>
      <c r="AB1262" s="258"/>
      <c r="AC1262" s="407"/>
    </row>
    <row r="1263" spans="2:29" s="406" customFormat="1" ht="16.5" customHeight="1">
      <c r="B1263" s="255"/>
      <c r="C1263" s="255"/>
      <c r="D1263" s="257"/>
      <c r="E1263" s="257"/>
      <c r="F1263" s="257"/>
      <c r="G1263" s="252"/>
      <c r="H1263" s="252"/>
      <c r="I1263" s="252"/>
      <c r="J1263" s="252"/>
      <c r="K1263" s="252"/>
      <c r="L1263" s="252"/>
      <c r="M1263" s="253"/>
      <c r="N1263" s="253"/>
      <c r="O1263" s="258"/>
      <c r="P1263" s="258"/>
      <c r="Q1263" s="258"/>
      <c r="R1263" s="258"/>
      <c r="S1263" s="258"/>
      <c r="T1263" s="258"/>
      <c r="U1263" s="258"/>
      <c r="V1263" s="258"/>
      <c r="W1263" s="258"/>
      <c r="X1263" s="258"/>
      <c r="Y1263" s="258"/>
      <c r="Z1263" s="258"/>
      <c r="AA1263" s="258"/>
      <c r="AB1263" s="258"/>
      <c r="AC1263" s="407"/>
    </row>
    <row r="1264" spans="2:29" s="406" customFormat="1" ht="16.5" customHeight="1">
      <c r="B1264" s="255"/>
      <c r="C1264" s="255"/>
      <c r="D1264" s="257"/>
      <c r="E1264" s="257"/>
      <c r="F1264" s="257"/>
      <c r="G1264" s="252"/>
      <c r="H1264" s="252"/>
      <c r="I1264" s="252"/>
      <c r="J1264" s="252"/>
      <c r="K1264" s="252"/>
      <c r="L1264" s="252"/>
      <c r="M1264" s="253"/>
      <c r="N1264" s="253"/>
      <c r="O1264" s="258"/>
      <c r="P1264" s="258"/>
      <c r="Q1264" s="258"/>
      <c r="R1264" s="258"/>
      <c r="S1264" s="258"/>
      <c r="T1264" s="258"/>
      <c r="U1264" s="258"/>
      <c r="V1264" s="258"/>
      <c r="W1264" s="258"/>
      <c r="X1264" s="258"/>
      <c r="Y1264" s="258"/>
      <c r="Z1264" s="258"/>
      <c r="AA1264" s="258"/>
      <c r="AB1264" s="258"/>
      <c r="AC1264" s="407"/>
    </row>
    <row r="1265" spans="2:29" s="406" customFormat="1" ht="16.5" customHeight="1">
      <c r="B1265" s="255"/>
      <c r="C1265" s="255"/>
      <c r="D1265" s="257"/>
      <c r="E1265" s="257"/>
      <c r="F1265" s="257"/>
      <c r="G1265" s="252"/>
      <c r="H1265" s="252"/>
      <c r="I1265" s="252"/>
      <c r="J1265" s="252"/>
      <c r="K1265" s="252"/>
      <c r="L1265" s="252"/>
      <c r="M1265" s="253"/>
      <c r="N1265" s="253"/>
      <c r="O1265" s="258"/>
      <c r="P1265" s="258"/>
      <c r="Q1265" s="258"/>
      <c r="R1265" s="258"/>
      <c r="S1265" s="258"/>
      <c r="T1265" s="258"/>
      <c r="U1265" s="258"/>
      <c r="V1265" s="258"/>
      <c r="W1265" s="258"/>
      <c r="X1265" s="258"/>
      <c r="Y1265" s="258"/>
      <c r="Z1265" s="258"/>
      <c r="AA1265" s="258"/>
      <c r="AB1265" s="258"/>
      <c r="AC1265" s="407"/>
    </row>
    <row r="1266" spans="2:29" s="406" customFormat="1" ht="16.5" customHeight="1">
      <c r="B1266" s="255"/>
      <c r="C1266" s="255"/>
      <c r="D1266" s="257"/>
      <c r="E1266" s="257"/>
      <c r="F1266" s="257"/>
      <c r="G1266" s="252"/>
      <c r="H1266" s="252"/>
      <c r="I1266" s="252"/>
      <c r="J1266" s="252"/>
      <c r="K1266" s="252"/>
      <c r="L1266" s="252"/>
      <c r="M1266" s="253"/>
      <c r="N1266" s="253"/>
      <c r="O1266" s="258"/>
      <c r="P1266" s="258"/>
      <c r="Q1266" s="258"/>
      <c r="R1266" s="258"/>
      <c r="S1266" s="258"/>
      <c r="T1266" s="258"/>
      <c r="U1266" s="258"/>
      <c r="V1266" s="258"/>
      <c r="W1266" s="258"/>
      <c r="X1266" s="258"/>
      <c r="Y1266" s="258"/>
      <c r="Z1266" s="258"/>
      <c r="AA1266" s="258"/>
      <c r="AB1266" s="258"/>
      <c r="AC1266" s="407"/>
    </row>
    <row r="1267" spans="2:29" s="406" customFormat="1" ht="16.5" customHeight="1">
      <c r="B1267" s="255"/>
      <c r="C1267" s="255"/>
      <c r="D1267" s="257"/>
      <c r="E1267" s="257"/>
      <c r="F1267" s="257"/>
      <c r="G1267" s="252"/>
      <c r="H1267" s="252"/>
      <c r="I1267" s="252"/>
      <c r="J1267" s="252"/>
      <c r="K1267" s="252"/>
      <c r="L1267" s="252"/>
      <c r="M1267" s="253"/>
      <c r="N1267" s="253"/>
      <c r="O1267" s="258"/>
      <c r="P1267" s="258"/>
      <c r="Q1267" s="258"/>
      <c r="R1267" s="258"/>
      <c r="S1267" s="258"/>
      <c r="T1267" s="258"/>
      <c r="U1267" s="258"/>
      <c r="V1267" s="258"/>
      <c r="W1267" s="258"/>
      <c r="X1267" s="258"/>
      <c r="Y1267" s="258"/>
      <c r="Z1267" s="258"/>
      <c r="AA1267" s="258"/>
      <c r="AB1267" s="258"/>
      <c r="AC1267" s="407"/>
    </row>
    <row r="1268" spans="2:29" s="406" customFormat="1" ht="16.5" customHeight="1">
      <c r="B1268" s="255"/>
      <c r="C1268" s="255"/>
      <c r="D1268" s="257"/>
      <c r="E1268" s="257"/>
      <c r="F1268" s="257"/>
      <c r="G1268" s="252"/>
      <c r="H1268" s="252"/>
      <c r="I1268" s="252"/>
      <c r="J1268" s="252"/>
      <c r="K1268" s="252"/>
      <c r="L1268" s="252"/>
      <c r="M1268" s="253"/>
      <c r="N1268" s="253"/>
      <c r="O1268" s="258"/>
      <c r="P1268" s="258"/>
      <c r="Q1268" s="258"/>
      <c r="R1268" s="258"/>
      <c r="S1268" s="258"/>
      <c r="T1268" s="258"/>
      <c r="U1268" s="258"/>
      <c r="V1268" s="258"/>
      <c r="W1268" s="258"/>
      <c r="X1268" s="258"/>
      <c r="Y1268" s="258"/>
      <c r="Z1268" s="258"/>
      <c r="AA1268" s="258"/>
      <c r="AB1268" s="258"/>
      <c r="AC1268" s="407"/>
    </row>
    <row r="1269" spans="2:29" s="406" customFormat="1" ht="16.5" customHeight="1">
      <c r="B1269" s="255"/>
      <c r="C1269" s="255"/>
      <c r="D1269" s="257"/>
      <c r="E1269" s="257"/>
      <c r="F1269" s="257"/>
      <c r="G1269" s="252"/>
      <c r="H1269" s="252"/>
      <c r="I1269" s="252"/>
      <c r="J1269" s="252"/>
      <c r="K1269" s="252"/>
      <c r="L1269" s="252"/>
      <c r="M1269" s="253"/>
      <c r="N1269" s="253"/>
      <c r="O1269" s="258"/>
      <c r="P1269" s="258"/>
      <c r="Q1269" s="258"/>
      <c r="R1269" s="258"/>
      <c r="S1269" s="258"/>
      <c r="T1269" s="258"/>
      <c r="U1269" s="258"/>
      <c r="V1269" s="258"/>
      <c r="W1269" s="258"/>
      <c r="X1269" s="258"/>
      <c r="Y1269" s="258"/>
      <c r="Z1269" s="258"/>
      <c r="AA1269" s="258"/>
      <c r="AB1269" s="258"/>
      <c r="AC1269" s="407"/>
    </row>
    <row r="1270" spans="2:29" s="406" customFormat="1" ht="16.5" customHeight="1">
      <c r="B1270" s="255"/>
      <c r="C1270" s="255"/>
      <c r="D1270" s="257"/>
      <c r="E1270" s="257"/>
      <c r="F1270" s="257"/>
      <c r="G1270" s="252"/>
      <c r="H1270" s="252"/>
      <c r="I1270" s="252"/>
      <c r="J1270" s="252"/>
      <c r="K1270" s="252"/>
      <c r="L1270" s="252"/>
      <c r="M1270" s="253"/>
      <c r="N1270" s="253"/>
      <c r="O1270" s="258"/>
      <c r="P1270" s="258"/>
      <c r="Q1270" s="258"/>
      <c r="R1270" s="258"/>
      <c r="S1270" s="258"/>
      <c r="T1270" s="258"/>
      <c r="U1270" s="258"/>
      <c r="V1270" s="258"/>
      <c r="W1270" s="258"/>
      <c r="X1270" s="258"/>
      <c r="Y1270" s="258"/>
      <c r="Z1270" s="258"/>
      <c r="AA1270" s="258"/>
      <c r="AB1270" s="258"/>
      <c r="AC1270" s="407"/>
    </row>
    <row r="1271" spans="2:29" s="406" customFormat="1" ht="16.5" customHeight="1">
      <c r="B1271" s="255"/>
      <c r="C1271" s="255"/>
      <c r="D1271" s="257"/>
      <c r="E1271" s="257"/>
      <c r="F1271" s="257"/>
      <c r="G1271" s="252"/>
      <c r="H1271" s="252"/>
      <c r="I1271" s="252"/>
      <c r="J1271" s="252"/>
      <c r="K1271" s="252"/>
      <c r="L1271" s="252"/>
      <c r="M1271" s="253"/>
      <c r="N1271" s="253"/>
      <c r="O1271" s="258"/>
      <c r="P1271" s="258"/>
      <c r="Q1271" s="258"/>
      <c r="R1271" s="258"/>
      <c r="S1271" s="258"/>
      <c r="T1271" s="258"/>
      <c r="U1271" s="258"/>
      <c r="V1271" s="258"/>
      <c r="W1271" s="258"/>
      <c r="X1271" s="258"/>
      <c r="Y1271" s="258"/>
      <c r="Z1271" s="258"/>
      <c r="AA1271" s="258"/>
      <c r="AB1271" s="258"/>
      <c r="AC1271" s="407"/>
    </row>
    <row r="1272" spans="2:29" s="406" customFormat="1" ht="16.5" customHeight="1">
      <c r="B1272" s="255"/>
      <c r="C1272" s="255"/>
      <c r="D1272" s="257"/>
      <c r="E1272" s="257"/>
      <c r="F1272" s="257"/>
      <c r="G1272" s="252"/>
      <c r="H1272" s="252"/>
      <c r="I1272" s="252"/>
      <c r="J1272" s="252"/>
      <c r="K1272" s="252"/>
      <c r="L1272" s="252"/>
      <c r="M1272" s="253"/>
      <c r="N1272" s="253"/>
      <c r="O1272" s="258"/>
      <c r="P1272" s="258"/>
      <c r="Q1272" s="258"/>
      <c r="R1272" s="258"/>
      <c r="S1272" s="258"/>
      <c r="T1272" s="258"/>
      <c r="U1272" s="258"/>
      <c r="V1272" s="258"/>
      <c r="W1272" s="258"/>
      <c r="X1272" s="258"/>
      <c r="Y1272" s="258"/>
      <c r="Z1272" s="258"/>
      <c r="AA1272" s="258"/>
      <c r="AB1272" s="258"/>
      <c r="AC1272" s="407"/>
    </row>
    <row r="1273" spans="2:29" s="406" customFormat="1" ht="16.5" customHeight="1">
      <c r="B1273" s="255"/>
      <c r="C1273" s="255"/>
      <c r="D1273" s="257"/>
      <c r="E1273" s="257"/>
      <c r="F1273" s="257"/>
      <c r="G1273" s="252"/>
      <c r="H1273" s="252"/>
      <c r="I1273" s="252"/>
      <c r="J1273" s="252"/>
      <c r="K1273" s="252"/>
      <c r="L1273" s="252"/>
      <c r="M1273" s="253"/>
      <c r="N1273" s="253"/>
      <c r="O1273" s="258"/>
      <c r="P1273" s="258"/>
      <c r="Q1273" s="258"/>
      <c r="R1273" s="258"/>
      <c r="S1273" s="258"/>
      <c r="T1273" s="258"/>
      <c r="U1273" s="258"/>
      <c r="V1273" s="258"/>
      <c r="W1273" s="258"/>
      <c r="X1273" s="258"/>
      <c r="Y1273" s="258"/>
      <c r="Z1273" s="258"/>
      <c r="AA1273" s="258"/>
      <c r="AB1273" s="258"/>
      <c r="AC1273" s="407"/>
    </row>
    <row r="1274" spans="2:29" s="406" customFormat="1" ht="16.5" customHeight="1">
      <c r="B1274" s="255"/>
      <c r="C1274" s="255"/>
      <c r="D1274" s="257"/>
      <c r="E1274" s="257"/>
      <c r="F1274" s="257"/>
      <c r="G1274" s="252"/>
      <c r="H1274" s="252"/>
      <c r="I1274" s="252"/>
      <c r="J1274" s="252"/>
      <c r="K1274" s="252"/>
      <c r="L1274" s="252"/>
      <c r="M1274" s="253"/>
      <c r="N1274" s="253"/>
      <c r="O1274" s="258"/>
      <c r="P1274" s="258"/>
      <c r="Q1274" s="258"/>
      <c r="R1274" s="258"/>
      <c r="S1274" s="258"/>
      <c r="T1274" s="258"/>
      <c r="U1274" s="258"/>
      <c r="V1274" s="258"/>
      <c r="W1274" s="258"/>
      <c r="X1274" s="258"/>
      <c r="Y1274" s="258"/>
      <c r="Z1274" s="258"/>
      <c r="AA1274" s="258"/>
      <c r="AB1274" s="258"/>
      <c r="AC1274" s="407"/>
    </row>
    <row r="1275" spans="2:29" s="406" customFormat="1" ht="16.5" customHeight="1">
      <c r="B1275" s="255"/>
      <c r="C1275" s="255"/>
      <c r="D1275" s="257"/>
      <c r="E1275" s="257"/>
      <c r="F1275" s="257"/>
      <c r="G1275" s="252"/>
      <c r="H1275" s="252"/>
      <c r="I1275" s="252"/>
      <c r="J1275" s="252"/>
      <c r="K1275" s="252"/>
      <c r="L1275" s="252"/>
      <c r="M1275" s="253"/>
      <c r="N1275" s="253"/>
      <c r="O1275" s="258"/>
      <c r="P1275" s="258"/>
      <c r="Q1275" s="258"/>
      <c r="R1275" s="258"/>
      <c r="S1275" s="258"/>
      <c r="T1275" s="258"/>
      <c r="U1275" s="258"/>
      <c r="V1275" s="258"/>
      <c r="W1275" s="258"/>
      <c r="X1275" s="258"/>
      <c r="Y1275" s="258"/>
      <c r="Z1275" s="258"/>
      <c r="AA1275" s="258"/>
      <c r="AB1275" s="258"/>
      <c r="AC1275" s="407"/>
    </row>
    <row r="1276" spans="2:29" s="406" customFormat="1" ht="16.5" customHeight="1">
      <c r="B1276" s="255"/>
      <c r="C1276" s="255"/>
      <c r="D1276" s="257"/>
      <c r="E1276" s="257"/>
      <c r="F1276" s="257"/>
      <c r="G1276" s="252"/>
      <c r="H1276" s="252"/>
      <c r="I1276" s="252"/>
      <c r="J1276" s="252"/>
      <c r="K1276" s="252"/>
      <c r="L1276" s="252"/>
      <c r="M1276" s="253"/>
      <c r="N1276" s="253"/>
      <c r="O1276" s="258"/>
      <c r="P1276" s="258"/>
      <c r="Q1276" s="258"/>
      <c r="R1276" s="258"/>
      <c r="S1276" s="258"/>
      <c r="T1276" s="258"/>
      <c r="U1276" s="258"/>
      <c r="V1276" s="258"/>
      <c r="W1276" s="258"/>
      <c r="X1276" s="258"/>
      <c r="Y1276" s="258"/>
      <c r="Z1276" s="258"/>
      <c r="AA1276" s="258"/>
      <c r="AB1276" s="258"/>
      <c r="AC1276" s="407"/>
    </row>
    <row r="1277" spans="2:29" s="406" customFormat="1" ht="16.5" customHeight="1">
      <c r="B1277" s="255"/>
      <c r="C1277" s="255"/>
      <c r="D1277" s="257"/>
      <c r="E1277" s="257"/>
      <c r="F1277" s="257"/>
      <c r="G1277" s="252"/>
      <c r="H1277" s="252"/>
      <c r="I1277" s="252"/>
      <c r="J1277" s="252"/>
      <c r="K1277" s="252"/>
      <c r="L1277" s="252"/>
      <c r="M1277" s="253"/>
      <c r="N1277" s="253"/>
      <c r="O1277" s="258"/>
      <c r="P1277" s="258"/>
      <c r="Q1277" s="258"/>
      <c r="R1277" s="258"/>
      <c r="S1277" s="258"/>
      <c r="T1277" s="258"/>
      <c r="U1277" s="258"/>
      <c r="V1277" s="258"/>
      <c r="W1277" s="258"/>
      <c r="X1277" s="258"/>
      <c r="Y1277" s="258"/>
      <c r="Z1277" s="258"/>
      <c r="AA1277" s="258"/>
      <c r="AB1277" s="258"/>
      <c r="AC1277" s="407"/>
    </row>
    <row r="1278" spans="2:29" s="406" customFormat="1" ht="16.5" customHeight="1">
      <c r="B1278" s="255"/>
      <c r="C1278" s="255"/>
      <c r="D1278" s="257"/>
      <c r="E1278" s="257"/>
      <c r="F1278" s="257"/>
      <c r="G1278" s="252"/>
      <c r="H1278" s="252"/>
      <c r="I1278" s="252"/>
      <c r="J1278" s="252"/>
      <c r="K1278" s="252"/>
      <c r="L1278" s="252"/>
      <c r="M1278" s="253"/>
      <c r="N1278" s="253"/>
      <c r="O1278" s="258"/>
      <c r="P1278" s="258"/>
      <c r="Q1278" s="258"/>
      <c r="R1278" s="258"/>
      <c r="S1278" s="258"/>
      <c r="T1278" s="258"/>
      <c r="U1278" s="258"/>
      <c r="V1278" s="258"/>
      <c r="W1278" s="258"/>
      <c r="X1278" s="258"/>
      <c r="Y1278" s="258"/>
      <c r="Z1278" s="258"/>
      <c r="AA1278" s="258"/>
      <c r="AB1278" s="258"/>
      <c r="AC1278" s="407"/>
    </row>
    <row r="1279" spans="2:29" s="406" customFormat="1" ht="16.5" customHeight="1">
      <c r="B1279" s="255"/>
      <c r="C1279" s="255"/>
      <c r="D1279" s="257"/>
      <c r="E1279" s="257"/>
      <c r="F1279" s="257"/>
      <c r="G1279" s="252"/>
      <c r="H1279" s="252"/>
      <c r="I1279" s="252"/>
      <c r="J1279" s="252"/>
      <c r="K1279" s="252"/>
      <c r="L1279" s="252"/>
      <c r="M1279" s="253"/>
      <c r="N1279" s="253"/>
      <c r="O1279" s="258"/>
      <c r="P1279" s="258"/>
      <c r="Q1279" s="258"/>
      <c r="R1279" s="258"/>
      <c r="S1279" s="258"/>
      <c r="T1279" s="258"/>
      <c r="U1279" s="258"/>
      <c r="V1279" s="258"/>
      <c r="W1279" s="258"/>
      <c r="X1279" s="258"/>
      <c r="Y1279" s="258"/>
      <c r="Z1279" s="258"/>
      <c r="AA1279" s="258"/>
      <c r="AB1279" s="258"/>
      <c r="AC1279" s="407"/>
    </row>
    <row r="1280" spans="2:29" s="406" customFormat="1" ht="16.5" customHeight="1">
      <c r="B1280" s="255"/>
      <c r="C1280" s="255"/>
      <c r="D1280" s="257"/>
      <c r="E1280" s="257"/>
      <c r="F1280" s="257"/>
      <c r="G1280" s="252"/>
      <c r="H1280" s="252"/>
      <c r="I1280" s="252"/>
      <c r="J1280" s="252"/>
      <c r="K1280" s="252"/>
      <c r="L1280" s="252"/>
      <c r="M1280" s="253"/>
      <c r="N1280" s="253"/>
      <c r="O1280" s="258"/>
      <c r="P1280" s="258"/>
      <c r="Q1280" s="258"/>
      <c r="R1280" s="258"/>
      <c r="S1280" s="258"/>
      <c r="T1280" s="258"/>
      <c r="U1280" s="258"/>
      <c r="V1280" s="258"/>
      <c r="W1280" s="258"/>
      <c r="X1280" s="258"/>
      <c r="Y1280" s="258"/>
      <c r="Z1280" s="258"/>
      <c r="AA1280" s="258"/>
      <c r="AB1280" s="258"/>
      <c r="AC1280" s="407"/>
    </row>
    <row r="1281" spans="2:29" s="406" customFormat="1" ht="16.5" customHeight="1">
      <c r="B1281" s="255"/>
      <c r="C1281" s="255"/>
      <c r="D1281" s="257"/>
      <c r="E1281" s="257"/>
      <c r="F1281" s="257"/>
      <c r="G1281" s="252"/>
      <c r="H1281" s="252"/>
      <c r="I1281" s="252"/>
      <c r="J1281" s="252"/>
      <c r="K1281" s="252"/>
      <c r="L1281" s="252"/>
      <c r="M1281" s="253"/>
      <c r="N1281" s="253"/>
      <c r="O1281" s="258"/>
      <c r="P1281" s="258"/>
      <c r="Q1281" s="258"/>
      <c r="R1281" s="258"/>
      <c r="S1281" s="258"/>
      <c r="T1281" s="258"/>
      <c r="U1281" s="258"/>
      <c r="V1281" s="258"/>
      <c r="W1281" s="258"/>
      <c r="X1281" s="258"/>
      <c r="Y1281" s="258"/>
      <c r="Z1281" s="258"/>
      <c r="AA1281" s="258"/>
      <c r="AB1281" s="258"/>
      <c r="AC1281" s="407"/>
    </row>
    <row r="1282" spans="2:29" s="406" customFormat="1" ht="16.5" customHeight="1">
      <c r="B1282" s="255"/>
      <c r="C1282" s="255"/>
      <c r="D1282" s="257"/>
      <c r="E1282" s="257"/>
      <c r="F1282" s="257"/>
      <c r="G1282" s="252"/>
      <c r="H1282" s="252"/>
      <c r="I1282" s="252"/>
      <c r="J1282" s="252"/>
      <c r="K1282" s="252"/>
      <c r="L1282" s="252"/>
      <c r="M1282" s="253"/>
      <c r="N1282" s="253"/>
      <c r="O1282" s="258"/>
      <c r="P1282" s="258"/>
      <c r="Q1282" s="258"/>
      <c r="R1282" s="258"/>
      <c r="S1282" s="258"/>
      <c r="T1282" s="258"/>
      <c r="U1282" s="258"/>
      <c r="V1282" s="258"/>
      <c r="W1282" s="258"/>
      <c r="X1282" s="258"/>
      <c r="Y1282" s="258"/>
      <c r="Z1282" s="258"/>
      <c r="AA1282" s="258"/>
      <c r="AB1282" s="258"/>
      <c r="AC1282" s="407"/>
    </row>
    <row r="1283" spans="2:29" s="406" customFormat="1" ht="16.5" customHeight="1">
      <c r="B1283" s="255"/>
      <c r="C1283" s="255"/>
      <c r="D1283" s="257"/>
      <c r="E1283" s="257"/>
      <c r="F1283" s="257"/>
      <c r="G1283" s="252"/>
      <c r="H1283" s="252"/>
      <c r="I1283" s="252"/>
      <c r="J1283" s="252"/>
      <c r="K1283" s="252"/>
      <c r="L1283" s="252"/>
      <c r="M1283" s="253"/>
      <c r="N1283" s="253"/>
      <c r="O1283" s="258"/>
      <c r="P1283" s="258"/>
      <c r="Q1283" s="258"/>
      <c r="R1283" s="258"/>
      <c r="S1283" s="258"/>
      <c r="T1283" s="258"/>
      <c r="U1283" s="258"/>
      <c r="V1283" s="258"/>
      <c r="W1283" s="258"/>
      <c r="X1283" s="258"/>
      <c r="Y1283" s="258"/>
      <c r="Z1283" s="258"/>
      <c r="AA1283" s="258"/>
      <c r="AB1283" s="258"/>
      <c r="AC1283" s="407"/>
    </row>
    <row r="1284" spans="2:29" s="406" customFormat="1" ht="16.5" customHeight="1">
      <c r="B1284" s="255"/>
      <c r="C1284" s="255"/>
      <c r="D1284" s="257"/>
      <c r="E1284" s="257"/>
      <c r="F1284" s="257"/>
      <c r="G1284" s="252"/>
      <c r="H1284" s="252"/>
      <c r="I1284" s="252"/>
      <c r="J1284" s="252"/>
      <c r="K1284" s="252"/>
      <c r="L1284" s="252"/>
      <c r="M1284" s="253"/>
      <c r="N1284" s="253"/>
      <c r="O1284" s="258"/>
      <c r="P1284" s="258"/>
      <c r="Q1284" s="258"/>
      <c r="R1284" s="258"/>
      <c r="S1284" s="258"/>
      <c r="T1284" s="258"/>
      <c r="U1284" s="258"/>
      <c r="V1284" s="258"/>
      <c r="W1284" s="258"/>
      <c r="X1284" s="258"/>
      <c r="Y1284" s="258"/>
      <c r="Z1284" s="258"/>
      <c r="AA1284" s="258"/>
      <c r="AB1284" s="258"/>
      <c r="AC1284" s="407"/>
    </row>
    <row r="1285" spans="2:29" s="406" customFormat="1" ht="16.5" customHeight="1">
      <c r="B1285" s="255"/>
      <c r="C1285" s="255"/>
      <c r="D1285" s="257"/>
      <c r="E1285" s="257"/>
      <c r="F1285" s="257"/>
      <c r="G1285" s="252"/>
      <c r="H1285" s="252"/>
      <c r="I1285" s="252"/>
      <c r="J1285" s="252"/>
      <c r="K1285" s="252"/>
      <c r="L1285" s="252"/>
      <c r="M1285" s="253"/>
      <c r="N1285" s="253"/>
      <c r="O1285" s="258"/>
      <c r="P1285" s="258"/>
      <c r="Q1285" s="258"/>
      <c r="R1285" s="258"/>
      <c r="S1285" s="258"/>
      <c r="T1285" s="258"/>
      <c r="U1285" s="258"/>
      <c r="V1285" s="258"/>
      <c r="W1285" s="258"/>
      <c r="X1285" s="258"/>
      <c r="Y1285" s="258"/>
      <c r="Z1285" s="258"/>
      <c r="AA1285" s="258"/>
      <c r="AB1285" s="258"/>
      <c r="AC1285" s="407"/>
    </row>
    <row r="1286" spans="2:29" s="406" customFormat="1" ht="16.5" customHeight="1">
      <c r="B1286" s="255"/>
      <c r="C1286" s="255"/>
      <c r="D1286" s="257"/>
      <c r="E1286" s="257"/>
      <c r="F1286" s="257"/>
      <c r="G1286" s="252"/>
      <c r="H1286" s="252"/>
      <c r="I1286" s="252"/>
      <c r="J1286" s="252"/>
      <c r="K1286" s="252"/>
      <c r="L1286" s="252"/>
      <c r="M1286" s="253"/>
      <c r="N1286" s="253"/>
      <c r="O1286" s="258"/>
      <c r="P1286" s="258"/>
      <c r="Q1286" s="258"/>
      <c r="R1286" s="258"/>
      <c r="S1286" s="258"/>
      <c r="T1286" s="258"/>
      <c r="U1286" s="258"/>
      <c r="V1286" s="258"/>
      <c r="W1286" s="258"/>
      <c r="X1286" s="258"/>
      <c r="Y1286" s="258"/>
      <c r="Z1286" s="258"/>
      <c r="AA1286" s="258"/>
      <c r="AB1286" s="258"/>
      <c r="AC1286" s="407"/>
    </row>
    <row r="1287" spans="2:29" s="406" customFormat="1" ht="16.5" customHeight="1">
      <c r="B1287" s="255"/>
      <c r="C1287" s="255"/>
      <c r="D1287" s="257"/>
      <c r="E1287" s="257"/>
      <c r="F1287" s="257"/>
      <c r="G1287" s="252"/>
      <c r="H1287" s="252"/>
      <c r="I1287" s="252"/>
      <c r="J1287" s="252"/>
      <c r="K1287" s="252"/>
      <c r="L1287" s="252"/>
      <c r="M1287" s="253"/>
      <c r="N1287" s="253"/>
      <c r="O1287" s="258"/>
      <c r="P1287" s="258"/>
      <c r="Q1287" s="258"/>
      <c r="R1287" s="258"/>
      <c r="S1287" s="258"/>
      <c r="T1287" s="258"/>
      <c r="U1287" s="258"/>
      <c r="V1287" s="258"/>
      <c r="W1287" s="258"/>
      <c r="X1287" s="258"/>
      <c r="Y1287" s="258"/>
      <c r="Z1287" s="258"/>
      <c r="AA1287" s="258"/>
      <c r="AB1287" s="258"/>
      <c r="AC1287" s="407"/>
    </row>
    <row r="1288" spans="2:29" s="406" customFormat="1" ht="16.5" customHeight="1">
      <c r="B1288" s="255"/>
      <c r="C1288" s="255"/>
      <c r="D1288" s="257"/>
      <c r="E1288" s="257"/>
      <c r="F1288" s="257"/>
      <c r="G1288" s="252"/>
      <c r="H1288" s="252"/>
      <c r="I1288" s="252"/>
      <c r="J1288" s="252"/>
      <c r="K1288" s="252"/>
      <c r="L1288" s="252"/>
      <c r="M1288" s="253"/>
      <c r="N1288" s="253"/>
      <c r="O1288" s="258"/>
      <c r="P1288" s="258"/>
      <c r="Q1288" s="258"/>
      <c r="R1288" s="258"/>
      <c r="S1288" s="258"/>
      <c r="T1288" s="258"/>
      <c r="U1288" s="258"/>
      <c r="V1288" s="258"/>
      <c r="W1288" s="258"/>
      <c r="X1288" s="258"/>
      <c r="Y1288" s="258"/>
      <c r="Z1288" s="258"/>
      <c r="AA1288" s="258"/>
      <c r="AB1288" s="258"/>
      <c r="AC1288" s="407"/>
    </row>
    <row r="1289" spans="2:29" s="406" customFormat="1" ht="16.5" customHeight="1">
      <c r="B1289" s="255"/>
      <c r="C1289" s="255"/>
      <c r="D1289" s="414"/>
      <c r="E1289" s="414"/>
      <c r="F1289" s="414"/>
      <c r="G1289" s="253"/>
      <c r="H1289" s="253"/>
      <c r="I1289" s="253"/>
      <c r="J1289" s="253"/>
      <c r="K1289" s="253"/>
      <c r="L1289" s="253"/>
      <c r="M1289" s="253"/>
      <c r="N1289" s="253"/>
      <c r="O1289" s="258"/>
      <c r="P1289" s="258"/>
      <c r="Q1289" s="258"/>
      <c r="R1289" s="258"/>
      <c r="S1289" s="258"/>
      <c r="T1289" s="258"/>
      <c r="U1289" s="258"/>
      <c r="V1289" s="258"/>
      <c r="W1289" s="258"/>
      <c r="X1289" s="258"/>
      <c r="Y1289" s="258"/>
      <c r="Z1289" s="258"/>
      <c r="AA1289" s="258"/>
      <c r="AB1289" s="258"/>
      <c r="AC1289" s="407"/>
    </row>
    <row r="1290" spans="2:29" s="406" customFormat="1" ht="16.5" customHeight="1">
      <c r="B1290" s="255"/>
      <c r="C1290" s="255"/>
      <c r="D1290" s="414"/>
      <c r="E1290" s="414"/>
      <c r="F1290" s="414"/>
      <c r="G1290" s="253"/>
      <c r="H1290" s="253"/>
      <c r="I1290" s="253"/>
      <c r="J1290" s="253"/>
      <c r="K1290" s="253"/>
      <c r="L1290" s="253"/>
      <c r="M1290" s="253"/>
      <c r="N1290" s="253"/>
      <c r="O1290" s="258"/>
      <c r="P1290" s="258"/>
      <c r="Q1290" s="258"/>
      <c r="R1290" s="258"/>
      <c r="S1290" s="258"/>
      <c r="T1290" s="258"/>
      <c r="U1290" s="258"/>
      <c r="V1290" s="258"/>
      <c r="W1290" s="258"/>
      <c r="X1290" s="258"/>
      <c r="Y1290" s="258"/>
      <c r="Z1290" s="258"/>
      <c r="AA1290" s="258"/>
      <c r="AB1290" s="258"/>
      <c r="AC1290" s="407"/>
    </row>
    <row r="1291" spans="2:29" s="406" customFormat="1" ht="16.5" customHeight="1">
      <c r="B1291" s="255"/>
      <c r="C1291" s="255"/>
      <c r="D1291" s="414"/>
      <c r="E1291" s="414"/>
      <c r="F1291" s="414"/>
      <c r="G1291" s="253"/>
      <c r="H1291" s="253"/>
      <c r="I1291" s="253"/>
      <c r="J1291" s="253"/>
      <c r="K1291" s="253"/>
      <c r="L1291" s="253"/>
      <c r="M1291" s="253"/>
      <c r="N1291" s="253"/>
      <c r="O1291" s="258"/>
      <c r="P1291" s="258"/>
      <c r="Q1291" s="258"/>
      <c r="R1291" s="258"/>
      <c r="S1291" s="258"/>
      <c r="T1291" s="258"/>
      <c r="U1291" s="258"/>
      <c r="V1291" s="258"/>
      <c r="W1291" s="258"/>
      <c r="X1291" s="258"/>
      <c r="Y1291" s="258"/>
      <c r="Z1291" s="258"/>
      <c r="AA1291" s="258"/>
      <c r="AB1291" s="258"/>
      <c r="AC1291" s="407"/>
    </row>
    <row r="1292" spans="2:29" s="406" customFormat="1" ht="16.5" customHeight="1">
      <c r="B1292" s="255"/>
      <c r="C1292" s="255"/>
      <c r="D1292" s="414"/>
      <c r="E1292" s="414"/>
      <c r="F1292" s="414"/>
      <c r="G1292" s="253"/>
      <c r="H1292" s="253"/>
      <c r="I1292" s="253"/>
      <c r="J1292" s="253"/>
      <c r="K1292" s="253"/>
      <c r="L1292" s="253"/>
      <c r="M1292" s="253"/>
      <c r="N1292" s="253"/>
      <c r="O1292" s="258"/>
      <c r="P1292" s="258"/>
      <c r="Q1292" s="258"/>
      <c r="R1292" s="258"/>
      <c r="S1292" s="258"/>
      <c r="T1292" s="258"/>
      <c r="U1292" s="258"/>
      <c r="V1292" s="258"/>
      <c r="W1292" s="258"/>
      <c r="X1292" s="258"/>
      <c r="Y1292" s="258"/>
      <c r="Z1292" s="258"/>
      <c r="AA1292" s="258"/>
      <c r="AB1292" s="258"/>
      <c r="AC1292" s="407"/>
    </row>
    <row r="1293" spans="2:29" s="406" customFormat="1" ht="16.5" customHeight="1">
      <c r="B1293" s="255"/>
      <c r="C1293" s="255"/>
      <c r="D1293" s="414"/>
      <c r="E1293" s="414"/>
      <c r="F1293" s="414"/>
      <c r="G1293" s="253"/>
      <c r="H1293" s="253"/>
      <c r="I1293" s="253"/>
      <c r="J1293" s="253"/>
      <c r="K1293" s="253"/>
      <c r="L1293" s="253"/>
      <c r="M1293" s="253"/>
      <c r="N1293" s="253"/>
      <c r="O1293" s="258"/>
      <c r="P1293" s="258"/>
      <c r="Q1293" s="258"/>
      <c r="R1293" s="258"/>
      <c r="S1293" s="258"/>
      <c r="T1293" s="258"/>
      <c r="U1293" s="258"/>
      <c r="V1293" s="258"/>
      <c r="W1293" s="258"/>
      <c r="X1293" s="258"/>
      <c r="Y1293" s="258"/>
      <c r="Z1293" s="258"/>
      <c r="AA1293" s="258"/>
      <c r="AB1293" s="258"/>
      <c r="AC1293" s="407"/>
    </row>
    <row r="1294" spans="2:29" s="406" customFormat="1" ht="16.5" customHeight="1">
      <c r="B1294" s="255"/>
      <c r="C1294" s="255"/>
      <c r="D1294" s="414"/>
      <c r="E1294" s="414"/>
      <c r="F1294" s="414"/>
      <c r="G1294" s="253"/>
      <c r="H1294" s="253"/>
      <c r="I1294" s="253"/>
      <c r="J1294" s="253"/>
      <c r="K1294" s="253"/>
      <c r="L1294" s="253"/>
      <c r="M1294" s="253"/>
      <c r="N1294" s="253"/>
      <c r="O1294" s="258"/>
      <c r="P1294" s="258"/>
      <c r="Q1294" s="258"/>
      <c r="R1294" s="258"/>
      <c r="S1294" s="258"/>
      <c r="T1294" s="258"/>
      <c r="U1294" s="258"/>
      <c r="V1294" s="258"/>
      <c r="W1294" s="258"/>
      <c r="X1294" s="258"/>
      <c r="Y1294" s="258"/>
      <c r="Z1294" s="258"/>
      <c r="AA1294" s="258"/>
      <c r="AB1294" s="258"/>
      <c r="AC1294" s="407"/>
    </row>
    <row r="1295" spans="2:29" s="406" customFormat="1" ht="16.5" customHeight="1">
      <c r="B1295" s="255"/>
      <c r="C1295" s="255"/>
      <c r="D1295" s="414"/>
      <c r="E1295" s="414"/>
      <c r="F1295" s="414"/>
      <c r="G1295" s="253"/>
      <c r="H1295" s="253"/>
      <c r="I1295" s="253"/>
      <c r="J1295" s="253"/>
      <c r="K1295" s="253"/>
      <c r="L1295" s="253"/>
      <c r="M1295" s="253"/>
      <c r="N1295" s="253"/>
      <c r="O1295" s="258"/>
      <c r="P1295" s="258"/>
      <c r="Q1295" s="258"/>
      <c r="R1295" s="258"/>
      <c r="S1295" s="258"/>
      <c r="T1295" s="258"/>
      <c r="U1295" s="258"/>
      <c r="V1295" s="258"/>
      <c r="W1295" s="258"/>
      <c r="X1295" s="258"/>
      <c r="Y1295" s="258"/>
      <c r="Z1295" s="258"/>
      <c r="AA1295" s="258"/>
      <c r="AB1295" s="258"/>
      <c r="AC1295" s="407"/>
    </row>
    <row r="1296" spans="2:29" s="406" customFormat="1" ht="16.5" customHeight="1">
      <c r="B1296" s="255"/>
      <c r="C1296" s="255"/>
      <c r="D1296" s="414"/>
      <c r="E1296" s="414"/>
      <c r="F1296" s="414"/>
      <c r="G1296" s="253"/>
      <c r="H1296" s="253"/>
      <c r="I1296" s="253"/>
      <c r="J1296" s="253"/>
      <c r="K1296" s="253"/>
      <c r="L1296" s="253"/>
      <c r="M1296" s="253"/>
      <c r="N1296" s="253"/>
      <c r="O1296" s="258"/>
      <c r="P1296" s="258"/>
      <c r="Q1296" s="258"/>
      <c r="R1296" s="258"/>
      <c r="S1296" s="258"/>
      <c r="T1296" s="258"/>
      <c r="U1296" s="258"/>
      <c r="V1296" s="258"/>
      <c r="W1296" s="258"/>
      <c r="X1296" s="258"/>
      <c r="Y1296" s="258"/>
      <c r="Z1296" s="258"/>
      <c r="AA1296" s="258"/>
      <c r="AB1296" s="258"/>
      <c r="AC1296" s="407"/>
    </row>
    <row r="1297" spans="2:29" s="406" customFormat="1" ht="16.5" customHeight="1">
      <c r="B1297" s="255"/>
      <c r="C1297" s="255"/>
      <c r="D1297" s="414"/>
      <c r="E1297" s="414"/>
      <c r="F1297" s="414"/>
      <c r="G1297" s="253"/>
      <c r="H1297" s="253"/>
      <c r="I1297" s="253"/>
      <c r="J1297" s="253"/>
      <c r="K1297" s="253"/>
      <c r="L1297" s="253"/>
      <c r="M1297" s="253"/>
      <c r="N1297" s="253"/>
      <c r="O1297" s="258"/>
      <c r="P1297" s="258"/>
      <c r="Q1297" s="258"/>
      <c r="R1297" s="258"/>
      <c r="S1297" s="258"/>
      <c r="T1297" s="258"/>
      <c r="U1297" s="258"/>
      <c r="V1297" s="258"/>
      <c r="W1297" s="258"/>
      <c r="X1297" s="258"/>
      <c r="Y1297" s="258"/>
      <c r="Z1297" s="258"/>
      <c r="AA1297" s="258"/>
      <c r="AB1297" s="258"/>
      <c r="AC1297" s="407"/>
    </row>
    <row r="1298" spans="2:29" s="406" customFormat="1" ht="16.5" customHeight="1">
      <c r="B1298" s="255"/>
      <c r="C1298" s="255"/>
      <c r="D1298" s="414"/>
      <c r="E1298" s="414"/>
      <c r="F1298" s="414"/>
      <c r="G1298" s="253"/>
      <c r="H1298" s="253"/>
      <c r="I1298" s="253"/>
      <c r="J1298" s="253"/>
      <c r="K1298" s="253"/>
      <c r="L1298" s="253"/>
      <c r="M1298" s="253"/>
      <c r="N1298" s="253"/>
      <c r="O1298" s="258"/>
      <c r="P1298" s="258"/>
      <c r="Q1298" s="258"/>
      <c r="R1298" s="258"/>
      <c r="S1298" s="258"/>
      <c r="T1298" s="258"/>
      <c r="U1298" s="258"/>
      <c r="V1298" s="258"/>
      <c r="W1298" s="258"/>
      <c r="X1298" s="258"/>
      <c r="Y1298" s="258"/>
      <c r="Z1298" s="258"/>
      <c r="AA1298" s="258"/>
      <c r="AB1298" s="258"/>
      <c r="AC1298" s="407"/>
    </row>
    <row r="1299" spans="2:29" s="406" customFormat="1" ht="16.5" customHeight="1">
      <c r="B1299" s="255"/>
      <c r="C1299" s="255"/>
      <c r="D1299" s="414"/>
      <c r="E1299" s="414"/>
      <c r="F1299" s="414"/>
      <c r="G1299" s="253"/>
      <c r="H1299" s="253"/>
      <c r="I1299" s="253"/>
      <c r="J1299" s="253"/>
      <c r="K1299" s="253"/>
      <c r="L1299" s="253"/>
      <c r="M1299" s="253"/>
      <c r="N1299" s="253"/>
      <c r="O1299" s="258"/>
      <c r="P1299" s="258"/>
      <c r="Q1299" s="258"/>
      <c r="R1299" s="258"/>
      <c r="S1299" s="258"/>
      <c r="T1299" s="258"/>
      <c r="U1299" s="258"/>
      <c r="V1299" s="258"/>
      <c r="W1299" s="258"/>
      <c r="X1299" s="258"/>
      <c r="Y1299" s="258"/>
      <c r="Z1299" s="258"/>
      <c r="AA1299" s="258"/>
      <c r="AB1299" s="258"/>
      <c r="AC1299" s="407"/>
    </row>
    <row r="1300" spans="2:29" s="406" customFormat="1" ht="16.5" customHeight="1">
      <c r="B1300" s="255"/>
      <c r="C1300" s="255"/>
      <c r="D1300" s="414"/>
      <c r="E1300" s="414"/>
      <c r="F1300" s="414"/>
      <c r="G1300" s="253"/>
      <c r="H1300" s="253"/>
      <c r="I1300" s="253"/>
      <c r="J1300" s="253"/>
      <c r="K1300" s="253"/>
      <c r="L1300" s="253"/>
      <c r="M1300" s="253"/>
      <c r="N1300" s="253"/>
      <c r="O1300" s="258"/>
      <c r="P1300" s="258"/>
      <c r="Q1300" s="258"/>
      <c r="R1300" s="258"/>
      <c r="S1300" s="258"/>
      <c r="T1300" s="258"/>
      <c r="U1300" s="258"/>
      <c r="V1300" s="258"/>
      <c r="W1300" s="258"/>
      <c r="X1300" s="258"/>
      <c r="Y1300" s="258"/>
      <c r="Z1300" s="258"/>
      <c r="AA1300" s="258"/>
      <c r="AB1300" s="258"/>
      <c r="AC1300" s="407"/>
    </row>
    <row r="1301" spans="2:29" s="406" customFormat="1" ht="16.5" customHeight="1">
      <c r="B1301" s="255"/>
      <c r="C1301" s="255"/>
      <c r="D1301" s="414"/>
      <c r="E1301" s="414"/>
      <c r="F1301" s="414"/>
      <c r="G1301" s="253"/>
      <c r="H1301" s="253"/>
      <c r="I1301" s="253"/>
      <c r="J1301" s="253"/>
      <c r="K1301" s="253"/>
      <c r="L1301" s="253"/>
      <c r="M1301" s="253"/>
      <c r="N1301" s="253"/>
      <c r="O1301" s="258"/>
      <c r="P1301" s="258"/>
      <c r="Q1301" s="258"/>
      <c r="R1301" s="258"/>
      <c r="S1301" s="258"/>
      <c r="T1301" s="258"/>
      <c r="U1301" s="258"/>
      <c r="V1301" s="258"/>
      <c r="W1301" s="258"/>
      <c r="X1301" s="258"/>
      <c r="Y1301" s="258"/>
      <c r="Z1301" s="258"/>
      <c r="AA1301" s="258"/>
      <c r="AB1301" s="258"/>
      <c r="AC1301" s="407"/>
    </row>
    <row r="1302" spans="2:29" s="406" customFormat="1" ht="16.5" customHeight="1">
      <c r="B1302" s="255"/>
      <c r="C1302" s="255"/>
      <c r="D1302" s="414"/>
      <c r="E1302" s="414"/>
      <c r="F1302" s="414"/>
      <c r="G1302" s="253"/>
      <c r="H1302" s="253"/>
      <c r="I1302" s="253"/>
      <c r="J1302" s="253"/>
      <c r="K1302" s="253"/>
      <c r="L1302" s="253"/>
      <c r="M1302" s="253"/>
      <c r="N1302" s="253"/>
      <c r="O1302" s="258"/>
      <c r="P1302" s="258"/>
      <c r="Q1302" s="258"/>
      <c r="R1302" s="258"/>
      <c r="S1302" s="258"/>
      <c r="T1302" s="258"/>
      <c r="U1302" s="258"/>
      <c r="V1302" s="258"/>
      <c r="W1302" s="258"/>
      <c r="X1302" s="258"/>
      <c r="Y1302" s="258"/>
      <c r="Z1302" s="258"/>
      <c r="AA1302" s="258"/>
      <c r="AB1302" s="258"/>
      <c r="AC1302" s="407"/>
    </row>
    <row r="1303" spans="2:29" s="406" customFormat="1" ht="16.5" customHeight="1">
      <c r="B1303" s="255"/>
      <c r="C1303" s="255"/>
      <c r="D1303" s="414"/>
      <c r="E1303" s="414"/>
      <c r="F1303" s="414"/>
      <c r="G1303" s="253"/>
      <c r="H1303" s="253"/>
      <c r="I1303" s="253"/>
      <c r="J1303" s="253"/>
      <c r="K1303" s="253"/>
      <c r="L1303" s="253"/>
      <c r="M1303" s="253"/>
      <c r="N1303" s="253"/>
      <c r="O1303" s="258"/>
      <c r="P1303" s="258"/>
      <c r="Q1303" s="258"/>
      <c r="R1303" s="258"/>
      <c r="S1303" s="258"/>
      <c r="T1303" s="258"/>
      <c r="U1303" s="258"/>
      <c r="V1303" s="258"/>
      <c r="W1303" s="258"/>
      <c r="X1303" s="258"/>
      <c r="Y1303" s="258"/>
      <c r="Z1303" s="258"/>
      <c r="AA1303" s="258"/>
      <c r="AB1303" s="258"/>
      <c r="AC1303" s="407"/>
    </row>
    <row r="1304" spans="2:29" s="406" customFormat="1" ht="16.5" customHeight="1">
      <c r="B1304" s="255"/>
      <c r="C1304" s="255"/>
      <c r="D1304" s="414"/>
      <c r="E1304" s="414"/>
      <c r="F1304" s="414"/>
      <c r="G1304" s="253"/>
      <c r="H1304" s="253"/>
      <c r="I1304" s="253"/>
      <c r="J1304" s="253"/>
      <c r="K1304" s="253"/>
      <c r="L1304" s="253"/>
      <c r="M1304" s="253"/>
      <c r="N1304" s="253"/>
      <c r="O1304" s="258"/>
      <c r="P1304" s="258"/>
      <c r="Q1304" s="258"/>
      <c r="R1304" s="258"/>
      <c r="S1304" s="258"/>
      <c r="T1304" s="258"/>
      <c r="U1304" s="258"/>
      <c r="V1304" s="258"/>
      <c r="W1304" s="258"/>
      <c r="X1304" s="258"/>
      <c r="Y1304" s="258"/>
      <c r="Z1304" s="258"/>
      <c r="AA1304" s="258"/>
      <c r="AB1304" s="258"/>
      <c r="AC1304" s="407"/>
    </row>
    <row r="1305" spans="2:29" s="406" customFormat="1" ht="16.5" customHeight="1">
      <c r="B1305" s="255"/>
      <c r="C1305" s="255"/>
      <c r="D1305" s="414"/>
      <c r="E1305" s="414"/>
      <c r="F1305" s="414"/>
      <c r="G1305" s="253"/>
      <c r="H1305" s="253"/>
      <c r="I1305" s="253"/>
      <c r="J1305" s="253"/>
      <c r="K1305" s="253"/>
      <c r="L1305" s="253"/>
      <c r="M1305" s="253"/>
      <c r="N1305" s="253"/>
      <c r="O1305" s="258"/>
      <c r="P1305" s="258"/>
      <c r="Q1305" s="258"/>
      <c r="R1305" s="258"/>
      <c r="S1305" s="258"/>
      <c r="T1305" s="258"/>
      <c r="U1305" s="258"/>
      <c r="V1305" s="258"/>
      <c r="W1305" s="258"/>
      <c r="X1305" s="258"/>
      <c r="Y1305" s="258"/>
      <c r="Z1305" s="258"/>
      <c r="AA1305" s="258"/>
      <c r="AB1305" s="258"/>
      <c r="AC1305" s="407"/>
    </row>
    <row r="1306" spans="2:29" s="406" customFormat="1" ht="16.5" customHeight="1">
      <c r="B1306" s="256"/>
      <c r="C1306" s="255"/>
      <c r="D1306" s="414"/>
      <c r="E1306" s="414"/>
      <c r="F1306" s="414"/>
      <c r="G1306" s="253"/>
      <c r="H1306" s="253"/>
      <c r="I1306" s="253"/>
      <c r="J1306" s="253"/>
      <c r="K1306" s="253"/>
      <c r="L1306" s="253"/>
      <c r="M1306" s="253"/>
      <c r="N1306" s="253"/>
      <c r="O1306" s="258"/>
      <c r="P1306" s="258"/>
      <c r="Q1306" s="258"/>
      <c r="R1306" s="258"/>
      <c r="S1306" s="258"/>
      <c r="T1306" s="258"/>
      <c r="U1306" s="258"/>
      <c r="V1306" s="258"/>
      <c r="W1306" s="258"/>
      <c r="X1306" s="258"/>
      <c r="Y1306" s="258"/>
      <c r="Z1306" s="258"/>
      <c r="AA1306" s="258"/>
      <c r="AB1306" s="258"/>
      <c r="AC1306" s="407"/>
    </row>
    <row r="1307" spans="2:29" s="406" customFormat="1" ht="16.5" customHeight="1">
      <c r="B1307" s="256"/>
      <c r="C1307" s="255"/>
      <c r="D1307" s="414"/>
      <c r="E1307" s="414"/>
      <c r="F1307" s="414"/>
      <c r="G1307" s="253"/>
      <c r="H1307" s="253"/>
      <c r="I1307" s="253"/>
      <c r="J1307" s="253"/>
      <c r="K1307" s="253"/>
      <c r="L1307" s="253"/>
      <c r="M1307" s="253"/>
      <c r="N1307" s="253"/>
      <c r="O1307" s="258"/>
      <c r="P1307" s="258"/>
      <c r="Q1307" s="258"/>
      <c r="R1307" s="258"/>
      <c r="S1307" s="258"/>
      <c r="T1307" s="258"/>
      <c r="U1307" s="258"/>
      <c r="V1307" s="258"/>
      <c r="W1307" s="258"/>
      <c r="X1307" s="258"/>
      <c r="Y1307" s="258"/>
      <c r="Z1307" s="258"/>
      <c r="AA1307" s="258"/>
      <c r="AB1307" s="258"/>
      <c r="AC1307" s="407"/>
    </row>
    <row r="1308" spans="2:29" s="406" customFormat="1" ht="16.5" customHeight="1">
      <c r="B1308" s="256"/>
      <c r="C1308" s="255"/>
      <c r="D1308" s="414"/>
      <c r="E1308" s="414"/>
      <c r="F1308" s="414"/>
      <c r="G1308" s="253"/>
      <c r="H1308" s="253"/>
      <c r="I1308" s="253"/>
      <c r="J1308" s="253"/>
      <c r="K1308" s="253"/>
      <c r="L1308" s="253"/>
      <c r="M1308" s="253"/>
      <c r="N1308" s="253"/>
      <c r="O1308" s="258"/>
      <c r="P1308" s="258"/>
      <c r="Q1308" s="258"/>
      <c r="R1308" s="258"/>
      <c r="S1308" s="258"/>
      <c r="T1308" s="258"/>
      <c r="U1308" s="258"/>
      <c r="V1308" s="258"/>
      <c r="W1308" s="258"/>
      <c r="X1308" s="258"/>
      <c r="Y1308" s="258"/>
      <c r="Z1308" s="258"/>
      <c r="AA1308" s="258"/>
      <c r="AB1308" s="258"/>
      <c r="AC1308" s="407"/>
    </row>
    <row r="1309" spans="2:29" s="406" customFormat="1" ht="16.5" customHeight="1">
      <c r="B1309" s="256"/>
      <c r="C1309" s="255"/>
      <c r="D1309" s="414"/>
      <c r="E1309" s="414"/>
      <c r="F1309" s="414"/>
      <c r="G1309" s="253"/>
      <c r="H1309" s="253"/>
      <c r="I1309" s="253"/>
      <c r="J1309" s="253"/>
      <c r="K1309" s="253"/>
      <c r="L1309" s="253"/>
      <c r="M1309" s="253"/>
      <c r="N1309" s="253"/>
      <c r="O1309" s="258"/>
      <c r="P1309" s="258"/>
      <c r="Q1309" s="258"/>
      <c r="R1309" s="258"/>
      <c r="S1309" s="258"/>
      <c r="T1309" s="258"/>
      <c r="U1309" s="258"/>
      <c r="V1309" s="258"/>
      <c r="W1309" s="258"/>
      <c r="X1309" s="258"/>
      <c r="Y1309" s="258"/>
      <c r="Z1309" s="258"/>
      <c r="AA1309" s="258"/>
      <c r="AB1309" s="258"/>
      <c r="AC1309" s="407"/>
    </row>
    <row r="1310" spans="2:29" s="406" customFormat="1" ht="16.5" customHeight="1">
      <c r="B1310" s="256"/>
      <c r="C1310" s="255"/>
      <c r="D1310" s="414"/>
      <c r="E1310" s="414"/>
      <c r="F1310" s="414"/>
      <c r="G1310" s="253"/>
      <c r="H1310" s="253"/>
      <c r="I1310" s="253"/>
      <c r="J1310" s="253"/>
      <c r="K1310" s="253"/>
      <c r="L1310" s="253"/>
      <c r="M1310" s="253"/>
      <c r="N1310" s="253"/>
      <c r="O1310" s="258"/>
      <c r="P1310" s="258"/>
      <c r="Q1310" s="258"/>
      <c r="R1310" s="258"/>
      <c r="S1310" s="258"/>
      <c r="T1310" s="258"/>
      <c r="U1310" s="258"/>
      <c r="V1310" s="258"/>
      <c r="W1310" s="258"/>
      <c r="X1310" s="258"/>
      <c r="Y1310" s="258"/>
      <c r="Z1310" s="258"/>
      <c r="AA1310" s="258"/>
      <c r="AB1310" s="258"/>
      <c r="AC1310" s="407"/>
    </row>
    <row r="1311" spans="2:29" s="406" customFormat="1" ht="16.5" customHeight="1">
      <c r="B1311" s="256"/>
      <c r="C1311" s="255"/>
      <c r="D1311" s="414"/>
      <c r="E1311" s="414"/>
      <c r="F1311" s="414"/>
      <c r="G1311" s="253"/>
      <c r="H1311" s="253"/>
      <c r="I1311" s="253"/>
      <c r="J1311" s="253"/>
      <c r="K1311" s="253"/>
      <c r="L1311" s="253"/>
      <c r="M1311" s="253"/>
      <c r="N1311" s="253"/>
      <c r="O1311" s="258"/>
      <c r="P1311" s="258"/>
      <c r="Q1311" s="258"/>
      <c r="R1311" s="258"/>
      <c r="S1311" s="258"/>
      <c r="T1311" s="258"/>
      <c r="U1311" s="258"/>
      <c r="V1311" s="258"/>
      <c r="W1311" s="258"/>
      <c r="X1311" s="258"/>
      <c r="Y1311" s="258"/>
      <c r="Z1311" s="258"/>
      <c r="AA1311" s="258"/>
      <c r="AB1311" s="258"/>
      <c r="AC1311" s="407"/>
    </row>
    <row r="1312" spans="2:29" s="406" customFormat="1" ht="16.5" customHeight="1">
      <c r="B1312" s="256"/>
      <c r="C1312" s="255"/>
      <c r="D1312" s="414"/>
      <c r="E1312" s="414"/>
      <c r="F1312" s="414"/>
      <c r="G1312" s="253"/>
      <c r="H1312" s="253"/>
      <c r="I1312" s="253"/>
      <c r="J1312" s="253"/>
      <c r="K1312" s="253"/>
      <c r="L1312" s="253"/>
      <c r="M1312" s="253"/>
      <c r="N1312" s="253"/>
      <c r="O1312" s="258"/>
      <c r="P1312" s="258"/>
      <c r="Q1312" s="258"/>
      <c r="R1312" s="258"/>
      <c r="S1312" s="258"/>
      <c r="T1312" s="258"/>
      <c r="U1312" s="258"/>
      <c r="V1312" s="258"/>
      <c r="W1312" s="258"/>
      <c r="X1312" s="258"/>
      <c r="Y1312" s="258"/>
      <c r="Z1312" s="258"/>
      <c r="AA1312" s="258"/>
      <c r="AB1312" s="258"/>
      <c r="AC1312" s="407"/>
    </row>
    <row r="1313" spans="2:29" s="406" customFormat="1" ht="16.5" customHeight="1">
      <c r="B1313" s="256"/>
      <c r="C1313" s="255"/>
      <c r="D1313" s="414"/>
      <c r="E1313" s="414"/>
      <c r="F1313" s="414"/>
      <c r="G1313" s="253"/>
      <c r="H1313" s="253"/>
      <c r="I1313" s="253"/>
      <c r="J1313" s="253"/>
      <c r="K1313" s="253"/>
      <c r="L1313" s="253"/>
      <c r="M1313" s="253"/>
      <c r="N1313" s="253"/>
      <c r="O1313" s="258"/>
      <c r="P1313" s="258"/>
      <c r="Q1313" s="258"/>
      <c r="R1313" s="258"/>
      <c r="S1313" s="258"/>
      <c r="T1313" s="258"/>
      <c r="U1313" s="258"/>
      <c r="V1313" s="258"/>
      <c r="W1313" s="258"/>
      <c r="X1313" s="258"/>
      <c r="Y1313" s="258"/>
      <c r="Z1313" s="258"/>
      <c r="AA1313" s="258"/>
      <c r="AB1313" s="258"/>
      <c r="AC1313" s="407"/>
    </row>
    <row r="1314" spans="2:29" s="406" customFormat="1" ht="16.5" customHeight="1">
      <c r="B1314" s="256"/>
      <c r="C1314" s="255"/>
      <c r="D1314" s="414"/>
      <c r="E1314" s="414"/>
      <c r="F1314" s="414"/>
      <c r="G1314" s="253"/>
      <c r="H1314" s="253"/>
      <c r="I1314" s="253"/>
      <c r="J1314" s="253"/>
      <c r="K1314" s="253"/>
      <c r="L1314" s="253"/>
      <c r="M1314" s="253"/>
      <c r="N1314" s="253"/>
      <c r="O1314" s="258"/>
      <c r="P1314" s="258"/>
      <c r="Q1314" s="258"/>
      <c r="R1314" s="258"/>
      <c r="S1314" s="258"/>
      <c r="T1314" s="258"/>
      <c r="U1314" s="258"/>
      <c r="V1314" s="258"/>
      <c r="W1314" s="258"/>
      <c r="X1314" s="258"/>
      <c r="Y1314" s="258"/>
      <c r="Z1314" s="258"/>
      <c r="AA1314" s="258"/>
      <c r="AB1314" s="258"/>
      <c r="AC1314" s="407"/>
    </row>
    <row r="1315" spans="2:29" s="406" customFormat="1" ht="16.5" customHeight="1">
      <c r="B1315" s="256"/>
      <c r="C1315" s="255"/>
      <c r="D1315" s="414"/>
      <c r="E1315" s="414"/>
      <c r="F1315" s="414"/>
      <c r="G1315" s="253"/>
      <c r="H1315" s="253"/>
      <c r="I1315" s="253"/>
      <c r="J1315" s="253"/>
      <c r="K1315" s="253"/>
      <c r="L1315" s="253"/>
      <c r="M1315" s="253"/>
      <c r="N1315" s="253"/>
      <c r="O1315" s="258"/>
      <c r="P1315" s="258"/>
      <c r="Q1315" s="258"/>
      <c r="R1315" s="258"/>
      <c r="S1315" s="258"/>
      <c r="T1315" s="258"/>
      <c r="U1315" s="258"/>
      <c r="V1315" s="258"/>
      <c r="W1315" s="258"/>
      <c r="X1315" s="258"/>
      <c r="Y1315" s="258"/>
      <c r="Z1315" s="258"/>
      <c r="AA1315" s="258"/>
      <c r="AB1315" s="258"/>
      <c r="AC1315" s="407"/>
    </row>
    <row r="1316" spans="2:29" s="406" customFormat="1" ht="16.5" customHeight="1">
      <c r="B1316" s="256"/>
      <c r="C1316" s="255"/>
      <c r="D1316" s="414"/>
      <c r="E1316" s="414"/>
      <c r="F1316" s="414"/>
      <c r="G1316" s="253"/>
      <c r="H1316" s="253"/>
      <c r="I1316" s="253"/>
      <c r="J1316" s="253"/>
      <c r="K1316" s="253"/>
      <c r="L1316" s="253"/>
      <c r="M1316" s="253"/>
      <c r="N1316" s="253"/>
      <c r="O1316" s="258"/>
      <c r="P1316" s="258"/>
      <c r="Q1316" s="258"/>
      <c r="R1316" s="258"/>
      <c r="S1316" s="258"/>
      <c r="T1316" s="258"/>
      <c r="U1316" s="258"/>
      <c r="V1316" s="258"/>
      <c r="W1316" s="258"/>
      <c r="X1316" s="258"/>
      <c r="Y1316" s="258"/>
      <c r="Z1316" s="258"/>
      <c r="AA1316" s="258"/>
      <c r="AB1316" s="258"/>
      <c r="AC1316" s="407"/>
    </row>
    <row r="1317" spans="2:29" s="406" customFormat="1" ht="16.5" customHeight="1">
      <c r="B1317" s="256"/>
      <c r="C1317" s="255"/>
      <c r="D1317" s="414"/>
      <c r="E1317" s="414"/>
      <c r="F1317" s="414"/>
      <c r="G1317" s="253"/>
      <c r="H1317" s="253"/>
      <c r="I1317" s="253"/>
      <c r="J1317" s="253"/>
      <c r="K1317" s="253"/>
      <c r="L1317" s="253"/>
      <c r="M1317" s="253"/>
      <c r="N1317" s="253"/>
      <c r="O1317" s="258"/>
      <c r="P1317" s="258"/>
      <c r="Q1317" s="258"/>
      <c r="R1317" s="258"/>
      <c r="S1317" s="258"/>
      <c r="T1317" s="258"/>
      <c r="U1317" s="258"/>
      <c r="V1317" s="258"/>
      <c r="W1317" s="258"/>
      <c r="X1317" s="258"/>
      <c r="Y1317" s="258"/>
      <c r="Z1317" s="258"/>
      <c r="AA1317" s="258"/>
      <c r="AB1317" s="258"/>
      <c r="AC1317" s="407"/>
    </row>
    <row r="1318" spans="2:29" s="406" customFormat="1" ht="16.5" customHeight="1">
      <c r="B1318" s="256"/>
      <c r="C1318" s="255"/>
      <c r="D1318" s="414"/>
      <c r="E1318" s="414"/>
      <c r="F1318" s="414"/>
      <c r="G1318" s="253"/>
      <c r="H1318" s="253"/>
      <c r="I1318" s="253"/>
      <c r="J1318" s="253"/>
      <c r="K1318" s="253"/>
      <c r="L1318" s="253"/>
      <c r="M1318" s="253"/>
      <c r="N1318" s="253"/>
      <c r="O1318" s="258"/>
      <c r="P1318" s="258"/>
      <c r="Q1318" s="258"/>
      <c r="R1318" s="258"/>
      <c r="S1318" s="258"/>
      <c r="T1318" s="258"/>
      <c r="U1318" s="258"/>
      <c r="V1318" s="258"/>
      <c r="W1318" s="258"/>
      <c r="X1318" s="258"/>
      <c r="Y1318" s="258"/>
      <c r="Z1318" s="258"/>
      <c r="AA1318" s="258"/>
      <c r="AB1318" s="258"/>
      <c r="AC1318" s="407"/>
    </row>
    <row r="1319" spans="2:29" s="406" customFormat="1" ht="16.5" customHeight="1">
      <c r="B1319" s="256"/>
      <c r="C1319" s="255"/>
      <c r="D1319" s="414"/>
      <c r="E1319" s="414"/>
      <c r="F1319" s="414"/>
      <c r="G1319" s="253"/>
      <c r="H1319" s="253"/>
      <c r="I1319" s="253"/>
      <c r="J1319" s="253"/>
      <c r="K1319" s="253"/>
      <c r="L1319" s="253"/>
      <c r="M1319" s="253"/>
      <c r="N1319" s="253"/>
      <c r="O1319" s="258"/>
      <c r="P1319" s="258"/>
      <c r="Q1319" s="258"/>
      <c r="R1319" s="258"/>
      <c r="S1319" s="258"/>
      <c r="T1319" s="258"/>
      <c r="U1319" s="258"/>
      <c r="V1319" s="258"/>
      <c r="W1319" s="258"/>
      <c r="X1319" s="258"/>
      <c r="Y1319" s="258"/>
      <c r="Z1319" s="258"/>
      <c r="AA1319" s="258"/>
      <c r="AB1319" s="258"/>
      <c r="AC1319" s="407"/>
    </row>
    <row r="1320" spans="2:29" s="406" customFormat="1" ht="16.5" customHeight="1">
      <c r="B1320" s="256"/>
      <c r="C1320" s="255"/>
      <c r="D1320" s="414"/>
      <c r="E1320" s="414"/>
      <c r="F1320" s="414"/>
      <c r="G1320" s="253"/>
      <c r="H1320" s="253"/>
      <c r="I1320" s="253"/>
      <c r="J1320" s="253"/>
      <c r="K1320" s="253"/>
      <c r="L1320" s="253"/>
      <c r="M1320" s="253"/>
      <c r="N1320" s="253"/>
      <c r="O1320" s="258"/>
      <c r="P1320" s="258"/>
      <c r="Q1320" s="258"/>
      <c r="R1320" s="258"/>
      <c r="S1320" s="258"/>
      <c r="T1320" s="258"/>
      <c r="U1320" s="258"/>
      <c r="V1320" s="258"/>
      <c r="W1320" s="258"/>
      <c r="X1320" s="258"/>
      <c r="Y1320" s="258"/>
      <c r="Z1320" s="258"/>
      <c r="AA1320" s="258"/>
      <c r="AB1320" s="258"/>
      <c r="AC1320" s="407"/>
    </row>
    <row r="1321" spans="2:29" s="406" customFormat="1" ht="16.5" customHeight="1">
      <c r="B1321" s="256"/>
      <c r="C1321" s="255"/>
      <c r="D1321" s="414"/>
      <c r="E1321" s="414"/>
      <c r="F1321" s="414"/>
      <c r="G1321" s="253"/>
      <c r="H1321" s="253"/>
      <c r="I1321" s="253"/>
      <c r="J1321" s="253"/>
      <c r="K1321" s="253"/>
      <c r="L1321" s="253"/>
      <c r="M1321" s="253"/>
      <c r="N1321" s="253"/>
      <c r="O1321" s="258"/>
      <c r="P1321" s="258"/>
      <c r="Q1321" s="258"/>
      <c r="R1321" s="258"/>
      <c r="S1321" s="258"/>
      <c r="T1321" s="258"/>
      <c r="U1321" s="258"/>
      <c r="V1321" s="258"/>
      <c r="W1321" s="258"/>
      <c r="X1321" s="258"/>
      <c r="Y1321" s="258"/>
      <c r="Z1321" s="258"/>
      <c r="AA1321" s="258"/>
      <c r="AB1321" s="258"/>
      <c r="AC1321" s="407"/>
    </row>
    <row r="1322" spans="2:29" s="406" customFormat="1" ht="16.5" customHeight="1">
      <c r="B1322" s="256"/>
      <c r="C1322" s="256"/>
      <c r="D1322" s="414"/>
      <c r="E1322" s="414"/>
      <c r="F1322" s="414"/>
      <c r="G1322" s="253"/>
      <c r="H1322" s="253"/>
      <c r="I1322" s="253"/>
      <c r="J1322" s="253"/>
      <c r="K1322" s="253"/>
      <c r="L1322" s="253"/>
      <c r="M1322" s="253"/>
      <c r="N1322" s="253"/>
      <c r="O1322" s="258"/>
      <c r="P1322" s="258"/>
      <c r="Q1322" s="258"/>
      <c r="R1322" s="258"/>
      <c r="S1322" s="258"/>
      <c r="T1322" s="258"/>
      <c r="U1322" s="258"/>
      <c r="V1322" s="258"/>
      <c r="W1322" s="258"/>
      <c r="X1322" s="258"/>
      <c r="Y1322" s="258"/>
      <c r="Z1322" s="258"/>
      <c r="AA1322" s="258"/>
      <c r="AB1322" s="258"/>
      <c r="AC1322" s="407"/>
    </row>
    <row r="1323" spans="2:29" s="406" customFormat="1" ht="16.5" customHeight="1">
      <c r="B1323" s="256"/>
      <c r="C1323" s="256"/>
      <c r="D1323" s="414"/>
      <c r="E1323" s="414"/>
      <c r="F1323" s="414"/>
      <c r="G1323" s="253"/>
      <c r="H1323" s="253"/>
      <c r="I1323" s="253"/>
      <c r="J1323" s="253"/>
      <c r="K1323" s="253"/>
      <c r="L1323" s="253"/>
      <c r="M1323" s="253"/>
      <c r="N1323" s="253"/>
      <c r="O1323" s="258"/>
      <c r="P1323" s="258"/>
      <c r="Q1323" s="258"/>
      <c r="R1323" s="258"/>
      <c r="S1323" s="258"/>
      <c r="T1323" s="258"/>
      <c r="U1323" s="258"/>
      <c r="V1323" s="258"/>
      <c r="W1323" s="258"/>
      <c r="X1323" s="258"/>
      <c r="Y1323" s="258"/>
      <c r="Z1323" s="258"/>
      <c r="AA1323" s="258"/>
      <c r="AB1323" s="258"/>
      <c r="AC1323" s="407"/>
    </row>
    <row r="1324" spans="2:29" s="406" customFormat="1" ht="16.5" customHeight="1">
      <c r="B1324" s="256"/>
      <c r="C1324" s="256"/>
      <c r="D1324" s="414"/>
      <c r="E1324" s="414"/>
      <c r="F1324" s="414"/>
      <c r="G1324" s="253"/>
      <c r="H1324" s="253"/>
      <c r="I1324" s="253"/>
      <c r="J1324" s="253"/>
      <c r="K1324" s="253"/>
      <c r="L1324" s="253"/>
      <c r="M1324" s="253"/>
      <c r="N1324" s="253"/>
      <c r="O1324" s="258"/>
      <c r="P1324" s="258"/>
      <c r="Q1324" s="258"/>
      <c r="R1324" s="258"/>
      <c r="S1324" s="258"/>
      <c r="T1324" s="258"/>
      <c r="U1324" s="258"/>
      <c r="V1324" s="258"/>
      <c r="W1324" s="258"/>
      <c r="X1324" s="258"/>
      <c r="Y1324" s="258"/>
      <c r="Z1324" s="258"/>
      <c r="AA1324" s="258"/>
      <c r="AB1324" s="258"/>
      <c r="AC1324" s="407"/>
    </row>
    <row r="1325" spans="2:29" s="406" customFormat="1" ht="16.5" customHeight="1">
      <c r="B1325" s="256"/>
      <c r="C1325" s="256"/>
      <c r="D1325" s="414"/>
      <c r="E1325" s="414"/>
      <c r="F1325" s="414"/>
      <c r="G1325" s="253"/>
      <c r="H1325" s="253"/>
      <c r="I1325" s="253"/>
      <c r="J1325" s="253"/>
      <c r="K1325" s="253"/>
      <c r="L1325" s="253"/>
      <c r="M1325" s="253"/>
      <c r="N1325" s="253"/>
      <c r="O1325" s="258"/>
      <c r="P1325" s="258"/>
      <c r="Q1325" s="258"/>
      <c r="R1325" s="258"/>
      <c r="S1325" s="258"/>
      <c r="T1325" s="258"/>
      <c r="U1325" s="258"/>
      <c r="V1325" s="258"/>
      <c r="W1325" s="258"/>
      <c r="X1325" s="258"/>
      <c r="Y1325" s="258"/>
      <c r="Z1325" s="258"/>
      <c r="AA1325" s="258"/>
      <c r="AB1325" s="258"/>
      <c r="AC1325" s="407"/>
    </row>
    <row r="1326" spans="2:29" s="406" customFormat="1" ht="16.5" customHeight="1">
      <c r="B1326" s="256"/>
      <c r="C1326" s="256"/>
      <c r="D1326" s="414"/>
      <c r="E1326" s="414"/>
      <c r="F1326" s="414"/>
      <c r="G1326" s="253"/>
      <c r="H1326" s="253"/>
      <c r="I1326" s="253"/>
      <c r="J1326" s="253"/>
      <c r="K1326" s="253"/>
      <c r="L1326" s="253"/>
      <c r="M1326" s="253"/>
      <c r="N1326" s="253"/>
      <c r="O1326" s="258"/>
      <c r="P1326" s="258"/>
      <c r="Q1326" s="258"/>
      <c r="R1326" s="258"/>
      <c r="S1326" s="258"/>
      <c r="T1326" s="258"/>
      <c r="U1326" s="258"/>
      <c r="V1326" s="258"/>
      <c r="W1326" s="258"/>
      <c r="X1326" s="258"/>
      <c r="Y1326" s="258"/>
      <c r="Z1326" s="258"/>
      <c r="AA1326" s="258"/>
      <c r="AB1326" s="258"/>
      <c r="AC1326" s="407"/>
    </row>
    <row r="1327" spans="2:29" s="406" customFormat="1" ht="16.5" customHeight="1">
      <c r="B1327" s="256"/>
      <c r="C1327" s="256"/>
      <c r="D1327" s="414"/>
      <c r="E1327" s="414"/>
      <c r="F1327" s="414"/>
      <c r="G1327" s="253"/>
      <c r="H1327" s="253"/>
      <c r="I1327" s="253"/>
      <c r="J1327" s="253"/>
      <c r="K1327" s="253"/>
      <c r="L1327" s="253"/>
      <c r="M1327" s="253"/>
      <c r="N1327" s="253"/>
      <c r="O1327" s="258"/>
      <c r="P1327" s="258"/>
      <c r="Q1327" s="258"/>
      <c r="R1327" s="258"/>
      <c r="S1327" s="258"/>
      <c r="T1327" s="258"/>
      <c r="U1327" s="258"/>
      <c r="V1327" s="258"/>
      <c r="W1327" s="258"/>
      <c r="X1327" s="258"/>
      <c r="Y1327" s="258"/>
      <c r="Z1327" s="258"/>
      <c r="AA1327" s="258"/>
      <c r="AB1327" s="258"/>
      <c r="AC1327" s="407"/>
    </row>
    <row r="1328" spans="2:29" s="406" customFormat="1" ht="16.5" customHeight="1">
      <c r="B1328" s="256"/>
      <c r="C1328" s="256"/>
      <c r="D1328" s="414"/>
      <c r="E1328" s="414"/>
      <c r="F1328" s="414"/>
      <c r="G1328" s="253"/>
      <c r="H1328" s="253"/>
      <c r="I1328" s="253"/>
      <c r="J1328" s="253"/>
      <c r="K1328" s="253"/>
      <c r="L1328" s="253"/>
      <c r="M1328" s="253"/>
      <c r="N1328" s="253"/>
      <c r="O1328" s="258"/>
      <c r="P1328" s="258"/>
      <c r="Q1328" s="258"/>
      <c r="R1328" s="258"/>
      <c r="S1328" s="258"/>
      <c r="T1328" s="258"/>
      <c r="U1328" s="258"/>
      <c r="V1328" s="258"/>
      <c r="W1328" s="258"/>
      <c r="X1328" s="258"/>
      <c r="Y1328" s="258"/>
      <c r="Z1328" s="258"/>
      <c r="AA1328" s="258"/>
      <c r="AB1328" s="258"/>
      <c r="AC1328" s="407"/>
    </row>
    <row r="1329" spans="2:29" s="406" customFormat="1" ht="16.5" customHeight="1">
      <c r="B1329" s="256"/>
      <c r="C1329" s="256"/>
      <c r="D1329" s="414"/>
      <c r="E1329" s="414"/>
      <c r="F1329" s="414"/>
      <c r="G1329" s="253"/>
      <c r="H1329" s="253"/>
      <c r="I1329" s="253"/>
      <c r="J1329" s="253"/>
      <c r="K1329" s="253"/>
      <c r="L1329" s="253"/>
      <c r="M1329" s="253"/>
      <c r="N1329" s="253"/>
      <c r="O1329" s="258"/>
      <c r="P1329" s="258"/>
      <c r="Q1329" s="258"/>
      <c r="R1329" s="258"/>
      <c r="S1329" s="258"/>
      <c r="T1329" s="258"/>
      <c r="U1329" s="258"/>
      <c r="V1329" s="258"/>
      <c r="W1329" s="258"/>
      <c r="X1329" s="258"/>
      <c r="Y1329" s="258"/>
      <c r="Z1329" s="258"/>
      <c r="AA1329" s="258"/>
      <c r="AB1329" s="258"/>
      <c r="AC1329" s="407"/>
    </row>
    <row r="1330" spans="2:29" s="406" customFormat="1" ht="16.5" customHeight="1">
      <c r="B1330" s="256"/>
      <c r="C1330" s="256"/>
      <c r="D1330" s="414"/>
      <c r="E1330" s="414"/>
      <c r="F1330" s="414"/>
      <c r="G1330" s="253"/>
      <c r="H1330" s="253"/>
      <c r="I1330" s="253"/>
      <c r="J1330" s="253"/>
      <c r="K1330" s="253"/>
      <c r="L1330" s="253"/>
      <c r="M1330" s="253"/>
      <c r="N1330" s="253"/>
      <c r="O1330" s="258"/>
      <c r="P1330" s="258"/>
      <c r="Q1330" s="258"/>
      <c r="R1330" s="258"/>
      <c r="S1330" s="258"/>
      <c r="T1330" s="258"/>
      <c r="U1330" s="258"/>
      <c r="V1330" s="258"/>
      <c r="W1330" s="258"/>
      <c r="X1330" s="258"/>
      <c r="Y1330" s="258"/>
      <c r="Z1330" s="258"/>
      <c r="AA1330" s="258"/>
      <c r="AB1330" s="258"/>
      <c r="AC1330" s="407"/>
    </row>
    <row r="1331" spans="2:29" s="406" customFormat="1" ht="16.5" customHeight="1">
      <c r="B1331" s="256"/>
      <c r="C1331" s="256"/>
      <c r="D1331" s="414"/>
      <c r="E1331" s="414"/>
      <c r="F1331" s="414"/>
      <c r="G1331" s="253"/>
      <c r="H1331" s="253"/>
      <c r="I1331" s="253"/>
      <c r="J1331" s="253"/>
      <c r="K1331" s="253"/>
      <c r="L1331" s="253"/>
      <c r="M1331" s="253"/>
      <c r="N1331" s="253"/>
      <c r="O1331" s="258"/>
      <c r="P1331" s="258"/>
      <c r="Q1331" s="258"/>
      <c r="R1331" s="258"/>
      <c r="S1331" s="258"/>
      <c r="T1331" s="258"/>
      <c r="U1331" s="258"/>
      <c r="V1331" s="258"/>
      <c r="W1331" s="258"/>
      <c r="X1331" s="258"/>
      <c r="Y1331" s="258"/>
      <c r="Z1331" s="258"/>
      <c r="AA1331" s="258"/>
      <c r="AB1331" s="258"/>
      <c r="AC1331" s="407"/>
    </row>
    <row r="1332" spans="2:29" s="406" customFormat="1" ht="16.5" customHeight="1">
      <c r="B1332" s="256"/>
      <c r="C1332" s="256"/>
      <c r="D1332" s="414"/>
      <c r="E1332" s="414"/>
      <c r="F1332" s="414"/>
      <c r="G1332" s="253"/>
      <c r="H1332" s="253"/>
      <c r="I1332" s="253"/>
      <c r="J1332" s="253"/>
      <c r="K1332" s="253"/>
      <c r="L1332" s="253"/>
      <c r="M1332" s="253"/>
      <c r="N1332" s="253"/>
      <c r="O1332" s="258"/>
      <c r="P1332" s="258"/>
      <c r="Q1332" s="258"/>
      <c r="R1332" s="258"/>
      <c r="S1332" s="258"/>
      <c r="T1332" s="258"/>
      <c r="U1332" s="258"/>
      <c r="V1332" s="258"/>
      <c r="W1332" s="258"/>
      <c r="X1332" s="258"/>
      <c r="Y1332" s="258"/>
      <c r="Z1332" s="258"/>
      <c r="AA1332" s="258"/>
      <c r="AB1332" s="258"/>
      <c r="AC1332" s="407"/>
    </row>
    <row r="1333" spans="2:29" s="406" customFormat="1" ht="16.5" customHeight="1">
      <c r="B1333" s="256"/>
      <c r="C1333" s="256"/>
      <c r="D1333" s="414"/>
      <c r="E1333" s="414"/>
      <c r="F1333" s="414"/>
      <c r="G1333" s="253"/>
      <c r="H1333" s="253"/>
      <c r="I1333" s="253"/>
      <c r="J1333" s="253"/>
      <c r="K1333" s="253"/>
      <c r="L1333" s="253"/>
      <c r="M1333" s="253"/>
      <c r="N1333" s="253"/>
      <c r="O1333" s="258"/>
      <c r="P1333" s="258"/>
      <c r="Q1333" s="258"/>
      <c r="R1333" s="258"/>
      <c r="S1333" s="258"/>
      <c r="T1333" s="258"/>
      <c r="U1333" s="258"/>
      <c r="V1333" s="258"/>
      <c r="W1333" s="258"/>
      <c r="X1333" s="258"/>
      <c r="Y1333" s="258"/>
      <c r="Z1333" s="258"/>
      <c r="AA1333" s="258"/>
      <c r="AB1333" s="258"/>
      <c r="AC1333" s="407"/>
    </row>
    <row r="1334" spans="2:29" s="406" customFormat="1" ht="16.5" customHeight="1">
      <c r="B1334" s="256"/>
      <c r="C1334" s="256"/>
      <c r="D1334" s="414"/>
      <c r="E1334" s="414"/>
      <c r="F1334" s="414"/>
      <c r="G1334" s="253"/>
      <c r="H1334" s="253"/>
      <c r="I1334" s="253"/>
      <c r="J1334" s="253"/>
      <c r="K1334" s="253"/>
      <c r="L1334" s="253"/>
      <c r="M1334" s="253"/>
      <c r="N1334" s="253"/>
      <c r="O1334" s="258"/>
      <c r="P1334" s="258"/>
      <c r="Q1334" s="258"/>
      <c r="R1334" s="258"/>
      <c r="S1334" s="258"/>
      <c r="T1334" s="258"/>
      <c r="U1334" s="258"/>
      <c r="V1334" s="258"/>
      <c r="W1334" s="258"/>
      <c r="X1334" s="258"/>
      <c r="Y1334" s="258"/>
      <c r="Z1334" s="258"/>
      <c r="AA1334" s="258"/>
      <c r="AB1334" s="258"/>
      <c r="AC1334" s="407"/>
    </row>
    <row r="1335" spans="2:29" s="406" customFormat="1" ht="16.5" customHeight="1">
      <c r="B1335" s="256"/>
      <c r="C1335" s="256"/>
      <c r="D1335" s="414"/>
      <c r="E1335" s="414"/>
      <c r="F1335" s="414"/>
      <c r="G1335" s="253"/>
      <c r="H1335" s="253"/>
      <c r="I1335" s="253"/>
      <c r="J1335" s="253"/>
      <c r="K1335" s="253"/>
      <c r="L1335" s="253"/>
      <c r="M1335" s="253"/>
      <c r="N1335" s="253"/>
      <c r="O1335" s="258"/>
      <c r="P1335" s="258"/>
      <c r="Q1335" s="258"/>
      <c r="R1335" s="258"/>
      <c r="S1335" s="258"/>
      <c r="T1335" s="258"/>
      <c r="U1335" s="258"/>
      <c r="V1335" s="258"/>
      <c r="W1335" s="258"/>
      <c r="X1335" s="258"/>
      <c r="Y1335" s="258"/>
      <c r="Z1335" s="258"/>
      <c r="AA1335" s="258"/>
      <c r="AB1335" s="258"/>
      <c r="AC1335" s="407"/>
    </row>
    <row r="1336" spans="2:29" s="406" customFormat="1" ht="16.5" customHeight="1">
      <c r="B1336" s="256"/>
      <c r="C1336" s="256"/>
      <c r="D1336" s="414"/>
      <c r="E1336" s="414"/>
      <c r="F1336" s="414"/>
      <c r="G1336" s="253"/>
      <c r="H1336" s="253"/>
      <c r="I1336" s="253"/>
      <c r="J1336" s="253"/>
      <c r="K1336" s="253"/>
      <c r="L1336" s="253"/>
      <c r="M1336" s="253"/>
      <c r="N1336" s="253"/>
      <c r="O1336" s="258"/>
      <c r="P1336" s="258"/>
      <c r="Q1336" s="258"/>
      <c r="R1336" s="258"/>
      <c r="S1336" s="258"/>
      <c r="T1336" s="258"/>
      <c r="U1336" s="258"/>
      <c r="V1336" s="258"/>
      <c r="W1336" s="258"/>
      <c r="X1336" s="258"/>
      <c r="Y1336" s="258"/>
      <c r="Z1336" s="258"/>
      <c r="AA1336" s="258"/>
      <c r="AB1336" s="258"/>
      <c r="AC1336" s="407"/>
    </row>
    <row r="1337" spans="2:29" s="406" customFormat="1" ht="16.5" customHeight="1">
      <c r="B1337" s="256"/>
      <c r="C1337" s="256"/>
      <c r="D1337" s="414"/>
      <c r="E1337" s="414"/>
      <c r="F1337" s="414"/>
      <c r="G1337" s="253"/>
      <c r="H1337" s="253"/>
      <c r="I1337" s="253"/>
      <c r="J1337" s="253"/>
      <c r="K1337" s="253"/>
      <c r="L1337" s="253"/>
      <c r="M1337" s="253"/>
      <c r="N1337" s="253"/>
      <c r="O1337" s="258"/>
      <c r="P1337" s="258"/>
      <c r="Q1337" s="258"/>
      <c r="R1337" s="258"/>
      <c r="S1337" s="258"/>
      <c r="T1337" s="258"/>
      <c r="U1337" s="258"/>
      <c r="V1337" s="258"/>
      <c r="W1337" s="258"/>
      <c r="X1337" s="258"/>
      <c r="Y1337" s="258"/>
      <c r="Z1337" s="258"/>
      <c r="AA1337" s="258"/>
      <c r="AB1337" s="258"/>
      <c r="AC1337" s="407"/>
    </row>
    <row r="1338" spans="2:29" s="406" customFormat="1" ht="16.5" customHeight="1">
      <c r="B1338" s="256"/>
      <c r="C1338" s="256"/>
      <c r="D1338" s="414"/>
      <c r="E1338" s="414"/>
      <c r="F1338" s="414"/>
      <c r="G1338" s="253"/>
      <c r="H1338" s="253"/>
      <c r="I1338" s="253"/>
      <c r="J1338" s="253"/>
      <c r="K1338" s="253"/>
      <c r="L1338" s="253"/>
      <c r="M1338" s="253"/>
      <c r="N1338" s="253"/>
      <c r="O1338" s="258"/>
      <c r="P1338" s="258"/>
      <c r="Q1338" s="258"/>
      <c r="R1338" s="258"/>
      <c r="S1338" s="258"/>
      <c r="T1338" s="258"/>
      <c r="U1338" s="258"/>
      <c r="V1338" s="258"/>
      <c r="W1338" s="258"/>
      <c r="X1338" s="258"/>
      <c r="Y1338" s="258"/>
      <c r="Z1338" s="258"/>
      <c r="AA1338" s="258"/>
      <c r="AB1338" s="258"/>
      <c r="AC1338" s="407"/>
    </row>
    <row r="1339" spans="2:29" s="406" customFormat="1" ht="16.5" customHeight="1">
      <c r="B1339" s="256"/>
      <c r="C1339" s="256"/>
      <c r="D1339" s="414"/>
      <c r="E1339" s="414"/>
      <c r="F1339" s="414"/>
      <c r="G1339" s="253"/>
      <c r="H1339" s="253"/>
      <c r="I1339" s="253"/>
      <c r="J1339" s="253"/>
      <c r="K1339" s="253"/>
      <c r="L1339" s="253"/>
      <c r="M1339" s="253"/>
      <c r="N1339" s="253"/>
      <c r="O1339" s="258"/>
      <c r="P1339" s="258"/>
      <c r="Q1339" s="258"/>
      <c r="R1339" s="258"/>
      <c r="S1339" s="258"/>
      <c r="T1339" s="258"/>
      <c r="U1339" s="258"/>
      <c r="V1339" s="258"/>
      <c r="W1339" s="258"/>
      <c r="X1339" s="258"/>
      <c r="Y1339" s="258"/>
      <c r="Z1339" s="258"/>
      <c r="AA1339" s="258"/>
      <c r="AB1339" s="258"/>
      <c r="AC1339" s="407"/>
    </row>
    <row r="1340" spans="2:29" s="406" customFormat="1" ht="16.5" customHeight="1">
      <c r="B1340" s="256"/>
      <c r="C1340" s="256"/>
      <c r="D1340" s="414"/>
      <c r="E1340" s="414"/>
      <c r="F1340" s="414"/>
      <c r="G1340" s="253"/>
      <c r="H1340" s="253"/>
      <c r="I1340" s="253"/>
      <c r="J1340" s="253"/>
      <c r="K1340" s="253"/>
      <c r="L1340" s="253"/>
      <c r="M1340" s="253"/>
      <c r="N1340" s="253"/>
      <c r="O1340" s="258"/>
      <c r="P1340" s="258"/>
      <c r="Q1340" s="258"/>
      <c r="R1340" s="258"/>
      <c r="S1340" s="258"/>
      <c r="T1340" s="258"/>
      <c r="U1340" s="258"/>
      <c r="V1340" s="258"/>
      <c r="W1340" s="258"/>
      <c r="X1340" s="258"/>
      <c r="Y1340" s="258"/>
      <c r="Z1340" s="258"/>
      <c r="AA1340" s="258"/>
      <c r="AB1340" s="258"/>
      <c r="AC1340" s="407"/>
    </row>
    <row r="1341" spans="2:29" s="406" customFormat="1" ht="16.5" customHeight="1">
      <c r="B1341" s="256"/>
      <c r="C1341" s="256"/>
      <c r="D1341" s="414"/>
      <c r="E1341" s="414"/>
      <c r="F1341" s="414"/>
      <c r="G1341" s="253"/>
      <c r="H1341" s="253"/>
      <c r="I1341" s="253"/>
      <c r="J1341" s="253"/>
      <c r="K1341" s="253"/>
      <c r="L1341" s="253"/>
      <c r="M1341" s="253"/>
      <c r="N1341" s="253"/>
      <c r="O1341" s="258"/>
      <c r="P1341" s="258"/>
      <c r="Q1341" s="258"/>
      <c r="R1341" s="258"/>
      <c r="S1341" s="258"/>
      <c r="T1341" s="258"/>
      <c r="U1341" s="258"/>
      <c r="V1341" s="258"/>
      <c r="W1341" s="258"/>
      <c r="X1341" s="258"/>
      <c r="Y1341" s="258"/>
      <c r="Z1341" s="258"/>
      <c r="AA1341" s="258"/>
      <c r="AB1341" s="258"/>
      <c r="AC1341" s="407"/>
    </row>
    <row r="1342" spans="2:29" s="406" customFormat="1" ht="16.5" customHeight="1">
      <c r="B1342" s="256"/>
      <c r="C1342" s="256"/>
      <c r="D1342" s="414"/>
      <c r="E1342" s="414"/>
      <c r="F1342" s="414"/>
      <c r="G1342" s="253"/>
      <c r="H1342" s="253"/>
      <c r="I1342" s="253"/>
      <c r="J1342" s="253"/>
      <c r="K1342" s="253"/>
      <c r="L1342" s="253"/>
      <c r="M1342" s="253"/>
      <c r="N1342" s="253"/>
      <c r="O1342" s="258"/>
      <c r="P1342" s="258"/>
      <c r="Q1342" s="258"/>
      <c r="R1342" s="258"/>
      <c r="S1342" s="258"/>
      <c r="T1342" s="258"/>
      <c r="U1342" s="258"/>
      <c r="V1342" s="258"/>
      <c r="W1342" s="258"/>
      <c r="X1342" s="258"/>
      <c r="Y1342" s="258"/>
      <c r="Z1342" s="258"/>
      <c r="AA1342" s="258"/>
      <c r="AB1342" s="258"/>
      <c r="AC1342" s="407"/>
    </row>
    <row r="1343" spans="2:29" s="406" customFormat="1" ht="16.5" customHeight="1">
      <c r="B1343" s="256"/>
      <c r="C1343" s="256"/>
      <c r="D1343" s="414"/>
      <c r="E1343" s="414"/>
      <c r="F1343" s="414"/>
      <c r="G1343" s="253"/>
      <c r="H1343" s="253"/>
      <c r="I1343" s="253"/>
      <c r="J1343" s="253"/>
      <c r="K1343" s="253"/>
      <c r="L1343" s="253"/>
      <c r="M1343" s="253"/>
      <c r="N1343" s="253"/>
      <c r="O1343" s="258"/>
      <c r="P1343" s="258"/>
      <c r="Q1343" s="258"/>
      <c r="R1343" s="258"/>
      <c r="S1343" s="258"/>
      <c r="T1343" s="258"/>
      <c r="U1343" s="258"/>
      <c r="V1343" s="258"/>
      <c r="W1343" s="258"/>
      <c r="X1343" s="258"/>
      <c r="Y1343" s="258"/>
      <c r="Z1343" s="258"/>
      <c r="AA1343" s="258"/>
      <c r="AB1343" s="258"/>
      <c r="AC1343" s="407"/>
    </row>
    <row r="1344" spans="2:29" s="406" customFormat="1" ht="16.5" customHeight="1">
      <c r="B1344" s="256"/>
      <c r="C1344" s="256"/>
      <c r="D1344" s="414"/>
      <c r="E1344" s="414"/>
      <c r="F1344" s="414"/>
      <c r="G1344" s="253"/>
      <c r="H1344" s="253"/>
      <c r="I1344" s="253"/>
      <c r="J1344" s="253"/>
      <c r="K1344" s="253"/>
      <c r="L1344" s="253"/>
      <c r="M1344" s="253"/>
      <c r="N1344" s="253"/>
      <c r="O1344" s="258"/>
      <c r="P1344" s="258"/>
      <c r="Q1344" s="258"/>
      <c r="R1344" s="258"/>
      <c r="S1344" s="258"/>
      <c r="T1344" s="258"/>
      <c r="U1344" s="258"/>
      <c r="V1344" s="258"/>
      <c r="W1344" s="258"/>
      <c r="X1344" s="258"/>
      <c r="Y1344" s="258"/>
      <c r="Z1344" s="258"/>
      <c r="AA1344" s="258"/>
      <c r="AB1344" s="258"/>
      <c r="AC1344" s="407"/>
    </row>
    <row r="1345" spans="2:29" s="406" customFormat="1" ht="16.5" customHeight="1">
      <c r="B1345" s="256"/>
      <c r="C1345" s="256"/>
      <c r="D1345" s="414"/>
      <c r="E1345" s="414"/>
      <c r="F1345" s="414"/>
      <c r="G1345" s="253"/>
      <c r="H1345" s="253"/>
      <c r="I1345" s="253"/>
      <c r="J1345" s="253"/>
      <c r="K1345" s="253"/>
      <c r="L1345" s="253"/>
      <c r="M1345" s="253"/>
      <c r="N1345" s="253"/>
      <c r="O1345" s="258"/>
      <c r="P1345" s="258"/>
      <c r="Q1345" s="258"/>
      <c r="R1345" s="258"/>
      <c r="S1345" s="258"/>
      <c r="T1345" s="258"/>
      <c r="U1345" s="258"/>
      <c r="V1345" s="258"/>
      <c r="W1345" s="258"/>
      <c r="X1345" s="258"/>
      <c r="Y1345" s="258"/>
      <c r="Z1345" s="258"/>
      <c r="AA1345" s="258"/>
      <c r="AB1345" s="258"/>
      <c r="AC1345" s="407"/>
    </row>
    <row r="1346" spans="2:29" s="406" customFormat="1" ht="16.5" customHeight="1">
      <c r="B1346" s="256"/>
      <c r="C1346" s="256"/>
      <c r="D1346" s="414"/>
      <c r="E1346" s="414"/>
      <c r="F1346" s="414"/>
      <c r="G1346" s="253"/>
      <c r="H1346" s="253"/>
      <c r="I1346" s="253"/>
      <c r="J1346" s="253"/>
      <c r="K1346" s="253"/>
      <c r="L1346" s="253"/>
      <c r="M1346" s="253"/>
      <c r="N1346" s="253"/>
      <c r="O1346" s="258"/>
      <c r="P1346" s="258"/>
      <c r="Q1346" s="258"/>
      <c r="R1346" s="258"/>
      <c r="S1346" s="258"/>
      <c r="T1346" s="258"/>
      <c r="U1346" s="258"/>
      <c r="V1346" s="258"/>
      <c r="W1346" s="258"/>
      <c r="X1346" s="258"/>
      <c r="Y1346" s="258"/>
      <c r="Z1346" s="258"/>
      <c r="AA1346" s="258"/>
      <c r="AB1346" s="258"/>
      <c r="AC1346" s="407"/>
    </row>
    <row r="1347" spans="2:29" s="406" customFormat="1" ht="16.5" customHeight="1">
      <c r="B1347" s="256"/>
      <c r="C1347" s="256"/>
      <c r="D1347" s="414"/>
      <c r="E1347" s="414"/>
      <c r="F1347" s="414"/>
      <c r="G1347" s="253"/>
      <c r="H1347" s="253"/>
      <c r="I1347" s="253"/>
      <c r="J1347" s="253"/>
      <c r="K1347" s="253"/>
      <c r="L1347" s="253"/>
      <c r="M1347" s="253"/>
      <c r="N1347" s="253"/>
      <c r="O1347" s="258"/>
      <c r="P1347" s="258"/>
      <c r="Q1347" s="258"/>
      <c r="R1347" s="258"/>
      <c r="S1347" s="258"/>
      <c r="T1347" s="258"/>
      <c r="U1347" s="258"/>
      <c r="V1347" s="258"/>
      <c r="W1347" s="258"/>
      <c r="X1347" s="258"/>
      <c r="Y1347" s="258"/>
      <c r="Z1347" s="258"/>
      <c r="AA1347" s="258"/>
      <c r="AB1347" s="258"/>
      <c r="AC1347" s="407"/>
    </row>
    <row r="1348" spans="2:29" s="406" customFormat="1" ht="16.5" customHeight="1">
      <c r="B1348" s="256"/>
      <c r="C1348" s="256"/>
      <c r="D1348" s="414"/>
      <c r="E1348" s="414"/>
      <c r="F1348" s="414"/>
      <c r="G1348" s="253"/>
      <c r="H1348" s="253"/>
      <c r="I1348" s="253"/>
      <c r="J1348" s="253"/>
      <c r="K1348" s="253"/>
      <c r="L1348" s="253"/>
      <c r="M1348" s="253"/>
      <c r="N1348" s="253"/>
      <c r="O1348" s="258"/>
      <c r="P1348" s="258"/>
      <c r="Q1348" s="258"/>
      <c r="R1348" s="258"/>
      <c r="S1348" s="258"/>
      <c r="T1348" s="258"/>
      <c r="U1348" s="258"/>
      <c r="V1348" s="258"/>
      <c r="W1348" s="258"/>
      <c r="X1348" s="258"/>
      <c r="Y1348" s="258"/>
      <c r="Z1348" s="258"/>
      <c r="AA1348" s="258"/>
      <c r="AB1348" s="258"/>
      <c r="AC1348" s="407"/>
    </row>
    <row r="1349" spans="2:29" s="406" customFormat="1" ht="16.5" customHeight="1">
      <c r="B1349" s="256"/>
      <c r="C1349" s="256"/>
      <c r="D1349" s="414"/>
      <c r="E1349" s="414"/>
      <c r="F1349" s="414"/>
      <c r="G1349" s="253"/>
      <c r="H1349" s="253"/>
      <c r="I1349" s="253"/>
      <c r="J1349" s="253"/>
      <c r="K1349" s="253"/>
      <c r="L1349" s="253"/>
      <c r="M1349" s="253"/>
      <c r="N1349" s="253"/>
      <c r="O1349" s="258"/>
      <c r="P1349" s="258"/>
      <c r="Q1349" s="258"/>
      <c r="R1349" s="258"/>
      <c r="S1349" s="258"/>
      <c r="T1349" s="258"/>
      <c r="U1349" s="258"/>
      <c r="V1349" s="258"/>
      <c r="W1349" s="258"/>
      <c r="X1349" s="258"/>
      <c r="Y1349" s="258"/>
      <c r="Z1349" s="258"/>
      <c r="AA1349" s="258"/>
      <c r="AB1349" s="258"/>
      <c r="AC1349" s="407"/>
    </row>
    <row r="1350" spans="2:29" s="406" customFormat="1" ht="16.5" customHeight="1">
      <c r="B1350" s="256"/>
      <c r="C1350" s="256"/>
      <c r="D1350" s="414"/>
      <c r="E1350" s="414"/>
      <c r="F1350" s="414"/>
      <c r="G1350" s="253"/>
      <c r="H1350" s="253"/>
      <c r="I1350" s="253"/>
      <c r="J1350" s="253"/>
      <c r="K1350" s="253"/>
      <c r="L1350" s="253"/>
      <c r="M1350" s="253"/>
      <c r="N1350" s="253"/>
      <c r="O1350" s="258"/>
      <c r="P1350" s="258"/>
      <c r="Q1350" s="258"/>
      <c r="R1350" s="258"/>
      <c r="S1350" s="258"/>
      <c r="T1350" s="258"/>
      <c r="U1350" s="258"/>
      <c r="V1350" s="258"/>
      <c r="W1350" s="258"/>
      <c r="X1350" s="258"/>
      <c r="Y1350" s="258"/>
      <c r="Z1350" s="258"/>
      <c r="AA1350" s="258"/>
      <c r="AB1350" s="258"/>
      <c r="AC1350" s="407"/>
    </row>
    <row r="1351" spans="2:29" s="406" customFormat="1" ht="16.5" customHeight="1">
      <c r="B1351" s="256"/>
      <c r="C1351" s="256"/>
      <c r="D1351" s="414"/>
      <c r="E1351" s="414"/>
      <c r="F1351" s="414"/>
      <c r="G1351" s="253"/>
      <c r="H1351" s="253"/>
      <c r="I1351" s="253"/>
      <c r="J1351" s="253"/>
      <c r="K1351" s="253"/>
      <c r="L1351" s="253"/>
      <c r="M1351" s="253"/>
      <c r="N1351" s="253"/>
      <c r="O1351" s="258"/>
      <c r="P1351" s="258"/>
      <c r="Q1351" s="258"/>
      <c r="R1351" s="258"/>
      <c r="S1351" s="258"/>
      <c r="T1351" s="258"/>
      <c r="U1351" s="258"/>
      <c r="V1351" s="258"/>
      <c r="W1351" s="258"/>
      <c r="X1351" s="258"/>
      <c r="Y1351" s="258"/>
      <c r="Z1351" s="258"/>
      <c r="AA1351" s="258"/>
      <c r="AB1351" s="258"/>
      <c r="AC1351" s="407"/>
    </row>
    <row r="1352" spans="2:29" s="406" customFormat="1" ht="16.5" customHeight="1">
      <c r="B1352" s="256"/>
      <c r="C1352" s="256"/>
      <c r="D1352" s="414"/>
      <c r="E1352" s="414"/>
      <c r="F1352" s="414"/>
      <c r="G1352" s="253"/>
      <c r="H1352" s="253"/>
      <c r="I1352" s="253"/>
      <c r="J1352" s="253"/>
      <c r="K1352" s="253"/>
      <c r="L1352" s="253"/>
      <c r="M1352" s="253"/>
      <c r="N1352" s="253"/>
      <c r="O1352" s="258"/>
      <c r="P1352" s="258"/>
      <c r="Q1352" s="258"/>
      <c r="R1352" s="258"/>
      <c r="S1352" s="258"/>
      <c r="T1352" s="258"/>
      <c r="U1352" s="258"/>
      <c r="V1352" s="258"/>
      <c r="W1352" s="258"/>
      <c r="X1352" s="258"/>
      <c r="Y1352" s="258"/>
      <c r="Z1352" s="258"/>
      <c r="AA1352" s="258"/>
      <c r="AB1352" s="258"/>
      <c r="AC1352" s="407"/>
    </row>
    <row r="1353" spans="2:29" s="406" customFormat="1" ht="16.5" customHeight="1">
      <c r="B1353" s="256"/>
      <c r="C1353" s="256"/>
      <c r="D1353" s="414"/>
      <c r="E1353" s="414"/>
      <c r="F1353" s="414"/>
      <c r="G1353" s="253"/>
      <c r="H1353" s="253"/>
      <c r="I1353" s="253"/>
      <c r="J1353" s="253"/>
      <c r="K1353" s="253"/>
      <c r="L1353" s="253"/>
      <c r="M1353" s="253"/>
      <c r="N1353" s="253"/>
      <c r="O1353" s="258"/>
      <c r="P1353" s="258"/>
      <c r="Q1353" s="258"/>
      <c r="R1353" s="258"/>
      <c r="S1353" s="258"/>
      <c r="T1353" s="258"/>
      <c r="U1353" s="258"/>
      <c r="V1353" s="258"/>
      <c r="W1353" s="258"/>
      <c r="X1353" s="258"/>
      <c r="Y1353" s="258"/>
      <c r="Z1353" s="258"/>
      <c r="AA1353" s="258"/>
      <c r="AB1353" s="258"/>
      <c r="AC1353" s="407"/>
    </row>
    <row r="1354" spans="2:29" s="406" customFormat="1" ht="16.5" customHeight="1">
      <c r="B1354" s="256"/>
      <c r="C1354" s="256"/>
      <c r="D1354" s="414"/>
      <c r="E1354" s="414"/>
      <c r="F1354" s="414"/>
      <c r="G1354" s="253"/>
      <c r="H1354" s="253"/>
      <c r="I1354" s="253"/>
      <c r="J1354" s="253"/>
      <c r="K1354" s="253"/>
      <c r="L1354" s="253"/>
      <c r="M1354" s="253"/>
      <c r="N1354" s="253"/>
      <c r="O1354" s="258"/>
      <c r="P1354" s="258"/>
      <c r="Q1354" s="258"/>
      <c r="R1354" s="258"/>
      <c r="S1354" s="258"/>
      <c r="T1354" s="258"/>
      <c r="U1354" s="258"/>
      <c r="V1354" s="258"/>
      <c r="W1354" s="258"/>
      <c r="X1354" s="258"/>
      <c r="Y1354" s="258"/>
      <c r="Z1354" s="258"/>
      <c r="AA1354" s="258"/>
      <c r="AB1354" s="258"/>
      <c r="AC1354" s="407"/>
    </row>
    <row r="1355" spans="2:29" s="406" customFormat="1" ht="16.5" customHeight="1">
      <c r="B1355" s="256"/>
      <c r="C1355" s="256"/>
      <c r="D1355" s="414"/>
      <c r="E1355" s="414"/>
      <c r="F1355" s="414"/>
      <c r="G1355" s="253"/>
      <c r="H1355" s="253"/>
      <c r="I1355" s="253"/>
      <c r="J1355" s="253"/>
      <c r="K1355" s="253"/>
      <c r="L1355" s="253"/>
      <c r="M1355" s="253"/>
      <c r="N1355" s="253"/>
      <c r="O1355" s="258"/>
      <c r="P1355" s="258"/>
      <c r="Q1355" s="258"/>
      <c r="R1355" s="258"/>
      <c r="S1355" s="258"/>
      <c r="T1355" s="258"/>
      <c r="U1355" s="258"/>
      <c r="V1355" s="258"/>
      <c r="W1355" s="258"/>
      <c r="X1355" s="258"/>
      <c r="Y1355" s="258"/>
      <c r="Z1355" s="258"/>
      <c r="AA1355" s="258"/>
      <c r="AB1355" s="258"/>
      <c r="AC1355" s="407"/>
    </row>
    <row r="1356" spans="2:29" s="406" customFormat="1" ht="16.5" customHeight="1">
      <c r="B1356" s="256"/>
      <c r="C1356" s="256"/>
      <c r="D1356" s="414"/>
      <c r="E1356" s="414"/>
      <c r="F1356" s="414"/>
      <c r="G1356" s="253"/>
      <c r="H1356" s="253"/>
      <c r="I1356" s="253"/>
      <c r="J1356" s="253"/>
      <c r="K1356" s="253"/>
      <c r="L1356" s="253"/>
      <c r="M1356" s="253"/>
      <c r="N1356" s="253"/>
      <c r="O1356" s="258"/>
      <c r="P1356" s="258"/>
      <c r="Q1356" s="258"/>
      <c r="R1356" s="258"/>
      <c r="S1356" s="258"/>
      <c r="T1356" s="258"/>
      <c r="U1356" s="258"/>
      <c r="V1356" s="258"/>
      <c r="W1356" s="258"/>
      <c r="X1356" s="258"/>
      <c r="Y1356" s="258"/>
      <c r="Z1356" s="258"/>
      <c r="AA1356" s="258"/>
      <c r="AB1356" s="258"/>
      <c r="AC1356" s="407"/>
    </row>
    <row r="1357" spans="2:29" s="406" customFormat="1" ht="16.5" customHeight="1">
      <c r="B1357" s="256"/>
      <c r="C1357" s="256"/>
      <c r="D1357" s="414"/>
      <c r="E1357" s="414"/>
      <c r="F1357" s="414"/>
      <c r="G1357" s="253"/>
      <c r="H1357" s="253"/>
      <c r="I1357" s="253"/>
      <c r="J1357" s="253"/>
      <c r="K1357" s="253"/>
      <c r="L1357" s="253"/>
      <c r="M1357" s="253"/>
      <c r="N1357" s="253"/>
      <c r="O1357" s="258"/>
      <c r="P1357" s="258"/>
      <c r="Q1357" s="258"/>
      <c r="R1357" s="258"/>
      <c r="S1357" s="258"/>
      <c r="T1357" s="258"/>
      <c r="U1357" s="258"/>
      <c r="V1357" s="258"/>
      <c r="W1357" s="258"/>
      <c r="X1357" s="258"/>
      <c r="Y1357" s="258"/>
      <c r="Z1357" s="258"/>
      <c r="AA1357" s="258"/>
      <c r="AB1357" s="258"/>
      <c r="AC1357" s="407"/>
    </row>
    <row r="1358" spans="2:29" s="406" customFormat="1" ht="16.5" customHeight="1">
      <c r="B1358" s="256"/>
      <c r="C1358" s="256"/>
      <c r="D1358" s="414"/>
      <c r="E1358" s="414"/>
      <c r="F1358" s="414"/>
      <c r="G1358" s="253"/>
      <c r="H1358" s="253"/>
      <c r="I1358" s="253"/>
      <c r="J1358" s="253"/>
      <c r="K1358" s="253"/>
      <c r="L1358" s="253"/>
      <c r="M1358" s="253"/>
      <c r="N1358" s="253"/>
      <c r="O1358" s="258"/>
      <c r="P1358" s="258"/>
      <c r="Q1358" s="258"/>
      <c r="R1358" s="258"/>
      <c r="S1358" s="258"/>
      <c r="T1358" s="258"/>
      <c r="U1358" s="258"/>
      <c r="V1358" s="258"/>
      <c r="W1358" s="258"/>
      <c r="X1358" s="258"/>
      <c r="Y1358" s="258"/>
      <c r="Z1358" s="258"/>
      <c r="AA1358" s="258"/>
      <c r="AB1358" s="258"/>
      <c r="AC1358" s="407"/>
    </row>
    <row r="1359" spans="2:29" s="406" customFormat="1" ht="16.5" customHeight="1">
      <c r="B1359" s="256"/>
      <c r="C1359" s="256"/>
      <c r="D1359" s="414"/>
      <c r="E1359" s="414"/>
      <c r="F1359" s="414"/>
      <c r="G1359" s="253"/>
      <c r="H1359" s="253"/>
      <c r="I1359" s="253"/>
      <c r="J1359" s="253"/>
      <c r="K1359" s="253"/>
      <c r="L1359" s="253"/>
      <c r="M1359" s="253"/>
      <c r="N1359" s="253"/>
      <c r="O1359" s="258"/>
      <c r="P1359" s="258"/>
      <c r="Q1359" s="258"/>
      <c r="R1359" s="258"/>
      <c r="S1359" s="258"/>
      <c r="T1359" s="258"/>
      <c r="U1359" s="258"/>
      <c r="V1359" s="258"/>
      <c r="W1359" s="258"/>
      <c r="X1359" s="258"/>
      <c r="Y1359" s="258"/>
      <c r="Z1359" s="258"/>
      <c r="AA1359" s="258"/>
      <c r="AB1359" s="258"/>
      <c r="AC1359" s="407"/>
    </row>
    <row r="1360" spans="2:29" s="406" customFormat="1" ht="16.5" customHeight="1">
      <c r="B1360" s="256"/>
      <c r="C1360" s="256"/>
      <c r="D1360" s="414"/>
      <c r="E1360" s="414"/>
      <c r="F1360" s="414"/>
      <c r="G1360" s="253"/>
      <c r="H1360" s="253"/>
      <c r="I1360" s="253"/>
      <c r="J1360" s="253"/>
      <c r="K1360" s="253"/>
      <c r="L1360" s="253"/>
      <c r="M1360" s="253"/>
      <c r="N1360" s="253"/>
      <c r="O1360" s="258"/>
      <c r="P1360" s="258"/>
      <c r="Q1360" s="258"/>
      <c r="R1360" s="258"/>
      <c r="S1360" s="258"/>
      <c r="T1360" s="258"/>
      <c r="U1360" s="258"/>
      <c r="V1360" s="258"/>
      <c r="W1360" s="258"/>
      <c r="X1360" s="258"/>
      <c r="Y1360" s="258"/>
      <c r="Z1360" s="258"/>
      <c r="AA1360" s="258"/>
      <c r="AB1360" s="258"/>
      <c r="AC1360" s="407"/>
    </row>
    <row r="1361" spans="2:29" s="406" customFormat="1" ht="16.5" customHeight="1">
      <c r="B1361" s="256"/>
      <c r="C1361" s="256"/>
      <c r="D1361" s="414"/>
      <c r="E1361" s="414"/>
      <c r="F1361" s="414"/>
      <c r="G1361" s="253"/>
      <c r="H1361" s="253"/>
      <c r="I1361" s="253"/>
      <c r="J1361" s="253"/>
      <c r="K1361" s="253"/>
      <c r="L1361" s="253"/>
      <c r="M1361" s="253"/>
      <c r="N1361" s="253"/>
      <c r="O1361" s="258"/>
      <c r="P1361" s="258"/>
      <c r="Q1361" s="258"/>
      <c r="R1361" s="258"/>
      <c r="S1361" s="258"/>
      <c r="T1361" s="258"/>
      <c r="U1361" s="258"/>
      <c r="V1361" s="258"/>
      <c r="W1361" s="258"/>
      <c r="X1361" s="258"/>
      <c r="Y1361" s="258"/>
      <c r="Z1361" s="258"/>
      <c r="AA1361" s="258"/>
      <c r="AB1361" s="258"/>
      <c r="AC1361" s="407"/>
    </row>
    <row r="1362" spans="2:29" s="406" customFormat="1" ht="16.5" customHeight="1">
      <c r="B1362" s="256"/>
      <c r="C1362" s="256"/>
      <c r="D1362" s="414"/>
      <c r="E1362" s="414"/>
      <c r="F1362" s="414"/>
      <c r="G1362" s="253"/>
      <c r="H1362" s="253"/>
      <c r="I1362" s="253"/>
      <c r="J1362" s="253"/>
      <c r="K1362" s="253"/>
      <c r="L1362" s="253"/>
      <c r="M1362" s="253"/>
      <c r="N1362" s="253"/>
      <c r="O1362" s="258"/>
      <c r="P1362" s="258"/>
      <c r="Q1362" s="258"/>
      <c r="R1362" s="258"/>
      <c r="S1362" s="258"/>
      <c r="T1362" s="258"/>
      <c r="U1362" s="258"/>
      <c r="V1362" s="258"/>
      <c r="W1362" s="258"/>
      <c r="X1362" s="258"/>
      <c r="Y1362" s="258"/>
      <c r="Z1362" s="258"/>
      <c r="AA1362" s="258"/>
      <c r="AB1362" s="258"/>
      <c r="AC1362" s="407"/>
    </row>
    <row r="1363" spans="2:29" s="406" customFormat="1" ht="16.5" customHeight="1">
      <c r="B1363" s="256"/>
      <c r="C1363" s="256"/>
      <c r="D1363" s="414"/>
      <c r="E1363" s="414"/>
      <c r="F1363" s="414"/>
      <c r="G1363" s="253"/>
      <c r="H1363" s="253"/>
      <c r="I1363" s="253"/>
      <c r="J1363" s="253"/>
      <c r="K1363" s="253"/>
      <c r="L1363" s="253"/>
      <c r="M1363" s="253"/>
      <c r="N1363" s="253"/>
      <c r="O1363" s="258"/>
      <c r="P1363" s="258"/>
      <c r="Q1363" s="258"/>
      <c r="R1363" s="258"/>
      <c r="S1363" s="258"/>
      <c r="T1363" s="258"/>
      <c r="U1363" s="258"/>
      <c r="V1363" s="258"/>
      <c r="W1363" s="258"/>
      <c r="X1363" s="258"/>
      <c r="Y1363" s="258"/>
      <c r="Z1363" s="258"/>
      <c r="AA1363" s="258"/>
      <c r="AB1363" s="258"/>
      <c r="AC1363" s="407"/>
    </row>
    <row r="1364" spans="2:29" s="406" customFormat="1" ht="16.5" customHeight="1">
      <c r="B1364" s="256"/>
      <c r="C1364" s="256"/>
      <c r="D1364" s="414"/>
      <c r="E1364" s="414"/>
      <c r="F1364" s="414"/>
      <c r="G1364" s="253"/>
      <c r="H1364" s="253"/>
      <c r="I1364" s="253"/>
      <c r="J1364" s="253"/>
      <c r="K1364" s="253"/>
      <c r="L1364" s="253"/>
      <c r="M1364" s="253"/>
      <c r="N1364" s="253"/>
      <c r="O1364" s="258"/>
      <c r="P1364" s="258"/>
      <c r="Q1364" s="258"/>
      <c r="R1364" s="258"/>
      <c r="S1364" s="258"/>
      <c r="T1364" s="258"/>
      <c r="U1364" s="258"/>
      <c r="V1364" s="258"/>
      <c r="W1364" s="258"/>
      <c r="X1364" s="258"/>
      <c r="Y1364" s="258"/>
      <c r="Z1364" s="258"/>
      <c r="AA1364" s="258"/>
      <c r="AB1364" s="258"/>
      <c r="AC1364" s="407"/>
    </row>
    <row r="1365" spans="2:29" s="406" customFormat="1" ht="16.5" customHeight="1">
      <c r="B1365" s="256"/>
      <c r="C1365" s="256"/>
      <c r="D1365" s="414"/>
      <c r="E1365" s="414"/>
      <c r="F1365" s="414"/>
      <c r="G1365" s="253"/>
      <c r="H1365" s="253"/>
      <c r="I1365" s="253"/>
      <c r="J1365" s="253"/>
      <c r="K1365" s="253"/>
      <c r="L1365" s="253"/>
      <c r="M1365" s="253"/>
      <c r="N1365" s="253"/>
      <c r="O1365" s="258"/>
      <c r="P1365" s="258"/>
      <c r="Q1365" s="258"/>
      <c r="R1365" s="258"/>
      <c r="S1365" s="258"/>
      <c r="T1365" s="258"/>
      <c r="U1365" s="258"/>
      <c r="V1365" s="258"/>
      <c r="W1365" s="258"/>
      <c r="X1365" s="258"/>
      <c r="Y1365" s="258"/>
      <c r="Z1365" s="258"/>
      <c r="AA1365" s="258"/>
      <c r="AB1365" s="258"/>
      <c r="AC1365" s="407"/>
    </row>
    <row r="1366" spans="2:29" s="406" customFormat="1" ht="16.5" customHeight="1">
      <c r="B1366" s="256"/>
      <c r="C1366" s="256"/>
      <c r="D1366" s="414"/>
      <c r="E1366" s="414"/>
      <c r="F1366" s="414"/>
      <c r="G1366" s="253"/>
      <c r="H1366" s="253"/>
      <c r="I1366" s="253"/>
      <c r="J1366" s="253"/>
      <c r="K1366" s="253"/>
      <c r="L1366" s="253"/>
      <c r="M1366" s="253"/>
      <c r="N1366" s="253"/>
      <c r="O1366" s="258"/>
      <c r="P1366" s="258"/>
      <c r="Q1366" s="258"/>
      <c r="R1366" s="258"/>
      <c r="S1366" s="258"/>
      <c r="T1366" s="258"/>
      <c r="U1366" s="258"/>
      <c r="V1366" s="258"/>
      <c r="W1366" s="258"/>
      <c r="X1366" s="258"/>
      <c r="Y1366" s="258"/>
      <c r="Z1366" s="258"/>
      <c r="AA1366" s="258"/>
      <c r="AB1366" s="258"/>
      <c r="AC1366" s="407"/>
    </row>
    <row r="1367" spans="2:29" s="406" customFormat="1" ht="16.5" customHeight="1">
      <c r="B1367" s="256"/>
      <c r="C1367" s="256"/>
      <c r="D1367" s="414"/>
      <c r="E1367" s="414"/>
      <c r="F1367" s="414"/>
      <c r="G1367" s="253"/>
      <c r="H1367" s="253"/>
      <c r="I1367" s="253"/>
      <c r="J1367" s="253"/>
      <c r="K1367" s="253"/>
      <c r="L1367" s="253"/>
      <c r="M1367" s="253"/>
      <c r="N1367" s="253"/>
      <c r="O1367" s="258"/>
      <c r="P1367" s="258"/>
      <c r="Q1367" s="258"/>
      <c r="R1367" s="258"/>
      <c r="S1367" s="258"/>
      <c r="T1367" s="258"/>
      <c r="U1367" s="258"/>
      <c r="V1367" s="258"/>
      <c r="W1367" s="258"/>
      <c r="X1367" s="258"/>
      <c r="Y1367" s="258"/>
      <c r="Z1367" s="258"/>
      <c r="AA1367" s="258"/>
      <c r="AB1367" s="258"/>
      <c r="AC1367" s="407"/>
    </row>
    <row r="1368" spans="2:29" s="406" customFormat="1" ht="16.5" customHeight="1">
      <c r="B1368" s="256"/>
      <c r="C1368" s="256"/>
      <c r="D1368" s="414"/>
      <c r="E1368" s="414"/>
      <c r="F1368" s="414"/>
      <c r="G1368" s="253"/>
      <c r="H1368" s="253"/>
      <c r="I1368" s="253"/>
      <c r="J1368" s="253"/>
      <c r="K1368" s="253"/>
      <c r="L1368" s="253"/>
      <c r="M1368" s="253"/>
      <c r="N1368" s="253"/>
      <c r="O1368" s="258"/>
      <c r="P1368" s="258"/>
      <c r="Q1368" s="258"/>
      <c r="R1368" s="258"/>
      <c r="S1368" s="258"/>
      <c r="T1368" s="258"/>
      <c r="U1368" s="258"/>
      <c r="V1368" s="258"/>
      <c r="W1368" s="258"/>
      <c r="X1368" s="258"/>
      <c r="Y1368" s="258"/>
      <c r="Z1368" s="258"/>
      <c r="AA1368" s="258"/>
      <c r="AB1368" s="258"/>
      <c r="AC1368" s="407"/>
    </row>
    <row r="1369" spans="2:29" s="406" customFormat="1" ht="16.5" customHeight="1">
      <c r="B1369" s="256"/>
      <c r="C1369" s="256"/>
      <c r="D1369" s="414"/>
      <c r="E1369" s="414"/>
      <c r="F1369" s="414"/>
      <c r="G1369" s="253"/>
      <c r="H1369" s="253"/>
      <c r="I1369" s="253"/>
      <c r="J1369" s="253"/>
      <c r="K1369" s="253"/>
      <c r="L1369" s="253"/>
      <c r="M1369" s="253"/>
      <c r="N1369" s="253"/>
      <c r="O1369" s="258"/>
      <c r="P1369" s="258"/>
      <c r="Q1369" s="258"/>
      <c r="R1369" s="258"/>
      <c r="S1369" s="258"/>
      <c r="T1369" s="258"/>
      <c r="U1369" s="258"/>
      <c r="V1369" s="258"/>
      <c r="W1369" s="258"/>
      <c r="X1369" s="258"/>
      <c r="Y1369" s="258"/>
      <c r="Z1369" s="258"/>
      <c r="AA1369" s="258"/>
      <c r="AB1369" s="258"/>
      <c r="AC1369" s="407"/>
    </row>
    <row r="1370" spans="2:29" s="406" customFormat="1" ht="16.5" customHeight="1">
      <c r="B1370" s="256"/>
      <c r="C1370" s="256"/>
      <c r="D1370" s="414"/>
      <c r="E1370" s="414"/>
      <c r="F1370" s="414"/>
      <c r="G1370" s="253"/>
      <c r="H1370" s="253"/>
      <c r="I1370" s="253"/>
      <c r="J1370" s="253"/>
      <c r="K1370" s="253"/>
      <c r="L1370" s="253"/>
      <c r="M1370" s="253"/>
      <c r="N1370" s="253"/>
      <c r="O1370" s="258"/>
      <c r="P1370" s="258"/>
      <c r="Q1370" s="258"/>
      <c r="R1370" s="258"/>
      <c r="S1370" s="258"/>
      <c r="T1370" s="258"/>
      <c r="U1370" s="258"/>
      <c r="V1370" s="258"/>
      <c r="W1370" s="258"/>
      <c r="X1370" s="258"/>
      <c r="Y1370" s="258"/>
      <c r="Z1370" s="258"/>
      <c r="AA1370" s="258"/>
      <c r="AB1370" s="258"/>
      <c r="AC1370" s="407"/>
    </row>
    <row r="1371" spans="2:29" s="406" customFormat="1" ht="16.5" customHeight="1">
      <c r="B1371" s="256"/>
      <c r="C1371" s="256"/>
      <c r="D1371" s="414"/>
      <c r="E1371" s="414"/>
      <c r="F1371" s="414"/>
      <c r="G1371" s="253"/>
      <c r="H1371" s="253"/>
      <c r="I1371" s="253"/>
      <c r="J1371" s="253"/>
      <c r="K1371" s="253"/>
      <c r="L1371" s="253"/>
      <c r="M1371" s="253"/>
      <c r="N1371" s="253"/>
      <c r="O1371" s="258"/>
      <c r="P1371" s="258"/>
      <c r="Q1371" s="258"/>
      <c r="R1371" s="258"/>
      <c r="S1371" s="258"/>
      <c r="T1371" s="258"/>
      <c r="U1371" s="258"/>
      <c r="V1371" s="258"/>
      <c r="W1371" s="258"/>
      <c r="X1371" s="258"/>
      <c r="Y1371" s="258"/>
      <c r="Z1371" s="258"/>
      <c r="AA1371" s="258"/>
      <c r="AB1371" s="258"/>
      <c r="AC1371" s="407"/>
    </row>
    <row r="1372" spans="2:29" s="406" customFormat="1" ht="16.5" customHeight="1">
      <c r="B1372" s="256"/>
      <c r="C1372" s="256"/>
      <c r="D1372" s="414"/>
      <c r="E1372" s="414"/>
      <c r="F1372" s="414"/>
      <c r="G1372" s="253"/>
      <c r="H1372" s="253"/>
      <c r="I1372" s="253"/>
      <c r="J1372" s="253"/>
      <c r="K1372" s="253"/>
      <c r="L1372" s="253"/>
      <c r="M1372" s="253"/>
      <c r="N1372" s="253"/>
      <c r="O1372" s="258"/>
      <c r="P1372" s="258"/>
      <c r="Q1372" s="258"/>
      <c r="R1372" s="258"/>
      <c r="S1372" s="258"/>
      <c r="T1372" s="258"/>
      <c r="U1372" s="258"/>
      <c r="V1372" s="258"/>
      <c r="W1372" s="258"/>
      <c r="X1372" s="258"/>
      <c r="Y1372" s="258"/>
      <c r="Z1372" s="258"/>
      <c r="AA1372" s="258"/>
      <c r="AB1372" s="258"/>
      <c r="AC1372" s="407"/>
    </row>
    <row r="1373" spans="2:29" s="406" customFormat="1" ht="16.5" customHeight="1">
      <c r="B1373" s="256"/>
      <c r="C1373" s="256"/>
      <c r="D1373" s="414"/>
      <c r="E1373" s="414"/>
      <c r="F1373" s="414"/>
      <c r="G1373" s="253"/>
      <c r="H1373" s="253"/>
      <c r="I1373" s="253"/>
      <c r="J1373" s="253"/>
      <c r="K1373" s="253"/>
      <c r="L1373" s="253"/>
      <c r="M1373" s="253"/>
      <c r="N1373" s="253"/>
      <c r="O1373" s="258"/>
      <c r="P1373" s="258"/>
      <c r="Q1373" s="258"/>
      <c r="R1373" s="258"/>
      <c r="S1373" s="258"/>
      <c r="T1373" s="258"/>
      <c r="U1373" s="258"/>
      <c r="V1373" s="258"/>
      <c r="W1373" s="258"/>
      <c r="X1373" s="258"/>
      <c r="Y1373" s="258"/>
      <c r="Z1373" s="258"/>
      <c r="AA1373" s="258"/>
      <c r="AB1373" s="258"/>
      <c r="AC1373" s="407"/>
    </row>
    <row r="1374" spans="2:29" s="406" customFormat="1" ht="16.5" customHeight="1">
      <c r="B1374" s="256"/>
      <c r="C1374" s="256"/>
      <c r="D1374" s="414"/>
      <c r="E1374" s="414"/>
      <c r="F1374" s="414"/>
      <c r="G1374" s="253"/>
      <c r="H1374" s="253"/>
      <c r="I1374" s="253"/>
      <c r="J1374" s="253"/>
      <c r="K1374" s="253"/>
      <c r="L1374" s="253"/>
      <c r="M1374" s="253"/>
      <c r="N1374" s="253"/>
      <c r="O1374" s="258"/>
      <c r="P1374" s="258"/>
      <c r="Q1374" s="258"/>
      <c r="R1374" s="258"/>
      <c r="S1374" s="258"/>
      <c r="T1374" s="258"/>
      <c r="U1374" s="258"/>
      <c r="V1374" s="258"/>
      <c r="W1374" s="258"/>
      <c r="X1374" s="258"/>
      <c r="Y1374" s="258"/>
      <c r="Z1374" s="258"/>
      <c r="AA1374" s="258"/>
      <c r="AB1374" s="258"/>
      <c r="AC1374" s="407"/>
    </row>
    <row r="1375" spans="2:29" s="406" customFormat="1" ht="16.5" customHeight="1">
      <c r="B1375" s="256"/>
      <c r="C1375" s="256"/>
      <c r="D1375" s="414"/>
      <c r="E1375" s="414"/>
      <c r="F1375" s="414"/>
      <c r="G1375" s="253"/>
      <c r="H1375" s="253"/>
      <c r="I1375" s="253"/>
      <c r="J1375" s="253"/>
      <c r="K1375" s="253"/>
      <c r="L1375" s="253"/>
      <c r="M1375" s="253"/>
      <c r="N1375" s="253"/>
      <c r="O1375" s="258"/>
      <c r="P1375" s="258"/>
      <c r="Q1375" s="258"/>
      <c r="R1375" s="258"/>
      <c r="S1375" s="258"/>
      <c r="T1375" s="258"/>
      <c r="U1375" s="258"/>
      <c r="V1375" s="258"/>
      <c r="W1375" s="258"/>
      <c r="X1375" s="258"/>
      <c r="Y1375" s="258"/>
      <c r="Z1375" s="258"/>
      <c r="AA1375" s="258"/>
      <c r="AB1375" s="258"/>
      <c r="AC1375" s="407"/>
    </row>
    <row r="1376" spans="2:29" s="406" customFormat="1" ht="16.5" customHeight="1">
      <c r="B1376" s="256"/>
      <c r="C1376" s="256"/>
      <c r="D1376" s="414"/>
      <c r="E1376" s="414"/>
      <c r="F1376" s="414"/>
      <c r="G1376" s="253"/>
      <c r="H1376" s="253"/>
      <c r="I1376" s="253"/>
      <c r="J1376" s="253"/>
      <c r="K1376" s="253"/>
      <c r="L1376" s="253"/>
      <c r="M1376" s="253"/>
      <c r="N1376" s="253"/>
      <c r="O1376" s="258"/>
      <c r="P1376" s="258"/>
      <c r="Q1376" s="258"/>
      <c r="R1376" s="258"/>
      <c r="S1376" s="258"/>
      <c r="T1376" s="258"/>
      <c r="U1376" s="258"/>
      <c r="V1376" s="258"/>
      <c r="W1376" s="258"/>
      <c r="X1376" s="258"/>
      <c r="Y1376" s="258"/>
      <c r="Z1376" s="258"/>
      <c r="AA1376" s="258"/>
      <c r="AB1376" s="258"/>
      <c r="AC1376" s="407"/>
    </row>
    <row r="1377" spans="2:29" s="406" customFormat="1" ht="16.5" customHeight="1">
      <c r="B1377" s="256"/>
      <c r="C1377" s="256"/>
      <c r="D1377" s="414"/>
      <c r="E1377" s="414"/>
      <c r="F1377" s="414"/>
      <c r="G1377" s="253"/>
      <c r="H1377" s="253"/>
      <c r="I1377" s="253"/>
      <c r="J1377" s="253"/>
      <c r="K1377" s="253"/>
      <c r="L1377" s="253"/>
      <c r="M1377" s="253"/>
      <c r="N1377" s="253"/>
      <c r="O1377" s="258"/>
      <c r="P1377" s="258"/>
      <c r="Q1377" s="258"/>
      <c r="R1377" s="258"/>
      <c r="S1377" s="258"/>
      <c r="T1377" s="258"/>
      <c r="U1377" s="258"/>
      <c r="V1377" s="258"/>
      <c r="W1377" s="258"/>
      <c r="X1377" s="258"/>
      <c r="Y1377" s="258"/>
      <c r="Z1377" s="258"/>
      <c r="AA1377" s="258"/>
      <c r="AB1377" s="258"/>
      <c r="AC1377" s="407"/>
    </row>
    <row r="1378" spans="2:29" s="406" customFormat="1" ht="16.5" customHeight="1">
      <c r="B1378" s="256"/>
      <c r="C1378" s="256"/>
      <c r="D1378" s="414"/>
      <c r="E1378" s="414"/>
      <c r="F1378" s="414"/>
      <c r="G1378" s="253"/>
      <c r="H1378" s="253"/>
      <c r="I1378" s="253"/>
      <c r="J1378" s="253"/>
      <c r="K1378" s="253"/>
      <c r="L1378" s="253"/>
      <c r="M1378" s="253"/>
      <c r="N1378" s="253"/>
      <c r="O1378" s="258"/>
      <c r="P1378" s="258"/>
      <c r="Q1378" s="258"/>
      <c r="R1378" s="258"/>
      <c r="S1378" s="258"/>
      <c r="T1378" s="258"/>
      <c r="U1378" s="258"/>
      <c r="V1378" s="258"/>
      <c r="W1378" s="258"/>
      <c r="X1378" s="258"/>
      <c r="Y1378" s="258"/>
      <c r="Z1378" s="258"/>
      <c r="AA1378" s="258"/>
      <c r="AB1378" s="258"/>
      <c r="AC1378" s="407"/>
    </row>
    <row r="1379" spans="2:29" s="406" customFormat="1" ht="16.5" customHeight="1">
      <c r="B1379" s="256"/>
      <c r="C1379" s="256"/>
      <c r="D1379" s="414"/>
      <c r="E1379" s="414"/>
      <c r="F1379" s="414"/>
      <c r="G1379" s="253"/>
      <c r="H1379" s="253"/>
      <c r="I1379" s="253"/>
      <c r="J1379" s="253"/>
      <c r="K1379" s="253"/>
      <c r="L1379" s="253"/>
      <c r="M1379" s="253"/>
      <c r="N1379" s="253"/>
      <c r="O1379" s="258"/>
      <c r="P1379" s="258"/>
      <c r="Q1379" s="258"/>
      <c r="R1379" s="258"/>
      <c r="S1379" s="258"/>
      <c r="T1379" s="258"/>
      <c r="U1379" s="258"/>
      <c r="V1379" s="258"/>
      <c r="W1379" s="258"/>
      <c r="X1379" s="258"/>
      <c r="Y1379" s="258"/>
      <c r="Z1379" s="258"/>
      <c r="AA1379" s="258"/>
      <c r="AB1379" s="258"/>
      <c r="AC1379" s="407"/>
    </row>
    <row r="1380" spans="2:29" s="406" customFormat="1" ht="16.5" customHeight="1">
      <c r="B1380" s="256"/>
      <c r="C1380" s="256"/>
      <c r="D1380" s="414"/>
      <c r="E1380" s="414"/>
      <c r="F1380" s="414"/>
      <c r="G1380" s="253"/>
      <c r="H1380" s="253"/>
      <c r="I1380" s="253"/>
      <c r="J1380" s="253"/>
      <c r="K1380" s="253"/>
      <c r="L1380" s="253"/>
      <c r="M1380" s="253"/>
      <c r="N1380" s="253"/>
      <c r="O1380" s="258"/>
      <c r="P1380" s="258"/>
      <c r="Q1380" s="258"/>
      <c r="R1380" s="258"/>
      <c r="S1380" s="258"/>
      <c r="T1380" s="258"/>
      <c r="U1380" s="258"/>
      <c r="V1380" s="258"/>
      <c r="W1380" s="258"/>
      <c r="X1380" s="258"/>
      <c r="Y1380" s="258"/>
      <c r="Z1380" s="258"/>
      <c r="AA1380" s="258"/>
      <c r="AB1380" s="258"/>
      <c r="AC1380" s="407"/>
    </row>
    <row r="1381" spans="2:29" s="406" customFormat="1" ht="16.5" customHeight="1">
      <c r="B1381" s="256"/>
      <c r="C1381" s="256"/>
      <c r="D1381" s="414"/>
      <c r="E1381" s="414"/>
      <c r="F1381" s="414"/>
      <c r="G1381" s="253"/>
      <c r="H1381" s="253"/>
      <c r="I1381" s="253"/>
      <c r="J1381" s="253"/>
      <c r="K1381" s="253"/>
      <c r="L1381" s="253"/>
      <c r="M1381" s="253"/>
      <c r="N1381" s="253"/>
      <c r="O1381" s="258"/>
      <c r="P1381" s="258"/>
      <c r="Q1381" s="258"/>
      <c r="R1381" s="258"/>
      <c r="S1381" s="258"/>
      <c r="T1381" s="258"/>
      <c r="U1381" s="258"/>
      <c r="V1381" s="258"/>
      <c r="W1381" s="258"/>
      <c r="X1381" s="258"/>
      <c r="Y1381" s="258"/>
      <c r="Z1381" s="258"/>
      <c r="AA1381" s="258"/>
      <c r="AB1381" s="258"/>
      <c r="AC1381" s="407"/>
    </row>
    <row r="1382" spans="2:29" s="406" customFormat="1" ht="16.5" customHeight="1">
      <c r="B1382" s="256"/>
      <c r="C1382" s="256"/>
      <c r="D1382" s="414"/>
      <c r="E1382" s="414"/>
      <c r="F1382" s="414"/>
      <c r="G1382" s="253"/>
      <c r="H1382" s="253"/>
      <c r="I1382" s="253"/>
      <c r="J1382" s="253"/>
      <c r="K1382" s="253"/>
      <c r="L1382" s="253"/>
      <c r="M1382" s="253"/>
      <c r="N1382" s="253"/>
      <c r="O1382" s="258"/>
      <c r="P1382" s="258"/>
      <c r="Q1382" s="258"/>
      <c r="R1382" s="258"/>
      <c r="S1382" s="258"/>
      <c r="T1382" s="258"/>
      <c r="U1382" s="258"/>
      <c r="V1382" s="258"/>
      <c r="W1382" s="258"/>
      <c r="X1382" s="258"/>
      <c r="Y1382" s="258"/>
      <c r="Z1382" s="258"/>
      <c r="AA1382" s="258"/>
      <c r="AB1382" s="258"/>
      <c r="AC1382" s="407"/>
    </row>
    <row r="1383" spans="2:29" s="406" customFormat="1" ht="16.5" customHeight="1">
      <c r="B1383" s="256"/>
      <c r="C1383" s="256"/>
      <c r="D1383" s="414"/>
      <c r="E1383" s="414"/>
      <c r="F1383" s="414"/>
      <c r="G1383" s="253"/>
      <c r="H1383" s="253"/>
      <c r="I1383" s="253"/>
      <c r="J1383" s="253"/>
      <c r="K1383" s="253"/>
      <c r="L1383" s="253"/>
      <c r="M1383" s="253"/>
      <c r="N1383" s="253"/>
      <c r="O1383" s="258"/>
      <c r="P1383" s="258"/>
      <c r="Q1383" s="258"/>
      <c r="R1383" s="258"/>
      <c r="S1383" s="258"/>
      <c r="T1383" s="258"/>
      <c r="U1383" s="258"/>
      <c r="V1383" s="258"/>
      <c r="W1383" s="258"/>
      <c r="X1383" s="258"/>
      <c r="Y1383" s="258"/>
      <c r="Z1383" s="258"/>
      <c r="AA1383" s="258"/>
      <c r="AB1383" s="258"/>
      <c r="AC1383" s="407"/>
    </row>
    <row r="1384" spans="2:29" s="406" customFormat="1" ht="16.5" customHeight="1">
      <c r="B1384" s="256"/>
      <c r="C1384" s="256"/>
      <c r="D1384" s="414"/>
      <c r="E1384" s="414"/>
      <c r="F1384" s="414"/>
      <c r="G1384" s="253"/>
      <c r="H1384" s="253"/>
      <c r="I1384" s="253"/>
      <c r="J1384" s="253"/>
      <c r="K1384" s="253"/>
      <c r="L1384" s="253"/>
      <c r="M1384" s="253"/>
      <c r="N1384" s="253"/>
      <c r="O1384" s="258"/>
      <c r="P1384" s="258"/>
      <c r="Q1384" s="258"/>
      <c r="R1384" s="258"/>
      <c r="S1384" s="258"/>
      <c r="T1384" s="258"/>
      <c r="U1384" s="258"/>
      <c r="V1384" s="258"/>
      <c r="W1384" s="258"/>
      <c r="X1384" s="258"/>
      <c r="Y1384" s="258"/>
      <c r="Z1384" s="258"/>
      <c r="AA1384" s="258"/>
      <c r="AB1384" s="258"/>
      <c r="AC1384" s="407"/>
    </row>
    <row r="1385" spans="2:29" s="406" customFormat="1" ht="16.5" customHeight="1">
      <c r="B1385" s="256"/>
      <c r="C1385" s="256"/>
      <c r="D1385" s="414"/>
      <c r="E1385" s="414"/>
      <c r="F1385" s="414"/>
      <c r="G1385" s="253"/>
      <c r="H1385" s="253"/>
      <c r="I1385" s="253"/>
      <c r="J1385" s="253"/>
      <c r="K1385" s="253"/>
      <c r="L1385" s="253"/>
      <c r="M1385" s="253"/>
      <c r="N1385" s="253"/>
      <c r="O1385" s="258"/>
      <c r="P1385" s="258"/>
      <c r="Q1385" s="258"/>
      <c r="R1385" s="258"/>
      <c r="S1385" s="258"/>
      <c r="T1385" s="258"/>
      <c r="U1385" s="258"/>
      <c r="V1385" s="258"/>
      <c r="W1385" s="258"/>
      <c r="X1385" s="258"/>
      <c r="Y1385" s="258"/>
      <c r="Z1385" s="258"/>
      <c r="AA1385" s="258"/>
      <c r="AB1385" s="258"/>
      <c r="AC1385" s="407"/>
    </row>
    <row r="1386" spans="2:29" s="406" customFormat="1" ht="16.5" customHeight="1">
      <c r="B1386" s="256"/>
      <c r="C1386" s="256"/>
      <c r="D1386" s="414"/>
      <c r="E1386" s="414"/>
      <c r="F1386" s="414"/>
      <c r="G1386" s="253"/>
      <c r="H1386" s="253"/>
      <c r="I1386" s="253"/>
      <c r="J1386" s="253"/>
      <c r="K1386" s="253"/>
      <c r="L1386" s="253"/>
      <c r="M1386" s="253"/>
      <c r="N1386" s="253"/>
      <c r="O1386" s="258"/>
      <c r="P1386" s="258"/>
      <c r="Q1386" s="258"/>
      <c r="R1386" s="258"/>
      <c r="S1386" s="258"/>
      <c r="T1386" s="258"/>
      <c r="U1386" s="258"/>
      <c r="V1386" s="258"/>
      <c r="W1386" s="258"/>
      <c r="X1386" s="258"/>
      <c r="Y1386" s="258"/>
      <c r="Z1386" s="258"/>
      <c r="AA1386" s="258"/>
      <c r="AB1386" s="258"/>
      <c r="AC1386" s="407"/>
    </row>
    <row r="1387" spans="2:29" s="406" customFormat="1" ht="16.5" customHeight="1">
      <c r="B1387" s="256"/>
      <c r="C1387" s="256"/>
      <c r="D1387" s="414"/>
      <c r="E1387" s="414"/>
      <c r="F1387" s="414"/>
      <c r="G1387" s="253"/>
      <c r="H1387" s="253"/>
      <c r="I1387" s="253"/>
      <c r="J1387" s="253"/>
      <c r="K1387" s="253"/>
      <c r="L1387" s="253"/>
      <c r="M1387" s="253"/>
      <c r="N1387" s="253"/>
      <c r="O1387" s="258"/>
      <c r="P1387" s="258"/>
      <c r="Q1387" s="258"/>
      <c r="R1387" s="258"/>
      <c r="S1387" s="258"/>
      <c r="T1387" s="258"/>
      <c r="U1387" s="258"/>
      <c r="V1387" s="258"/>
      <c r="W1387" s="258"/>
      <c r="X1387" s="258"/>
      <c r="Y1387" s="258"/>
      <c r="Z1387" s="258"/>
      <c r="AA1387" s="258"/>
      <c r="AB1387" s="258"/>
      <c r="AC1387" s="407"/>
    </row>
    <row r="1388" spans="2:29" s="406" customFormat="1" ht="16.5" customHeight="1">
      <c r="B1388" s="256"/>
      <c r="C1388" s="256"/>
      <c r="D1388" s="414"/>
      <c r="E1388" s="414"/>
      <c r="F1388" s="414"/>
      <c r="G1388" s="253"/>
      <c r="H1388" s="253"/>
      <c r="I1388" s="253"/>
      <c r="J1388" s="253"/>
      <c r="K1388" s="253"/>
      <c r="L1388" s="253"/>
      <c r="M1388" s="253"/>
      <c r="N1388" s="253"/>
      <c r="O1388" s="258"/>
      <c r="P1388" s="258"/>
      <c r="Q1388" s="258"/>
      <c r="R1388" s="258"/>
      <c r="S1388" s="258"/>
      <c r="T1388" s="258"/>
      <c r="U1388" s="258"/>
      <c r="V1388" s="258"/>
      <c r="W1388" s="258"/>
      <c r="X1388" s="258"/>
      <c r="Y1388" s="258"/>
      <c r="Z1388" s="258"/>
      <c r="AA1388" s="258"/>
      <c r="AB1388" s="258"/>
      <c r="AC1388" s="407"/>
    </row>
    <row r="1389" spans="2:29" s="406" customFormat="1" ht="16.5" customHeight="1">
      <c r="B1389" s="256"/>
      <c r="C1389" s="256"/>
      <c r="D1389" s="414"/>
      <c r="E1389" s="414"/>
      <c r="F1389" s="414"/>
      <c r="G1389" s="253"/>
      <c r="H1389" s="253"/>
      <c r="I1389" s="253"/>
      <c r="J1389" s="253"/>
      <c r="K1389" s="253"/>
      <c r="L1389" s="253"/>
      <c r="M1389" s="253"/>
      <c r="N1389" s="253"/>
      <c r="O1389" s="258"/>
      <c r="P1389" s="258"/>
      <c r="Q1389" s="258"/>
      <c r="R1389" s="258"/>
      <c r="S1389" s="258"/>
      <c r="T1389" s="258"/>
      <c r="U1389" s="258"/>
      <c r="V1389" s="258"/>
      <c r="W1389" s="258"/>
      <c r="X1389" s="258"/>
      <c r="Y1389" s="258"/>
      <c r="Z1389" s="258"/>
      <c r="AA1389" s="258"/>
      <c r="AB1389" s="258"/>
      <c r="AC1389" s="407"/>
    </row>
    <row r="1390" spans="2:29" s="406" customFormat="1" ht="16.5" customHeight="1">
      <c r="B1390" s="256"/>
      <c r="C1390" s="256"/>
      <c r="D1390" s="414"/>
      <c r="E1390" s="414"/>
      <c r="F1390" s="414"/>
      <c r="G1390" s="253"/>
      <c r="H1390" s="253"/>
      <c r="I1390" s="253"/>
      <c r="J1390" s="253"/>
      <c r="K1390" s="253"/>
      <c r="L1390" s="253"/>
      <c r="M1390" s="253"/>
      <c r="N1390" s="253"/>
      <c r="O1390" s="258"/>
      <c r="P1390" s="258"/>
      <c r="Q1390" s="258"/>
      <c r="R1390" s="258"/>
      <c r="S1390" s="258"/>
      <c r="T1390" s="258"/>
      <c r="U1390" s="258"/>
      <c r="V1390" s="258"/>
      <c r="W1390" s="258"/>
      <c r="X1390" s="258"/>
      <c r="Y1390" s="258"/>
      <c r="Z1390" s="258"/>
      <c r="AA1390" s="258"/>
      <c r="AB1390" s="258"/>
      <c r="AC1390" s="407"/>
    </row>
    <row r="1391" spans="2:29" s="406" customFormat="1" ht="16.5" customHeight="1">
      <c r="B1391" s="256"/>
      <c r="C1391" s="256"/>
      <c r="D1391" s="414"/>
      <c r="E1391" s="414"/>
      <c r="F1391" s="414"/>
      <c r="G1391" s="253"/>
      <c r="H1391" s="253"/>
      <c r="I1391" s="253"/>
      <c r="J1391" s="253"/>
      <c r="K1391" s="253"/>
      <c r="L1391" s="253"/>
      <c r="M1391" s="253"/>
      <c r="N1391" s="253"/>
      <c r="O1391" s="258"/>
      <c r="P1391" s="258"/>
      <c r="Q1391" s="258"/>
      <c r="R1391" s="258"/>
      <c r="S1391" s="258"/>
      <c r="T1391" s="258"/>
      <c r="U1391" s="258"/>
      <c r="V1391" s="258"/>
      <c r="W1391" s="258"/>
      <c r="X1391" s="258"/>
      <c r="Y1391" s="258"/>
      <c r="Z1391" s="258"/>
      <c r="AA1391" s="258"/>
      <c r="AB1391" s="258"/>
      <c r="AC1391" s="407"/>
    </row>
    <row r="1392" spans="2:29" s="406" customFormat="1" ht="16.5" customHeight="1">
      <c r="B1392" s="256"/>
      <c r="C1392" s="256"/>
      <c r="D1392" s="414"/>
      <c r="E1392" s="414"/>
      <c r="F1392" s="414"/>
      <c r="G1392" s="253"/>
      <c r="H1392" s="253"/>
      <c r="I1392" s="253"/>
      <c r="J1392" s="253"/>
      <c r="K1392" s="253"/>
      <c r="L1392" s="253"/>
      <c r="M1392" s="253"/>
      <c r="N1392" s="253"/>
      <c r="O1392" s="258"/>
      <c r="P1392" s="258"/>
      <c r="Q1392" s="258"/>
      <c r="R1392" s="258"/>
      <c r="S1392" s="258"/>
      <c r="T1392" s="258"/>
      <c r="U1392" s="258"/>
      <c r="V1392" s="258"/>
      <c r="W1392" s="258"/>
      <c r="X1392" s="258"/>
      <c r="Y1392" s="258"/>
      <c r="Z1392" s="258"/>
      <c r="AA1392" s="258"/>
      <c r="AB1392" s="258"/>
      <c r="AC1392" s="407"/>
    </row>
    <row r="1393" spans="2:29" s="406" customFormat="1" ht="16.5" customHeight="1">
      <c r="B1393" s="256"/>
      <c r="C1393" s="256"/>
      <c r="D1393" s="414"/>
      <c r="E1393" s="414"/>
      <c r="F1393" s="414"/>
      <c r="G1393" s="253"/>
      <c r="H1393" s="253"/>
      <c r="I1393" s="253"/>
      <c r="J1393" s="253"/>
      <c r="K1393" s="253"/>
      <c r="L1393" s="253"/>
      <c r="M1393" s="253"/>
      <c r="N1393" s="253"/>
      <c r="O1393" s="258"/>
      <c r="P1393" s="258"/>
      <c r="Q1393" s="258"/>
      <c r="R1393" s="258"/>
      <c r="S1393" s="258"/>
      <c r="T1393" s="258"/>
      <c r="U1393" s="258"/>
      <c r="V1393" s="258"/>
      <c r="W1393" s="258"/>
      <c r="X1393" s="258"/>
      <c r="Y1393" s="258"/>
      <c r="Z1393" s="258"/>
      <c r="AA1393" s="258"/>
      <c r="AB1393" s="258"/>
      <c r="AC1393" s="407"/>
    </row>
    <row r="1394" spans="2:29" s="406" customFormat="1" ht="16.5" customHeight="1">
      <c r="B1394" s="256"/>
      <c r="C1394" s="256"/>
      <c r="D1394" s="414"/>
      <c r="E1394" s="414"/>
      <c r="F1394" s="414"/>
      <c r="G1394" s="253"/>
      <c r="H1394" s="253"/>
      <c r="I1394" s="253"/>
      <c r="J1394" s="253"/>
      <c r="K1394" s="253"/>
      <c r="L1394" s="253"/>
      <c r="M1394" s="253"/>
      <c r="N1394" s="253"/>
      <c r="O1394" s="258"/>
      <c r="P1394" s="258"/>
      <c r="Q1394" s="258"/>
      <c r="R1394" s="258"/>
      <c r="S1394" s="258"/>
      <c r="T1394" s="258"/>
      <c r="U1394" s="258"/>
      <c r="V1394" s="258"/>
      <c r="W1394" s="258"/>
      <c r="X1394" s="258"/>
      <c r="Y1394" s="258"/>
      <c r="Z1394" s="258"/>
      <c r="AA1394" s="258"/>
      <c r="AB1394" s="258"/>
      <c r="AC1394" s="407"/>
    </row>
    <row r="1395" spans="2:29" s="406" customFormat="1" ht="16.5" customHeight="1">
      <c r="B1395" s="256"/>
      <c r="C1395" s="256"/>
      <c r="D1395" s="414"/>
      <c r="E1395" s="414"/>
      <c r="F1395" s="414"/>
      <c r="G1395" s="253"/>
      <c r="H1395" s="253"/>
      <c r="I1395" s="253"/>
      <c r="J1395" s="253"/>
      <c r="K1395" s="253"/>
      <c r="L1395" s="253"/>
      <c r="M1395" s="253"/>
      <c r="N1395" s="253"/>
      <c r="O1395" s="258"/>
      <c r="P1395" s="258"/>
      <c r="Q1395" s="258"/>
      <c r="R1395" s="258"/>
      <c r="S1395" s="258"/>
      <c r="T1395" s="258"/>
      <c r="U1395" s="258"/>
      <c r="V1395" s="258"/>
      <c r="W1395" s="258"/>
      <c r="X1395" s="258"/>
      <c r="Y1395" s="258"/>
      <c r="Z1395" s="258"/>
      <c r="AA1395" s="258"/>
      <c r="AB1395" s="258"/>
      <c r="AC1395" s="407"/>
    </row>
    <row r="1396" spans="2:29" s="406" customFormat="1" ht="16.5" customHeight="1">
      <c r="B1396" s="256"/>
      <c r="C1396" s="256"/>
      <c r="D1396" s="414"/>
      <c r="E1396" s="414"/>
      <c r="F1396" s="414"/>
      <c r="G1396" s="253"/>
      <c r="H1396" s="253"/>
      <c r="I1396" s="253"/>
      <c r="J1396" s="253"/>
      <c r="K1396" s="253"/>
      <c r="L1396" s="253"/>
      <c r="M1396" s="253"/>
      <c r="N1396" s="253"/>
      <c r="O1396" s="258"/>
      <c r="P1396" s="258"/>
      <c r="Q1396" s="258"/>
      <c r="R1396" s="258"/>
      <c r="S1396" s="258"/>
      <c r="T1396" s="258"/>
      <c r="U1396" s="258"/>
      <c r="V1396" s="258"/>
      <c r="W1396" s="258"/>
      <c r="X1396" s="258"/>
      <c r="Y1396" s="258"/>
      <c r="Z1396" s="258"/>
      <c r="AA1396" s="258"/>
      <c r="AB1396" s="258"/>
      <c r="AC1396" s="407"/>
    </row>
    <row r="1397" spans="2:29" s="406" customFormat="1" ht="16.5" customHeight="1">
      <c r="B1397" s="256"/>
      <c r="C1397" s="256"/>
      <c r="D1397" s="414"/>
      <c r="E1397" s="414"/>
      <c r="F1397" s="414"/>
      <c r="G1397" s="253"/>
      <c r="H1397" s="253"/>
      <c r="I1397" s="253"/>
      <c r="J1397" s="253"/>
      <c r="K1397" s="253"/>
      <c r="L1397" s="253"/>
      <c r="M1397" s="253"/>
      <c r="N1397" s="253"/>
      <c r="O1397" s="258"/>
      <c r="P1397" s="258"/>
      <c r="Q1397" s="258"/>
      <c r="R1397" s="258"/>
      <c r="S1397" s="258"/>
      <c r="T1397" s="258"/>
      <c r="U1397" s="258"/>
      <c r="V1397" s="258"/>
      <c r="W1397" s="258"/>
      <c r="X1397" s="258"/>
      <c r="Y1397" s="258"/>
      <c r="Z1397" s="258"/>
      <c r="AA1397" s="258"/>
      <c r="AB1397" s="258"/>
      <c r="AC1397" s="407"/>
    </row>
    <row r="1398" spans="2:29" s="406" customFormat="1" ht="16.5" customHeight="1">
      <c r="B1398" s="256"/>
      <c r="C1398" s="256"/>
      <c r="D1398" s="414"/>
      <c r="E1398" s="414"/>
      <c r="F1398" s="414"/>
      <c r="G1398" s="253"/>
      <c r="H1398" s="253"/>
      <c r="I1398" s="253"/>
      <c r="J1398" s="253"/>
      <c r="K1398" s="253"/>
      <c r="L1398" s="253"/>
      <c r="M1398" s="253"/>
      <c r="N1398" s="253"/>
      <c r="O1398" s="258"/>
      <c r="P1398" s="258"/>
      <c r="Q1398" s="258"/>
      <c r="R1398" s="258"/>
      <c r="S1398" s="258"/>
      <c r="T1398" s="258"/>
      <c r="U1398" s="258"/>
      <c r="V1398" s="258"/>
      <c r="W1398" s="258"/>
      <c r="X1398" s="258"/>
      <c r="Y1398" s="258"/>
      <c r="Z1398" s="258"/>
      <c r="AA1398" s="258"/>
      <c r="AB1398" s="258"/>
      <c r="AC1398" s="407"/>
    </row>
    <row r="1399" spans="2:29" s="406" customFormat="1" ht="16.5" customHeight="1">
      <c r="B1399" s="256"/>
      <c r="C1399" s="256"/>
      <c r="D1399" s="414"/>
      <c r="E1399" s="414"/>
      <c r="F1399" s="414"/>
      <c r="G1399" s="253"/>
      <c r="H1399" s="253"/>
      <c r="I1399" s="253"/>
      <c r="J1399" s="253"/>
      <c r="K1399" s="253"/>
      <c r="L1399" s="253"/>
      <c r="M1399" s="253"/>
      <c r="N1399" s="253"/>
      <c r="O1399" s="258"/>
      <c r="P1399" s="258"/>
      <c r="Q1399" s="258"/>
      <c r="R1399" s="258"/>
      <c r="S1399" s="258"/>
      <c r="T1399" s="258"/>
      <c r="U1399" s="258"/>
      <c r="V1399" s="258"/>
      <c r="W1399" s="258"/>
      <c r="X1399" s="258"/>
      <c r="Y1399" s="258"/>
      <c r="Z1399" s="258"/>
      <c r="AA1399" s="258"/>
      <c r="AB1399" s="258"/>
      <c r="AC1399" s="407"/>
    </row>
    <row r="1400" spans="2:29" s="406" customFormat="1" ht="16.5" customHeight="1">
      <c r="B1400" s="256"/>
      <c r="C1400" s="256"/>
      <c r="D1400" s="414"/>
      <c r="E1400" s="414"/>
      <c r="F1400" s="414"/>
      <c r="G1400" s="253"/>
      <c r="H1400" s="253"/>
      <c r="I1400" s="253"/>
      <c r="J1400" s="253"/>
      <c r="K1400" s="253"/>
      <c r="L1400" s="253"/>
      <c r="M1400" s="253"/>
      <c r="N1400" s="253"/>
      <c r="O1400" s="258"/>
      <c r="P1400" s="258"/>
      <c r="Q1400" s="258"/>
      <c r="R1400" s="258"/>
      <c r="S1400" s="258"/>
      <c r="T1400" s="258"/>
      <c r="U1400" s="258"/>
      <c r="V1400" s="258"/>
      <c r="W1400" s="258"/>
      <c r="X1400" s="258"/>
      <c r="Y1400" s="258"/>
      <c r="Z1400" s="258"/>
      <c r="AA1400" s="258"/>
      <c r="AB1400" s="258"/>
      <c r="AC1400" s="407"/>
    </row>
    <row r="1401" spans="2:29" s="406" customFormat="1" ht="16.5" customHeight="1">
      <c r="B1401" s="256"/>
      <c r="C1401" s="256"/>
      <c r="D1401" s="414"/>
      <c r="E1401" s="414"/>
      <c r="F1401" s="414"/>
      <c r="G1401" s="253"/>
      <c r="H1401" s="253"/>
      <c r="I1401" s="253"/>
      <c r="J1401" s="253"/>
      <c r="K1401" s="253"/>
      <c r="L1401" s="253"/>
      <c r="M1401" s="253"/>
      <c r="N1401" s="253"/>
      <c r="O1401" s="258"/>
      <c r="P1401" s="258"/>
      <c r="Q1401" s="258"/>
      <c r="R1401" s="258"/>
      <c r="S1401" s="258"/>
      <c r="T1401" s="258"/>
      <c r="U1401" s="258"/>
      <c r="V1401" s="258"/>
      <c r="W1401" s="258"/>
      <c r="X1401" s="258"/>
      <c r="Y1401" s="258"/>
      <c r="Z1401" s="258"/>
      <c r="AA1401" s="258"/>
      <c r="AB1401" s="258"/>
      <c r="AC1401" s="407"/>
    </row>
    <row r="1402" spans="2:29" s="406" customFormat="1" ht="16.5" customHeight="1">
      <c r="B1402" s="256"/>
      <c r="C1402" s="256"/>
      <c r="D1402" s="414"/>
      <c r="E1402" s="414"/>
      <c r="F1402" s="414"/>
      <c r="G1402" s="253"/>
      <c r="H1402" s="253"/>
      <c r="I1402" s="253"/>
      <c r="J1402" s="253"/>
      <c r="K1402" s="253"/>
      <c r="L1402" s="253"/>
      <c r="M1402" s="253"/>
      <c r="N1402" s="253"/>
      <c r="O1402" s="258"/>
      <c r="P1402" s="258"/>
      <c r="Q1402" s="258"/>
      <c r="R1402" s="258"/>
      <c r="S1402" s="258"/>
      <c r="T1402" s="258"/>
      <c r="U1402" s="258"/>
      <c r="V1402" s="258"/>
      <c r="W1402" s="258"/>
      <c r="X1402" s="258"/>
      <c r="Y1402" s="258"/>
      <c r="Z1402" s="258"/>
      <c r="AA1402" s="258"/>
      <c r="AB1402" s="258"/>
      <c r="AC1402" s="407"/>
    </row>
    <row r="1403" spans="2:29" s="406" customFormat="1" ht="16.5" customHeight="1">
      <c r="B1403" s="256"/>
      <c r="C1403" s="256"/>
      <c r="D1403" s="414"/>
      <c r="E1403" s="414"/>
      <c r="F1403" s="414"/>
      <c r="G1403" s="253"/>
      <c r="H1403" s="253"/>
      <c r="I1403" s="253"/>
      <c r="J1403" s="253"/>
      <c r="K1403" s="253"/>
      <c r="L1403" s="253"/>
      <c r="M1403" s="253"/>
      <c r="N1403" s="253"/>
      <c r="O1403" s="258"/>
      <c r="P1403" s="258"/>
      <c r="Q1403" s="258"/>
      <c r="R1403" s="258"/>
      <c r="S1403" s="258"/>
      <c r="T1403" s="258"/>
      <c r="U1403" s="258"/>
      <c r="V1403" s="258"/>
      <c r="W1403" s="258"/>
      <c r="X1403" s="258"/>
      <c r="Y1403" s="258"/>
      <c r="Z1403" s="258"/>
      <c r="AA1403" s="258"/>
      <c r="AB1403" s="258"/>
      <c r="AC1403" s="407"/>
    </row>
    <row r="1404" spans="2:29" s="406" customFormat="1" ht="16.5" customHeight="1">
      <c r="B1404" s="256"/>
      <c r="C1404" s="256"/>
      <c r="D1404" s="414"/>
      <c r="E1404" s="414"/>
      <c r="F1404" s="414"/>
      <c r="G1404" s="253"/>
      <c r="H1404" s="253"/>
      <c r="I1404" s="253"/>
      <c r="J1404" s="253"/>
      <c r="K1404" s="253"/>
      <c r="L1404" s="253"/>
      <c r="M1404" s="253"/>
      <c r="N1404" s="253"/>
      <c r="O1404" s="258"/>
      <c r="P1404" s="258"/>
      <c r="Q1404" s="258"/>
      <c r="R1404" s="258"/>
      <c r="S1404" s="258"/>
      <c r="T1404" s="258"/>
      <c r="U1404" s="258"/>
      <c r="V1404" s="258"/>
      <c r="W1404" s="258"/>
      <c r="X1404" s="258"/>
      <c r="Y1404" s="258"/>
      <c r="Z1404" s="258"/>
      <c r="AA1404" s="258"/>
      <c r="AB1404" s="258"/>
      <c r="AC1404" s="407"/>
    </row>
    <row r="1405" spans="2:29" s="406" customFormat="1" ht="16.5" customHeight="1">
      <c r="B1405" s="256"/>
      <c r="C1405" s="256"/>
      <c r="D1405" s="414"/>
      <c r="E1405" s="414"/>
      <c r="F1405" s="414"/>
      <c r="G1405" s="253"/>
      <c r="H1405" s="253"/>
      <c r="I1405" s="253"/>
      <c r="J1405" s="253"/>
      <c r="K1405" s="253"/>
      <c r="L1405" s="253"/>
      <c r="M1405" s="253"/>
      <c r="N1405" s="253"/>
      <c r="O1405" s="258"/>
      <c r="P1405" s="258"/>
      <c r="Q1405" s="258"/>
      <c r="R1405" s="258"/>
      <c r="S1405" s="258"/>
      <c r="T1405" s="258"/>
      <c r="U1405" s="258"/>
      <c r="V1405" s="258"/>
      <c r="W1405" s="258"/>
      <c r="X1405" s="258"/>
      <c r="Y1405" s="258"/>
      <c r="Z1405" s="258"/>
      <c r="AA1405" s="258"/>
      <c r="AB1405" s="258"/>
      <c r="AC1405" s="407"/>
    </row>
    <row r="1406" spans="2:29" s="406" customFormat="1" ht="16.5" customHeight="1">
      <c r="B1406" s="256"/>
      <c r="C1406" s="256"/>
      <c r="D1406" s="414"/>
      <c r="E1406" s="414"/>
      <c r="F1406" s="414"/>
      <c r="G1406" s="253"/>
      <c r="H1406" s="253"/>
      <c r="I1406" s="253"/>
      <c r="J1406" s="253"/>
      <c r="K1406" s="253"/>
      <c r="L1406" s="253"/>
      <c r="M1406" s="253"/>
      <c r="N1406" s="253"/>
      <c r="O1406" s="258"/>
      <c r="P1406" s="258"/>
      <c r="Q1406" s="258"/>
      <c r="R1406" s="258"/>
      <c r="S1406" s="258"/>
      <c r="T1406" s="258"/>
      <c r="U1406" s="258"/>
      <c r="V1406" s="258"/>
      <c r="W1406" s="258"/>
      <c r="X1406" s="258"/>
      <c r="Y1406" s="258"/>
      <c r="Z1406" s="258"/>
      <c r="AA1406" s="258"/>
      <c r="AB1406" s="258"/>
      <c r="AC1406" s="407"/>
    </row>
    <row r="1407" spans="2:29" s="406" customFormat="1" ht="16.5" customHeight="1">
      <c r="B1407" s="256"/>
      <c r="C1407" s="256"/>
      <c r="D1407" s="414"/>
      <c r="E1407" s="414"/>
      <c r="F1407" s="414"/>
      <c r="G1407" s="253"/>
      <c r="H1407" s="253"/>
      <c r="I1407" s="253"/>
      <c r="J1407" s="253"/>
      <c r="K1407" s="253"/>
      <c r="L1407" s="253"/>
      <c r="M1407" s="253"/>
      <c r="N1407" s="253"/>
      <c r="O1407" s="258"/>
      <c r="P1407" s="258"/>
      <c r="Q1407" s="258"/>
      <c r="R1407" s="258"/>
      <c r="S1407" s="258"/>
      <c r="T1407" s="258"/>
      <c r="U1407" s="258"/>
      <c r="V1407" s="258"/>
      <c r="W1407" s="258"/>
      <c r="X1407" s="258"/>
      <c r="Y1407" s="258"/>
      <c r="Z1407" s="258"/>
      <c r="AA1407" s="258"/>
      <c r="AB1407" s="258"/>
      <c r="AC1407" s="407"/>
    </row>
    <row r="1408" spans="2:29" s="406" customFormat="1" ht="16.5" customHeight="1">
      <c r="B1408" s="256"/>
      <c r="C1408" s="256"/>
      <c r="D1408" s="414"/>
      <c r="E1408" s="414"/>
      <c r="F1408" s="414"/>
      <c r="G1408" s="253"/>
      <c r="H1408" s="253"/>
      <c r="I1408" s="253"/>
      <c r="J1408" s="253"/>
      <c r="K1408" s="253"/>
      <c r="L1408" s="253"/>
      <c r="M1408" s="253"/>
      <c r="N1408" s="253"/>
      <c r="O1408" s="258"/>
      <c r="P1408" s="258"/>
      <c r="Q1408" s="258"/>
      <c r="R1408" s="258"/>
      <c r="S1408" s="258"/>
      <c r="T1408" s="258"/>
      <c r="U1408" s="258"/>
      <c r="V1408" s="258"/>
      <c r="W1408" s="258"/>
      <c r="X1408" s="258"/>
      <c r="Y1408" s="258"/>
      <c r="Z1408" s="258"/>
      <c r="AA1408" s="258"/>
      <c r="AB1408" s="258"/>
      <c r="AC1408" s="407"/>
    </row>
    <row r="1409" spans="2:29" s="406" customFormat="1" ht="16.5" customHeight="1">
      <c r="B1409" s="256"/>
      <c r="C1409" s="256"/>
      <c r="D1409" s="414"/>
      <c r="E1409" s="414"/>
      <c r="F1409" s="414"/>
      <c r="G1409" s="253"/>
      <c r="H1409" s="253"/>
      <c r="I1409" s="253"/>
      <c r="J1409" s="253"/>
      <c r="K1409" s="253"/>
      <c r="L1409" s="253"/>
      <c r="M1409" s="253"/>
      <c r="N1409" s="253"/>
      <c r="O1409" s="258"/>
      <c r="P1409" s="258"/>
      <c r="Q1409" s="258"/>
      <c r="R1409" s="258"/>
      <c r="S1409" s="258"/>
      <c r="T1409" s="258"/>
      <c r="U1409" s="258"/>
      <c r="V1409" s="258"/>
      <c r="W1409" s="258"/>
      <c r="X1409" s="258"/>
      <c r="Y1409" s="258"/>
      <c r="Z1409" s="258"/>
      <c r="AA1409" s="258"/>
      <c r="AB1409" s="258"/>
      <c r="AC1409" s="407"/>
    </row>
    <row r="1410" spans="2:29" s="406" customFormat="1" ht="16.5" customHeight="1">
      <c r="B1410" s="256"/>
      <c r="C1410" s="256"/>
      <c r="D1410" s="414"/>
      <c r="E1410" s="414"/>
      <c r="F1410" s="414"/>
      <c r="G1410" s="253"/>
      <c r="H1410" s="253"/>
      <c r="I1410" s="253"/>
      <c r="J1410" s="253"/>
      <c r="K1410" s="253"/>
      <c r="L1410" s="253"/>
      <c r="M1410" s="253"/>
      <c r="N1410" s="253"/>
      <c r="O1410" s="258"/>
      <c r="P1410" s="258"/>
      <c r="Q1410" s="258"/>
      <c r="R1410" s="258"/>
      <c r="S1410" s="258"/>
      <c r="T1410" s="258"/>
      <c r="U1410" s="258"/>
      <c r="V1410" s="258"/>
      <c r="W1410" s="258"/>
      <c r="X1410" s="258"/>
      <c r="Y1410" s="258"/>
      <c r="Z1410" s="258"/>
      <c r="AA1410" s="258"/>
      <c r="AB1410" s="258"/>
      <c r="AC1410" s="407"/>
    </row>
    <row r="1411" spans="2:29" s="406" customFormat="1" ht="16.5" customHeight="1">
      <c r="B1411" s="256"/>
      <c r="C1411" s="256"/>
      <c r="D1411" s="414"/>
      <c r="E1411" s="414"/>
      <c r="F1411" s="414"/>
      <c r="G1411" s="253"/>
      <c r="H1411" s="253"/>
      <c r="I1411" s="253"/>
      <c r="J1411" s="253"/>
      <c r="K1411" s="253"/>
      <c r="L1411" s="253"/>
      <c r="M1411" s="253"/>
      <c r="N1411" s="253"/>
      <c r="O1411" s="258"/>
      <c r="P1411" s="258"/>
      <c r="Q1411" s="258"/>
      <c r="R1411" s="258"/>
      <c r="S1411" s="258"/>
      <c r="T1411" s="258"/>
      <c r="U1411" s="258"/>
      <c r="V1411" s="258"/>
      <c r="W1411" s="258"/>
      <c r="X1411" s="258"/>
      <c r="Y1411" s="258"/>
      <c r="Z1411" s="258"/>
      <c r="AA1411" s="258"/>
      <c r="AB1411" s="258"/>
      <c r="AC1411" s="407"/>
    </row>
    <row r="1412" spans="2:29" s="406" customFormat="1" ht="16.5" customHeight="1">
      <c r="B1412" s="256"/>
      <c r="C1412" s="256"/>
      <c r="D1412" s="414"/>
      <c r="E1412" s="414"/>
      <c r="F1412" s="414"/>
      <c r="G1412" s="253"/>
      <c r="H1412" s="253"/>
      <c r="I1412" s="253"/>
      <c r="J1412" s="253"/>
      <c r="K1412" s="253"/>
      <c r="L1412" s="253"/>
      <c r="M1412" s="253"/>
      <c r="N1412" s="253"/>
      <c r="O1412" s="258"/>
      <c r="P1412" s="258"/>
      <c r="Q1412" s="258"/>
      <c r="R1412" s="258"/>
      <c r="S1412" s="258"/>
      <c r="T1412" s="258"/>
      <c r="U1412" s="258"/>
      <c r="V1412" s="258"/>
      <c r="W1412" s="258"/>
      <c r="X1412" s="258"/>
      <c r="Y1412" s="258"/>
      <c r="Z1412" s="258"/>
      <c r="AA1412" s="258"/>
      <c r="AB1412" s="258"/>
      <c r="AC1412" s="407"/>
    </row>
    <row r="1413" spans="2:29" s="406" customFormat="1" ht="16.5" customHeight="1">
      <c r="B1413" s="256"/>
      <c r="C1413" s="256"/>
      <c r="D1413" s="414"/>
      <c r="E1413" s="414"/>
      <c r="F1413" s="414"/>
      <c r="G1413" s="253"/>
      <c r="H1413" s="253"/>
      <c r="I1413" s="253"/>
      <c r="J1413" s="253"/>
      <c r="K1413" s="253"/>
      <c r="L1413" s="253"/>
      <c r="M1413" s="253"/>
      <c r="N1413" s="253"/>
      <c r="O1413" s="258"/>
      <c r="P1413" s="258"/>
      <c r="Q1413" s="258"/>
      <c r="R1413" s="258"/>
      <c r="S1413" s="258"/>
      <c r="T1413" s="258"/>
      <c r="U1413" s="258"/>
      <c r="V1413" s="258"/>
      <c r="W1413" s="258"/>
      <c r="X1413" s="258"/>
      <c r="Y1413" s="258"/>
      <c r="Z1413" s="258"/>
      <c r="AA1413" s="258"/>
      <c r="AB1413" s="258"/>
      <c r="AC1413" s="407"/>
    </row>
    <row r="1414" spans="2:29" s="406" customFormat="1" ht="16.5" customHeight="1">
      <c r="B1414" s="256"/>
      <c r="C1414" s="256"/>
      <c r="D1414" s="414"/>
      <c r="E1414" s="414"/>
      <c r="F1414" s="414"/>
      <c r="G1414" s="253"/>
      <c r="H1414" s="253"/>
      <c r="I1414" s="253"/>
      <c r="J1414" s="253"/>
      <c r="K1414" s="253"/>
      <c r="L1414" s="253"/>
      <c r="M1414" s="253"/>
      <c r="N1414" s="253"/>
      <c r="O1414" s="258"/>
      <c r="P1414" s="258"/>
      <c r="Q1414" s="258"/>
      <c r="R1414" s="258"/>
      <c r="S1414" s="258"/>
      <c r="T1414" s="258"/>
      <c r="U1414" s="258"/>
      <c r="V1414" s="258"/>
      <c r="W1414" s="258"/>
      <c r="X1414" s="258"/>
      <c r="Y1414" s="258"/>
      <c r="Z1414" s="258"/>
      <c r="AA1414" s="258"/>
      <c r="AB1414" s="258"/>
      <c r="AC1414" s="407"/>
    </row>
    <row r="1415" spans="2:29" s="406" customFormat="1" ht="16.5" customHeight="1">
      <c r="B1415" s="256"/>
      <c r="C1415" s="256"/>
      <c r="D1415" s="414"/>
      <c r="E1415" s="414"/>
      <c r="F1415" s="414"/>
      <c r="G1415" s="253"/>
      <c r="H1415" s="253"/>
      <c r="I1415" s="253"/>
      <c r="J1415" s="253"/>
      <c r="K1415" s="253"/>
      <c r="L1415" s="253"/>
      <c r="M1415" s="253"/>
      <c r="N1415" s="253"/>
      <c r="O1415" s="258"/>
      <c r="P1415" s="258"/>
      <c r="Q1415" s="258"/>
      <c r="R1415" s="258"/>
      <c r="S1415" s="258"/>
      <c r="T1415" s="258"/>
      <c r="U1415" s="258"/>
      <c r="V1415" s="258"/>
      <c r="W1415" s="258"/>
      <c r="X1415" s="258"/>
      <c r="Y1415" s="258"/>
      <c r="Z1415" s="258"/>
      <c r="AA1415" s="258"/>
      <c r="AB1415" s="258"/>
      <c r="AC1415" s="407"/>
    </row>
    <row r="1416" spans="2:29" s="406" customFormat="1" ht="16.5" customHeight="1">
      <c r="B1416" s="256"/>
      <c r="C1416" s="256"/>
      <c r="D1416" s="414"/>
      <c r="E1416" s="414"/>
      <c r="F1416" s="414"/>
      <c r="G1416" s="253"/>
      <c r="H1416" s="253"/>
      <c r="I1416" s="253"/>
      <c r="J1416" s="253"/>
      <c r="K1416" s="253"/>
      <c r="L1416" s="253"/>
      <c r="M1416" s="253"/>
      <c r="N1416" s="253"/>
      <c r="O1416" s="258"/>
      <c r="P1416" s="258"/>
      <c r="Q1416" s="258"/>
      <c r="R1416" s="258"/>
      <c r="S1416" s="258"/>
      <c r="T1416" s="258"/>
      <c r="U1416" s="258"/>
      <c r="V1416" s="258"/>
      <c r="W1416" s="258"/>
      <c r="X1416" s="258"/>
      <c r="Y1416" s="258"/>
      <c r="Z1416" s="258"/>
      <c r="AA1416" s="258"/>
      <c r="AB1416" s="258"/>
      <c r="AC1416" s="407"/>
    </row>
    <row r="1417" spans="2:29" s="406" customFormat="1" ht="16.5" customHeight="1">
      <c r="B1417" s="256"/>
      <c r="C1417" s="256"/>
      <c r="D1417" s="414"/>
      <c r="E1417" s="414"/>
      <c r="F1417" s="414"/>
      <c r="G1417" s="253"/>
      <c r="H1417" s="253"/>
      <c r="I1417" s="253"/>
      <c r="J1417" s="253"/>
      <c r="K1417" s="253"/>
      <c r="L1417" s="253"/>
      <c r="M1417" s="253"/>
      <c r="N1417" s="253"/>
      <c r="O1417" s="258"/>
      <c r="P1417" s="258"/>
      <c r="Q1417" s="258"/>
      <c r="R1417" s="258"/>
      <c r="S1417" s="258"/>
      <c r="T1417" s="258"/>
      <c r="U1417" s="258"/>
      <c r="V1417" s="258"/>
      <c r="W1417" s="258"/>
      <c r="X1417" s="258"/>
      <c r="Y1417" s="258"/>
      <c r="Z1417" s="258"/>
      <c r="AA1417" s="258"/>
      <c r="AB1417" s="258"/>
      <c r="AC1417" s="407"/>
    </row>
    <row r="1418" spans="2:29" s="406" customFormat="1" ht="16.5" customHeight="1">
      <c r="B1418" s="256"/>
      <c r="C1418" s="256"/>
      <c r="D1418" s="414"/>
      <c r="E1418" s="414"/>
      <c r="F1418" s="414"/>
      <c r="G1418" s="253"/>
      <c r="H1418" s="253"/>
      <c r="I1418" s="253"/>
      <c r="J1418" s="253"/>
      <c r="K1418" s="253"/>
      <c r="L1418" s="253"/>
      <c r="M1418" s="253"/>
      <c r="N1418" s="253"/>
      <c r="O1418" s="258"/>
      <c r="P1418" s="258"/>
      <c r="Q1418" s="258"/>
      <c r="R1418" s="258"/>
      <c r="S1418" s="258"/>
      <c r="T1418" s="258"/>
      <c r="U1418" s="258"/>
      <c r="V1418" s="258"/>
      <c r="W1418" s="258"/>
      <c r="X1418" s="258"/>
      <c r="Y1418" s="258"/>
      <c r="Z1418" s="258"/>
      <c r="AA1418" s="258"/>
      <c r="AB1418" s="258"/>
      <c r="AC1418" s="407"/>
    </row>
    <row r="1419" spans="2:29" s="406" customFormat="1" ht="16.5" customHeight="1">
      <c r="B1419" s="256"/>
      <c r="C1419" s="256"/>
      <c r="D1419" s="414"/>
      <c r="E1419" s="414"/>
      <c r="F1419" s="414"/>
      <c r="G1419" s="253"/>
      <c r="H1419" s="253"/>
      <c r="I1419" s="253"/>
      <c r="J1419" s="253"/>
      <c r="K1419" s="253"/>
      <c r="L1419" s="253"/>
      <c r="M1419" s="253"/>
      <c r="N1419" s="253"/>
      <c r="O1419" s="258"/>
      <c r="P1419" s="258"/>
      <c r="Q1419" s="258"/>
      <c r="R1419" s="258"/>
      <c r="S1419" s="258"/>
      <c r="T1419" s="258"/>
      <c r="U1419" s="258"/>
      <c r="V1419" s="258"/>
      <c r="W1419" s="258"/>
      <c r="X1419" s="258"/>
      <c r="Y1419" s="258"/>
      <c r="Z1419" s="258"/>
      <c r="AA1419" s="258"/>
      <c r="AB1419" s="258"/>
      <c r="AC1419" s="407"/>
    </row>
    <row r="1420" spans="2:29" s="406" customFormat="1" ht="16.5" customHeight="1">
      <c r="B1420" s="256"/>
      <c r="C1420" s="256"/>
      <c r="D1420" s="414"/>
      <c r="E1420" s="414"/>
      <c r="F1420" s="414"/>
      <c r="G1420" s="253"/>
      <c r="H1420" s="253"/>
      <c r="I1420" s="253"/>
      <c r="J1420" s="253"/>
      <c r="K1420" s="253"/>
      <c r="L1420" s="253"/>
      <c r="M1420" s="253"/>
      <c r="N1420" s="253"/>
      <c r="O1420" s="258"/>
      <c r="P1420" s="258"/>
      <c r="Q1420" s="258"/>
      <c r="R1420" s="258"/>
      <c r="S1420" s="258"/>
      <c r="T1420" s="258"/>
      <c r="U1420" s="258"/>
      <c r="V1420" s="258"/>
      <c r="W1420" s="258"/>
      <c r="X1420" s="258"/>
      <c r="Y1420" s="258"/>
      <c r="Z1420" s="258"/>
      <c r="AA1420" s="258"/>
      <c r="AB1420" s="258"/>
      <c r="AC1420" s="407"/>
    </row>
    <row r="1421" spans="2:29" s="406" customFormat="1" ht="16.5" customHeight="1">
      <c r="B1421" s="256"/>
      <c r="C1421" s="256"/>
      <c r="D1421" s="414"/>
      <c r="E1421" s="414"/>
      <c r="F1421" s="414"/>
      <c r="G1421" s="253"/>
      <c r="H1421" s="253"/>
      <c r="I1421" s="253"/>
      <c r="J1421" s="253"/>
      <c r="K1421" s="253"/>
      <c r="L1421" s="253"/>
      <c r="M1421" s="253"/>
      <c r="N1421" s="253"/>
      <c r="O1421" s="258"/>
      <c r="P1421" s="258"/>
      <c r="Q1421" s="258"/>
      <c r="R1421" s="258"/>
      <c r="S1421" s="258"/>
      <c r="T1421" s="258"/>
      <c r="U1421" s="258"/>
      <c r="V1421" s="258"/>
      <c r="W1421" s="258"/>
      <c r="X1421" s="258"/>
      <c r="Y1421" s="258"/>
      <c r="Z1421" s="258"/>
      <c r="AA1421" s="258"/>
      <c r="AB1421" s="258"/>
      <c r="AC1421" s="407"/>
    </row>
    <row r="1422" spans="2:29" s="406" customFormat="1" ht="16.5" customHeight="1">
      <c r="B1422" s="256"/>
      <c r="C1422" s="256"/>
      <c r="D1422" s="414"/>
      <c r="E1422" s="414"/>
      <c r="F1422" s="414"/>
      <c r="G1422" s="253"/>
      <c r="H1422" s="253"/>
      <c r="I1422" s="253"/>
      <c r="J1422" s="253"/>
      <c r="K1422" s="253"/>
      <c r="L1422" s="253"/>
      <c r="M1422" s="253"/>
      <c r="N1422" s="253"/>
      <c r="O1422" s="258"/>
      <c r="P1422" s="258"/>
      <c r="Q1422" s="258"/>
      <c r="R1422" s="258"/>
      <c r="S1422" s="258"/>
      <c r="T1422" s="258"/>
      <c r="U1422" s="258"/>
      <c r="V1422" s="258"/>
      <c r="W1422" s="258"/>
      <c r="X1422" s="258"/>
      <c r="Y1422" s="258"/>
      <c r="Z1422" s="258"/>
      <c r="AA1422" s="258"/>
      <c r="AB1422" s="258"/>
      <c r="AC1422" s="407"/>
    </row>
    <row r="1423" spans="2:29" s="406" customFormat="1" ht="16.5" customHeight="1">
      <c r="B1423" s="256"/>
      <c r="C1423" s="256"/>
      <c r="D1423" s="414"/>
      <c r="E1423" s="414"/>
      <c r="F1423" s="414"/>
      <c r="G1423" s="253"/>
      <c r="H1423" s="253"/>
      <c r="I1423" s="253"/>
      <c r="J1423" s="253"/>
      <c r="K1423" s="253"/>
      <c r="L1423" s="253"/>
      <c r="M1423" s="253"/>
      <c r="N1423" s="253"/>
      <c r="O1423" s="258"/>
      <c r="P1423" s="258"/>
      <c r="Q1423" s="258"/>
      <c r="R1423" s="258"/>
      <c r="S1423" s="258"/>
      <c r="T1423" s="258"/>
      <c r="U1423" s="258"/>
      <c r="V1423" s="258"/>
      <c r="W1423" s="258"/>
      <c r="X1423" s="258"/>
      <c r="Y1423" s="258"/>
      <c r="Z1423" s="258"/>
      <c r="AA1423" s="258"/>
      <c r="AB1423" s="258"/>
      <c r="AC1423" s="407"/>
    </row>
    <row r="1424" spans="2:29" s="406" customFormat="1" ht="16.5" customHeight="1">
      <c r="B1424" s="256"/>
      <c r="C1424" s="256"/>
      <c r="D1424" s="414"/>
      <c r="E1424" s="414"/>
      <c r="F1424" s="414"/>
      <c r="G1424" s="253"/>
      <c r="H1424" s="253"/>
      <c r="I1424" s="253"/>
      <c r="J1424" s="253"/>
      <c r="K1424" s="253"/>
      <c r="L1424" s="253"/>
      <c r="M1424" s="253"/>
      <c r="N1424" s="253"/>
      <c r="O1424" s="258"/>
      <c r="P1424" s="258"/>
      <c r="Q1424" s="258"/>
      <c r="R1424" s="258"/>
      <c r="S1424" s="258"/>
      <c r="T1424" s="258"/>
      <c r="U1424" s="258"/>
      <c r="V1424" s="258"/>
      <c r="W1424" s="258"/>
      <c r="X1424" s="258"/>
      <c r="Y1424" s="258"/>
      <c r="Z1424" s="258"/>
      <c r="AA1424" s="258"/>
      <c r="AB1424" s="258"/>
      <c r="AC1424" s="407"/>
    </row>
    <row r="1425" spans="2:29" s="406" customFormat="1" ht="16.5" customHeight="1">
      <c r="B1425" s="256"/>
      <c r="C1425" s="256"/>
      <c r="D1425" s="414"/>
      <c r="E1425" s="414"/>
      <c r="F1425" s="414"/>
      <c r="G1425" s="253"/>
      <c r="H1425" s="253"/>
      <c r="I1425" s="253"/>
      <c r="J1425" s="253"/>
      <c r="K1425" s="253"/>
      <c r="L1425" s="253"/>
      <c r="M1425" s="253"/>
      <c r="N1425" s="253"/>
      <c r="O1425" s="258"/>
      <c r="P1425" s="258"/>
      <c r="Q1425" s="258"/>
      <c r="R1425" s="258"/>
      <c r="S1425" s="258"/>
      <c r="T1425" s="258"/>
      <c r="U1425" s="258"/>
      <c r="V1425" s="258"/>
      <c r="W1425" s="258"/>
      <c r="X1425" s="258"/>
      <c r="Y1425" s="258"/>
      <c r="Z1425" s="258"/>
      <c r="AA1425" s="258"/>
      <c r="AB1425" s="258"/>
      <c r="AC1425" s="407"/>
    </row>
    <row r="1426" spans="2:29" s="406" customFormat="1" ht="16.5" customHeight="1">
      <c r="B1426" s="256"/>
      <c r="C1426" s="256"/>
      <c r="D1426" s="414"/>
      <c r="E1426" s="414"/>
      <c r="F1426" s="414"/>
      <c r="G1426" s="253"/>
      <c r="H1426" s="253"/>
      <c r="I1426" s="253"/>
      <c r="J1426" s="253"/>
      <c r="K1426" s="253"/>
      <c r="L1426" s="253"/>
      <c r="M1426" s="253"/>
      <c r="N1426" s="253"/>
      <c r="O1426" s="258"/>
      <c r="P1426" s="258"/>
      <c r="Q1426" s="258"/>
      <c r="R1426" s="258"/>
      <c r="S1426" s="258"/>
      <c r="T1426" s="258"/>
      <c r="U1426" s="258"/>
      <c r="V1426" s="258"/>
      <c r="W1426" s="258"/>
      <c r="X1426" s="258"/>
      <c r="Y1426" s="258"/>
      <c r="Z1426" s="258"/>
      <c r="AA1426" s="258"/>
      <c r="AB1426" s="258"/>
      <c r="AC1426" s="407"/>
    </row>
    <row r="1427" spans="2:29" s="406" customFormat="1" ht="16.5" customHeight="1">
      <c r="B1427" s="256"/>
      <c r="C1427" s="256"/>
      <c r="D1427" s="414"/>
      <c r="E1427" s="414"/>
      <c r="F1427" s="414"/>
      <c r="G1427" s="253"/>
      <c r="H1427" s="253"/>
      <c r="I1427" s="253"/>
      <c r="J1427" s="253"/>
      <c r="K1427" s="253"/>
      <c r="L1427" s="253"/>
      <c r="M1427" s="253"/>
      <c r="N1427" s="253"/>
      <c r="O1427" s="258"/>
      <c r="P1427" s="258"/>
      <c r="Q1427" s="258"/>
      <c r="R1427" s="258"/>
      <c r="S1427" s="258"/>
      <c r="T1427" s="258"/>
      <c r="U1427" s="258"/>
      <c r="V1427" s="258"/>
      <c r="W1427" s="258"/>
      <c r="X1427" s="258"/>
      <c r="Y1427" s="258"/>
      <c r="Z1427" s="258"/>
      <c r="AA1427" s="258"/>
      <c r="AB1427" s="258"/>
      <c r="AC1427" s="407"/>
    </row>
    <row r="1428" spans="2:29" s="406" customFormat="1" ht="16.5" customHeight="1">
      <c r="B1428" s="256"/>
      <c r="C1428" s="256"/>
      <c r="D1428" s="414"/>
      <c r="E1428" s="414"/>
      <c r="F1428" s="414"/>
      <c r="G1428" s="253"/>
      <c r="H1428" s="253"/>
      <c r="I1428" s="253"/>
      <c r="J1428" s="253"/>
      <c r="K1428" s="253"/>
      <c r="L1428" s="253"/>
      <c r="M1428" s="253"/>
      <c r="N1428" s="253"/>
      <c r="O1428" s="258"/>
      <c r="P1428" s="258"/>
      <c r="Q1428" s="258"/>
      <c r="R1428" s="258"/>
      <c r="S1428" s="258"/>
      <c r="T1428" s="258"/>
      <c r="U1428" s="258"/>
      <c r="V1428" s="258"/>
      <c r="W1428" s="258"/>
      <c r="X1428" s="258"/>
      <c r="Y1428" s="258"/>
      <c r="Z1428" s="258"/>
      <c r="AA1428" s="258"/>
      <c r="AB1428" s="258"/>
      <c r="AC1428" s="407"/>
    </row>
    <row r="1429" spans="2:29" s="406" customFormat="1" ht="16.5" customHeight="1">
      <c r="B1429" s="256"/>
      <c r="C1429" s="256"/>
      <c r="D1429" s="414"/>
      <c r="E1429" s="414"/>
      <c r="F1429" s="414"/>
      <c r="G1429" s="253"/>
      <c r="H1429" s="253"/>
      <c r="I1429" s="253"/>
      <c r="J1429" s="253"/>
      <c r="K1429" s="253"/>
      <c r="L1429" s="253"/>
      <c r="M1429" s="253"/>
      <c r="N1429" s="253"/>
      <c r="O1429" s="258"/>
      <c r="P1429" s="258"/>
      <c r="Q1429" s="258"/>
      <c r="R1429" s="258"/>
      <c r="S1429" s="258"/>
      <c r="T1429" s="258"/>
      <c r="U1429" s="258"/>
      <c r="V1429" s="258"/>
      <c r="W1429" s="258"/>
      <c r="X1429" s="258"/>
      <c r="Y1429" s="258"/>
      <c r="Z1429" s="258"/>
      <c r="AA1429" s="258"/>
      <c r="AB1429" s="258"/>
      <c r="AC1429" s="407"/>
    </row>
    <row r="1430" spans="2:29" s="406" customFormat="1" ht="16.5" customHeight="1">
      <c r="B1430" s="256"/>
      <c r="C1430" s="256"/>
      <c r="D1430" s="414"/>
      <c r="E1430" s="414"/>
      <c r="F1430" s="414"/>
      <c r="G1430" s="253"/>
      <c r="H1430" s="253"/>
      <c r="I1430" s="253"/>
      <c r="J1430" s="253"/>
      <c r="K1430" s="253"/>
      <c r="L1430" s="253"/>
      <c r="M1430" s="253"/>
      <c r="N1430" s="253"/>
      <c r="O1430" s="258"/>
      <c r="P1430" s="258"/>
      <c r="Q1430" s="258"/>
      <c r="R1430" s="258"/>
      <c r="S1430" s="258"/>
      <c r="T1430" s="258"/>
      <c r="U1430" s="258"/>
      <c r="V1430" s="258"/>
      <c r="W1430" s="258"/>
      <c r="X1430" s="258"/>
      <c r="Y1430" s="258"/>
      <c r="Z1430" s="258"/>
      <c r="AA1430" s="258"/>
      <c r="AB1430" s="258"/>
      <c r="AC1430" s="407"/>
    </row>
    <row r="1431" spans="2:29" s="406" customFormat="1" ht="16.5" customHeight="1">
      <c r="B1431" s="256"/>
      <c r="C1431" s="256"/>
      <c r="D1431" s="414"/>
      <c r="E1431" s="414"/>
      <c r="F1431" s="414"/>
      <c r="G1431" s="253"/>
      <c r="H1431" s="253"/>
      <c r="I1431" s="253"/>
      <c r="J1431" s="253"/>
      <c r="K1431" s="253"/>
      <c r="L1431" s="253"/>
      <c r="M1431" s="253"/>
      <c r="N1431" s="253"/>
      <c r="O1431" s="258"/>
      <c r="P1431" s="258"/>
      <c r="Q1431" s="258"/>
      <c r="R1431" s="258"/>
      <c r="S1431" s="258"/>
      <c r="T1431" s="258"/>
      <c r="U1431" s="258"/>
      <c r="V1431" s="258"/>
      <c r="W1431" s="258"/>
      <c r="X1431" s="258"/>
      <c r="Y1431" s="258"/>
      <c r="Z1431" s="258"/>
      <c r="AA1431" s="258"/>
      <c r="AB1431" s="258"/>
      <c r="AC1431" s="407"/>
    </row>
    <row r="1432" spans="2:29" s="406" customFormat="1" ht="16.5" customHeight="1">
      <c r="B1432" s="256"/>
      <c r="C1432" s="256"/>
      <c r="D1432" s="414"/>
      <c r="E1432" s="414"/>
      <c r="F1432" s="414"/>
      <c r="G1432" s="253"/>
      <c r="H1432" s="253"/>
      <c r="I1432" s="253"/>
      <c r="J1432" s="253"/>
      <c r="K1432" s="253"/>
      <c r="L1432" s="253"/>
      <c r="M1432" s="253"/>
      <c r="N1432" s="253"/>
      <c r="O1432" s="258"/>
      <c r="P1432" s="258"/>
      <c r="Q1432" s="258"/>
      <c r="R1432" s="258"/>
      <c r="S1432" s="258"/>
      <c r="T1432" s="258"/>
      <c r="U1432" s="258"/>
      <c r="V1432" s="258"/>
      <c r="W1432" s="258"/>
      <c r="X1432" s="258"/>
      <c r="Y1432" s="258"/>
      <c r="Z1432" s="258"/>
      <c r="AA1432" s="258"/>
      <c r="AB1432" s="258"/>
      <c r="AC1432" s="407"/>
    </row>
    <row r="1433" spans="2:29" s="406" customFormat="1" ht="16.5" customHeight="1">
      <c r="B1433" s="256"/>
      <c r="C1433" s="256"/>
      <c r="D1433" s="414"/>
      <c r="E1433" s="414"/>
      <c r="F1433" s="414"/>
      <c r="G1433" s="253"/>
      <c r="H1433" s="253"/>
      <c r="I1433" s="253"/>
      <c r="J1433" s="253"/>
      <c r="K1433" s="253"/>
      <c r="L1433" s="253"/>
      <c r="M1433" s="253"/>
      <c r="N1433" s="253"/>
      <c r="O1433" s="258"/>
      <c r="P1433" s="258"/>
      <c r="Q1433" s="258"/>
      <c r="R1433" s="258"/>
      <c r="S1433" s="258"/>
      <c r="T1433" s="258"/>
      <c r="U1433" s="258"/>
      <c r="V1433" s="258"/>
      <c r="W1433" s="258"/>
      <c r="X1433" s="258"/>
      <c r="Y1433" s="258"/>
      <c r="Z1433" s="258"/>
      <c r="AA1433" s="258"/>
      <c r="AB1433" s="258"/>
      <c r="AC1433" s="407"/>
    </row>
    <row r="1434" spans="2:29" s="406" customFormat="1" ht="16.5" customHeight="1">
      <c r="B1434" s="256"/>
      <c r="C1434" s="256"/>
      <c r="D1434" s="414"/>
      <c r="E1434" s="414"/>
      <c r="F1434" s="414"/>
      <c r="G1434" s="253"/>
      <c r="H1434" s="253"/>
      <c r="I1434" s="253"/>
      <c r="J1434" s="253"/>
      <c r="K1434" s="253"/>
      <c r="L1434" s="253"/>
      <c r="M1434" s="253"/>
      <c r="N1434" s="253"/>
      <c r="O1434" s="258"/>
      <c r="P1434" s="258"/>
      <c r="Q1434" s="258"/>
      <c r="R1434" s="258"/>
      <c r="S1434" s="258"/>
      <c r="T1434" s="258"/>
      <c r="U1434" s="258"/>
      <c r="V1434" s="258"/>
      <c r="W1434" s="258"/>
      <c r="X1434" s="258"/>
      <c r="Y1434" s="258"/>
      <c r="Z1434" s="258"/>
      <c r="AA1434" s="258"/>
      <c r="AB1434" s="258"/>
      <c r="AC1434" s="407"/>
    </row>
    <row r="1435" spans="2:29" s="406" customFormat="1" ht="16.5" customHeight="1">
      <c r="B1435" s="256"/>
      <c r="C1435" s="256"/>
      <c r="D1435" s="414"/>
      <c r="E1435" s="414"/>
      <c r="F1435" s="414"/>
      <c r="G1435" s="253"/>
      <c r="H1435" s="253"/>
      <c r="I1435" s="253"/>
      <c r="J1435" s="253"/>
      <c r="K1435" s="253"/>
      <c r="L1435" s="253"/>
      <c r="M1435" s="253"/>
      <c r="N1435" s="253"/>
      <c r="O1435" s="258"/>
      <c r="P1435" s="258"/>
      <c r="Q1435" s="258"/>
      <c r="R1435" s="258"/>
      <c r="S1435" s="258"/>
      <c r="T1435" s="258"/>
      <c r="U1435" s="258"/>
      <c r="V1435" s="258"/>
      <c r="W1435" s="258"/>
      <c r="X1435" s="258"/>
      <c r="Y1435" s="258"/>
      <c r="Z1435" s="258"/>
      <c r="AA1435" s="258"/>
      <c r="AB1435" s="258"/>
      <c r="AC1435" s="407"/>
    </row>
    <row r="1436" spans="2:29" s="406" customFormat="1" ht="16.5" customHeight="1">
      <c r="B1436" s="256"/>
      <c r="C1436" s="256"/>
      <c r="D1436" s="414"/>
      <c r="E1436" s="414"/>
      <c r="F1436" s="414"/>
      <c r="G1436" s="253"/>
      <c r="H1436" s="253"/>
      <c r="I1436" s="253"/>
      <c r="J1436" s="253"/>
      <c r="K1436" s="253"/>
      <c r="L1436" s="253"/>
      <c r="M1436" s="253"/>
      <c r="N1436" s="253"/>
      <c r="O1436" s="258"/>
      <c r="P1436" s="258"/>
      <c r="Q1436" s="258"/>
      <c r="R1436" s="258"/>
      <c r="S1436" s="258"/>
      <c r="T1436" s="258"/>
      <c r="U1436" s="258"/>
      <c r="V1436" s="258"/>
      <c r="W1436" s="258"/>
      <c r="X1436" s="258"/>
      <c r="Y1436" s="258"/>
      <c r="Z1436" s="258"/>
      <c r="AA1436" s="258"/>
      <c r="AB1436" s="258"/>
      <c r="AC1436" s="407"/>
    </row>
    <row r="1437" spans="2:29" s="406" customFormat="1" ht="16.5" customHeight="1">
      <c r="B1437" s="256"/>
      <c r="C1437" s="256"/>
      <c r="D1437" s="414"/>
      <c r="E1437" s="414"/>
      <c r="F1437" s="414"/>
      <c r="G1437" s="253"/>
      <c r="H1437" s="253"/>
      <c r="I1437" s="253"/>
      <c r="J1437" s="253"/>
      <c r="K1437" s="253"/>
      <c r="L1437" s="253"/>
      <c r="M1437" s="253"/>
      <c r="N1437" s="253"/>
      <c r="O1437" s="258"/>
      <c r="P1437" s="258"/>
      <c r="Q1437" s="258"/>
      <c r="R1437" s="258"/>
      <c r="S1437" s="258"/>
      <c r="T1437" s="258"/>
      <c r="U1437" s="258"/>
      <c r="V1437" s="258"/>
      <c r="W1437" s="258"/>
      <c r="X1437" s="258"/>
      <c r="Y1437" s="258"/>
      <c r="Z1437" s="258"/>
      <c r="AA1437" s="258"/>
      <c r="AB1437" s="258"/>
      <c r="AC1437" s="407"/>
    </row>
    <row r="1438" spans="2:29" s="406" customFormat="1" ht="16.5" customHeight="1">
      <c r="B1438" s="256"/>
      <c r="C1438" s="256"/>
      <c r="D1438" s="414"/>
      <c r="E1438" s="414"/>
      <c r="F1438" s="414"/>
      <c r="G1438" s="253"/>
      <c r="H1438" s="253"/>
      <c r="I1438" s="253"/>
      <c r="J1438" s="253"/>
      <c r="K1438" s="253"/>
      <c r="L1438" s="253"/>
      <c r="M1438" s="253"/>
      <c r="N1438" s="253"/>
      <c r="O1438" s="258"/>
      <c r="P1438" s="258"/>
      <c r="Q1438" s="258"/>
      <c r="R1438" s="258"/>
      <c r="S1438" s="258"/>
      <c r="T1438" s="258"/>
      <c r="U1438" s="258"/>
      <c r="V1438" s="258"/>
      <c r="W1438" s="258"/>
      <c r="X1438" s="258"/>
      <c r="Y1438" s="258"/>
      <c r="Z1438" s="258"/>
      <c r="AA1438" s="258"/>
      <c r="AB1438" s="258"/>
      <c r="AC1438" s="407"/>
    </row>
    <row r="1439" spans="2:29" s="406" customFormat="1" ht="16.5" customHeight="1">
      <c r="B1439" s="256"/>
      <c r="C1439" s="256"/>
      <c r="D1439" s="414"/>
      <c r="E1439" s="414"/>
      <c r="F1439" s="414"/>
      <c r="G1439" s="253"/>
      <c r="H1439" s="253"/>
      <c r="I1439" s="253"/>
      <c r="J1439" s="253"/>
      <c r="K1439" s="253"/>
      <c r="L1439" s="253"/>
      <c r="M1439" s="253"/>
      <c r="N1439" s="253"/>
      <c r="O1439" s="258"/>
      <c r="P1439" s="258"/>
      <c r="Q1439" s="258"/>
      <c r="R1439" s="258"/>
      <c r="S1439" s="258"/>
      <c r="T1439" s="258"/>
      <c r="U1439" s="258"/>
      <c r="V1439" s="258"/>
      <c r="W1439" s="258"/>
      <c r="X1439" s="258"/>
      <c r="Y1439" s="258"/>
      <c r="Z1439" s="258"/>
      <c r="AA1439" s="258"/>
      <c r="AB1439" s="258"/>
      <c r="AC1439" s="407"/>
    </row>
    <row r="1440" spans="2:29" s="406" customFormat="1" ht="16.5" customHeight="1">
      <c r="B1440" s="256"/>
      <c r="C1440" s="256"/>
      <c r="D1440" s="414"/>
      <c r="E1440" s="414"/>
      <c r="F1440" s="414"/>
      <c r="G1440" s="253"/>
      <c r="H1440" s="253"/>
      <c r="I1440" s="253"/>
      <c r="J1440" s="253"/>
      <c r="K1440" s="253"/>
      <c r="L1440" s="253"/>
      <c r="M1440" s="253"/>
      <c r="N1440" s="253"/>
      <c r="O1440" s="258"/>
      <c r="P1440" s="258"/>
      <c r="Q1440" s="258"/>
      <c r="R1440" s="258"/>
      <c r="S1440" s="258"/>
      <c r="T1440" s="258"/>
      <c r="U1440" s="258"/>
      <c r="V1440" s="258"/>
      <c r="W1440" s="258"/>
      <c r="X1440" s="258"/>
      <c r="Y1440" s="258"/>
      <c r="Z1440" s="258"/>
      <c r="AA1440" s="258"/>
      <c r="AB1440" s="258"/>
      <c r="AC1440" s="407"/>
    </row>
    <row r="1441" spans="2:29" s="406" customFormat="1" ht="16.5" customHeight="1">
      <c r="B1441" s="256"/>
      <c r="C1441" s="256"/>
      <c r="D1441" s="414"/>
      <c r="E1441" s="414"/>
      <c r="F1441" s="414"/>
      <c r="G1441" s="253"/>
      <c r="H1441" s="253"/>
      <c r="I1441" s="253"/>
      <c r="J1441" s="253"/>
      <c r="K1441" s="253"/>
      <c r="L1441" s="253"/>
      <c r="M1441" s="253"/>
      <c r="N1441" s="253"/>
      <c r="O1441" s="258"/>
      <c r="P1441" s="258"/>
      <c r="Q1441" s="258"/>
      <c r="R1441" s="258"/>
      <c r="S1441" s="258"/>
      <c r="T1441" s="258"/>
      <c r="U1441" s="258"/>
      <c r="V1441" s="258"/>
      <c r="W1441" s="258"/>
      <c r="X1441" s="258"/>
      <c r="Y1441" s="258"/>
      <c r="Z1441" s="258"/>
      <c r="AA1441" s="258"/>
      <c r="AB1441" s="258"/>
      <c r="AC1441" s="407"/>
    </row>
    <row r="1442" spans="2:29" s="406" customFormat="1" ht="16.5" customHeight="1">
      <c r="B1442" s="256"/>
      <c r="C1442" s="256"/>
      <c r="D1442" s="414"/>
      <c r="E1442" s="414"/>
      <c r="F1442" s="414"/>
      <c r="G1442" s="253"/>
      <c r="H1442" s="253"/>
      <c r="I1442" s="253"/>
      <c r="J1442" s="253"/>
      <c r="K1442" s="253"/>
      <c r="L1442" s="253"/>
      <c r="M1442" s="253"/>
      <c r="N1442" s="253"/>
      <c r="O1442" s="258"/>
      <c r="P1442" s="258"/>
      <c r="Q1442" s="258"/>
      <c r="R1442" s="258"/>
      <c r="S1442" s="258"/>
      <c r="T1442" s="258"/>
      <c r="U1442" s="258"/>
      <c r="V1442" s="258"/>
      <c r="W1442" s="258"/>
      <c r="X1442" s="258"/>
      <c r="Y1442" s="258"/>
      <c r="Z1442" s="258"/>
      <c r="AA1442" s="258"/>
      <c r="AB1442" s="258"/>
      <c r="AC1442" s="407"/>
    </row>
    <row r="1443" spans="2:29" s="406" customFormat="1" ht="16.5" customHeight="1">
      <c r="B1443" s="256"/>
      <c r="C1443" s="256"/>
      <c r="D1443" s="414"/>
      <c r="E1443" s="414"/>
      <c r="F1443" s="414"/>
      <c r="G1443" s="253"/>
      <c r="H1443" s="253"/>
      <c r="I1443" s="253"/>
      <c r="J1443" s="253"/>
      <c r="K1443" s="253"/>
      <c r="L1443" s="253"/>
      <c r="M1443" s="253"/>
      <c r="N1443" s="253"/>
      <c r="O1443" s="258"/>
      <c r="P1443" s="258"/>
      <c r="Q1443" s="258"/>
      <c r="R1443" s="258"/>
      <c r="S1443" s="258"/>
      <c r="T1443" s="258"/>
      <c r="U1443" s="258"/>
      <c r="V1443" s="258"/>
      <c r="W1443" s="258"/>
      <c r="X1443" s="258"/>
      <c r="Y1443" s="258"/>
      <c r="Z1443" s="258"/>
      <c r="AA1443" s="258"/>
      <c r="AB1443" s="258"/>
      <c r="AC1443" s="407"/>
    </row>
    <row r="1444" spans="2:29" s="406" customFormat="1" ht="16.5" customHeight="1">
      <c r="B1444" s="256"/>
      <c r="C1444" s="256"/>
      <c r="D1444" s="414"/>
      <c r="E1444" s="414"/>
      <c r="F1444" s="414"/>
      <c r="G1444" s="253"/>
      <c r="H1444" s="253"/>
      <c r="I1444" s="253"/>
      <c r="J1444" s="253"/>
      <c r="K1444" s="253"/>
      <c r="L1444" s="253"/>
      <c r="M1444" s="253"/>
      <c r="N1444" s="253"/>
      <c r="O1444" s="258"/>
      <c r="P1444" s="258"/>
      <c r="Q1444" s="258"/>
      <c r="R1444" s="258"/>
      <c r="S1444" s="258"/>
      <c r="T1444" s="258"/>
      <c r="U1444" s="258"/>
      <c r="V1444" s="258"/>
      <c r="W1444" s="258"/>
      <c r="X1444" s="258"/>
      <c r="Y1444" s="258"/>
      <c r="Z1444" s="258"/>
      <c r="AA1444" s="258"/>
      <c r="AB1444" s="258"/>
      <c r="AC1444" s="407"/>
    </row>
    <row r="1445" spans="2:29" s="406" customFormat="1" ht="16.5" customHeight="1">
      <c r="B1445" s="256"/>
      <c r="C1445" s="256"/>
      <c r="D1445" s="414"/>
      <c r="E1445" s="414"/>
      <c r="F1445" s="414"/>
      <c r="G1445" s="253"/>
      <c r="H1445" s="253"/>
      <c r="I1445" s="253"/>
      <c r="J1445" s="253"/>
      <c r="K1445" s="253"/>
      <c r="L1445" s="253"/>
      <c r="M1445" s="253"/>
      <c r="N1445" s="253"/>
      <c r="O1445" s="258"/>
      <c r="P1445" s="258"/>
      <c r="Q1445" s="258"/>
      <c r="R1445" s="258"/>
      <c r="S1445" s="258"/>
      <c r="T1445" s="258"/>
      <c r="U1445" s="258"/>
      <c r="V1445" s="258"/>
      <c r="W1445" s="258"/>
      <c r="X1445" s="258"/>
      <c r="Y1445" s="258"/>
      <c r="Z1445" s="258"/>
      <c r="AA1445" s="258"/>
      <c r="AB1445" s="258"/>
      <c r="AC1445" s="407"/>
    </row>
    <row r="1446" spans="2:29" s="406" customFormat="1" ht="16.5" customHeight="1">
      <c r="B1446" s="256"/>
      <c r="C1446" s="256"/>
      <c r="D1446" s="414"/>
      <c r="E1446" s="414"/>
      <c r="F1446" s="414"/>
      <c r="G1446" s="253"/>
      <c r="H1446" s="253"/>
      <c r="I1446" s="253"/>
      <c r="J1446" s="253"/>
      <c r="K1446" s="253"/>
      <c r="L1446" s="253"/>
      <c r="M1446" s="253"/>
      <c r="N1446" s="253"/>
      <c r="O1446" s="258"/>
      <c r="P1446" s="258"/>
      <c r="Q1446" s="258"/>
      <c r="R1446" s="258"/>
      <c r="S1446" s="258"/>
      <c r="T1446" s="258"/>
      <c r="U1446" s="258"/>
      <c r="V1446" s="258"/>
      <c r="W1446" s="258"/>
      <c r="X1446" s="258"/>
      <c r="Y1446" s="258"/>
      <c r="Z1446" s="258"/>
      <c r="AA1446" s="258"/>
      <c r="AB1446" s="258"/>
      <c r="AC1446" s="407"/>
    </row>
    <row r="1447" spans="2:29" s="406" customFormat="1" ht="16.5" customHeight="1">
      <c r="B1447" s="256"/>
      <c r="C1447" s="256"/>
      <c r="D1447" s="414"/>
      <c r="E1447" s="414"/>
      <c r="F1447" s="414"/>
      <c r="G1447" s="253"/>
      <c r="H1447" s="253"/>
      <c r="I1447" s="253"/>
      <c r="J1447" s="253"/>
      <c r="K1447" s="253"/>
      <c r="L1447" s="253"/>
      <c r="M1447" s="253"/>
      <c r="N1447" s="253"/>
      <c r="O1447" s="258"/>
      <c r="P1447" s="258"/>
      <c r="Q1447" s="258"/>
      <c r="R1447" s="258"/>
      <c r="S1447" s="258"/>
      <c r="T1447" s="258"/>
      <c r="U1447" s="258"/>
      <c r="V1447" s="258"/>
      <c r="W1447" s="258"/>
      <c r="X1447" s="258"/>
      <c r="Y1447" s="258"/>
      <c r="Z1447" s="258"/>
      <c r="AA1447" s="258"/>
      <c r="AB1447" s="258"/>
      <c r="AC1447" s="407"/>
    </row>
    <row r="1448" spans="2:29" s="406" customFormat="1" ht="16.5" customHeight="1">
      <c r="B1448" s="256"/>
      <c r="C1448" s="256"/>
      <c r="D1448" s="414"/>
      <c r="E1448" s="414"/>
      <c r="F1448" s="414"/>
      <c r="G1448" s="253"/>
      <c r="H1448" s="253"/>
      <c r="I1448" s="253"/>
      <c r="J1448" s="253"/>
      <c r="K1448" s="253"/>
      <c r="L1448" s="253"/>
      <c r="M1448" s="253"/>
      <c r="N1448" s="253"/>
      <c r="O1448" s="258"/>
      <c r="P1448" s="258"/>
      <c r="Q1448" s="258"/>
      <c r="R1448" s="258"/>
      <c r="S1448" s="258"/>
      <c r="T1448" s="258"/>
      <c r="U1448" s="258"/>
      <c r="V1448" s="258"/>
      <c r="W1448" s="258"/>
      <c r="X1448" s="258"/>
      <c r="Y1448" s="258"/>
      <c r="Z1448" s="258"/>
      <c r="AA1448" s="258"/>
      <c r="AB1448" s="258"/>
      <c r="AC1448" s="407"/>
    </row>
    <row r="1449" spans="2:29" s="406" customFormat="1" ht="16.5" customHeight="1">
      <c r="B1449" s="256"/>
      <c r="C1449" s="256"/>
      <c r="D1449" s="414"/>
      <c r="E1449" s="414"/>
      <c r="F1449" s="414"/>
      <c r="G1449" s="253"/>
      <c r="H1449" s="253"/>
      <c r="I1449" s="253"/>
      <c r="J1449" s="253"/>
      <c r="K1449" s="253"/>
      <c r="L1449" s="253"/>
      <c r="M1449" s="253"/>
      <c r="N1449" s="253"/>
      <c r="O1449" s="258"/>
      <c r="P1449" s="258"/>
      <c r="Q1449" s="258"/>
      <c r="R1449" s="258"/>
      <c r="S1449" s="258"/>
      <c r="T1449" s="258"/>
      <c r="U1449" s="258"/>
      <c r="V1449" s="258"/>
      <c r="W1449" s="258"/>
      <c r="X1449" s="258"/>
      <c r="Y1449" s="258"/>
      <c r="Z1449" s="258"/>
      <c r="AA1449" s="258"/>
      <c r="AB1449" s="258"/>
      <c r="AC1449" s="407"/>
    </row>
    <row r="1450" spans="2:29" s="406" customFormat="1" ht="16.5" customHeight="1">
      <c r="B1450" s="256"/>
      <c r="C1450" s="256"/>
      <c r="D1450" s="414"/>
      <c r="E1450" s="414"/>
      <c r="F1450" s="414"/>
      <c r="G1450" s="253"/>
      <c r="H1450" s="253"/>
      <c r="I1450" s="253"/>
      <c r="J1450" s="253"/>
      <c r="K1450" s="253"/>
      <c r="L1450" s="253"/>
      <c r="M1450" s="253"/>
      <c r="N1450" s="253"/>
      <c r="O1450" s="258"/>
      <c r="P1450" s="258"/>
      <c r="Q1450" s="258"/>
      <c r="R1450" s="258"/>
      <c r="S1450" s="258"/>
      <c r="T1450" s="258"/>
      <c r="U1450" s="258"/>
      <c r="V1450" s="258"/>
      <c r="W1450" s="258"/>
      <c r="X1450" s="258"/>
      <c r="Y1450" s="258"/>
      <c r="Z1450" s="258"/>
      <c r="AA1450" s="258"/>
      <c r="AB1450" s="258"/>
      <c r="AC1450" s="407"/>
    </row>
    <row r="1451" spans="2:29" s="406" customFormat="1" ht="16.5" customHeight="1">
      <c r="B1451" s="256"/>
      <c r="C1451" s="256"/>
      <c r="D1451" s="414"/>
      <c r="E1451" s="414"/>
      <c r="F1451" s="414"/>
      <c r="G1451" s="253"/>
      <c r="H1451" s="253"/>
      <c r="I1451" s="253"/>
      <c r="J1451" s="253"/>
      <c r="K1451" s="253"/>
      <c r="L1451" s="253"/>
      <c r="M1451" s="253"/>
      <c r="N1451" s="253"/>
      <c r="O1451" s="258"/>
      <c r="P1451" s="258"/>
      <c r="Q1451" s="258"/>
      <c r="R1451" s="258"/>
      <c r="S1451" s="258"/>
      <c r="T1451" s="258"/>
      <c r="U1451" s="258"/>
      <c r="V1451" s="258"/>
      <c r="W1451" s="258"/>
      <c r="X1451" s="258"/>
      <c r="Y1451" s="258"/>
      <c r="Z1451" s="258"/>
      <c r="AA1451" s="258"/>
      <c r="AB1451" s="258"/>
      <c r="AC1451" s="407"/>
    </row>
    <row r="1452" spans="2:29" s="406" customFormat="1" ht="16.5" customHeight="1">
      <c r="B1452" s="256"/>
      <c r="C1452" s="256"/>
      <c r="D1452" s="414"/>
      <c r="E1452" s="414"/>
      <c r="F1452" s="414"/>
      <c r="G1452" s="253"/>
      <c r="H1452" s="253"/>
      <c r="I1452" s="253"/>
      <c r="J1452" s="253"/>
      <c r="K1452" s="253"/>
      <c r="L1452" s="253"/>
      <c r="M1452" s="253"/>
      <c r="N1452" s="253"/>
      <c r="O1452" s="258"/>
      <c r="P1452" s="258"/>
      <c r="Q1452" s="258"/>
      <c r="R1452" s="258"/>
      <c r="S1452" s="258"/>
      <c r="T1452" s="258"/>
      <c r="U1452" s="258"/>
      <c r="V1452" s="258"/>
      <c r="W1452" s="258"/>
      <c r="X1452" s="258"/>
      <c r="Y1452" s="258"/>
      <c r="Z1452" s="258"/>
      <c r="AA1452" s="258"/>
      <c r="AB1452" s="258"/>
      <c r="AC1452" s="407"/>
    </row>
    <row r="1453" spans="2:29" s="406" customFormat="1" ht="16.5" customHeight="1">
      <c r="B1453" s="256"/>
      <c r="C1453" s="256"/>
      <c r="D1453" s="414"/>
      <c r="E1453" s="414"/>
      <c r="F1453" s="414"/>
      <c r="G1453" s="253"/>
      <c r="H1453" s="253"/>
      <c r="I1453" s="253"/>
      <c r="J1453" s="253"/>
      <c r="K1453" s="253"/>
      <c r="L1453" s="253"/>
      <c r="M1453" s="253"/>
      <c r="N1453" s="253"/>
      <c r="O1453" s="258"/>
      <c r="P1453" s="258"/>
      <c r="Q1453" s="258"/>
      <c r="R1453" s="258"/>
      <c r="S1453" s="258"/>
      <c r="T1453" s="258"/>
      <c r="U1453" s="258"/>
      <c r="V1453" s="258"/>
      <c r="W1453" s="258"/>
      <c r="X1453" s="258"/>
      <c r="Y1453" s="258"/>
      <c r="Z1453" s="258"/>
      <c r="AA1453" s="258"/>
      <c r="AB1453" s="258"/>
      <c r="AC1453" s="407"/>
    </row>
    <row r="1454" spans="2:29" s="406" customFormat="1" ht="16.5" customHeight="1">
      <c r="B1454" s="256"/>
      <c r="C1454" s="256"/>
      <c r="D1454" s="414"/>
      <c r="E1454" s="414"/>
      <c r="F1454" s="414"/>
      <c r="G1454" s="253"/>
      <c r="H1454" s="253"/>
      <c r="I1454" s="253"/>
      <c r="J1454" s="253"/>
      <c r="K1454" s="253"/>
      <c r="L1454" s="253"/>
      <c r="M1454" s="253"/>
      <c r="N1454" s="253"/>
      <c r="O1454" s="258"/>
      <c r="P1454" s="258"/>
      <c r="Q1454" s="258"/>
      <c r="R1454" s="258"/>
      <c r="S1454" s="258"/>
      <c r="T1454" s="258"/>
      <c r="U1454" s="258"/>
      <c r="V1454" s="258"/>
      <c r="W1454" s="258"/>
      <c r="X1454" s="258"/>
      <c r="Y1454" s="258"/>
      <c r="Z1454" s="258"/>
      <c r="AA1454" s="258"/>
      <c r="AB1454" s="258"/>
      <c r="AC1454" s="407"/>
    </row>
    <row r="1455" spans="2:29" s="406" customFormat="1" ht="16.5" customHeight="1">
      <c r="B1455" s="256"/>
      <c r="C1455" s="256"/>
      <c r="D1455" s="414"/>
      <c r="E1455" s="414"/>
      <c r="F1455" s="414"/>
      <c r="G1455" s="253"/>
      <c r="H1455" s="253"/>
      <c r="I1455" s="253"/>
      <c r="J1455" s="253"/>
      <c r="K1455" s="253"/>
      <c r="L1455" s="253"/>
      <c r="M1455" s="253"/>
      <c r="N1455" s="253"/>
      <c r="O1455" s="258"/>
      <c r="P1455" s="258"/>
      <c r="Q1455" s="258"/>
      <c r="R1455" s="258"/>
      <c r="S1455" s="258"/>
      <c r="T1455" s="258"/>
      <c r="U1455" s="258"/>
      <c r="V1455" s="258"/>
      <c r="W1455" s="258"/>
      <c r="X1455" s="258"/>
      <c r="Y1455" s="258"/>
      <c r="Z1455" s="258"/>
      <c r="AA1455" s="258"/>
      <c r="AB1455" s="258"/>
      <c r="AC1455" s="407"/>
    </row>
    <row r="1456" spans="2:29" s="406" customFormat="1" ht="16.5" customHeight="1">
      <c r="B1456" s="256"/>
      <c r="C1456" s="256"/>
      <c r="D1456" s="414"/>
      <c r="E1456" s="414"/>
      <c r="F1456" s="414"/>
      <c r="G1456" s="253"/>
      <c r="H1456" s="253"/>
      <c r="I1456" s="253"/>
      <c r="J1456" s="253"/>
      <c r="K1456" s="253"/>
      <c r="L1456" s="253"/>
      <c r="M1456" s="253"/>
      <c r="N1456" s="253"/>
      <c r="O1456" s="258"/>
      <c r="P1456" s="258"/>
      <c r="Q1456" s="258"/>
      <c r="R1456" s="258"/>
      <c r="S1456" s="258"/>
      <c r="T1456" s="258"/>
      <c r="U1456" s="258"/>
      <c r="V1456" s="258"/>
      <c r="W1456" s="258"/>
      <c r="X1456" s="258"/>
      <c r="Y1456" s="258"/>
      <c r="Z1456" s="258"/>
      <c r="AA1456" s="258"/>
      <c r="AB1456" s="258"/>
      <c r="AC1456" s="407"/>
    </row>
    <row r="1457" spans="2:29" s="406" customFormat="1" ht="16.5" customHeight="1">
      <c r="B1457" s="256"/>
      <c r="C1457" s="256"/>
      <c r="D1457" s="414"/>
      <c r="E1457" s="414"/>
      <c r="F1457" s="414"/>
      <c r="G1457" s="253"/>
      <c r="H1457" s="253"/>
      <c r="I1457" s="253"/>
      <c r="J1457" s="253"/>
      <c r="K1457" s="253"/>
      <c r="L1457" s="253"/>
      <c r="M1457" s="253"/>
      <c r="N1457" s="253"/>
      <c r="O1457" s="258"/>
      <c r="P1457" s="258"/>
      <c r="Q1457" s="258"/>
      <c r="R1457" s="258"/>
      <c r="S1457" s="258"/>
      <c r="T1457" s="258"/>
      <c r="U1457" s="258"/>
      <c r="V1457" s="258"/>
      <c r="W1457" s="258"/>
      <c r="X1457" s="258"/>
      <c r="Y1457" s="258"/>
      <c r="Z1457" s="258"/>
      <c r="AA1457" s="258"/>
      <c r="AB1457" s="258"/>
      <c r="AC1457" s="407"/>
    </row>
    <row r="1458" spans="2:29" s="406" customFormat="1" ht="16.5" customHeight="1">
      <c r="B1458" s="256"/>
      <c r="C1458" s="256"/>
      <c r="D1458" s="414"/>
      <c r="E1458" s="414"/>
      <c r="F1458" s="414"/>
      <c r="G1458" s="253"/>
      <c r="H1458" s="253"/>
      <c r="I1458" s="253"/>
      <c r="J1458" s="253"/>
      <c r="K1458" s="253"/>
      <c r="L1458" s="253"/>
      <c r="M1458" s="253"/>
      <c r="N1458" s="253"/>
      <c r="O1458" s="258"/>
      <c r="P1458" s="258"/>
      <c r="Q1458" s="258"/>
      <c r="R1458" s="258"/>
      <c r="S1458" s="258"/>
      <c r="T1458" s="258"/>
      <c r="U1458" s="258"/>
      <c r="V1458" s="258"/>
      <c r="W1458" s="258"/>
      <c r="X1458" s="258"/>
      <c r="Y1458" s="258"/>
      <c r="Z1458" s="258"/>
      <c r="AA1458" s="258"/>
      <c r="AB1458" s="258"/>
      <c r="AC1458" s="407"/>
    </row>
    <row r="1459" spans="2:29" s="406" customFormat="1" ht="16.5" customHeight="1">
      <c r="B1459" s="256"/>
      <c r="C1459" s="256"/>
      <c r="D1459" s="414"/>
      <c r="E1459" s="414"/>
      <c r="F1459" s="414"/>
      <c r="G1459" s="253"/>
      <c r="H1459" s="253"/>
      <c r="I1459" s="253"/>
      <c r="J1459" s="253"/>
      <c r="K1459" s="253"/>
      <c r="L1459" s="253"/>
      <c r="M1459" s="253"/>
      <c r="N1459" s="253"/>
      <c r="O1459" s="258"/>
      <c r="P1459" s="258"/>
      <c r="Q1459" s="258"/>
      <c r="R1459" s="258"/>
      <c r="S1459" s="258"/>
      <c r="T1459" s="258"/>
      <c r="U1459" s="258"/>
      <c r="V1459" s="258"/>
      <c r="W1459" s="258"/>
      <c r="X1459" s="258"/>
      <c r="Y1459" s="258"/>
      <c r="Z1459" s="258"/>
      <c r="AA1459" s="258"/>
      <c r="AB1459" s="258"/>
      <c r="AC1459" s="407"/>
    </row>
    <row r="1460" spans="2:29" s="406" customFormat="1" ht="16.5" customHeight="1">
      <c r="B1460" s="256"/>
      <c r="C1460" s="256"/>
      <c r="D1460" s="414"/>
      <c r="E1460" s="414"/>
      <c r="F1460" s="414"/>
      <c r="G1460" s="253"/>
      <c r="H1460" s="253"/>
      <c r="I1460" s="253"/>
      <c r="J1460" s="253"/>
      <c r="K1460" s="253"/>
      <c r="L1460" s="253"/>
      <c r="M1460" s="253"/>
      <c r="N1460" s="253"/>
      <c r="O1460" s="258"/>
      <c r="P1460" s="258"/>
      <c r="Q1460" s="258"/>
      <c r="R1460" s="258"/>
      <c r="S1460" s="258"/>
      <c r="T1460" s="258"/>
      <c r="U1460" s="258"/>
      <c r="V1460" s="258"/>
      <c r="W1460" s="258"/>
      <c r="X1460" s="258"/>
      <c r="Y1460" s="258"/>
      <c r="Z1460" s="258"/>
      <c r="AA1460" s="258"/>
      <c r="AB1460" s="258"/>
      <c r="AC1460" s="407"/>
    </row>
    <row r="1461" spans="2:29" s="406" customFormat="1" ht="16.5" customHeight="1">
      <c r="B1461" s="256"/>
      <c r="C1461" s="256"/>
      <c r="D1461" s="414"/>
      <c r="E1461" s="414"/>
      <c r="F1461" s="414"/>
      <c r="G1461" s="253"/>
      <c r="H1461" s="253"/>
      <c r="I1461" s="253"/>
      <c r="J1461" s="253"/>
      <c r="K1461" s="253"/>
      <c r="L1461" s="253"/>
      <c r="M1461" s="253"/>
      <c r="N1461" s="253"/>
      <c r="O1461" s="258"/>
      <c r="P1461" s="258"/>
      <c r="Q1461" s="258"/>
      <c r="R1461" s="258"/>
      <c r="S1461" s="258"/>
      <c r="T1461" s="258"/>
      <c r="U1461" s="258"/>
      <c r="V1461" s="258"/>
      <c r="W1461" s="258"/>
      <c r="X1461" s="258"/>
      <c r="Y1461" s="258"/>
      <c r="Z1461" s="258"/>
      <c r="AA1461" s="258"/>
      <c r="AB1461" s="258"/>
      <c r="AC1461" s="407"/>
    </row>
    <row r="1462" spans="2:29" s="406" customFormat="1" ht="16.5" customHeight="1">
      <c r="B1462" s="256"/>
      <c r="C1462" s="256"/>
      <c r="D1462" s="414"/>
      <c r="E1462" s="414"/>
      <c r="F1462" s="414"/>
      <c r="G1462" s="253"/>
      <c r="H1462" s="253"/>
      <c r="I1462" s="253"/>
      <c r="J1462" s="253"/>
      <c r="K1462" s="253"/>
      <c r="L1462" s="253"/>
      <c r="M1462" s="253"/>
      <c r="N1462" s="253"/>
      <c r="O1462" s="258"/>
      <c r="P1462" s="258"/>
      <c r="Q1462" s="258"/>
      <c r="R1462" s="258"/>
      <c r="S1462" s="258"/>
      <c r="T1462" s="258"/>
      <c r="U1462" s="258"/>
      <c r="V1462" s="258"/>
      <c r="W1462" s="258"/>
      <c r="X1462" s="258"/>
      <c r="Y1462" s="258"/>
      <c r="Z1462" s="258"/>
      <c r="AA1462" s="258"/>
      <c r="AB1462" s="258"/>
      <c r="AC1462" s="407"/>
    </row>
    <row r="1463" spans="2:29" s="406" customFormat="1" ht="16.5" customHeight="1">
      <c r="B1463" s="256"/>
      <c r="C1463" s="256"/>
      <c r="D1463" s="414"/>
      <c r="E1463" s="414"/>
      <c r="F1463" s="414"/>
      <c r="G1463" s="253"/>
      <c r="H1463" s="253"/>
      <c r="I1463" s="253"/>
      <c r="J1463" s="253"/>
      <c r="K1463" s="253"/>
      <c r="L1463" s="253"/>
      <c r="M1463" s="253"/>
      <c r="N1463" s="253"/>
      <c r="O1463" s="258"/>
      <c r="P1463" s="258"/>
      <c r="Q1463" s="258"/>
      <c r="R1463" s="258"/>
      <c r="S1463" s="258"/>
      <c r="T1463" s="258"/>
      <c r="U1463" s="258"/>
      <c r="V1463" s="258"/>
      <c r="W1463" s="258"/>
      <c r="X1463" s="258"/>
      <c r="Y1463" s="258"/>
      <c r="Z1463" s="258"/>
      <c r="AA1463" s="258"/>
      <c r="AB1463" s="258"/>
      <c r="AC1463" s="407"/>
    </row>
    <row r="1464" spans="2:29" s="406" customFormat="1" ht="16.5" customHeight="1">
      <c r="B1464" s="256"/>
      <c r="C1464" s="256"/>
      <c r="D1464" s="414"/>
      <c r="E1464" s="414"/>
      <c r="F1464" s="414"/>
      <c r="G1464" s="253"/>
      <c r="H1464" s="253"/>
      <c r="I1464" s="253"/>
      <c r="J1464" s="253"/>
      <c r="K1464" s="253"/>
      <c r="L1464" s="253"/>
      <c r="M1464" s="253"/>
      <c r="N1464" s="253"/>
      <c r="O1464" s="258"/>
      <c r="P1464" s="258"/>
      <c r="Q1464" s="258"/>
      <c r="R1464" s="258"/>
      <c r="S1464" s="258"/>
      <c r="T1464" s="258"/>
      <c r="U1464" s="258"/>
      <c r="V1464" s="258"/>
      <c r="W1464" s="258"/>
      <c r="X1464" s="258"/>
      <c r="Y1464" s="258"/>
      <c r="Z1464" s="258"/>
      <c r="AA1464" s="258"/>
      <c r="AB1464" s="258"/>
      <c r="AC1464" s="407"/>
    </row>
    <row r="1465" spans="2:29" s="406" customFormat="1" ht="16.5" customHeight="1">
      <c r="B1465" s="256"/>
      <c r="C1465" s="256"/>
      <c r="D1465" s="414"/>
      <c r="E1465" s="414"/>
      <c r="F1465" s="414"/>
      <c r="G1465" s="253"/>
      <c r="H1465" s="253"/>
      <c r="I1465" s="253"/>
      <c r="J1465" s="253"/>
      <c r="K1465" s="253"/>
      <c r="L1465" s="253"/>
      <c r="M1465" s="253"/>
      <c r="N1465" s="253"/>
      <c r="O1465" s="258"/>
      <c r="P1465" s="258"/>
      <c r="Q1465" s="258"/>
      <c r="R1465" s="258"/>
      <c r="S1465" s="258"/>
      <c r="T1465" s="258"/>
      <c r="U1465" s="258"/>
      <c r="V1465" s="258"/>
      <c r="W1465" s="258"/>
      <c r="X1465" s="258"/>
      <c r="Y1465" s="258"/>
      <c r="Z1465" s="258"/>
      <c r="AA1465" s="258"/>
      <c r="AB1465" s="258"/>
      <c r="AC1465" s="407"/>
    </row>
    <row r="1466" spans="2:29" s="406" customFormat="1" ht="16.5" customHeight="1">
      <c r="B1466" s="256"/>
      <c r="C1466" s="256"/>
      <c r="D1466" s="414"/>
      <c r="E1466" s="414"/>
      <c r="F1466" s="414"/>
      <c r="G1466" s="253"/>
      <c r="H1466" s="253"/>
      <c r="I1466" s="253"/>
      <c r="J1466" s="253"/>
      <c r="K1466" s="253"/>
      <c r="L1466" s="253"/>
      <c r="M1466" s="253"/>
      <c r="N1466" s="253"/>
      <c r="O1466" s="258"/>
      <c r="P1466" s="258"/>
      <c r="Q1466" s="258"/>
      <c r="R1466" s="258"/>
      <c r="S1466" s="258"/>
      <c r="T1466" s="258"/>
      <c r="U1466" s="258"/>
      <c r="V1466" s="258"/>
      <c r="W1466" s="258"/>
      <c r="X1466" s="258"/>
      <c r="Y1466" s="258"/>
      <c r="Z1466" s="258"/>
      <c r="AA1466" s="258"/>
      <c r="AB1466" s="258"/>
      <c r="AC1466" s="407"/>
    </row>
    <row r="1467" spans="2:29" s="406" customFormat="1" ht="16.5" customHeight="1">
      <c r="B1467" s="256"/>
      <c r="C1467" s="256"/>
      <c r="D1467" s="414"/>
      <c r="E1467" s="414"/>
      <c r="F1467" s="414"/>
      <c r="G1467" s="253"/>
      <c r="H1467" s="253"/>
      <c r="I1467" s="253"/>
      <c r="J1467" s="253"/>
      <c r="K1467" s="253"/>
      <c r="L1467" s="253"/>
      <c r="M1467" s="253"/>
      <c r="N1467" s="253"/>
      <c r="O1467" s="258"/>
      <c r="P1467" s="258"/>
      <c r="Q1467" s="258"/>
      <c r="R1467" s="258"/>
      <c r="S1467" s="258"/>
      <c r="T1467" s="258"/>
      <c r="U1467" s="258"/>
      <c r="V1467" s="258"/>
      <c r="W1467" s="258"/>
      <c r="X1467" s="258"/>
      <c r="Y1467" s="258"/>
      <c r="Z1467" s="258"/>
      <c r="AA1467" s="258"/>
      <c r="AB1467" s="258"/>
      <c r="AC1467" s="407"/>
    </row>
    <row r="1468" spans="2:29" s="406" customFormat="1" ht="16.5" customHeight="1">
      <c r="B1468" s="256"/>
      <c r="C1468" s="256"/>
      <c r="D1468" s="414"/>
      <c r="E1468" s="414"/>
      <c r="F1468" s="414"/>
      <c r="G1468" s="253"/>
      <c r="H1468" s="253"/>
      <c r="I1468" s="253"/>
      <c r="J1468" s="253"/>
      <c r="K1468" s="253"/>
      <c r="L1468" s="253"/>
      <c r="M1468" s="253"/>
      <c r="N1468" s="253"/>
      <c r="O1468" s="258"/>
      <c r="P1468" s="258"/>
      <c r="Q1468" s="258"/>
      <c r="R1468" s="258"/>
      <c r="S1468" s="258"/>
      <c r="T1468" s="258"/>
      <c r="U1468" s="258"/>
      <c r="V1468" s="258"/>
      <c r="W1468" s="258"/>
      <c r="X1468" s="258"/>
      <c r="Y1468" s="258"/>
      <c r="Z1468" s="258"/>
      <c r="AA1468" s="258"/>
      <c r="AB1468" s="258"/>
      <c r="AC1468" s="407"/>
    </row>
    <row r="1469" spans="2:29" s="406" customFormat="1" ht="16.5" customHeight="1">
      <c r="B1469" s="256"/>
      <c r="C1469" s="256"/>
      <c r="D1469" s="414"/>
      <c r="E1469" s="414"/>
      <c r="F1469" s="414"/>
      <c r="G1469" s="253"/>
      <c r="H1469" s="253"/>
      <c r="I1469" s="253"/>
      <c r="J1469" s="253"/>
      <c r="K1469" s="253"/>
      <c r="L1469" s="253"/>
      <c r="M1469" s="253"/>
      <c r="N1469" s="253"/>
      <c r="O1469" s="258"/>
      <c r="P1469" s="258"/>
      <c r="Q1469" s="258"/>
      <c r="R1469" s="258"/>
      <c r="S1469" s="258"/>
      <c r="T1469" s="258"/>
      <c r="U1469" s="258"/>
      <c r="V1469" s="258"/>
      <c r="W1469" s="258"/>
      <c r="X1469" s="258"/>
      <c r="Y1469" s="258"/>
      <c r="Z1469" s="258"/>
      <c r="AA1469" s="258"/>
      <c r="AB1469" s="258"/>
      <c r="AC1469" s="407"/>
    </row>
    <row r="1470" spans="2:29" s="406" customFormat="1" ht="16.5" customHeight="1">
      <c r="B1470" s="256"/>
      <c r="C1470" s="256"/>
      <c r="D1470" s="414"/>
      <c r="E1470" s="414"/>
      <c r="F1470" s="414"/>
      <c r="G1470" s="253"/>
      <c r="H1470" s="253"/>
      <c r="I1470" s="253"/>
      <c r="J1470" s="253"/>
      <c r="K1470" s="253"/>
      <c r="L1470" s="253"/>
      <c r="M1470" s="253"/>
      <c r="N1470" s="253"/>
      <c r="O1470" s="258"/>
      <c r="P1470" s="258"/>
      <c r="Q1470" s="258"/>
      <c r="R1470" s="258"/>
      <c r="S1470" s="258"/>
      <c r="T1470" s="258"/>
      <c r="U1470" s="258"/>
      <c r="V1470" s="258"/>
      <c r="W1470" s="258"/>
      <c r="X1470" s="258"/>
      <c r="Y1470" s="258"/>
      <c r="Z1470" s="258"/>
      <c r="AA1470" s="258"/>
      <c r="AB1470" s="258"/>
      <c r="AC1470" s="407"/>
    </row>
    <row r="1471" spans="2:29" s="406" customFormat="1" ht="16.5" customHeight="1">
      <c r="B1471" s="256"/>
      <c r="C1471" s="256"/>
      <c r="D1471" s="414"/>
      <c r="E1471" s="414"/>
      <c r="F1471" s="414"/>
      <c r="G1471" s="253"/>
      <c r="H1471" s="253"/>
      <c r="I1471" s="253"/>
      <c r="J1471" s="253"/>
      <c r="K1471" s="253"/>
      <c r="L1471" s="253"/>
      <c r="M1471" s="253"/>
      <c r="N1471" s="253"/>
      <c r="O1471" s="258"/>
      <c r="P1471" s="258"/>
      <c r="Q1471" s="258"/>
      <c r="R1471" s="258"/>
      <c r="S1471" s="258"/>
      <c r="T1471" s="258"/>
      <c r="U1471" s="258"/>
      <c r="V1471" s="258"/>
      <c r="W1471" s="258"/>
      <c r="X1471" s="258"/>
      <c r="Y1471" s="258"/>
      <c r="Z1471" s="258"/>
      <c r="AA1471" s="258"/>
      <c r="AB1471" s="258"/>
      <c r="AC1471" s="407"/>
    </row>
    <row r="1472" spans="2:29" s="406" customFormat="1" ht="16.5" customHeight="1">
      <c r="B1472" s="256"/>
      <c r="C1472" s="256"/>
      <c r="D1472" s="414"/>
      <c r="E1472" s="414"/>
      <c r="F1472" s="414"/>
      <c r="G1472" s="253"/>
      <c r="H1472" s="253"/>
      <c r="I1472" s="253"/>
      <c r="J1472" s="253"/>
      <c r="K1472" s="253"/>
      <c r="L1472" s="253"/>
      <c r="M1472" s="253"/>
      <c r="N1472" s="253"/>
      <c r="O1472" s="258"/>
      <c r="P1472" s="258"/>
      <c r="Q1472" s="258"/>
      <c r="R1472" s="258"/>
      <c r="S1472" s="258"/>
      <c r="T1472" s="258"/>
      <c r="U1472" s="258"/>
      <c r="V1472" s="258"/>
      <c r="W1472" s="258"/>
      <c r="X1472" s="258"/>
      <c r="Y1472" s="258"/>
      <c r="Z1472" s="258"/>
      <c r="AA1472" s="258"/>
      <c r="AB1472" s="258"/>
      <c r="AC1472" s="407"/>
    </row>
    <row r="1473" spans="2:29" s="406" customFormat="1" ht="16.5" customHeight="1">
      <c r="B1473" s="256"/>
      <c r="C1473" s="256"/>
      <c r="D1473" s="414"/>
      <c r="E1473" s="414"/>
      <c r="F1473" s="414"/>
      <c r="G1473" s="253"/>
      <c r="H1473" s="253"/>
      <c r="I1473" s="253"/>
      <c r="J1473" s="253"/>
      <c r="K1473" s="253"/>
      <c r="L1473" s="253"/>
      <c r="M1473" s="253"/>
      <c r="N1473" s="253"/>
      <c r="O1473" s="258"/>
      <c r="P1473" s="258"/>
      <c r="Q1473" s="258"/>
      <c r="R1473" s="258"/>
      <c r="S1473" s="258"/>
      <c r="T1473" s="258"/>
      <c r="U1473" s="258"/>
      <c r="V1473" s="258"/>
      <c r="W1473" s="258"/>
      <c r="X1473" s="258"/>
      <c r="Y1473" s="258"/>
      <c r="Z1473" s="258"/>
      <c r="AA1473" s="258"/>
      <c r="AB1473" s="258"/>
      <c r="AC1473" s="407"/>
    </row>
    <row r="1474" spans="2:29" s="406" customFormat="1" ht="16.5" customHeight="1">
      <c r="B1474" s="256"/>
      <c r="C1474" s="256"/>
      <c r="D1474" s="414"/>
      <c r="E1474" s="414"/>
      <c r="F1474" s="414"/>
      <c r="G1474" s="253"/>
      <c r="H1474" s="253"/>
      <c r="I1474" s="253"/>
      <c r="J1474" s="253"/>
      <c r="K1474" s="253"/>
      <c r="L1474" s="253"/>
      <c r="M1474" s="253"/>
      <c r="N1474" s="253"/>
      <c r="O1474" s="258"/>
      <c r="P1474" s="258"/>
      <c r="Q1474" s="258"/>
      <c r="R1474" s="258"/>
      <c r="S1474" s="258"/>
      <c r="T1474" s="258"/>
      <c r="U1474" s="258"/>
      <c r="V1474" s="258"/>
      <c r="W1474" s="258"/>
      <c r="X1474" s="258"/>
      <c r="Y1474" s="258"/>
      <c r="Z1474" s="258"/>
      <c r="AA1474" s="258"/>
      <c r="AB1474" s="258"/>
      <c r="AC1474" s="407"/>
    </row>
    <row r="1475" spans="2:29" s="406" customFormat="1" ht="16.5" customHeight="1">
      <c r="B1475" s="256"/>
      <c r="C1475" s="256"/>
      <c r="D1475" s="414"/>
      <c r="E1475" s="414"/>
      <c r="F1475" s="414"/>
      <c r="G1475" s="253"/>
      <c r="H1475" s="253"/>
      <c r="I1475" s="253"/>
      <c r="J1475" s="253"/>
      <c r="K1475" s="253"/>
      <c r="L1475" s="253"/>
      <c r="M1475" s="253"/>
      <c r="N1475" s="253"/>
      <c r="O1475" s="258"/>
      <c r="P1475" s="258"/>
      <c r="Q1475" s="258"/>
      <c r="R1475" s="258"/>
      <c r="S1475" s="258"/>
      <c r="T1475" s="258"/>
      <c r="U1475" s="258"/>
      <c r="V1475" s="258"/>
      <c r="W1475" s="258"/>
      <c r="X1475" s="258"/>
      <c r="Y1475" s="258"/>
      <c r="Z1475" s="258"/>
      <c r="AA1475" s="258"/>
      <c r="AB1475" s="258"/>
      <c r="AC1475" s="407"/>
    </row>
    <row r="1476" spans="2:29" s="406" customFormat="1" ht="16.5" customHeight="1">
      <c r="B1476" s="256"/>
      <c r="C1476" s="256"/>
      <c r="D1476" s="414"/>
      <c r="E1476" s="414"/>
      <c r="F1476" s="414"/>
      <c r="G1476" s="253"/>
      <c r="H1476" s="253"/>
      <c r="I1476" s="253"/>
      <c r="J1476" s="253"/>
      <c r="K1476" s="253"/>
      <c r="L1476" s="253"/>
      <c r="M1476" s="253"/>
      <c r="N1476" s="253"/>
      <c r="O1476" s="258"/>
      <c r="P1476" s="258"/>
      <c r="Q1476" s="258"/>
      <c r="R1476" s="258"/>
      <c r="S1476" s="258"/>
      <c r="T1476" s="258"/>
      <c r="U1476" s="258"/>
      <c r="V1476" s="258"/>
      <c r="W1476" s="258"/>
      <c r="X1476" s="258"/>
      <c r="Y1476" s="258"/>
      <c r="Z1476" s="258"/>
      <c r="AA1476" s="258"/>
      <c r="AB1476" s="258"/>
      <c r="AC1476" s="407"/>
    </row>
    <row r="1477" spans="2:29" s="406" customFormat="1" ht="16.5" customHeight="1">
      <c r="B1477" s="256"/>
      <c r="C1477" s="256"/>
      <c r="D1477" s="414"/>
      <c r="E1477" s="414"/>
      <c r="F1477" s="414"/>
      <c r="G1477" s="253"/>
      <c r="H1477" s="253"/>
      <c r="I1477" s="253"/>
      <c r="J1477" s="253"/>
      <c r="K1477" s="253"/>
      <c r="L1477" s="253"/>
      <c r="M1477" s="253"/>
      <c r="N1477" s="253"/>
      <c r="O1477" s="258"/>
      <c r="P1477" s="258"/>
      <c r="Q1477" s="258"/>
      <c r="R1477" s="258"/>
      <c r="S1477" s="258"/>
      <c r="T1477" s="258"/>
      <c r="U1477" s="258"/>
      <c r="V1477" s="258"/>
      <c r="W1477" s="258"/>
      <c r="X1477" s="258"/>
      <c r="Y1477" s="258"/>
      <c r="Z1477" s="258"/>
      <c r="AA1477" s="258"/>
      <c r="AB1477" s="258"/>
      <c r="AC1477" s="407"/>
    </row>
    <row r="1478" spans="2:29" s="406" customFormat="1" ht="16.5" customHeight="1">
      <c r="B1478" s="256"/>
      <c r="C1478" s="256"/>
      <c r="D1478" s="414"/>
      <c r="E1478" s="414"/>
      <c r="F1478" s="414"/>
      <c r="G1478" s="253"/>
      <c r="H1478" s="253"/>
      <c r="I1478" s="253"/>
      <c r="J1478" s="253"/>
      <c r="K1478" s="253"/>
      <c r="L1478" s="253"/>
      <c r="M1478" s="253"/>
      <c r="N1478" s="253"/>
      <c r="O1478" s="258"/>
      <c r="P1478" s="258"/>
      <c r="Q1478" s="258"/>
      <c r="R1478" s="258"/>
      <c r="S1478" s="258"/>
      <c r="T1478" s="258"/>
      <c r="U1478" s="258"/>
      <c r="V1478" s="258"/>
      <c r="W1478" s="258"/>
      <c r="X1478" s="258"/>
      <c r="Y1478" s="258"/>
      <c r="Z1478" s="258"/>
      <c r="AA1478" s="258"/>
      <c r="AB1478" s="258"/>
      <c r="AC1478" s="407"/>
    </row>
    <row r="1479" spans="2:29" s="406" customFormat="1" ht="16.5" customHeight="1">
      <c r="B1479" s="256"/>
      <c r="C1479" s="256"/>
      <c r="D1479" s="414"/>
      <c r="E1479" s="414"/>
      <c r="F1479" s="414"/>
      <c r="G1479" s="253"/>
      <c r="H1479" s="253"/>
      <c r="I1479" s="253"/>
      <c r="J1479" s="253"/>
      <c r="K1479" s="253"/>
      <c r="L1479" s="253"/>
      <c r="M1479" s="253"/>
      <c r="N1479" s="253"/>
      <c r="O1479" s="258"/>
      <c r="P1479" s="258"/>
      <c r="Q1479" s="258"/>
      <c r="R1479" s="258"/>
      <c r="S1479" s="258"/>
      <c r="T1479" s="258"/>
      <c r="U1479" s="258"/>
      <c r="V1479" s="258"/>
      <c r="W1479" s="258"/>
      <c r="X1479" s="258"/>
      <c r="Y1479" s="258"/>
      <c r="Z1479" s="258"/>
      <c r="AA1479" s="258"/>
      <c r="AB1479" s="258"/>
      <c r="AC1479" s="407"/>
    </row>
    <row r="1480" spans="2:29" s="406" customFormat="1" ht="16.5" customHeight="1">
      <c r="B1480" s="256"/>
      <c r="C1480" s="256"/>
      <c r="D1480" s="414"/>
      <c r="E1480" s="414"/>
      <c r="F1480" s="414"/>
      <c r="G1480" s="253"/>
      <c r="H1480" s="253"/>
      <c r="I1480" s="253"/>
      <c r="J1480" s="253"/>
      <c r="K1480" s="253"/>
      <c r="L1480" s="253"/>
      <c r="M1480" s="253"/>
      <c r="N1480" s="253"/>
      <c r="O1480" s="258"/>
      <c r="P1480" s="258"/>
      <c r="Q1480" s="258"/>
      <c r="R1480" s="258"/>
      <c r="S1480" s="258"/>
      <c r="T1480" s="258"/>
      <c r="U1480" s="258"/>
      <c r="V1480" s="258"/>
      <c r="W1480" s="258"/>
      <c r="X1480" s="258"/>
      <c r="Y1480" s="258"/>
      <c r="Z1480" s="258"/>
      <c r="AA1480" s="258"/>
      <c r="AB1480" s="258"/>
      <c r="AC1480" s="407"/>
    </row>
    <row r="1481" spans="2:29" s="406" customFormat="1" ht="16.5" customHeight="1">
      <c r="B1481" s="256"/>
      <c r="C1481" s="256"/>
      <c r="D1481" s="414"/>
      <c r="E1481" s="414"/>
      <c r="F1481" s="414"/>
      <c r="G1481" s="253"/>
      <c r="H1481" s="253"/>
      <c r="I1481" s="253"/>
      <c r="J1481" s="253"/>
      <c r="K1481" s="253"/>
      <c r="L1481" s="253"/>
      <c r="M1481" s="253"/>
      <c r="N1481" s="253"/>
      <c r="O1481" s="258"/>
      <c r="P1481" s="258"/>
      <c r="Q1481" s="258"/>
      <c r="R1481" s="258"/>
      <c r="S1481" s="258"/>
      <c r="T1481" s="258"/>
      <c r="U1481" s="258"/>
      <c r="V1481" s="258"/>
      <c r="W1481" s="258"/>
      <c r="X1481" s="258"/>
      <c r="Y1481" s="258"/>
      <c r="Z1481" s="258"/>
      <c r="AA1481" s="258"/>
      <c r="AB1481" s="258"/>
      <c r="AC1481" s="407"/>
    </row>
    <row r="1482" spans="2:29" s="406" customFormat="1" ht="16.5" customHeight="1">
      <c r="B1482" s="256"/>
      <c r="C1482" s="256"/>
      <c r="D1482" s="414"/>
      <c r="E1482" s="414"/>
      <c r="F1482" s="414"/>
      <c r="G1482" s="253"/>
      <c r="H1482" s="253"/>
      <c r="I1482" s="253"/>
      <c r="J1482" s="253"/>
      <c r="K1482" s="253"/>
      <c r="L1482" s="253"/>
      <c r="M1482" s="253"/>
      <c r="N1482" s="253"/>
      <c r="O1482" s="258"/>
      <c r="P1482" s="258"/>
      <c r="Q1482" s="258"/>
      <c r="R1482" s="258"/>
      <c r="S1482" s="258"/>
      <c r="T1482" s="258"/>
      <c r="U1482" s="258"/>
      <c r="V1482" s="258"/>
      <c r="W1482" s="258"/>
      <c r="X1482" s="258"/>
      <c r="Y1482" s="258"/>
      <c r="Z1482" s="258"/>
      <c r="AA1482" s="258"/>
      <c r="AB1482" s="258"/>
      <c r="AC1482" s="407"/>
    </row>
    <row r="1483" spans="2:29" s="406" customFormat="1" ht="16.5" customHeight="1">
      <c r="B1483" s="256"/>
      <c r="C1483" s="256"/>
      <c r="D1483" s="414"/>
      <c r="E1483" s="414"/>
      <c r="F1483" s="414"/>
      <c r="G1483" s="253"/>
      <c r="H1483" s="253"/>
      <c r="I1483" s="253"/>
      <c r="J1483" s="253"/>
      <c r="K1483" s="253"/>
      <c r="L1483" s="253"/>
      <c r="M1483" s="253"/>
      <c r="N1483" s="253"/>
      <c r="O1483" s="258"/>
      <c r="P1483" s="258"/>
      <c r="Q1483" s="258"/>
      <c r="R1483" s="258"/>
      <c r="S1483" s="258"/>
      <c r="T1483" s="258"/>
      <c r="U1483" s="258"/>
      <c r="V1483" s="258"/>
      <c r="W1483" s="258"/>
      <c r="X1483" s="258"/>
      <c r="Y1483" s="258"/>
      <c r="Z1483" s="258"/>
      <c r="AA1483" s="258"/>
      <c r="AB1483" s="258"/>
      <c r="AC1483" s="407"/>
    </row>
    <row r="1484" spans="2:29" s="406" customFormat="1" ht="16.5" customHeight="1">
      <c r="B1484" s="256"/>
      <c r="C1484" s="256"/>
      <c r="D1484" s="414"/>
      <c r="E1484" s="414"/>
      <c r="F1484" s="414"/>
      <c r="G1484" s="253"/>
      <c r="H1484" s="253"/>
      <c r="I1484" s="253"/>
      <c r="J1484" s="253"/>
      <c r="K1484" s="253"/>
      <c r="L1484" s="253"/>
      <c r="M1484" s="253"/>
      <c r="N1484" s="253"/>
      <c r="O1484" s="258"/>
      <c r="P1484" s="258"/>
      <c r="Q1484" s="258"/>
      <c r="R1484" s="258"/>
      <c r="S1484" s="258"/>
      <c r="T1484" s="258"/>
      <c r="U1484" s="258"/>
      <c r="V1484" s="258"/>
      <c r="W1484" s="258"/>
      <c r="X1484" s="258"/>
      <c r="Y1484" s="258"/>
      <c r="Z1484" s="258"/>
      <c r="AA1484" s="258"/>
      <c r="AB1484" s="258"/>
      <c r="AC1484" s="407"/>
    </row>
    <row r="1485" spans="2:29" s="406" customFormat="1" ht="16.5" customHeight="1">
      <c r="B1485" s="256"/>
      <c r="C1485" s="256"/>
      <c r="D1485" s="414"/>
      <c r="E1485" s="414"/>
      <c r="F1485" s="414"/>
      <c r="G1485" s="253"/>
      <c r="H1485" s="253"/>
      <c r="I1485" s="253"/>
      <c r="J1485" s="253"/>
      <c r="K1485" s="253"/>
      <c r="L1485" s="253"/>
      <c r="M1485" s="253"/>
      <c r="N1485" s="253"/>
      <c r="O1485" s="258"/>
      <c r="P1485" s="258"/>
      <c r="Q1485" s="258"/>
      <c r="R1485" s="258"/>
      <c r="S1485" s="258"/>
      <c r="T1485" s="258"/>
      <c r="U1485" s="258"/>
      <c r="V1485" s="258"/>
      <c r="W1485" s="258"/>
      <c r="X1485" s="258"/>
      <c r="Y1485" s="258"/>
      <c r="Z1485" s="258"/>
      <c r="AA1485" s="258"/>
      <c r="AB1485" s="258"/>
      <c r="AC1485" s="407"/>
    </row>
    <row r="1486" spans="2:29" s="406" customFormat="1" ht="16.5" customHeight="1">
      <c r="B1486" s="256"/>
      <c r="C1486" s="256"/>
      <c r="D1486" s="414"/>
      <c r="E1486" s="414"/>
      <c r="F1486" s="414"/>
      <c r="G1486" s="253"/>
      <c r="H1486" s="253"/>
      <c r="I1486" s="253"/>
      <c r="J1486" s="253"/>
      <c r="K1486" s="253"/>
      <c r="L1486" s="253"/>
      <c r="M1486" s="253"/>
      <c r="N1486" s="253"/>
      <c r="O1486" s="258"/>
      <c r="P1486" s="258"/>
      <c r="Q1486" s="258"/>
      <c r="R1486" s="258"/>
      <c r="S1486" s="258"/>
      <c r="T1486" s="258"/>
      <c r="U1486" s="258"/>
      <c r="V1486" s="258"/>
      <c r="W1486" s="258"/>
      <c r="X1486" s="258"/>
      <c r="Y1486" s="258"/>
      <c r="Z1486" s="258"/>
      <c r="AA1486" s="258"/>
      <c r="AB1486" s="258"/>
      <c r="AC1486" s="407"/>
    </row>
    <row r="1487" spans="2:29" s="406" customFormat="1" ht="16.5" customHeight="1">
      <c r="B1487" s="256"/>
      <c r="C1487" s="256"/>
      <c r="D1487" s="414"/>
      <c r="E1487" s="414"/>
      <c r="F1487" s="414"/>
      <c r="G1487" s="253"/>
      <c r="H1487" s="253"/>
      <c r="I1487" s="253"/>
      <c r="J1487" s="253"/>
      <c r="K1487" s="253"/>
      <c r="L1487" s="253"/>
      <c r="M1487" s="253"/>
      <c r="N1487" s="253"/>
      <c r="O1487" s="258"/>
      <c r="P1487" s="258"/>
      <c r="Q1487" s="258"/>
      <c r="R1487" s="258"/>
      <c r="S1487" s="258"/>
      <c r="T1487" s="258"/>
      <c r="U1487" s="258"/>
      <c r="V1487" s="258"/>
      <c r="W1487" s="258"/>
      <c r="X1487" s="258"/>
      <c r="Y1487" s="258"/>
      <c r="Z1487" s="258"/>
      <c r="AA1487" s="258"/>
      <c r="AB1487" s="258"/>
      <c r="AC1487" s="407"/>
    </row>
    <row r="1488" spans="2:29" s="406" customFormat="1" ht="16.5" customHeight="1">
      <c r="B1488" s="256"/>
      <c r="C1488" s="256"/>
      <c r="D1488" s="414"/>
      <c r="E1488" s="414"/>
      <c r="F1488" s="414"/>
      <c r="G1488" s="253"/>
      <c r="H1488" s="253"/>
      <c r="I1488" s="253"/>
      <c r="J1488" s="253"/>
      <c r="K1488" s="253"/>
      <c r="L1488" s="253"/>
      <c r="M1488" s="253"/>
      <c r="N1488" s="253"/>
      <c r="O1488" s="258"/>
      <c r="P1488" s="258"/>
      <c r="Q1488" s="258"/>
      <c r="R1488" s="258"/>
      <c r="S1488" s="258"/>
      <c r="T1488" s="258"/>
      <c r="U1488" s="258"/>
      <c r="V1488" s="258"/>
      <c r="W1488" s="258"/>
      <c r="X1488" s="258"/>
      <c r="Y1488" s="258"/>
      <c r="Z1488" s="258"/>
      <c r="AA1488" s="258"/>
      <c r="AB1488" s="258"/>
      <c r="AC1488" s="407"/>
    </row>
    <row r="1489" spans="2:29" s="406" customFormat="1" ht="16.5" customHeight="1">
      <c r="B1489" s="256"/>
      <c r="C1489" s="256"/>
      <c r="D1489" s="414"/>
      <c r="E1489" s="414"/>
      <c r="F1489" s="414"/>
      <c r="G1489" s="253"/>
      <c r="H1489" s="253"/>
      <c r="I1489" s="253"/>
      <c r="J1489" s="253"/>
      <c r="K1489" s="253"/>
      <c r="L1489" s="253"/>
      <c r="M1489" s="253"/>
      <c r="N1489" s="253"/>
      <c r="O1489" s="258"/>
      <c r="P1489" s="258"/>
      <c r="Q1489" s="258"/>
      <c r="R1489" s="258"/>
      <c r="S1489" s="258"/>
      <c r="T1489" s="258"/>
      <c r="U1489" s="258"/>
      <c r="V1489" s="258"/>
      <c r="W1489" s="258"/>
      <c r="X1489" s="258"/>
      <c r="Y1489" s="258"/>
      <c r="Z1489" s="258"/>
      <c r="AA1489" s="258"/>
      <c r="AB1489" s="258"/>
      <c r="AC1489" s="407"/>
    </row>
    <row r="1490" spans="2:29" s="406" customFormat="1" ht="16.5" customHeight="1">
      <c r="B1490" s="256"/>
      <c r="C1490" s="256"/>
      <c r="D1490" s="414"/>
      <c r="E1490" s="414"/>
      <c r="F1490" s="414"/>
      <c r="G1490" s="253"/>
      <c r="H1490" s="253"/>
      <c r="I1490" s="253"/>
      <c r="J1490" s="253"/>
      <c r="K1490" s="253"/>
      <c r="L1490" s="253"/>
      <c r="M1490" s="253"/>
      <c r="N1490" s="253"/>
      <c r="O1490" s="258"/>
      <c r="P1490" s="258"/>
      <c r="Q1490" s="258"/>
      <c r="R1490" s="258"/>
      <c r="S1490" s="258"/>
      <c r="T1490" s="258"/>
      <c r="U1490" s="258"/>
      <c r="V1490" s="258"/>
      <c r="W1490" s="258"/>
      <c r="X1490" s="258"/>
      <c r="Y1490" s="258"/>
      <c r="Z1490" s="258"/>
      <c r="AA1490" s="258"/>
      <c r="AB1490" s="258"/>
      <c r="AC1490" s="407"/>
    </row>
    <row r="1491" spans="2:29" s="406" customFormat="1" ht="16.5" customHeight="1">
      <c r="B1491" s="256"/>
      <c r="C1491" s="256"/>
      <c r="D1491" s="414"/>
      <c r="E1491" s="414"/>
      <c r="F1491" s="414"/>
      <c r="G1491" s="253"/>
      <c r="H1491" s="253"/>
      <c r="I1491" s="253"/>
      <c r="J1491" s="253"/>
      <c r="K1491" s="253"/>
      <c r="L1491" s="253"/>
      <c r="M1491" s="253"/>
      <c r="N1491" s="253"/>
      <c r="O1491" s="258"/>
      <c r="P1491" s="258"/>
      <c r="Q1491" s="258"/>
      <c r="R1491" s="258"/>
      <c r="S1491" s="258"/>
      <c r="T1491" s="258"/>
      <c r="U1491" s="258"/>
      <c r="V1491" s="258"/>
      <c r="W1491" s="258"/>
      <c r="X1491" s="258"/>
      <c r="Y1491" s="258"/>
      <c r="Z1491" s="258"/>
      <c r="AA1491" s="258"/>
      <c r="AB1491" s="258"/>
      <c r="AC1491" s="407"/>
    </row>
    <row r="1492" spans="2:29" s="406" customFormat="1" ht="16.5" customHeight="1">
      <c r="B1492" s="256"/>
      <c r="C1492" s="256"/>
      <c r="D1492" s="414"/>
      <c r="E1492" s="414"/>
      <c r="F1492" s="414"/>
      <c r="G1492" s="253"/>
      <c r="H1492" s="253"/>
      <c r="I1492" s="253"/>
      <c r="J1492" s="253"/>
      <c r="K1492" s="253"/>
      <c r="L1492" s="253"/>
      <c r="M1492" s="253"/>
      <c r="N1492" s="253"/>
      <c r="O1492" s="258"/>
      <c r="P1492" s="258"/>
      <c r="Q1492" s="258"/>
      <c r="R1492" s="258"/>
      <c r="S1492" s="258"/>
      <c r="T1492" s="258"/>
      <c r="U1492" s="258"/>
      <c r="V1492" s="258"/>
      <c r="W1492" s="258"/>
      <c r="X1492" s="258"/>
      <c r="Y1492" s="258"/>
      <c r="Z1492" s="258"/>
      <c r="AA1492" s="258"/>
      <c r="AB1492" s="258"/>
      <c r="AC1492" s="407"/>
    </row>
    <row r="1493" spans="2:29" s="406" customFormat="1" ht="16.5" customHeight="1">
      <c r="B1493" s="256"/>
      <c r="C1493" s="256"/>
      <c r="D1493" s="414"/>
      <c r="E1493" s="414"/>
      <c r="F1493" s="414"/>
      <c r="G1493" s="253"/>
      <c r="H1493" s="253"/>
      <c r="I1493" s="253"/>
      <c r="J1493" s="253"/>
      <c r="K1493" s="253"/>
      <c r="L1493" s="253"/>
      <c r="M1493" s="253"/>
      <c r="N1493" s="253"/>
      <c r="O1493" s="258"/>
      <c r="P1493" s="258"/>
      <c r="Q1493" s="258"/>
      <c r="R1493" s="258"/>
      <c r="S1493" s="258"/>
      <c r="T1493" s="258"/>
      <c r="U1493" s="258"/>
      <c r="V1493" s="258"/>
      <c r="W1493" s="258"/>
      <c r="X1493" s="258"/>
      <c r="Y1493" s="258"/>
      <c r="Z1493" s="258"/>
      <c r="AA1493" s="258"/>
      <c r="AB1493" s="258"/>
      <c r="AC1493" s="407"/>
    </row>
    <row r="1494" spans="2:29" s="406" customFormat="1" ht="16.5" customHeight="1">
      <c r="B1494" s="256"/>
      <c r="C1494" s="256"/>
      <c r="D1494" s="414"/>
      <c r="E1494" s="414"/>
      <c r="F1494" s="414"/>
      <c r="G1494" s="253"/>
      <c r="H1494" s="253"/>
      <c r="I1494" s="253"/>
      <c r="J1494" s="253"/>
      <c r="K1494" s="253"/>
      <c r="L1494" s="253"/>
      <c r="M1494" s="253"/>
      <c r="N1494" s="253"/>
      <c r="O1494" s="258"/>
      <c r="P1494" s="258"/>
      <c r="Q1494" s="258"/>
      <c r="R1494" s="258"/>
      <c r="S1494" s="258"/>
      <c r="T1494" s="258"/>
      <c r="U1494" s="258"/>
      <c r="V1494" s="258"/>
      <c r="W1494" s="258"/>
      <c r="X1494" s="258"/>
      <c r="Y1494" s="258"/>
      <c r="Z1494" s="258"/>
      <c r="AA1494" s="258"/>
      <c r="AB1494" s="258"/>
      <c r="AC1494" s="407"/>
    </row>
    <row r="1495" spans="2:29" s="406" customFormat="1" ht="16.5" customHeight="1">
      <c r="B1495" s="256"/>
      <c r="C1495" s="256"/>
      <c r="D1495" s="414"/>
      <c r="E1495" s="414"/>
      <c r="F1495" s="414"/>
      <c r="G1495" s="253"/>
      <c r="H1495" s="253"/>
      <c r="I1495" s="253"/>
      <c r="J1495" s="253"/>
      <c r="K1495" s="253"/>
      <c r="L1495" s="253"/>
      <c r="M1495" s="253"/>
      <c r="N1495" s="253"/>
      <c r="O1495" s="258"/>
      <c r="P1495" s="258"/>
      <c r="Q1495" s="258"/>
      <c r="R1495" s="258"/>
      <c r="S1495" s="258"/>
      <c r="T1495" s="258"/>
      <c r="U1495" s="258"/>
      <c r="V1495" s="258"/>
      <c r="W1495" s="258"/>
      <c r="X1495" s="258"/>
      <c r="Y1495" s="258"/>
      <c r="Z1495" s="258"/>
      <c r="AA1495" s="258"/>
      <c r="AB1495" s="258"/>
      <c r="AC1495" s="407"/>
    </row>
    <row r="1496" spans="2:29" s="406" customFormat="1" ht="16.5" customHeight="1">
      <c r="B1496" s="256"/>
      <c r="C1496" s="256"/>
      <c r="D1496" s="414"/>
      <c r="E1496" s="414"/>
      <c r="F1496" s="414"/>
      <c r="G1496" s="253"/>
      <c r="H1496" s="253"/>
      <c r="I1496" s="253"/>
      <c r="J1496" s="253"/>
      <c r="K1496" s="253"/>
      <c r="L1496" s="253"/>
      <c r="M1496" s="253"/>
      <c r="N1496" s="253"/>
      <c r="O1496" s="258"/>
      <c r="P1496" s="258"/>
      <c r="Q1496" s="258"/>
      <c r="R1496" s="258"/>
      <c r="S1496" s="258"/>
      <c r="T1496" s="258"/>
      <c r="U1496" s="258"/>
      <c r="V1496" s="258"/>
      <c r="W1496" s="258"/>
      <c r="X1496" s="258"/>
      <c r="Y1496" s="258"/>
      <c r="Z1496" s="258"/>
      <c r="AA1496" s="258"/>
      <c r="AB1496" s="258"/>
      <c r="AC1496" s="407"/>
    </row>
    <row r="1497" spans="2:29" s="406" customFormat="1" ht="16.5" customHeight="1">
      <c r="B1497" s="256"/>
      <c r="C1497" s="256"/>
      <c r="D1497" s="414"/>
      <c r="E1497" s="414"/>
      <c r="F1497" s="414"/>
      <c r="G1497" s="253"/>
      <c r="H1497" s="253"/>
      <c r="I1497" s="253"/>
      <c r="J1497" s="253"/>
      <c r="K1497" s="253"/>
      <c r="L1497" s="253"/>
      <c r="M1497" s="253"/>
      <c r="N1497" s="253"/>
      <c r="O1497" s="258"/>
      <c r="P1497" s="258"/>
      <c r="Q1497" s="258"/>
      <c r="R1497" s="258"/>
      <c r="S1497" s="258"/>
      <c r="T1497" s="258"/>
      <c r="U1497" s="258"/>
      <c r="V1497" s="258"/>
      <c r="W1497" s="258"/>
      <c r="X1497" s="258"/>
      <c r="Y1497" s="258"/>
      <c r="Z1497" s="258"/>
      <c r="AA1497" s="258"/>
      <c r="AB1497" s="258"/>
      <c r="AC1497" s="407"/>
    </row>
    <row r="1498" spans="2:29" s="406" customFormat="1" ht="16.5" customHeight="1">
      <c r="B1498" s="256"/>
      <c r="C1498" s="256"/>
      <c r="D1498" s="414"/>
      <c r="E1498" s="414"/>
      <c r="F1498" s="414"/>
      <c r="G1498" s="253"/>
      <c r="H1498" s="253"/>
      <c r="I1498" s="253"/>
      <c r="J1498" s="253"/>
      <c r="K1498" s="253"/>
      <c r="L1498" s="253"/>
      <c r="M1498" s="253"/>
      <c r="N1498" s="253"/>
      <c r="O1498" s="258"/>
      <c r="P1498" s="258"/>
      <c r="Q1498" s="258"/>
      <c r="R1498" s="258"/>
      <c r="S1498" s="258"/>
      <c r="T1498" s="258"/>
      <c r="U1498" s="258"/>
      <c r="V1498" s="258"/>
      <c r="W1498" s="258"/>
      <c r="X1498" s="258"/>
      <c r="Y1498" s="258"/>
      <c r="Z1498" s="258"/>
      <c r="AA1498" s="258"/>
      <c r="AB1498" s="258"/>
      <c r="AC1498" s="407"/>
    </row>
    <row r="1499" spans="2:29" s="406" customFormat="1" ht="16.5" customHeight="1">
      <c r="B1499" s="256"/>
      <c r="C1499" s="256"/>
      <c r="D1499" s="414"/>
      <c r="E1499" s="414"/>
      <c r="F1499" s="414"/>
      <c r="G1499" s="253"/>
      <c r="H1499" s="253"/>
      <c r="I1499" s="253"/>
      <c r="J1499" s="253"/>
      <c r="K1499" s="253"/>
      <c r="L1499" s="253"/>
      <c r="M1499" s="253"/>
      <c r="N1499" s="253"/>
      <c r="O1499" s="258"/>
      <c r="P1499" s="258"/>
      <c r="Q1499" s="258"/>
      <c r="R1499" s="258"/>
      <c r="S1499" s="258"/>
      <c r="T1499" s="258"/>
      <c r="U1499" s="258"/>
      <c r="V1499" s="258"/>
      <c r="W1499" s="258"/>
      <c r="X1499" s="258"/>
      <c r="Y1499" s="258"/>
      <c r="Z1499" s="258"/>
      <c r="AA1499" s="258"/>
      <c r="AB1499" s="258"/>
      <c r="AC1499" s="407"/>
    </row>
    <row r="1500" spans="2:29" s="406" customFormat="1" ht="16.5" customHeight="1">
      <c r="B1500" s="256"/>
      <c r="C1500" s="256"/>
      <c r="D1500" s="414"/>
      <c r="E1500" s="414"/>
      <c r="F1500" s="414"/>
      <c r="G1500" s="253"/>
      <c r="H1500" s="253"/>
      <c r="I1500" s="253"/>
      <c r="J1500" s="253"/>
      <c r="K1500" s="253"/>
      <c r="L1500" s="253"/>
      <c r="M1500" s="253"/>
      <c r="N1500" s="253"/>
      <c r="O1500" s="258"/>
      <c r="P1500" s="258"/>
      <c r="Q1500" s="258"/>
      <c r="R1500" s="258"/>
      <c r="S1500" s="258"/>
      <c r="T1500" s="258"/>
      <c r="U1500" s="258"/>
      <c r="V1500" s="258"/>
      <c r="W1500" s="258"/>
      <c r="X1500" s="258"/>
      <c r="Y1500" s="258"/>
      <c r="Z1500" s="258"/>
      <c r="AA1500" s="258"/>
      <c r="AB1500" s="258"/>
      <c r="AC1500" s="407"/>
    </row>
    <row r="1501" spans="2:29" s="406" customFormat="1" ht="16.5" customHeight="1">
      <c r="B1501" s="256"/>
      <c r="C1501" s="256"/>
      <c r="D1501" s="414"/>
      <c r="E1501" s="414"/>
      <c r="F1501" s="414"/>
      <c r="G1501" s="253"/>
      <c r="H1501" s="253"/>
      <c r="I1501" s="253"/>
      <c r="J1501" s="253"/>
      <c r="K1501" s="253"/>
      <c r="L1501" s="253"/>
      <c r="M1501" s="253"/>
      <c r="N1501" s="253"/>
      <c r="O1501" s="258"/>
      <c r="P1501" s="258"/>
      <c r="Q1501" s="258"/>
      <c r="R1501" s="258"/>
      <c r="S1501" s="258"/>
      <c r="T1501" s="258"/>
      <c r="U1501" s="258"/>
      <c r="V1501" s="258"/>
      <c r="W1501" s="258"/>
      <c r="X1501" s="258"/>
      <c r="Y1501" s="258"/>
      <c r="Z1501" s="258"/>
      <c r="AA1501" s="258"/>
      <c r="AB1501" s="258"/>
      <c r="AC1501" s="407"/>
    </row>
    <row r="1502" spans="2:29" s="406" customFormat="1" ht="16.5" customHeight="1">
      <c r="B1502" s="256"/>
      <c r="C1502" s="256"/>
      <c r="D1502" s="414"/>
      <c r="E1502" s="414"/>
      <c r="F1502" s="414"/>
      <c r="G1502" s="253"/>
      <c r="H1502" s="253"/>
      <c r="I1502" s="253"/>
      <c r="J1502" s="253"/>
      <c r="K1502" s="253"/>
      <c r="L1502" s="253"/>
      <c r="M1502" s="253"/>
      <c r="N1502" s="253"/>
      <c r="O1502" s="258"/>
      <c r="P1502" s="258"/>
      <c r="Q1502" s="258"/>
      <c r="R1502" s="258"/>
      <c r="S1502" s="258"/>
      <c r="T1502" s="258"/>
      <c r="U1502" s="258"/>
      <c r="V1502" s="258"/>
      <c r="W1502" s="258"/>
      <c r="X1502" s="258"/>
      <c r="Y1502" s="258"/>
      <c r="Z1502" s="258"/>
      <c r="AA1502" s="258"/>
      <c r="AB1502" s="258"/>
      <c r="AC1502" s="407"/>
    </row>
    <row r="1503" spans="2:29" s="406" customFormat="1" ht="16.5" customHeight="1">
      <c r="B1503" s="256"/>
      <c r="C1503" s="256"/>
      <c r="D1503" s="414"/>
      <c r="E1503" s="414"/>
      <c r="F1503" s="414"/>
      <c r="G1503" s="253"/>
      <c r="H1503" s="253"/>
      <c r="I1503" s="253"/>
      <c r="J1503" s="253"/>
      <c r="K1503" s="253"/>
      <c r="L1503" s="253"/>
      <c r="M1503" s="253"/>
      <c r="N1503" s="253"/>
      <c r="O1503" s="258"/>
      <c r="P1503" s="258"/>
      <c r="Q1503" s="258"/>
      <c r="R1503" s="258"/>
      <c r="S1503" s="258"/>
      <c r="T1503" s="258"/>
      <c r="U1503" s="258"/>
      <c r="V1503" s="258"/>
      <c r="W1503" s="258"/>
      <c r="X1503" s="258"/>
      <c r="Y1503" s="258"/>
      <c r="Z1503" s="258"/>
      <c r="AA1503" s="258"/>
      <c r="AB1503" s="258"/>
      <c r="AC1503" s="407"/>
    </row>
    <row r="1504" spans="2:29" s="406" customFormat="1" ht="16.5" customHeight="1">
      <c r="B1504" s="256"/>
      <c r="C1504" s="256"/>
      <c r="D1504" s="414"/>
      <c r="E1504" s="414"/>
      <c r="F1504" s="414"/>
      <c r="G1504" s="253"/>
      <c r="H1504" s="253"/>
      <c r="I1504" s="253"/>
      <c r="J1504" s="253"/>
      <c r="K1504" s="253"/>
      <c r="L1504" s="253"/>
      <c r="M1504" s="253"/>
      <c r="N1504" s="253"/>
      <c r="O1504" s="258"/>
      <c r="P1504" s="258"/>
      <c r="Q1504" s="258"/>
      <c r="R1504" s="258"/>
      <c r="S1504" s="258"/>
      <c r="T1504" s="258"/>
      <c r="U1504" s="258"/>
      <c r="V1504" s="258"/>
      <c r="W1504" s="258"/>
      <c r="X1504" s="258"/>
      <c r="Y1504" s="258"/>
      <c r="Z1504" s="258"/>
      <c r="AA1504" s="258"/>
      <c r="AB1504" s="258"/>
      <c r="AC1504" s="407"/>
    </row>
    <row r="1505" spans="2:29" s="406" customFormat="1" ht="16.5" customHeight="1">
      <c r="B1505" s="256"/>
      <c r="C1505" s="256"/>
      <c r="D1505" s="414"/>
      <c r="E1505" s="414"/>
      <c r="F1505" s="414"/>
      <c r="G1505" s="253"/>
      <c r="H1505" s="253"/>
      <c r="I1505" s="253"/>
      <c r="J1505" s="253"/>
      <c r="K1505" s="253"/>
      <c r="L1505" s="253"/>
      <c r="M1505" s="253"/>
      <c r="N1505" s="253"/>
      <c r="O1505" s="258"/>
      <c r="P1505" s="258"/>
      <c r="Q1505" s="258"/>
      <c r="R1505" s="258"/>
      <c r="S1505" s="258"/>
      <c r="T1505" s="258"/>
      <c r="U1505" s="258"/>
      <c r="V1505" s="258"/>
      <c r="W1505" s="258"/>
      <c r="X1505" s="258"/>
      <c r="Y1505" s="258"/>
      <c r="Z1505" s="258"/>
      <c r="AA1505" s="258"/>
      <c r="AB1505" s="258"/>
      <c r="AC1505" s="407"/>
    </row>
    <row r="1506" spans="2:29" s="406" customFormat="1" ht="16.5" customHeight="1">
      <c r="B1506" s="256"/>
      <c r="C1506" s="256"/>
      <c r="D1506" s="414"/>
      <c r="E1506" s="414"/>
      <c r="F1506" s="414"/>
      <c r="G1506" s="253"/>
      <c r="H1506" s="253"/>
      <c r="I1506" s="253"/>
      <c r="J1506" s="253"/>
      <c r="K1506" s="253"/>
      <c r="L1506" s="253"/>
      <c r="M1506" s="253"/>
      <c r="N1506" s="253"/>
      <c r="O1506" s="258"/>
      <c r="P1506" s="258"/>
      <c r="Q1506" s="258"/>
      <c r="R1506" s="258"/>
      <c r="S1506" s="258"/>
      <c r="T1506" s="258"/>
      <c r="U1506" s="258"/>
      <c r="V1506" s="258"/>
      <c r="W1506" s="258"/>
      <c r="X1506" s="258"/>
      <c r="Y1506" s="258"/>
      <c r="Z1506" s="258"/>
      <c r="AA1506" s="258"/>
      <c r="AB1506" s="258"/>
      <c r="AC1506" s="407"/>
    </row>
    <row r="1507" spans="2:29" s="406" customFormat="1" ht="16.5" customHeight="1">
      <c r="B1507" s="256"/>
      <c r="C1507" s="256"/>
      <c r="D1507" s="414"/>
      <c r="E1507" s="414"/>
      <c r="F1507" s="414"/>
      <c r="G1507" s="253"/>
      <c r="H1507" s="253"/>
      <c r="I1507" s="253"/>
      <c r="J1507" s="253"/>
      <c r="K1507" s="253"/>
      <c r="L1507" s="253"/>
      <c r="M1507" s="253"/>
      <c r="N1507" s="253"/>
      <c r="O1507" s="258"/>
      <c r="P1507" s="258"/>
      <c r="Q1507" s="258"/>
      <c r="R1507" s="258"/>
      <c r="S1507" s="258"/>
      <c r="T1507" s="258"/>
      <c r="U1507" s="258"/>
      <c r="V1507" s="258"/>
      <c r="W1507" s="258"/>
      <c r="X1507" s="258"/>
      <c r="Y1507" s="258"/>
      <c r="Z1507" s="258"/>
      <c r="AA1507" s="258"/>
      <c r="AB1507" s="258"/>
      <c r="AC1507" s="407"/>
    </row>
    <row r="1508" spans="2:29" s="406" customFormat="1" ht="16.5" customHeight="1">
      <c r="B1508" s="256"/>
      <c r="C1508" s="256"/>
      <c r="D1508" s="414"/>
      <c r="E1508" s="414"/>
      <c r="F1508" s="414"/>
      <c r="G1508" s="253"/>
      <c r="H1508" s="253"/>
      <c r="I1508" s="253"/>
      <c r="J1508" s="253"/>
      <c r="K1508" s="253"/>
      <c r="L1508" s="253"/>
      <c r="M1508" s="253"/>
      <c r="N1508" s="253"/>
      <c r="O1508" s="258"/>
      <c r="P1508" s="258"/>
      <c r="Q1508" s="258"/>
      <c r="R1508" s="258"/>
      <c r="S1508" s="258"/>
      <c r="T1508" s="258"/>
      <c r="U1508" s="258"/>
      <c r="V1508" s="258"/>
      <c r="W1508" s="258"/>
      <c r="X1508" s="258"/>
      <c r="Y1508" s="258"/>
      <c r="Z1508" s="258"/>
      <c r="AA1508" s="258"/>
      <c r="AB1508" s="258"/>
      <c r="AC1508" s="407"/>
    </row>
    <row r="1509" spans="2:29" s="406" customFormat="1" ht="16.5" customHeight="1">
      <c r="B1509" s="256"/>
      <c r="C1509" s="256"/>
      <c r="D1509" s="414"/>
      <c r="E1509" s="414"/>
      <c r="F1509" s="414"/>
      <c r="G1509" s="253"/>
      <c r="H1509" s="253"/>
      <c r="I1509" s="253"/>
      <c r="J1509" s="253"/>
      <c r="K1509" s="253"/>
      <c r="L1509" s="253"/>
      <c r="M1509" s="253"/>
      <c r="N1509" s="253"/>
      <c r="O1509" s="258"/>
      <c r="P1509" s="258"/>
      <c r="Q1509" s="258"/>
      <c r="R1509" s="258"/>
      <c r="S1509" s="258"/>
      <c r="T1509" s="258"/>
      <c r="U1509" s="258"/>
      <c r="V1509" s="258"/>
      <c r="W1509" s="258"/>
      <c r="X1509" s="258"/>
      <c r="Y1509" s="258"/>
      <c r="Z1509" s="258"/>
      <c r="AA1509" s="258"/>
      <c r="AB1509" s="258"/>
      <c r="AC1509" s="407"/>
    </row>
    <row r="1510" spans="2:29" s="406" customFormat="1" ht="16.5" customHeight="1">
      <c r="B1510" s="256"/>
      <c r="C1510" s="256"/>
      <c r="D1510" s="414"/>
      <c r="E1510" s="414"/>
      <c r="F1510" s="414"/>
      <c r="G1510" s="253"/>
      <c r="H1510" s="253"/>
      <c r="I1510" s="253"/>
      <c r="J1510" s="253"/>
      <c r="K1510" s="253"/>
      <c r="L1510" s="253"/>
      <c r="M1510" s="253"/>
      <c r="N1510" s="253"/>
      <c r="O1510" s="258"/>
      <c r="P1510" s="258"/>
      <c r="Q1510" s="258"/>
      <c r="R1510" s="258"/>
      <c r="S1510" s="258"/>
      <c r="T1510" s="258"/>
      <c r="U1510" s="258"/>
      <c r="V1510" s="258"/>
      <c r="W1510" s="258"/>
      <c r="X1510" s="258"/>
      <c r="Y1510" s="258"/>
      <c r="Z1510" s="258"/>
      <c r="AA1510" s="258"/>
      <c r="AB1510" s="258"/>
      <c r="AC1510" s="407"/>
    </row>
    <row r="1511" spans="2:29" s="406" customFormat="1" ht="16.5" customHeight="1">
      <c r="B1511" s="256"/>
      <c r="C1511" s="256"/>
      <c r="D1511" s="414"/>
      <c r="E1511" s="414"/>
      <c r="F1511" s="414"/>
      <c r="G1511" s="253"/>
      <c r="H1511" s="253"/>
      <c r="I1511" s="253"/>
      <c r="J1511" s="253"/>
      <c r="K1511" s="253"/>
      <c r="L1511" s="253"/>
      <c r="M1511" s="253"/>
      <c r="N1511" s="253"/>
      <c r="O1511" s="258"/>
      <c r="P1511" s="258"/>
      <c r="Q1511" s="258"/>
      <c r="R1511" s="258"/>
      <c r="S1511" s="258"/>
      <c r="T1511" s="258"/>
      <c r="U1511" s="258"/>
      <c r="V1511" s="258"/>
      <c r="W1511" s="258"/>
      <c r="X1511" s="258"/>
      <c r="Y1511" s="258"/>
      <c r="Z1511" s="258"/>
      <c r="AA1511" s="258"/>
      <c r="AB1511" s="258"/>
      <c r="AC1511" s="407"/>
    </row>
    <row r="1512" spans="2:29" s="406" customFormat="1" ht="16.5" customHeight="1">
      <c r="B1512" s="256"/>
      <c r="C1512" s="256"/>
      <c r="D1512" s="414"/>
      <c r="E1512" s="414"/>
      <c r="F1512" s="414"/>
      <c r="G1512" s="253"/>
      <c r="H1512" s="253"/>
      <c r="I1512" s="253"/>
      <c r="J1512" s="253"/>
      <c r="K1512" s="253"/>
      <c r="L1512" s="253"/>
      <c r="M1512" s="253"/>
      <c r="N1512" s="253"/>
      <c r="O1512" s="258"/>
      <c r="P1512" s="258"/>
      <c r="Q1512" s="258"/>
      <c r="R1512" s="258"/>
      <c r="S1512" s="258"/>
      <c r="T1512" s="258"/>
      <c r="U1512" s="258"/>
      <c r="V1512" s="258"/>
      <c r="W1512" s="258"/>
      <c r="X1512" s="258"/>
      <c r="Y1512" s="258"/>
      <c r="Z1512" s="258"/>
      <c r="AA1512" s="258"/>
      <c r="AB1512" s="258"/>
      <c r="AC1512" s="407"/>
    </row>
    <row r="1513" spans="2:29" s="406" customFormat="1" ht="16.5" customHeight="1">
      <c r="B1513" s="256"/>
      <c r="C1513" s="256"/>
      <c r="D1513" s="414"/>
      <c r="E1513" s="414"/>
      <c r="F1513" s="414"/>
      <c r="G1513" s="253"/>
      <c r="H1513" s="253"/>
      <c r="I1513" s="253"/>
      <c r="J1513" s="253"/>
      <c r="K1513" s="253"/>
      <c r="L1513" s="253"/>
      <c r="M1513" s="253"/>
      <c r="N1513" s="253"/>
      <c r="O1513" s="258"/>
      <c r="P1513" s="258"/>
      <c r="Q1513" s="258"/>
      <c r="R1513" s="258"/>
      <c r="S1513" s="258"/>
      <c r="T1513" s="258"/>
      <c r="U1513" s="258"/>
      <c r="V1513" s="258"/>
      <c r="W1513" s="258"/>
      <c r="X1513" s="258"/>
      <c r="Y1513" s="258"/>
      <c r="Z1513" s="258"/>
      <c r="AA1513" s="258"/>
      <c r="AB1513" s="258"/>
      <c r="AC1513" s="407"/>
    </row>
    <row r="1514" spans="2:29" s="406" customFormat="1" ht="16.5" customHeight="1">
      <c r="B1514" s="256"/>
      <c r="C1514" s="256"/>
      <c r="D1514" s="414"/>
      <c r="E1514" s="414"/>
      <c r="F1514" s="414"/>
      <c r="G1514" s="253"/>
      <c r="H1514" s="253"/>
      <c r="I1514" s="253"/>
      <c r="J1514" s="253"/>
      <c r="K1514" s="253"/>
      <c r="L1514" s="253"/>
      <c r="M1514" s="253"/>
      <c r="N1514" s="253"/>
      <c r="O1514" s="258"/>
      <c r="P1514" s="258"/>
      <c r="Q1514" s="258"/>
      <c r="R1514" s="258"/>
      <c r="S1514" s="258"/>
      <c r="T1514" s="258"/>
      <c r="U1514" s="258"/>
      <c r="V1514" s="258"/>
      <c r="W1514" s="258"/>
      <c r="X1514" s="258"/>
      <c r="Y1514" s="258"/>
      <c r="Z1514" s="258"/>
      <c r="AA1514" s="258"/>
      <c r="AB1514" s="258"/>
      <c r="AC1514" s="407"/>
    </row>
    <row r="1515" spans="2:29" s="406" customFormat="1" ht="16.5" customHeight="1">
      <c r="B1515" s="256"/>
      <c r="C1515" s="256"/>
      <c r="D1515" s="414"/>
      <c r="E1515" s="414"/>
      <c r="F1515" s="414"/>
      <c r="G1515" s="253"/>
      <c r="H1515" s="253"/>
      <c r="I1515" s="253"/>
      <c r="J1515" s="253"/>
      <c r="K1515" s="253"/>
      <c r="L1515" s="253"/>
      <c r="M1515" s="253"/>
      <c r="N1515" s="253"/>
      <c r="O1515" s="258"/>
      <c r="P1515" s="258"/>
      <c r="Q1515" s="258"/>
      <c r="R1515" s="258"/>
      <c r="S1515" s="258"/>
      <c r="T1515" s="258"/>
      <c r="U1515" s="258"/>
      <c r="V1515" s="258"/>
      <c r="W1515" s="258"/>
      <c r="X1515" s="258"/>
      <c r="Y1515" s="258"/>
      <c r="Z1515" s="258"/>
      <c r="AA1515" s="258"/>
      <c r="AB1515" s="258"/>
      <c r="AC1515" s="407"/>
    </row>
    <row r="1516" spans="2:29" s="406" customFormat="1" ht="16.5" customHeight="1">
      <c r="B1516" s="256"/>
      <c r="C1516" s="256"/>
      <c r="D1516" s="414"/>
      <c r="E1516" s="414"/>
      <c r="F1516" s="414"/>
      <c r="G1516" s="253"/>
      <c r="H1516" s="253"/>
      <c r="I1516" s="253"/>
      <c r="J1516" s="253"/>
      <c r="K1516" s="253"/>
      <c r="L1516" s="253"/>
      <c r="M1516" s="253"/>
      <c r="N1516" s="253"/>
      <c r="O1516" s="258"/>
      <c r="P1516" s="258"/>
      <c r="Q1516" s="258"/>
      <c r="R1516" s="258"/>
      <c r="S1516" s="258"/>
      <c r="T1516" s="258"/>
      <c r="U1516" s="258"/>
      <c r="V1516" s="258"/>
      <c r="W1516" s="258"/>
      <c r="X1516" s="258"/>
      <c r="Y1516" s="258"/>
      <c r="Z1516" s="258"/>
      <c r="AA1516" s="258"/>
      <c r="AB1516" s="258"/>
      <c r="AC1516" s="407"/>
    </row>
    <row r="1517" spans="2:29" s="406" customFormat="1" ht="16.5" customHeight="1">
      <c r="B1517" s="256"/>
      <c r="C1517" s="256"/>
      <c r="D1517" s="414"/>
      <c r="E1517" s="414"/>
      <c r="F1517" s="414"/>
      <c r="G1517" s="253"/>
      <c r="H1517" s="253"/>
      <c r="I1517" s="253"/>
      <c r="J1517" s="253"/>
      <c r="K1517" s="253"/>
      <c r="L1517" s="253"/>
      <c r="M1517" s="253"/>
      <c r="N1517" s="253"/>
      <c r="O1517" s="258"/>
      <c r="P1517" s="258"/>
      <c r="Q1517" s="258"/>
      <c r="R1517" s="258"/>
      <c r="S1517" s="258"/>
      <c r="T1517" s="258"/>
      <c r="U1517" s="258"/>
      <c r="V1517" s="258"/>
      <c r="W1517" s="258"/>
      <c r="X1517" s="258"/>
      <c r="Y1517" s="258"/>
      <c r="Z1517" s="258"/>
      <c r="AA1517" s="258"/>
      <c r="AB1517" s="258"/>
      <c r="AC1517" s="407"/>
    </row>
    <row r="1518" spans="2:29" s="406" customFormat="1" ht="16.5" customHeight="1">
      <c r="B1518" s="256"/>
      <c r="C1518" s="256"/>
      <c r="D1518" s="414"/>
      <c r="E1518" s="414"/>
      <c r="F1518" s="414"/>
      <c r="G1518" s="253"/>
      <c r="H1518" s="253"/>
      <c r="I1518" s="253"/>
      <c r="J1518" s="253"/>
      <c r="K1518" s="253"/>
      <c r="L1518" s="253"/>
      <c r="M1518" s="253"/>
      <c r="N1518" s="253"/>
      <c r="O1518" s="258"/>
      <c r="P1518" s="258"/>
      <c r="Q1518" s="258"/>
      <c r="R1518" s="258"/>
      <c r="S1518" s="258"/>
      <c r="T1518" s="258"/>
      <c r="U1518" s="258"/>
      <c r="V1518" s="258"/>
      <c r="W1518" s="258"/>
      <c r="X1518" s="258"/>
      <c r="Y1518" s="258"/>
      <c r="Z1518" s="258"/>
      <c r="AA1518" s="258"/>
      <c r="AB1518" s="258"/>
      <c r="AC1518" s="407"/>
    </row>
    <row r="1519" spans="2:29" s="406" customFormat="1" ht="16.5" customHeight="1">
      <c r="B1519" s="256"/>
      <c r="C1519" s="256"/>
      <c r="D1519" s="414"/>
      <c r="E1519" s="414"/>
      <c r="F1519" s="414"/>
      <c r="G1519" s="253"/>
      <c r="H1519" s="253"/>
      <c r="I1519" s="253"/>
      <c r="J1519" s="253"/>
      <c r="K1519" s="253"/>
      <c r="L1519" s="253"/>
      <c r="M1519" s="253"/>
      <c r="N1519" s="253"/>
      <c r="O1519" s="258"/>
      <c r="P1519" s="258"/>
      <c r="Q1519" s="258"/>
      <c r="R1519" s="258"/>
      <c r="S1519" s="258"/>
      <c r="T1519" s="258"/>
      <c r="U1519" s="258"/>
      <c r="V1519" s="258"/>
      <c r="W1519" s="258"/>
      <c r="X1519" s="258"/>
      <c r="Y1519" s="258"/>
      <c r="Z1519" s="258"/>
      <c r="AA1519" s="258"/>
      <c r="AB1519" s="258"/>
      <c r="AC1519" s="407"/>
    </row>
    <row r="1520" spans="2:29" s="406" customFormat="1" ht="16.5" customHeight="1">
      <c r="B1520" s="256"/>
      <c r="C1520" s="256"/>
      <c r="D1520" s="414"/>
      <c r="E1520" s="414"/>
      <c r="F1520" s="414"/>
      <c r="G1520" s="253"/>
      <c r="H1520" s="253"/>
      <c r="I1520" s="253"/>
      <c r="J1520" s="253"/>
      <c r="K1520" s="253"/>
      <c r="L1520" s="253"/>
      <c r="M1520" s="253"/>
      <c r="N1520" s="253"/>
      <c r="O1520" s="258"/>
      <c r="P1520" s="258"/>
      <c r="Q1520" s="258"/>
      <c r="R1520" s="258"/>
      <c r="S1520" s="258"/>
      <c r="T1520" s="258"/>
      <c r="U1520" s="258"/>
      <c r="V1520" s="258"/>
      <c r="W1520" s="258"/>
      <c r="X1520" s="258"/>
      <c r="Y1520" s="258"/>
      <c r="Z1520" s="258"/>
      <c r="AA1520" s="258"/>
      <c r="AB1520" s="258"/>
      <c r="AC1520" s="407"/>
    </row>
    <row r="1521" spans="2:29" s="406" customFormat="1" ht="16.5" customHeight="1">
      <c r="B1521" s="256"/>
      <c r="C1521" s="256"/>
      <c r="D1521" s="414"/>
      <c r="E1521" s="414"/>
      <c r="F1521" s="414"/>
      <c r="G1521" s="253"/>
      <c r="H1521" s="253"/>
      <c r="I1521" s="253"/>
      <c r="J1521" s="253"/>
      <c r="K1521" s="253"/>
      <c r="L1521" s="253"/>
      <c r="M1521" s="253"/>
      <c r="N1521" s="253"/>
      <c r="O1521" s="258"/>
      <c r="P1521" s="258"/>
      <c r="Q1521" s="258"/>
      <c r="R1521" s="258"/>
      <c r="S1521" s="258"/>
      <c r="T1521" s="258"/>
      <c r="U1521" s="258"/>
      <c r="V1521" s="258"/>
      <c r="W1521" s="258"/>
      <c r="X1521" s="258"/>
      <c r="Y1521" s="258"/>
      <c r="Z1521" s="258"/>
      <c r="AA1521" s="258"/>
      <c r="AB1521" s="258"/>
      <c r="AC1521" s="407"/>
    </row>
    <row r="1522" spans="2:29" s="406" customFormat="1" ht="16.5" customHeight="1">
      <c r="B1522" s="256"/>
      <c r="C1522" s="256"/>
      <c r="D1522" s="414"/>
      <c r="E1522" s="414"/>
      <c r="F1522" s="414"/>
      <c r="G1522" s="253"/>
      <c r="H1522" s="253"/>
      <c r="I1522" s="253"/>
      <c r="J1522" s="253"/>
      <c r="K1522" s="253"/>
      <c r="L1522" s="253"/>
      <c r="M1522" s="253"/>
      <c r="N1522" s="253"/>
      <c r="O1522" s="258"/>
      <c r="P1522" s="258"/>
      <c r="Q1522" s="258"/>
      <c r="R1522" s="258"/>
      <c r="S1522" s="258"/>
      <c r="T1522" s="258"/>
      <c r="U1522" s="258"/>
      <c r="V1522" s="258"/>
      <c r="W1522" s="258"/>
      <c r="X1522" s="258"/>
      <c r="Y1522" s="258"/>
      <c r="Z1522" s="258"/>
      <c r="AA1522" s="258"/>
      <c r="AB1522" s="258"/>
      <c r="AC1522" s="407"/>
    </row>
    <row r="1523" spans="2:29" s="406" customFormat="1" ht="16.5" customHeight="1">
      <c r="B1523" s="256"/>
      <c r="C1523" s="256"/>
      <c r="D1523" s="414"/>
      <c r="E1523" s="414"/>
      <c r="F1523" s="414"/>
      <c r="G1523" s="253"/>
      <c r="H1523" s="253"/>
      <c r="I1523" s="253"/>
      <c r="J1523" s="253"/>
      <c r="K1523" s="253"/>
      <c r="L1523" s="253"/>
      <c r="M1523" s="253"/>
      <c r="N1523" s="253"/>
      <c r="O1523" s="258"/>
      <c r="P1523" s="258"/>
      <c r="Q1523" s="258"/>
      <c r="R1523" s="258"/>
      <c r="S1523" s="258"/>
      <c r="T1523" s="258"/>
      <c r="U1523" s="258"/>
      <c r="V1523" s="258"/>
      <c r="W1523" s="258"/>
      <c r="X1523" s="258"/>
      <c r="Y1523" s="258"/>
      <c r="Z1523" s="258"/>
      <c r="AA1523" s="258"/>
      <c r="AB1523" s="258"/>
      <c r="AC1523" s="407"/>
    </row>
    <row r="1524" spans="2:29" s="406" customFormat="1" ht="16.5" customHeight="1">
      <c r="B1524" s="256"/>
      <c r="C1524" s="256"/>
      <c r="D1524" s="414"/>
      <c r="E1524" s="414"/>
      <c r="F1524" s="414"/>
      <c r="G1524" s="253"/>
      <c r="H1524" s="253"/>
      <c r="I1524" s="253"/>
      <c r="J1524" s="253"/>
      <c r="K1524" s="253"/>
      <c r="L1524" s="253"/>
      <c r="M1524" s="253"/>
      <c r="N1524" s="253"/>
      <c r="O1524" s="258"/>
      <c r="P1524" s="258"/>
      <c r="Q1524" s="258"/>
      <c r="R1524" s="258"/>
      <c r="S1524" s="258"/>
      <c r="T1524" s="258"/>
      <c r="U1524" s="258"/>
      <c r="V1524" s="258"/>
      <c r="W1524" s="258"/>
      <c r="X1524" s="258"/>
      <c r="Y1524" s="258"/>
      <c r="Z1524" s="258"/>
      <c r="AA1524" s="258"/>
      <c r="AB1524" s="258"/>
      <c r="AC1524" s="407"/>
    </row>
    <row r="1525" spans="2:29" s="406" customFormat="1" ht="16.5" customHeight="1">
      <c r="B1525" s="256"/>
      <c r="C1525" s="256"/>
      <c r="D1525" s="414"/>
      <c r="E1525" s="414"/>
      <c r="F1525" s="414"/>
      <c r="G1525" s="253"/>
      <c r="H1525" s="253"/>
      <c r="I1525" s="253"/>
      <c r="J1525" s="253"/>
      <c r="K1525" s="253"/>
      <c r="L1525" s="253"/>
      <c r="M1525" s="253"/>
      <c r="N1525" s="253"/>
      <c r="O1525" s="258"/>
      <c r="P1525" s="258"/>
      <c r="Q1525" s="258"/>
      <c r="R1525" s="258"/>
      <c r="S1525" s="258"/>
      <c r="T1525" s="258"/>
      <c r="U1525" s="258"/>
      <c r="V1525" s="258"/>
      <c r="W1525" s="258"/>
      <c r="X1525" s="258"/>
      <c r="Y1525" s="258"/>
      <c r="Z1525" s="258"/>
      <c r="AA1525" s="258"/>
      <c r="AB1525" s="258"/>
      <c r="AC1525" s="407"/>
    </row>
    <row r="1526" spans="2:29" s="406" customFormat="1" ht="16.5" customHeight="1">
      <c r="B1526" s="256"/>
      <c r="C1526" s="256"/>
      <c r="D1526" s="414"/>
      <c r="E1526" s="414"/>
      <c r="F1526" s="414"/>
      <c r="G1526" s="253"/>
      <c r="H1526" s="253"/>
      <c r="I1526" s="253"/>
      <c r="J1526" s="253"/>
      <c r="K1526" s="253"/>
      <c r="L1526" s="253"/>
      <c r="M1526" s="253"/>
      <c r="N1526" s="253"/>
      <c r="O1526" s="258"/>
      <c r="P1526" s="258"/>
      <c r="Q1526" s="258"/>
      <c r="R1526" s="258"/>
      <c r="S1526" s="258"/>
      <c r="T1526" s="258"/>
      <c r="U1526" s="258"/>
      <c r="V1526" s="258"/>
      <c r="W1526" s="258"/>
      <c r="X1526" s="258"/>
      <c r="Y1526" s="258"/>
      <c r="Z1526" s="258"/>
      <c r="AA1526" s="258"/>
      <c r="AB1526" s="258"/>
      <c r="AC1526" s="407"/>
    </row>
    <row r="1527" spans="2:29" s="406" customFormat="1" ht="16.5" customHeight="1">
      <c r="B1527" s="256"/>
      <c r="C1527" s="256"/>
      <c r="D1527" s="414"/>
      <c r="E1527" s="414"/>
      <c r="F1527" s="414"/>
      <c r="G1527" s="253"/>
      <c r="H1527" s="253"/>
      <c r="I1527" s="253"/>
      <c r="J1527" s="253"/>
      <c r="K1527" s="253"/>
      <c r="L1527" s="253"/>
      <c r="M1527" s="253"/>
      <c r="N1527" s="253"/>
      <c r="O1527" s="258"/>
      <c r="P1527" s="258"/>
      <c r="Q1527" s="258"/>
      <c r="R1527" s="258"/>
      <c r="S1527" s="258"/>
      <c r="T1527" s="258"/>
      <c r="U1527" s="258"/>
      <c r="V1527" s="258"/>
      <c r="W1527" s="258"/>
      <c r="X1527" s="258"/>
      <c r="Y1527" s="258"/>
      <c r="Z1527" s="258"/>
      <c r="AA1527" s="258"/>
      <c r="AB1527" s="258"/>
      <c r="AC1527" s="407"/>
    </row>
    <row r="1528" spans="2:29" s="406" customFormat="1" ht="16.5" customHeight="1">
      <c r="B1528" s="256"/>
      <c r="C1528" s="256"/>
      <c r="D1528" s="414"/>
      <c r="E1528" s="414"/>
      <c r="F1528" s="414"/>
      <c r="G1528" s="253"/>
      <c r="H1528" s="253"/>
      <c r="I1528" s="253"/>
      <c r="J1528" s="253"/>
      <c r="K1528" s="253"/>
      <c r="L1528" s="253"/>
      <c r="M1528" s="253"/>
      <c r="N1528" s="253"/>
      <c r="O1528" s="258"/>
      <c r="P1528" s="258"/>
      <c r="Q1528" s="258"/>
      <c r="R1528" s="258"/>
      <c r="S1528" s="258"/>
      <c r="T1528" s="258"/>
      <c r="U1528" s="258"/>
      <c r="V1528" s="258"/>
      <c r="W1528" s="258"/>
      <c r="X1528" s="258"/>
      <c r="Y1528" s="258"/>
      <c r="Z1528" s="258"/>
      <c r="AA1528" s="258"/>
      <c r="AB1528" s="258"/>
      <c r="AC1528" s="407"/>
    </row>
    <row r="1529" spans="2:29" s="406" customFormat="1" ht="16.5" customHeight="1">
      <c r="B1529" s="256"/>
      <c r="C1529" s="256"/>
      <c r="D1529" s="414"/>
      <c r="E1529" s="414"/>
      <c r="F1529" s="414"/>
      <c r="G1529" s="253"/>
      <c r="H1529" s="253"/>
      <c r="I1529" s="253"/>
      <c r="J1529" s="253"/>
      <c r="K1529" s="253"/>
      <c r="L1529" s="253"/>
      <c r="M1529" s="253"/>
      <c r="N1529" s="253"/>
      <c r="O1529" s="258"/>
      <c r="P1529" s="258"/>
      <c r="Q1529" s="258"/>
      <c r="R1529" s="258"/>
      <c r="S1529" s="258"/>
      <c r="T1529" s="258"/>
      <c r="U1529" s="258"/>
      <c r="V1529" s="258"/>
      <c r="W1529" s="258"/>
      <c r="X1529" s="258"/>
      <c r="Y1529" s="258"/>
      <c r="Z1529" s="258"/>
      <c r="AA1529" s="258"/>
      <c r="AB1529" s="258"/>
      <c r="AC1529" s="407"/>
    </row>
    <row r="1530" spans="2:29" s="406" customFormat="1" ht="16.5" customHeight="1">
      <c r="B1530" s="256"/>
      <c r="C1530" s="256"/>
      <c r="D1530" s="414"/>
      <c r="E1530" s="414"/>
      <c r="F1530" s="414"/>
      <c r="G1530" s="253"/>
      <c r="H1530" s="253"/>
      <c r="I1530" s="253"/>
      <c r="J1530" s="253"/>
      <c r="K1530" s="253"/>
      <c r="L1530" s="253"/>
      <c r="M1530" s="253"/>
      <c r="N1530" s="253"/>
      <c r="O1530" s="258"/>
      <c r="P1530" s="258"/>
      <c r="Q1530" s="258"/>
      <c r="R1530" s="258"/>
      <c r="S1530" s="258"/>
      <c r="T1530" s="258"/>
      <c r="U1530" s="258"/>
      <c r="V1530" s="258"/>
      <c r="W1530" s="258"/>
      <c r="X1530" s="258"/>
      <c r="Y1530" s="258"/>
      <c r="Z1530" s="258"/>
      <c r="AA1530" s="258"/>
      <c r="AB1530" s="258"/>
      <c r="AC1530" s="407"/>
    </row>
    <row r="1531" spans="2:29" s="406" customFormat="1" ht="16.5" customHeight="1">
      <c r="B1531" s="256"/>
      <c r="C1531" s="256"/>
      <c r="D1531" s="414"/>
      <c r="E1531" s="414"/>
      <c r="F1531" s="414"/>
      <c r="G1531" s="253"/>
      <c r="H1531" s="253"/>
      <c r="I1531" s="253"/>
      <c r="J1531" s="253"/>
      <c r="K1531" s="253"/>
      <c r="L1531" s="253"/>
      <c r="M1531" s="253"/>
      <c r="N1531" s="253"/>
      <c r="O1531" s="258"/>
      <c r="P1531" s="258"/>
      <c r="Q1531" s="258"/>
      <c r="R1531" s="258"/>
      <c r="S1531" s="258"/>
      <c r="T1531" s="258"/>
      <c r="U1531" s="258"/>
      <c r="V1531" s="258"/>
      <c r="W1531" s="258"/>
      <c r="X1531" s="258"/>
      <c r="Y1531" s="258"/>
      <c r="Z1531" s="258"/>
      <c r="AA1531" s="258"/>
      <c r="AB1531" s="258"/>
      <c r="AC1531" s="407"/>
    </row>
    <row r="1532" spans="2:29" s="406" customFormat="1" ht="16.5" customHeight="1">
      <c r="B1532" s="256"/>
      <c r="C1532" s="256"/>
      <c r="D1532" s="414"/>
      <c r="E1532" s="414"/>
      <c r="F1532" s="414"/>
      <c r="G1532" s="253"/>
      <c r="H1532" s="253"/>
      <c r="I1532" s="253"/>
      <c r="J1532" s="253"/>
      <c r="K1532" s="253"/>
      <c r="L1532" s="253"/>
      <c r="M1532" s="253"/>
      <c r="N1532" s="253"/>
      <c r="O1532" s="258"/>
      <c r="P1532" s="258"/>
      <c r="Q1532" s="258"/>
      <c r="R1532" s="258"/>
      <c r="S1532" s="258"/>
      <c r="T1532" s="258"/>
      <c r="U1532" s="258"/>
      <c r="V1532" s="258"/>
      <c r="W1532" s="258"/>
      <c r="X1532" s="258"/>
      <c r="Y1532" s="258"/>
      <c r="Z1532" s="258"/>
      <c r="AA1532" s="258"/>
      <c r="AB1532" s="258"/>
      <c r="AC1532" s="407"/>
    </row>
    <row r="1533" spans="2:29" s="406" customFormat="1" ht="16.5" customHeight="1">
      <c r="B1533" s="256"/>
      <c r="C1533" s="256"/>
      <c r="D1533" s="414"/>
      <c r="E1533" s="414"/>
      <c r="F1533" s="414"/>
      <c r="G1533" s="253"/>
      <c r="H1533" s="253"/>
      <c r="I1533" s="253"/>
      <c r="J1533" s="253"/>
      <c r="K1533" s="253"/>
      <c r="L1533" s="253"/>
      <c r="M1533" s="253"/>
      <c r="N1533" s="253"/>
      <c r="O1533" s="258"/>
      <c r="P1533" s="258"/>
      <c r="Q1533" s="258"/>
      <c r="R1533" s="258"/>
      <c r="S1533" s="258"/>
      <c r="T1533" s="258"/>
      <c r="U1533" s="258"/>
      <c r="V1533" s="258"/>
      <c r="W1533" s="258"/>
      <c r="X1533" s="258"/>
      <c r="Y1533" s="258"/>
      <c r="Z1533" s="258"/>
      <c r="AA1533" s="258"/>
      <c r="AB1533" s="258"/>
      <c r="AC1533" s="407"/>
    </row>
    <row r="1534" spans="2:29" s="406" customFormat="1" ht="16.5" customHeight="1">
      <c r="B1534" s="256"/>
      <c r="C1534" s="256"/>
      <c r="D1534" s="414"/>
      <c r="E1534" s="414"/>
      <c r="F1534" s="414"/>
      <c r="G1534" s="253"/>
      <c r="H1534" s="253"/>
      <c r="I1534" s="253"/>
      <c r="J1534" s="253"/>
      <c r="K1534" s="253"/>
      <c r="L1534" s="253"/>
      <c r="M1534" s="253"/>
      <c r="N1534" s="253"/>
      <c r="O1534" s="258"/>
      <c r="P1534" s="258"/>
      <c r="Q1534" s="258"/>
      <c r="R1534" s="258"/>
      <c r="S1534" s="258"/>
      <c r="T1534" s="258"/>
      <c r="U1534" s="258"/>
      <c r="V1534" s="258"/>
      <c r="W1534" s="258"/>
      <c r="X1534" s="258"/>
      <c r="Y1534" s="258"/>
      <c r="Z1534" s="258"/>
      <c r="AA1534" s="258"/>
      <c r="AB1534" s="258"/>
      <c r="AC1534" s="407"/>
    </row>
    <row r="1535" spans="2:29" s="406" customFormat="1" ht="16.5" customHeight="1">
      <c r="B1535" s="256"/>
      <c r="C1535" s="256"/>
      <c r="D1535" s="414"/>
      <c r="E1535" s="414"/>
      <c r="F1535" s="414"/>
      <c r="G1535" s="253"/>
      <c r="H1535" s="253"/>
      <c r="I1535" s="253"/>
      <c r="J1535" s="253"/>
      <c r="K1535" s="253"/>
      <c r="L1535" s="253"/>
      <c r="M1535" s="253"/>
      <c r="N1535" s="253"/>
      <c r="O1535" s="258"/>
      <c r="P1535" s="258"/>
      <c r="Q1535" s="258"/>
      <c r="R1535" s="258"/>
      <c r="S1535" s="258"/>
      <c r="T1535" s="258"/>
      <c r="U1535" s="258"/>
      <c r="V1535" s="258"/>
      <c r="W1535" s="258"/>
      <c r="X1535" s="258"/>
      <c r="Y1535" s="258"/>
      <c r="Z1535" s="258"/>
      <c r="AA1535" s="258"/>
      <c r="AB1535" s="258"/>
      <c r="AC1535" s="407"/>
    </row>
    <row r="1536" spans="2:29" s="406" customFormat="1" ht="16.5" customHeight="1">
      <c r="B1536" s="256"/>
      <c r="C1536" s="256"/>
      <c r="D1536" s="414"/>
      <c r="E1536" s="414"/>
      <c r="F1536" s="414"/>
      <c r="G1536" s="253"/>
      <c r="H1536" s="253"/>
      <c r="I1536" s="253"/>
      <c r="J1536" s="253"/>
      <c r="K1536" s="253"/>
      <c r="L1536" s="253"/>
      <c r="M1536" s="253"/>
      <c r="N1536" s="253"/>
      <c r="O1536" s="258"/>
      <c r="P1536" s="258"/>
      <c r="Q1536" s="258"/>
      <c r="R1536" s="258"/>
      <c r="S1536" s="258"/>
      <c r="T1536" s="258"/>
      <c r="U1536" s="258"/>
      <c r="V1536" s="258"/>
      <c r="W1536" s="258"/>
      <c r="X1536" s="258"/>
      <c r="Y1536" s="258"/>
      <c r="Z1536" s="258"/>
      <c r="AA1536" s="258"/>
      <c r="AB1536" s="258"/>
      <c r="AC1536" s="407"/>
    </row>
    <row r="1537" spans="2:29" s="406" customFormat="1" ht="16.5" customHeight="1">
      <c r="B1537" s="256"/>
      <c r="C1537" s="256"/>
      <c r="D1537" s="414"/>
      <c r="E1537" s="414"/>
      <c r="F1537" s="414"/>
      <c r="G1537" s="253"/>
      <c r="H1537" s="253"/>
      <c r="I1537" s="253"/>
      <c r="J1537" s="253"/>
      <c r="K1537" s="253"/>
      <c r="L1537" s="253"/>
      <c r="M1537" s="253"/>
      <c r="N1537" s="253"/>
      <c r="O1537" s="258"/>
      <c r="P1537" s="258"/>
      <c r="Q1537" s="258"/>
      <c r="R1537" s="258"/>
      <c r="S1537" s="258"/>
      <c r="T1537" s="258"/>
      <c r="U1537" s="258"/>
      <c r="V1537" s="258"/>
      <c r="W1537" s="258"/>
      <c r="X1537" s="258"/>
      <c r="Y1537" s="258"/>
      <c r="Z1537" s="258"/>
      <c r="AA1537" s="258"/>
      <c r="AB1537" s="258"/>
      <c r="AC1537" s="407"/>
    </row>
    <row r="1538" spans="2:29" s="406" customFormat="1" ht="16.5" customHeight="1">
      <c r="B1538" s="256"/>
      <c r="C1538" s="256"/>
      <c r="D1538" s="414"/>
      <c r="E1538" s="414"/>
      <c r="F1538" s="414"/>
      <c r="G1538" s="253"/>
      <c r="H1538" s="253"/>
      <c r="I1538" s="253"/>
      <c r="J1538" s="253"/>
      <c r="K1538" s="253"/>
      <c r="L1538" s="253"/>
      <c r="M1538" s="253"/>
      <c r="N1538" s="253"/>
      <c r="O1538" s="258"/>
      <c r="P1538" s="258"/>
      <c r="Q1538" s="258"/>
      <c r="R1538" s="258"/>
      <c r="S1538" s="258"/>
      <c r="T1538" s="258"/>
      <c r="U1538" s="258"/>
      <c r="V1538" s="258"/>
      <c r="W1538" s="258"/>
      <c r="X1538" s="258"/>
      <c r="Y1538" s="258"/>
      <c r="Z1538" s="258"/>
      <c r="AA1538" s="258"/>
      <c r="AB1538" s="258"/>
      <c r="AC1538" s="407"/>
    </row>
    <row r="1539" spans="2:29" s="406" customFormat="1" ht="16.5" customHeight="1">
      <c r="B1539" s="256"/>
      <c r="C1539" s="256"/>
      <c r="D1539" s="414"/>
      <c r="E1539" s="414"/>
      <c r="F1539" s="414"/>
      <c r="G1539" s="253"/>
      <c r="H1539" s="253"/>
      <c r="I1539" s="253"/>
      <c r="J1539" s="253"/>
      <c r="K1539" s="253"/>
      <c r="L1539" s="253"/>
      <c r="M1539" s="253"/>
      <c r="N1539" s="253"/>
      <c r="O1539" s="258"/>
      <c r="P1539" s="258"/>
      <c r="Q1539" s="258"/>
      <c r="R1539" s="258"/>
      <c r="S1539" s="258"/>
      <c r="T1539" s="258"/>
      <c r="U1539" s="258"/>
      <c r="V1539" s="258"/>
      <c r="W1539" s="258"/>
      <c r="X1539" s="258"/>
      <c r="Y1539" s="258"/>
      <c r="Z1539" s="258"/>
      <c r="AA1539" s="258"/>
      <c r="AB1539" s="258"/>
      <c r="AC1539" s="407"/>
    </row>
    <row r="1540" spans="2:29" s="406" customFormat="1" ht="16.5" customHeight="1">
      <c r="B1540" s="256"/>
      <c r="C1540" s="256"/>
      <c r="D1540" s="414"/>
      <c r="E1540" s="414"/>
      <c r="F1540" s="414"/>
      <c r="G1540" s="253"/>
      <c r="H1540" s="253"/>
      <c r="I1540" s="253"/>
      <c r="J1540" s="253"/>
      <c r="K1540" s="253"/>
      <c r="L1540" s="253"/>
      <c r="M1540" s="253"/>
      <c r="N1540" s="253"/>
      <c r="O1540" s="258"/>
      <c r="P1540" s="258"/>
      <c r="Q1540" s="258"/>
      <c r="R1540" s="258"/>
      <c r="S1540" s="258"/>
      <c r="T1540" s="258"/>
      <c r="U1540" s="258"/>
      <c r="V1540" s="258"/>
      <c r="W1540" s="258"/>
      <c r="X1540" s="258"/>
      <c r="Y1540" s="258"/>
      <c r="Z1540" s="258"/>
      <c r="AA1540" s="258"/>
      <c r="AB1540" s="258"/>
      <c r="AC1540" s="407"/>
    </row>
    <row r="1541" spans="2:29" s="406" customFormat="1" ht="16.5" customHeight="1">
      <c r="B1541" s="256"/>
      <c r="C1541" s="256"/>
      <c r="D1541" s="414"/>
      <c r="E1541" s="414"/>
      <c r="F1541" s="414"/>
      <c r="G1541" s="253"/>
      <c r="H1541" s="253"/>
      <c r="I1541" s="253"/>
      <c r="J1541" s="253"/>
      <c r="K1541" s="253"/>
      <c r="L1541" s="253"/>
      <c r="M1541" s="253"/>
      <c r="N1541" s="253"/>
      <c r="O1541" s="258"/>
      <c r="P1541" s="258"/>
      <c r="Q1541" s="258"/>
      <c r="R1541" s="258"/>
      <c r="S1541" s="258"/>
      <c r="T1541" s="258"/>
      <c r="U1541" s="258"/>
      <c r="V1541" s="258"/>
      <c r="W1541" s="258"/>
      <c r="X1541" s="258"/>
      <c r="Y1541" s="258"/>
      <c r="Z1541" s="258"/>
      <c r="AA1541" s="258"/>
      <c r="AB1541" s="258"/>
      <c r="AC1541" s="407"/>
    </row>
    <row r="1542" spans="2:29" s="406" customFormat="1" ht="16.5" customHeight="1">
      <c r="B1542" s="256"/>
      <c r="C1542" s="256"/>
      <c r="D1542" s="414"/>
      <c r="E1542" s="414"/>
      <c r="F1542" s="414"/>
      <c r="G1542" s="253"/>
      <c r="H1542" s="253"/>
      <c r="I1542" s="253"/>
      <c r="J1542" s="253"/>
      <c r="K1542" s="253"/>
      <c r="L1542" s="253"/>
      <c r="M1542" s="253"/>
      <c r="N1542" s="253"/>
      <c r="O1542" s="258"/>
      <c r="P1542" s="258"/>
      <c r="Q1542" s="258"/>
      <c r="R1542" s="258"/>
      <c r="S1542" s="258"/>
      <c r="T1542" s="258"/>
      <c r="U1542" s="258"/>
      <c r="V1542" s="258"/>
      <c r="W1542" s="258"/>
      <c r="X1542" s="258"/>
      <c r="Y1542" s="258"/>
      <c r="Z1542" s="258"/>
      <c r="AA1542" s="258"/>
      <c r="AB1542" s="258"/>
      <c r="AC1542" s="407"/>
    </row>
    <row r="1543" spans="2:29" s="406" customFormat="1" ht="16.5" customHeight="1">
      <c r="B1543" s="256"/>
      <c r="C1543" s="256"/>
      <c r="D1543" s="414"/>
      <c r="E1543" s="414"/>
      <c r="F1543" s="414"/>
      <c r="G1543" s="253"/>
      <c r="H1543" s="253"/>
      <c r="I1543" s="253"/>
      <c r="J1543" s="253"/>
      <c r="K1543" s="253"/>
      <c r="L1543" s="253"/>
      <c r="M1543" s="253"/>
      <c r="N1543" s="253"/>
      <c r="O1543" s="258"/>
      <c r="P1543" s="258"/>
      <c r="Q1543" s="258"/>
      <c r="R1543" s="258"/>
      <c r="S1543" s="258"/>
      <c r="T1543" s="258"/>
      <c r="U1543" s="258"/>
      <c r="V1543" s="258"/>
      <c r="W1543" s="258"/>
      <c r="X1543" s="258"/>
      <c r="Y1543" s="258"/>
      <c r="Z1543" s="258"/>
      <c r="AA1543" s="258"/>
      <c r="AB1543" s="258"/>
      <c r="AC1543" s="407"/>
    </row>
    <row r="1544" spans="2:29" s="406" customFormat="1" ht="16.5" customHeight="1">
      <c r="B1544" s="256"/>
      <c r="C1544" s="256"/>
      <c r="D1544" s="414"/>
      <c r="E1544" s="414"/>
      <c r="F1544" s="414"/>
      <c r="G1544" s="253"/>
      <c r="H1544" s="253"/>
      <c r="I1544" s="253"/>
      <c r="J1544" s="253"/>
      <c r="K1544" s="253"/>
      <c r="L1544" s="253"/>
      <c r="M1544" s="253"/>
      <c r="N1544" s="253"/>
      <c r="O1544" s="258"/>
      <c r="P1544" s="258"/>
      <c r="Q1544" s="258"/>
      <c r="R1544" s="258"/>
      <c r="S1544" s="258"/>
      <c r="T1544" s="258"/>
      <c r="U1544" s="258"/>
      <c r="V1544" s="258"/>
      <c r="W1544" s="258"/>
      <c r="X1544" s="258"/>
      <c r="Y1544" s="258"/>
      <c r="Z1544" s="258"/>
      <c r="AA1544" s="258"/>
      <c r="AB1544" s="258"/>
      <c r="AC1544" s="407"/>
    </row>
    <row r="1545" spans="2:29" s="406" customFormat="1" ht="16.5" customHeight="1">
      <c r="B1545" s="256"/>
      <c r="C1545" s="256"/>
      <c r="D1545" s="414"/>
      <c r="E1545" s="414"/>
      <c r="F1545" s="414"/>
      <c r="G1545" s="253"/>
      <c r="H1545" s="253"/>
      <c r="I1545" s="253"/>
      <c r="J1545" s="253"/>
      <c r="K1545" s="253"/>
      <c r="L1545" s="253"/>
      <c r="M1545" s="253"/>
      <c r="N1545" s="253"/>
      <c r="O1545" s="258"/>
      <c r="P1545" s="258"/>
      <c r="Q1545" s="258"/>
      <c r="R1545" s="258"/>
      <c r="S1545" s="258"/>
      <c r="T1545" s="258"/>
      <c r="U1545" s="258"/>
      <c r="V1545" s="258"/>
      <c r="W1545" s="258"/>
      <c r="X1545" s="258"/>
      <c r="Y1545" s="258"/>
      <c r="Z1545" s="258"/>
      <c r="AA1545" s="258"/>
      <c r="AB1545" s="258"/>
      <c r="AC1545" s="407"/>
    </row>
    <row r="1546" spans="2:29" s="406" customFormat="1" ht="16.5" customHeight="1">
      <c r="B1546" s="256"/>
      <c r="C1546" s="256"/>
      <c r="D1546" s="414"/>
      <c r="E1546" s="414"/>
      <c r="F1546" s="414"/>
      <c r="G1546" s="253"/>
      <c r="H1546" s="253"/>
      <c r="I1546" s="253"/>
      <c r="J1546" s="253"/>
      <c r="K1546" s="253"/>
      <c r="L1546" s="253"/>
      <c r="M1546" s="253"/>
      <c r="N1546" s="253"/>
      <c r="O1546" s="258"/>
      <c r="P1546" s="258"/>
      <c r="Q1546" s="258"/>
      <c r="R1546" s="258"/>
      <c r="S1546" s="258"/>
      <c r="T1546" s="258"/>
      <c r="U1546" s="258"/>
      <c r="V1546" s="258"/>
      <c r="W1546" s="258"/>
      <c r="X1546" s="258"/>
      <c r="Y1546" s="258"/>
      <c r="Z1546" s="258"/>
      <c r="AA1546" s="258"/>
      <c r="AB1546" s="258"/>
      <c r="AC1546" s="407"/>
    </row>
    <row r="1547" spans="2:29" s="406" customFormat="1" ht="16.5" customHeight="1">
      <c r="B1547" s="256"/>
      <c r="C1547" s="256"/>
      <c r="D1547" s="414"/>
      <c r="E1547" s="414"/>
      <c r="F1547" s="414"/>
      <c r="G1547" s="253"/>
      <c r="H1547" s="253"/>
      <c r="I1547" s="253"/>
      <c r="J1547" s="253"/>
      <c r="K1547" s="253"/>
      <c r="L1547" s="253"/>
      <c r="M1547" s="253"/>
      <c r="N1547" s="253"/>
      <c r="O1547" s="258"/>
      <c r="P1547" s="258"/>
      <c r="Q1547" s="258"/>
      <c r="R1547" s="258"/>
      <c r="S1547" s="258"/>
      <c r="T1547" s="258"/>
      <c r="U1547" s="258"/>
      <c r="V1547" s="258"/>
      <c r="W1547" s="258"/>
      <c r="X1547" s="258"/>
      <c r="Y1547" s="258"/>
      <c r="Z1547" s="258"/>
      <c r="AA1547" s="258"/>
      <c r="AB1547" s="258"/>
      <c r="AC1547" s="407"/>
    </row>
    <row r="1548" spans="2:29" s="406" customFormat="1" ht="16.5" customHeight="1">
      <c r="B1548" s="256"/>
      <c r="C1548" s="256"/>
      <c r="D1548" s="414"/>
      <c r="E1548" s="414"/>
      <c r="F1548" s="414"/>
      <c r="G1548" s="253"/>
      <c r="H1548" s="253"/>
      <c r="I1548" s="253"/>
      <c r="J1548" s="253"/>
      <c r="K1548" s="253"/>
      <c r="L1548" s="253"/>
      <c r="M1548" s="253"/>
      <c r="N1548" s="253"/>
      <c r="O1548" s="258"/>
      <c r="P1548" s="258"/>
      <c r="Q1548" s="258"/>
      <c r="R1548" s="258"/>
      <c r="S1548" s="258"/>
      <c r="T1548" s="258"/>
      <c r="U1548" s="258"/>
      <c r="V1548" s="258"/>
      <c r="W1548" s="258"/>
      <c r="X1548" s="258"/>
      <c r="Y1548" s="258"/>
      <c r="Z1548" s="258"/>
      <c r="AA1548" s="258"/>
      <c r="AB1548" s="258"/>
      <c r="AC1548" s="407"/>
    </row>
    <row r="1549" spans="2:29" s="406" customFormat="1" ht="16.5" customHeight="1">
      <c r="B1549" s="256"/>
      <c r="C1549" s="256"/>
      <c r="D1549" s="414"/>
      <c r="E1549" s="414"/>
      <c r="F1549" s="414"/>
      <c r="G1549" s="253"/>
      <c r="H1549" s="253"/>
      <c r="I1549" s="253"/>
      <c r="J1549" s="253"/>
      <c r="K1549" s="253"/>
      <c r="L1549" s="253"/>
      <c r="M1549" s="253"/>
      <c r="N1549" s="253"/>
      <c r="O1549" s="258"/>
      <c r="P1549" s="258"/>
      <c r="Q1549" s="258"/>
      <c r="R1549" s="258"/>
      <c r="S1549" s="258"/>
      <c r="T1549" s="258"/>
      <c r="U1549" s="258"/>
      <c r="V1549" s="258"/>
      <c r="W1549" s="258"/>
      <c r="X1549" s="258"/>
      <c r="Y1549" s="258"/>
      <c r="Z1549" s="258"/>
      <c r="AA1549" s="258"/>
      <c r="AB1549" s="258"/>
      <c r="AC1549" s="407"/>
    </row>
    <row r="1550" spans="2:29" s="406" customFormat="1" ht="16.5" customHeight="1">
      <c r="B1550" s="256"/>
      <c r="C1550" s="256"/>
      <c r="D1550" s="414"/>
      <c r="E1550" s="414"/>
      <c r="F1550" s="414"/>
      <c r="G1550" s="253"/>
      <c r="H1550" s="253"/>
      <c r="I1550" s="253"/>
      <c r="J1550" s="253"/>
      <c r="K1550" s="253"/>
      <c r="L1550" s="253"/>
      <c r="M1550" s="253"/>
      <c r="N1550" s="253"/>
      <c r="O1550" s="258"/>
      <c r="P1550" s="258"/>
      <c r="Q1550" s="258"/>
      <c r="R1550" s="258"/>
      <c r="S1550" s="258"/>
      <c r="T1550" s="258"/>
      <c r="U1550" s="258"/>
      <c r="V1550" s="258"/>
      <c r="W1550" s="258"/>
      <c r="X1550" s="258"/>
      <c r="Y1550" s="258"/>
      <c r="Z1550" s="258"/>
      <c r="AA1550" s="258"/>
      <c r="AB1550" s="258"/>
      <c r="AC1550" s="407"/>
    </row>
    <row r="1551" spans="2:29" s="406" customFormat="1" ht="16.5" customHeight="1">
      <c r="B1551" s="256"/>
      <c r="C1551" s="256"/>
      <c r="D1551" s="414"/>
      <c r="E1551" s="414"/>
      <c r="F1551" s="414"/>
      <c r="G1551" s="253"/>
      <c r="H1551" s="253"/>
      <c r="I1551" s="253"/>
      <c r="J1551" s="253"/>
      <c r="K1551" s="253"/>
      <c r="L1551" s="253"/>
      <c r="M1551" s="253"/>
      <c r="N1551" s="253"/>
      <c r="O1551" s="258"/>
      <c r="P1551" s="258"/>
      <c r="Q1551" s="258"/>
      <c r="R1551" s="258"/>
      <c r="S1551" s="258"/>
      <c r="T1551" s="258"/>
      <c r="U1551" s="258"/>
      <c r="V1551" s="258"/>
      <c r="W1551" s="258"/>
      <c r="X1551" s="258"/>
      <c r="Y1551" s="258"/>
      <c r="Z1551" s="258"/>
      <c r="AA1551" s="258"/>
      <c r="AB1551" s="258"/>
      <c r="AC1551" s="407"/>
    </row>
    <row r="1552" spans="2:29" s="406" customFormat="1" ht="16.5" customHeight="1">
      <c r="B1552" s="256"/>
      <c r="C1552" s="256"/>
      <c r="D1552" s="414"/>
      <c r="E1552" s="414"/>
      <c r="F1552" s="414"/>
      <c r="G1552" s="253"/>
      <c r="H1552" s="253"/>
      <c r="I1552" s="253"/>
      <c r="J1552" s="253"/>
      <c r="K1552" s="253"/>
      <c r="L1552" s="253"/>
      <c r="M1552" s="253"/>
      <c r="N1552" s="253"/>
      <c r="O1552" s="258"/>
      <c r="P1552" s="258"/>
      <c r="Q1552" s="258"/>
      <c r="R1552" s="258"/>
      <c r="S1552" s="258"/>
      <c r="T1552" s="258"/>
      <c r="U1552" s="258"/>
      <c r="V1552" s="258"/>
      <c r="W1552" s="258"/>
      <c r="X1552" s="258"/>
      <c r="Y1552" s="258"/>
      <c r="Z1552" s="258"/>
      <c r="AA1552" s="258"/>
      <c r="AB1552" s="258"/>
      <c r="AC1552" s="407"/>
    </row>
    <row r="1553" spans="2:29" s="406" customFormat="1" ht="16.5" customHeight="1">
      <c r="B1553" s="256"/>
      <c r="C1553" s="256"/>
      <c r="D1553" s="414"/>
      <c r="E1553" s="414"/>
      <c r="F1553" s="414"/>
      <c r="G1553" s="253"/>
      <c r="H1553" s="253"/>
      <c r="I1553" s="253"/>
      <c r="J1553" s="253"/>
      <c r="K1553" s="253"/>
      <c r="L1553" s="253"/>
      <c r="M1553" s="253"/>
      <c r="N1553" s="253"/>
      <c r="O1553" s="258"/>
      <c r="P1553" s="258"/>
      <c r="Q1553" s="258"/>
      <c r="R1553" s="258"/>
      <c r="S1553" s="258"/>
      <c r="T1553" s="258"/>
      <c r="U1553" s="258"/>
      <c r="V1553" s="258"/>
      <c r="W1553" s="258"/>
      <c r="X1553" s="258"/>
      <c r="Y1553" s="258"/>
      <c r="Z1553" s="258"/>
      <c r="AA1553" s="258"/>
      <c r="AB1553" s="258"/>
      <c r="AC1553" s="407"/>
    </row>
    <row r="1554" spans="2:29" s="406" customFormat="1" ht="16.5" customHeight="1">
      <c r="B1554" s="256"/>
      <c r="C1554" s="256"/>
      <c r="D1554" s="414"/>
      <c r="E1554" s="414"/>
      <c r="F1554" s="414"/>
      <c r="G1554" s="253"/>
      <c r="H1554" s="253"/>
      <c r="I1554" s="253"/>
      <c r="J1554" s="253"/>
      <c r="K1554" s="253"/>
      <c r="L1554" s="253"/>
      <c r="M1554" s="253"/>
      <c r="N1554" s="253"/>
      <c r="O1554" s="258"/>
      <c r="P1554" s="258"/>
      <c r="Q1554" s="258"/>
      <c r="R1554" s="258"/>
      <c r="S1554" s="258"/>
      <c r="T1554" s="258"/>
      <c r="U1554" s="258"/>
      <c r="V1554" s="258"/>
      <c r="W1554" s="258"/>
      <c r="X1554" s="258"/>
      <c r="Y1554" s="258"/>
      <c r="Z1554" s="258"/>
      <c r="AA1554" s="258"/>
      <c r="AB1554" s="258"/>
      <c r="AC1554" s="407"/>
    </row>
    <row r="1555" spans="2:29" s="406" customFormat="1" ht="16.5" customHeight="1">
      <c r="B1555" s="256"/>
      <c r="C1555" s="256"/>
      <c r="D1555" s="414"/>
      <c r="E1555" s="414"/>
      <c r="F1555" s="414"/>
      <c r="G1555" s="253"/>
      <c r="H1555" s="253"/>
      <c r="I1555" s="253"/>
      <c r="J1555" s="253"/>
      <c r="K1555" s="253"/>
      <c r="L1555" s="253"/>
      <c r="M1555" s="253"/>
      <c r="N1555" s="253"/>
      <c r="O1555" s="258"/>
      <c r="P1555" s="258"/>
      <c r="Q1555" s="258"/>
      <c r="R1555" s="258"/>
      <c r="S1555" s="258"/>
      <c r="T1555" s="258"/>
      <c r="U1555" s="258"/>
      <c r="V1555" s="258"/>
      <c r="W1555" s="258"/>
      <c r="X1555" s="258"/>
      <c r="Y1555" s="258"/>
      <c r="Z1555" s="258"/>
      <c r="AA1555" s="258"/>
      <c r="AB1555" s="258"/>
      <c r="AC1555" s="407"/>
    </row>
    <row r="1556" spans="2:29" s="406" customFormat="1" ht="16.5" customHeight="1">
      <c r="B1556" s="256"/>
      <c r="C1556" s="256"/>
      <c r="D1556" s="414"/>
      <c r="E1556" s="414"/>
      <c r="F1556" s="414"/>
      <c r="G1556" s="253"/>
      <c r="H1556" s="253"/>
      <c r="I1556" s="253"/>
      <c r="J1556" s="253"/>
      <c r="K1556" s="253"/>
      <c r="L1556" s="253"/>
      <c r="M1556" s="253"/>
      <c r="N1556" s="253"/>
      <c r="O1556" s="258"/>
      <c r="P1556" s="258"/>
      <c r="Q1556" s="258"/>
      <c r="R1556" s="258"/>
      <c r="S1556" s="258"/>
      <c r="T1556" s="258"/>
      <c r="U1556" s="258"/>
      <c r="V1556" s="258"/>
      <c r="W1556" s="258"/>
      <c r="X1556" s="258"/>
      <c r="Y1556" s="258"/>
      <c r="Z1556" s="258"/>
      <c r="AA1556" s="258"/>
      <c r="AB1556" s="258"/>
      <c r="AC1556" s="407"/>
    </row>
    <row r="1557" spans="2:29" s="406" customFormat="1" ht="16.5" customHeight="1">
      <c r="B1557" s="256"/>
      <c r="C1557" s="256"/>
      <c r="D1557" s="414"/>
      <c r="E1557" s="414"/>
      <c r="F1557" s="414"/>
      <c r="G1557" s="253"/>
      <c r="H1557" s="253"/>
      <c r="I1557" s="253"/>
      <c r="J1557" s="253"/>
      <c r="K1557" s="253"/>
      <c r="L1557" s="253"/>
      <c r="M1557" s="253"/>
      <c r="N1557" s="253"/>
      <c r="O1557" s="258"/>
      <c r="P1557" s="258"/>
      <c r="Q1557" s="258"/>
      <c r="R1557" s="258"/>
      <c r="S1557" s="258"/>
      <c r="T1557" s="258"/>
      <c r="U1557" s="258"/>
      <c r="V1557" s="258"/>
      <c r="W1557" s="258"/>
      <c r="X1557" s="258"/>
      <c r="Y1557" s="258"/>
      <c r="Z1557" s="258"/>
      <c r="AA1557" s="258"/>
      <c r="AB1557" s="258"/>
      <c r="AC1557" s="407"/>
    </row>
    <row r="1558" spans="2:29" s="406" customFormat="1" ht="16.5" customHeight="1">
      <c r="B1558" s="256"/>
      <c r="C1558" s="256"/>
      <c r="D1558" s="414"/>
      <c r="E1558" s="414"/>
      <c r="F1558" s="414"/>
      <c r="G1558" s="253"/>
      <c r="H1558" s="253"/>
      <c r="I1558" s="253"/>
      <c r="J1558" s="253"/>
      <c r="K1558" s="253"/>
      <c r="L1558" s="253"/>
      <c r="M1558" s="253"/>
      <c r="N1558" s="253"/>
      <c r="O1558" s="258"/>
      <c r="P1558" s="258"/>
      <c r="Q1558" s="258"/>
      <c r="R1558" s="258"/>
      <c r="S1558" s="258"/>
      <c r="T1558" s="258"/>
      <c r="U1558" s="258"/>
      <c r="V1558" s="258"/>
      <c r="W1558" s="258"/>
      <c r="X1558" s="258"/>
      <c r="Y1558" s="258"/>
      <c r="Z1558" s="258"/>
      <c r="AA1558" s="258"/>
      <c r="AB1558" s="258"/>
      <c r="AC1558" s="407"/>
    </row>
    <row r="1559" spans="2:29" s="406" customFormat="1" ht="16.5" customHeight="1">
      <c r="B1559" s="256"/>
      <c r="C1559" s="256"/>
      <c r="D1559" s="414"/>
      <c r="E1559" s="414"/>
      <c r="F1559" s="414"/>
      <c r="G1559" s="253"/>
      <c r="H1559" s="253"/>
      <c r="I1559" s="253"/>
      <c r="J1559" s="253"/>
      <c r="K1559" s="253"/>
      <c r="L1559" s="253"/>
      <c r="M1559" s="253"/>
      <c r="N1559" s="253"/>
      <c r="O1559" s="258"/>
      <c r="P1559" s="258"/>
      <c r="Q1559" s="258"/>
      <c r="R1559" s="258"/>
      <c r="S1559" s="258"/>
      <c r="T1559" s="258"/>
      <c r="U1559" s="258"/>
      <c r="V1559" s="258"/>
      <c r="W1559" s="258"/>
      <c r="X1559" s="258"/>
      <c r="Y1559" s="258"/>
      <c r="Z1559" s="258"/>
      <c r="AA1559" s="258"/>
      <c r="AB1559" s="258"/>
      <c r="AC1559" s="407"/>
    </row>
    <row r="1560" spans="2:29" s="406" customFormat="1" ht="16.5" customHeight="1">
      <c r="B1560" s="256"/>
      <c r="C1560" s="256"/>
      <c r="D1560" s="414"/>
      <c r="E1560" s="414"/>
      <c r="F1560" s="414"/>
      <c r="G1560" s="253"/>
      <c r="H1560" s="253"/>
      <c r="I1560" s="253"/>
      <c r="J1560" s="253"/>
      <c r="K1560" s="253"/>
      <c r="L1560" s="253"/>
      <c r="M1560" s="253"/>
      <c r="N1560" s="253"/>
      <c r="O1560" s="258"/>
      <c r="P1560" s="258"/>
      <c r="Q1560" s="258"/>
      <c r="R1560" s="258"/>
      <c r="S1560" s="258"/>
      <c r="T1560" s="258"/>
      <c r="U1560" s="258"/>
      <c r="V1560" s="258"/>
      <c r="W1560" s="258"/>
      <c r="X1560" s="258"/>
      <c r="Y1560" s="258"/>
      <c r="Z1560" s="258"/>
      <c r="AA1560" s="258"/>
      <c r="AB1560" s="258"/>
      <c r="AC1560" s="407"/>
    </row>
    <row r="1561" spans="2:29" s="406" customFormat="1" ht="16.5" customHeight="1">
      <c r="B1561" s="256"/>
      <c r="C1561" s="256"/>
      <c r="D1561" s="414"/>
      <c r="E1561" s="414"/>
      <c r="F1561" s="414"/>
      <c r="G1561" s="253"/>
      <c r="H1561" s="253"/>
      <c r="I1561" s="253"/>
      <c r="J1561" s="253"/>
      <c r="K1561" s="253"/>
      <c r="L1561" s="253"/>
      <c r="M1561" s="253"/>
      <c r="N1561" s="253"/>
      <c r="O1561" s="258"/>
      <c r="P1561" s="258"/>
      <c r="Q1561" s="258"/>
      <c r="R1561" s="258"/>
      <c r="S1561" s="258"/>
      <c r="T1561" s="258"/>
      <c r="U1561" s="258"/>
      <c r="V1561" s="258"/>
      <c r="W1561" s="258"/>
      <c r="X1561" s="258"/>
      <c r="Y1561" s="258"/>
      <c r="Z1561" s="258"/>
      <c r="AA1561" s="258"/>
      <c r="AB1561" s="258"/>
      <c r="AC1561" s="407"/>
    </row>
    <row r="1562" spans="2:29" s="406" customFormat="1" ht="16.5" customHeight="1">
      <c r="B1562" s="256"/>
      <c r="C1562" s="256"/>
      <c r="D1562" s="414"/>
      <c r="E1562" s="414"/>
      <c r="F1562" s="414"/>
      <c r="G1562" s="253"/>
      <c r="H1562" s="253"/>
      <c r="I1562" s="253"/>
      <c r="J1562" s="253"/>
      <c r="K1562" s="253"/>
      <c r="L1562" s="253"/>
      <c r="M1562" s="253"/>
      <c r="N1562" s="253"/>
      <c r="O1562" s="258"/>
      <c r="P1562" s="258"/>
      <c r="Q1562" s="258"/>
      <c r="R1562" s="258"/>
      <c r="S1562" s="258"/>
      <c r="T1562" s="258"/>
      <c r="U1562" s="258"/>
      <c r="V1562" s="258"/>
      <c r="W1562" s="258"/>
      <c r="X1562" s="258"/>
      <c r="Y1562" s="258"/>
      <c r="Z1562" s="258"/>
      <c r="AA1562" s="258"/>
      <c r="AB1562" s="258"/>
      <c r="AC1562" s="407"/>
    </row>
    <row r="1563" spans="2:29" s="406" customFormat="1" ht="16.5" customHeight="1">
      <c r="B1563" s="256"/>
      <c r="C1563" s="256"/>
      <c r="D1563" s="414"/>
      <c r="E1563" s="414"/>
      <c r="F1563" s="414"/>
      <c r="G1563" s="253"/>
      <c r="H1563" s="253"/>
      <c r="I1563" s="253"/>
      <c r="J1563" s="253"/>
      <c r="K1563" s="253"/>
      <c r="L1563" s="253"/>
      <c r="M1563" s="253"/>
      <c r="N1563" s="253"/>
      <c r="O1563" s="258"/>
      <c r="P1563" s="258"/>
      <c r="Q1563" s="258"/>
      <c r="R1563" s="258"/>
      <c r="S1563" s="258"/>
      <c r="T1563" s="258"/>
      <c r="U1563" s="258"/>
      <c r="V1563" s="258"/>
      <c r="W1563" s="258"/>
      <c r="X1563" s="258"/>
      <c r="Y1563" s="258"/>
      <c r="Z1563" s="258"/>
      <c r="AA1563" s="258"/>
      <c r="AB1563" s="258"/>
      <c r="AC1563" s="407"/>
    </row>
    <row r="1564" spans="2:29" s="406" customFormat="1" ht="16.5" customHeight="1">
      <c r="B1564" s="256"/>
      <c r="C1564" s="256"/>
      <c r="D1564" s="414"/>
      <c r="E1564" s="414"/>
      <c r="F1564" s="414"/>
      <c r="G1564" s="253"/>
      <c r="H1564" s="253"/>
      <c r="I1564" s="253"/>
      <c r="J1564" s="253"/>
      <c r="K1564" s="253"/>
      <c r="L1564" s="253"/>
      <c r="M1564" s="253"/>
      <c r="N1564" s="253"/>
      <c r="O1564" s="258"/>
      <c r="P1564" s="258"/>
      <c r="Q1564" s="258"/>
      <c r="R1564" s="258"/>
      <c r="S1564" s="258"/>
      <c r="T1564" s="258"/>
      <c r="U1564" s="258"/>
      <c r="V1564" s="258"/>
      <c r="W1564" s="258"/>
      <c r="X1564" s="258"/>
      <c r="Y1564" s="258"/>
      <c r="Z1564" s="258"/>
      <c r="AA1564" s="258"/>
      <c r="AB1564" s="258"/>
      <c r="AC1564" s="407"/>
    </row>
    <row r="1565" spans="2:29" s="406" customFormat="1" ht="16.5" customHeight="1">
      <c r="B1565" s="256"/>
      <c r="C1565" s="256"/>
      <c r="D1565" s="414"/>
      <c r="E1565" s="414"/>
      <c r="F1565" s="414"/>
      <c r="G1565" s="253"/>
      <c r="H1565" s="253"/>
      <c r="I1565" s="253"/>
      <c r="J1565" s="253"/>
      <c r="K1565" s="253"/>
      <c r="L1565" s="253"/>
      <c r="M1565" s="253"/>
      <c r="N1565" s="253"/>
      <c r="O1565" s="258"/>
      <c r="P1565" s="258"/>
      <c r="Q1565" s="258"/>
      <c r="R1565" s="258"/>
      <c r="S1565" s="258"/>
      <c r="T1565" s="258"/>
      <c r="U1565" s="258"/>
      <c r="V1565" s="258"/>
      <c r="W1565" s="258"/>
      <c r="X1565" s="258"/>
      <c r="Y1565" s="258"/>
      <c r="Z1565" s="258"/>
      <c r="AA1565" s="258"/>
      <c r="AB1565" s="258"/>
      <c r="AC1565" s="407"/>
    </row>
    <row r="1566" spans="2:29" s="406" customFormat="1" ht="16.5" customHeight="1">
      <c r="B1566" s="256"/>
      <c r="C1566" s="256"/>
      <c r="D1566" s="414"/>
      <c r="E1566" s="414"/>
      <c r="F1566" s="414"/>
      <c r="G1566" s="253"/>
      <c r="H1566" s="253"/>
      <c r="I1566" s="253"/>
      <c r="J1566" s="253"/>
      <c r="K1566" s="253"/>
      <c r="L1566" s="253"/>
      <c r="M1566" s="253"/>
      <c r="N1566" s="253"/>
      <c r="O1566" s="258"/>
      <c r="P1566" s="258"/>
      <c r="Q1566" s="258"/>
      <c r="R1566" s="258"/>
      <c r="S1566" s="258"/>
      <c r="T1566" s="258"/>
      <c r="U1566" s="258"/>
      <c r="V1566" s="258"/>
      <c r="W1566" s="258"/>
      <c r="X1566" s="258"/>
      <c r="Y1566" s="258"/>
      <c r="Z1566" s="258"/>
      <c r="AA1566" s="258"/>
      <c r="AB1566" s="258"/>
      <c r="AC1566" s="407"/>
    </row>
    <row r="1567" spans="2:29" s="406" customFormat="1" ht="16.5" customHeight="1">
      <c r="B1567" s="256"/>
      <c r="C1567" s="256"/>
      <c r="D1567" s="414"/>
      <c r="E1567" s="414"/>
      <c r="F1567" s="414"/>
      <c r="G1567" s="253"/>
      <c r="H1567" s="253"/>
      <c r="I1567" s="253"/>
      <c r="J1567" s="253"/>
      <c r="K1567" s="253"/>
      <c r="L1567" s="253"/>
      <c r="M1567" s="253"/>
      <c r="N1567" s="253"/>
      <c r="O1567" s="258"/>
      <c r="P1567" s="258"/>
      <c r="Q1567" s="258"/>
      <c r="R1567" s="258"/>
      <c r="S1567" s="258"/>
      <c r="T1567" s="258"/>
      <c r="U1567" s="258"/>
      <c r="V1567" s="258"/>
      <c r="W1567" s="258"/>
      <c r="X1567" s="258"/>
      <c r="Y1567" s="258"/>
      <c r="Z1567" s="258"/>
      <c r="AA1567" s="258"/>
      <c r="AB1567" s="258"/>
      <c r="AC1567" s="407"/>
    </row>
    <row r="1568" spans="2:29" s="406" customFormat="1" ht="16.5" customHeight="1">
      <c r="B1568" s="256"/>
      <c r="C1568" s="256"/>
      <c r="D1568" s="414"/>
      <c r="E1568" s="414"/>
      <c r="F1568" s="414"/>
      <c r="G1568" s="253"/>
      <c r="H1568" s="253"/>
      <c r="I1568" s="253"/>
      <c r="J1568" s="253"/>
      <c r="K1568" s="253"/>
      <c r="L1568" s="253"/>
      <c r="M1568" s="253"/>
      <c r="N1568" s="253"/>
      <c r="O1568" s="258"/>
      <c r="P1568" s="258"/>
      <c r="Q1568" s="258"/>
      <c r="R1568" s="258"/>
      <c r="S1568" s="258"/>
      <c r="T1568" s="258"/>
      <c r="U1568" s="258"/>
      <c r="V1568" s="258"/>
      <c r="W1568" s="258"/>
      <c r="X1568" s="258"/>
      <c r="Y1568" s="258"/>
      <c r="Z1568" s="258"/>
      <c r="AA1568" s="258"/>
      <c r="AB1568" s="258"/>
      <c r="AC1568" s="407"/>
    </row>
    <row r="1569" spans="2:29" s="406" customFormat="1" ht="16.5" customHeight="1">
      <c r="B1569" s="256"/>
      <c r="C1569" s="256"/>
      <c r="D1569" s="414"/>
      <c r="E1569" s="414"/>
      <c r="F1569" s="414"/>
      <c r="G1569" s="253"/>
      <c r="H1569" s="253"/>
      <c r="I1569" s="253"/>
      <c r="J1569" s="253"/>
      <c r="K1569" s="253"/>
      <c r="L1569" s="253"/>
      <c r="M1569" s="253"/>
      <c r="N1569" s="253"/>
      <c r="O1569" s="258"/>
      <c r="P1569" s="258"/>
      <c r="Q1569" s="258"/>
      <c r="R1569" s="258"/>
      <c r="S1569" s="258"/>
      <c r="T1569" s="258"/>
      <c r="U1569" s="258"/>
      <c r="V1569" s="258"/>
      <c r="W1569" s="258"/>
      <c r="X1569" s="258"/>
      <c r="Y1569" s="258"/>
      <c r="Z1569" s="258"/>
      <c r="AA1569" s="258"/>
      <c r="AB1569" s="258"/>
      <c r="AC1569" s="407"/>
    </row>
    <row r="1570" spans="2:29" s="406" customFormat="1" ht="16.5" customHeight="1">
      <c r="B1570" s="256"/>
      <c r="C1570" s="256"/>
      <c r="D1570" s="414"/>
      <c r="E1570" s="414"/>
      <c r="F1570" s="414"/>
      <c r="G1570" s="253"/>
      <c r="H1570" s="253"/>
      <c r="I1570" s="253"/>
      <c r="J1570" s="253"/>
      <c r="K1570" s="253"/>
      <c r="L1570" s="253"/>
      <c r="M1570" s="253"/>
      <c r="N1570" s="253"/>
      <c r="O1570" s="258"/>
      <c r="P1570" s="258"/>
      <c r="Q1570" s="258"/>
      <c r="R1570" s="258"/>
      <c r="S1570" s="258"/>
      <c r="T1570" s="258"/>
      <c r="U1570" s="258"/>
      <c r="V1570" s="258"/>
      <c r="W1570" s="258"/>
      <c r="X1570" s="258"/>
      <c r="Y1570" s="258"/>
      <c r="Z1570" s="258"/>
      <c r="AA1570" s="258"/>
      <c r="AB1570" s="258"/>
      <c r="AC1570" s="407"/>
    </row>
    <row r="1571" spans="2:29" s="406" customFormat="1" ht="16.5" customHeight="1">
      <c r="B1571" s="256"/>
      <c r="C1571" s="256"/>
      <c r="D1571" s="414"/>
      <c r="E1571" s="414"/>
      <c r="F1571" s="414"/>
      <c r="G1571" s="253"/>
      <c r="H1571" s="253"/>
      <c r="I1571" s="253"/>
      <c r="J1571" s="253"/>
      <c r="K1571" s="253"/>
      <c r="L1571" s="253"/>
      <c r="M1571" s="253"/>
      <c r="N1571" s="253"/>
      <c r="O1571" s="258"/>
      <c r="P1571" s="258"/>
      <c r="Q1571" s="258"/>
      <c r="R1571" s="258"/>
      <c r="S1571" s="258"/>
      <c r="T1571" s="258"/>
      <c r="U1571" s="258"/>
      <c r="V1571" s="258"/>
      <c r="W1571" s="258"/>
      <c r="X1571" s="258"/>
      <c r="Y1571" s="258"/>
      <c r="Z1571" s="258"/>
      <c r="AA1571" s="258"/>
      <c r="AB1571" s="258"/>
      <c r="AC1571" s="407"/>
    </row>
    <row r="1572" spans="2:29" s="406" customFormat="1" ht="16.5" customHeight="1">
      <c r="B1572" s="256"/>
      <c r="C1572" s="256"/>
      <c r="D1572" s="414"/>
      <c r="E1572" s="414"/>
      <c r="F1572" s="414"/>
      <c r="G1572" s="253"/>
      <c r="H1572" s="253"/>
      <c r="I1572" s="253"/>
      <c r="J1572" s="253"/>
      <c r="K1572" s="253"/>
      <c r="L1572" s="253"/>
      <c r="M1572" s="253"/>
      <c r="N1572" s="253"/>
      <c r="O1572" s="258"/>
      <c r="P1572" s="258"/>
      <c r="Q1572" s="258"/>
      <c r="R1572" s="258"/>
      <c r="S1572" s="258"/>
      <c r="T1572" s="258"/>
      <c r="U1572" s="258"/>
      <c r="V1572" s="258"/>
      <c r="W1572" s="258"/>
      <c r="X1572" s="258"/>
      <c r="Y1572" s="258"/>
      <c r="Z1572" s="258"/>
      <c r="AA1572" s="258"/>
      <c r="AB1572" s="258"/>
      <c r="AC1572" s="407"/>
    </row>
    <row r="1573" spans="2:29" s="406" customFormat="1" ht="16.5" customHeight="1">
      <c r="B1573" s="256"/>
      <c r="C1573" s="256"/>
      <c r="D1573" s="414"/>
      <c r="E1573" s="414"/>
      <c r="F1573" s="414"/>
      <c r="G1573" s="253"/>
      <c r="H1573" s="253"/>
      <c r="I1573" s="253"/>
      <c r="J1573" s="253"/>
      <c r="K1573" s="253"/>
      <c r="L1573" s="253"/>
      <c r="M1573" s="253"/>
      <c r="N1573" s="253"/>
      <c r="O1573" s="258"/>
      <c r="P1573" s="258"/>
      <c r="Q1573" s="258"/>
      <c r="R1573" s="258"/>
      <c r="S1573" s="258"/>
      <c r="T1573" s="258"/>
      <c r="U1573" s="258"/>
      <c r="V1573" s="258"/>
      <c r="W1573" s="258"/>
      <c r="X1573" s="258"/>
      <c r="Y1573" s="258"/>
      <c r="Z1573" s="258"/>
      <c r="AA1573" s="258"/>
      <c r="AB1573" s="258"/>
      <c r="AC1573" s="407"/>
    </row>
    <row r="1574" spans="2:29" s="406" customFormat="1" ht="16.5" customHeight="1">
      <c r="B1574" s="256"/>
      <c r="C1574" s="256"/>
      <c r="D1574" s="414"/>
      <c r="E1574" s="414"/>
      <c r="F1574" s="414"/>
      <c r="G1574" s="253"/>
      <c r="H1574" s="253"/>
      <c r="I1574" s="253"/>
      <c r="J1574" s="253"/>
      <c r="K1574" s="253"/>
      <c r="L1574" s="253"/>
      <c r="M1574" s="253"/>
      <c r="N1574" s="253"/>
      <c r="O1574" s="258"/>
      <c r="P1574" s="258"/>
      <c r="Q1574" s="258"/>
      <c r="R1574" s="258"/>
      <c r="S1574" s="258"/>
      <c r="T1574" s="258"/>
      <c r="U1574" s="258"/>
      <c r="V1574" s="258"/>
      <c r="W1574" s="258"/>
      <c r="X1574" s="258"/>
      <c r="Y1574" s="258"/>
      <c r="Z1574" s="258"/>
      <c r="AA1574" s="258"/>
      <c r="AB1574" s="258"/>
      <c r="AC1574" s="407"/>
    </row>
    <row r="1575" spans="2:29" s="406" customFormat="1" ht="16.5" customHeight="1">
      <c r="B1575" s="256"/>
      <c r="C1575" s="256"/>
      <c r="D1575" s="414"/>
      <c r="E1575" s="414"/>
      <c r="F1575" s="414"/>
      <c r="G1575" s="253"/>
      <c r="H1575" s="253"/>
      <c r="I1575" s="253"/>
      <c r="J1575" s="253"/>
      <c r="K1575" s="253"/>
      <c r="L1575" s="253"/>
      <c r="M1575" s="253"/>
      <c r="N1575" s="253"/>
      <c r="O1575" s="258"/>
      <c r="P1575" s="258"/>
      <c r="Q1575" s="258"/>
      <c r="R1575" s="258"/>
      <c r="S1575" s="258"/>
      <c r="T1575" s="258"/>
      <c r="U1575" s="258"/>
      <c r="V1575" s="258"/>
      <c r="W1575" s="258"/>
      <c r="X1575" s="258"/>
      <c r="Y1575" s="258"/>
      <c r="Z1575" s="258"/>
      <c r="AA1575" s="258"/>
      <c r="AB1575" s="258"/>
      <c r="AC1575" s="407"/>
    </row>
    <row r="1576" spans="2:29" s="406" customFormat="1" ht="16.5" customHeight="1">
      <c r="B1576" s="256"/>
      <c r="C1576" s="256"/>
      <c r="D1576" s="414"/>
      <c r="E1576" s="414"/>
      <c r="F1576" s="414"/>
      <c r="G1576" s="253"/>
      <c r="H1576" s="253"/>
      <c r="I1576" s="253"/>
      <c r="J1576" s="253"/>
      <c r="K1576" s="253"/>
      <c r="L1576" s="253"/>
      <c r="M1576" s="253"/>
      <c r="N1576" s="253"/>
      <c r="O1576" s="258"/>
      <c r="P1576" s="258"/>
      <c r="Q1576" s="258"/>
      <c r="R1576" s="258"/>
      <c r="S1576" s="258"/>
      <c r="T1576" s="258"/>
      <c r="U1576" s="258"/>
      <c r="V1576" s="258"/>
      <c r="W1576" s="258"/>
      <c r="X1576" s="258"/>
      <c r="Y1576" s="258"/>
      <c r="Z1576" s="258"/>
      <c r="AA1576" s="258"/>
      <c r="AB1576" s="258"/>
      <c r="AC1576" s="407"/>
    </row>
    <row r="1577" spans="2:29" s="406" customFormat="1" ht="16.5" customHeight="1">
      <c r="B1577" s="256"/>
      <c r="C1577" s="256"/>
      <c r="D1577" s="414"/>
      <c r="E1577" s="414"/>
      <c r="F1577" s="414"/>
      <c r="G1577" s="253"/>
      <c r="H1577" s="253"/>
      <c r="I1577" s="253"/>
      <c r="J1577" s="253"/>
      <c r="K1577" s="253"/>
      <c r="L1577" s="253"/>
      <c r="M1577" s="253"/>
      <c r="N1577" s="253"/>
      <c r="O1577" s="258"/>
      <c r="P1577" s="258"/>
      <c r="Q1577" s="258"/>
      <c r="R1577" s="258"/>
      <c r="S1577" s="258"/>
      <c r="T1577" s="258"/>
      <c r="U1577" s="258"/>
      <c r="V1577" s="258"/>
      <c r="W1577" s="258"/>
      <c r="X1577" s="258"/>
      <c r="Y1577" s="258"/>
      <c r="Z1577" s="258"/>
      <c r="AA1577" s="258"/>
      <c r="AB1577" s="258"/>
      <c r="AC1577" s="407"/>
    </row>
    <row r="1578" spans="2:29" s="406" customFormat="1" ht="16.5" customHeight="1">
      <c r="B1578" s="256"/>
      <c r="C1578" s="256"/>
      <c r="D1578" s="414"/>
      <c r="E1578" s="414"/>
      <c r="F1578" s="414"/>
      <c r="G1578" s="253"/>
      <c r="H1578" s="253"/>
      <c r="I1578" s="253"/>
      <c r="J1578" s="253"/>
      <c r="K1578" s="253"/>
      <c r="L1578" s="253"/>
      <c r="M1578" s="253"/>
      <c r="N1578" s="253"/>
      <c r="O1578" s="258"/>
      <c r="P1578" s="258"/>
      <c r="Q1578" s="258"/>
      <c r="R1578" s="258"/>
      <c r="S1578" s="258"/>
      <c r="T1578" s="258"/>
      <c r="U1578" s="258"/>
      <c r="V1578" s="258"/>
      <c r="W1578" s="258"/>
      <c r="X1578" s="258"/>
      <c r="Y1578" s="258"/>
      <c r="Z1578" s="258"/>
      <c r="AA1578" s="258"/>
      <c r="AB1578" s="258"/>
      <c r="AC1578" s="407"/>
    </row>
    <row r="1579" spans="2:29" s="406" customFormat="1" ht="16.5" customHeight="1">
      <c r="B1579" s="256"/>
      <c r="C1579" s="256"/>
      <c r="D1579" s="414"/>
      <c r="E1579" s="414"/>
      <c r="F1579" s="414"/>
      <c r="G1579" s="253"/>
      <c r="H1579" s="253"/>
      <c r="I1579" s="253"/>
      <c r="J1579" s="253"/>
      <c r="K1579" s="253"/>
      <c r="L1579" s="253"/>
      <c r="M1579" s="253"/>
      <c r="N1579" s="253"/>
      <c r="O1579" s="258"/>
      <c r="P1579" s="258"/>
      <c r="Q1579" s="258"/>
      <c r="R1579" s="258"/>
      <c r="S1579" s="258"/>
      <c r="T1579" s="258"/>
      <c r="U1579" s="258"/>
      <c r="V1579" s="258"/>
      <c r="W1579" s="258"/>
      <c r="X1579" s="258"/>
      <c r="Y1579" s="258"/>
      <c r="Z1579" s="258"/>
      <c r="AA1579" s="258"/>
      <c r="AB1579" s="258"/>
      <c r="AC1579" s="407"/>
    </row>
    <row r="1580" spans="2:29" s="406" customFormat="1" ht="16.5" customHeight="1">
      <c r="B1580" s="256"/>
      <c r="C1580" s="256"/>
      <c r="D1580" s="414"/>
      <c r="E1580" s="414"/>
      <c r="F1580" s="414"/>
      <c r="G1580" s="253"/>
      <c r="H1580" s="253"/>
      <c r="I1580" s="253"/>
      <c r="J1580" s="253"/>
      <c r="K1580" s="253"/>
      <c r="L1580" s="253"/>
      <c r="M1580" s="253"/>
      <c r="N1580" s="253"/>
      <c r="O1580" s="258"/>
      <c r="P1580" s="258"/>
      <c r="Q1580" s="258"/>
      <c r="R1580" s="258"/>
      <c r="S1580" s="258"/>
      <c r="T1580" s="258"/>
      <c r="U1580" s="258"/>
      <c r="V1580" s="258"/>
      <c r="W1580" s="258"/>
      <c r="X1580" s="258"/>
      <c r="Y1580" s="258"/>
      <c r="Z1580" s="258"/>
      <c r="AA1580" s="258"/>
      <c r="AB1580" s="258"/>
      <c r="AC1580" s="407"/>
    </row>
    <row r="1581" spans="2:29" s="406" customFormat="1" ht="16.5" customHeight="1">
      <c r="B1581" s="256"/>
      <c r="C1581" s="256"/>
      <c r="D1581" s="414"/>
      <c r="E1581" s="414"/>
      <c r="F1581" s="414"/>
      <c r="G1581" s="253"/>
      <c r="H1581" s="253"/>
      <c r="I1581" s="253"/>
      <c r="J1581" s="253"/>
      <c r="K1581" s="253"/>
      <c r="L1581" s="253"/>
      <c r="M1581" s="253"/>
      <c r="N1581" s="253"/>
      <c r="O1581" s="258"/>
      <c r="P1581" s="258"/>
      <c r="Q1581" s="258"/>
      <c r="R1581" s="258"/>
      <c r="S1581" s="258"/>
      <c r="T1581" s="258"/>
      <c r="U1581" s="258"/>
      <c r="V1581" s="258"/>
      <c r="W1581" s="258"/>
      <c r="X1581" s="258"/>
      <c r="Y1581" s="258"/>
      <c r="Z1581" s="258"/>
      <c r="AA1581" s="258"/>
      <c r="AB1581" s="258"/>
      <c r="AC1581" s="407"/>
    </row>
    <row r="1582" spans="2:29" s="406" customFormat="1" ht="16.5" customHeight="1">
      <c r="B1582" s="256"/>
      <c r="C1582" s="256"/>
      <c r="D1582" s="414"/>
      <c r="E1582" s="414"/>
      <c r="F1582" s="414"/>
      <c r="G1582" s="253"/>
      <c r="H1582" s="253"/>
      <c r="I1582" s="253"/>
      <c r="J1582" s="253"/>
      <c r="K1582" s="253"/>
      <c r="L1582" s="253"/>
      <c r="M1582" s="253"/>
      <c r="N1582" s="253"/>
      <c r="O1582" s="258"/>
      <c r="P1582" s="258"/>
      <c r="Q1582" s="258"/>
      <c r="R1582" s="258"/>
      <c r="S1582" s="258"/>
      <c r="T1582" s="258"/>
      <c r="U1582" s="258"/>
      <c r="V1582" s="258"/>
      <c r="W1582" s="258"/>
      <c r="X1582" s="258"/>
      <c r="Y1582" s="258"/>
      <c r="Z1582" s="258"/>
      <c r="AA1582" s="258"/>
      <c r="AB1582" s="258"/>
      <c r="AC1582" s="407"/>
    </row>
    <row r="1583" spans="2:29" s="406" customFormat="1" ht="16.5" customHeight="1">
      <c r="B1583" s="256"/>
      <c r="C1583" s="256"/>
      <c r="D1583" s="414"/>
      <c r="E1583" s="414"/>
      <c r="F1583" s="414"/>
      <c r="G1583" s="253"/>
      <c r="H1583" s="253"/>
      <c r="I1583" s="253"/>
      <c r="J1583" s="253"/>
      <c r="K1583" s="253"/>
      <c r="L1583" s="253"/>
      <c r="M1583" s="253"/>
      <c r="N1583" s="253"/>
      <c r="O1583" s="258"/>
      <c r="P1583" s="258"/>
      <c r="Q1583" s="258"/>
      <c r="R1583" s="258"/>
      <c r="S1583" s="258"/>
      <c r="T1583" s="258"/>
      <c r="U1583" s="258"/>
      <c r="V1583" s="258"/>
      <c r="W1583" s="258"/>
      <c r="X1583" s="258"/>
      <c r="Y1583" s="258"/>
      <c r="Z1583" s="258"/>
      <c r="AA1583" s="258"/>
      <c r="AB1583" s="258"/>
      <c r="AC1583" s="407"/>
    </row>
    <row r="1584" spans="2:29" s="406" customFormat="1" ht="16.5" customHeight="1">
      <c r="B1584" s="256"/>
      <c r="C1584" s="256"/>
      <c r="D1584" s="414"/>
      <c r="E1584" s="414"/>
      <c r="F1584" s="414"/>
      <c r="G1584" s="253"/>
      <c r="H1584" s="253"/>
      <c r="I1584" s="253"/>
      <c r="J1584" s="253"/>
      <c r="K1584" s="253"/>
      <c r="L1584" s="253"/>
      <c r="M1584" s="253"/>
      <c r="N1584" s="253"/>
      <c r="O1584" s="258"/>
      <c r="P1584" s="258"/>
      <c r="Q1584" s="258"/>
      <c r="R1584" s="258"/>
      <c r="S1584" s="258"/>
      <c r="T1584" s="258"/>
      <c r="U1584" s="258"/>
      <c r="V1584" s="258"/>
      <c r="W1584" s="258"/>
      <c r="X1584" s="258"/>
      <c r="Y1584" s="258"/>
      <c r="Z1584" s="258"/>
      <c r="AA1584" s="258"/>
      <c r="AB1584" s="258"/>
      <c r="AC1584" s="407"/>
    </row>
    <row r="1585" spans="2:29" s="406" customFormat="1" ht="16.5" customHeight="1">
      <c r="B1585" s="256"/>
      <c r="C1585" s="256"/>
      <c r="D1585" s="414"/>
      <c r="E1585" s="414"/>
      <c r="F1585" s="414"/>
      <c r="G1585" s="253"/>
      <c r="H1585" s="253"/>
      <c r="I1585" s="253"/>
      <c r="J1585" s="253"/>
      <c r="K1585" s="253"/>
      <c r="L1585" s="253"/>
      <c r="M1585" s="253"/>
      <c r="N1585" s="253"/>
      <c r="O1585" s="258"/>
      <c r="P1585" s="258"/>
      <c r="Q1585" s="258"/>
      <c r="R1585" s="258"/>
      <c r="S1585" s="258"/>
      <c r="T1585" s="258"/>
      <c r="U1585" s="258"/>
      <c r="V1585" s="258"/>
      <c r="W1585" s="258"/>
      <c r="X1585" s="258"/>
      <c r="Y1585" s="258"/>
      <c r="Z1585" s="258"/>
      <c r="AA1585" s="258"/>
      <c r="AB1585" s="258"/>
      <c r="AC1585" s="407"/>
    </row>
    <row r="1586" spans="2:29" s="406" customFormat="1" ht="16.5" customHeight="1">
      <c r="B1586" s="256"/>
      <c r="C1586" s="256"/>
      <c r="D1586" s="414"/>
      <c r="E1586" s="414"/>
      <c r="F1586" s="414"/>
      <c r="G1586" s="253"/>
      <c r="H1586" s="253"/>
      <c r="I1586" s="253"/>
      <c r="J1586" s="253"/>
      <c r="K1586" s="253"/>
      <c r="L1586" s="253"/>
      <c r="M1586" s="253"/>
      <c r="N1586" s="253"/>
      <c r="O1586" s="258"/>
      <c r="P1586" s="258"/>
      <c r="Q1586" s="258"/>
      <c r="R1586" s="258"/>
      <c r="S1586" s="258"/>
      <c r="T1586" s="258"/>
      <c r="U1586" s="258"/>
      <c r="V1586" s="258"/>
      <c r="W1586" s="258"/>
      <c r="X1586" s="258"/>
      <c r="Y1586" s="258"/>
      <c r="Z1586" s="258"/>
      <c r="AA1586" s="258"/>
      <c r="AB1586" s="258"/>
      <c r="AC1586" s="407"/>
    </row>
    <row r="1587" spans="2:29" s="406" customFormat="1" ht="16.5" customHeight="1">
      <c r="B1587" s="256"/>
      <c r="C1587" s="256"/>
      <c r="D1587" s="414"/>
      <c r="E1587" s="414"/>
      <c r="F1587" s="414"/>
      <c r="G1587" s="253"/>
      <c r="H1587" s="253"/>
      <c r="I1587" s="253"/>
      <c r="J1587" s="253"/>
      <c r="K1587" s="253"/>
      <c r="L1587" s="253"/>
      <c r="M1587" s="253"/>
      <c r="N1587" s="253"/>
      <c r="O1587" s="258"/>
      <c r="P1587" s="258"/>
      <c r="Q1587" s="258"/>
      <c r="R1587" s="258"/>
      <c r="S1587" s="258"/>
      <c r="T1587" s="258"/>
      <c r="U1587" s="258"/>
      <c r="V1587" s="258"/>
      <c r="W1587" s="258"/>
      <c r="X1587" s="258"/>
      <c r="Y1587" s="258"/>
      <c r="Z1587" s="258"/>
      <c r="AA1587" s="258"/>
      <c r="AB1587" s="258"/>
      <c r="AC1587" s="407"/>
    </row>
    <row r="1588" spans="2:29" s="406" customFormat="1" ht="16.5" customHeight="1">
      <c r="B1588" s="256"/>
      <c r="C1588" s="256"/>
      <c r="D1588" s="414"/>
      <c r="E1588" s="414"/>
      <c r="F1588" s="414"/>
      <c r="G1588" s="253"/>
      <c r="H1588" s="253"/>
      <c r="I1588" s="253"/>
      <c r="J1588" s="253"/>
      <c r="K1588" s="253"/>
      <c r="L1588" s="253"/>
      <c r="M1588" s="253"/>
      <c r="N1588" s="253"/>
      <c r="O1588" s="258"/>
      <c r="P1588" s="258"/>
      <c r="Q1588" s="258"/>
      <c r="R1588" s="258"/>
      <c r="S1588" s="258"/>
      <c r="T1588" s="258"/>
      <c r="U1588" s="258"/>
      <c r="V1588" s="258"/>
      <c r="W1588" s="258"/>
      <c r="X1588" s="258"/>
      <c r="Y1588" s="258"/>
      <c r="Z1588" s="258"/>
      <c r="AA1588" s="258"/>
      <c r="AB1588" s="258"/>
      <c r="AC1588" s="407"/>
    </row>
    <row r="1589" spans="2:29" s="406" customFormat="1" ht="16.5" customHeight="1">
      <c r="B1589" s="256"/>
      <c r="C1589" s="256"/>
      <c r="D1589" s="414"/>
      <c r="E1589" s="414"/>
      <c r="F1589" s="414"/>
      <c r="G1589" s="253"/>
      <c r="H1589" s="253"/>
      <c r="I1589" s="253"/>
      <c r="J1589" s="253"/>
      <c r="K1589" s="253"/>
      <c r="L1589" s="253"/>
      <c r="M1589" s="253"/>
      <c r="N1589" s="253"/>
      <c r="O1589" s="258"/>
      <c r="P1589" s="258"/>
      <c r="Q1589" s="258"/>
      <c r="R1589" s="258"/>
      <c r="S1589" s="258"/>
      <c r="T1589" s="258"/>
      <c r="U1589" s="258"/>
      <c r="V1589" s="258"/>
      <c r="W1589" s="258"/>
      <c r="X1589" s="258"/>
      <c r="Y1589" s="258"/>
      <c r="Z1589" s="258"/>
      <c r="AA1589" s="258"/>
      <c r="AB1589" s="258"/>
      <c r="AC1589" s="407"/>
    </row>
    <row r="1590" spans="2:29" s="406" customFormat="1" ht="16.5" customHeight="1">
      <c r="B1590" s="256"/>
      <c r="C1590" s="256"/>
      <c r="D1590" s="414"/>
      <c r="E1590" s="414"/>
      <c r="F1590" s="414"/>
      <c r="G1590" s="253"/>
      <c r="H1590" s="253"/>
      <c r="I1590" s="253"/>
      <c r="J1590" s="253"/>
      <c r="K1590" s="253"/>
      <c r="L1590" s="253"/>
      <c r="M1590" s="253"/>
      <c r="N1590" s="253"/>
      <c r="O1590" s="258"/>
      <c r="P1590" s="258"/>
      <c r="Q1590" s="258"/>
      <c r="R1590" s="258"/>
      <c r="S1590" s="258"/>
      <c r="T1590" s="258"/>
      <c r="U1590" s="258"/>
      <c r="V1590" s="258"/>
      <c r="W1590" s="258"/>
      <c r="X1590" s="258"/>
      <c r="Y1590" s="258"/>
      <c r="Z1590" s="258"/>
      <c r="AA1590" s="258"/>
      <c r="AB1590" s="258"/>
      <c r="AC1590" s="407"/>
    </row>
    <row r="1591" spans="2:29" s="406" customFormat="1" ht="16.5" customHeight="1">
      <c r="B1591" s="256"/>
      <c r="C1591" s="256"/>
      <c r="D1591" s="414"/>
      <c r="E1591" s="414"/>
      <c r="F1591" s="414"/>
      <c r="G1591" s="253"/>
      <c r="H1591" s="253"/>
      <c r="I1591" s="253"/>
      <c r="J1591" s="253"/>
      <c r="K1591" s="253"/>
      <c r="L1591" s="253"/>
      <c r="M1591" s="253"/>
      <c r="N1591" s="253"/>
      <c r="O1591" s="258"/>
      <c r="P1591" s="258"/>
      <c r="Q1591" s="258"/>
      <c r="R1591" s="258"/>
      <c r="S1591" s="258"/>
      <c r="T1591" s="258"/>
      <c r="U1591" s="258"/>
      <c r="V1591" s="258"/>
      <c r="W1591" s="258"/>
      <c r="X1591" s="258"/>
      <c r="Y1591" s="258"/>
      <c r="Z1591" s="258"/>
      <c r="AA1591" s="258"/>
      <c r="AB1591" s="258"/>
      <c r="AC1591" s="407"/>
    </row>
    <row r="1592" spans="2:29" s="406" customFormat="1" ht="16.5" customHeight="1">
      <c r="B1592" s="256"/>
      <c r="C1592" s="256"/>
      <c r="D1592" s="414"/>
      <c r="E1592" s="414"/>
      <c r="F1592" s="414"/>
      <c r="G1592" s="253"/>
      <c r="H1592" s="253"/>
      <c r="I1592" s="253"/>
      <c r="J1592" s="253"/>
      <c r="K1592" s="253"/>
      <c r="L1592" s="253"/>
      <c r="M1592" s="253"/>
      <c r="N1592" s="253"/>
      <c r="O1592" s="258"/>
      <c r="P1592" s="258"/>
      <c r="Q1592" s="258"/>
      <c r="R1592" s="258"/>
      <c r="S1592" s="258"/>
      <c r="T1592" s="258"/>
      <c r="U1592" s="258"/>
      <c r="V1592" s="258"/>
      <c r="W1592" s="258"/>
      <c r="X1592" s="258"/>
      <c r="Y1592" s="258"/>
      <c r="Z1592" s="258"/>
      <c r="AA1592" s="258"/>
      <c r="AB1592" s="258"/>
      <c r="AC1592" s="407"/>
    </row>
    <row r="1593" spans="2:29" s="406" customFormat="1" ht="16.5" customHeight="1">
      <c r="B1593" s="256"/>
      <c r="C1593" s="256"/>
      <c r="D1593" s="414"/>
      <c r="E1593" s="414"/>
      <c r="F1593" s="414"/>
      <c r="G1593" s="253"/>
      <c r="H1593" s="253"/>
      <c r="I1593" s="253"/>
      <c r="J1593" s="253"/>
      <c r="K1593" s="253"/>
      <c r="L1593" s="253"/>
      <c r="M1593" s="253"/>
      <c r="N1593" s="253"/>
      <c r="O1593" s="258"/>
      <c r="P1593" s="258"/>
      <c r="Q1593" s="258"/>
      <c r="R1593" s="258"/>
      <c r="S1593" s="258"/>
      <c r="T1593" s="258"/>
      <c r="U1593" s="258"/>
      <c r="V1593" s="258"/>
      <c r="W1593" s="258"/>
      <c r="X1593" s="258"/>
      <c r="Y1593" s="258"/>
      <c r="Z1593" s="258"/>
      <c r="AA1593" s="258"/>
      <c r="AB1593" s="258"/>
      <c r="AC1593" s="407"/>
    </row>
    <row r="1594" spans="2:29" s="406" customFormat="1" ht="16.5" customHeight="1">
      <c r="B1594" s="256"/>
      <c r="C1594" s="256"/>
      <c r="D1594" s="414"/>
      <c r="E1594" s="414"/>
      <c r="F1594" s="414"/>
      <c r="G1594" s="253"/>
      <c r="H1594" s="253"/>
      <c r="I1594" s="253"/>
      <c r="J1594" s="253"/>
      <c r="K1594" s="253"/>
      <c r="L1594" s="253"/>
      <c r="M1594" s="253"/>
      <c r="N1594" s="253"/>
      <c r="O1594" s="258"/>
      <c r="P1594" s="258"/>
      <c r="Q1594" s="258"/>
      <c r="R1594" s="258"/>
      <c r="S1594" s="258"/>
      <c r="T1594" s="258"/>
      <c r="U1594" s="258"/>
      <c r="V1594" s="258"/>
      <c r="W1594" s="258"/>
      <c r="X1594" s="258"/>
      <c r="Y1594" s="258"/>
      <c r="Z1594" s="258"/>
      <c r="AA1594" s="258"/>
      <c r="AB1594" s="258"/>
      <c r="AC1594" s="407"/>
    </row>
    <row r="1595" spans="2:29" s="406" customFormat="1" ht="16.5" customHeight="1">
      <c r="B1595" s="256"/>
      <c r="C1595" s="256"/>
      <c r="D1595" s="414"/>
      <c r="E1595" s="414"/>
      <c r="F1595" s="414"/>
      <c r="G1595" s="253"/>
      <c r="H1595" s="253"/>
      <c r="I1595" s="253"/>
      <c r="J1595" s="253"/>
      <c r="K1595" s="253"/>
      <c r="L1595" s="253"/>
      <c r="M1595" s="253"/>
      <c r="N1595" s="253"/>
      <c r="O1595" s="258"/>
      <c r="P1595" s="258"/>
      <c r="Q1595" s="258"/>
      <c r="R1595" s="258"/>
      <c r="S1595" s="258"/>
      <c r="T1595" s="258"/>
      <c r="U1595" s="258"/>
      <c r="V1595" s="258"/>
      <c r="W1595" s="258"/>
      <c r="X1595" s="258"/>
      <c r="Y1595" s="258"/>
      <c r="Z1595" s="258"/>
      <c r="AA1595" s="258"/>
      <c r="AB1595" s="258"/>
      <c r="AC1595" s="407"/>
    </row>
    <row r="1596" spans="2:29" s="406" customFormat="1" ht="16.5" customHeight="1">
      <c r="B1596" s="256"/>
      <c r="C1596" s="256"/>
      <c r="D1596" s="414"/>
      <c r="E1596" s="414"/>
      <c r="F1596" s="414"/>
      <c r="G1596" s="253"/>
      <c r="H1596" s="253"/>
      <c r="I1596" s="253"/>
      <c r="J1596" s="253"/>
      <c r="K1596" s="253"/>
      <c r="L1596" s="253"/>
      <c r="M1596" s="253"/>
      <c r="N1596" s="253"/>
      <c r="O1596" s="258"/>
      <c r="P1596" s="258"/>
      <c r="Q1596" s="258"/>
      <c r="R1596" s="258"/>
      <c r="S1596" s="258"/>
      <c r="T1596" s="258"/>
      <c r="U1596" s="258"/>
      <c r="V1596" s="258"/>
      <c r="W1596" s="258"/>
      <c r="X1596" s="258"/>
      <c r="Y1596" s="258"/>
      <c r="Z1596" s="258"/>
      <c r="AA1596" s="258"/>
      <c r="AB1596" s="258"/>
      <c r="AC1596" s="407"/>
    </row>
    <row r="1597" spans="2:29" s="406" customFormat="1" ht="16.5" customHeight="1">
      <c r="B1597" s="256"/>
      <c r="C1597" s="256"/>
      <c r="D1597" s="414"/>
      <c r="E1597" s="414"/>
      <c r="F1597" s="414"/>
      <c r="G1597" s="253"/>
      <c r="H1597" s="253"/>
      <c r="I1597" s="253"/>
      <c r="J1597" s="253"/>
      <c r="K1597" s="253"/>
      <c r="L1597" s="253"/>
      <c r="M1597" s="253"/>
      <c r="N1597" s="253"/>
      <c r="O1597" s="258"/>
      <c r="P1597" s="258"/>
      <c r="Q1597" s="258"/>
      <c r="R1597" s="258"/>
      <c r="S1597" s="258"/>
      <c r="T1597" s="258"/>
      <c r="U1597" s="258"/>
      <c r="V1597" s="258"/>
      <c r="W1597" s="258"/>
      <c r="X1597" s="258"/>
      <c r="Y1597" s="258"/>
      <c r="Z1597" s="258"/>
      <c r="AA1597" s="258"/>
      <c r="AB1597" s="258"/>
      <c r="AC1597" s="407"/>
    </row>
    <row r="1598" spans="2:29" s="406" customFormat="1" ht="16.5" customHeight="1">
      <c r="B1598" s="256"/>
      <c r="C1598" s="256"/>
      <c r="D1598" s="414"/>
      <c r="E1598" s="414"/>
      <c r="F1598" s="414"/>
      <c r="G1598" s="253"/>
      <c r="H1598" s="253"/>
      <c r="I1598" s="253"/>
      <c r="J1598" s="253"/>
      <c r="K1598" s="253"/>
      <c r="L1598" s="253"/>
      <c r="M1598" s="253"/>
      <c r="N1598" s="253"/>
      <c r="O1598" s="258"/>
      <c r="P1598" s="258"/>
      <c r="Q1598" s="258"/>
      <c r="R1598" s="258"/>
      <c r="S1598" s="258"/>
      <c r="T1598" s="258"/>
      <c r="U1598" s="258"/>
      <c r="V1598" s="258"/>
      <c r="W1598" s="258"/>
      <c r="X1598" s="258"/>
      <c r="Y1598" s="258"/>
      <c r="Z1598" s="258"/>
      <c r="AA1598" s="258"/>
      <c r="AB1598" s="258"/>
      <c r="AC1598" s="407"/>
    </row>
    <row r="1599" spans="2:29" s="406" customFormat="1" ht="16.5" customHeight="1">
      <c r="B1599" s="256"/>
      <c r="C1599" s="256"/>
      <c r="D1599" s="414"/>
      <c r="E1599" s="414"/>
      <c r="F1599" s="414"/>
      <c r="G1599" s="253"/>
      <c r="H1599" s="253"/>
      <c r="I1599" s="253"/>
      <c r="J1599" s="253"/>
      <c r="K1599" s="253"/>
      <c r="L1599" s="253"/>
      <c r="M1599" s="253"/>
      <c r="N1599" s="253"/>
      <c r="O1599" s="258"/>
      <c r="P1599" s="258"/>
      <c r="Q1599" s="258"/>
      <c r="R1599" s="258"/>
      <c r="S1599" s="258"/>
      <c r="T1599" s="258"/>
      <c r="U1599" s="258"/>
      <c r="V1599" s="258"/>
      <c r="W1599" s="258"/>
      <c r="X1599" s="258"/>
      <c r="Y1599" s="258"/>
      <c r="Z1599" s="258"/>
      <c r="AA1599" s="258"/>
      <c r="AB1599" s="258"/>
      <c r="AC1599" s="407"/>
    </row>
    <row r="1600" spans="2:29" s="406" customFormat="1" ht="16.5" customHeight="1">
      <c r="B1600" s="256"/>
      <c r="C1600" s="256"/>
      <c r="D1600" s="414"/>
      <c r="E1600" s="414"/>
      <c r="F1600" s="414"/>
      <c r="G1600" s="253"/>
      <c r="H1600" s="253"/>
      <c r="I1600" s="253"/>
      <c r="J1600" s="253"/>
      <c r="K1600" s="253"/>
      <c r="L1600" s="253"/>
      <c r="M1600" s="253"/>
      <c r="N1600" s="253"/>
      <c r="O1600" s="258"/>
      <c r="P1600" s="258"/>
      <c r="Q1600" s="258"/>
      <c r="R1600" s="258"/>
      <c r="S1600" s="258"/>
      <c r="T1600" s="258"/>
      <c r="U1600" s="258"/>
      <c r="V1600" s="258"/>
      <c r="W1600" s="258"/>
      <c r="X1600" s="258"/>
      <c r="Y1600" s="258"/>
      <c r="Z1600" s="258"/>
      <c r="AA1600" s="258"/>
      <c r="AB1600" s="258"/>
      <c r="AC1600" s="407"/>
    </row>
    <row r="1601" spans="2:29" s="406" customFormat="1" ht="16.5" customHeight="1">
      <c r="B1601" s="256"/>
      <c r="C1601" s="256"/>
      <c r="D1601" s="414"/>
      <c r="E1601" s="414"/>
      <c r="F1601" s="414"/>
      <c r="G1601" s="253"/>
      <c r="H1601" s="253"/>
      <c r="I1601" s="253"/>
      <c r="J1601" s="253"/>
      <c r="K1601" s="253"/>
      <c r="L1601" s="253"/>
      <c r="M1601" s="253"/>
      <c r="N1601" s="253"/>
      <c r="O1601" s="258"/>
      <c r="P1601" s="258"/>
      <c r="Q1601" s="258"/>
      <c r="R1601" s="258"/>
      <c r="S1601" s="258"/>
      <c r="T1601" s="258"/>
      <c r="U1601" s="258"/>
      <c r="V1601" s="258"/>
      <c r="W1601" s="258"/>
      <c r="X1601" s="258"/>
      <c r="Y1601" s="258"/>
      <c r="Z1601" s="258"/>
      <c r="AA1601" s="258"/>
      <c r="AB1601" s="258"/>
      <c r="AC1601" s="407"/>
    </row>
    <row r="1602" spans="2:29" s="406" customFormat="1" ht="16.5" customHeight="1">
      <c r="B1602" s="256"/>
      <c r="C1602" s="256"/>
      <c r="D1602" s="414"/>
      <c r="E1602" s="414"/>
      <c r="F1602" s="414"/>
      <c r="G1602" s="253"/>
      <c r="H1602" s="253"/>
      <c r="I1602" s="253"/>
      <c r="J1602" s="253"/>
      <c r="K1602" s="253"/>
      <c r="L1602" s="253"/>
      <c r="M1602" s="253"/>
      <c r="N1602" s="253"/>
      <c r="O1602" s="258"/>
      <c r="P1602" s="258"/>
      <c r="Q1602" s="258"/>
      <c r="R1602" s="258"/>
      <c r="S1602" s="258"/>
      <c r="T1602" s="258"/>
      <c r="U1602" s="258"/>
      <c r="V1602" s="258"/>
      <c r="W1602" s="258"/>
      <c r="X1602" s="258"/>
      <c r="Y1602" s="258"/>
      <c r="Z1602" s="258"/>
      <c r="AA1602" s="258"/>
      <c r="AB1602" s="258"/>
      <c r="AC1602" s="407"/>
    </row>
    <row r="1603" spans="2:29" s="406" customFormat="1" ht="16.5" customHeight="1">
      <c r="B1603" s="256"/>
      <c r="C1603" s="256"/>
      <c r="D1603" s="414"/>
      <c r="E1603" s="414"/>
      <c r="F1603" s="414"/>
      <c r="G1603" s="253"/>
      <c r="H1603" s="253"/>
      <c r="I1603" s="253"/>
      <c r="J1603" s="253"/>
      <c r="K1603" s="253"/>
      <c r="L1603" s="253"/>
      <c r="M1603" s="253"/>
      <c r="N1603" s="253"/>
      <c r="O1603" s="258"/>
      <c r="P1603" s="258"/>
      <c r="Q1603" s="258"/>
      <c r="R1603" s="258"/>
      <c r="S1603" s="258"/>
      <c r="T1603" s="258"/>
      <c r="U1603" s="258"/>
      <c r="V1603" s="258"/>
      <c r="W1603" s="258"/>
      <c r="X1603" s="258"/>
      <c r="Y1603" s="258"/>
      <c r="Z1603" s="258"/>
      <c r="AA1603" s="258"/>
      <c r="AB1603" s="258"/>
      <c r="AC1603" s="407"/>
    </row>
    <row r="1604" spans="2:29" s="406" customFormat="1" ht="16.5" customHeight="1">
      <c r="B1604" s="256"/>
      <c r="C1604" s="256"/>
      <c r="D1604" s="414"/>
      <c r="E1604" s="414"/>
      <c r="F1604" s="414"/>
      <c r="G1604" s="253"/>
      <c r="H1604" s="253"/>
      <c r="I1604" s="253"/>
      <c r="J1604" s="253"/>
      <c r="K1604" s="253"/>
      <c r="L1604" s="253"/>
      <c r="M1604" s="253"/>
      <c r="N1604" s="253"/>
      <c r="O1604" s="258"/>
      <c r="P1604" s="258"/>
      <c r="Q1604" s="258"/>
      <c r="R1604" s="258"/>
      <c r="S1604" s="258"/>
      <c r="T1604" s="258"/>
      <c r="U1604" s="258"/>
      <c r="V1604" s="258"/>
      <c r="W1604" s="258"/>
      <c r="X1604" s="258"/>
      <c r="Y1604" s="258"/>
      <c r="Z1604" s="258"/>
      <c r="AA1604" s="258"/>
      <c r="AB1604" s="258"/>
      <c r="AC1604" s="407"/>
    </row>
    <row r="1605" spans="2:29" s="406" customFormat="1" ht="16.5" customHeight="1">
      <c r="B1605" s="256"/>
      <c r="C1605" s="256"/>
      <c r="D1605" s="414"/>
      <c r="E1605" s="414"/>
      <c r="F1605" s="414"/>
      <c r="G1605" s="253"/>
      <c r="H1605" s="253"/>
      <c r="I1605" s="253"/>
      <c r="J1605" s="253"/>
      <c r="K1605" s="253"/>
      <c r="L1605" s="253"/>
      <c r="M1605" s="253"/>
      <c r="N1605" s="253"/>
      <c r="O1605" s="258"/>
      <c r="P1605" s="258"/>
      <c r="Q1605" s="258"/>
      <c r="R1605" s="258"/>
      <c r="S1605" s="258"/>
      <c r="T1605" s="258"/>
      <c r="U1605" s="258"/>
      <c r="V1605" s="258"/>
      <c r="W1605" s="258"/>
      <c r="X1605" s="258"/>
      <c r="Y1605" s="258"/>
      <c r="Z1605" s="258"/>
      <c r="AA1605" s="258"/>
      <c r="AB1605" s="258"/>
      <c r="AC1605" s="407"/>
    </row>
    <row r="1606" spans="2:29" s="406" customFormat="1" ht="16.5" customHeight="1">
      <c r="B1606" s="256"/>
      <c r="C1606" s="256"/>
      <c r="D1606" s="414"/>
      <c r="E1606" s="414"/>
      <c r="F1606" s="414"/>
      <c r="G1606" s="253"/>
      <c r="H1606" s="253"/>
      <c r="I1606" s="253"/>
      <c r="J1606" s="253"/>
      <c r="K1606" s="253"/>
      <c r="L1606" s="253"/>
      <c r="M1606" s="253"/>
      <c r="N1606" s="253"/>
      <c r="O1606" s="258"/>
      <c r="P1606" s="258"/>
      <c r="Q1606" s="258"/>
      <c r="R1606" s="258"/>
      <c r="S1606" s="258"/>
      <c r="T1606" s="258"/>
      <c r="U1606" s="258"/>
      <c r="V1606" s="258"/>
      <c r="W1606" s="258"/>
      <c r="X1606" s="258"/>
      <c r="Y1606" s="258"/>
      <c r="Z1606" s="258"/>
      <c r="AA1606" s="258"/>
      <c r="AB1606" s="258"/>
      <c r="AC1606" s="407"/>
    </row>
    <row r="1607" spans="2:29" s="406" customFormat="1" ht="16.5" customHeight="1">
      <c r="B1607" s="256"/>
      <c r="C1607" s="256"/>
      <c r="D1607" s="414"/>
      <c r="E1607" s="414"/>
      <c r="F1607" s="414"/>
      <c r="G1607" s="253"/>
      <c r="H1607" s="253"/>
      <c r="I1607" s="253"/>
      <c r="J1607" s="253"/>
      <c r="K1607" s="253"/>
      <c r="L1607" s="253"/>
      <c r="M1607" s="253"/>
      <c r="N1607" s="253"/>
      <c r="O1607" s="258"/>
      <c r="P1607" s="258"/>
      <c r="Q1607" s="258"/>
      <c r="R1607" s="258"/>
      <c r="S1607" s="258"/>
      <c r="T1607" s="258"/>
      <c r="U1607" s="258"/>
      <c r="V1607" s="258"/>
      <c r="W1607" s="258"/>
      <c r="X1607" s="258"/>
      <c r="Y1607" s="258"/>
      <c r="Z1607" s="258"/>
      <c r="AA1607" s="258"/>
      <c r="AB1607" s="258"/>
      <c r="AC1607" s="407"/>
    </row>
    <row r="1608" spans="2:29" s="406" customFormat="1" ht="16.5" customHeight="1">
      <c r="B1608" s="256"/>
      <c r="C1608" s="256"/>
      <c r="D1608" s="414"/>
      <c r="E1608" s="414"/>
      <c r="F1608" s="414"/>
      <c r="G1608" s="253"/>
      <c r="H1608" s="253"/>
      <c r="I1608" s="253"/>
      <c r="J1608" s="253"/>
      <c r="K1608" s="253"/>
      <c r="L1608" s="253"/>
      <c r="M1608" s="253"/>
      <c r="N1608" s="253"/>
      <c r="O1608" s="258"/>
      <c r="P1608" s="258"/>
      <c r="Q1608" s="258"/>
      <c r="R1608" s="258"/>
      <c r="S1608" s="258"/>
      <c r="T1608" s="258"/>
      <c r="U1608" s="258"/>
      <c r="V1608" s="258"/>
      <c r="W1608" s="258"/>
      <c r="X1608" s="258"/>
      <c r="Y1608" s="258"/>
      <c r="Z1608" s="258"/>
      <c r="AA1608" s="258"/>
      <c r="AB1608" s="258"/>
      <c r="AC1608" s="407"/>
    </row>
    <row r="1609" spans="2:29" s="406" customFormat="1" ht="16.5" customHeight="1">
      <c r="B1609" s="256"/>
      <c r="C1609" s="256"/>
      <c r="D1609" s="414"/>
      <c r="E1609" s="414"/>
      <c r="F1609" s="414"/>
      <c r="G1609" s="253"/>
      <c r="H1609" s="253"/>
      <c r="I1609" s="253"/>
      <c r="J1609" s="253"/>
      <c r="K1609" s="253"/>
      <c r="L1609" s="253"/>
      <c r="M1609" s="253"/>
      <c r="N1609" s="253"/>
      <c r="O1609" s="258"/>
      <c r="P1609" s="258"/>
      <c r="Q1609" s="258"/>
      <c r="R1609" s="258"/>
      <c r="S1609" s="258"/>
      <c r="T1609" s="258"/>
      <c r="U1609" s="258"/>
      <c r="V1609" s="258"/>
      <c r="W1609" s="258"/>
      <c r="X1609" s="258"/>
      <c r="Y1609" s="258"/>
      <c r="Z1609" s="258"/>
      <c r="AA1609" s="258"/>
      <c r="AB1609" s="258"/>
      <c r="AC1609" s="407"/>
    </row>
    <row r="1610" spans="2:29" s="406" customFormat="1" ht="16.5" customHeight="1">
      <c r="B1610" s="256"/>
      <c r="C1610" s="256"/>
      <c r="D1610" s="414"/>
      <c r="E1610" s="414"/>
      <c r="F1610" s="414"/>
      <c r="G1610" s="253"/>
      <c r="H1610" s="253"/>
      <c r="I1610" s="253"/>
      <c r="J1610" s="253"/>
      <c r="K1610" s="253"/>
      <c r="L1610" s="253"/>
      <c r="M1610" s="253"/>
      <c r="N1610" s="253"/>
      <c r="O1610" s="258"/>
      <c r="P1610" s="258"/>
      <c r="Q1610" s="258"/>
      <c r="R1610" s="258"/>
      <c r="S1610" s="258"/>
      <c r="T1610" s="258"/>
      <c r="U1610" s="258"/>
      <c r="V1610" s="258"/>
      <c r="W1610" s="258"/>
      <c r="X1610" s="258"/>
      <c r="Y1610" s="258"/>
      <c r="Z1610" s="258"/>
      <c r="AA1610" s="258"/>
      <c r="AB1610" s="258"/>
      <c r="AC1610" s="407"/>
    </row>
    <row r="1611" spans="2:29" s="406" customFormat="1" ht="16.5" customHeight="1">
      <c r="B1611" s="256"/>
      <c r="C1611" s="256"/>
      <c r="D1611" s="414"/>
      <c r="E1611" s="414"/>
      <c r="F1611" s="414"/>
      <c r="G1611" s="253"/>
      <c r="H1611" s="253"/>
      <c r="I1611" s="253"/>
      <c r="J1611" s="253"/>
      <c r="K1611" s="253"/>
      <c r="L1611" s="253"/>
      <c r="M1611" s="253"/>
      <c r="N1611" s="253"/>
      <c r="O1611" s="258"/>
      <c r="P1611" s="258"/>
      <c r="Q1611" s="258"/>
      <c r="R1611" s="258"/>
      <c r="S1611" s="258"/>
      <c r="T1611" s="258"/>
      <c r="U1611" s="258"/>
      <c r="V1611" s="258"/>
      <c r="W1611" s="258"/>
      <c r="X1611" s="258"/>
      <c r="Y1611" s="258"/>
      <c r="Z1611" s="258"/>
      <c r="AA1611" s="258"/>
      <c r="AB1611" s="258"/>
      <c r="AC1611" s="407"/>
    </row>
    <row r="1612" spans="2:29" s="406" customFormat="1" ht="16.5" customHeight="1">
      <c r="B1612" s="256"/>
      <c r="C1612" s="256"/>
      <c r="D1612" s="414"/>
      <c r="E1612" s="414"/>
      <c r="F1612" s="414"/>
      <c r="G1612" s="253"/>
      <c r="H1612" s="253"/>
      <c r="I1612" s="253"/>
      <c r="J1612" s="253"/>
      <c r="K1612" s="253"/>
      <c r="L1612" s="253"/>
      <c r="M1612" s="253"/>
      <c r="N1612" s="253"/>
      <c r="O1612" s="258"/>
      <c r="P1612" s="258"/>
      <c r="Q1612" s="258"/>
      <c r="R1612" s="258"/>
      <c r="S1612" s="258"/>
      <c r="T1612" s="258"/>
      <c r="U1612" s="258"/>
      <c r="V1612" s="258"/>
      <c r="W1612" s="258"/>
      <c r="X1612" s="258"/>
      <c r="Y1612" s="258"/>
      <c r="Z1612" s="258"/>
      <c r="AA1612" s="258"/>
      <c r="AB1612" s="258"/>
      <c r="AC1612" s="407"/>
    </row>
    <row r="1613" spans="2:29" s="406" customFormat="1" ht="16.5" customHeight="1">
      <c r="B1613" s="256"/>
      <c r="C1613" s="256"/>
      <c r="D1613" s="414"/>
      <c r="E1613" s="414"/>
      <c r="F1613" s="414"/>
      <c r="G1613" s="253"/>
      <c r="H1613" s="253"/>
      <c r="I1613" s="253"/>
      <c r="J1613" s="253"/>
      <c r="K1613" s="253"/>
      <c r="L1613" s="253"/>
      <c r="M1613" s="253"/>
      <c r="N1613" s="253"/>
      <c r="O1613" s="258"/>
      <c r="P1613" s="258"/>
      <c r="Q1613" s="258"/>
      <c r="R1613" s="258"/>
      <c r="S1613" s="258"/>
      <c r="T1613" s="258"/>
      <c r="U1613" s="258"/>
      <c r="V1613" s="258"/>
      <c r="W1613" s="258"/>
      <c r="X1613" s="258"/>
      <c r="Y1613" s="258"/>
      <c r="Z1613" s="258"/>
      <c r="AA1613" s="258"/>
      <c r="AB1613" s="258"/>
      <c r="AC1613" s="407"/>
    </row>
    <row r="1614" spans="2:29" s="406" customFormat="1" ht="16.5" customHeight="1">
      <c r="B1614" s="256"/>
      <c r="C1614" s="256"/>
      <c r="D1614" s="414"/>
      <c r="E1614" s="414"/>
      <c r="F1614" s="414"/>
      <c r="G1614" s="253"/>
      <c r="H1614" s="253"/>
      <c r="I1614" s="253"/>
      <c r="J1614" s="253"/>
      <c r="K1614" s="253"/>
      <c r="L1614" s="253"/>
      <c r="M1614" s="253"/>
      <c r="N1614" s="253"/>
      <c r="O1614" s="258"/>
      <c r="P1614" s="258"/>
      <c r="Q1614" s="258"/>
      <c r="R1614" s="258"/>
      <c r="S1614" s="258"/>
      <c r="T1614" s="258"/>
      <c r="U1614" s="258"/>
      <c r="V1614" s="258"/>
      <c r="W1614" s="258"/>
      <c r="X1614" s="258"/>
      <c r="Y1614" s="258"/>
      <c r="Z1614" s="258"/>
      <c r="AA1614" s="258"/>
      <c r="AB1614" s="258"/>
      <c r="AC1614" s="407"/>
    </row>
    <row r="1615" spans="2:29" s="406" customFormat="1" ht="16.5" customHeight="1">
      <c r="B1615" s="256"/>
      <c r="C1615" s="256"/>
      <c r="D1615" s="414"/>
      <c r="E1615" s="414"/>
      <c r="F1615" s="414"/>
      <c r="G1615" s="253"/>
      <c r="H1615" s="253"/>
      <c r="I1615" s="253"/>
      <c r="J1615" s="253"/>
      <c r="K1615" s="253"/>
      <c r="L1615" s="253"/>
      <c r="M1615" s="253"/>
      <c r="N1615" s="253"/>
      <c r="O1615" s="258"/>
      <c r="P1615" s="258"/>
      <c r="Q1615" s="258"/>
      <c r="R1615" s="258"/>
      <c r="S1615" s="258"/>
      <c r="T1615" s="258"/>
      <c r="U1615" s="258"/>
      <c r="V1615" s="258"/>
      <c r="W1615" s="258"/>
      <c r="X1615" s="258"/>
      <c r="Y1615" s="258"/>
      <c r="Z1615" s="258"/>
      <c r="AA1615" s="258"/>
      <c r="AB1615" s="258"/>
      <c r="AC1615" s="407"/>
    </row>
    <row r="1616" spans="2:29" s="406" customFormat="1" ht="16.5" customHeight="1">
      <c r="B1616" s="256"/>
      <c r="C1616" s="256"/>
      <c r="D1616" s="414"/>
      <c r="E1616" s="414"/>
      <c r="F1616" s="414"/>
      <c r="G1616" s="253"/>
      <c r="H1616" s="253"/>
      <c r="I1616" s="253"/>
      <c r="J1616" s="253"/>
      <c r="K1616" s="253"/>
      <c r="L1616" s="253"/>
      <c r="M1616" s="253"/>
      <c r="N1616" s="253"/>
      <c r="O1616" s="258"/>
      <c r="P1616" s="258"/>
      <c r="Q1616" s="258"/>
      <c r="R1616" s="258"/>
      <c r="S1616" s="258"/>
      <c r="T1616" s="258"/>
      <c r="U1616" s="258"/>
      <c r="V1616" s="258"/>
      <c r="W1616" s="258"/>
      <c r="X1616" s="258"/>
      <c r="Y1616" s="258"/>
      <c r="Z1616" s="258"/>
      <c r="AA1616" s="258"/>
      <c r="AB1616" s="258"/>
      <c r="AC1616" s="407"/>
    </row>
    <row r="1617" spans="2:29" s="406" customFormat="1" ht="16.5" customHeight="1">
      <c r="B1617" s="256"/>
      <c r="C1617" s="256"/>
      <c r="D1617" s="414"/>
      <c r="E1617" s="414"/>
      <c r="F1617" s="414"/>
      <c r="G1617" s="253"/>
      <c r="H1617" s="253"/>
      <c r="I1617" s="253"/>
      <c r="J1617" s="253"/>
      <c r="K1617" s="253"/>
      <c r="L1617" s="253"/>
      <c r="M1617" s="253"/>
      <c r="N1617" s="253"/>
      <c r="O1617" s="258"/>
      <c r="P1617" s="258"/>
      <c r="Q1617" s="258"/>
      <c r="R1617" s="258"/>
      <c r="S1617" s="258"/>
      <c r="T1617" s="258"/>
      <c r="U1617" s="258"/>
      <c r="V1617" s="258"/>
      <c r="W1617" s="258"/>
      <c r="X1617" s="258"/>
      <c r="Y1617" s="258"/>
      <c r="Z1617" s="258"/>
      <c r="AA1617" s="258"/>
      <c r="AB1617" s="258"/>
      <c r="AC1617" s="407"/>
    </row>
    <row r="1618" spans="2:29" s="406" customFormat="1" ht="16.5" customHeight="1">
      <c r="B1618" s="256"/>
      <c r="C1618" s="256"/>
      <c r="D1618" s="414"/>
      <c r="E1618" s="414"/>
      <c r="F1618" s="414"/>
      <c r="G1618" s="253"/>
      <c r="H1618" s="253"/>
      <c r="I1618" s="253"/>
      <c r="J1618" s="253"/>
      <c r="K1618" s="253"/>
      <c r="L1618" s="253"/>
      <c r="M1618" s="253"/>
      <c r="N1618" s="253"/>
      <c r="O1618" s="258"/>
      <c r="P1618" s="258"/>
      <c r="Q1618" s="258"/>
      <c r="R1618" s="258"/>
      <c r="S1618" s="258"/>
      <c r="T1618" s="258"/>
      <c r="U1618" s="258"/>
      <c r="V1618" s="258"/>
      <c r="W1618" s="258"/>
      <c r="X1618" s="258"/>
      <c r="Y1618" s="258"/>
      <c r="Z1618" s="258"/>
      <c r="AA1618" s="258"/>
      <c r="AB1618" s="258"/>
      <c r="AC1618" s="407"/>
    </row>
    <row r="1619" spans="2:29" s="406" customFormat="1" ht="16.5" customHeight="1">
      <c r="B1619" s="256"/>
      <c r="C1619" s="256"/>
      <c r="D1619" s="414"/>
      <c r="E1619" s="414"/>
      <c r="F1619" s="414"/>
      <c r="G1619" s="253"/>
      <c r="H1619" s="253"/>
      <c r="I1619" s="253"/>
      <c r="J1619" s="253"/>
      <c r="K1619" s="253"/>
      <c r="L1619" s="253"/>
      <c r="M1619" s="253"/>
      <c r="N1619" s="253"/>
      <c r="O1619" s="258"/>
      <c r="P1619" s="258"/>
      <c r="Q1619" s="258"/>
      <c r="R1619" s="258"/>
      <c r="S1619" s="258"/>
      <c r="T1619" s="258"/>
      <c r="U1619" s="258"/>
      <c r="V1619" s="258"/>
      <c r="W1619" s="258"/>
      <c r="X1619" s="258"/>
      <c r="Y1619" s="258"/>
      <c r="Z1619" s="258"/>
      <c r="AA1619" s="258"/>
      <c r="AB1619" s="258"/>
      <c r="AC1619" s="407"/>
    </row>
    <row r="1620" spans="2:29" s="406" customFormat="1" ht="16.5" customHeight="1">
      <c r="B1620" s="256"/>
      <c r="C1620" s="256"/>
      <c r="D1620" s="414"/>
      <c r="E1620" s="414"/>
      <c r="F1620" s="414"/>
      <c r="G1620" s="253"/>
      <c r="H1620" s="253"/>
      <c r="I1620" s="253"/>
      <c r="J1620" s="253"/>
      <c r="K1620" s="253"/>
      <c r="L1620" s="253"/>
      <c r="M1620" s="253"/>
      <c r="N1620" s="253"/>
      <c r="O1620" s="258"/>
      <c r="P1620" s="258"/>
      <c r="Q1620" s="258"/>
      <c r="R1620" s="258"/>
      <c r="S1620" s="258"/>
      <c r="T1620" s="258"/>
      <c r="U1620" s="258"/>
      <c r="V1620" s="258"/>
      <c r="W1620" s="258"/>
      <c r="X1620" s="258"/>
      <c r="Y1620" s="258"/>
      <c r="Z1620" s="258"/>
      <c r="AA1620" s="258"/>
      <c r="AB1620" s="258"/>
      <c r="AC1620" s="407"/>
    </row>
    <row r="1621" spans="2:29" s="406" customFormat="1" ht="16.5" customHeight="1">
      <c r="B1621" s="256"/>
      <c r="C1621" s="256"/>
      <c r="D1621" s="414"/>
      <c r="E1621" s="414"/>
      <c r="F1621" s="414"/>
      <c r="G1621" s="253"/>
      <c r="H1621" s="253"/>
      <c r="I1621" s="253"/>
      <c r="J1621" s="253"/>
      <c r="K1621" s="253"/>
      <c r="L1621" s="253"/>
      <c r="M1621" s="253"/>
      <c r="N1621" s="253"/>
      <c r="O1621" s="258"/>
      <c r="P1621" s="258"/>
      <c r="Q1621" s="258"/>
      <c r="R1621" s="258"/>
      <c r="S1621" s="258"/>
      <c r="T1621" s="258"/>
      <c r="U1621" s="258"/>
      <c r="V1621" s="258"/>
      <c r="W1621" s="258"/>
      <c r="X1621" s="258"/>
      <c r="Y1621" s="258"/>
      <c r="Z1621" s="258"/>
      <c r="AA1621" s="258"/>
      <c r="AB1621" s="258"/>
      <c r="AC1621" s="407"/>
    </row>
    <row r="1622" spans="2:29" s="406" customFormat="1" ht="16.5" customHeight="1">
      <c r="B1622" s="256"/>
      <c r="C1622" s="256"/>
      <c r="D1622" s="414"/>
      <c r="E1622" s="414"/>
      <c r="F1622" s="414"/>
      <c r="G1622" s="253"/>
      <c r="H1622" s="253"/>
      <c r="I1622" s="253"/>
      <c r="J1622" s="253"/>
      <c r="K1622" s="253"/>
      <c r="L1622" s="253"/>
      <c r="M1622" s="253"/>
      <c r="N1622" s="253"/>
      <c r="O1622" s="258"/>
      <c r="P1622" s="258"/>
      <c r="Q1622" s="258"/>
      <c r="R1622" s="258"/>
      <c r="S1622" s="258"/>
      <c r="T1622" s="258"/>
      <c r="U1622" s="258"/>
      <c r="V1622" s="258"/>
      <c r="W1622" s="258"/>
      <c r="X1622" s="258"/>
      <c r="Y1622" s="258"/>
      <c r="Z1622" s="258"/>
      <c r="AA1622" s="258"/>
      <c r="AB1622" s="258"/>
      <c r="AC1622" s="407"/>
    </row>
    <row r="1623" spans="2:29" s="406" customFormat="1" ht="16.5" customHeight="1">
      <c r="B1623" s="256"/>
      <c r="C1623" s="256"/>
      <c r="D1623" s="414"/>
      <c r="E1623" s="414"/>
      <c r="F1623" s="414"/>
      <c r="G1623" s="253"/>
      <c r="H1623" s="253"/>
      <c r="I1623" s="253"/>
      <c r="J1623" s="253"/>
      <c r="K1623" s="253"/>
      <c r="L1623" s="253"/>
      <c r="M1623" s="253"/>
      <c r="N1623" s="253"/>
      <c r="O1623" s="258"/>
      <c r="P1623" s="258"/>
      <c r="Q1623" s="258"/>
      <c r="R1623" s="258"/>
      <c r="S1623" s="258"/>
      <c r="T1623" s="258"/>
      <c r="U1623" s="258"/>
      <c r="V1623" s="258"/>
      <c r="W1623" s="258"/>
      <c r="X1623" s="258"/>
      <c r="Y1623" s="258"/>
      <c r="Z1623" s="258"/>
      <c r="AA1623" s="258"/>
      <c r="AB1623" s="258"/>
      <c r="AC1623" s="407"/>
    </row>
    <row r="1624" spans="2:29" s="406" customFormat="1" ht="16.5" customHeight="1">
      <c r="B1624" s="256"/>
      <c r="C1624" s="256"/>
      <c r="D1624" s="414"/>
      <c r="E1624" s="414"/>
      <c r="F1624" s="414"/>
      <c r="G1624" s="253"/>
      <c r="H1624" s="253"/>
      <c r="I1624" s="253"/>
      <c r="J1624" s="253"/>
      <c r="K1624" s="253"/>
      <c r="L1624" s="253"/>
      <c r="M1624" s="253"/>
      <c r="N1624" s="253"/>
      <c r="O1624" s="258"/>
      <c r="P1624" s="258"/>
      <c r="Q1624" s="258"/>
      <c r="R1624" s="258"/>
      <c r="S1624" s="258"/>
      <c r="T1624" s="258"/>
      <c r="U1624" s="258"/>
      <c r="V1624" s="258"/>
      <c r="W1624" s="258"/>
      <c r="X1624" s="258"/>
      <c r="Y1624" s="258"/>
      <c r="Z1624" s="258"/>
      <c r="AA1624" s="258"/>
      <c r="AB1624" s="258"/>
      <c r="AC1624" s="407"/>
    </row>
    <row r="1625" spans="2:29" s="406" customFormat="1" ht="16.5" customHeight="1">
      <c r="B1625" s="256"/>
      <c r="C1625" s="256"/>
      <c r="D1625" s="414"/>
      <c r="E1625" s="414"/>
      <c r="F1625" s="414"/>
      <c r="G1625" s="253"/>
      <c r="H1625" s="253"/>
      <c r="I1625" s="253"/>
      <c r="J1625" s="253"/>
      <c r="K1625" s="253"/>
      <c r="L1625" s="253"/>
      <c r="M1625" s="253"/>
      <c r="N1625" s="253"/>
      <c r="O1625" s="258"/>
      <c r="P1625" s="258"/>
      <c r="Q1625" s="258"/>
      <c r="R1625" s="258"/>
      <c r="S1625" s="258"/>
      <c r="T1625" s="258"/>
      <c r="U1625" s="258"/>
      <c r="V1625" s="258"/>
      <c r="W1625" s="258"/>
      <c r="X1625" s="258"/>
      <c r="Y1625" s="258"/>
      <c r="Z1625" s="258"/>
      <c r="AA1625" s="258"/>
      <c r="AB1625" s="258"/>
      <c r="AC1625" s="407"/>
    </row>
    <row r="1626" spans="2:29" s="406" customFormat="1" ht="16.5" customHeight="1">
      <c r="B1626" s="256"/>
      <c r="C1626" s="256"/>
      <c r="D1626" s="414"/>
      <c r="E1626" s="414"/>
      <c r="F1626" s="414"/>
      <c r="G1626" s="253"/>
      <c r="H1626" s="253"/>
      <c r="I1626" s="253"/>
      <c r="J1626" s="253"/>
      <c r="K1626" s="253"/>
      <c r="L1626" s="253"/>
      <c r="M1626" s="253"/>
      <c r="N1626" s="253"/>
      <c r="O1626" s="258"/>
      <c r="P1626" s="258"/>
      <c r="Q1626" s="258"/>
      <c r="R1626" s="258"/>
      <c r="S1626" s="258"/>
      <c r="T1626" s="258"/>
      <c r="U1626" s="258"/>
      <c r="V1626" s="258"/>
      <c r="W1626" s="258"/>
      <c r="X1626" s="258"/>
      <c r="Y1626" s="258"/>
      <c r="Z1626" s="258"/>
      <c r="AA1626" s="258"/>
      <c r="AB1626" s="258"/>
      <c r="AC1626" s="407"/>
    </row>
    <row r="1627" spans="2:29" s="406" customFormat="1" ht="16.5" customHeight="1">
      <c r="B1627" s="256"/>
      <c r="C1627" s="256"/>
      <c r="D1627" s="414"/>
      <c r="E1627" s="414"/>
      <c r="F1627" s="414"/>
      <c r="G1627" s="253"/>
      <c r="H1627" s="253"/>
      <c r="I1627" s="253"/>
      <c r="J1627" s="253"/>
      <c r="K1627" s="253"/>
      <c r="L1627" s="253"/>
      <c r="M1627" s="253"/>
      <c r="N1627" s="253"/>
      <c r="O1627" s="258"/>
      <c r="P1627" s="258"/>
      <c r="Q1627" s="258"/>
      <c r="R1627" s="258"/>
      <c r="S1627" s="258"/>
      <c r="T1627" s="258"/>
      <c r="U1627" s="258"/>
      <c r="V1627" s="258"/>
      <c r="W1627" s="258"/>
      <c r="X1627" s="258"/>
      <c r="Y1627" s="258"/>
      <c r="Z1627" s="258"/>
      <c r="AA1627" s="258"/>
      <c r="AB1627" s="258"/>
      <c r="AC1627" s="407"/>
    </row>
    <row r="1628" spans="2:29" s="406" customFormat="1" ht="16.5" customHeight="1">
      <c r="B1628" s="256"/>
      <c r="C1628" s="256"/>
      <c r="D1628" s="414"/>
      <c r="E1628" s="414"/>
      <c r="F1628" s="414"/>
      <c r="G1628" s="253"/>
      <c r="H1628" s="253"/>
      <c r="I1628" s="253"/>
      <c r="J1628" s="253"/>
      <c r="K1628" s="253"/>
      <c r="L1628" s="253"/>
      <c r="M1628" s="253"/>
      <c r="N1628" s="253"/>
      <c r="O1628" s="258"/>
      <c r="P1628" s="258"/>
      <c r="Q1628" s="258"/>
      <c r="R1628" s="258"/>
      <c r="S1628" s="258"/>
      <c r="T1628" s="258"/>
      <c r="U1628" s="258"/>
      <c r="V1628" s="258"/>
      <c r="W1628" s="258"/>
      <c r="X1628" s="258"/>
      <c r="Y1628" s="258"/>
      <c r="Z1628" s="258"/>
      <c r="AA1628" s="258"/>
      <c r="AB1628" s="258"/>
      <c r="AC1628" s="407"/>
    </row>
    <row r="1629" spans="2:29" s="406" customFormat="1" ht="16.5" customHeight="1">
      <c r="B1629" s="256"/>
      <c r="C1629" s="256"/>
      <c r="D1629" s="414"/>
      <c r="E1629" s="414"/>
      <c r="F1629" s="414"/>
      <c r="G1629" s="253"/>
      <c r="H1629" s="253"/>
      <c r="I1629" s="253"/>
      <c r="J1629" s="253"/>
      <c r="K1629" s="253"/>
      <c r="L1629" s="253"/>
      <c r="M1629" s="253"/>
      <c r="N1629" s="253"/>
      <c r="O1629" s="258"/>
      <c r="P1629" s="258"/>
      <c r="Q1629" s="258"/>
      <c r="R1629" s="258"/>
      <c r="S1629" s="258"/>
      <c r="T1629" s="258"/>
      <c r="U1629" s="258"/>
      <c r="V1629" s="258"/>
      <c r="W1629" s="258"/>
      <c r="X1629" s="258"/>
      <c r="Y1629" s="258"/>
      <c r="Z1629" s="258"/>
      <c r="AA1629" s="258"/>
      <c r="AB1629" s="258"/>
      <c r="AC1629" s="407"/>
    </row>
    <row r="1630" spans="2:29" s="406" customFormat="1" ht="16.5" customHeight="1">
      <c r="B1630" s="256"/>
      <c r="C1630" s="256"/>
      <c r="D1630" s="414"/>
      <c r="E1630" s="414"/>
      <c r="F1630" s="414"/>
      <c r="G1630" s="253"/>
      <c r="H1630" s="253"/>
      <c r="I1630" s="253"/>
      <c r="J1630" s="253"/>
      <c r="K1630" s="253"/>
      <c r="L1630" s="253"/>
      <c r="M1630" s="253"/>
      <c r="N1630" s="253"/>
      <c r="O1630" s="258"/>
      <c r="P1630" s="258"/>
      <c r="Q1630" s="258"/>
      <c r="R1630" s="258"/>
      <c r="S1630" s="258"/>
      <c r="T1630" s="258"/>
      <c r="U1630" s="258"/>
      <c r="V1630" s="258"/>
      <c r="W1630" s="258"/>
      <c r="X1630" s="258"/>
      <c r="Y1630" s="258"/>
      <c r="Z1630" s="258"/>
      <c r="AA1630" s="258"/>
      <c r="AB1630" s="258"/>
      <c r="AC1630" s="407"/>
    </row>
    <row r="1631" spans="2:29" s="406" customFormat="1" ht="16.5" customHeight="1">
      <c r="B1631" s="256"/>
      <c r="C1631" s="256"/>
      <c r="D1631" s="414"/>
      <c r="E1631" s="414"/>
      <c r="F1631" s="414"/>
      <c r="G1631" s="253"/>
      <c r="H1631" s="253"/>
      <c r="I1631" s="253"/>
      <c r="J1631" s="253"/>
      <c r="K1631" s="253"/>
      <c r="L1631" s="253"/>
      <c r="M1631" s="253"/>
      <c r="N1631" s="253"/>
      <c r="O1631" s="258"/>
      <c r="P1631" s="258"/>
      <c r="Q1631" s="258"/>
      <c r="R1631" s="258"/>
      <c r="S1631" s="258"/>
      <c r="T1631" s="258"/>
      <c r="U1631" s="258"/>
      <c r="V1631" s="258"/>
      <c r="W1631" s="258"/>
      <c r="X1631" s="258"/>
      <c r="Y1631" s="258"/>
      <c r="Z1631" s="258"/>
      <c r="AA1631" s="258"/>
      <c r="AB1631" s="258"/>
      <c r="AC1631" s="407"/>
    </row>
    <row r="1632" spans="2:29" s="406" customFormat="1" ht="16.5" customHeight="1">
      <c r="B1632" s="256"/>
      <c r="C1632" s="256"/>
      <c r="D1632" s="414"/>
      <c r="E1632" s="414"/>
      <c r="F1632" s="414"/>
      <c r="G1632" s="253"/>
      <c r="H1632" s="253"/>
      <c r="I1632" s="253"/>
      <c r="J1632" s="253"/>
      <c r="K1632" s="253"/>
      <c r="L1632" s="253"/>
      <c r="M1632" s="253"/>
      <c r="N1632" s="253"/>
      <c r="O1632" s="258"/>
      <c r="P1632" s="258"/>
      <c r="Q1632" s="258"/>
      <c r="R1632" s="258"/>
      <c r="S1632" s="258"/>
      <c r="T1632" s="258"/>
      <c r="U1632" s="258"/>
      <c r="V1632" s="258"/>
      <c r="W1632" s="258"/>
      <c r="X1632" s="258"/>
      <c r="Y1632" s="258"/>
      <c r="Z1632" s="258"/>
      <c r="AA1632" s="258"/>
      <c r="AB1632" s="258"/>
      <c r="AC1632" s="407"/>
    </row>
    <row r="1633" spans="2:29" s="406" customFormat="1" ht="16.5" customHeight="1">
      <c r="B1633" s="256"/>
      <c r="C1633" s="256"/>
      <c r="D1633" s="414"/>
      <c r="E1633" s="414"/>
      <c r="F1633" s="414"/>
      <c r="G1633" s="253"/>
      <c r="H1633" s="253"/>
      <c r="I1633" s="253"/>
      <c r="J1633" s="253"/>
      <c r="K1633" s="253"/>
      <c r="L1633" s="253"/>
      <c r="M1633" s="253"/>
      <c r="N1633" s="253"/>
      <c r="O1633" s="258"/>
      <c r="P1633" s="258"/>
      <c r="Q1633" s="258"/>
      <c r="R1633" s="258"/>
      <c r="S1633" s="258"/>
      <c r="T1633" s="258"/>
      <c r="U1633" s="258"/>
      <c r="V1633" s="258"/>
      <c r="W1633" s="258"/>
      <c r="X1633" s="258"/>
      <c r="Y1633" s="258"/>
      <c r="Z1633" s="258"/>
      <c r="AA1633" s="258"/>
      <c r="AB1633" s="258"/>
      <c r="AC1633" s="407"/>
    </row>
    <row r="1634" spans="2:29" s="406" customFormat="1" ht="16.5" customHeight="1">
      <c r="B1634" s="256"/>
      <c r="C1634" s="256"/>
      <c r="D1634" s="414"/>
      <c r="E1634" s="414"/>
      <c r="F1634" s="414"/>
      <c r="G1634" s="253"/>
      <c r="H1634" s="253"/>
      <c r="I1634" s="253"/>
      <c r="J1634" s="253"/>
      <c r="K1634" s="253"/>
      <c r="L1634" s="253"/>
      <c r="M1634" s="253"/>
      <c r="N1634" s="253"/>
      <c r="O1634" s="258"/>
      <c r="P1634" s="258"/>
      <c r="Q1634" s="258"/>
      <c r="R1634" s="258"/>
      <c r="S1634" s="258"/>
      <c r="T1634" s="258"/>
      <c r="U1634" s="258"/>
      <c r="V1634" s="258"/>
      <c r="W1634" s="258"/>
      <c r="X1634" s="258"/>
      <c r="Y1634" s="258"/>
      <c r="Z1634" s="258"/>
      <c r="AA1634" s="258"/>
      <c r="AB1634" s="258"/>
      <c r="AC1634" s="407"/>
    </row>
    <row r="1635" spans="2:29" s="406" customFormat="1" ht="16.5" customHeight="1">
      <c r="B1635" s="256"/>
      <c r="C1635" s="256"/>
      <c r="D1635" s="414"/>
      <c r="E1635" s="414"/>
      <c r="F1635" s="414"/>
      <c r="G1635" s="253"/>
      <c r="H1635" s="253"/>
      <c r="I1635" s="253"/>
      <c r="J1635" s="253"/>
      <c r="K1635" s="253"/>
      <c r="L1635" s="253"/>
      <c r="M1635" s="253"/>
      <c r="N1635" s="253"/>
      <c r="O1635" s="258"/>
      <c r="P1635" s="258"/>
      <c r="Q1635" s="258"/>
      <c r="R1635" s="258"/>
      <c r="S1635" s="258"/>
      <c r="T1635" s="258"/>
      <c r="U1635" s="258"/>
      <c r="V1635" s="258"/>
      <c r="W1635" s="258"/>
      <c r="X1635" s="258"/>
      <c r="Y1635" s="258"/>
      <c r="Z1635" s="258"/>
      <c r="AA1635" s="258"/>
      <c r="AB1635" s="258"/>
      <c r="AC1635" s="407"/>
    </row>
    <row r="1636" spans="2:29" s="406" customFormat="1" ht="16.5" customHeight="1">
      <c r="B1636" s="256"/>
      <c r="C1636" s="256"/>
      <c r="D1636" s="414"/>
      <c r="E1636" s="414"/>
      <c r="F1636" s="414"/>
      <c r="G1636" s="253"/>
      <c r="H1636" s="253"/>
      <c r="I1636" s="253"/>
      <c r="J1636" s="253"/>
      <c r="K1636" s="253"/>
      <c r="L1636" s="253"/>
      <c r="M1636" s="253"/>
      <c r="N1636" s="253"/>
      <c r="O1636" s="258"/>
      <c r="P1636" s="258"/>
      <c r="Q1636" s="258"/>
      <c r="R1636" s="258"/>
      <c r="S1636" s="258"/>
      <c r="T1636" s="258"/>
      <c r="U1636" s="258"/>
      <c r="V1636" s="258"/>
      <c r="W1636" s="258"/>
      <c r="X1636" s="258"/>
      <c r="Y1636" s="258"/>
      <c r="Z1636" s="258"/>
      <c r="AA1636" s="258"/>
      <c r="AB1636" s="258"/>
      <c r="AC1636" s="407"/>
    </row>
    <row r="1637" spans="2:29" s="406" customFormat="1" ht="16.5" customHeight="1">
      <c r="B1637" s="256"/>
      <c r="C1637" s="256"/>
      <c r="D1637" s="414"/>
      <c r="E1637" s="414"/>
      <c r="F1637" s="414"/>
      <c r="G1637" s="253"/>
      <c r="H1637" s="253"/>
      <c r="I1637" s="253"/>
      <c r="J1637" s="253"/>
      <c r="K1637" s="253"/>
      <c r="L1637" s="253"/>
      <c r="M1637" s="253"/>
      <c r="N1637" s="253"/>
      <c r="O1637" s="258"/>
      <c r="P1637" s="258"/>
      <c r="Q1637" s="258"/>
      <c r="R1637" s="258"/>
      <c r="S1637" s="258"/>
      <c r="T1637" s="258"/>
      <c r="U1637" s="258"/>
      <c r="V1637" s="258"/>
      <c r="W1637" s="258"/>
      <c r="X1637" s="258"/>
      <c r="Y1637" s="258"/>
      <c r="Z1637" s="258"/>
      <c r="AA1637" s="258"/>
      <c r="AB1637" s="258"/>
      <c r="AC1637" s="407"/>
    </row>
    <row r="1638" spans="2:29" s="406" customFormat="1" ht="16.5" customHeight="1">
      <c r="B1638" s="256"/>
      <c r="C1638" s="256"/>
      <c r="D1638" s="414"/>
      <c r="E1638" s="414"/>
      <c r="F1638" s="414"/>
      <c r="G1638" s="253"/>
      <c r="H1638" s="253"/>
      <c r="I1638" s="253"/>
      <c r="J1638" s="253"/>
      <c r="K1638" s="253"/>
      <c r="L1638" s="253"/>
      <c r="M1638" s="253"/>
      <c r="N1638" s="253"/>
      <c r="O1638" s="258"/>
      <c r="P1638" s="258"/>
      <c r="Q1638" s="258"/>
      <c r="R1638" s="258"/>
      <c r="S1638" s="258"/>
      <c r="T1638" s="258"/>
      <c r="U1638" s="258"/>
      <c r="V1638" s="258"/>
      <c r="W1638" s="258"/>
      <c r="X1638" s="258"/>
      <c r="Y1638" s="258"/>
      <c r="Z1638" s="258"/>
      <c r="AA1638" s="258"/>
      <c r="AB1638" s="258"/>
      <c r="AC1638" s="407"/>
    </row>
    <row r="1639" spans="2:29" s="406" customFormat="1" ht="16.5" customHeight="1">
      <c r="B1639" s="256"/>
      <c r="C1639" s="256"/>
      <c r="D1639" s="414"/>
      <c r="E1639" s="414"/>
      <c r="F1639" s="414"/>
      <c r="G1639" s="253"/>
      <c r="H1639" s="253"/>
      <c r="I1639" s="253"/>
      <c r="J1639" s="253"/>
      <c r="K1639" s="253"/>
      <c r="L1639" s="253"/>
      <c r="M1639" s="253"/>
      <c r="N1639" s="253"/>
      <c r="O1639" s="258"/>
      <c r="P1639" s="258"/>
      <c r="Q1639" s="258"/>
      <c r="R1639" s="258"/>
      <c r="S1639" s="258"/>
      <c r="T1639" s="258"/>
      <c r="U1639" s="258"/>
      <c r="V1639" s="258"/>
      <c r="W1639" s="258"/>
      <c r="X1639" s="258"/>
      <c r="Y1639" s="258"/>
      <c r="Z1639" s="258"/>
      <c r="AA1639" s="258"/>
      <c r="AB1639" s="258"/>
      <c r="AC1639" s="407"/>
    </row>
    <row r="1640" spans="2:29" s="406" customFormat="1" ht="16.5" customHeight="1">
      <c r="B1640" s="256"/>
      <c r="C1640" s="256"/>
      <c r="D1640" s="414"/>
      <c r="E1640" s="414"/>
      <c r="F1640" s="414"/>
      <c r="G1640" s="253"/>
      <c r="H1640" s="253"/>
      <c r="I1640" s="253"/>
      <c r="J1640" s="253"/>
      <c r="K1640" s="253"/>
      <c r="L1640" s="253"/>
      <c r="M1640" s="253"/>
      <c r="N1640" s="253"/>
      <c r="O1640" s="258"/>
      <c r="P1640" s="258"/>
      <c r="Q1640" s="258"/>
      <c r="R1640" s="258"/>
      <c r="S1640" s="258"/>
      <c r="T1640" s="258"/>
      <c r="U1640" s="258"/>
      <c r="V1640" s="258"/>
      <c r="W1640" s="258"/>
      <c r="X1640" s="258"/>
      <c r="Y1640" s="258"/>
      <c r="Z1640" s="258"/>
      <c r="AA1640" s="258"/>
      <c r="AB1640" s="258"/>
      <c r="AC1640" s="407"/>
    </row>
    <row r="1641" spans="2:29" s="406" customFormat="1" ht="16.5" customHeight="1">
      <c r="B1641" s="256"/>
      <c r="C1641" s="256"/>
      <c r="D1641" s="414"/>
      <c r="E1641" s="414"/>
      <c r="F1641" s="414"/>
      <c r="G1641" s="253"/>
      <c r="H1641" s="253"/>
      <c r="I1641" s="253"/>
      <c r="J1641" s="253"/>
      <c r="K1641" s="253"/>
      <c r="L1641" s="253"/>
      <c r="M1641" s="253"/>
      <c r="N1641" s="253"/>
      <c r="O1641" s="258"/>
      <c r="P1641" s="258"/>
      <c r="Q1641" s="258"/>
      <c r="R1641" s="258"/>
      <c r="S1641" s="258"/>
      <c r="T1641" s="258"/>
      <c r="U1641" s="258"/>
      <c r="V1641" s="258"/>
      <c r="W1641" s="258"/>
      <c r="X1641" s="258"/>
      <c r="Y1641" s="258"/>
      <c r="Z1641" s="258"/>
      <c r="AA1641" s="258"/>
      <c r="AB1641" s="258"/>
      <c r="AC1641" s="407"/>
    </row>
    <row r="1642" spans="2:29" s="406" customFormat="1" ht="16.5" customHeight="1">
      <c r="B1642" s="256"/>
      <c r="C1642" s="256"/>
      <c r="D1642" s="414"/>
      <c r="E1642" s="414"/>
      <c r="F1642" s="414"/>
      <c r="G1642" s="253"/>
      <c r="H1642" s="253"/>
      <c r="I1642" s="253"/>
      <c r="J1642" s="253"/>
      <c r="K1642" s="253"/>
      <c r="L1642" s="253"/>
      <c r="M1642" s="253"/>
      <c r="N1642" s="253"/>
      <c r="O1642" s="258"/>
      <c r="P1642" s="258"/>
      <c r="Q1642" s="258"/>
      <c r="R1642" s="258"/>
      <c r="S1642" s="258"/>
      <c r="T1642" s="258"/>
      <c r="U1642" s="258"/>
      <c r="V1642" s="258"/>
      <c r="W1642" s="258"/>
      <c r="X1642" s="258"/>
      <c r="Y1642" s="258"/>
      <c r="Z1642" s="258"/>
      <c r="AA1642" s="258"/>
      <c r="AB1642" s="258"/>
      <c r="AC1642" s="407"/>
    </row>
    <row r="1643" spans="2:29" s="406" customFormat="1" ht="16.5" customHeight="1">
      <c r="B1643" s="256"/>
      <c r="C1643" s="256"/>
      <c r="D1643" s="414"/>
      <c r="E1643" s="414"/>
      <c r="F1643" s="414"/>
      <c r="G1643" s="253"/>
      <c r="H1643" s="253"/>
      <c r="I1643" s="253"/>
      <c r="J1643" s="253"/>
      <c r="K1643" s="253"/>
      <c r="L1643" s="253"/>
      <c r="M1643" s="253"/>
      <c r="N1643" s="253"/>
      <c r="O1643" s="258"/>
      <c r="P1643" s="258"/>
      <c r="Q1643" s="258"/>
      <c r="R1643" s="258"/>
      <c r="S1643" s="258"/>
      <c r="T1643" s="258"/>
      <c r="U1643" s="258"/>
      <c r="V1643" s="258"/>
      <c r="W1643" s="258"/>
      <c r="X1643" s="258"/>
      <c r="Y1643" s="258"/>
      <c r="Z1643" s="258"/>
      <c r="AA1643" s="258"/>
      <c r="AB1643" s="258"/>
      <c r="AC1643" s="407"/>
    </row>
    <row r="1644" spans="2:29" s="406" customFormat="1" ht="16.5" customHeight="1">
      <c r="B1644" s="256"/>
      <c r="C1644" s="256"/>
      <c r="D1644" s="414"/>
      <c r="E1644" s="414"/>
      <c r="F1644" s="414"/>
      <c r="G1644" s="253"/>
      <c r="H1644" s="253"/>
      <c r="I1644" s="253"/>
      <c r="J1644" s="253"/>
      <c r="K1644" s="253"/>
      <c r="L1644" s="253"/>
      <c r="M1644" s="253"/>
      <c r="N1644" s="253"/>
      <c r="O1644" s="258"/>
      <c r="P1644" s="258"/>
      <c r="Q1644" s="258"/>
      <c r="R1644" s="258"/>
      <c r="S1644" s="258"/>
      <c r="T1644" s="258"/>
      <c r="U1644" s="258"/>
      <c r="V1644" s="258"/>
      <c r="W1644" s="258"/>
      <c r="X1644" s="258"/>
      <c r="Y1644" s="258"/>
      <c r="Z1644" s="258"/>
      <c r="AA1644" s="258"/>
      <c r="AB1644" s="258"/>
      <c r="AC1644" s="407"/>
    </row>
    <row r="1645" spans="2:29" s="406" customFormat="1" ht="16.5" customHeight="1">
      <c r="B1645" s="256"/>
      <c r="C1645" s="256"/>
      <c r="D1645" s="414"/>
      <c r="E1645" s="414"/>
      <c r="F1645" s="414"/>
      <c r="G1645" s="253"/>
      <c r="H1645" s="253"/>
      <c r="I1645" s="253"/>
      <c r="J1645" s="253"/>
      <c r="K1645" s="253"/>
      <c r="L1645" s="253"/>
      <c r="M1645" s="253"/>
      <c r="N1645" s="253"/>
      <c r="O1645" s="258"/>
      <c r="P1645" s="258"/>
      <c r="Q1645" s="258"/>
      <c r="R1645" s="258"/>
      <c r="S1645" s="258"/>
      <c r="T1645" s="258"/>
      <c r="U1645" s="258"/>
      <c r="V1645" s="258"/>
      <c r="W1645" s="258"/>
      <c r="X1645" s="258"/>
      <c r="Y1645" s="258"/>
      <c r="Z1645" s="258"/>
      <c r="AA1645" s="258"/>
      <c r="AB1645" s="258"/>
      <c r="AC1645" s="407"/>
    </row>
    <row r="1646" spans="2:29" s="406" customFormat="1" ht="16.5" customHeight="1">
      <c r="B1646" s="256"/>
      <c r="C1646" s="256"/>
      <c r="D1646" s="414"/>
      <c r="E1646" s="414"/>
      <c r="F1646" s="414"/>
      <c r="G1646" s="253"/>
      <c r="H1646" s="253"/>
      <c r="I1646" s="253"/>
      <c r="J1646" s="253"/>
      <c r="K1646" s="253"/>
      <c r="L1646" s="253"/>
      <c r="M1646" s="253"/>
      <c r="N1646" s="253"/>
      <c r="O1646" s="258"/>
      <c r="P1646" s="258"/>
      <c r="Q1646" s="258"/>
      <c r="R1646" s="258"/>
      <c r="S1646" s="258"/>
      <c r="T1646" s="258"/>
      <c r="U1646" s="258"/>
      <c r="V1646" s="258"/>
      <c r="W1646" s="258"/>
      <c r="X1646" s="258"/>
      <c r="Y1646" s="258"/>
      <c r="Z1646" s="258"/>
      <c r="AA1646" s="258"/>
      <c r="AB1646" s="258"/>
      <c r="AC1646" s="407"/>
    </row>
    <row r="1647" spans="2:29" s="406" customFormat="1" ht="16.5" customHeight="1">
      <c r="B1647" s="256"/>
      <c r="C1647" s="256"/>
      <c r="D1647" s="414"/>
      <c r="E1647" s="414"/>
      <c r="F1647" s="414"/>
      <c r="G1647" s="253"/>
      <c r="H1647" s="253"/>
      <c r="I1647" s="253"/>
      <c r="J1647" s="253"/>
      <c r="K1647" s="253"/>
      <c r="L1647" s="253"/>
      <c r="M1647" s="253"/>
      <c r="N1647" s="253"/>
      <c r="O1647" s="258"/>
      <c r="P1647" s="258"/>
      <c r="Q1647" s="258"/>
      <c r="R1647" s="258"/>
      <c r="S1647" s="258"/>
      <c r="T1647" s="258"/>
      <c r="U1647" s="258"/>
      <c r="V1647" s="258"/>
      <c r="W1647" s="258"/>
      <c r="X1647" s="258"/>
      <c r="Y1647" s="258"/>
      <c r="Z1647" s="258"/>
      <c r="AA1647" s="258"/>
      <c r="AB1647" s="258"/>
      <c r="AC1647" s="407"/>
    </row>
    <row r="1648" spans="2:29" s="406" customFormat="1" ht="16.5" customHeight="1">
      <c r="B1648" s="256"/>
      <c r="C1648" s="256"/>
      <c r="D1648" s="414"/>
      <c r="E1648" s="414"/>
      <c r="F1648" s="414"/>
      <c r="G1648" s="253"/>
      <c r="H1648" s="253"/>
      <c r="I1648" s="253"/>
      <c r="J1648" s="253"/>
      <c r="K1648" s="253"/>
      <c r="L1648" s="253"/>
      <c r="M1648" s="253"/>
      <c r="N1648" s="253"/>
      <c r="O1648" s="258"/>
      <c r="P1648" s="258"/>
      <c r="Q1648" s="258"/>
      <c r="R1648" s="258"/>
      <c r="S1648" s="258"/>
      <c r="T1648" s="258"/>
      <c r="U1648" s="258"/>
      <c r="V1648" s="258"/>
      <c r="W1648" s="258"/>
      <c r="X1648" s="258"/>
      <c r="Y1648" s="258"/>
      <c r="Z1648" s="258"/>
      <c r="AA1648" s="258"/>
      <c r="AB1648" s="258"/>
      <c r="AC1648" s="407"/>
    </row>
    <row r="1649" spans="2:29" s="406" customFormat="1" ht="16.5" customHeight="1">
      <c r="B1649" s="256"/>
      <c r="C1649" s="256"/>
      <c r="D1649" s="414"/>
      <c r="E1649" s="414"/>
      <c r="F1649" s="414"/>
      <c r="G1649" s="253"/>
      <c r="H1649" s="253"/>
      <c r="I1649" s="253"/>
      <c r="J1649" s="253"/>
      <c r="K1649" s="253"/>
      <c r="L1649" s="253"/>
      <c r="M1649" s="253"/>
      <c r="N1649" s="253"/>
      <c r="O1649" s="258"/>
      <c r="P1649" s="258"/>
      <c r="Q1649" s="258"/>
      <c r="R1649" s="258"/>
      <c r="S1649" s="258"/>
      <c r="T1649" s="258"/>
      <c r="U1649" s="258"/>
      <c r="V1649" s="258"/>
      <c r="W1649" s="258"/>
      <c r="X1649" s="258"/>
      <c r="Y1649" s="258"/>
      <c r="Z1649" s="258"/>
      <c r="AA1649" s="258"/>
      <c r="AB1649" s="258"/>
      <c r="AC1649" s="407"/>
    </row>
    <row r="1650" spans="2:29" s="406" customFormat="1" ht="16.5" customHeight="1">
      <c r="B1650" s="256"/>
      <c r="C1650" s="256"/>
      <c r="D1650" s="414"/>
      <c r="E1650" s="414"/>
      <c r="F1650" s="414"/>
      <c r="G1650" s="253"/>
      <c r="H1650" s="253"/>
      <c r="I1650" s="253"/>
      <c r="J1650" s="253"/>
      <c r="K1650" s="253"/>
      <c r="L1650" s="253"/>
      <c r="M1650" s="253"/>
      <c r="N1650" s="253"/>
      <c r="O1650" s="258"/>
      <c r="P1650" s="258"/>
      <c r="Q1650" s="258"/>
      <c r="R1650" s="258"/>
      <c r="S1650" s="258"/>
      <c r="T1650" s="258"/>
      <c r="U1650" s="258"/>
      <c r="V1650" s="258"/>
      <c r="W1650" s="258"/>
      <c r="X1650" s="258"/>
      <c r="Y1650" s="258"/>
      <c r="Z1650" s="258"/>
      <c r="AA1650" s="258"/>
      <c r="AB1650" s="258"/>
      <c r="AC1650" s="407"/>
    </row>
    <row r="1651" spans="2:29" s="406" customFormat="1" ht="16.5" customHeight="1">
      <c r="B1651" s="256"/>
      <c r="C1651" s="256"/>
      <c r="D1651" s="414"/>
      <c r="E1651" s="414"/>
      <c r="F1651" s="414"/>
      <c r="G1651" s="253"/>
      <c r="H1651" s="253"/>
      <c r="I1651" s="253"/>
      <c r="J1651" s="253"/>
      <c r="K1651" s="253"/>
      <c r="L1651" s="253"/>
      <c r="M1651" s="253"/>
      <c r="N1651" s="253"/>
      <c r="O1651" s="258"/>
      <c r="P1651" s="258"/>
      <c r="Q1651" s="258"/>
      <c r="R1651" s="258"/>
      <c r="S1651" s="258"/>
      <c r="T1651" s="258"/>
      <c r="U1651" s="258"/>
      <c r="V1651" s="258"/>
      <c r="W1651" s="258"/>
      <c r="X1651" s="258"/>
      <c r="Y1651" s="258"/>
      <c r="Z1651" s="258"/>
      <c r="AA1651" s="258"/>
      <c r="AB1651" s="258"/>
      <c r="AC1651" s="407"/>
    </row>
    <row r="1652" spans="2:29" s="406" customFormat="1" ht="16.5" customHeight="1">
      <c r="B1652" s="256"/>
      <c r="C1652" s="256"/>
      <c r="D1652" s="414"/>
      <c r="E1652" s="414"/>
      <c r="F1652" s="414"/>
      <c r="G1652" s="253"/>
      <c r="H1652" s="253"/>
      <c r="I1652" s="253"/>
      <c r="J1652" s="253"/>
      <c r="K1652" s="253"/>
      <c r="L1652" s="253"/>
      <c r="M1652" s="253"/>
      <c r="N1652" s="253"/>
      <c r="O1652" s="258"/>
      <c r="P1652" s="258"/>
      <c r="Q1652" s="258"/>
      <c r="R1652" s="258"/>
      <c r="S1652" s="258"/>
      <c r="T1652" s="258"/>
      <c r="U1652" s="258"/>
      <c r="V1652" s="258"/>
      <c r="W1652" s="258"/>
      <c r="X1652" s="258"/>
      <c r="Y1652" s="258"/>
      <c r="Z1652" s="258"/>
      <c r="AA1652" s="258"/>
      <c r="AB1652" s="258"/>
      <c r="AC1652" s="407"/>
    </row>
    <row r="1653" spans="2:29" s="406" customFormat="1" ht="16.5" customHeight="1">
      <c r="B1653" s="256"/>
      <c r="C1653" s="256"/>
      <c r="D1653" s="414"/>
      <c r="E1653" s="414"/>
      <c r="F1653" s="414"/>
      <c r="G1653" s="253"/>
      <c r="H1653" s="253"/>
      <c r="I1653" s="253"/>
      <c r="J1653" s="253"/>
      <c r="K1653" s="253"/>
      <c r="L1653" s="253"/>
      <c r="M1653" s="253"/>
      <c r="N1653" s="253"/>
      <c r="O1653" s="258"/>
      <c r="P1653" s="258"/>
      <c r="Q1653" s="258"/>
      <c r="R1653" s="258"/>
      <c r="S1653" s="258"/>
      <c r="T1653" s="258"/>
      <c r="U1653" s="258"/>
      <c r="V1653" s="258"/>
      <c r="W1653" s="258"/>
      <c r="X1653" s="258"/>
      <c r="Y1653" s="258"/>
      <c r="Z1653" s="258"/>
      <c r="AA1653" s="258"/>
      <c r="AB1653" s="258"/>
      <c r="AC1653" s="407"/>
    </row>
    <row r="1654" spans="2:29" s="406" customFormat="1" ht="16.5" customHeight="1">
      <c r="B1654" s="256"/>
      <c r="C1654" s="256"/>
      <c r="D1654" s="414"/>
      <c r="E1654" s="414"/>
      <c r="F1654" s="414"/>
      <c r="G1654" s="253"/>
      <c r="H1654" s="253"/>
      <c r="I1654" s="253"/>
      <c r="J1654" s="253"/>
      <c r="K1654" s="253"/>
      <c r="L1654" s="253"/>
      <c r="M1654" s="253"/>
      <c r="N1654" s="253"/>
      <c r="O1654" s="258"/>
      <c r="P1654" s="258"/>
      <c r="Q1654" s="258"/>
      <c r="R1654" s="258"/>
      <c r="S1654" s="258"/>
      <c r="T1654" s="258"/>
      <c r="U1654" s="258"/>
      <c r="V1654" s="258"/>
      <c r="W1654" s="258"/>
      <c r="X1654" s="258"/>
      <c r="Y1654" s="258"/>
      <c r="Z1654" s="258"/>
      <c r="AA1654" s="258"/>
      <c r="AB1654" s="258"/>
      <c r="AC1654" s="407"/>
    </row>
    <row r="1655" spans="2:29" s="406" customFormat="1" ht="16.5" customHeight="1">
      <c r="B1655" s="256"/>
      <c r="C1655" s="256"/>
      <c r="D1655" s="414"/>
      <c r="E1655" s="414"/>
      <c r="F1655" s="414"/>
      <c r="G1655" s="253"/>
      <c r="H1655" s="253"/>
      <c r="I1655" s="253"/>
      <c r="J1655" s="253"/>
      <c r="K1655" s="253"/>
      <c r="L1655" s="253"/>
      <c r="M1655" s="253"/>
      <c r="N1655" s="253"/>
      <c r="O1655" s="258"/>
      <c r="P1655" s="258"/>
      <c r="Q1655" s="258"/>
      <c r="R1655" s="258"/>
      <c r="S1655" s="258"/>
      <c r="T1655" s="258"/>
      <c r="U1655" s="258"/>
      <c r="V1655" s="258"/>
      <c r="W1655" s="258"/>
      <c r="X1655" s="258"/>
      <c r="Y1655" s="258"/>
      <c r="Z1655" s="258"/>
      <c r="AA1655" s="258"/>
      <c r="AB1655" s="258"/>
      <c r="AC1655" s="407"/>
    </row>
    <row r="1656" spans="2:29" s="406" customFormat="1" ht="16.5" customHeight="1">
      <c r="B1656" s="256"/>
      <c r="C1656" s="256"/>
      <c r="D1656" s="414"/>
      <c r="E1656" s="414"/>
      <c r="F1656" s="414"/>
      <c r="G1656" s="253"/>
      <c r="H1656" s="253"/>
      <c r="I1656" s="253"/>
      <c r="J1656" s="253"/>
      <c r="K1656" s="253"/>
      <c r="L1656" s="253"/>
      <c r="M1656" s="253"/>
      <c r="N1656" s="253"/>
      <c r="O1656" s="258"/>
      <c r="P1656" s="258"/>
      <c r="Q1656" s="258"/>
      <c r="R1656" s="258"/>
      <c r="S1656" s="258"/>
      <c r="T1656" s="258"/>
      <c r="U1656" s="258"/>
      <c r="V1656" s="258"/>
      <c r="W1656" s="258"/>
      <c r="X1656" s="258"/>
      <c r="Y1656" s="258"/>
      <c r="Z1656" s="258"/>
      <c r="AA1656" s="258"/>
      <c r="AB1656" s="258"/>
      <c r="AC1656" s="407"/>
    </row>
    <row r="1657" spans="2:29" s="406" customFormat="1" ht="16.5" customHeight="1">
      <c r="B1657" s="256"/>
      <c r="C1657" s="256"/>
      <c r="D1657" s="414"/>
      <c r="E1657" s="414"/>
      <c r="F1657" s="414"/>
      <c r="G1657" s="253"/>
      <c r="H1657" s="253"/>
      <c r="I1657" s="253"/>
      <c r="J1657" s="253"/>
      <c r="K1657" s="253"/>
      <c r="L1657" s="253"/>
      <c r="M1657" s="253"/>
      <c r="N1657" s="253"/>
      <c r="O1657" s="258"/>
      <c r="P1657" s="258"/>
      <c r="Q1657" s="258"/>
      <c r="R1657" s="258"/>
      <c r="S1657" s="258"/>
      <c r="T1657" s="258"/>
      <c r="U1657" s="258"/>
      <c r="V1657" s="258"/>
      <c r="W1657" s="258"/>
      <c r="X1657" s="258"/>
      <c r="Y1657" s="258"/>
      <c r="Z1657" s="258"/>
      <c r="AA1657" s="258"/>
      <c r="AB1657" s="258"/>
      <c r="AC1657" s="407"/>
    </row>
    <row r="1658" spans="2:29" s="406" customFormat="1" ht="16.5" customHeight="1">
      <c r="B1658" s="256"/>
      <c r="C1658" s="256"/>
      <c r="D1658" s="414"/>
      <c r="E1658" s="414"/>
      <c r="F1658" s="414"/>
      <c r="G1658" s="253"/>
      <c r="H1658" s="253"/>
      <c r="I1658" s="253"/>
      <c r="J1658" s="253"/>
      <c r="K1658" s="253"/>
      <c r="L1658" s="253"/>
      <c r="M1658" s="253"/>
      <c r="N1658" s="253"/>
      <c r="O1658" s="258"/>
      <c r="P1658" s="258"/>
      <c r="Q1658" s="258"/>
      <c r="R1658" s="258"/>
      <c r="S1658" s="258"/>
      <c r="T1658" s="258"/>
      <c r="U1658" s="258"/>
      <c r="V1658" s="258"/>
      <c r="W1658" s="258"/>
      <c r="X1658" s="258"/>
      <c r="Y1658" s="258"/>
      <c r="Z1658" s="258"/>
      <c r="AA1658" s="258"/>
      <c r="AB1658" s="258"/>
      <c r="AC1658" s="407"/>
    </row>
    <row r="1659" spans="2:29" s="406" customFormat="1" ht="16.5" customHeight="1">
      <c r="B1659" s="256"/>
      <c r="C1659" s="256"/>
      <c r="D1659" s="414"/>
      <c r="E1659" s="414"/>
      <c r="F1659" s="414"/>
      <c r="G1659" s="253"/>
      <c r="H1659" s="253"/>
      <c r="I1659" s="253"/>
      <c r="J1659" s="253"/>
      <c r="K1659" s="253"/>
      <c r="L1659" s="253"/>
      <c r="M1659" s="253"/>
      <c r="N1659" s="253"/>
      <c r="O1659" s="258"/>
      <c r="P1659" s="258"/>
      <c r="Q1659" s="258"/>
      <c r="R1659" s="258"/>
      <c r="S1659" s="258"/>
      <c r="T1659" s="258"/>
      <c r="U1659" s="258"/>
      <c r="V1659" s="258"/>
      <c r="W1659" s="258"/>
      <c r="X1659" s="258"/>
      <c r="Y1659" s="258"/>
      <c r="Z1659" s="258"/>
      <c r="AA1659" s="258"/>
      <c r="AB1659" s="258"/>
      <c r="AC1659" s="407"/>
    </row>
    <row r="1660" spans="2:29" s="406" customFormat="1" ht="16.5" customHeight="1">
      <c r="B1660" s="256"/>
      <c r="C1660" s="256"/>
      <c r="D1660" s="414"/>
      <c r="E1660" s="414"/>
      <c r="F1660" s="414"/>
      <c r="G1660" s="253"/>
      <c r="H1660" s="253"/>
      <c r="I1660" s="253"/>
      <c r="J1660" s="253"/>
      <c r="K1660" s="253"/>
      <c r="L1660" s="253"/>
      <c r="M1660" s="253"/>
      <c r="N1660" s="253"/>
      <c r="O1660" s="258"/>
      <c r="P1660" s="258"/>
      <c r="Q1660" s="258"/>
      <c r="R1660" s="258"/>
      <c r="S1660" s="258"/>
      <c r="T1660" s="258"/>
      <c r="U1660" s="258"/>
      <c r="V1660" s="258"/>
      <c r="W1660" s="258"/>
      <c r="X1660" s="258"/>
      <c r="Y1660" s="258"/>
      <c r="Z1660" s="258"/>
      <c r="AA1660" s="258"/>
      <c r="AB1660" s="258"/>
      <c r="AC1660" s="407"/>
    </row>
    <row r="1661" spans="2:29" s="406" customFormat="1" ht="16.5" customHeight="1">
      <c r="B1661" s="256"/>
      <c r="C1661" s="256"/>
      <c r="D1661" s="414"/>
      <c r="E1661" s="414"/>
      <c r="F1661" s="414"/>
      <c r="G1661" s="253"/>
      <c r="H1661" s="253"/>
      <c r="I1661" s="253"/>
      <c r="J1661" s="253"/>
      <c r="K1661" s="253"/>
      <c r="L1661" s="253"/>
      <c r="M1661" s="253"/>
      <c r="N1661" s="253"/>
      <c r="O1661" s="258"/>
      <c r="P1661" s="258"/>
      <c r="Q1661" s="258"/>
      <c r="R1661" s="258"/>
      <c r="S1661" s="258"/>
      <c r="T1661" s="258"/>
      <c r="U1661" s="258"/>
      <c r="V1661" s="258"/>
      <c r="W1661" s="258"/>
      <c r="X1661" s="258"/>
      <c r="Y1661" s="258"/>
      <c r="Z1661" s="258"/>
      <c r="AA1661" s="258"/>
      <c r="AB1661" s="258"/>
      <c r="AC1661" s="407"/>
    </row>
    <row r="1662" spans="2:29" s="406" customFormat="1" ht="16.5" customHeight="1">
      <c r="B1662" s="256"/>
      <c r="C1662" s="256"/>
      <c r="D1662" s="414"/>
      <c r="E1662" s="414"/>
      <c r="F1662" s="414"/>
      <c r="G1662" s="253"/>
      <c r="H1662" s="253"/>
      <c r="I1662" s="253"/>
      <c r="J1662" s="253"/>
      <c r="K1662" s="253"/>
      <c r="L1662" s="253"/>
      <c r="M1662" s="253"/>
      <c r="N1662" s="253"/>
      <c r="O1662" s="258"/>
      <c r="P1662" s="258"/>
      <c r="Q1662" s="258"/>
      <c r="R1662" s="258"/>
      <c r="S1662" s="258"/>
      <c r="T1662" s="258"/>
      <c r="U1662" s="258"/>
      <c r="V1662" s="258"/>
      <c r="W1662" s="258"/>
      <c r="X1662" s="258"/>
      <c r="Y1662" s="258"/>
      <c r="Z1662" s="258"/>
      <c r="AA1662" s="258"/>
      <c r="AB1662" s="258"/>
      <c r="AC1662" s="407"/>
    </row>
    <row r="1663" spans="2:29" s="406" customFormat="1" ht="16.5" customHeight="1">
      <c r="B1663" s="256"/>
      <c r="C1663" s="256"/>
      <c r="D1663" s="414"/>
      <c r="E1663" s="414"/>
      <c r="F1663" s="414"/>
      <c r="G1663" s="253"/>
      <c r="H1663" s="253"/>
      <c r="I1663" s="253"/>
      <c r="J1663" s="253"/>
      <c r="K1663" s="253"/>
      <c r="L1663" s="253"/>
      <c r="M1663" s="253"/>
      <c r="N1663" s="253"/>
      <c r="O1663" s="258"/>
      <c r="P1663" s="258"/>
      <c r="Q1663" s="258"/>
      <c r="R1663" s="258"/>
      <c r="S1663" s="258"/>
      <c r="T1663" s="258"/>
      <c r="U1663" s="258"/>
      <c r="V1663" s="258"/>
      <c r="W1663" s="258"/>
      <c r="X1663" s="258"/>
      <c r="Y1663" s="258"/>
      <c r="Z1663" s="258"/>
      <c r="AA1663" s="258"/>
      <c r="AB1663" s="258"/>
      <c r="AC1663" s="407"/>
    </row>
    <row r="1664" spans="2:29" s="406" customFormat="1" ht="16.5" customHeight="1">
      <c r="B1664" s="256"/>
      <c r="C1664" s="256"/>
      <c r="D1664" s="414"/>
      <c r="E1664" s="414"/>
      <c r="F1664" s="414"/>
      <c r="G1664" s="253"/>
      <c r="H1664" s="253"/>
      <c r="I1664" s="253"/>
      <c r="J1664" s="253"/>
      <c r="K1664" s="253"/>
      <c r="L1664" s="253"/>
      <c r="M1664" s="253"/>
      <c r="N1664" s="253"/>
      <c r="O1664" s="258"/>
      <c r="P1664" s="258"/>
      <c r="Q1664" s="258"/>
      <c r="R1664" s="258"/>
      <c r="S1664" s="258"/>
      <c r="T1664" s="258"/>
      <c r="U1664" s="258"/>
      <c r="V1664" s="258"/>
      <c r="W1664" s="258"/>
      <c r="X1664" s="258"/>
      <c r="Y1664" s="258"/>
      <c r="Z1664" s="258"/>
      <c r="AA1664" s="258"/>
      <c r="AB1664" s="258"/>
      <c r="AC1664" s="407"/>
    </row>
    <row r="1665" spans="2:29" s="406" customFormat="1" ht="16.5" customHeight="1">
      <c r="B1665" s="256"/>
      <c r="C1665" s="256"/>
      <c r="D1665" s="414"/>
      <c r="E1665" s="414"/>
      <c r="F1665" s="414"/>
      <c r="G1665" s="253"/>
      <c r="H1665" s="253"/>
      <c r="I1665" s="253"/>
      <c r="J1665" s="253"/>
      <c r="K1665" s="253"/>
      <c r="L1665" s="253"/>
      <c r="M1665" s="253"/>
      <c r="N1665" s="253"/>
      <c r="O1665" s="258"/>
      <c r="P1665" s="258"/>
      <c r="Q1665" s="258"/>
      <c r="R1665" s="258"/>
      <c r="S1665" s="258"/>
      <c r="T1665" s="258"/>
      <c r="U1665" s="258"/>
      <c r="V1665" s="258"/>
      <c r="W1665" s="258"/>
      <c r="X1665" s="258"/>
      <c r="Y1665" s="258"/>
      <c r="Z1665" s="258"/>
      <c r="AA1665" s="258"/>
      <c r="AB1665" s="258"/>
      <c r="AC1665" s="407"/>
    </row>
    <row r="1666" spans="2:29" s="406" customFormat="1" ht="16.5" customHeight="1">
      <c r="B1666" s="256"/>
      <c r="C1666" s="256"/>
      <c r="D1666" s="414"/>
      <c r="E1666" s="414"/>
      <c r="F1666" s="414"/>
      <c r="G1666" s="253"/>
      <c r="H1666" s="253"/>
      <c r="I1666" s="253"/>
      <c r="J1666" s="253"/>
      <c r="K1666" s="253"/>
      <c r="L1666" s="253"/>
      <c r="M1666" s="253"/>
      <c r="N1666" s="253"/>
      <c r="O1666" s="258"/>
      <c r="P1666" s="258"/>
      <c r="Q1666" s="258"/>
      <c r="R1666" s="258"/>
      <c r="S1666" s="258"/>
      <c r="T1666" s="258"/>
      <c r="U1666" s="258"/>
      <c r="V1666" s="258"/>
      <c r="W1666" s="258"/>
      <c r="X1666" s="258"/>
      <c r="Y1666" s="258"/>
      <c r="Z1666" s="258"/>
      <c r="AA1666" s="258"/>
      <c r="AB1666" s="258"/>
      <c r="AC1666" s="407"/>
    </row>
    <row r="1667" spans="2:29" s="406" customFormat="1" ht="16.5" customHeight="1">
      <c r="B1667" s="256"/>
      <c r="C1667" s="256"/>
      <c r="D1667" s="414"/>
      <c r="E1667" s="414"/>
      <c r="F1667" s="414"/>
      <c r="G1667" s="253"/>
      <c r="H1667" s="253"/>
      <c r="I1667" s="253"/>
      <c r="J1667" s="253"/>
      <c r="K1667" s="253"/>
      <c r="L1667" s="253"/>
      <c r="M1667" s="253"/>
      <c r="N1667" s="253"/>
      <c r="O1667" s="258"/>
      <c r="P1667" s="258"/>
      <c r="Q1667" s="258"/>
      <c r="R1667" s="258"/>
      <c r="S1667" s="258"/>
      <c r="T1667" s="258"/>
      <c r="U1667" s="258"/>
      <c r="V1667" s="258"/>
      <c r="W1667" s="258"/>
      <c r="X1667" s="258"/>
      <c r="Y1667" s="258"/>
      <c r="Z1667" s="258"/>
      <c r="AA1667" s="258"/>
      <c r="AB1667" s="258"/>
      <c r="AC1667" s="407"/>
    </row>
    <row r="1668" spans="2:29" s="406" customFormat="1" ht="16.5" customHeight="1">
      <c r="B1668" s="256"/>
      <c r="C1668" s="256"/>
      <c r="D1668" s="414"/>
      <c r="E1668" s="414"/>
      <c r="F1668" s="414"/>
      <c r="G1668" s="253"/>
      <c r="H1668" s="253"/>
      <c r="I1668" s="253"/>
      <c r="J1668" s="253"/>
      <c r="K1668" s="253"/>
      <c r="L1668" s="253"/>
      <c r="M1668" s="253"/>
      <c r="N1668" s="253"/>
      <c r="O1668" s="258"/>
      <c r="P1668" s="258"/>
      <c r="Q1668" s="258"/>
      <c r="R1668" s="258"/>
      <c r="S1668" s="258"/>
      <c r="T1668" s="258"/>
      <c r="U1668" s="258"/>
      <c r="V1668" s="258"/>
      <c r="W1668" s="258"/>
      <c r="X1668" s="258"/>
      <c r="Y1668" s="258"/>
      <c r="Z1668" s="258"/>
      <c r="AA1668" s="258"/>
      <c r="AB1668" s="258"/>
      <c r="AC1668" s="407"/>
    </row>
    <row r="1669" spans="2:29" s="406" customFormat="1" ht="16.5" customHeight="1">
      <c r="B1669" s="256"/>
      <c r="C1669" s="256"/>
      <c r="D1669" s="414"/>
      <c r="E1669" s="414"/>
      <c r="F1669" s="414"/>
      <c r="G1669" s="253"/>
      <c r="H1669" s="253"/>
      <c r="I1669" s="253"/>
      <c r="J1669" s="253"/>
      <c r="K1669" s="253"/>
      <c r="L1669" s="253"/>
      <c r="M1669" s="253"/>
      <c r="N1669" s="253"/>
      <c r="O1669" s="258"/>
      <c r="P1669" s="258"/>
      <c r="Q1669" s="258"/>
      <c r="R1669" s="258"/>
      <c r="S1669" s="258"/>
      <c r="T1669" s="258"/>
      <c r="U1669" s="258"/>
      <c r="V1669" s="258"/>
      <c r="W1669" s="258"/>
      <c r="X1669" s="258"/>
      <c r="Y1669" s="258"/>
      <c r="Z1669" s="258"/>
      <c r="AA1669" s="258"/>
      <c r="AB1669" s="258"/>
      <c r="AC1669" s="407"/>
    </row>
    <row r="1670" spans="2:29" s="406" customFormat="1" ht="16.5" customHeight="1">
      <c r="B1670" s="256"/>
      <c r="C1670" s="256"/>
      <c r="D1670" s="414"/>
      <c r="E1670" s="414"/>
      <c r="F1670" s="414"/>
      <c r="G1670" s="253"/>
      <c r="H1670" s="253"/>
      <c r="I1670" s="253"/>
      <c r="J1670" s="253"/>
      <c r="K1670" s="253"/>
      <c r="L1670" s="253"/>
      <c r="M1670" s="253"/>
      <c r="N1670" s="253"/>
      <c r="O1670" s="258"/>
      <c r="P1670" s="258"/>
      <c r="Q1670" s="258"/>
      <c r="R1670" s="258"/>
      <c r="S1670" s="258"/>
      <c r="T1670" s="258"/>
      <c r="U1670" s="258"/>
      <c r="V1670" s="258"/>
      <c r="W1670" s="258"/>
      <c r="X1670" s="258"/>
      <c r="Y1670" s="258"/>
      <c r="Z1670" s="258"/>
      <c r="AA1670" s="258"/>
      <c r="AB1670" s="258"/>
      <c r="AC1670" s="407"/>
    </row>
    <row r="1671" spans="2:29" s="406" customFormat="1" ht="16.5" customHeight="1">
      <c r="B1671" s="256"/>
      <c r="C1671" s="256"/>
      <c r="D1671" s="414"/>
      <c r="E1671" s="414"/>
      <c r="F1671" s="414"/>
      <c r="G1671" s="253"/>
      <c r="H1671" s="253"/>
      <c r="I1671" s="253"/>
      <c r="J1671" s="253"/>
      <c r="K1671" s="253"/>
      <c r="L1671" s="253"/>
      <c r="M1671" s="253"/>
      <c r="N1671" s="253"/>
      <c r="O1671" s="258"/>
      <c r="P1671" s="258"/>
      <c r="Q1671" s="258"/>
      <c r="R1671" s="258"/>
      <c r="S1671" s="258"/>
      <c r="T1671" s="258"/>
      <c r="U1671" s="258"/>
      <c r="V1671" s="258"/>
      <c r="W1671" s="258"/>
      <c r="X1671" s="258"/>
      <c r="Y1671" s="258"/>
      <c r="Z1671" s="258"/>
      <c r="AA1671" s="258"/>
      <c r="AB1671" s="258"/>
      <c r="AC1671" s="407"/>
    </row>
    <row r="1672" spans="2:29" s="406" customFormat="1" ht="16.5" customHeight="1">
      <c r="B1672" s="256"/>
      <c r="C1672" s="256"/>
      <c r="D1672" s="414"/>
      <c r="E1672" s="414"/>
      <c r="F1672" s="414"/>
      <c r="G1672" s="253"/>
      <c r="H1672" s="253"/>
      <c r="I1672" s="253"/>
      <c r="J1672" s="253"/>
      <c r="K1672" s="253"/>
      <c r="L1672" s="253"/>
      <c r="M1672" s="253"/>
      <c r="N1672" s="253"/>
      <c r="O1672" s="258"/>
      <c r="P1672" s="258"/>
      <c r="Q1672" s="258"/>
      <c r="R1672" s="258"/>
      <c r="S1672" s="258"/>
      <c r="T1672" s="258"/>
      <c r="U1672" s="258"/>
      <c r="V1672" s="258"/>
      <c r="W1672" s="258"/>
      <c r="X1672" s="258"/>
      <c r="Y1672" s="258"/>
      <c r="Z1672" s="258"/>
      <c r="AA1672" s="258"/>
      <c r="AB1672" s="258"/>
      <c r="AC1672" s="407"/>
    </row>
    <row r="1673" spans="2:29" s="406" customFormat="1" ht="16.5" customHeight="1">
      <c r="B1673" s="256"/>
      <c r="C1673" s="256"/>
      <c r="D1673" s="414"/>
      <c r="E1673" s="414"/>
      <c r="F1673" s="414"/>
      <c r="G1673" s="253"/>
      <c r="H1673" s="253"/>
      <c r="I1673" s="253"/>
      <c r="J1673" s="253"/>
      <c r="K1673" s="253"/>
      <c r="L1673" s="253"/>
      <c r="M1673" s="253"/>
      <c r="N1673" s="253"/>
      <c r="O1673" s="258"/>
      <c r="P1673" s="258"/>
      <c r="Q1673" s="258"/>
      <c r="R1673" s="258"/>
      <c r="S1673" s="258"/>
      <c r="T1673" s="258"/>
      <c r="U1673" s="258"/>
      <c r="V1673" s="258"/>
      <c r="W1673" s="258"/>
      <c r="X1673" s="258"/>
      <c r="Y1673" s="258"/>
      <c r="Z1673" s="258"/>
      <c r="AA1673" s="258"/>
      <c r="AB1673" s="258"/>
      <c r="AC1673" s="407"/>
    </row>
    <row r="1674" spans="2:29" s="406" customFormat="1" ht="16.5" customHeight="1">
      <c r="B1674" s="256"/>
      <c r="C1674" s="256"/>
      <c r="D1674" s="414"/>
      <c r="E1674" s="414"/>
      <c r="F1674" s="414"/>
      <c r="G1674" s="253"/>
      <c r="H1674" s="253"/>
      <c r="I1674" s="253"/>
      <c r="J1674" s="253"/>
      <c r="K1674" s="253"/>
      <c r="L1674" s="253"/>
      <c r="M1674" s="253"/>
      <c r="N1674" s="253"/>
      <c r="O1674" s="258"/>
      <c r="P1674" s="258"/>
      <c r="Q1674" s="258"/>
      <c r="R1674" s="258"/>
      <c r="S1674" s="258"/>
      <c r="T1674" s="258"/>
      <c r="U1674" s="258"/>
      <c r="V1674" s="258"/>
      <c r="W1674" s="258"/>
      <c r="X1674" s="258"/>
      <c r="Y1674" s="258"/>
      <c r="Z1674" s="258"/>
      <c r="AA1674" s="258"/>
      <c r="AB1674" s="258"/>
      <c r="AC1674" s="407"/>
    </row>
    <row r="1675" spans="2:29" s="406" customFormat="1" ht="16.5" customHeight="1">
      <c r="B1675" s="256"/>
      <c r="C1675" s="256"/>
      <c r="D1675" s="414"/>
      <c r="E1675" s="414"/>
      <c r="F1675" s="414"/>
      <c r="G1675" s="253"/>
      <c r="H1675" s="253"/>
      <c r="I1675" s="253"/>
      <c r="J1675" s="253"/>
      <c r="K1675" s="253"/>
      <c r="L1675" s="253"/>
      <c r="M1675" s="253"/>
      <c r="N1675" s="253"/>
      <c r="O1675" s="258"/>
      <c r="P1675" s="258"/>
      <c r="Q1675" s="258"/>
      <c r="R1675" s="258"/>
      <c r="S1675" s="258"/>
      <c r="T1675" s="258"/>
      <c r="U1675" s="258"/>
      <c r="V1675" s="258"/>
      <c r="W1675" s="258"/>
      <c r="X1675" s="258"/>
      <c r="Y1675" s="258"/>
      <c r="Z1675" s="258"/>
      <c r="AA1675" s="258"/>
      <c r="AB1675" s="258"/>
      <c r="AC1675" s="407"/>
    </row>
    <row r="1676" spans="2:29" s="406" customFormat="1" ht="16.5" customHeight="1">
      <c r="B1676" s="256"/>
      <c r="C1676" s="256"/>
      <c r="D1676" s="414"/>
      <c r="E1676" s="414"/>
      <c r="F1676" s="414"/>
      <c r="G1676" s="253"/>
      <c r="H1676" s="253"/>
      <c r="I1676" s="253"/>
      <c r="J1676" s="253"/>
      <c r="K1676" s="253"/>
      <c r="L1676" s="253"/>
      <c r="M1676" s="253"/>
      <c r="N1676" s="253"/>
      <c r="O1676" s="258"/>
      <c r="P1676" s="258"/>
      <c r="Q1676" s="258"/>
      <c r="R1676" s="258"/>
      <c r="S1676" s="258"/>
      <c r="T1676" s="258"/>
      <c r="U1676" s="258"/>
      <c r="V1676" s="258"/>
      <c r="W1676" s="258"/>
      <c r="X1676" s="258"/>
      <c r="Y1676" s="258"/>
      <c r="Z1676" s="258"/>
      <c r="AA1676" s="258"/>
      <c r="AB1676" s="258"/>
      <c r="AC1676" s="407"/>
    </row>
    <row r="1677" spans="2:29" s="406" customFormat="1" ht="16.5" customHeight="1">
      <c r="B1677" s="256"/>
      <c r="C1677" s="256"/>
      <c r="D1677" s="414"/>
      <c r="E1677" s="414"/>
      <c r="F1677" s="414"/>
      <c r="G1677" s="253"/>
      <c r="H1677" s="253"/>
      <c r="I1677" s="253"/>
      <c r="J1677" s="253"/>
      <c r="K1677" s="253"/>
      <c r="L1677" s="253"/>
      <c r="M1677" s="253"/>
      <c r="N1677" s="253"/>
      <c r="O1677" s="258"/>
      <c r="P1677" s="258"/>
      <c r="Q1677" s="258"/>
      <c r="R1677" s="258"/>
      <c r="S1677" s="258"/>
      <c r="T1677" s="258"/>
      <c r="U1677" s="258"/>
      <c r="V1677" s="258"/>
      <c r="W1677" s="258"/>
      <c r="X1677" s="258"/>
      <c r="Y1677" s="258"/>
      <c r="Z1677" s="258"/>
      <c r="AA1677" s="258"/>
      <c r="AB1677" s="258"/>
      <c r="AC1677" s="407"/>
    </row>
    <row r="1678" spans="2:29" s="406" customFormat="1" ht="16.5" customHeight="1">
      <c r="B1678" s="256"/>
      <c r="C1678" s="256"/>
      <c r="D1678" s="414"/>
      <c r="E1678" s="414"/>
      <c r="F1678" s="414"/>
      <c r="G1678" s="253"/>
      <c r="H1678" s="253"/>
      <c r="I1678" s="253"/>
      <c r="J1678" s="253"/>
      <c r="K1678" s="253"/>
      <c r="L1678" s="253"/>
      <c r="M1678" s="253"/>
      <c r="N1678" s="253"/>
      <c r="O1678" s="258"/>
      <c r="P1678" s="258"/>
      <c r="Q1678" s="258"/>
      <c r="R1678" s="258"/>
      <c r="S1678" s="258"/>
      <c r="T1678" s="258"/>
      <c r="U1678" s="258"/>
      <c r="V1678" s="258"/>
      <c r="W1678" s="258"/>
      <c r="X1678" s="258"/>
      <c r="Y1678" s="258"/>
      <c r="Z1678" s="258"/>
      <c r="AA1678" s="258"/>
      <c r="AB1678" s="258"/>
      <c r="AC1678" s="407"/>
    </row>
    <row r="1679" spans="2:29" s="406" customFormat="1" ht="16.5" customHeight="1">
      <c r="B1679" s="256"/>
      <c r="C1679" s="256"/>
      <c r="D1679" s="414"/>
      <c r="E1679" s="414"/>
      <c r="F1679" s="414"/>
      <c r="G1679" s="253"/>
      <c r="H1679" s="253"/>
      <c r="I1679" s="253"/>
      <c r="J1679" s="253"/>
      <c r="K1679" s="253"/>
      <c r="L1679" s="253"/>
      <c r="M1679" s="253"/>
      <c r="N1679" s="253"/>
      <c r="O1679" s="258"/>
      <c r="P1679" s="258"/>
      <c r="Q1679" s="258"/>
      <c r="R1679" s="258"/>
      <c r="S1679" s="258"/>
      <c r="T1679" s="258"/>
      <c r="U1679" s="258"/>
      <c r="V1679" s="258"/>
      <c r="W1679" s="258"/>
      <c r="X1679" s="258"/>
      <c r="Y1679" s="258"/>
      <c r="Z1679" s="258"/>
      <c r="AA1679" s="258"/>
      <c r="AB1679" s="258"/>
      <c r="AC1679" s="407"/>
    </row>
    <row r="1680" spans="2:29" s="406" customFormat="1" ht="16.5" customHeight="1">
      <c r="B1680" s="256"/>
      <c r="C1680" s="256"/>
      <c r="D1680" s="414"/>
      <c r="E1680" s="414"/>
      <c r="F1680" s="414"/>
      <c r="G1680" s="253"/>
      <c r="H1680" s="253"/>
      <c r="I1680" s="253"/>
      <c r="J1680" s="253"/>
      <c r="K1680" s="253"/>
      <c r="L1680" s="253"/>
      <c r="M1680" s="253"/>
      <c r="N1680" s="253"/>
      <c r="O1680" s="258"/>
      <c r="P1680" s="258"/>
      <c r="Q1680" s="258"/>
      <c r="R1680" s="258"/>
      <c r="S1680" s="258"/>
      <c r="T1680" s="258"/>
      <c r="U1680" s="258"/>
      <c r="V1680" s="258"/>
      <c r="W1680" s="258"/>
      <c r="X1680" s="258"/>
      <c r="Y1680" s="258"/>
      <c r="Z1680" s="258"/>
      <c r="AA1680" s="258"/>
      <c r="AB1680" s="258"/>
      <c r="AC1680" s="407"/>
    </row>
    <row r="1681" spans="2:29" s="406" customFormat="1" ht="16.5" customHeight="1">
      <c r="B1681" s="256"/>
      <c r="C1681" s="256"/>
      <c r="D1681" s="414"/>
      <c r="E1681" s="414"/>
      <c r="F1681" s="414"/>
      <c r="G1681" s="253"/>
      <c r="H1681" s="253"/>
      <c r="I1681" s="253"/>
      <c r="J1681" s="253"/>
      <c r="K1681" s="253"/>
      <c r="L1681" s="253"/>
      <c r="M1681" s="253"/>
      <c r="N1681" s="253"/>
      <c r="O1681" s="258"/>
      <c r="P1681" s="258"/>
      <c r="Q1681" s="258"/>
      <c r="R1681" s="258"/>
      <c r="S1681" s="258"/>
      <c r="T1681" s="258"/>
      <c r="U1681" s="258"/>
      <c r="V1681" s="258"/>
      <c r="W1681" s="258"/>
      <c r="X1681" s="258"/>
      <c r="Y1681" s="258"/>
      <c r="Z1681" s="258"/>
      <c r="AA1681" s="258"/>
      <c r="AB1681" s="258"/>
      <c r="AC1681" s="407"/>
    </row>
    <row r="1682" spans="2:29" s="406" customFormat="1" ht="16.5" customHeight="1">
      <c r="B1682" s="256"/>
      <c r="C1682" s="256"/>
      <c r="D1682" s="414"/>
      <c r="E1682" s="414"/>
      <c r="F1682" s="414"/>
      <c r="G1682" s="253"/>
      <c r="H1682" s="253"/>
      <c r="I1682" s="253"/>
      <c r="J1682" s="253"/>
      <c r="K1682" s="253"/>
      <c r="L1682" s="253"/>
      <c r="M1682" s="253"/>
      <c r="N1682" s="253"/>
      <c r="O1682" s="258"/>
      <c r="P1682" s="258"/>
      <c r="Q1682" s="258"/>
      <c r="R1682" s="258"/>
      <c r="S1682" s="258"/>
      <c r="T1682" s="258"/>
      <c r="U1682" s="258"/>
      <c r="V1682" s="258"/>
      <c r="W1682" s="258"/>
      <c r="X1682" s="258"/>
      <c r="Y1682" s="258"/>
      <c r="Z1682" s="258"/>
      <c r="AA1682" s="258"/>
      <c r="AB1682" s="258"/>
      <c r="AC1682" s="407"/>
    </row>
    <row r="1683" spans="2:29" s="406" customFormat="1" ht="16.5" customHeight="1">
      <c r="B1683" s="256"/>
      <c r="C1683" s="256"/>
      <c r="D1683" s="414"/>
      <c r="E1683" s="414"/>
      <c r="F1683" s="414"/>
      <c r="G1683" s="253"/>
      <c r="H1683" s="253"/>
      <c r="I1683" s="253"/>
      <c r="J1683" s="253"/>
      <c r="K1683" s="253"/>
      <c r="L1683" s="253"/>
      <c r="M1683" s="253"/>
      <c r="N1683" s="253"/>
      <c r="O1683" s="258"/>
      <c r="P1683" s="258"/>
      <c r="Q1683" s="258"/>
      <c r="R1683" s="258"/>
      <c r="S1683" s="258"/>
      <c r="T1683" s="258"/>
      <c r="U1683" s="258"/>
      <c r="V1683" s="258"/>
      <c r="W1683" s="258"/>
      <c r="X1683" s="258"/>
      <c r="Y1683" s="258"/>
      <c r="Z1683" s="258"/>
      <c r="AA1683" s="258"/>
      <c r="AB1683" s="258"/>
      <c r="AC1683" s="407"/>
    </row>
    <row r="1684" spans="2:29" s="406" customFormat="1" ht="16.5" customHeight="1">
      <c r="B1684" s="256"/>
      <c r="C1684" s="256"/>
      <c r="D1684" s="414"/>
      <c r="E1684" s="414"/>
      <c r="F1684" s="414"/>
      <c r="G1684" s="253"/>
      <c r="H1684" s="253"/>
      <c r="I1684" s="253"/>
      <c r="J1684" s="253"/>
      <c r="K1684" s="253"/>
      <c r="L1684" s="253"/>
      <c r="M1684" s="253"/>
      <c r="N1684" s="253"/>
      <c r="O1684" s="258"/>
      <c r="P1684" s="258"/>
      <c r="Q1684" s="258"/>
      <c r="R1684" s="258"/>
      <c r="S1684" s="258"/>
      <c r="T1684" s="258"/>
      <c r="U1684" s="258"/>
      <c r="V1684" s="258"/>
      <c r="W1684" s="258"/>
      <c r="X1684" s="258"/>
      <c r="Y1684" s="258"/>
      <c r="Z1684" s="258"/>
      <c r="AA1684" s="258"/>
      <c r="AB1684" s="258"/>
      <c r="AC1684" s="407"/>
    </row>
    <row r="1685" spans="2:29" s="406" customFormat="1" ht="16.5" customHeight="1">
      <c r="B1685" s="256"/>
      <c r="C1685" s="256"/>
      <c r="D1685" s="414"/>
      <c r="E1685" s="414"/>
      <c r="F1685" s="414"/>
      <c r="G1685" s="253"/>
      <c r="H1685" s="253"/>
      <c r="I1685" s="253"/>
      <c r="J1685" s="253"/>
      <c r="K1685" s="253"/>
      <c r="L1685" s="253"/>
      <c r="M1685" s="253"/>
      <c r="N1685" s="253"/>
      <c r="O1685" s="258"/>
      <c r="P1685" s="258"/>
      <c r="Q1685" s="258"/>
      <c r="R1685" s="258"/>
      <c r="S1685" s="258"/>
      <c r="T1685" s="258"/>
      <c r="U1685" s="258"/>
      <c r="V1685" s="258"/>
      <c r="W1685" s="258"/>
      <c r="X1685" s="258"/>
      <c r="Y1685" s="258"/>
      <c r="Z1685" s="258"/>
      <c r="AA1685" s="258"/>
      <c r="AB1685" s="258"/>
      <c r="AC1685" s="407"/>
    </row>
    <row r="1686" spans="2:29" s="406" customFormat="1" ht="16.5" customHeight="1">
      <c r="B1686" s="256"/>
      <c r="C1686" s="256"/>
      <c r="D1686" s="414"/>
      <c r="E1686" s="414"/>
      <c r="F1686" s="414"/>
      <c r="G1686" s="253"/>
      <c r="H1686" s="253"/>
      <c r="I1686" s="253"/>
      <c r="J1686" s="253"/>
      <c r="K1686" s="253"/>
      <c r="L1686" s="253"/>
      <c r="M1686" s="253"/>
      <c r="N1686" s="253"/>
      <c r="O1686" s="258"/>
      <c r="P1686" s="258"/>
      <c r="Q1686" s="258"/>
      <c r="R1686" s="258"/>
      <c r="S1686" s="258"/>
      <c r="T1686" s="258"/>
      <c r="U1686" s="258"/>
      <c r="V1686" s="258"/>
      <c r="W1686" s="258"/>
      <c r="X1686" s="258"/>
      <c r="Y1686" s="258"/>
      <c r="Z1686" s="258"/>
      <c r="AA1686" s="258"/>
      <c r="AB1686" s="258"/>
      <c r="AC1686" s="407"/>
    </row>
    <row r="1687" spans="2:29" s="406" customFormat="1" ht="16.5" customHeight="1">
      <c r="B1687" s="256"/>
      <c r="C1687" s="256"/>
      <c r="D1687" s="414"/>
      <c r="E1687" s="414"/>
      <c r="F1687" s="414"/>
      <c r="G1687" s="253"/>
      <c r="H1687" s="253"/>
      <c r="I1687" s="253"/>
      <c r="J1687" s="253"/>
      <c r="K1687" s="253"/>
      <c r="L1687" s="253"/>
      <c r="M1687" s="253"/>
      <c r="N1687" s="253"/>
      <c r="O1687" s="258"/>
      <c r="P1687" s="258"/>
      <c r="Q1687" s="258"/>
      <c r="R1687" s="258"/>
      <c r="S1687" s="258"/>
      <c r="T1687" s="258"/>
      <c r="U1687" s="258"/>
      <c r="V1687" s="258"/>
      <c r="W1687" s="258"/>
      <c r="X1687" s="258"/>
      <c r="Y1687" s="258"/>
      <c r="Z1687" s="258"/>
      <c r="AA1687" s="258"/>
      <c r="AB1687" s="258"/>
      <c r="AC1687" s="407"/>
    </row>
    <row r="1688" spans="2:29" s="406" customFormat="1" ht="16.5" customHeight="1">
      <c r="B1688" s="256"/>
      <c r="C1688" s="256"/>
      <c r="D1688" s="414"/>
      <c r="E1688" s="414"/>
      <c r="F1688" s="414"/>
      <c r="G1688" s="253"/>
      <c r="H1688" s="253"/>
      <c r="I1688" s="253"/>
      <c r="J1688" s="253"/>
      <c r="K1688" s="253"/>
      <c r="L1688" s="253"/>
      <c r="M1688" s="253"/>
      <c r="N1688" s="253"/>
      <c r="O1688" s="258"/>
      <c r="P1688" s="258"/>
      <c r="Q1688" s="258"/>
      <c r="R1688" s="258"/>
      <c r="S1688" s="258"/>
      <c r="T1688" s="258"/>
      <c r="U1688" s="258"/>
      <c r="V1688" s="258"/>
      <c r="W1688" s="258"/>
      <c r="X1688" s="258"/>
      <c r="Y1688" s="258"/>
      <c r="Z1688" s="258"/>
      <c r="AA1688" s="258"/>
      <c r="AB1688" s="258"/>
      <c r="AC1688" s="407"/>
    </row>
    <row r="1689" spans="2:29" s="406" customFormat="1" ht="16.5" customHeight="1">
      <c r="B1689" s="256"/>
      <c r="C1689" s="256"/>
      <c r="D1689" s="414"/>
      <c r="E1689" s="414"/>
      <c r="F1689" s="414"/>
      <c r="G1689" s="253"/>
      <c r="H1689" s="253"/>
      <c r="I1689" s="253"/>
      <c r="J1689" s="253"/>
      <c r="K1689" s="253"/>
      <c r="L1689" s="253"/>
      <c r="M1689" s="253"/>
      <c r="N1689" s="253"/>
      <c r="O1689" s="258"/>
      <c r="P1689" s="258"/>
      <c r="Q1689" s="258"/>
      <c r="R1689" s="258"/>
      <c r="S1689" s="258"/>
      <c r="T1689" s="258"/>
      <c r="U1689" s="258"/>
      <c r="V1689" s="258"/>
      <c r="W1689" s="258"/>
      <c r="X1689" s="258"/>
      <c r="Y1689" s="258"/>
      <c r="Z1689" s="258"/>
      <c r="AA1689" s="258"/>
      <c r="AB1689" s="258"/>
      <c r="AC1689" s="407"/>
    </row>
    <row r="1690" spans="2:29" s="406" customFormat="1" ht="16.5" customHeight="1">
      <c r="B1690" s="256"/>
      <c r="C1690" s="256"/>
      <c r="D1690" s="414"/>
      <c r="E1690" s="414"/>
      <c r="F1690" s="414"/>
      <c r="G1690" s="253"/>
      <c r="H1690" s="253"/>
      <c r="I1690" s="253"/>
      <c r="J1690" s="253"/>
      <c r="K1690" s="253"/>
      <c r="L1690" s="253"/>
      <c r="M1690" s="253"/>
      <c r="N1690" s="253"/>
      <c r="O1690" s="258"/>
      <c r="P1690" s="258"/>
      <c r="Q1690" s="258"/>
      <c r="R1690" s="258"/>
      <c r="S1690" s="258"/>
      <c r="T1690" s="258"/>
      <c r="U1690" s="258"/>
      <c r="V1690" s="258"/>
      <c r="W1690" s="258"/>
      <c r="X1690" s="258"/>
      <c r="Y1690" s="258"/>
      <c r="Z1690" s="258"/>
      <c r="AA1690" s="258"/>
      <c r="AB1690" s="258"/>
      <c r="AC1690" s="407"/>
    </row>
    <row r="1691" spans="2:29" s="406" customFormat="1" ht="16.5" customHeight="1">
      <c r="B1691" s="256"/>
      <c r="C1691" s="256"/>
      <c r="D1691" s="414"/>
      <c r="E1691" s="414"/>
      <c r="F1691" s="414"/>
      <c r="G1691" s="253"/>
      <c r="H1691" s="253"/>
      <c r="I1691" s="253"/>
      <c r="J1691" s="253"/>
      <c r="K1691" s="253"/>
      <c r="L1691" s="253"/>
      <c r="M1691" s="253"/>
      <c r="N1691" s="253"/>
      <c r="O1691" s="258"/>
      <c r="P1691" s="258"/>
      <c r="Q1691" s="258"/>
      <c r="R1691" s="258"/>
      <c r="S1691" s="258"/>
      <c r="T1691" s="258"/>
      <c r="U1691" s="258"/>
      <c r="V1691" s="258"/>
      <c r="W1691" s="258"/>
      <c r="X1691" s="258"/>
      <c r="Y1691" s="258"/>
      <c r="Z1691" s="258"/>
      <c r="AA1691" s="258"/>
      <c r="AB1691" s="258"/>
      <c r="AC1691" s="407"/>
    </row>
    <row r="1692" spans="2:29" s="406" customFormat="1" ht="16.5" customHeight="1">
      <c r="B1692" s="256"/>
      <c r="C1692" s="256"/>
      <c r="D1692" s="414"/>
      <c r="E1692" s="414"/>
      <c r="F1692" s="414"/>
      <c r="G1692" s="253"/>
      <c r="H1692" s="253"/>
      <c r="I1692" s="253"/>
      <c r="J1692" s="253"/>
      <c r="K1692" s="253"/>
      <c r="L1692" s="253"/>
      <c r="M1692" s="253"/>
      <c r="N1692" s="253"/>
      <c r="O1692" s="258"/>
      <c r="P1692" s="258"/>
      <c r="Q1692" s="258"/>
      <c r="R1692" s="258"/>
      <c r="S1692" s="258"/>
      <c r="T1692" s="258"/>
      <c r="U1692" s="258"/>
      <c r="V1692" s="258"/>
      <c r="W1692" s="258"/>
      <c r="X1692" s="258"/>
      <c r="Y1692" s="258"/>
      <c r="Z1692" s="258"/>
      <c r="AA1692" s="258"/>
      <c r="AB1692" s="258"/>
      <c r="AC1692" s="407"/>
    </row>
    <row r="1693" spans="2:29" s="406" customFormat="1" ht="16.5" customHeight="1">
      <c r="B1693" s="256"/>
      <c r="C1693" s="256"/>
      <c r="D1693" s="414"/>
      <c r="E1693" s="414"/>
      <c r="F1693" s="414"/>
      <c r="G1693" s="253"/>
      <c r="H1693" s="253"/>
      <c r="I1693" s="253"/>
      <c r="J1693" s="253"/>
      <c r="K1693" s="253"/>
      <c r="L1693" s="253"/>
      <c r="M1693" s="253"/>
      <c r="N1693" s="253"/>
      <c r="O1693" s="258"/>
      <c r="P1693" s="258"/>
      <c r="Q1693" s="258"/>
      <c r="R1693" s="258"/>
      <c r="S1693" s="258"/>
      <c r="T1693" s="258"/>
      <c r="U1693" s="258"/>
      <c r="V1693" s="258"/>
      <c r="W1693" s="258"/>
      <c r="X1693" s="258"/>
      <c r="Y1693" s="258"/>
      <c r="Z1693" s="258"/>
      <c r="AA1693" s="258"/>
      <c r="AB1693" s="258"/>
      <c r="AC1693" s="407"/>
    </row>
    <row r="1694" spans="2:29" s="406" customFormat="1" ht="16.5" customHeight="1">
      <c r="B1694" s="256"/>
      <c r="C1694" s="256"/>
      <c r="D1694" s="414"/>
      <c r="E1694" s="414"/>
      <c r="F1694" s="414"/>
      <c r="G1694" s="253"/>
      <c r="H1694" s="253"/>
      <c r="I1694" s="253"/>
      <c r="J1694" s="253"/>
      <c r="K1694" s="253"/>
      <c r="L1694" s="253"/>
      <c r="M1694" s="253"/>
      <c r="N1694" s="253"/>
      <c r="O1694" s="258"/>
      <c r="P1694" s="258"/>
      <c r="Q1694" s="258"/>
      <c r="R1694" s="258"/>
      <c r="S1694" s="258"/>
      <c r="T1694" s="258"/>
      <c r="U1694" s="258"/>
      <c r="V1694" s="258"/>
      <c r="W1694" s="258"/>
      <c r="X1694" s="258"/>
      <c r="Y1694" s="258"/>
      <c r="Z1694" s="258"/>
      <c r="AA1694" s="258"/>
      <c r="AB1694" s="258"/>
      <c r="AC1694" s="407"/>
    </row>
    <row r="1695" spans="2:29" s="406" customFormat="1" ht="16.5" customHeight="1">
      <c r="B1695" s="256"/>
      <c r="C1695" s="256"/>
      <c r="D1695" s="414"/>
      <c r="E1695" s="414"/>
      <c r="F1695" s="414"/>
      <c r="G1695" s="253"/>
      <c r="H1695" s="253"/>
      <c r="I1695" s="253"/>
      <c r="J1695" s="253"/>
      <c r="K1695" s="253"/>
      <c r="L1695" s="253"/>
      <c r="M1695" s="253"/>
      <c r="N1695" s="253"/>
      <c r="O1695" s="258"/>
      <c r="P1695" s="258"/>
      <c r="Q1695" s="258"/>
      <c r="R1695" s="258"/>
      <c r="S1695" s="258"/>
      <c r="T1695" s="258"/>
      <c r="U1695" s="258"/>
      <c r="V1695" s="258"/>
      <c r="W1695" s="258"/>
      <c r="X1695" s="258"/>
      <c r="Y1695" s="258"/>
      <c r="Z1695" s="258"/>
      <c r="AA1695" s="258"/>
      <c r="AB1695" s="258"/>
      <c r="AC1695" s="407"/>
    </row>
    <row r="1696" spans="2:29" s="406" customFormat="1" ht="16.5" customHeight="1">
      <c r="B1696" s="256"/>
      <c r="C1696" s="256"/>
      <c r="D1696" s="414"/>
      <c r="E1696" s="414"/>
      <c r="F1696" s="414"/>
      <c r="G1696" s="253"/>
      <c r="H1696" s="253"/>
      <c r="I1696" s="253"/>
      <c r="J1696" s="253"/>
      <c r="K1696" s="253"/>
      <c r="L1696" s="253"/>
      <c r="M1696" s="253"/>
      <c r="N1696" s="253"/>
      <c r="O1696" s="258"/>
      <c r="P1696" s="258"/>
      <c r="Q1696" s="258"/>
      <c r="R1696" s="258"/>
      <c r="S1696" s="258"/>
      <c r="T1696" s="258"/>
      <c r="U1696" s="258"/>
      <c r="V1696" s="258"/>
      <c r="W1696" s="258"/>
      <c r="X1696" s="258"/>
      <c r="Y1696" s="258"/>
      <c r="Z1696" s="258"/>
      <c r="AA1696" s="258"/>
      <c r="AB1696" s="258"/>
      <c r="AC1696" s="407"/>
    </row>
    <row r="1697" spans="2:29" s="406" customFormat="1" ht="16.5" customHeight="1">
      <c r="B1697" s="256"/>
      <c r="C1697" s="256"/>
      <c r="D1697" s="414"/>
      <c r="E1697" s="414"/>
      <c r="F1697" s="414"/>
      <c r="G1697" s="253"/>
      <c r="H1697" s="253"/>
      <c r="I1697" s="253"/>
      <c r="J1697" s="253"/>
      <c r="K1697" s="253"/>
      <c r="L1697" s="253"/>
      <c r="M1697" s="253"/>
      <c r="N1697" s="253"/>
      <c r="O1697" s="258"/>
      <c r="P1697" s="258"/>
      <c r="Q1697" s="258"/>
      <c r="R1697" s="258"/>
      <c r="S1697" s="258"/>
      <c r="T1697" s="258"/>
      <c r="U1697" s="258"/>
      <c r="V1697" s="258"/>
      <c r="W1697" s="258"/>
      <c r="X1697" s="258"/>
      <c r="Y1697" s="258"/>
      <c r="Z1697" s="258"/>
      <c r="AA1697" s="258"/>
      <c r="AB1697" s="258"/>
      <c r="AC1697" s="407"/>
    </row>
    <row r="1698" spans="2:29" s="406" customFormat="1" ht="16.5" customHeight="1">
      <c r="B1698" s="256"/>
      <c r="C1698" s="256"/>
      <c r="D1698" s="414"/>
      <c r="E1698" s="414"/>
      <c r="F1698" s="414"/>
      <c r="G1698" s="253"/>
      <c r="H1698" s="253"/>
      <c r="I1698" s="253"/>
      <c r="J1698" s="253"/>
      <c r="K1698" s="253"/>
      <c r="L1698" s="253"/>
      <c r="M1698" s="253"/>
      <c r="N1698" s="253"/>
      <c r="O1698" s="258"/>
      <c r="P1698" s="258"/>
      <c r="Q1698" s="258"/>
      <c r="R1698" s="258"/>
      <c r="S1698" s="258"/>
      <c r="T1698" s="258"/>
      <c r="U1698" s="258"/>
      <c r="V1698" s="258"/>
      <c r="W1698" s="258"/>
      <c r="X1698" s="258"/>
      <c r="Y1698" s="258"/>
      <c r="Z1698" s="258"/>
      <c r="AA1698" s="258"/>
      <c r="AB1698" s="258"/>
      <c r="AC1698" s="407"/>
    </row>
    <row r="1699" spans="2:29" s="406" customFormat="1" ht="16.5" customHeight="1">
      <c r="B1699" s="256"/>
      <c r="C1699" s="256"/>
      <c r="D1699" s="414"/>
      <c r="E1699" s="414"/>
      <c r="F1699" s="414"/>
      <c r="G1699" s="253"/>
      <c r="H1699" s="253"/>
      <c r="I1699" s="253"/>
      <c r="J1699" s="253"/>
      <c r="K1699" s="253"/>
      <c r="L1699" s="253"/>
      <c r="M1699" s="253"/>
      <c r="N1699" s="253"/>
      <c r="O1699" s="258"/>
      <c r="P1699" s="258"/>
      <c r="Q1699" s="258"/>
      <c r="R1699" s="258"/>
      <c r="S1699" s="258"/>
      <c r="T1699" s="258"/>
      <c r="U1699" s="258"/>
      <c r="V1699" s="258"/>
      <c r="W1699" s="258"/>
      <c r="X1699" s="258"/>
      <c r="Y1699" s="258"/>
      <c r="Z1699" s="258"/>
      <c r="AA1699" s="258"/>
      <c r="AB1699" s="258"/>
      <c r="AC1699" s="407"/>
    </row>
    <row r="1700" spans="2:29" s="406" customFormat="1" ht="16.5" customHeight="1">
      <c r="B1700" s="256"/>
      <c r="C1700" s="256"/>
      <c r="D1700" s="414"/>
      <c r="E1700" s="414"/>
      <c r="F1700" s="414"/>
      <c r="G1700" s="253"/>
      <c r="H1700" s="253"/>
      <c r="I1700" s="253"/>
      <c r="J1700" s="253"/>
      <c r="K1700" s="253"/>
      <c r="L1700" s="253"/>
      <c r="M1700" s="253"/>
      <c r="N1700" s="253"/>
      <c r="O1700" s="258"/>
      <c r="P1700" s="258"/>
      <c r="Q1700" s="258"/>
      <c r="R1700" s="258"/>
      <c r="S1700" s="258"/>
      <c r="T1700" s="258"/>
      <c r="U1700" s="258"/>
      <c r="V1700" s="258"/>
      <c r="W1700" s="258"/>
      <c r="X1700" s="258"/>
      <c r="Y1700" s="258"/>
      <c r="Z1700" s="258"/>
      <c r="AA1700" s="258"/>
      <c r="AB1700" s="258"/>
      <c r="AC1700" s="407"/>
    </row>
    <row r="1701" spans="2:29" s="406" customFormat="1" ht="16.5" customHeight="1">
      <c r="B1701" s="256"/>
      <c r="C1701" s="256"/>
      <c r="D1701" s="414"/>
      <c r="E1701" s="414"/>
      <c r="F1701" s="414"/>
      <c r="G1701" s="253"/>
      <c r="H1701" s="253"/>
      <c r="I1701" s="253"/>
      <c r="J1701" s="253"/>
      <c r="K1701" s="253"/>
      <c r="L1701" s="253"/>
      <c r="M1701" s="253"/>
      <c r="N1701" s="253"/>
      <c r="O1701" s="258"/>
      <c r="P1701" s="258"/>
      <c r="Q1701" s="258"/>
      <c r="R1701" s="258"/>
      <c r="S1701" s="258"/>
      <c r="T1701" s="258"/>
      <c r="U1701" s="258"/>
      <c r="V1701" s="258"/>
      <c r="W1701" s="258"/>
      <c r="X1701" s="258"/>
      <c r="Y1701" s="258"/>
      <c r="Z1701" s="258"/>
      <c r="AA1701" s="258"/>
      <c r="AB1701" s="258"/>
      <c r="AC1701" s="407"/>
    </row>
    <row r="1702" spans="2:29" s="406" customFormat="1" ht="16.5" customHeight="1">
      <c r="B1702" s="256"/>
      <c r="C1702" s="256"/>
      <c r="D1702" s="414"/>
      <c r="E1702" s="414"/>
      <c r="F1702" s="414"/>
      <c r="G1702" s="253"/>
      <c r="H1702" s="253"/>
      <c r="I1702" s="253"/>
      <c r="J1702" s="253"/>
      <c r="K1702" s="253"/>
      <c r="L1702" s="253"/>
      <c r="M1702" s="253"/>
      <c r="N1702" s="253"/>
      <c r="O1702" s="258"/>
      <c r="P1702" s="258"/>
      <c r="Q1702" s="258"/>
      <c r="R1702" s="258"/>
      <c r="S1702" s="258"/>
      <c r="T1702" s="258"/>
      <c r="U1702" s="258"/>
      <c r="V1702" s="258"/>
      <c r="W1702" s="258"/>
      <c r="X1702" s="258"/>
      <c r="Y1702" s="258"/>
      <c r="Z1702" s="258"/>
      <c r="AA1702" s="258"/>
      <c r="AB1702" s="258"/>
      <c r="AC1702" s="407"/>
    </row>
    <row r="1703" spans="2:29" s="406" customFormat="1" ht="16.5" customHeight="1">
      <c r="B1703" s="256"/>
      <c r="C1703" s="256"/>
      <c r="D1703" s="414"/>
      <c r="E1703" s="414"/>
      <c r="F1703" s="414"/>
      <c r="G1703" s="253"/>
      <c r="H1703" s="253"/>
      <c r="I1703" s="253"/>
      <c r="J1703" s="253"/>
      <c r="K1703" s="253"/>
      <c r="L1703" s="253"/>
      <c r="M1703" s="253"/>
      <c r="N1703" s="253"/>
      <c r="O1703" s="258"/>
      <c r="P1703" s="258"/>
      <c r="Q1703" s="258"/>
      <c r="R1703" s="258"/>
      <c r="S1703" s="258"/>
      <c r="T1703" s="258"/>
      <c r="U1703" s="258"/>
      <c r="V1703" s="258"/>
      <c r="W1703" s="258"/>
      <c r="X1703" s="258"/>
      <c r="Y1703" s="258"/>
      <c r="Z1703" s="258"/>
      <c r="AA1703" s="258"/>
      <c r="AB1703" s="258"/>
      <c r="AC1703" s="407"/>
    </row>
    <row r="1704" spans="2:29" s="406" customFormat="1" ht="16.5" customHeight="1">
      <c r="B1704" s="256"/>
      <c r="C1704" s="256"/>
      <c r="D1704" s="414"/>
      <c r="E1704" s="414"/>
      <c r="F1704" s="414"/>
      <c r="G1704" s="253"/>
      <c r="H1704" s="253"/>
      <c r="I1704" s="253"/>
      <c r="J1704" s="253"/>
      <c r="K1704" s="253"/>
      <c r="L1704" s="253"/>
      <c r="M1704" s="253"/>
      <c r="N1704" s="253"/>
      <c r="O1704" s="258"/>
      <c r="P1704" s="258"/>
      <c r="Q1704" s="258"/>
      <c r="R1704" s="258"/>
      <c r="S1704" s="258"/>
      <c r="T1704" s="258"/>
      <c r="U1704" s="258"/>
      <c r="V1704" s="258"/>
      <c r="W1704" s="258"/>
      <c r="X1704" s="258"/>
      <c r="Y1704" s="258"/>
      <c r="Z1704" s="258"/>
      <c r="AA1704" s="258"/>
      <c r="AB1704" s="258"/>
      <c r="AC1704" s="407"/>
    </row>
    <row r="1705" spans="2:29" s="406" customFormat="1" ht="16.5" customHeight="1">
      <c r="B1705" s="256"/>
      <c r="C1705" s="256"/>
      <c r="D1705" s="414"/>
      <c r="E1705" s="414"/>
      <c r="F1705" s="414"/>
      <c r="G1705" s="253"/>
      <c r="H1705" s="253"/>
      <c r="I1705" s="253"/>
      <c r="J1705" s="253"/>
      <c r="K1705" s="253"/>
      <c r="L1705" s="253"/>
      <c r="M1705" s="253"/>
      <c r="N1705" s="253"/>
      <c r="O1705" s="258"/>
      <c r="P1705" s="258"/>
      <c r="Q1705" s="258"/>
      <c r="R1705" s="258"/>
      <c r="S1705" s="258"/>
      <c r="T1705" s="258"/>
      <c r="U1705" s="258"/>
      <c r="V1705" s="258"/>
      <c r="W1705" s="258"/>
      <c r="X1705" s="258"/>
      <c r="Y1705" s="258"/>
      <c r="Z1705" s="258"/>
      <c r="AA1705" s="258"/>
      <c r="AB1705" s="258"/>
      <c r="AC1705" s="407"/>
    </row>
    <row r="1706" spans="2:29" s="406" customFormat="1" ht="16.5" customHeight="1">
      <c r="B1706" s="256"/>
      <c r="C1706" s="256"/>
      <c r="D1706" s="414"/>
      <c r="E1706" s="414"/>
      <c r="F1706" s="414"/>
      <c r="G1706" s="253"/>
      <c r="H1706" s="253"/>
      <c r="I1706" s="253"/>
      <c r="J1706" s="253"/>
      <c r="K1706" s="253"/>
      <c r="L1706" s="253"/>
      <c r="M1706" s="253"/>
      <c r="N1706" s="253"/>
      <c r="O1706" s="258"/>
      <c r="P1706" s="258"/>
      <c r="Q1706" s="258"/>
      <c r="R1706" s="258"/>
      <c r="S1706" s="258"/>
      <c r="T1706" s="258"/>
      <c r="U1706" s="258"/>
      <c r="V1706" s="258"/>
      <c r="W1706" s="258"/>
      <c r="X1706" s="258"/>
      <c r="Y1706" s="258"/>
      <c r="Z1706" s="258"/>
      <c r="AA1706" s="258"/>
      <c r="AB1706" s="258"/>
      <c r="AC1706" s="407"/>
    </row>
    <row r="1707" spans="2:29" s="406" customFormat="1" ht="16.5" customHeight="1">
      <c r="B1707" s="256"/>
      <c r="C1707" s="256"/>
      <c r="D1707" s="414"/>
      <c r="E1707" s="414"/>
      <c r="F1707" s="414"/>
      <c r="G1707" s="253"/>
      <c r="H1707" s="253"/>
      <c r="I1707" s="253"/>
      <c r="J1707" s="253"/>
      <c r="K1707" s="253"/>
      <c r="L1707" s="253"/>
      <c r="M1707" s="253"/>
      <c r="N1707" s="253"/>
      <c r="O1707" s="258"/>
      <c r="P1707" s="258"/>
      <c r="Q1707" s="258"/>
      <c r="R1707" s="258"/>
      <c r="S1707" s="258"/>
      <c r="T1707" s="258"/>
      <c r="U1707" s="258"/>
      <c r="V1707" s="258"/>
      <c r="W1707" s="258"/>
      <c r="X1707" s="258"/>
      <c r="Y1707" s="258"/>
      <c r="Z1707" s="258"/>
      <c r="AA1707" s="258"/>
      <c r="AB1707" s="258"/>
      <c r="AC1707" s="407"/>
    </row>
    <row r="1708" spans="2:29" s="406" customFormat="1" ht="16.5" customHeight="1">
      <c r="B1708" s="256"/>
      <c r="C1708" s="256"/>
      <c r="D1708" s="414"/>
      <c r="E1708" s="414"/>
      <c r="F1708" s="414"/>
      <c r="G1708" s="253"/>
      <c r="H1708" s="253"/>
      <c r="I1708" s="253"/>
      <c r="J1708" s="253"/>
      <c r="K1708" s="253"/>
      <c r="L1708" s="253"/>
      <c r="M1708" s="253"/>
      <c r="N1708" s="253"/>
      <c r="O1708" s="258"/>
      <c r="P1708" s="258"/>
      <c r="Q1708" s="258"/>
      <c r="R1708" s="258"/>
      <c r="S1708" s="258"/>
      <c r="T1708" s="258"/>
      <c r="U1708" s="258"/>
      <c r="V1708" s="258"/>
      <c r="W1708" s="258"/>
      <c r="X1708" s="258"/>
      <c r="Y1708" s="258"/>
      <c r="Z1708" s="258"/>
      <c r="AA1708" s="258"/>
      <c r="AB1708" s="258"/>
      <c r="AC1708" s="407"/>
    </row>
    <row r="1709" spans="2:29" s="406" customFormat="1" ht="16.5" customHeight="1">
      <c r="B1709" s="256"/>
      <c r="C1709" s="256"/>
      <c r="D1709" s="414"/>
      <c r="E1709" s="414"/>
      <c r="F1709" s="414"/>
      <c r="G1709" s="253"/>
      <c r="H1709" s="253"/>
      <c r="I1709" s="253"/>
      <c r="J1709" s="253"/>
      <c r="K1709" s="253"/>
      <c r="L1709" s="253"/>
      <c r="M1709" s="253"/>
      <c r="N1709" s="253"/>
      <c r="O1709" s="258"/>
      <c r="P1709" s="258"/>
      <c r="Q1709" s="258"/>
      <c r="R1709" s="258"/>
      <c r="S1709" s="258"/>
      <c r="T1709" s="258"/>
      <c r="U1709" s="258"/>
      <c r="V1709" s="258"/>
      <c r="W1709" s="258"/>
      <c r="X1709" s="258"/>
      <c r="Y1709" s="258"/>
      <c r="Z1709" s="258"/>
      <c r="AA1709" s="258"/>
      <c r="AB1709" s="258"/>
      <c r="AC1709" s="407"/>
    </row>
    <row r="1710" spans="2:29" s="406" customFormat="1" ht="16.5" customHeight="1">
      <c r="B1710" s="256"/>
      <c r="C1710" s="256"/>
      <c r="D1710" s="414"/>
      <c r="E1710" s="414"/>
      <c r="F1710" s="414"/>
      <c r="G1710" s="253"/>
      <c r="H1710" s="253"/>
      <c r="I1710" s="253"/>
      <c r="J1710" s="253"/>
      <c r="K1710" s="253"/>
      <c r="L1710" s="253"/>
      <c r="M1710" s="253"/>
      <c r="N1710" s="253"/>
      <c r="O1710" s="258"/>
      <c r="P1710" s="258"/>
      <c r="Q1710" s="258"/>
      <c r="R1710" s="258"/>
      <c r="S1710" s="258"/>
      <c r="T1710" s="258"/>
      <c r="U1710" s="258"/>
      <c r="V1710" s="258"/>
      <c r="W1710" s="258"/>
      <c r="X1710" s="258"/>
      <c r="Y1710" s="258"/>
      <c r="Z1710" s="258"/>
      <c r="AA1710" s="258"/>
      <c r="AB1710" s="258"/>
      <c r="AC1710" s="407"/>
    </row>
    <row r="1711" spans="2:29" s="406" customFormat="1" ht="16.5" customHeight="1">
      <c r="B1711" s="256"/>
      <c r="C1711" s="256"/>
      <c r="D1711" s="414"/>
      <c r="E1711" s="414"/>
      <c r="F1711" s="414"/>
      <c r="G1711" s="253"/>
      <c r="H1711" s="253"/>
      <c r="I1711" s="253"/>
      <c r="J1711" s="253"/>
      <c r="K1711" s="253"/>
      <c r="L1711" s="253"/>
      <c r="M1711" s="253"/>
      <c r="N1711" s="253"/>
      <c r="O1711" s="258"/>
      <c r="P1711" s="258"/>
      <c r="Q1711" s="258"/>
      <c r="R1711" s="258"/>
      <c r="S1711" s="258"/>
      <c r="T1711" s="258"/>
      <c r="U1711" s="258"/>
      <c r="V1711" s="258"/>
      <c r="W1711" s="258"/>
      <c r="X1711" s="258"/>
      <c r="Y1711" s="258"/>
      <c r="Z1711" s="258"/>
      <c r="AA1711" s="258"/>
      <c r="AB1711" s="258"/>
      <c r="AC1711" s="407"/>
    </row>
    <row r="1712" spans="2:29" s="406" customFormat="1" ht="16.5" customHeight="1">
      <c r="B1712" s="256"/>
      <c r="C1712" s="256"/>
      <c r="D1712" s="414"/>
      <c r="E1712" s="414"/>
      <c r="F1712" s="414"/>
      <c r="G1712" s="253"/>
      <c r="H1712" s="253"/>
      <c r="I1712" s="253"/>
      <c r="J1712" s="253"/>
      <c r="K1712" s="253"/>
      <c r="L1712" s="253"/>
      <c r="M1712" s="253"/>
      <c r="N1712" s="253"/>
      <c r="O1712" s="258"/>
      <c r="P1712" s="258"/>
      <c r="Q1712" s="258"/>
      <c r="R1712" s="258"/>
      <c r="S1712" s="258"/>
      <c r="T1712" s="258"/>
      <c r="U1712" s="258"/>
      <c r="V1712" s="258"/>
      <c r="W1712" s="258"/>
      <c r="X1712" s="258"/>
      <c r="Y1712" s="258"/>
      <c r="Z1712" s="258"/>
      <c r="AA1712" s="258"/>
      <c r="AB1712" s="258"/>
      <c r="AC1712" s="407"/>
    </row>
    <row r="1713" spans="2:29" s="406" customFormat="1" ht="16.5" customHeight="1">
      <c r="B1713" s="256"/>
      <c r="C1713" s="256"/>
      <c r="D1713" s="414"/>
      <c r="E1713" s="414"/>
      <c r="F1713" s="414"/>
      <c r="G1713" s="253"/>
      <c r="H1713" s="253"/>
      <c r="I1713" s="253"/>
      <c r="J1713" s="253"/>
      <c r="K1713" s="253"/>
      <c r="L1713" s="253"/>
      <c r="M1713" s="253"/>
      <c r="N1713" s="253"/>
      <c r="O1713" s="258"/>
      <c r="P1713" s="258"/>
      <c r="Q1713" s="258"/>
      <c r="R1713" s="258"/>
      <c r="S1713" s="258"/>
      <c r="T1713" s="258"/>
      <c r="U1713" s="258"/>
      <c r="V1713" s="258"/>
      <c r="W1713" s="258"/>
      <c r="X1713" s="258"/>
      <c r="Y1713" s="258"/>
      <c r="Z1713" s="258"/>
      <c r="AA1713" s="258"/>
      <c r="AB1713" s="258"/>
      <c r="AC1713" s="407"/>
    </row>
    <row r="1714" spans="2:29" s="406" customFormat="1" ht="16.5" customHeight="1">
      <c r="B1714" s="256"/>
      <c r="C1714" s="256"/>
      <c r="D1714" s="414"/>
      <c r="E1714" s="414"/>
      <c r="F1714" s="414"/>
      <c r="G1714" s="253"/>
      <c r="H1714" s="253"/>
      <c r="I1714" s="253"/>
      <c r="J1714" s="253"/>
      <c r="K1714" s="253"/>
      <c r="L1714" s="253"/>
      <c r="M1714" s="253"/>
      <c r="N1714" s="253"/>
      <c r="O1714" s="258"/>
      <c r="P1714" s="258"/>
      <c r="Q1714" s="258"/>
      <c r="R1714" s="258"/>
      <c r="S1714" s="258"/>
      <c r="T1714" s="258"/>
      <c r="U1714" s="258"/>
      <c r="V1714" s="258"/>
      <c r="W1714" s="258"/>
      <c r="X1714" s="258"/>
      <c r="Y1714" s="258"/>
      <c r="Z1714" s="258"/>
      <c r="AA1714" s="258"/>
      <c r="AB1714" s="258"/>
      <c r="AC1714" s="407"/>
    </row>
    <row r="1715" spans="2:29" s="406" customFormat="1" ht="16.5" customHeight="1">
      <c r="B1715" s="256"/>
      <c r="C1715" s="256"/>
      <c r="D1715" s="414"/>
      <c r="E1715" s="414"/>
      <c r="F1715" s="414"/>
      <c r="G1715" s="253"/>
      <c r="H1715" s="253"/>
      <c r="I1715" s="253"/>
      <c r="J1715" s="253"/>
      <c r="K1715" s="253"/>
      <c r="L1715" s="253"/>
      <c r="M1715" s="253"/>
      <c r="N1715" s="253"/>
      <c r="O1715" s="258"/>
      <c r="P1715" s="258"/>
      <c r="Q1715" s="258"/>
      <c r="R1715" s="258"/>
      <c r="S1715" s="258"/>
      <c r="T1715" s="258"/>
      <c r="U1715" s="258"/>
      <c r="V1715" s="258"/>
      <c r="W1715" s="258"/>
      <c r="X1715" s="258"/>
      <c r="Y1715" s="258"/>
      <c r="Z1715" s="258"/>
      <c r="AA1715" s="258"/>
      <c r="AB1715" s="258"/>
      <c r="AC1715" s="407"/>
    </row>
    <row r="1716" spans="2:29" s="406" customFormat="1" ht="16.5" customHeight="1">
      <c r="B1716" s="256"/>
      <c r="C1716" s="256"/>
      <c r="D1716" s="414"/>
      <c r="E1716" s="414"/>
      <c r="F1716" s="414"/>
      <c r="G1716" s="253"/>
      <c r="H1716" s="253"/>
      <c r="I1716" s="253"/>
      <c r="J1716" s="253"/>
      <c r="K1716" s="253"/>
      <c r="L1716" s="253"/>
      <c r="M1716" s="253"/>
      <c r="N1716" s="253"/>
      <c r="O1716" s="258"/>
      <c r="P1716" s="258"/>
      <c r="Q1716" s="258"/>
      <c r="R1716" s="258"/>
      <c r="S1716" s="258"/>
      <c r="T1716" s="258"/>
      <c r="U1716" s="258"/>
      <c r="V1716" s="258"/>
      <c r="W1716" s="258"/>
      <c r="X1716" s="258"/>
      <c r="Y1716" s="258"/>
      <c r="Z1716" s="258"/>
      <c r="AA1716" s="258"/>
      <c r="AB1716" s="258"/>
      <c r="AC1716" s="407"/>
    </row>
    <row r="1717" spans="2:29" s="406" customFormat="1" ht="16.5" customHeight="1">
      <c r="B1717" s="256"/>
      <c r="C1717" s="256"/>
      <c r="D1717" s="414"/>
      <c r="E1717" s="414"/>
      <c r="F1717" s="414"/>
      <c r="G1717" s="253"/>
      <c r="H1717" s="253"/>
      <c r="I1717" s="253"/>
      <c r="J1717" s="253"/>
      <c r="K1717" s="253"/>
      <c r="L1717" s="253"/>
      <c r="M1717" s="253"/>
      <c r="N1717" s="253"/>
      <c r="O1717" s="258"/>
      <c r="P1717" s="258"/>
      <c r="Q1717" s="258"/>
      <c r="R1717" s="258"/>
      <c r="S1717" s="258"/>
      <c r="T1717" s="258"/>
      <c r="U1717" s="258"/>
      <c r="V1717" s="258"/>
      <c r="W1717" s="258"/>
      <c r="X1717" s="258"/>
      <c r="Y1717" s="258"/>
      <c r="Z1717" s="258"/>
      <c r="AA1717" s="258"/>
      <c r="AB1717" s="258"/>
      <c r="AC1717" s="407"/>
    </row>
    <row r="1718" spans="2:29" s="406" customFormat="1" ht="16.5" customHeight="1">
      <c r="B1718" s="256"/>
      <c r="C1718" s="256"/>
      <c r="D1718" s="414"/>
      <c r="E1718" s="414"/>
      <c r="F1718" s="414"/>
      <c r="G1718" s="253"/>
      <c r="H1718" s="253"/>
      <c r="I1718" s="253"/>
      <c r="J1718" s="253"/>
      <c r="K1718" s="253"/>
      <c r="L1718" s="253"/>
      <c r="M1718" s="253"/>
      <c r="N1718" s="253"/>
      <c r="O1718" s="258"/>
      <c r="P1718" s="258"/>
      <c r="Q1718" s="258"/>
      <c r="R1718" s="258"/>
      <c r="S1718" s="258"/>
      <c r="T1718" s="258"/>
      <c r="U1718" s="258"/>
      <c r="V1718" s="258"/>
      <c r="W1718" s="258"/>
      <c r="X1718" s="258"/>
      <c r="Y1718" s="258"/>
      <c r="Z1718" s="258"/>
      <c r="AA1718" s="258"/>
      <c r="AB1718" s="258"/>
      <c r="AC1718" s="407"/>
    </row>
    <row r="1719" spans="2:29" s="406" customFormat="1" ht="16.5" customHeight="1">
      <c r="B1719" s="256"/>
      <c r="C1719" s="256"/>
      <c r="D1719" s="414"/>
      <c r="E1719" s="414"/>
      <c r="F1719" s="414"/>
      <c r="G1719" s="253"/>
      <c r="H1719" s="253"/>
      <c r="I1719" s="253"/>
      <c r="J1719" s="253"/>
      <c r="K1719" s="253"/>
      <c r="L1719" s="253"/>
      <c r="M1719" s="253"/>
      <c r="N1719" s="253"/>
      <c r="O1719" s="258"/>
      <c r="P1719" s="258"/>
      <c r="Q1719" s="258"/>
      <c r="R1719" s="258"/>
      <c r="S1719" s="258"/>
      <c r="T1719" s="258"/>
      <c r="U1719" s="258"/>
      <c r="V1719" s="258"/>
      <c r="W1719" s="258"/>
      <c r="X1719" s="258"/>
      <c r="Y1719" s="258"/>
      <c r="Z1719" s="258"/>
      <c r="AA1719" s="258"/>
      <c r="AB1719" s="258"/>
      <c r="AC1719" s="407"/>
    </row>
    <row r="1720" spans="2:29" s="406" customFormat="1" ht="16.5" customHeight="1">
      <c r="B1720" s="256"/>
      <c r="C1720" s="256"/>
      <c r="D1720" s="414"/>
      <c r="E1720" s="414"/>
      <c r="F1720" s="414"/>
      <c r="G1720" s="253"/>
      <c r="H1720" s="253"/>
      <c r="I1720" s="253"/>
      <c r="J1720" s="253"/>
      <c r="K1720" s="253"/>
      <c r="L1720" s="253"/>
      <c r="M1720" s="253"/>
      <c r="N1720" s="253"/>
      <c r="O1720" s="258"/>
      <c r="P1720" s="258"/>
      <c r="Q1720" s="258"/>
      <c r="R1720" s="258"/>
      <c r="S1720" s="258"/>
      <c r="T1720" s="258"/>
      <c r="U1720" s="258"/>
      <c r="V1720" s="258"/>
      <c r="W1720" s="258"/>
      <c r="X1720" s="258"/>
      <c r="Y1720" s="258"/>
      <c r="Z1720" s="258"/>
      <c r="AA1720" s="258"/>
      <c r="AB1720" s="258"/>
      <c r="AC1720" s="407"/>
    </row>
    <row r="1721" spans="2:29" s="406" customFormat="1" ht="16.5" customHeight="1">
      <c r="B1721" s="256"/>
      <c r="C1721" s="256"/>
      <c r="D1721" s="414"/>
      <c r="E1721" s="414"/>
      <c r="F1721" s="414"/>
      <c r="G1721" s="253"/>
      <c r="H1721" s="253"/>
      <c r="I1721" s="253"/>
      <c r="J1721" s="253"/>
      <c r="K1721" s="253"/>
      <c r="L1721" s="253"/>
      <c r="M1721" s="253"/>
      <c r="N1721" s="253"/>
      <c r="O1721" s="258"/>
      <c r="P1721" s="258"/>
      <c r="Q1721" s="258"/>
      <c r="R1721" s="258"/>
      <c r="S1721" s="258"/>
      <c r="T1721" s="258"/>
      <c r="U1721" s="258"/>
      <c r="V1721" s="258"/>
      <c r="W1721" s="258"/>
      <c r="X1721" s="258"/>
      <c r="Y1721" s="258"/>
      <c r="Z1721" s="258"/>
      <c r="AA1721" s="258"/>
      <c r="AB1721" s="258"/>
      <c r="AC1721" s="407"/>
    </row>
    <row r="1722" spans="2:29" s="406" customFormat="1" ht="16.5" customHeight="1">
      <c r="B1722" s="256"/>
      <c r="C1722" s="256"/>
      <c r="D1722" s="414"/>
      <c r="E1722" s="414"/>
      <c r="F1722" s="414"/>
      <c r="G1722" s="253"/>
      <c r="H1722" s="253"/>
      <c r="I1722" s="253"/>
      <c r="J1722" s="253"/>
      <c r="K1722" s="253"/>
      <c r="L1722" s="253"/>
      <c r="M1722" s="253"/>
      <c r="N1722" s="253"/>
      <c r="O1722" s="258"/>
      <c r="P1722" s="258"/>
      <c r="Q1722" s="258"/>
      <c r="R1722" s="258"/>
      <c r="S1722" s="258"/>
      <c r="T1722" s="258"/>
      <c r="U1722" s="258"/>
      <c r="V1722" s="258"/>
      <c r="W1722" s="258"/>
      <c r="X1722" s="258"/>
      <c r="Y1722" s="258"/>
      <c r="Z1722" s="258"/>
      <c r="AA1722" s="258"/>
      <c r="AB1722" s="258"/>
      <c r="AC1722" s="407"/>
    </row>
    <row r="1723" spans="2:29" s="406" customFormat="1" ht="16.5" customHeight="1">
      <c r="B1723" s="256"/>
      <c r="C1723" s="256"/>
      <c r="D1723" s="414"/>
      <c r="E1723" s="414"/>
      <c r="F1723" s="414"/>
      <c r="G1723" s="253"/>
      <c r="H1723" s="253"/>
      <c r="I1723" s="253"/>
      <c r="J1723" s="253"/>
      <c r="K1723" s="253"/>
      <c r="L1723" s="253"/>
      <c r="M1723" s="253"/>
      <c r="N1723" s="253"/>
      <c r="O1723" s="258"/>
      <c r="P1723" s="258"/>
      <c r="Q1723" s="258"/>
      <c r="R1723" s="258"/>
      <c r="S1723" s="258"/>
      <c r="T1723" s="258"/>
      <c r="U1723" s="258"/>
      <c r="V1723" s="258"/>
      <c r="W1723" s="258"/>
      <c r="X1723" s="258"/>
      <c r="Y1723" s="258"/>
      <c r="Z1723" s="258"/>
      <c r="AA1723" s="258"/>
      <c r="AB1723" s="258"/>
      <c r="AC1723" s="407"/>
    </row>
    <row r="1724" spans="2:29" s="406" customFormat="1" ht="16.5" customHeight="1">
      <c r="B1724" s="256"/>
      <c r="C1724" s="256"/>
      <c r="D1724" s="414"/>
      <c r="E1724" s="414"/>
      <c r="F1724" s="414"/>
      <c r="G1724" s="253"/>
      <c r="H1724" s="253"/>
      <c r="I1724" s="253"/>
      <c r="J1724" s="253"/>
      <c r="K1724" s="253"/>
      <c r="L1724" s="253"/>
      <c r="M1724" s="253"/>
      <c r="N1724" s="253"/>
      <c r="O1724" s="258"/>
      <c r="P1724" s="258"/>
      <c r="Q1724" s="258"/>
      <c r="R1724" s="258"/>
      <c r="S1724" s="258"/>
      <c r="T1724" s="258"/>
      <c r="U1724" s="258"/>
      <c r="V1724" s="258"/>
      <c r="W1724" s="258"/>
      <c r="X1724" s="258"/>
      <c r="Y1724" s="258"/>
      <c r="Z1724" s="258"/>
      <c r="AA1724" s="258"/>
      <c r="AB1724" s="258"/>
      <c r="AC1724" s="407"/>
    </row>
    <row r="1725" spans="2:29" s="406" customFormat="1" ht="16.5" customHeight="1">
      <c r="B1725" s="256"/>
      <c r="C1725" s="256"/>
      <c r="D1725" s="414"/>
      <c r="E1725" s="414"/>
      <c r="F1725" s="414"/>
      <c r="G1725" s="253"/>
      <c r="H1725" s="253"/>
      <c r="I1725" s="253"/>
      <c r="J1725" s="253"/>
      <c r="K1725" s="253"/>
      <c r="L1725" s="253"/>
      <c r="M1725" s="253"/>
      <c r="N1725" s="253"/>
      <c r="O1725" s="258"/>
      <c r="P1725" s="258"/>
      <c r="Q1725" s="258"/>
      <c r="R1725" s="258"/>
      <c r="S1725" s="258"/>
      <c r="T1725" s="258"/>
      <c r="U1725" s="258"/>
      <c r="V1725" s="258"/>
      <c r="W1725" s="258"/>
      <c r="X1725" s="258"/>
      <c r="Y1725" s="258"/>
      <c r="Z1725" s="258"/>
      <c r="AA1725" s="258"/>
      <c r="AB1725" s="258"/>
      <c r="AC1725" s="407"/>
    </row>
    <row r="1726" spans="2:29" s="406" customFormat="1" ht="16.5" customHeight="1">
      <c r="B1726" s="256"/>
      <c r="C1726" s="256"/>
      <c r="D1726" s="414"/>
      <c r="E1726" s="414"/>
      <c r="F1726" s="414"/>
      <c r="G1726" s="253"/>
      <c r="H1726" s="253"/>
      <c r="I1726" s="253"/>
      <c r="J1726" s="253"/>
      <c r="K1726" s="253"/>
      <c r="L1726" s="253"/>
      <c r="M1726" s="253"/>
      <c r="N1726" s="253"/>
      <c r="O1726" s="258"/>
      <c r="P1726" s="258"/>
      <c r="Q1726" s="258"/>
      <c r="R1726" s="258"/>
      <c r="S1726" s="258"/>
      <c r="T1726" s="258"/>
      <c r="U1726" s="258"/>
      <c r="V1726" s="258"/>
      <c r="W1726" s="258"/>
      <c r="X1726" s="258"/>
      <c r="Y1726" s="258"/>
      <c r="Z1726" s="258"/>
      <c r="AA1726" s="258"/>
      <c r="AB1726" s="258"/>
      <c r="AC1726" s="407"/>
    </row>
    <row r="1727" spans="2:29" s="406" customFormat="1" ht="16.5" customHeight="1">
      <c r="B1727" s="256"/>
      <c r="C1727" s="256"/>
      <c r="D1727" s="414"/>
      <c r="E1727" s="414"/>
      <c r="F1727" s="414"/>
      <c r="G1727" s="253"/>
      <c r="H1727" s="253"/>
      <c r="I1727" s="253"/>
      <c r="J1727" s="253"/>
      <c r="K1727" s="253"/>
      <c r="L1727" s="253"/>
      <c r="M1727" s="253"/>
      <c r="N1727" s="253"/>
      <c r="O1727" s="258"/>
      <c r="P1727" s="258"/>
      <c r="Q1727" s="258"/>
      <c r="R1727" s="258"/>
      <c r="S1727" s="258"/>
      <c r="T1727" s="258"/>
      <c r="U1727" s="258"/>
      <c r="V1727" s="258"/>
      <c r="W1727" s="258"/>
      <c r="X1727" s="258"/>
      <c r="Y1727" s="258"/>
      <c r="Z1727" s="258"/>
      <c r="AA1727" s="258"/>
      <c r="AB1727" s="258"/>
      <c r="AC1727" s="407"/>
    </row>
    <row r="1728" spans="2:29" s="406" customFormat="1" ht="16.5" customHeight="1">
      <c r="B1728" s="256"/>
      <c r="C1728" s="256"/>
      <c r="D1728" s="414"/>
      <c r="E1728" s="414"/>
      <c r="F1728" s="414"/>
      <c r="G1728" s="253"/>
      <c r="H1728" s="253"/>
      <c r="I1728" s="253"/>
      <c r="J1728" s="253"/>
      <c r="K1728" s="253"/>
      <c r="L1728" s="253"/>
      <c r="M1728" s="253"/>
      <c r="N1728" s="253"/>
      <c r="O1728" s="258"/>
      <c r="P1728" s="258"/>
      <c r="Q1728" s="258"/>
      <c r="R1728" s="258"/>
      <c r="S1728" s="258"/>
      <c r="T1728" s="258"/>
      <c r="U1728" s="258"/>
      <c r="V1728" s="258"/>
      <c r="W1728" s="258"/>
      <c r="X1728" s="258"/>
      <c r="Y1728" s="258"/>
      <c r="Z1728" s="258"/>
      <c r="AA1728" s="258"/>
      <c r="AB1728" s="258"/>
      <c r="AC1728" s="407"/>
    </row>
    <row r="1729" spans="2:29" s="406" customFormat="1" ht="16.5" customHeight="1">
      <c r="B1729" s="256"/>
      <c r="C1729" s="256"/>
      <c r="D1729" s="414"/>
      <c r="E1729" s="414"/>
      <c r="F1729" s="414"/>
      <c r="G1729" s="253"/>
      <c r="H1729" s="253"/>
      <c r="I1729" s="253"/>
      <c r="J1729" s="253"/>
      <c r="K1729" s="253"/>
      <c r="L1729" s="253"/>
      <c r="M1729" s="253"/>
      <c r="N1729" s="253"/>
      <c r="O1729" s="258"/>
      <c r="P1729" s="258"/>
      <c r="Q1729" s="258"/>
      <c r="R1729" s="258"/>
      <c r="S1729" s="258"/>
      <c r="T1729" s="258"/>
      <c r="U1729" s="258"/>
      <c r="V1729" s="258"/>
      <c r="W1729" s="258"/>
      <c r="X1729" s="258"/>
      <c r="Y1729" s="258"/>
      <c r="Z1729" s="258"/>
      <c r="AA1729" s="258"/>
      <c r="AB1729" s="258"/>
      <c r="AC1729" s="407"/>
    </row>
    <row r="1730" spans="2:29" s="406" customFormat="1" ht="16.5" customHeight="1">
      <c r="B1730" s="256"/>
      <c r="C1730" s="256"/>
      <c r="D1730" s="414"/>
      <c r="E1730" s="414"/>
      <c r="F1730" s="414"/>
      <c r="G1730" s="253"/>
      <c r="H1730" s="253"/>
      <c r="I1730" s="253"/>
      <c r="J1730" s="253"/>
      <c r="K1730" s="253"/>
      <c r="L1730" s="253"/>
      <c r="M1730" s="253"/>
      <c r="N1730" s="253"/>
      <c r="O1730" s="258"/>
      <c r="P1730" s="258"/>
      <c r="Q1730" s="258"/>
      <c r="R1730" s="258"/>
      <c r="S1730" s="258"/>
      <c r="T1730" s="258"/>
      <c r="U1730" s="258"/>
      <c r="V1730" s="258"/>
      <c r="W1730" s="258"/>
      <c r="X1730" s="258"/>
      <c r="Y1730" s="258"/>
      <c r="Z1730" s="258"/>
      <c r="AA1730" s="258"/>
      <c r="AB1730" s="258"/>
      <c r="AC1730" s="407"/>
    </row>
    <row r="1731" spans="2:29" s="406" customFormat="1" ht="16.5" customHeight="1">
      <c r="B1731" s="256"/>
      <c r="C1731" s="256"/>
      <c r="D1731" s="414"/>
      <c r="E1731" s="414"/>
      <c r="F1731" s="414"/>
      <c r="G1731" s="253"/>
      <c r="H1731" s="253"/>
      <c r="I1731" s="253"/>
      <c r="J1731" s="253"/>
      <c r="K1731" s="253"/>
      <c r="L1731" s="253"/>
      <c r="M1731" s="253"/>
      <c r="N1731" s="253"/>
      <c r="O1731" s="258"/>
      <c r="P1731" s="258"/>
      <c r="Q1731" s="258"/>
      <c r="R1731" s="258"/>
      <c r="S1731" s="258"/>
      <c r="T1731" s="258"/>
      <c r="U1731" s="258"/>
      <c r="V1731" s="258"/>
      <c r="W1731" s="258"/>
      <c r="X1731" s="258"/>
      <c r="Y1731" s="258"/>
      <c r="Z1731" s="258"/>
      <c r="AA1731" s="258"/>
      <c r="AB1731" s="258"/>
      <c r="AC1731" s="407"/>
    </row>
    <row r="1732" spans="2:29" s="406" customFormat="1" ht="16.5" customHeight="1">
      <c r="B1732" s="256"/>
      <c r="C1732" s="256"/>
      <c r="D1732" s="414"/>
      <c r="E1732" s="414"/>
      <c r="F1732" s="414"/>
      <c r="G1732" s="253"/>
      <c r="H1732" s="253"/>
      <c r="I1732" s="253"/>
      <c r="J1732" s="253"/>
      <c r="K1732" s="253"/>
      <c r="L1732" s="253"/>
      <c r="M1732" s="253"/>
      <c r="N1732" s="253"/>
      <c r="O1732" s="258"/>
      <c r="P1732" s="258"/>
      <c r="Q1732" s="258"/>
      <c r="R1732" s="258"/>
      <c r="S1732" s="258"/>
      <c r="T1732" s="258"/>
      <c r="U1732" s="258"/>
      <c r="V1732" s="258"/>
      <c r="W1732" s="258"/>
      <c r="X1732" s="258"/>
      <c r="Y1732" s="258"/>
      <c r="Z1732" s="258"/>
      <c r="AA1732" s="258"/>
      <c r="AB1732" s="258"/>
      <c r="AC1732" s="407"/>
    </row>
    <row r="1733" spans="2:29" s="406" customFormat="1" ht="16.5" customHeight="1">
      <c r="B1733" s="256"/>
      <c r="C1733" s="256"/>
      <c r="D1733" s="414"/>
      <c r="E1733" s="414"/>
      <c r="F1733" s="414"/>
      <c r="G1733" s="253"/>
      <c r="H1733" s="253"/>
      <c r="I1733" s="253"/>
      <c r="J1733" s="253"/>
      <c r="K1733" s="253"/>
      <c r="L1733" s="253"/>
      <c r="M1733" s="253"/>
      <c r="N1733" s="253"/>
      <c r="O1733" s="258"/>
      <c r="P1733" s="258"/>
      <c r="Q1733" s="258"/>
      <c r="R1733" s="258"/>
      <c r="S1733" s="258"/>
      <c r="T1733" s="258"/>
      <c r="U1733" s="258"/>
      <c r="V1733" s="258"/>
      <c r="W1733" s="258"/>
      <c r="X1733" s="258"/>
      <c r="Y1733" s="258"/>
      <c r="Z1733" s="258"/>
      <c r="AA1733" s="258"/>
      <c r="AB1733" s="258"/>
      <c r="AC1733" s="407"/>
    </row>
    <row r="1734" spans="2:29" s="406" customFormat="1" ht="16.5" customHeight="1">
      <c r="B1734" s="256"/>
      <c r="C1734" s="256"/>
      <c r="D1734" s="414"/>
      <c r="E1734" s="414"/>
      <c r="F1734" s="414"/>
      <c r="G1734" s="253"/>
      <c r="H1734" s="253"/>
      <c r="I1734" s="253"/>
      <c r="J1734" s="253"/>
      <c r="K1734" s="253"/>
      <c r="L1734" s="253"/>
      <c r="M1734" s="253"/>
      <c r="N1734" s="253"/>
      <c r="O1734" s="258"/>
      <c r="P1734" s="258"/>
      <c r="Q1734" s="258"/>
      <c r="R1734" s="258"/>
      <c r="S1734" s="258"/>
      <c r="T1734" s="258"/>
      <c r="U1734" s="258"/>
      <c r="V1734" s="258"/>
      <c r="W1734" s="258"/>
      <c r="X1734" s="258"/>
      <c r="Y1734" s="258"/>
      <c r="Z1734" s="258"/>
      <c r="AA1734" s="258"/>
      <c r="AB1734" s="258"/>
      <c r="AC1734" s="407"/>
    </row>
    <row r="1735" spans="2:29" s="406" customFormat="1" ht="16.5" customHeight="1">
      <c r="B1735" s="256"/>
      <c r="C1735" s="256"/>
      <c r="D1735" s="414"/>
      <c r="E1735" s="414"/>
      <c r="F1735" s="414"/>
      <c r="G1735" s="253"/>
      <c r="H1735" s="253"/>
      <c r="I1735" s="253"/>
      <c r="J1735" s="253"/>
      <c r="K1735" s="253"/>
      <c r="L1735" s="253"/>
      <c r="M1735" s="253"/>
      <c r="N1735" s="253"/>
      <c r="O1735" s="258"/>
      <c r="P1735" s="258"/>
      <c r="Q1735" s="258"/>
      <c r="R1735" s="258"/>
      <c r="S1735" s="258"/>
      <c r="T1735" s="258"/>
      <c r="U1735" s="258"/>
      <c r="V1735" s="258"/>
      <c r="W1735" s="258"/>
      <c r="X1735" s="258"/>
      <c r="Y1735" s="258"/>
      <c r="Z1735" s="258"/>
      <c r="AA1735" s="258"/>
      <c r="AB1735" s="258"/>
      <c r="AC1735" s="407"/>
    </row>
    <row r="1736" spans="2:29" s="406" customFormat="1" ht="16.5" customHeight="1">
      <c r="B1736" s="256"/>
      <c r="C1736" s="256"/>
      <c r="D1736" s="414"/>
      <c r="E1736" s="414"/>
      <c r="F1736" s="414"/>
      <c r="G1736" s="253"/>
      <c r="H1736" s="253"/>
      <c r="I1736" s="253"/>
      <c r="J1736" s="253"/>
      <c r="K1736" s="253"/>
      <c r="L1736" s="253"/>
      <c r="M1736" s="253"/>
      <c r="N1736" s="253"/>
      <c r="O1736" s="258"/>
      <c r="P1736" s="258"/>
      <c r="Q1736" s="258"/>
      <c r="R1736" s="258"/>
      <c r="S1736" s="258"/>
      <c r="T1736" s="258"/>
      <c r="U1736" s="258"/>
      <c r="V1736" s="258"/>
      <c r="W1736" s="258"/>
      <c r="X1736" s="258"/>
      <c r="Y1736" s="258"/>
      <c r="Z1736" s="258"/>
      <c r="AA1736" s="258"/>
      <c r="AB1736" s="258"/>
      <c r="AC1736" s="407"/>
    </row>
    <row r="1737" spans="2:29" s="406" customFormat="1" ht="16.5" customHeight="1">
      <c r="B1737" s="256"/>
      <c r="C1737" s="256"/>
      <c r="D1737" s="414"/>
      <c r="E1737" s="414"/>
      <c r="F1737" s="414"/>
      <c r="G1737" s="253"/>
      <c r="H1737" s="253"/>
      <c r="I1737" s="253"/>
      <c r="J1737" s="253"/>
      <c r="K1737" s="253"/>
      <c r="L1737" s="253"/>
      <c r="M1737" s="253"/>
      <c r="N1737" s="253"/>
      <c r="O1737" s="258"/>
      <c r="P1737" s="258"/>
      <c r="Q1737" s="258"/>
      <c r="R1737" s="258"/>
      <c r="S1737" s="258"/>
      <c r="T1737" s="258"/>
      <c r="U1737" s="258"/>
      <c r="V1737" s="258"/>
      <c r="W1737" s="258"/>
      <c r="X1737" s="258"/>
      <c r="Y1737" s="258"/>
      <c r="Z1737" s="258"/>
      <c r="AA1737" s="258"/>
      <c r="AB1737" s="258"/>
      <c r="AC1737" s="407"/>
    </row>
    <row r="1738" spans="2:29" s="406" customFormat="1" ht="16.5" customHeight="1">
      <c r="B1738" s="256"/>
      <c r="C1738" s="256"/>
      <c r="D1738" s="414"/>
      <c r="E1738" s="414"/>
      <c r="F1738" s="414"/>
      <c r="G1738" s="253"/>
      <c r="H1738" s="253"/>
      <c r="I1738" s="253"/>
      <c r="J1738" s="253"/>
      <c r="K1738" s="253"/>
      <c r="L1738" s="253"/>
      <c r="M1738" s="253"/>
      <c r="N1738" s="253"/>
      <c r="O1738" s="258"/>
      <c r="P1738" s="258"/>
      <c r="Q1738" s="258"/>
      <c r="R1738" s="258"/>
      <c r="S1738" s="258"/>
      <c r="T1738" s="258"/>
      <c r="U1738" s="258"/>
      <c r="V1738" s="258"/>
      <c r="W1738" s="258"/>
      <c r="X1738" s="258"/>
      <c r="Y1738" s="258"/>
      <c r="Z1738" s="258"/>
      <c r="AA1738" s="258"/>
      <c r="AB1738" s="258"/>
      <c r="AC1738" s="407"/>
    </row>
    <row r="1739" spans="2:29" s="406" customFormat="1" ht="16.5" customHeight="1">
      <c r="B1739" s="256"/>
      <c r="C1739" s="256"/>
      <c r="D1739" s="414"/>
      <c r="E1739" s="414"/>
      <c r="F1739" s="414"/>
      <c r="G1739" s="253"/>
      <c r="H1739" s="253"/>
      <c r="I1739" s="253"/>
      <c r="J1739" s="253"/>
      <c r="K1739" s="253"/>
      <c r="L1739" s="253"/>
      <c r="M1739" s="253"/>
      <c r="N1739" s="253"/>
      <c r="O1739" s="258"/>
      <c r="P1739" s="258"/>
      <c r="Q1739" s="258"/>
      <c r="R1739" s="258"/>
      <c r="S1739" s="258"/>
      <c r="T1739" s="258"/>
      <c r="U1739" s="258"/>
      <c r="V1739" s="258"/>
      <c r="W1739" s="258"/>
      <c r="X1739" s="258"/>
      <c r="Y1739" s="258"/>
      <c r="Z1739" s="258"/>
      <c r="AA1739" s="258"/>
      <c r="AB1739" s="258"/>
      <c r="AC1739" s="407"/>
    </row>
    <row r="1740" spans="2:29" s="406" customFormat="1" ht="16.5" customHeight="1">
      <c r="B1740" s="256"/>
      <c r="C1740" s="256"/>
      <c r="D1740" s="414"/>
      <c r="E1740" s="414"/>
      <c r="F1740" s="414"/>
      <c r="G1740" s="253"/>
      <c r="H1740" s="253"/>
      <c r="I1740" s="253"/>
      <c r="J1740" s="253"/>
      <c r="K1740" s="253"/>
      <c r="L1740" s="253"/>
      <c r="M1740" s="253"/>
      <c r="N1740" s="253"/>
      <c r="O1740" s="258"/>
      <c r="P1740" s="258"/>
      <c r="Q1740" s="258"/>
      <c r="R1740" s="258"/>
      <c r="S1740" s="258"/>
      <c r="T1740" s="258"/>
      <c r="U1740" s="258"/>
      <c r="V1740" s="258"/>
      <c r="W1740" s="258"/>
      <c r="X1740" s="258"/>
      <c r="Y1740" s="258"/>
      <c r="Z1740" s="258"/>
      <c r="AA1740" s="258"/>
      <c r="AB1740" s="258"/>
      <c r="AC1740" s="407"/>
    </row>
    <row r="1741" spans="2:29" s="406" customFormat="1" ht="16.5" customHeight="1">
      <c r="B1741" s="256"/>
      <c r="C1741" s="256"/>
      <c r="D1741" s="414"/>
      <c r="E1741" s="414"/>
      <c r="F1741" s="414"/>
      <c r="G1741" s="253"/>
      <c r="H1741" s="253"/>
      <c r="I1741" s="253"/>
      <c r="J1741" s="253"/>
      <c r="K1741" s="253"/>
      <c r="L1741" s="253"/>
      <c r="M1741" s="253"/>
      <c r="N1741" s="253"/>
      <c r="O1741" s="258"/>
      <c r="P1741" s="258"/>
      <c r="Q1741" s="258"/>
      <c r="R1741" s="258"/>
      <c r="S1741" s="258"/>
      <c r="T1741" s="258"/>
      <c r="U1741" s="258"/>
      <c r="V1741" s="258"/>
      <c r="W1741" s="258"/>
      <c r="X1741" s="258"/>
      <c r="Y1741" s="258"/>
      <c r="Z1741" s="258"/>
      <c r="AA1741" s="258"/>
      <c r="AB1741" s="258"/>
      <c r="AC1741" s="407"/>
    </row>
    <row r="1742" spans="2:29" s="406" customFormat="1" ht="16.5" customHeight="1">
      <c r="B1742" s="256"/>
      <c r="C1742" s="256"/>
      <c r="D1742" s="414"/>
      <c r="E1742" s="414"/>
      <c r="F1742" s="414"/>
      <c r="G1742" s="253"/>
      <c r="H1742" s="253"/>
      <c r="I1742" s="253"/>
      <c r="J1742" s="253"/>
      <c r="K1742" s="253"/>
      <c r="L1742" s="253"/>
      <c r="M1742" s="253"/>
      <c r="N1742" s="253"/>
      <c r="O1742" s="258"/>
      <c r="P1742" s="258"/>
      <c r="Q1742" s="258"/>
      <c r="R1742" s="258"/>
      <c r="S1742" s="258"/>
      <c r="T1742" s="258"/>
      <c r="U1742" s="258"/>
      <c r="V1742" s="258"/>
      <c r="W1742" s="258"/>
      <c r="X1742" s="258"/>
      <c r="Y1742" s="258"/>
      <c r="Z1742" s="258"/>
      <c r="AA1742" s="258"/>
      <c r="AB1742" s="258"/>
      <c r="AC1742" s="407"/>
    </row>
    <row r="1743" spans="2:29" s="406" customFormat="1" ht="16.5" customHeight="1">
      <c r="B1743" s="256"/>
      <c r="C1743" s="256"/>
      <c r="D1743" s="414"/>
      <c r="E1743" s="414"/>
      <c r="F1743" s="414"/>
      <c r="G1743" s="253"/>
      <c r="H1743" s="253"/>
      <c r="I1743" s="253"/>
      <c r="J1743" s="253"/>
      <c r="K1743" s="253"/>
      <c r="L1743" s="253"/>
      <c r="M1743" s="253"/>
      <c r="N1743" s="253"/>
      <c r="O1743" s="258"/>
      <c r="P1743" s="258"/>
      <c r="Q1743" s="258"/>
      <c r="R1743" s="258"/>
      <c r="S1743" s="258"/>
      <c r="T1743" s="258"/>
      <c r="U1743" s="258"/>
      <c r="V1743" s="258"/>
      <c r="W1743" s="258"/>
      <c r="X1743" s="258"/>
      <c r="Y1743" s="258"/>
      <c r="Z1743" s="258"/>
      <c r="AA1743" s="258"/>
      <c r="AB1743" s="258"/>
      <c r="AC1743" s="407"/>
    </row>
    <row r="1744" spans="2:29" s="406" customFormat="1" ht="16.5" customHeight="1">
      <c r="B1744" s="256"/>
      <c r="C1744" s="256"/>
      <c r="D1744" s="414"/>
      <c r="E1744" s="414"/>
      <c r="F1744" s="414"/>
      <c r="G1744" s="253"/>
      <c r="H1744" s="253"/>
      <c r="I1744" s="253"/>
      <c r="J1744" s="253"/>
      <c r="K1744" s="253"/>
      <c r="L1744" s="253"/>
      <c r="M1744" s="253"/>
      <c r="N1744" s="253"/>
      <c r="O1744" s="258"/>
      <c r="P1744" s="258"/>
      <c r="Q1744" s="258"/>
      <c r="R1744" s="258"/>
      <c r="S1744" s="258"/>
      <c r="T1744" s="258"/>
      <c r="U1744" s="258"/>
      <c r="V1744" s="258"/>
      <c r="W1744" s="258"/>
      <c r="X1744" s="258"/>
      <c r="Y1744" s="258"/>
      <c r="Z1744" s="258"/>
      <c r="AA1744" s="258"/>
      <c r="AB1744" s="258"/>
      <c r="AC1744" s="407"/>
    </row>
    <row r="1745" spans="2:29" s="406" customFormat="1" ht="16.5" customHeight="1">
      <c r="B1745" s="256"/>
      <c r="C1745" s="256"/>
      <c r="D1745" s="414"/>
      <c r="E1745" s="414"/>
      <c r="F1745" s="414"/>
      <c r="G1745" s="253"/>
      <c r="H1745" s="253"/>
      <c r="I1745" s="253"/>
      <c r="J1745" s="253"/>
      <c r="K1745" s="253"/>
      <c r="L1745" s="253"/>
      <c r="M1745" s="253"/>
      <c r="N1745" s="253"/>
      <c r="O1745" s="258"/>
      <c r="P1745" s="258"/>
      <c r="Q1745" s="258"/>
      <c r="R1745" s="258"/>
      <c r="S1745" s="258"/>
      <c r="T1745" s="258"/>
      <c r="U1745" s="258"/>
      <c r="V1745" s="258"/>
      <c r="W1745" s="258"/>
      <c r="X1745" s="258"/>
      <c r="Y1745" s="258"/>
      <c r="Z1745" s="258"/>
      <c r="AA1745" s="258"/>
      <c r="AB1745" s="258"/>
      <c r="AC1745" s="407"/>
    </row>
    <row r="1746" spans="2:29" s="406" customFormat="1" ht="16.5" customHeight="1">
      <c r="B1746" s="256"/>
      <c r="C1746" s="256"/>
      <c r="D1746" s="414"/>
      <c r="E1746" s="414"/>
      <c r="F1746" s="414"/>
      <c r="G1746" s="253"/>
      <c r="H1746" s="253"/>
      <c r="I1746" s="253"/>
      <c r="J1746" s="253"/>
      <c r="K1746" s="253"/>
      <c r="L1746" s="253"/>
      <c r="M1746" s="253"/>
      <c r="N1746" s="253"/>
      <c r="O1746" s="258"/>
      <c r="P1746" s="258"/>
      <c r="Q1746" s="258"/>
      <c r="R1746" s="258"/>
      <c r="S1746" s="258"/>
      <c r="T1746" s="258"/>
      <c r="U1746" s="258"/>
      <c r="V1746" s="258"/>
      <c r="W1746" s="258"/>
      <c r="X1746" s="258"/>
      <c r="Y1746" s="258"/>
      <c r="Z1746" s="258"/>
      <c r="AA1746" s="258"/>
      <c r="AB1746" s="258"/>
      <c r="AC1746" s="407"/>
    </row>
    <row r="1747" spans="2:29" s="406" customFormat="1" ht="16.5" customHeight="1">
      <c r="B1747" s="256"/>
      <c r="C1747" s="256"/>
      <c r="D1747" s="414"/>
      <c r="E1747" s="414"/>
      <c r="F1747" s="414"/>
      <c r="G1747" s="253"/>
      <c r="H1747" s="253"/>
      <c r="I1747" s="253"/>
      <c r="J1747" s="253"/>
      <c r="K1747" s="253"/>
      <c r="L1747" s="253"/>
      <c r="M1747" s="253"/>
      <c r="N1747" s="253"/>
      <c r="O1747" s="258"/>
      <c r="P1747" s="258"/>
      <c r="Q1747" s="258"/>
      <c r="R1747" s="258"/>
      <c r="S1747" s="258"/>
      <c r="T1747" s="258"/>
      <c r="U1747" s="258"/>
      <c r="V1747" s="258"/>
      <c r="W1747" s="258"/>
      <c r="X1747" s="258"/>
      <c r="Y1747" s="258"/>
      <c r="Z1747" s="258"/>
      <c r="AA1747" s="258"/>
      <c r="AB1747" s="258"/>
      <c r="AC1747" s="407"/>
    </row>
    <row r="1748" spans="2:29" s="406" customFormat="1" ht="16.5" customHeight="1">
      <c r="B1748" s="256"/>
      <c r="C1748" s="256"/>
      <c r="D1748" s="414"/>
      <c r="E1748" s="414"/>
      <c r="F1748" s="414"/>
      <c r="G1748" s="253"/>
      <c r="H1748" s="253"/>
      <c r="I1748" s="253"/>
      <c r="J1748" s="253"/>
      <c r="K1748" s="253"/>
      <c r="L1748" s="253"/>
      <c r="M1748" s="253"/>
      <c r="N1748" s="253"/>
      <c r="O1748" s="258"/>
      <c r="P1748" s="258"/>
      <c r="Q1748" s="258"/>
      <c r="R1748" s="258"/>
      <c r="S1748" s="258"/>
      <c r="T1748" s="258"/>
      <c r="U1748" s="258"/>
      <c r="V1748" s="258"/>
      <c r="W1748" s="258"/>
      <c r="X1748" s="258"/>
      <c r="Y1748" s="258"/>
      <c r="Z1748" s="258"/>
      <c r="AA1748" s="258"/>
      <c r="AB1748" s="258"/>
      <c r="AC1748" s="407"/>
    </row>
    <row r="1749" spans="2:29" s="406" customFormat="1" ht="16.5" customHeight="1">
      <c r="B1749" s="256"/>
      <c r="C1749" s="256"/>
      <c r="D1749" s="414"/>
      <c r="E1749" s="414"/>
      <c r="F1749" s="414"/>
      <c r="G1749" s="253"/>
      <c r="H1749" s="253"/>
      <c r="I1749" s="253"/>
      <c r="J1749" s="253"/>
      <c r="K1749" s="253"/>
      <c r="L1749" s="253"/>
      <c r="M1749" s="253"/>
      <c r="N1749" s="253"/>
      <c r="O1749" s="258"/>
      <c r="P1749" s="258"/>
      <c r="Q1749" s="258"/>
      <c r="R1749" s="258"/>
      <c r="S1749" s="258"/>
      <c r="T1749" s="258"/>
      <c r="U1749" s="258"/>
      <c r="V1749" s="258"/>
      <c r="W1749" s="258"/>
      <c r="X1749" s="258"/>
      <c r="Y1749" s="258"/>
      <c r="Z1749" s="258"/>
      <c r="AA1749" s="258"/>
      <c r="AB1749" s="258"/>
      <c r="AC1749" s="407"/>
    </row>
    <row r="1750" spans="2:29" s="406" customFormat="1" ht="16.5" customHeight="1">
      <c r="B1750" s="256"/>
      <c r="C1750" s="256"/>
      <c r="D1750" s="414"/>
      <c r="E1750" s="414"/>
      <c r="F1750" s="414"/>
      <c r="G1750" s="253"/>
      <c r="H1750" s="253"/>
      <c r="I1750" s="253"/>
      <c r="J1750" s="253"/>
      <c r="K1750" s="253"/>
      <c r="L1750" s="253"/>
      <c r="M1750" s="253"/>
      <c r="N1750" s="253"/>
      <c r="O1750" s="258"/>
      <c r="P1750" s="258"/>
      <c r="Q1750" s="258"/>
      <c r="R1750" s="258"/>
      <c r="S1750" s="258"/>
      <c r="T1750" s="258"/>
      <c r="U1750" s="258"/>
      <c r="V1750" s="258"/>
      <c r="W1750" s="258"/>
      <c r="X1750" s="258"/>
      <c r="Y1750" s="258"/>
      <c r="Z1750" s="258"/>
      <c r="AA1750" s="258"/>
      <c r="AB1750" s="258"/>
      <c r="AC1750" s="407"/>
    </row>
    <row r="1751" spans="2:29" s="406" customFormat="1" ht="16.5" customHeight="1">
      <c r="B1751" s="256"/>
      <c r="C1751" s="256"/>
      <c r="D1751" s="414"/>
      <c r="E1751" s="414"/>
      <c r="F1751" s="414"/>
      <c r="G1751" s="253"/>
      <c r="H1751" s="253"/>
      <c r="I1751" s="253"/>
      <c r="J1751" s="253"/>
      <c r="K1751" s="253"/>
      <c r="L1751" s="253"/>
      <c r="M1751" s="253"/>
      <c r="N1751" s="253"/>
      <c r="O1751" s="258"/>
      <c r="P1751" s="258"/>
      <c r="Q1751" s="258"/>
      <c r="R1751" s="258"/>
      <c r="S1751" s="258"/>
      <c r="T1751" s="258"/>
      <c r="U1751" s="258"/>
      <c r="V1751" s="258"/>
      <c r="W1751" s="258"/>
      <c r="X1751" s="258"/>
      <c r="Y1751" s="258"/>
      <c r="Z1751" s="258"/>
      <c r="AA1751" s="258"/>
      <c r="AB1751" s="258"/>
      <c r="AC1751" s="407"/>
    </row>
    <row r="1752" spans="2:29" s="406" customFormat="1" ht="16.5" customHeight="1">
      <c r="B1752" s="256"/>
      <c r="C1752" s="256"/>
      <c r="D1752" s="414"/>
      <c r="E1752" s="414"/>
      <c r="F1752" s="414"/>
      <c r="G1752" s="253"/>
      <c r="H1752" s="253"/>
      <c r="I1752" s="253"/>
      <c r="J1752" s="253"/>
      <c r="K1752" s="253"/>
      <c r="L1752" s="253"/>
      <c r="M1752" s="253"/>
      <c r="N1752" s="253"/>
      <c r="O1752" s="258"/>
      <c r="P1752" s="258"/>
      <c r="Q1752" s="258"/>
      <c r="R1752" s="258"/>
      <c r="S1752" s="258"/>
      <c r="T1752" s="258"/>
      <c r="U1752" s="258"/>
      <c r="V1752" s="258"/>
      <c r="W1752" s="258"/>
      <c r="X1752" s="258"/>
      <c r="Y1752" s="258"/>
      <c r="Z1752" s="258"/>
      <c r="AA1752" s="258"/>
      <c r="AB1752" s="258"/>
      <c r="AC1752" s="407"/>
    </row>
    <row r="1753" spans="2:29" s="406" customFormat="1" ht="16.5" customHeight="1">
      <c r="B1753" s="256"/>
      <c r="C1753" s="256"/>
      <c r="D1753" s="414"/>
      <c r="E1753" s="414"/>
      <c r="F1753" s="414"/>
      <c r="G1753" s="253"/>
      <c r="H1753" s="253"/>
      <c r="I1753" s="253"/>
      <c r="J1753" s="253"/>
      <c r="K1753" s="253"/>
      <c r="L1753" s="253"/>
      <c r="M1753" s="253"/>
      <c r="N1753" s="253"/>
      <c r="O1753" s="258"/>
      <c r="P1753" s="258"/>
      <c r="Q1753" s="258"/>
      <c r="R1753" s="258"/>
      <c r="S1753" s="258"/>
      <c r="T1753" s="258"/>
      <c r="U1753" s="258"/>
      <c r="V1753" s="258"/>
      <c r="W1753" s="258"/>
      <c r="X1753" s="258"/>
      <c r="Y1753" s="258"/>
      <c r="Z1753" s="258"/>
      <c r="AA1753" s="258"/>
      <c r="AB1753" s="258"/>
      <c r="AC1753" s="407"/>
    </row>
    <row r="1754" spans="2:29" s="406" customFormat="1" ht="16.5" customHeight="1">
      <c r="B1754" s="256"/>
      <c r="C1754" s="256"/>
      <c r="D1754" s="414"/>
      <c r="E1754" s="414"/>
      <c r="F1754" s="414"/>
      <c r="G1754" s="253"/>
      <c r="H1754" s="253"/>
      <c r="I1754" s="253"/>
      <c r="J1754" s="253"/>
      <c r="K1754" s="253"/>
      <c r="L1754" s="253"/>
      <c r="M1754" s="253"/>
      <c r="N1754" s="253"/>
      <c r="O1754" s="258"/>
      <c r="P1754" s="258"/>
      <c r="Q1754" s="258"/>
      <c r="R1754" s="258"/>
      <c r="S1754" s="258"/>
      <c r="T1754" s="258"/>
      <c r="U1754" s="258"/>
      <c r="V1754" s="258"/>
      <c r="W1754" s="258"/>
      <c r="X1754" s="258"/>
      <c r="Y1754" s="258"/>
      <c r="Z1754" s="258"/>
      <c r="AA1754" s="258"/>
      <c r="AB1754" s="258"/>
      <c r="AC1754" s="407"/>
    </row>
    <row r="1755" spans="2:29" s="406" customFormat="1" ht="16.5" customHeight="1">
      <c r="B1755" s="256"/>
      <c r="C1755" s="256"/>
      <c r="D1755" s="414"/>
      <c r="E1755" s="414"/>
      <c r="F1755" s="414"/>
      <c r="G1755" s="253"/>
      <c r="H1755" s="253"/>
      <c r="I1755" s="253"/>
      <c r="J1755" s="253"/>
      <c r="K1755" s="253"/>
      <c r="L1755" s="253"/>
      <c r="M1755" s="253"/>
      <c r="N1755" s="253"/>
      <c r="O1755" s="258"/>
      <c r="P1755" s="258"/>
      <c r="Q1755" s="258"/>
      <c r="R1755" s="258"/>
      <c r="S1755" s="258"/>
      <c r="T1755" s="258"/>
      <c r="U1755" s="258"/>
      <c r="V1755" s="258"/>
      <c r="W1755" s="258"/>
      <c r="X1755" s="258"/>
      <c r="Y1755" s="258"/>
      <c r="Z1755" s="258"/>
      <c r="AA1755" s="258"/>
      <c r="AB1755" s="258"/>
      <c r="AC1755" s="407"/>
    </row>
    <row r="1756" spans="2:29" s="406" customFormat="1" ht="16.5" customHeight="1">
      <c r="B1756" s="256"/>
      <c r="C1756" s="256"/>
      <c r="D1756" s="414"/>
      <c r="E1756" s="414"/>
      <c r="F1756" s="414"/>
      <c r="G1756" s="253"/>
      <c r="H1756" s="253"/>
      <c r="I1756" s="253"/>
      <c r="J1756" s="253"/>
      <c r="K1756" s="253"/>
      <c r="L1756" s="253"/>
      <c r="M1756" s="253"/>
      <c r="N1756" s="253"/>
      <c r="O1756" s="258"/>
      <c r="P1756" s="258"/>
      <c r="Q1756" s="258"/>
      <c r="R1756" s="258"/>
      <c r="S1756" s="258"/>
      <c r="T1756" s="258"/>
      <c r="U1756" s="258"/>
      <c r="V1756" s="258"/>
      <c r="W1756" s="258"/>
      <c r="X1756" s="258"/>
      <c r="Y1756" s="258"/>
      <c r="Z1756" s="258"/>
      <c r="AA1756" s="258"/>
      <c r="AB1756" s="258"/>
      <c r="AC1756" s="407"/>
    </row>
    <row r="1757" spans="2:29" s="406" customFormat="1" ht="16.5" customHeight="1">
      <c r="B1757" s="256"/>
      <c r="C1757" s="256"/>
      <c r="D1757" s="414"/>
      <c r="E1757" s="414"/>
      <c r="F1757" s="414"/>
      <c r="G1757" s="253"/>
      <c r="H1757" s="253"/>
      <c r="I1757" s="253"/>
      <c r="J1757" s="253"/>
      <c r="K1757" s="253"/>
      <c r="L1757" s="253"/>
      <c r="M1757" s="253"/>
      <c r="N1757" s="253"/>
      <c r="O1757" s="258"/>
      <c r="P1757" s="258"/>
      <c r="Q1757" s="258"/>
      <c r="R1757" s="258"/>
      <c r="S1757" s="258"/>
      <c r="T1757" s="258"/>
      <c r="U1757" s="258"/>
      <c r="V1757" s="258"/>
      <c r="W1757" s="258"/>
      <c r="X1757" s="258"/>
      <c r="Y1757" s="258"/>
      <c r="Z1757" s="258"/>
      <c r="AA1757" s="258"/>
      <c r="AB1757" s="258"/>
      <c r="AC1757" s="407"/>
    </row>
    <row r="1758" spans="2:29" s="406" customFormat="1" ht="16.5" customHeight="1">
      <c r="B1758" s="256"/>
      <c r="C1758" s="256"/>
      <c r="D1758" s="414"/>
      <c r="E1758" s="414"/>
      <c r="F1758" s="414"/>
      <c r="G1758" s="253"/>
      <c r="H1758" s="253"/>
      <c r="I1758" s="253"/>
      <c r="J1758" s="253"/>
      <c r="K1758" s="253"/>
      <c r="L1758" s="253"/>
      <c r="M1758" s="253"/>
      <c r="N1758" s="253"/>
      <c r="O1758" s="258"/>
      <c r="P1758" s="258"/>
      <c r="Q1758" s="258"/>
      <c r="R1758" s="258"/>
      <c r="S1758" s="258"/>
      <c r="T1758" s="258"/>
      <c r="U1758" s="258"/>
      <c r="V1758" s="258"/>
      <c r="W1758" s="258"/>
      <c r="X1758" s="258"/>
      <c r="Y1758" s="258"/>
      <c r="Z1758" s="258"/>
      <c r="AA1758" s="258"/>
      <c r="AB1758" s="258"/>
      <c r="AC1758" s="407"/>
    </row>
    <row r="1759" spans="2:29" s="406" customFormat="1" ht="16.5" customHeight="1">
      <c r="B1759" s="256"/>
      <c r="C1759" s="256"/>
      <c r="D1759" s="414"/>
      <c r="E1759" s="414"/>
      <c r="F1759" s="414"/>
      <c r="G1759" s="253"/>
      <c r="H1759" s="253"/>
      <c r="I1759" s="253"/>
      <c r="J1759" s="253"/>
      <c r="K1759" s="253"/>
      <c r="L1759" s="253"/>
      <c r="M1759" s="253"/>
      <c r="N1759" s="253"/>
      <c r="O1759" s="258"/>
      <c r="P1759" s="258"/>
      <c r="Q1759" s="258"/>
      <c r="R1759" s="258"/>
      <c r="S1759" s="258"/>
      <c r="T1759" s="258"/>
      <c r="U1759" s="258"/>
      <c r="V1759" s="258"/>
      <c r="W1759" s="258"/>
      <c r="X1759" s="258"/>
      <c r="Y1759" s="258"/>
      <c r="Z1759" s="258"/>
      <c r="AA1759" s="258"/>
      <c r="AB1759" s="258"/>
      <c r="AC1759" s="407"/>
    </row>
    <row r="1760" spans="2:29" s="406" customFormat="1" ht="16.5" customHeight="1">
      <c r="B1760" s="256"/>
      <c r="C1760" s="256"/>
      <c r="D1760" s="414"/>
      <c r="E1760" s="414"/>
      <c r="F1760" s="414"/>
      <c r="G1760" s="253"/>
      <c r="H1760" s="253"/>
      <c r="I1760" s="253"/>
      <c r="J1760" s="253"/>
      <c r="K1760" s="253"/>
      <c r="L1760" s="253"/>
      <c r="M1760" s="253"/>
      <c r="N1760" s="253"/>
      <c r="O1760" s="258"/>
      <c r="P1760" s="258"/>
      <c r="Q1760" s="258"/>
      <c r="R1760" s="258"/>
      <c r="S1760" s="258"/>
      <c r="T1760" s="258"/>
      <c r="U1760" s="258"/>
      <c r="V1760" s="258"/>
      <c r="W1760" s="258"/>
      <c r="X1760" s="258"/>
      <c r="Y1760" s="258"/>
      <c r="Z1760" s="258"/>
      <c r="AA1760" s="258"/>
      <c r="AB1760" s="258"/>
      <c r="AC1760" s="407"/>
    </row>
    <row r="1761" spans="2:29" s="406" customFormat="1" ht="16.5" customHeight="1">
      <c r="B1761" s="256"/>
      <c r="C1761" s="256"/>
      <c r="D1761" s="414"/>
      <c r="E1761" s="414"/>
      <c r="F1761" s="414"/>
      <c r="G1761" s="253"/>
      <c r="H1761" s="253"/>
      <c r="I1761" s="253"/>
      <c r="J1761" s="253"/>
      <c r="K1761" s="253"/>
      <c r="L1761" s="253"/>
      <c r="M1761" s="253"/>
      <c r="N1761" s="253"/>
      <c r="O1761" s="258"/>
      <c r="P1761" s="258"/>
      <c r="Q1761" s="258"/>
      <c r="R1761" s="258"/>
      <c r="S1761" s="258"/>
      <c r="T1761" s="258"/>
      <c r="U1761" s="258"/>
      <c r="V1761" s="258"/>
      <c r="W1761" s="258"/>
      <c r="X1761" s="258"/>
      <c r="Y1761" s="258"/>
      <c r="Z1761" s="258"/>
      <c r="AA1761" s="258"/>
      <c r="AB1761" s="258"/>
      <c r="AC1761" s="407"/>
    </row>
    <row r="1762" spans="2:29" s="406" customFormat="1" ht="16.5" customHeight="1">
      <c r="B1762" s="256"/>
      <c r="C1762" s="256"/>
      <c r="D1762" s="414"/>
      <c r="E1762" s="414"/>
      <c r="F1762" s="414"/>
      <c r="G1762" s="253"/>
      <c r="H1762" s="253"/>
      <c r="I1762" s="253"/>
      <c r="J1762" s="253"/>
      <c r="K1762" s="253"/>
      <c r="L1762" s="253"/>
      <c r="M1762" s="253"/>
      <c r="N1762" s="253"/>
      <c r="O1762" s="258"/>
      <c r="P1762" s="258"/>
      <c r="Q1762" s="258"/>
      <c r="R1762" s="258"/>
      <c r="S1762" s="258"/>
      <c r="T1762" s="258"/>
      <c r="U1762" s="258"/>
      <c r="V1762" s="258"/>
      <c r="W1762" s="258"/>
      <c r="X1762" s="258"/>
      <c r="Y1762" s="258"/>
      <c r="Z1762" s="258"/>
      <c r="AA1762" s="258"/>
      <c r="AB1762" s="258"/>
      <c r="AC1762" s="407"/>
    </row>
    <row r="1763" spans="2:29" s="406" customFormat="1" ht="16.5" customHeight="1">
      <c r="B1763" s="256"/>
      <c r="C1763" s="256"/>
      <c r="D1763" s="414"/>
      <c r="E1763" s="414"/>
      <c r="F1763" s="414"/>
      <c r="G1763" s="253"/>
      <c r="H1763" s="253"/>
      <c r="I1763" s="253"/>
      <c r="J1763" s="253"/>
      <c r="K1763" s="253"/>
      <c r="L1763" s="253"/>
      <c r="M1763" s="253"/>
      <c r="N1763" s="253"/>
      <c r="O1763" s="258"/>
      <c r="P1763" s="258"/>
      <c r="Q1763" s="258"/>
      <c r="R1763" s="258"/>
      <c r="S1763" s="258"/>
      <c r="T1763" s="258"/>
      <c r="U1763" s="258"/>
      <c r="V1763" s="258"/>
      <c r="W1763" s="258"/>
      <c r="X1763" s="258"/>
      <c r="Y1763" s="258"/>
      <c r="Z1763" s="258"/>
      <c r="AA1763" s="258"/>
      <c r="AB1763" s="258"/>
      <c r="AC1763" s="407"/>
    </row>
    <row r="1764" spans="2:29" s="406" customFormat="1" ht="16.5" customHeight="1">
      <c r="B1764" s="256"/>
      <c r="C1764" s="256"/>
      <c r="D1764" s="414"/>
      <c r="E1764" s="414"/>
      <c r="F1764" s="414"/>
      <c r="G1764" s="253"/>
      <c r="H1764" s="253"/>
      <c r="I1764" s="253"/>
      <c r="J1764" s="253"/>
      <c r="K1764" s="253"/>
      <c r="L1764" s="253"/>
      <c r="M1764" s="253"/>
      <c r="N1764" s="253"/>
      <c r="O1764" s="258"/>
      <c r="P1764" s="258"/>
      <c r="Q1764" s="258"/>
      <c r="R1764" s="258"/>
      <c r="S1764" s="258"/>
      <c r="T1764" s="258"/>
      <c r="U1764" s="258"/>
      <c r="V1764" s="258"/>
      <c r="W1764" s="258"/>
      <c r="X1764" s="258"/>
      <c r="Y1764" s="258"/>
      <c r="Z1764" s="258"/>
      <c r="AA1764" s="258"/>
      <c r="AB1764" s="258"/>
      <c r="AC1764" s="407"/>
    </row>
    <row r="1765" spans="2:29" s="406" customFormat="1" ht="16.5" customHeight="1">
      <c r="B1765" s="256"/>
      <c r="C1765" s="256"/>
      <c r="D1765" s="414"/>
      <c r="E1765" s="414"/>
      <c r="F1765" s="414"/>
      <c r="G1765" s="253"/>
      <c r="H1765" s="253"/>
      <c r="I1765" s="253"/>
      <c r="J1765" s="253"/>
      <c r="K1765" s="253"/>
      <c r="L1765" s="253"/>
      <c r="M1765" s="253"/>
      <c r="N1765" s="253"/>
      <c r="O1765" s="258"/>
      <c r="P1765" s="258"/>
      <c r="Q1765" s="258"/>
      <c r="R1765" s="258"/>
      <c r="S1765" s="258"/>
      <c r="T1765" s="258"/>
      <c r="U1765" s="258"/>
      <c r="V1765" s="258"/>
      <c r="W1765" s="258"/>
      <c r="X1765" s="258"/>
      <c r="Y1765" s="258"/>
      <c r="Z1765" s="258"/>
      <c r="AA1765" s="258"/>
      <c r="AB1765" s="258"/>
      <c r="AC1765" s="407"/>
    </row>
    <row r="1766" spans="2:29" s="406" customFormat="1" ht="16.5" customHeight="1">
      <c r="B1766" s="256"/>
      <c r="C1766" s="256"/>
      <c r="D1766" s="414"/>
      <c r="E1766" s="414"/>
      <c r="F1766" s="414"/>
      <c r="G1766" s="253"/>
      <c r="H1766" s="253"/>
      <c r="I1766" s="253"/>
      <c r="J1766" s="253"/>
      <c r="K1766" s="253"/>
      <c r="L1766" s="253"/>
      <c r="M1766" s="253"/>
      <c r="N1766" s="253"/>
      <c r="O1766" s="258"/>
      <c r="P1766" s="258"/>
      <c r="Q1766" s="258"/>
      <c r="R1766" s="258"/>
      <c r="S1766" s="258"/>
      <c r="T1766" s="258"/>
      <c r="U1766" s="258"/>
      <c r="V1766" s="258"/>
      <c r="W1766" s="258"/>
      <c r="X1766" s="258"/>
      <c r="Y1766" s="258"/>
      <c r="Z1766" s="258"/>
      <c r="AA1766" s="258"/>
      <c r="AB1766" s="258"/>
      <c r="AC1766" s="407"/>
    </row>
    <row r="1767" spans="2:29" s="406" customFormat="1" ht="16.5" customHeight="1">
      <c r="B1767" s="256"/>
      <c r="C1767" s="256"/>
      <c r="D1767" s="414"/>
      <c r="E1767" s="414"/>
      <c r="F1767" s="414"/>
      <c r="G1767" s="253"/>
      <c r="H1767" s="253"/>
      <c r="I1767" s="253"/>
      <c r="J1767" s="253"/>
      <c r="K1767" s="253"/>
      <c r="L1767" s="253"/>
      <c r="M1767" s="253"/>
      <c r="N1767" s="253"/>
      <c r="O1767" s="258"/>
      <c r="P1767" s="258"/>
      <c r="Q1767" s="258"/>
      <c r="R1767" s="258"/>
      <c r="S1767" s="258"/>
      <c r="T1767" s="258"/>
      <c r="U1767" s="258"/>
      <c r="V1767" s="258"/>
      <c r="W1767" s="258"/>
      <c r="X1767" s="258"/>
      <c r="Y1767" s="258"/>
      <c r="Z1767" s="258"/>
      <c r="AA1767" s="258"/>
      <c r="AB1767" s="258"/>
      <c r="AC1767" s="407"/>
    </row>
    <row r="1768" spans="2:29" s="406" customFormat="1" ht="16.5" customHeight="1">
      <c r="B1768" s="256"/>
      <c r="C1768" s="256"/>
      <c r="D1768" s="414"/>
      <c r="E1768" s="414"/>
      <c r="F1768" s="414"/>
      <c r="G1768" s="253"/>
      <c r="H1768" s="253"/>
      <c r="I1768" s="253"/>
      <c r="J1768" s="253"/>
      <c r="K1768" s="253"/>
      <c r="L1768" s="253"/>
      <c r="M1768" s="253"/>
      <c r="N1768" s="253"/>
      <c r="O1768" s="258"/>
      <c r="P1768" s="258"/>
      <c r="Q1768" s="258"/>
      <c r="R1768" s="258"/>
      <c r="S1768" s="258"/>
      <c r="T1768" s="258"/>
      <c r="U1768" s="258"/>
      <c r="V1768" s="258"/>
      <c r="W1768" s="258"/>
      <c r="X1768" s="258"/>
      <c r="Y1768" s="258"/>
      <c r="Z1768" s="258"/>
      <c r="AA1768" s="258"/>
      <c r="AB1768" s="258"/>
      <c r="AC1768" s="407"/>
    </row>
    <row r="1769" spans="2:29" s="406" customFormat="1" ht="16.5" customHeight="1">
      <c r="B1769" s="256"/>
      <c r="C1769" s="256"/>
      <c r="D1769" s="414"/>
      <c r="E1769" s="414"/>
      <c r="F1769" s="414"/>
      <c r="G1769" s="253"/>
      <c r="H1769" s="253"/>
      <c r="I1769" s="253"/>
      <c r="J1769" s="253"/>
      <c r="K1769" s="253"/>
      <c r="L1769" s="253"/>
      <c r="M1769" s="253"/>
      <c r="N1769" s="253"/>
      <c r="O1769" s="258"/>
      <c r="P1769" s="258"/>
      <c r="Q1769" s="258"/>
      <c r="R1769" s="258"/>
      <c r="S1769" s="258"/>
      <c r="T1769" s="258"/>
      <c r="U1769" s="258"/>
      <c r="V1769" s="258"/>
      <c r="W1769" s="258"/>
      <c r="X1769" s="258"/>
      <c r="Y1769" s="258"/>
      <c r="Z1769" s="258"/>
      <c r="AA1769" s="258"/>
      <c r="AB1769" s="258"/>
      <c r="AC1769" s="407"/>
    </row>
    <row r="1770" spans="2:29" s="406" customFormat="1" ht="16.5" customHeight="1">
      <c r="B1770" s="256"/>
      <c r="C1770" s="256"/>
      <c r="D1770" s="414"/>
      <c r="E1770" s="414"/>
      <c r="F1770" s="414"/>
      <c r="G1770" s="253"/>
      <c r="H1770" s="253"/>
      <c r="I1770" s="253"/>
      <c r="J1770" s="253"/>
      <c r="K1770" s="253"/>
      <c r="L1770" s="253"/>
      <c r="M1770" s="253"/>
      <c r="N1770" s="253"/>
      <c r="O1770" s="258"/>
      <c r="P1770" s="258"/>
      <c r="Q1770" s="258"/>
      <c r="R1770" s="258"/>
      <c r="S1770" s="258"/>
      <c r="T1770" s="258"/>
      <c r="U1770" s="258"/>
      <c r="V1770" s="258"/>
      <c r="W1770" s="258"/>
      <c r="X1770" s="258"/>
      <c r="Y1770" s="258"/>
      <c r="Z1770" s="258"/>
      <c r="AA1770" s="258"/>
      <c r="AB1770" s="258"/>
      <c r="AC1770" s="407"/>
    </row>
    <row r="1771" spans="2:29" s="406" customFormat="1" ht="16.5" customHeight="1">
      <c r="B1771" s="256"/>
      <c r="C1771" s="256"/>
      <c r="D1771" s="414"/>
      <c r="E1771" s="414"/>
      <c r="F1771" s="414"/>
      <c r="G1771" s="253"/>
      <c r="H1771" s="253"/>
      <c r="I1771" s="253"/>
      <c r="J1771" s="253"/>
      <c r="K1771" s="253"/>
      <c r="L1771" s="253"/>
      <c r="M1771" s="253"/>
      <c r="N1771" s="253"/>
      <c r="O1771" s="258"/>
      <c r="P1771" s="258"/>
      <c r="Q1771" s="258"/>
      <c r="R1771" s="258"/>
      <c r="S1771" s="258"/>
      <c r="T1771" s="258"/>
      <c r="U1771" s="258"/>
      <c r="V1771" s="258"/>
      <c r="W1771" s="258"/>
      <c r="X1771" s="258"/>
      <c r="Y1771" s="258"/>
      <c r="Z1771" s="258"/>
      <c r="AA1771" s="258"/>
      <c r="AB1771" s="258"/>
      <c r="AC1771" s="407"/>
    </row>
    <row r="1772" spans="2:29" s="406" customFormat="1" ht="16.5" customHeight="1">
      <c r="B1772" s="256"/>
      <c r="C1772" s="256"/>
      <c r="D1772" s="414"/>
      <c r="E1772" s="414"/>
      <c r="F1772" s="414"/>
      <c r="G1772" s="253"/>
      <c r="H1772" s="253"/>
      <c r="I1772" s="253"/>
      <c r="J1772" s="253"/>
      <c r="K1772" s="253"/>
      <c r="L1772" s="253"/>
      <c r="M1772" s="253"/>
      <c r="N1772" s="253"/>
      <c r="O1772" s="258"/>
      <c r="P1772" s="258"/>
      <c r="Q1772" s="258"/>
      <c r="R1772" s="258"/>
      <c r="S1772" s="258"/>
      <c r="T1772" s="258"/>
      <c r="U1772" s="258"/>
      <c r="V1772" s="258"/>
      <c r="W1772" s="258"/>
      <c r="X1772" s="258"/>
      <c r="Y1772" s="258"/>
      <c r="Z1772" s="258"/>
      <c r="AA1772" s="258"/>
      <c r="AB1772" s="258"/>
      <c r="AC1772" s="407"/>
    </row>
    <row r="1773" spans="2:29" s="406" customFormat="1" ht="16.5" customHeight="1">
      <c r="B1773" s="256"/>
      <c r="C1773" s="256"/>
      <c r="D1773" s="414"/>
      <c r="E1773" s="414"/>
      <c r="F1773" s="414"/>
      <c r="G1773" s="253"/>
      <c r="H1773" s="253"/>
      <c r="I1773" s="253"/>
      <c r="J1773" s="253"/>
      <c r="K1773" s="253"/>
      <c r="L1773" s="253"/>
      <c r="M1773" s="253"/>
      <c r="N1773" s="253"/>
      <c r="O1773" s="258"/>
      <c r="P1773" s="258"/>
      <c r="Q1773" s="258"/>
      <c r="R1773" s="258"/>
      <c r="S1773" s="258"/>
      <c r="T1773" s="258"/>
      <c r="U1773" s="258"/>
      <c r="V1773" s="258"/>
      <c r="W1773" s="258"/>
      <c r="X1773" s="258"/>
      <c r="Y1773" s="258"/>
      <c r="Z1773" s="258"/>
      <c r="AA1773" s="258"/>
      <c r="AB1773" s="258"/>
      <c r="AC1773" s="407"/>
    </row>
    <row r="1774" spans="2:29" s="406" customFormat="1" ht="16.5" customHeight="1">
      <c r="B1774" s="256"/>
      <c r="C1774" s="256"/>
      <c r="D1774" s="414"/>
      <c r="E1774" s="414"/>
      <c r="F1774" s="414"/>
      <c r="G1774" s="253"/>
      <c r="H1774" s="253"/>
      <c r="I1774" s="253"/>
      <c r="J1774" s="253"/>
      <c r="K1774" s="253"/>
      <c r="L1774" s="253"/>
      <c r="M1774" s="253"/>
      <c r="N1774" s="253"/>
      <c r="O1774" s="258"/>
      <c r="P1774" s="258"/>
      <c r="Q1774" s="258"/>
      <c r="R1774" s="258"/>
      <c r="S1774" s="258"/>
      <c r="T1774" s="258"/>
      <c r="U1774" s="258"/>
      <c r="V1774" s="258"/>
      <c r="W1774" s="258"/>
      <c r="X1774" s="258"/>
      <c r="Y1774" s="258"/>
      <c r="Z1774" s="258"/>
      <c r="AA1774" s="258"/>
      <c r="AB1774" s="258"/>
      <c r="AC1774" s="407"/>
    </row>
    <row r="1775" spans="2:29" s="406" customFormat="1" ht="16.5" customHeight="1">
      <c r="B1775" s="256"/>
      <c r="C1775" s="256"/>
      <c r="D1775" s="414"/>
      <c r="E1775" s="414"/>
      <c r="F1775" s="414"/>
      <c r="G1775" s="253"/>
      <c r="H1775" s="253"/>
      <c r="I1775" s="253"/>
      <c r="J1775" s="253"/>
      <c r="K1775" s="253"/>
      <c r="L1775" s="253"/>
      <c r="M1775" s="253"/>
      <c r="N1775" s="253"/>
      <c r="O1775" s="258"/>
      <c r="P1775" s="258"/>
      <c r="Q1775" s="258"/>
      <c r="R1775" s="258"/>
      <c r="S1775" s="258"/>
      <c r="T1775" s="258"/>
      <c r="U1775" s="258"/>
      <c r="V1775" s="258"/>
      <c r="W1775" s="258"/>
      <c r="X1775" s="258"/>
      <c r="Y1775" s="258"/>
      <c r="Z1775" s="258"/>
      <c r="AA1775" s="258"/>
      <c r="AB1775" s="258"/>
      <c r="AC1775" s="407"/>
    </row>
    <row r="1776" spans="2:29" s="406" customFormat="1" ht="16.5" customHeight="1">
      <c r="B1776" s="256"/>
      <c r="C1776" s="256"/>
      <c r="D1776" s="414"/>
      <c r="E1776" s="414"/>
      <c r="F1776" s="414"/>
      <c r="G1776" s="253"/>
      <c r="H1776" s="253"/>
      <c r="I1776" s="253"/>
      <c r="J1776" s="253"/>
      <c r="K1776" s="253"/>
      <c r="L1776" s="253"/>
      <c r="M1776" s="253"/>
      <c r="N1776" s="253"/>
      <c r="O1776" s="258"/>
      <c r="P1776" s="258"/>
      <c r="Q1776" s="258"/>
      <c r="R1776" s="258"/>
      <c r="S1776" s="258"/>
      <c r="T1776" s="258"/>
      <c r="U1776" s="258"/>
      <c r="V1776" s="258"/>
      <c r="W1776" s="258"/>
      <c r="X1776" s="258"/>
      <c r="Y1776" s="258"/>
      <c r="Z1776" s="258"/>
      <c r="AA1776" s="258"/>
      <c r="AB1776" s="258"/>
      <c r="AC1776" s="407"/>
    </row>
    <row r="1777" spans="2:29" s="406" customFormat="1" ht="16.5" customHeight="1">
      <c r="B1777" s="256"/>
      <c r="C1777" s="256"/>
      <c r="D1777" s="414"/>
      <c r="E1777" s="414"/>
      <c r="F1777" s="414"/>
      <c r="G1777" s="253"/>
      <c r="H1777" s="253"/>
      <c r="I1777" s="253"/>
      <c r="J1777" s="253"/>
      <c r="K1777" s="253"/>
      <c r="L1777" s="253"/>
      <c r="M1777" s="253"/>
      <c r="N1777" s="253"/>
      <c r="O1777" s="258"/>
      <c r="P1777" s="258"/>
      <c r="Q1777" s="258"/>
      <c r="R1777" s="258"/>
      <c r="S1777" s="258"/>
      <c r="T1777" s="258"/>
      <c r="U1777" s="258"/>
      <c r="V1777" s="258"/>
      <c r="W1777" s="258"/>
      <c r="X1777" s="258"/>
      <c r="Y1777" s="258"/>
      <c r="Z1777" s="258"/>
      <c r="AA1777" s="258"/>
      <c r="AB1777" s="258"/>
      <c r="AC1777" s="407"/>
    </row>
    <row r="1778" spans="2:29" s="406" customFormat="1" ht="16.5" customHeight="1">
      <c r="B1778" s="256"/>
      <c r="C1778" s="256"/>
      <c r="D1778" s="414"/>
      <c r="E1778" s="414"/>
      <c r="F1778" s="414"/>
      <c r="G1778" s="253"/>
      <c r="H1778" s="253"/>
      <c r="I1778" s="253"/>
      <c r="J1778" s="253"/>
      <c r="K1778" s="253"/>
      <c r="L1778" s="253"/>
      <c r="M1778" s="253"/>
      <c r="N1778" s="253"/>
      <c r="O1778" s="258"/>
      <c r="P1778" s="258"/>
      <c r="Q1778" s="258"/>
      <c r="R1778" s="258"/>
      <c r="S1778" s="258"/>
      <c r="T1778" s="258"/>
      <c r="U1778" s="258"/>
      <c r="V1778" s="258"/>
      <c r="W1778" s="258"/>
      <c r="X1778" s="258"/>
      <c r="Y1778" s="258"/>
      <c r="Z1778" s="258"/>
      <c r="AA1778" s="258"/>
      <c r="AB1778" s="258"/>
      <c r="AC1778" s="407"/>
    </row>
    <row r="1779" spans="2:29" s="406" customFormat="1" ht="16.5" customHeight="1">
      <c r="B1779" s="256"/>
      <c r="C1779" s="256"/>
      <c r="D1779" s="414"/>
      <c r="E1779" s="414"/>
      <c r="F1779" s="414"/>
      <c r="G1779" s="253"/>
      <c r="H1779" s="253"/>
      <c r="I1779" s="253"/>
      <c r="J1779" s="253"/>
      <c r="K1779" s="253"/>
      <c r="L1779" s="253"/>
      <c r="M1779" s="253"/>
      <c r="N1779" s="253"/>
      <c r="O1779" s="258"/>
      <c r="P1779" s="258"/>
      <c r="Q1779" s="258"/>
      <c r="R1779" s="258"/>
      <c r="S1779" s="258"/>
      <c r="T1779" s="258"/>
      <c r="U1779" s="258"/>
      <c r="V1779" s="258"/>
      <c r="W1779" s="258"/>
      <c r="X1779" s="258"/>
      <c r="Y1779" s="258"/>
      <c r="Z1779" s="258"/>
      <c r="AA1779" s="258"/>
      <c r="AB1779" s="258"/>
      <c r="AC1779" s="407"/>
    </row>
    <row r="1780" spans="2:29" s="406" customFormat="1" ht="16.5" customHeight="1">
      <c r="B1780" s="256"/>
      <c r="C1780" s="256"/>
      <c r="D1780" s="414"/>
      <c r="E1780" s="414"/>
      <c r="F1780" s="414"/>
      <c r="G1780" s="253"/>
      <c r="H1780" s="253"/>
      <c r="I1780" s="253"/>
      <c r="J1780" s="253"/>
      <c r="K1780" s="253"/>
      <c r="L1780" s="253"/>
      <c r="M1780" s="253"/>
      <c r="N1780" s="253"/>
      <c r="O1780" s="258"/>
      <c r="P1780" s="258"/>
      <c r="Q1780" s="258"/>
      <c r="R1780" s="258"/>
      <c r="S1780" s="258"/>
      <c r="T1780" s="258"/>
      <c r="U1780" s="258"/>
      <c r="V1780" s="258"/>
      <c r="W1780" s="258"/>
      <c r="X1780" s="258"/>
      <c r="Y1780" s="258"/>
      <c r="Z1780" s="258"/>
      <c r="AA1780" s="258"/>
      <c r="AB1780" s="258"/>
      <c r="AC1780" s="407"/>
    </row>
    <row r="1781" spans="2:29" s="406" customFormat="1" ht="16.5" customHeight="1">
      <c r="B1781" s="256"/>
      <c r="C1781" s="256"/>
      <c r="D1781" s="414"/>
      <c r="E1781" s="414"/>
      <c r="F1781" s="414"/>
      <c r="G1781" s="253"/>
      <c r="H1781" s="253"/>
      <c r="I1781" s="253"/>
      <c r="J1781" s="253"/>
      <c r="K1781" s="253"/>
      <c r="L1781" s="253"/>
      <c r="M1781" s="253"/>
      <c r="N1781" s="253"/>
      <c r="O1781" s="258"/>
      <c r="P1781" s="258"/>
      <c r="Q1781" s="258"/>
      <c r="R1781" s="258"/>
      <c r="S1781" s="258"/>
      <c r="T1781" s="258"/>
      <c r="U1781" s="258"/>
      <c r="V1781" s="258"/>
      <c r="W1781" s="258"/>
      <c r="X1781" s="258"/>
      <c r="Y1781" s="258"/>
      <c r="Z1781" s="258"/>
      <c r="AA1781" s="258"/>
      <c r="AB1781" s="258"/>
      <c r="AC1781" s="407"/>
    </row>
    <row r="1782" spans="2:29" s="406" customFormat="1" ht="16.5" customHeight="1">
      <c r="B1782" s="256"/>
      <c r="C1782" s="256"/>
      <c r="D1782" s="414"/>
      <c r="E1782" s="414"/>
      <c r="F1782" s="414"/>
      <c r="G1782" s="253"/>
      <c r="H1782" s="253"/>
      <c r="I1782" s="253"/>
      <c r="J1782" s="253"/>
      <c r="K1782" s="253"/>
      <c r="L1782" s="253"/>
      <c r="M1782" s="253"/>
      <c r="N1782" s="253"/>
      <c r="O1782" s="258"/>
      <c r="P1782" s="258"/>
      <c r="Q1782" s="258"/>
      <c r="R1782" s="258"/>
      <c r="S1782" s="258"/>
      <c r="T1782" s="258"/>
      <c r="U1782" s="258"/>
      <c r="V1782" s="258"/>
      <c r="W1782" s="258"/>
      <c r="X1782" s="258"/>
      <c r="Y1782" s="258"/>
      <c r="Z1782" s="258"/>
      <c r="AA1782" s="258"/>
      <c r="AB1782" s="258"/>
      <c r="AC1782" s="407"/>
    </row>
    <row r="1783" spans="2:29" s="406" customFormat="1" ht="16.5" customHeight="1">
      <c r="B1783" s="256"/>
      <c r="C1783" s="256"/>
      <c r="D1783" s="414"/>
      <c r="E1783" s="414"/>
      <c r="F1783" s="414"/>
      <c r="G1783" s="253"/>
      <c r="H1783" s="253"/>
      <c r="I1783" s="253"/>
      <c r="J1783" s="253"/>
      <c r="K1783" s="253"/>
      <c r="L1783" s="253"/>
      <c r="M1783" s="253"/>
      <c r="N1783" s="253"/>
      <c r="O1783" s="258"/>
      <c r="P1783" s="258"/>
      <c r="Q1783" s="258"/>
      <c r="R1783" s="258"/>
      <c r="S1783" s="258"/>
      <c r="T1783" s="258"/>
      <c r="U1783" s="258"/>
      <c r="V1783" s="258"/>
      <c r="W1783" s="258"/>
      <c r="X1783" s="258"/>
      <c r="Y1783" s="258"/>
      <c r="Z1783" s="258"/>
      <c r="AA1783" s="258"/>
      <c r="AB1783" s="258"/>
      <c r="AC1783" s="407"/>
    </row>
    <row r="1784" spans="2:29" s="406" customFormat="1" ht="16.5" customHeight="1">
      <c r="B1784" s="256"/>
      <c r="C1784" s="256"/>
      <c r="D1784" s="414"/>
      <c r="E1784" s="414"/>
      <c r="F1784" s="414"/>
      <c r="G1784" s="253"/>
      <c r="H1784" s="253"/>
      <c r="I1784" s="253"/>
      <c r="J1784" s="253"/>
      <c r="K1784" s="253"/>
      <c r="L1784" s="253"/>
      <c r="M1784" s="253"/>
      <c r="N1784" s="253"/>
      <c r="O1784" s="258"/>
      <c r="P1784" s="258"/>
      <c r="Q1784" s="258"/>
      <c r="R1784" s="258"/>
      <c r="S1784" s="258"/>
      <c r="T1784" s="258"/>
      <c r="U1784" s="258"/>
      <c r="V1784" s="258"/>
      <c r="W1784" s="258"/>
      <c r="X1784" s="258"/>
      <c r="Y1784" s="258"/>
      <c r="Z1784" s="258"/>
      <c r="AA1784" s="258"/>
      <c r="AB1784" s="258"/>
      <c r="AC1784" s="407"/>
    </row>
    <row r="1785" spans="2:29" s="406" customFormat="1" ht="16.5" customHeight="1">
      <c r="B1785" s="256"/>
      <c r="C1785" s="256"/>
      <c r="D1785" s="414"/>
      <c r="E1785" s="414"/>
      <c r="F1785" s="414"/>
      <c r="G1785" s="253"/>
      <c r="H1785" s="253"/>
      <c r="I1785" s="253"/>
      <c r="J1785" s="253"/>
      <c r="K1785" s="253"/>
      <c r="L1785" s="253"/>
      <c r="M1785" s="253"/>
      <c r="N1785" s="253"/>
      <c r="O1785" s="258"/>
      <c r="P1785" s="258"/>
      <c r="Q1785" s="258"/>
      <c r="R1785" s="258"/>
      <c r="S1785" s="258"/>
      <c r="T1785" s="258"/>
      <c r="U1785" s="258"/>
      <c r="V1785" s="258"/>
      <c r="W1785" s="258"/>
      <c r="X1785" s="258"/>
      <c r="Y1785" s="258"/>
      <c r="Z1785" s="258"/>
      <c r="AA1785" s="258"/>
      <c r="AB1785" s="258"/>
      <c r="AC1785" s="407"/>
    </row>
    <row r="1786" spans="2:29" s="406" customFormat="1" ht="16.5" customHeight="1">
      <c r="B1786" s="256"/>
      <c r="C1786" s="256"/>
      <c r="D1786" s="414"/>
      <c r="E1786" s="414"/>
      <c r="F1786" s="414"/>
      <c r="G1786" s="253"/>
      <c r="H1786" s="253"/>
      <c r="I1786" s="253"/>
      <c r="J1786" s="253"/>
      <c r="K1786" s="253"/>
      <c r="L1786" s="253"/>
      <c r="M1786" s="253"/>
      <c r="N1786" s="253"/>
      <c r="O1786" s="258"/>
      <c r="P1786" s="258"/>
      <c r="Q1786" s="258"/>
      <c r="R1786" s="258"/>
      <c r="S1786" s="258"/>
      <c r="T1786" s="258"/>
      <c r="U1786" s="258"/>
      <c r="V1786" s="258"/>
      <c r="W1786" s="258"/>
      <c r="X1786" s="258"/>
      <c r="Y1786" s="258"/>
      <c r="Z1786" s="258"/>
      <c r="AA1786" s="258"/>
      <c r="AB1786" s="258"/>
      <c r="AC1786" s="407"/>
    </row>
    <row r="1787" spans="2:29" s="406" customFormat="1" ht="16.5" customHeight="1">
      <c r="B1787" s="256"/>
      <c r="C1787" s="256"/>
      <c r="D1787" s="414"/>
      <c r="E1787" s="414"/>
      <c r="F1787" s="414"/>
      <c r="G1787" s="253"/>
      <c r="H1787" s="253"/>
      <c r="I1787" s="253"/>
      <c r="J1787" s="253"/>
      <c r="K1787" s="253"/>
      <c r="L1787" s="253"/>
      <c r="M1787" s="253"/>
      <c r="N1787" s="253"/>
      <c r="O1787" s="258"/>
      <c r="P1787" s="258"/>
      <c r="Q1787" s="258"/>
      <c r="R1787" s="258"/>
      <c r="S1787" s="258"/>
      <c r="T1787" s="258"/>
      <c r="U1787" s="258"/>
      <c r="V1787" s="258"/>
      <c r="W1787" s="258"/>
      <c r="X1787" s="258"/>
      <c r="Y1787" s="258"/>
      <c r="Z1787" s="258"/>
      <c r="AA1787" s="258"/>
      <c r="AB1787" s="258"/>
      <c r="AC1787" s="407"/>
    </row>
    <row r="1788" spans="2:29" s="406" customFormat="1" ht="16.5" customHeight="1">
      <c r="B1788" s="256"/>
      <c r="C1788" s="256"/>
      <c r="D1788" s="414"/>
      <c r="E1788" s="414"/>
      <c r="F1788" s="414"/>
      <c r="G1788" s="253"/>
      <c r="H1788" s="253"/>
      <c r="I1788" s="253"/>
      <c r="J1788" s="253"/>
      <c r="K1788" s="253"/>
      <c r="L1788" s="253"/>
      <c r="M1788" s="253"/>
      <c r="N1788" s="253"/>
      <c r="O1788" s="258"/>
      <c r="P1788" s="258"/>
      <c r="Q1788" s="258"/>
      <c r="R1788" s="258"/>
      <c r="S1788" s="258"/>
      <c r="T1788" s="258"/>
      <c r="U1788" s="258"/>
      <c r="V1788" s="258"/>
      <c r="W1788" s="258"/>
      <c r="X1788" s="258"/>
      <c r="Y1788" s="258"/>
      <c r="Z1788" s="258"/>
      <c r="AA1788" s="258"/>
      <c r="AB1788" s="258"/>
      <c r="AC1788" s="407"/>
    </row>
    <row r="1789" spans="2:29" s="406" customFormat="1" ht="16.5" customHeight="1">
      <c r="B1789" s="256"/>
      <c r="C1789" s="256"/>
      <c r="D1789" s="414"/>
      <c r="E1789" s="414"/>
      <c r="F1789" s="414"/>
      <c r="G1789" s="253"/>
      <c r="H1789" s="253"/>
      <c r="I1789" s="253"/>
      <c r="J1789" s="253"/>
      <c r="K1789" s="253"/>
      <c r="L1789" s="253"/>
      <c r="M1789" s="253"/>
      <c r="N1789" s="253"/>
      <c r="O1789" s="258"/>
      <c r="P1789" s="258"/>
      <c r="Q1789" s="258"/>
      <c r="R1789" s="258"/>
      <c r="S1789" s="258"/>
      <c r="T1789" s="258"/>
      <c r="U1789" s="258"/>
      <c r="V1789" s="258"/>
      <c r="W1789" s="258"/>
      <c r="X1789" s="258"/>
      <c r="Y1789" s="258"/>
      <c r="Z1789" s="258"/>
      <c r="AA1789" s="258"/>
      <c r="AB1789" s="258"/>
      <c r="AC1789" s="407"/>
    </row>
    <row r="1790" spans="2:29" s="406" customFormat="1" ht="16.5" customHeight="1">
      <c r="B1790" s="256"/>
      <c r="C1790" s="256"/>
      <c r="D1790" s="414"/>
      <c r="E1790" s="414"/>
      <c r="F1790" s="414"/>
      <c r="G1790" s="253"/>
      <c r="H1790" s="253"/>
      <c r="I1790" s="253"/>
      <c r="J1790" s="253"/>
      <c r="K1790" s="253"/>
      <c r="L1790" s="253"/>
      <c r="M1790" s="253"/>
      <c r="N1790" s="253"/>
      <c r="O1790" s="258"/>
      <c r="P1790" s="258"/>
      <c r="Q1790" s="258"/>
      <c r="R1790" s="258"/>
      <c r="S1790" s="258"/>
      <c r="T1790" s="258"/>
      <c r="U1790" s="258"/>
      <c r="V1790" s="258"/>
      <c r="W1790" s="258"/>
      <c r="X1790" s="258"/>
      <c r="Y1790" s="258"/>
      <c r="Z1790" s="258"/>
      <c r="AA1790" s="258"/>
      <c r="AB1790" s="258"/>
      <c r="AC1790" s="407"/>
    </row>
    <row r="1791" spans="2:29" s="406" customFormat="1" ht="16.5" customHeight="1">
      <c r="B1791" s="256"/>
      <c r="C1791" s="256"/>
      <c r="D1791" s="414"/>
      <c r="E1791" s="414"/>
      <c r="F1791" s="414"/>
      <c r="G1791" s="253"/>
      <c r="H1791" s="253"/>
      <c r="I1791" s="253"/>
      <c r="J1791" s="253"/>
      <c r="K1791" s="253"/>
      <c r="L1791" s="253"/>
      <c r="M1791" s="253"/>
      <c r="N1791" s="253"/>
      <c r="O1791" s="258"/>
      <c r="P1791" s="258"/>
      <c r="Q1791" s="258"/>
      <c r="R1791" s="258"/>
      <c r="S1791" s="258"/>
      <c r="T1791" s="258"/>
      <c r="U1791" s="258"/>
      <c r="V1791" s="258"/>
      <c r="W1791" s="258"/>
      <c r="X1791" s="258"/>
      <c r="Y1791" s="258"/>
      <c r="Z1791" s="258"/>
      <c r="AA1791" s="258"/>
      <c r="AB1791" s="258"/>
      <c r="AC1791" s="407"/>
    </row>
    <row r="1792" spans="2:29" s="406" customFormat="1" ht="16.5" customHeight="1">
      <c r="B1792" s="256"/>
      <c r="C1792" s="256"/>
      <c r="D1792" s="414"/>
      <c r="E1792" s="414"/>
      <c r="F1792" s="414"/>
      <c r="G1792" s="253"/>
      <c r="H1792" s="253"/>
      <c r="I1792" s="253"/>
      <c r="J1792" s="253"/>
      <c r="K1792" s="253"/>
      <c r="L1792" s="253"/>
      <c r="M1792" s="253"/>
      <c r="N1792" s="253"/>
      <c r="O1792" s="258"/>
      <c r="P1792" s="258"/>
      <c r="Q1792" s="258"/>
      <c r="R1792" s="258"/>
      <c r="S1792" s="258"/>
      <c r="T1792" s="258"/>
      <c r="U1792" s="258"/>
      <c r="V1792" s="258"/>
      <c r="W1792" s="258"/>
      <c r="X1792" s="258"/>
      <c r="Y1792" s="258"/>
      <c r="Z1792" s="258"/>
      <c r="AA1792" s="258"/>
      <c r="AB1792" s="258"/>
      <c r="AC1792" s="407"/>
    </row>
    <row r="1793" spans="2:29" s="406" customFormat="1" ht="16.5" customHeight="1">
      <c r="B1793" s="256"/>
      <c r="C1793" s="256"/>
      <c r="D1793" s="414"/>
      <c r="E1793" s="414"/>
      <c r="F1793" s="414"/>
      <c r="G1793" s="253"/>
      <c r="H1793" s="253"/>
      <c r="I1793" s="253"/>
      <c r="J1793" s="253"/>
      <c r="K1793" s="253"/>
      <c r="L1793" s="253"/>
      <c r="M1793" s="253"/>
      <c r="N1793" s="253"/>
      <c r="O1793" s="258"/>
      <c r="P1793" s="258"/>
      <c r="Q1793" s="258"/>
      <c r="R1793" s="258"/>
      <c r="S1793" s="258"/>
      <c r="T1793" s="258"/>
      <c r="U1793" s="258"/>
      <c r="V1793" s="258"/>
      <c r="W1793" s="258"/>
      <c r="X1793" s="258"/>
      <c r="Y1793" s="258"/>
      <c r="Z1793" s="258"/>
      <c r="AA1793" s="258"/>
      <c r="AB1793" s="258"/>
      <c r="AC1793" s="407"/>
    </row>
    <row r="1794" spans="2:29" s="406" customFormat="1" ht="16.5" customHeight="1">
      <c r="B1794" s="256"/>
      <c r="C1794" s="256"/>
      <c r="D1794" s="414"/>
      <c r="E1794" s="414"/>
      <c r="F1794" s="414"/>
      <c r="G1794" s="253"/>
      <c r="H1794" s="253"/>
      <c r="I1794" s="253"/>
      <c r="J1794" s="253"/>
      <c r="K1794" s="253"/>
      <c r="L1794" s="253"/>
      <c r="M1794" s="253"/>
      <c r="N1794" s="253"/>
      <c r="O1794" s="258"/>
      <c r="P1794" s="258"/>
      <c r="Q1794" s="258"/>
      <c r="R1794" s="258"/>
      <c r="S1794" s="258"/>
      <c r="T1794" s="258"/>
      <c r="U1794" s="258"/>
      <c r="V1794" s="258"/>
      <c r="W1794" s="258"/>
      <c r="X1794" s="258"/>
      <c r="Y1794" s="258"/>
      <c r="Z1794" s="258"/>
      <c r="AA1794" s="258"/>
      <c r="AB1794" s="258"/>
      <c r="AC1794" s="407"/>
    </row>
    <row r="1795" spans="2:29" s="406" customFormat="1" ht="16.5" customHeight="1">
      <c r="B1795" s="256"/>
      <c r="C1795" s="256"/>
      <c r="D1795" s="414"/>
      <c r="E1795" s="414"/>
      <c r="F1795" s="414"/>
      <c r="G1795" s="253"/>
      <c r="H1795" s="253"/>
      <c r="I1795" s="253"/>
      <c r="J1795" s="253"/>
      <c r="K1795" s="253"/>
      <c r="L1795" s="253"/>
      <c r="M1795" s="253"/>
      <c r="N1795" s="253"/>
      <c r="O1795" s="258"/>
      <c r="P1795" s="258"/>
      <c r="Q1795" s="258"/>
      <c r="R1795" s="258"/>
      <c r="S1795" s="258"/>
      <c r="T1795" s="258"/>
      <c r="U1795" s="258"/>
      <c r="V1795" s="258"/>
      <c r="W1795" s="258"/>
      <c r="X1795" s="258"/>
      <c r="Y1795" s="258"/>
      <c r="Z1795" s="258"/>
      <c r="AA1795" s="258"/>
      <c r="AB1795" s="258"/>
      <c r="AC1795" s="407"/>
    </row>
    <row r="1796" spans="2:29" s="406" customFormat="1" ht="16.5" customHeight="1">
      <c r="B1796" s="256"/>
      <c r="C1796" s="256"/>
      <c r="D1796" s="414"/>
      <c r="E1796" s="414"/>
      <c r="F1796" s="414"/>
      <c r="G1796" s="253"/>
      <c r="H1796" s="253"/>
      <c r="I1796" s="253"/>
      <c r="J1796" s="253"/>
      <c r="K1796" s="253"/>
      <c r="L1796" s="253"/>
      <c r="M1796" s="253"/>
      <c r="N1796" s="253"/>
      <c r="O1796" s="258"/>
      <c r="P1796" s="258"/>
      <c r="Q1796" s="258"/>
      <c r="R1796" s="258"/>
      <c r="S1796" s="258"/>
      <c r="T1796" s="258"/>
      <c r="U1796" s="258"/>
      <c r="V1796" s="258"/>
      <c r="W1796" s="258"/>
      <c r="X1796" s="258"/>
      <c r="Y1796" s="258"/>
      <c r="Z1796" s="258"/>
      <c r="AA1796" s="258"/>
      <c r="AB1796" s="258"/>
      <c r="AC1796" s="407"/>
    </row>
    <row r="1797" spans="2:29" s="406" customFormat="1" ht="16.5" customHeight="1">
      <c r="B1797" s="256"/>
      <c r="C1797" s="256"/>
      <c r="D1797" s="414"/>
      <c r="E1797" s="414"/>
      <c r="F1797" s="414"/>
      <c r="G1797" s="253"/>
      <c r="H1797" s="253"/>
      <c r="I1797" s="253"/>
      <c r="J1797" s="253"/>
      <c r="K1797" s="253"/>
      <c r="L1797" s="253"/>
      <c r="M1797" s="253"/>
      <c r="N1797" s="253"/>
      <c r="O1797" s="258"/>
      <c r="P1797" s="258"/>
      <c r="Q1797" s="258"/>
      <c r="R1797" s="258"/>
      <c r="S1797" s="258"/>
      <c r="T1797" s="258"/>
      <c r="U1797" s="258"/>
      <c r="V1797" s="258"/>
      <c r="W1797" s="258"/>
      <c r="X1797" s="258"/>
      <c r="Y1797" s="258"/>
      <c r="Z1797" s="258"/>
      <c r="AA1797" s="258"/>
      <c r="AB1797" s="258"/>
      <c r="AC1797" s="407"/>
    </row>
    <row r="1798" spans="2:29" s="406" customFormat="1" ht="16.5" customHeight="1">
      <c r="B1798" s="256"/>
      <c r="C1798" s="256"/>
      <c r="D1798" s="414"/>
      <c r="E1798" s="414"/>
      <c r="F1798" s="414"/>
      <c r="G1798" s="253"/>
      <c r="H1798" s="253"/>
      <c r="I1798" s="253"/>
      <c r="J1798" s="253"/>
      <c r="K1798" s="253"/>
      <c r="L1798" s="253"/>
      <c r="M1798" s="253"/>
      <c r="N1798" s="253"/>
      <c r="O1798" s="258"/>
      <c r="P1798" s="258"/>
      <c r="Q1798" s="258"/>
      <c r="R1798" s="258"/>
      <c r="S1798" s="258"/>
      <c r="T1798" s="258"/>
      <c r="U1798" s="258"/>
      <c r="V1798" s="258"/>
      <c r="W1798" s="258"/>
      <c r="X1798" s="258"/>
      <c r="Y1798" s="258"/>
      <c r="Z1798" s="258"/>
      <c r="AA1798" s="258"/>
      <c r="AB1798" s="258"/>
      <c r="AC1798" s="407"/>
    </row>
    <row r="1799" spans="2:29" s="406" customFormat="1" ht="16.5" customHeight="1">
      <c r="B1799" s="256"/>
      <c r="C1799" s="256"/>
      <c r="D1799" s="414"/>
      <c r="E1799" s="414"/>
      <c r="F1799" s="414"/>
      <c r="G1799" s="253"/>
      <c r="H1799" s="253"/>
      <c r="I1799" s="253"/>
      <c r="J1799" s="253"/>
      <c r="K1799" s="253"/>
      <c r="L1799" s="253"/>
      <c r="M1799" s="253"/>
      <c r="N1799" s="253"/>
      <c r="O1799" s="258"/>
      <c r="P1799" s="258"/>
      <c r="Q1799" s="258"/>
      <c r="R1799" s="258"/>
      <c r="S1799" s="258"/>
      <c r="T1799" s="258"/>
      <c r="U1799" s="258"/>
      <c r="V1799" s="258"/>
      <c r="W1799" s="258"/>
      <c r="X1799" s="258"/>
      <c r="Y1799" s="258"/>
      <c r="Z1799" s="258"/>
      <c r="AA1799" s="258"/>
      <c r="AB1799" s="258"/>
      <c r="AC1799" s="407"/>
    </row>
    <row r="1800" spans="2:29" s="406" customFormat="1" ht="16.5" customHeight="1">
      <c r="B1800" s="256"/>
      <c r="C1800" s="256"/>
      <c r="D1800" s="414"/>
      <c r="E1800" s="414"/>
      <c r="F1800" s="414"/>
      <c r="G1800" s="253"/>
      <c r="H1800" s="253"/>
      <c r="I1800" s="253"/>
      <c r="J1800" s="253"/>
      <c r="K1800" s="253"/>
      <c r="L1800" s="253"/>
      <c r="M1800" s="253"/>
      <c r="N1800" s="253"/>
      <c r="O1800" s="258"/>
      <c r="P1800" s="258"/>
      <c r="Q1800" s="258"/>
      <c r="R1800" s="258"/>
      <c r="S1800" s="258"/>
      <c r="T1800" s="258"/>
      <c r="U1800" s="258"/>
      <c r="V1800" s="258"/>
      <c r="W1800" s="258"/>
      <c r="X1800" s="258"/>
      <c r="Y1800" s="258"/>
      <c r="Z1800" s="258"/>
      <c r="AA1800" s="258"/>
      <c r="AB1800" s="258"/>
      <c r="AC1800" s="407"/>
    </row>
    <row r="1801" spans="2:29" s="406" customFormat="1" ht="16.5" customHeight="1">
      <c r="B1801" s="256"/>
      <c r="C1801" s="256"/>
      <c r="D1801" s="414"/>
      <c r="E1801" s="414"/>
      <c r="F1801" s="414"/>
      <c r="G1801" s="253"/>
      <c r="H1801" s="253"/>
      <c r="I1801" s="253"/>
      <c r="J1801" s="253"/>
      <c r="K1801" s="253"/>
      <c r="L1801" s="253"/>
      <c r="M1801" s="253"/>
      <c r="N1801" s="253"/>
      <c r="O1801" s="258"/>
      <c r="P1801" s="258"/>
      <c r="Q1801" s="258"/>
      <c r="R1801" s="258"/>
      <c r="S1801" s="258"/>
      <c r="T1801" s="258"/>
      <c r="U1801" s="258"/>
      <c r="V1801" s="258"/>
      <c r="W1801" s="258"/>
      <c r="X1801" s="258"/>
      <c r="Y1801" s="258"/>
      <c r="Z1801" s="258"/>
      <c r="AA1801" s="258"/>
      <c r="AB1801" s="258"/>
      <c r="AC1801" s="407"/>
    </row>
    <row r="1802" spans="2:29" s="406" customFormat="1" ht="16.5" customHeight="1">
      <c r="B1802" s="256"/>
      <c r="C1802" s="256"/>
      <c r="D1802" s="414"/>
      <c r="E1802" s="414"/>
      <c r="F1802" s="414"/>
      <c r="G1802" s="253"/>
      <c r="H1802" s="253"/>
      <c r="I1802" s="253"/>
      <c r="J1802" s="253"/>
      <c r="K1802" s="253"/>
      <c r="L1802" s="253"/>
      <c r="M1802" s="253"/>
      <c r="N1802" s="253"/>
      <c r="O1802" s="258"/>
      <c r="P1802" s="258"/>
      <c r="Q1802" s="258"/>
      <c r="R1802" s="258"/>
      <c r="S1802" s="258"/>
      <c r="T1802" s="258"/>
      <c r="U1802" s="258"/>
      <c r="V1802" s="258"/>
      <c r="W1802" s="258"/>
      <c r="X1802" s="258"/>
      <c r="Y1802" s="258"/>
      <c r="Z1802" s="258"/>
      <c r="AA1802" s="258"/>
      <c r="AB1802" s="258"/>
      <c r="AC1802" s="407"/>
    </row>
    <row r="1803" spans="2:29" s="406" customFormat="1" ht="16.5" customHeight="1">
      <c r="B1803" s="256"/>
      <c r="C1803" s="256"/>
      <c r="D1803" s="414"/>
      <c r="E1803" s="414"/>
      <c r="F1803" s="414"/>
      <c r="G1803" s="253"/>
      <c r="H1803" s="253"/>
      <c r="I1803" s="253"/>
      <c r="J1803" s="253"/>
      <c r="K1803" s="253"/>
      <c r="L1803" s="253"/>
      <c r="M1803" s="253"/>
      <c r="N1803" s="253"/>
      <c r="O1803" s="258"/>
      <c r="P1803" s="258"/>
      <c r="Q1803" s="258"/>
      <c r="R1803" s="258"/>
      <c r="S1803" s="258"/>
      <c r="T1803" s="258"/>
      <c r="U1803" s="258"/>
      <c r="V1803" s="258"/>
      <c r="W1803" s="258"/>
      <c r="X1803" s="258"/>
      <c r="Y1803" s="258"/>
      <c r="Z1803" s="258"/>
      <c r="AA1803" s="258"/>
      <c r="AB1803" s="258"/>
      <c r="AC1803" s="407"/>
    </row>
    <row r="1804" spans="2:29" s="406" customFormat="1" ht="16.5" customHeight="1">
      <c r="B1804" s="256"/>
      <c r="C1804" s="256"/>
      <c r="D1804" s="414"/>
      <c r="E1804" s="414"/>
      <c r="F1804" s="414"/>
      <c r="G1804" s="253"/>
      <c r="H1804" s="253"/>
      <c r="I1804" s="253"/>
      <c r="J1804" s="253"/>
      <c r="K1804" s="253"/>
      <c r="L1804" s="253"/>
      <c r="M1804" s="253"/>
      <c r="N1804" s="253"/>
      <c r="O1804" s="258"/>
      <c r="P1804" s="258"/>
      <c r="Q1804" s="258"/>
      <c r="R1804" s="258"/>
      <c r="S1804" s="258"/>
      <c r="T1804" s="258"/>
      <c r="U1804" s="258"/>
      <c r="V1804" s="258"/>
      <c r="W1804" s="258"/>
      <c r="X1804" s="258"/>
      <c r="Y1804" s="258"/>
      <c r="Z1804" s="258"/>
      <c r="AA1804" s="258"/>
      <c r="AB1804" s="258"/>
      <c r="AC1804" s="407"/>
    </row>
    <row r="1805" spans="2:29" s="406" customFormat="1" ht="16.5" customHeight="1">
      <c r="B1805" s="256"/>
      <c r="C1805" s="256"/>
      <c r="D1805" s="414"/>
      <c r="E1805" s="414"/>
      <c r="F1805" s="414"/>
      <c r="G1805" s="253"/>
      <c r="H1805" s="253"/>
      <c r="I1805" s="253"/>
      <c r="J1805" s="253"/>
      <c r="K1805" s="253"/>
      <c r="L1805" s="253"/>
      <c r="M1805" s="253"/>
      <c r="N1805" s="253"/>
      <c r="O1805" s="258"/>
      <c r="P1805" s="258"/>
      <c r="Q1805" s="258"/>
      <c r="R1805" s="258"/>
      <c r="S1805" s="258"/>
      <c r="T1805" s="258"/>
      <c r="U1805" s="258"/>
      <c r="V1805" s="258"/>
      <c r="W1805" s="258"/>
      <c r="X1805" s="258"/>
      <c r="Y1805" s="258"/>
      <c r="Z1805" s="258"/>
      <c r="AA1805" s="258"/>
      <c r="AB1805" s="258"/>
      <c r="AC1805" s="407"/>
    </row>
    <row r="1806" spans="2:29" s="406" customFormat="1" ht="16.5" customHeight="1">
      <c r="B1806" s="256"/>
      <c r="C1806" s="256"/>
      <c r="D1806" s="414"/>
      <c r="E1806" s="414"/>
      <c r="F1806" s="414"/>
      <c r="G1806" s="253"/>
      <c r="H1806" s="253"/>
      <c r="I1806" s="253"/>
      <c r="J1806" s="253"/>
      <c r="K1806" s="253"/>
      <c r="L1806" s="253"/>
      <c r="M1806" s="253"/>
      <c r="N1806" s="253"/>
      <c r="O1806" s="258"/>
      <c r="P1806" s="258"/>
      <c r="Q1806" s="258"/>
      <c r="R1806" s="258"/>
      <c r="S1806" s="258"/>
      <c r="T1806" s="258"/>
      <c r="U1806" s="258"/>
      <c r="V1806" s="258"/>
      <c r="W1806" s="258"/>
      <c r="X1806" s="258"/>
      <c r="Y1806" s="258"/>
      <c r="Z1806" s="258"/>
      <c r="AA1806" s="258"/>
      <c r="AB1806" s="258"/>
      <c r="AC1806" s="407"/>
    </row>
    <row r="1807" spans="2:29" s="406" customFormat="1" ht="16.5" customHeight="1">
      <c r="B1807" s="256"/>
      <c r="C1807" s="256"/>
      <c r="D1807" s="414"/>
      <c r="E1807" s="414"/>
      <c r="F1807" s="414"/>
      <c r="G1807" s="253"/>
      <c r="H1807" s="253"/>
      <c r="I1807" s="253"/>
      <c r="J1807" s="253"/>
      <c r="K1807" s="253"/>
      <c r="L1807" s="253"/>
      <c r="M1807" s="253"/>
      <c r="N1807" s="253"/>
      <c r="O1807" s="258"/>
      <c r="P1807" s="258"/>
      <c r="Q1807" s="258"/>
      <c r="R1807" s="258"/>
      <c r="S1807" s="258"/>
      <c r="T1807" s="258"/>
      <c r="U1807" s="258"/>
      <c r="V1807" s="258"/>
      <c r="W1807" s="258"/>
      <c r="X1807" s="258"/>
      <c r="Y1807" s="258"/>
      <c r="Z1807" s="258"/>
      <c r="AA1807" s="258"/>
      <c r="AB1807" s="258"/>
      <c r="AC1807" s="407"/>
    </row>
    <row r="1808" spans="2:29" s="406" customFormat="1" ht="16.5" customHeight="1">
      <c r="B1808" s="256"/>
      <c r="C1808" s="256"/>
      <c r="D1808" s="414"/>
      <c r="E1808" s="414"/>
      <c r="F1808" s="414"/>
      <c r="G1808" s="253"/>
      <c r="H1808" s="253"/>
      <c r="I1808" s="253"/>
      <c r="J1808" s="253"/>
      <c r="K1808" s="253"/>
      <c r="L1808" s="253"/>
      <c r="M1808" s="253"/>
      <c r="N1808" s="253"/>
      <c r="O1808" s="258"/>
      <c r="P1808" s="258"/>
      <c r="Q1808" s="258"/>
      <c r="R1808" s="258"/>
      <c r="S1808" s="258"/>
      <c r="T1808" s="258"/>
      <c r="U1808" s="258"/>
      <c r="V1808" s="258"/>
      <c r="W1808" s="258"/>
      <c r="X1808" s="258"/>
      <c r="Y1808" s="258"/>
      <c r="Z1808" s="258"/>
      <c r="AA1808" s="258"/>
      <c r="AB1808" s="258"/>
      <c r="AC1808" s="407"/>
    </row>
    <row r="1809" spans="2:29" s="406" customFormat="1" ht="16.5" customHeight="1">
      <c r="B1809" s="256"/>
      <c r="C1809" s="256"/>
      <c r="D1809" s="414"/>
      <c r="E1809" s="414"/>
      <c r="F1809" s="414"/>
      <c r="G1809" s="253"/>
      <c r="H1809" s="253"/>
      <c r="I1809" s="253"/>
      <c r="J1809" s="253"/>
      <c r="K1809" s="253"/>
      <c r="L1809" s="253"/>
      <c r="M1809" s="253"/>
      <c r="N1809" s="253"/>
      <c r="O1809" s="258"/>
      <c r="P1809" s="258"/>
      <c r="Q1809" s="258"/>
      <c r="R1809" s="258"/>
      <c r="S1809" s="258"/>
      <c r="T1809" s="258"/>
      <c r="U1809" s="258"/>
      <c r="V1809" s="258"/>
      <c r="W1809" s="258"/>
      <c r="X1809" s="258"/>
      <c r="Y1809" s="258"/>
      <c r="Z1809" s="258"/>
      <c r="AA1809" s="258"/>
      <c r="AB1809" s="258"/>
      <c r="AC1809" s="407"/>
    </row>
    <row r="1810" spans="2:29" s="406" customFormat="1" ht="16.5" customHeight="1">
      <c r="B1810" s="256"/>
      <c r="C1810" s="256"/>
      <c r="D1810" s="414"/>
      <c r="E1810" s="414"/>
      <c r="F1810" s="414"/>
      <c r="G1810" s="253"/>
      <c r="H1810" s="253"/>
      <c r="I1810" s="253"/>
      <c r="J1810" s="253"/>
      <c r="K1810" s="253"/>
      <c r="L1810" s="253"/>
      <c r="M1810" s="253"/>
      <c r="N1810" s="253"/>
      <c r="O1810" s="258"/>
      <c r="P1810" s="258"/>
      <c r="Q1810" s="258"/>
      <c r="R1810" s="258"/>
      <c r="S1810" s="258"/>
      <c r="T1810" s="258"/>
      <c r="U1810" s="258"/>
      <c r="V1810" s="258"/>
      <c r="W1810" s="258"/>
      <c r="X1810" s="258"/>
      <c r="Y1810" s="258"/>
      <c r="Z1810" s="258"/>
      <c r="AA1810" s="258"/>
      <c r="AB1810" s="258"/>
      <c r="AC1810" s="407"/>
    </row>
    <row r="1811" spans="2:29" s="406" customFormat="1" ht="16.5" customHeight="1">
      <c r="B1811" s="256"/>
      <c r="C1811" s="256"/>
      <c r="D1811" s="414"/>
      <c r="E1811" s="414"/>
      <c r="F1811" s="414"/>
      <c r="G1811" s="253"/>
      <c r="H1811" s="253"/>
      <c r="I1811" s="253"/>
      <c r="J1811" s="253"/>
      <c r="K1811" s="253"/>
      <c r="L1811" s="253"/>
      <c r="M1811" s="253"/>
      <c r="N1811" s="253"/>
      <c r="O1811" s="258"/>
      <c r="P1811" s="258"/>
      <c r="Q1811" s="258"/>
      <c r="R1811" s="258"/>
      <c r="S1811" s="258"/>
      <c r="T1811" s="258"/>
      <c r="U1811" s="258"/>
      <c r="V1811" s="258"/>
      <c r="W1811" s="258"/>
      <c r="X1811" s="258"/>
      <c r="Y1811" s="258"/>
      <c r="Z1811" s="258"/>
      <c r="AA1811" s="258"/>
      <c r="AB1811" s="258"/>
      <c r="AC1811" s="407"/>
    </row>
    <row r="1812" spans="2:29" s="406" customFormat="1" ht="16.5" customHeight="1">
      <c r="B1812" s="256"/>
      <c r="C1812" s="256"/>
      <c r="D1812" s="414"/>
      <c r="E1812" s="414"/>
      <c r="F1812" s="414"/>
      <c r="G1812" s="253"/>
      <c r="H1812" s="253"/>
      <c r="I1812" s="253"/>
      <c r="J1812" s="253"/>
      <c r="K1812" s="253"/>
      <c r="L1812" s="253"/>
      <c r="M1812" s="253"/>
      <c r="N1812" s="253"/>
      <c r="O1812" s="258"/>
      <c r="P1812" s="258"/>
      <c r="Q1812" s="258"/>
      <c r="R1812" s="258"/>
      <c r="S1812" s="258"/>
      <c r="T1812" s="258"/>
      <c r="U1812" s="258"/>
      <c r="V1812" s="258"/>
      <c r="W1812" s="258"/>
      <c r="X1812" s="258"/>
      <c r="Y1812" s="258"/>
      <c r="Z1812" s="258"/>
      <c r="AA1812" s="258"/>
      <c r="AB1812" s="258"/>
      <c r="AC1812" s="407"/>
    </row>
    <row r="1813" spans="2:29" s="406" customFormat="1" ht="16.5" customHeight="1">
      <c r="B1813" s="256"/>
      <c r="C1813" s="256"/>
      <c r="D1813" s="414"/>
      <c r="E1813" s="414"/>
      <c r="F1813" s="414"/>
      <c r="G1813" s="253"/>
      <c r="H1813" s="253"/>
      <c r="I1813" s="253"/>
      <c r="J1813" s="253"/>
      <c r="K1813" s="253"/>
      <c r="L1813" s="253"/>
      <c r="M1813" s="253"/>
      <c r="N1813" s="253"/>
      <c r="O1813" s="258"/>
      <c r="P1813" s="258"/>
      <c r="Q1813" s="258"/>
      <c r="R1813" s="258"/>
      <c r="S1813" s="258"/>
      <c r="T1813" s="258"/>
      <c r="U1813" s="258"/>
      <c r="V1813" s="258"/>
      <c r="W1813" s="258"/>
      <c r="X1813" s="258"/>
      <c r="Y1813" s="258"/>
      <c r="Z1813" s="258"/>
      <c r="AA1813" s="258"/>
      <c r="AB1813" s="258"/>
      <c r="AC1813" s="407"/>
    </row>
    <row r="1814" spans="2:29" s="406" customFormat="1" ht="16.5" customHeight="1">
      <c r="B1814" s="256"/>
      <c r="C1814" s="256"/>
      <c r="D1814" s="414"/>
      <c r="E1814" s="414"/>
      <c r="F1814" s="414"/>
      <c r="G1814" s="253"/>
      <c r="H1814" s="253"/>
      <c r="I1814" s="253"/>
      <c r="J1814" s="253"/>
      <c r="K1814" s="253"/>
      <c r="L1814" s="253"/>
      <c r="M1814" s="253"/>
      <c r="N1814" s="253"/>
      <c r="O1814" s="258"/>
      <c r="P1814" s="258"/>
      <c r="Q1814" s="258"/>
      <c r="R1814" s="258"/>
      <c r="S1814" s="258"/>
      <c r="T1814" s="258"/>
      <c r="U1814" s="258"/>
      <c r="V1814" s="258"/>
      <c r="W1814" s="258"/>
      <c r="X1814" s="258"/>
      <c r="Y1814" s="258"/>
      <c r="Z1814" s="258"/>
      <c r="AA1814" s="258"/>
      <c r="AB1814" s="258"/>
      <c r="AC1814" s="407"/>
    </row>
    <row r="1815" spans="2:29" s="406" customFormat="1" ht="16.5" customHeight="1">
      <c r="B1815" s="256"/>
      <c r="C1815" s="256"/>
      <c r="D1815" s="414"/>
      <c r="E1815" s="414"/>
      <c r="F1815" s="414"/>
      <c r="G1815" s="253"/>
      <c r="H1815" s="253"/>
      <c r="I1815" s="253"/>
      <c r="J1815" s="253"/>
      <c r="K1815" s="253"/>
      <c r="L1815" s="253"/>
      <c r="M1815" s="253"/>
      <c r="N1815" s="253"/>
      <c r="O1815" s="258"/>
      <c r="P1815" s="258"/>
      <c r="Q1815" s="258"/>
      <c r="R1815" s="258"/>
      <c r="S1815" s="258"/>
      <c r="T1815" s="258"/>
      <c r="U1815" s="258"/>
      <c r="V1815" s="258"/>
      <c r="W1815" s="258"/>
      <c r="X1815" s="258"/>
      <c r="Y1815" s="258"/>
      <c r="Z1815" s="258"/>
      <c r="AA1815" s="258"/>
      <c r="AB1815" s="258"/>
      <c r="AC1815" s="407"/>
    </row>
    <row r="1816" spans="2:29" s="406" customFormat="1" ht="16.5" customHeight="1">
      <c r="B1816" s="256"/>
      <c r="C1816" s="256"/>
      <c r="D1816" s="414"/>
      <c r="E1816" s="414"/>
      <c r="F1816" s="414"/>
      <c r="G1816" s="253"/>
      <c r="H1816" s="253"/>
      <c r="I1816" s="253"/>
      <c r="J1816" s="253"/>
      <c r="K1816" s="253"/>
      <c r="L1816" s="253"/>
      <c r="M1816" s="253"/>
      <c r="N1816" s="253"/>
      <c r="O1816" s="258"/>
      <c r="P1816" s="258"/>
      <c r="Q1816" s="258"/>
      <c r="R1816" s="258"/>
      <c r="S1816" s="258"/>
      <c r="T1816" s="258"/>
      <c r="U1816" s="258"/>
      <c r="V1816" s="258"/>
      <c r="W1816" s="258"/>
      <c r="X1816" s="258"/>
      <c r="Y1816" s="258"/>
      <c r="Z1816" s="258"/>
      <c r="AA1816" s="258"/>
      <c r="AB1816" s="258"/>
      <c r="AC1816" s="407"/>
    </row>
    <row r="1817" spans="2:29" s="406" customFormat="1" ht="16.5" customHeight="1">
      <c r="B1817" s="256"/>
      <c r="C1817" s="256"/>
      <c r="D1817" s="414"/>
      <c r="E1817" s="414"/>
      <c r="F1817" s="414"/>
      <c r="G1817" s="253"/>
      <c r="H1817" s="253"/>
      <c r="I1817" s="253"/>
      <c r="J1817" s="253"/>
      <c r="K1817" s="253"/>
      <c r="L1817" s="253"/>
      <c r="M1817" s="253"/>
      <c r="N1817" s="253"/>
      <c r="O1817" s="258"/>
      <c r="P1817" s="258"/>
      <c r="Q1817" s="258"/>
      <c r="R1817" s="258"/>
      <c r="S1817" s="258"/>
      <c r="T1817" s="258"/>
      <c r="U1817" s="258"/>
      <c r="V1817" s="258"/>
      <c r="W1817" s="258"/>
      <c r="X1817" s="258"/>
      <c r="Y1817" s="258"/>
      <c r="Z1817" s="258"/>
      <c r="AA1817" s="258"/>
      <c r="AB1817" s="258"/>
      <c r="AC1817" s="407"/>
    </row>
    <row r="1818" spans="2:29" s="406" customFormat="1" ht="16.5" customHeight="1">
      <c r="B1818" s="256"/>
      <c r="C1818" s="256"/>
      <c r="D1818" s="414"/>
      <c r="E1818" s="414"/>
      <c r="F1818" s="414"/>
      <c r="G1818" s="253"/>
      <c r="H1818" s="253"/>
      <c r="I1818" s="253"/>
      <c r="J1818" s="253"/>
      <c r="K1818" s="253"/>
      <c r="L1818" s="253"/>
      <c r="M1818" s="253"/>
      <c r="N1818" s="253"/>
      <c r="O1818" s="258"/>
      <c r="P1818" s="258"/>
      <c r="Q1818" s="258"/>
      <c r="R1818" s="258"/>
      <c r="S1818" s="258"/>
      <c r="T1818" s="258"/>
      <c r="U1818" s="258"/>
      <c r="V1818" s="258"/>
      <c r="W1818" s="258"/>
      <c r="X1818" s="258"/>
      <c r="Y1818" s="258"/>
      <c r="Z1818" s="258"/>
      <c r="AA1818" s="258"/>
      <c r="AB1818" s="258"/>
      <c r="AC1818" s="407"/>
    </row>
    <row r="1819" spans="2:29" s="406" customFormat="1" ht="16.5" customHeight="1">
      <c r="B1819" s="256"/>
      <c r="C1819" s="256"/>
      <c r="D1819" s="414"/>
      <c r="E1819" s="414"/>
      <c r="F1819" s="414"/>
      <c r="G1819" s="253"/>
      <c r="H1819" s="253"/>
      <c r="I1819" s="253"/>
      <c r="J1819" s="253"/>
      <c r="K1819" s="253"/>
      <c r="L1819" s="253"/>
      <c r="M1819" s="253"/>
      <c r="N1819" s="253"/>
      <c r="O1819" s="258"/>
      <c r="P1819" s="258"/>
      <c r="Q1819" s="258"/>
      <c r="R1819" s="258"/>
      <c r="S1819" s="258"/>
      <c r="T1819" s="258"/>
      <c r="U1819" s="258"/>
      <c r="V1819" s="258"/>
      <c r="W1819" s="258"/>
      <c r="X1819" s="258"/>
      <c r="Y1819" s="258"/>
      <c r="Z1819" s="258"/>
      <c r="AA1819" s="258"/>
      <c r="AB1819" s="258"/>
      <c r="AC1819" s="407"/>
    </row>
    <row r="1820" spans="2:29" s="406" customFormat="1" ht="16.5" customHeight="1">
      <c r="B1820" s="256"/>
      <c r="C1820" s="256"/>
      <c r="D1820" s="414"/>
      <c r="E1820" s="414"/>
      <c r="F1820" s="414"/>
      <c r="G1820" s="253"/>
      <c r="H1820" s="253"/>
      <c r="I1820" s="253"/>
      <c r="J1820" s="253"/>
      <c r="K1820" s="253"/>
      <c r="L1820" s="253"/>
      <c r="M1820" s="253"/>
      <c r="N1820" s="253"/>
      <c r="O1820" s="258"/>
      <c r="P1820" s="258"/>
      <c r="Q1820" s="258"/>
      <c r="R1820" s="258"/>
      <c r="S1820" s="258"/>
      <c r="T1820" s="258"/>
      <c r="U1820" s="258"/>
      <c r="V1820" s="258"/>
      <c r="W1820" s="258"/>
      <c r="X1820" s="258"/>
      <c r="Y1820" s="258"/>
      <c r="Z1820" s="258"/>
      <c r="AA1820" s="258"/>
      <c r="AB1820" s="258"/>
      <c r="AC1820" s="407"/>
    </row>
    <row r="1821" spans="2:29" s="406" customFormat="1" ht="16.5" customHeight="1">
      <c r="B1821" s="256"/>
      <c r="C1821" s="256"/>
      <c r="D1821" s="414"/>
      <c r="E1821" s="414"/>
      <c r="F1821" s="414"/>
      <c r="G1821" s="253"/>
      <c r="H1821" s="253"/>
      <c r="I1821" s="253"/>
      <c r="J1821" s="253"/>
      <c r="K1821" s="253"/>
      <c r="L1821" s="253"/>
      <c r="M1821" s="253"/>
      <c r="N1821" s="253"/>
      <c r="O1821" s="258"/>
      <c r="P1821" s="258"/>
      <c r="Q1821" s="258"/>
      <c r="R1821" s="258"/>
      <c r="S1821" s="258"/>
      <c r="T1821" s="258"/>
      <c r="U1821" s="258"/>
      <c r="V1821" s="258"/>
      <c r="W1821" s="258"/>
      <c r="X1821" s="258"/>
      <c r="Y1821" s="258"/>
      <c r="Z1821" s="258"/>
      <c r="AA1821" s="258"/>
      <c r="AB1821" s="258"/>
      <c r="AC1821" s="407"/>
    </row>
    <row r="1822" spans="2:29" s="406" customFormat="1" ht="16.5" customHeight="1">
      <c r="B1822" s="256"/>
      <c r="C1822" s="256"/>
      <c r="D1822" s="414"/>
      <c r="E1822" s="414"/>
      <c r="F1822" s="414"/>
      <c r="G1822" s="253"/>
      <c r="H1822" s="253"/>
      <c r="I1822" s="253"/>
      <c r="J1822" s="253"/>
      <c r="K1822" s="253"/>
      <c r="L1822" s="253"/>
      <c r="M1822" s="253"/>
      <c r="N1822" s="253"/>
      <c r="O1822" s="258"/>
      <c r="P1822" s="258"/>
      <c r="Q1822" s="258"/>
      <c r="R1822" s="258"/>
      <c r="S1822" s="258"/>
      <c r="T1822" s="258"/>
      <c r="U1822" s="258"/>
      <c r="V1822" s="258"/>
      <c r="W1822" s="258"/>
      <c r="X1822" s="258"/>
      <c r="Y1822" s="258"/>
      <c r="Z1822" s="258"/>
      <c r="AA1822" s="258"/>
      <c r="AB1822" s="258"/>
      <c r="AC1822" s="407"/>
    </row>
    <row r="1823" spans="2:29" s="406" customFormat="1" ht="16.5" customHeight="1">
      <c r="B1823" s="256"/>
      <c r="C1823" s="256"/>
      <c r="D1823" s="414"/>
      <c r="E1823" s="414"/>
      <c r="F1823" s="414"/>
      <c r="G1823" s="253"/>
      <c r="H1823" s="253"/>
      <c r="I1823" s="253"/>
      <c r="J1823" s="253"/>
      <c r="K1823" s="253"/>
      <c r="L1823" s="253"/>
      <c r="M1823" s="253"/>
      <c r="N1823" s="253"/>
      <c r="O1823" s="258"/>
      <c r="P1823" s="258"/>
      <c r="Q1823" s="258"/>
      <c r="R1823" s="258"/>
      <c r="S1823" s="258"/>
      <c r="T1823" s="258"/>
      <c r="U1823" s="258"/>
      <c r="V1823" s="258"/>
      <c r="W1823" s="258"/>
      <c r="X1823" s="258"/>
      <c r="Y1823" s="258"/>
      <c r="Z1823" s="258"/>
      <c r="AA1823" s="258"/>
      <c r="AB1823" s="258"/>
      <c r="AC1823" s="407"/>
    </row>
    <row r="1824" spans="2:29" s="406" customFormat="1" ht="16.5" customHeight="1">
      <c r="B1824" s="256"/>
      <c r="C1824" s="256"/>
      <c r="D1824" s="414"/>
      <c r="E1824" s="414"/>
      <c r="F1824" s="414"/>
      <c r="G1824" s="253"/>
      <c r="H1824" s="253"/>
      <c r="I1824" s="253"/>
      <c r="J1824" s="253"/>
      <c r="K1824" s="253"/>
      <c r="L1824" s="253"/>
      <c r="M1824" s="253"/>
      <c r="N1824" s="253"/>
      <c r="O1824" s="258"/>
      <c r="P1824" s="258"/>
      <c r="Q1824" s="258"/>
      <c r="R1824" s="258"/>
      <c r="S1824" s="258"/>
      <c r="T1824" s="258"/>
      <c r="U1824" s="258"/>
      <c r="V1824" s="258"/>
      <c r="W1824" s="258"/>
      <c r="X1824" s="258"/>
      <c r="Y1824" s="258"/>
      <c r="Z1824" s="258"/>
      <c r="AA1824" s="258"/>
      <c r="AB1824" s="258"/>
      <c r="AC1824" s="407"/>
    </row>
    <row r="1825" spans="2:29" s="406" customFormat="1" ht="16.5" customHeight="1">
      <c r="B1825" s="256"/>
      <c r="C1825" s="256"/>
      <c r="D1825" s="414"/>
      <c r="E1825" s="414"/>
      <c r="F1825" s="414"/>
      <c r="G1825" s="253"/>
      <c r="H1825" s="253"/>
      <c r="I1825" s="253"/>
      <c r="J1825" s="253"/>
      <c r="K1825" s="253"/>
      <c r="L1825" s="253"/>
      <c r="M1825" s="253"/>
      <c r="N1825" s="253"/>
      <c r="O1825" s="258"/>
      <c r="P1825" s="258"/>
      <c r="Q1825" s="258"/>
      <c r="R1825" s="258"/>
      <c r="S1825" s="258"/>
      <c r="T1825" s="258"/>
      <c r="U1825" s="258"/>
      <c r="V1825" s="258"/>
      <c r="W1825" s="258"/>
      <c r="X1825" s="258"/>
      <c r="Y1825" s="258"/>
      <c r="Z1825" s="258"/>
      <c r="AA1825" s="258"/>
      <c r="AB1825" s="258"/>
      <c r="AC1825" s="407"/>
    </row>
    <row r="1826" spans="2:29" s="406" customFormat="1" ht="16.5" customHeight="1">
      <c r="B1826" s="256"/>
      <c r="C1826" s="256"/>
      <c r="D1826" s="414"/>
      <c r="E1826" s="414"/>
      <c r="F1826" s="414"/>
      <c r="G1826" s="253"/>
      <c r="H1826" s="253"/>
      <c r="I1826" s="253"/>
      <c r="J1826" s="253"/>
      <c r="K1826" s="253"/>
      <c r="L1826" s="253"/>
      <c r="M1826" s="253"/>
      <c r="N1826" s="253"/>
      <c r="O1826" s="258"/>
      <c r="P1826" s="258"/>
      <c r="Q1826" s="258"/>
      <c r="R1826" s="258"/>
      <c r="S1826" s="258"/>
      <c r="T1826" s="258"/>
      <c r="U1826" s="258"/>
      <c r="V1826" s="258"/>
      <c r="W1826" s="258"/>
      <c r="X1826" s="258"/>
      <c r="Y1826" s="258"/>
      <c r="Z1826" s="258"/>
      <c r="AA1826" s="258"/>
      <c r="AB1826" s="258"/>
      <c r="AC1826" s="407"/>
    </row>
    <row r="1827" spans="2:29" s="406" customFormat="1" ht="16.5" customHeight="1">
      <c r="B1827" s="256"/>
      <c r="C1827" s="256"/>
      <c r="D1827" s="414"/>
      <c r="E1827" s="414"/>
      <c r="F1827" s="414"/>
      <c r="G1827" s="253"/>
      <c r="H1827" s="253"/>
      <c r="I1827" s="253"/>
      <c r="J1827" s="253"/>
      <c r="K1827" s="253"/>
      <c r="L1827" s="253"/>
      <c r="M1827" s="253"/>
      <c r="N1827" s="253"/>
      <c r="O1827" s="258"/>
      <c r="P1827" s="258"/>
      <c r="Q1827" s="258"/>
      <c r="R1827" s="258"/>
      <c r="S1827" s="258"/>
      <c r="T1827" s="258"/>
      <c r="U1827" s="258"/>
      <c r="V1827" s="258"/>
      <c r="W1827" s="258"/>
      <c r="X1827" s="258"/>
      <c r="Y1827" s="258"/>
      <c r="Z1827" s="258"/>
      <c r="AA1827" s="258"/>
      <c r="AB1827" s="258"/>
      <c r="AC1827" s="407"/>
    </row>
    <row r="1828" spans="2:29" s="406" customFormat="1" ht="16.5" customHeight="1">
      <c r="B1828" s="256"/>
      <c r="C1828" s="256"/>
      <c r="D1828" s="414"/>
      <c r="E1828" s="414"/>
      <c r="F1828" s="414"/>
      <c r="G1828" s="253"/>
      <c r="H1828" s="253"/>
      <c r="I1828" s="253"/>
      <c r="J1828" s="253"/>
      <c r="K1828" s="253"/>
      <c r="L1828" s="253"/>
      <c r="M1828" s="253"/>
      <c r="N1828" s="253"/>
      <c r="O1828" s="258"/>
      <c r="P1828" s="258"/>
      <c r="Q1828" s="258"/>
      <c r="R1828" s="258"/>
      <c r="S1828" s="258"/>
      <c r="T1828" s="258"/>
      <c r="U1828" s="258"/>
      <c r="V1828" s="258"/>
      <c r="W1828" s="258"/>
      <c r="X1828" s="258"/>
      <c r="Y1828" s="258"/>
      <c r="Z1828" s="258"/>
      <c r="AA1828" s="258"/>
      <c r="AB1828" s="258"/>
      <c r="AC1828" s="407"/>
    </row>
    <row r="1829" spans="2:29" s="406" customFormat="1" ht="16.5" customHeight="1">
      <c r="B1829" s="256"/>
      <c r="C1829" s="256"/>
      <c r="D1829" s="414"/>
      <c r="E1829" s="414"/>
      <c r="F1829" s="414"/>
      <c r="G1829" s="253"/>
      <c r="H1829" s="253"/>
      <c r="I1829" s="253"/>
      <c r="J1829" s="253"/>
      <c r="K1829" s="253"/>
      <c r="L1829" s="253"/>
      <c r="M1829" s="253"/>
      <c r="N1829" s="253"/>
      <c r="O1829" s="258"/>
      <c r="P1829" s="258"/>
      <c r="Q1829" s="258"/>
      <c r="R1829" s="258"/>
      <c r="S1829" s="258"/>
      <c r="T1829" s="258"/>
      <c r="U1829" s="258"/>
      <c r="V1829" s="258"/>
      <c r="W1829" s="258"/>
      <c r="X1829" s="258"/>
      <c r="Y1829" s="258"/>
      <c r="Z1829" s="258"/>
      <c r="AA1829" s="258"/>
      <c r="AB1829" s="258"/>
      <c r="AC1829" s="407"/>
    </row>
    <row r="1830" spans="2:29" s="406" customFormat="1" ht="16.5" customHeight="1">
      <c r="B1830" s="256"/>
      <c r="C1830" s="256"/>
      <c r="D1830" s="414"/>
      <c r="E1830" s="414"/>
      <c r="F1830" s="414"/>
      <c r="G1830" s="253"/>
      <c r="H1830" s="253"/>
      <c r="I1830" s="253"/>
      <c r="J1830" s="253"/>
      <c r="K1830" s="253"/>
      <c r="L1830" s="253"/>
      <c r="M1830" s="253"/>
      <c r="N1830" s="253"/>
      <c r="O1830" s="258"/>
      <c r="P1830" s="258"/>
      <c r="Q1830" s="258"/>
      <c r="R1830" s="258"/>
      <c r="S1830" s="258"/>
      <c r="T1830" s="258"/>
      <c r="U1830" s="258"/>
      <c r="V1830" s="258"/>
      <c r="W1830" s="258"/>
      <c r="X1830" s="258"/>
      <c r="Y1830" s="258"/>
      <c r="Z1830" s="258"/>
      <c r="AA1830" s="258"/>
      <c r="AB1830" s="258"/>
      <c r="AC1830" s="407"/>
    </row>
    <row r="1831" spans="2:29" s="406" customFormat="1" ht="16.5" customHeight="1">
      <c r="B1831" s="256"/>
      <c r="C1831" s="256"/>
      <c r="D1831" s="414"/>
      <c r="E1831" s="414"/>
      <c r="F1831" s="414"/>
      <c r="G1831" s="253"/>
      <c r="H1831" s="253"/>
      <c r="I1831" s="253"/>
      <c r="J1831" s="253"/>
      <c r="K1831" s="253"/>
      <c r="L1831" s="253"/>
      <c r="M1831" s="253"/>
      <c r="N1831" s="253"/>
      <c r="O1831" s="258"/>
      <c r="P1831" s="258"/>
      <c r="Q1831" s="258"/>
      <c r="R1831" s="258"/>
      <c r="S1831" s="258"/>
      <c r="T1831" s="258"/>
      <c r="U1831" s="258"/>
      <c r="V1831" s="258"/>
      <c r="W1831" s="258"/>
      <c r="X1831" s="258"/>
      <c r="Y1831" s="258"/>
      <c r="Z1831" s="258"/>
      <c r="AA1831" s="258"/>
      <c r="AB1831" s="258"/>
      <c r="AC1831" s="407"/>
    </row>
    <row r="1832" spans="2:29" s="406" customFormat="1" ht="16.5" customHeight="1">
      <c r="B1832" s="256"/>
      <c r="C1832" s="256"/>
      <c r="D1832" s="414"/>
      <c r="E1832" s="414"/>
      <c r="F1832" s="414"/>
      <c r="G1832" s="253"/>
      <c r="H1832" s="253"/>
      <c r="I1832" s="253"/>
      <c r="J1832" s="253"/>
      <c r="K1832" s="253"/>
      <c r="L1832" s="253"/>
      <c r="M1832" s="253"/>
      <c r="N1832" s="253"/>
      <c r="O1832" s="258"/>
      <c r="P1832" s="258"/>
      <c r="Q1832" s="258"/>
      <c r="R1832" s="258"/>
      <c r="S1832" s="258"/>
      <c r="T1832" s="258"/>
      <c r="U1832" s="258"/>
      <c r="V1832" s="258"/>
      <c r="W1832" s="258"/>
      <c r="X1832" s="258"/>
      <c r="Y1832" s="258"/>
      <c r="Z1832" s="258"/>
      <c r="AA1832" s="258"/>
      <c r="AB1832" s="258"/>
      <c r="AC1832" s="407"/>
    </row>
    <row r="1833" spans="2:29" s="406" customFormat="1" ht="16.5" customHeight="1">
      <c r="B1833" s="256"/>
      <c r="C1833" s="256"/>
      <c r="D1833" s="414"/>
      <c r="E1833" s="414"/>
      <c r="F1833" s="414"/>
      <c r="G1833" s="253"/>
      <c r="H1833" s="253"/>
      <c r="I1833" s="253"/>
      <c r="J1833" s="253"/>
      <c r="K1833" s="253"/>
      <c r="L1833" s="253"/>
      <c r="M1833" s="253"/>
      <c r="N1833" s="253"/>
      <c r="O1833" s="258"/>
      <c r="P1833" s="258"/>
      <c r="Q1833" s="258"/>
      <c r="R1833" s="258"/>
      <c r="S1833" s="258"/>
      <c r="T1833" s="258"/>
      <c r="U1833" s="258"/>
      <c r="V1833" s="258"/>
      <c r="W1833" s="258"/>
      <c r="X1833" s="258"/>
      <c r="Y1833" s="258"/>
      <c r="Z1833" s="258"/>
      <c r="AA1833" s="258"/>
      <c r="AB1833" s="258"/>
      <c r="AC1833" s="407"/>
    </row>
    <row r="1834" spans="2:29" s="406" customFormat="1" ht="16.5" customHeight="1">
      <c r="B1834" s="256"/>
      <c r="C1834" s="256"/>
      <c r="D1834" s="414"/>
      <c r="E1834" s="414"/>
      <c r="F1834" s="414"/>
      <c r="G1834" s="253"/>
      <c r="H1834" s="253"/>
      <c r="I1834" s="253"/>
      <c r="J1834" s="253"/>
      <c r="K1834" s="253"/>
      <c r="L1834" s="253"/>
      <c r="M1834" s="253"/>
      <c r="N1834" s="253"/>
      <c r="O1834" s="258"/>
      <c r="P1834" s="258"/>
      <c r="Q1834" s="258"/>
      <c r="R1834" s="258"/>
      <c r="S1834" s="258"/>
      <c r="T1834" s="258"/>
      <c r="U1834" s="258"/>
      <c r="V1834" s="258"/>
      <c r="W1834" s="258"/>
      <c r="X1834" s="258"/>
      <c r="Y1834" s="258"/>
      <c r="Z1834" s="258"/>
      <c r="AA1834" s="258"/>
      <c r="AB1834" s="258"/>
      <c r="AC1834" s="407"/>
    </row>
    <row r="1835" spans="2:29" s="406" customFormat="1" ht="16.5" customHeight="1">
      <c r="B1835" s="256"/>
      <c r="C1835" s="256"/>
      <c r="D1835" s="414"/>
      <c r="E1835" s="414"/>
      <c r="F1835" s="414"/>
      <c r="G1835" s="253"/>
      <c r="H1835" s="253"/>
      <c r="I1835" s="253"/>
      <c r="J1835" s="253"/>
      <c r="K1835" s="253"/>
      <c r="L1835" s="253"/>
      <c r="M1835" s="253"/>
      <c r="N1835" s="253"/>
      <c r="O1835" s="258"/>
      <c r="P1835" s="258"/>
      <c r="Q1835" s="258"/>
      <c r="R1835" s="258"/>
      <c r="S1835" s="258"/>
      <c r="T1835" s="258"/>
      <c r="U1835" s="258"/>
      <c r="V1835" s="258"/>
      <c r="W1835" s="258"/>
      <c r="X1835" s="258"/>
      <c r="Y1835" s="258"/>
      <c r="Z1835" s="258"/>
      <c r="AA1835" s="258"/>
      <c r="AB1835" s="258"/>
      <c r="AC1835" s="407"/>
    </row>
    <row r="1836" spans="2:29" s="406" customFormat="1" ht="16.5" customHeight="1">
      <c r="B1836" s="256"/>
      <c r="C1836" s="256"/>
      <c r="D1836" s="414"/>
      <c r="E1836" s="414"/>
      <c r="F1836" s="414"/>
      <c r="G1836" s="253"/>
      <c r="H1836" s="253"/>
      <c r="I1836" s="253"/>
      <c r="J1836" s="253"/>
      <c r="K1836" s="253"/>
      <c r="L1836" s="253"/>
      <c r="M1836" s="253"/>
      <c r="N1836" s="253"/>
      <c r="O1836" s="258"/>
      <c r="P1836" s="258"/>
      <c r="Q1836" s="258"/>
      <c r="R1836" s="258"/>
      <c r="S1836" s="258"/>
      <c r="T1836" s="258"/>
      <c r="U1836" s="258"/>
      <c r="V1836" s="258"/>
      <c r="W1836" s="258"/>
      <c r="X1836" s="258"/>
      <c r="Y1836" s="258"/>
      <c r="Z1836" s="258"/>
      <c r="AA1836" s="258"/>
      <c r="AB1836" s="258"/>
      <c r="AC1836" s="407"/>
    </row>
    <row r="1837" spans="2:29" s="406" customFormat="1" ht="16.5" customHeight="1">
      <c r="B1837" s="256"/>
      <c r="C1837" s="256"/>
      <c r="D1837" s="414"/>
      <c r="E1837" s="414"/>
      <c r="F1837" s="414"/>
      <c r="G1837" s="253"/>
      <c r="H1837" s="253"/>
      <c r="I1837" s="253"/>
      <c r="J1837" s="253"/>
      <c r="K1837" s="253"/>
      <c r="L1837" s="253"/>
      <c r="M1837" s="253"/>
      <c r="N1837" s="253"/>
      <c r="O1837" s="258"/>
      <c r="P1837" s="258"/>
      <c r="Q1837" s="258"/>
      <c r="R1837" s="258"/>
      <c r="S1837" s="258"/>
      <c r="T1837" s="258"/>
      <c r="U1837" s="258"/>
      <c r="V1837" s="258"/>
      <c r="W1837" s="258"/>
      <c r="X1837" s="258"/>
      <c r="Y1837" s="258"/>
      <c r="Z1837" s="258"/>
      <c r="AA1837" s="258"/>
      <c r="AB1837" s="258"/>
      <c r="AC1837" s="407"/>
    </row>
    <row r="1838" spans="2:29" s="406" customFormat="1" ht="16.5" customHeight="1">
      <c r="B1838" s="256"/>
      <c r="C1838" s="256"/>
      <c r="D1838" s="414"/>
      <c r="E1838" s="414"/>
      <c r="F1838" s="414"/>
      <c r="G1838" s="253"/>
      <c r="H1838" s="253"/>
      <c r="I1838" s="253"/>
      <c r="J1838" s="253"/>
      <c r="K1838" s="253"/>
      <c r="L1838" s="253"/>
      <c r="M1838" s="253"/>
      <c r="N1838" s="253"/>
      <c r="O1838" s="258"/>
      <c r="P1838" s="258"/>
      <c r="Q1838" s="258"/>
      <c r="R1838" s="258"/>
      <c r="S1838" s="258"/>
      <c r="T1838" s="258"/>
      <c r="U1838" s="258"/>
      <c r="V1838" s="258"/>
      <c r="W1838" s="258"/>
      <c r="X1838" s="258"/>
      <c r="Y1838" s="258"/>
      <c r="Z1838" s="258"/>
      <c r="AA1838" s="258"/>
      <c r="AB1838" s="258"/>
      <c r="AC1838" s="407"/>
    </row>
    <row r="1839" spans="2:29" s="406" customFormat="1" ht="16.5" customHeight="1">
      <c r="B1839" s="256"/>
      <c r="C1839" s="256"/>
      <c r="D1839" s="414"/>
      <c r="E1839" s="414"/>
      <c r="F1839" s="414"/>
      <c r="G1839" s="253"/>
      <c r="H1839" s="253"/>
      <c r="I1839" s="253"/>
      <c r="J1839" s="253"/>
      <c r="K1839" s="253"/>
      <c r="L1839" s="253"/>
      <c r="M1839" s="253"/>
      <c r="N1839" s="253"/>
      <c r="O1839" s="258"/>
      <c r="P1839" s="258"/>
      <c r="Q1839" s="258"/>
      <c r="R1839" s="258"/>
      <c r="S1839" s="258"/>
      <c r="T1839" s="258"/>
      <c r="U1839" s="258"/>
      <c r="V1839" s="258"/>
      <c r="W1839" s="258"/>
      <c r="X1839" s="258"/>
      <c r="Y1839" s="258"/>
      <c r="Z1839" s="258"/>
      <c r="AA1839" s="258"/>
      <c r="AB1839" s="258"/>
      <c r="AC1839" s="407"/>
    </row>
    <row r="1840" spans="2:29" s="406" customFormat="1" ht="16.5" customHeight="1">
      <c r="B1840" s="256"/>
      <c r="C1840" s="256"/>
      <c r="D1840" s="414"/>
      <c r="E1840" s="414"/>
      <c r="F1840" s="414"/>
      <c r="G1840" s="253"/>
      <c r="H1840" s="253"/>
      <c r="I1840" s="253"/>
      <c r="J1840" s="253"/>
      <c r="K1840" s="253"/>
      <c r="L1840" s="253"/>
      <c r="M1840" s="253"/>
      <c r="N1840" s="253"/>
      <c r="O1840" s="258"/>
      <c r="P1840" s="258"/>
      <c r="Q1840" s="258"/>
      <c r="R1840" s="258"/>
      <c r="S1840" s="258"/>
      <c r="T1840" s="258"/>
      <c r="U1840" s="258"/>
      <c r="V1840" s="258"/>
      <c r="W1840" s="258"/>
      <c r="X1840" s="258"/>
      <c r="Y1840" s="258"/>
      <c r="Z1840" s="258"/>
      <c r="AA1840" s="258"/>
      <c r="AB1840" s="258"/>
      <c r="AC1840" s="407"/>
    </row>
    <row r="1841" spans="2:29" s="406" customFormat="1" ht="16.5" customHeight="1">
      <c r="B1841" s="256"/>
      <c r="C1841" s="256"/>
      <c r="D1841" s="414"/>
      <c r="E1841" s="414"/>
      <c r="F1841" s="414"/>
      <c r="G1841" s="253"/>
      <c r="H1841" s="253"/>
      <c r="I1841" s="253"/>
      <c r="J1841" s="253"/>
      <c r="K1841" s="253"/>
      <c r="L1841" s="253"/>
      <c r="M1841" s="253"/>
      <c r="N1841" s="253"/>
      <c r="O1841" s="258"/>
      <c r="P1841" s="258"/>
      <c r="Q1841" s="258"/>
      <c r="R1841" s="258"/>
      <c r="S1841" s="258"/>
      <c r="T1841" s="258"/>
      <c r="U1841" s="258"/>
      <c r="V1841" s="258"/>
      <c r="W1841" s="258"/>
      <c r="X1841" s="258"/>
      <c r="Y1841" s="258"/>
      <c r="Z1841" s="258"/>
      <c r="AA1841" s="258"/>
      <c r="AB1841" s="258"/>
      <c r="AC1841" s="407"/>
    </row>
    <row r="1842" spans="2:29" s="406" customFormat="1" ht="16.5" customHeight="1">
      <c r="B1842" s="256"/>
      <c r="C1842" s="256"/>
      <c r="D1842" s="414"/>
      <c r="E1842" s="414"/>
      <c r="F1842" s="414"/>
      <c r="G1842" s="253"/>
      <c r="H1842" s="253"/>
      <c r="I1842" s="253"/>
      <c r="J1842" s="253"/>
      <c r="K1842" s="253"/>
      <c r="L1842" s="253"/>
      <c r="M1842" s="253"/>
      <c r="N1842" s="253"/>
      <c r="O1842" s="258"/>
      <c r="P1842" s="258"/>
      <c r="Q1842" s="258"/>
      <c r="R1842" s="258"/>
      <c r="S1842" s="258"/>
      <c r="T1842" s="258"/>
      <c r="U1842" s="258"/>
      <c r="V1842" s="258"/>
      <c r="W1842" s="258"/>
      <c r="X1842" s="258"/>
      <c r="Y1842" s="258"/>
      <c r="Z1842" s="258"/>
      <c r="AA1842" s="258"/>
      <c r="AB1842" s="258"/>
      <c r="AC1842" s="407"/>
    </row>
    <row r="1843" spans="2:29" s="406" customFormat="1" ht="16.5" customHeight="1">
      <c r="B1843" s="256"/>
      <c r="C1843" s="256"/>
      <c r="D1843" s="414"/>
      <c r="E1843" s="414"/>
      <c r="F1843" s="414"/>
      <c r="G1843" s="253"/>
      <c r="H1843" s="253"/>
      <c r="I1843" s="253"/>
      <c r="J1843" s="253"/>
      <c r="K1843" s="253"/>
      <c r="L1843" s="253"/>
      <c r="M1843" s="253"/>
      <c r="N1843" s="253"/>
      <c r="O1843" s="258"/>
      <c r="P1843" s="258"/>
      <c r="Q1843" s="258"/>
      <c r="R1843" s="258"/>
      <c r="S1843" s="258"/>
      <c r="T1843" s="258"/>
      <c r="U1843" s="258"/>
      <c r="V1843" s="258"/>
      <c r="W1843" s="258"/>
      <c r="X1843" s="258"/>
      <c r="Y1843" s="258"/>
      <c r="Z1843" s="258"/>
      <c r="AA1843" s="258"/>
      <c r="AB1843" s="258"/>
      <c r="AC1843" s="407"/>
    </row>
    <row r="1844" spans="2:29" s="406" customFormat="1" ht="16.5" customHeight="1">
      <c r="B1844" s="256"/>
      <c r="C1844" s="256"/>
      <c r="D1844" s="414"/>
      <c r="E1844" s="414"/>
      <c r="F1844" s="414"/>
      <c r="G1844" s="253"/>
      <c r="H1844" s="253"/>
      <c r="I1844" s="253"/>
      <c r="J1844" s="253"/>
      <c r="K1844" s="253"/>
      <c r="L1844" s="253"/>
      <c r="M1844" s="253"/>
      <c r="N1844" s="253"/>
      <c r="O1844" s="258"/>
      <c r="P1844" s="258"/>
      <c r="Q1844" s="258"/>
      <c r="R1844" s="258"/>
      <c r="S1844" s="258"/>
      <c r="T1844" s="258"/>
      <c r="U1844" s="258"/>
      <c r="V1844" s="258"/>
      <c r="W1844" s="258"/>
      <c r="X1844" s="258"/>
      <c r="Y1844" s="258"/>
      <c r="Z1844" s="258"/>
      <c r="AA1844" s="258"/>
      <c r="AB1844" s="258"/>
      <c r="AC1844" s="407"/>
    </row>
    <row r="1845" spans="2:29" s="406" customFormat="1" ht="16.5" customHeight="1">
      <c r="B1845" s="256"/>
      <c r="C1845" s="256"/>
      <c r="D1845" s="414"/>
      <c r="E1845" s="414"/>
      <c r="F1845" s="414"/>
      <c r="G1845" s="253"/>
      <c r="H1845" s="253"/>
      <c r="I1845" s="253"/>
      <c r="J1845" s="253"/>
      <c r="K1845" s="253"/>
      <c r="L1845" s="253"/>
      <c r="M1845" s="253"/>
      <c r="N1845" s="253"/>
      <c r="O1845" s="258"/>
      <c r="P1845" s="258"/>
      <c r="Q1845" s="258"/>
      <c r="R1845" s="258"/>
      <c r="S1845" s="258"/>
      <c r="T1845" s="258"/>
      <c r="U1845" s="258"/>
      <c r="V1845" s="258"/>
      <c r="W1845" s="258"/>
      <c r="X1845" s="258"/>
      <c r="Y1845" s="258"/>
      <c r="Z1845" s="258"/>
      <c r="AA1845" s="258"/>
      <c r="AB1845" s="258"/>
      <c r="AC1845" s="407"/>
    </row>
    <row r="1846" spans="2:29" s="406" customFormat="1" ht="16.5" customHeight="1">
      <c r="B1846" s="256"/>
      <c r="C1846" s="256"/>
      <c r="D1846" s="414"/>
      <c r="E1846" s="414"/>
      <c r="F1846" s="414"/>
      <c r="G1846" s="253"/>
      <c r="H1846" s="253"/>
      <c r="I1846" s="253"/>
      <c r="J1846" s="253"/>
      <c r="K1846" s="253"/>
      <c r="L1846" s="253"/>
      <c r="M1846" s="253"/>
      <c r="N1846" s="253"/>
      <c r="O1846" s="258"/>
      <c r="P1846" s="258"/>
      <c r="Q1846" s="258"/>
      <c r="R1846" s="258"/>
      <c r="S1846" s="258"/>
      <c r="T1846" s="258"/>
      <c r="U1846" s="258"/>
      <c r="V1846" s="258"/>
      <c r="W1846" s="258"/>
      <c r="X1846" s="258"/>
      <c r="Y1846" s="258"/>
      <c r="Z1846" s="258"/>
      <c r="AA1846" s="258"/>
      <c r="AB1846" s="258"/>
      <c r="AC1846" s="407"/>
    </row>
    <row r="1847" spans="2:29" s="406" customFormat="1" ht="16.5" customHeight="1">
      <c r="B1847" s="256"/>
      <c r="C1847" s="256"/>
      <c r="D1847" s="414"/>
      <c r="E1847" s="414"/>
      <c r="F1847" s="414"/>
      <c r="G1847" s="253"/>
      <c r="H1847" s="253"/>
      <c r="I1847" s="253"/>
      <c r="J1847" s="253"/>
      <c r="K1847" s="253"/>
      <c r="L1847" s="253"/>
      <c r="M1847" s="253"/>
      <c r="N1847" s="253"/>
      <c r="O1847" s="258"/>
      <c r="P1847" s="258"/>
      <c r="Q1847" s="258"/>
      <c r="R1847" s="258"/>
      <c r="S1847" s="258"/>
      <c r="T1847" s="258"/>
      <c r="U1847" s="258"/>
      <c r="V1847" s="258"/>
      <c r="W1847" s="258"/>
      <c r="X1847" s="258"/>
      <c r="Y1847" s="258"/>
      <c r="Z1847" s="258"/>
      <c r="AA1847" s="258"/>
      <c r="AB1847" s="258"/>
      <c r="AC1847" s="407"/>
    </row>
    <row r="1848" spans="2:29" s="406" customFormat="1" ht="16.5" customHeight="1">
      <c r="B1848" s="256"/>
      <c r="C1848" s="256"/>
      <c r="D1848" s="414"/>
      <c r="E1848" s="414"/>
      <c r="F1848" s="414"/>
      <c r="G1848" s="253"/>
      <c r="H1848" s="253"/>
      <c r="I1848" s="253"/>
      <c r="J1848" s="253"/>
      <c r="K1848" s="253"/>
      <c r="L1848" s="253"/>
      <c r="M1848" s="253"/>
      <c r="N1848" s="253"/>
      <c r="O1848" s="258"/>
      <c r="P1848" s="258"/>
      <c r="Q1848" s="258"/>
      <c r="R1848" s="258"/>
      <c r="S1848" s="258"/>
      <c r="T1848" s="258"/>
      <c r="U1848" s="258"/>
      <c r="V1848" s="258"/>
      <c r="W1848" s="258"/>
      <c r="X1848" s="258"/>
      <c r="Y1848" s="258"/>
      <c r="Z1848" s="258"/>
      <c r="AA1848" s="258"/>
      <c r="AB1848" s="258"/>
      <c r="AC1848" s="407"/>
    </row>
    <row r="1849" spans="2:29" s="406" customFormat="1" ht="16.5" customHeight="1">
      <c r="B1849" s="256"/>
      <c r="C1849" s="256"/>
      <c r="D1849" s="414"/>
      <c r="E1849" s="414"/>
      <c r="F1849" s="414"/>
      <c r="G1849" s="253"/>
      <c r="H1849" s="253"/>
      <c r="I1849" s="253"/>
      <c r="J1849" s="253"/>
      <c r="K1849" s="253"/>
      <c r="L1849" s="253"/>
      <c r="M1849" s="253"/>
      <c r="N1849" s="253"/>
      <c r="O1849" s="258"/>
      <c r="P1849" s="258"/>
      <c r="Q1849" s="258"/>
      <c r="R1849" s="258"/>
      <c r="S1849" s="258"/>
      <c r="T1849" s="258"/>
      <c r="U1849" s="258"/>
      <c r="V1849" s="258"/>
      <c r="W1849" s="258"/>
      <c r="X1849" s="258"/>
      <c r="Y1849" s="258"/>
      <c r="Z1849" s="258"/>
      <c r="AA1849" s="258"/>
      <c r="AB1849" s="258"/>
      <c r="AC1849" s="407"/>
    </row>
    <row r="1850" spans="2:29" s="406" customFormat="1" ht="16.5" customHeight="1">
      <c r="B1850" s="256"/>
      <c r="C1850" s="256"/>
      <c r="D1850" s="414"/>
      <c r="E1850" s="414"/>
      <c r="F1850" s="414"/>
      <c r="G1850" s="253"/>
      <c r="H1850" s="253"/>
      <c r="I1850" s="253"/>
      <c r="J1850" s="253"/>
      <c r="K1850" s="253"/>
      <c r="L1850" s="253"/>
      <c r="M1850" s="253"/>
      <c r="N1850" s="253"/>
      <c r="O1850" s="258"/>
      <c r="P1850" s="258"/>
      <c r="Q1850" s="258"/>
      <c r="R1850" s="258"/>
      <c r="S1850" s="258"/>
      <c r="T1850" s="258"/>
      <c r="U1850" s="258"/>
      <c r="V1850" s="258"/>
      <c r="W1850" s="258"/>
      <c r="X1850" s="258"/>
      <c r="Y1850" s="258"/>
      <c r="Z1850" s="258"/>
      <c r="AA1850" s="258"/>
      <c r="AB1850" s="258"/>
      <c r="AC1850" s="407"/>
    </row>
    <row r="1851" spans="2:29" s="406" customFormat="1" ht="16.5" customHeight="1">
      <c r="B1851" s="256"/>
      <c r="C1851" s="256"/>
      <c r="D1851" s="414"/>
      <c r="E1851" s="414"/>
      <c r="F1851" s="414"/>
      <c r="G1851" s="253"/>
      <c r="H1851" s="253"/>
      <c r="I1851" s="253"/>
      <c r="J1851" s="253"/>
      <c r="K1851" s="253"/>
      <c r="L1851" s="253"/>
      <c r="M1851" s="253"/>
      <c r="N1851" s="253"/>
      <c r="O1851" s="258"/>
      <c r="P1851" s="258"/>
      <c r="Q1851" s="258"/>
      <c r="R1851" s="258"/>
      <c r="S1851" s="258"/>
      <c r="T1851" s="258"/>
      <c r="U1851" s="258"/>
      <c r="V1851" s="258"/>
      <c r="W1851" s="258"/>
      <c r="X1851" s="258"/>
      <c r="Y1851" s="258"/>
      <c r="Z1851" s="258"/>
      <c r="AA1851" s="258"/>
      <c r="AB1851" s="258"/>
      <c r="AC1851" s="407"/>
    </row>
    <row r="1852" spans="2:29" s="406" customFormat="1" ht="16.5" customHeight="1">
      <c r="B1852" s="256"/>
      <c r="C1852" s="256"/>
      <c r="D1852" s="414"/>
      <c r="E1852" s="414"/>
      <c r="F1852" s="414"/>
      <c r="G1852" s="253"/>
      <c r="H1852" s="253"/>
      <c r="I1852" s="253"/>
      <c r="J1852" s="253"/>
      <c r="K1852" s="253"/>
      <c r="L1852" s="253"/>
      <c r="M1852" s="253"/>
      <c r="N1852" s="253"/>
      <c r="O1852" s="258"/>
      <c r="P1852" s="258"/>
      <c r="Q1852" s="258"/>
      <c r="R1852" s="258"/>
      <c r="S1852" s="258"/>
      <c r="T1852" s="258"/>
      <c r="U1852" s="258"/>
      <c r="V1852" s="258"/>
      <c r="W1852" s="258"/>
      <c r="X1852" s="258"/>
      <c r="Y1852" s="258"/>
      <c r="Z1852" s="258"/>
      <c r="AA1852" s="258"/>
      <c r="AB1852" s="258"/>
      <c r="AC1852" s="407"/>
    </row>
    <row r="1853" spans="2:29" s="406" customFormat="1" ht="16.5" customHeight="1">
      <c r="B1853" s="256"/>
      <c r="C1853" s="256"/>
      <c r="D1853" s="414"/>
      <c r="E1853" s="414"/>
      <c r="F1853" s="414"/>
      <c r="G1853" s="253"/>
      <c r="H1853" s="253"/>
      <c r="I1853" s="253"/>
      <c r="J1853" s="253"/>
      <c r="K1853" s="253"/>
      <c r="L1853" s="253"/>
      <c r="M1853" s="253"/>
      <c r="N1853" s="253"/>
      <c r="O1853" s="258"/>
      <c r="P1853" s="258"/>
      <c r="Q1853" s="258"/>
      <c r="R1853" s="258"/>
      <c r="S1853" s="258"/>
      <c r="T1853" s="258"/>
      <c r="U1853" s="258"/>
      <c r="V1853" s="258"/>
      <c r="W1853" s="258"/>
      <c r="X1853" s="258"/>
      <c r="Y1853" s="258"/>
      <c r="Z1853" s="258"/>
      <c r="AA1853" s="258"/>
      <c r="AB1853" s="258"/>
      <c r="AC1853" s="407"/>
    </row>
    <row r="1854" spans="2:29" s="406" customFormat="1" ht="16.5" customHeight="1">
      <c r="B1854" s="256"/>
      <c r="C1854" s="256"/>
      <c r="D1854" s="414"/>
      <c r="E1854" s="414"/>
      <c r="F1854" s="414"/>
      <c r="G1854" s="253"/>
      <c r="H1854" s="253"/>
      <c r="I1854" s="253"/>
      <c r="J1854" s="253"/>
      <c r="K1854" s="253"/>
      <c r="L1854" s="253"/>
      <c r="M1854" s="253"/>
      <c r="N1854" s="253"/>
      <c r="O1854" s="258"/>
      <c r="P1854" s="258"/>
      <c r="Q1854" s="258"/>
      <c r="R1854" s="258"/>
      <c r="S1854" s="258"/>
      <c r="T1854" s="258"/>
      <c r="U1854" s="258"/>
      <c r="V1854" s="258"/>
      <c r="W1854" s="258"/>
      <c r="X1854" s="258"/>
      <c r="Y1854" s="258"/>
      <c r="Z1854" s="258"/>
      <c r="AA1854" s="258"/>
      <c r="AB1854" s="258"/>
      <c r="AC1854" s="407"/>
    </row>
    <row r="1855" spans="2:29" s="406" customFormat="1" ht="16.5" customHeight="1">
      <c r="B1855" s="256"/>
      <c r="C1855" s="256"/>
      <c r="D1855" s="414"/>
      <c r="E1855" s="414"/>
      <c r="F1855" s="414"/>
      <c r="G1855" s="253"/>
      <c r="H1855" s="253"/>
      <c r="I1855" s="253"/>
      <c r="J1855" s="253"/>
      <c r="K1855" s="253"/>
      <c r="L1855" s="253"/>
      <c r="M1855" s="253"/>
      <c r="N1855" s="253"/>
      <c r="O1855" s="258"/>
      <c r="P1855" s="258"/>
      <c r="Q1855" s="258"/>
      <c r="R1855" s="258"/>
      <c r="S1855" s="258"/>
      <c r="T1855" s="258"/>
      <c r="U1855" s="258"/>
      <c r="V1855" s="258"/>
      <c r="W1855" s="258"/>
      <c r="X1855" s="258"/>
      <c r="Y1855" s="258"/>
      <c r="Z1855" s="258"/>
      <c r="AA1855" s="258"/>
      <c r="AB1855" s="258"/>
      <c r="AC1855" s="407"/>
    </row>
    <row r="1856" spans="2:29" s="406" customFormat="1" ht="16.5" customHeight="1">
      <c r="B1856" s="256"/>
      <c r="C1856" s="256"/>
      <c r="D1856" s="414"/>
      <c r="E1856" s="414"/>
      <c r="F1856" s="414"/>
      <c r="G1856" s="253"/>
      <c r="H1856" s="253"/>
      <c r="I1856" s="253"/>
      <c r="J1856" s="253"/>
      <c r="K1856" s="253"/>
      <c r="L1856" s="253"/>
      <c r="M1856" s="253"/>
      <c r="N1856" s="253"/>
      <c r="O1856" s="258"/>
      <c r="P1856" s="258"/>
      <c r="Q1856" s="258"/>
      <c r="R1856" s="258"/>
      <c r="S1856" s="258"/>
      <c r="T1856" s="258"/>
      <c r="U1856" s="258"/>
      <c r="V1856" s="258"/>
      <c r="W1856" s="258"/>
      <c r="X1856" s="258"/>
      <c r="Y1856" s="258"/>
      <c r="Z1856" s="258"/>
      <c r="AA1856" s="258"/>
      <c r="AB1856" s="258"/>
      <c r="AC1856" s="407"/>
    </row>
    <row r="1857" spans="2:29" s="406" customFormat="1" ht="16.5" customHeight="1">
      <c r="B1857" s="256"/>
      <c r="C1857" s="256"/>
      <c r="D1857" s="414"/>
      <c r="E1857" s="414"/>
      <c r="F1857" s="414"/>
      <c r="G1857" s="253"/>
      <c r="H1857" s="253"/>
      <c r="I1857" s="253"/>
      <c r="J1857" s="253"/>
      <c r="K1857" s="253"/>
      <c r="L1857" s="253"/>
      <c r="M1857" s="253"/>
      <c r="N1857" s="253"/>
      <c r="O1857" s="258"/>
      <c r="P1857" s="258"/>
      <c r="Q1857" s="258"/>
      <c r="R1857" s="258"/>
      <c r="S1857" s="258"/>
      <c r="T1857" s="258"/>
      <c r="U1857" s="258"/>
      <c r="V1857" s="258"/>
      <c r="W1857" s="258"/>
      <c r="X1857" s="258"/>
      <c r="Y1857" s="258"/>
      <c r="Z1857" s="258"/>
      <c r="AA1857" s="258"/>
      <c r="AB1857" s="258"/>
      <c r="AC1857" s="407"/>
    </row>
    <row r="1858" spans="2:29" s="406" customFormat="1" ht="16.5" customHeight="1">
      <c r="B1858" s="256"/>
      <c r="C1858" s="256"/>
      <c r="D1858" s="414"/>
      <c r="E1858" s="414"/>
      <c r="F1858" s="414"/>
      <c r="G1858" s="253"/>
      <c r="H1858" s="253"/>
      <c r="I1858" s="253"/>
      <c r="J1858" s="253"/>
      <c r="K1858" s="253"/>
      <c r="L1858" s="253"/>
      <c r="M1858" s="253"/>
      <c r="N1858" s="253"/>
      <c r="O1858" s="258"/>
      <c r="P1858" s="258"/>
      <c r="Q1858" s="258"/>
      <c r="R1858" s="258"/>
      <c r="S1858" s="258"/>
      <c r="T1858" s="258"/>
      <c r="U1858" s="258"/>
      <c r="V1858" s="258"/>
      <c r="W1858" s="258"/>
      <c r="X1858" s="258"/>
      <c r="Y1858" s="258"/>
      <c r="Z1858" s="258"/>
      <c r="AA1858" s="258"/>
      <c r="AB1858" s="258"/>
      <c r="AC1858" s="407"/>
    </row>
    <row r="1859" spans="2:29" s="406" customFormat="1" ht="16.5" customHeight="1">
      <c r="B1859" s="256"/>
      <c r="C1859" s="256"/>
      <c r="D1859" s="414"/>
      <c r="E1859" s="414"/>
      <c r="F1859" s="414"/>
      <c r="G1859" s="253"/>
      <c r="H1859" s="253"/>
      <c r="I1859" s="253"/>
      <c r="J1859" s="253"/>
      <c r="K1859" s="253"/>
      <c r="L1859" s="253"/>
      <c r="M1859" s="253"/>
      <c r="N1859" s="253"/>
      <c r="O1859" s="258"/>
      <c r="P1859" s="258"/>
      <c r="Q1859" s="258"/>
      <c r="R1859" s="258"/>
      <c r="S1859" s="258"/>
      <c r="T1859" s="258"/>
      <c r="U1859" s="258"/>
      <c r="V1859" s="258"/>
      <c r="W1859" s="258"/>
      <c r="X1859" s="258"/>
      <c r="Y1859" s="258"/>
      <c r="Z1859" s="258"/>
      <c r="AA1859" s="258"/>
      <c r="AB1859" s="258"/>
      <c r="AC1859" s="407"/>
    </row>
    <row r="1860" spans="2:29" s="406" customFormat="1" ht="16.5" customHeight="1">
      <c r="B1860" s="256"/>
      <c r="C1860" s="256"/>
      <c r="D1860" s="414"/>
      <c r="E1860" s="414"/>
      <c r="F1860" s="414"/>
      <c r="G1860" s="253"/>
      <c r="H1860" s="253"/>
      <c r="I1860" s="253"/>
      <c r="J1860" s="253"/>
      <c r="K1860" s="253"/>
      <c r="L1860" s="253"/>
      <c r="M1860" s="253"/>
      <c r="N1860" s="253"/>
      <c r="O1860" s="258"/>
      <c r="P1860" s="258"/>
      <c r="Q1860" s="258"/>
      <c r="R1860" s="258"/>
      <c r="S1860" s="258"/>
      <c r="T1860" s="258"/>
      <c r="U1860" s="258"/>
      <c r="V1860" s="258"/>
      <c r="W1860" s="258"/>
      <c r="X1860" s="258"/>
      <c r="Y1860" s="258"/>
      <c r="Z1860" s="258"/>
      <c r="AA1860" s="258"/>
      <c r="AB1860" s="258"/>
      <c r="AC1860" s="407"/>
    </row>
    <row r="1861" spans="2:29" s="406" customFormat="1" ht="16.5" customHeight="1">
      <c r="B1861" s="256"/>
      <c r="C1861" s="256"/>
      <c r="D1861" s="414"/>
      <c r="E1861" s="414"/>
      <c r="F1861" s="414"/>
      <c r="G1861" s="253"/>
      <c r="H1861" s="253"/>
      <c r="I1861" s="253"/>
      <c r="J1861" s="253"/>
      <c r="K1861" s="253"/>
      <c r="L1861" s="253"/>
      <c r="M1861" s="253"/>
      <c r="N1861" s="253"/>
      <c r="O1861" s="258"/>
      <c r="P1861" s="258"/>
      <c r="Q1861" s="258"/>
      <c r="R1861" s="258"/>
      <c r="S1861" s="258"/>
      <c r="T1861" s="258"/>
      <c r="U1861" s="258"/>
      <c r="V1861" s="258"/>
      <c r="W1861" s="258"/>
      <c r="X1861" s="258"/>
      <c r="Y1861" s="258"/>
      <c r="Z1861" s="258"/>
      <c r="AA1861" s="258"/>
      <c r="AB1861" s="258"/>
      <c r="AC1861" s="407"/>
    </row>
    <row r="1862" spans="2:29" s="406" customFormat="1" ht="16.5" customHeight="1">
      <c r="B1862" s="256"/>
      <c r="C1862" s="256"/>
      <c r="D1862" s="414"/>
      <c r="E1862" s="414"/>
      <c r="F1862" s="414"/>
      <c r="G1862" s="253"/>
      <c r="H1862" s="253"/>
      <c r="I1862" s="253"/>
      <c r="J1862" s="253"/>
      <c r="K1862" s="253"/>
      <c r="L1862" s="253"/>
      <c r="M1862" s="253"/>
      <c r="N1862" s="253"/>
      <c r="O1862" s="258"/>
      <c r="P1862" s="258"/>
      <c r="Q1862" s="258"/>
      <c r="R1862" s="258"/>
      <c r="S1862" s="258"/>
      <c r="T1862" s="258"/>
      <c r="U1862" s="258"/>
      <c r="V1862" s="258"/>
      <c r="W1862" s="258"/>
      <c r="X1862" s="258"/>
      <c r="Y1862" s="258"/>
      <c r="Z1862" s="258"/>
      <c r="AA1862" s="258"/>
      <c r="AB1862" s="258"/>
      <c r="AC1862" s="407"/>
    </row>
    <row r="1863" spans="2:29" s="406" customFormat="1" ht="16.5" customHeight="1">
      <c r="B1863" s="256"/>
      <c r="C1863" s="256"/>
      <c r="D1863" s="414"/>
      <c r="E1863" s="414"/>
      <c r="F1863" s="414"/>
      <c r="G1863" s="253"/>
      <c r="H1863" s="253"/>
      <c r="I1863" s="253"/>
      <c r="J1863" s="253"/>
      <c r="K1863" s="253"/>
      <c r="L1863" s="253"/>
      <c r="M1863" s="253"/>
      <c r="N1863" s="253"/>
      <c r="O1863" s="258"/>
      <c r="P1863" s="258"/>
      <c r="Q1863" s="258"/>
      <c r="R1863" s="258"/>
      <c r="S1863" s="258"/>
      <c r="T1863" s="258"/>
      <c r="U1863" s="258"/>
      <c r="V1863" s="258"/>
      <c r="W1863" s="258"/>
      <c r="X1863" s="258"/>
      <c r="Y1863" s="258"/>
      <c r="Z1863" s="258"/>
      <c r="AA1863" s="258"/>
      <c r="AB1863" s="258"/>
      <c r="AC1863" s="407"/>
    </row>
    <row r="1864" spans="2:29" s="406" customFormat="1" ht="16.5" customHeight="1">
      <c r="B1864" s="256"/>
      <c r="C1864" s="256"/>
      <c r="D1864" s="414"/>
      <c r="E1864" s="414"/>
      <c r="F1864" s="414"/>
      <c r="G1864" s="253"/>
      <c r="H1864" s="253"/>
      <c r="I1864" s="253"/>
      <c r="J1864" s="253"/>
      <c r="K1864" s="253"/>
      <c r="L1864" s="253"/>
      <c r="M1864" s="253"/>
      <c r="N1864" s="253"/>
      <c r="O1864" s="258"/>
      <c r="P1864" s="258"/>
      <c r="Q1864" s="258"/>
      <c r="R1864" s="258"/>
      <c r="S1864" s="258"/>
      <c r="T1864" s="258"/>
      <c r="U1864" s="258"/>
      <c r="V1864" s="258"/>
      <c r="W1864" s="258"/>
      <c r="X1864" s="258"/>
      <c r="Y1864" s="258"/>
      <c r="Z1864" s="258"/>
      <c r="AA1864" s="258"/>
      <c r="AB1864" s="258"/>
      <c r="AC1864" s="407"/>
    </row>
    <row r="1865" spans="2:29" s="406" customFormat="1" ht="16.5" customHeight="1">
      <c r="B1865" s="256"/>
      <c r="C1865" s="256"/>
      <c r="D1865" s="414"/>
      <c r="E1865" s="414"/>
      <c r="F1865" s="414"/>
      <c r="G1865" s="253"/>
      <c r="H1865" s="253"/>
      <c r="I1865" s="253"/>
      <c r="J1865" s="253"/>
      <c r="K1865" s="253"/>
      <c r="L1865" s="253"/>
      <c r="M1865" s="253"/>
      <c r="N1865" s="253"/>
      <c r="O1865" s="258"/>
      <c r="P1865" s="258"/>
      <c r="Q1865" s="258"/>
      <c r="R1865" s="258"/>
      <c r="S1865" s="258"/>
      <c r="T1865" s="258"/>
      <c r="U1865" s="258"/>
      <c r="V1865" s="258"/>
      <c r="W1865" s="258"/>
      <c r="X1865" s="258"/>
      <c r="Y1865" s="258"/>
      <c r="Z1865" s="258"/>
      <c r="AA1865" s="258"/>
      <c r="AB1865" s="258"/>
      <c r="AC1865" s="407"/>
    </row>
    <row r="1866" spans="2:29" s="406" customFormat="1" ht="16.5" customHeight="1">
      <c r="B1866" s="256"/>
      <c r="C1866" s="256"/>
      <c r="D1866" s="414"/>
      <c r="E1866" s="414"/>
      <c r="F1866" s="414"/>
      <c r="G1866" s="253"/>
      <c r="H1866" s="253"/>
      <c r="I1866" s="253"/>
      <c r="J1866" s="253"/>
      <c r="K1866" s="253"/>
      <c r="L1866" s="253"/>
      <c r="M1866" s="253"/>
      <c r="N1866" s="253"/>
      <c r="O1866" s="258"/>
      <c r="P1866" s="258"/>
      <c r="Q1866" s="258"/>
      <c r="R1866" s="258"/>
      <c r="S1866" s="258"/>
      <c r="T1866" s="258"/>
      <c r="U1866" s="258"/>
      <c r="V1866" s="258"/>
      <c r="W1866" s="258"/>
      <c r="X1866" s="258"/>
      <c r="Y1866" s="258"/>
      <c r="Z1866" s="258"/>
      <c r="AA1866" s="258"/>
      <c r="AB1866" s="258"/>
      <c r="AC1866" s="407"/>
    </row>
    <row r="1867" spans="2:29" s="406" customFormat="1" ht="16.5" customHeight="1">
      <c r="B1867" s="256"/>
      <c r="C1867" s="256"/>
      <c r="D1867" s="414"/>
      <c r="E1867" s="414"/>
      <c r="F1867" s="414"/>
      <c r="G1867" s="253"/>
      <c r="H1867" s="253"/>
      <c r="I1867" s="253"/>
      <c r="J1867" s="253"/>
      <c r="K1867" s="253"/>
      <c r="L1867" s="253"/>
      <c r="M1867" s="253"/>
      <c r="N1867" s="253"/>
      <c r="O1867" s="258"/>
      <c r="P1867" s="258"/>
      <c r="Q1867" s="258"/>
      <c r="R1867" s="258"/>
      <c r="S1867" s="258"/>
      <c r="T1867" s="258"/>
      <c r="U1867" s="258"/>
      <c r="V1867" s="258"/>
      <c r="W1867" s="258"/>
      <c r="X1867" s="258"/>
      <c r="Y1867" s="258"/>
      <c r="Z1867" s="258"/>
      <c r="AA1867" s="258"/>
      <c r="AB1867" s="258"/>
      <c r="AC1867" s="407"/>
    </row>
    <row r="1868" spans="2:29" s="406" customFormat="1" ht="16.5" customHeight="1">
      <c r="B1868" s="256"/>
      <c r="C1868" s="256"/>
      <c r="D1868" s="414"/>
      <c r="E1868" s="414"/>
      <c r="F1868" s="414"/>
      <c r="G1868" s="253"/>
      <c r="H1868" s="253"/>
      <c r="I1868" s="253"/>
      <c r="J1868" s="253"/>
      <c r="K1868" s="253"/>
      <c r="L1868" s="253"/>
      <c r="M1868" s="253"/>
      <c r="N1868" s="253"/>
      <c r="O1868" s="258"/>
      <c r="P1868" s="258"/>
      <c r="Q1868" s="258"/>
      <c r="R1868" s="258"/>
      <c r="S1868" s="258"/>
      <c r="T1868" s="258"/>
      <c r="U1868" s="258"/>
      <c r="V1868" s="258"/>
      <c r="W1868" s="258"/>
      <c r="X1868" s="258"/>
      <c r="Y1868" s="258"/>
      <c r="Z1868" s="258"/>
      <c r="AA1868" s="258"/>
      <c r="AB1868" s="258"/>
      <c r="AC1868" s="407"/>
    </row>
    <row r="1869" spans="2:29" s="406" customFormat="1" ht="16.5" customHeight="1">
      <c r="B1869" s="256"/>
      <c r="C1869" s="256"/>
      <c r="D1869" s="414"/>
      <c r="E1869" s="414"/>
      <c r="F1869" s="414"/>
      <c r="G1869" s="253"/>
      <c r="H1869" s="253"/>
      <c r="I1869" s="253"/>
      <c r="J1869" s="253"/>
      <c r="K1869" s="253"/>
      <c r="L1869" s="253"/>
      <c r="M1869" s="253"/>
      <c r="N1869" s="253"/>
      <c r="O1869" s="258"/>
      <c r="P1869" s="258"/>
      <c r="Q1869" s="258"/>
      <c r="R1869" s="258"/>
      <c r="S1869" s="258"/>
      <c r="T1869" s="258"/>
      <c r="U1869" s="258"/>
      <c r="V1869" s="258"/>
      <c r="W1869" s="258"/>
      <c r="X1869" s="258"/>
      <c r="Y1869" s="258"/>
      <c r="Z1869" s="258"/>
      <c r="AA1869" s="258"/>
      <c r="AB1869" s="258"/>
      <c r="AC1869" s="407"/>
    </row>
    <row r="1870" spans="2:29" s="406" customFormat="1" ht="16.5" customHeight="1">
      <c r="B1870" s="256"/>
      <c r="C1870" s="256"/>
      <c r="D1870" s="414"/>
      <c r="E1870" s="414"/>
      <c r="F1870" s="414"/>
      <c r="G1870" s="253"/>
      <c r="H1870" s="253"/>
      <c r="I1870" s="253"/>
      <c r="J1870" s="253"/>
      <c r="K1870" s="253"/>
      <c r="L1870" s="253"/>
      <c r="M1870" s="253"/>
      <c r="N1870" s="253"/>
      <c r="O1870" s="258"/>
      <c r="P1870" s="258"/>
      <c r="Q1870" s="258"/>
      <c r="R1870" s="258"/>
      <c r="S1870" s="258"/>
      <c r="T1870" s="258"/>
      <c r="U1870" s="258"/>
      <c r="V1870" s="258"/>
      <c r="W1870" s="258"/>
      <c r="X1870" s="258"/>
      <c r="Y1870" s="258"/>
      <c r="Z1870" s="258"/>
      <c r="AA1870" s="258"/>
      <c r="AB1870" s="258"/>
      <c r="AC1870" s="407"/>
    </row>
    <row r="1871" spans="2:29" s="406" customFormat="1" ht="16.5" customHeight="1">
      <c r="B1871" s="256"/>
      <c r="C1871" s="256"/>
      <c r="D1871" s="414"/>
      <c r="E1871" s="414"/>
      <c r="F1871" s="414"/>
      <c r="G1871" s="253"/>
      <c r="H1871" s="253"/>
      <c r="I1871" s="253"/>
      <c r="J1871" s="253"/>
      <c r="K1871" s="253"/>
      <c r="L1871" s="253"/>
      <c r="M1871" s="253"/>
      <c r="N1871" s="253"/>
      <c r="O1871" s="258"/>
      <c r="P1871" s="258"/>
      <c r="Q1871" s="258"/>
      <c r="R1871" s="258"/>
      <c r="S1871" s="258"/>
      <c r="T1871" s="258"/>
      <c r="U1871" s="258"/>
      <c r="V1871" s="258"/>
      <c r="W1871" s="258"/>
      <c r="X1871" s="258"/>
      <c r="Y1871" s="258"/>
      <c r="Z1871" s="258"/>
      <c r="AA1871" s="258"/>
      <c r="AB1871" s="258"/>
      <c r="AC1871" s="407"/>
    </row>
    <row r="1872" spans="2:29" s="406" customFormat="1" ht="16.5" customHeight="1">
      <c r="B1872" s="256"/>
      <c r="C1872" s="256"/>
      <c r="D1872" s="414"/>
      <c r="E1872" s="414"/>
      <c r="F1872" s="414"/>
      <c r="G1872" s="253"/>
      <c r="H1872" s="253"/>
      <c r="I1872" s="253"/>
      <c r="J1872" s="253"/>
      <c r="K1872" s="253"/>
      <c r="L1872" s="253"/>
      <c r="M1872" s="253"/>
      <c r="N1872" s="253"/>
      <c r="O1872" s="258"/>
      <c r="P1872" s="258"/>
      <c r="Q1872" s="258"/>
      <c r="R1872" s="258"/>
      <c r="S1872" s="258"/>
      <c r="T1872" s="258"/>
      <c r="U1872" s="258"/>
      <c r="V1872" s="258"/>
      <c r="W1872" s="258"/>
      <c r="X1872" s="258"/>
      <c r="Y1872" s="258"/>
      <c r="Z1872" s="258"/>
      <c r="AA1872" s="258"/>
      <c r="AB1872" s="258"/>
      <c r="AC1872" s="407"/>
    </row>
    <row r="1873" spans="2:29" s="406" customFormat="1" ht="16.5" customHeight="1">
      <c r="B1873" s="256"/>
      <c r="C1873" s="256"/>
      <c r="D1873" s="414"/>
      <c r="E1873" s="414"/>
      <c r="F1873" s="414"/>
      <c r="G1873" s="253"/>
      <c r="H1873" s="253"/>
      <c r="I1873" s="253"/>
      <c r="J1873" s="253"/>
      <c r="K1873" s="253"/>
      <c r="L1873" s="253"/>
      <c r="M1873" s="253"/>
      <c r="N1873" s="253"/>
      <c r="O1873" s="258"/>
      <c r="P1873" s="258"/>
      <c r="Q1873" s="258"/>
      <c r="R1873" s="258"/>
      <c r="S1873" s="258"/>
      <c r="T1873" s="258"/>
      <c r="U1873" s="258"/>
      <c r="V1873" s="258"/>
      <c r="W1873" s="258"/>
      <c r="X1873" s="258"/>
      <c r="Y1873" s="258"/>
      <c r="Z1873" s="258"/>
      <c r="AA1873" s="258"/>
      <c r="AB1873" s="258"/>
      <c r="AC1873" s="407"/>
    </row>
    <row r="1874" spans="2:29" s="406" customFormat="1" ht="16.5" customHeight="1">
      <c r="B1874" s="256"/>
      <c r="C1874" s="256"/>
      <c r="D1874" s="414"/>
      <c r="E1874" s="414"/>
      <c r="F1874" s="414"/>
      <c r="G1874" s="253"/>
      <c r="H1874" s="253"/>
      <c r="I1874" s="253"/>
      <c r="J1874" s="253"/>
      <c r="K1874" s="253"/>
      <c r="L1874" s="253"/>
      <c r="M1874" s="253"/>
      <c r="N1874" s="253"/>
      <c r="O1874" s="258"/>
      <c r="P1874" s="258"/>
      <c r="Q1874" s="258"/>
      <c r="R1874" s="258"/>
      <c r="S1874" s="258"/>
      <c r="T1874" s="258"/>
      <c r="U1874" s="258"/>
      <c r="V1874" s="258"/>
      <c r="W1874" s="258"/>
      <c r="X1874" s="258"/>
      <c r="Y1874" s="258"/>
      <c r="Z1874" s="258"/>
      <c r="AA1874" s="258"/>
      <c r="AB1874" s="258"/>
      <c r="AC1874" s="407"/>
    </row>
    <row r="1875" spans="2:29" s="406" customFormat="1" ht="16.5" customHeight="1">
      <c r="B1875" s="256"/>
      <c r="C1875" s="256"/>
      <c r="D1875" s="414"/>
      <c r="E1875" s="414"/>
      <c r="F1875" s="414"/>
      <c r="G1875" s="253"/>
      <c r="H1875" s="253"/>
      <c r="I1875" s="253"/>
      <c r="J1875" s="253"/>
      <c r="K1875" s="253"/>
      <c r="L1875" s="253"/>
      <c r="M1875" s="253"/>
      <c r="N1875" s="253"/>
      <c r="O1875" s="258"/>
      <c r="P1875" s="258"/>
      <c r="Q1875" s="258"/>
      <c r="R1875" s="258"/>
      <c r="S1875" s="258"/>
      <c r="T1875" s="258"/>
      <c r="U1875" s="258"/>
      <c r="V1875" s="258"/>
      <c r="W1875" s="258"/>
      <c r="X1875" s="258"/>
      <c r="Y1875" s="258"/>
      <c r="Z1875" s="258"/>
      <c r="AA1875" s="258"/>
      <c r="AB1875" s="258"/>
      <c r="AC1875" s="407"/>
    </row>
    <row r="1876" spans="2:29" s="406" customFormat="1" ht="16.5" customHeight="1">
      <c r="B1876" s="256"/>
      <c r="C1876" s="256"/>
      <c r="D1876" s="414"/>
      <c r="E1876" s="414"/>
      <c r="F1876" s="414"/>
      <c r="G1876" s="253"/>
      <c r="H1876" s="253"/>
      <c r="I1876" s="253"/>
      <c r="J1876" s="253"/>
      <c r="K1876" s="253"/>
      <c r="L1876" s="253"/>
      <c r="M1876" s="253"/>
      <c r="N1876" s="253"/>
      <c r="O1876" s="258"/>
      <c r="P1876" s="258"/>
      <c r="Q1876" s="258"/>
      <c r="R1876" s="258"/>
      <c r="S1876" s="258"/>
      <c r="T1876" s="258"/>
      <c r="U1876" s="258"/>
      <c r="V1876" s="258"/>
      <c r="W1876" s="258"/>
      <c r="X1876" s="258"/>
      <c r="Y1876" s="258"/>
      <c r="Z1876" s="258"/>
      <c r="AA1876" s="258"/>
      <c r="AB1876" s="258"/>
      <c r="AC1876" s="407"/>
    </row>
    <row r="1877" spans="2:29" s="406" customFormat="1" ht="16.5" customHeight="1">
      <c r="B1877" s="256"/>
      <c r="C1877" s="256"/>
      <c r="D1877" s="414"/>
      <c r="E1877" s="414"/>
      <c r="F1877" s="414"/>
      <c r="G1877" s="253"/>
      <c r="H1877" s="253"/>
      <c r="I1877" s="253"/>
      <c r="J1877" s="253"/>
      <c r="K1877" s="253"/>
      <c r="L1877" s="253"/>
      <c r="M1877" s="253"/>
      <c r="N1877" s="253"/>
      <c r="O1877" s="258"/>
      <c r="P1877" s="258"/>
      <c r="Q1877" s="258"/>
      <c r="R1877" s="258"/>
      <c r="S1877" s="258"/>
      <c r="T1877" s="258"/>
      <c r="U1877" s="258"/>
      <c r="V1877" s="258"/>
      <c r="W1877" s="258"/>
      <c r="X1877" s="258"/>
      <c r="Y1877" s="258"/>
      <c r="Z1877" s="258"/>
      <c r="AA1877" s="258"/>
      <c r="AB1877" s="258"/>
      <c r="AC1877" s="407"/>
    </row>
    <row r="1878" spans="2:29" s="406" customFormat="1" ht="16.5" customHeight="1">
      <c r="B1878" s="256"/>
      <c r="C1878" s="256"/>
      <c r="D1878" s="414"/>
      <c r="E1878" s="414"/>
      <c r="F1878" s="414"/>
      <c r="G1878" s="253"/>
      <c r="H1878" s="253"/>
      <c r="I1878" s="253"/>
      <c r="J1878" s="253"/>
      <c r="K1878" s="253"/>
      <c r="L1878" s="253"/>
      <c r="M1878" s="253"/>
      <c r="N1878" s="253"/>
      <c r="O1878" s="258"/>
      <c r="P1878" s="258"/>
      <c r="Q1878" s="258"/>
      <c r="R1878" s="258"/>
      <c r="S1878" s="258"/>
      <c r="T1878" s="258"/>
      <c r="U1878" s="258"/>
      <c r="V1878" s="258"/>
      <c r="W1878" s="258"/>
      <c r="X1878" s="258"/>
      <c r="Y1878" s="258"/>
      <c r="Z1878" s="258"/>
      <c r="AA1878" s="258"/>
      <c r="AB1878" s="258"/>
      <c r="AC1878" s="407"/>
    </row>
    <row r="1879" spans="2:29" s="406" customFormat="1" ht="16.5" customHeight="1">
      <c r="B1879" s="256"/>
      <c r="C1879" s="256"/>
      <c r="D1879" s="414"/>
      <c r="E1879" s="414"/>
      <c r="F1879" s="414"/>
      <c r="G1879" s="253"/>
      <c r="H1879" s="253"/>
      <c r="I1879" s="253"/>
      <c r="J1879" s="253"/>
      <c r="K1879" s="253"/>
      <c r="L1879" s="253"/>
      <c r="M1879" s="253"/>
      <c r="N1879" s="253"/>
      <c r="O1879" s="258"/>
      <c r="P1879" s="258"/>
      <c r="Q1879" s="258"/>
      <c r="R1879" s="258"/>
      <c r="S1879" s="258"/>
      <c r="T1879" s="258"/>
      <c r="U1879" s="258"/>
      <c r="V1879" s="258"/>
      <c r="W1879" s="258"/>
      <c r="X1879" s="258"/>
      <c r="Y1879" s="258"/>
      <c r="Z1879" s="258"/>
      <c r="AA1879" s="258"/>
      <c r="AB1879" s="258"/>
      <c r="AC1879" s="407"/>
    </row>
    <row r="1880" spans="2:29" s="406" customFormat="1" ht="16.5" customHeight="1">
      <c r="B1880" s="256"/>
      <c r="C1880" s="256"/>
      <c r="D1880" s="414"/>
      <c r="E1880" s="414"/>
      <c r="F1880" s="414"/>
      <c r="G1880" s="253"/>
      <c r="H1880" s="253"/>
      <c r="I1880" s="253"/>
      <c r="J1880" s="253"/>
      <c r="K1880" s="253"/>
      <c r="L1880" s="253"/>
      <c r="M1880" s="253"/>
      <c r="N1880" s="253"/>
      <c r="O1880" s="258"/>
      <c r="P1880" s="258"/>
      <c r="Q1880" s="258"/>
      <c r="R1880" s="258"/>
      <c r="S1880" s="258"/>
      <c r="T1880" s="258"/>
      <c r="U1880" s="258"/>
      <c r="V1880" s="258"/>
      <c r="W1880" s="258"/>
      <c r="X1880" s="258"/>
      <c r="Y1880" s="258"/>
      <c r="Z1880" s="258"/>
      <c r="AA1880" s="258"/>
      <c r="AB1880" s="258"/>
      <c r="AC1880" s="407"/>
    </row>
    <row r="1881" spans="2:29" s="406" customFormat="1" ht="16.5" customHeight="1">
      <c r="B1881" s="256"/>
      <c r="C1881" s="256"/>
      <c r="D1881" s="414"/>
      <c r="E1881" s="414"/>
      <c r="F1881" s="414"/>
      <c r="G1881" s="253"/>
      <c r="H1881" s="253"/>
      <c r="I1881" s="253"/>
      <c r="J1881" s="253"/>
      <c r="K1881" s="253"/>
      <c r="L1881" s="253"/>
      <c r="M1881" s="253"/>
      <c r="N1881" s="253"/>
      <c r="O1881" s="258"/>
      <c r="P1881" s="258"/>
      <c r="Q1881" s="258"/>
      <c r="R1881" s="258"/>
      <c r="S1881" s="258"/>
      <c r="T1881" s="258"/>
      <c r="U1881" s="258"/>
      <c r="V1881" s="258"/>
      <c r="W1881" s="258"/>
      <c r="X1881" s="258"/>
      <c r="Y1881" s="258"/>
      <c r="Z1881" s="258"/>
      <c r="AA1881" s="258"/>
      <c r="AB1881" s="258"/>
      <c r="AC1881" s="407"/>
    </row>
    <row r="1882" spans="2:29" s="406" customFormat="1" ht="16.5" customHeight="1">
      <c r="B1882" s="256"/>
      <c r="C1882" s="256"/>
      <c r="D1882" s="414"/>
      <c r="E1882" s="414"/>
      <c r="F1882" s="414"/>
      <c r="G1882" s="253"/>
      <c r="H1882" s="253"/>
      <c r="I1882" s="253"/>
      <c r="J1882" s="253"/>
      <c r="K1882" s="253"/>
      <c r="L1882" s="253"/>
      <c r="M1882" s="253"/>
      <c r="N1882" s="253"/>
      <c r="O1882" s="258"/>
      <c r="P1882" s="258"/>
      <c r="Q1882" s="258"/>
      <c r="R1882" s="258"/>
      <c r="S1882" s="258"/>
      <c r="T1882" s="258"/>
      <c r="U1882" s="258"/>
      <c r="V1882" s="258"/>
      <c r="W1882" s="258"/>
      <c r="X1882" s="258"/>
      <c r="Y1882" s="258"/>
      <c r="Z1882" s="258"/>
      <c r="AA1882" s="258"/>
      <c r="AB1882" s="258"/>
      <c r="AC1882" s="407"/>
    </row>
    <row r="1883" spans="2:29" s="406" customFormat="1" ht="16.5" customHeight="1">
      <c r="B1883" s="256"/>
      <c r="C1883" s="256"/>
      <c r="D1883" s="414"/>
      <c r="E1883" s="414"/>
      <c r="F1883" s="414"/>
      <c r="G1883" s="253"/>
      <c r="H1883" s="253"/>
      <c r="I1883" s="253"/>
      <c r="J1883" s="253"/>
      <c r="K1883" s="253"/>
      <c r="L1883" s="253"/>
      <c r="M1883" s="253"/>
      <c r="N1883" s="253"/>
      <c r="O1883" s="258"/>
      <c r="P1883" s="258"/>
      <c r="Q1883" s="258"/>
      <c r="R1883" s="258"/>
      <c r="S1883" s="258"/>
      <c r="T1883" s="258"/>
      <c r="U1883" s="258"/>
      <c r="V1883" s="258"/>
      <c r="W1883" s="258"/>
      <c r="X1883" s="258"/>
      <c r="Y1883" s="258"/>
      <c r="Z1883" s="258"/>
      <c r="AA1883" s="258"/>
      <c r="AB1883" s="258"/>
      <c r="AC1883" s="407"/>
    </row>
    <row r="1884" spans="2:29" s="406" customFormat="1" ht="16.5" customHeight="1">
      <c r="B1884" s="256"/>
      <c r="C1884" s="256"/>
      <c r="D1884" s="414"/>
      <c r="E1884" s="414"/>
      <c r="F1884" s="414"/>
      <c r="G1884" s="253"/>
      <c r="H1884" s="253"/>
      <c r="I1884" s="253"/>
      <c r="J1884" s="253"/>
      <c r="K1884" s="253"/>
      <c r="L1884" s="253"/>
      <c r="M1884" s="253"/>
      <c r="N1884" s="253"/>
      <c r="O1884" s="258"/>
      <c r="P1884" s="258"/>
      <c r="Q1884" s="258"/>
      <c r="R1884" s="258"/>
      <c r="S1884" s="258"/>
      <c r="T1884" s="258"/>
      <c r="U1884" s="258"/>
      <c r="V1884" s="258"/>
      <c r="W1884" s="258"/>
      <c r="X1884" s="258"/>
      <c r="Y1884" s="258"/>
      <c r="Z1884" s="258"/>
      <c r="AA1884" s="258"/>
      <c r="AB1884" s="258"/>
      <c r="AC1884" s="407"/>
    </row>
    <row r="1885" spans="2:29" s="406" customFormat="1" ht="16.5" customHeight="1">
      <c r="B1885" s="256"/>
      <c r="C1885" s="256"/>
      <c r="D1885" s="414"/>
      <c r="E1885" s="414"/>
      <c r="F1885" s="414"/>
      <c r="G1885" s="253"/>
      <c r="H1885" s="253"/>
      <c r="I1885" s="253"/>
      <c r="J1885" s="253"/>
      <c r="K1885" s="253"/>
      <c r="L1885" s="253"/>
      <c r="M1885" s="253"/>
      <c r="N1885" s="253"/>
      <c r="O1885" s="258"/>
      <c r="P1885" s="258"/>
      <c r="Q1885" s="258"/>
      <c r="R1885" s="258"/>
      <c r="S1885" s="258"/>
      <c r="T1885" s="258"/>
      <c r="U1885" s="258"/>
      <c r="V1885" s="258"/>
      <c r="W1885" s="258"/>
      <c r="X1885" s="258"/>
      <c r="Y1885" s="258"/>
      <c r="Z1885" s="258"/>
      <c r="AA1885" s="258"/>
      <c r="AB1885" s="258"/>
      <c r="AC1885" s="407"/>
    </row>
    <row r="1886" spans="2:29" s="406" customFormat="1" ht="16.5" customHeight="1">
      <c r="B1886" s="256"/>
      <c r="C1886" s="256"/>
      <c r="D1886" s="414"/>
      <c r="E1886" s="414"/>
      <c r="F1886" s="414"/>
      <c r="G1886" s="253"/>
      <c r="H1886" s="253"/>
      <c r="I1886" s="253"/>
      <c r="J1886" s="253"/>
      <c r="K1886" s="253"/>
      <c r="L1886" s="253"/>
      <c r="M1886" s="253"/>
      <c r="N1886" s="253"/>
      <c r="O1886" s="258"/>
      <c r="P1886" s="258"/>
      <c r="Q1886" s="258"/>
      <c r="R1886" s="258"/>
      <c r="S1886" s="258"/>
      <c r="T1886" s="258"/>
      <c r="U1886" s="258"/>
      <c r="V1886" s="258"/>
      <c r="W1886" s="258"/>
      <c r="X1886" s="258"/>
      <c r="Y1886" s="258"/>
      <c r="Z1886" s="258"/>
      <c r="AA1886" s="258"/>
      <c r="AB1886" s="258"/>
      <c r="AC1886" s="407"/>
    </row>
    <row r="1887" spans="2:29" s="406" customFormat="1" ht="16.5" customHeight="1">
      <c r="B1887" s="256"/>
      <c r="C1887" s="256"/>
      <c r="D1887" s="414"/>
      <c r="E1887" s="414"/>
      <c r="F1887" s="414"/>
      <c r="G1887" s="253"/>
      <c r="H1887" s="253"/>
      <c r="I1887" s="253"/>
      <c r="J1887" s="253"/>
      <c r="K1887" s="253"/>
      <c r="L1887" s="253"/>
      <c r="M1887" s="253"/>
      <c r="N1887" s="253"/>
      <c r="O1887" s="258"/>
      <c r="P1887" s="258"/>
      <c r="Q1887" s="258"/>
      <c r="R1887" s="258"/>
      <c r="S1887" s="258"/>
      <c r="T1887" s="258"/>
      <c r="U1887" s="258"/>
      <c r="V1887" s="258"/>
      <c r="W1887" s="258"/>
      <c r="X1887" s="258"/>
      <c r="Y1887" s="258"/>
      <c r="Z1887" s="258"/>
      <c r="AA1887" s="258"/>
      <c r="AB1887" s="258"/>
      <c r="AC1887" s="407"/>
    </row>
    <row r="1888" spans="2:29" s="406" customFormat="1" ht="16.5" customHeight="1">
      <c r="B1888" s="256"/>
      <c r="C1888" s="256"/>
      <c r="D1888" s="414"/>
      <c r="E1888" s="414"/>
      <c r="F1888" s="414"/>
      <c r="G1888" s="253"/>
      <c r="H1888" s="253"/>
      <c r="I1888" s="253"/>
      <c r="J1888" s="253"/>
      <c r="K1888" s="253"/>
      <c r="L1888" s="253"/>
      <c r="M1888" s="253"/>
      <c r="N1888" s="253"/>
      <c r="O1888" s="258"/>
      <c r="P1888" s="258"/>
      <c r="Q1888" s="258"/>
      <c r="R1888" s="258"/>
      <c r="S1888" s="258"/>
      <c r="T1888" s="258"/>
      <c r="U1888" s="258"/>
      <c r="V1888" s="258"/>
      <c r="W1888" s="258"/>
      <c r="X1888" s="258"/>
      <c r="Y1888" s="258"/>
      <c r="Z1888" s="258"/>
      <c r="AA1888" s="258"/>
      <c r="AB1888" s="258"/>
      <c r="AC1888" s="407"/>
    </row>
    <row r="1889" spans="2:29" s="406" customFormat="1" ht="16.5" customHeight="1">
      <c r="B1889" s="256"/>
      <c r="C1889" s="256"/>
      <c r="D1889" s="414"/>
      <c r="E1889" s="414"/>
      <c r="F1889" s="414"/>
      <c r="G1889" s="253"/>
      <c r="H1889" s="253"/>
      <c r="I1889" s="253"/>
      <c r="J1889" s="253"/>
      <c r="K1889" s="253"/>
      <c r="L1889" s="253"/>
      <c r="M1889" s="253"/>
      <c r="N1889" s="253"/>
      <c r="O1889" s="258"/>
      <c r="P1889" s="258"/>
      <c r="Q1889" s="258"/>
      <c r="R1889" s="258"/>
      <c r="S1889" s="258"/>
      <c r="T1889" s="258"/>
      <c r="U1889" s="258"/>
      <c r="V1889" s="258"/>
      <c r="W1889" s="258"/>
      <c r="X1889" s="258"/>
      <c r="Y1889" s="258"/>
      <c r="Z1889" s="258"/>
      <c r="AA1889" s="258"/>
      <c r="AB1889" s="258"/>
      <c r="AC1889" s="407"/>
    </row>
    <row r="1890" spans="2:29" s="406" customFormat="1" ht="16.5" customHeight="1">
      <c r="B1890" s="256"/>
      <c r="C1890" s="256"/>
      <c r="D1890" s="414"/>
      <c r="E1890" s="414"/>
      <c r="F1890" s="414"/>
      <c r="G1890" s="253"/>
      <c r="H1890" s="253"/>
      <c r="I1890" s="253"/>
      <c r="J1890" s="253"/>
      <c r="K1890" s="253"/>
      <c r="L1890" s="253"/>
      <c r="M1890" s="253"/>
      <c r="N1890" s="253"/>
      <c r="O1890" s="258"/>
      <c r="P1890" s="258"/>
      <c r="Q1890" s="258"/>
      <c r="R1890" s="258"/>
      <c r="S1890" s="258"/>
      <c r="T1890" s="258"/>
      <c r="U1890" s="258"/>
      <c r="V1890" s="258"/>
      <c r="W1890" s="258"/>
      <c r="X1890" s="258"/>
      <c r="Y1890" s="258"/>
      <c r="Z1890" s="258"/>
      <c r="AA1890" s="258"/>
      <c r="AB1890" s="258"/>
      <c r="AC1890" s="407"/>
    </row>
    <row r="1891" spans="2:29" s="406" customFormat="1" ht="16.5" customHeight="1">
      <c r="B1891" s="256"/>
      <c r="C1891" s="256"/>
      <c r="D1891" s="414"/>
      <c r="E1891" s="414"/>
      <c r="F1891" s="414"/>
      <c r="G1891" s="253"/>
      <c r="H1891" s="253"/>
      <c r="I1891" s="253"/>
      <c r="J1891" s="253"/>
      <c r="K1891" s="253"/>
      <c r="L1891" s="253"/>
      <c r="M1891" s="253"/>
      <c r="N1891" s="253"/>
      <c r="O1891" s="258"/>
      <c r="P1891" s="258"/>
      <c r="Q1891" s="258"/>
      <c r="R1891" s="258"/>
      <c r="S1891" s="258"/>
      <c r="T1891" s="258"/>
      <c r="U1891" s="258"/>
      <c r="V1891" s="258"/>
      <c r="W1891" s="258"/>
      <c r="X1891" s="258"/>
      <c r="Y1891" s="258"/>
      <c r="Z1891" s="258"/>
      <c r="AA1891" s="258"/>
      <c r="AB1891" s="258"/>
      <c r="AC1891" s="407"/>
    </row>
    <row r="1892" spans="2:29" s="406" customFormat="1" ht="16.5" customHeight="1">
      <c r="B1892" s="256"/>
      <c r="C1892" s="256"/>
      <c r="D1892" s="414"/>
      <c r="E1892" s="414"/>
      <c r="F1892" s="414"/>
      <c r="G1892" s="253"/>
      <c r="H1892" s="253"/>
      <c r="I1892" s="253"/>
      <c r="J1892" s="253"/>
      <c r="K1892" s="253"/>
      <c r="L1892" s="253"/>
      <c r="M1892" s="253"/>
      <c r="N1892" s="253"/>
      <c r="O1892" s="258"/>
      <c r="P1892" s="258"/>
      <c r="Q1892" s="258"/>
      <c r="R1892" s="258"/>
      <c r="S1892" s="258"/>
      <c r="T1892" s="258"/>
      <c r="U1892" s="258"/>
      <c r="V1892" s="258"/>
      <c r="W1892" s="258"/>
      <c r="X1892" s="258"/>
      <c r="Y1892" s="258"/>
      <c r="Z1892" s="258"/>
      <c r="AA1892" s="258"/>
      <c r="AB1892" s="258"/>
      <c r="AC1892" s="407"/>
    </row>
    <row r="1893" spans="2:29" s="406" customFormat="1" ht="16.5" customHeight="1">
      <c r="B1893" s="256"/>
      <c r="C1893" s="256"/>
      <c r="D1893" s="414"/>
      <c r="E1893" s="414"/>
      <c r="F1893" s="414"/>
      <c r="G1893" s="253"/>
      <c r="H1893" s="253"/>
      <c r="I1893" s="253"/>
      <c r="J1893" s="253"/>
      <c r="K1893" s="253"/>
      <c r="L1893" s="253"/>
      <c r="M1893" s="253"/>
      <c r="N1893" s="253"/>
      <c r="O1893" s="258"/>
      <c r="P1893" s="258"/>
      <c r="Q1893" s="258"/>
      <c r="R1893" s="258"/>
      <c r="S1893" s="258"/>
      <c r="T1893" s="258"/>
      <c r="U1893" s="258"/>
      <c r="V1893" s="258"/>
      <c r="W1893" s="258"/>
      <c r="X1893" s="258"/>
      <c r="Y1893" s="258"/>
      <c r="Z1893" s="258"/>
      <c r="AA1893" s="258"/>
      <c r="AB1893" s="258"/>
      <c r="AC1893" s="407"/>
    </row>
    <row r="1894" spans="2:29" s="406" customFormat="1" ht="16.5" customHeight="1">
      <c r="B1894" s="256"/>
      <c r="C1894" s="256"/>
      <c r="D1894" s="414"/>
      <c r="E1894" s="414"/>
      <c r="F1894" s="414"/>
      <c r="G1894" s="253"/>
      <c r="H1894" s="253"/>
      <c r="I1894" s="253"/>
      <c r="J1894" s="253"/>
      <c r="K1894" s="253"/>
      <c r="L1894" s="253"/>
      <c r="M1894" s="253"/>
      <c r="N1894" s="253"/>
      <c r="O1894" s="258"/>
      <c r="P1894" s="258"/>
      <c r="Q1894" s="258"/>
      <c r="R1894" s="258"/>
      <c r="S1894" s="258"/>
      <c r="T1894" s="258"/>
      <c r="U1894" s="258"/>
      <c r="V1894" s="258"/>
      <c r="W1894" s="258"/>
      <c r="X1894" s="258"/>
      <c r="Y1894" s="258"/>
      <c r="Z1894" s="258"/>
      <c r="AA1894" s="258"/>
      <c r="AB1894" s="258"/>
      <c r="AC1894" s="407"/>
    </row>
    <row r="1895" spans="2:29" s="406" customFormat="1" ht="16.5" customHeight="1">
      <c r="B1895" s="256"/>
      <c r="C1895" s="256"/>
      <c r="D1895" s="414"/>
      <c r="E1895" s="414"/>
      <c r="F1895" s="414"/>
      <c r="G1895" s="253"/>
      <c r="H1895" s="253"/>
      <c r="I1895" s="253"/>
      <c r="J1895" s="253"/>
      <c r="K1895" s="253"/>
      <c r="L1895" s="253"/>
      <c r="M1895" s="253"/>
      <c r="N1895" s="253"/>
      <c r="O1895" s="258"/>
      <c r="P1895" s="258"/>
      <c r="Q1895" s="258"/>
      <c r="R1895" s="258"/>
      <c r="S1895" s="258"/>
      <c r="T1895" s="258"/>
      <c r="U1895" s="258"/>
      <c r="V1895" s="258"/>
      <c r="W1895" s="258"/>
      <c r="X1895" s="258"/>
      <c r="Y1895" s="258"/>
      <c r="Z1895" s="258"/>
      <c r="AA1895" s="258"/>
      <c r="AB1895" s="258"/>
      <c r="AC1895" s="407"/>
    </row>
    <row r="1896" spans="2:29" s="406" customFormat="1" ht="16.5" customHeight="1">
      <c r="B1896" s="256"/>
      <c r="C1896" s="256"/>
      <c r="D1896" s="414"/>
      <c r="E1896" s="414"/>
      <c r="F1896" s="414"/>
      <c r="G1896" s="253"/>
      <c r="H1896" s="253"/>
      <c r="I1896" s="253"/>
      <c r="J1896" s="253"/>
      <c r="K1896" s="253"/>
      <c r="L1896" s="253"/>
      <c r="M1896" s="253"/>
      <c r="N1896" s="253"/>
      <c r="O1896" s="258"/>
      <c r="P1896" s="258"/>
      <c r="Q1896" s="258"/>
      <c r="R1896" s="258"/>
      <c r="S1896" s="258"/>
      <c r="T1896" s="258"/>
      <c r="U1896" s="258"/>
      <c r="V1896" s="258"/>
      <c r="W1896" s="258"/>
      <c r="X1896" s="258"/>
      <c r="Y1896" s="258"/>
      <c r="Z1896" s="258"/>
      <c r="AA1896" s="258"/>
      <c r="AB1896" s="258"/>
      <c r="AC1896" s="407"/>
    </row>
    <row r="1897" spans="2:29" s="406" customFormat="1" ht="16.5" customHeight="1">
      <c r="B1897" s="256"/>
      <c r="C1897" s="256"/>
      <c r="D1897" s="414"/>
      <c r="E1897" s="414"/>
      <c r="F1897" s="414"/>
      <c r="G1897" s="253"/>
      <c r="H1897" s="253"/>
      <c r="I1897" s="253"/>
      <c r="J1897" s="253"/>
      <c r="K1897" s="253"/>
      <c r="L1897" s="253"/>
      <c r="M1897" s="253"/>
      <c r="N1897" s="253"/>
      <c r="O1897" s="258"/>
      <c r="P1897" s="258"/>
      <c r="Q1897" s="258"/>
      <c r="R1897" s="258"/>
      <c r="S1897" s="258"/>
      <c r="T1897" s="258"/>
      <c r="U1897" s="258"/>
      <c r="V1897" s="258"/>
      <c r="W1897" s="258"/>
      <c r="X1897" s="258"/>
      <c r="Y1897" s="258"/>
      <c r="Z1897" s="258"/>
      <c r="AA1897" s="258"/>
      <c r="AB1897" s="258"/>
      <c r="AC1897" s="407"/>
    </row>
    <row r="1898" spans="2:29" s="406" customFormat="1" ht="16.5" customHeight="1">
      <c r="B1898" s="256"/>
      <c r="C1898" s="256"/>
      <c r="D1898" s="414"/>
      <c r="E1898" s="414"/>
      <c r="F1898" s="414"/>
      <c r="G1898" s="253"/>
      <c r="H1898" s="253"/>
      <c r="I1898" s="253"/>
      <c r="J1898" s="253"/>
      <c r="K1898" s="253"/>
      <c r="L1898" s="253"/>
      <c r="M1898" s="253"/>
      <c r="N1898" s="253"/>
      <c r="O1898" s="258"/>
      <c r="P1898" s="258"/>
      <c r="Q1898" s="258"/>
      <c r="R1898" s="258"/>
      <c r="S1898" s="258"/>
      <c r="T1898" s="258"/>
      <c r="U1898" s="258"/>
      <c r="V1898" s="258"/>
      <c r="W1898" s="258"/>
      <c r="X1898" s="258"/>
      <c r="Y1898" s="258"/>
      <c r="Z1898" s="258"/>
      <c r="AA1898" s="258"/>
      <c r="AB1898" s="258"/>
      <c r="AC1898" s="407"/>
    </row>
    <row r="1899" spans="2:29" s="406" customFormat="1" ht="16.5" customHeight="1">
      <c r="B1899" s="256"/>
      <c r="C1899" s="256"/>
      <c r="D1899" s="414"/>
      <c r="E1899" s="414"/>
      <c r="F1899" s="414"/>
      <c r="G1899" s="253"/>
      <c r="H1899" s="253"/>
      <c r="I1899" s="253"/>
      <c r="J1899" s="253"/>
      <c r="K1899" s="253"/>
      <c r="L1899" s="253"/>
      <c r="M1899" s="253"/>
      <c r="N1899" s="253"/>
      <c r="O1899" s="258"/>
      <c r="P1899" s="258"/>
      <c r="Q1899" s="258"/>
      <c r="R1899" s="258"/>
      <c r="S1899" s="258"/>
      <c r="T1899" s="258"/>
      <c r="U1899" s="258"/>
      <c r="V1899" s="258"/>
      <c r="W1899" s="258"/>
      <c r="X1899" s="258"/>
      <c r="Y1899" s="258"/>
      <c r="Z1899" s="258"/>
      <c r="AA1899" s="258"/>
      <c r="AB1899" s="258"/>
      <c r="AC1899" s="407"/>
    </row>
    <row r="1900" spans="2:29" s="406" customFormat="1" ht="16.5" customHeight="1">
      <c r="B1900" s="256"/>
      <c r="C1900" s="256"/>
      <c r="D1900" s="414"/>
      <c r="E1900" s="414"/>
      <c r="F1900" s="414"/>
      <c r="G1900" s="253"/>
      <c r="H1900" s="253"/>
      <c r="I1900" s="253"/>
      <c r="J1900" s="253"/>
      <c r="K1900" s="253"/>
      <c r="L1900" s="253"/>
      <c r="M1900" s="253"/>
      <c r="N1900" s="253"/>
      <c r="O1900" s="258"/>
      <c r="P1900" s="258"/>
      <c r="Q1900" s="258"/>
      <c r="R1900" s="258"/>
      <c r="S1900" s="258"/>
      <c r="T1900" s="258"/>
      <c r="U1900" s="258"/>
      <c r="V1900" s="258"/>
      <c r="W1900" s="258"/>
      <c r="X1900" s="258"/>
      <c r="Y1900" s="258"/>
      <c r="Z1900" s="258"/>
      <c r="AA1900" s="258"/>
      <c r="AB1900" s="258"/>
      <c r="AC1900" s="407"/>
    </row>
    <row r="1901" spans="2:29" s="406" customFormat="1" ht="16.5" customHeight="1">
      <c r="B1901" s="256"/>
      <c r="C1901" s="256"/>
      <c r="D1901" s="414"/>
      <c r="E1901" s="414"/>
      <c r="F1901" s="414"/>
      <c r="G1901" s="253"/>
      <c r="H1901" s="253"/>
      <c r="I1901" s="253"/>
      <c r="J1901" s="253"/>
      <c r="K1901" s="253"/>
      <c r="L1901" s="253"/>
      <c r="M1901" s="253"/>
      <c r="N1901" s="253"/>
      <c r="O1901" s="258"/>
      <c r="P1901" s="258"/>
      <c r="Q1901" s="258"/>
      <c r="R1901" s="258"/>
      <c r="S1901" s="258"/>
      <c r="T1901" s="258"/>
      <c r="U1901" s="258"/>
      <c r="V1901" s="258"/>
      <c r="W1901" s="258"/>
      <c r="X1901" s="258"/>
      <c r="Y1901" s="258"/>
      <c r="Z1901" s="258"/>
      <c r="AA1901" s="258"/>
      <c r="AB1901" s="258"/>
      <c r="AC1901" s="407"/>
    </row>
    <row r="1902" spans="2:29" s="406" customFormat="1" ht="16.5" customHeight="1">
      <c r="B1902" s="256"/>
      <c r="C1902" s="256"/>
      <c r="D1902" s="414"/>
      <c r="E1902" s="414"/>
      <c r="F1902" s="414"/>
      <c r="G1902" s="253"/>
      <c r="H1902" s="253"/>
      <c r="I1902" s="253"/>
      <c r="J1902" s="253"/>
      <c r="K1902" s="253"/>
      <c r="L1902" s="253"/>
      <c r="M1902" s="253"/>
      <c r="N1902" s="253"/>
      <c r="O1902" s="258"/>
      <c r="P1902" s="258"/>
      <c r="Q1902" s="258"/>
      <c r="R1902" s="258"/>
      <c r="S1902" s="258"/>
      <c r="T1902" s="258"/>
      <c r="U1902" s="258"/>
      <c r="V1902" s="258"/>
      <c r="W1902" s="258"/>
      <c r="X1902" s="258"/>
      <c r="Y1902" s="258"/>
      <c r="Z1902" s="258"/>
      <c r="AA1902" s="258"/>
      <c r="AB1902" s="258"/>
      <c r="AC1902" s="407"/>
    </row>
    <row r="1903" spans="2:29" s="406" customFormat="1" ht="16.5" customHeight="1">
      <c r="B1903" s="256"/>
      <c r="C1903" s="256"/>
      <c r="D1903" s="414"/>
      <c r="E1903" s="414"/>
      <c r="F1903" s="414"/>
      <c r="G1903" s="253"/>
      <c r="H1903" s="253"/>
      <c r="I1903" s="253"/>
      <c r="J1903" s="253"/>
      <c r="K1903" s="253"/>
      <c r="L1903" s="253"/>
      <c r="M1903" s="253"/>
      <c r="N1903" s="253"/>
      <c r="O1903" s="258"/>
      <c r="P1903" s="258"/>
      <c r="Q1903" s="258"/>
      <c r="R1903" s="258"/>
      <c r="S1903" s="258"/>
      <c r="T1903" s="258"/>
      <c r="U1903" s="258"/>
      <c r="V1903" s="258"/>
      <c r="W1903" s="258"/>
      <c r="X1903" s="258"/>
      <c r="Y1903" s="258"/>
      <c r="Z1903" s="258"/>
      <c r="AA1903" s="258"/>
      <c r="AB1903" s="258"/>
      <c r="AC1903" s="407"/>
    </row>
    <row r="1904" spans="2:29" s="406" customFormat="1" ht="16.5" customHeight="1">
      <c r="B1904" s="256"/>
      <c r="C1904" s="256"/>
      <c r="D1904" s="414"/>
      <c r="E1904" s="414"/>
      <c r="F1904" s="414"/>
      <c r="G1904" s="253"/>
      <c r="H1904" s="253"/>
      <c r="I1904" s="253"/>
      <c r="J1904" s="253"/>
      <c r="K1904" s="253"/>
      <c r="L1904" s="253"/>
      <c r="M1904" s="253"/>
      <c r="N1904" s="253"/>
      <c r="O1904" s="258"/>
      <c r="P1904" s="258"/>
      <c r="Q1904" s="258"/>
      <c r="R1904" s="258"/>
      <c r="S1904" s="258"/>
      <c r="T1904" s="258"/>
      <c r="U1904" s="258"/>
      <c r="V1904" s="258"/>
      <c r="W1904" s="258"/>
      <c r="X1904" s="258"/>
      <c r="Y1904" s="258"/>
      <c r="Z1904" s="258"/>
      <c r="AA1904" s="258"/>
      <c r="AB1904" s="258"/>
      <c r="AC1904" s="407"/>
    </row>
    <row r="1905" spans="2:29" s="406" customFormat="1" ht="16.5" customHeight="1">
      <c r="B1905" s="256"/>
      <c r="C1905" s="256"/>
      <c r="D1905" s="414"/>
      <c r="E1905" s="414"/>
      <c r="F1905" s="414"/>
      <c r="G1905" s="253"/>
      <c r="H1905" s="253"/>
      <c r="I1905" s="253"/>
      <c r="J1905" s="253"/>
      <c r="K1905" s="253"/>
      <c r="L1905" s="253"/>
      <c r="M1905" s="253"/>
      <c r="N1905" s="253"/>
      <c r="O1905" s="258"/>
      <c r="P1905" s="258"/>
      <c r="Q1905" s="258"/>
      <c r="R1905" s="258"/>
      <c r="S1905" s="258"/>
      <c r="T1905" s="258"/>
      <c r="U1905" s="258"/>
      <c r="V1905" s="258"/>
      <c r="W1905" s="258"/>
      <c r="X1905" s="258"/>
      <c r="Y1905" s="258"/>
      <c r="Z1905" s="258"/>
      <c r="AA1905" s="258"/>
      <c r="AB1905" s="258"/>
      <c r="AC1905" s="407"/>
    </row>
    <row r="1906" spans="2:29" s="406" customFormat="1" ht="16.5" customHeight="1">
      <c r="B1906" s="256"/>
      <c r="C1906" s="256"/>
      <c r="D1906" s="414"/>
      <c r="E1906" s="414"/>
      <c r="F1906" s="414"/>
      <c r="G1906" s="253"/>
      <c r="H1906" s="253"/>
      <c r="I1906" s="253"/>
      <c r="J1906" s="253"/>
      <c r="K1906" s="253"/>
      <c r="L1906" s="253"/>
      <c r="M1906" s="253"/>
      <c r="N1906" s="253"/>
      <c r="O1906" s="258"/>
      <c r="P1906" s="258"/>
      <c r="Q1906" s="258"/>
      <c r="R1906" s="258"/>
      <c r="S1906" s="258"/>
      <c r="T1906" s="258"/>
      <c r="U1906" s="258"/>
      <c r="V1906" s="258"/>
      <c r="W1906" s="258"/>
      <c r="X1906" s="258"/>
      <c r="Y1906" s="258"/>
      <c r="Z1906" s="258"/>
      <c r="AA1906" s="258"/>
      <c r="AB1906" s="258"/>
      <c r="AC1906" s="407"/>
    </row>
    <row r="1907" spans="2:29" s="406" customFormat="1" ht="16.5" customHeight="1">
      <c r="B1907" s="256"/>
      <c r="C1907" s="256"/>
      <c r="D1907" s="414"/>
      <c r="E1907" s="414"/>
      <c r="F1907" s="414"/>
      <c r="G1907" s="253"/>
      <c r="H1907" s="253"/>
      <c r="I1907" s="253"/>
      <c r="J1907" s="253"/>
      <c r="K1907" s="253"/>
      <c r="L1907" s="253"/>
      <c r="M1907" s="253"/>
      <c r="N1907" s="253"/>
      <c r="O1907" s="258"/>
      <c r="P1907" s="258"/>
      <c r="Q1907" s="258"/>
      <c r="R1907" s="258"/>
      <c r="S1907" s="258"/>
      <c r="T1907" s="258"/>
      <c r="U1907" s="258"/>
      <c r="V1907" s="258"/>
      <c r="W1907" s="258"/>
      <c r="X1907" s="258"/>
      <c r="Y1907" s="258"/>
      <c r="Z1907" s="258"/>
      <c r="AA1907" s="258"/>
      <c r="AB1907" s="258"/>
      <c r="AC1907" s="407"/>
    </row>
    <row r="1908" spans="2:29" s="406" customFormat="1" ht="16.5" customHeight="1">
      <c r="B1908" s="256"/>
      <c r="C1908" s="256"/>
      <c r="D1908" s="414"/>
      <c r="E1908" s="414"/>
      <c r="F1908" s="414"/>
      <c r="G1908" s="253"/>
      <c r="H1908" s="253"/>
      <c r="I1908" s="253"/>
      <c r="J1908" s="253"/>
      <c r="K1908" s="253"/>
      <c r="L1908" s="253"/>
      <c r="M1908" s="253"/>
      <c r="N1908" s="253"/>
      <c r="O1908" s="258"/>
      <c r="P1908" s="258"/>
      <c r="Q1908" s="258"/>
      <c r="R1908" s="258"/>
      <c r="S1908" s="258"/>
      <c r="T1908" s="258"/>
      <c r="U1908" s="258"/>
      <c r="V1908" s="258"/>
      <c r="W1908" s="258"/>
      <c r="X1908" s="258"/>
      <c r="Y1908" s="258"/>
      <c r="Z1908" s="258"/>
      <c r="AA1908" s="258"/>
      <c r="AB1908" s="258"/>
      <c r="AC1908" s="407"/>
    </row>
    <row r="1909" spans="2:29" s="406" customFormat="1" ht="16.5" customHeight="1">
      <c r="B1909" s="256"/>
      <c r="C1909" s="256"/>
      <c r="D1909" s="414"/>
      <c r="E1909" s="414"/>
      <c r="F1909" s="414"/>
      <c r="G1909" s="253"/>
      <c r="H1909" s="253"/>
      <c r="I1909" s="253"/>
      <c r="J1909" s="253"/>
      <c r="K1909" s="253"/>
      <c r="L1909" s="253"/>
      <c r="M1909" s="253"/>
      <c r="N1909" s="253"/>
      <c r="O1909" s="258"/>
      <c r="P1909" s="258"/>
      <c r="Q1909" s="258"/>
      <c r="R1909" s="258"/>
      <c r="S1909" s="258"/>
      <c r="T1909" s="258"/>
      <c r="U1909" s="258"/>
      <c r="V1909" s="258"/>
      <c r="W1909" s="258"/>
      <c r="X1909" s="258"/>
      <c r="Y1909" s="258"/>
      <c r="Z1909" s="258"/>
      <c r="AA1909" s="258"/>
      <c r="AB1909" s="258"/>
      <c r="AC1909" s="407"/>
    </row>
    <row r="1910" spans="2:29" s="406" customFormat="1" ht="16.5" customHeight="1">
      <c r="B1910" s="256"/>
      <c r="C1910" s="256"/>
      <c r="D1910" s="414"/>
      <c r="E1910" s="414"/>
      <c r="F1910" s="414"/>
      <c r="G1910" s="253"/>
      <c r="H1910" s="253"/>
      <c r="I1910" s="253"/>
      <c r="J1910" s="253"/>
      <c r="K1910" s="253"/>
      <c r="L1910" s="253"/>
      <c r="M1910" s="253"/>
      <c r="N1910" s="253"/>
      <c r="O1910" s="258"/>
      <c r="P1910" s="258"/>
      <c r="Q1910" s="258"/>
      <c r="R1910" s="258"/>
      <c r="S1910" s="258"/>
      <c r="T1910" s="258"/>
      <c r="U1910" s="258"/>
      <c r="V1910" s="258"/>
      <c r="W1910" s="258"/>
      <c r="X1910" s="258"/>
      <c r="Y1910" s="258"/>
      <c r="Z1910" s="258"/>
      <c r="AA1910" s="258"/>
      <c r="AB1910" s="258"/>
      <c r="AC1910" s="407"/>
    </row>
    <row r="1911" spans="2:29" s="406" customFormat="1" ht="16.5" customHeight="1">
      <c r="B1911" s="256"/>
      <c r="C1911" s="256"/>
      <c r="D1911" s="414"/>
      <c r="E1911" s="414"/>
      <c r="F1911" s="414"/>
      <c r="G1911" s="253"/>
      <c r="H1911" s="253"/>
      <c r="I1911" s="253"/>
      <c r="J1911" s="253"/>
      <c r="K1911" s="253"/>
      <c r="L1911" s="253"/>
      <c r="M1911" s="253"/>
      <c r="N1911" s="253"/>
      <c r="O1911" s="258"/>
      <c r="P1911" s="258"/>
      <c r="Q1911" s="258"/>
      <c r="R1911" s="258"/>
      <c r="S1911" s="258"/>
      <c r="T1911" s="258"/>
      <c r="U1911" s="258"/>
      <c r="V1911" s="258"/>
      <c r="W1911" s="258"/>
      <c r="X1911" s="258"/>
      <c r="Y1911" s="258"/>
      <c r="Z1911" s="258"/>
      <c r="AA1911" s="258"/>
      <c r="AB1911" s="258"/>
      <c r="AC1911" s="407"/>
    </row>
    <row r="1912" spans="2:29" s="406" customFormat="1" ht="16.5" customHeight="1">
      <c r="B1912" s="256"/>
      <c r="C1912" s="256"/>
      <c r="D1912" s="414"/>
      <c r="E1912" s="414"/>
      <c r="F1912" s="414"/>
      <c r="G1912" s="253"/>
      <c r="H1912" s="253"/>
      <c r="I1912" s="253"/>
      <c r="J1912" s="253"/>
      <c r="K1912" s="253"/>
      <c r="L1912" s="253"/>
      <c r="M1912" s="253"/>
      <c r="N1912" s="253"/>
      <c r="O1912" s="258"/>
      <c r="P1912" s="258"/>
      <c r="Q1912" s="258"/>
      <c r="R1912" s="258"/>
      <c r="S1912" s="258"/>
      <c r="T1912" s="258"/>
      <c r="U1912" s="258"/>
      <c r="V1912" s="258"/>
      <c r="W1912" s="258"/>
      <c r="X1912" s="258"/>
      <c r="Y1912" s="258"/>
      <c r="Z1912" s="258"/>
      <c r="AA1912" s="258"/>
      <c r="AB1912" s="258"/>
      <c r="AC1912" s="407"/>
    </row>
    <row r="1913" spans="2:29" s="406" customFormat="1" ht="16.5" customHeight="1">
      <c r="B1913" s="256"/>
      <c r="C1913" s="256"/>
      <c r="D1913" s="414"/>
      <c r="E1913" s="414"/>
      <c r="F1913" s="414"/>
      <c r="G1913" s="253"/>
      <c r="H1913" s="253"/>
      <c r="I1913" s="253"/>
      <c r="J1913" s="253"/>
      <c r="K1913" s="253"/>
      <c r="L1913" s="253"/>
      <c r="M1913" s="253"/>
      <c r="N1913" s="253"/>
      <c r="O1913" s="258"/>
      <c r="P1913" s="258"/>
      <c r="Q1913" s="258"/>
      <c r="R1913" s="258"/>
      <c r="S1913" s="258"/>
      <c r="T1913" s="258"/>
      <c r="U1913" s="258"/>
      <c r="V1913" s="258"/>
      <c r="W1913" s="258"/>
      <c r="X1913" s="258"/>
      <c r="Y1913" s="258"/>
      <c r="Z1913" s="258"/>
      <c r="AA1913" s="258"/>
      <c r="AB1913" s="258"/>
      <c r="AC1913" s="407"/>
    </row>
    <row r="1914" spans="2:29" s="406" customFormat="1" ht="16.5" customHeight="1">
      <c r="B1914" s="256"/>
      <c r="C1914" s="256"/>
      <c r="D1914" s="414"/>
      <c r="E1914" s="414"/>
      <c r="F1914" s="414"/>
      <c r="G1914" s="253"/>
      <c r="H1914" s="253"/>
      <c r="I1914" s="253"/>
      <c r="J1914" s="253"/>
      <c r="K1914" s="253"/>
      <c r="L1914" s="253"/>
      <c r="M1914" s="253"/>
      <c r="N1914" s="253"/>
      <c r="O1914" s="258"/>
      <c r="P1914" s="258"/>
      <c r="Q1914" s="258"/>
      <c r="R1914" s="258"/>
      <c r="S1914" s="258"/>
      <c r="T1914" s="258"/>
      <c r="U1914" s="258"/>
      <c r="V1914" s="258"/>
      <c r="W1914" s="258"/>
      <c r="X1914" s="258"/>
      <c r="Y1914" s="258"/>
      <c r="Z1914" s="258"/>
      <c r="AA1914" s="258"/>
      <c r="AB1914" s="258"/>
      <c r="AC1914" s="407"/>
    </row>
    <row r="1915" spans="2:29" s="406" customFormat="1" ht="16.5" customHeight="1">
      <c r="B1915" s="256"/>
      <c r="C1915" s="256"/>
      <c r="D1915" s="414"/>
      <c r="E1915" s="414"/>
      <c r="F1915" s="414"/>
      <c r="G1915" s="253"/>
      <c r="H1915" s="253"/>
      <c r="I1915" s="253"/>
      <c r="J1915" s="253"/>
      <c r="K1915" s="253"/>
      <c r="L1915" s="253"/>
      <c r="M1915" s="253"/>
      <c r="N1915" s="253"/>
      <c r="O1915" s="258"/>
      <c r="P1915" s="258"/>
      <c r="Q1915" s="258"/>
      <c r="R1915" s="258"/>
      <c r="S1915" s="258"/>
      <c r="T1915" s="258"/>
      <c r="U1915" s="258"/>
      <c r="V1915" s="258"/>
      <c r="W1915" s="258"/>
      <c r="X1915" s="258"/>
      <c r="Y1915" s="258"/>
      <c r="Z1915" s="258"/>
      <c r="AA1915" s="258"/>
      <c r="AB1915" s="258"/>
      <c r="AC1915" s="407"/>
    </row>
    <row r="1916" spans="2:29" s="406" customFormat="1" ht="16.5" customHeight="1">
      <c r="B1916" s="256"/>
      <c r="C1916" s="256"/>
      <c r="D1916" s="414"/>
      <c r="E1916" s="414"/>
      <c r="F1916" s="414"/>
      <c r="G1916" s="253"/>
      <c r="H1916" s="253"/>
      <c r="I1916" s="253"/>
      <c r="J1916" s="253"/>
      <c r="K1916" s="253"/>
      <c r="L1916" s="253"/>
      <c r="M1916" s="253"/>
      <c r="N1916" s="253"/>
      <c r="O1916" s="258"/>
      <c r="P1916" s="258"/>
      <c r="Q1916" s="258"/>
      <c r="R1916" s="258"/>
      <c r="S1916" s="258"/>
      <c r="T1916" s="258"/>
      <c r="U1916" s="258"/>
      <c r="V1916" s="258"/>
      <c r="W1916" s="258"/>
      <c r="X1916" s="258"/>
      <c r="Y1916" s="258"/>
      <c r="Z1916" s="258"/>
      <c r="AA1916" s="258"/>
      <c r="AB1916" s="258"/>
      <c r="AC1916" s="407"/>
    </row>
    <row r="1917" spans="2:29" s="406" customFormat="1" ht="16.5" customHeight="1">
      <c r="B1917" s="256"/>
      <c r="C1917" s="256"/>
      <c r="D1917" s="414"/>
      <c r="E1917" s="414"/>
      <c r="F1917" s="414"/>
      <c r="G1917" s="253"/>
      <c r="H1917" s="253"/>
      <c r="I1917" s="253"/>
      <c r="J1917" s="253"/>
      <c r="K1917" s="253"/>
      <c r="L1917" s="253"/>
      <c r="M1917" s="253"/>
      <c r="N1917" s="253"/>
      <c r="O1917" s="258"/>
      <c r="P1917" s="258"/>
      <c r="Q1917" s="258"/>
      <c r="R1917" s="258"/>
      <c r="S1917" s="258"/>
      <c r="T1917" s="258"/>
      <c r="U1917" s="258"/>
      <c r="V1917" s="258"/>
      <c r="W1917" s="258"/>
      <c r="X1917" s="258"/>
      <c r="Y1917" s="258"/>
      <c r="Z1917" s="258"/>
      <c r="AA1917" s="258"/>
      <c r="AB1917" s="258"/>
      <c r="AC1917" s="407"/>
    </row>
    <row r="1918" spans="2:29" s="406" customFormat="1" ht="16.5" customHeight="1">
      <c r="B1918" s="256"/>
      <c r="C1918" s="256"/>
      <c r="D1918" s="414"/>
      <c r="E1918" s="414"/>
      <c r="F1918" s="414"/>
      <c r="G1918" s="253"/>
      <c r="H1918" s="253"/>
      <c r="I1918" s="253"/>
      <c r="J1918" s="253"/>
      <c r="K1918" s="253"/>
      <c r="L1918" s="253"/>
      <c r="M1918" s="253"/>
      <c r="N1918" s="253"/>
      <c r="O1918" s="258"/>
      <c r="P1918" s="258"/>
      <c r="Q1918" s="258"/>
      <c r="R1918" s="258"/>
      <c r="S1918" s="258"/>
      <c r="T1918" s="258"/>
      <c r="U1918" s="258"/>
      <c r="V1918" s="258"/>
      <c r="W1918" s="258"/>
      <c r="X1918" s="258"/>
      <c r="Y1918" s="258"/>
      <c r="Z1918" s="258"/>
      <c r="AA1918" s="258"/>
      <c r="AB1918" s="258"/>
      <c r="AC1918" s="407"/>
    </row>
    <row r="1919" spans="2:29" s="406" customFormat="1" ht="16.5" customHeight="1">
      <c r="B1919" s="256"/>
      <c r="C1919" s="256"/>
      <c r="D1919" s="414"/>
      <c r="E1919" s="414"/>
      <c r="F1919" s="414"/>
      <c r="G1919" s="253"/>
      <c r="H1919" s="253"/>
      <c r="I1919" s="253"/>
      <c r="J1919" s="253"/>
      <c r="K1919" s="253"/>
      <c r="L1919" s="253"/>
      <c r="M1919" s="253"/>
      <c r="N1919" s="253"/>
      <c r="O1919" s="258"/>
      <c r="P1919" s="258"/>
      <c r="Q1919" s="258"/>
      <c r="R1919" s="258"/>
      <c r="S1919" s="258"/>
      <c r="T1919" s="258"/>
      <c r="U1919" s="258"/>
      <c r="V1919" s="258"/>
      <c r="W1919" s="258"/>
      <c r="X1919" s="258"/>
      <c r="Y1919" s="258"/>
      <c r="Z1919" s="258"/>
      <c r="AA1919" s="258"/>
      <c r="AB1919" s="258"/>
      <c r="AC1919" s="407"/>
    </row>
    <row r="1920" spans="2:29" s="406" customFormat="1" ht="16.5" customHeight="1">
      <c r="B1920" s="256"/>
      <c r="C1920" s="256"/>
      <c r="D1920" s="414"/>
      <c r="E1920" s="414"/>
      <c r="F1920" s="414"/>
      <c r="G1920" s="253"/>
      <c r="H1920" s="253"/>
      <c r="I1920" s="253"/>
      <c r="J1920" s="253"/>
      <c r="K1920" s="253"/>
      <c r="L1920" s="253"/>
      <c r="M1920" s="253"/>
      <c r="N1920" s="253"/>
      <c r="O1920" s="258"/>
      <c r="P1920" s="258"/>
      <c r="Q1920" s="258"/>
      <c r="R1920" s="258"/>
      <c r="S1920" s="258"/>
      <c r="T1920" s="258"/>
      <c r="U1920" s="258"/>
      <c r="V1920" s="258"/>
      <c r="W1920" s="258"/>
      <c r="X1920" s="258"/>
      <c r="Y1920" s="258"/>
      <c r="Z1920" s="258"/>
      <c r="AA1920" s="258"/>
      <c r="AB1920" s="258"/>
      <c r="AC1920" s="407"/>
    </row>
    <row r="1921" spans="2:29" s="406" customFormat="1" ht="16.5" customHeight="1">
      <c r="B1921" s="256"/>
      <c r="C1921" s="256"/>
      <c r="D1921" s="414"/>
      <c r="E1921" s="414"/>
      <c r="F1921" s="414"/>
      <c r="G1921" s="253"/>
      <c r="H1921" s="253"/>
      <c r="I1921" s="253"/>
      <c r="J1921" s="253"/>
      <c r="K1921" s="253"/>
      <c r="L1921" s="253"/>
      <c r="M1921" s="253"/>
      <c r="N1921" s="253"/>
      <c r="O1921" s="258"/>
      <c r="P1921" s="258"/>
      <c r="Q1921" s="258"/>
      <c r="R1921" s="258"/>
      <c r="S1921" s="258"/>
      <c r="T1921" s="258"/>
      <c r="U1921" s="258"/>
      <c r="V1921" s="258"/>
      <c r="W1921" s="258"/>
      <c r="X1921" s="258"/>
      <c r="Y1921" s="258"/>
      <c r="Z1921" s="258"/>
      <c r="AA1921" s="258"/>
      <c r="AB1921" s="258"/>
      <c r="AC1921" s="407"/>
    </row>
    <row r="1922" spans="2:29" s="406" customFormat="1" ht="16.5" customHeight="1">
      <c r="B1922" s="256"/>
      <c r="C1922" s="256"/>
      <c r="D1922" s="414"/>
      <c r="E1922" s="414"/>
      <c r="F1922" s="414"/>
      <c r="G1922" s="253"/>
      <c r="H1922" s="253"/>
      <c r="I1922" s="253"/>
      <c r="J1922" s="253"/>
      <c r="K1922" s="253"/>
      <c r="L1922" s="253"/>
      <c r="M1922" s="253"/>
      <c r="N1922" s="253"/>
      <c r="O1922" s="258"/>
      <c r="P1922" s="258"/>
      <c r="Q1922" s="258"/>
      <c r="R1922" s="258"/>
      <c r="S1922" s="258"/>
      <c r="T1922" s="258"/>
      <c r="U1922" s="258"/>
      <c r="V1922" s="258"/>
      <c r="W1922" s="258"/>
      <c r="X1922" s="258"/>
      <c r="Y1922" s="258"/>
      <c r="Z1922" s="258"/>
      <c r="AA1922" s="258"/>
      <c r="AB1922" s="258"/>
      <c r="AC1922" s="407"/>
    </row>
    <row r="1923" spans="2:29" s="406" customFormat="1" ht="16.5" customHeight="1">
      <c r="B1923" s="256"/>
      <c r="C1923" s="256"/>
      <c r="D1923" s="414"/>
      <c r="E1923" s="414"/>
      <c r="F1923" s="414"/>
      <c r="G1923" s="253"/>
      <c r="H1923" s="253"/>
      <c r="I1923" s="253"/>
      <c r="J1923" s="253"/>
      <c r="K1923" s="253"/>
      <c r="L1923" s="253"/>
      <c r="M1923" s="253"/>
      <c r="N1923" s="253"/>
      <c r="O1923" s="258"/>
      <c r="P1923" s="258"/>
      <c r="Q1923" s="258"/>
      <c r="R1923" s="258"/>
      <c r="S1923" s="258"/>
      <c r="T1923" s="258"/>
      <c r="U1923" s="258"/>
      <c r="V1923" s="258"/>
      <c r="W1923" s="258"/>
      <c r="X1923" s="258"/>
      <c r="Y1923" s="258"/>
      <c r="Z1923" s="258"/>
      <c r="AA1923" s="258"/>
      <c r="AB1923" s="258"/>
      <c r="AC1923" s="407"/>
    </row>
    <row r="1924" spans="2:29" s="406" customFormat="1" ht="16.5" customHeight="1">
      <c r="B1924" s="256"/>
      <c r="C1924" s="256"/>
      <c r="D1924" s="414"/>
      <c r="E1924" s="414"/>
      <c r="F1924" s="414"/>
      <c r="G1924" s="253"/>
      <c r="H1924" s="253"/>
      <c r="I1924" s="253"/>
      <c r="J1924" s="253"/>
      <c r="K1924" s="253"/>
      <c r="L1924" s="253"/>
      <c r="M1924" s="253"/>
      <c r="N1924" s="253"/>
      <c r="O1924" s="258"/>
      <c r="P1924" s="258"/>
      <c r="Q1924" s="258"/>
      <c r="R1924" s="258"/>
      <c r="S1924" s="258"/>
      <c r="T1924" s="258"/>
      <c r="U1924" s="258"/>
      <c r="V1924" s="258"/>
      <c r="W1924" s="258"/>
      <c r="X1924" s="258"/>
      <c r="Y1924" s="258"/>
      <c r="Z1924" s="258"/>
      <c r="AA1924" s="258"/>
      <c r="AB1924" s="258"/>
      <c r="AC1924" s="407"/>
    </row>
    <row r="1925" spans="2:29" s="406" customFormat="1" ht="16.5" customHeight="1">
      <c r="B1925" s="256"/>
      <c r="C1925" s="256"/>
      <c r="D1925" s="414"/>
      <c r="E1925" s="414"/>
      <c r="F1925" s="414"/>
      <c r="G1925" s="253"/>
      <c r="H1925" s="253"/>
      <c r="I1925" s="253"/>
      <c r="J1925" s="253"/>
      <c r="K1925" s="253"/>
      <c r="L1925" s="253"/>
      <c r="M1925" s="253"/>
      <c r="N1925" s="253"/>
      <c r="O1925" s="258"/>
      <c r="P1925" s="258"/>
      <c r="Q1925" s="258"/>
      <c r="R1925" s="258"/>
      <c r="S1925" s="258"/>
      <c r="T1925" s="258"/>
      <c r="U1925" s="258"/>
      <c r="V1925" s="258"/>
      <c r="W1925" s="258"/>
      <c r="X1925" s="258"/>
      <c r="Y1925" s="258"/>
      <c r="Z1925" s="258"/>
      <c r="AA1925" s="258"/>
      <c r="AB1925" s="258"/>
      <c r="AC1925" s="407"/>
    </row>
    <row r="1926" spans="2:29" s="406" customFormat="1" ht="16.5" customHeight="1">
      <c r="B1926" s="256"/>
      <c r="C1926" s="256"/>
      <c r="D1926" s="414"/>
      <c r="E1926" s="414"/>
      <c r="F1926" s="414"/>
      <c r="G1926" s="253"/>
      <c r="H1926" s="253"/>
      <c r="I1926" s="253"/>
      <c r="J1926" s="253"/>
      <c r="K1926" s="253"/>
      <c r="L1926" s="253"/>
      <c r="M1926" s="253"/>
      <c r="N1926" s="253"/>
      <c r="O1926" s="258"/>
      <c r="P1926" s="258"/>
      <c r="Q1926" s="258"/>
      <c r="R1926" s="258"/>
      <c r="S1926" s="258"/>
      <c r="T1926" s="258"/>
      <c r="U1926" s="258"/>
      <c r="V1926" s="258"/>
      <c r="W1926" s="258"/>
      <c r="X1926" s="258"/>
      <c r="Y1926" s="258"/>
      <c r="Z1926" s="258"/>
      <c r="AA1926" s="258"/>
      <c r="AB1926" s="258"/>
      <c r="AC1926" s="407"/>
    </row>
    <row r="1927" spans="2:29" s="406" customFormat="1" ht="16.5" customHeight="1">
      <c r="B1927" s="256"/>
      <c r="C1927" s="256"/>
      <c r="D1927" s="414"/>
      <c r="E1927" s="414"/>
      <c r="F1927" s="414"/>
      <c r="G1927" s="253"/>
      <c r="H1927" s="253"/>
      <c r="I1927" s="253"/>
      <c r="J1927" s="253"/>
      <c r="K1927" s="253"/>
      <c r="L1927" s="253"/>
      <c r="M1927" s="253"/>
      <c r="N1927" s="253"/>
      <c r="O1927" s="258"/>
      <c r="P1927" s="258"/>
      <c r="Q1927" s="258"/>
      <c r="R1927" s="258"/>
      <c r="S1927" s="258"/>
      <c r="T1927" s="258"/>
      <c r="U1927" s="258"/>
      <c r="V1927" s="258"/>
      <c r="W1927" s="258"/>
      <c r="X1927" s="258"/>
      <c r="Y1927" s="258"/>
      <c r="Z1927" s="258"/>
      <c r="AA1927" s="258"/>
      <c r="AB1927" s="258"/>
      <c r="AC1927" s="407"/>
    </row>
    <row r="1928" spans="2:29" s="406" customFormat="1" ht="16.5" customHeight="1">
      <c r="B1928" s="256"/>
      <c r="C1928" s="256"/>
      <c r="D1928" s="414"/>
      <c r="E1928" s="414"/>
      <c r="F1928" s="414"/>
      <c r="G1928" s="253"/>
      <c r="H1928" s="253"/>
      <c r="I1928" s="253"/>
      <c r="J1928" s="253"/>
      <c r="K1928" s="253"/>
      <c r="L1928" s="253"/>
      <c r="M1928" s="253"/>
      <c r="N1928" s="253"/>
      <c r="O1928" s="258"/>
      <c r="P1928" s="258"/>
      <c r="Q1928" s="258"/>
      <c r="R1928" s="258"/>
      <c r="S1928" s="258"/>
      <c r="T1928" s="258"/>
      <c r="U1928" s="258"/>
      <c r="V1928" s="258"/>
      <c r="W1928" s="258"/>
      <c r="X1928" s="258"/>
      <c r="Y1928" s="258"/>
      <c r="Z1928" s="258"/>
      <c r="AA1928" s="258"/>
      <c r="AB1928" s="258"/>
      <c r="AC1928" s="407"/>
    </row>
    <row r="1929" spans="2:29" s="406" customFormat="1" ht="16.5" customHeight="1">
      <c r="B1929" s="256"/>
      <c r="C1929" s="256"/>
      <c r="D1929" s="414"/>
      <c r="E1929" s="414"/>
      <c r="F1929" s="414"/>
      <c r="G1929" s="253"/>
      <c r="H1929" s="253"/>
      <c r="I1929" s="253"/>
      <c r="J1929" s="253"/>
      <c r="K1929" s="253"/>
      <c r="L1929" s="253"/>
      <c r="M1929" s="253"/>
      <c r="N1929" s="253"/>
      <c r="O1929" s="258"/>
      <c r="P1929" s="258"/>
      <c r="Q1929" s="258"/>
      <c r="R1929" s="258"/>
      <c r="S1929" s="258"/>
      <c r="T1929" s="258"/>
      <c r="U1929" s="258"/>
      <c r="V1929" s="258"/>
      <c r="W1929" s="258"/>
      <c r="X1929" s="258"/>
      <c r="Y1929" s="258"/>
      <c r="Z1929" s="258"/>
      <c r="AA1929" s="258"/>
      <c r="AB1929" s="258"/>
      <c r="AC1929" s="407"/>
    </row>
    <row r="1930" spans="2:29" s="406" customFormat="1" ht="16.5" customHeight="1">
      <c r="B1930" s="256"/>
      <c r="C1930" s="256"/>
      <c r="D1930" s="414"/>
      <c r="E1930" s="414"/>
      <c r="F1930" s="414"/>
      <c r="G1930" s="253"/>
      <c r="H1930" s="253"/>
      <c r="I1930" s="253"/>
      <c r="J1930" s="253"/>
      <c r="K1930" s="253"/>
      <c r="L1930" s="253"/>
      <c r="M1930" s="253"/>
      <c r="N1930" s="253"/>
      <c r="O1930" s="258"/>
      <c r="P1930" s="258"/>
      <c r="Q1930" s="258"/>
      <c r="R1930" s="258"/>
      <c r="S1930" s="258"/>
      <c r="T1930" s="258"/>
      <c r="U1930" s="258"/>
      <c r="V1930" s="258"/>
      <c r="W1930" s="258"/>
      <c r="X1930" s="258"/>
      <c r="Y1930" s="258"/>
      <c r="Z1930" s="258"/>
      <c r="AA1930" s="258"/>
      <c r="AB1930" s="258"/>
      <c r="AC1930" s="407"/>
    </row>
    <row r="1931" spans="2:29" s="406" customFormat="1" ht="16.5" customHeight="1">
      <c r="B1931" s="256"/>
      <c r="C1931" s="256"/>
      <c r="D1931" s="414"/>
      <c r="E1931" s="414"/>
      <c r="F1931" s="414"/>
      <c r="G1931" s="253"/>
      <c r="H1931" s="253"/>
      <c r="I1931" s="253"/>
      <c r="J1931" s="253"/>
      <c r="K1931" s="253"/>
      <c r="L1931" s="253"/>
      <c r="M1931" s="253"/>
      <c r="N1931" s="253"/>
      <c r="O1931" s="258"/>
      <c r="P1931" s="258"/>
      <c r="Q1931" s="258"/>
      <c r="R1931" s="258"/>
      <c r="S1931" s="258"/>
      <c r="T1931" s="258"/>
      <c r="U1931" s="258"/>
      <c r="V1931" s="258"/>
      <c r="W1931" s="258"/>
      <c r="X1931" s="258"/>
      <c r="Y1931" s="258"/>
      <c r="Z1931" s="258"/>
      <c r="AA1931" s="258"/>
      <c r="AB1931" s="258"/>
      <c r="AC1931" s="407"/>
    </row>
    <row r="1932" spans="2:29" s="406" customFormat="1" ht="16.5" customHeight="1">
      <c r="B1932" s="256"/>
      <c r="C1932" s="256"/>
      <c r="D1932" s="414"/>
      <c r="E1932" s="414"/>
      <c r="F1932" s="414"/>
      <c r="G1932" s="253"/>
      <c r="H1932" s="253"/>
      <c r="I1932" s="253"/>
      <c r="J1932" s="253"/>
      <c r="K1932" s="253"/>
      <c r="L1932" s="253"/>
      <c r="M1932" s="253"/>
      <c r="N1932" s="253"/>
      <c r="O1932" s="258"/>
      <c r="P1932" s="258"/>
      <c r="Q1932" s="258"/>
      <c r="R1932" s="258"/>
      <c r="S1932" s="258"/>
      <c r="T1932" s="258"/>
      <c r="U1932" s="258"/>
      <c r="V1932" s="258"/>
      <c r="W1932" s="258"/>
      <c r="X1932" s="258"/>
      <c r="Y1932" s="258"/>
      <c r="Z1932" s="258"/>
      <c r="AA1932" s="258"/>
      <c r="AB1932" s="258"/>
      <c r="AC1932" s="407"/>
    </row>
    <row r="1933" spans="2:29" s="406" customFormat="1" ht="16.5" customHeight="1">
      <c r="B1933" s="256"/>
      <c r="C1933" s="256"/>
      <c r="D1933" s="414"/>
      <c r="E1933" s="414"/>
      <c r="F1933" s="414"/>
      <c r="G1933" s="253"/>
      <c r="H1933" s="253"/>
      <c r="I1933" s="253"/>
      <c r="J1933" s="253"/>
      <c r="K1933" s="253"/>
      <c r="L1933" s="253"/>
      <c r="M1933" s="253"/>
      <c r="N1933" s="253"/>
      <c r="O1933" s="258"/>
      <c r="P1933" s="258"/>
      <c r="Q1933" s="258"/>
      <c r="R1933" s="258"/>
      <c r="S1933" s="258"/>
      <c r="T1933" s="258"/>
      <c r="U1933" s="258"/>
      <c r="V1933" s="258"/>
      <c r="W1933" s="258"/>
      <c r="X1933" s="258"/>
      <c r="Y1933" s="258"/>
      <c r="Z1933" s="258"/>
      <c r="AA1933" s="258"/>
      <c r="AB1933" s="258"/>
      <c r="AC1933" s="407"/>
    </row>
    <row r="1934" spans="2:29" s="406" customFormat="1" ht="16.5" customHeight="1">
      <c r="B1934" s="256"/>
      <c r="C1934" s="256"/>
      <c r="D1934" s="414"/>
      <c r="E1934" s="414"/>
      <c r="F1934" s="414"/>
      <c r="G1934" s="253"/>
      <c r="H1934" s="253"/>
      <c r="I1934" s="253"/>
      <c r="J1934" s="253"/>
      <c r="K1934" s="253"/>
      <c r="L1934" s="253"/>
      <c r="M1934" s="253"/>
      <c r="N1934" s="253"/>
      <c r="O1934" s="258"/>
      <c r="P1934" s="258"/>
      <c r="Q1934" s="258"/>
      <c r="R1934" s="258"/>
      <c r="S1934" s="258"/>
      <c r="T1934" s="258"/>
      <c r="U1934" s="258"/>
      <c r="V1934" s="258"/>
      <c r="W1934" s="258"/>
      <c r="X1934" s="258"/>
      <c r="Y1934" s="258"/>
      <c r="Z1934" s="258"/>
      <c r="AA1934" s="258"/>
      <c r="AB1934" s="258"/>
      <c r="AC1934" s="407"/>
    </row>
    <row r="1935" spans="2:29" s="406" customFormat="1" ht="16.5" customHeight="1">
      <c r="B1935" s="256"/>
      <c r="C1935" s="256"/>
      <c r="D1935" s="414"/>
      <c r="E1935" s="414"/>
      <c r="F1935" s="414"/>
      <c r="G1935" s="253"/>
      <c r="H1935" s="253"/>
      <c r="I1935" s="253"/>
      <c r="J1935" s="253"/>
      <c r="K1935" s="253"/>
      <c r="L1935" s="253"/>
      <c r="M1935" s="253"/>
      <c r="N1935" s="253"/>
      <c r="O1935" s="258"/>
      <c r="P1935" s="258"/>
      <c r="Q1935" s="258"/>
      <c r="R1935" s="258"/>
      <c r="S1935" s="258"/>
      <c r="T1935" s="258"/>
      <c r="U1935" s="258"/>
      <c r="V1935" s="258"/>
      <c r="W1935" s="258"/>
      <c r="X1935" s="258"/>
      <c r="Y1935" s="258"/>
      <c r="Z1935" s="258"/>
      <c r="AA1935" s="258"/>
      <c r="AB1935" s="258"/>
      <c r="AC1935" s="407"/>
    </row>
    <row r="1936" spans="2:29" s="406" customFormat="1" ht="16.5" customHeight="1">
      <c r="B1936" s="256"/>
      <c r="C1936" s="256"/>
      <c r="D1936" s="414"/>
      <c r="E1936" s="414"/>
      <c r="F1936" s="414"/>
      <c r="G1936" s="253"/>
      <c r="H1936" s="253"/>
      <c r="I1936" s="253"/>
      <c r="J1936" s="253"/>
      <c r="K1936" s="253"/>
      <c r="L1936" s="253"/>
      <c r="M1936" s="253"/>
      <c r="N1936" s="253"/>
      <c r="O1936" s="258"/>
      <c r="P1936" s="258"/>
      <c r="Q1936" s="258"/>
      <c r="R1936" s="258"/>
      <c r="S1936" s="258"/>
      <c r="T1936" s="258"/>
      <c r="U1936" s="258"/>
      <c r="V1936" s="258"/>
      <c r="W1936" s="258"/>
      <c r="X1936" s="258"/>
      <c r="Y1936" s="258"/>
      <c r="Z1936" s="258"/>
      <c r="AA1936" s="258"/>
      <c r="AB1936" s="258"/>
      <c r="AC1936" s="407"/>
    </row>
    <row r="1937" spans="2:29" s="406" customFormat="1" ht="16.5" customHeight="1">
      <c r="B1937" s="256"/>
      <c r="C1937" s="256"/>
      <c r="D1937" s="414"/>
      <c r="E1937" s="414"/>
      <c r="F1937" s="414"/>
      <c r="G1937" s="253"/>
      <c r="H1937" s="253"/>
      <c r="I1937" s="253"/>
      <c r="J1937" s="253"/>
      <c r="K1937" s="253"/>
      <c r="L1937" s="253"/>
      <c r="M1937" s="253"/>
      <c r="N1937" s="253"/>
      <c r="O1937" s="258"/>
      <c r="P1937" s="258"/>
      <c r="Q1937" s="258"/>
      <c r="R1937" s="258"/>
      <c r="S1937" s="258"/>
      <c r="T1937" s="258"/>
      <c r="U1937" s="258"/>
      <c r="V1937" s="258"/>
      <c r="W1937" s="258"/>
      <c r="X1937" s="258"/>
      <c r="Y1937" s="258"/>
      <c r="Z1937" s="258"/>
      <c r="AA1937" s="258"/>
      <c r="AB1937" s="258"/>
      <c r="AC1937" s="407"/>
    </row>
    <row r="1938" spans="2:29" s="406" customFormat="1" ht="16.5" customHeight="1">
      <c r="B1938" s="256"/>
      <c r="C1938" s="256"/>
      <c r="D1938" s="414"/>
      <c r="E1938" s="414"/>
      <c r="F1938" s="414"/>
      <c r="G1938" s="253"/>
      <c r="H1938" s="253"/>
      <c r="I1938" s="253"/>
      <c r="J1938" s="253"/>
      <c r="K1938" s="253"/>
      <c r="L1938" s="253"/>
      <c r="M1938" s="253"/>
      <c r="N1938" s="253"/>
      <c r="O1938" s="258"/>
      <c r="P1938" s="258"/>
      <c r="Q1938" s="258"/>
      <c r="R1938" s="258"/>
      <c r="S1938" s="258"/>
      <c r="T1938" s="258"/>
      <c r="U1938" s="258"/>
      <c r="V1938" s="258"/>
      <c r="W1938" s="258"/>
      <c r="X1938" s="258"/>
      <c r="Y1938" s="258"/>
      <c r="Z1938" s="258"/>
      <c r="AA1938" s="258"/>
      <c r="AB1938" s="258"/>
      <c r="AC1938" s="407"/>
    </row>
    <row r="1939" spans="2:29" s="406" customFormat="1" ht="16.5" customHeight="1">
      <c r="B1939" s="256"/>
      <c r="C1939" s="256"/>
      <c r="D1939" s="414"/>
      <c r="E1939" s="414"/>
      <c r="F1939" s="414"/>
      <c r="G1939" s="253"/>
      <c r="H1939" s="253"/>
      <c r="I1939" s="253"/>
      <c r="J1939" s="253"/>
      <c r="K1939" s="253"/>
      <c r="L1939" s="253"/>
      <c r="M1939" s="253"/>
      <c r="N1939" s="253"/>
      <c r="O1939" s="258"/>
      <c r="P1939" s="258"/>
      <c r="Q1939" s="258"/>
      <c r="R1939" s="258"/>
      <c r="S1939" s="258"/>
      <c r="T1939" s="258"/>
      <c r="U1939" s="258"/>
      <c r="V1939" s="258"/>
      <c r="W1939" s="258"/>
      <c r="X1939" s="258"/>
      <c r="Y1939" s="258"/>
      <c r="Z1939" s="258"/>
      <c r="AA1939" s="258"/>
      <c r="AB1939" s="258"/>
      <c r="AC1939" s="407"/>
    </row>
    <row r="1940" spans="2:29" s="406" customFormat="1" ht="16.5" customHeight="1">
      <c r="B1940" s="256"/>
      <c r="C1940" s="256"/>
      <c r="D1940" s="414"/>
      <c r="E1940" s="414"/>
      <c r="F1940" s="414"/>
      <c r="G1940" s="253"/>
      <c r="H1940" s="253"/>
      <c r="I1940" s="253"/>
      <c r="J1940" s="253"/>
      <c r="K1940" s="253"/>
      <c r="L1940" s="253"/>
      <c r="M1940" s="253"/>
      <c r="N1940" s="253"/>
      <c r="O1940" s="258"/>
      <c r="P1940" s="258"/>
      <c r="Q1940" s="258"/>
      <c r="R1940" s="258"/>
      <c r="S1940" s="258"/>
      <c r="T1940" s="258"/>
      <c r="U1940" s="258"/>
      <c r="V1940" s="258"/>
      <c r="W1940" s="258"/>
      <c r="X1940" s="258"/>
      <c r="Y1940" s="258"/>
      <c r="Z1940" s="258"/>
      <c r="AA1940" s="258"/>
      <c r="AB1940" s="258"/>
      <c r="AC1940" s="407"/>
    </row>
    <row r="1941" spans="2:29" s="406" customFormat="1" ht="16.5" customHeight="1">
      <c r="B1941" s="256"/>
      <c r="C1941" s="256"/>
      <c r="D1941" s="414"/>
      <c r="E1941" s="414"/>
      <c r="F1941" s="414"/>
      <c r="G1941" s="253"/>
      <c r="H1941" s="253"/>
      <c r="I1941" s="253"/>
      <c r="J1941" s="253"/>
      <c r="K1941" s="253"/>
      <c r="L1941" s="253"/>
      <c r="M1941" s="253"/>
      <c r="N1941" s="253"/>
      <c r="O1941" s="258"/>
      <c r="P1941" s="258"/>
      <c r="Q1941" s="258"/>
      <c r="R1941" s="258"/>
      <c r="S1941" s="258"/>
      <c r="T1941" s="258"/>
      <c r="U1941" s="258"/>
      <c r="V1941" s="258"/>
      <c r="W1941" s="258"/>
      <c r="X1941" s="258"/>
      <c r="Y1941" s="258"/>
      <c r="Z1941" s="258"/>
      <c r="AA1941" s="258"/>
      <c r="AB1941" s="258"/>
      <c r="AC1941" s="407"/>
    </row>
    <row r="1942" spans="2:29" s="406" customFormat="1" ht="16.5" customHeight="1">
      <c r="B1942" s="256"/>
      <c r="C1942" s="256"/>
      <c r="D1942" s="414"/>
      <c r="E1942" s="414"/>
      <c r="F1942" s="414"/>
      <c r="G1942" s="253"/>
      <c r="H1942" s="253"/>
      <c r="I1942" s="253"/>
      <c r="J1942" s="253"/>
      <c r="K1942" s="253"/>
      <c r="L1942" s="253"/>
      <c r="M1942" s="253"/>
      <c r="N1942" s="253"/>
      <c r="O1942" s="258"/>
      <c r="P1942" s="258"/>
      <c r="Q1942" s="258"/>
      <c r="R1942" s="258"/>
      <c r="S1942" s="258"/>
      <c r="T1942" s="258"/>
      <c r="U1942" s="258"/>
      <c r="V1942" s="258"/>
      <c r="W1942" s="258"/>
      <c r="X1942" s="258"/>
      <c r="Y1942" s="258"/>
      <c r="Z1942" s="258"/>
      <c r="AA1942" s="258"/>
      <c r="AB1942" s="258"/>
      <c r="AC1942" s="407"/>
    </row>
    <row r="1943" spans="2:29" s="406" customFormat="1" ht="16.5" customHeight="1">
      <c r="B1943" s="256"/>
      <c r="C1943" s="256"/>
      <c r="D1943" s="414"/>
      <c r="E1943" s="414"/>
      <c r="F1943" s="414"/>
      <c r="G1943" s="253"/>
      <c r="H1943" s="253"/>
      <c r="I1943" s="253"/>
      <c r="J1943" s="253"/>
      <c r="K1943" s="253"/>
      <c r="L1943" s="253"/>
      <c r="M1943" s="253"/>
      <c r="N1943" s="253"/>
      <c r="O1943" s="258"/>
      <c r="P1943" s="258"/>
      <c r="Q1943" s="258"/>
      <c r="R1943" s="258"/>
      <c r="S1943" s="258"/>
      <c r="T1943" s="258"/>
      <c r="U1943" s="258"/>
      <c r="V1943" s="258"/>
      <c r="W1943" s="258"/>
      <c r="X1943" s="258"/>
      <c r="Y1943" s="258"/>
      <c r="Z1943" s="258"/>
      <c r="AA1943" s="258"/>
      <c r="AB1943" s="258"/>
      <c r="AC1943" s="407"/>
    </row>
    <row r="1944" spans="2:29" s="406" customFormat="1" ht="16.5" customHeight="1">
      <c r="B1944" s="256"/>
      <c r="C1944" s="256"/>
      <c r="D1944" s="414"/>
      <c r="E1944" s="414"/>
      <c r="F1944" s="414"/>
      <c r="G1944" s="253"/>
      <c r="H1944" s="253"/>
      <c r="I1944" s="253"/>
      <c r="J1944" s="253"/>
      <c r="K1944" s="253"/>
      <c r="L1944" s="253"/>
      <c r="M1944" s="253"/>
      <c r="N1944" s="253"/>
      <c r="O1944" s="258"/>
      <c r="P1944" s="258"/>
      <c r="Q1944" s="258"/>
      <c r="R1944" s="258"/>
      <c r="S1944" s="258"/>
      <c r="T1944" s="258"/>
      <c r="U1944" s="258"/>
      <c r="V1944" s="258"/>
      <c r="W1944" s="258"/>
      <c r="X1944" s="258"/>
      <c r="Y1944" s="258"/>
      <c r="Z1944" s="258"/>
      <c r="AA1944" s="258"/>
      <c r="AB1944" s="258"/>
      <c r="AC1944" s="407"/>
    </row>
    <row r="1945" spans="2:29" s="406" customFormat="1" ht="16.5" customHeight="1">
      <c r="B1945" s="256"/>
      <c r="C1945" s="256"/>
      <c r="D1945" s="414"/>
      <c r="E1945" s="414"/>
      <c r="F1945" s="414"/>
      <c r="G1945" s="253"/>
      <c r="H1945" s="253"/>
      <c r="I1945" s="253"/>
      <c r="J1945" s="253"/>
      <c r="K1945" s="253"/>
      <c r="L1945" s="253"/>
      <c r="M1945" s="253"/>
      <c r="N1945" s="253"/>
      <c r="O1945" s="258"/>
      <c r="P1945" s="258"/>
      <c r="Q1945" s="258"/>
      <c r="R1945" s="258"/>
      <c r="S1945" s="258"/>
      <c r="T1945" s="258"/>
      <c r="U1945" s="258"/>
      <c r="V1945" s="258"/>
      <c r="W1945" s="258"/>
      <c r="X1945" s="258"/>
      <c r="Y1945" s="258"/>
      <c r="Z1945" s="258"/>
      <c r="AA1945" s="258"/>
      <c r="AB1945" s="258"/>
      <c r="AC1945" s="407"/>
    </row>
    <row r="1946" spans="2:29" s="406" customFormat="1" ht="16.5" customHeight="1">
      <c r="B1946" s="256"/>
      <c r="C1946" s="256"/>
      <c r="D1946" s="414"/>
      <c r="E1946" s="414"/>
      <c r="F1946" s="414"/>
      <c r="G1946" s="253"/>
      <c r="H1946" s="253"/>
      <c r="I1946" s="253"/>
      <c r="J1946" s="253"/>
      <c r="K1946" s="253"/>
      <c r="L1946" s="253"/>
      <c r="M1946" s="253"/>
      <c r="N1946" s="253"/>
      <c r="O1946" s="258"/>
      <c r="P1946" s="258"/>
      <c r="Q1946" s="258"/>
      <c r="R1946" s="258"/>
      <c r="S1946" s="258"/>
      <c r="T1946" s="258"/>
      <c r="U1946" s="258"/>
      <c r="V1946" s="258"/>
      <c r="W1946" s="258"/>
      <c r="X1946" s="258"/>
      <c r="Y1946" s="258"/>
      <c r="Z1946" s="258"/>
      <c r="AA1946" s="258"/>
      <c r="AB1946" s="258"/>
      <c r="AC1946" s="407"/>
    </row>
    <row r="1947" spans="2:29" s="406" customFormat="1" ht="16.5" customHeight="1">
      <c r="B1947" s="256"/>
      <c r="C1947" s="256"/>
      <c r="D1947" s="414"/>
      <c r="E1947" s="414"/>
      <c r="F1947" s="414"/>
      <c r="G1947" s="253"/>
      <c r="H1947" s="253"/>
      <c r="I1947" s="253"/>
      <c r="J1947" s="253"/>
      <c r="K1947" s="253"/>
      <c r="L1947" s="253"/>
      <c r="M1947" s="253"/>
      <c r="N1947" s="253"/>
      <c r="O1947" s="258"/>
      <c r="P1947" s="258"/>
      <c r="Q1947" s="258"/>
      <c r="R1947" s="258"/>
      <c r="S1947" s="258"/>
      <c r="T1947" s="258"/>
      <c r="U1947" s="258"/>
      <c r="V1947" s="258"/>
      <c r="W1947" s="258"/>
      <c r="X1947" s="258"/>
      <c r="Y1947" s="258"/>
      <c r="Z1947" s="258"/>
      <c r="AA1947" s="258"/>
      <c r="AB1947" s="258"/>
      <c r="AC1947" s="407"/>
    </row>
    <row r="1948" spans="2:29" s="406" customFormat="1" ht="16.5" customHeight="1">
      <c r="B1948" s="256"/>
      <c r="C1948" s="256"/>
      <c r="D1948" s="414"/>
      <c r="E1948" s="414"/>
      <c r="F1948" s="414"/>
      <c r="G1948" s="253"/>
      <c r="H1948" s="253"/>
      <c r="I1948" s="253"/>
      <c r="J1948" s="253"/>
      <c r="K1948" s="253"/>
      <c r="L1948" s="253"/>
      <c r="M1948" s="253"/>
      <c r="N1948" s="253"/>
      <c r="O1948" s="258"/>
      <c r="P1948" s="258"/>
      <c r="Q1948" s="258"/>
      <c r="R1948" s="258"/>
      <c r="S1948" s="258"/>
      <c r="T1948" s="258"/>
      <c r="U1948" s="258"/>
      <c r="V1948" s="258"/>
      <c r="W1948" s="258"/>
      <c r="X1948" s="258"/>
      <c r="Y1948" s="258"/>
      <c r="Z1948" s="258"/>
      <c r="AA1948" s="258"/>
      <c r="AB1948" s="258"/>
      <c r="AC1948" s="407"/>
    </row>
    <row r="1949" spans="2:29" s="406" customFormat="1" ht="16.5" customHeight="1">
      <c r="B1949" s="256"/>
      <c r="C1949" s="256"/>
      <c r="D1949" s="414"/>
      <c r="E1949" s="414"/>
      <c r="F1949" s="414"/>
      <c r="G1949" s="253"/>
      <c r="H1949" s="253"/>
      <c r="I1949" s="253"/>
      <c r="J1949" s="253"/>
      <c r="K1949" s="253"/>
      <c r="L1949" s="253"/>
      <c r="M1949" s="253"/>
      <c r="N1949" s="253"/>
      <c r="O1949" s="258"/>
      <c r="P1949" s="258"/>
      <c r="Q1949" s="258"/>
      <c r="R1949" s="258"/>
      <c r="S1949" s="258"/>
      <c r="T1949" s="258"/>
      <c r="U1949" s="258"/>
      <c r="V1949" s="258"/>
      <c r="W1949" s="258"/>
      <c r="X1949" s="258"/>
      <c r="Y1949" s="258"/>
      <c r="Z1949" s="258"/>
      <c r="AA1949" s="258"/>
      <c r="AB1949" s="258"/>
      <c r="AC1949" s="407"/>
    </row>
    <row r="1950" spans="2:29" s="406" customFormat="1" ht="16.5" customHeight="1">
      <c r="B1950" s="256"/>
      <c r="C1950" s="256"/>
      <c r="D1950" s="414"/>
      <c r="E1950" s="414"/>
      <c r="F1950" s="414"/>
      <c r="G1950" s="253"/>
      <c r="H1950" s="253"/>
      <c r="I1950" s="253"/>
      <c r="J1950" s="253"/>
      <c r="K1950" s="253"/>
      <c r="L1950" s="253"/>
      <c r="M1950" s="253"/>
      <c r="N1950" s="253"/>
      <c r="O1950" s="258"/>
      <c r="P1950" s="258"/>
      <c r="Q1950" s="258"/>
      <c r="R1950" s="258"/>
      <c r="S1950" s="258"/>
      <c r="T1950" s="258"/>
      <c r="U1950" s="258"/>
      <c r="V1950" s="258"/>
      <c r="W1950" s="258"/>
      <c r="X1950" s="258"/>
      <c r="Y1950" s="258"/>
      <c r="Z1950" s="258"/>
      <c r="AA1950" s="258"/>
      <c r="AB1950" s="258"/>
      <c r="AC1950" s="407"/>
    </row>
    <row r="1951" spans="2:29" s="406" customFormat="1" ht="16.5" customHeight="1">
      <c r="B1951" s="256"/>
      <c r="C1951" s="256"/>
      <c r="D1951" s="414"/>
      <c r="E1951" s="414"/>
      <c r="F1951" s="414"/>
      <c r="G1951" s="253"/>
      <c r="H1951" s="253"/>
      <c r="I1951" s="253"/>
      <c r="J1951" s="253"/>
      <c r="K1951" s="253"/>
      <c r="L1951" s="253"/>
      <c r="M1951" s="253"/>
      <c r="N1951" s="253"/>
      <c r="O1951" s="258"/>
      <c r="P1951" s="258"/>
      <c r="Q1951" s="258"/>
      <c r="R1951" s="258"/>
      <c r="S1951" s="258"/>
      <c r="T1951" s="258"/>
      <c r="U1951" s="258"/>
      <c r="V1951" s="258"/>
      <c r="W1951" s="258"/>
      <c r="X1951" s="258"/>
      <c r="Y1951" s="258"/>
      <c r="Z1951" s="258"/>
      <c r="AA1951" s="258"/>
      <c r="AB1951" s="258"/>
      <c r="AC1951" s="407"/>
    </row>
    <row r="1952" spans="2:29" s="406" customFormat="1" ht="16.5" customHeight="1">
      <c r="B1952" s="256"/>
      <c r="C1952" s="256"/>
      <c r="D1952" s="414"/>
      <c r="E1952" s="414"/>
      <c r="F1952" s="414"/>
      <c r="G1952" s="253"/>
      <c r="H1952" s="253"/>
      <c r="I1952" s="253"/>
      <c r="J1952" s="253"/>
      <c r="K1952" s="253"/>
      <c r="L1952" s="253"/>
      <c r="M1952" s="253"/>
      <c r="N1952" s="253"/>
      <c r="O1952" s="258"/>
      <c r="P1952" s="258"/>
      <c r="Q1952" s="258"/>
      <c r="R1952" s="258"/>
      <c r="S1952" s="258"/>
      <c r="T1952" s="258"/>
      <c r="U1952" s="258"/>
      <c r="V1952" s="258"/>
      <c r="W1952" s="258"/>
      <c r="X1952" s="258"/>
      <c r="Y1952" s="258"/>
      <c r="Z1952" s="258"/>
      <c r="AA1952" s="258"/>
      <c r="AB1952" s="258"/>
      <c r="AC1952" s="407"/>
    </row>
    <row r="1953" spans="2:29" s="406" customFormat="1" ht="16.5" customHeight="1">
      <c r="B1953" s="256"/>
      <c r="C1953" s="256"/>
      <c r="D1953" s="414"/>
      <c r="E1953" s="414"/>
      <c r="F1953" s="414"/>
      <c r="G1953" s="253"/>
      <c r="H1953" s="253"/>
      <c r="I1953" s="253"/>
      <c r="J1953" s="253"/>
      <c r="K1953" s="253"/>
      <c r="L1953" s="253"/>
      <c r="M1953" s="253"/>
      <c r="N1953" s="253"/>
      <c r="O1953" s="258"/>
      <c r="P1953" s="258"/>
      <c r="Q1953" s="258"/>
      <c r="R1953" s="258"/>
      <c r="S1953" s="258"/>
      <c r="T1953" s="258"/>
      <c r="U1953" s="258"/>
      <c r="V1953" s="258"/>
      <c r="W1953" s="258"/>
      <c r="X1953" s="258"/>
      <c r="Y1953" s="258"/>
      <c r="Z1953" s="258"/>
      <c r="AA1953" s="258"/>
      <c r="AB1953" s="258"/>
      <c r="AC1953" s="407"/>
    </row>
    <row r="1954" spans="2:29" s="406" customFormat="1" ht="16.5" customHeight="1">
      <c r="B1954" s="256"/>
      <c r="C1954" s="256"/>
      <c r="D1954" s="414"/>
      <c r="E1954" s="414"/>
      <c r="F1954" s="414"/>
      <c r="G1954" s="253"/>
      <c r="H1954" s="253"/>
      <c r="I1954" s="253"/>
      <c r="J1954" s="253"/>
      <c r="K1954" s="253"/>
      <c r="L1954" s="253"/>
      <c r="M1954" s="253"/>
      <c r="N1954" s="253"/>
      <c r="O1954" s="258"/>
      <c r="P1954" s="258"/>
      <c r="Q1954" s="258"/>
      <c r="R1954" s="258"/>
      <c r="S1954" s="258"/>
      <c r="T1954" s="258"/>
      <c r="U1954" s="258"/>
      <c r="V1954" s="258"/>
      <c r="W1954" s="258"/>
      <c r="X1954" s="258"/>
      <c r="Y1954" s="258"/>
      <c r="Z1954" s="258"/>
      <c r="AA1954" s="258"/>
      <c r="AB1954" s="258"/>
      <c r="AC1954" s="407"/>
    </row>
    <row r="1955" spans="2:29" s="406" customFormat="1" ht="16.5" customHeight="1">
      <c r="B1955" s="256"/>
      <c r="C1955" s="256"/>
      <c r="D1955" s="414"/>
      <c r="E1955" s="414"/>
      <c r="F1955" s="414"/>
      <c r="G1955" s="253"/>
      <c r="H1955" s="253"/>
      <c r="I1955" s="253"/>
      <c r="J1955" s="253"/>
      <c r="K1955" s="253"/>
      <c r="L1955" s="253"/>
      <c r="M1955" s="253"/>
      <c r="N1955" s="253"/>
      <c r="O1955" s="258"/>
      <c r="P1955" s="258"/>
      <c r="Q1955" s="258"/>
      <c r="R1955" s="258"/>
      <c r="S1955" s="258"/>
      <c r="T1955" s="258"/>
      <c r="U1955" s="258"/>
      <c r="V1955" s="258"/>
      <c r="W1955" s="258"/>
      <c r="X1955" s="258"/>
      <c r="Y1955" s="258"/>
      <c r="Z1955" s="258"/>
      <c r="AA1955" s="258"/>
      <c r="AB1955" s="258"/>
      <c r="AC1955" s="407"/>
    </row>
    <row r="1956" spans="2:29" s="406" customFormat="1" ht="16.5" customHeight="1">
      <c r="B1956" s="256"/>
      <c r="C1956" s="256"/>
      <c r="D1956" s="414"/>
      <c r="E1956" s="414"/>
      <c r="F1956" s="414"/>
      <c r="G1956" s="253"/>
      <c r="H1956" s="253"/>
      <c r="I1956" s="253"/>
      <c r="J1956" s="253"/>
      <c r="K1956" s="253"/>
      <c r="L1956" s="253"/>
      <c r="M1956" s="253"/>
      <c r="N1956" s="253"/>
      <c r="O1956" s="258"/>
      <c r="P1956" s="258"/>
      <c r="Q1956" s="258"/>
      <c r="R1956" s="258"/>
      <c r="S1956" s="258"/>
      <c r="T1956" s="258"/>
      <c r="U1956" s="258"/>
      <c r="V1956" s="258"/>
      <c r="W1956" s="258"/>
      <c r="X1956" s="258"/>
      <c r="Y1956" s="258"/>
      <c r="Z1956" s="258"/>
      <c r="AA1956" s="258"/>
      <c r="AB1956" s="258"/>
      <c r="AC1956" s="407"/>
    </row>
    <row r="1957" spans="2:29" s="406" customFormat="1" ht="16.5" customHeight="1">
      <c r="B1957" s="256"/>
      <c r="C1957" s="256"/>
      <c r="D1957" s="414"/>
      <c r="E1957" s="414"/>
      <c r="F1957" s="414"/>
      <c r="G1957" s="253"/>
      <c r="H1957" s="253"/>
      <c r="I1957" s="253"/>
      <c r="J1957" s="253"/>
      <c r="K1957" s="253"/>
      <c r="L1957" s="253"/>
      <c r="M1957" s="253"/>
      <c r="N1957" s="253"/>
      <c r="O1957" s="258"/>
      <c r="P1957" s="258"/>
      <c r="Q1957" s="258"/>
      <c r="R1957" s="258"/>
      <c r="S1957" s="258"/>
      <c r="T1957" s="258"/>
      <c r="U1957" s="258"/>
      <c r="V1957" s="258"/>
      <c r="W1957" s="258"/>
      <c r="X1957" s="258"/>
      <c r="Y1957" s="258"/>
      <c r="Z1957" s="258"/>
      <c r="AA1957" s="258"/>
      <c r="AB1957" s="258"/>
      <c r="AC1957" s="407"/>
    </row>
    <row r="1958" spans="2:29" s="406" customFormat="1" ht="16.5" customHeight="1">
      <c r="B1958" s="256"/>
      <c r="C1958" s="256"/>
      <c r="D1958" s="414"/>
      <c r="E1958" s="414"/>
      <c r="F1958" s="414"/>
      <c r="G1958" s="253"/>
      <c r="H1958" s="253"/>
      <c r="I1958" s="253"/>
      <c r="J1958" s="253"/>
      <c r="K1958" s="253"/>
      <c r="L1958" s="253"/>
      <c r="M1958" s="253"/>
      <c r="N1958" s="253"/>
      <c r="O1958" s="258"/>
      <c r="P1958" s="258"/>
      <c r="Q1958" s="258"/>
      <c r="R1958" s="258"/>
      <c r="S1958" s="258"/>
      <c r="T1958" s="258"/>
      <c r="U1958" s="258"/>
      <c r="V1958" s="258"/>
      <c r="W1958" s="258"/>
      <c r="X1958" s="258"/>
      <c r="Y1958" s="258"/>
      <c r="Z1958" s="258"/>
      <c r="AA1958" s="258"/>
      <c r="AB1958" s="258"/>
      <c r="AC1958" s="407"/>
    </row>
    <row r="1959" spans="2:29" s="406" customFormat="1" ht="16.5" customHeight="1">
      <c r="B1959" s="256"/>
      <c r="C1959" s="256"/>
      <c r="D1959" s="414"/>
      <c r="E1959" s="414"/>
      <c r="F1959" s="414"/>
      <c r="G1959" s="253"/>
      <c r="H1959" s="253"/>
      <c r="I1959" s="253"/>
      <c r="J1959" s="253"/>
      <c r="K1959" s="253"/>
      <c r="L1959" s="253"/>
      <c r="M1959" s="253"/>
      <c r="N1959" s="253"/>
      <c r="O1959" s="258"/>
      <c r="P1959" s="258"/>
      <c r="Q1959" s="258"/>
      <c r="R1959" s="258"/>
      <c r="S1959" s="258"/>
      <c r="T1959" s="258"/>
      <c r="U1959" s="258"/>
      <c r="V1959" s="258"/>
      <c r="W1959" s="258"/>
      <c r="X1959" s="258"/>
      <c r="Y1959" s="258"/>
      <c r="Z1959" s="258"/>
      <c r="AA1959" s="258"/>
      <c r="AB1959" s="258"/>
      <c r="AC1959" s="407"/>
    </row>
    <row r="1960" spans="2:29" s="406" customFormat="1" ht="16.5" customHeight="1">
      <c r="B1960" s="256"/>
      <c r="C1960" s="256"/>
      <c r="D1960" s="414"/>
      <c r="E1960" s="414"/>
      <c r="F1960" s="414"/>
      <c r="G1960" s="253"/>
      <c r="H1960" s="253"/>
      <c r="I1960" s="253"/>
      <c r="J1960" s="253"/>
      <c r="K1960" s="253"/>
      <c r="L1960" s="253"/>
      <c r="M1960" s="253"/>
      <c r="N1960" s="253"/>
      <c r="O1960" s="258"/>
      <c r="P1960" s="258"/>
      <c r="Q1960" s="258"/>
      <c r="R1960" s="258"/>
      <c r="S1960" s="258"/>
      <c r="T1960" s="258"/>
      <c r="U1960" s="258"/>
      <c r="V1960" s="258"/>
      <c r="W1960" s="258"/>
      <c r="X1960" s="258"/>
      <c r="Y1960" s="258"/>
      <c r="Z1960" s="258"/>
      <c r="AA1960" s="258"/>
      <c r="AB1960" s="258"/>
      <c r="AC1960" s="407"/>
    </row>
    <row r="1961" spans="2:29" s="406" customFormat="1" ht="16.5" customHeight="1">
      <c r="B1961" s="256"/>
      <c r="C1961" s="256"/>
      <c r="D1961" s="414"/>
      <c r="E1961" s="414"/>
      <c r="F1961" s="414"/>
      <c r="G1961" s="253"/>
      <c r="H1961" s="253"/>
      <c r="I1961" s="253"/>
      <c r="J1961" s="253"/>
      <c r="K1961" s="253"/>
      <c r="L1961" s="253"/>
      <c r="M1961" s="253"/>
      <c r="N1961" s="253"/>
      <c r="O1961" s="258"/>
      <c r="P1961" s="258"/>
      <c r="Q1961" s="258"/>
      <c r="R1961" s="258"/>
      <c r="S1961" s="258"/>
      <c r="T1961" s="258"/>
      <c r="U1961" s="258"/>
      <c r="V1961" s="258"/>
      <c r="W1961" s="258"/>
      <c r="X1961" s="258"/>
      <c r="Y1961" s="258"/>
      <c r="Z1961" s="258"/>
      <c r="AA1961" s="258"/>
      <c r="AB1961" s="258"/>
      <c r="AC1961" s="407"/>
    </row>
    <row r="1962" spans="2:29" s="406" customFormat="1" ht="16.5" customHeight="1">
      <c r="B1962" s="256"/>
      <c r="C1962" s="256"/>
      <c r="D1962" s="414"/>
      <c r="E1962" s="414"/>
      <c r="F1962" s="414"/>
      <c r="G1962" s="253"/>
      <c r="H1962" s="253"/>
      <c r="I1962" s="253"/>
      <c r="J1962" s="253"/>
      <c r="K1962" s="253"/>
      <c r="L1962" s="253"/>
      <c r="M1962" s="253"/>
      <c r="N1962" s="253"/>
      <c r="O1962" s="258"/>
      <c r="P1962" s="258"/>
      <c r="Q1962" s="258"/>
      <c r="R1962" s="258"/>
      <c r="S1962" s="258"/>
      <c r="T1962" s="258"/>
      <c r="U1962" s="258"/>
      <c r="V1962" s="258"/>
      <c r="W1962" s="258"/>
      <c r="X1962" s="258"/>
      <c r="Y1962" s="258"/>
      <c r="Z1962" s="258"/>
      <c r="AA1962" s="258"/>
      <c r="AB1962" s="258"/>
      <c r="AC1962" s="407"/>
    </row>
    <row r="1963" spans="2:29" s="406" customFormat="1" ht="16.5" customHeight="1">
      <c r="B1963" s="256"/>
      <c r="C1963" s="256"/>
      <c r="D1963" s="414"/>
      <c r="E1963" s="414"/>
      <c r="F1963" s="414"/>
      <c r="G1963" s="253"/>
      <c r="H1963" s="253"/>
      <c r="I1963" s="253"/>
      <c r="J1963" s="253"/>
      <c r="K1963" s="253"/>
      <c r="L1963" s="253"/>
      <c r="M1963" s="253"/>
      <c r="N1963" s="253"/>
      <c r="O1963" s="258"/>
      <c r="P1963" s="258"/>
      <c r="Q1963" s="258"/>
      <c r="R1963" s="258"/>
      <c r="S1963" s="258"/>
      <c r="T1963" s="258"/>
      <c r="U1963" s="258"/>
      <c r="V1963" s="258"/>
      <c r="W1963" s="258"/>
      <c r="X1963" s="258"/>
      <c r="Y1963" s="258"/>
      <c r="Z1963" s="258"/>
      <c r="AA1963" s="258"/>
      <c r="AB1963" s="258"/>
      <c r="AC1963" s="407"/>
    </row>
    <row r="1964" spans="2:29" s="406" customFormat="1" ht="16.5" customHeight="1">
      <c r="B1964" s="256"/>
      <c r="C1964" s="256"/>
      <c r="D1964" s="414"/>
      <c r="E1964" s="414"/>
      <c r="F1964" s="414"/>
      <c r="G1964" s="253"/>
      <c r="H1964" s="253"/>
      <c r="I1964" s="253"/>
      <c r="J1964" s="253"/>
      <c r="K1964" s="253"/>
      <c r="L1964" s="253"/>
      <c r="M1964" s="253"/>
      <c r="N1964" s="253"/>
      <c r="O1964" s="258"/>
      <c r="P1964" s="258"/>
      <c r="Q1964" s="258"/>
      <c r="R1964" s="258"/>
      <c r="S1964" s="258"/>
      <c r="T1964" s="258"/>
      <c r="U1964" s="258"/>
      <c r="V1964" s="258"/>
      <c r="W1964" s="258"/>
      <c r="X1964" s="258"/>
      <c r="Y1964" s="258"/>
      <c r="Z1964" s="258"/>
      <c r="AA1964" s="258"/>
      <c r="AB1964" s="258"/>
      <c r="AC1964" s="407"/>
    </row>
    <row r="1965" spans="2:29" s="406" customFormat="1" ht="16.5" customHeight="1">
      <c r="B1965" s="256"/>
      <c r="C1965" s="256"/>
      <c r="D1965" s="414"/>
      <c r="E1965" s="414"/>
      <c r="F1965" s="414"/>
      <c r="G1965" s="253"/>
      <c r="H1965" s="253"/>
      <c r="I1965" s="253"/>
      <c r="J1965" s="253"/>
      <c r="K1965" s="253"/>
      <c r="L1965" s="253"/>
      <c r="M1965" s="253"/>
      <c r="N1965" s="253"/>
      <c r="O1965" s="258"/>
      <c r="P1965" s="258"/>
      <c r="Q1965" s="258"/>
      <c r="R1965" s="258"/>
      <c r="S1965" s="258"/>
      <c r="T1965" s="258"/>
      <c r="U1965" s="258"/>
      <c r="V1965" s="258"/>
      <c r="W1965" s="258"/>
      <c r="X1965" s="258"/>
      <c r="Y1965" s="258"/>
      <c r="Z1965" s="258"/>
      <c r="AA1965" s="258"/>
      <c r="AB1965" s="258"/>
      <c r="AC1965" s="407"/>
    </row>
    <row r="1966" spans="2:29" s="406" customFormat="1" ht="16.5" customHeight="1">
      <c r="B1966" s="256"/>
      <c r="C1966" s="256"/>
      <c r="D1966" s="414"/>
      <c r="E1966" s="414"/>
      <c r="F1966" s="414"/>
      <c r="G1966" s="253"/>
      <c r="H1966" s="253"/>
      <c r="I1966" s="253"/>
      <c r="J1966" s="253"/>
      <c r="K1966" s="253"/>
      <c r="L1966" s="253"/>
      <c r="M1966" s="253"/>
      <c r="N1966" s="253"/>
      <c r="O1966" s="258"/>
      <c r="P1966" s="258"/>
      <c r="Q1966" s="258"/>
      <c r="R1966" s="258"/>
      <c r="S1966" s="258"/>
      <c r="T1966" s="258"/>
      <c r="U1966" s="258"/>
      <c r="V1966" s="258"/>
      <c r="W1966" s="258"/>
      <c r="X1966" s="258"/>
      <c r="Y1966" s="258"/>
      <c r="Z1966" s="258"/>
      <c r="AA1966" s="258"/>
      <c r="AB1966" s="258"/>
      <c r="AC1966" s="407"/>
    </row>
    <row r="1967" spans="2:29" s="406" customFormat="1" ht="16.5" customHeight="1">
      <c r="B1967" s="256"/>
      <c r="C1967" s="256"/>
      <c r="D1967" s="414"/>
      <c r="E1967" s="414"/>
      <c r="F1967" s="414"/>
      <c r="G1967" s="253"/>
      <c r="H1967" s="253"/>
      <c r="I1967" s="253"/>
      <c r="J1967" s="253"/>
      <c r="K1967" s="253"/>
      <c r="L1967" s="253"/>
      <c r="M1967" s="253"/>
      <c r="N1967" s="253"/>
      <c r="O1967" s="258"/>
      <c r="P1967" s="258"/>
      <c r="Q1967" s="258"/>
      <c r="R1967" s="258"/>
      <c r="S1967" s="258"/>
      <c r="T1967" s="258"/>
      <c r="U1967" s="258"/>
      <c r="V1967" s="258"/>
      <c r="W1967" s="258"/>
      <c r="X1967" s="258"/>
      <c r="Y1967" s="258"/>
      <c r="Z1967" s="258"/>
      <c r="AA1967" s="258"/>
      <c r="AB1967" s="258"/>
      <c r="AC1967" s="407"/>
    </row>
    <row r="1968" spans="2:29" s="406" customFormat="1" ht="16.5" customHeight="1">
      <c r="B1968" s="256"/>
      <c r="C1968" s="256"/>
      <c r="D1968" s="414"/>
      <c r="E1968" s="414"/>
      <c r="F1968" s="414"/>
      <c r="G1968" s="253"/>
      <c r="H1968" s="253"/>
      <c r="I1968" s="253"/>
      <c r="J1968" s="253"/>
      <c r="K1968" s="253"/>
      <c r="L1968" s="253"/>
      <c r="M1968" s="253"/>
      <c r="N1968" s="253"/>
      <c r="O1968" s="258"/>
      <c r="P1968" s="258"/>
      <c r="Q1968" s="258"/>
      <c r="R1968" s="258"/>
      <c r="S1968" s="258"/>
      <c r="T1968" s="258"/>
      <c r="U1968" s="258"/>
      <c r="V1968" s="258"/>
      <c r="W1968" s="258"/>
      <c r="X1968" s="258"/>
      <c r="Y1968" s="258"/>
      <c r="Z1968" s="258"/>
      <c r="AA1968" s="258"/>
      <c r="AB1968" s="258"/>
      <c r="AC1968" s="407"/>
    </row>
    <row r="1969" spans="2:29" s="406" customFormat="1" ht="16.5" customHeight="1">
      <c r="B1969" s="256"/>
      <c r="C1969" s="256"/>
      <c r="D1969" s="414"/>
      <c r="E1969" s="414"/>
      <c r="F1969" s="414"/>
      <c r="G1969" s="253"/>
      <c r="H1969" s="253"/>
      <c r="I1969" s="253"/>
      <c r="J1969" s="253"/>
      <c r="K1969" s="253"/>
      <c r="L1969" s="253"/>
      <c r="M1969" s="253"/>
      <c r="N1969" s="253"/>
      <c r="O1969" s="258"/>
      <c r="P1969" s="258"/>
      <c r="Q1969" s="258"/>
      <c r="R1969" s="258"/>
      <c r="S1969" s="258"/>
      <c r="T1969" s="258"/>
      <c r="U1969" s="258"/>
      <c r="V1969" s="258"/>
      <c r="W1969" s="258"/>
      <c r="X1969" s="258"/>
      <c r="Y1969" s="258"/>
      <c r="Z1969" s="258"/>
      <c r="AA1969" s="258"/>
      <c r="AB1969" s="258"/>
      <c r="AC1969" s="407"/>
    </row>
    <row r="1970" spans="2:29" s="406" customFormat="1" ht="16.5" customHeight="1">
      <c r="B1970" s="256"/>
      <c r="C1970" s="256"/>
      <c r="D1970" s="414"/>
      <c r="E1970" s="414"/>
      <c r="F1970" s="414"/>
      <c r="G1970" s="253"/>
      <c r="H1970" s="253"/>
      <c r="I1970" s="253"/>
      <c r="J1970" s="253"/>
      <c r="K1970" s="253"/>
      <c r="L1970" s="253"/>
      <c r="M1970" s="253"/>
      <c r="N1970" s="253"/>
      <c r="O1970" s="258"/>
      <c r="P1970" s="258"/>
      <c r="Q1970" s="258"/>
      <c r="R1970" s="258"/>
      <c r="S1970" s="258"/>
      <c r="T1970" s="258"/>
      <c r="U1970" s="258"/>
      <c r="V1970" s="258"/>
      <c r="W1970" s="258"/>
      <c r="X1970" s="258"/>
      <c r="Y1970" s="258"/>
      <c r="Z1970" s="258"/>
      <c r="AA1970" s="258"/>
      <c r="AB1970" s="258"/>
      <c r="AC1970" s="407"/>
    </row>
    <row r="1971" spans="2:29" s="406" customFormat="1" ht="16.5" customHeight="1">
      <c r="B1971" s="256"/>
      <c r="C1971" s="256"/>
      <c r="D1971" s="414"/>
      <c r="E1971" s="414"/>
      <c r="F1971" s="414"/>
      <c r="G1971" s="253"/>
      <c r="H1971" s="253"/>
      <c r="I1971" s="253"/>
      <c r="J1971" s="253"/>
      <c r="K1971" s="253"/>
      <c r="L1971" s="253"/>
      <c r="M1971" s="253"/>
      <c r="N1971" s="253"/>
      <c r="O1971" s="258"/>
      <c r="P1971" s="258"/>
      <c r="Q1971" s="258"/>
      <c r="R1971" s="258"/>
      <c r="S1971" s="258"/>
      <c r="T1971" s="258"/>
      <c r="U1971" s="258"/>
      <c r="V1971" s="258"/>
      <c r="W1971" s="258"/>
      <c r="X1971" s="258"/>
      <c r="Y1971" s="258"/>
      <c r="Z1971" s="258"/>
      <c r="AA1971" s="258"/>
      <c r="AB1971" s="258"/>
      <c r="AC1971" s="407"/>
    </row>
    <row r="1972" spans="2:29" s="406" customFormat="1" ht="16.5" customHeight="1">
      <c r="B1972" s="256"/>
      <c r="C1972" s="256"/>
      <c r="D1972" s="414"/>
      <c r="E1972" s="414"/>
      <c r="F1972" s="414"/>
      <c r="G1972" s="253"/>
      <c r="H1972" s="253"/>
      <c r="I1972" s="253"/>
      <c r="J1972" s="253"/>
      <c r="K1972" s="253"/>
      <c r="L1972" s="253"/>
      <c r="M1972" s="253"/>
      <c r="N1972" s="253"/>
      <c r="O1972" s="258"/>
      <c r="P1972" s="258"/>
      <c r="Q1972" s="258"/>
      <c r="R1972" s="258"/>
      <c r="S1972" s="258"/>
      <c r="T1972" s="258"/>
      <c r="U1972" s="258"/>
      <c r="V1972" s="258"/>
      <c r="W1972" s="258"/>
      <c r="X1972" s="258"/>
      <c r="Y1972" s="258"/>
      <c r="Z1972" s="258"/>
      <c r="AA1972" s="258"/>
      <c r="AB1972" s="258"/>
      <c r="AC1972" s="407"/>
    </row>
    <row r="1973" spans="2:29" s="406" customFormat="1" ht="16.5" customHeight="1">
      <c r="B1973" s="256"/>
      <c r="C1973" s="256"/>
      <c r="D1973" s="414"/>
      <c r="E1973" s="414"/>
      <c r="F1973" s="414"/>
      <c r="G1973" s="253"/>
      <c r="H1973" s="253"/>
      <c r="I1973" s="253"/>
      <c r="J1973" s="253"/>
      <c r="K1973" s="253"/>
      <c r="L1973" s="253"/>
      <c r="M1973" s="253"/>
      <c r="N1973" s="253"/>
      <c r="O1973" s="258"/>
      <c r="P1973" s="258"/>
      <c r="Q1973" s="258"/>
      <c r="R1973" s="258"/>
      <c r="S1973" s="258"/>
      <c r="T1973" s="258"/>
      <c r="U1973" s="258"/>
      <c r="V1973" s="258"/>
      <c r="W1973" s="258"/>
      <c r="X1973" s="258"/>
      <c r="Y1973" s="258"/>
      <c r="Z1973" s="258"/>
      <c r="AA1973" s="258"/>
      <c r="AB1973" s="258"/>
      <c r="AC1973" s="407"/>
    </row>
    <row r="1974" spans="2:29" s="406" customFormat="1" ht="16.5" customHeight="1">
      <c r="B1974" s="256"/>
      <c r="C1974" s="256"/>
      <c r="D1974" s="414"/>
      <c r="E1974" s="414"/>
      <c r="F1974" s="414"/>
      <c r="G1974" s="253"/>
      <c r="H1974" s="253"/>
      <c r="I1974" s="253"/>
      <c r="J1974" s="253"/>
      <c r="K1974" s="253"/>
      <c r="L1974" s="253"/>
      <c r="M1974" s="253"/>
      <c r="N1974" s="253"/>
      <c r="O1974" s="258"/>
      <c r="P1974" s="258"/>
      <c r="Q1974" s="258"/>
      <c r="R1974" s="258"/>
      <c r="S1974" s="258"/>
      <c r="T1974" s="258"/>
      <c r="U1974" s="258"/>
      <c r="V1974" s="258"/>
      <c r="W1974" s="258"/>
      <c r="X1974" s="258"/>
      <c r="Y1974" s="258"/>
      <c r="Z1974" s="258"/>
      <c r="AA1974" s="258"/>
      <c r="AB1974" s="258"/>
      <c r="AC1974" s="407"/>
    </row>
    <row r="1975" spans="2:29" s="406" customFormat="1" ht="16.5" customHeight="1">
      <c r="B1975" s="256"/>
      <c r="C1975" s="256"/>
      <c r="D1975" s="414"/>
      <c r="E1975" s="414"/>
      <c r="F1975" s="414"/>
      <c r="G1975" s="253"/>
      <c r="H1975" s="253"/>
      <c r="I1975" s="253"/>
      <c r="J1975" s="253"/>
      <c r="K1975" s="253"/>
      <c r="L1975" s="253"/>
      <c r="M1975" s="253"/>
      <c r="N1975" s="253"/>
      <c r="O1975" s="258"/>
      <c r="P1975" s="258"/>
      <c r="Q1975" s="258"/>
      <c r="R1975" s="258"/>
      <c r="S1975" s="258"/>
      <c r="T1975" s="258"/>
      <c r="U1975" s="258"/>
      <c r="V1975" s="258"/>
      <c r="W1975" s="258"/>
      <c r="X1975" s="258"/>
      <c r="Y1975" s="258"/>
      <c r="Z1975" s="258"/>
      <c r="AA1975" s="258"/>
      <c r="AB1975" s="258"/>
      <c r="AC1975" s="407"/>
    </row>
    <row r="1976" spans="2:29" s="406" customFormat="1" ht="16.5" customHeight="1">
      <c r="B1976" s="256"/>
      <c r="C1976" s="256"/>
      <c r="D1976" s="414"/>
      <c r="E1976" s="414"/>
      <c r="F1976" s="414"/>
      <c r="G1976" s="253"/>
      <c r="H1976" s="253"/>
      <c r="I1976" s="253"/>
      <c r="J1976" s="253"/>
      <c r="K1976" s="253"/>
      <c r="L1976" s="253"/>
      <c r="M1976" s="253"/>
      <c r="N1976" s="253"/>
      <c r="O1976" s="258"/>
      <c r="P1976" s="258"/>
      <c r="Q1976" s="258"/>
      <c r="R1976" s="258"/>
      <c r="S1976" s="258"/>
      <c r="T1976" s="258"/>
      <c r="U1976" s="258"/>
      <c r="V1976" s="258"/>
      <c r="W1976" s="258"/>
      <c r="X1976" s="258"/>
      <c r="Y1976" s="258"/>
      <c r="Z1976" s="258"/>
      <c r="AA1976" s="258"/>
      <c r="AB1976" s="258"/>
      <c r="AC1976" s="407"/>
    </row>
    <row r="1977" spans="2:29" s="406" customFormat="1" ht="16.5" customHeight="1">
      <c r="B1977" s="256"/>
      <c r="C1977" s="256"/>
      <c r="D1977" s="414"/>
      <c r="E1977" s="414"/>
      <c r="F1977" s="414"/>
      <c r="G1977" s="253"/>
      <c r="H1977" s="253"/>
      <c r="I1977" s="253"/>
      <c r="J1977" s="253"/>
      <c r="K1977" s="253"/>
      <c r="L1977" s="253"/>
      <c r="M1977" s="253"/>
      <c r="N1977" s="253"/>
      <c r="O1977" s="258"/>
      <c r="P1977" s="258"/>
      <c r="Q1977" s="258"/>
      <c r="R1977" s="258"/>
      <c r="S1977" s="258"/>
      <c r="T1977" s="258"/>
      <c r="U1977" s="258"/>
      <c r="V1977" s="258"/>
      <c r="W1977" s="258"/>
      <c r="X1977" s="258"/>
      <c r="Y1977" s="258"/>
      <c r="Z1977" s="258"/>
      <c r="AA1977" s="258"/>
      <c r="AB1977" s="258"/>
      <c r="AC1977" s="407"/>
    </row>
    <row r="1978" spans="2:29" s="406" customFormat="1" ht="16.5" customHeight="1">
      <c r="B1978" s="256"/>
      <c r="C1978" s="256"/>
      <c r="D1978" s="414"/>
      <c r="E1978" s="414"/>
      <c r="F1978" s="414"/>
      <c r="G1978" s="253"/>
      <c r="H1978" s="253"/>
      <c r="I1978" s="253"/>
      <c r="J1978" s="253"/>
      <c r="K1978" s="253"/>
      <c r="L1978" s="253"/>
      <c r="M1978" s="253"/>
      <c r="N1978" s="253"/>
      <c r="O1978" s="258"/>
      <c r="P1978" s="258"/>
      <c r="Q1978" s="258"/>
      <c r="R1978" s="258"/>
      <c r="S1978" s="258"/>
      <c r="T1978" s="258"/>
      <c r="U1978" s="258"/>
      <c r="V1978" s="258"/>
      <c r="W1978" s="258"/>
      <c r="X1978" s="258"/>
      <c r="Y1978" s="258"/>
      <c r="Z1978" s="258"/>
      <c r="AA1978" s="258"/>
      <c r="AB1978" s="258"/>
      <c r="AC1978" s="407"/>
    </row>
    <row r="1979" spans="2:29" s="406" customFormat="1" ht="16.5" customHeight="1">
      <c r="B1979" s="256"/>
      <c r="C1979" s="256"/>
      <c r="D1979" s="414"/>
      <c r="E1979" s="414"/>
      <c r="F1979" s="414"/>
      <c r="G1979" s="253"/>
      <c r="H1979" s="253"/>
      <c r="I1979" s="253"/>
      <c r="J1979" s="253"/>
      <c r="K1979" s="253"/>
      <c r="L1979" s="253"/>
      <c r="M1979" s="253"/>
      <c r="N1979" s="253"/>
      <c r="O1979" s="258"/>
      <c r="P1979" s="258"/>
      <c r="Q1979" s="258"/>
      <c r="R1979" s="258"/>
      <c r="S1979" s="258"/>
      <c r="T1979" s="258"/>
      <c r="U1979" s="258"/>
      <c r="V1979" s="258"/>
      <c r="W1979" s="258"/>
      <c r="X1979" s="258"/>
      <c r="Y1979" s="258"/>
      <c r="Z1979" s="258"/>
      <c r="AA1979" s="258"/>
      <c r="AB1979" s="258"/>
      <c r="AC1979" s="407"/>
    </row>
    <row r="1980" spans="2:29" s="406" customFormat="1" ht="16.5" customHeight="1">
      <c r="B1980" s="256"/>
      <c r="C1980" s="256"/>
      <c r="D1980" s="414"/>
      <c r="E1980" s="414"/>
      <c r="F1980" s="414"/>
      <c r="G1980" s="253"/>
      <c r="H1980" s="253"/>
      <c r="I1980" s="253"/>
      <c r="J1980" s="253"/>
      <c r="K1980" s="253"/>
      <c r="L1980" s="253"/>
      <c r="M1980" s="253"/>
      <c r="N1980" s="253"/>
      <c r="O1980" s="258"/>
      <c r="P1980" s="258"/>
      <c r="Q1980" s="258"/>
      <c r="R1980" s="258"/>
      <c r="S1980" s="258"/>
      <c r="T1980" s="258"/>
      <c r="U1980" s="258"/>
      <c r="V1980" s="258"/>
      <c r="W1980" s="258"/>
      <c r="X1980" s="258"/>
      <c r="Y1980" s="258"/>
      <c r="Z1980" s="258"/>
      <c r="AA1980" s="258"/>
      <c r="AB1980" s="258"/>
      <c r="AC1980" s="407"/>
    </row>
    <row r="1981" spans="2:29" s="406" customFormat="1" ht="16.5" customHeight="1">
      <c r="B1981" s="256"/>
      <c r="C1981" s="256"/>
      <c r="D1981" s="414"/>
      <c r="E1981" s="414"/>
      <c r="F1981" s="414"/>
      <c r="G1981" s="253"/>
      <c r="H1981" s="253"/>
      <c r="I1981" s="253"/>
      <c r="J1981" s="253"/>
      <c r="K1981" s="253"/>
      <c r="L1981" s="253"/>
      <c r="M1981" s="253"/>
      <c r="N1981" s="253"/>
      <c r="O1981" s="258"/>
      <c r="P1981" s="258"/>
      <c r="Q1981" s="258"/>
      <c r="R1981" s="258"/>
      <c r="S1981" s="258"/>
      <c r="T1981" s="258"/>
      <c r="U1981" s="258"/>
      <c r="V1981" s="258"/>
      <c r="W1981" s="258"/>
      <c r="X1981" s="258"/>
      <c r="Y1981" s="258"/>
      <c r="Z1981" s="258"/>
      <c r="AA1981" s="258"/>
      <c r="AB1981" s="258"/>
      <c r="AC1981" s="407"/>
    </row>
    <row r="1982" spans="2:29" s="406" customFormat="1" ht="16.5" customHeight="1">
      <c r="B1982" s="256"/>
      <c r="C1982" s="256"/>
      <c r="D1982" s="414"/>
      <c r="E1982" s="414"/>
      <c r="F1982" s="414"/>
      <c r="G1982" s="253"/>
      <c r="H1982" s="253"/>
      <c r="I1982" s="253"/>
      <c r="J1982" s="253"/>
      <c r="K1982" s="253"/>
      <c r="L1982" s="253"/>
      <c r="M1982" s="253"/>
      <c r="N1982" s="253"/>
      <c r="O1982" s="258"/>
      <c r="P1982" s="258"/>
      <c r="Q1982" s="258"/>
      <c r="R1982" s="258"/>
      <c r="S1982" s="258"/>
      <c r="T1982" s="258"/>
      <c r="U1982" s="258"/>
      <c r="V1982" s="258"/>
      <c r="W1982" s="258"/>
      <c r="X1982" s="258"/>
      <c r="Y1982" s="258"/>
      <c r="Z1982" s="258"/>
      <c r="AA1982" s="258"/>
      <c r="AB1982" s="258"/>
      <c r="AC1982" s="407"/>
    </row>
    <row r="1983" spans="2:29" s="406" customFormat="1" ht="16.5" customHeight="1">
      <c r="B1983" s="256"/>
      <c r="C1983" s="256"/>
      <c r="D1983" s="414"/>
      <c r="E1983" s="414"/>
      <c r="F1983" s="414"/>
      <c r="G1983" s="253"/>
      <c r="H1983" s="253"/>
      <c r="I1983" s="253"/>
      <c r="J1983" s="253"/>
      <c r="K1983" s="253"/>
      <c r="L1983" s="253"/>
      <c r="M1983" s="253"/>
      <c r="N1983" s="253"/>
      <c r="O1983" s="258"/>
      <c r="P1983" s="258"/>
      <c r="Q1983" s="258"/>
      <c r="R1983" s="258"/>
      <c r="S1983" s="258"/>
      <c r="T1983" s="258"/>
      <c r="U1983" s="258"/>
      <c r="V1983" s="258"/>
      <c r="W1983" s="258"/>
      <c r="X1983" s="258"/>
      <c r="Y1983" s="258"/>
      <c r="Z1983" s="258"/>
      <c r="AA1983" s="258"/>
      <c r="AB1983" s="258"/>
      <c r="AC1983" s="407"/>
    </row>
    <row r="1984" spans="2:29" s="406" customFormat="1" ht="16.5" customHeight="1">
      <c r="B1984" s="256"/>
      <c r="C1984" s="256"/>
      <c r="D1984" s="414"/>
      <c r="E1984" s="414"/>
      <c r="F1984" s="414"/>
      <c r="G1984" s="253"/>
      <c r="H1984" s="253"/>
      <c r="I1984" s="253"/>
      <c r="J1984" s="253"/>
      <c r="K1984" s="253"/>
      <c r="L1984" s="253"/>
      <c r="M1984" s="253"/>
      <c r="N1984" s="253"/>
      <c r="O1984" s="258"/>
      <c r="P1984" s="258"/>
      <c r="Q1984" s="258"/>
      <c r="R1984" s="258"/>
      <c r="S1984" s="258"/>
      <c r="T1984" s="258"/>
      <c r="U1984" s="258"/>
      <c r="V1984" s="258"/>
      <c r="W1984" s="258"/>
      <c r="X1984" s="258"/>
      <c r="Y1984" s="258"/>
      <c r="Z1984" s="258"/>
      <c r="AA1984" s="258"/>
      <c r="AB1984" s="258"/>
      <c r="AC1984" s="407"/>
    </row>
    <row r="1985" spans="2:29" s="406" customFormat="1" ht="16.5" customHeight="1">
      <c r="B1985" s="256"/>
      <c r="C1985" s="256"/>
      <c r="D1985" s="414"/>
      <c r="E1985" s="414"/>
      <c r="F1985" s="414"/>
      <c r="G1985" s="253"/>
      <c r="H1985" s="253"/>
      <c r="I1985" s="253"/>
      <c r="J1985" s="253"/>
      <c r="K1985" s="253"/>
      <c r="L1985" s="253"/>
      <c r="M1985" s="253"/>
      <c r="N1985" s="253"/>
      <c r="O1985" s="258"/>
      <c r="P1985" s="258"/>
      <c r="Q1985" s="258"/>
      <c r="R1985" s="258"/>
      <c r="S1985" s="258"/>
      <c r="T1985" s="258"/>
      <c r="U1985" s="258"/>
      <c r="V1985" s="258"/>
      <c r="W1985" s="258"/>
      <c r="X1985" s="258"/>
      <c r="Y1985" s="258"/>
      <c r="Z1985" s="258"/>
      <c r="AA1985" s="258"/>
      <c r="AB1985" s="258"/>
      <c r="AC1985" s="407"/>
    </row>
    <row r="1986" spans="2:29" s="406" customFormat="1" ht="16.5" customHeight="1">
      <c r="B1986" s="256"/>
      <c r="C1986" s="256"/>
      <c r="D1986" s="414"/>
      <c r="E1986" s="414"/>
      <c r="F1986" s="414"/>
      <c r="G1986" s="253"/>
      <c r="H1986" s="253"/>
      <c r="I1986" s="253"/>
      <c r="J1986" s="253"/>
      <c r="K1986" s="253"/>
      <c r="L1986" s="253"/>
      <c r="M1986" s="253"/>
      <c r="N1986" s="253"/>
      <c r="O1986" s="258"/>
      <c r="P1986" s="258"/>
      <c r="Q1986" s="258"/>
      <c r="R1986" s="258"/>
      <c r="S1986" s="258"/>
      <c r="T1986" s="258"/>
      <c r="U1986" s="258"/>
      <c r="V1986" s="258"/>
      <c r="W1986" s="258"/>
      <c r="X1986" s="258"/>
      <c r="Y1986" s="258"/>
      <c r="Z1986" s="258"/>
      <c r="AA1986" s="258"/>
      <c r="AB1986" s="258"/>
      <c r="AC1986" s="407"/>
    </row>
    <row r="1987" spans="2:29" s="406" customFormat="1" ht="16.5" customHeight="1">
      <c r="B1987" s="256"/>
      <c r="C1987" s="256"/>
      <c r="D1987" s="414"/>
      <c r="E1987" s="414"/>
      <c r="F1987" s="414"/>
      <c r="G1987" s="253"/>
      <c r="H1987" s="253"/>
      <c r="I1987" s="253"/>
      <c r="J1987" s="253"/>
      <c r="K1987" s="253"/>
      <c r="L1987" s="253"/>
      <c r="M1987" s="253"/>
      <c r="N1987" s="253"/>
      <c r="O1987" s="258"/>
      <c r="P1987" s="258"/>
      <c r="Q1987" s="258"/>
      <c r="R1987" s="258"/>
      <c r="S1987" s="258"/>
      <c r="T1987" s="258"/>
      <c r="U1987" s="258"/>
      <c r="V1987" s="258"/>
      <c r="W1987" s="258"/>
      <c r="X1987" s="258"/>
      <c r="Y1987" s="258"/>
      <c r="Z1987" s="258"/>
      <c r="AA1987" s="258"/>
      <c r="AB1987" s="258"/>
      <c r="AC1987" s="407"/>
    </row>
    <row r="1988" spans="2:29" s="406" customFormat="1" ht="16.5" customHeight="1">
      <c r="B1988" s="256"/>
      <c r="C1988" s="256"/>
      <c r="D1988" s="414"/>
      <c r="E1988" s="414"/>
      <c r="F1988" s="414"/>
      <c r="G1988" s="253"/>
      <c r="H1988" s="253"/>
      <c r="I1988" s="253"/>
      <c r="J1988" s="253"/>
      <c r="K1988" s="253"/>
      <c r="L1988" s="253"/>
      <c r="M1988" s="253"/>
      <c r="N1988" s="253"/>
      <c r="O1988" s="258"/>
      <c r="P1988" s="258"/>
      <c r="Q1988" s="258"/>
      <c r="R1988" s="258"/>
      <c r="S1988" s="258"/>
      <c r="T1988" s="258"/>
      <c r="U1988" s="258"/>
      <c r="V1988" s="258"/>
      <c r="W1988" s="258"/>
      <c r="X1988" s="258"/>
      <c r="Y1988" s="258"/>
      <c r="Z1988" s="258"/>
      <c r="AA1988" s="258"/>
      <c r="AB1988" s="258"/>
      <c r="AC1988" s="407"/>
    </row>
    <row r="1989" spans="2:29" s="406" customFormat="1" ht="16.5" customHeight="1">
      <c r="B1989" s="256"/>
      <c r="C1989" s="256"/>
      <c r="D1989" s="414"/>
      <c r="E1989" s="414"/>
      <c r="F1989" s="414"/>
      <c r="G1989" s="253"/>
      <c r="H1989" s="253"/>
      <c r="I1989" s="253"/>
      <c r="J1989" s="253"/>
      <c r="K1989" s="253"/>
      <c r="L1989" s="253"/>
      <c r="M1989" s="253"/>
      <c r="N1989" s="253"/>
      <c r="O1989" s="258"/>
      <c r="P1989" s="258"/>
      <c r="Q1989" s="258"/>
      <c r="R1989" s="258"/>
      <c r="S1989" s="258"/>
      <c r="T1989" s="258"/>
      <c r="U1989" s="258"/>
      <c r="V1989" s="258"/>
      <c r="W1989" s="258"/>
      <c r="X1989" s="258"/>
      <c r="Y1989" s="258"/>
      <c r="Z1989" s="258"/>
      <c r="AA1989" s="258"/>
      <c r="AB1989" s="258"/>
      <c r="AC1989" s="407"/>
    </row>
    <row r="1990" spans="2:29" s="406" customFormat="1" ht="16.5" customHeight="1">
      <c r="B1990" s="256"/>
      <c r="C1990" s="256"/>
      <c r="D1990" s="414"/>
      <c r="E1990" s="414"/>
      <c r="F1990" s="414"/>
      <c r="G1990" s="253"/>
      <c r="H1990" s="253"/>
      <c r="I1990" s="253"/>
      <c r="J1990" s="253"/>
      <c r="K1990" s="253"/>
      <c r="L1990" s="253"/>
      <c r="M1990" s="253"/>
      <c r="N1990" s="253"/>
      <c r="O1990" s="258"/>
      <c r="P1990" s="258"/>
      <c r="Q1990" s="258"/>
      <c r="R1990" s="258"/>
      <c r="S1990" s="258"/>
      <c r="T1990" s="258"/>
      <c r="U1990" s="258"/>
      <c r="V1990" s="258"/>
      <c r="W1990" s="258"/>
      <c r="X1990" s="258"/>
      <c r="Y1990" s="258"/>
      <c r="Z1990" s="258"/>
      <c r="AA1990" s="258"/>
      <c r="AB1990" s="258"/>
      <c r="AC1990" s="407"/>
    </row>
    <row r="1991" spans="2:29" s="406" customFormat="1" ht="16.5" customHeight="1">
      <c r="B1991" s="256"/>
      <c r="C1991" s="256"/>
      <c r="D1991" s="414"/>
      <c r="E1991" s="414"/>
      <c r="F1991" s="414"/>
      <c r="G1991" s="253"/>
      <c r="H1991" s="253"/>
      <c r="I1991" s="253"/>
      <c r="J1991" s="253"/>
      <c r="K1991" s="253"/>
      <c r="L1991" s="253"/>
      <c r="M1991" s="253"/>
      <c r="N1991" s="253"/>
      <c r="O1991" s="258"/>
      <c r="P1991" s="258"/>
      <c r="Q1991" s="258"/>
      <c r="R1991" s="258"/>
      <c r="S1991" s="258"/>
      <c r="T1991" s="258"/>
      <c r="U1991" s="258"/>
      <c r="V1991" s="258"/>
      <c r="W1991" s="258"/>
      <c r="X1991" s="258"/>
      <c r="Y1991" s="258"/>
      <c r="Z1991" s="258"/>
      <c r="AA1991" s="258"/>
      <c r="AB1991" s="258"/>
      <c r="AC1991" s="407"/>
    </row>
    <row r="1992" spans="2:29" s="406" customFormat="1" ht="16.5" customHeight="1">
      <c r="B1992" s="256"/>
      <c r="C1992" s="256"/>
      <c r="D1992" s="414"/>
      <c r="E1992" s="414"/>
      <c r="F1992" s="414"/>
      <c r="G1992" s="253"/>
      <c r="H1992" s="253"/>
      <c r="I1992" s="253"/>
      <c r="J1992" s="253"/>
      <c r="K1992" s="253"/>
      <c r="L1992" s="253"/>
      <c r="M1992" s="253"/>
      <c r="N1992" s="253"/>
      <c r="O1992" s="258"/>
      <c r="P1992" s="258"/>
      <c r="Q1992" s="258"/>
      <c r="R1992" s="258"/>
      <c r="S1992" s="258"/>
      <c r="T1992" s="258"/>
      <c r="U1992" s="258"/>
      <c r="V1992" s="258"/>
      <c r="W1992" s="258"/>
      <c r="X1992" s="258"/>
      <c r="Y1992" s="258"/>
      <c r="Z1992" s="258"/>
      <c r="AA1992" s="258"/>
      <c r="AB1992" s="258"/>
      <c r="AC1992" s="407"/>
    </row>
    <row r="1993" spans="2:29" s="406" customFormat="1" ht="16.5" customHeight="1">
      <c r="B1993" s="256"/>
      <c r="C1993" s="256"/>
      <c r="D1993" s="414"/>
      <c r="E1993" s="414"/>
      <c r="F1993" s="414"/>
      <c r="G1993" s="253"/>
      <c r="H1993" s="253"/>
      <c r="I1993" s="253"/>
      <c r="J1993" s="253"/>
      <c r="K1993" s="253"/>
      <c r="L1993" s="253"/>
      <c r="M1993" s="253"/>
      <c r="N1993" s="253"/>
      <c r="O1993" s="258"/>
      <c r="P1993" s="258"/>
      <c r="Q1993" s="258"/>
      <c r="R1993" s="258"/>
      <c r="S1993" s="258"/>
      <c r="T1993" s="258"/>
      <c r="U1993" s="258"/>
      <c r="V1993" s="258"/>
      <c r="W1993" s="258"/>
      <c r="X1993" s="258"/>
      <c r="Y1993" s="258"/>
      <c r="Z1993" s="258"/>
      <c r="AA1993" s="258"/>
      <c r="AB1993" s="258"/>
      <c r="AC1993" s="407"/>
    </row>
    <row r="1994" spans="2:29" s="406" customFormat="1" ht="16.5" customHeight="1">
      <c r="B1994" s="256"/>
      <c r="C1994" s="256"/>
      <c r="D1994" s="414"/>
      <c r="E1994" s="414"/>
      <c r="F1994" s="414"/>
      <c r="G1994" s="253"/>
      <c r="H1994" s="253"/>
      <c r="I1994" s="253"/>
      <c r="J1994" s="253"/>
      <c r="K1994" s="253"/>
      <c r="L1994" s="253"/>
      <c r="M1994" s="253"/>
      <c r="N1994" s="253"/>
      <c r="O1994" s="258"/>
      <c r="P1994" s="258"/>
      <c r="Q1994" s="258"/>
      <c r="R1994" s="258"/>
      <c r="S1994" s="258"/>
      <c r="T1994" s="258"/>
      <c r="U1994" s="258"/>
      <c r="V1994" s="258"/>
      <c r="W1994" s="258"/>
      <c r="X1994" s="258"/>
      <c r="Y1994" s="258"/>
      <c r="Z1994" s="258"/>
      <c r="AA1994" s="258"/>
      <c r="AB1994" s="258"/>
      <c r="AC1994" s="407"/>
    </row>
    <row r="1995" spans="2:29" s="406" customFormat="1" ht="16.5" customHeight="1">
      <c r="B1995" s="256"/>
      <c r="C1995" s="256"/>
      <c r="D1995" s="414"/>
      <c r="E1995" s="414"/>
      <c r="F1995" s="414"/>
      <c r="G1995" s="253"/>
      <c r="H1995" s="253"/>
      <c r="I1995" s="253"/>
      <c r="J1995" s="253"/>
      <c r="K1995" s="253"/>
      <c r="L1995" s="253"/>
      <c r="M1995" s="253"/>
      <c r="N1995" s="253"/>
      <c r="O1995" s="258"/>
      <c r="P1995" s="258"/>
      <c r="Q1995" s="258"/>
      <c r="R1995" s="258"/>
      <c r="S1995" s="258"/>
      <c r="T1995" s="258"/>
      <c r="U1995" s="258"/>
      <c r="V1995" s="258"/>
      <c r="W1995" s="258"/>
      <c r="X1995" s="258"/>
      <c r="Y1995" s="258"/>
      <c r="Z1995" s="258"/>
      <c r="AA1995" s="258"/>
      <c r="AB1995" s="258"/>
      <c r="AC1995" s="407"/>
    </row>
    <row r="1996" spans="2:29" s="406" customFormat="1" ht="16.5" customHeight="1">
      <c r="B1996" s="256"/>
      <c r="C1996" s="256"/>
      <c r="D1996" s="414"/>
      <c r="E1996" s="414"/>
      <c r="F1996" s="414"/>
      <c r="G1996" s="253"/>
      <c r="H1996" s="253"/>
      <c r="I1996" s="253"/>
      <c r="J1996" s="253"/>
      <c r="K1996" s="253"/>
      <c r="L1996" s="253"/>
      <c r="M1996" s="253"/>
      <c r="N1996" s="253"/>
      <c r="O1996" s="258"/>
      <c r="P1996" s="258"/>
      <c r="Q1996" s="258"/>
      <c r="R1996" s="258"/>
      <c r="S1996" s="258"/>
      <c r="T1996" s="258"/>
      <c r="U1996" s="258"/>
      <c r="V1996" s="258"/>
      <c r="W1996" s="258"/>
      <c r="X1996" s="258"/>
      <c r="Y1996" s="258"/>
      <c r="Z1996" s="258"/>
      <c r="AA1996" s="258"/>
      <c r="AB1996" s="258"/>
      <c r="AC1996" s="407"/>
    </row>
    <row r="1997" spans="2:29" s="406" customFormat="1" ht="16.5" customHeight="1">
      <c r="B1997" s="256"/>
      <c r="C1997" s="256"/>
      <c r="D1997" s="414"/>
      <c r="E1997" s="414"/>
      <c r="F1997" s="414"/>
      <c r="G1997" s="253"/>
      <c r="H1997" s="253"/>
      <c r="I1997" s="253"/>
      <c r="J1997" s="253"/>
      <c r="K1997" s="253"/>
      <c r="L1997" s="253"/>
      <c r="M1997" s="253"/>
      <c r="N1997" s="253"/>
      <c r="O1997" s="258"/>
      <c r="P1997" s="258"/>
      <c r="Q1997" s="258"/>
      <c r="R1997" s="258"/>
      <c r="S1997" s="258"/>
      <c r="T1997" s="258"/>
      <c r="U1997" s="258"/>
      <c r="V1997" s="258"/>
      <c r="W1997" s="258"/>
      <c r="X1997" s="258"/>
      <c r="Y1997" s="258"/>
      <c r="Z1997" s="258"/>
      <c r="AA1997" s="258"/>
      <c r="AB1997" s="258"/>
      <c r="AC1997" s="407"/>
    </row>
    <row r="1998" spans="2:29" s="406" customFormat="1" ht="16.5" customHeight="1">
      <c r="B1998" s="256"/>
      <c r="C1998" s="256"/>
      <c r="D1998" s="414"/>
      <c r="E1998" s="414"/>
      <c r="F1998" s="414"/>
      <c r="G1998" s="253"/>
      <c r="H1998" s="253"/>
      <c r="I1998" s="253"/>
      <c r="J1998" s="253"/>
      <c r="K1998" s="253"/>
      <c r="L1998" s="253"/>
      <c r="M1998" s="253"/>
      <c r="N1998" s="253"/>
      <c r="O1998" s="258"/>
      <c r="P1998" s="258"/>
      <c r="Q1998" s="258"/>
      <c r="R1998" s="258"/>
      <c r="S1998" s="258"/>
      <c r="T1998" s="258"/>
      <c r="U1998" s="258"/>
      <c r="V1998" s="258"/>
      <c r="W1998" s="258"/>
      <c r="X1998" s="258"/>
      <c r="Y1998" s="258"/>
      <c r="Z1998" s="258"/>
      <c r="AA1998" s="258"/>
      <c r="AB1998" s="258"/>
      <c r="AC1998" s="407"/>
    </row>
    <row r="1999" spans="2:29" s="406" customFormat="1" ht="16.5" customHeight="1">
      <c r="B1999" s="256"/>
      <c r="C1999" s="256"/>
      <c r="D1999" s="414"/>
      <c r="E1999" s="414"/>
      <c r="F1999" s="414"/>
      <c r="G1999" s="253"/>
      <c r="H1999" s="253"/>
      <c r="I1999" s="253"/>
      <c r="J1999" s="253"/>
      <c r="K1999" s="253"/>
      <c r="L1999" s="253"/>
      <c r="M1999" s="253"/>
      <c r="N1999" s="253"/>
      <c r="O1999" s="258"/>
      <c r="P1999" s="258"/>
      <c r="Q1999" s="258"/>
      <c r="R1999" s="258"/>
      <c r="S1999" s="258"/>
      <c r="T1999" s="258"/>
      <c r="U1999" s="258"/>
      <c r="V1999" s="258"/>
      <c r="W1999" s="258"/>
      <c r="X1999" s="258"/>
      <c r="Y1999" s="258"/>
      <c r="Z1999" s="258"/>
      <c r="AA1999" s="258"/>
      <c r="AB1999" s="258"/>
      <c r="AC1999" s="407"/>
    </row>
    <row r="2000" spans="2:29" s="406" customFormat="1" ht="16.5" customHeight="1">
      <c r="B2000" s="256"/>
      <c r="C2000" s="256"/>
      <c r="D2000" s="414"/>
      <c r="E2000" s="414"/>
      <c r="F2000" s="414"/>
      <c r="G2000" s="253"/>
      <c r="H2000" s="253"/>
      <c r="I2000" s="253"/>
      <c r="J2000" s="253"/>
      <c r="K2000" s="253"/>
      <c r="L2000" s="253"/>
      <c r="M2000" s="253"/>
      <c r="N2000" s="253"/>
      <c r="O2000" s="258"/>
      <c r="P2000" s="258"/>
      <c r="Q2000" s="258"/>
      <c r="R2000" s="258"/>
      <c r="S2000" s="258"/>
      <c r="T2000" s="258"/>
      <c r="U2000" s="258"/>
      <c r="V2000" s="258"/>
      <c r="W2000" s="258"/>
      <c r="X2000" s="258"/>
      <c r="Y2000" s="258"/>
      <c r="Z2000" s="258"/>
      <c r="AA2000" s="258"/>
      <c r="AB2000" s="258"/>
      <c r="AC2000" s="407"/>
    </row>
    <row r="2001" spans="2:29" s="406" customFormat="1" ht="16.5" customHeight="1">
      <c r="B2001" s="256"/>
      <c r="C2001" s="256"/>
      <c r="D2001" s="414"/>
      <c r="E2001" s="414"/>
      <c r="F2001" s="414"/>
      <c r="G2001" s="253"/>
      <c r="H2001" s="253"/>
      <c r="I2001" s="253"/>
      <c r="J2001" s="253"/>
      <c r="K2001" s="253"/>
      <c r="L2001" s="253"/>
      <c r="M2001" s="253"/>
      <c r="N2001" s="253"/>
      <c r="O2001" s="258"/>
      <c r="P2001" s="258"/>
      <c r="Q2001" s="258"/>
      <c r="R2001" s="258"/>
      <c r="S2001" s="258"/>
      <c r="T2001" s="258"/>
      <c r="U2001" s="258"/>
      <c r="V2001" s="258"/>
      <c r="W2001" s="258"/>
      <c r="X2001" s="258"/>
      <c r="Y2001" s="258"/>
      <c r="Z2001" s="258"/>
      <c r="AA2001" s="258"/>
      <c r="AB2001" s="258"/>
      <c r="AC2001" s="407"/>
    </row>
    <row r="2002" spans="2:29" s="406" customFormat="1" ht="16.5" customHeight="1">
      <c r="B2002" s="256"/>
      <c r="C2002" s="256"/>
      <c r="D2002" s="414"/>
      <c r="E2002" s="414"/>
      <c r="F2002" s="414"/>
      <c r="G2002" s="253"/>
      <c r="H2002" s="253"/>
      <c r="I2002" s="253"/>
      <c r="J2002" s="253"/>
      <c r="K2002" s="253"/>
      <c r="L2002" s="253"/>
      <c r="M2002" s="253"/>
      <c r="N2002" s="253"/>
      <c r="O2002" s="258"/>
      <c r="P2002" s="258"/>
      <c r="Q2002" s="258"/>
      <c r="R2002" s="258"/>
      <c r="S2002" s="258"/>
      <c r="T2002" s="258"/>
      <c r="U2002" s="258"/>
      <c r="V2002" s="258"/>
      <c r="W2002" s="258"/>
      <c r="X2002" s="258"/>
      <c r="Y2002" s="258"/>
      <c r="Z2002" s="258"/>
      <c r="AA2002" s="258"/>
      <c r="AB2002" s="258"/>
      <c r="AC2002" s="407"/>
    </row>
    <row r="2003" spans="2:29" s="406" customFormat="1" ht="16.5" customHeight="1">
      <c r="B2003" s="256"/>
      <c r="C2003" s="256"/>
      <c r="D2003" s="414"/>
      <c r="E2003" s="414"/>
      <c r="F2003" s="414"/>
      <c r="G2003" s="253"/>
      <c r="H2003" s="253"/>
      <c r="I2003" s="253"/>
      <c r="J2003" s="253"/>
      <c r="K2003" s="253"/>
      <c r="L2003" s="253"/>
      <c r="M2003" s="253"/>
      <c r="N2003" s="253"/>
      <c r="O2003" s="258"/>
      <c r="P2003" s="258"/>
      <c r="Q2003" s="258"/>
      <c r="R2003" s="258"/>
      <c r="S2003" s="258"/>
      <c r="T2003" s="258"/>
      <c r="U2003" s="258"/>
      <c r="V2003" s="258"/>
      <c r="W2003" s="258"/>
      <c r="X2003" s="258"/>
      <c r="Y2003" s="258"/>
      <c r="Z2003" s="258"/>
      <c r="AA2003" s="258"/>
      <c r="AB2003" s="258"/>
      <c r="AC2003" s="407"/>
    </row>
    <row r="2004" spans="2:29" s="406" customFormat="1" ht="16.5" customHeight="1">
      <c r="B2004" s="256"/>
      <c r="C2004" s="256"/>
      <c r="D2004" s="414"/>
      <c r="E2004" s="414"/>
      <c r="F2004" s="414"/>
      <c r="G2004" s="253"/>
      <c r="H2004" s="253"/>
      <c r="I2004" s="253"/>
      <c r="J2004" s="253"/>
      <c r="K2004" s="253"/>
      <c r="L2004" s="253"/>
      <c r="M2004" s="253"/>
      <c r="N2004" s="253"/>
      <c r="O2004" s="258"/>
      <c r="P2004" s="258"/>
      <c r="Q2004" s="258"/>
      <c r="R2004" s="258"/>
      <c r="S2004" s="258"/>
      <c r="T2004" s="258"/>
      <c r="U2004" s="258"/>
      <c r="V2004" s="258"/>
      <c r="W2004" s="258"/>
      <c r="X2004" s="258"/>
      <c r="Y2004" s="258"/>
      <c r="Z2004" s="258"/>
      <c r="AA2004" s="258"/>
      <c r="AB2004" s="258"/>
      <c r="AC2004" s="407"/>
    </row>
    <row r="2005" spans="2:29" s="406" customFormat="1" ht="16.5" customHeight="1">
      <c r="B2005" s="256"/>
      <c r="C2005" s="256"/>
      <c r="D2005" s="414"/>
      <c r="E2005" s="414"/>
      <c r="F2005" s="414"/>
      <c r="G2005" s="253"/>
      <c r="H2005" s="253"/>
      <c r="I2005" s="253"/>
      <c r="J2005" s="253"/>
      <c r="K2005" s="253"/>
      <c r="L2005" s="253"/>
      <c r="M2005" s="253"/>
      <c r="N2005" s="253"/>
      <c r="O2005" s="258"/>
      <c r="P2005" s="258"/>
      <c r="Q2005" s="258"/>
      <c r="R2005" s="258"/>
      <c r="S2005" s="258"/>
      <c r="T2005" s="258"/>
      <c r="U2005" s="258"/>
      <c r="V2005" s="258"/>
      <c r="W2005" s="258"/>
      <c r="X2005" s="258"/>
      <c r="Y2005" s="258"/>
      <c r="Z2005" s="258"/>
      <c r="AA2005" s="258"/>
      <c r="AB2005" s="258"/>
      <c r="AC2005" s="407"/>
    </row>
    <row r="2006" spans="2:29" s="406" customFormat="1" ht="16.5" customHeight="1">
      <c r="B2006" s="256"/>
      <c r="C2006" s="256"/>
      <c r="D2006" s="414"/>
      <c r="E2006" s="414"/>
      <c r="F2006" s="414"/>
      <c r="G2006" s="253"/>
      <c r="H2006" s="253"/>
      <c r="I2006" s="253"/>
      <c r="J2006" s="253"/>
      <c r="K2006" s="253"/>
      <c r="L2006" s="253"/>
      <c r="M2006" s="253"/>
      <c r="N2006" s="253"/>
      <c r="O2006" s="258"/>
      <c r="P2006" s="258"/>
      <c r="Q2006" s="258"/>
      <c r="R2006" s="258"/>
      <c r="S2006" s="258"/>
      <c r="T2006" s="258"/>
      <c r="U2006" s="258"/>
      <c r="V2006" s="258"/>
      <c r="W2006" s="258"/>
      <c r="X2006" s="258"/>
      <c r="Y2006" s="258"/>
      <c r="Z2006" s="258"/>
      <c r="AA2006" s="258"/>
      <c r="AB2006" s="258"/>
      <c r="AC2006" s="407"/>
    </row>
    <row r="2007" spans="2:29" s="406" customFormat="1" ht="16.5" customHeight="1">
      <c r="B2007" s="256"/>
      <c r="C2007" s="256"/>
      <c r="D2007" s="414"/>
      <c r="E2007" s="414"/>
      <c r="F2007" s="414"/>
      <c r="G2007" s="253"/>
      <c r="H2007" s="253"/>
      <c r="I2007" s="253"/>
      <c r="J2007" s="253"/>
      <c r="K2007" s="253"/>
      <c r="L2007" s="253"/>
      <c r="M2007" s="253"/>
      <c r="N2007" s="253"/>
      <c r="O2007" s="258"/>
      <c r="P2007" s="258"/>
      <c r="Q2007" s="258"/>
      <c r="R2007" s="258"/>
      <c r="S2007" s="258"/>
      <c r="T2007" s="258"/>
      <c r="U2007" s="258"/>
      <c r="V2007" s="258"/>
      <c r="W2007" s="258"/>
      <c r="X2007" s="258"/>
      <c r="Y2007" s="258"/>
      <c r="Z2007" s="258"/>
      <c r="AA2007" s="258"/>
      <c r="AB2007" s="258"/>
      <c r="AC2007" s="407"/>
    </row>
    <row r="2008" spans="2:29" s="406" customFormat="1" ht="16.5" customHeight="1">
      <c r="B2008" s="256"/>
      <c r="C2008" s="256"/>
      <c r="D2008" s="414"/>
      <c r="E2008" s="414"/>
      <c r="F2008" s="414"/>
      <c r="G2008" s="253"/>
      <c r="H2008" s="253"/>
      <c r="I2008" s="253"/>
      <c r="J2008" s="253"/>
      <c r="K2008" s="253"/>
      <c r="L2008" s="253"/>
      <c r="M2008" s="253"/>
      <c r="N2008" s="253"/>
      <c r="O2008" s="258"/>
      <c r="P2008" s="258"/>
      <c r="Q2008" s="258"/>
      <c r="R2008" s="258"/>
      <c r="S2008" s="258"/>
      <c r="T2008" s="258"/>
      <c r="U2008" s="258"/>
      <c r="V2008" s="258"/>
      <c r="W2008" s="258"/>
      <c r="X2008" s="258"/>
      <c r="Y2008" s="258"/>
      <c r="Z2008" s="258"/>
      <c r="AA2008" s="258"/>
      <c r="AB2008" s="258"/>
      <c r="AC2008" s="407"/>
    </row>
    <row r="2009" spans="2:29" s="406" customFormat="1" ht="16.5" customHeight="1">
      <c r="B2009" s="256"/>
      <c r="C2009" s="256"/>
      <c r="D2009" s="414"/>
      <c r="E2009" s="414"/>
      <c r="F2009" s="414"/>
      <c r="G2009" s="253"/>
      <c r="H2009" s="253"/>
      <c r="I2009" s="253"/>
      <c r="J2009" s="253"/>
      <c r="K2009" s="253"/>
      <c r="L2009" s="253"/>
      <c r="M2009" s="253"/>
      <c r="N2009" s="253"/>
      <c r="O2009" s="258"/>
      <c r="P2009" s="258"/>
      <c r="Q2009" s="258"/>
      <c r="R2009" s="258"/>
      <c r="S2009" s="258"/>
      <c r="T2009" s="258"/>
      <c r="U2009" s="258"/>
      <c r="V2009" s="258"/>
      <c r="W2009" s="258"/>
      <c r="X2009" s="258"/>
      <c r="Y2009" s="258"/>
      <c r="Z2009" s="258"/>
      <c r="AA2009" s="258"/>
      <c r="AB2009" s="258"/>
      <c r="AC2009" s="407"/>
    </row>
    <row r="2010" spans="2:29" s="406" customFormat="1" ht="16.5" customHeight="1">
      <c r="B2010" s="256"/>
      <c r="C2010" s="256"/>
      <c r="D2010" s="414"/>
      <c r="E2010" s="414"/>
      <c r="F2010" s="414"/>
      <c r="G2010" s="253"/>
      <c r="H2010" s="253"/>
      <c r="I2010" s="253"/>
      <c r="J2010" s="253"/>
      <c r="K2010" s="253"/>
      <c r="L2010" s="253"/>
      <c r="M2010" s="253"/>
      <c r="N2010" s="253"/>
      <c r="O2010" s="258"/>
      <c r="P2010" s="258"/>
      <c r="Q2010" s="258"/>
      <c r="R2010" s="258"/>
      <c r="S2010" s="258"/>
      <c r="T2010" s="258"/>
      <c r="U2010" s="258"/>
      <c r="V2010" s="258"/>
      <c r="W2010" s="258"/>
      <c r="X2010" s="258"/>
      <c r="Y2010" s="258"/>
      <c r="Z2010" s="258"/>
      <c r="AA2010" s="258"/>
      <c r="AB2010" s="258"/>
      <c r="AC2010" s="407"/>
    </row>
    <row r="2011" spans="2:29" s="406" customFormat="1" ht="16.5" customHeight="1">
      <c r="B2011" s="256"/>
      <c r="C2011" s="256"/>
      <c r="D2011" s="414"/>
      <c r="E2011" s="414"/>
      <c r="F2011" s="414"/>
      <c r="G2011" s="253"/>
      <c r="H2011" s="253"/>
      <c r="I2011" s="253"/>
      <c r="J2011" s="253"/>
      <c r="K2011" s="253"/>
      <c r="L2011" s="253"/>
      <c r="M2011" s="253"/>
      <c r="N2011" s="253"/>
      <c r="O2011" s="258"/>
      <c r="P2011" s="258"/>
      <c r="Q2011" s="258"/>
      <c r="R2011" s="258"/>
      <c r="S2011" s="258"/>
      <c r="T2011" s="258"/>
      <c r="U2011" s="258"/>
      <c r="V2011" s="258"/>
      <c r="W2011" s="258"/>
      <c r="X2011" s="258"/>
      <c r="Y2011" s="258"/>
      <c r="Z2011" s="258"/>
      <c r="AA2011" s="258"/>
      <c r="AB2011" s="258"/>
      <c r="AC2011" s="407"/>
    </row>
    <row r="2012" spans="2:29" s="406" customFormat="1" ht="16.5" customHeight="1">
      <c r="B2012" s="256"/>
      <c r="C2012" s="256"/>
      <c r="D2012" s="414"/>
      <c r="E2012" s="414"/>
      <c r="F2012" s="414"/>
      <c r="G2012" s="253"/>
      <c r="H2012" s="253"/>
      <c r="I2012" s="253"/>
      <c r="J2012" s="253"/>
      <c r="K2012" s="253"/>
      <c r="L2012" s="253"/>
      <c r="M2012" s="253"/>
      <c r="N2012" s="253"/>
      <c r="O2012" s="258"/>
      <c r="P2012" s="258"/>
      <c r="Q2012" s="258"/>
      <c r="R2012" s="258"/>
      <c r="S2012" s="258"/>
      <c r="T2012" s="258"/>
      <c r="U2012" s="258"/>
      <c r="V2012" s="258"/>
      <c r="W2012" s="258"/>
      <c r="X2012" s="258"/>
      <c r="Y2012" s="258"/>
      <c r="Z2012" s="258"/>
      <c r="AA2012" s="258"/>
      <c r="AB2012" s="258"/>
      <c r="AC2012" s="407"/>
    </row>
    <row r="2013" spans="2:29" s="406" customFormat="1" ht="16.5" customHeight="1">
      <c r="B2013" s="256"/>
      <c r="C2013" s="256"/>
      <c r="D2013" s="414"/>
      <c r="E2013" s="414"/>
      <c r="F2013" s="414"/>
      <c r="G2013" s="253"/>
      <c r="H2013" s="253"/>
      <c r="I2013" s="253"/>
      <c r="J2013" s="253"/>
      <c r="K2013" s="253"/>
      <c r="L2013" s="253"/>
      <c r="M2013" s="253"/>
      <c r="N2013" s="253"/>
      <c r="O2013" s="258"/>
      <c r="P2013" s="258"/>
      <c r="Q2013" s="258"/>
      <c r="R2013" s="258"/>
      <c r="S2013" s="258"/>
      <c r="T2013" s="258"/>
      <c r="U2013" s="258"/>
      <c r="V2013" s="258"/>
      <c r="W2013" s="258"/>
      <c r="X2013" s="258"/>
      <c r="Y2013" s="258"/>
      <c r="Z2013" s="258"/>
      <c r="AA2013" s="258"/>
      <c r="AB2013" s="258"/>
      <c r="AC2013" s="407"/>
    </row>
    <row r="2014" spans="2:29" s="406" customFormat="1" ht="16.5" customHeight="1">
      <c r="B2014" s="256"/>
      <c r="C2014" s="256"/>
      <c r="D2014" s="414"/>
      <c r="E2014" s="414"/>
      <c r="F2014" s="414"/>
      <c r="G2014" s="253"/>
      <c r="H2014" s="253"/>
      <c r="I2014" s="253"/>
      <c r="J2014" s="253"/>
      <c r="K2014" s="253"/>
      <c r="L2014" s="253"/>
      <c r="M2014" s="253"/>
      <c r="N2014" s="253"/>
      <c r="O2014" s="258"/>
      <c r="P2014" s="258"/>
      <c r="Q2014" s="258"/>
      <c r="R2014" s="258"/>
      <c r="S2014" s="258"/>
      <c r="T2014" s="258"/>
      <c r="U2014" s="258"/>
      <c r="V2014" s="258"/>
      <c r="W2014" s="258"/>
      <c r="X2014" s="258"/>
      <c r="Y2014" s="258"/>
      <c r="Z2014" s="258"/>
      <c r="AA2014" s="258"/>
      <c r="AB2014" s="258"/>
      <c r="AC2014" s="407"/>
    </row>
    <row r="2015" spans="2:29" s="406" customFormat="1" ht="16.5" customHeight="1">
      <c r="B2015" s="256"/>
      <c r="C2015" s="256"/>
      <c r="D2015" s="414"/>
      <c r="E2015" s="414"/>
      <c r="F2015" s="414"/>
      <c r="G2015" s="253"/>
      <c r="H2015" s="253"/>
      <c r="I2015" s="253"/>
      <c r="J2015" s="253"/>
      <c r="K2015" s="253"/>
      <c r="L2015" s="253"/>
      <c r="M2015" s="253"/>
      <c r="N2015" s="253"/>
      <c r="O2015" s="258"/>
      <c r="P2015" s="258"/>
      <c r="Q2015" s="258"/>
      <c r="R2015" s="258"/>
      <c r="S2015" s="258"/>
      <c r="T2015" s="258"/>
      <c r="U2015" s="258"/>
      <c r="V2015" s="258"/>
      <c r="W2015" s="258"/>
      <c r="X2015" s="258"/>
      <c r="Y2015" s="258"/>
      <c r="Z2015" s="258"/>
      <c r="AA2015" s="258"/>
      <c r="AB2015" s="258"/>
      <c r="AC2015" s="407"/>
    </row>
    <row r="2016" spans="2:29" s="406" customFormat="1" ht="16.5" customHeight="1">
      <c r="B2016" s="256"/>
      <c r="C2016" s="256"/>
      <c r="D2016" s="414"/>
      <c r="E2016" s="414"/>
      <c r="F2016" s="414"/>
      <c r="G2016" s="253"/>
      <c r="H2016" s="253"/>
      <c r="I2016" s="253"/>
      <c r="J2016" s="253"/>
      <c r="K2016" s="253"/>
      <c r="L2016" s="253"/>
      <c r="M2016" s="253"/>
      <c r="N2016" s="253"/>
      <c r="O2016" s="258"/>
      <c r="P2016" s="258"/>
      <c r="Q2016" s="258"/>
      <c r="R2016" s="258"/>
      <c r="S2016" s="258"/>
      <c r="T2016" s="258"/>
      <c r="U2016" s="258"/>
      <c r="V2016" s="258"/>
      <c r="W2016" s="258"/>
      <c r="X2016" s="258"/>
      <c r="Y2016" s="258"/>
      <c r="Z2016" s="258"/>
      <c r="AA2016" s="258"/>
      <c r="AB2016" s="258"/>
      <c r="AC2016" s="407"/>
    </row>
    <row r="2017" spans="2:29" s="406" customFormat="1" ht="16.5" customHeight="1">
      <c r="B2017" s="256"/>
      <c r="C2017" s="256"/>
      <c r="D2017" s="414"/>
      <c r="E2017" s="414"/>
      <c r="F2017" s="414"/>
      <c r="G2017" s="253"/>
      <c r="H2017" s="253"/>
      <c r="I2017" s="253"/>
      <c r="J2017" s="253"/>
      <c r="K2017" s="253"/>
      <c r="L2017" s="253"/>
      <c r="M2017" s="253"/>
      <c r="N2017" s="253"/>
      <c r="O2017" s="258"/>
      <c r="P2017" s="258"/>
      <c r="Q2017" s="258"/>
      <c r="R2017" s="258"/>
      <c r="S2017" s="258"/>
      <c r="T2017" s="258"/>
      <c r="U2017" s="258"/>
      <c r="V2017" s="258"/>
      <c r="W2017" s="258"/>
      <c r="X2017" s="258"/>
      <c r="Y2017" s="258"/>
      <c r="Z2017" s="258"/>
      <c r="AA2017" s="258"/>
      <c r="AB2017" s="258"/>
      <c r="AC2017" s="407"/>
    </row>
    <row r="2018" spans="2:29" s="406" customFormat="1" ht="16.5" customHeight="1">
      <c r="B2018" s="256"/>
      <c r="C2018" s="256"/>
      <c r="D2018" s="414"/>
      <c r="E2018" s="414"/>
      <c r="F2018" s="414"/>
      <c r="G2018" s="253"/>
      <c r="H2018" s="253"/>
      <c r="I2018" s="253"/>
      <c r="J2018" s="253"/>
      <c r="K2018" s="253"/>
      <c r="L2018" s="253"/>
      <c r="M2018" s="253"/>
      <c r="N2018" s="253"/>
      <c r="O2018" s="258"/>
      <c r="P2018" s="258"/>
      <c r="Q2018" s="258"/>
      <c r="R2018" s="258"/>
      <c r="S2018" s="258"/>
      <c r="T2018" s="258"/>
      <c r="U2018" s="258"/>
      <c r="V2018" s="258"/>
      <c r="W2018" s="258"/>
      <c r="X2018" s="258"/>
      <c r="Y2018" s="258"/>
      <c r="Z2018" s="258"/>
      <c r="AA2018" s="258"/>
      <c r="AB2018" s="258"/>
      <c r="AC2018" s="407"/>
    </row>
    <row r="2019" spans="2:29" s="406" customFormat="1" ht="16.5" customHeight="1">
      <c r="B2019" s="256"/>
      <c r="C2019" s="256"/>
      <c r="D2019" s="414"/>
      <c r="E2019" s="414"/>
      <c r="F2019" s="414"/>
      <c r="G2019" s="253"/>
      <c r="H2019" s="253"/>
      <c r="I2019" s="253"/>
      <c r="J2019" s="253"/>
      <c r="K2019" s="253"/>
      <c r="L2019" s="253"/>
      <c r="M2019" s="253"/>
      <c r="N2019" s="253"/>
      <c r="O2019" s="258"/>
      <c r="P2019" s="258"/>
      <c r="Q2019" s="258"/>
      <c r="R2019" s="258"/>
      <c r="S2019" s="258"/>
      <c r="T2019" s="258"/>
      <c r="U2019" s="258"/>
      <c r="V2019" s="258"/>
      <c r="W2019" s="258"/>
      <c r="X2019" s="258"/>
      <c r="Y2019" s="258"/>
      <c r="Z2019" s="258"/>
      <c r="AA2019" s="258"/>
      <c r="AB2019" s="258"/>
      <c r="AC2019" s="407"/>
    </row>
    <row r="2020" spans="2:29" s="406" customFormat="1" ht="16.5" customHeight="1">
      <c r="B2020" s="256"/>
      <c r="C2020" s="256"/>
      <c r="D2020" s="414"/>
      <c r="E2020" s="414"/>
      <c r="F2020" s="414"/>
      <c r="G2020" s="253"/>
      <c r="H2020" s="253"/>
      <c r="I2020" s="253"/>
      <c r="J2020" s="253"/>
      <c r="K2020" s="253"/>
      <c r="L2020" s="253"/>
      <c r="M2020" s="253"/>
      <c r="N2020" s="253"/>
      <c r="O2020" s="258"/>
      <c r="P2020" s="258"/>
      <c r="Q2020" s="258"/>
      <c r="R2020" s="258"/>
      <c r="S2020" s="258"/>
      <c r="T2020" s="258"/>
      <c r="U2020" s="258"/>
      <c r="V2020" s="258"/>
      <c r="W2020" s="258"/>
      <c r="X2020" s="258"/>
      <c r="Y2020" s="258"/>
      <c r="Z2020" s="258"/>
      <c r="AA2020" s="258"/>
      <c r="AB2020" s="258"/>
      <c r="AC2020" s="407"/>
    </row>
    <row r="2021" spans="2:29" s="406" customFormat="1" ht="16.5" customHeight="1">
      <c r="B2021" s="256"/>
      <c r="C2021" s="256"/>
      <c r="D2021" s="414"/>
      <c r="E2021" s="414"/>
      <c r="F2021" s="414"/>
      <c r="G2021" s="253"/>
      <c r="H2021" s="253"/>
      <c r="I2021" s="253"/>
      <c r="J2021" s="253"/>
      <c r="K2021" s="253"/>
      <c r="L2021" s="253"/>
      <c r="M2021" s="253"/>
      <c r="N2021" s="253"/>
      <c r="O2021" s="258"/>
      <c r="P2021" s="258"/>
      <c r="Q2021" s="258"/>
      <c r="R2021" s="258"/>
      <c r="S2021" s="258"/>
      <c r="T2021" s="258"/>
      <c r="U2021" s="258"/>
      <c r="V2021" s="258"/>
      <c r="W2021" s="258"/>
      <c r="X2021" s="258"/>
      <c r="Y2021" s="258"/>
      <c r="Z2021" s="258"/>
      <c r="AA2021" s="258"/>
      <c r="AB2021" s="258"/>
      <c r="AC2021" s="407"/>
    </row>
    <row r="2022" spans="2:29" s="406" customFormat="1" ht="16.5" customHeight="1">
      <c r="B2022" s="256"/>
      <c r="C2022" s="256"/>
      <c r="D2022" s="414"/>
      <c r="E2022" s="414"/>
      <c r="F2022" s="414"/>
      <c r="G2022" s="253"/>
      <c r="H2022" s="253"/>
      <c r="I2022" s="253"/>
      <c r="J2022" s="253"/>
      <c r="K2022" s="253"/>
      <c r="L2022" s="253"/>
      <c r="M2022" s="253"/>
      <c r="N2022" s="253"/>
      <c r="O2022" s="258"/>
      <c r="P2022" s="258"/>
      <c r="Q2022" s="258"/>
      <c r="R2022" s="258"/>
      <c r="S2022" s="258"/>
      <c r="T2022" s="258"/>
      <c r="U2022" s="258"/>
      <c r="V2022" s="258"/>
      <c r="W2022" s="258"/>
      <c r="X2022" s="258"/>
      <c r="Y2022" s="258"/>
      <c r="Z2022" s="258"/>
      <c r="AA2022" s="258"/>
      <c r="AB2022" s="258"/>
      <c r="AC2022" s="407"/>
    </row>
    <row r="2023" spans="2:29" s="406" customFormat="1" ht="16.5" customHeight="1">
      <c r="B2023" s="256"/>
      <c r="C2023" s="256"/>
      <c r="D2023" s="414"/>
      <c r="E2023" s="414"/>
      <c r="F2023" s="414"/>
      <c r="G2023" s="253"/>
      <c r="H2023" s="253"/>
      <c r="I2023" s="253"/>
      <c r="J2023" s="253"/>
      <c r="K2023" s="253"/>
      <c r="L2023" s="253"/>
      <c r="M2023" s="253"/>
      <c r="N2023" s="253"/>
      <c r="O2023" s="258"/>
      <c r="P2023" s="258"/>
      <c r="Q2023" s="258"/>
      <c r="R2023" s="258"/>
      <c r="S2023" s="258"/>
      <c r="T2023" s="258"/>
      <c r="U2023" s="258"/>
      <c r="V2023" s="258"/>
      <c r="W2023" s="258"/>
      <c r="X2023" s="258"/>
      <c r="Y2023" s="258"/>
      <c r="Z2023" s="258"/>
      <c r="AA2023" s="258"/>
      <c r="AB2023" s="258"/>
      <c r="AC2023" s="407"/>
    </row>
    <row r="2024" spans="2:29" s="406" customFormat="1" ht="16.5" customHeight="1">
      <c r="B2024" s="256"/>
      <c r="C2024" s="256"/>
      <c r="D2024" s="414"/>
      <c r="E2024" s="414"/>
      <c r="F2024" s="414"/>
      <c r="G2024" s="253"/>
      <c r="H2024" s="253"/>
      <c r="I2024" s="253"/>
      <c r="J2024" s="253"/>
      <c r="K2024" s="253"/>
      <c r="L2024" s="253"/>
      <c r="M2024" s="253"/>
      <c r="N2024" s="253"/>
      <c r="O2024" s="258"/>
      <c r="P2024" s="258"/>
      <c r="Q2024" s="258"/>
      <c r="R2024" s="258"/>
      <c r="S2024" s="258"/>
      <c r="T2024" s="258"/>
      <c r="U2024" s="258"/>
      <c r="V2024" s="258"/>
      <c r="W2024" s="258"/>
      <c r="X2024" s="258"/>
      <c r="Y2024" s="258"/>
      <c r="Z2024" s="258"/>
      <c r="AA2024" s="258"/>
      <c r="AB2024" s="258"/>
      <c r="AC2024" s="407"/>
    </row>
    <row r="2025" spans="2:29" s="406" customFormat="1" ht="16.5" customHeight="1">
      <c r="B2025" s="256"/>
      <c r="C2025" s="256"/>
      <c r="D2025" s="414"/>
      <c r="E2025" s="414"/>
      <c r="F2025" s="414"/>
      <c r="G2025" s="253"/>
      <c r="H2025" s="253"/>
      <c r="I2025" s="253"/>
      <c r="J2025" s="253"/>
      <c r="K2025" s="253"/>
      <c r="L2025" s="253"/>
      <c r="M2025" s="253"/>
      <c r="N2025" s="253"/>
      <c r="O2025" s="258"/>
      <c r="P2025" s="258"/>
      <c r="Q2025" s="258"/>
      <c r="R2025" s="258"/>
      <c r="S2025" s="258"/>
      <c r="T2025" s="258"/>
      <c r="U2025" s="258"/>
      <c r="V2025" s="258"/>
      <c r="W2025" s="258"/>
      <c r="X2025" s="258"/>
      <c r="Y2025" s="258"/>
      <c r="Z2025" s="258"/>
      <c r="AA2025" s="258"/>
      <c r="AB2025" s="258"/>
      <c r="AC2025" s="407"/>
    </row>
    <row r="2026" spans="2:29" s="406" customFormat="1" ht="16.5" customHeight="1">
      <c r="B2026" s="256"/>
      <c r="C2026" s="256"/>
      <c r="D2026" s="414"/>
      <c r="E2026" s="414"/>
      <c r="F2026" s="414"/>
      <c r="G2026" s="253"/>
      <c r="H2026" s="253"/>
      <c r="I2026" s="253"/>
      <c r="J2026" s="253"/>
      <c r="K2026" s="253"/>
      <c r="L2026" s="253"/>
      <c r="M2026" s="253"/>
      <c r="N2026" s="253"/>
      <c r="O2026" s="258"/>
      <c r="P2026" s="258"/>
      <c r="Q2026" s="258"/>
      <c r="R2026" s="258"/>
      <c r="S2026" s="258"/>
      <c r="T2026" s="258"/>
      <c r="U2026" s="258"/>
      <c r="V2026" s="258"/>
      <c r="W2026" s="258"/>
      <c r="X2026" s="258"/>
      <c r="Y2026" s="258"/>
      <c r="Z2026" s="258"/>
      <c r="AA2026" s="258"/>
      <c r="AB2026" s="258"/>
      <c r="AC2026" s="407"/>
    </row>
    <row r="2027" spans="2:29" s="406" customFormat="1" ht="16.5" customHeight="1">
      <c r="B2027" s="256"/>
      <c r="C2027" s="256"/>
      <c r="D2027" s="414"/>
      <c r="E2027" s="414"/>
      <c r="F2027" s="414"/>
      <c r="G2027" s="253"/>
      <c r="H2027" s="253"/>
      <c r="I2027" s="253"/>
      <c r="J2027" s="253"/>
      <c r="K2027" s="253"/>
      <c r="L2027" s="253"/>
      <c r="M2027" s="253"/>
      <c r="N2027" s="253"/>
      <c r="O2027" s="258"/>
      <c r="P2027" s="258"/>
      <c r="Q2027" s="258"/>
      <c r="R2027" s="258"/>
      <c r="S2027" s="258"/>
      <c r="T2027" s="258"/>
      <c r="U2027" s="258"/>
      <c r="V2027" s="258"/>
      <c r="W2027" s="258"/>
      <c r="X2027" s="258"/>
      <c r="Y2027" s="258"/>
      <c r="Z2027" s="258"/>
      <c r="AA2027" s="258"/>
      <c r="AB2027" s="258"/>
      <c r="AC2027" s="407"/>
    </row>
    <row r="2028" spans="2:29" s="406" customFormat="1" ht="16.5" customHeight="1">
      <c r="B2028" s="256"/>
      <c r="C2028" s="256"/>
      <c r="D2028" s="414"/>
      <c r="E2028" s="414"/>
      <c r="F2028" s="414"/>
      <c r="G2028" s="253"/>
      <c r="H2028" s="253"/>
      <c r="I2028" s="253"/>
      <c r="J2028" s="253"/>
      <c r="K2028" s="253"/>
      <c r="L2028" s="253"/>
      <c r="M2028" s="253"/>
      <c r="N2028" s="253"/>
      <c r="O2028" s="258"/>
      <c r="P2028" s="258"/>
      <c r="Q2028" s="258"/>
      <c r="R2028" s="258"/>
      <c r="S2028" s="258"/>
      <c r="T2028" s="258"/>
      <c r="U2028" s="258"/>
      <c r="V2028" s="258"/>
      <c r="W2028" s="258"/>
      <c r="X2028" s="258"/>
      <c r="Y2028" s="258"/>
      <c r="Z2028" s="258"/>
      <c r="AA2028" s="258"/>
      <c r="AB2028" s="258"/>
      <c r="AC2028" s="407"/>
    </row>
    <row r="2029" spans="2:29" s="406" customFormat="1" ht="16.5" customHeight="1">
      <c r="B2029" s="256"/>
      <c r="C2029" s="256"/>
      <c r="D2029" s="414"/>
      <c r="E2029" s="414"/>
      <c r="F2029" s="414"/>
      <c r="G2029" s="253"/>
      <c r="H2029" s="253"/>
      <c r="I2029" s="253"/>
      <c r="J2029" s="253"/>
      <c r="K2029" s="253"/>
      <c r="L2029" s="253"/>
      <c r="M2029" s="253"/>
      <c r="N2029" s="253"/>
      <c r="O2029" s="258"/>
      <c r="P2029" s="258"/>
      <c r="Q2029" s="258"/>
      <c r="R2029" s="258"/>
      <c r="S2029" s="258"/>
      <c r="T2029" s="258"/>
      <c r="U2029" s="258"/>
      <c r="V2029" s="258"/>
      <c r="W2029" s="258"/>
      <c r="X2029" s="258"/>
      <c r="Y2029" s="258"/>
      <c r="Z2029" s="258"/>
      <c r="AA2029" s="258"/>
      <c r="AB2029" s="258"/>
      <c r="AC2029" s="407"/>
    </row>
    <row r="2030" spans="2:29" s="406" customFormat="1" ht="16.5" customHeight="1">
      <c r="B2030" s="256"/>
      <c r="C2030" s="256"/>
      <c r="D2030" s="414"/>
      <c r="E2030" s="414"/>
      <c r="F2030" s="414"/>
      <c r="G2030" s="253"/>
      <c r="H2030" s="253"/>
      <c r="I2030" s="253"/>
      <c r="J2030" s="253"/>
      <c r="K2030" s="253"/>
      <c r="L2030" s="253"/>
      <c r="M2030" s="253"/>
      <c r="N2030" s="253"/>
      <c r="O2030" s="258"/>
      <c r="P2030" s="258"/>
      <c r="Q2030" s="258"/>
      <c r="R2030" s="258"/>
      <c r="S2030" s="258"/>
      <c r="T2030" s="258"/>
      <c r="U2030" s="258"/>
      <c r="V2030" s="258"/>
      <c r="W2030" s="258"/>
      <c r="X2030" s="258"/>
      <c r="Y2030" s="258"/>
      <c r="Z2030" s="258"/>
      <c r="AA2030" s="258"/>
      <c r="AB2030" s="258"/>
      <c r="AC2030" s="407"/>
    </row>
    <row r="2031" spans="2:29" s="406" customFormat="1" ht="16.5" customHeight="1">
      <c r="B2031" s="256"/>
      <c r="C2031" s="256"/>
      <c r="D2031" s="414"/>
      <c r="E2031" s="414"/>
      <c r="F2031" s="414"/>
      <c r="G2031" s="253"/>
      <c r="H2031" s="253"/>
      <c r="I2031" s="253"/>
      <c r="J2031" s="253"/>
      <c r="K2031" s="253"/>
      <c r="L2031" s="253"/>
      <c r="M2031" s="253"/>
      <c r="N2031" s="253"/>
      <c r="O2031" s="258"/>
      <c r="P2031" s="258"/>
      <c r="Q2031" s="258"/>
      <c r="R2031" s="258"/>
      <c r="S2031" s="258"/>
      <c r="T2031" s="258"/>
      <c r="U2031" s="258"/>
      <c r="V2031" s="258"/>
      <c r="W2031" s="258"/>
      <c r="X2031" s="258"/>
      <c r="Y2031" s="258"/>
      <c r="Z2031" s="258"/>
      <c r="AA2031" s="258"/>
      <c r="AB2031" s="258"/>
      <c r="AC2031" s="407"/>
    </row>
    <row r="2032" spans="2:29" s="406" customFormat="1" ht="16.5" customHeight="1">
      <c r="B2032" s="256"/>
      <c r="C2032" s="256"/>
      <c r="D2032" s="414"/>
      <c r="E2032" s="414"/>
      <c r="F2032" s="414"/>
      <c r="G2032" s="253"/>
      <c r="H2032" s="253"/>
      <c r="I2032" s="253"/>
      <c r="J2032" s="253"/>
      <c r="K2032" s="253"/>
      <c r="L2032" s="253"/>
      <c r="M2032" s="253"/>
      <c r="N2032" s="253"/>
      <c r="O2032" s="258"/>
      <c r="P2032" s="258"/>
      <c r="Q2032" s="258"/>
      <c r="R2032" s="258"/>
      <c r="S2032" s="258"/>
      <c r="T2032" s="258"/>
      <c r="U2032" s="258"/>
      <c r="V2032" s="258"/>
      <c r="W2032" s="258"/>
      <c r="X2032" s="258"/>
      <c r="Y2032" s="258"/>
      <c r="Z2032" s="258"/>
      <c r="AA2032" s="258"/>
      <c r="AB2032" s="258"/>
      <c r="AC2032" s="407"/>
    </row>
    <row r="2033" spans="2:29" s="406" customFormat="1" ht="16.5" customHeight="1">
      <c r="B2033" s="256"/>
      <c r="C2033" s="256"/>
      <c r="D2033" s="414"/>
      <c r="E2033" s="414"/>
      <c r="F2033" s="414"/>
      <c r="G2033" s="253"/>
      <c r="H2033" s="253"/>
      <c r="I2033" s="253"/>
      <c r="J2033" s="253"/>
      <c r="K2033" s="253"/>
      <c r="L2033" s="253"/>
      <c r="M2033" s="253"/>
      <c r="N2033" s="253"/>
      <c r="O2033" s="258"/>
      <c r="P2033" s="258"/>
      <c r="Q2033" s="258"/>
      <c r="R2033" s="258"/>
      <c r="S2033" s="258"/>
      <c r="T2033" s="258"/>
      <c r="U2033" s="258"/>
      <c r="V2033" s="258"/>
      <c r="W2033" s="258"/>
      <c r="X2033" s="258"/>
      <c r="Y2033" s="258"/>
      <c r="Z2033" s="258"/>
      <c r="AA2033" s="258"/>
      <c r="AB2033" s="258"/>
      <c r="AC2033" s="407"/>
    </row>
    <row r="2034" spans="2:29" s="406" customFormat="1" ht="16.5" customHeight="1">
      <c r="B2034" s="256"/>
      <c r="C2034" s="256"/>
      <c r="D2034" s="414"/>
      <c r="E2034" s="414"/>
      <c r="F2034" s="414"/>
      <c r="G2034" s="253"/>
      <c r="H2034" s="253"/>
      <c r="I2034" s="253"/>
      <c r="J2034" s="253"/>
      <c r="K2034" s="253"/>
      <c r="L2034" s="253"/>
      <c r="M2034" s="253"/>
      <c r="N2034" s="253"/>
      <c r="O2034" s="258"/>
      <c r="P2034" s="258"/>
      <c r="Q2034" s="258"/>
      <c r="R2034" s="258"/>
      <c r="S2034" s="258"/>
      <c r="T2034" s="258"/>
      <c r="U2034" s="258"/>
      <c r="V2034" s="258"/>
      <c r="W2034" s="258"/>
      <c r="X2034" s="258"/>
      <c r="Y2034" s="258"/>
      <c r="Z2034" s="258"/>
      <c r="AA2034" s="258"/>
      <c r="AB2034" s="258"/>
      <c r="AC2034" s="407"/>
    </row>
    <row r="2035" spans="2:29" s="406" customFormat="1" ht="16.5" customHeight="1">
      <c r="B2035" s="256"/>
      <c r="C2035" s="256"/>
      <c r="D2035" s="414"/>
      <c r="E2035" s="414"/>
      <c r="F2035" s="414"/>
      <c r="G2035" s="253"/>
      <c r="H2035" s="253"/>
      <c r="I2035" s="253"/>
      <c r="J2035" s="253"/>
      <c r="K2035" s="253"/>
      <c r="L2035" s="253"/>
      <c r="M2035" s="253"/>
      <c r="N2035" s="253"/>
      <c r="O2035" s="258"/>
      <c r="P2035" s="258"/>
      <c r="Q2035" s="258"/>
      <c r="R2035" s="258"/>
      <c r="S2035" s="258"/>
      <c r="T2035" s="258"/>
      <c r="U2035" s="258"/>
      <c r="V2035" s="258"/>
      <c r="W2035" s="258"/>
      <c r="X2035" s="258"/>
      <c r="Y2035" s="258"/>
      <c r="Z2035" s="258"/>
      <c r="AA2035" s="258"/>
      <c r="AB2035" s="258"/>
      <c r="AC2035" s="407"/>
    </row>
    <row r="2036" spans="2:29" s="406" customFormat="1" ht="16.5" customHeight="1">
      <c r="B2036" s="256"/>
      <c r="C2036" s="256"/>
      <c r="D2036" s="414"/>
      <c r="E2036" s="414"/>
      <c r="F2036" s="414"/>
      <c r="G2036" s="253"/>
      <c r="H2036" s="253"/>
      <c r="I2036" s="253"/>
      <c r="J2036" s="253"/>
      <c r="K2036" s="253"/>
      <c r="L2036" s="253"/>
      <c r="M2036" s="253"/>
      <c r="N2036" s="253"/>
      <c r="O2036" s="258"/>
      <c r="P2036" s="258"/>
      <c r="Q2036" s="258"/>
      <c r="R2036" s="258"/>
      <c r="S2036" s="258"/>
      <c r="T2036" s="258"/>
      <c r="U2036" s="258"/>
      <c r="V2036" s="258"/>
      <c r="W2036" s="258"/>
      <c r="X2036" s="258"/>
      <c r="Y2036" s="258"/>
      <c r="Z2036" s="258"/>
      <c r="AA2036" s="258"/>
      <c r="AB2036" s="258"/>
      <c r="AC2036" s="407"/>
    </row>
    <row r="2037" spans="2:29" s="406" customFormat="1" ht="16.5" customHeight="1">
      <c r="B2037" s="256"/>
      <c r="C2037" s="256"/>
      <c r="D2037" s="414"/>
      <c r="E2037" s="414"/>
      <c r="F2037" s="414"/>
      <c r="G2037" s="253"/>
      <c r="H2037" s="253"/>
      <c r="I2037" s="253"/>
      <c r="J2037" s="253"/>
      <c r="K2037" s="253"/>
      <c r="L2037" s="253"/>
      <c r="M2037" s="253"/>
      <c r="N2037" s="253"/>
      <c r="O2037" s="258"/>
      <c r="P2037" s="258"/>
      <c r="Q2037" s="258"/>
      <c r="R2037" s="258"/>
      <c r="S2037" s="258"/>
      <c r="T2037" s="258"/>
      <c r="U2037" s="258"/>
      <c r="V2037" s="258"/>
      <c r="W2037" s="258"/>
      <c r="X2037" s="258"/>
      <c r="Y2037" s="258"/>
      <c r="Z2037" s="258"/>
      <c r="AA2037" s="258"/>
      <c r="AB2037" s="258"/>
      <c r="AC2037" s="407"/>
    </row>
    <row r="2038" spans="2:29" s="406" customFormat="1" ht="16.5" customHeight="1">
      <c r="B2038" s="256"/>
      <c r="C2038" s="256"/>
      <c r="D2038" s="414"/>
      <c r="E2038" s="414"/>
      <c r="F2038" s="414"/>
      <c r="G2038" s="253"/>
      <c r="H2038" s="253"/>
      <c r="I2038" s="253"/>
      <c r="J2038" s="253"/>
      <c r="K2038" s="253"/>
      <c r="L2038" s="253"/>
      <c r="M2038" s="253"/>
      <c r="N2038" s="253"/>
      <c r="O2038" s="258"/>
      <c r="P2038" s="258"/>
      <c r="Q2038" s="258"/>
      <c r="R2038" s="258"/>
      <c r="S2038" s="258"/>
      <c r="T2038" s="258"/>
      <c r="U2038" s="258"/>
      <c r="V2038" s="258"/>
      <c r="W2038" s="258"/>
      <c r="X2038" s="258"/>
      <c r="Y2038" s="258"/>
      <c r="Z2038" s="258"/>
      <c r="AA2038" s="258"/>
      <c r="AB2038" s="258"/>
      <c r="AC2038" s="407"/>
    </row>
    <row r="2039" spans="2:29" s="406" customFormat="1" ht="16.5" customHeight="1">
      <c r="B2039" s="256"/>
      <c r="C2039" s="256"/>
      <c r="D2039" s="414"/>
      <c r="E2039" s="414"/>
      <c r="F2039" s="414"/>
      <c r="G2039" s="253"/>
      <c r="H2039" s="253"/>
      <c r="I2039" s="253"/>
      <c r="J2039" s="253"/>
      <c r="K2039" s="253"/>
      <c r="L2039" s="253"/>
      <c r="M2039" s="253"/>
      <c r="N2039" s="253"/>
      <c r="O2039" s="258"/>
      <c r="P2039" s="258"/>
      <c r="Q2039" s="258"/>
      <c r="R2039" s="258"/>
      <c r="S2039" s="258"/>
      <c r="T2039" s="258"/>
      <c r="U2039" s="258"/>
      <c r="V2039" s="258"/>
      <c r="W2039" s="258"/>
      <c r="X2039" s="258"/>
      <c r="Y2039" s="258"/>
      <c r="Z2039" s="258"/>
      <c r="AA2039" s="258"/>
      <c r="AB2039" s="258"/>
      <c r="AC2039" s="407"/>
    </row>
    <row r="2040" spans="2:29" s="406" customFormat="1" ht="16.5" customHeight="1">
      <c r="B2040" s="256"/>
      <c r="C2040" s="256"/>
      <c r="D2040" s="414"/>
      <c r="E2040" s="414"/>
      <c r="F2040" s="414"/>
      <c r="G2040" s="253"/>
      <c r="H2040" s="253"/>
      <c r="I2040" s="253"/>
      <c r="J2040" s="253"/>
      <c r="K2040" s="253"/>
      <c r="L2040" s="253"/>
      <c r="M2040" s="253"/>
      <c r="N2040" s="253"/>
      <c r="O2040" s="258"/>
      <c r="P2040" s="258"/>
      <c r="Q2040" s="258"/>
      <c r="R2040" s="258"/>
      <c r="S2040" s="258"/>
      <c r="T2040" s="258"/>
      <c r="U2040" s="258"/>
      <c r="V2040" s="258"/>
      <c r="W2040" s="258"/>
      <c r="X2040" s="258"/>
      <c r="Y2040" s="258"/>
      <c r="Z2040" s="258"/>
      <c r="AA2040" s="258"/>
      <c r="AB2040" s="258"/>
      <c r="AC2040" s="407"/>
    </row>
    <row r="2041" spans="2:29" s="406" customFormat="1" ht="16.5" customHeight="1">
      <c r="B2041" s="256"/>
      <c r="C2041" s="256"/>
      <c r="D2041" s="414"/>
      <c r="E2041" s="414"/>
      <c r="F2041" s="414"/>
      <c r="G2041" s="253"/>
      <c r="H2041" s="253"/>
      <c r="I2041" s="253"/>
      <c r="J2041" s="253"/>
      <c r="K2041" s="253"/>
      <c r="L2041" s="253"/>
      <c r="M2041" s="253"/>
      <c r="N2041" s="253"/>
      <c r="O2041" s="258"/>
      <c r="P2041" s="258"/>
      <c r="Q2041" s="258"/>
      <c r="R2041" s="258"/>
      <c r="S2041" s="258"/>
      <c r="T2041" s="258"/>
      <c r="U2041" s="258"/>
      <c r="V2041" s="258"/>
      <c r="W2041" s="258"/>
      <c r="X2041" s="258"/>
      <c r="Y2041" s="258"/>
      <c r="Z2041" s="258"/>
      <c r="AA2041" s="258"/>
      <c r="AB2041" s="258"/>
      <c r="AC2041" s="407"/>
    </row>
    <row r="2042" spans="2:29" s="406" customFormat="1" ht="16.5" customHeight="1">
      <c r="B2042" s="256"/>
      <c r="C2042" s="256"/>
      <c r="D2042" s="414"/>
      <c r="E2042" s="414"/>
      <c r="F2042" s="414"/>
      <c r="G2042" s="253"/>
      <c r="H2042" s="253"/>
      <c r="I2042" s="253"/>
      <c r="J2042" s="253"/>
      <c r="K2042" s="253"/>
      <c r="L2042" s="253"/>
      <c r="M2042" s="253"/>
      <c r="N2042" s="253"/>
      <c r="O2042" s="258"/>
      <c r="P2042" s="258"/>
      <c r="Q2042" s="258"/>
      <c r="R2042" s="258"/>
      <c r="S2042" s="258"/>
      <c r="T2042" s="258"/>
      <c r="U2042" s="258"/>
      <c r="V2042" s="258"/>
      <c r="W2042" s="258"/>
      <c r="X2042" s="258"/>
      <c r="Y2042" s="258"/>
      <c r="Z2042" s="258"/>
      <c r="AA2042" s="258"/>
      <c r="AB2042" s="258"/>
      <c r="AC2042" s="407"/>
    </row>
    <row r="2043" spans="2:29" s="406" customFormat="1" ht="16.5" customHeight="1">
      <c r="B2043" s="256"/>
      <c r="C2043" s="256"/>
      <c r="D2043" s="414"/>
      <c r="E2043" s="414"/>
      <c r="F2043" s="414"/>
      <c r="G2043" s="253"/>
      <c r="H2043" s="253"/>
      <c r="I2043" s="253"/>
      <c r="J2043" s="253"/>
      <c r="K2043" s="253"/>
      <c r="L2043" s="253"/>
      <c r="M2043" s="253"/>
      <c r="N2043" s="253"/>
      <c r="O2043" s="258"/>
      <c r="P2043" s="258"/>
      <c r="Q2043" s="258"/>
      <c r="R2043" s="258"/>
      <c r="S2043" s="258"/>
      <c r="T2043" s="258"/>
      <c r="U2043" s="258"/>
      <c r="V2043" s="258"/>
      <c r="W2043" s="258"/>
      <c r="X2043" s="258"/>
      <c r="Y2043" s="258"/>
      <c r="Z2043" s="258"/>
      <c r="AA2043" s="258"/>
      <c r="AB2043" s="258"/>
      <c r="AC2043" s="407"/>
    </row>
    <row r="2044" spans="2:29" s="406" customFormat="1" ht="16.5" customHeight="1">
      <c r="B2044" s="256"/>
      <c r="C2044" s="256"/>
      <c r="D2044" s="414"/>
      <c r="E2044" s="414"/>
      <c r="F2044" s="414"/>
      <c r="G2044" s="253"/>
      <c r="H2044" s="253"/>
      <c r="I2044" s="253"/>
      <c r="J2044" s="253"/>
      <c r="K2044" s="253"/>
      <c r="L2044" s="253"/>
      <c r="M2044" s="253"/>
      <c r="N2044" s="253"/>
      <c r="O2044" s="258"/>
      <c r="P2044" s="258"/>
      <c r="Q2044" s="258"/>
      <c r="R2044" s="258"/>
      <c r="S2044" s="258"/>
      <c r="T2044" s="258"/>
      <c r="U2044" s="258"/>
      <c r="V2044" s="258"/>
      <c r="W2044" s="258"/>
      <c r="X2044" s="258"/>
      <c r="Y2044" s="258"/>
      <c r="Z2044" s="258"/>
      <c r="AA2044" s="258"/>
      <c r="AB2044" s="258"/>
      <c r="AC2044" s="407"/>
    </row>
    <row r="2045" spans="2:29" s="406" customFormat="1" ht="16.5" customHeight="1">
      <c r="B2045" s="256"/>
      <c r="C2045" s="256"/>
      <c r="D2045" s="414"/>
      <c r="E2045" s="414"/>
      <c r="F2045" s="414"/>
      <c r="G2045" s="253"/>
      <c r="H2045" s="253"/>
      <c r="I2045" s="253"/>
      <c r="J2045" s="253"/>
      <c r="K2045" s="253"/>
      <c r="L2045" s="253"/>
      <c r="M2045" s="253"/>
      <c r="N2045" s="253"/>
      <c r="O2045" s="258"/>
      <c r="P2045" s="258"/>
      <c r="Q2045" s="258"/>
      <c r="R2045" s="258"/>
      <c r="S2045" s="258"/>
      <c r="T2045" s="258"/>
      <c r="U2045" s="258"/>
      <c r="V2045" s="258"/>
      <c r="W2045" s="258"/>
      <c r="X2045" s="258"/>
      <c r="Y2045" s="258"/>
      <c r="Z2045" s="258"/>
      <c r="AA2045" s="258"/>
      <c r="AB2045" s="258"/>
      <c r="AC2045" s="407"/>
    </row>
    <row r="2046" spans="2:29" s="406" customFormat="1" ht="16.5" customHeight="1">
      <c r="B2046" s="256"/>
      <c r="C2046" s="256"/>
      <c r="D2046" s="414"/>
      <c r="E2046" s="414"/>
      <c r="F2046" s="414"/>
      <c r="G2046" s="253"/>
      <c r="H2046" s="253"/>
      <c r="I2046" s="253"/>
      <c r="J2046" s="253"/>
      <c r="K2046" s="253"/>
      <c r="L2046" s="253"/>
      <c r="M2046" s="253"/>
      <c r="N2046" s="253"/>
      <c r="O2046" s="258"/>
      <c r="P2046" s="258"/>
      <c r="Q2046" s="258"/>
      <c r="R2046" s="258"/>
      <c r="S2046" s="258"/>
      <c r="T2046" s="258"/>
      <c r="U2046" s="258"/>
      <c r="V2046" s="258"/>
      <c r="W2046" s="258"/>
      <c r="X2046" s="258"/>
      <c r="Y2046" s="258"/>
      <c r="Z2046" s="258"/>
      <c r="AA2046" s="258"/>
      <c r="AB2046" s="258"/>
      <c r="AC2046" s="407"/>
    </row>
    <row r="2047" spans="2:29" s="406" customFormat="1" ht="16.5" customHeight="1">
      <c r="B2047" s="256"/>
      <c r="C2047" s="256"/>
      <c r="D2047" s="414"/>
      <c r="E2047" s="414"/>
      <c r="F2047" s="414"/>
      <c r="G2047" s="253"/>
      <c r="H2047" s="253"/>
      <c r="I2047" s="253"/>
      <c r="J2047" s="253"/>
      <c r="K2047" s="253"/>
      <c r="L2047" s="253"/>
      <c r="M2047" s="253"/>
      <c r="N2047" s="253"/>
      <c r="O2047" s="258"/>
      <c r="P2047" s="258"/>
      <c r="Q2047" s="258"/>
      <c r="R2047" s="258"/>
      <c r="S2047" s="258"/>
      <c r="T2047" s="258"/>
      <c r="U2047" s="258"/>
      <c r="V2047" s="258"/>
      <c r="W2047" s="258"/>
      <c r="X2047" s="258"/>
      <c r="Y2047" s="258"/>
      <c r="Z2047" s="258"/>
      <c r="AA2047" s="258"/>
      <c r="AB2047" s="258"/>
      <c r="AC2047" s="407"/>
    </row>
    <row r="2048" spans="2:29" s="406" customFormat="1" ht="16.5" customHeight="1">
      <c r="B2048" s="256"/>
      <c r="C2048" s="256"/>
      <c r="D2048" s="414"/>
      <c r="E2048" s="414"/>
      <c r="F2048" s="414"/>
      <c r="G2048" s="253"/>
      <c r="H2048" s="253"/>
      <c r="I2048" s="253"/>
      <c r="J2048" s="253"/>
      <c r="K2048" s="253"/>
      <c r="L2048" s="253"/>
      <c r="M2048" s="253"/>
      <c r="N2048" s="253"/>
      <c r="O2048" s="258"/>
      <c r="P2048" s="258"/>
      <c r="Q2048" s="258"/>
      <c r="R2048" s="258"/>
      <c r="S2048" s="258"/>
      <c r="T2048" s="258"/>
      <c r="U2048" s="258"/>
      <c r="V2048" s="258"/>
      <c r="W2048" s="258"/>
      <c r="X2048" s="258"/>
      <c r="Y2048" s="258"/>
      <c r="Z2048" s="258"/>
      <c r="AA2048" s="258"/>
      <c r="AB2048" s="258"/>
      <c r="AC2048" s="407"/>
    </row>
    <row r="2049" spans="2:29" s="406" customFormat="1" ht="16.5" customHeight="1">
      <c r="B2049" s="256"/>
      <c r="C2049" s="256"/>
      <c r="D2049" s="414"/>
      <c r="E2049" s="414"/>
      <c r="F2049" s="414"/>
      <c r="G2049" s="253"/>
      <c r="H2049" s="253"/>
      <c r="I2049" s="253"/>
      <c r="J2049" s="253"/>
      <c r="K2049" s="253"/>
      <c r="L2049" s="253"/>
      <c r="M2049" s="253"/>
      <c r="N2049" s="253"/>
      <c r="O2049" s="258"/>
      <c r="P2049" s="258"/>
      <c r="Q2049" s="258"/>
      <c r="R2049" s="258"/>
      <c r="S2049" s="258"/>
      <c r="T2049" s="258"/>
      <c r="U2049" s="258"/>
      <c r="V2049" s="258"/>
      <c r="W2049" s="258"/>
      <c r="X2049" s="258"/>
      <c r="Y2049" s="258"/>
      <c r="Z2049" s="258"/>
      <c r="AA2049" s="258"/>
      <c r="AB2049" s="258"/>
      <c r="AC2049" s="407"/>
    </row>
    <row r="2050" spans="2:29" s="406" customFormat="1" ht="16.5" customHeight="1">
      <c r="B2050" s="256"/>
      <c r="C2050" s="256"/>
      <c r="D2050" s="414"/>
      <c r="E2050" s="414"/>
      <c r="F2050" s="414"/>
      <c r="G2050" s="253"/>
      <c r="H2050" s="253"/>
      <c r="I2050" s="253"/>
      <c r="J2050" s="253"/>
      <c r="K2050" s="253"/>
      <c r="L2050" s="253"/>
      <c r="M2050" s="253"/>
      <c r="N2050" s="253"/>
      <c r="O2050" s="258"/>
      <c r="P2050" s="258"/>
      <c r="Q2050" s="258"/>
      <c r="R2050" s="258"/>
      <c r="S2050" s="258"/>
      <c r="T2050" s="258"/>
      <c r="U2050" s="258"/>
      <c r="V2050" s="258"/>
      <c r="W2050" s="258"/>
      <c r="X2050" s="258"/>
      <c r="Y2050" s="258"/>
      <c r="Z2050" s="258"/>
      <c r="AA2050" s="258"/>
      <c r="AB2050" s="258"/>
      <c r="AC2050" s="407"/>
    </row>
    <row r="2051" spans="2:29" s="406" customFormat="1" ht="16.5" customHeight="1">
      <c r="B2051" s="256"/>
      <c r="C2051" s="256"/>
      <c r="D2051" s="414"/>
      <c r="E2051" s="414"/>
      <c r="F2051" s="414"/>
      <c r="G2051" s="253"/>
      <c r="H2051" s="253"/>
      <c r="I2051" s="253"/>
      <c r="J2051" s="253"/>
      <c r="K2051" s="253"/>
      <c r="L2051" s="253"/>
      <c r="M2051" s="253"/>
      <c r="N2051" s="253"/>
      <c r="O2051" s="258"/>
      <c r="P2051" s="258"/>
      <c r="Q2051" s="258"/>
      <c r="R2051" s="258"/>
      <c r="S2051" s="258"/>
      <c r="T2051" s="258"/>
      <c r="U2051" s="258"/>
      <c r="V2051" s="258"/>
      <c r="W2051" s="258"/>
      <c r="X2051" s="258"/>
      <c r="Y2051" s="258"/>
      <c r="Z2051" s="258"/>
      <c r="AA2051" s="258"/>
      <c r="AB2051" s="258"/>
      <c r="AC2051" s="407"/>
    </row>
    <row r="2052" spans="2:29" s="406" customFormat="1" ht="16.5" customHeight="1">
      <c r="B2052" s="256"/>
      <c r="C2052" s="256"/>
      <c r="D2052" s="414"/>
      <c r="E2052" s="414"/>
      <c r="F2052" s="414"/>
      <c r="G2052" s="253"/>
      <c r="H2052" s="253"/>
      <c r="I2052" s="253"/>
      <c r="J2052" s="253"/>
      <c r="K2052" s="253"/>
      <c r="L2052" s="253"/>
      <c r="M2052" s="253"/>
      <c r="N2052" s="253"/>
      <c r="O2052" s="258"/>
      <c r="P2052" s="258"/>
      <c r="Q2052" s="258"/>
      <c r="R2052" s="258"/>
      <c r="S2052" s="258"/>
      <c r="T2052" s="258"/>
      <c r="U2052" s="258"/>
      <c r="V2052" s="258"/>
      <c r="W2052" s="258"/>
      <c r="X2052" s="258"/>
      <c r="Y2052" s="258"/>
      <c r="Z2052" s="258"/>
      <c r="AA2052" s="258"/>
      <c r="AB2052" s="258"/>
      <c r="AC2052" s="407"/>
    </row>
    <row r="2053" spans="2:29" s="406" customFormat="1" ht="16.5" customHeight="1">
      <c r="B2053" s="256"/>
      <c r="C2053" s="256"/>
      <c r="D2053" s="414"/>
      <c r="E2053" s="414"/>
      <c r="F2053" s="414"/>
      <c r="G2053" s="253"/>
      <c r="H2053" s="253"/>
      <c r="I2053" s="253"/>
      <c r="J2053" s="253"/>
      <c r="K2053" s="253"/>
      <c r="L2053" s="253"/>
      <c r="M2053" s="253"/>
      <c r="N2053" s="253"/>
      <c r="O2053" s="258"/>
      <c r="P2053" s="258"/>
      <c r="Q2053" s="258"/>
      <c r="R2053" s="258"/>
      <c r="S2053" s="258"/>
      <c r="T2053" s="258"/>
      <c r="U2053" s="258"/>
      <c r="V2053" s="258"/>
      <c r="W2053" s="258"/>
      <c r="X2053" s="258"/>
      <c r="Y2053" s="258"/>
      <c r="Z2053" s="258"/>
      <c r="AA2053" s="258"/>
      <c r="AB2053" s="258"/>
      <c r="AC2053" s="407"/>
    </row>
    <row r="2054" spans="2:29" s="406" customFormat="1" ht="16.5" customHeight="1">
      <c r="B2054" s="256"/>
      <c r="C2054" s="256"/>
      <c r="D2054" s="414"/>
      <c r="E2054" s="414"/>
      <c r="F2054" s="414"/>
      <c r="G2054" s="253"/>
      <c r="H2054" s="253"/>
      <c r="I2054" s="253"/>
      <c r="J2054" s="253"/>
      <c r="K2054" s="253"/>
      <c r="L2054" s="253"/>
      <c r="M2054" s="253"/>
      <c r="N2054" s="253"/>
      <c r="O2054" s="258"/>
      <c r="P2054" s="258"/>
      <c r="Q2054" s="258"/>
      <c r="R2054" s="258"/>
      <c r="S2054" s="258"/>
      <c r="T2054" s="258"/>
      <c r="U2054" s="258"/>
      <c r="V2054" s="258"/>
      <c r="W2054" s="258"/>
      <c r="X2054" s="258"/>
      <c r="Y2054" s="258"/>
      <c r="Z2054" s="258"/>
      <c r="AA2054" s="258"/>
      <c r="AB2054" s="258"/>
      <c r="AC2054" s="407"/>
    </row>
    <row r="2055" spans="2:29" s="406" customFormat="1" ht="16.5" customHeight="1">
      <c r="B2055" s="256"/>
      <c r="C2055" s="256"/>
      <c r="D2055" s="414"/>
      <c r="E2055" s="414"/>
      <c r="F2055" s="414"/>
      <c r="G2055" s="253"/>
      <c r="H2055" s="253"/>
      <c r="I2055" s="253"/>
      <c r="J2055" s="253"/>
      <c r="K2055" s="253"/>
      <c r="L2055" s="253"/>
      <c r="M2055" s="253"/>
      <c r="N2055" s="253"/>
      <c r="O2055" s="258"/>
      <c r="P2055" s="258"/>
      <c r="Q2055" s="258"/>
      <c r="R2055" s="258"/>
      <c r="S2055" s="258"/>
      <c r="T2055" s="258"/>
      <c r="U2055" s="258"/>
      <c r="V2055" s="258"/>
      <c r="W2055" s="258"/>
      <c r="X2055" s="258"/>
      <c r="Y2055" s="258"/>
      <c r="Z2055" s="258"/>
      <c r="AA2055" s="258"/>
      <c r="AB2055" s="258"/>
      <c r="AC2055" s="407"/>
    </row>
    <row r="2056" spans="2:29" s="406" customFormat="1" ht="16.5" customHeight="1">
      <c r="B2056" s="256"/>
      <c r="C2056" s="256"/>
      <c r="D2056" s="414"/>
      <c r="E2056" s="414"/>
      <c r="F2056" s="414"/>
      <c r="G2056" s="253"/>
      <c r="H2056" s="253"/>
      <c r="I2056" s="253"/>
      <c r="J2056" s="253"/>
      <c r="K2056" s="253"/>
      <c r="L2056" s="253"/>
      <c r="M2056" s="253"/>
      <c r="N2056" s="253"/>
      <c r="O2056" s="258"/>
      <c r="P2056" s="258"/>
      <c r="Q2056" s="258"/>
      <c r="R2056" s="258"/>
      <c r="S2056" s="258"/>
      <c r="T2056" s="258"/>
      <c r="U2056" s="258"/>
      <c r="V2056" s="258"/>
      <c r="W2056" s="258"/>
      <c r="X2056" s="258"/>
      <c r="Y2056" s="258"/>
      <c r="Z2056" s="258"/>
      <c r="AA2056" s="258"/>
      <c r="AB2056" s="258"/>
      <c r="AC2056" s="407"/>
    </row>
    <row r="2057" spans="2:29" s="406" customFormat="1" ht="16.5" customHeight="1">
      <c r="B2057" s="256"/>
      <c r="C2057" s="256"/>
      <c r="D2057" s="414"/>
      <c r="E2057" s="414"/>
      <c r="F2057" s="414"/>
      <c r="G2057" s="253"/>
      <c r="H2057" s="253"/>
      <c r="I2057" s="253"/>
      <c r="J2057" s="253"/>
      <c r="K2057" s="253"/>
      <c r="L2057" s="253"/>
      <c r="M2057" s="253"/>
      <c r="N2057" s="253"/>
      <c r="O2057" s="258"/>
      <c r="P2057" s="258"/>
      <c r="Q2057" s="258"/>
      <c r="R2057" s="258"/>
      <c r="S2057" s="258"/>
      <c r="T2057" s="258"/>
      <c r="U2057" s="258"/>
      <c r="V2057" s="258"/>
      <c r="W2057" s="258"/>
      <c r="X2057" s="258"/>
      <c r="Y2057" s="258"/>
      <c r="Z2057" s="258"/>
      <c r="AA2057" s="258"/>
      <c r="AB2057" s="258"/>
      <c r="AC2057" s="407"/>
    </row>
    <row r="2058" spans="2:29" s="406" customFormat="1" ht="16.5" customHeight="1">
      <c r="B2058" s="256"/>
      <c r="C2058" s="256"/>
      <c r="D2058" s="414"/>
      <c r="E2058" s="414"/>
      <c r="F2058" s="414"/>
      <c r="G2058" s="253"/>
      <c r="H2058" s="253"/>
      <c r="I2058" s="253"/>
      <c r="J2058" s="253"/>
      <c r="K2058" s="253"/>
      <c r="L2058" s="253"/>
      <c r="M2058" s="253"/>
      <c r="N2058" s="253"/>
      <c r="O2058" s="258"/>
      <c r="P2058" s="258"/>
      <c r="Q2058" s="258"/>
      <c r="R2058" s="258"/>
      <c r="S2058" s="258"/>
      <c r="T2058" s="258"/>
      <c r="U2058" s="258"/>
      <c r="V2058" s="258"/>
      <c r="W2058" s="258"/>
      <c r="X2058" s="258"/>
      <c r="Y2058" s="258"/>
      <c r="Z2058" s="258"/>
      <c r="AA2058" s="258"/>
      <c r="AB2058" s="258"/>
      <c r="AC2058" s="407"/>
    </row>
    <row r="2059" spans="2:29" s="406" customFormat="1" ht="16.5" customHeight="1">
      <c r="B2059" s="256"/>
      <c r="C2059" s="256"/>
      <c r="D2059" s="414"/>
      <c r="E2059" s="414"/>
      <c r="F2059" s="414"/>
      <c r="G2059" s="253"/>
      <c r="H2059" s="253"/>
      <c r="I2059" s="253"/>
      <c r="J2059" s="253"/>
      <c r="K2059" s="253"/>
      <c r="L2059" s="253"/>
      <c r="M2059" s="253"/>
      <c r="N2059" s="253"/>
      <c r="O2059" s="258"/>
      <c r="P2059" s="258"/>
      <c r="Q2059" s="258"/>
      <c r="R2059" s="258"/>
      <c r="S2059" s="258"/>
      <c r="T2059" s="258"/>
      <c r="U2059" s="258"/>
      <c r="V2059" s="258"/>
      <c r="W2059" s="258"/>
      <c r="X2059" s="258"/>
      <c r="Y2059" s="258"/>
      <c r="Z2059" s="258"/>
      <c r="AA2059" s="258"/>
      <c r="AB2059" s="258"/>
      <c r="AC2059" s="407"/>
    </row>
    <row r="2060" spans="2:29" s="406" customFormat="1" ht="16.5" customHeight="1">
      <c r="B2060" s="256"/>
      <c r="C2060" s="256"/>
      <c r="D2060" s="414"/>
      <c r="E2060" s="414"/>
      <c r="F2060" s="414"/>
      <c r="G2060" s="253"/>
      <c r="H2060" s="253"/>
      <c r="I2060" s="253"/>
      <c r="J2060" s="253"/>
      <c r="K2060" s="253"/>
      <c r="L2060" s="253"/>
      <c r="M2060" s="253"/>
      <c r="N2060" s="253"/>
      <c r="O2060" s="258"/>
      <c r="P2060" s="258"/>
      <c r="Q2060" s="258"/>
      <c r="R2060" s="258"/>
      <c r="S2060" s="258"/>
      <c r="T2060" s="258"/>
      <c r="U2060" s="258"/>
      <c r="V2060" s="258"/>
      <c r="W2060" s="258"/>
      <c r="X2060" s="258"/>
      <c r="Y2060" s="258"/>
      <c r="Z2060" s="258"/>
      <c r="AA2060" s="258"/>
      <c r="AB2060" s="258"/>
      <c r="AC2060" s="407"/>
    </row>
    <row r="2061" spans="2:29" s="406" customFormat="1" ht="16.5" customHeight="1">
      <c r="B2061" s="256"/>
      <c r="C2061" s="256"/>
      <c r="D2061" s="414"/>
      <c r="E2061" s="414"/>
      <c r="F2061" s="414"/>
      <c r="G2061" s="253"/>
      <c r="H2061" s="253"/>
      <c r="I2061" s="253"/>
      <c r="J2061" s="253"/>
      <c r="K2061" s="253"/>
      <c r="L2061" s="253"/>
      <c r="M2061" s="253"/>
      <c r="N2061" s="253"/>
      <c r="O2061" s="258"/>
      <c r="P2061" s="258"/>
      <c r="Q2061" s="258"/>
      <c r="R2061" s="258"/>
      <c r="S2061" s="258"/>
      <c r="T2061" s="258"/>
      <c r="U2061" s="258"/>
      <c r="V2061" s="258"/>
      <c r="W2061" s="258"/>
      <c r="X2061" s="258"/>
      <c r="Y2061" s="258"/>
      <c r="Z2061" s="258"/>
      <c r="AA2061" s="258"/>
      <c r="AB2061" s="258"/>
      <c r="AC2061" s="407"/>
    </row>
    <row r="2062" spans="2:29" s="406" customFormat="1" ht="16.5" customHeight="1">
      <c r="B2062" s="256"/>
      <c r="C2062" s="256"/>
      <c r="D2062" s="414"/>
      <c r="E2062" s="414"/>
      <c r="F2062" s="414"/>
      <c r="G2062" s="253"/>
      <c r="H2062" s="253"/>
      <c r="I2062" s="253"/>
      <c r="J2062" s="253"/>
      <c r="K2062" s="253"/>
      <c r="L2062" s="253"/>
      <c r="M2062" s="253"/>
      <c r="N2062" s="253"/>
      <c r="O2062" s="258"/>
      <c r="P2062" s="258"/>
      <c r="Q2062" s="258"/>
      <c r="R2062" s="258"/>
      <c r="S2062" s="258"/>
      <c r="T2062" s="258"/>
      <c r="U2062" s="258"/>
      <c r="V2062" s="258"/>
      <c r="W2062" s="258"/>
      <c r="X2062" s="258"/>
      <c r="Y2062" s="258"/>
      <c r="Z2062" s="258"/>
      <c r="AA2062" s="258"/>
      <c r="AB2062" s="258"/>
      <c r="AC2062" s="407"/>
    </row>
    <row r="2063" spans="2:29" s="406" customFormat="1" ht="16.5" customHeight="1">
      <c r="B2063" s="256"/>
      <c r="C2063" s="256"/>
      <c r="D2063" s="414"/>
      <c r="E2063" s="414"/>
      <c r="F2063" s="414"/>
      <c r="G2063" s="253"/>
      <c r="H2063" s="253"/>
      <c r="I2063" s="253"/>
      <c r="J2063" s="253"/>
      <c r="K2063" s="253"/>
      <c r="L2063" s="253"/>
      <c r="M2063" s="253"/>
      <c r="N2063" s="253"/>
      <c r="O2063" s="258"/>
      <c r="P2063" s="258"/>
      <c r="Q2063" s="258"/>
      <c r="R2063" s="258"/>
      <c r="S2063" s="258"/>
      <c r="T2063" s="258"/>
      <c r="U2063" s="258"/>
      <c r="V2063" s="258"/>
      <c r="W2063" s="258"/>
      <c r="X2063" s="258"/>
      <c r="Y2063" s="258"/>
      <c r="Z2063" s="258"/>
      <c r="AA2063" s="258"/>
      <c r="AB2063" s="258"/>
      <c r="AC2063" s="407"/>
    </row>
    <row r="2064" spans="2:29" s="406" customFormat="1" ht="16.5" customHeight="1">
      <c r="B2064" s="256"/>
      <c r="C2064" s="256"/>
      <c r="D2064" s="414"/>
      <c r="E2064" s="414"/>
      <c r="F2064" s="414"/>
      <c r="G2064" s="253"/>
      <c r="H2064" s="253"/>
      <c r="I2064" s="253"/>
      <c r="J2064" s="253"/>
      <c r="K2064" s="253"/>
      <c r="L2064" s="253"/>
      <c r="M2064" s="253"/>
      <c r="N2064" s="253"/>
      <c r="O2064" s="258"/>
      <c r="P2064" s="258"/>
      <c r="Q2064" s="258"/>
      <c r="R2064" s="258"/>
      <c r="S2064" s="258"/>
      <c r="T2064" s="258"/>
      <c r="U2064" s="258"/>
      <c r="V2064" s="258"/>
      <c r="W2064" s="258"/>
      <c r="X2064" s="258"/>
      <c r="Y2064" s="258"/>
      <c r="Z2064" s="258"/>
      <c r="AA2064" s="258"/>
      <c r="AB2064" s="258"/>
      <c r="AC2064" s="407"/>
    </row>
    <row r="2065" spans="2:29" s="406" customFormat="1" ht="16.5" customHeight="1">
      <c r="B2065" s="256"/>
      <c r="C2065" s="256"/>
      <c r="D2065" s="414"/>
      <c r="E2065" s="414"/>
      <c r="F2065" s="414"/>
      <c r="G2065" s="253"/>
      <c r="H2065" s="253"/>
      <c r="I2065" s="253"/>
      <c r="J2065" s="253"/>
      <c r="K2065" s="253"/>
      <c r="L2065" s="253"/>
      <c r="M2065" s="253"/>
      <c r="N2065" s="253"/>
      <c r="O2065" s="258"/>
      <c r="P2065" s="258"/>
      <c r="Q2065" s="258"/>
      <c r="R2065" s="258"/>
      <c r="S2065" s="258"/>
      <c r="T2065" s="258"/>
      <c r="U2065" s="258"/>
      <c r="V2065" s="258"/>
      <c r="W2065" s="258"/>
      <c r="X2065" s="258"/>
      <c r="Y2065" s="258"/>
      <c r="Z2065" s="258"/>
      <c r="AA2065" s="258"/>
      <c r="AB2065" s="258"/>
      <c r="AC2065" s="407"/>
    </row>
    <row r="2066" spans="2:29" s="406" customFormat="1" ht="16.5" customHeight="1">
      <c r="B2066" s="256"/>
      <c r="C2066" s="256"/>
      <c r="D2066" s="414"/>
      <c r="E2066" s="414"/>
      <c r="F2066" s="414"/>
      <c r="G2066" s="253"/>
      <c r="H2066" s="253"/>
      <c r="I2066" s="253"/>
      <c r="J2066" s="253"/>
      <c r="K2066" s="253"/>
      <c r="L2066" s="253"/>
      <c r="M2066" s="253"/>
      <c r="N2066" s="253"/>
      <c r="O2066" s="258"/>
      <c r="P2066" s="258"/>
      <c r="Q2066" s="258"/>
      <c r="R2066" s="258"/>
      <c r="S2066" s="258"/>
      <c r="T2066" s="258"/>
      <c r="U2066" s="258"/>
      <c r="V2066" s="258"/>
      <c r="W2066" s="258"/>
      <c r="X2066" s="258"/>
      <c r="Y2066" s="258"/>
      <c r="Z2066" s="258"/>
      <c r="AA2066" s="258"/>
      <c r="AB2066" s="258"/>
      <c r="AC2066" s="407"/>
    </row>
    <row r="2067" spans="2:29" s="406" customFormat="1" ht="16.5" customHeight="1">
      <c r="B2067" s="256"/>
      <c r="C2067" s="256"/>
      <c r="D2067" s="414"/>
      <c r="E2067" s="414"/>
      <c r="F2067" s="414"/>
      <c r="G2067" s="253"/>
      <c r="H2067" s="253"/>
      <c r="I2067" s="253"/>
      <c r="J2067" s="253"/>
      <c r="K2067" s="253"/>
      <c r="L2067" s="253"/>
      <c r="M2067" s="253"/>
      <c r="N2067" s="253"/>
      <c r="O2067" s="258"/>
      <c r="P2067" s="258"/>
      <c r="Q2067" s="258"/>
      <c r="R2067" s="258"/>
      <c r="S2067" s="258"/>
      <c r="T2067" s="258"/>
      <c r="U2067" s="258"/>
      <c r="V2067" s="258"/>
      <c r="W2067" s="258"/>
      <c r="X2067" s="258"/>
      <c r="Y2067" s="258"/>
      <c r="Z2067" s="258"/>
      <c r="AA2067" s="258"/>
      <c r="AB2067" s="258"/>
      <c r="AC2067" s="407"/>
    </row>
    <row r="2068" spans="2:29" s="406" customFormat="1" ht="16.5" customHeight="1">
      <c r="B2068" s="256"/>
      <c r="C2068" s="256"/>
      <c r="D2068" s="414"/>
      <c r="E2068" s="414"/>
      <c r="F2068" s="414"/>
      <c r="G2068" s="253"/>
      <c r="H2068" s="253"/>
      <c r="I2068" s="253"/>
      <c r="J2068" s="253"/>
      <c r="K2068" s="253"/>
      <c r="L2068" s="253"/>
      <c r="M2068" s="253"/>
      <c r="N2068" s="253"/>
      <c r="O2068" s="258"/>
      <c r="P2068" s="258"/>
      <c r="Q2068" s="258"/>
      <c r="R2068" s="258"/>
      <c r="S2068" s="258"/>
      <c r="T2068" s="258"/>
      <c r="U2068" s="258"/>
      <c r="V2068" s="258"/>
      <c r="W2068" s="258"/>
      <c r="X2068" s="258"/>
      <c r="Y2068" s="258"/>
      <c r="Z2068" s="258"/>
      <c r="AA2068" s="258"/>
      <c r="AB2068" s="258"/>
      <c r="AC2068" s="407"/>
    </row>
    <row r="2069" spans="2:29" s="406" customFormat="1" ht="16.5" customHeight="1">
      <c r="B2069" s="256"/>
      <c r="C2069" s="256"/>
      <c r="D2069" s="414"/>
      <c r="E2069" s="414"/>
      <c r="F2069" s="414"/>
      <c r="G2069" s="253"/>
      <c r="H2069" s="253"/>
      <c r="I2069" s="253"/>
      <c r="J2069" s="253"/>
      <c r="K2069" s="253"/>
      <c r="L2069" s="253"/>
      <c r="M2069" s="253"/>
      <c r="N2069" s="253"/>
      <c r="O2069" s="258"/>
      <c r="P2069" s="258"/>
      <c r="Q2069" s="258"/>
      <c r="R2069" s="258"/>
      <c r="S2069" s="258"/>
      <c r="T2069" s="258"/>
      <c r="U2069" s="258"/>
      <c r="V2069" s="258"/>
      <c r="W2069" s="258"/>
      <c r="X2069" s="258"/>
      <c r="Y2069" s="258"/>
      <c r="Z2069" s="258"/>
      <c r="AA2069" s="258"/>
      <c r="AB2069" s="258"/>
      <c r="AC2069" s="407"/>
    </row>
    <row r="2070" spans="2:29" s="406" customFormat="1" ht="16.5" customHeight="1">
      <c r="B2070" s="256"/>
      <c r="C2070" s="256"/>
      <c r="D2070" s="414"/>
      <c r="E2070" s="414"/>
      <c r="F2070" s="414"/>
      <c r="G2070" s="253"/>
      <c r="H2070" s="253"/>
      <c r="I2070" s="253"/>
      <c r="J2070" s="253"/>
      <c r="K2070" s="253"/>
      <c r="L2070" s="253"/>
      <c r="M2070" s="253"/>
      <c r="N2070" s="253"/>
      <c r="O2070" s="258"/>
      <c r="P2070" s="258"/>
      <c r="Q2070" s="258"/>
      <c r="R2070" s="258"/>
      <c r="S2070" s="258"/>
      <c r="T2070" s="258"/>
      <c r="U2070" s="258"/>
      <c r="V2070" s="258"/>
      <c r="W2070" s="258"/>
      <c r="X2070" s="258"/>
      <c r="Y2070" s="258"/>
      <c r="Z2070" s="258"/>
      <c r="AA2070" s="258"/>
      <c r="AB2070" s="258"/>
      <c r="AC2070" s="407"/>
    </row>
    <row r="2071" spans="2:29" s="406" customFormat="1" ht="16.5" customHeight="1">
      <c r="B2071" s="256"/>
      <c r="C2071" s="256"/>
      <c r="D2071" s="414"/>
      <c r="E2071" s="414"/>
      <c r="F2071" s="414"/>
      <c r="G2071" s="253"/>
      <c r="H2071" s="253"/>
      <c r="I2071" s="253"/>
      <c r="J2071" s="253"/>
      <c r="K2071" s="253"/>
      <c r="L2071" s="253"/>
      <c r="M2071" s="253"/>
      <c r="N2071" s="253"/>
      <c r="O2071" s="258"/>
      <c r="P2071" s="258"/>
      <c r="Q2071" s="258"/>
      <c r="R2071" s="258"/>
      <c r="S2071" s="258"/>
      <c r="T2071" s="258"/>
      <c r="U2071" s="258"/>
      <c r="V2071" s="258"/>
      <c r="W2071" s="258"/>
      <c r="X2071" s="258"/>
      <c r="Y2071" s="258"/>
      <c r="Z2071" s="258"/>
      <c r="AA2071" s="258"/>
      <c r="AB2071" s="258"/>
      <c r="AC2071" s="407"/>
    </row>
    <row r="2072" spans="2:29" s="406" customFormat="1" ht="16.5" customHeight="1">
      <c r="B2072" s="256"/>
      <c r="C2072" s="256"/>
      <c r="D2072" s="414"/>
      <c r="E2072" s="414"/>
      <c r="F2072" s="414"/>
      <c r="G2072" s="253"/>
      <c r="H2072" s="253"/>
      <c r="I2072" s="253"/>
      <c r="J2072" s="253"/>
      <c r="K2072" s="253"/>
      <c r="L2072" s="253"/>
      <c r="M2072" s="253"/>
      <c r="N2072" s="253"/>
      <c r="O2072" s="258"/>
      <c r="P2072" s="258"/>
      <c r="Q2072" s="258"/>
      <c r="R2072" s="258"/>
      <c r="S2072" s="258"/>
      <c r="T2072" s="258"/>
      <c r="U2072" s="258"/>
      <c r="V2072" s="258"/>
      <c r="W2072" s="258"/>
      <c r="X2072" s="258"/>
      <c r="Y2072" s="258"/>
      <c r="Z2072" s="258"/>
      <c r="AA2072" s="258"/>
      <c r="AB2072" s="258"/>
      <c r="AC2072" s="407"/>
    </row>
    <row r="2073" spans="2:29" s="406" customFormat="1" ht="16.5" customHeight="1">
      <c r="B2073" s="256"/>
      <c r="C2073" s="256"/>
      <c r="D2073" s="414"/>
      <c r="E2073" s="414"/>
      <c r="F2073" s="414"/>
      <c r="G2073" s="253"/>
      <c r="H2073" s="253"/>
      <c r="I2073" s="253"/>
      <c r="J2073" s="253"/>
      <c r="K2073" s="253"/>
      <c r="L2073" s="253"/>
      <c r="M2073" s="253"/>
      <c r="N2073" s="253"/>
      <c r="O2073" s="258"/>
      <c r="P2073" s="258"/>
      <c r="Q2073" s="258"/>
      <c r="R2073" s="258"/>
      <c r="S2073" s="258"/>
      <c r="T2073" s="258"/>
      <c r="U2073" s="258"/>
      <c r="V2073" s="258"/>
      <c r="W2073" s="258"/>
      <c r="X2073" s="258"/>
      <c r="Y2073" s="258"/>
      <c r="Z2073" s="258"/>
      <c r="AA2073" s="258"/>
      <c r="AB2073" s="258"/>
      <c r="AC2073" s="407"/>
    </row>
    <row r="2074" spans="2:29" s="406" customFormat="1" ht="16.5" customHeight="1">
      <c r="B2074" s="256"/>
      <c r="C2074" s="256"/>
      <c r="D2074" s="414"/>
      <c r="E2074" s="414"/>
      <c r="F2074" s="414"/>
      <c r="G2074" s="253"/>
      <c r="H2074" s="253"/>
      <c r="I2074" s="253"/>
      <c r="J2074" s="253"/>
      <c r="K2074" s="253"/>
      <c r="L2074" s="253"/>
      <c r="M2074" s="253"/>
      <c r="N2074" s="253"/>
      <c r="O2074" s="258"/>
      <c r="P2074" s="258"/>
      <c r="Q2074" s="258"/>
      <c r="R2074" s="258"/>
      <c r="S2074" s="258"/>
      <c r="T2074" s="258"/>
      <c r="U2074" s="258"/>
      <c r="V2074" s="258"/>
      <c r="W2074" s="258"/>
      <c r="X2074" s="258"/>
      <c r="Y2074" s="258"/>
      <c r="Z2074" s="258"/>
      <c r="AA2074" s="258"/>
      <c r="AB2074" s="258"/>
      <c r="AC2074" s="407"/>
    </row>
    <row r="2075" spans="2:29" s="406" customFormat="1" ht="16.5" customHeight="1">
      <c r="B2075" s="256"/>
      <c r="C2075" s="256"/>
      <c r="D2075" s="414"/>
      <c r="E2075" s="414"/>
      <c r="F2075" s="414"/>
      <c r="G2075" s="253"/>
      <c r="H2075" s="253"/>
      <c r="I2075" s="253"/>
      <c r="J2075" s="253"/>
      <c r="K2075" s="253"/>
      <c r="L2075" s="253"/>
      <c r="M2075" s="253"/>
      <c r="N2075" s="253"/>
      <c r="O2075" s="258"/>
      <c r="P2075" s="258"/>
      <c r="Q2075" s="258"/>
      <c r="R2075" s="258"/>
      <c r="S2075" s="258"/>
      <c r="T2075" s="258"/>
      <c r="U2075" s="258"/>
      <c r="V2075" s="258"/>
      <c r="W2075" s="258"/>
      <c r="X2075" s="258"/>
      <c r="Y2075" s="258"/>
      <c r="Z2075" s="258"/>
      <c r="AA2075" s="258"/>
      <c r="AB2075" s="258"/>
      <c r="AC2075" s="407"/>
    </row>
    <row r="2076" spans="2:29" s="406" customFormat="1" ht="16.5" customHeight="1">
      <c r="B2076" s="256"/>
      <c r="C2076" s="256"/>
      <c r="D2076" s="414"/>
      <c r="E2076" s="414"/>
      <c r="F2076" s="414"/>
      <c r="G2076" s="253"/>
      <c r="H2076" s="253"/>
      <c r="I2076" s="253"/>
      <c r="J2076" s="253"/>
      <c r="K2076" s="253"/>
      <c r="L2076" s="253"/>
      <c r="M2076" s="253"/>
      <c r="N2076" s="253"/>
      <c r="O2076" s="258"/>
      <c r="P2076" s="258"/>
      <c r="Q2076" s="258"/>
      <c r="R2076" s="258"/>
      <c r="S2076" s="258"/>
      <c r="T2076" s="258"/>
      <c r="U2076" s="258"/>
      <c r="V2076" s="258"/>
      <c r="W2076" s="258"/>
      <c r="X2076" s="258"/>
      <c r="Y2076" s="258"/>
      <c r="Z2076" s="258"/>
      <c r="AA2076" s="258"/>
      <c r="AB2076" s="258"/>
      <c r="AC2076" s="407"/>
    </row>
    <row r="2077" spans="2:29" s="406" customFormat="1" ht="16.5" customHeight="1">
      <c r="B2077" s="256"/>
      <c r="C2077" s="256"/>
      <c r="D2077" s="414"/>
      <c r="E2077" s="414"/>
      <c r="F2077" s="414"/>
      <c r="G2077" s="253"/>
      <c r="H2077" s="253"/>
      <c r="I2077" s="253"/>
      <c r="J2077" s="253"/>
      <c r="K2077" s="253"/>
      <c r="L2077" s="253"/>
      <c r="M2077" s="253"/>
      <c r="N2077" s="253"/>
      <c r="O2077" s="258"/>
      <c r="P2077" s="258"/>
      <c r="Q2077" s="258"/>
      <c r="R2077" s="258"/>
      <c r="S2077" s="258"/>
      <c r="T2077" s="258"/>
      <c r="U2077" s="258"/>
      <c r="V2077" s="258"/>
      <c r="W2077" s="258"/>
      <c r="X2077" s="258"/>
      <c r="Y2077" s="258"/>
      <c r="Z2077" s="258"/>
      <c r="AA2077" s="258"/>
      <c r="AB2077" s="258"/>
      <c r="AC2077" s="407"/>
    </row>
    <row r="2078" spans="2:29" s="406" customFormat="1" ht="16.5" customHeight="1">
      <c r="B2078" s="256"/>
      <c r="C2078" s="256"/>
      <c r="D2078" s="414"/>
      <c r="E2078" s="414"/>
      <c r="F2078" s="414"/>
      <c r="G2078" s="253"/>
      <c r="H2078" s="253"/>
      <c r="I2078" s="253"/>
      <c r="J2078" s="253"/>
      <c r="K2078" s="253"/>
      <c r="L2078" s="253"/>
      <c r="M2078" s="253"/>
      <c r="N2078" s="253"/>
      <c r="O2078" s="258"/>
      <c r="P2078" s="258"/>
      <c r="Q2078" s="258"/>
      <c r="R2078" s="258"/>
      <c r="S2078" s="258"/>
      <c r="T2078" s="258"/>
      <c r="U2078" s="258"/>
      <c r="V2078" s="258"/>
      <c r="W2078" s="258"/>
      <c r="X2078" s="258"/>
      <c r="Y2078" s="258"/>
      <c r="Z2078" s="258"/>
      <c r="AA2078" s="258"/>
      <c r="AB2078" s="258"/>
      <c r="AC2078" s="407"/>
    </row>
    <row r="2079" spans="2:29" s="406" customFormat="1" ht="16.5" customHeight="1">
      <c r="B2079" s="256"/>
      <c r="C2079" s="256"/>
      <c r="D2079" s="414"/>
      <c r="E2079" s="414"/>
      <c r="F2079" s="414"/>
      <c r="G2079" s="253"/>
      <c r="H2079" s="253"/>
      <c r="I2079" s="253"/>
      <c r="J2079" s="253"/>
      <c r="K2079" s="253"/>
      <c r="L2079" s="253"/>
      <c r="M2079" s="253"/>
      <c r="N2079" s="253"/>
      <c r="O2079" s="258"/>
      <c r="P2079" s="258"/>
      <c r="Q2079" s="258"/>
      <c r="R2079" s="258"/>
      <c r="S2079" s="258"/>
      <c r="T2079" s="258"/>
      <c r="U2079" s="258"/>
      <c r="V2079" s="258"/>
      <c r="W2079" s="258"/>
      <c r="X2079" s="258"/>
      <c r="Y2079" s="258"/>
      <c r="Z2079" s="258"/>
      <c r="AA2079" s="258"/>
      <c r="AB2079" s="258"/>
      <c r="AC2079" s="407"/>
    </row>
    <row r="2080" spans="2:29" s="406" customFormat="1" ht="16.5" customHeight="1">
      <c r="B2080" s="256"/>
      <c r="C2080" s="256"/>
      <c r="D2080" s="414"/>
      <c r="E2080" s="414"/>
      <c r="F2080" s="414"/>
      <c r="G2080" s="253"/>
      <c r="H2080" s="253"/>
      <c r="I2080" s="253"/>
      <c r="J2080" s="253"/>
      <c r="K2080" s="253"/>
      <c r="L2080" s="253"/>
      <c r="M2080" s="253"/>
      <c r="N2080" s="253"/>
      <c r="O2080" s="258"/>
      <c r="P2080" s="258"/>
      <c r="Q2080" s="258"/>
      <c r="R2080" s="258"/>
      <c r="S2080" s="258"/>
      <c r="T2080" s="258"/>
      <c r="U2080" s="258"/>
      <c r="V2080" s="258"/>
      <c r="W2080" s="258"/>
      <c r="X2080" s="258"/>
      <c r="Y2080" s="258"/>
      <c r="Z2080" s="258"/>
      <c r="AA2080" s="258"/>
      <c r="AB2080" s="258"/>
      <c r="AC2080" s="407"/>
    </row>
    <row r="2081" spans="2:29" s="406" customFormat="1" ht="16.5" customHeight="1">
      <c r="B2081" s="256"/>
      <c r="C2081" s="256"/>
      <c r="D2081" s="414"/>
      <c r="E2081" s="414"/>
      <c r="F2081" s="414"/>
      <c r="G2081" s="253"/>
      <c r="H2081" s="253"/>
      <c r="I2081" s="253"/>
      <c r="J2081" s="253"/>
      <c r="K2081" s="253"/>
      <c r="L2081" s="253"/>
      <c r="M2081" s="253"/>
      <c r="N2081" s="253"/>
      <c r="O2081" s="258"/>
      <c r="P2081" s="258"/>
      <c r="Q2081" s="258"/>
      <c r="R2081" s="258"/>
      <c r="S2081" s="258"/>
      <c r="T2081" s="258"/>
      <c r="U2081" s="258"/>
      <c r="V2081" s="258"/>
      <c r="W2081" s="258"/>
      <c r="X2081" s="258"/>
      <c r="Y2081" s="258"/>
      <c r="Z2081" s="258"/>
      <c r="AA2081" s="258"/>
      <c r="AB2081" s="258"/>
      <c r="AC2081" s="407"/>
    </row>
    <row r="2082" spans="2:29" s="406" customFormat="1" ht="16.5" customHeight="1">
      <c r="B2082" s="256"/>
      <c r="C2082" s="256"/>
      <c r="D2082" s="414"/>
      <c r="E2082" s="414"/>
      <c r="F2082" s="414"/>
      <c r="G2082" s="253"/>
      <c r="H2082" s="253"/>
      <c r="I2082" s="253"/>
      <c r="J2082" s="253"/>
      <c r="K2082" s="253"/>
      <c r="L2082" s="253"/>
      <c r="M2082" s="253"/>
      <c r="N2082" s="253"/>
      <c r="O2082" s="258"/>
      <c r="P2082" s="258"/>
      <c r="Q2082" s="258"/>
      <c r="R2082" s="258"/>
      <c r="S2082" s="258"/>
      <c r="T2082" s="258"/>
      <c r="U2082" s="258"/>
      <c r="V2082" s="258"/>
      <c r="W2082" s="258"/>
      <c r="X2082" s="258"/>
      <c r="Y2082" s="258"/>
      <c r="Z2082" s="258"/>
      <c r="AA2082" s="258"/>
      <c r="AB2082" s="258"/>
      <c r="AC2082" s="407"/>
    </row>
    <row r="2083" spans="2:29" s="406" customFormat="1" ht="16.5" customHeight="1">
      <c r="B2083" s="256"/>
      <c r="C2083" s="256"/>
      <c r="D2083" s="414"/>
      <c r="E2083" s="414"/>
      <c r="F2083" s="414"/>
      <c r="G2083" s="253"/>
      <c r="H2083" s="253"/>
      <c r="I2083" s="253"/>
      <c r="J2083" s="253"/>
      <c r="K2083" s="253"/>
      <c r="L2083" s="253"/>
      <c r="M2083" s="253"/>
      <c r="N2083" s="253"/>
      <c r="O2083" s="258"/>
      <c r="P2083" s="258"/>
      <c r="Q2083" s="258"/>
      <c r="R2083" s="258"/>
      <c r="S2083" s="258"/>
      <c r="T2083" s="258"/>
      <c r="U2083" s="258"/>
      <c r="V2083" s="258"/>
      <c r="W2083" s="258"/>
      <c r="X2083" s="258"/>
      <c r="Y2083" s="258"/>
      <c r="Z2083" s="258"/>
      <c r="AA2083" s="258"/>
      <c r="AB2083" s="258"/>
      <c r="AC2083" s="407"/>
    </row>
    <row r="2084" spans="2:29" s="406" customFormat="1" ht="16.5" customHeight="1">
      <c r="B2084" s="256"/>
      <c r="C2084" s="256"/>
      <c r="D2084" s="414"/>
      <c r="E2084" s="414"/>
      <c r="F2084" s="414"/>
      <c r="G2084" s="253"/>
      <c r="H2084" s="253"/>
      <c r="I2084" s="253"/>
      <c r="J2084" s="253"/>
      <c r="K2084" s="253"/>
      <c r="L2084" s="253"/>
      <c r="M2084" s="253"/>
      <c r="N2084" s="253"/>
      <c r="O2084" s="258"/>
      <c r="P2084" s="258"/>
      <c r="Q2084" s="258"/>
      <c r="R2084" s="258"/>
      <c r="S2084" s="258"/>
      <c r="T2084" s="258"/>
      <c r="U2084" s="258"/>
      <c r="V2084" s="258"/>
      <c r="W2084" s="258"/>
      <c r="X2084" s="258"/>
      <c r="Y2084" s="258"/>
      <c r="Z2084" s="258"/>
      <c r="AA2084" s="258"/>
      <c r="AB2084" s="258"/>
      <c r="AC2084" s="407"/>
    </row>
    <row r="2085" spans="2:29" s="406" customFormat="1" ht="16.5" customHeight="1">
      <c r="B2085" s="256"/>
      <c r="C2085" s="256"/>
      <c r="D2085" s="414"/>
      <c r="E2085" s="414"/>
      <c r="F2085" s="414"/>
      <c r="G2085" s="253"/>
      <c r="H2085" s="253"/>
      <c r="I2085" s="253"/>
      <c r="J2085" s="253"/>
      <c r="K2085" s="253"/>
      <c r="L2085" s="253"/>
      <c r="M2085" s="253"/>
      <c r="N2085" s="253"/>
      <c r="O2085" s="258"/>
      <c r="P2085" s="258"/>
      <c r="Q2085" s="258"/>
      <c r="R2085" s="258"/>
      <c r="S2085" s="258"/>
      <c r="T2085" s="258"/>
      <c r="U2085" s="258"/>
      <c r="V2085" s="258"/>
      <c r="W2085" s="258"/>
      <c r="X2085" s="258"/>
      <c r="Y2085" s="258"/>
      <c r="Z2085" s="258"/>
      <c r="AA2085" s="258"/>
      <c r="AB2085" s="258"/>
      <c r="AC2085" s="407"/>
    </row>
    <row r="2086" spans="2:29" s="406" customFormat="1" ht="16.5" customHeight="1">
      <c r="B2086" s="256"/>
      <c r="C2086" s="256"/>
      <c r="D2086" s="414"/>
      <c r="E2086" s="414"/>
      <c r="F2086" s="414"/>
      <c r="G2086" s="253"/>
      <c r="H2086" s="253"/>
      <c r="I2086" s="253"/>
      <c r="J2086" s="253"/>
      <c r="K2086" s="253"/>
      <c r="L2086" s="253"/>
      <c r="M2086" s="253"/>
      <c r="N2086" s="253"/>
      <c r="O2086" s="258"/>
      <c r="P2086" s="258"/>
      <c r="Q2086" s="258"/>
      <c r="R2086" s="258"/>
      <c r="S2086" s="258"/>
      <c r="T2086" s="258"/>
      <c r="U2086" s="258"/>
      <c r="V2086" s="258"/>
      <c r="W2086" s="258"/>
      <c r="X2086" s="258"/>
      <c r="Y2086" s="258"/>
      <c r="Z2086" s="258"/>
      <c r="AA2086" s="258"/>
      <c r="AB2086" s="258"/>
      <c r="AC2086" s="407"/>
    </row>
    <row r="2087" spans="2:29" s="406" customFormat="1" ht="16.5" customHeight="1">
      <c r="B2087" s="256"/>
      <c r="C2087" s="256"/>
      <c r="D2087" s="414"/>
      <c r="E2087" s="414"/>
      <c r="F2087" s="414"/>
      <c r="G2087" s="253"/>
      <c r="H2087" s="253"/>
      <c r="I2087" s="253"/>
      <c r="J2087" s="253"/>
      <c r="K2087" s="253"/>
      <c r="L2087" s="253"/>
      <c r="M2087" s="253"/>
      <c r="N2087" s="253"/>
      <c r="O2087" s="258"/>
      <c r="P2087" s="258"/>
      <c r="Q2087" s="258"/>
      <c r="R2087" s="258"/>
      <c r="S2087" s="258"/>
      <c r="T2087" s="258"/>
      <c r="U2087" s="258"/>
      <c r="V2087" s="258"/>
      <c r="W2087" s="258"/>
      <c r="X2087" s="258"/>
      <c r="Y2087" s="258"/>
      <c r="Z2087" s="258"/>
      <c r="AA2087" s="258"/>
      <c r="AB2087" s="258"/>
      <c r="AC2087" s="407"/>
    </row>
    <row r="2088" spans="2:29" s="406" customFormat="1" ht="16.5" customHeight="1">
      <c r="B2088" s="256"/>
      <c r="C2088" s="256"/>
      <c r="D2088" s="414"/>
      <c r="E2088" s="414"/>
      <c r="F2088" s="414"/>
      <c r="G2088" s="253"/>
      <c r="H2088" s="253"/>
      <c r="I2088" s="253"/>
      <c r="J2088" s="253"/>
      <c r="K2088" s="253"/>
      <c r="L2088" s="253"/>
      <c r="M2088" s="253"/>
      <c r="N2088" s="253"/>
      <c r="O2088" s="258"/>
      <c r="P2088" s="258"/>
      <c r="Q2088" s="258"/>
      <c r="R2088" s="258"/>
      <c r="S2088" s="258"/>
      <c r="T2088" s="258"/>
      <c r="U2088" s="258"/>
      <c r="V2088" s="258"/>
      <c r="W2088" s="258"/>
      <c r="X2088" s="258"/>
      <c r="Y2088" s="258"/>
      <c r="Z2088" s="258"/>
      <c r="AA2088" s="258"/>
      <c r="AB2088" s="258"/>
      <c r="AC2088" s="407"/>
    </row>
    <row r="2089" spans="2:29" s="406" customFormat="1" ht="16.5" customHeight="1">
      <c r="B2089" s="256"/>
      <c r="C2089" s="256"/>
      <c r="D2089" s="414"/>
      <c r="E2089" s="414"/>
      <c r="F2089" s="414"/>
      <c r="G2089" s="253"/>
      <c r="H2089" s="253"/>
      <c r="I2089" s="253"/>
      <c r="J2089" s="253"/>
      <c r="K2089" s="253"/>
      <c r="L2089" s="253"/>
      <c r="M2089" s="253"/>
      <c r="N2089" s="253"/>
      <c r="O2089" s="258"/>
      <c r="P2089" s="258"/>
      <c r="Q2089" s="258"/>
      <c r="R2089" s="258"/>
      <c r="S2089" s="258"/>
      <c r="T2089" s="258"/>
      <c r="U2089" s="258"/>
      <c r="V2089" s="258"/>
      <c r="W2089" s="258"/>
      <c r="X2089" s="258"/>
      <c r="Y2089" s="258"/>
      <c r="Z2089" s="258"/>
      <c r="AA2089" s="258"/>
      <c r="AB2089" s="258"/>
      <c r="AC2089" s="407"/>
    </row>
    <row r="2090" spans="2:29" s="406" customFormat="1" ht="16.5" customHeight="1">
      <c r="B2090" s="256"/>
      <c r="C2090" s="256"/>
      <c r="D2090" s="414"/>
      <c r="E2090" s="414"/>
      <c r="F2090" s="414"/>
      <c r="G2090" s="253"/>
      <c r="H2090" s="253"/>
      <c r="I2090" s="253"/>
      <c r="J2090" s="253"/>
      <c r="K2090" s="253"/>
      <c r="L2090" s="253"/>
      <c r="M2090" s="253"/>
      <c r="N2090" s="253"/>
      <c r="O2090" s="258"/>
      <c r="P2090" s="258"/>
      <c r="Q2090" s="258"/>
      <c r="R2090" s="258"/>
      <c r="S2090" s="258"/>
      <c r="T2090" s="258"/>
      <c r="U2090" s="258"/>
      <c r="V2090" s="258"/>
      <c r="W2090" s="258"/>
      <c r="X2090" s="258"/>
      <c r="Y2090" s="258"/>
      <c r="Z2090" s="258"/>
      <c r="AA2090" s="258"/>
      <c r="AB2090" s="258"/>
      <c r="AC2090" s="407"/>
    </row>
    <row r="2091" spans="2:29" s="406" customFormat="1" ht="16.5" customHeight="1">
      <c r="B2091" s="256"/>
      <c r="C2091" s="256"/>
      <c r="D2091" s="414"/>
      <c r="E2091" s="414"/>
      <c r="F2091" s="414"/>
      <c r="G2091" s="253"/>
      <c r="H2091" s="253"/>
      <c r="I2091" s="253"/>
      <c r="J2091" s="253"/>
      <c r="K2091" s="253"/>
      <c r="L2091" s="253"/>
      <c r="M2091" s="253"/>
      <c r="N2091" s="253"/>
      <c r="O2091" s="258"/>
      <c r="P2091" s="258"/>
      <c r="Q2091" s="258"/>
      <c r="R2091" s="258"/>
      <c r="S2091" s="258"/>
      <c r="T2091" s="258"/>
      <c r="U2091" s="258"/>
      <c r="V2091" s="258"/>
      <c r="W2091" s="258"/>
      <c r="X2091" s="258"/>
      <c r="Y2091" s="258"/>
      <c r="Z2091" s="258"/>
      <c r="AA2091" s="258"/>
      <c r="AB2091" s="258"/>
      <c r="AC2091" s="407"/>
    </row>
    <row r="2092" spans="2:29" s="406" customFormat="1" ht="16.5" customHeight="1">
      <c r="B2092" s="256"/>
      <c r="C2092" s="256"/>
      <c r="D2092" s="414"/>
      <c r="E2092" s="414"/>
      <c r="F2092" s="414"/>
      <c r="G2092" s="253"/>
      <c r="H2092" s="253"/>
      <c r="I2092" s="253"/>
      <c r="J2092" s="253"/>
      <c r="K2092" s="253"/>
      <c r="L2092" s="253"/>
      <c r="M2092" s="253"/>
      <c r="N2092" s="253"/>
      <c r="O2092" s="258"/>
      <c r="P2092" s="258"/>
      <c r="Q2092" s="258"/>
      <c r="R2092" s="258"/>
      <c r="S2092" s="258"/>
      <c r="T2092" s="258"/>
      <c r="U2092" s="258"/>
      <c r="V2092" s="258"/>
      <c r="W2092" s="258"/>
      <c r="X2092" s="258"/>
      <c r="Y2092" s="258"/>
      <c r="Z2092" s="258"/>
      <c r="AA2092" s="258"/>
      <c r="AB2092" s="258"/>
      <c r="AC2092" s="407"/>
    </row>
    <row r="2093" spans="2:29" s="406" customFormat="1" ht="16.5" customHeight="1">
      <c r="B2093" s="256"/>
      <c r="C2093" s="256"/>
      <c r="D2093" s="414"/>
      <c r="E2093" s="414"/>
      <c r="F2093" s="414"/>
      <c r="G2093" s="253"/>
      <c r="H2093" s="253"/>
      <c r="I2093" s="253"/>
      <c r="J2093" s="253"/>
      <c r="K2093" s="253"/>
      <c r="L2093" s="253"/>
      <c r="M2093" s="253"/>
      <c r="N2093" s="253"/>
      <c r="O2093" s="258"/>
      <c r="P2093" s="258"/>
      <c r="Q2093" s="258"/>
      <c r="R2093" s="258"/>
      <c r="S2093" s="258"/>
      <c r="T2093" s="258"/>
      <c r="U2093" s="258"/>
      <c r="V2093" s="258"/>
      <c r="W2093" s="258"/>
      <c r="X2093" s="258"/>
      <c r="Y2093" s="258"/>
      <c r="Z2093" s="258"/>
      <c r="AA2093" s="258"/>
      <c r="AB2093" s="258"/>
      <c r="AC2093" s="407"/>
    </row>
    <row r="2094" spans="2:29" s="406" customFormat="1" ht="16.5" customHeight="1">
      <c r="B2094" s="256"/>
      <c r="C2094" s="256"/>
      <c r="D2094" s="414"/>
      <c r="E2094" s="414"/>
      <c r="F2094" s="414"/>
      <c r="G2094" s="253"/>
      <c r="H2094" s="253"/>
      <c r="I2094" s="253"/>
      <c r="J2094" s="253"/>
      <c r="K2094" s="253"/>
      <c r="L2094" s="253"/>
      <c r="M2094" s="253"/>
      <c r="N2094" s="253"/>
      <c r="O2094" s="258"/>
      <c r="P2094" s="258"/>
      <c r="Q2094" s="258"/>
      <c r="R2094" s="258"/>
      <c r="S2094" s="258"/>
      <c r="T2094" s="258"/>
      <c r="U2094" s="258"/>
      <c r="V2094" s="258"/>
      <c r="W2094" s="258"/>
      <c r="X2094" s="258"/>
      <c r="Y2094" s="258"/>
      <c r="Z2094" s="258"/>
      <c r="AA2094" s="258"/>
      <c r="AB2094" s="258"/>
      <c r="AC2094" s="407"/>
    </row>
    <row r="2095" spans="2:29" s="406" customFormat="1" ht="16.5" customHeight="1">
      <c r="B2095" s="256"/>
      <c r="C2095" s="256"/>
      <c r="D2095" s="414"/>
      <c r="E2095" s="414"/>
      <c r="F2095" s="414"/>
      <c r="G2095" s="253"/>
      <c r="H2095" s="253"/>
      <c r="I2095" s="253"/>
      <c r="J2095" s="253"/>
      <c r="K2095" s="253"/>
      <c r="L2095" s="253"/>
      <c r="M2095" s="253"/>
      <c r="N2095" s="253"/>
      <c r="O2095" s="258"/>
      <c r="P2095" s="258"/>
      <c r="Q2095" s="258"/>
      <c r="R2095" s="258"/>
      <c r="S2095" s="258"/>
      <c r="T2095" s="258"/>
      <c r="U2095" s="258"/>
      <c r="V2095" s="258"/>
      <c r="W2095" s="258"/>
      <c r="X2095" s="258"/>
      <c r="Y2095" s="258"/>
      <c r="Z2095" s="258"/>
      <c r="AA2095" s="258"/>
      <c r="AB2095" s="258"/>
      <c r="AC2095" s="407"/>
    </row>
    <row r="2096" spans="2:29" s="406" customFormat="1" ht="16.5" customHeight="1">
      <c r="B2096" s="256"/>
      <c r="C2096" s="256"/>
      <c r="D2096" s="414"/>
      <c r="E2096" s="414"/>
      <c r="F2096" s="414"/>
      <c r="G2096" s="253"/>
      <c r="H2096" s="253"/>
      <c r="I2096" s="253"/>
      <c r="J2096" s="253"/>
      <c r="K2096" s="253"/>
      <c r="L2096" s="253"/>
      <c r="M2096" s="253"/>
      <c r="N2096" s="253"/>
      <c r="O2096" s="258"/>
      <c r="P2096" s="258"/>
      <c r="Q2096" s="258"/>
      <c r="R2096" s="258"/>
      <c r="S2096" s="258"/>
      <c r="T2096" s="258"/>
      <c r="U2096" s="258"/>
      <c r="V2096" s="258"/>
      <c r="W2096" s="258"/>
      <c r="X2096" s="258"/>
      <c r="Y2096" s="258"/>
      <c r="Z2096" s="258"/>
      <c r="AA2096" s="258"/>
      <c r="AB2096" s="258"/>
      <c r="AC2096" s="407"/>
    </row>
    <row r="2097" spans="2:29" s="406" customFormat="1" ht="16.5" customHeight="1">
      <c r="B2097" s="256"/>
      <c r="C2097" s="256"/>
      <c r="D2097" s="414"/>
      <c r="E2097" s="414"/>
      <c r="F2097" s="414"/>
      <c r="G2097" s="253"/>
      <c r="H2097" s="253"/>
      <c r="I2097" s="253"/>
      <c r="J2097" s="253"/>
      <c r="K2097" s="253"/>
      <c r="L2097" s="253"/>
      <c r="M2097" s="253"/>
      <c r="N2097" s="253"/>
      <c r="O2097" s="258"/>
      <c r="P2097" s="258"/>
      <c r="Q2097" s="258"/>
      <c r="R2097" s="258"/>
      <c r="S2097" s="258"/>
      <c r="T2097" s="258"/>
      <c r="U2097" s="258"/>
      <c r="V2097" s="258"/>
      <c r="W2097" s="258"/>
      <c r="X2097" s="258"/>
      <c r="Y2097" s="258"/>
      <c r="Z2097" s="258"/>
      <c r="AA2097" s="258"/>
      <c r="AB2097" s="258"/>
      <c r="AC2097" s="407"/>
    </row>
    <row r="2098" spans="2:29" s="406" customFormat="1" ht="16.5" customHeight="1">
      <c r="B2098" s="256"/>
      <c r="C2098" s="256"/>
      <c r="D2098" s="414"/>
      <c r="E2098" s="414"/>
      <c r="F2098" s="414"/>
      <c r="G2098" s="253"/>
      <c r="H2098" s="253"/>
      <c r="I2098" s="253"/>
      <c r="J2098" s="253"/>
      <c r="K2098" s="253"/>
      <c r="L2098" s="253"/>
      <c r="M2098" s="253"/>
      <c r="N2098" s="253"/>
      <c r="O2098" s="258"/>
      <c r="P2098" s="258"/>
      <c r="Q2098" s="258"/>
      <c r="R2098" s="258"/>
      <c r="S2098" s="258"/>
      <c r="T2098" s="258"/>
      <c r="U2098" s="258"/>
      <c r="V2098" s="258"/>
      <c r="W2098" s="258"/>
      <c r="X2098" s="258"/>
      <c r="Y2098" s="258"/>
      <c r="Z2098" s="258"/>
      <c r="AA2098" s="258"/>
      <c r="AB2098" s="258"/>
      <c r="AC2098" s="407"/>
    </row>
    <row r="2099" spans="2:29" s="406" customFormat="1" ht="16.5" customHeight="1">
      <c r="B2099" s="256"/>
      <c r="C2099" s="256"/>
      <c r="D2099" s="414"/>
      <c r="E2099" s="414"/>
      <c r="F2099" s="414"/>
      <c r="G2099" s="253"/>
      <c r="H2099" s="253"/>
      <c r="I2099" s="253"/>
      <c r="J2099" s="253"/>
      <c r="K2099" s="253"/>
      <c r="L2099" s="253"/>
      <c r="M2099" s="253"/>
      <c r="N2099" s="253"/>
      <c r="O2099" s="258"/>
      <c r="P2099" s="258"/>
      <c r="Q2099" s="258"/>
      <c r="R2099" s="258"/>
      <c r="S2099" s="258"/>
      <c r="T2099" s="258"/>
      <c r="U2099" s="258"/>
      <c r="V2099" s="258"/>
      <c r="W2099" s="258"/>
      <c r="X2099" s="258"/>
      <c r="Y2099" s="258"/>
      <c r="Z2099" s="258"/>
      <c r="AA2099" s="258"/>
      <c r="AB2099" s="258"/>
      <c r="AC2099" s="407"/>
    </row>
    <row r="2100" spans="2:29" s="406" customFormat="1" ht="16.5" customHeight="1">
      <c r="B2100" s="256"/>
      <c r="C2100" s="256"/>
      <c r="D2100" s="414"/>
      <c r="E2100" s="414"/>
      <c r="F2100" s="414"/>
      <c r="G2100" s="253"/>
      <c r="H2100" s="253"/>
      <c r="I2100" s="253"/>
      <c r="J2100" s="253"/>
      <c r="K2100" s="253"/>
      <c r="L2100" s="253"/>
      <c r="M2100" s="253"/>
      <c r="N2100" s="253"/>
      <c r="O2100" s="258"/>
      <c r="P2100" s="258"/>
      <c r="Q2100" s="258"/>
      <c r="R2100" s="258"/>
      <c r="S2100" s="258"/>
      <c r="T2100" s="258"/>
      <c r="U2100" s="258"/>
      <c r="V2100" s="258"/>
      <c r="W2100" s="258"/>
      <c r="X2100" s="258"/>
      <c r="Y2100" s="258"/>
      <c r="Z2100" s="258"/>
      <c r="AA2100" s="258"/>
      <c r="AB2100" s="258"/>
      <c r="AC2100" s="407"/>
    </row>
    <row r="2101" spans="2:29" s="406" customFormat="1" ht="16.5" customHeight="1">
      <c r="B2101" s="256"/>
      <c r="C2101" s="256"/>
      <c r="D2101" s="414"/>
      <c r="E2101" s="414"/>
      <c r="F2101" s="414"/>
      <c r="G2101" s="253"/>
      <c r="H2101" s="253"/>
      <c r="I2101" s="253"/>
      <c r="J2101" s="253"/>
      <c r="K2101" s="253"/>
      <c r="L2101" s="253"/>
      <c r="M2101" s="253"/>
      <c r="N2101" s="253"/>
      <c r="O2101" s="258"/>
      <c r="P2101" s="258"/>
      <c r="Q2101" s="258"/>
      <c r="R2101" s="258"/>
      <c r="S2101" s="258"/>
      <c r="T2101" s="258"/>
      <c r="U2101" s="258"/>
      <c r="V2101" s="258"/>
      <c r="W2101" s="258"/>
      <c r="X2101" s="258"/>
      <c r="Y2101" s="258"/>
      <c r="Z2101" s="258"/>
      <c r="AA2101" s="258"/>
      <c r="AB2101" s="258"/>
      <c r="AC2101" s="407"/>
    </row>
    <row r="2102" spans="2:29" s="406" customFormat="1" ht="16.5" customHeight="1">
      <c r="B2102" s="256"/>
      <c r="C2102" s="256"/>
      <c r="D2102" s="414"/>
      <c r="E2102" s="414"/>
      <c r="F2102" s="414"/>
      <c r="G2102" s="253"/>
      <c r="H2102" s="253"/>
      <c r="I2102" s="253"/>
      <c r="J2102" s="253"/>
      <c r="K2102" s="253"/>
      <c r="L2102" s="253"/>
      <c r="M2102" s="253"/>
      <c r="N2102" s="253"/>
      <c r="O2102" s="258"/>
      <c r="P2102" s="258"/>
      <c r="Q2102" s="258"/>
      <c r="R2102" s="258"/>
      <c r="S2102" s="258"/>
      <c r="T2102" s="258"/>
      <c r="U2102" s="258"/>
      <c r="V2102" s="258"/>
      <c r="W2102" s="258"/>
      <c r="X2102" s="258"/>
      <c r="Y2102" s="258"/>
      <c r="Z2102" s="258"/>
      <c r="AA2102" s="258"/>
      <c r="AB2102" s="258"/>
      <c r="AC2102" s="407"/>
    </row>
    <row r="2103" spans="2:29" s="406" customFormat="1" ht="16.5" customHeight="1">
      <c r="B2103" s="256"/>
      <c r="C2103" s="256"/>
      <c r="D2103" s="414"/>
      <c r="E2103" s="414"/>
      <c r="F2103" s="414"/>
      <c r="G2103" s="253"/>
      <c r="H2103" s="253"/>
      <c r="I2103" s="253"/>
      <c r="J2103" s="253"/>
      <c r="K2103" s="253"/>
      <c r="L2103" s="253"/>
      <c r="M2103" s="253"/>
      <c r="N2103" s="253"/>
      <c r="O2103" s="258"/>
      <c r="P2103" s="258"/>
      <c r="Q2103" s="258"/>
      <c r="R2103" s="258"/>
      <c r="S2103" s="258"/>
      <c r="T2103" s="258"/>
      <c r="U2103" s="258"/>
      <c r="V2103" s="258"/>
      <c r="W2103" s="258"/>
      <c r="X2103" s="258"/>
      <c r="Y2103" s="258"/>
      <c r="Z2103" s="258"/>
      <c r="AA2103" s="258"/>
      <c r="AB2103" s="258"/>
      <c r="AC2103" s="407"/>
    </row>
    <row r="2104" spans="2:29" s="406" customFormat="1" ht="16.5" customHeight="1">
      <c r="B2104" s="256"/>
      <c r="C2104" s="256"/>
      <c r="D2104" s="414"/>
      <c r="E2104" s="414"/>
      <c r="F2104" s="414"/>
      <c r="G2104" s="253"/>
      <c r="H2104" s="253"/>
      <c r="I2104" s="253"/>
      <c r="J2104" s="253"/>
      <c r="K2104" s="253"/>
      <c r="L2104" s="253"/>
      <c r="M2104" s="253"/>
      <c r="N2104" s="253"/>
      <c r="O2104" s="258"/>
      <c r="P2104" s="258"/>
      <c r="Q2104" s="258"/>
      <c r="R2104" s="258"/>
      <c r="S2104" s="258"/>
      <c r="T2104" s="258"/>
      <c r="U2104" s="258"/>
      <c r="V2104" s="258"/>
      <c r="W2104" s="258"/>
      <c r="X2104" s="258"/>
      <c r="Y2104" s="258"/>
      <c r="Z2104" s="258"/>
      <c r="AA2104" s="258"/>
      <c r="AB2104" s="258"/>
      <c r="AC2104" s="407"/>
    </row>
    <row r="2105" spans="2:29" s="406" customFormat="1" ht="16.5" customHeight="1">
      <c r="B2105" s="256"/>
      <c r="C2105" s="256"/>
      <c r="D2105" s="414"/>
      <c r="E2105" s="414"/>
      <c r="F2105" s="414"/>
      <c r="G2105" s="253"/>
      <c r="H2105" s="253"/>
      <c r="I2105" s="253"/>
      <c r="J2105" s="253"/>
      <c r="K2105" s="253"/>
      <c r="L2105" s="253"/>
      <c r="M2105" s="253"/>
      <c r="N2105" s="253"/>
      <c r="O2105" s="258"/>
      <c r="P2105" s="258"/>
      <c r="Q2105" s="258"/>
      <c r="R2105" s="258"/>
      <c r="S2105" s="258"/>
      <c r="T2105" s="258"/>
      <c r="U2105" s="258"/>
      <c r="V2105" s="258"/>
      <c r="W2105" s="258"/>
      <c r="X2105" s="258"/>
      <c r="Y2105" s="258"/>
      <c r="Z2105" s="258"/>
      <c r="AA2105" s="258"/>
      <c r="AB2105" s="258"/>
      <c r="AC2105" s="407"/>
    </row>
    <row r="2106" spans="2:29" s="406" customFormat="1" ht="16.5" customHeight="1">
      <c r="B2106" s="256"/>
      <c r="C2106" s="256"/>
      <c r="D2106" s="414"/>
      <c r="E2106" s="414"/>
      <c r="F2106" s="414"/>
      <c r="G2106" s="253"/>
      <c r="H2106" s="253"/>
      <c r="I2106" s="253"/>
      <c r="J2106" s="253"/>
      <c r="K2106" s="253"/>
      <c r="L2106" s="253"/>
      <c r="M2106" s="253"/>
      <c r="N2106" s="253"/>
      <c r="O2106" s="258"/>
      <c r="P2106" s="258"/>
      <c r="Q2106" s="258"/>
      <c r="R2106" s="258"/>
      <c r="S2106" s="258"/>
      <c r="T2106" s="258"/>
      <c r="U2106" s="258"/>
      <c r="V2106" s="258"/>
      <c r="W2106" s="258"/>
      <c r="X2106" s="258"/>
      <c r="Y2106" s="258"/>
      <c r="Z2106" s="258"/>
      <c r="AA2106" s="258"/>
      <c r="AB2106" s="258"/>
      <c r="AC2106" s="407"/>
    </row>
    <row r="2107" spans="2:29" s="406" customFormat="1" ht="16.5" customHeight="1">
      <c r="B2107" s="256"/>
      <c r="C2107" s="256"/>
      <c r="D2107" s="414"/>
      <c r="E2107" s="414"/>
      <c r="F2107" s="414"/>
      <c r="G2107" s="253"/>
      <c r="H2107" s="253"/>
      <c r="I2107" s="253"/>
      <c r="J2107" s="253"/>
      <c r="K2107" s="253"/>
      <c r="L2107" s="253"/>
      <c r="M2107" s="253"/>
      <c r="N2107" s="253"/>
      <c r="O2107" s="258"/>
      <c r="P2107" s="258"/>
      <c r="Q2107" s="258"/>
      <c r="R2107" s="258"/>
      <c r="S2107" s="258"/>
      <c r="T2107" s="258"/>
      <c r="U2107" s="258"/>
      <c r="V2107" s="258"/>
      <c r="W2107" s="258"/>
      <c r="X2107" s="258"/>
      <c r="Y2107" s="258"/>
      <c r="Z2107" s="258"/>
      <c r="AA2107" s="258"/>
      <c r="AB2107" s="258"/>
      <c r="AC2107" s="407"/>
    </row>
    <row r="2108" spans="2:29" s="406" customFormat="1" ht="16.5" customHeight="1">
      <c r="B2108" s="256"/>
      <c r="C2108" s="256"/>
      <c r="D2108" s="414"/>
      <c r="E2108" s="414"/>
      <c r="F2108" s="414"/>
      <c r="G2108" s="253"/>
      <c r="H2108" s="253"/>
      <c r="I2108" s="253"/>
      <c r="J2108" s="253"/>
      <c r="K2108" s="253"/>
      <c r="L2108" s="253"/>
      <c r="M2108" s="253"/>
      <c r="N2108" s="253"/>
      <c r="O2108" s="258"/>
      <c r="P2108" s="258"/>
      <c r="Q2108" s="258"/>
      <c r="R2108" s="258"/>
      <c r="S2108" s="258"/>
      <c r="T2108" s="258"/>
      <c r="U2108" s="258"/>
      <c r="V2108" s="258"/>
      <c r="W2108" s="258"/>
      <c r="X2108" s="258"/>
      <c r="Y2108" s="258"/>
      <c r="Z2108" s="258"/>
      <c r="AA2108" s="258"/>
      <c r="AB2108" s="258"/>
      <c r="AC2108" s="407"/>
    </row>
    <row r="2109" spans="2:29" s="406" customFormat="1" ht="16.5" customHeight="1">
      <c r="B2109" s="256"/>
      <c r="C2109" s="256"/>
      <c r="D2109" s="414"/>
      <c r="E2109" s="414"/>
      <c r="F2109" s="414"/>
      <c r="G2109" s="253"/>
      <c r="H2109" s="253"/>
      <c r="I2109" s="253"/>
      <c r="J2109" s="253"/>
      <c r="K2109" s="253"/>
      <c r="L2109" s="253"/>
      <c r="M2109" s="253"/>
      <c r="N2109" s="253"/>
      <c r="O2109" s="258"/>
      <c r="P2109" s="258"/>
      <c r="Q2109" s="258"/>
      <c r="R2109" s="258"/>
      <c r="S2109" s="258"/>
      <c r="T2109" s="258"/>
      <c r="U2109" s="258"/>
      <c r="V2109" s="258"/>
      <c r="W2109" s="258"/>
      <c r="X2109" s="258"/>
      <c r="Y2109" s="258"/>
      <c r="Z2109" s="258"/>
      <c r="AA2109" s="258"/>
      <c r="AB2109" s="258"/>
      <c r="AC2109" s="407"/>
    </row>
    <row r="2110" spans="2:29" s="406" customFormat="1" ht="16.5" customHeight="1">
      <c r="B2110" s="256"/>
      <c r="C2110" s="256"/>
      <c r="D2110" s="414"/>
      <c r="E2110" s="414"/>
      <c r="F2110" s="414"/>
      <c r="G2110" s="253"/>
      <c r="H2110" s="253"/>
      <c r="I2110" s="253"/>
      <c r="J2110" s="253"/>
      <c r="K2110" s="253"/>
      <c r="L2110" s="253"/>
      <c r="M2110" s="253"/>
      <c r="N2110" s="253"/>
      <c r="O2110" s="258"/>
      <c r="P2110" s="258"/>
      <c r="Q2110" s="258"/>
      <c r="R2110" s="258"/>
      <c r="S2110" s="258"/>
      <c r="T2110" s="258"/>
      <c r="U2110" s="258"/>
      <c r="V2110" s="258"/>
      <c r="W2110" s="258"/>
      <c r="X2110" s="258"/>
      <c r="Y2110" s="258"/>
      <c r="Z2110" s="258"/>
      <c r="AA2110" s="258"/>
      <c r="AB2110" s="258"/>
      <c r="AC2110" s="407"/>
    </row>
    <row r="2111" spans="2:29" s="406" customFormat="1" ht="16.5" customHeight="1">
      <c r="B2111" s="256"/>
      <c r="C2111" s="256"/>
      <c r="D2111" s="414"/>
      <c r="E2111" s="414"/>
      <c r="F2111" s="414"/>
      <c r="G2111" s="253"/>
      <c r="H2111" s="253"/>
      <c r="I2111" s="253"/>
      <c r="J2111" s="253"/>
      <c r="K2111" s="253"/>
      <c r="L2111" s="253"/>
      <c r="M2111" s="253"/>
      <c r="N2111" s="253"/>
      <c r="O2111" s="258"/>
      <c r="P2111" s="258"/>
      <c r="Q2111" s="258"/>
      <c r="R2111" s="258"/>
      <c r="S2111" s="258"/>
      <c r="T2111" s="258"/>
      <c r="U2111" s="258"/>
      <c r="V2111" s="258"/>
      <c r="W2111" s="258"/>
      <c r="X2111" s="258"/>
      <c r="Y2111" s="258"/>
      <c r="Z2111" s="258"/>
      <c r="AA2111" s="258"/>
      <c r="AB2111" s="258"/>
      <c r="AC2111" s="407"/>
    </row>
    <row r="2112" spans="2:29" s="406" customFormat="1" ht="16.5" customHeight="1">
      <c r="B2112" s="256"/>
      <c r="C2112" s="256"/>
      <c r="D2112" s="414"/>
      <c r="E2112" s="414"/>
      <c r="F2112" s="414"/>
      <c r="G2112" s="253"/>
      <c r="H2112" s="253"/>
      <c r="I2112" s="253"/>
      <c r="J2112" s="253"/>
      <c r="K2112" s="253"/>
      <c r="L2112" s="253"/>
      <c r="M2112" s="253"/>
      <c r="N2112" s="253"/>
      <c r="O2112" s="258"/>
      <c r="P2112" s="258"/>
      <c r="Q2112" s="258"/>
      <c r="R2112" s="258"/>
      <c r="S2112" s="258"/>
      <c r="T2112" s="258"/>
      <c r="U2112" s="258"/>
      <c r="V2112" s="258"/>
      <c r="W2112" s="258"/>
      <c r="X2112" s="258"/>
      <c r="Y2112" s="258"/>
      <c r="Z2112" s="258"/>
      <c r="AA2112" s="258"/>
      <c r="AB2112" s="258"/>
      <c r="AC2112" s="407"/>
    </row>
    <row r="2113" spans="2:29" s="406" customFormat="1" ht="16.5" customHeight="1">
      <c r="B2113" s="256"/>
      <c r="C2113" s="256"/>
      <c r="D2113" s="414"/>
      <c r="E2113" s="414"/>
      <c r="F2113" s="414"/>
      <c r="G2113" s="253"/>
      <c r="H2113" s="253"/>
      <c r="I2113" s="253"/>
      <c r="J2113" s="253"/>
      <c r="K2113" s="253"/>
      <c r="L2113" s="253"/>
      <c r="M2113" s="253"/>
      <c r="N2113" s="253"/>
      <c r="O2113" s="258"/>
      <c r="P2113" s="258"/>
      <c r="Q2113" s="258"/>
      <c r="R2113" s="258"/>
      <c r="S2113" s="258"/>
      <c r="T2113" s="258"/>
      <c r="U2113" s="258"/>
      <c r="V2113" s="258"/>
      <c r="W2113" s="258"/>
      <c r="X2113" s="258"/>
      <c r="Y2113" s="258"/>
      <c r="Z2113" s="258"/>
      <c r="AA2113" s="258"/>
      <c r="AB2113" s="258"/>
      <c r="AC2113" s="407"/>
    </row>
    <row r="2114" spans="2:29" s="406" customFormat="1" ht="16.5" customHeight="1">
      <c r="B2114" s="256"/>
      <c r="C2114" s="256"/>
      <c r="D2114" s="414"/>
      <c r="E2114" s="414"/>
      <c r="F2114" s="414"/>
      <c r="G2114" s="253"/>
      <c r="H2114" s="253"/>
      <c r="I2114" s="253"/>
      <c r="J2114" s="253"/>
      <c r="K2114" s="253"/>
      <c r="L2114" s="253"/>
      <c r="M2114" s="253"/>
      <c r="N2114" s="253"/>
      <c r="O2114" s="258"/>
      <c r="P2114" s="258"/>
      <c r="Q2114" s="258"/>
      <c r="R2114" s="258"/>
      <c r="S2114" s="258"/>
      <c r="T2114" s="258"/>
      <c r="U2114" s="258"/>
      <c r="V2114" s="258"/>
      <c r="W2114" s="258"/>
      <c r="X2114" s="258"/>
      <c r="Y2114" s="258"/>
      <c r="Z2114" s="258"/>
      <c r="AA2114" s="258"/>
      <c r="AB2114" s="258"/>
      <c r="AC2114" s="407"/>
    </row>
    <row r="2115" spans="2:29" s="406" customFormat="1" ht="16.5" customHeight="1">
      <c r="B2115" s="256"/>
      <c r="C2115" s="256"/>
      <c r="D2115" s="414"/>
      <c r="E2115" s="414"/>
      <c r="F2115" s="414"/>
      <c r="G2115" s="253"/>
      <c r="H2115" s="253"/>
      <c r="I2115" s="253"/>
      <c r="J2115" s="253"/>
      <c r="K2115" s="253"/>
      <c r="L2115" s="253"/>
      <c r="M2115" s="253"/>
      <c r="N2115" s="253"/>
      <c r="O2115" s="258"/>
      <c r="P2115" s="258"/>
      <c r="Q2115" s="258"/>
      <c r="R2115" s="258"/>
      <c r="S2115" s="258"/>
      <c r="T2115" s="258"/>
      <c r="U2115" s="258"/>
      <c r="V2115" s="258"/>
      <c r="W2115" s="258"/>
      <c r="X2115" s="258"/>
      <c r="Y2115" s="258"/>
      <c r="Z2115" s="258"/>
      <c r="AA2115" s="258"/>
      <c r="AB2115" s="258"/>
      <c r="AC2115" s="407"/>
    </row>
    <row r="2116" spans="2:29" s="406" customFormat="1" ht="16.5" customHeight="1">
      <c r="B2116" s="256"/>
      <c r="C2116" s="256"/>
      <c r="D2116" s="414"/>
      <c r="E2116" s="414"/>
      <c r="F2116" s="414"/>
      <c r="G2116" s="253"/>
      <c r="H2116" s="253"/>
      <c r="I2116" s="253"/>
      <c r="J2116" s="253"/>
      <c r="K2116" s="253"/>
      <c r="L2116" s="253"/>
      <c r="M2116" s="253"/>
      <c r="N2116" s="253"/>
      <c r="O2116" s="258"/>
      <c r="P2116" s="258"/>
      <c r="Q2116" s="258"/>
      <c r="R2116" s="258"/>
      <c r="S2116" s="258"/>
      <c r="T2116" s="258"/>
      <c r="U2116" s="258"/>
      <c r="V2116" s="258"/>
      <c r="W2116" s="258"/>
      <c r="X2116" s="258"/>
      <c r="Y2116" s="258"/>
      <c r="Z2116" s="258"/>
      <c r="AA2116" s="258"/>
      <c r="AB2116" s="258"/>
      <c r="AC2116" s="407"/>
    </row>
    <row r="2117" spans="2:29" s="406" customFormat="1" ht="16.5" customHeight="1">
      <c r="B2117" s="256"/>
      <c r="C2117" s="256"/>
      <c r="D2117" s="414"/>
      <c r="E2117" s="414"/>
      <c r="F2117" s="414"/>
      <c r="G2117" s="253"/>
      <c r="H2117" s="253"/>
      <c r="I2117" s="253"/>
      <c r="J2117" s="253"/>
      <c r="K2117" s="253"/>
      <c r="L2117" s="253"/>
      <c r="M2117" s="253"/>
      <c r="N2117" s="253"/>
      <c r="O2117" s="258"/>
      <c r="P2117" s="258"/>
      <c r="Q2117" s="258"/>
      <c r="R2117" s="258"/>
      <c r="S2117" s="258"/>
      <c r="T2117" s="258"/>
      <c r="U2117" s="258"/>
      <c r="V2117" s="258"/>
      <c r="W2117" s="258"/>
      <c r="X2117" s="258"/>
      <c r="Y2117" s="258"/>
      <c r="Z2117" s="258"/>
      <c r="AA2117" s="258"/>
      <c r="AB2117" s="258"/>
      <c r="AC2117" s="407"/>
    </row>
    <row r="2118" spans="2:29" s="406" customFormat="1" ht="16.5" customHeight="1">
      <c r="B2118" s="256"/>
      <c r="C2118" s="256"/>
      <c r="D2118" s="414"/>
      <c r="E2118" s="414"/>
      <c r="F2118" s="414"/>
      <c r="G2118" s="253"/>
      <c r="H2118" s="253"/>
      <c r="I2118" s="253"/>
      <c r="J2118" s="253"/>
      <c r="K2118" s="253"/>
      <c r="L2118" s="253"/>
      <c r="M2118" s="253"/>
      <c r="N2118" s="253"/>
      <c r="O2118" s="258"/>
      <c r="P2118" s="258"/>
      <c r="Q2118" s="258"/>
      <c r="R2118" s="258"/>
      <c r="S2118" s="258"/>
      <c r="T2118" s="258"/>
      <c r="U2118" s="258"/>
      <c r="V2118" s="258"/>
      <c r="W2118" s="258"/>
      <c r="X2118" s="258"/>
      <c r="Y2118" s="258"/>
      <c r="Z2118" s="258"/>
      <c r="AA2118" s="258"/>
      <c r="AB2118" s="258"/>
      <c r="AC2118" s="407"/>
    </row>
    <row r="2119" spans="2:29" s="406" customFormat="1" ht="16.5" customHeight="1">
      <c r="B2119" s="256"/>
      <c r="C2119" s="256"/>
      <c r="D2119" s="414"/>
      <c r="E2119" s="414"/>
      <c r="F2119" s="414"/>
      <c r="G2119" s="253"/>
      <c r="H2119" s="253"/>
      <c r="I2119" s="253"/>
      <c r="J2119" s="253"/>
      <c r="K2119" s="253"/>
      <c r="L2119" s="253"/>
      <c r="M2119" s="253"/>
      <c r="N2119" s="253"/>
      <c r="O2119" s="258"/>
      <c r="P2119" s="258"/>
      <c r="Q2119" s="258"/>
      <c r="R2119" s="258"/>
      <c r="S2119" s="258"/>
      <c r="T2119" s="258"/>
      <c r="U2119" s="258"/>
      <c r="V2119" s="258"/>
      <c r="W2119" s="258"/>
      <c r="X2119" s="258"/>
      <c r="Y2119" s="258"/>
      <c r="Z2119" s="258"/>
      <c r="AA2119" s="258"/>
      <c r="AB2119" s="258"/>
      <c r="AC2119" s="407"/>
    </row>
    <row r="2120" spans="2:29" s="406" customFormat="1" ht="16.5" customHeight="1">
      <c r="B2120" s="256"/>
      <c r="C2120" s="256"/>
      <c r="D2120" s="414"/>
      <c r="E2120" s="414"/>
      <c r="F2120" s="414"/>
      <c r="G2120" s="253"/>
      <c r="H2120" s="253"/>
      <c r="I2120" s="253"/>
      <c r="J2120" s="253"/>
      <c r="K2120" s="253"/>
      <c r="L2120" s="253"/>
      <c r="M2120" s="253"/>
      <c r="N2120" s="253"/>
      <c r="O2120" s="258"/>
      <c r="P2120" s="258"/>
      <c r="Q2120" s="258"/>
      <c r="R2120" s="258"/>
      <c r="S2120" s="258"/>
      <c r="T2120" s="258"/>
      <c r="U2120" s="258"/>
      <c r="V2120" s="258"/>
      <c r="W2120" s="258"/>
      <c r="X2120" s="258"/>
      <c r="Y2120" s="258"/>
      <c r="Z2120" s="258"/>
      <c r="AA2120" s="258"/>
      <c r="AB2120" s="258"/>
      <c r="AC2120" s="407"/>
    </row>
    <row r="2121" spans="2:29" s="406" customFormat="1" ht="16.5" customHeight="1">
      <c r="B2121" s="256"/>
      <c r="C2121" s="256"/>
      <c r="D2121" s="414"/>
      <c r="E2121" s="414"/>
      <c r="F2121" s="414"/>
      <c r="G2121" s="253"/>
      <c r="H2121" s="253"/>
      <c r="I2121" s="253"/>
      <c r="J2121" s="253"/>
      <c r="K2121" s="253"/>
      <c r="L2121" s="253"/>
      <c r="M2121" s="253"/>
      <c r="N2121" s="253"/>
      <c r="O2121" s="258"/>
      <c r="P2121" s="258"/>
      <c r="Q2121" s="258"/>
      <c r="R2121" s="258"/>
      <c r="S2121" s="258"/>
      <c r="T2121" s="258"/>
      <c r="U2121" s="258"/>
      <c r="V2121" s="258"/>
      <c r="W2121" s="258"/>
      <c r="X2121" s="258"/>
      <c r="Y2121" s="258"/>
      <c r="Z2121" s="258"/>
      <c r="AA2121" s="258"/>
      <c r="AB2121" s="258"/>
      <c r="AC2121" s="407"/>
    </row>
    <row r="2122" spans="2:29" s="406" customFormat="1" ht="16.5" customHeight="1">
      <c r="B2122" s="256"/>
      <c r="C2122" s="256"/>
      <c r="D2122" s="414"/>
      <c r="E2122" s="414"/>
      <c r="F2122" s="414"/>
      <c r="G2122" s="253"/>
      <c r="H2122" s="253"/>
      <c r="I2122" s="253"/>
      <c r="J2122" s="253"/>
      <c r="K2122" s="253"/>
      <c r="L2122" s="253"/>
      <c r="M2122" s="253"/>
      <c r="N2122" s="253"/>
      <c r="O2122" s="258"/>
      <c r="P2122" s="258"/>
      <c r="Q2122" s="258"/>
      <c r="R2122" s="258"/>
      <c r="S2122" s="258"/>
      <c r="T2122" s="258"/>
      <c r="U2122" s="258"/>
      <c r="V2122" s="258"/>
      <c r="W2122" s="258"/>
      <c r="X2122" s="258"/>
      <c r="Y2122" s="258"/>
      <c r="Z2122" s="258"/>
      <c r="AA2122" s="258"/>
      <c r="AB2122" s="258"/>
      <c r="AC2122" s="407"/>
    </row>
    <row r="2123" spans="2:29" s="406" customFormat="1" ht="16.5" customHeight="1">
      <c r="B2123" s="256"/>
      <c r="C2123" s="256"/>
      <c r="D2123" s="414"/>
      <c r="E2123" s="414"/>
      <c r="F2123" s="414"/>
      <c r="G2123" s="253"/>
      <c r="H2123" s="253"/>
      <c r="I2123" s="253"/>
      <c r="J2123" s="253"/>
      <c r="K2123" s="253"/>
      <c r="L2123" s="253"/>
      <c r="M2123" s="253"/>
      <c r="N2123" s="253"/>
      <c r="O2123" s="258"/>
      <c r="P2123" s="258"/>
      <c r="Q2123" s="258"/>
      <c r="R2123" s="258"/>
      <c r="S2123" s="258"/>
      <c r="T2123" s="258"/>
      <c r="U2123" s="258"/>
      <c r="V2123" s="258"/>
      <c r="W2123" s="258"/>
      <c r="X2123" s="258"/>
      <c r="Y2123" s="258"/>
      <c r="Z2123" s="258"/>
      <c r="AA2123" s="258"/>
      <c r="AB2123" s="258"/>
      <c r="AC2123" s="407"/>
    </row>
    <row r="2124" spans="2:29" s="406" customFormat="1" ht="16.5" customHeight="1">
      <c r="B2124" s="256"/>
      <c r="C2124" s="256"/>
      <c r="D2124" s="414"/>
      <c r="E2124" s="414"/>
      <c r="F2124" s="414"/>
      <c r="G2124" s="253"/>
      <c r="H2124" s="253"/>
      <c r="I2124" s="253"/>
      <c r="J2124" s="253"/>
      <c r="K2124" s="253"/>
      <c r="L2124" s="253"/>
      <c r="M2124" s="253"/>
      <c r="N2124" s="253"/>
      <c r="O2124" s="258"/>
      <c r="P2124" s="258"/>
      <c r="Q2124" s="258"/>
      <c r="R2124" s="258"/>
      <c r="S2124" s="258"/>
      <c r="T2124" s="258"/>
      <c r="U2124" s="258"/>
      <c r="V2124" s="258"/>
      <c r="W2124" s="258"/>
      <c r="X2124" s="258"/>
      <c r="Y2124" s="258"/>
      <c r="Z2124" s="258"/>
      <c r="AA2124" s="258"/>
      <c r="AB2124" s="258"/>
      <c r="AC2124" s="407"/>
    </row>
    <row r="2125" spans="2:29" s="406" customFormat="1" ht="16.5" customHeight="1">
      <c r="B2125" s="256"/>
      <c r="C2125" s="256"/>
      <c r="D2125" s="414"/>
      <c r="E2125" s="414"/>
      <c r="F2125" s="414"/>
      <c r="G2125" s="253"/>
      <c r="H2125" s="253"/>
      <c r="I2125" s="253"/>
      <c r="J2125" s="253"/>
      <c r="K2125" s="253"/>
      <c r="L2125" s="253"/>
      <c r="M2125" s="253"/>
      <c r="N2125" s="253"/>
      <c r="O2125" s="258"/>
      <c r="P2125" s="258"/>
      <c r="Q2125" s="258"/>
      <c r="R2125" s="258"/>
      <c r="S2125" s="258"/>
      <c r="T2125" s="258"/>
      <c r="U2125" s="258"/>
      <c r="V2125" s="258"/>
      <c r="W2125" s="258"/>
      <c r="X2125" s="258"/>
      <c r="Y2125" s="258"/>
      <c r="Z2125" s="258"/>
      <c r="AA2125" s="258"/>
      <c r="AB2125" s="258"/>
      <c r="AC2125" s="407"/>
    </row>
    <row r="2126" spans="2:29" s="406" customFormat="1" ht="16.5" customHeight="1">
      <c r="B2126" s="256"/>
      <c r="C2126" s="256"/>
      <c r="D2126" s="414"/>
      <c r="E2126" s="414"/>
      <c r="F2126" s="414"/>
      <c r="G2126" s="253"/>
      <c r="H2126" s="253"/>
      <c r="I2126" s="253"/>
      <c r="J2126" s="253"/>
      <c r="K2126" s="253"/>
      <c r="L2126" s="253"/>
      <c r="M2126" s="253"/>
      <c r="N2126" s="253"/>
      <c r="O2126" s="258"/>
      <c r="P2126" s="258"/>
      <c r="Q2126" s="258"/>
      <c r="R2126" s="258"/>
      <c r="S2126" s="258"/>
      <c r="T2126" s="258"/>
      <c r="U2126" s="258"/>
      <c r="V2126" s="258"/>
      <c r="W2126" s="258"/>
      <c r="X2126" s="258"/>
      <c r="Y2126" s="258"/>
      <c r="Z2126" s="258"/>
      <c r="AA2126" s="258"/>
      <c r="AB2126" s="258"/>
      <c r="AC2126" s="407"/>
    </row>
    <row r="2127" spans="2:29" s="406" customFormat="1" ht="16.5" customHeight="1">
      <c r="B2127" s="256"/>
      <c r="C2127" s="256"/>
      <c r="D2127" s="414"/>
      <c r="E2127" s="414"/>
      <c r="F2127" s="414"/>
      <c r="G2127" s="253"/>
      <c r="H2127" s="253"/>
      <c r="I2127" s="253"/>
      <c r="J2127" s="253"/>
      <c r="K2127" s="253"/>
      <c r="L2127" s="253"/>
      <c r="M2127" s="253"/>
      <c r="N2127" s="253"/>
      <c r="O2127" s="258"/>
      <c r="P2127" s="258"/>
      <c r="Q2127" s="258"/>
      <c r="R2127" s="258"/>
      <c r="S2127" s="258"/>
      <c r="T2127" s="258"/>
      <c r="U2127" s="258"/>
      <c r="V2127" s="258"/>
      <c r="W2127" s="258"/>
      <c r="X2127" s="258"/>
      <c r="Y2127" s="258"/>
      <c r="Z2127" s="258"/>
      <c r="AA2127" s="258"/>
      <c r="AB2127" s="258"/>
      <c r="AC2127" s="407"/>
    </row>
    <row r="2128" spans="2:29" s="406" customFormat="1" ht="16.5" customHeight="1">
      <c r="B2128" s="256"/>
      <c r="C2128" s="256"/>
      <c r="D2128" s="414"/>
      <c r="E2128" s="414"/>
      <c r="F2128" s="414"/>
      <c r="G2128" s="253"/>
      <c r="H2128" s="253"/>
      <c r="I2128" s="253"/>
      <c r="J2128" s="253"/>
      <c r="K2128" s="253"/>
      <c r="L2128" s="253"/>
      <c r="M2128" s="253"/>
      <c r="N2128" s="253"/>
      <c r="O2128" s="258"/>
      <c r="P2128" s="258"/>
      <c r="Q2128" s="258"/>
      <c r="R2128" s="258"/>
      <c r="S2128" s="258"/>
      <c r="T2128" s="258"/>
      <c r="U2128" s="258"/>
      <c r="V2128" s="258"/>
      <c r="W2128" s="258"/>
      <c r="X2128" s="258"/>
      <c r="Y2128" s="258"/>
      <c r="Z2128" s="258"/>
      <c r="AA2128" s="258"/>
      <c r="AB2128" s="258"/>
      <c r="AC2128" s="407"/>
    </row>
    <row r="2129" spans="2:29" s="406" customFormat="1" ht="16.5" customHeight="1">
      <c r="B2129" s="256"/>
      <c r="C2129" s="256"/>
      <c r="D2129" s="414"/>
      <c r="E2129" s="414"/>
      <c r="F2129" s="414"/>
      <c r="G2129" s="253"/>
      <c r="H2129" s="253"/>
      <c r="I2129" s="253"/>
      <c r="J2129" s="253"/>
      <c r="K2129" s="253"/>
      <c r="L2129" s="253"/>
      <c r="M2129" s="253"/>
      <c r="N2129" s="253"/>
      <c r="O2129" s="258"/>
      <c r="P2129" s="258"/>
      <c r="Q2129" s="258"/>
      <c r="R2129" s="258"/>
      <c r="S2129" s="258"/>
      <c r="T2129" s="258"/>
      <c r="U2129" s="258"/>
      <c r="V2129" s="258"/>
      <c r="W2129" s="258"/>
      <c r="X2129" s="258"/>
      <c r="Y2129" s="258"/>
      <c r="Z2129" s="258"/>
      <c r="AA2129" s="258"/>
      <c r="AB2129" s="258"/>
      <c r="AC2129" s="407"/>
    </row>
    <row r="2130" spans="2:29" s="406" customFormat="1" ht="16.5" customHeight="1">
      <c r="B2130" s="256"/>
      <c r="C2130" s="256"/>
      <c r="D2130" s="414"/>
      <c r="E2130" s="414"/>
      <c r="F2130" s="414"/>
      <c r="G2130" s="253"/>
      <c r="H2130" s="253"/>
      <c r="I2130" s="253"/>
      <c r="J2130" s="253"/>
      <c r="K2130" s="253"/>
      <c r="L2130" s="253"/>
      <c r="M2130" s="253"/>
      <c r="N2130" s="253"/>
      <c r="O2130" s="258"/>
      <c r="P2130" s="258"/>
      <c r="Q2130" s="258"/>
      <c r="R2130" s="258"/>
      <c r="S2130" s="258"/>
      <c r="T2130" s="258"/>
      <c r="U2130" s="258"/>
      <c r="V2130" s="258"/>
      <c r="W2130" s="258"/>
      <c r="X2130" s="258"/>
      <c r="Y2130" s="258"/>
      <c r="Z2130" s="258"/>
      <c r="AA2130" s="258"/>
      <c r="AB2130" s="258"/>
      <c r="AC2130" s="407"/>
    </row>
    <row r="2131" spans="2:29" s="406" customFormat="1" ht="16.5" customHeight="1">
      <c r="B2131" s="256"/>
      <c r="C2131" s="256"/>
      <c r="D2131" s="414"/>
      <c r="E2131" s="414"/>
      <c r="F2131" s="414"/>
      <c r="G2131" s="253"/>
      <c r="H2131" s="253"/>
      <c r="I2131" s="253"/>
      <c r="J2131" s="253"/>
      <c r="K2131" s="253"/>
      <c r="L2131" s="253"/>
      <c r="M2131" s="253"/>
      <c r="N2131" s="253"/>
      <c r="O2131" s="258"/>
      <c r="P2131" s="258"/>
      <c r="Q2131" s="258"/>
      <c r="R2131" s="258"/>
      <c r="S2131" s="258"/>
      <c r="T2131" s="258"/>
      <c r="U2131" s="258"/>
      <c r="V2131" s="258"/>
      <c r="W2131" s="258"/>
      <c r="X2131" s="258"/>
      <c r="Y2131" s="258"/>
      <c r="Z2131" s="258"/>
      <c r="AA2131" s="258"/>
      <c r="AB2131" s="258"/>
      <c r="AC2131" s="407"/>
    </row>
    <row r="2132" spans="2:29" s="406" customFormat="1" ht="16.5" customHeight="1">
      <c r="B2132" s="256"/>
      <c r="C2132" s="256"/>
      <c r="D2132" s="414"/>
      <c r="E2132" s="414"/>
      <c r="F2132" s="414"/>
      <c r="G2132" s="253"/>
      <c r="H2132" s="253"/>
      <c r="I2132" s="253"/>
      <c r="J2132" s="253"/>
      <c r="K2132" s="253"/>
      <c r="L2132" s="253"/>
      <c r="M2132" s="253"/>
      <c r="N2132" s="253"/>
      <c r="O2132" s="258"/>
      <c r="P2132" s="258"/>
      <c r="Q2132" s="258"/>
      <c r="R2132" s="258"/>
      <c r="S2132" s="258"/>
      <c r="T2132" s="258"/>
      <c r="U2132" s="258"/>
      <c r="V2132" s="258"/>
      <c r="W2132" s="258"/>
      <c r="X2132" s="258"/>
      <c r="Y2132" s="258"/>
      <c r="Z2132" s="258"/>
      <c r="AA2132" s="258"/>
      <c r="AB2132" s="258"/>
      <c r="AC2132" s="407"/>
    </row>
    <row r="2133" spans="2:29" s="406" customFormat="1" ht="16.5" customHeight="1">
      <c r="B2133" s="256"/>
      <c r="C2133" s="256"/>
      <c r="D2133" s="414"/>
      <c r="E2133" s="414"/>
      <c r="F2133" s="414"/>
      <c r="G2133" s="253"/>
      <c r="H2133" s="253"/>
      <c r="I2133" s="253"/>
      <c r="J2133" s="253"/>
      <c r="K2133" s="253"/>
      <c r="L2133" s="253"/>
      <c r="M2133" s="253"/>
      <c r="N2133" s="253"/>
      <c r="O2133" s="258"/>
      <c r="P2133" s="258"/>
      <c r="Q2133" s="258"/>
      <c r="R2133" s="258"/>
      <c r="S2133" s="258"/>
      <c r="T2133" s="258"/>
      <c r="U2133" s="258"/>
      <c r="V2133" s="258"/>
      <c r="W2133" s="258"/>
      <c r="X2133" s="258"/>
      <c r="Y2133" s="258"/>
      <c r="Z2133" s="258"/>
      <c r="AA2133" s="258"/>
      <c r="AB2133" s="258"/>
      <c r="AC2133" s="407"/>
    </row>
    <row r="2134" spans="2:29" s="406" customFormat="1" ht="16.5" customHeight="1">
      <c r="B2134" s="256"/>
      <c r="C2134" s="256"/>
      <c r="D2134" s="414"/>
      <c r="E2134" s="414"/>
      <c r="F2134" s="414"/>
      <c r="G2134" s="253"/>
      <c r="H2134" s="253"/>
      <c r="I2134" s="253"/>
      <c r="J2134" s="253"/>
      <c r="K2134" s="253"/>
      <c r="L2134" s="253"/>
      <c r="M2134" s="253"/>
      <c r="N2134" s="253"/>
      <c r="O2134" s="258"/>
      <c r="P2134" s="258"/>
      <c r="Q2134" s="258"/>
      <c r="R2134" s="258"/>
      <c r="S2134" s="258"/>
      <c r="T2134" s="258"/>
      <c r="U2134" s="258"/>
      <c r="V2134" s="258"/>
      <c r="W2134" s="258"/>
      <c r="X2134" s="258"/>
      <c r="Y2134" s="258"/>
      <c r="Z2134" s="258"/>
      <c r="AA2134" s="258"/>
      <c r="AB2134" s="258"/>
      <c r="AC2134" s="407"/>
    </row>
    <row r="2135" spans="2:29" s="406" customFormat="1" ht="16.5" customHeight="1">
      <c r="B2135" s="256"/>
      <c r="C2135" s="256"/>
      <c r="D2135" s="414"/>
      <c r="E2135" s="414"/>
      <c r="F2135" s="414"/>
      <c r="G2135" s="253"/>
      <c r="H2135" s="253"/>
      <c r="I2135" s="253"/>
      <c r="J2135" s="253"/>
      <c r="K2135" s="253"/>
      <c r="L2135" s="253"/>
      <c r="M2135" s="253"/>
      <c r="N2135" s="253"/>
      <c r="O2135" s="258"/>
      <c r="P2135" s="258"/>
      <c r="Q2135" s="258"/>
      <c r="R2135" s="258"/>
      <c r="S2135" s="258"/>
      <c r="T2135" s="258"/>
      <c r="U2135" s="258"/>
      <c r="V2135" s="258"/>
      <c r="W2135" s="258"/>
      <c r="X2135" s="258"/>
      <c r="Y2135" s="258"/>
      <c r="Z2135" s="258"/>
      <c r="AA2135" s="258"/>
      <c r="AB2135" s="258"/>
      <c r="AC2135" s="407"/>
    </row>
    <row r="2136" spans="2:29" s="406" customFormat="1" ht="16.5" customHeight="1">
      <c r="B2136" s="256"/>
      <c r="C2136" s="256"/>
      <c r="D2136" s="414"/>
      <c r="E2136" s="414"/>
      <c r="F2136" s="414"/>
      <c r="G2136" s="253"/>
      <c r="H2136" s="253"/>
      <c r="I2136" s="253"/>
      <c r="J2136" s="253"/>
      <c r="K2136" s="253"/>
      <c r="L2136" s="253"/>
      <c r="M2136" s="253"/>
      <c r="N2136" s="253"/>
      <c r="O2136" s="258"/>
      <c r="P2136" s="258"/>
      <c r="Q2136" s="258"/>
      <c r="R2136" s="258"/>
      <c r="S2136" s="258"/>
      <c r="T2136" s="258"/>
      <c r="U2136" s="258"/>
      <c r="V2136" s="258"/>
      <c r="W2136" s="258"/>
      <c r="X2136" s="258"/>
      <c r="Y2136" s="258"/>
      <c r="Z2136" s="258"/>
      <c r="AA2136" s="258"/>
      <c r="AB2136" s="258"/>
      <c r="AC2136" s="407"/>
    </row>
    <row r="2137" spans="2:29" s="406" customFormat="1" ht="16.5" customHeight="1">
      <c r="B2137" s="256"/>
      <c r="C2137" s="256"/>
      <c r="D2137" s="414"/>
      <c r="E2137" s="414"/>
      <c r="F2137" s="414"/>
      <c r="G2137" s="253"/>
      <c r="H2137" s="253"/>
      <c r="I2137" s="253"/>
      <c r="J2137" s="253"/>
      <c r="K2137" s="253"/>
      <c r="L2137" s="253"/>
      <c r="M2137" s="253"/>
      <c r="N2137" s="253"/>
      <c r="O2137" s="258"/>
      <c r="P2137" s="258"/>
      <c r="Q2137" s="258"/>
      <c r="R2137" s="258"/>
      <c r="S2137" s="258"/>
      <c r="T2137" s="258"/>
      <c r="U2137" s="258"/>
      <c r="V2137" s="258"/>
      <c r="W2137" s="258"/>
      <c r="X2137" s="258"/>
      <c r="Y2137" s="258"/>
      <c r="Z2137" s="258"/>
      <c r="AA2137" s="258"/>
      <c r="AB2137" s="258"/>
      <c r="AC2137" s="407"/>
    </row>
    <row r="2138" spans="2:29" s="406" customFormat="1" ht="16.5" customHeight="1">
      <c r="B2138" s="256"/>
      <c r="C2138" s="256"/>
      <c r="D2138" s="414"/>
      <c r="E2138" s="414"/>
      <c r="F2138" s="414"/>
      <c r="G2138" s="253"/>
      <c r="H2138" s="253"/>
      <c r="I2138" s="253"/>
      <c r="J2138" s="253"/>
      <c r="K2138" s="253"/>
      <c r="L2138" s="253"/>
      <c r="M2138" s="253"/>
      <c r="N2138" s="253"/>
      <c r="O2138" s="258"/>
      <c r="P2138" s="258"/>
      <c r="Q2138" s="258"/>
      <c r="R2138" s="258"/>
      <c r="S2138" s="258"/>
      <c r="T2138" s="258"/>
      <c r="U2138" s="258"/>
      <c r="V2138" s="258"/>
      <c r="W2138" s="258"/>
      <c r="X2138" s="258"/>
      <c r="Y2138" s="258"/>
      <c r="Z2138" s="258"/>
      <c r="AA2138" s="258"/>
      <c r="AB2138" s="258"/>
      <c r="AC2138" s="407"/>
    </row>
    <row r="2139" spans="2:29" s="406" customFormat="1" ht="16.5" customHeight="1">
      <c r="B2139" s="256"/>
      <c r="C2139" s="256"/>
      <c r="D2139" s="414"/>
      <c r="E2139" s="414"/>
      <c r="F2139" s="414"/>
      <c r="G2139" s="253"/>
      <c r="H2139" s="253"/>
      <c r="I2139" s="253"/>
      <c r="J2139" s="253"/>
      <c r="K2139" s="253"/>
      <c r="L2139" s="253"/>
      <c r="M2139" s="253"/>
      <c r="N2139" s="253"/>
      <c r="O2139" s="258"/>
      <c r="P2139" s="258"/>
      <c r="Q2139" s="258"/>
      <c r="R2139" s="258"/>
      <c r="S2139" s="258"/>
      <c r="T2139" s="258"/>
      <c r="U2139" s="258"/>
      <c r="V2139" s="258"/>
      <c r="W2139" s="258"/>
      <c r="X2139" s="258"/>
      <c r="Y2139" s="258"/>
      <c r="Z2139" s="258"/>
      <c r="AA2139" s="258"/>
      <c r="AB2139" s="258"/>
      <c r="AC2139" s="407"/>
    </row>
    <row r="2140" spans="2:29" s="406" customFormat="1" ht="16.5" customHeight="1">
      <c r="B2140" s="256"/>
      <c r="C2140" s="256"/>
      <c r="D2140" s="414"/>
      <c r="E2140" s="414"/>
      <c r="F2140" s="414"/>
      <c r="G2140" s="253"/>
      <c r="H2140" s="253"/>
      <c r="I2140" s="253"/>
      <c r="J2140" s="253"/>
      <c r="K2140" s="253"/>
      <c r="L2140" s="253"/>
      <c r="M2140" s="253"/>
      <c r="N2140" s="253"/>
      <c r="O2140" s="258"/>
      <c r="P2140" s="258"/>
      <c r="Q2140" s="258"/>
      <c r="R2140" s="258"/>
      <c r="S2140" s="258"/>
      <c r="T2140" s="258"/>
      <c r="U2140" s="258"/>
      <c r="V2140" s="258"/>
      <c r="W2140" s="258"/>
      <c r="X2140" s="258"/>
      <c r="Y2140" s="258"/>
      <c r="Z2140" s="258"/>
      <c r="AA2140" s="258"/>
      <c r="AB2140" s="258"/>
      <c r="AC2140" s="407"/>
    </row>
    <row r="2141" spans="2:29" s="406" customFormat="1" ht="16.5" customHeight="1">
      <c r="B2141" s="256"/>
      <c r="C2141" s="256"/>
      <c r="D2141" s="414"/>
      <c r="E2141" s="414"/>
      <c r="F2141" s="414"/>
      <c r="G2141" s="253"/>
      <c r="H2141" s="253"/>
      <c r="I2141" s="253"/>
      <c r="J2141" s="253"/>
      <c r="K2141" s="253"/>
      <c r="L2141" s="253"/>
      <c r="M2141" s="253"/>
      <c r="N2141" s="253"/>
      <c r="O2141" s="258"/>
      <c r="P2141" s="258"/>
      <c r="Q2141" s="258"/>
      <c r="R2141" s="258"/>
      <c r="S2141" s="258"/>
      <c r="T2141" s="258"/>
      <c r="U2141" s="258"/>
      <c r="V2141" s="258"/>
      <c r="W2141" s="258"/>
      <c r="X2141" s="258"/>
      <c r="Y2141" s="258"/>
      <c r="Z2141" s="258"/>
      <c r="AA2141" s="258"/>
      <c r="AB2141" s="258"/>
      <c r="AC2141" s="407"/>
    </row>
    <row r="2142" spans="2:29" s="406" customFormat="1" ht="16.5" customHeight="1">
      <c r="B2142" s="256"/>
      <c r="C2142" s="256"/>
      <c r="D2142" s="414"/>
      <c r="E2142" s="414"/>
      <c r="F2142" s="414"/>
      <c r="G2142" s="253"/>
      <c r="H2142" s="253"/>
      <c r="I2142" s="253"/>
      <c r="J2142" s="253"/>
      <c r="K2142" s="253"/>
      <c r="L2142" s="253"/>
      <c r="M2142" s="253"/>
      <c r="N2142" s="253"/>
      <c r="O2142" s="258"/>
      <c r="P2142" s="258"/>
      <c r="Q2142" s="258"/>
      <c r="R2142" s="258"/>
      <c r="S2142" s="258"/>
      <c r="T2142" s="258"/>
      <c r="U2142" s="258"/>
      <c r="V2142" s="258"/>
      <c r="W2142" s="258"/>
      <c r="X2142" s="258"/>
      <c r="Y2142" s="258"/>
      <c r="Z2142" s="258"/>
      <c r="AA2142" s="258"/>
      <c r="AB2142" s="258"/>
      <c r="AC2142" s="407"/>
    </row>
    <row r="2143" spans="2:29" s="406" customFormat="1" ht="16.5" customHeight="1">
      <c r="B2143" s="256"/>
      <c r="C2143" s="256"/>
      <c r="D2143" s="414"/>
      <c r="E2143" s="414"/>
      <c r="F2143" s="414"/>
      <c r="G2143" s="253"/>
      <c r="H2143" s="253"/>
      <c r="I2143" s="253"/>
      <c r="J2143" s="253"/>
      <c r="K2143" s="253"/>
      <c r="L2143" s="253"/>
      <c r="M2143" s="253"/>
      <c r="N2143" s="253"/>
      <c r="O2143" s="258"/>
      <c r="P2143" s="258"/>
      <c r="Q2143" s="258"/>
      <c r="R2143" s="258"/>
      <c r="S2143" s="258"/>
      <c r="T2143" s="258"/>
      <c r="U2143" s="258"/>
      <c r="V2143" s="258"/>
      <c r="W2143" s="258"/>
      <c r="X2143" s="258"/>
      <c r="Y2143" s="258"/>
      <c r="Z2143" s="258"/>
      <c r="AA2143" s="258"/>
      <c r="AB2143" s="258"/>
      <c r="AC2143" s="407"/>
    </row>
    <row r="2144" spans="2:29" s="406" customFormat="1" ht="16.5" customHeight="1">
      <c r="B2144" s="256"/>
      <c r="C2144" s="256"/>
      <c r="D2144" s="414"/>
      <c r="E2144" s="414"/>
      <c r="F2144" s="414"/>
      <c r="G2144" s="253"/>
      <c r="H2144" s="253"/>
      <c r="I2144" s="253"/>
      <c r="J2144" s="253"/>
      <c r="K2144" s="253"/>
      <c r="L2144" s="253"/>
      <c r="M2144" s="253"/>
      <c r="N2144" s="253"/>
      <c r="O2144" s="258"/>
      <c r="P2144" s="258"/>
      <c r="Q2144" s="258"/>
      <c r="R2144" s="258"/>
      <c r="S2144" s="258"/>
      <c r="T2144" s="258"/>
      <c r="U2144" s="258"/>
      <c r="V2144" s="258"/>
      <c r="W2144" s="258"/>
      <c r="X2144" s="258"/>
      <c r="Y2144" s="258"/>
      <c r="Z2144" s="258"/>
      <c r="AA2144" s="258"/>
      <c r="AB2144" s="258"/>
      <c r="AC2144" s="407"/>
    </row>
    <row r="2145" spans="2:29" s="406" customFormat="1" ht="16.5" customHeight="1">
      <c r="B2145" s="256"/>
      <c r="C2145" s="256"/>
      <c r="D2145" s="414"/>
      <c r="E2145" s="414"/>
      <c r="F2145" s="414"/>
      <c r="G2145" s="253"/>
      <c r="H2145" s="253"/>
      <c r="I2145" s="253"/>
      <c r="J2145" s="253"/>
      <c r="K2145" s="253"/>
      <c r="L2145" s="253"/>
      <c r="M2145" s="253"/>
      <c r="N2145" s="253"/>
      <c r="O2145" s="258"/>
      <c r="P2145" s="258"/>
      <c r="Q2145" s="258"/>
      <c r="R2145" s="258"/>
      <c r="S2145" s="258"/>
      <c r="T2145" s="258"/>
      <c r="U2145" s="258"/>
      <c r="V2145" s="258"/>
      <c r="W2145" s="258"/>
      <c r="X2145" s="258"/>
      <c r="Y2145" s="258"/>
      <c r="Z2145" s="258"/>
      <c r="AA2145" s="258"/>
      <c r="AB2145" s="258"/>
      <c r="AC2145" s="407"/>
    </row>
    <row r="2146" spans="2:29" s="406" customFormat="1" ht="16.5" customHeight="1">
      <c r="B2146" s="256"/>
      <c r="C2146" s="256"/>
      <c r="D2146" s="414"/>
      <c r="E2146" s="414"/>
      <c r="F2146" s="414"/>
      <c r="G2146" s="253"/>
      <c r="H2146" s="253"/>
      <c r="I2146" s="253"/>
      <c r="J2146" s="253"/>
      <c r="K2146" s="253"/>
      <c r="L2146" s="253"/>
      <c r="M2146" s="253"/>
      <c r="N2146" s="253"/>
      <c r="O2146" s="258"/>
      <c r="P2146" s="258"/>
      <c r="Q2146" s="258"/>
      <c r="R2146" s="258"/>
      <c r="S2146" s="258"/>
      <c r="T2146" s="258"/>
      <c r="U2146" s="258"/>
      <c r="V2146" s="258"/>
      <c r="W2146" s="258"/>
      <c r="X2146" s="258"/>
      <c r="Y2146" s="258"/>
      <c r="Z2146" s="258"/>
      <c r="AA2146" s="258"/>
      <c r="AB2146" s="258"/>
      <c r="AC2146" s="407"/>
    </row>
    <row r="2147" spans="2:29" s="406" customFormat="1" ht="16.5" customHeight="1">
      <c r="B2147" s="256"/>
      <c r="C2147" s="256"/>
      <c r="D2147" s="414"/>
      <c r="E2147" s="414"/>
      <c r="F2147" s="414"/>
      <c r="G2147" s="253"/>
      <c r="H2147" s="253"/>
      <c r="I2147" s="253"/>
      <c r="J2147" s="253"/>
      <c r="K2147" s="253"/>
      <c r="L2147" s="253"/>
      <c r="M2147" s="253"/>
      <c r="N2147" s="253"/>
      <c r="O2147" s="258"/>
      <c r="P2147" s="258"/>
      <c r="Q2147" s="258"/>
      <c r="R2147" s="258"/>
      <c r="S2147" s="258"/>
      <c r="T2147" s="258"/>
      <c r="U2147" s="258"/>
      <c r="V2147" s="258"/>
      <c r="W2147" s="258"/>
      <c r="X2147" s="258"/>
      <c r="Y2147" s="258"/>
      <c r="Z2147" s="258"/>
      <c r="AA2147" s="258"/>
      <c r="AB2147" s="258"/>
      <c r="AC2147" s="407"/>
    </row>
    <row r="2148" spans="2:29" s="406" customFormat="1" ht="16.5" customHeight="1">
      <c r="B2148" s="256"/>
      <c r="C2148" s="256"/>
      <c r="D2148" s="414"/>
      <c r="E2148" s="414"/>
      <c r="F2148" s="414"/>
      <c r="G2148" s="253"/>
      <c r="H2148" s="253"/>
      <c r="I2148" s="253"/>
      <c r="J2148" s="253"/>
      <c r="K2148" s="253"/>
      <c r="L2148" s="253"/>
      <c r="M2148" s="253"/>
      <c r="N2148" s="253"/>
      <c r="O2148" s="258"/>
      <c r="P2148" s="258"/>
      <c r="Q2148" s="258"/>
      <c r="R2148" s="258"/>
      <c r="S2148" s="258"/>
      <c r="T2148" s="258"/>
      <c r="U2148" s="258"/>
      <c r="V2148" s="258"/>
      <c r="W2148" s="258"/>
      <c r="X2148" s="258"/>
      <c r="Y2148" s="258"/>
      <c r="Z2148" s="258"/>
      <c r="AA2148" s="258"/>
      <c r="AB2148" s="258"/>
      <c r="AC2148" s="407"/>
    </row>
    <row r="2149" spans="2:29" s="406" customFormat="1" ht="16.5" customHeight="1">
      <c r="B2149" s="256"/>
      <c r="C2149" s="256"/>
      <c r="D2149" s="414"/>
      <c r="E2149" s="414"/>
      <c r="F2149" s="414"/>
      <c r="G2149" s="253"/>
      <c r="H2149" s="253"/>
      <c r="I2149" s="253"/>
      <c r="J2149" s="253"/>
      <c r="K2149" s="253"/>
      <c r="L2149" s="253"/>
      <c r="M2149" s="253"/>
      <c r="N2149" s="253"/>
      <c r="O2149" s="258"/>
      <c r="P2149" s="258"/>
      <c r="Q2149" s="258"/>
      <c r="R2149" s="258"/>
      <c r="S2149" s="258"/>
      <c r="T2149" s="258"/>
      <c r="U2149" s="258"/>
      <c r="V2149" s="258"/>
      <c r="W2149" s="258"/>
      <c r="X2149" s="258"/>
      <c r="Y2149" s="258"/>
      <c r="Z2149" s="258"/>
      <c r="AA2149" s="258"/>
      <c r="AB2149" s="258"/>
      <c r="AC2149" s="407"/>
    </row>
    <row r="2150" spans="2:29" s="406" customFormat="1" ht="16.5" customHeight="1">
      <c r="B2150" s="256"/>
      <c r="C2150" s="256"/>
      <c r="D2150" s="414"/>
      <c r="E2150" s="414"/>
      <c r="F2150" s="414"/>
      <c r="G2150" s="253"/>
      <c r="H2150" s="253"/>
      <c r="I2150" s="253"/>
      <c r="J2150" s="253"/>
      <c r="K2150" s="253"/>
      <c r="L2150" s="253"/>
      <c r="M2150" s="253"/>
      <c r="N2150" s="253"/>
      <c r="O2150" s="258"/>
      <c r="P2150" s="258"/>
      <c r="Q2150" s="258"/>
      <c r="R2150" s="258"/>
      <c r="S2150" s="258"/>
      <c r="T2150" s="258"/>
      <c r="U2150" s="258"/>
      <c r="V2150" s="258"/>
      <c r="W2150" s="258"/>
      <c r="X2150" s="258"/>
      <c r="Y2150" s="258"/>
      <c r="Z2150" s="258"/>
      <c r="AA2150" s="258"/>
      <c r="AB2150" s="258"/>
      <c r="AC2150" s="407"/>
    </row>
    <row r="2151" spans="2:29" s="406" customFormat="1" ht="16.5" customHeight="1">
      <c r="B2151" s="256"/>
      <c r="C2151" s="256"/>
      <c r="D2151" s="414"/>
      <c r="E2151" s="414"/>
      <c r="F2151" s="414"/>
      <c r="G2151" s="253"/>
      <c r="H2151" s="253"/>
      <c r="I2151" s="253"/>
      <c r="J2151" s="253"/>
      <c r="K2151" s="253"/>
      <c r="L2151" s="253"/>
      <c r="M2151" s="253"/>
      <c r="N2151" s="253"/>
      <c r="O2151" s="258"/>
      <c r="P2151" s="258"/>
      <c r="Q2151" s="258"/>
      <c r="R2151" s="258"/>
      <c r="S2151" s="258"/>
      <c r="T2151" s="258"/>
      <c r="U2151" s="258"/>
      <c r="V2151" s="258"/>
      <c r="W2151" s="258"/>
      <c r="X2151" s="258"/>
      <c r="Y2151" s="258"/>
      <c r="Z2151" s="258"/>
      <c r="AA2151" s="258"/>
      <c r="AB2151" s="258"/>
      <c r="AC2151" s="407"/>
    </row>
    <row r="2152" spans="2:29" s="406" customFormat="1" ht="16.5" customHeight="1">
      <c r="B2152" s="256"/>
      <c r="C2152" s="256"/>
      <c r="D2152" s="414"/>
      <c r="E2152" s="414"/>
      <c r="F2152" s="414"/>
      <c r="G2152" s="253"/>
      <c r="H2152" s="253"/>
      <c r="I2152" s="253"/>
      <c r="J2152" s="253"/>
      <c r="K2152" s="253"/>
      <c r="L2152" s="253"/>
      <c r="M2152" s="253"/>
      <c r="N2152" s="253"/>
      <c r="O2152" s="258"/>
      <c r="P2152" s="258"/>
      <c r="Q2152" s="258"/>
      <c r="R2152" s="258"/>
      <c r="S2152" s="258"/>
      <c r="T2152" s="258"/>
      <c r="U2152" s="258"/>
      <c r="V2152" s="258"/>
      <c r="W2152" s="258"/>
      <c r="X2152" s="258"/>
      <c r="Y2152" s="258"/>
      <c r="Z2152" s="258"/>
      <c r="AA2152" s="258"/>
      <c r="AB2152" s="258"/>
      <c r="AC2152" s="407"/>
    </row>
    <row r="2153" spans="2:29" s="406" customFormat="1" ht="16.5" customHeight="1">
      <c r="B2153" s="256"/>
      <c r="C2153" s="256"/>
      <c r="D2153" s="414"/>
      <c r="E2153" s="414"/>
      <c r="F2153" s="414"/>
      <c r="G2153" s="253"/>
      <c r="H2153" s="253"/>
      <c r="I2153" s="253"/>
      <c r="J2153" s="253"/>
      <c r="K2153" s="253"/>
      <c r="L2153" s="253"/>
      <c r="M2153" s="253"/>
      <c r="N2153" s="253"/>
      <c r="O2153" s="258"/>
      <c r="P2153" s="258"/>
      <c r="Q2153" s="258"/>
      <c r="R2153" s="258"/>
      <c r="S2153" s="258"/>
      <c r="T2153" s="258"/>
      <c r="U2153" s="258"/>
      <c r="V2153" s="258"/>
      <c r="W2153" s="258"/>
      <c r="X2153" s="258"/>
      <c r="Y2153" s="258"/>
      <c r="Z2153" s="258"/>
      <c r="AA2153" s="258"/>
      <c r="AB2153" s="258"/>
      <c r="AC2153" s="407"/>
    </row>
    <row r="2154" spans="2:29" s="406" customFormat="1" ht="16.5" customHeight="1">
      <c r="B2154" s="256"/>
      <c r="C2154" s="256"/>
      <c r="D2154" s="414"/>
      <c r="E2154" s="414"/>
      <c r="F2154" s="414"/>
      <c r="G2154" s="253"/>
      <c r="H2154" s="253"/>
      <c r="I2154" s="253"/>
      <c r="J2154" s="253"/>
      <c r="K2154" s="253"/>
      <c r="L2154" s="253"/>
      <c r="M2154" s="253"/>
      <c r="N2154" s="253"/>
      <c r="O2154" s="258"/>
      <c r="P2154" s="258"/>
      <c r="Q2154" s="258"/>
      <c r="R2154" s="258"/>
      <c r="S2154" s="258"/>
      <c r="T2154" s="258"/>
      <c r="U2154" s="258"/>
      <c r="V2154" s="258"/>
      <c r="W2154" s="258"/>
      <c r="X2154" s="258"/>
      <c r="Y2154" s="258"/>
      <c r="Z2154" s="258"/>
      <c r="AA2154" s="258"/>
      <c r="AB2154" s="258"/>
      <c r="AC2154" s="407"/>
    </row>
    <row r="2155" spans="2:29" s="406" customFormat="1" ht="16.5" customHeight="1">
      <c r="B2155" s="256"/>
      <c r="C2155" s="256"/>
      <c r="D2155" s="414"/>
      <c r="E2155" s="414"/>
      <c r="F2155" s="414"/>
      <c r="G2155" s="253"/>
      <c r="H2155" s="253"/>
      <c r="I2155" s="253"/>
      <c r="J2155" s="253"/>
      <c r="K2155" s="253"/>
      <c r="L2155" s="253"/>
      <c r="M2155" s="253"/>
      <c r="N2155" s="253"/>
      <c r="O2155" s="258"/>
      <c r="P2155" s="258"/>
      <c r="Q2155" s="258"/>
      <c r="R2155" s="258"/>
      <c r="S2155" s="258"/>
      <c r="T2155" s="258"/>
      <c r="U2155" s="258"/>
      <c r="V2155" s="258"/>
      <c r="W2155" s="258"/>
      <c r="X2155" s="258"/>
      <c r="Y2155" s="258"/>
      <c r="Z2155" s="258"/>
      <c r="AA2155" s="258"/>
      <c r="AB2155" s="258"/>
      <c r="AC2155" s="407"/>
    </row>
    <row r="2156" spans="2:29" s="406" customFormat="1" ht="16.5" customHeight="1">
      <c r="B2156" s="256"/>
      <c r="C2156" s="256"/>
      <c r="D2156" s="414"/>
      <c r="E2156" s="414"/>
      <c r="F2156" s="414"/>
      <c r="G2156" s="253"/>
      <c r="H2156" s="253"/>
      <c r="I2156" s="253"/>
      <c r="J2156" s="253"/>
      <c r="K2156" s="253"/>
      <c r="L2156" s="253"/>
      <c r="M2156" s="253"/>
      <c r="N2156" s="253"/>
      <c r="O2156" s="258"/>
      <c r="P2156" s="258"/>
      <c r="Q2156" s="258"/>
      <c r="R2156" s="258"/>
      <c r="S2156" s="258"/>
      <c r="T2156" s="258"/>
      <c r="U2156" s="258"/>
      <c r="V2156" s="258"/>
      <c r="W2156" s="258"/>
      <c r="X2156" s="258"/>
      <c r="Y2156" s="258"/>
      <c r="Z2156" s="258"/>
      <c r="AA2156" s="258"/>
      <c r="AB2156" s="258"/>
      <c r="AC2156" s="407"/>
    </row>
    <row r="2157" spans="2:29" s="406" customFormat="1" ht="16.5" customHeight="1">
      <c r="B2157" s="256"/>
      <c r="C2157" s="256"/>
      <c r="D2157" s="414"/>
      <c r="E2157" s="414"/>
      <c r="F2157" s="414"/>
      <c r="G2157" s="253"/>
      <c r="H2157" s="253"/>
      <c r="I2157" s="253"/>
      <c r="J2157" s="253"/>
      <c r="K2157" s="253"/>
      <c r="L2157" s="253"/>
      <c r="M2157" s="253"/>
      <c r="N2157" s="253"/>
      <c r="O2157" s="258"/>
      <c r="P2157" s="258"/>
      <c r="Q2157" s="258"/>
      <c r="R2157" s="258"/>
      <c r="S2157" s="258"/>
      <c r="T2157" s="258"/>
      <c r="U2157" s="258"/>
      <c r="V2157" s="258"/>
      <c r="W2157" s="258"/>
      <c r="X2157" s="258"/>
      <c r="Y2157" s="258"/>
      <c r="Z2157" s="258"/>
      <c r="AA2157" s="258"/>
      <c r="AB2157" s="258"/>
      <c r="AC2157" s="407"/>
    </row>
    <row r="2158" spans="2:29" s="406" customFormat="1" ht="16.5" customHeight="1">
      <c r="B2158" s="256"/>
      <c r="C2158" s="256"/>
      <c r="D2158" s="414"/>
      <c r="E2158" s="414"/>
      <c r="F2158" s="414"/>
      <c r="G2158" s="253"/>
      <c r="H2158" s="253"/>
      <c r="I2158" s="253"/>
      <c r="J2158" s="253"/>
      <c r="K2158" s="253"/>
      <c r="L2158" s="253"/>
      <c r="M2158" s="253"/>
      <c r="N2158" s="253"/>
      <c r="O2158" s="258"/>
      <c r="P2158" s="258"/>
      <c r="Q2158" s="258"/>
      <c r="R2158" s="258"/>
      <c r="S2158" s="258"/>
      <c r="T2158" s="258"/>
      <c r="U2158" s="258"/>
      <c r="V2158" s="258"/>
      <c r="W2158" s="258"/>
      <c r="X2158" s="258"/>
      <c r="Y2158" s="258"/>
      <c r="Z2158" s="258"/>
      <c r="AA2158" s="258"/>
      <c r="AB2158" s="258"/>
      <c r="AC2158" s="407"/>
    </row>
    <row r="2159" spans="2:29" s="406" customFormat="1" ht="16.5" customHeight="1">
      <c r="B2159" s="256"/>
      <c r="C2159" s="256"/>
      <c r="D2159" s="414"/>
      <c r="E2159" s="414"/>
      <c r="F2159" s="414"/>
      <c r="G2159" s="253"/>
      <c r="H2159" s="253"/>
      <c r="I2159" s="253"/>
      <c r="J2159" s="253"/>
      <c r="K2159" s="253"/>
      <c r="L2159" s="253"/>
      <c r="M2159" s="253"/>
      <c r="N2159" s="253"/>
      <c r="O2159" s="258"/>
      <c r="P2159" s="258"/>
      <c r="Q2159" s="258"/>
      <c r="R2159" s="258"/>
      <c r="S2159" s="258"/>
      <c r="T2159" s="258"/>
      <c r="U2159" s="258"/>
      <c r="V2159" s="258"/>
      <c r="W2159" s="258"/>
      <c r="X2159" s="258"/>
      <c r="Y2159" s="258"/>
      <c r="Z2159" s="258"/>
      <c r="AA2159" s="258"/>
      <c r="AB2159" s="258"/>
      <c r="AC2159" s="407"/>
    </row>
    <row r="2160" spans="2:29" s="406" customFormat="1" ht="16.5" customHeight="1">
      <c r="B2160" s="256"/>
      <c r="C2160" s="256"/>
      <c r="D2160" s="414"/>
      <c r="E2160" s="414"/>
      <c r="F2160" s="414"/>
      <c r="G2160" s="253"/>
      <c r="H2160" s="253"/>
      <c r="I2160" s="253"/>
      <c r="J2160" s="253"/>
      <c r="K2160" s="253"/>
      <c r="L2160" s="253"/>
      <c r="M2160" s="253"/>
      <c r="N2160" s="253"/>
      <c r="O2160" s="258"/>
      <c r="P2160" s="258"/>
      <c r="Q2160" s="258"/>
      <c r="R2160" s="258"/>
      <c r="S2160" s="258"/>
      <c r="T2160" s="258"/>
      <c r="U2160" s="258"/>
      <c r="V2160" s="258"/>
      <c r="W2160" s="258"/>
      <c r="X2160" s="258"/>
      <c r="Y2160" s="258"/>
      <c r="Z2160" s="258"/>
      <c r="AA2160" s="258"/>
      <c r="AB2160" s="258"/>
      <c r="AC2160" s="407"/>
    </row>
    <row r="2161" spans="2:29" s="406" customFormat="1" ht="16.5" customHeight="1">
      <c r="B2161" s="256"/>
      <c r="C2161" s="256"/>
      <c r="D2161" s="414"/>
      <c r="E2161" s="414"/>
      <c r="F2161" s="414"/>
      <c r="G2161" s="253"/>
      <c r="H2161" s="253"/>
      <c r="I2161" s="253"/>
      <c r="J2161" s="253"/>
      <c r="K2161" s="253"/>
      <c r="L2161" s="253"/>
      <c r="M2161" s="253"/>
      <c r="N2161" s="253"/>
      <c r="O2161" s="258"/>
      <c r="P2161" s="258"/>
      <c r="Q2161" s="258"/>
      <c r="R2161" s="258"/>
      <c r="S2161" s="258"/>
      <c r="T2161" s="258"/>
      <c r="U2161" s="258"/>
      <c r="V2161" s="258"/>
      <c r="W2161" s="258"/>
      <c r="X2161" s="258"/>
      <c r="Y2161" s="258"/>
      <c r="Z2161" s="258"/>
      <c r="AA2161" s="258"/>
      <c r="AB2161" s="258"/>
      <c r="AC2161" s="407"/>
    </row>
    <row r="2162" spans="2:29" s="406" customFormat="1" ht="16.5" customHeight="1">
      <c r="B2162" s="256"/>
      <c r="C2162" s="256"/>
      <c r="D2162" s="414"/>
      <c r="E2162" s="414"/>
      <c r="F2162" s="414"/>
      <c r="G2162" s="253"/>
      <c r="H2162" s="253"/>
      <c r="I2162" s="253"/>
      <c r="J2162" s="253"/>
      <c r="K2162" s="253"/>
      <c r="L2162" s="253"/>
      <c r="M2162" s="253"/>
      <c r="N2162" s="253"/>
      <c r="O2162" s="258"/>
      <c r="P2162" s="258"/>
      <c r="Q2162" s="258"/>
      <c r="R2162" s="258"/>
      <c r="S2162" s="258"/>
      <c r="T2162" s="258"/>
      <c r="U2162" s="258"/>
      <c r="V2162" s="258"/>
      <c r="W2162" s="258"/>
      <c r="X2162" s="258"/>
      <c r="Y2162" s="258"/>
      <c r="Z2162" s="258"/>
      <c r="AA2162" s="258"/>
      <c r="AB2162" s="258"/>
      <c r="AC2162" s="407"/>
    </row>
    <row r="2163" spans="2:29" s="406" customFormat="1" ht="16.5" customHeight="1">
      <c r="B2163" s="256"/>
      <c r="C2163" s="256"/>
      <c r="D2163" s="414"/>
      <c r="E2163" s="414"/>
      <c r="F2163" s="414"/>
      <c r="G2163" s="253"/>
      <c r="H2163" s="253"/>
      <c r="I2163" s="253"/>
      <c r="J2163" s="253"/>
      <c r="K2163" s="253"/>
      <c r="L2163" s="253"/>
      <c r="M2163" s="253"/>
      <c r="N2163" s="253"/>
      <c r="O2163" s="258"/>
      <c r="P2163" s="258"/>
      <c r="Q2163" s="258"/>
      <c r="R2163" s="258"/>
      <c r="S2163" s="258"/>
      <c r="T2163" s="258"/>
      <c r="U2163" s="258"/>
      <c r="V2163" s="258"/>
      <c r="W2163" s="258"/>
      <c r="X2163" s="258"/>
      <c r="Y2163" s="258"/>
      <c r="Z2163" s="258"/>
      <c r="AA2163" s="258"/>
      <c r="AB2163" s="258"/>
      <c r="AC2163" s="407"/>
    </row>
    <row r="2164" spans="2:29" s="406" customFormat="1" ht="16.5" customHeight="1">
      <c r="B2164" s="256"/>
      <c r="C2164" s="256"/>
      <c r="D2164" s="414"/>
      <c r="E2164" s="414"/>
      <c r="F2164" s="414"/>
      <c r="G2164" s="253"/>
      <c r="H2164" s="253"/>
      <c r="I2164" s="253"/>
      <c r="J2164" s="253"/>
      <c r="K2164" s="253"/>
      <c r="L2164" s="253"/>
      <c r="M2164" s="253"/>
      <c r="N2164" s="253"/>
      <c r="O2164" s="258"/>
      <c r="P2164" s="258"/>
      <c r="Q2164" s="258"/>
      <c r="R2164" s="258"/>
      <c r="S2164" s="258"/>
      <c r="T2164" s="258"/>
      <c r="U2164" s="258"/>
      <c r="V2164" s="258"/>
      <c r="W2164" s="258"/>
      <c r="X2164" s="258"/>
      <c r="Y2164" s="258"/>
      <c r="Z2164" s="258"/>
      <c r="AA2164" s="258"/>
      <c r="AB2164" s="258"/>
      <c r="AC2164" s="407"/>
    </row>
    <row r="2165" spans="2:29" s="406" customFormat="1" ht="16.5" customHeight="1">
      <c r="B2165" s="256"/>
      <c r="C2165" s="256"/>
      <c r="D2165" s="414"/>
      <c r="E2165" s="414"/>
      <c r="F2165" s="414"/>
      <c r="G2165" s="253"/>
      <c r="H2165" s="253"/>
      <c r="I2165" s="253"/>
      <c r="J2165" s="253"/>
      <c r="K2165" s="253"/>
      <c r="L2165" s="253"/>
      <c r="M2165" s="253"/>
      <c r="N2165" s="253"/>
      <c r="O2165" s="258"/>
      <c r="P2165" s="258"/>
      <c r="Q2165" s="258"/>
      <c r="R2165" s="258"/>
      <c r="S2165" s="258"/>
      <c r="T2165" s="258"/>
      <c r="U2165" s="258"/>
      <c r="V2165" s="258"/>
      <c r="W2165" s="258"/>
      <c r="X2165" s="258"/>
      <c r="Y2165" s="258"/>
      <c r="Z2165" s="258"/>
      <c r="AA2165" s="258"/>
      <c r="AB2165" s="258"/>
      <c r="AC2165" s="407"/>
    </row>
    <row r="2166" spans="2:29" s="406" customFormat="1" ht="16.5" customHeight="1">
      <c r="B2166" s="256"/>
      <c r="C2166" s="256"/>
      <c r="D2166" s="414"/>
      <c r="E2166" s="414"/>
      <c r="F2166" s="414"/>
      <c r="G2166" s="253"/>
      <c r="H2166" s="253"/>
      <c r="I2166" s="253"/>
      <c r="J2166" s="253"/>
      <c r="K2166" s="253"/>
      <c r="L2166" s="253"/>
      <c r="M2166" s="253"/>
      <c r="N2166" s="253"/>
      <c r="O2166" s="258"/>
      <c r="P2166" s="258"/>
      <c r="Q2166" s="258"/>
      <c r="R2166" s="258"/>
      <c r="S2166" s="258"/>
      <c r="T2166" s="258"/>
      <c r="U2166" s="258"/>
      <c r="V2166" s="258"/>
      <c r="W2166" s="258"/>
      <c r="X2166" s="258"/>
      <c r="Y2166" s="258"/>
      <c r="Z2166" s="258"/>
      <c r="AA2166" s="258"/>
      <c r="AB2166" s="258"/>
      <c r="AC2166" s="407"/>
    </row>
    <row r="2167" spans="2:29" s="406" customFormat="1" ht="16.5" customHeight="1">
      <c r="B2167" s="256"/>
      <c r="C2167" s="256"/>
      <c r="D2167" s="414"/>
      <c r="E2167" s="414"/>
      <c r="F2167" s="414"/>
      <c r="G2167" s="253"/>
      <c r="H2167" s="253"/>
      <c r="I2167" s="253"/>
      <c r="J2167" s="253"/>
      <c r="K2167" s="253"/>
      <c r="L2167" s="253"/>
      <c r="M2167" s="253"/>
      <c r="N2167" s="253"/>
      <c r="O2167" s="258"/>
      <c r="P2167" s="258"/>
      <c r="Q2167" s="258"/>
      <c r="R2167" s="258"/>
      <c r="S2167" s="258"/>
      <c r="T2167" s="258"/>
      <c r="U2167" s="258"/>
      <c r="V2167" s="258"/>
      <c r="W2167" s="258"/>
      <c r="X2167" s="258"/>
      <c r="Y2167" s="258"/>
      <c r="Z2167" s="258"/>
      <c r="AA2167" s="258"/>
      <c r="AB2167" s="258"/>
      <c r="AC2167" s="407"/>
    </row>
    <row r="2168" spans="2:29" s="406" customFormat="1" ht="16.5" customHeight="1">
      <c r="B2168" s="256"/>
      <c r="C2168" s="256"/>
      <c r="D2168" s="414"/>
      <c r="E2168" s="414"/>
      <c r="F2168" s="414"/>
      <c r="G2168" s="253"/>
      <c r="H2168" s="253"/>
      <c r="I2168" s="253"/>
      <c r="J2168" s="253"/>
      <c r="K2168" s="253"/>
      <c r="L2168" s="253"/>
      <c r="M2168" s="253"/>
      <c r="N2168" s="253"/>
      <c r="O2168" s="258"/>
      <c r="P2168" s="258"/>
      <c r="Q2168" s="258"/>
      <c r="R2168" s="258"/>
      <c r="S2168" s="258"/>
      <c r="T2168" s="258"/>
      <c r="U2168" s="258"/>
      <c r="V2168" s="258"/>
      <c r="W2168" s="258"/>
      <c r="X2168" s="258"/>
      <c r="Y2168" s="258"/>
      <c r="Z2168" s="258"/>
      <c r="AA2168" s="258"/>
      <c r="AB2168" s="258"/>
      <c r="AC2168" s="407"/>
    </row>
    <row r="2169" spans="2:29" s="406" customFormat="1" ht="16.5" customHeight="1">
      <c r="B2169" s="256"/>
      <c r="C2169" s="256"/>
      <c r="D2169" s="414"/>
      <c r="E2169" s="414"/>
      <c r="F2169" s="414"/>
      <c r="G2169" s="253"/>
      <c r="H2169" s="253"/>
      <c r="I2169" s="253"/>
      <c r="J2169" s="253"/>
      <c r="K2169" s="253"/>
      <c r="L2169" s="253"/>
      <c r="M2169" s="253"/>
      <c r="N2169" s="253"/>
      <c r="O2169" s="258"/>
      <c r="P2169" s="258"/>
      <c r="Q2169" s="258"/>
      <c r="R2169" s="258"/>
      <c r="S2169" s="258"/>
      <c r="T2169" s="258"/>
      <c r="U2169" s="258"/>
      <c r="V2169" s="258"/>
      <c r="W2169" s="258"/>
      <c r="X2169" s="258"/>
      <c r="Y2169" s="258"/>
      <c r="Z2169" s="258"/>
      <c r="AA2169" s="258"/>
      <c r="AB2169" s="258"/>
      <c r="AC2169" s="407"/>
    </row>
    <row r="2170" spans="2:29" s="406" customFormat="1" ht="16.5" customHeight="1">
      <c r="B2170" s="256"/>
      <c r="C2170" s="256"/>
      <c r="D2170" s="414"/>
      <c r="E2170" s="414"/>
      <c r="F2170" s="414"/>
      <c r="G2170" s="253"/>
      <c r="H2170" s="253"/>
      <c r="I2170" s="253"/>
      <c r="J2170" s="253"/>
      <c r="K2170" s="253"/>
      <c r="L2170" s="253"/>
      <c r="M2170" s="253"/>
      <c r="N2170" s="253"/>
      <c r="O2170" s="258"/>
      <c r="P2170" s="258"/>
      <c r="Q2170" s="258"/>
      <c r="R2170" s="258"/>
      <c r="S2170" s="258"/>
      <c r="T2170" s="258"/>
      <c r="U2170" s="258"/>
      <c r="V2170" s="258"/>
      <c r="W2170" s="258"/>
      <c r="X2170" s="258"/>
      <c r="Y2170" s="258"/>
      <c r="Z2170" s="258"/>
      <c r="AA2170" s="258"/>
      <c r="AB2170" s="258"/>
      <c r="AC2170" s="407"/>
    </row>
    <row r="2171" spans="2:29" s="406" customFormat="1" ht="16.5" customHeight="1">
      <c r="B2171" s="256"/>
      <c r="C2171" s="256"/>
      <c r="D2171" s="414"/>
      <c r="E2171" s="414"/>
      <c r="F2171" s="414"/>
      <c r="G2171" s="253"/>
      <c r="H2171" s="253"/>
      <c r="I2171" s="253"/>
      <c r="J2171" s="253"/>
      <c r="K2171" s="253"/>
      <c r="L2171" s="253"/>
      <c r="M2171" s="253"/>
      <c r="N2171" s="253"/>
      <c r="O2171" s="258"/>
      <c r="P2171" s="258"/>
      <c r="Q2171" s="258"/>
      <c r="R2171" s="258"/>
      <c r="S2171" s="258"/>
      <c r="T2171" s="258"/>
      <c r="U2171" s="258"/>
      <c r="V2171" s="258"/>
      <c r="W2171" s="258"/>
      <c r="X2171" s="258"/>
      <c r="Y2171" s="258"/>
      <c r="Z2171" s="258"/>
      <c r="AA2171" s="258"/>
      <c r="AB2171" s="258"/>
      <c r="AC2171" s="407"/>
    </row>
    <row r="2172" spans="2:29" s="406" customFormat="1" ht="16.5" customHeight="1">
      <c r="B2172" s="256"/>
      <c r="C2172" s="256"/>
      <c r="D2172" s="414"/>
      <c r="E2172" s="414"/>
      <c r="F2172" s="414"/>
      <c r="G2172" s="253"/>
      <c r="H2172" s="253"/>
      <c r="I2172" s="253"/>
      <c r="J2172" s="253"/>
      <c r="K2172" s="253"/>
      <c r="L2172" s="253"/>
      <c r="M2172" s="253"/>
      <c r="N2172" s="253"/>
      <c r="O2172" s="258"/>
      <c r="P2172" s="258"/>
      <c r="Q2172" s="258"/>
      <c r="R2172" s="258"/>
      <c r="S2172" s="258"/>
      <c r="T2172" s="258"/>
      <c r="U2172" s="258"/>
      <c r="V2172" s="258"/>
      <c r="W2172" s="258"/>
      <c r="X2172" s="258"/>
      <c r="Y2172" s="258"/>
      <c r="Z2172" s="258"/>
      <c r="AA2172" s="258"/>
      <c r="AB2172" s="258"/>
      <c r="AC2172" s="407"/>
    </row>
    <row r="2173" spans="2:29" s="406" customFormat="1" ht="16.5" customHeight="1">
      <c r="B2173" s="256"/>
      <c r="C2173" s="256"/>
      <c r="D2173" s="414"/>
      <c r="E2173" s="414"/>
      <c r="F2173" s="414"/>
      <c r="G2173" s="253"/>
      <c r="H2173" s="253"/>
      <c r="I2173" s="253"/>
      <c r="J2173" s="253"/>
      <c r="K2173" s="253"/>
      <c r="L2173" s="253"/>
      <c r="M2173" s="253"/>
      <c r="N2173" s="253"/>
      <c r="O2173" s="258"/>
      <c r="P2173" s="258"/>
      <c r="Q2173" s="258"/>
      <c r="R2173" s="258"/>
      <c r="S2173" s="258"/>
      <c r="T2173" s="258"/>
      <c r="U2173" s="258"/>
      <c r="V2173" s="258"/>
      <c r="W2173" s="258"/>
      <c r="X2173" s="258"/>
      <c r="Y2173" s="258"/>
      <c r="Z2173" s="258"/>
      <c r="AA2173" s="258"/>
      <c r="AB2173" s="258"/>
      <c r="AC2173" s="407"/>
    </row>
    <row r="2174" spans="2:29" s="406" customFormat="1" ht="16.5" customHeight="1">
      <c r="B2174" s="256"/>
      <c r="C2174" s="256"/>
      <c r="D2174" s="414"/>
      <c r="E2174" s="414"/>
      <c r="F2174" s="414"/>
      <c r="G2174" s="253"/>
      <c r="H2174" s="253"/>
      <c r="I2174" s="253"/>
      <c r="J2174" s="253"/>
      <c r="K2174" s="253"/>
      <c r="L2174" s="253"/>
      <c r="M2174" s="253"/>
      <c r="N2174" s="253"/>
      <c r="O2174" s="258"/>
      <c r="P2174" s="258"/>
      <c r="Q2174" s="258"/>
      <c r="R2174" s="258"/>
      <c r="S2174" s="258"/>
      <c r="T2174" s="258"/>
      <c r="U2174" s="258"/>
      <c r="V2174" s="258"/>
      <c r="W2174" s="258"/>
      <c r="X2174" s="258"/>
      <c r="Y2174" s="258"/>
      <c r="Z2174" s="258"/>
      <c r="AA2174" s="258"/>
      <c r="AB2174" s="258"/>
      <c r="AC2174" s="407"/>
    </row>
    <row r="2175" spans="2:29" s="406" customFormat="1" ht="16.5" customHeight="1">
      <c r="B2175" s="256"/>
      <c r="C2175" s="256"/>
      <c r="D2175" s="414"/>
      <c r="E2175" s="414"/>
      <c r="F2175" s="414"/>
      <c r="G2175" s="253"/>
      <c r="H2175" s="253"/>
      <c r="I2175" s="253"/>
      <c r="J2175" s="253"/>
      <c r="K2175" s="253"/>
      <c r="L2175" s="253"/>
      <c r="M2175" s="253"/>
      <c r="N2175" s="253"/>
      <c r="O2175" s="258"/>
      <c r="P2175" s="258"/>
      <c r="Q2175" s="258"/>
      <c r="R2175" s="258"/>
      <c r="S2175" s="258"/>
      <c r="T2175" s="258"/>
      <c r="U2175" s="258"/>
      <c r="V2175" s="258"/>
      <c r="W2175" s="258"/>
      <c r="X2175" s="258"/>
      <c r="Y2175" s="258"/>
      <c r="Z2175" s="258"/>
      <c r="AA2175" s="258"/>
      <c r="AB2175" s="258"/>
      <c r="AC2175" s="407"/>
    </row>
    <row r="2176" spans="2:29" s="406" customFormat="1" ht="16.5" customHeight="1">
      <c r="B2176" s="256"/>
      <c r="C2176" s="256"/>
      <c r="D2176" s="414"/>
      <c r="E2176" s="414"/>
      <c r="F2176" s="414"/>
      <c r="G2176" s="253"/>
      <c r="H2176" s="253"/>
      <c r="I2176" s="253"/>
      <c r="J2176" s="253"/>
      <c r="K2176" s="253"/>
      <c r="L2176" s="253"/>
      <c r="M2176" s="253"/>
      <c r="N2176" s="253"/>
      <c r="O2176" s="258"/>
      <c r="P2176" s="258"/>
      <c r="Q2176" s="258"/>
      <c r="R2176" s="258"/>
      <c r="S2176" s="258"/>
      <c r="T2176" s="258"/>
      <c r="U2176" s="258"/>
      <c r="V2176" s="258"/>
      <c r="W2176" s="258"/>
      <c r="X2176" s="258"/>
      <c r="Y2176" s="258"/>
      <c r="Z2176" s="258"/>
      <c r="AA2176" s="258"/>
      <c r="AB2176" s="258"/>
      <c r="AC2176" s="407"/>
    </row>
    <row r="2177" spans="2:29" s="406" customFormat="1" ht="16.5" customHeight="1">
      <c r="B2177" s="256"/>
      <c r="C2177" s="256"/>
      <c r="D2177" s="414"/>
      <c r="E2177" s="414"/>
      <c r="F2177" s="414"/>
      <c r="G2177" s="253"/>
      <c r="H2177" s="253"/>
      <c r="I2177" s="253"/>
      <c r="J2177" s="253"/>
      <c r="K2177" s="253"/>
      <c r="L2177" s="253"/>
      <c r="M2177" s="253"/>
      <c r="N2177" s="253"/>
      <c r="O2177" s="258"/>
      <c r="P2177" s="258"/>
      <c r="Q2177" s="258"/>
      <c r="R2177" s="258"/>
      <c r="S2177" s="258"/>
      <c r="T2177" s="258"/>
      <c r="U2177" s="258"/>
      <c r="V2177" s="258"/>
      <c r="W2177" s="258"/>
      <c r="X2177" s="258"/>
      <c r="Y2177" s="258"/>
      <c r="Z2177" s="258"/>
      <c r="AA2177" s="258"/>
      <c r="AB2177" s="258"/>
      <c r="AC2177" s="407"/>
    </row>
    <row r="2178" spans="2:29" s="406" customFormat="1" ht="16.5" customHeight="1">
      <c r="B2178" s="256"/>
      <c r="C2178" s="256"/>
      <c r="D2178" s="414"/>
      <c r="E2178" s="414"/>
      <c r="F2178" s="414"/>
      <c r="G2178" s="253"/>
      <c r="H2178" s="253"/>
      <c r="I2178" s="253"/>
      <c r="J2178" s="253"/>
      <c r="K2178" s="253"/>
      <c r="L2178" s="253"/>
      <c r="M2178" s="253"/>
      <c r="N2178" s="253"/>
      <c r="O2178" s="258"/>
      <c r="P2178" s="258"/>
      <c r="Q2178" s="258"/>
      <c r="R2178" s="258"/>
      <c r="S2178" s="258"/>
      <c r="T2178" s="258"/>
      <c r="U2178" s="258"/>
      <c r="V2178" s="258"/>
      <c r="W2178" s="258"/>
      <c r="X2178" s="258"/>
      <c r="Y2178" s="258"/>
      <c r="Z2178" s="258"/>
      <c r="AA2178" s="258"/>
      <c r="AB2178" s="258"/>
      <c r="AC2178" s="407"/>
    </row>
    <row r="2179" spans="2:29" s="406" customFormat="1" ht="16.5" customHeight="1">
      <c r="B2179" s="256"/>
      <c r="C2179" s="256"/>
      <c r="D2179" s="414"/>
      <c r="E2179" s="414"/>
      <c r="F2179" s="414"/>
      <c r="G2179" s="253"/>
      <c r="H2179" s="253"/>
      <c r="I2179" s="253"/>
      <c r="J2179" s="253"/>
      <c r="K2179" s="253"/>
      <c r="L2179" s="253"/>
      <c r="M2179" s="253"/>
      <c r="N2179" s="253"/>
      <c r="O2179" s="258"/>
      <c r="P2179" s="258"/>
      <c r="Q2179" s="258"/>
      <c r="R2179" s="258"/>
      <c r="S2179" s="258"/>
      <c r="T2179" s="258"/>
      <c r="U2179" s="258"/>
      <c r="V2179" s="258"/>
      <c r="W2179" s="258"/>
      <c r="X2179" s="258"/>
      <c r="Y2179" s="258"/>
      <c r="Z2179" s="258"/>
      <c r="AA2179" s="258"/>
      <c r="AB2179" s="258"/>
      <c r="AC2179" s="407"/>
    </row>
    <row r="2180" spans="2:29" s="406" customFormat="1" ht="16.5" customHeight="1">
      <c r="B2180" s="256"/>
      <c r="C2180" s="256"/>
      <c r="D2180" s="414"/>
      <c r="E2180" s="414"/>
      <c r="F2180" s="414"/>
      <c r="G2180" s="253"/>
      <c r="H2180" s="253"/>
      <c r="I2180" s="253"/>
      <c r="J2180" s="253"/>
      <c r="K2180" s="253"/>
      <c r="L2180" s="253"/>
      <c r="M2180" s="253"/>
      <c r="N2180" s="253"/>
      <c r="O2180" s="258"/>
      <c r="P2180" s="258"/>
      <c r="Q2180" s="258"/>
      <c r="R2180" s="258"/>
      <c r="S2180" s="258"/>
      <c r="T2180" s="258"/>
      <c r="U2180" s="258"/>
      <c r="V2180" s="258"/>
      <c r="W2180" s="258"/>
      <c r="X2180" s="258"/>
      <c r="Y2180" s="258"/>
      <c r="Z2180" s="258"/>
      <c r="AA2180" s="258"/>
      <c r="AB2180" s="258"/>
      <c r="AC2180" s="407"/>
    </row>
    <row r="2181" spans="2:29" s="406" customFormat="1" ht="16.5" customHeight="1">
      <c r="B2181" s="256"/>
      <c r="C2181" s="256"/>
      <c r="D2181" s="414"/>
      <c r="E2181" s="414"/>
      <c r="F2181" s="414"/>
      <c r="G2181" s="253"/>
      <c r="H2181" s="253"/>
      <c r="I2181" s="253"/>
      <c r="J2181" s="253"/>
      <c r="K2181" s="253"/>
      <c r="L2181" s="253"/>
      <c r="M2181" s="253"/>
      <c r="N2181" s="253"/>
      <c r="O2181" s="258"/>
      <c r="P2181" s="258"/>
      <c r="Q2181" s="258"/>
      <c r="R2181" s="258"/>
      <c r="S2181" s="258"/>
      <c r="T2181" s="258"/>
      <c r="U2181" s="258"/>
      <c r="V2181" s="258"/>
      <c r="W2181" s="258"/>
      <c r="X2181" s="258"/>
      <c r="Y2181" s="258"/>
      <c r="Z2181" s="258"/>
      <c r="AA2181" s="258"/>
      <c r="AB2181" s="258"/>
      <c r="AC2181" s="407"/>
    </row>
    <row r="2182" spans="2:29" s="406" customFormat="1" ht="16.5" customHeight="1">
      <c r="B2182" s="256"/>
      <c r="C2182" s="256"/>
      <c r="D2182" s="414"/>
      <c r="E2182" s="414"/>
      <c r="F2182" s="414"/>
      <c r="G2182" s="253"/>
      <c r="H2182" s="253"/>
      <c r="I2182" s="253"/>
      <c r="J2182" s="253"/>
      <c r="K2182" s="253"/>
      <c r="L2182" s="253"/>
      <c r="M2182" s="253"/>
      <c r="N2182" s="253"/>
      <c r="O2182" s="258"/>
      <c r="P2182" s="258"/>
      <c r="Q2182" s="258"/>
      <c r="R2182" s="258"/>
      <c r="S2182" s="258"/>
      <c r="T2182" s="258"/>
      <c r="U2182" s="258"/>
      <c r="V2182" s="258"/>
      <c r="W2182" s="258"/>
      <c r="X2182" s="258"/>
      <c r="Y2182" s="258"/>
      <c r="Z2182" s="258"/>
      <c r="AA2182" s="258"/>
      <c r="AB2182" s="258"/>
      <c r="AC2182" s="407"/>
    </row>
    <row r="2183" spans="2:29" s="406" customFormat="1" ht="16.5" customHeight="1">
      <c r="B2183" s="256"/>
      <c r="C2183" s="256"/>
      <c r="D2183" s="414"/>
      <c r="E2183" s="414"/>
      <c r="F2183" s="414"/>
      <c r="G2183" s="253"/>
      <c r="H2183" s="253"/>
      <c r="I2183" s="253"/>
      <c r="J2183" s="253"/>
      <c r="K2183" s="253"/>
      <c r="L2183" s="253"/>
      <c r="M2183" s="253"/>
      <c r="N2183" s="253"/>
      <c r="O2183" s="258"/>
      <c r="P2183" s="258"/>
      <c r="Q2183" s="258"/>
      <c r="R2183" s="258"/>
      <c r="S2183" s="258"/>
      <c r="T2183" s="258"/>
      <c r="U2183" s="258"/>
      <c r="V2183" s="258"/>
      <c r="W2183" s="258"/>
      <c r="X2183" s="258"/>
      <c r="Y2183" s="258"/>
      <c r="Z2183" s="258"/>
      <c r="AA2183" s="258"/>
      <c r="AB2183" s="258"/>
      <c r="AC2183" s="407"/>
    </row>
    <row r="2184" spans="2:29" s="406" customFormat="1" ht="16.5" customHeight="1">
      <c r="B2184" s="256"/>
      <c r="C2184" s="256"/>
      <c r="D2184" s="414"/>
      <c r="E2184" s="414"/>
      <c r="F2184" s="414"/>
      <c r="G2184" s="253"/>
      <c r="H2184" s="253"/>
      <c r="I2184" s="253"/>
      <c r="J2184" s="253"/>
      <c r="K2184" s="253"/>
      <c r="L2184" s="253"/>
      <c r="M2184" s="253"/>
      <c r="N2184" s="253"/>
      <c r="O2184" s="258"/>
      <c r="P2184" s="258"/>
      <c r="Q2184" s="258"/>
      <c r="R2184" s="258"/>
      <c r="S2184" s="258"/>
      <c r="T2184" s="258"/>
      <c r="U2184" s="258"/>
      <c r="V2184" s="258"/>
      <c r="W2184" s="258"/>
      <c r="X2184" s="258"/>
      <c r="Y2184" s="258"/>
      <c r="Z2184" s="258"/>
      <c r="AA2184" s="258"/>
      <c r="AB2184" s="258"/>
      <c r="AC2184" s="407"/>
    </row>
    <row r="2185" spans="2:29" s="406" customFormat="1" ht="16.5" customHeight="1">
      <c r="B2185" s="256"/>
      <c r="C2185" s="256"/>
      <c r="D2185" s="414"/>
      <c r="E2185" s="414"/>
      <c r="F2185" s="414"/>
      <c r="G2185" s="253"/>
      <c r="H2185" s="253"/>
      <c r="I2185" s="253"/>
      <c r="J2185" s="253"/>
      <c r="K2185" s="253"/>
      <c r="L2185" s="253"/>
      <c r="M2185" s="253"/>
      <c r="N2185" s="253"/>
      <c r="O2185" s="258"/>
      <c r="P2185" s="258"/>
      <c r="Q2185" s="258"/>
      <c r="R2185" s="258"/>
      <c r="S2185" s="258"/>
      <c r="T2185" s="258"/>
      <c r="U2185" s="258"/>
      <c r="V2185" s="258"/>
      <c r="W2185" s="258"/>
      <c r="X2185" s="258"/>
      <c r="Y2185" s="258"/>
      <c r="Z2185" s="258"/>
      <c r="AA2185" s="258"/>
      <c r="AB2185" s="258"/>
      <c r="AC2185" s="407"/>
    </row>
    <row r="2186" spans="2:29" s="406" customFormat="1" ht="16.5" customHeight="1">
      <c r="B2186" s="256"/>
      <c r="C2186" s="256"/>
      <c r="D2186" s="414"/>
      <c r="E2186" s="414"/>
      <c r="F2186" s="414"/>
      <c r="G2186" s="253"/>
      <c r="H2186" s="253"/>
      <c r="I2186" s="253"/>
      <c r="J2186" s="253"/>
      <c r="K2186" s="253"/>
      <c r="L2186" s="253"/>
      <c r="M2186" s="253"/>
      <c r="N2186" s="253"/>
      <c r="O2186" s="258"/>
      <c r="P2186" s="258"/>
      <c r="Q2186" s="258"/>
      <c r="R2186" s="258"/>
      <c r="S2186" s="258"/>
      <c r="T2186" s="258"/>
      <c r="U2186" s="258"/>
      <c r="V2186" s="258"/>
      <c r="W2186" s="258"/>
      <c r="X2186" s="258"/>
      <c r="Y2186" s="258"/>
      <c r="Z2186" s="258"/>
      <c r="AA2186" s="258"/>
      <c r="AB2186" s="258"/>
      <c r="AC2186" s="407"/>
    </row>
    <row r="2187" spans="2:29" s="406" customFormat="1" ht="16.5" customHeight="1">
      <c r="B2187" s="256"/>
      <c r="C2187" s="256"/>
      <c r="D2187" s="414"/>
      <c r="E2187" s="414"/>
      <c r="F2187" s="414"/>
      <c r="G2187" s="253"/>
      <c r="H2187" s="253"/>
      <c r="I2187" s="253"/>
      <c r="J2187" s="253"/>
      <c r="K2187" s="253"/>
      <c r="L2187" s="253"/>
      <c r="M2187" s="253"/>
      <c r="N2187" s="253"/>
      <c r="O2187" s="258"/>
      <c r="P2187" s="258"/>
      <c r="Q2187" s="258"/>
      <c r="R2187" s="258"/>
      <c r="S2187" s="258"/>
      <c r="T2187" s="258"/>
      <c r="U2187" s="258"/>
      <c r="V2187" s="258"/>
      <c r="W2187" s="258"/>
      <c r="X2187" s="258"/>
      <c r="Y2187" s="258"/>
      <c r="Z2187" s="258"/>
      <c r="AA2187" s="258"/>
      <c r="AB2187" s="258"/>
      <c r="AC2187" s="407"/>
    </row>
    <row r="2188" spans="2:29" s="406" customFormat="1" ht="16.5" customHeight="1">
      <c r="B2188" s="256"/>
      <c r="C2188" s="256"/>
      <c r="D2188" s="414"/>
      <c r="E2188" s="414"/>
      <c r="F2188" s="414"/>
      <c r="G2188" s="253"/>
      <c r="H2188" s="253"/>
      <c r="I2188" s="253"/>
      <c r="J2188" s="253"/>
      <c r="K2188" s="253"/>
      <c r="L2188" s="253"/>
      <c r="M2188" s="253"/>
      <c r="N2188" s="253"/>
      <c r="O2188" s="258"/>
      <c r="P2188" s="258"/>
      <c r="Q2188" s="258"/>
      <c r="R2188" s="258"/>
      <c r="S2188" s="258"/>
      <c r="T2188" s="258"/>
      <c r="U2188" s="258"/>
      <c r="V2188" s="258"/>
      <c r="W2188" s="258"/>
      <c r="X2188" s="258"/>
      <c r="Y2188" s="258"/>
      <c r="Z2188" s="258"/>
      <c r="AA2188" s="258"/>
      <c r="AB2188" s="258"/>
      <c r="AC2188" s="407"/>
    </row>
    <row r="2189" spans="2:29" s="406" customFormat="1" ht="16.5" customHeight="1">
      <c r="B2189" s="256"/>
      <c r="C2189" s="256"/>
      <c r="D2189" s="414"/>
      <c r="E2189" s="414"/>
      <c r="F2189" s="414"/>
      <c r="G2189" s="253"/>
      <c r="H2189" s="253"/>
      <c r="I2189" s="253"/>
      <c r="J2189" s="253"/>
      <c r="K2189" s="253"/>
      <c r="L2189" s="253"/>
      <c r="M2189" s="253"/>
      <c r="N2189" s="253"/>
      <c r="O2189" s="258"/>
      <c r="P2189" s="258"/>
      <c r="Q2189" s="258"/>
      <c r="R2189" s="258"/>
      <c r="S2189" s="258"/>
      <c r="T2189" s="258"/>
      <c r="U2189" s="258"/>
      <c r="V2189" s="258"/>
      <c r="W2189" s="258"/>
      <c r="X2189" s="258"/>
      <c r="Y2189" s="258"/>
      <c r="Z2189" s="258"/>
      <c r="AA2189" s="258"/>
      <c r="AB2189" s="258"/>
      <c r="AC2189" s="407"/>
    </row>
    <row r="2190" spans="2:29" s="406" customFormat="1" ht="16.5" customHeight="1">
      <c r="B2190" s="256"/>
      <c r="C2190" s="256"/>
      <c r="D2190" s="414"/>
      <c r="E2190" s="414"/>
      <c r="F2190" s="414"/>
      <c r="G2190" s="253"/>
      <c r="H2190" s="253"/>
      <c r="I2190" s="253"/>
      <c r="J2190" s="253"/>
      <c r="K2190" s="253"/>
      <c r="L2190" s="253"/>
      <c r="M2190" s="253"/>
      <c r="N2190" s="253"/>
      <c r="O2190" s="258"/>
      <c r="P2190" s="258"/>
      <c r="Q2190" s="258"/>
      <c r="R2190" s="258"/>
      <c r="S2190" s="258"/>
      <c r="T2190" s="258"/>
      <c r="U2190" s="258"/>
      <c r="V2190" s="258"/>
      <c r="W2190" s="258"/>
      <c r="X2190" s="258"/>
      <c r="Y2190" s="258"/>
      <c r="Z2190" s="258"/>
      <c r="AA2190" s="258"/>
      <c r="AB2190" s="258"/>
      <c r="AC2190" s="407"/>
    </row>
    <row r="2191" spans="2:29" s="406" customFormat="1" ht="16.5" customHeight="1">
      <c r="B2191" s="256"/>
      <c r="C2191" s="256"/>
      <c r="D2191" s="414"/>
      <c r="E2191" s="414"/>
      <c r="F2191" s="414"/>
      <c r="G2191" s="253"/>
      <c r="H2191" s="253"/>
      <c r="I2191" s="253"/>
      <c r="J2191" s="253"/>
      <c r="K2191" s="253"/>
      <c r="L2191" s="253"/>
      <c r="M2191" s="253"/>
      <c r="N2191" s="253"/>
      <c r="O2191" s="258"/>
      <c r="P2191" s="258"/>
      <c r="Q2191" s="258"/>
      <c r="R2191" s="258"/>
      <c r="S2191" s="258"/>
      <c r="T2191" s="258"/>
      <c r="U2191" s="258"/>
      <c r="V2191" s="258"/>
      <c r="W2191" s="258"/>
      <c r="X2191" s="258"/>
      <c r="Y2191" s="258"/>
      <c r="Z2191" s="258"/>
      <c r="AA2191" s="258"/>
      <c r="AB2191" s="258"/>
      <c r="AC2191" s="407"/>
    </row>
    <row r="2192" spans="2:29" s="406" customFormat="1" ht="16.5" customHeight="1">
      <c r="B2192" s="256"/>
      <c r="C2192" s="256"/>
      <c r="D2192" s="414"/>
      <c r="E2192" s="414"/>
      <c r="F2192" s="414"/>
      <c r="G2192" s="253"/>
      <c r="H2192" s="253"/>
      <c r="I2192" s="253"/>
      <c r="J2192" s="253"/>
      <c r="K2192" s="253"/>
      <c r="L2192" s="253"/>
      <c r="M2192" s="253"/>
      <c r="N2192" s="253"/>
      <c r="O2192" s="258"/>
      <c r="P2192" s="258"/>
      <c r="Q2192" s="258"/>
      <c r="R2192" s="258"/>
      <c r="S2192" s="258"/>
      <c r="T2192" s="258"/>
      <c r="U2192" s="258"/>
      <c r="V2192" s="258"/>
      <c r="W2192" s="258"/>
      <c r="X2192" s="258"/>
      <c r="Y2192" s="258"/>
      <c r="Z2192" s="258"/>
      <c r="AA2192" s="258"/>
      <c r="AB2192" s="258"/>
      <c r="AC2192" s="407"/>
    </row>
    <row r="2193" spans="2:29" s="406" customFormat="1" ht="16.5" customHeight="1">
      <c r="B2193" s="256"/>
      <c r="C2193" s="256"/>
      <c r="D2193" s="414"/>
      <c r="E2193" s="414"/>
      <c r="F2193" s="414"/>
      <c r="G2193" s="253"/>
      <c r="H2193" s="253"/>
      <c r="I2193" s="253"/>
      <c r="J2193" s="253"/>
      <c r="K2193" s="253"/>
      <c r="L2193" s="253"/>
      <c r="M2193" s="253"/>
      <c r="N2193" s="253"/>
      <c r="O2193" s="258"/>
      <c r="P2193" s="258"/>
      <c r="Q2193" s="258"/>
      <c r="R2193" s="258"/>
      <c r="S2193" s="258"/>
      <c r="T2193" s="258"/>
      <c r="U2193" s="258"/>
      <c r="V2193" s="258"/>
      <c r="W2193" s="258"/>
      <c r="X2193" s="258"/>
      <c r="Y2193" s="258"/>
      <c r="Z2193" s="258"/>
      <c r="AA2193" s="258"/>
      <c r="AB2193" s="258"/>
      <c r="AC2193" s="407"/>
    </row>
    <row r="2194" spans="2:29" s="406" customFormat="1" ht="16.5" customHeight="1">
      <c r="B2194" s="256"/>
      <c r="C2194" s="256"/>
      <c r="D2194" s="414"/>
      <c r="E2194" s="414"/>
      <c r="F2194" s="414"/>
      <c r="G2194" s="253"/>
      <c r="H2194" s="253"/>
      <c r="I2194" s="253"/>
      <c r="J2194" s="253"/>
      <c r="K2194" s="253"/>
      <c r="L2194" s="253"/>
      <c r="M2194" s="253"/>
      <c r="N2194" s="253"/>
      <c r="O2194" s="258"/>
      <c r="P2194" s="258"/>
      <c r="Q2194" s="258"/>
      <c r="R2194" s="258"/>
      <c r="S2194" s="258"/>
      <c r="T2194" s="258"/>
      <c r="U2194" s="258"/>
      <c r="V2194" s="258"/>
      <c r="W2194" s="258"/>
      <c r="X2194" s="258"/>
      <c r="Y2194" s="258"/>
      <c r="Z2194" s="258"/>
      <c r="AA2194" s="258"/>
      <c r="AB2194" s="258"/>
      <c r="AC2194" s="407"/>
    </row>
    <row r="2195" spans="2:29" s="406" customFormat="1" ht="16.5" customHeight="1">
      <c r="B2195" s="256"/>
      <c r="C2195" s="256"/>
      <c r="D2195" s="414"/>
      <c r="E2195" s="414"/>
      <c r="F2195" s="414"/>
      <c r="G2195" s="253"/>
      <c r="H2195" s="253"/>
      <c r="I2195" s="253"/>
      <c r="J2195" s="253"/>
      <c r="K2195" s="253"/>
      <c r="L2195" s="253"/>
      <c r="M2195" s="253"/>
      <c r="N2195" s="253"/>
      <c r="O2195" s="258"/>
      <c r="P2195" s="258"/>
      <c r="Q2195" s="258"/>
      <c r="R2195" s="258"/>
      <c r="S2195" s="258"/>
      <c r="T2195" s="258"/>
      <c r="U2195" s="258"/>
      <c r="V2195" s="258"/>
      <c r="W2195" s="258"/>
      <c r="X2195" s="258"/>
      <c r="Y2195" s="258"/>
      <c r="Z2195" s="258"/>
      <c r="AA2195" s="258"/>
      <c r="AB2195" s="258"/>
      <c r="AC2195" s="407"/>
    </row>
    <row r="2196" spans="2:29" s="406" customFormat="1" ht="16.5" customHeight="1">
      <c r="B2196" s="256"/>
      <c r="C2196" s="256"/>
      <c r="D2196" s="414"/>
      <c r="E2196" s="414"/>
      <c r="F2196" s="414"/>
      <c r="G2196" s="253"/>
      <c r="H2196" s="253"/>
      <c r="I2196" s="253"/>
      <c r="J2196" s="253"/>
      <c r="K2196" s="253"/>
      <c r="L2196" s="253"/>
      <c r="M2196" s="253"/>
      <c r="N2196" s="253"/>
      <c r="O2196" s="258"/>
      <c r="P2196" s="258"/>
      <c r="Q2196" s="258"/>
      <c r="R2196" s="258"/>
      <c r="S2196" s="258"/>
      <c r="T2196" s="258"/>
      <c r="U2196" s="258"/>
      <c r="V2196" s="258"/>
      <c r="W2196" s="258"/>
      <c r="X2196" s="258"/>
      <c r="Y2196" s="258"/>
      <c r="Z2196" s="258"/>
      <c r="AA2196" s="258"/>
      <c r="AB2196" s="258"/>
      <c r="AC2196" s="407"/>
    </row>
    <row r="2197" spans="2:29" s="406" customFormat="1" ht="16.5" customHeight="1">
      <c r="B2197" s="256"/>
      <c r="C2197" s="256"/>
      <c r="D2197" s="414"/>
      <c r="E2197" s="414"/>
      <c r="F2197" s="414"/>
      <c r="G2197" s="253"/>
      <c r="H2197" s="253"/>
      <c r="I2197" s="253"/>
      <c r="J2197" s="253"/>
      <c r="K2197" s="253"/>
      <c r="L2197" s="253"/>
      <c r="M2197" s="253"/>
      <c r="N2197" s="253"/>
      <c r="O2197" s="258"/>
      <c r="P2197" s="258"/>
      <c r="Q2197" s="258"/>
      <c r="R2197" s="258"/>
      <c r="S2197" s="258"/>
      <c r="T2197" s="258"/>
      <c r="U2197" s="258"/>
      <c r="V2197" s="258"/>
      <c r="W2197" s="258"/>
      <c r="X2197" s="258"/>
      <c r="Y2197" s="258"/>
      <c r="Z2197" s="258"/>
      <c r="AA2197" s="258"/>
      <c r="AB2197" s="258"/>
      <c r="AC2197" s="407"/>
    </row>
    <row r="2198" spans="2:29" s="406" customFormat="1" ht="16.5" customHeight="1">
      <c r="B2198" s="256"/>
      <c r="C2198" s="256"/>
      <c r="D2198" s="414"/>
      <c r="E2198" s="414"/>
      <c r="F2198" s="414"/>
      <c r="G2198" s="253"/>
      <c r="H2198" s="253"/>
      <c r="I2198" s="253"/>
      <c r="J2198" s="253"/>
      <c r="K2198" s="253"/>
      <c r="L2198" s="253"/>
      <c r="M2198" s="253"/>
      <c r="N2198" s="253"/>
      <c r="O2198" s="258"/>
      <c r="P2198" s="258"/>
      <c r="Q2198" s="258"/>
      <c r="R2198" s="258"/>
      <c r="S2198" s="258"/>
      <c r="T2198" s="258"/>
      <c r="U2198" s="258"/>
      <c r="V2198" s="258"/>
      <c r="W2198" s="258"/>
      <c r="X2198" s="258"/>
      <c r="Y2198" s="258"/>
      <c r="Z2198" s="258"/>
      <c r="AA2198" s="258"/>
      <c r="AB2198" s="258"/>
      <c r="AC2198" s="407"/>
    </row>
    <row r="2199" spans="2:29" s="406" customFormat="1" ht="16.5" customHeight="1">
      <c r="B2199" s="256"/>
      <c r="C2199" s="256"/>
      <c r="D2199" s="414"/>
      <c r="E2199" s="414"/>
      <c r="F2199" s="414"/>
      <c r="G2199" s="253"/>
      <c r="H2199" s="253"/>
      <c r="I2199" s="253"/>
      <c r="J2199" s="253"/>
      <c r="K2199" s="253"/>
      <c r="L2199" s="253"/>
      <c r="M2199" s="253"/>
      <c r="N2199" s="253"/>
      <c r="O2199" s="258"/>
      <c r="P2199" s="258"/>
      <c r="Q2199" s="258"/>
      <c r="R2199" s="258"/>
      <c r="S2199" s="258"/>
      <c r="T2199" s="258"/>
      <c r="U2199" s="258"/>
      <c r="V2199" s="258"/>
      <c r="W2199" s="258"/>
      <c r="X2199" s="258"/>
      <c r="Y2199" s="258"/>
      <c r="Z2199" s="258"/>
      <c r="AA2199" s="258"/>
      <c r="AB2199" s="258"/>
      <c r="AC2199" s="407"/>
    </row>
    <row r="2200" spans="2:29" s="406" customFormat="1" ht="16.5" customHeight="1">
      <c r="B2200" s="256"/>
      <c r="C2200" s="256"/>
      <c r="D2200" s="414"/>
      <c r="E2200" s="414"/>
      <c r="F2200" s="414"/>
      <c r="G2200" s="253"/>
      <c r="H2200" s="253"/>
      <c r="I2200" s="253"/>
      <c r="J2200" s="253"/>
      <c r="K2200" s="253"/>
      <c r="L2200" s="253"/>
      <c r="M2200" s="253"/>
      <c r="N2200" s="253"/>
      <c r="O2200" s="258"/>
      <c r="P2200" s="258"/>
      <c r="Q2200" s="258"/>
      <c r="R2200" s="258"/>
      <c r="S2200" s="258"/>
      <c r="T2200" s="258"/>
      <c r="U2200" s="258"/>
      <c r="V2200" s="258"/>
      <c r="W2200" s="258"/>
      <c r="X2200" s="258"/>
      <c r="Y2200" s="258"/>
      <c r="Z2200" s="258"/>
      <c r="AA2200" s="258"/>
      <c r="AB2200" s="258"/>
      <c r="AC2200" s="407"/>
    </row>
    <row r="2201" spans="2:29" s="406" customFormat="1" ht="16.5" customHeight="1">
      <c r="B2201" s="256"/>
      <c r="C2201" s="256"/>
      <c r="D2201" s="414"/>
      <c r="E2201" s="414"/>
      <c r="F2201" s="414"/>
      <c r="G2201" s="253"/>
      <c r="H2201" s="253"/>
      <c r="I2201" s="253"/>
      <c r="J2201" s="253"/>
      <c r="K2201" s="253"/>
      <c r="L2201" s="253"/>
      <c r="M2201" s="253"/>
      <c r="N2201" s="253"/>
      <c r="O2201" s="258"/>
      <c r="P2201" s="258"/>
      <c r="Q2201" s="258"/>
      <c r="R2201" s="258"/>
      <c r="S2201" s="258"/>
      <c r="T2201" s="258"/>
      <c r="U2201" s="258"/>
      <c r="V2201" s="258"/>
      <c r="W2201" s="258"/>
      <c r="X2201" s="258"/>
      <c r="Y2201" s="258"/>
      <c r="Z2201" s="258"/>
      <c r="AA2201" s="258"/>
      <c r="AB2201" s="258"/>
      <c r="AC2201" s="407"/>
    </row>
    <row r="2202" spans="2:29" s="406" customFormat="1" ht="16.5" customHeight="1">
      <c r="B2202" s="256"/>
      <c r="C2202" s="256"/>
      <c r="D2202" s="414"/>
      <c r="E2202" s="414"/>
      <c r="F2202" s="414"/>
      <c r="G2202" s="253"/>
      <c r="H2202" s="253"/>
      <c r="I2202" s="253"/>
      <c r="J2202" s="253"/>
      <c r="K2202" s="253"/>
      <c r="L2202" s="253"/>
      <c r="M2202" s="253"/>
      <c r="N2202" s="253"/>
      <c r="O2202" s="258"/>
      <c r="P2202" s="258"/>
      <c r="Q2202" s="258"/>
      <c r="R2202" s="258"/>
      <c r="S2202" s="258"/>
      <c r="T2202" s="258"/>
      <c r="U2202" s="258"/>
      <c r="V2202" s="258"/>
      <c r="W2202" s="258"/>
      <c r="X2202" s="258"/>
      <c r="Y2202" s="258"/>
      <c r="Z2202" s="258"/>
      <c r="AA2202" s="258"/>
      <c r="AB2202" s="258"/>
      <c r="AC2202" s="407"/>
    </row>
    <row r="2203" spans="2:29" s="406" customFormat="1" ht="16.5" customHeight="1">
      <c r="B2203" s="256"/>
      <c r="C2203" s="256"/>
      <c r="D2203" s="414"/>
      <c r="E2203" s="414"/>
      <c r="F2203" s="414"/>
      <c r="G2203" s="253"/>
      <c r="H2203" s="253"/>
      <c r="I2203" s="253"/>
      <c r="J2203" s="253"/>
      <c r="K2203" s="253"/>
      <c r="L2203" s="253"/>
      <c r="M2203" s="253"/>
      <c r="N2203" s="253"/>
      <c r="O2203" s="258"/>
      <c r="P2203" s="258"/>
      <c r="Q2203" s="258"/>
      <c r="R2203" s="258"/>
      <c r="S2203" s="258"/>
      <c r="T2203" s="258"/>
      <c r="U2203" s="258"/>
      <c r="V2203" s="258"/>
      <c r="W2203" s="258"/>
      <c r="X2203" s="258"/>
      <c r="Y2203" s="258"/>
      <c r="Z2203" s="258"/>
      <c r="AA2203" s="258"/>
      <c r="AB2203" s="258"/>
      <c r="AC2203" s="407"/>
    </row>
    <row r="2204" spans="2:29" s="406" customFormat="1" ht="16.5" customHeight="1">
      <c r="B2204" s="256"/>
      <c r="C2204" s="256"/>
      <c r="D2204" s="414"/>
      <c r="E2204" s="414"/>
      <c r="F2204" s="414"/>
      <c r="G2204" s="253"/>
      <c r="H2204" s="253"/>
      <c r="I2204" s="253"/>
      <c r="J2204" s="253"/>
      <c r="K2204" s="253"/>
      <c r="L2204" s="253"/>
      <c r="M2204" s="253"/>
      <c r="N2204" s="253"/>
      <c r="O2204" s="258"/>
      <c r="P2204" s="258"/>
      <c r="Q2204" s="258"/>
      <c r="R2204" s="258"/>
      <c r="S2204" s="258"/>
      <c r="T2204" s="258"/>
      <c r="U2204" s="258"/>
      <c r="V2204" s="258"/>
      <c r="W2204" s="258"/>
      <c r="X2204" s="258"/>
      <c r="Y2204" s="258"/>
      <c r="Z2204" s="258"/>
      <c r="AA2204" s="258"/>
      <c r="AB2204" s="258"/>
      <c r="AC2204" s="407"/>
    </row>
    <row r="2205" spans="2:29" s="406" customFormat="1" ht="16.5" customHeight="1">
      <c r="B2205" s="256"/>
      <c r="C2205" s="256"/>
      <c r="D2205" s="414"/>
      <c r="E2205" s="414"/>
      <c r="F2205" s="414"/>
      <c r="G2205" s="253"/>
      <c r="H2205" s="253"/>
      <c r="I2205" s="253"/>
      <c r="J2205" s="253"/>
      <c r="K2205" s="253"/>
      <c r="L2205" s="253"/>
      <c r="M2205" s="253"/>
      <c r="N2205" s="253"/>
      <c r="O2205" s="258"/>
      <c r="P2205" s="258"/>
      <c r="Q2205" s="258"/>
      <c r="R2205" s="258"/>
      <c r="S2205" s="258"/>
      <c r="T2205" s="258"/>
      <c r="U2205" s="258"/>
      <c r="V2205" s="258"/>
      <c r="W2205" s="258"/>
      <c r="X2205" s="258"/>
      <c r="Y2205" s="258"/>
      <c r="Z2205" s="258"/>
      <c r="AA2205" s="258"/>
      <c r="AB2205" s="258"/>
      <c r="AC2205" s="407"/>
    </row>
    <row r="2206" spans="2:29" s="406" customFormat="1" ht="16.5" customHeight="1">
      <c r="B2206" s="256"/>
      <c r="C2206" s="256"/>
      <c r="D2206" s="414"/>
      <c r="E2206" s="414"/>
      <c r="F2206" s="414"/>
      <c r="G2206" s="253"/>
      <c r="H2206" s="253"/>
      <c r="I2206" s="253"/>
      <c r="J2206" s="253"/>
      <c r="K2206" s="253"/>
      <c r="L2206" s="253"/>
      <c r="M2206" s="253"/>
      <c r="N2206" s="253"/>
      <c r="O2206" s="258"/>
      <c r="P2206" s="258"/>
      <c r="Q2206" s="258"/>
      <c r="R2206" s="258"/>
      <c r="S2206" s="258"/>
      <c r="T2206" s="258"/>
      <c r="U2206" s="258"/>
      <c r="V2206" s="258"/>
      <c r="W2206" s="258"/>
      <c r="X2206" s="258"/>
      <c r="Y2206" s="258"/>
      <c r="Z2206" s="258"/>
      <c r="AA2206" s="258"/>
      <c r="AB2206" s="258"/>
      <c r="AC2206" s="407"/>
    </row>
    <row r="2207" spans="2:29" s="406" customFormat="1" ht="16.5" customHeight="1">
      <c r="B2207" s="256"/>
      <c r="C2207" s="256"/>
      <c r="D2207" s="414"/>
      <c r="E2207" s="414"/>
      <c r="F2207" s="414"/>
      <c r="G2207" s="253"/>
      <c r="H2207" s="253"/>
      <c r="I2207" s="253"/>
      <c r="J2207" s="253"/>
      <c r="K2207" s="253"/>
      <c r="L2207" s="253"/>
      <c r="M2207" s="253"/>
      <c r="N2207" s="253"/>
      <c r="O2207" s="258"/>
      <c r="P2207" s="258"/>
      <c r="Q2207" s="258"/>
      <c r="R2207" s="258"/>
      <c r="S2207" s="258"/>
      <c r="T2207" s="258"/>
      <c r="U2207" s="258"/>
      <c r="V2207" s="258"/>
      <c r="W2207" s="258"/>
      <c r="X2207" s="258"/>
      <c r="Y2207" s="258"/>
      <c r="Z2207" s="258"/>
      <c r="AA2207" s="258"/>
      <c r="AB2207" s="258"/>
      <c r="AC2207" s="407"/>
    </row>
    <row r="2208" spans="2:29" s="406" customFormat="1" ht="16.5" customHeight="1">
      <c r="B2208" s="256"/>
      <c r="C2208" s="256"/>
      <c r="D2208" s="414"/>
      <c r="E2208" s="414"/>
      <c r="F2208" s="414"/>
      <c r="G2208" s="253"/>
      <c r="H2208" s="253"/>
      <c r="I2208" s="253"/>
      <c r="J2208" s="253"/>
      <c r="K2208" s="253"/>
      <c r="L2208" s="253"/>
      <c r="M2208" s="253"/>
      <c r="N2208" s="253"/>
      <c r="O2208" s="258"/>
      <c r="P2208" s="258"/>
      <c r="Q2208" s="258"/>
      <c r="R2208" s="258"/>
      <c r="S2208" s="258"/>
      <c r="T2208" s="258"/>
      <c r="U2208" s="258"/>
      <c r="V2208" s="258"/>
      <c r="W2208" s="258"/>
      <c r="X2208" s="258"/>
      <c r="Y2208" s="258"/>
      <c r="Z2208" s="258"/>
      <c r="AA2208" s="258"/>
      <c r="AB2208" s="258"/>
      <c r="AC2208" s="407"/>
    </row>
    <row r="2209" spans="2:29" s="406" customFormat="1" ht="16.5" customHeight="1">
      <c r="B2209" s="256"/>
      <c r="C2209" s="256"/>
      <c r="D2209" s="414"/>
      <c r="E2209" s="414"/>
      <c r="F2209" s="414"/>
      <c r="G2209" s="253"/>
      <c r="H2209" s="253"/>
      <c r="I2209" s="253"/>
      <c r="J2209" s="253"/>
      <c r="K2209" s="253"/>
      <c r="L2209" s="253"/>
      <c r="M2209" s="253"/>
      <c r="N2209" s="253"/>
      <c r="O2209" s="258"/>
      <c r="P2209" s="258"/>
      <c r="Q2209" s="258"/>
      <c r="R2209" s="258"/>
      <c r="S2209" s="258"/>
      <c r="T2209" s="258"/>
      <c r="U2209" s="258"/>
      <c r="V2209" s="258"/>
      <c r="W2209" s="258"/>
      <c r="X2209" s="258"/>
      <c r="Y2209" s="258"/>
      <c r="Z2209" s="258"/>
      <c r="AA2209" s="258"/>
      <c r="AB2209" s="258"/>
      <c r="AC2209" s="407"/>
    </row>
    <row r="2210" spans="2:29" s="406" customFormat="1" ht="16.5" customHeight="1">
      <c r="B2210" s="256"/>
      <c r="C2210" s="256"/>
      <c r="D2210" s="414"/>
      <c r="E2210" s="414"/>
      <c r="F2210" s="414"/>
      <c r="G2210" s="253"/>
      <c r="H2210" s="253"/>
      <c r="I2210" s="253"/>
      <c r="J2210" s="253"/>
      <c r="K2210" s="253"/>
      <c r="L2210" s="253"/>
      <c r="M2210" s="253"/>
      <c r="N2210" s="253"/>
      <c r="O2210" s="258"/>
      <c r="P2210" s="258"/>
      <c r="Q2210" s="258"/>
      <c r="R2210" s="258"/>
      <c r="S2210" s="258"/>
      <c r="T2210" s="258"/>
      <c r="U2210" s="258"/>
      <c r="V2210" s="258"/>
      <c r="W2210" s="258"/>
      <c r="X2210" s="258"/>
      <c r="Y2210" s="258"/>
      <c r="Z2210" s="258"/>
      <c r="AA2210" s="258"/>
      <c r="AB2210" s="258"/>
      <c r="AC2210" s="407"/>
    </row>
    <row r="2211" spans="2:29" s="406" customFormat="1" ht="16.5" customHeight="1">
      <c r="B2211" s="256"/>
      <c r="C2211" s="256"/>
      <c r="D2211" s="414"/>
      <c r="E2211" s="414"/>
      <c r="F2211" s="414"/>
      <c r="G2211" s="253"/>
      <c r="H2211" s="253"/>
      <c r="I2211" s="253"/>
      <c r="J2211" s="253"/>
      <c r="K2211" s="253"/>
      <c r="L2211" s="253"/>
      <c r="M2211" s="253"/>
      <c r="N2211" s="253"/>
      <c r="O2211" s="258"/>
      <c r="P2211" s="258"/>
      <c r="Q2211" s="258"/>
      <c r="R2211" s="258"/>
      <c r="S2211" s="258"/>
      <c r="T2211" s="258"/>
      <c r="U2211" s="258"/>
      <c r="V2211" s="258"/>
      <c r="W2211" s="258"/>
      <c r="X2211" s="258"/>
      <c r="Y2211" s="258"/>
      <c r="Z2211" s="258"/>
      <c r="AA2211" s="258"/>
      <c r="AB2211" s="258"/>
      <c r="AC2211" s="407"/>
    </row>
    <row r="2212" spans="2:29" s="406" customFormat="1" ht="16.5" customHeight="1">
      <c r="B2212" s="256"/>
      <c r="C2212" s="256"/>
      <c r="D2212" s="414"/>
      <c r="E2212" s="414"/>
      <c r="F2212" s="414"/>
      <c r="G2212" s="253"/>
      <c r="H2212" s="253"/>
      <c r="I2212" s="253"/>
      <c r="J2212" s="253"/>
      <c r="K2212" s="253"/>
      <c r="L2212" s="253"/>
      <c r="M2212" s="253"/>
      <c r="N2212" s="253"/>
      <c r="O2212" s="258"/>
      <c r="P2212" s="258"/>
      <c r="Q2212" s="258"/>
      <c r="R2212" s="258"/>
      <c r="S2212" s="258"/>
      <c r="T2212" s="258"/>
      <c r="U2212" s="258"/>
      <c r="V2212" s="258"/>
      <c r="W2212" s="258"/>
      <c r="X2212" s="258"/>
      <c r="Y2212" s="258"/>
      <c r="Z2212" s="258"/>
      <c r="AA2212" s="258"/>
      <c r="AB2212" s="258"/>
      <c r="AC2212" s="407"/>
    </row>
    <row r="2213" spans="2:29" s="406" customFormat="1" ht="16.5" customHeight="1">
      <c r="B2213" s="256"/>
      <c r="C2213" s="256"/>
      <c r="D2213" s="414"/>
      <c r="E2213" s="414"/>
      <c r="F2213" s="414"/>
      <c r="G2213" s="253"/>
      <c r="H2213" s="253"/>
      <c r="I2213" s="253"/>
      <c r="J2213" s="253"/>
      <c r="K2213" s="253"/>
      <c r="L2213" s="253"/>
      <c r="M2213" s="253"/>
      <c r="N2213" s="253"/>
      <c r="O2213" s="258"/>
      <c r="P2213" s="258"/>
      <c r="Q2213" s="258"/>
      <c r="R2213" s="258"/>
      <c r="S2213" s="258"/>
      <c r="T2213" s="258"/>
      <c r="U2213" s="258"/>
      <c r="V2213" s="258"/>
      <c r="W2213" s="258"/>
      <c r="X2213" s="258"/>
      <c r="Y2213" s="258"/>
      <c r="Z2213" s="258"/>
      <c r="AA2213" s="258"/>
      <c r="AB2213" s="258"/>
      <c r="AC2213" s="407"/>
    </row>
    <row r="2214" spans="2:29" s="406" customFormat="1" ht="16.5" customHeight="1">
      <c r="B2214" s="256"/>
      <c r="C2214" s="256"/>
      <c r="D2214" s="414"/>
      <c r="E2214" s="414"/>
      <c r="F2214" s="414"/>
      <c r="G2214" s="253"/>
      <c r="H2214" s="253"/>
      <c r="I2214" s="253"/>
      <c r="J2214" s="253"/>
      <c r="K2214" s="253"/>
      <c r="L2214" s="253"/>
      <c r="M2214" s="253"/>
      <c r="N2214" s="253"/>
      <c r="O2214" s="258"/>
      <c r="P2214" s="258"/>
      <c r="Q2214" s="258"/>
      <c r="R2214" s="258"/>
      <c r="S2214" s="258"/>
      <c r="T2214" s="258"/>
      <c r="U2214" s="258"/>
      <c r="V2214" s="258"/>
      <c r="W2214" s="258"/>
      <c r="X2214" s="258"/>
      <c r="Y2214" s="258"/>
      <c r="Z2214" s="258"/>
      <c r="AA2214" s="258"/>
      <c r="AB2214" s="258"/>
      <c r="AC2214" s="407"/>
    </row>
    <row r="2215" spans="2:29" s="406" customFormat="1" ht="16.5" customHeight="1">
      <c r="B2215" s="256"/>
      <c r="C2215" s="256"/>
      <c r="D2215" s="414"/>
      <c r="E2215" s="414"/>
      <c r="F2215" s="414"/>
      <c r="G2215" s="253"/>
      <c r="H2215" s="253"/>
      <c r="I2215" s="253"/>
      <c r="J2215" s="253"/>
      <c r="K2215" s="253"/>
      <c r="L2215" s="253"/>
      <c r="M2215" s="253"/>
      <c r="N2215" s="253"/>
      <c r="O2215" s="258"/>
      <c r="P2215" s="258"/>
      <c r="Q2215" s="258"/>
      <c r="R2215" s="258"/>
      <c r="S2215" s="258"/>
      <c r="T2215" s="258"/>
      <c r="U2215" s="258"/>
      <c r="V2215" s="258"/>
      <c r="W2215" s="258"/>
      <c r="X2215" s="258"/>
      <c r="Y2215" s="258"/>
      <c r="Z2215" s="258"/>
      <c r="AA2215" s="258"/>
      <c r="AB2215" s="258"/>
      <c r="AC2215" s="407"/>
    </row>
    <row r="2216" spans="2:29" s="406" customFormat="1" ht="16.5" customHeight="1">
      <c r="B2216" s="256"/>
      <c r="C2216" s="256"/>
      <c r="D2216" s="414"/>
      <c r="E2216" s="414"/>
      <c r="F2216" s="414"/>
      <c r="G2216" s="253"/>
      <c r="H2216" s="253"/>
      <c r="I2216" s="253"/>
      <c r="J2216" s="253"/>
      <c r="K2216" s="253"/>
      <c r="L2216" s="253"/>
      <c r="M2216" s="253"/>
      <c r="N2216" s="253"/>
      <c r="O2216" s="258"/>
      <c r="P2216" s="258"/>
      <c r="Q2216" s="258"/>
      <c r="R2216" s="258"/>
      <c r="S2216" s="258"/>
      <c r="T2216" s="258"/>
      <c r="U2216" s="258"/>
      <c r="V2216" s="258"/>
      <c r="W2216" s="258"/>
      <c r="X2216" s="258"/>
      <c r="Y2216" s="258"/>
      <c r="Z2216" s="258"/>
      <c r="AA2216" s="258"/>
      <c r="AB2216" s="258"/>
      <c r="AC2216" s="407"/>
    </row>
    <row r="2217" spans="2:29" s="406" customFormat="1" ht="16.5" customHeight="1">
      <c r="B2217" s="256"/>
      <c r="C2217" s="256"/>
      <c r="D2217" s="414"/>
      <c r="E2217" s="414"/>
      <c r="F2217" s="414"/>
      <c r="G2217" s="253"/>
      <c r="H2217" s="253"/>
      <c r="I2217" s="253"/>
      <c r="J2217" s="253"/>
      <c r="K2217" s="253"/>
      <c r="L2217" s="253"/>
      <c r="M2217" s="253"/>
      <c r="N2217" s="253"/>
      <c r="O2217" s="258"/>
      <c r="P2217" s="258"/>
      <c r="Q2217" s="258"/>
      <c r="R2217" s="258"/>
      <c r="S2217" s="258"/>
      <c r="T2217" s="258"/>
      <c r="U2217" s="258"/>
      <c r="V2217" s="258"/>
      <c r="W2217" s="258"/>
      <c r="X2217" s="258"/>
      <c r="Y2217" s="258"/>
      <c r="Z2217" s="258"/>
      <c r="AA2217" s="258"/>
      <c r="AB2217" s="258"/>
      <c r="AC2217" s="407"/>
    </row>
    <row r="2218" spans="2:29" s="406" customFormat="1" ht="16.5" customHeight="1">
      <c r="B2218" s="256"/>
      <c r="C2218" s="256"/>
      <c r="D2218" s="414"/>
      <c r="E2218" s="414"/>
      <c r="F2218" s="414"/>
      <c r="G2218" s="253"/>
      <c r="H2218" s="253"/>
      <c r="I2218" s="253"/>
      <c r="J2218" s="253"/>
      <c r="K2218" s="253"/>
      <c r="L2218" s="253"/>
      <c r="M2218" s="253"/>
      <c r="N2218" s="253"/>
      <c r="O2218" s="258"/>
      <c r="P2218" s="258"/>
      <c r="Q2218" s="258"/>
      <c r="R2218" s="258"/>
      <c r="S2218" s="258"/>
      <c r="T2218" s="258"/>
      <c r="U2218" s="258"/>
      <c r="V2218" s="258"/>
      <c r="W2218" s="258"/>
      <c r="X2218" s="258"/>
      <c r="Y2218" s="258"/>
      <c r="Z2218" s="258"/>
      <c r="AA2218" s="258"/>
      <c r="AB2218" s="258"/>
      <c r="AC2218" s="407"/>
    </row>
    <row r="2219" spans="2:29" s="406" customFormat="1" ht="16.5" customHeight="1">
      <c r="B2219" s="256"/>
      <c r="C2219" s="256"/>
      <c r="D2219" s="414"/>
      <c r="E2219" s="414"/>
      <c r="F2219" s="414"/>
      <c r="G2219" s="253"/>
      <c r="H2219" s="253"/>
      <c r="I2219" s="253"/>
      <c r="J2219" s="253"/>
      <c r="K2219" s="253"/>
      <c r="L2219" s="253"/>
      <c r="M2219" s="253"/>
      <c r="N2219" s="253"/>
      <c r="O2219" s="258"/>
      <c r="P2219" s="258"/>
      <c r="Q2219" s="258"/>
      <c r="R2219" s="258"/>
      <c r="S2219" s="258"/>
      <c r="T2219" s="258"/>
      <c r="U2219" s="258"/>
      <c r="V2219" s="258"/>
      <c r="W2219" s="258"/>
      <c r="X2219" s="258"/>
      <c r="Y2219" s="258"/>
      <c r="Z2219" s="258"/>
      <c r="AA2219" s="258"/>
      <c r="AB2219" s="258"/>
      <c r="AC2219" s="407"/>
    </row>
    <row r="2220" spans="2:29" s="406" customFormat="1" ht="16.5" customHeight="1">
      <c r="B2220" s="256"/>
      <c r="C2220" s="256"/>
      <c r="D2220" s="414"/>
      <c r="E2220" s="414"/>
      <c r="F2220" s="414"/>
      <c r="G2220" s="253"/>
      <c r="H2220" s="253"/>
      <c r="I2220" s="253"/>
      <c r="J2220" s="253"/>
      <c r="K2220" s="253"/>
      <c r="L2220" s="253"/>
      <c r="M2220" s="253"/>
      <c r="N2220" s="253"/>
      <c r="O2220" s="258"/>
      <c r="P2220" s="258"/>
      <c r="Q2220" s="258"/>
      <c r="R2220" s="258"/>
      <c r="S2220" s="258"/>
      <c r="T2220" s="258"/>
      <c r="U2220" s="258"/>
      <c r="V2220" s="258"/>
      <c r="W2220" s="258"/>
      <c r="X2220" s="258"/>
      <c r="Y2220" s="258"/>
      <c r="Z2220" s="258"/>
      <c r="AA2220" s="258"/>
      <c r="AB2220" s="258"/>
      <c r="AC2220" s="407"/>
    </row>
    <row r="2221" spans="2:29" s="406" customFormat="1" ht="16.5" customHeight="1">
      <c r="B2221" s="256"/>
      <c r="C2221" s="256"/>
      <c r="D2221" s="414"/>
      <c r="E2221" s="414"/>
      <c r="F2221" s="414"/>
      <c r="G2221" s="253"/>
      <c r="H2221" s="253"/>
      <c r="I2221" s="253"/>
      <c r="J2221" s="253"/>
      <c r="K2221" s="253"/>
      <c r="L2221" s="253"/>
      <c r="M2221" s="253"/>
      <c r="N2221" s="253"/>
      <c r="O2221" s="258"/>
      <c r="P2221" s="258"/>
      <c r="Q2221" s="258"/>
      <c r="R2221" s="258"/>
      <c r="S2221" s="258"/>
      <c r="T2221" s="258"/>
      <c r="U2221" s="258"/>
      <c r="V2221" s="258"/>
      <c r="W2221" s="258"/>
      <c r="X2221" s="258"/>
      <c r="Y2221" s="258"/>
      <c r="Z2221" s="258"/>
      <c r="AA2221" s="258"/>
      <c r="AB2221" s="258"/>
      <c r="AC2221" s="407"/>
    </row>
    <row r="2222" spans="2:29" s="406" customFormat="1" ht="16.5" customHeight="1">
      <c r="B2222" s="256"/>
      <c r="C2222" s="256"/>
      <c r="D2222" s="414"/>
      <c r="E2222" s="414"/>
      <c r="F2222" s="414"/>
      <c r="G2222" s="253"/>
      <c r="H2222" s="253"/>
      <c r="I2222" s="253"/>
      <c r="J2222" s="253"/>
      <c r="K2222" s="253"/>
      <c r="L2222" s="253"/>
      <c r="M2222" s="253"/>
      <c r="N2222" s="253"/>
      <c r="O2222" s="258"/>
      <c r="P2222" s="258"/>
      <c r="Q2222" s="258"/>
      <c r="R2222" s="258"/>
      <c r="S2222" s="258"/>
      <c r="T2222" s="258"/>
      <c r="U2222" s="258"/>
      <c r="V2222" s="258"/>
      <c r="W2222" s="258"/>
      <c r="X2222" s="258"/>
      <c r="Y2222" s="258"/>
      <c r="Z2222" s="258"/>
      <c r="AA2222" s="258"/>
      <c r="AB2222" s="258"/>
      <c r="AC2222" s="407"/>
    </row>
    <row r="2223" spans="2:29" s="406" customFormat="1" ht="16.5" customHeight="1">
      <c r="B2223" s="256"/>
      <c r="C2223" s="256"/>
      <c r="D2223" s="414"/>
      <c r="E2223" s="414"/>
      <c r="F2223" s="414"/>
      <c r="G2223" s="253"/>
      <c r="H2223" s="253"/>
      <c r="I2223" s="253"/>
      <c r="J2223" s="253"/>
      <c r="K2223" s="253"/>
      <c r="L2223" s="253"/>
      <c r="M2223" s="253"/>
      <c r="N2223" s="253"/>
      <c r="O2223" s="258"/>
      <c r="P2223" s="258"/>
      <c r="Q2223" s="258"/>
      <c r="R2223" s="258"/>
      <c r="S2223" s="258"/>
      <c r="T2223" s="258"/>
      <c r="U2223" s="258"/>
      <c r="V2223" s="258"/>
      <c r="W2223" s="258"/>
      <c r="X2223" s="258"/>
      <c r="Y2223" s="258"/>
      <c r="Z2223" s="258"/>
      <c r="AA2223" s="258"/>
      <c r="AB2223" s="258"/>
      <c r="AC2223" s="407"/>
    </row>
    <row r="2224" spans="2:29" s="406" customFormat="1" ht="16.5" customHeight="1">
      <c r="B2224" s="256"/>
      <c r="C2224" s="256"/>
      <c r="D2224" s="414"/>
      <c r="E2224" s="414"/>
      <c r="F2224" s="414"/>
      <c r="G2224" s="253"/>
      <c r="H2224" s="253"/>
      <c r="I2224" s="253"/>
      <c r="J2224" s="253"/>
      <c r="K2224" s="253"/>
      <c r="L2224" s="253"/>
      <c r="M2224" s="253"/>
      <c r="N2224" s="253"/>
      <c r="O2224" s="258"/>
      <c r="P2224" s="258"/>
      <c r="Q2224" s="258"/>
      <c r="R2224" s="258"/>
      <c r="S2224" s="258"/>
      <c r="T2224" s="258"/>
      <c r="U2224" s="258"/>
      <c r="V2224" s="258"/>
      <c r="W2224" s="258"/>
      <c r="X2224" s="258"/>
      <c r="Y2224" s="258"/>
      <c r="Z2224" s="258"/>
      <c r="AA2224" s="258"/>
      <c r="AB2224" s="258"/>
      <c r="AC2224" s="407"/>
    </row>
    <row r="2225" spans="2:29" s="406" customFormat="1" ht="16.5" customHeight="1">
      <c r="B2225" s="256"/>
      <c r="C2225" s="256"/>
      <c r="D2225" s="414"/>
      <c r="E2225" s="414"/>
      <c r="F2225" s="414"/>
      <c r="G2225" s="253"/>
      <c r="H2225" s="253"/>
      <c r="I2225" s="253"/>
      <c r="J2225" s="253"/>
      <c r="K2225" s="253"/>
      <c r="L2225" s="253"/>
      <c r="M2225" s="253"/>
      <c r="N2225" s="253"/>
      <c r="O2225" s="258"/>
      <c r="P2225" s="258"/>
      <c r="Q2225" s="258"/>
      <c r="R2225" s="258"/>
      <c r="S2225" s="258"/>
      <c r="T2225" s="258"/>
      <c r="U2225" s="258"/>
      <c r="V2225" s="258"/>
      <c r="W2225" s="258"/>
      <c r="X2225" s="258"/>
      <c r="Y2225" s="258"/>
      <c r="Z2225" s="258"/>
      <c r="AA2225" s="258"/>
      <c r="AB2225" s="258"/>
      <c r="AC2225" s="407"/>
    </row>
    <row r="2226" spans="2:29" s="406" customFormat="1" ht="16.5" customHeight="1">
      <c r="B2226" s="256"/>
      <c r="C2226" s="256"/>
      <c r="D2226" s="414"/>
      <c r="E2226" s="414"/>
      <c r="F2226" s="414"/>
      <c r="G2226" s="253"/>
      <c r="H2226" s="253"/>
      <c r="I2226" s="253"/>
      <c r="J2226" s="253"/>
      <c r="K2226" s="253"/>
      <c r="L2226" s="253"/>
      <c r="M2226" s="253"/>
      <c r="N2226" s="253"/>
      <c r="O2226" s="258"/>
      <c r="P2226" s="258"/>
      <c r="Q2226" s="258"/>
      <c r="R2226" s="258"/>
      <c r="S2226" s="258"/>
      <c r="T2226" s="258"/>
      <c r="U2226" s="258"/>
      <c r="V2226" s="258"/>
      <c r="W2226" s="258"/>
      <c r="X2226" s="258"/>
      <c r="Y2226" s="258"/>
      <c r="Z2226" s="258"/>
      <c r="AA2226" s="258"/>
      <c r="AB2226" s="258"/>
      <c r="AC2226" s="407"/>
    </row>
    <row r="2227" spans="2:29" s="406" customFormat="1" ht="16.5" customHeight="1">
      <c r="B2227" s="256"/>
      <c r="C2227" s="256"/>
      <c r="D2227" s="414"/>
      <c r="E2227" s="414"/>
      <c r="F2227" s="414"/>
      <c r="G2227" s="253"/>
      <c r="H2227" s="253"/>
      <c r="I2227" s="253"/>
      <c r="J2227" s="253"/>
      <c r="K2227" s="253"/>
      <c r="L2227" s="253"/>
      <c r="M2227" s="253"/>
      <c r="N2227" s="253"/>
      <c r="O2227" s="258"/>
      <c r="P2227" s="258"/>
      <c r="Q2227" s="258"/>
      <c r="R2227" s="258"/>
      <c r="S2227" s="258"/>
      <c r="T2227" s="258"/>
      <c r="U2227" s="258"/>
      <c r="V2227" s="258"/>
      <c r="W2227" s="258"/>
      <c r="X2227" s="258"/>
      <c r="Y2227" s="258"/>
      <c r="Z2227" s="258"/>
      <c r="AA2227" s="258"/>
      <c r="AB2227" s="258"/>
      <c r="AC2227" s="407"/>
    </row>
    <row r="2228" spans="2:29" s="406" customFormat="1" ht="16.5" customHeight="1">
      <c r="B2228" s="256"/>
      <c r="C2228" s="256"/>
      <c r="D2228" s="414"/>
      <c r="E2228" s="414"/>
      <c r="F2228" s="414"/>
      <c r="G2228" s="253"/>
      <c r="H2228" s="253"/>
      <c r="I2228" s="253"/>
      <c r="J2228" s="253"/>
      <c r="K2228" s="253"/>
      <c r="L2228" s="253"/>
      <c r="M2228" s="253"/>
      <c r="N2228" s="253"/>
      <c r="O2228" s="258"/>
      <c r="P2228" s="258"/>
      <c r="Q2228" s="258"/>
      <c r="R2228" s="258"/>
      <c r="S2228" s="258"/>
      <c r="T2228" s="258"/>
      <c r="U2228" s="258"/>
      <c r="V2228" s="258"/>
      <c r="W2228" s="258"/>
      <c r="X2228" s="258"/>
      <c r="Y2228" s="258"/>
      <c r="Z2228" s="258"/>
      <c r="AA2228" s="258"/>
      <c r="AB2228" s="258"/>
      <c r="AC2228" s="407"/>
    </row>
    <row r="2229" spans="2:29" s="406" customFormat="1" ht="16.5" customHeight="1">
      <c r="B2229" s="256"/>
      <c r="C2229" s="256"/>
      <c r="D2229" s="414"/>
      <c r="E2229" s="414"/>
      <c r="F2229" s="414"/>
      <c r="G2229" s="253"/>
      <c r="H2229" s="253"/>
      <c r="I2229" s="253"/>
      <c r="J2229" s="253"/>
      <c r="K2229" s="253"/>
      <c r="L2229" s="253"/>
      <c r="M2229" s="253"/>
      <c r="N2229" s="253"/>
      <c r="O2229" s="258"/>
      <c r="P2229" s="258"/>
      <c r="Q2229" s="258"/>
      <c r="R2229" s="258"/>
      <c r="S2229" s="258"/>
      <c r="T2229" s="258"/>
      <c r="U2229" s="258"/>
      <c r="V2229" s="258"/>
      <c r="W2229" s="258"/>
      <c r="X2229" s="258"/>
      <c r="Y2229" s="258"/>
      <c r="Z2229" s="258"/>
      <c r="AA2229" s="258"/>
      <c r="AB2229" s="258"/>
      <c r="AC2229" s="407"/>
    </row>
    <row r="2230" spans="2:29" s="406" customFormat="1" ht="16.5" customHeight="1">
      <c r="B2230" s="256"/>
      <c r="C2230" s="256"/>
      <c r="D2230" s="414"/>
      <c r="E2230" s="414"/>
      <c r="F2230" s="414"/>
      <c r="G2230" s="253"/>
      <c r="H2230" s="253"/>
      <c r="I2230" s="253"/>
      <c r="J2230" s="253"/>
      <c r="K2230" s="253"/>
      <c r="L2230" s="253"/>
      <c r="M2230" s="253"/>
      <c r="N2230" s="253"/>
      <c r="O2230" s="258"/>
      <c r="P2230" s="258"/>
      <c r="Q2230" s="258"/>
      <c r="R2230" s="258"/>
      <c r="S2230" s="258"/>
      <c r="T2230" s="258"/>
      <c r="U2230" s="258"/>
      <c r="V2230" s="258"/>
      <c r="W2230" s="258"/>
      <c r="X2230" s="258"/>
      <c r="Y2230" s="258"/>
      <c r="Z2230" s="258"/>
      <c r="AA2230" s="258"/>
      <c r="AB2230" s="258"/>
      <c r="AC2230" s="407"/>
    </row>
    <row r="2231" spans="2:29" s="406" customFormat="1" ht="16.5" customHeight="1">
      <c r="B2231" s="256"/>
      <c r="C2231" s="256"/>
      <c r="D2231" s="414"/>
      <c r="E2231" s="414"/>
      <c r="F2231" s="414"/>
      <c r="G2231" s="253"/>
      <c r="H2231" s="253"/>
      <c r="I2231" s="253"/>
      <c r="J2231" s="253"/>
      <c r="K2231" s="253"/>
      <c r="L2231" s="253"/>
      <c r="M2231" s="253"/>
      <c r="N2231" s="253"/>
      <c r="O2231" s="258"/>
      <c r="P2231" s="258"/>
      <c r="Q2231" s="258"/>
      <c r="R2231" s="258"/>
      <c r="S2231" s="258"/>
      <c r="T2231" s="258"/>
      <c r="U2231" s="258"/>
      <c r="V2231" s="258"/>
      <c r="W2231" s="258"/>
      <c r="X2231" s="258"/>
      <c r="Y2231" s="258"/>
      <c r="Z2231" s="258"/>
      <c r="AA2231" s="258"/>
      <c r="AB2231" s="258"/>
      <c r="AC2231" s="407"/>
    </row>
    <row r="2232" spans="2:29" s="406" customFormat="1" ht="16.5" customHeight="1">
      <c r="B2232" s="256"/>
      <c r="C2232" s="256"/>
      <c r="D2232" s="414"/>
      <c r="E2232" s="414"/>
      <c r="F2232" s="414"/>
      <c r="G2232" s="253"/>
      <c r="H2232" s="253"/>
      <c r="I2232" s="253"/>
      <c r="J2232" s="253"/>
      <c r="K2232" s="253"/>
      <c r="L2232" s="253"/>
      <c r="M2232" s="253"/>
      <c r="N2232" s="253"/>
      <c r="O2232" s="258"/>
      <c r="P2232" s="258"/>
      <c r="Q2232" s="258"/>
      <c r="R2232" s="258"/>
      <c r="S2232" s="258"/>
      <c r="T2232" s="258"/>
      <c r="U2232" s="258"/>
      <c r="V2232" s="258"/>
      <c r="W2232" s="258"/>
      <c r="X2232" s="258"/>
      <c r="Y2232" s="258"/>
      <c r="Z2232" s="258"/>
      <c r="AA2232" s="258"/>
      <c r="AB2232" s="258"/>
      <c r="AC2232" s="407"/>
    </row>
    <row r="2233" spans="2:29" s="406" customFormat="1" ht="16.5" customHeight="1">
      <c r="B2233" s="256"/>
      <c r="C2233" s="256"/>
      <c r="D2233" s="414"/>
      <c r="E2233" s="414"/>
      <c r="F2233" s="414"/>
      <c r="G2233" s="253"/>
      <c r="H2233" s="253"/>
      <c r="I2233" s="253"/>
      <c r="J2233" s="253"/>
      <c r="K2233" s="253"/>
      <c r="L2233" s="253"/>
      <c r="M2233" s="253"/>
      <c r="N2233" s="253"/>
      <c r="O2233" s="258"/>
      <c r="P2233" s="258"/>
      <c r="Q2233" s="258"/>
      <c r="R2233" s="258"/>
      <c r="S2233" s="258"/>
      <c r="T2233" s="258"/>
      <c r="U2233" s="258"/>
      <c r="V2233" s="258"/>
      <c r="W2233" s="258"/>
      <c r="X2233" s="258"/>
      <c r="Y2233" s="258"/>
      <c r="Z2233" s="258"/>
      <c r="AA2233" s="258"/>
      <c r="AB2233" s="258"/>
      <c r="AC2233" s="407"/>
    </row>
    <row r="2234" spans="2:29" s="406" customFormat="1" ht="16.5" customHeight="1">
      <c r="B2234" s="256"/>
      <c r="C2234" s="256"/>
      <c r="D2234" s="414"/>
      <c r="E2234" s="414"/>
      <c r="F2234" s="414"/>
      <c r="G2234" s="253"/>
      <c r="H2234" s="253"/>
      <c r="I2234" s="253"/>
      <c r="J2234" s="253"/>
      <c r="K2234" s="253"/>
      <c r="L2234" s="253"/>
      <c r="M2234" s="253"/>
      <c r="N2234" s="253"/>
      <c r="O2234" s="258"/>
      <c r="P2234" s="258"/>
      <c r="Q2234" s="258"/>
      <c r="R2234" s="258"/>
      <c r="S2234" s="258"/>
      <c r="T2234" s="258"/>
      <c r="U2234" s="258"/>
      <c r="V2234" s="258"/>
      <c r="W2234" s="258"/>
      <c r="X2234" s="258"/>
      <c r="Y2234" s="258"/>
      <c r="Z2234" s="258"/>
      <c r="AA2234" s="258"/>
      <c r="AB2234" s="258"/>
      <c r="AC2234" s="407"/>
    </row>
    <row r="2235" spans="2:29" s="406" customFormat="1" ht="16.5" customHeight="1">
      <c r="B2235" s="256"/>
      <c r="C2235" s="256"/>
      <c r="D2235" s="414"/>
      <c r="E2235" s="414"/>
      <c r="F2235" s="414"/>
      <c r="G2235" s="253"/>
      <c r="H2235" s="253"/>
      <c r="I2235" s="253"/>
      <c r="J2235" s="253"/>
      <c r="K2235" s="253"/>
      <c r="L2235" s="253"/>
      <c r="M2235" s="253"/>
      <c r="N2235" s="253"/>
      <c r="O2235" s="258"/>
      <c r="P2235" s="258"/>
      <c r="Q2235" s="258"/>
      <c r="R2235" s="258"/>
      <c r="S2235" s="258"/>
      <c r="T2235" s="258"/>
      <c r="U2235" s="258"/>
      <c r="V2235" s="258"/>
      <c r="W2235" s="258"/>
      <c r="X2235" s="258"/>
      <c r="Y2235" s="258"/>
      <c r="Z2235" s="258"/>
      <c r="AA2235" s="258"/>
      <c r="AB2235" s="258"/>
      <c r="AC2235" s="407"/>
    </row>
    <row r="2236" spans="2:29" s="406" customFormat="1" ht="16.5" customHeight="1">
      <c r="B2236" s="256"/>
      <c r="C2236" s="256"/>
      <c r="D2236" s="414"/>
      <c r="E2236" s="414"/>
      <c r="F2236" s="414"/>
      <c r="G2236" s="253"/>
      <c r="H2236" s="253"/>
      <c r="I2236" s="253"/>
      <c r="J2236" s="253"/>
      <c r="K2236" s="253"/>
      <c r="L2236" s="253"/>
      <c r="M2236" s="253"/>
      <c r="N2236" s="253"/>
      <c r="O2236" s="258"/>
      <c r="P2236" s="258"/>
      <c r="Q2236" s="258"/>
      <c r="R2236" s="258"/>
      <c r="S2236" s="258"/>
      <c r="T2236" s="258"/>
      <c r="U2236" s="258"/>
      <c r="V2236" s="258"/>
      <c r="W2236" s="258"/>
      <c r="X2236" s="258"/>
      <c r="Y2236" s="258"/>
      <c r="Z2236" s="258"/>
      <c r="AA2236" s="258"/>
      <c r="AB2236" s="258"/>
      <c r="AC2236" s="407"/>
    </row>
    <row r="2237" spans="2:29" s="406" customFormat="1" ht="16.5" customHeight="1">
      <c r="B2237" s="256"/>
      <c r="C2237" s="256"/>
      <c r="D2237" s="414"/>
      <c r="E2237" s="414"/>
      <c r="F2237" s="414"/>
      <c r="G2237" s="253"/>
      <c r="H2237" s="253"/>
      <c r="I2237" s="253"/>
      <c r="J2237" s="253"/>
      <c r="K2237" s="253"/>
      <c r="L2237" s="253"/>
      <c r="M2237" s="253"/>
      <c r="N2237" s="253"/>
      <c r="O2237" s="258"/>
      <c r="P2237" s="258"/>
      <c r="Q2237" s="258"/>
      <c r="R2237" s="258"/>
      <c r="S2237" s="258"/>
      <c r="T2237" s="258"/>
      <c r="U2237" s="258"/>
      <c r="V2237" s="258"/>
      <c r="W2237" s="258"/>
      <c r="X2237" s="258"/>
      <c r="Y2237" s="258"/>
      <c r="Z2237" s="258"/>
      <c r="AA2237" s="258"/>
      <c r="AB2237" s="258"/>
      <c r="AC2237" s="407"/>
    </row>
    <row r="2238" spans="2:29" s="406" customFormat="1" ht="16.5" customHeight="1">
      <c r="B2238" s="256"/>
      <c r="C2238" s="256"/>
      <c r="D2238" s="414"/>
      <c r="E2238" s="414"/>
      <c r="F2238" s="414"/>
      <c r="G2238" s="253"/>
      <c r="H2238" s="253"/>
      <c r="I2238" s="253"/>
      <c r="J2238" s="253"/>
      <c r="K2238" s="253"/>
      <c r="L2238" s="253"/>
      <c r="M2238" s="253"/>
      <c r="N2238" s="253"/>
      <c r="O2238" s="258"/>
      <c r="P2238" s="258"/>
      <c r="Q2238" s="258"/>
      <c r="R2238" s="258"/>
      <c r="S2238" s="258"/>
      <c r="T2238" s="258"/>
      <c r="U2238" s="258"/>
      <c r="V2238" s="258"/>
      <c r="W2238" s="258"/>
      <c r="X2238" s="258"/>
      <c r="Y2238" s="258"/>
      <c r="Z2238" s="258"/>
      <c r="AA2238" s="258"/>
      <c r="AB2238" s="258"/>
      <c r="AC2238" s="407"/>
    </row>
    <row r="2239" spans="2:29" s="406" customFormat="1" ht="16.5" customHeight="1">
      <c r="B2239" s="256"/>
      <c r="C2239" s="256"/>
      <c r="D2239" s="414"/>
      <c r="E2239" s="414"/>
      <c r="F2239" s="414"/>
      <c r="G2239" s="253"/>
      <c r="H2239" s="253"/>
      <c r="I2239" s="253"/>
      <c r="J2239" s="253"/>
      <c r="K2239" s="253"/>
      <c r="L2239" s="253"/>
      <c r="M2239" s="253"/>
      <c r="N2239" s="253"/>
      <c r="O2239" s="258"/>
      <c r="P2239" s="258"/>
      <c r="Q2239" s="258"/>
      <c r="R2239" s="258"/>
      <c r="S2239" s="258"/>
      <c r="T2239" s="258"/>
      <c r="U2239" s="258"/>
      <c r="V2239" s="258"/>
      <c r="W2239" s="258"/>
      <c r="X2239" s="258"/>
      <c r="Y2239" s="258"/>
      <c r="Z2239" s="258"/>
      <c r="AA2239" s="258"/>
      <c r="AB2239" s="258"/>
      <c r="AC2239" s="407"/>
    </row>
    <row r="2240" spans="2:29" s="406" customFormat="1" ht="16.5" customHeight="1">
      <c r="B2240" s="256"/>
      <c r="C2240" s="256"/>
      <c r="D2240" s="414"/>
      <c r="E2240" s="414"/>
      <c r="F2240" s="414"/>
      <c r="G2240" s="253"/>
      <c r="H2240" s="253"/>
      <c r="I2240" s="253"/>
      <c r="J2240" s="253"/>
      <c r="K2240" s="253"/>
      <c r="L2240" s="253"/>
      <c r="M2240" s="253"/>
      <c r="N2240" s="253"/>
      <c r="O2240" s="258"/>
      <c r="P2240" s="258"/>
      <c r="Q2240" s="258"/>
      <c r="R2240" s="258"/>
      <c r="S2240" s="258"/>
      <c r="T2240" s="258"/>
      <c r="U2240" s="258"/>
      <c r="V2240" s="258"/>
      <c r="W2240" s="258"/>
      <c r="X2240" s="258"/>
      <c r="Y2240" s="258"/>
      <c r="Z2240" s="258"/>
      <c r="AA2240" s="258"/>
      <c r="AB2240" s="258"/>
      <c r="AC2240" s="407"/>
    </row>
    <row r="2241" spans="2:29" s="406" customFormat="1" ht="16.5" customHeight="1">
      <c r="B2241" s="256"/>
      <c r="C2241" s="256"/>
      <c r="D2241" s="414"/>
      <c r="E2241" s="414"/>
      <c r="F2241" s="414"/>
      <c r="G2241" s="253"/>
      <c r="H2241" s="253"/>
      <c r="I2241" s="253"/>
      <c r="J2241" s="253"/>
      <c r="K2241" s="253"/>
      <c r="L2241" s="253"/>
      <c r="M2241" s="253"/>
      <c r="N2241" s="253"/>
      <c r="O2241" s="258"/>
      <c r="P2241" s="258"/>
      <c r="Q2241" s="258"/>
      <c r="R2241" s="258"/>
      <c r="S2241" s="258"/>
      <c r="T2241" s="258"/>
      <c r="U2241" s="258"/>
      <c r="V2241" s="258"/>
      <c r="W2241" s="258"/>
      <c r="X2241" s="258"/>
      <c r="Y2241" s="258"/>
      <c r="Z2241" s="258"/>
      <c r="AA2241" s="258"/>
      <c r="AB2241" s="258"/>
      <c r="AC2241" s="407"/>
    </row>
    <row r="2242" spans="2:29" s="406" customFormat="1" ht="16.5" customHeight="1">
      <c r="B2242" s="256"/>
      <c r="C2242" s="256"/>
      <c r="D2242" s="414"/>
      <c r="E2242" s="414"/>
      <c r="F2242" s="414"/>
      <c r="G2242" s="253"/>
      <c r="H2242" s="253"/>
      <c r="I2242" s="253"/>
      <c r="J2242" s="253"/>
      <c r="K2242" s="253"/>
      <c r="L2242" s="253"/>
      <c r="M2242" s="253"/>
      <c r="N2242" s="253"/>
      <c r="O2242" s="258"/>
      <c r="P2242" s="258"/>
      <c r="Q2242" s="258"/>
      <c r="R2242" s="258"/>
      <c r="S2242" s="258"/>
      <c r="T2242" s="258"/>
      <c r="U2242" s="258"/>
      <c r="V2242" s="258"/>
      <c r="W2242" s="258"/>
      <c r="X2242" s="258"/>
      <c r="Y2242" s="258"/>
      <c r="Z2242" s="258"/>
      <c r="AA2242" s="258"/>
      <c r="AB2242" s="258"/>
      <c r="AC2242" s="407"/>
    </row>
    <row r="2243" spans="2:29" s="406" customFormat="1" ht="16.5" customHeight="1">
      <c r="B2243" s="256"/>
      <c r="C2243" s="256"/>
      <c r="D2243" s="414"/>
      <c r="E2243" s="414"/>
      <c r="F2243" s="414"/>
      <c r="G2243" s="253"/>
      <c r="H2243" s="253"/>
      <c r="I2243" s="253"/>
      <c r="J2243" s="253"/>
      <c r="K2243" s="253"/>
      <c r="L2243" s="253"/>
      <c r="M2243" s="253"/>
      <c r="N2243" s="253"/>
      <c r="O2243" s="258"/>
      <c r="P2243" s="258"/>
      <c r="Q2243" s="258"/>
      <c r="R2243" s="258"/>
      <c r="S2243" s="258"/>
      <c r="T2243" s="258"/>
      <c r="U2243" s="258"/>
      <c r="V2243" s="258"/>
      <c r="W2243" s="258"/>
      <c r="X2243" s="258"/>
      <c r="Y2243" s="258"/>
      <c r="Z2243" s="258"/>
      <c r="AA2243" s="258"/>
      <c r="AB2243" s="258"/>
      <c r="AC2243" s="407"/>
    </row>
    <row r="2244" spans="2:29" s="406" customFormat="1" ht="16.5" customHeight="1">
      <c r="B2244" s="256"/>
      <c r="C2244" s="256"/>
      <c r="D2244" s="414"/>
      <c r="E2244" s="414"/>
      <c r="F2244" s="414"/>
      <c r="G2244" s="253"/>
      <c r="H2244" s="253"/>
      <c r="I2244" s="253"/>
      <c r="J2244" s="253"/>
      <c r="K2244" s="253"/>
      <c r="L2244" s="253"/>
      <c r="M2244" s="253"/>
      <c r="N2244" s="253"/>
      <c r="O2244" s="258"/>
      <c r="P2244" s="258"/>
      <c r="Q2244" s="258"/>
      <c r="R2244" s="258"/>
      <c r="S2244" s="258"/>
      <c r="T2244" s="258"/>
      <c r="U2244" s="258"/>
      <c r="V2244" s="258"/>
      <c r="W2244" s="258"/>
      <c r="X2244" s="258"/>
      <c r="Y2244" s="258"/>
      <c r="Z2244" s="258"/>
      <c r="AA2244" s="258"/>
      <c r="AB2244" s="258"/>
      <c r="AC2244" s="407"/>
    </row>
    <row r="2245" spans="2:29" s="406" customFormat="1" ht="16.5" customHeight="1">
      <c r="B2245" s="256"/>
      <c r="C2245" s="256"/>
      <c r="D2245" s="414"/>
      <c r="E2245" s="414"/>
      <c r="F2245" s="414"/>
      <c r="G2245" s="253"/>
      <c r="H2245" s="253"/>
      <c r="I2245" s="253"/>
      <c r="J2245" s="253"/>
      <c r="K2245" s="253"/>
      <c r="L2245" s="253"/>
      <c r="M2245" s="253"/>
      <c r="N2245" s="253"/>
      <c r="O2245" s="258"/>
      <c r="P2245" s="258"/>
      <c r="Q2245" s="258"/>
      <c r="R2245" s="258"/>
      <c r="S2245" s="258"/>
      <c r="T2245" s="258"/>
      <c r="U2245" s="258"/>
      <c r="V2245" s="258"/>
      <c r="W2245" s="258"/>
      <c r="X2245" s="258"/>
      <c r="Y2245" s="258"/>
      <c r="Z2245" s="258"/>
      <c r="AA2245" s="258"/>
      <c r="AB2245" s="258"/>
      <c r="AC2245" s="407"/>
    </row>
    <row r="2246" spans="2:29" s="406" customFormat="1" ht="16.5" customHeight="1">
      <c r="B2246" s="256"/>
      <c r="C2246" s="256"/>
      <c r="D2246" s="414"/>
      <c r="E2246" s="414"/>
      <c r="F2246" s="414"/>
      <c r="G2246" s="253"/>
      <c r="H2246" s="253"/>
      <c r="I2246" s="253"/>
      <c r="J2246" s="253"/>
      <c r="K2246" s="253"/>
      <c r="L2246" s="253"/>
      <c r="M2246" s="253"/>
      <c r="N2246" s="253"/>
      <c r="O2246" s="258"/>
      <c r="P2246" s="258"/>
      <c r="Q2246" s="258"/>
      <c r="R2246" s="258"/>
      <c r="S2246" s="258"/>
      <c r="T2246" s="258"/>
      <c r="U2246" s="258"/>
      <c r="V2246" s="258"/>
      <c r="W2246" s="258"/>
      <c r="X2246" s="258"/>
      <c r="Y2246" s="258"/>
      <c r="Z2246" s="258"/>
      <c r="AA2246" s="258"/>
      <c r="AB2246" s="258"/>
      <c r="AC2246" s="407"/>
    </row>
    <row r="2247" spans="2:29" s="406" customFormat="1" ht="16.5" customHeight="1">
      <c r="B2247" s="256"/>
      <c r="C2247" s="256"/>
      <c r="D2247" s="414"/>
      <c r="E2247" s="414"/>
      <c r="F2247" s="414"/>
      <c r="G2247" s="253"/>
      <c r="H2247" s="253"/>
      <c r="I2247" s="253"/>
      <c r="J2247" s="253"/>
      <c r="K2247" s="253"/>
      <c r="L2247" s="253"/>
      <c r="M2247" s="253"/>
      <c r="N2247" s="253"/>
      <c r="O2247" s="258"/>
      <c r="P2247" s="258"/>
      <c r="Q2247" s="258"/>
      <c r="R2247" s="258"/>
      <c r="S2247" s="258"/>
      <c r="T2247" s="258"/>
      <c r="U2247" s="258"/>
      <c r="V2247" s="258"/>
      <c r="W2247" s="258"/>
      <c r="X2247" s="258"/>
      <c r="Y2247" s="258"/>
      <c r="Z2247" s="258"/>
      <c r="AA2247" s="258"/>
      <c r="AB2247" s="258"/>
      <c r="AC2247" s="407"/>
    </row>
    <row r="2248" spans="2:29" s="406" customFormat="1" ht="16.5" customHeight="1">
      <c r="B2248" s="256"/>
      <c r="C2248" s="256"/>
      <c r="D2248" s="414"/>
      <c r="E2248" s="414"/>
      <c r="F2248" s="414"/>
      <c r="G2248" s="253"/>
      <c r="H2248" s="253"/>
      <c r="I2248" s="253"/>
      <c r="J2248" s="253"/>
      <c r="K2248" s="253"/>
      <c r="L2248" s="253"/>
      <c r="M2248" s="253"/>
      <c r="N2248" s="253"/>
      <c r="O2248" s="258"/>
      <c r="P2248" s="258"/>
      <c r="Q2248" s="258"/>
      <c r="R2248" s="258"/>
      <c r="S2248" s="258"/>
      <c r="T2248" s="258"/>
      <c r="U2248" s="258"/>
      <c r="V2248" s="258"/>
      <c r="W2248" s="258"/>
      <c r="X2248" s="258"/>
      <c r="Y2248" s="258"/>
      <c r="Z2248" s="258"/>
      <c r="AA2248" s="258"/>
      <c r="AB2248" s="258"/>
      <c r="AC2248" s="407"/>
    </row>
    <row r="2249" spans="2:29" s="406" customFormat="1" ht="16.5" customHeight="1">
      <c r="B2249" s="256"/>
      <c r="C2249" s="256"/>
      <c r="D2249" s="414"/>
      <c r="E2249" s="414"/>
      <c r="F2249" s="414"/>
      <c r="G2249" s="253"/>
      <c r="H2249" s="253"/>
      <c r="I2249" s="253"/>
      <c r="J2249" s="253"/>
      <c r="K2249" s="253"/>
      <c r="L2249" s="253"/>
      <c r="M2249" s="253"/>
      <c r="N2249" s="253"/>
      <c r="O2249" s="258"/>
      <c r="P2249" s="258"/>
      <c r="Q2249" s="258"/>
      <c r="R2249" s="258"/>
      <c r="S2249" s="258"/>
      <c r="T2249" s="258"/>
      <c r="U2249" s="258"/>
      <c r="V2249" s="258"/>
      <c r="W2249" s="258"/>
      <c r="X2249" s="258"/>
      <c r="Y2249" s="258"/>
      <c r="Z2249" s="258"/>
      <c r="AA2249" s="258"/>
      <c r="AB2249" s="258"/>
      <c r="AC2249" s="407"/>
    </row>
    <row r="2250" spans="2:29" s="406" customFormat="1" ht="16.5" customHeight="1">
      <c r="B2250" s="256"/>
      <c r="C2250" s="256"/>
      <c r="D2250" s="414"/>
      <c r="E2250" s="414"/>
      <c r="F2250" s="414"/>
      <c r="G2250" s="253"/>
      <c r="H2250" s="253"/>
      <c r="I2250" s="253"/>
      <c r="J2250" s="253"/>
      <c r="K2250" s="253"/>
      <c r="L2250" s="253"/>
      <c r="M2250" s="253"/>
      <c r="N2250" s="253"/>
      <c r="O2250" s="258"/>
      <c r="P2250" s="258"/>
      <c r="Q2250" s="258"/>
      <c r="R2250" s="258"/>
      <c r="S2250" s="258"/>
      <c r="T2250" s="258"/>
      <c r="U2250" s="258"/>
      <c r="V2250" s="258"/>
      <c r="W2250" s="258"/>
      <c r="X2250" s="258"/>
      <c r="Y2250" s="258"/>
      <c r="Z2250" s="258"/>
      <c r="AA2250" s="258"/>
      <c r="AB2250" s="258"/>
      <c r="AC2250" s="407"/>
    </row>
    <row r="2251" spans="2:29" s="406" customFormat="1" ht="16.5" customHeight="1">
      <c r="B2251" s="256"/>
      <c r="C2251" s="256"/>
      <c r="D2251" s="414"/>
      <c r="E2251" s="414"/>
      <c r="F2251" s="414"/>
      <c r="G2251" s="253"/>
      <c r="H2251" s="253"/>
      <c r="I2251" s="253"/>
      <c r="J2251" s="253"/>
      <c r="K2251" s="253"/>
      <c r="L2251" s="253"/>
      <c r="M2251" s="253"/>
      <c r="N2251" s="253"/>
      <c r="O2251" s="258"/>
      <c r="P2251" s="258"/>
      <c r="Q2251" s="258"/>
      <c r="R2251" s="258"/>
      <c r="S2251" s="258"/>
      <c r="T2251" s="258"/>
      <c r="U2251" s="258"/>
      <c r="V2251" s="258"/>
      <c r="W2251" s="258"/>
      <c r="X2251" s="258"/>
      <c r="Y2251" s="258"/>
      <c r="Z2251" s="258"/>
      <c r="AA2251" s="258"/>
      <c r="AB2251" s="258"/>
      <c r="AC2251" s="407"/>
    </row>
    <row r="2252" spans="2:29" s="406" customFormat="1" ht="16.5" customHeight="1">
      <c r="B2252" s="256"/>
      <c r="C2252" s="256"/>
      <c r="D2252" s="414"/>
      <c r="E2252" s="414"/>
      <c r="F2252" s="414"/>
      <c r="G2252" s="253"/>
      <c r="H2252" s="253"/>
      <c r="I2252" s="253"/>
      <c r="J2252" s="253"/>
      <c r="K2252" s="253"/>
      <c r="L2252" s="253"/>
      <c r="M2252" s="253"/>
      <c r="N2252" s="253"/>
      <c r="O2252" s="258"/>
      <c r="P2252" s="258"/>
      <c r="Q2252" s="258"/>
      <c r="R2252" s="258"/>
      <c r="S2252" s="258"/>
      <c r="T2252" s="258"/>
      <c r="U2252" s="258"/>
      <c r="V2252" s="258"/>
      <c r="W2252" s="258"/>
      <c r="X2252" s="258"/>
      <c r="Y2252" s="258"/>
      <c r="Z2252" s="258"/>
      <c r="AA2252" s="258"/>
      <c r="AB2252" s="258"/>
      <c r="AC2252" s="407"/>
    </row>
    <row r="2253" spans="2:29" s="406" customFormat="1" ht="16.5" customHeight="1">
      <c r="B2253" s="256"/>
      <c r="C2253" s="256"/>
      <c r="D2253" s="414"/>
      <c r="E2253" s="414"/>
      <c r="F2253" s="414"/>
      <c r="G2253" s="253"/>
      <c r="H2253" s="253"/>
      <c r="I2253" s="253"/>
      <c r="J2253" s="253"/>
      <c r="K2253" s="253"/>
      <c r="L2253" s="253"/>
      <c r="M2253" s="253"/>
      <c r="N2253" s="253"/>
      <c r="O2253" s="258"/>
      <c r="P2253" s="258"/>
      <c r="Q2253" s="258"/>
      <c r="R2253" s="258"/>
      <c r="S2253" s="258"/>
      <c r="T2253" s="258"/>
      <c r="U2253" s="258"/>
      <c r="V2253" s="258"/>
      <c r="W2253" s="258"/>
      <c r="X2253" s="258"/>
      <c r="Y2253" s="258"/>
      <c r="Z2253" s="258"/>
      <c r="AA2253" s="258"/>
      <c r="AB2253" s="258"/>
      <c r="AC2253" s="407"/>
    </row>
    <row r="2254" spans="2:29" s="406" customFormat="1" ht="16.5" customHeight="1">
      <c r="B2254" s="256"/>
      <c r="C2254" s="256"/>
      <c r="D2254" s="414"/>
      <c r="E2254" s="414"/>
      <c r="F2254" s="414"/>
      <c r="G2254" s="253"/>
      <c r="H2254" s="253"/>
      <c r="I2254" s="253"/>
      <c r="J2254" s="253"/>
      <c r="K2254" s="253"/>
      <c r="L2254" s="253"/>
      <c r="M2254" s="253"/>
      <c r="N2254" s="253"/>
      <c r="O2254" s="258"/>
      <c r="P2254" s="258"/>
      <c r="Q2254" s="258"/>
      <c r="R2254" s="258"/>
      <c r="S2254" s="258"/>
      <c r="T2254" s="258"/>
      <c r="U2254" s="258"/>
      <c r="V2254" s="258"/>
      <c r="W2254" s="258"/>
      <c r="X2254" s="258"/>
      <c r="Y2254" s="258"/>
      <c r="Z2254" s="258"/>
      <c r="AA2254" s="258"/>
      <c r="AB2254" s="258"/>
      <c r="AC2254" s="407"/>
    </row>
    <row r="2255" spans="2:29" s="406" customFormat="1" ht="16.5" customHeight="1">
      <c r="B2255" s="256"/>
      <c r="C2255" s="256"/>
      <c r="D2255" s="414"/>
      <c r="E2255" s="414"/>
      <c r="F2255" s="414"/>
      <c r="G2255" s="253"/>
      <c r="H2255" s="253"/>
      <c r="I2255" s="253"/>
      <c r="J2255" s="253"/>
      <c r="K2255" s="253"/>
      <c r="L2255" s="253"/>
      <c r="M2255" s="253"/>
      <c r="N2255" s="253"/>
      <c r="O2255" s="258"/>
      <c r="P2255" s="258"/>
      <c r="Q2255" s="258"/>
      <c r="R2255" s="258"/>
      <c r="S2255" s="258"/>
      <c r="T2255" s="258"/>
      <c r="U2255" s="258"/>
      <c r="V2255" s="258"/>
      <c r="W2255" s="258"/>
      <c r="X2255" s="258"/>
      <c r="Y2255" s="258"/>
      <c r="Z2255" s="258"/>
      <c r="AA2255" s="258"/>
      <c r="AB2255" s="258"/>
      <c r="AC2255" s="407"/>
    </row>
    <row r="2256" spans="2:29" s="406" customFormat="1" ht="16.5" customHeight="1">
      <c r="B2256" s="256"/>
      <c r="C2256" s="256"/>
      <c r="D2256" s="414"/>
      <c r="E2256" s="414"/>
      <c r="F2256" s="414"/>
      <c r="G2256" s="253"/>
      <c r="H2256" s="253"/>
      <c r="I2256" s="253"/>
      <c r="J2256" s="253"/>
      <c r="K2256" s="253"/>
      <c r="L2256" s="253"/>
      <c r="M2256" s="253"/>
      <c r="N2256" s="253"/>
      <c r="O2256" s="258"/>
      <c r="P2256" s="258"/>
      <c r="Q2256" s="258"/>
      <c r="R2256" s="258"/>
      <c r="S2256" s="258"/>
      <c r="T2256" s="258"/>
      <c r="U2256" s="258"/>
      <c r="V2256" s="258"/>
      <c r="W2256" s="258"/>
      <c r="X2256" s="258"/>
      <c r="Y2256" s="258"/>
      <c r="Z2256" s="258"/>
      <c r="AA2256" s="258"/>
      <c r="AB2256" s="258"/>
      <c r="AC2256" s="407"/>
    </row>
    <row r="2257" spans="2:29" s="406" customFormat="1" ht="16.5" customHeight="1">
      <c r="B2257" s="256"/>
      <c r="C2257" s="256"/>
      <c r="D2257" s="414"/>
      <c r="E2257" s="414"/>
      <c r="F2257" s="414"/>
      <c r="G2257" s="253"/>
      <c r="H2257" s="253"/>
      <c r="I2257" s="253"/>
      <c r="J2257" s="253"/>
      <c r="K2257" s="253"/>
      <c r="L2257" s="253"/>
      <c r="M2257" s="253"/>
      <c r="N2257" s="253"/>
      <c r="O2257" s="258"/>
      <c r="P2257" s="258"/>
      <c r="Q2257" s="258"/>
      <c r="R2257" s="258"/>
      <c r="S2257" s="258"/>
      <c r="T2257" s="258"/>
      <c r="U2257" s="258"/>
      <c r="V2257" s="258"/>
      <c r="W2257" s="258"/>
      <c r="X2257" s="258"/>
      <c r="Y2257" s="258"/>
      <c r="Z2257" s="258"/>
      <c r="AA2257" s="258"/>
      <c r="AB2257" s="258"/>
      <c r="AC2257" s="407"/>
    </row>
    <row r="2258" spans="2:29" s="406" customFormat="1" ht="16.5" customHeight="1">
      <c r="B2258" s="256"/>
      <c r="C2258" s="256"/>
      <c r="D2258" s="414"/>
      <c r="E2258" s="414"/>
      <c r="F2258" s="414"/>
      <c r="G2258" s="253"/>
      <c r="H2258" s="253"/>
      <c r="I2258" s="253"/>
      <c r="J2258" s="253"/>
      <c r="K2258" s="253"/>
      <c r="L2258" s="253"/>
      <c r="M2258" s="253"/>
      <c r="N2258" s="253"/>
      <c r="O2258" s="258"/>
      <c r="P2258" s="258"/>
      <c r="Q2258" s="258"/>
      <c r="R2258" s="258"/>
      <c r="S2258" s="258"/>
      <c r="T2258" s="258"/>
      <c r="U2258" s="258"/>
      <c r="V2258" s="258"/>
      <c r="W2258" s="258"/>
      <c r="X2258" s="258"/>
      <c r="Y2258" s="258"/>
      <c r="Z2258" s="258"/>
      <c r="AA2258" s="258"/>
      <c r="AB2258" s="258"/>
      <c r="AC2258" s="407"/>
    </row>
    <row r="2259" spans="2:29" s="406" customFormat="1" ht="16.5" customHeight="1">
      <c r="B2259" s="256"/>
      <c r="C2259" s="256"/>
      <c r="D2259" s="414"/>
      <c r="E2259" s="414"/>
      <c r="F2259" s="414"/>
      <c r="G2259" s="253"/>
      <c r="H2259" s="253"/>
      <c r="I2259" s="253"/>
      <c r="J2259" s="253"/>
      <c r="K2259" s="253"/>
      <c r="L2259" s="253"/>
      <c r="M2259" s="253"/>
      <c r="N2259" s="253"/>
      <c r="O2259" s="258"/>
      <c r="P2259" s="258"/>
      <c r="Q2259" s="258"/>
      <c r="R2259" s="258"/>
      <c r="S2259" s="258"/>
      <c r="T2259" s="258"/>
      <c r="U2259" s="258"/>
      <c r="V2259" s="258"/>
      <c r="W2259" s="258"/>
      <c r="X2259" s="258"/>
      <c r="Y2259" s="258"/>
      <c r="Z2259" s="258"/>
      <c r="AA2259" s="258"/>
      <c r="AB2259" s="258"/>
      <c r="AC2259" s="407"/>
    </row>
    <row r="2260" spans="2:29" s="406" customFormat="1" ht="16.5" customHeight="1">
      <c r="B2260" s="256"/>
      <c r="C2260" s="256"/>
      <c r="D2260" s="414"/>
      <c r="E2260" s="414"/>
      <c r="F2260" s="414"/>
      <c r="G2260" s="253"/>
      <c r="H2260" s="253"/>
      <c r="I2260" s="253"/>
      <c r="J2260" s="253"/>
      <c r="K2260" s="253"/>
      <c r="L2260" s="253"/>
      <c r="M2260" s="253"/>
      <c r="N2260" s="253"/>
      <c r="O2260" s="258"/>
      <c r="P2260" s="258"/>
      <c r="Q2260" s="258"/>
      <c r="R2260" s="258"/>
      <c r="S2260" s="258"/>
      <c r="T2260" s="258"/>
      <c r="U2260" s="258"/>
      <c r="V2260" s="258"/>
      <c r="W2260" s="258"/>
      <c r="X2260" s="258"/>
      <c r="Y2260" s="258"/>
      <c r="Z2260" s="258"/>
      <c r="AA2260" s="258"/>
      <c r="AB2260" s="258"/>
      <c r="AC2260" s="407"/>
    </row>
    <row r="2261" spans="2:29" s="406" customFormat="1" ht="16.5" customHeight="1">
      <c r="B2261" s="256"/>
      <c r="C2261" s="256"/>
      <c r="D2261" s="414"/>
      <c r="E2261" s="414"/>
      <c r="F2261" s="414"/>
      <c r="G2261" s="253"/>
      <c r="H2261" s="253"/>
      <c r="I2261" s="253"/>
      <c r="J2261" s="253"/>
      <c r="K2261" s="253"/>
      <c r="L2261" s="253"/>
      <c r="M2261" s="253"/>
      <c r="N2261" s="253"/>
      <c r="O2261" s="258"/>
      <c r="P2261" s="258"/>
      <c r="Q2261" s="258"/>
      <c r="R2261" s="258"/>
      <c r="S2261" s="258"/>
      <c r="T2261" s="258"/>
      <c r="U2261" s="258"/>
      <c r="V2261" s="258"/>
      <c r="W2261" s="258"/>
      <c r="X2261" s="258"/>
      <c r="Y2261" s="258"/>
      <c r="Z2261" s="258"/>
      <c r="AA2261" s="258"/>
      <c r="AB2261" s="258"/>
      <c r="AC2261" s="407"/>
    </row>
    <row r="2262" spans="2:29" s="406" customFormat="1" ht="16.5" customHeight="1">
      <c r="B2262" s="256"/>
      <c r="C2262" s="256"/>
      <c r="D2262" s="414"/>
      <c r="E2262" s="414"/>
      <c r="F2262" s="414"/>
      <c r="G2262" s="253"/>
      <c r="H2262" s="253"/>
      <c r="I2262" s="253"/>
      <c r="J2262" s="253"/>
      <c r="K2262" s="253"/>
      <c r="L2262" s="253"/>
      <c r="M2262" s="253"/>
      <c r="N2262" s="253"/>
      <c r="O2262" s="258"/>
      <c r="P2262" s="258"/>
      <c r="Q2262" s="258"/>
      <c r="R2262" s="258"/>
      <c r="S2262" s="258"/>
      <c r="T2262" s="258"/>
      <c r="U2262" s="258"/>
      <c r="V2262" s="258"/>
      <c r="W2262" s="258"/>
      <c r="X2262" s="258"/>
      <c r="Y2262" s="258"/>
      <c r="Z2262" s="258"/>
      <c r="AA2262" s="258"/>
      <c r="AB2262" s="258"/>
      <c r="AC2262" s="407"/>
    </row>
    <row r="2263" spans="2:29" s="406" customFormat="1" ht="16.5" customHeight="1">
      <c r="B2263" s="256"/>
      <c r="C2263" s="256"/>
      <c r="D2263" s="414"/>
      <c r="E2263" s="414"/>
      <c r="F2263" s="414"/>
      <c r="G2263" s="253"/>
      <c r="H2263" s="253"/>
      <c r="I2263" s="253"/>
      <c r="J2263" s="253"/>
      <c r="K2263" s="253"/>
      <c r="L2263" s="253"/>
      <c r="M2263" s="253"/>
      <c r="N2263" s="253"/>
      <c r="O2263" s="258"/>
      <c r="P2263" s="258"/>
      <c r="Q2263" s="258"/>
      <c r="R2263" s="258"/>
      <c r="S2263" s="258"/>
      <c r="T2263" s="258"/>
      <c r="U2263" s="258"/>
      <c r="V2263" s="258"/>
      <c r="W2263" s="258"/>
      <c r="X2263" s="258"/>
      <c r="Y2263" s="258"/>
      <c r="Z2263" s="258"/>
      <c r="AA2263" s="258"/>
      <c r="AB2263" s="258"/>
      <c r="AC2263" s="407"/>
    </row>
    <row r="2264" spans="2:29" s="406" customFormat="1" ht="16.5" customHeight="1">
      <c r="B2264" s="256"/>
      <c r="C2264" s="256"/>
      <c r="D2264" s="414"/>
      <c r="E2264" s="414"/>
      <c r="F2264" s="414"/>
      <c r="G2264" s="253"/>
      <c r="H2264" s="253"/>
      <c r="I2264" s="253"/>
      <c r="J2264" s="253"/>
      <c r="K2264" s="253"/>
      <c r="L2264" s="253"/>
      <c r="M2264" s="253"/>
      <c r="N2264" s="253"/>
      <c r="O2264" s="258"/>
      <c r="P2264" s="258"/>
      <c r="Q2264" s="258"/>
      <c r="R2264" s="258"/>
      <c r="S2264" s="258"/>
      <c r="T2264" s="258"/>
      <c r="U2264" s="258"/>
      <c r="V2264" s="258"/>
      <c r="W2264" s="258"/>
      <c r="X2264" s="258"/>
      <c r="Y2264" s="258"/>
      <c r="Z2264" s="258"/>
      <c r="AA2264" s="258"/>
      <c r="AB2264" s="258"/>
      <c r="AC2264" s="407"/>
    </row>
    <row r="2265" spans="2:29" s="406" customFormat="1" ht="16.5" customHeight="1">
      <c r="B2265" s="256"/>
      <c r="C2265" s="256"/>
      <c r="D2265" s="414"/>
      <c r="E2265" s="414"/>
      <c r="F2265" s="414"/>
      <c r="G2265" s="253"/>
      <c r="H2265" s="253"/>
      <c r="I2265" s="253"/>
      <c r="J2265" s="253"/>
      <c r="K2265" s="253"/>
      <c r="L2265" s="253"/>
      <c r="M2265" s="253"/>
      <c r="N2265" s="253"/>
      <c r="O2265" s="258"/>
      <c r="P2265" s="258"/>
      <c r="Q2265" s="258"/>
      <c r="R2265" s="258"/>
      <c r="S2265" s="258"/>
      <c r="T2265" s="258"/>
      <c r="U2265" s="258"/>
      <c r="V2265" s="258"/>
      <c r="W2265" s="258"/>
      <c r="X2265" s="258"/>
      <c r="Y2265" s="258"/>
      <c r="Z2265" s="258"/>
      <c r="AA2265" s="258"/>
      <c r="AB2265" s="258"/>
      <c r="AC2265" s="407"/>
    </row>
    <row r="2266" spans="2:29" s="406" customFormat="1" ht="16.5" customHeight="1">
      <c r="B2266" s="256"/>
      <c r="C2266" s="256"/>
      <c r="D2266" s="414"/>
      <c r="E2266" s="414"/>
      <c r="F2266" s="414"/>
      <c r="G2266" s="253"/>
      <c r="H2266" s="253"/>
      <c r="I2266" s="253"/>
      <c r="J2266" s="253"/>
      <c r="K2266" s="253"/>
      <c r="L2266" s="253"/>
      <c r="M2266" s="253"/>
      <c r="N2266" s="253"/>
      <c r="O2266" s="258"/>
      <c r="P2266" s="258"/>
      <c r="Q2266" s="258"/>
      <c r="R2266" s="258"/>
      <c r="S2266" s="258"/>
      <c r="T2266" s="258"/>
      <c r="U2266" s="258"/>
      <c r="V2266" s="258"/>
      <c r="W2266" s="258"/>
      <c r="X2266" s="258"/>
      <c r="Y2266" s="258"/>
      <c r="Z2266" s="258"/>
      <c r="AA2266" s="258"/>
      <c r="AB2266" s="258"/>
      <c r="AC2266" s="407"/>
    </row>
    <row r="2267" spans="2:29" s="406" customFormat="1" ht="16.5" customHeight="1">
      <c r="B2267" s="256"/>
      <c r="C2267" s="256"/>
      <c r="D2267" s="414"/>
      <c r="E2267" s="414"/>
      <c r="F2267" s="414"/>
      <c r="G2267" s="253"/>
      <c r="H2267" s="253"/>
      <c r="I2267" s="253"/>
      <c r="J2267" s="253"/>
      <c r="K2267" s="253"/>
      <c r="L2267" s="253"/>
      <c r="M2267" s="253"/>
      <c r="N2267" s="253"/>
      <c r="O2267" s="258"/>
      <c r="P2267" s="258"/>
      <c r="Q2267" s="258"/>
      <c r="R2267" s="258"/>
      <c r="S2267" s="258"/>
      <c r="T2267" s="258"/>
      <c r="U2267" s="258"/>
      <c r="V2267" s="258"/>
      <c r="W2267" s="258"/>
      <c r="X2267" s="258"/>
      <c r="Y2267" s="258"/>
      <c r="Z2267" s="258"/>
      <c r="AA2267" s="258"/>
      <c r="AB2267" s="258"/>
      <c r="AC2267" s="407"/>
    </row>
    <row r="2268" spans="2:29" s="406" customFormat="1" ht="16.5" customHeight="1">
      <c r="B2268" s="256"/>
      <c r="C2268" s="256"/>
      <c r="D2268" s="414"/>
      <c r="E2268" s="414"/>
      <c r="F2268" s="414"/>
      <c r="G2268" s="253"/>
      <c r="H2268" s="253"/>
      <c r="I2268" s="253"/>
      <c r="J2268" s="253"/>
      <c r="K2268" s="253"/>
      <c r="L2268" s="253"/>
      <c r="M2268" s="253"/>
      <c r="N2268" s="253"/>
      <c r="O2268" s="258"/>
      <c r="P2268" s="258"/>
      <c r="Q2268" s="258"/>
      <c r="R2268" s="258"/>
      <c r="S2268" s="258"/>
      <c r="T2268" s="258"/>
      <c r="U2268" s="258"/>
      <c r="V2268" s="258"/>
      <c r="W2268" s="258"/>
      <c r="X2268" s="258"/>
      <c r="Y2268" s="258"/>
      <c r="Z2268" s="258"/>
      <c r="AA2268" s="258"/>
      <c r="AB2268" s="258"/>
      <c r="AC2268" s="407"/>
    </row>
    <row r="2269" spans="2:29" s="406" customFormat="1" ht="16.5" customHeight="1">
      <c r="B2269" s="256"/>
      <c r="C2269" s="256"/>
      <c r="D2269" s="414"/>
      <c r="E2269" s="414"/>
      <c r="F2269" s="414"/>
      <c r="G2269" s="253"/>
      <c r="H2269" s="253"/>
      <c r="I2269" s="253"/>
      <c r="J2269" s="253"/>
      <c r="K2269" s="253"/>
      <c r="L2269" s="253"/>
      <c r="M2269" s="253"/>
      <c r="N2269" s="253"/>
      <c r="O2269" s="258"/>
      <c r="P2269" s="258"/>
      <c r="Q2269" s="258"/>
      <c r="R2269" s="258"/>
      <c r="S2269" s="258"/>
      <c r="T2269" s="258"/>
      <c r="U2269" s="258"/>
      <c r="V2269" s="258"/>
      <c r="W2269" s="258"/>
      <c r="X2269" s="258"/>
      <c r="Y2269" s="258"/>
      <c r="Z2269" s="258"/>
      <c r="AA2269" s="258"/>
      <c r="AB2269" s="258"/>
      <c r="AC2269" s="407"/>
    </row>
    <row r="2270" spans="2:29" s="406" customFormat="1" ht="16.5" customHeight="1">
      <c r="B2270" s="256"/>
      <c r="C2270" s="256"/>
      <c r="D2270" s="414"/>
      <c r="E2270" s="414"/>
      <c r="F2270" s="414"/>
      <c r="G2270" s="253"/>
      <c r="H2270" s="253"/>
      <c r="I2270" s="253"/>
      <c r="J2270" s="253"/>
      <c r="K2270" s="253"/>
      <c r="L2270" s="253"/>
      <c r="M2270" s="253"/>
      <c r="N2270" s="253"/>
      <c r="O2270" s="258"/>
      <c r="P2270" s="258"/>
      <c r="Q2270" s="258"/>
      <c r="R2270" s="258"/>
      <c r="S2270" s="258"/>
      <c r="T2270" s="258"/>
      <c r="U2270" s="258"/>
      <c r="V2270" s="258"/>
      <c r="W2270" s="258"/>
      <c r="X2270" s="258"/>
      <c r="Y2270" s="258"/>
      <c r="Z2270" s="258"/>
      <c r="AA2270" s="258"/>
      <c r="AB2270" s="258"/>
      <c r="AC2270" s="407"/>
    </row>
    <row r="2271" spans="2:29" s="406" customFormat="1" ht="16.5" customHeight="1">
      <c r="B2271" s="256"/>
      <c r="C2271" s="256"/>
      <c r="D2271" s="414"/>
      <c r="E2271" s="414"/>
      <c r="F2271" s="414"/>
      <c r="G2271" s="253"/>
      <c r="H2271" s="253"/>
      <c r="I2271" s="253"/>
      <c r="J2271" s="253"/>
      <c r="K2271" s="253"/>
      <c r="L2271" s="253"/>
      <c r="M2271" s="253"/>
      <c r="N2271" s="253"/>
      <c r="O2271" s="258"/>
      <c r="P2271" s="258"/>
      <c r="Q2271" s="258"/>
      <c r="R2271" s="258"/>
      <c r="S2271" s="258"/>
      <c r="T2271" s="258"/>
      <c r="U2271" s="258"/>
      <c r="V2271" s="258"/>
      <c r="W2271" s="258"/>
      <c r="X2271" s="258"/>
      <c r="Y2271" s="258"/>
      <c r="Z2271" s="258"/>
      <c r="AA2271" s="258"/>
      <c r="AB2271" s="258"/>
      <c r="AC2271" s="407"/>
    </row>
    <row r="2272" spans="2:29" s="406" customFormat="1" ht="16.5" customHeight="1">
      <c r="B2272" s="256"/>
      <c r="C2272" s="256"/>
      <c r="D2272" s="414"/>
      <c r="E2272" s="414"/>
      <c r="F2272" s="414"/>
      <c r="G2272" s="253"/>
      <c r="H2272" s="253"/>
      <c r="I2272" s="253"/>
      <c r="J2272" s="253"/>
      <c r="K2272" s="253"/>
      <c r="L2272" s="253"/>
      <c r="M2272" s="253"/>
      <c r="N2272" s="253"/>
      <c r="O2272" s="258"/>
      <c r="P2272" s="258"/>
      <c r="Q2272" s="258"/>
      <c r="R2272" s="258"/>
      <c r="S2272" s="258"/>
      <c r="T2272" s="258"/>
      <c r="U2272" s="258"/>
      <c r="V2272" s="258"/>
      <c r="W2272" s="258"/>
      <c r="X2272" s="258"/>
      <c r="Y2272" s="258"/>
      <c r="Z2272" s="258"/>
      <c r="AA2272" s="258"/>
      <c r="AB2272" s="258"/>
      <c r="AC2272" s="407"/>
    </row>
    <row r="2273" spans="2:29" s="406" customFormat="1" ht="16.5" customHeight="1">
      <c r="B2273" s="256"/>
      <c r="C2273" s="256"/>
      <c r="D2273" s="414"/>
      <c r="E2273" s="414"/>
      <c r="F2273" s="414"/>
      <c r="G2273" s="253"/>
      <c r="H2273" s="253"/>
      <c r="I2273" s="253"/>
      <c r="J2273" s="253"/>
      <c r="K2273" s="253"/>
      <c r="L2273" s="253"/>
      <c r="M2273" s="253"/>
      <c r="N2273" s="253"/>
      <c r="O2273" s="258"/>
      <c r="P2273" s="258"/>
      <c r="Q2273" s="258"/>
      <c r="R2273" s="258"/>
      <c r="S2273" s="258"/>
      <c r="T2273" s="258"/>
      <c r="U2273" s="258"/>
      <c r="V2273" s="258"/>
      <c r="W2273" s="258"/>
      <c r="X2273" s="258"/>
      <c r="Y2273" s="258"/>
      <c r="Z2273" s="258"/>
      <c r="AA2273" s="258"/>
      <c r="AB2273" s="258"/>
      <c r="AC2273" s="407"/>
    </row>
    <row r="2274" spans="2:29" s="406" customFormat="1" ht="16.5" customHeight="1">
      <c r="B2274" s="256"/>
      <c r="C2274" s="256"/>
      <c r="D2274" s="414"/>
      <c r="E2274" s="414"/>
      <c r="F2274" s="414"/>
      <c r="G2274" s="253"/>
      <c r="H2274" s="253"/>
      <c r="I2274" s="253"/>
      <c r="J2274" s="253"/>
      <c r="K2274" s="253"/>
      <c r="L2274" s="253"/>
      <c r="M2274" s="253"/>
      <c r="N2274" s="253"/>
      <c r="O2274" s="258"/>
      <c r="P2274" s="258"/>
      <c r="Q2274" s="258"/>
      <c r="R2274" s="258"/>
      <c r="S2274" s="258"/>
      <c r="T2274" s="258"/>
      <c r="U2274" s="258"/>
      <c r="V2274" s="258"/>
      <c r="W2274" s="258"/>
      <c r="X2274" s="258"/>
      <c r="Y2274" s="258"/>
      <c r="Z2274" s="258"/>
      <c r="AA2274" s="258"/>
      <c r="AB2274" s="258"/>
      <c r="AC2274" s="407"/>
    </row>
    <row r="2275" spans="2:29" s="406" customFormat="1" ht="16.5" customHeight="1">
      <c r="B2275" s="256"/>
      <c r="C2275" s="256"/>
      <c r="D2275" s="414"/>
      <c r="E2275" s="414"/>
      <c r="F2275" s="414"/>
      <c r="G2275" s="253"/>
      <c r="H2275" s="253"/>
      <c r="I2275" s="253"/>
      <c r="J2275" s="253"/>
      <c r="K2275" s="253"/>
      <c r="L2275" s="253"/>
      <c r="M2275" s="253"/>
      <c r="N2275" s="253"/>
      <c r="O2275" s="258"/>
      <c r="P2275" s="258"/>
      <c r="Q2275" s="258"/>
      <c r="R2275" s="258"/>
      <c r="S2275" s="258"/>
      <c r="T2275" s="258"/>
      <c r="U2275" s="258"/>
      <c r="V2275" s="258"/>
      <c r="W2275" s="258"/>
      <c r="X2275" s="258"/>
      <c r="Y2275" s="258"/>
      <c r="Z2275" s="258"/>
      <c r="AA2275" s="258"/>
      <c r="AB2275" s="258"/>
      <c r="AC2275" s="407"/>
    </row>
    <row r="2276" spans="2:29" s="406" customFormat="1" ht="16.5" customHeight="1">
      <c r="B2276" s="256"/>
      <c r="C2276" s="256"/>
      <c r="D2276" s="414"/>
      <c r="E2276" s="414"/>
      <c r="F2276" s="414"/>
      <c r="G2276" s="253"/>
      <c r="H2276" s="253"/>
      <c r="I2276" s="253"/>
      <c r="J2276" s="253"/>
      <c r="K2276" s="253"/>
      <c r="L2276" s="253"/>
      <c r="M2276" s="253"/>
      <c r="N2276" s="253"/>
      <c r="O2276" s="258"/>
      <c r="P2276" s="258"/>
      <c r="Q2276" s="258"/>
      <c r="R2276" s="258"/>
      <c r="S2276" s="258"/>
      <c r="T2276" s="258"/>
      <c r="U2276" s="258"/>
      <c r="V2276" s="258"/>
      <c r="W2276" s="258"/>
      <c r="X2276" s="258"/>
      <c r="Y2276" s="258"/>
      <c r="Z2276" s="258"/>
      <c r="AA2276" s="258"/>
      <c r="AB2276" s="258"/>
      <c r="AC2276" s="407"/>
    </row>
    <row r="2277" spans="2:29" s="406" customFormat="1" ht="16.5" customHeight="1">
      <c r="B2277" s="256"/>
      <c r="C2277" s="256"/>
      <c r="D2277" s="414"/>
      <c r="E2277" s="414"/>
      <c r="F2277" s="414"/>
      <c r="G2277" s="253"/>
      <c r="H2277" s="253"/>
      <c r="I2277" s="253"/>
      <c r="J2277" s="253"/>
      <c r="K2277" s="253"/>
      <c r="L2277" s="253"/>
      <c r="M2277" s="253"/>
      <c r="N2277" s="253"/>
      <c r="O2277" s="258"/>
      <c r="P2277" s="258"/>
      <c r="Q2277" s="258"/>
      <c r="R2277" s="258"/>
      <c r="S2277" s="258"/>
      <c r="T2277" s="258"/>
      <c r="U2277" s="258"/>
      <c r="V2277" s="258"/>
      <c r="W2277" s="258"/>
      <c r="X2277" s="258"/>
      <c r="Y2277" s="258"/>
      <c r="Z2277" s="258"/>
      <c r="AA2277" s="258"/>
      <c r="AB2277" s="258"/>
      <c r="AC2277" s="407"/>
    </row>
    <row r="2278" spans="2:29" s="406" customFormat="1" ht="16.5" customHeight="1">
      <c r="B2278" s="256"/>
      <c r="C2278" s="256"/>
      <c r="D2278" s="414"/>
      <c r="E2278" s="414"/>
      <c r="F2278" s="414"/>
      <c r="G2278" s="253"/>
      <c r="H2278" s="253"/>
      <c r="I2278" s="253"/>
      <c r="J2278" s="253"/>
      <c r="K2278" s="253"/>
      <c r="L2278" s="253"/>
      <c r="M2278" s="253"/>
      <c r="N2278" s="253"/>
      <c r="O2278" s="258"/>
      <c r="P2278" s="258"/>
      <c r="Q2278" s="258"/>
      <c r="R2278" s="258"/>
      <c r="S2278" s="258"/>
      <c r="T2278" s="258"/>
      <c r="U2278" s="258"/>
      <c r="V2278" s="258"/>
      <c r="W2278" s="258"/>
      <c r="X2278" s="258"/>
      <c r="Y2278" s="258"/>
      <c r="Z2278" s="258"/>
      <c r="AA2278" s="258"/>
      <c r="AB2278" s="258"/>
      <c r="AC2278" s="407"/>
    </row>
    <row r="2279" spans="2:29" s="406" customFormat="1" ht="16.5" customHeight="1">
      <c r="B2279" s="256"/>
      <c r="C2279" s="256"/>
      <c r="D2279" s="414"/>
      <c r="E2279" s="414"/>
      <c r="F2279" s="414"/>
      <c r="G2279" s="253"/>
      <c r="H2279" s="253"/>
      <c r="I2279" s="253"/>
      <c r="J2279" s="253"/>
      <c r="K2279" s="253"/>
      <c r="L2279" s="253"/>
      <c r="M2279" s="253"/>
      <c r="N2279" s="253"/>
      <c r="O2279" s="258"/>
      <c r="P2279" s="258"/>
      <c r="Q2279" s="258"/>
      <c r="R2279" s="258"/>
      <c r="S2279" s="258"/>
      <c r="T2279" s="258"/>
      <c r="U2279" s="258"/>
      <c r="V2279" s="258"/>
      <c r="W2279" s="258"/>
      <c r="X2279" s="258"/>
      <c r="Y2279" s="258"/>
      <c r="Z2279" s="258"/>
      <c r="AA2279" s="258"/>
      <c r="AB2279" s="258"/>
      <c r="AC2279" s="407"/>
    </row>
    <row r="2280" spans="2:29" s="406" customFormat="1" ht="16.5" customHeight="1">
      <c r="B2280" s="256"/>
      <c r="C2280" s="256"/>
      <c r="D2280" s="414"/>
      <c r="E2280" s="414"/>
      <c r="F2280" s="414"/>
      <c r="G2280" s="253"/>
      <c r="H2280" s="253"/>
      <c r="I2280" s="253"/>
      <c r="J2280" s="253"/>
      <c r="K2280" s="253"/>
      <c r="L2280" s="253"/>
      <c r="M2280" s="253"/>
      <c r="N2280" s="253"/>
      <c r="O2280" s="258"/>
      <c r="P2280" s="258"/>
      <c r="Q2280" s="258"/>
      <c r="R2280" s="258"/>
      <c r="S2280" s="258"/>
      <c r="T2280" s="258"/>
      <c r="U2280" s="258"/>
      <c r="V2280" s="258"/>
      <c r="W2280" s="258"/>
      <c r="X2280" s="258"/>
      <c r="Y2280" s="258"/>
      <c r="Z2280" s="258"/>
      <c r="AA2280" s="258"/>
      <c r="AB2280" s="258"/>
      <c r="AC2280" s="407"/>
    </row>
    <row r="2281" spans="2:29" s="406" customFormat="1" ht="16.5" customHeight="1">
      <c r="B2281" s="256"/>
      <c r="C2281" s="256"/>
      <c r="D2281" s="414"/>
      <c r="E2281" s="414"/>
      <c r="F2281" s="414"/>
      <c r="G2281" s="253"/>
      <c r="H2281" s="253"/>
      <c r="I2281" s="253"/>
      <c r="J2281" s="253"/>
      <c r="K2281" s="253"/>
      <c r="L2281" s="253"/>
      <c r="M2281" s="253"/>
      <c r="N2281" s="253"/>
      <c r="O2281" s="258"/>
      <c r="P2281" s="258"/>
      <c r="Q2281" s="258"/>
      <c r="R2281" s="258"/>
      <c r="S2281" s="258"/>
      <c r="T2281" s="258"/>
      <c r="U2281" s="258"/>
      <c r="V2281" s="258"/>
      <c r="W2281" s="258"/>
      <c r="X2281" s="258"/>
      <c r="Y2281" s="258"/>
      <c r="Z2281" s="258"/>
      <c r="AA2281" s="258"/>
      <c r="AB2281" s="258"/>
      <c r="AC2281" s="407"/>
    </row>
    <row r="2282" spans="2:29" s="406" customFormat="1" ht="16.5" customHeight="1">
      <c r="B2282" s="256"/>
      <c r="C2282" s="256"/>
      <c r="D2282" s="414"/>
      <c r="E2282" s="414"/>
      <c r="F2282" s="414"/>
      <c r="G2282" s="253"/>
      <c r="H2282" s="253"/>
      <c r="I2282" s="253"/>
      <c r="J2282" s="253"/>
      <c r="K2282" s="253"/>
      <c r="L2282" s="253"/>
      <c r="M2282" s="253"/>
      <c r="N2282" s="253"/>
      <c r="O2282" s="258"/>
      <c r="P2282" s="258"/>
      <c r="Q2282" s="258"/>
      <c r="R2282" s="258"/>
      <c r="S2282" s="258"/>
      <c r="T2282" s="258"/>
      <c r="U2282" s="258"/>
      <c r="V2282" s="258"/>
      <c r="W2282" s="258"/>
      <c r="X2282" s="258"/>
      <c r="Y2282" s="258"/>
      <c r="Z2282" s="258"/>
      <c r="AA2282" s="258"/>
      <c r="AB2282" s="258"/>
      <c r="AC2282" s="407"/>
    </row>
    <row r="2283" spans="2:29" s="406" customFormat="1" ht="16.5" customHeight="1">
      <c r="B2283" s="256"/>
      <c r="C2283" s="256"/>
      <c r="D2283" s="414"/>
      <c r="E2283" s="414"/>
      <c r="F2283" s="414"/>
      <c r="G2283" s="253"/>
      <c r="H2283" s="253"/>
      <c r="I2283" s="253"/>
      <c r="J2283" s="253"/>
      <c r="K2283" s="253"/>
      <c r="L2283" s="253"/>
      <c r="M2283" s="253"/>
      <c r="N2283" s="253"/>
      <c r="O2283" s="258"/>
      <c r="P2283" s="258"/>
      <c r="Q2283" s="258"/>
      <c r="R2283" s="258"/>
      <c r="S2283" s="258"/>
      <c r="T2283" s="258"/>
      <c r="U2283" s="258"/>
      <c r="V2283" s="258"/>
      <c r="W2283" s="258"/>
      <c r="X2283" s="258"/>
      <c r="Y2283" s="258"/>
      <c r="Z2283" s="258"/>
      <c r="AA2283" s="258"/>
      <c r="AB2283" s="258"/>
      <c r="AC2283" s="407"/>
    </row>
    <row r="2284" spans="2:29" s="406" customFormat="1" ht="16.5" customHeight="1">
      <c r="B2284" s="256"/>
      <c r="C2284" s="256"/>
      <c r="D2284" s="414"/>
      <c r="E2284" s="414"/>
      <c r="F2284" s="414"/>
      <c r="G2284" s="253"/>
      <c r="H2284" s="253"/>
      <c r="I2284" s="253"/>
      <c r="J2284" s="253"/>
      <c r="K2284" s="253"/>
      <c r="L2284" s="253"/>
      <c r="M2284" s="253"/>
      <c r="N2284" s="253"/>
      <c r="O2284" s="258"/>
      <c r="P2284" s="258"/>
      <c r="Q2284" s="258"/>
      <c r="R2284" s="258"/>
      <c r="S2284" s="258"/>
      <c r="T2284" s="258"/>
      <c r="U2284" s="258"/>
      <c r="V2284" s="258"/>
      <c r="W2284" s="258"/>
      <c r="X2284" s="258"/>
      <c r="Y2284" s="258"/>
      <c r="Z2284" s="258"/>
      <c r="AA2284" s="258"/>
      <c r="AB2284" s="258"/>
      <c r="AC2284" s="407"/>
    </row>
    <row r="2285" spans="2:29" s="406" customFormat="1" ht="16.5" customHeight="1">
      <c r="B2285" s="256"/>
      <c r="C2285" s="256"/>
      <c r="D2285" s="414"/>
      <c r="E2285" s="414"/>
      <c r="F2285" s="414"/>
      <c r="G2285" s="253"/>
      <c r="H2285" s="253"/>
      <c r="I2285" s="253"/>
      <c r="J2285" s="253"/>
      <c r="K2285" s="253"/>
      <c r="L2285" s="253"/>
      <c r="M2285" s="253"/>
      <c r="N2285" s="253"/>
      <c r="O2285" s="258"/>
      <c r="P2285" s="258"/>
      <c r="Q2285" s="258"/>
      <c r="R2285" s="258"/>
      <c r="S2285" s="258"/>
      <c r="T2285" s="258"/>
      <c r="U2285" s="258"/>
      <c r="V2285" s="258"/>
      <c r="W2285" s="258"/>
      <c r="X2285" s="258"/>
      <c r="Y2285" s="258"/>
      <c r="Z2285" s="258"/>
      <c r="AA2285" s="258"/>
      <c r="AB2285" s="258"/>
      <c r="AC2285" s="407"/>
    </row>
    <row r="2286" spans="2:29" s="406" customFormat="1" ht="16.5" customHeight="1">
      <c r="B2286" s="256"/>
      <c r="C2286" s="256"/>
      <c r="D2286" s="414"/>
      <c r="E2286" s="414"/>
      <c r="F2286" s="414"/>
      <c r="G2286" s="253"/>
      <c r="H2286" s="253"/>
      <c r="I2286" s="253"/>
      <c r="J2286" s="253"/>
      <c r="K2286" s="253"/>
      <c r="L2286" s="253"/>
      <c r="M2286" s="253"/>
      <c r="N2286" s="253"/>
      <c r="O2286" s="258"/>
      <c r="P2286" s="258"/>
      <c r="Q2286" s="258"/>
      <c r="R2286" s="258"/>
      <c r="S2286" s="258"/>
      <c r="T2286" s="258"/>
      <c r="U2286" s="258"/>
      <c r="V2286" s="258"/>
      <c r="W2286" s="258"/>
      <c r="X2286" s="258"/>
      <c r="Y2286" s="258"/>
      <c r="Z2286" s="258"/>
      <c r="AA2286" s="258"/>
      <c r="AB2286" s="258"/>
      <c r="AC2286" s="407"/>
    </row>
    <row r="2287" spans="2:29" s="406" customFormat="1" ht="16.5" customHeight="1">
      <c r="B2287" s="256"/>
      <c r="C2287" s="256"/>
      <c r="D2287" s="414"/>
      <c r="E2287" s="414"/>
      <c r="F2287" s="414"/>
      <c r="G2287" s="253"/>
      <c r="H2287" s="253"/>
      <c r="I2287" s="253"/>
      <c r="J2287" s="253"/>
      <c r="K2287" s="253"/>
      <c r="L2287" s="253"/>
      <c r="M2287" s="253"/>
      <c r="N2287" s="253"/>
      <c r="O2287" s="258"/>
      <c r="P2287" s="258"/>
      <c r="Q2287" s="258"/>
      <c r="R2287" s="258"/>
      <c r="S2287" s="258"/>
      <c r="T2287" s="258"/>
      <c r="U2287" s="258"/>
      <c r="V2287" s="258"/>
      <c r="W2287" s="258"/>
      <c r="X2287" s="258"/>
      <c r="Y2287" s="258"/>
      <c r="Z2287" s="258"/>
      <c r="AA2287" s="258"/>
      <c r="AB2287" s="258"/>
      <c r="AC2287" s="407"/>
    </row>
    <row r="2288" spans="2:29" s="406" customFormat="1" ht="16.5" customHeight="1">
      <c r="B2288" s="256"/>
      <c r="C2288" s="256"/>
      <c r="D2288" s="414"/>
      <c r="E2288" s="414"/>
      <c r="F2288" s="414"/>
      <c r="G2288" s="253"/>
      <c r="H2288" s="253"/>
      <c r="I2288" s="253"/>
      <c r="J2288" s="253"/>
      <c r="K2288" s="253"/>
      <c r="L2288" s="253"/>
      <c r="M2288" s="253"/>
      <c r="N2288" s="253"/>
      <c r="O2288" s="258"/>
      <c r="P2288" s="258"/>
      <c r="Q2288" s="258"/>
      <c r="R2288" s="258"/>
      <c r="S2288" s="258"/>
      <c r="T2288" s="258"/>
      <c r="U2288" s="258"/>
      <c r="V2288" s="258"/>
      <c r="W2288" s="258"/>
      <c r="X2288" s="258"/>
      <c r="Y2288" s="258"/>
      <c r="Z2288" s="258"/>
      <c r="AA2288" s="258"/>
      <c r="AB2288" s="258"/>
      <c r="AC2288" s="407"/>
    </row>
    <row r="2289" spans="2:29" s="406" customFormat="1" ht="16.5" customHeight="1">
      <c r="B2289" s="256"/>
      <c r="C2289" s="256"/>
      <c r="D2289" s="414"/>
      <c r="E2289" s="414"/>
      <c r="F2289" s="414"/>
      <c r="G2289" s="253"/>
      <c r="H2289" s="253"/>
      <c r="I2289" s="253"/>
      <c r="J2289" s="253"/>
      <c r="K2289" s="253"/>
      <c r="L2289" s="253"/>
      <c r="M2289" s="253"/>
      <c r="N2289" s="253"/>
      <c r="O2289" s="258"/>
      <c r="P2289" s="258"/>
      <c r="Q2289" s="258"/>
      <c r="R2289" s="258"/>
      <c r="S2289" s="258"/>
      <c r="T2289" s="258"/>
      <c r="U2289" s="258"/>
      <c r="V2289" s="258"/>
      <c r="W2289" s="258"/>
      <c r="X2289" s="258"/>
      <c r="Y2289" s="258"/>
      <c r="Z2289" s="258"/>
      <c r="AA2289" s="258"/>
      <c r="AB2289" s="258"/>
      <c r="AC2289" s="407"/>
    </row>
    <row r="2290" spans="2:29" s="406" customFormat="1" ht="16.5" customHeight="1">
      <c r="B2290" s="256"/>
      <c r="C2290" s="256"/>
      <c r="D2290" s="414"/>
      <c r="E2290" s="414"/>
      <c r="F2290" s="414"/>
      <c r="G2290" s="253"/>
      <c r="H2290" s="253"/>
      <c r="I2290" s="253"/>
      <c r="J2290" s="253"/>
      <c r="K2290" s="253"/>
      <c r="L2290" s="253"/>
      <c r="M2290" s="253"/>
      <c r="N2290" s="253"/>
      <c r="O2290" s="258"/>
      <c r="P2290" s="258"/>
      <c r="Q2290" s="258"/>
      <c r="R2290" s="258"/>
      <c r="S2290" s="258"/>
      <c r="T2290" s="258"/>
      <c r="U2290" s="258"/>
      <c r="V2290" s="258"/>
      <c r="W2290" s="258"/>
      <c r="X2290" s="258"/>
      <c r="Y2290" s="258"/>
      <c r="Z2290" s="258"/>
      <c r="AA2290" s="258"/>
      <c r="AB2290" s="258"/>
      <c r="AC2290" s="407"/>
    </row>
    <row r="2291" spans="2:29" s="406" customFormat="1" ht="16.5" customHeight="1">
      <c r="B2291" s="256"/>
      <c r="C2291" s="256"/>
      <c r="D2291" s="414"/>
      <c r="E2291" s="414"/>
      <c r="F2291" s="414"/>
      <c r="G2291" s="253"/>
      <c r="H2291" s="253"/>
      <c r="I2291" s="253"/>
      <c r="J2291" s="253"/>
      <c r="K2291" s="253"/>
      <c r="L2291" s="253"/>
      <c r="M2291" s="253"/>
      <c r="N2291" s="253"/>
      <c r="O2291" s="258"/>
      <c r="P2291" s="258"/>
      <c r="Q2291" s="258"/>
      <c r="R2291" s="258"/>
      <c r="S2291" s="258"/>
      <c r="T2291" s="258"/>
      <c r="U2291" s="258"/>
      <c r="V2291" s="258"/>
      <c r="W2291" s="258"/>
      <c r="X2291" s="258"/>
      <c r="Y2291" s="258"/>
      <c r="Z2291" s="258"/>
      <c r="AA2291" s="258"/>
      <c r="AB2291" s="258"/>
      <c r="AC2291" s="407"/>
    </row>
    <row r="2292" spans="2:29" s="406" customFormat="1" ht="16.5" customHeight="1">
      <c r="B2292" s="256"/>
      <c r="C2292" s="256"/>
      <c r="D2292" s="414"/>
      <c r="E2292" s="414"/>
      <c r="F2292" s="414"/>
      <c r="G2292" s="253"/>
      <c r="H2292" s="253"/>
      <c r="I2292" s="253"/>
      <c r="J2292" s="253"/>
      <c r="K2292" s="253"/>
      <c r="L2292" s="253"/>
      <c r="M2292" s="253"/>
      <c r="N2292" s="253"/>
      <c r="O2292" s="258"/>
      <c r="P2292" s="258"/>
      <c r="Q2292" s="258"/>
      <c r="R2292" s="258"/>
      <c r="S2292" s="258"/>
      <c r="T2292" s="258"/>
      <c r="U2292" s="258"/>
      <c r="V2292" s="258"/>
      <c r="W2292" s="258"/>
      <c r="X2292" s="258"/>
      <c r="Y2292" s="258"/>
      <c r="Z2292" s="258"/>
      <c r="AA2292" s="258"/>
      <c r="AB2292" s="258"/>
      <c r="AC2292" s="407"/>
    </row>
    <row r="2293" spans="2:29" s="406" customFormat="1" ht="16.5" customHeight="1">
      <c r="B2293" s="256"/>
      <c r="C2293" s="256"/>
      <c r="D2293" s="414"/>
      <c r="E2293" s="414"/>
      <c r="F2293" s="414"/>
      <c r="G2293" s="253"/>
      <c r="H2293" s="253"/>
      <c r="I2293" s="253"/>
      <c r="J2293" s="253"/>
      <c r="K2293" s="253"/>
      <c r="L2293" s="253"/>
      <c r="M2293" s="253"/>
      <c r="N2293" s="253"/>
      <c r="O2293" s="258"/>
      <c r="P2293" s="258"/>
      <c r="Q2293" s="258"/>
      <c r="R2293" s="258"/>
      <c r="S2293" s="258"/>
      <c r="T2293" s="258"/>
      <c r="U2293" s="258"/>
      <c r="V2293" s="258"/>
      <c r="W2293" s="258"/>
      <c r="X2293" s="258"/>
      <c r="Y2293" s="258"/>
      <c r="Z2293" s="258"/>
      <c r="AA2293" s="258"/>
      <c r="AB2293" s="258"/>
      <c r="AC2293" s="407"/>
    </row>
    <row r="2294" spans="2:29" s="406" customFormat="1" ht="16.5" customHeight="1">
      <c r="B2294" s="256"/>
      <c r="C2294" s="256"/>
      <c r="D2294" s="414"/>
      <c r="E2294" s="414"/>
      <c r="F2294" s="414"/>
      <c r="G2294" s="253"/>
      <c r="H2294" s="253"/>
      <c r="I2294" s="253"/>
      <c r="J2294" s="253"/>
      <c r="K2294" s="253"/>
      <c r="L2294" s="253"/>
      <c r="M2294" s="253"/>
      <c r="N2294" s="253"/>
      <c r="O2294" s="258"/>
      <c r="P2294" s="258"/>
      <c r="Q2294" s="258"/>
      <c r="R2294" s="258"/>
      <c r="S2294" s="258"/>
      <c r="T2294" s="258"/>
      <c r="U2294" s="258"/>
      <c r="V2294" s="258"/>
      <c r="W2294" s="258"/>
      <c r="X2294" s="258"/>
      <c r="Y2294" s="258"/>
      <c r="Z2294" s="258"/>
      <c r="AA2294" s="258"/>
      <c r="AB2294" s="258"/>
      <c r="AC2294" s="407"/>
    </row>
    <row r="2295" spans="2:29" s="406" customFormat="1" ht="16.5" customHeight="1">
      <c r="B2295" s="256"/>
      <c r="C2295" s="256"/>
      <c r="D2295" s="414"/>
      <c r="E2295" s="414"/>
      <c r="F2295" s="414"/>
      <c r="G2295" s="253"/>
      <c r="H2295" s="253"/>
      <c r="I2295" s="253"/>
      <c r="J2295" s="253"/>
      <c r="K2295" s="253"/>
      <c r="L2295" s="253"/>
      <c r="M2295" s="253"/>
      <c r="N2295" s="253"/>
      <c r="O2295" s="258"/>
      <c r="P2295" s="258"/>
      <c r="Q2295" s="258"/>
      <c r="R2295" s="258"/>
      <c r="S2295" s="258"/>
      <c r="T2295" s="258"/>
      <c r="U2295" s="258"/>
      <c r="V2295" s="258"/>
      <c r="W2295" s="258"/>
      <c r="X2295" s="258"/>
      <c r="Y2295" s="258"/>
      <c r="Z2295" s="258"/>
      <c r="AA2295" s="258"/>
      <c r="AB2295" s="258"/>
      <c r="AC2295" s="407"/>
    </row>
    <row r="2296" spans="2:29" s="406" customFormat="1" ht="16.5" customHeight="1">
      <c r="B2296" s="256"/>
      <c r="C2296" s="256"/>
      <c r="D2296" s="414"/>
      <c r="E2296" s="414"/>
      <c r="F2296" s="414"/>
      <c r="G2296" s="253"/>
      <c r="H2296" s="253"/>
      <c r="I2296" s="253"/>
      <c r="J2296" s="253"/>
      <c r="K2296" s="253"/>
      <c r="L2296" s="253"/>
      <c r="M2296" s="253"/>
      <c r="N2296" s="253"/>
      <c r="O2296" s="258"/>
      <c r="P2296" s="258"/>
      <c r="Q2296" s="258"/>
      <c r="R2296" s="258"/>
      <c r="S2296" s="258"/>
      <c r="T2296" s="258"/>
      <c r="U2296" s="258"/>
      <c r="V2296" s="258"/>
      <c r="W2296" s="258"/>
      <c r="X2296" s="258"/>
      <c r="Y2296" s="258"/>
      <c r="Z2296" s="258"/>
      <c r="AA2296" s="258"/>
      <c r="AB2296" s="258"/>
      <c r="AC2296" s="407"/>
    </row>
    <row r="2297" spans="2:29" s="406" customFormat="1" ht="16.5" customHeight="1">
      <c r="B2297" s="256"/>
      <c r="C2297" s="256"/>
      <c r="D2297" s="414"/>
      <c r="E2297" s="414"/>
      <c r="F2297" s="414"/>
      <c r="G2297" s="253"/>
      <c r="H2297" s="253"/>
      <c r="I2297" s="253"/>
      <c r="J2297" s="253"/>
      <c r="K2297" s="253"/>
      <c r="L2297" s="253"/>
      <c r="M2297" s="253"/>
      <c r="N2297" s="253"/>
      <c r="O2297" s="258"/>
      <c r="P2297" s="258"/>
      <c r="Q2297" s="258"/>
      <c r="R2297" s="258"/>
      <c r="S2297" s="258"/>
      <c r="T2297" s="258"/>
      <c r="U2297" s="258"/>
      <c r="V2297" s="258"/>
      <c r="W2297" s="258"/>
      <c r="X2297" s="258"/>
      <c r="Y2297" s="258"/>
      <c r="Z2297" s="258"/>
      <c r="AA2297" s="258"/>
      <c r="AB2297" s="258"/>
      <c r="AC2297" s="407"/>
    </row>
    <row r="2298" spans="2:29" s="406" customFormat="1" ht="16.5" customHeight="1">
      <c r="B2298" s="256"/>
      <c r="C2298" s="256"/>
      <c r="D2298" s="414"/>
      <c r="E2298" s="414"/>
      <c r="F2298" s="414"/>
      <c r="G2298" s="253"/>
      <c r="H2298" s="253"/>
      <c r="I2298" s="253"/>
      <c r="J2298" s="253"/>
      <c r="K2298" s="253"/>
      <c r="L2298" s="253"/>
      <c r="M2298" s="253"/>
      <c r="N2298" s="253"/>
      <c r="O2298" s="258"/>
      <c r="P2298" s="258"/>
      <c r="Q2298" s="258"/>
      <c r="R2298" s="258"/>
      <c r="S2298" s="258"/>
      <c r="T2298" s="258"/>
      <c r="U2298" s="258"/>
      <c r="V2298" s="258"/>
      <c r="W2298" s="258"/>
      <c r="X2298" s="258"/>
      <c r="Y2298" s="258"/>
      <c r="Z2298" s="258"/>
      <c r="AA2298" s="258"/>
      <c r="AB2298" s="258"/>
      <c r="AC2298" s="407"/>
    </row>
    <row r="2299" spans="2:29" s="406" customFormat="1" ht="16.5" customHeight="1">
      <c r="B2299" s="256"/>
      <c r="C2299" s="256"/>
      <c r="D2299" s="414"/>
      <c r="E2299" s="414"/>
      <c r="F2299" s="414"/>
      <c r="G2299" s="253"/>
      <c r="H2299" s="253"/>
      <c r="I2299" s="253"/>
      <c r="J2299" s="253"/>
      <c r="K2299" s="253"/>
      <c r="L2299" s="253"/>
      <c r="M2299" s="253"/>
      <c r="N2299" s="253"/>
      <c r="O2299" s="258"/>
      <c r="P2299" s="258"/>
      <c r="Q2299" s="258"/>
      <c r="R2299" s="258"/>
      <c r="S2299" s="258"/>
      <c r="T2299" s="258"/>
      <c r="U2299" s="258"/>
      <c r="V2299" s="258"/>
      <c r="W2299" s="258"/>
      <c r="X2299" s="258"/>
      <c r="Y2299" s="258"/>
      <c r="Z2299" s="258"/>
      <c r="AA2299" s="258"/>
      <c r="AB2299" s="258"/>
      <c r="AC2299" s="407"/>
    </row>
    <row r="2300" spans="2:29" s="406" customFormat="1" ht="16.5" customHeight="1">
      <c r="B2300" s="256"/>
      <c r="C2300" s="256"/>
      <c r="D2300" s="414"/>
      <c r="E2300" s="414"/>
      <c r="F2300" s="414"/>
      <c r="G2300" s="253"/>
      <c r="H2300" s="253"/>
      <c r="I2300" s="253"/>
      <c r="J2300" s="253"/>
      <c r="K2300" s="253"/>
      <c r="L2300" s="253"/>
      <c r="M2300" s="253"/>
      <c r="N2300" s="253"/>
      <c r="O2300" s="258"/>
      <c r="P2300" s="258"/>
      <c r="Q2300" s="258"/>
      <c r="R2300" s="258"/>
      <c r="S2300" s="258"/>
      <c r="T2300" s="258"/>
      <c r="U2300" s="258"/>
      <c r="V2300" s="258"/>
      <c r="W2300" s="258"/>
      <c r="X2300" s="258"/>
      <c r="Y2300" s="258"/>
      <c r="Z2300" s="258"/>
      <c r="AA2300" s="258"/>
      <c r="AB2300" s="258"/>
      <c r="AC2300" s="407"/>
    </row>
    <row r="2301" spans="2:29" s="406" customFormat="1" ht="16.5" customHeight="1">
      <c r="B2301" s="256"/>
      <c r="C2301" s="256"/>
      <c r="D2301" s="414"/>
      <c r="E2301" s="414"/>
      <c r="F2301" s="414"/>
      <c r="G2301" s="253"/>
      <c r="H2301" s="253"/>
      <c r="I2301" s="253"/>
      <c r="J2301" s="253"/>
      <c r="K2301" s="253"/>
      <c r="L2301" s="253"/>
      <c r="M2301" s="253"/>
      <c r="N2301" s="253"/>
      <c r="O2301" s="258"/>
      <c r="P2301" s="258"/>
      <c r="Q2301" s="258"/>
      <c r="R2301" s="258"/>
      <c r="S2301" s="258"/>
      <c r="T2301" s="258"/>
      <c r="U2301" s="258"/>
      <c r="V2301" s="258"/>
      <c r="W2301" s="258"/>
      <c r="X2301" s="258"/>
      <c r="Y2301" s="258"/>
      <c r="Z2301" s="258"/>
      <c r="AA2301" s="258"/>
      <c r="AB2301" s="258"/>
      <c r="AC2301" s="407"/>
    </row>
    <row r="2302" spans="2:29" s="406" customFormat="1" ht="16.5" customHeight="1">
      <c r="B2302" s="256"/>
      <c r="C2302" s="256"/>
      <c r="D2302" s="414"/>
      <c r="E2302" s="414"/>
      <c r="F2302" s="414"/>
      <c r="G2302" s="253"/>
      <c r="H2302" s="253"/>
      <c r="I2302" s="253"/>
      <c r="J2302" s="253"/>
      <c r="K2302" s="253"/>
      <c r="L2302" s="253"/>
      <c r="M2302" s="253"/>
      <c r="N2302" s="253"/>
      <c r="O2302" s="258"/>
      <c r="P2302" s="258"/>
      <c r="Q2302" s="258"/>
      <c r="R2302" s="258"/>
      <c r="S2302" s="258"/>
      <c r="T2302" s="258"/>
      <c r="U2302" s="258"/>
      <c r="V2302" s="258"/>
      <c r="W2302" s="258"/>
      <c r="X2302" s="258"/>
      <c r="Y2302" s="258"/>
      <c r="Z2302" s="258"/>
      <c r="AA2302" s="258"/>
      <c r="AB2302" s="258"/>
      <c r="AC2302" s="407"/>
    </row>
    <row r="2303" spans="2:29" s="406" customFormat="1" ht="16.5" customHeight="1">
      <c r="B2303" s="256"/>
      <c r="C2303" s="256"/>
      <c r="D2303" s="414"/>
      <c r="E2303" s="414"/>
      <c r="F2303" s="414"/>
      <c r="G2303" s="253"/>
      <c r="H2303" s="253"/>
      <c r="I2303" s="253"/>
      <c r="J2303" s="253"/>
      <c r="K2303" s="253"/>
      <c r="L2303" s="253"/>
      <c r="M2303" s="253"/>
      <c r="N2303" s="253"/>
      <c r="O2303" s="258"/>
      <c r="P2303" s="258"/>
      <c r="Q2303" s="258"/>
      <c r="R2303" s="258"/>
      <c r="S2303" s="258"/>
      <c r="T2303" s="258"/>
      <c r="U2303" s="258"/>
      <c r="V2303" s="258"/>
      <c r="W2303" s="258"/>
      <c r="X2303" s="258"/>
      <c r="Y2303" s="258"/>
      <c r="Z2303" s="258"/>
      <c r="AA2303" s="258"/>
      <c r="AB2303" s="258"/>
      <c r="AC2303" s="407"/>
    </row>
    <row r="2304" spans="2:29" s="406" customFormat="1" ht="16.5" customHeight="1">
      <c r="B2304" s="256"/>
      <c r="C2304" s="256"/>
      <c r="D2304" s="414"/>
      <c r="E2304" s="414"/>
      <c r="F2304" s="414"/>
      <c r="G2304" s="253"/>
      <c r="H2304" s="253"/>
      <c r="I2304" s="253"/>
      <c r="J2304" s="253"/>
      <c r="K2304" s="253"/>
      <c r="L2304" s="253"/>
      <c r="M2304" s="253"/>
      <c r="N2304" s="253"/>
      <c r="O2304" s="258"/>
      <c r="P2304" s="258"/>
      <c r="Q2304" s="258"/>
      <c r="R2304" s="258"/>
      <c r="S2304" s="258"/>
      <c r="T2304" s="258"/>
      <c r="U2304" s="258"/>
      <c r="V2304" s="258"/>
      <c r="W2304" s="258"/>
      <c r="X2304" s="258"/>
      <c r="Y2304" s="258"/>
      <c r="Z2304" s="258"/>
      <c r="AA2304" s="258"/>
      <c r="AB2304" s="258"/>
      <c r="AC2304" s="407"/>
    </row>
    <row r="2305" spans="2:29" s="406" customFormat="1" ht="16.5" customHeight="1">
      <c r="B2305" s="256"/>
      <c r="C2305" s="256"/>
      <c r="D2305" s="414"/>
      <c r="E2305" s="414"/>
      <c r="F2305" s="414"/>
      <c r="G2305" s="253"/>
      <c r="H2305" s="253"/>
      <c r="I2305" s="253"/>
      <c r="J2305" s="253"/>
      <c r="K2305" s="253"/>
      <c r="L2305" s="253"/>
      <c r="M2305" s="253"/>
      <c r="N2305" s="253"/>
      <c r="O2305" s="258"/>
      <c r="P2305" s="258"/>
      <c r="Q2305" s="258"/>
      <c r="R2305" s="258"/>
      <c r="S2305" s="258"/>
      <c r="T2305" s="258"/>
      <c r="U2305" s="258"/>
      <c r="V2305" s="258"/>
      <c r="W2305" s="258"/>
      <c r="X2305" s="258"/>
      <c r="Y2305" s="258"/>
      <c r="Z2305" s="258"/>
      <c r="AA2305" s="258"/>
      <c r="AB2305" s="258"/>
      <c r="AC2305" s="407"/>
    </row>
    <row r="2306" spans="2:29" s="406" customFormat="1" ht="16.5" customHeight="1">
      <c r="B2306" s="256"/>
      <c r="C2306" s="256"/>
      <c r="D2306" s="414"/>
      <c r="E2306" s="414"/>
      <c r="F2306" s="414"/>
      <c r="G2306" s="253"/>
      <c r="H2306" s="253"/>
      <c r="I2306" s="253"/>
      <c r="J2306" s="253"/>
      <c r="K2306" s="253"/>
      <c r="L2306" s="253"/>
      <c r="M2306" s="253"/>
      <c r="N2306" s="253"/>
      <c r="O2306" s="258"/>
      <c r="P2306" s="258"/>
      <c r="Q2306" s="258"/>
      <c r="R2306" s="258"/>
      <c r="S2306" s="258"/>
      <c r="T2306" s="258"/>
      <c r="U2306" s="258"/>
      <c r="V2306" s="258"/>
      <c r="W2306" s="258"/>
      <c r="X2306" s="258"/>
      <c r="Y2306" s="258"/>
      <c r="Z2306" s="258"/>
      <c r="AA2306" s="258"/>
      <c r="AB2306" s="258"/>
      <c r="AC2306" s="407"/>
    </row>
    <row r="2307" spans="2:29" s="406" customFormat="1" ht="16.5" customHeight="1">
      <c r="B2307" s="256"/>
      <c r="C2307" s="256"/>
      <c r="D2307" s="414"/>
      <c r="E2307" s="414"/>
      <c r="F2307" s="414"/>
      <c r="G2307" s="253"/>
      <c r="H2307" s="253"/>
      <c r="I2307" s="253"/>
      <c r="J2307" s="253"/>
      <c r="K2307" s="253"/>
      <c r="L2307" s="253"/>
      <c r="M2307" s="253"/>
      <c r="N2307" s="253"/>
      <c r="O2307" s="258"/>
      <c r="P2307" s="258"/>
      <c r="Q2307" s="258"/>
      <c r="R2307" s="258"/>
      <c r="S2307" s="258"/>
      <c r="T2307" s="258"/>
      <c r="U2307" s="258"/>
      <c r="V2307" s="258"/>
      <c r="W2307" s="258"/>
      <c r="X2307" s="258"/>
      <c r="Y2307" s="258"/>
      <c r="Z2307" s="258"/>
      <c r="AA2307" s="258"/>
      <c r="AB2307" s="258"/>
      <c r="AC2307" s="407"/>
    </row>
    <row r="2308" spans="2:29" s="406" customFormat="1" ht="16.5" customHeight="1">
      <c r="B2308" s="256"/>
      <c r="C2308" s="256"/>
      <c r="D2308" s="414"/>
      <c r="E2308" s="414"/>
      <c r="F2308" s="414"/>
      <c r="G2308" s="253"/>
      <c r="H2308" s="253"/>
      <c r="I2308" s="253"/>
      <c r="J2308" s="253"/>
      <c r="K2308" s="253"/>
      <c r="L2308" s="253"/>
      <c r="M2308" s="253"/>
      <c r="N2308" s="253"/>
      <c r="O2308" s="258"/>
      <c r="P2308" s="258"/>
      <c r="Q2308" s="258"/>
      <c r="R2308" s="258"/>
      <c r="S2308" s="258"/>
      <c r="T2308" s="258"/>
      <c r="U2308" s="258"/>
      <c r="V2308" s="258"/>
      <c r="W2308" s="258"/>
      <c r="X2308" s="258"/>
      <c r="Y2308" s="258"/>
      <c r="Z2308" s="258"/>
      <c r="AA2308" s="258"/>
      <c r="AB2308" s="258"/>
      <c r="AC2308" s="407"/>
    </row>
    <row r="2309" spans="2:29" s="406" customFormat="1" ht="16.5" customHeight="1">
      <c r="B2309" s="256"/>
      <c r="C2309" s="256"/>
      <c r="D2309" s="414"/>
      <c r="E2309" s="414"/>
      <c r="F2309" s="414"/>
      <c r="G2309" s="253"/>
      <c r="H2309" s="253"/>
      <c r="I2309" s="253"/>
      <c r="J2309" s="253"/>
      <c r="K2309" s="253"/>
      <c r="L2309" s="253"/>
      <c r="M2309" s="253"/>
      <c r="N2309" s="253"/>
      <c r="O2309" s="258"/>
      <c r="P2309" s="258"/>
      <c r="Q2309" s="258"/>
      <c r="R2309" s="258"/>
      <c r="S2309" s="258"/>
      <c r="T2309" s="258"/>
      <c r="U2309" s="258"/>
      <c r="V2309" s="258"/>
      <c r="W2309" s="258"/>
      <c r="X2309" s="258"/>
      <c r="Y2309" s="258"/>
      <c r="Z2309" s="258"/>
      <c r="AA2309" s="258"/>
      <c r="AB2309" s="258"/>
      <c r="AC2309" s="407"/>
    </row>
    <row r="2310" spans="2:29" s="406" customFormat="1" ht="16.5" customHeight="1">
      <c r="B2310" s="256"/>
      <c r="C2310" s="256"/>
      <c r="D2310" s="414"/>
      <c r="E2310" s="414"/>
      <c r="F2310" s="414"/>
      <c r="G2310" s="253"/>
      <c r="H2310" s="253"/>
      <c r="I2310" s="253"/>
      <c r="J2310" s="253"/>
      <c r="K2310" s="253"/>
      <c r="L2310" s="253"/>
      <c r="M2310" s="253"/>
      <c r="N2310" s="253"/>
      <c r="O2310" s="258"/>
      <c r="P2310" s="258"/>
      <c r="Q2310" s="258"/>
      <c r="R2310" s="258"/>
      <c r="S2310" s="258"/>
      <c r="T2310" s="258"/>
      <c r="U2310" s="258"/>
      <c r="V2310" s="258"/>
      <c r="W2310" s="258"/>
      <c r="X2310" s="258"/>
      <c r="Y2310" s="258"/>
      <c r="Z2310" s="258"/>
      <c r="AA2310" s="258"/>
      <c r="AB2310" s="258"/>
      <c r="AC2310" s="407"/>
    </row>
    <row r="2311" spans="2:29" s="406" customFormat="1" ht="16.5" customHeight="1">
      <c r="B2311" s="256"/>
      <c r="C2311" s="256"/>
      <c r="D2311" s="414"/>
      <c r="E2311" s="414"/>
      <c r="F2311" s="414"/>
      <c r="G2311" s="253"/>
      <c r="H2311" s="253"/>
      <c r="I2311" s="253"/>
      <c r="J2311" s="253"/>
      <c r="K2311" s="253"/>
      <c r="L2311" s="253"/>
      <c r="M2311" s="253"/>
      <c r="N2311" s="253"/>
      <c r="O2311" s="258"/>
      <c r="P2311" s="258"/>
      <c r="Q2311" s="258"/>
      <c r="R2311" s="258"/>
      <c r="S2311" s="258"/>
      <c r="T2311" s="258"/>
      <c r="U2311" s="258"/>
      <c r="V2311" s="258"/>
      <c r="W2311" s="258"/>
      <c r="X2311" s="258"/>
      <c r="Y2311" s="258"/>
      <c r="Z2311" s="258"/>
      <c r="AA2311" s="258"/>
      <c r="AB2311" s="258"/>
      <c r="AC2311" s="407"/>
    </row>
    <row r="2312" spans="2:29" s="406" customFormat="1" ht="16.5" customHeight="1">
      <c r="B2312" s="256"/>
      <c r="C2312" s="256"/>
      <c r="D2312" s="414"/>
      <c r="E2312" s="414"/>
      <c r="F2312" s="414"/>
      <c r="G2312" s="253"/>
      <c r="H2312" s="253"/>
      <c r="I2312" s="253"/>
      <c r="J2312" s="253"/>
      <c r="K2312" s="253"/>
      <c r="L2312" s="253"/>
      <c r="M2312" s="253"/>
      <c r="N2312" s="253"/>
      <c r="O2312" s="258"/>
      <c r="P2312" s="258"/>
      <c r="Q2312" s="258"/>
      <c r="R2312" s="258"/>
      <c r="S2312" s="258"/>
      <c r="T2312" s="258"/>
      <c r="U2312" s="258"/>
      <c r="V2312" s="258"/>
      <c r="W2312" s="258"/>
      <c r="X2312" s="258"/>
      <c r="Y2312" s="258"/>
      <c r="Z2312" s="258"/>
      <c r="AA2312" s="258"/>
      <c r="AB2312" s="258"/>
      <c r="AC2312" s="407"/>
    </row>
    <row r="2313" spans="2:29" s="406" customFormat="1" ht="16.5" customHeight="1">
      <c r="B2313" s="256"/>
      <c r="C2313" s="256"/>
      <c r="D2313" s="414"/>
      <c r="E2313" s="414"/>
      <c r="F2313" s="414"/>
      <c r="G2313" s="253"/>
      <c r="H2313" s="253"/>
      <c r="I2313" s="253"/>
      <c r="J2313" s="253"/>
      <c r="K2313" s="253"/>
      <c r="L2313" s="253"/>
      <c r="M2313" s="253"/>
      <c r="N2313" s="253"/>
      <c r="O2313" s="258"/>
      <c r="P2313" s="258"/>
      <c r="Q2313" s="258"/>
      <c r="R2313" s="258"/>
      <c r="S2313" s="258"/>
      <c r="T2313" s="258"/>
      <c r="U2313" s="258"/>
      <c r="V2313" s="258"/>
      <c r="W2313" s="258"/>
      <c r="X2313" s="258"/>
      <c r="Y2313" s="258"/>
      <c r="Z2313" s="258"/>
      <c r="AA2313" s="258"/>
      <c r="AB2313" s="258"/>
      <c r="AC2313" s="407"/>
    </row>
    <row r="2314" spans="2:29" s="406" customFormat="1" ht="16.5" customHeight="1">
      <c r="B2314" s="256"/>
      <c r="C2314" s="256"/>
      <c r="D2314" s="414"/>
      <c r="E2314" s="414"/>
      <c r="F2314" s="414"/>
      <c r="G2314" s="253"/>
      <c r="H2314" s="253"/>
      <c r="I2314" s="253"/>
      <c r="J2314" s="253"/>
      <c r="K2314" s="253"/>
      <c r="L2314" s="253"/>
      <c r="M2314" s="253"/>
      <c r="N2314" s="253"/>
      <c r="O2314" s="258"/>
      <c r="P2314" s="258"/>
      <c r="Q2314" s="258"/>
      <c r="R2314" s="258"/>
      <c r="S2314" s="258"/>
      <c r="T2314" s="258"/>
      <c r="U2314" s="258"/>
      <c r="V2314" s="258"/>
      <c r="W2314" s="258"/>
      <c r="X2314" s="258"/>
      <c r="Y2314" s="258"/>
      <c r="Z2314" s="258"/>
      <c r="AA2314" s="258"/>
      <c r="AB2314" s="258"/>
      <c r="AC2314" s="407"/>
    </row>
    <row r="2315" spans="2:29" s="406" customFormat="1" ht="16.5" customHeight="1">
      <c r="B2315" s="256"/>
      <c r="C2315" s="256"/>
      <c r="D2315" s="414"/>
      <c r="E2315" s="414"/>
      <c r="F2315" s="414"/>
      <c r="G2315" s="253"/>
      <c r="H2315" s="253"/>
      <c r="I2315" s="253"/>
      <c r="J2315" s="253"/>
      <c r="K2315" s="253"/>
      <c r="L2315" s="253"/>
      <c r="M2315" s="253"/>
      <c r="N2315" s="253"/>
      <c r="O2315" s="258"/>
      <c r="P2315" s="258"/>
      <c r="Q2315" s="258"/>
      <c r="R2315" s="258"/>
      <c r="S2315" s="258"/>
      <c r="T2315" s="258"/>
      <c r="U2315" s="258"/>
      <c r="V2315" s="258"/>
      <c r="W2315" s="258"/>
      <c r="X2315" s="258"/>
      <c r="Y2315" s="258"/>
      <c r="Z2315" s="258"/>
      <c r="AA2315" s="258"/>
      <c r="AB2315" s="258"/>
      <c r="AC2315" s="407"/>
    </row>
    <row r="2316" spans="2:29" s="406" customFormat="1" ht="16.5" customHeight="1">
      <c r="B2316" s="256"/>
      <c r="C2316" s="256"/>
      <c r="D2316" s="414"/>
      <c r="E2316" s="414"/>
      <c r="F2316" s="414"/>
      <c r="G2316" s="253"/>
      <c r="H2316" s="253"/>
      <c r="I2316" s="253"/>
      <c r="J2316" s="253"/>
      <c r="K2316" s="253"/>
      <c r="L2316" s="253"/>
      <c r="M2316" s="253"/>
      <c r="N2316" s="253"/>
      <c r="O2316" s="258"/>
      <c r="P2316" s="258"/>
      <c r="Q2316" s="258"/>
      <c r="R2316" s="258"/>
      <c r="S2316" s="258"/>
      <c r="T2316" s="258"/>
      <c r="U2316" s="258"/>
      <c r="V2316" s="258"/>
      <c r="W2316" s="258"/>
      <c r="X2316" s="258"/>
      <c r="Y2316" s="258"/>
      <c r="Z2316" s="258"/>
      <c r="AA2316" s="258"/>
      <c r="AB2316" s="258"/>
      <c r="AC2316" s="407"/>
    </row>
    <row r="2317" spans="2:29" s="406" customFormat="1" ht="16.5" customHeight="1">
      <c r="B2317" s="256"/>
      <c r="C2317" s="256"/>
      <c r="D2317" s="414"/>
      <c r="E2317" s="414"/>
      <c r="F2317" s="414"/>
      <c r="G2317" s="253"/>
      <c r="H2317" s="253"/>
      <c r="I2317" s="253"/>
      <c r="J2317" s="253"/>
      <c r="K2317" s="253"/>
      <c r="L2317" s="253"/>
      <c r="M2317" s="253"/>
      <c r="N2317" s="253"/>
      <c r="O2317" s="258"/>
      <c r="P2317" s="258"/>
      <c r="Q2317" s="258"/>
      <c r="R2317" s="258"/>
      <c r="S2317" s="258"/>
      <c r="T2317" s="258"/>
      <c r="U2317" s="258"/>
      <c r="V2317" s="258"/>
      <c r="W2317" s="258"/>
      <c r="X2317" s="258"/>
      <c r="Y2317" s="258"/>
      <c r="Z2317" s="258"/>
      <c r="AA2317" s="258"/>
      <c r="AB2317" s="258"/>
      <c r="AC2317" s="407"/>
    </row>
    <row r="2318" spans="2:29" s="406" customFormat="1" ht="16.5" customHeight="1">
      <c r="B2318" s="256"/>
      <c r="C2318" s="256"/>
      <c r="D2318" s="414"/>
      <c r="E2318" s="414"/>
      <c r="F2318" s="414"/>
      <c r="G2318" s="253"/>
      <c r="H2318" s="253"/>
      <c r="I2318" s="253"/>
      <c r="J2318" s="253"/>
      <c r="K2318" s="253"/>
      <c r="L2318" s="253"/>
      <c r="M2318" s="253"/>
      <c r="N2318" s="253"/>
      <c r="O2318" s="258"/>
      <c r="P2318" s="258"/>
      <c r="Q2318" s="258"/>
      <c r="R2318" s="258"/>
      <c r="S2318" s="258"/>
      <c r="T2318" s="258"/>
      <c r="U2318" s="258"/>
      <c r="V2318" s="258"/>
      <c r="W2318" s="258"/>
      <c r="X2318" s="258"/>
      <c r="Y2318" s="258"/>
      <c r="Z2318" s="258"/>
      <c r="AA2318" s="258"/>
      <c r="AB2318" s="258"/>
      <c r="AC2318" s="407"/>
    </row>
    <row r="2319" spans="2:29" s="406" customFormat="1" ht="16.5" customHeight="1">
      <c r="B2319" s="256"/>
      <c r="C2319" s="256"/>
      <c r="D2319" s="414"/>
      <c r="E2319" s="414"/>
      <c r="F2319" s="414"/>
      <c r="G2319" s="253"/>
      <c r="H2319" s="253"/>
      <c r="I2319" s="253"/>
      <c r="J2319" s="253"/>
      <c r="K2319" s="253"/>
      <c r="L2319" s="253"/>
      <c r="M2319" s="253"/>
      <c r="N2319" s="253"/>
      <c r="O2319" s="258"/>
      <c r="P2319" s="258"/>
      <c r="Q2319" s="258"/>
      <c r="R2319" s="258"/>
      <c r="S2319" s="258"/>
      <c r="T2319" s="258"/>
      <c r="U2319" s="258"/>
      <c r="V2319" s="258"/>
      <c r="W2319" s="258"/>
      <c r="X2319" s="258"/>
      <c r="Y2319" s="258"/>
      <c r="Z2319" s="258"/>
      <c r="AA2319" s="258"/>
      <c r="AB2319" s="258"/>
      <c r="AC2319" s="407"/>
    </row>
    <row r="2320" spans="2:29" s="406" customFormat="1" ht="16.5" customHeight="1">
      <c r="B2320" s="256"/>
      <c r="C2320" s="256"/>
      <c r="D2320" s="414"/>
      <c r="E2320" s="414"/>
      <c r="F2320" s="414"/>
      <c r="G2320" s="253"/>
      <c r="H2320" s="253"/>
      <c r="I2320" s="253"/>
      <c r="J2320" s="253"/>
      <c r="K2320" s="253"/>
      <c r="L2320" s="253"/>
      <c r="M2320" s="253"/>
      <c r="N2320" s="253"/>
      <c r="O2320" s="258"/>
      <c r="P2320" s="258"/>
      <c r="Q2320" s="258"/>
      <c r="R2320" s="258"/>
      <c r="S2320" s="258"/>
      <c r="T2320" s="258"/>
      <c r="U2320" s="258"/>
      <c r="V2320" s="258"/>
      <c r="W2320" s="258"/>
      <c r="X2320" s="258"/>
      <c r="Y2320" s="258"/>
      <c r="Z2320" s="258"/>
      <c r="AA2320" s="258"/>
      <c r="AB2320" s="258"/>
      <c r="AC2320" s="407"/>
    </row>
    <row r="2321" spans="2:29" s="406" customFormat="1" ht="16.5" customHeight="1">
      <c r="B2321" s="256"/>
      <c r="C2321" s="256"/>
      <c r="D2321" s="414"/>
      <c r="E2321" s="414"/>
      <c r="F2321" s="414"/>
      <c r="G2321" s="253"/>
      <c r="H2321" s="253"/>
      <c r="I2321" s="253"/>
      <c r="J2321" s="253"/>
      <c r="K2321" s="253"/>
      <c r="L2321" s="253"/>
      <c r="M2321" s="253"/>
      <c r="N2321" s="253"/>
      <c r="O2321" s="258"/>
      <c r="P2321" s="258"/>
      <c r="Q2321" s="258"/>
      <c r="R2321" s="258"/>
      <c r="S2321" s="258"/>
      <c r="T2321" s="258"/>
      <c r="U2321" s="258"/>
      <c r="V2321" s="258"/>
      <c r="W2321" s="258"/>
      <c r="X2321" s="258"/>
      <c r="Y2321" s="258"/>
      <c r="Z2321" s="258"/>
      <c r="AA2321" s="258"/>
      <c r="AB2321" s="258"/>
      <c r="AC2321" s="407"/>
    </row>
    <row r="2322" spans="2:29" s="406" customFormat="1" ht="16.5" customHeight="1">
      <c r="B2322" s="256"/>
      <c r="C2322" s="256"/>
      <c r="D2322" s="414"/>
      <c r="E2322" s="414"/>
      <c r="F2322" s="414"/>
      <c r="G2322" s="253"/>
      <c r="H2322" s="253"/>
      <c r="I2322" s="253"/>
      <c r="J2322" s="253"/>
      <c r="K2322" s="253"/>
      <c r="L2322" s="253"/>
      <c r="M2322" s="253"/>
      <c r="N2322" s="253"/>
      <c r="O2322" s="258"/>
      <c r="P2322" s="258"/>
      <c r="Q2322" s="258"/>
      <c r="R2322" s="258"/>
      <c r="S2322" s="258"/>
      <c r="T2322" s="258"/>
      <c r="U2322" s="258"/>
      <c r="V2322" s="258"/>
      <c r="W2322" s="258"/>
      <c r="X2322" s="258"/>
      <c r="Y2322" s="258"/>
      <c r="Z2322" s="258"/>
      <c r="AA2322" s="258"/>
      <c r="AB2322" s="258"/>
      <c r="AC2322" s="407"/>
    </row>
    <row r="2323" spans="2:29" s="406" customFormat="1" ht="16.5" customHeight="1">
      <c r="B2323" s="256"/>
      <c r="C2323" s="256"/>
      <c r="D2323" s="414"/>
      <c r="E2323" s="414"/>
      <c r="F2323" s="414"/>
      <c r="G2323" s="253"/>
      <c r="H2323" s="253"/>
      <c r="I2323" s="253"/>
      <c r="J2323" s="253"/>
      <c r="K2323" s="253"/>
      <c r="L2323" s="253"/>
      <c r="M2323" s="253"/>
      <c r="N2323" s="253"/>
      <c r="O2323" s="258"/>
      <c r="P2323" s="258"/>
      <c r="Q2323" s="258"/>
      <c r="R2323" s="258"/>
      <c r="S2323" s="258"/>
      <c r="T2323" s="258"/>
      <c r="U2323" s="258"/>
      <c r="V2323" s="258"/>
      <c r="W2323" s="258"/>
      <c r="X2323" s="258"/>
      <c r="Y2323" s="258"/>
      <c r="Z2323" s="258"/>
      <c r="AA2323" s="258"/>
      <c r="AB2323" s="258"/>
      <c r="AC2323" s="407"/>
    </row>
    <row r="2324" spans="2:29" s="406" customFormat="1" ht="16.5" customHeight="1">
      <c r="B2324" s="256"/>
      <c r="C2324" s="256"/>
      <c r="D2324" s="414"/>
      <c r="E2324" s="414"/>
      <c r="F2324" s="414"/>
      <c r="G2324" s="253"/>
      <c r="H2324" s="253"/>
      <c r="I2324" s="253"/>
      <c r="J2324" s="253"/>
      <c r="K2324" s="253"/>
      <c r="L2324" s="253"/>
      <c r="M2324" s="253"/>
      <c r="N2324" s="253"/>
      <c r="O2324" s="258"/>
      <c r="P2324" s="258"/>
      <c r="Q2324" s="258"/>
      <c r="R2324" s="258"/>
      <c r="S2324" s="258"/>
      <c r="T2324" s="258"/>
      <c r="U2324" s="258"/>
      <c r="V2324" s="258"/>
      <c r="W2324" s="258"/>
      <c r="X2324" s="258"/>
      <c r="Y2324" s="258"/>
      <c r="Z2324" s="258"/>
      <c r="AA2324" s="258"/>
      <c r="AB2324" s="258"/>
      <c r="AC2324" s="407"/>
    </row>
    <row r="2325" spans="2:29" s="406" customFormat="1" ht="16.5" customHeight="1">
      <c r="B2325" s="256"/>
      <c r="C2325" s="256"/>
      <c r="D2325" s="414"/>
      <c r="E2325" s="414"/>
      <c r="F2325" s="414"/>
      <c r="G2325" s="253"/>
      <c r="H2325" s="253"/>
      <c r="I2325" s="253"/>
      <c r="J2325" s="253"/>
      <c r="K2325" s="253"/>
      <c r="L2325" s="253"/>
      <c r="M2325" s="253"/>
      <c r="N2325" s="253"/>
      <c r="O2325" s="258"/>
      <c r="P2325" s="258"/>
      <c r="Q2325" s="258"/>
      <c r="R2325" s="258"/>
      <c r="S2325" s="258"/>
      <c r="T2325" s="258"/>
      <c r="U2325" s="258"/>
      <c r="V2325" s="258"/>
      <c r="W2325" s="258"/>
      <c r="X2325" s="258"/>
      <c r="Y2325" s="258"/>
      <c r="Z2325" s="258"/>
      <c r="AA2325" s="258"/>
      <c r="AB2325" s="258"/>
      <c r="AC2325" s="407"/>
    </row>
    <row r="2326" spans="2:29" s="406" customFormat="1" ht="16.5" customHeight="1">
      <c r="B2326" s="256"/>
      <c r="C2326" s="256"/>
      <c r="D2326" s="414"/>
      <c r="E2326" s="414"/>
      <c r="F2326" s="414"/>
      <c r="G2326" s="253"/>
      <c r="H2326" s="253"/>
      <c r="I2326" s="253"/>
      <c r="J2326" s="253"/>
      <c r="K2326" s="253"/>
      <c r="L2326" s="253"/>
      <c r="M2326" s="253"/>
      <c r="N2326" s="253"/>
      <c r="O2326" s="258"/>
      <c r="P2326" s="258"/>
      <c r="Q2326" s="258"/>
      <c r="R2326" s="258"/>
      <c r="S2326" s="258"/>
      <c r="T2326" s="258"/>
      <c r="U2326" s="258"/>
      <c r="V2326" s="258"/>
      <c r="W2326" s="258"/>
      <c r="X2326" s="258"/>
      <c r="Y2326" s="258"/>
      <c r="Z2326" s="258"/>
      <c r="AA2326" s="258"/>
      <c r="AB2326" s="258"/>
      <c r="AC2326" s="407"/>
    </row>
    <row r="2327" spans="2:29" s="406" customFormat="1" ht="16.5" customHeight="1">
      <c r="B2327" s="256"/>
      <c r="C2327" s="256"/>
      <c r="D2327" s="414"/>
      <c r="E2327" s="414"/>
      <c r="F2327" s="414"/>
      <c r="G2327" s="253"/>
      <c r="H2327" s="253"/>
      <c r="I2327" s="253"/>
      <c r="J2327" s="253"/>
      <c r="K2327" s="253"/>
      <c r="L2327" s="253"/>
      <c r="M2327" s="253"/>
      <c r="N2327" s="253"/>
      <c r="O2327" s="258"/>
      <c r="P2327" s="258"/>
      <c r="Q2327" s="258"/>
      <c r="R2327" s="258"/>
      <c r="S2327" s="258"/>
      <c r="T2327" s="258"/>
      <c r="U2327" s="258"/>
      <c r="V2327" s="258"/>
      <c r="W2327" s="258"/>
      <c r="X2327" s="258"/>
      <c r="Y2327" s="258"/>
      <c r="Z2327" s="258"/>
      <c r="AA2327" s="258"/>
      <c r="AB2327" s="258"/>
      <c r="AC2327" s="407"/>
    </row>
    <row r="2328" spans="2:29" s="406" customFormat="1" ht="16.5" customHeight="1">
      <c r="B2328" s="256"/>
      <c r="C2328" s="256"/>
      <c r="D2328" s="414"/>
      <c r="E2328" s="414"/>
      <c r="F2328" s="414"/>
      <c r="G2328" s="253"/>
      <c r="H2328" s="253"/>
      <c r="I2328" s="253"/>
      <c r="J2328" s="253"/>
      <c r="K2328" s="253"/>
      <c r="L2328" s="253"/>
      <c r="M2328" s="253"/>
      <c r="N2328" s="253"/>
      <c r="O2328" s="258"/>
      <c r="P2328" s="258"/>
      <c r="Q2328" s="258"/>
      <c r="R2328" s="258"/>
      <c r="S2328" s="258"/>
      <c r="T2328" s="258"/>
      <c r="U2328" s="258"/>
      <c r="V2328" s="258"/>
      <c r="W2328" s="258"/>
      <c r="X2328" s="258"/>
      <c r="Y2328" s="258"/>
      <c r="Z2328" s="258"/>
      <c r="AA2328" s="258"/>
      <c r="AB2328" s="258"/>
      <c r="AC2328" s="407"/>
    </row>
    <row r="2329" spans="2:29" s="406" customFormat="1" ht="16.5" customHeight="1">
      <c r="B2329" s="256"/>
      <c r="C2329" s="256"/>
      <c r="D2329" s="414"/>
      <c r="E2329" s="414"/>
      <c r="F2329" s="414"/>
      <c r="G2329" s="253"/>
      <c r="H2329" s="253"/>
      <c r="I2329" s="253"/>
      <c r="J2329" s="253"/>
      <c r="K2329" s="253"/>
      <c r="L2329" s="253"/>
      <c r="M2329" s="253"/>
      <c r="N2329" s="253"/>
      <c r="O2329" s="258"/>
      <c r="P2329" s="258"/>
      <c r="Q2329" s="258"/>
      <c r="R2329" s="258"/>
      <c r="S2329" s="258"/>
      <c r="T2329" s="258"/>
      <c r="U2329" s="258"/>
      <c r="V2329" s="258"/>
      <c r="W2329" s="258"/>
      <c r="X2329" s="258"/>
      <c r="Y2329" s="258"/>
      <c r="Z2329" s="258"/>
      <c r="AA2329" s="258"/>
      <c r="AB2329" s="258"/>
      <c r="AC2329" s="407"/>
    </row>
    <row r="2330" spans="2:29" s="406" customFormat="1" ht="16.5" customHeight="1">
      <c r="B2330" s="256"/>
      <c r="C2330" s="256"/>
      <c r="D2330" s="414"/>
      <c r="E2330" s="414"/>
      <c r="F2330" s="414"/>
      <c r="G2330" s="253"/>
      <c r="H2330" s="253"/>
      <c r="I2330" s="253"/>
      <c r="J2330" s="253"/>
      <c r="K2330" s="253"/>
      <c r="L2330" s="253"/>
      <c r="M2330" s="253"/>
      <c r="N2330" s="253"/>
      <c r="O2330" s="258"/>
      <c r="P2330" s="258"/>
      <c r="Q2330" s="258"/>
      <c r="R2330" s="258"/>
      <c r="S2330" s="258"/>
      <c r="T2330" s="258"/>
      <c r="U2330" s="258"/>
      <c r="V2330" s="258"/>
      <c r="W2330" s="258"/>
      <c r="X2330" s="258"/>
      <c r="Y2330" s="258"/>
      <c r="Z2330" s="258"/>
      <c r="AA2330" s="258"/>
      <c r="AB2330" s="258"/>
      <c r="AC2330" s="407"/>
    </row>
    <row r="2331" spans="2:29" s="406" customFormat="1" ht="16.5" customHeight="1">
      <c r="B2331" s="256"/>
      <c r="C2331" s="256"/>
      <c r="D2331" s="414"/>
      <c r="E2331" s="414"/>
      <c r="F2331" s="414"/>
      <c r="G2331" s="253"/>
      <c r="H2331" s="253"/>
      <c r="I2331" s="253"/>
      <c r="J2331" s="253"/>
      <c r="K2331" s="253"/>
      <c r="L2331" s="253"/>
      <c r="M2331" s="253"/>
      <c r="N2331" s="253"/>
      <c r="O2331" s="258"/>
      <c r="P2331" s="258"/>
      <c r="Q2331" s="258"/>
      <c r="R2331" s="258"/>
      <c r="S2331" s="258"/>
      <c r="T2331" s="258"/>
      <c r="U2331" s="258"/>
      <c r="V2331" s="258"/>
      <c r="W2331" s="258"/>
      <c r="X2331" s="258"/>
      <c r="Y2331" s="258"/>
      <c r="Z2331" s="258"/>
      <c r="AA2331" s="258"/>
      <c r="AB2331" s="258"/>
      <c r="AC2331" s="407"/>
    </row>
    <row r="2332" spans="2:29" s="406" customFormat="1" ht="16.5" customHeight="1">
      <c r="B2332" s="256"/>
      <c r="C2332" s="256"/>
      <c r="D2332" s="414"/>
      <c r="E2332" s="414"/>
      <c r="F2332" s="414"/>
      <c r="G2332" s="253"/>
      <c r="H2332" s="253"/>
      <c r="I2332" s="253"/>
      <c r="J2332" s="253"/>
      <c r="K2332" s="253"/>
      <c r="L2332" s="253"/>
      <c r="M2332" s="253"/>
      <c r="N2332" s="253"/>
      <c r="O2332" s="258"/>
      <c r="P2332" s="258"/>
      <c r="Q2332" s="258"/>
      <c r="R2332" s="258"/>
      <c r="S2332" s="258"/>
      <c r="T2332" s="258"/>
      <c r="U2332" s="258"/>
      <c r="V2332" s="258"/>
      <c r="W2332" s="258"/>
      <c r="X2332" s="258"/>
      <c r="Y2332" s="258"/>
      <c r="Z2332" s="258"/>
      <c r="AA2332" s="258"/>
      <c r="AB2332" s="258"/>
      <c r="AC2332" s="407"/>
    </row>
    <row r="2333" spans="2:29" s="406" customFormat="1" ht="16.5" customHeight="1">
      <c r="B2333" s="256"/>
      <c r="C2333" s="256"/>
      <c r="D2333" s="414"/>
      <c r="E2333" s="414"/>
      <c r="F2333" s="414"/>
      <c r="G2333" s="253"/>
      <c r="H2333" s="253"/>
      <c r="I2333" s="253"/>
      <c r="J2333" s="253"/>
      <c r="K2333" s="253"/>
      <c r="L2333" s="253"/>
      <c r="M2333" s="253"/>
      <c r="N2333" s="253"/>
      <c r="O2333" s="258"/>
      <c r="P2333" s="258"/>
      <c r="Q2333" s="258"/>
      <c r="R2333" s="258"/>
      <c r="S2333" s="258"/>
      <c r="T2333" s="258"/>
      <c r="U2333" s="258"/>
      <c r="V2333" s="258"/>
      <c r="W2333" s="258"/>
      <c r="X2333" s="258"/>
      <c r="Y2333" s="258"/>
      <c r="Z2333" s="258"/>
      <c r="AA2333" s="258"/>
      <c r="AB2333" s="258"/>
      <c r="AC2333" s="407"/>
    </row>
    <row r="2334" spans="2:29" s="406" customFormat="1" ht="16.5" customHeight="1">
      <c r="B2334" s="256"/>
      <c r="C2334" s="256"/>
      <c r="D2334" s="414"/>
      <c r="E2334" s="414"/>
      <c r="F2334" s="414"/>
      <c r="G2334" s="253"/>
      <c r="H2334" s="253"/>
      <c r="I2334" s="253"/>
      <c r="J2334" s="253"/>
      <c r="K2334" s="253"/>
      <c r="L2334" s="253"/>
      <c r="M2334" s="253"/>
      <c r="N2334" s="253"/>
      <c r="O2334" s="258"/>
      <c r="P2334" s="258"/>
      <c r="Q2334" s="258"/>
      <c r="R2334" s="258"/>
      <c r="S2334" s="258"/>
      <c r="T2334" s="258"/>
      <c r="U2334" s="258"/>
      <c r="V2334" s="258"/>
      <c r="W2334" s="258"/>
      <c r="X2334" s="258"/>
      <c r="Y2334" s="258"/>
      <c r="Z2334" s="258"/>
      <c r="AA2334" s="258"/>
      <c r="AB2334" s="258"/>
      <c r="AC2334" s="407"/>
    </row>
    <row r="2335" spans="2:29" s="406" customFormat="1" ht="16.5" customHeight="1">
      <c r="B2335" s="256"/>
      <c r="C2335" s="256"/>
      <c r="D2335" s="414"/>
      <c r="E2335" s="414"/>
      <c r="F2335" s="414"/>
      <c r="G2335" s="253"/>
      <c r="H2335" s="253"/>
      <c r="I2335" s="253"/>
      <c r="J2335" s="253"/>
      <c r="K2335" s="253"/>
      <c r="L2335" s="253"/>
      <c r="M2335" s="253"/>
      <c r="N2335" s="253"/>
      <c r="O2335" s="258"/>
      <c r="P2335" s="258"/>
      <c r="Q2335" s="258"/>
      <c r="R2335" s="258"/>
      <c r="S2335" s="258"/>
      <c r="T2335" s="258"/>
      <c r="U2335" s="258"/>
      <c r="V2335" s="258"/>
      <c r="W2335" s="258"/>
      <c r="X2335" s="258"/>
      <c r="Y2335" s="258"/>
      <c r="Z2335" s="258"/>
      <c r="AA2335" s="258"/>
      <c r="AB2335" s="258"/>
      <c r="AC2335" s="407"/>
    </row>
    <row r="2336" spans="2:29" s="406" customFormat="1" ht="16.5" customHeight="1">
      <c r="B2336" s="256"/>
      <c r="C2336" s="256"/>
      <c r="D2336" s="414"/>
      <c r="E2336" s="414"/>
      <c r="F2336" s="414"/>
      <c r="G2336" s="253"/>
      <c r="H2336" s="253"/>
      <c r="I2336" s="253"/>
      <c r="J2336" s="253"/>
      <c r="K2336" s="253"/>
      <c r="L2336" s="253"/>
      <c r="M2336" s="253"/>
      <c r="N2336" s="253"/>
      <c r="O2336" s="258"/>
      <c r="P2336" s="258"/>
      <c r="Q2336" s="258"/>
      <c r="R2336" s="258"/>
      <c r="S2336" s="258"/>
      <c r="T2336" s="258"/>
      <c r="U2336" s="258"/>
      <c r="V2336" s="258"/>
      <c r="W2336" s="258"/>
      <c r="X2336" s="258"/>
      <c r="Y2336" s="258"/>
      <c r="Z2336" s="258"/>
      <c r="AA2336" s="258"/>
      <c r="AB2336" s="258"/>
      <c r="AC2336" s="407"/>
    </row>
    <row r="2337" spans="2:29" s="406" customFormat="1" ht="16.5" customHeight="1">
      <c r="B2337" s="256"/>
      <c r="C2337" s="256"/>
      <c r="D2337" s="414"/>
      <c r="E2337" s="414"/>
      <c r="F2337" s="414"/>
      <c r="G2337" s="253"/>
      <c r="H2337" s="253"/>
      <c r="I2337" s="253"/>
      <c r="J2337" s="253"/>
      <c r="K2337" s="253"/>
      <c r="L2337" s="253"/>
      <c r="M2337" s="253"/>
      <c r="N2337" s="253"/>
      <c r="O2337" s="258"/>
      <c r="P2337" s="258"/>
      <c r="Q2337" s="258"/>
      <c r="R2337" s="258"/>
      <c r="S2337" s="258"/>
      <c r="T2337" s="258"/>
      <c r="U2337" s="258"/>
      <c r="V2337" s="258"/>
      <c r="W2337" s="258"/>
      <c r="X2337" s="258"/>
      <c r="Y2337" s="258"/>
      <c r="Z2337" s="258"/>
      <c r="AA2337" s="258"/>
      <c r="AB2337" s="258"/>
      <c r="AC2337" s="407"/>
    </row>
    <row r="2338" spans="2:29" s="406" customFormat="1" ht="16.5" customHeight="1">
      <c r="B2338" s="256"/>
      <c r="C2338" s="256"/>
      <c r="D2338" s="414"/>
      <c r="E2338" s="414"/>
      <c r="F2338" s="414"/>
      <c r="G2338" s="253"/>
      <c r="H2338" s="253"/>
      <c r="I2338" s="253"/>
      <c r="J2338" s="253"/>
      <c r="K2338" s="253"/>
      <c r="L2338" s="253"/>
      <c r="M2338" s="253"/>
      <c r="N2338" s="253"/>
      <c r="O2338" s="258"/>
      <c r="P2338" s="258"/>
      <c r="Q2338" s="258"/>
      <c r="R2338" s="258"/>
      <c r="S2338" s="258"/>
      <c r="T2338" s="258"/>
      <c r="U2338" s="258"/>
      <c r="V2338" s="258"/>
      <c r="W2338" s="258"/>
      <c r="X2338" s="258"/>
      <c r="Y2338" s="258"/>
      <c r="Z2338" s="258"/>
      <c r="AA2338" s="258"/>
      <c r="AB2338" s="258"/>
      <c r="AC2338" s="407"/>
    </row>
    <row r="2339" spans="2:29" s="406" customFormat="1" ht="16.5" customHeight="1">
      <c r="B2339" s="256"/>
      <c r="C2339" s="256"/>
      <c r="D2339" s="414"/>
      <c r="E2339" s="414"/>
      <c r="F2339" s="414"/>
      <c r="G2339" s="253"/>
      <c r="H2339" s="253"/>
      <c r="I2339" s="253"/>
      <c r="J2339" s="253"/>
      <c r="K2339" s="253"/>
      <c r="L2339" s="253"/>
      <c r="M2339" s="253"/>
      <c r="N2339" s="253"/>
      <c r="O2339" s="258"/>
      <c r="P2339" s="258"/>
      <c r="Q2339" s="258"/>
      <c r="R2339" s="258"/>
      <c r="S2339" s="258"/>
      <c r="T2339" s="258"/>
      <c r="U2339" s="258"/>
      <c r="V2339" s="258"/>
      <c r="W2339" s="258"/>
      <c r="X2339" s="258"/>
      <c r="Y2339" s="258"/>
      <c r="Z2339" s="258"/>
      <c r="AA2339" s="258"/>
      <c r="AB2339" s="258"/>
      <c r="AC2339" s="407"/>
    </row>
    <row r="2340" spans="2:29" s="406" customFormat="1" ht="16.5" customHeight="1">
      <c r="B2340" s="256"/>
      <c r="C2340" s="256"/>
      <c r="D2340" s="414"/>
      <c r="E2340" s="414"/>
      <c r="F2340" s="414"/>
      <c r="G2340" s="253"/>
      <c r="H2340" s="253"/>
      <c r="I2340" s="253"/>
      <c r="J2340" s="253"/>
      <c r="K2340" s="253"/>
      <c r="L2340" s="253"/>
      <c r="M2340" s="253"/>
      <c r="N2340" s="253"/>
      <c r="O2340" s="258"/>
      <c r="P2340" s="258"/>
      <c r="Q2340" s="258"/>
      <c r="R2340" s="258"/>
      <c r="S2340" s="258"/>
      <c r="T2340" s="258"/>
      <c r="U2340" s="258"/>
      <c r="V2340" s="258"/>
      <c r="W2340" s="258"/>
      <c r="X2340" s="258"/>
      <c r="Y2340" s="258"/>
      <c r="Z2340" s="258"/>
      <c r="AA2340" s="258"/>
      <c r="AB2340" s="258"/>
      <c r="AC2340" s="407"/>
    </row>
    <row r="2341" spans="2:29" s="406" customFormat="1" ht="16.5" customHeight="1">
      <c r="B2341" s="256"/>
      <c r="C2341" s="256"/>
      <c r="D2341" s="414"/>
      <c r="E2341" s="414"/>
      <c r="F2341" s="414"/>
      <c r="G2341" s="253"/>
      <c r="H2341" s="253"/>
      <c r="I2341" s="253"/>
      <c r="J2341" s="253"/>
      <c r="K2341" s="253"/>
      <c r="L2341" s="253"/>
      <c r="M2341" s="253"/>
      <c r="N2341" s="253"/>
      <c r="O2341" s="258"/>
      <c r="P2341" s="258"/>
      <c r="Q2341" s="258"/>
      <c r="R2341" s="258"/>
      <c r="S2341" s="258"/>
      <c r="T2341" s="258"/>
      <c r="U2341" s="258"/>
      <c r="V2341" s="258"/>
      <c r="W2341" s="258"/>
      <c r="X2341" s="258"/>
      <c r="Y2341" s="258"/>
      <c r="Z2341" s="258"/>
      <c r="AA2341" s="258"/>
      <c r="AB2341" s="258"/>
      <c r="AC2341" s="407"/>
    </row>
    <row r="2342" spans="2:29" s="406" customFormat="1" ht="16.5" customHeight="1">
      <c r="B2342" s="256"/>
      <c r="C2342" s="256"/>
      <c r="D2342" s="414"/>
      <c r="E2342" s="414"/>
      <c r="F2342" s="414"/>
      <c r="G2342" s="253"/>
      <c r="H2342" s="253"/>
      <c r="I2342" s="253"/>
      <c r="J2342" s="253"/>
      <c r="K2342" s="253"/>
      <c r="L2342" s="253"/>
      <c r="M2342" s="253"/>
      <c r="N2342" s="253"/>
      <c r="O2342" s="258"/>
      <c r="P2342" s="258"/>
      <c r="Q2342" s="258"/>
      <c r="R2342" s="258"/>
      <c r="S2342" s="258"/>
      <c r="T2342" s="258"/>
      <c r="U2342" s="258"/>
      <c r="V2342" s="258"/>
      <c r="W2342" s="258"/>
      <c r="X2342" s="258"/>
      <c r="Y2342" s="258"/>
      <c r="Z2342" s="258"/>
      <c r="AA2342" s="258"/>
      <c r="AB2342" s="258"/>
      <c r="AC2342" s="407"/>
    </row>
    <row r="2343" spans="2:29" s="406" customFormat="1" ht="16.5" customHeight="1">
      <c r="B2343" s="256"/>
      <c r="C2343" s="256"/>
      <c r="D2343" s="414"/>
      <c r="E2343" s="414"/>
      <c r="F2343" s="414"/>
      <c r="G2343" s="253"/>
      <c r="H2343" s="253"/>
      <c r="I2343" s="253"/>
      <c r="J2343" s="253"/>
      <c r="K2343" s="253"/>
      <c r="L2343" s="253"/>
      <c r="M2343" s="253"/>
      <c r="N2343" s="253"/>
      <c r="O2343" s="258"/>
      <c r="P2343" s="258"/>
      <c r="Q2343" s="258"/>
      <c r="R2343" s="258"/>
      <c r="S2343" s="258"/>
      <c r="T2343" s="258"/>
      <c r="U2343" s="258"/>
      <c r="V2343" s="258"/>
      <c r="W2343" s="258"/>
      <c r="X2343" s="258"/>
      <c r="Y2343" s="258"/>
      <c r="Z2343" s="258"/>
      <c r="AA2343" s="258"/>
      <c r="AB2343" s="258"/>
      <c r="AC2343" s="407"/>
    </row>
    <row r="2344" spans="2:29" s="406" customFormat="1" ht="16.5" customHeight="1">
      <c r="B2344" s="256"/>
      <c r="C2344" s="256"/>
      <c r="D2344" s="414"/>
      <c r="E2344" s="414"/>
      <c r="F2344" s="414"/>
      <c r="G2344" s="253"/>
      <c r="H2344" s="253"/>
      <c r="I2344" s="253"/>
      <c r="J2344" s="253"/>
      <c r="K2344" s="253"/>
      <c r="L2344" s="253"/>
      <c r="M2344" s="253"/>
      <c r="N2344" s="253"/>
      <c r="O2344" s="258"/>
      <c r="P2344" s="258"/>
      <c r="Q2344" s="258"/>
      <c r="R2344" s="258"/>
      <c r="S2344" s="258"/>
      <c r="T2344" s="258"/>
      <c r="U2344" s="258"/>
      <c r="V2344" s="258"/>
      <c r="W2344" s="258"/>
      <c r="X2344" s="258"/>
      <c r="Y2344" s="258"/>
      <c r="Z2344" s="258"/>
      <c r="AA2344" s="258"/>
      <c r="AB2344" s="258"/>
      <c r="AC2344" s="407"/>
    </row>
    <row r="2345" spans="2:29" s="406" customFormat="1" ht="16.5" customHeight="1">
      <c r="B2345" s="256"/>
      <c r="C2345" s="256"/>
      <c r="D2345" s="414"/>
      <c r="E2345" s="414"/>
      <c r="F2345" s="414"/>
      <c r="G2345" s="253"/>
      <c r="H2345" s="253"/>
      <c r="I2345" s="253"/>
      <c r="J2345" s="253"/>
      <c r="K2345" s="253"/>
      <c r="L2345" s="253"/>
      <c r="M2345" s="253"/>
      <c r="N2345" s="253"/>
      <c r="O2345" s="258"/>
      <c r="P2345" s="258"/>
      <c r="Q2345" s="258"/>
      <c r="R2345" s="258"/>
      <c r="S2345" s="258"/>
      <c r="T2345" s="258"/>
      <c r="U2345" s="258"/>
      <c r="V2345" s="258"/>
      <c r="W2345" s="258"/>
      <c r="X2345" s="258"/>
      <c r="Y2345" s="258"/>
      <c r="Z2345" s="258"/>
      <c r="AA2345" s="258"/>
      <c r="AB2345" s="258"/>
      <c r="AC2345" s="407"/>
    </row>
    <row r="2346" spans="2:29" s="406" customFormat="1" ht="16.5" customHeight="1">
      <c r="B2346" s="256"/>
      <c r="C2346" s="256"/>
      <c r="D2346" s="414"/>
      <c r="E2346" s="414"/>
      <c r="F2346" s="414"/>
      <c r="G2346" s="253"/>
      <c r="H2346" s="253"/>
      <c r="I2346" s="253"/>
      <c r="J2346" s="253"/>
      <c r="K2346" s="253"/>
      <c r="L2346" s="253"/>
      <c r="M2346" s="253"/>
      <c r="N2346" s="253"/>
      <c r="O2346" s="258"/>
      <c r="P2346" s="258"/>
      <c r="Q2346" s="258"/>
      <c r="R2346" s="258"/>
      <c r="S2346" s="258"/>
      <c r="T2346" s="258"/>
      <c r="U2346" s="258"/>
      <c r="V2346" s="258"/>
      <c r="W2346" s="258"/>
      <c r="X2346" s="258"/>
      <c r="Y2346" s="258"/>
      <c r="Z2346" s="258"/>
      <c r="AA2346" s="258"/>
      <c r="AB2346" s="258"/>
      <c r="AC2346" s="407"/>
    </row>
    <row r="2347" spans="2:29" s="406" customFormat="1" ht="16.5" customHeight="1">
      <c r="B2347" s="256"/>
      <c r="C2347" s="256"/>
      <c r="D2347" s="414"/>
      <c r="E2347" s="414"/>
      <c r="F2347" s="414"/>
      <c r="G2347" s="253"/>
      <c r="H2347" s="253"/>
      <c r="I2347" s="253"/>
      <c r="J2347" s="253"/>
      <c r="K2347" s="253"/>
      <c r="L2347" s="253"/>
      <c r="M2347" s="253"/>
      <c r="N2347" s="253"/>
      <c r="O2347" s="258"/>
      <c r="P2347" s="258"/>
      <c r="Q2347" s="258"/>
      <c r="R2347" s="258"/>
      <c r="S2347" s="258"/>
      <c r="T2347" s="258"/>
      <c r="U2347" s="258"/>
      <c r="V2347" s="258"/>
      <c r="W2347" s="258"/>
      <c r="X2347" s="258"/>
      <c r="Y2347" s="258"/>
      <c r="Z2347" s="258"/>
      <c r="AA2347" s="258"/>
      <c r="AB2347" s="258"/>
      <c r="AC2347" s="407"/>
    </row>
    <row r="2348" spans="2:29" s="406" customFormat="1" ht="16.5" customHeight="1">
      <c r="B2348" s="256"/>
      <c r="C2348" s="256"/>
      <c r="D2348" s="414"/>
      <c r="E2348" s="414"/>
      <c r="F2348" s="414"/>
      <c r="G2348" s="253"/>
      <c r="H2348" s="253"/>
      <c r="I2348" s="253"/>
      <c r="J2348" s="253"/>
      <c r="K2348" s="253"/>
      <c r="L2348" s="253"/>
      <c r="M2348" s="253"/>
      <c r="N2348" s="253"/>
      <c r="O2348" s="258"/>
      <c r="P2348" s="258"/>
      <c r="Q2348" s="258"/>
      <c r="R2348" s="258"/>
      <c r="S2348" s="258"/>
      <c r="T2348" s="258"/>
      <c r="U2348" s="258"/>
      <c r="V2348" s="258"/>
      <c r="W2348" s="258"/>
      <c r="X2348" s="258"/>
      <c r="Y2348" s="258"/>
      <c r="Z2348" s="258"/>
      <c r="AA2348" s="258"/>
      <c r="AB2348" s="258"/>
      <c r="AC2348" s="407"/>
    </row>
    <row r="2349" spans="2:29" s="406" customFormat="1" ht="16.5" customHeight="1">
      <c r="B2349" s="256"/>
      <c r="C2349" s="256"/>
      <c r="D2349" s="414"/>
      <c r="E2349" s="414"/>
      <c r="F2349" s="414"/>
      <c r="G2349" s="253"/>
      <c r="H2349" s="253"/>
      <c r="I2349" s="253"/>
      <c r="J2349" s="253"/>
      <c r="K2349" s="253"/>
      <c r="L2349" s="253"/>
      <c r="M2349" s="253"/>
      <c r="N2349" s="253"/>
      <c r="O2349" s="258"/>
      <c r="P2349" s="258"/>
      <c r="Q2349" s="258"/>
      <c r="R2349" s="258"/>
      <c r="S2349" s="258"/>
      <c r="T2349" s="258"/>
      <c r="U2349" s="258"/>
      <c r="V2349" s="258"/>
      <c r="W2349" s="258"/>
      <c r="X2349" s="258"/>
      <c r="Y2349" s="258"/>
      <c r="Z2349" s="258"/>
      <c r="AA2349" s="258"/>
      <c r="AB2349" s="258"/>
      <c r="AC2349" s="407"/>
    </row>
    <row r="2350" spans="2:29" s="406" customFormat="1" ht="16.5" customHeight="1">
      <c r="B2350" s="256"/>
      <c r="C2350" s="256"/>
      <c r="D2350" s="414"/>
      <c r="E2350" s="414"/>
      <c r="F2350" s="414"/>
      <c r="G2350" s="253"/>
      <c r="H2350" s="253"/>
      <c r="I2350" s="253"/>
      <c r="J2350" s="253"/>
      <c r="K2350" s="253"/>
      <c r="L2350" s="253"/>
      <c r="M2350" s="253"/>
      <c r="N2350" s="253"/>
      <c r="O2350" s="258"/>
      <c r="P2350" s="258"/>
      <c r="Q2350" s="258"/>
      <c r="R2350" s="258"/>
      <c r="S2350" s="258"/>
      <c r="T2350" s="258"/>
      <c r="U2350" s="258"/>
      <c r="V2350" s="258"/>
      <c r="W2350" s="258"/>
      <c r="X2350" s="258"/>
      <c r="Y2350" s="258"/>
      <c r="Z2350" s="258"/>
      <c r="AA2350" s="258"/>
      <c r="AB2350" s="258"/>
      <c r="AC2350" s="407"/>
    </row>
    <row r="2351" spans="2:29" s="406" customFormat="1" ht="16.5" customHeight="1">
      <c r="B2351" s="256"/>
      <c r="C2351" s="256"/>
      <c r="D2351" s="414"/>
      <c r="E2351" s="414"/>
      <c r="F2351" s="414"/>
      <c r="G2351" s="253"/>
      <c r="H2351" s="253"/>
      <c r="I2351" s="253"/>
      <c r="J2351" s="253"/>
      <c r="K2351" s="253"/>
      <c r="L2351" s="253"/>
      <c r="M2351" s="253"/>
      <c r="N2351" s="253"/>
      <c r="O2351" s="258"/>
      <c r="P2351" s="258"/>
      <c r="Q2351" s="258"/>
      <c r="R2351" s="258"/>
      <c r="S2351" s="258"/>
      <c r="T2351" s="258"/>
      <c r="U2351" s="258"/>
      <c r="V2351" s="258"/>
      <c r="W2351" s="258"/>
      <c r="X2351" s="258"/>
      <c r="Y2351" s="258"/>
      <c r="Z2351" s="258"/>
      <c r="AA2351" s="258"/>
      <c r="AB2351" s="258"/>
      <c r="AC2351" s="407"/>
    </row>
    <row r="2352" spans="2:29" s="406" customFormat="1" ht="16.5" customHeight="1">
      <c r="B2352" s="256"/>
      <c r="C2352" s="256"/>
      <c r="D2352" s="414"/>
      <c r="E2352" s="414"/>
      <c r="F2352" s="414"/>
      <c r="G2352" s="253"/>
      <c r="H2352" s="253"/>
      <c r="I2352" s="253"/>
      <c r="J2352" s="253"/>
      <c r="K2352" s="253"/>
      <c r="L2352" s="253"/>
      <c r="M2352" s="253"/>
      <c r="N2352" s="253"/>
      <c r="O2352" s="258"/>
      <c r="P2352" s="258"/>
      <c r="Q2352" s="258"/>
      <c r="R2352" s="258"/>
      <c r="S2352" s="258"/>
      <c r="T2352" s="258"/>
      <c r="U2352" s="258"/>
      <c r="V2352" s="258"/>
      <c r="W2352" s="258"/>
      <c r="X2352" s="258"/>
      <c r="Y2352" s="258"/>
      <c r="Z2352" s="258"/>
      <c r="AA2352" s="258"/>
      <c r="AB2352" s="258"/>
      <c r="AC2352" s="407"/>
    </row>
    <row r="2353" spans="2:29" s="406" customFormat="1" ht="16.5" customHeight="1">
      <c r="B2353" s="256"/>
      <c r="C2353" s="256"/>
      <c r="D2353" s="414"/>
      <c r="E2353" s="414"/>
      <c r="F2353" s="414"/>
      <c r="G2353" s="253"/>
      <c r="H2353" s="253"/>
      <c r="I2353" s="253"/>
      <c r="J2353" s="253"/>
      <c r="K2353" s="253"/>
      <c r="L2353" s="253"/>
      <c r="M2353" s="253"/>
      <c r="N2353" s="253"/>
      <c r="O2353" s="258"/>
      <c r="P2353" s="258"/>
      <c r="Q2353" s="258"/>
      <c r="R2353" s="258"/>
      <c r="S2353" s="258"/>
      <c r="T2353" s="258"/>
      <c r="U2353" s="258"/>
      <c r="V2353" s="258"/>
      <c r="W2353" s="258"/>
      <c r="X2353" s="258"/>
      <c r="Y2353" s="258"/>
      <c r="Z2353" s="258"/>
      <c r="AA2353" s="258"/>
      <c r="AB2353" s="258"/>
      <c r="AC2353" s="407"/>
    </row>
    <row r="2354" spans="2:29" s="406" customFormat="1" ht="16.5" customHeight="1">
      <c r="B2354" s="256"/>
      <c r="C2354" s="256"/>
      <c r="D2354" s="414"/>
      <c r="E2354" s="414"/>
      <c r="F2354" s="414"/>
      <c r="G2354" s="253"/>
      <c r="H2354" s="253"/>
      <c r="I2354" s="253"/>
      <c r="J2354" s="253"/>
      <c r="K2354" s="253"/>
      <c r="L2354" s="253"/>
      <c r="M2354" s="253"/>
      <c r="N2354" s="253"/>
      <c r="O2354" s="258"/>
      <c r="P2354" s="258"/>
      <c r="Q2354" s="258"/>
      <c r="R2354" s="258"/>
      <c r="S2354" s="258"/>
      <c r="T2354" s="258"/>
      <c r="U2354" s="258"/>
      <c r="V2354" s="258"/>
      <c r="W2354" s="258"/>
      <c r="X2354" s="258"/>
      <c r="Y2354" s="258"/>
      <c r="Z2354" s="258"/>
      <c r="AA2354" s="258"/>
      <c r="AB2354" s="258"/>
      <c r="AC2354" s="407"/>
    </row>
    <row r="2355" spans="2:29" s="406" customFormat="1" ht="16.5" customHeight="1">
      <c r="B2355" s="256"/>
      <c r="C2355" s="256"/>
      <c r="D2355" s="414"/>
      <c r="E2355" s="414"/>
      <c r="F2355" s="414"/>
      <c r="G2355" s="253"/>
      <c r="H2355" s="253"/>
      <c r="I2355" s="253"/>
      <c r="J2355" s="253"/>
      <c r="K2355" s="253"/>
      <c r="L2355" s="253"/>
      <c r="M2355" s="253"/>
      <c r="N2355" s="253"/>
      <c r="O2355" s="258"/>
      <c r="P2355" s="258"/>
      <c r="Q2355" s="258"/>
      <c r="R2355" s="258"/>
      <c r="S2355" s="258"/>
      <c r="T2355" s="258"/>
      <c r="U2355" s="258"/>
      <c r="V2355" s="258"/>
      <c r="W2355" s="258"/>
      <c r="X2355" s="258"/>
      <c r="Y2355" s="258"/>
      <c r="Z2355" s="258"/>
      <c r="AA2355" s="258"/>
      <c r="AB2355" s="258"/>
      <c r="AC2355" s="407"/>
    </row>
    <row r="2356" spans="2:29" s="406" customFormat="1" ht="16.5" customHeight="1">
      <c r="B2356" s="256"/>
      <c r="C2356" s="256"/>
      <c r="D2356" s="414"/>
      <c r="E2356" s="414"/>
      <c r="F2356" s="414"/>
      <c r="G2356" s="253"/>
      <c r="H2356" s="253"/>
      <c r="I2356" s="253"/>
      <c r="J2356" s="253"/>
      <c r="K2356" s="253"/>
      <c r="L2356" s="253"/>
      <c r="M2356" s="253"/>
      <c r="N2356" s="253"/>
      <c r="O2356" s="258"/>
      <c r="P2356" s="258"/>
      <c r="Q2356" s="258"/>
      <c r="R2356" s="258"/>
      <c r="S2356" s="258"/>
      <c r="T2356" s="258"/>
      <c r="U2356" s="258"/>
      <c r="V2356" s="258"/>
      <c r="W2356" s="258"/>
      <c r="X2356" s="258"/>
      <c r="Y2356" s="258"/>
      <c r="Z2356" s="258"/>
      <c r="AA2356" s="258"/>
      <c r="AB2356" s="258"/>
      <c r="AC2356" s="407"/>
    </row>
    <row r="2357" spans="2:29" s="406" customFormat="1" ht="16.5" customHeight="1">
      <c r="B2357" s="256"/>
      <c r="C2357" s="256"/>
      <c r="D2357" s="414"/>
      <c r="E2357" s="414"/>
      <c r="F2357" s="414"/>
      <c r="G2357" s="253"/>
      <c r="H2357" s="253"/>
      <c r="I2357" s="253"/>
      <c r="J2357" s="253"/>
      <c r="K2357" s="253"/>
      <c r="L2357" s="253"/>
      <c r="M2357" s="253"/>
      <c r="N2357" s="253"/>
      <c r="O2357" s="258"/>
      <c r="P2357" s="258"/>
      <c r="Q2357" s="258"/>
      <c r="R2357" s="258"/>
      <c r="S2357" s="258"/>
      <c r="T2357" s="258"/>
      <c r="U2357" s="258"/>
      <c r="V2357" s="258"/>
      <c r="W2357" s="258"/>
      <c r="X2357" s="258"/>
      <c r="Y2357" s="258"/>
      <c r="Z2357" s="258"/>
      <c r="AA2357" s="258"/>
      <c r="AB2357" s="258"/>
      <c r="AC2357" s="407"/>
    </row>
    <row r="2358" spans="2:29" s="406" customFormat="1" ht="16.5" customHeight="1">
      <c r="B2358" s="256"/>
      <c r="C2358" s="256"/>
      <c r="D2358" s="414"/>
      <c r="E2358" s="414"/>
      <c r="F2358" s="414"/>
      <c r="G2358" s="253"/>
      <c r="H2358" s="253"/>
      <c r="I2358" s="253"/>
      <c r="J2358" s="253"/>
      <c r="K2358" s="253"/>
      <c r="L2358" s="253"/>
      <c r="M2358" s="253"/>
      <c r="N2358" s="253"/>
      <c r="O2358" s="258"/>
      <c r="P2358" s="258"/>
      <c r="Q2358" s="258"/>
      <c r="R2358" s="258"/>
      <c r="S2358" s="258"/>
      <c r="T2358" s="258"/>
      <c r="U2358" s="258"/>
      <c r="V2358" s="258"/>
      <c r="W2358" s="258"/>
      <c r="X2358" s="258"/>
      <c r="Y2358" s="258"/>
      <c r="Z2358" s="258"/>
      <c r="AA2358" s="258"/>
      <c r="AB2358" s="258"/>
      <c r="AC2358" s="407"/>
    </row>
    <row r="2359" spans="2:29" s="406" customFormat="1" ht="16.5" customHeight="1">
      <c r="B2359" s="256"/>
      <c r="C2359" s="256"/>
      <c r="D2359" s="414"/>
      <c r="E2359" s="414"/>
      <c r="F2359" s="414"/>
      <c r="G2359" s="253"/>
      <c r="H2359" s="253"/>
      <c r="I2359" s="253"/>
      <c r="J2359" s="253"/>
      <c r="K2359" s="253"/>
      <c r="L2359" s="253"/>
      <c r="M2359" s="253"/>
      <c r="N2359" s="253"/>
      <c r="O2359" s="258"/>
      <c r="P2359" s="258"/>
      <c r="Q2359" s="258"/>
      <c r="R2359" s="258"/>
      <c r="S2359" s="258"/>
      <c r="T2359" s="258"/>
      <c r="U2359" s="258"/>
      <c r="V2359" s="258"/>
      <c r="W2359" s="258"/>
      <c r="X2359" s="258"/>
      <c r="Y2359" s="258"/>
      <c r="Z2359" s="258"/>
      <c r="AA2359" s="258"/>
      <c r="AB2359" s="258"/>
      <c r="AC2359" s="407"/>
    </row>
    <row r="2360" spans="2:29" s="406" customFormat="1" ht="16.5" customHeight="1">
      <c r="B2360" s="256"/>
      <c r="C2360" s="256"/>
      <c r="D2360" s="414"/>
      <c r="E2360" s="414"/>
      <c r="F2360" s="414"/>
      <c r="G2360" s="253"/>
      <c r="H2360" s="253"/>
      <c r="I2360" s="253"/>
      <c r="J2360" s="253"/>
      <c r="K2360" s="253"/>
      <c r="L2360" s="253"/>
      <c r="M2360" s="253"/>
      <c r="N2360" s="253"/>
      <c r="O2360" s="258"/>
      <c r="P2360" s="258"/>
      <c r="Q2360" s="258"/>
      <c r="R2360" s="258"/>
      <c r="S2360" s="258"/>
      <c r="T2360" s="258"/>
      <c r="U2360" s="258"/>
      <c r="V2360" s="258"/>
      <c r="W2360" s="258"/>
      <c r="X2360" s="258"/>
      <c r="Y2360" s="258"/>
      <c r="Z2360" s="258"/>
      <c r="AA2360" s="258"/>
      <c r="AB2360" s="258"/>
      <c r="AC2360" s="407"/>
    </row>
    <row r="2361" spans="2:29" s="406" customFormat="1" ht="16.5" customHeight="1">
      <c r="B2361" s="256"/>
      <c r="C2361" s="256"/>
      <c r="D2361" s="414"/>
      <c r="E2361" s="414"/>
      <c r="F2361" s="414"/>
      <c r="G2361" s="253"/>
      <c r="H2361" s="253"/>
      <c r="I2361" s="253"/>
      <c r="J2361" s="253"/>
      <c r="K2361" s="253"/>
      <c r="L2361" s="253"/>
      <c r="M2361" s="253"/>
      <c r="N2361" s="253"/>
      <c r="O2361" s="258"/>
      <c r="P2361" s="258"/>
      <c r="Q2361" s="258"/>
      <c r="R2361" s="258"/>
      <c r="S2361" s="258"/>
      <c r="T2361" s="258"/>
      <c r="U2361" s="258"/>
      <c r="V2361" s="258"/>
      <c r="W2361" s="258"/>
      <c r="X2361" s="258"/>
      <c r="Y2361" s="258"/>
      <c r="Z2361" s="258"/>
      <c r="AA2361" s="258"/>
      <c r="AB2361" s="258"/>
      <c r="AC2361" s="407"/>
    </row>
    <row r="2362" spans="2:29" s="406" customFormat="1" ht="16.5" customHeight="1">
      <c r="B2362" s="256"/>
      <c r="C2362" s="256"/>
      <c r="D2362" s="414"/>
      <c r="E2362" s="414"/>
      <c r="F2362" s="414"/>
      <c r="G2362" s="253"/>
      <c r="H2362" s="253"/>
      <c r="I2362" s="253"/>
      <c r="J2362" s="253"/>
      <c r="K2362" s="253"/>
      <c r="L2362" s="253"/>
      <c r="M2362" s="253"/>
      <c r="N2362" s="253"/>
      <c r="O2362" s="258"/>
      <c r="P2362" s="258"/>
      <c r="Q2362" s="258"/>
      <c r="R2362" s="258"/>
      <c r="S2362" s="258"/>
      <c r="T2362" s="258"/>
      <c r="U2362" s="258"/>
      <c r="V2362" s="258"/>
      <c r="W2362" s="258"/>
      <c r="X2362" s="258"/>
      <c r="Y2362" s="258"/>
      <c r="Z2362" s="258"/>
      <c r="AA2362" s="258"/>
      <c r="AB2362" s="258"/>
      <c r="AC2362" s="407"/>
    </row>
    <row r="2363" spans="2:29" s="406" customFormat="1" ht="16.5" customHeight="1">
      <c r="B2363" s="256"/>
      <c r="C2363" s="256"/>
      <c r="D2363" s="414"/>
      <c r="E2363" s="414"/>
      <c r="F2363" s="414"/>
      <c r="G2363" s="253"/>
      <c r="H2363" s="253"/>
      <c r="I2363" s="253"/>
      <c r="J2363" s="253"/>
      <c r="K2363" s="253"/>
      <c r="L2363" s="253"/>
      <c r="M2363" s="253"/>
      <c r="N2363" s="253"/>
      <c r="O2363" s="258"/>
      <c r="P2363" s="258"/>
      <c r="Q2363" s="258"/>
      <c r="R2363" s="258"/>
      <c r="S2363" s="258"/>
      <c r="T2363" s="258"/>
      <c r="U2363" s="258"/>
      <c r="V2363" s="258"/>
      <c r="W2363" s="258"/>
      <c r="X2363" s="258"/>
      <c r="Y2363" s="258"/>
      <c r="Z2363" s="258"/>
      <c r="AA2363" s="258"/>
      <c r="AB2363" s="258"/>
      <c r="AC2363" s="407"/>
    </row>
    <row r="2364" spans="2:29" s="406" customFormat="1" ht="16.5" customHeight="1">
      <c r="B2364" s="256"/>
      <c r="C2364" s="256"/>
      <c r="D2364" s="414"/>
      <c r="E2364" s="414"/>
      <c r="F2364" s="414"/>
      <c r="G2364" s="253"/>
      <c r="H2364" s="253"/>
      <c r="I2364" s="253"/>
      <c r="J2364" s="253"/>
      <c r="K2364" s="253"/>
      <c r="L2364" s="253"/>
      <c r="M2364" s="253"/>
      <c r="N2364" s="253"/>
      <c r="O2364" s="258"/>
      <c r="P2364" s="258"/>
      <c r="Q2364" s="258"/>
      <c r="R2364" s="258"/>
      <c r="S2364" s="258"/>
      <c r="T2364" s="258"/>
      <c r="U2364" s="258"/>
      <c r="V2364" s="258"/>
      <c r="W2364" s="258"/>
      <c r="X2364" s="258"/>
      <c r="Y2364" s="258"/>
      <c r="Z2364" s="258"/>
      <c r="AA2364" s="258"/>
      <c r="AB2364" s="258"/>
      <c r="AC2364" s="407"/>
    </row>
    <row r="2365" spans="2:29" s="406" customFormat="1" ht="16.5" customHeight="1">
      <c r="B2365" s="256"/>
      <c r="C2365" s="256"/>
      <c r="D2365" s="414"/>
      <c r="E2365" s="414"/>
      <c r="F2365" s="414"/>
      <c r="G2365" s="253"/>
      <c r="H2365" s="253"/>
      <c r="I2365" s="253"/>
      <c r="J2365" s="253"/>
      <c r="K2365" s="253"/>
      <c r="L2365" s="253"/>
      <c r="M2365" s="253"/>
      <c r="N2365" s="253"/>
      <c r="O2365" s="258"/>
      <c r="P2365" s="258"/>
      <c r="Q2365" s="258"/>
      <c r="R2365" s="258"/>
      <c r="S2365" s="258"/>
      <c r="T2365" s="258"/>
      <c r="U2365" s="258"/>
      <c r="V2365" s="258"/>
      <c r="W2365" s="258"/>
      <c r="X2365" s="258"/>
      <c r="Y2365" s="258"/>
      <c r="Z2365" s="258"/>
      <c r="AA2365" s="258"/>
      <c r="AB2365" s="258"/>
      <c r="AC2365" s="407"/>
    </row>
    <row r="2366" spans="2:29" s="406" customFormat="1" ht="16.5" customHeight="1">
      <c r="B2366" s="256"/>
      <c r="C2366" s="256"/>
      <c r="D2366" s="414"/>
      <c r="E2366" s="414"/>
      <c r="F2366" s="414"/>
      <c r="G2366" s="253"/>
      <c r="H2366" s="253"/>
      <c r="I2366" s="253"/>
      <c r="J2366" s="253"/>
      <c r="K2366" s="253"/>
      <c r="L2366" s="253"/>
      <c r="M2366" s="253"/>
      <c r="N2366" s="253"/>
      <c r="O2366" s="258"/>
      <c r="P2366" s="258"/>
      <c r="Q2366" s="258"/>
      <c r="R2366" s="258"/>
      <c r="S2366" s="258"/>
      <c r="T2366" s="258"/>
      <c r="U2366" s="258"/>
      <c r="V2366" s="258"/>
      <c r="W2366" s="258"/>
      <c r="X2366" s="258"/>
      <c r="Y2366" s="258"/>
      <c r="Z2366" s="258"/>
      <c r="AA2366" s="258"/>
      <c r="AB2366" s="258"/>
      <c r="AC2366" s="407"/>
    </row>
    <row r="2367" spans="2:29" s="406" customFormat="1" ht="16.5" customHeight="1">
      <c r="B2367" s="256"/>
      <c r="C2367" s="256"/>
      <c r="D2367" s="414"/>
      <c r="E2367" s="414"/>
      <c r="F2367" s="414"/>
      <c r="G2367" s="253"/>
      <c r="H2367" s="253"/>
      <c r="I2367" s="253"/>
      <c r="J2367" s="253"/>
      <c r="K2367" s="253"/>
      <c r="L2367" s="253"/>
      <c r="M2367" s="253"/>
      <c r="N2367" s="253"/>
      <c r="O2367" s="258"/>
      <c r="P2367" s="258"/>
      <c r="Q2367" s="258"/>
      <c r="R2367" s="258"/>
      <c r="S2367" s="258"/>
      <c r="T2367" s="258"/>
      <c r="U2367" s="258"/>
      <c r="V2367" s="258"/>
      <c r="W2367" s="258"/>
      <c r="X2367" s="258"/>
      <c r="Y2367" s="258"/>
      <c r="Z2367" s="258"/>
      <c r="AA2367" s="258"/>
      <c r="AB2367" s="258"/>
      <c r="AC2367" s="407"/>
    </row>
    <row r="2368" spans="2:29" s="406" customFormat="1" ht="16.5" customHeight="1">
      <c r="B2368" s="256"/>
      <c r="C2368" s="256"/>
      <c r="D2368" s="414"/>
      <c r="E2368" s="414"/>
      <c r="F2368" s="414"/>
      <c r="G2368" s="253"/>
      <c r="H2368" s="253"/>
      <c r="I2368" s="253"/>
      <c r="J2368" s="253"/>
      <c r="K2368" s="253"/>
      <c r="L2368" s="253"/>
      <c r="M2368" s="253"/>
      <c r="N2368" s="253"/>
      <c r="O2368" s="258"/>
      <c r="P2368" s="258"/>
      <c r="Q2368" s="258"/>
      <c r="R2368" s="258"/>
      <c r="S2368" s="258"/>
      <c r="T2368" s="258"/>
      <c r="U2368" s="258"/>
      <c r="V2368" s="258"/>
      <c r="W2368" s="258"/>
      <c r="X2368" s="258"/>
      <c r="Y2368" s="258"/>
      <c r="Z2368" s="258"/>
      <c r="AA2368" s="258"/>
      <c r="AB2368" s="258"/>
      <c r="AC2368" s="407"/>
    </row>
    <row r="2369" spans="2:29" s="406" customFormat="1" ht="16.5" customHeight="1">
      <c r="B2369" s="256"/>
      <c r="C2369" s="256"/>
      <c r="D2369" s="414"/>
      <c r="E2369" s="414"/>
      <c r="F2369" s="414"/>
      <c r="G2369" s="253"/>
      <c r="H2369" s="253"/>
      <c r="I2369" s="253"/>
      <c r="J2369" s="253"/>
      <c r="K2369" s="253"/>
      <c r="L2369" s="253"/>
      <c r="M2369" s="253"/>
      <c r="N2369" s="253"/>
      <c r="O2369" s="258"/>
      <c r="P2369" s="258"/>
      <c r="Q2369" s="258"/>
      <c r="R2369" s="258"/>
      <c r="S2369" s="258"/>
      <c r="T2369" s="258"/>
      <c r="U2369" s="258"/>
      <c r="V2369" s="258"/>
      <c r="W2369" s="258"/>
      <c r="X2369" s="258"/>
      <c r="Y2369" s="258"/>
      <c r="Z2369" s="258"/>
      <c r="AA2369" s="258"/>
      <c r="AB2369" s="258"/>
      <c r="AC2369" s="407"/>
    </row>
    <row r="2370" spans="2:29" s="406" customFormat="1" ht="16.5" customHeight="1">
      <c r="B2370" s="256"/>
      <c r="C2370" s="256"/>
      <c r="D2370" s="414"/>
      <c r="E2370" s="414"/>
      <c r="F2370" s="414"/>
      <c r="G2370" s="253"/>
      <c r="H2370" s="253"/>
      <c r="I2370" s="253"/>
      <c r="J2370" s="253"/>
      <c r="K2370" s="253"/>
      <c r="L2370" s="253"/>
      <c r="M2370" s="253"/>
      <c r="N2370" s="253"/>
      <c r="O2370" s="258"/>
      <c r="P2370" s="258"/>
      <c r="Q2370" s="258"/>
      <c r="R2370" s="258"/>
      <c r="S2370" s="258"/>
      <c r="T2370" s="258"/>
      <c r="U2370" s="258"/>
      <c r="V2370" s="258"/>
      <c r="W2370" s="258"/>
      <c r="X2370" s="258"/>
      <c r="Y2370" s="258"/>
      <c r="Z2370" s="258"/>
      <c r="AA2370" s="258"/>
      <c r="AB2370" s="258"/>
      <c r="AC2370" s="407"/>
    </row>
    <row r="2371" spans="2:29" s="406" customFormat="1" ht="16.5" customHeight="1">
      <c r="B2371" s="256"/>
      <c r="C2371" s="256"/>
      <c r="D2371" s="414"/>
      <c r="E2371" s="414"/>
      <c r="F2371" s="414"/>
      <c r="G2371" s="253"/>
      <c r="H2371" s="253"/>
      <c r="I2371" s="253"/>
      <c r="J2371" s="253"/>
      <c r="K2371" s="253"/>
      <c r="L2371" s="253"/>
      <c r="M2371" s="253"/>
      <c r="N2371" s="253"/>
      <c r="O2371" s="258"/>
      <c r="P2371" s="258"/>
      <c r="Q2371" s="258"/>
      <c r="R2371" s="258"/>
      <c r="S2371" s="258"/>
      <c r="T2371" s="258"/>
      <c r="U2371" s="258"/>
      <c r="V2371" s="258"/>
      <c r="W2371" s="258"/>
      <c r="X2371" s="258"/>
      <c r="Y2371" s="258"/>
      <c r="Z2371" s="258"/>
      <c r="AA2371" s="258"/>
      <c r="AB2371" s="258"/>
      <c r="AC2371" s="407"/>
    </row>
    <row r="2372" spans="2:29" s="406" customFormat="1" ht="16.5" customHeight="1">
      <c r="B2372" s="256"/>
      <c r="C2372" s="256"/>
      <c r="D2372" s="414"/>
      <c r="E2372" s="414"/>
      <c r="F2372" s="414"/>
      <c r="G2372" s="253"/>
      <c r="H2372" s="253"/>
      <c r="I2372" s="253"/>
      <c r="J2372" s="253"/>
      <c r="K2372" s="253"/>
      <c r="L2372" s="253"/>
      <c r="M2372" s="253"/>
      <c r="N2372" s="253"/>
      <c r="O2372" s="258"/>
      <c r="P2372" s="258"/>
      <c r="Q2372" s="258"/>
      <c r="R2372" s="258"/>
      <c r="S2372" s="258"/>
      <c r="T2372" s="258"/>
      <c r="U2372" s="258"/>
      <c r="V2372" s="258"/>
      <c r="W2372" s="258"/>
      <c r="X2372" s="258"/>
      <c r="Y2372" s="258"/>
      <c r="Z2372" s="258"/>
      <c r="AA2372" s="258"/>
      <c r="AB2372" s="258"/>
      <c r="AC2372" s="407"/>
    </row>
    <row r="2373" spans="2:29" s="406" customFormat="1" ht="16.5" customHeight="1">
      <c r="B2373" s="256"/>
      <c r="C2373" s="256"/>
      <c r="D2373" s="414"/>
      <c r="E2373" s="414"/>
      <c r="F2373" s="414"/>
      <c r="G2373" s="253"/>
      <c r="H2373" s="253"/>
      <c r="I2373" s="253"/>
      <c r="J2373" s="253"/>
      <c r="K2373" s="253"/>
      <c r="L2373" s="253"/>
      <c r="M2373" s="253"/>
      <c r="N2373" s="253"/>
      <c r="O2373" s="258"/>
      <c r="P2373" s="258"/>
      <c r="Q2373" s="258"/>
      <c r="R2373" s="258"/>
      <c r="S2373" s="258"/>
      <c r="T2373" s="258"/>
      <c r="U2373" s="258"/>
      <c r="V2373" s="258"/>
      <c r="W2373" s="258"/>
      <c r="X2373" s="258"/>
      <c r="Y2373" s="258"/>
      <c r="Z2373" s="258"/>
      <c r="AA2373" s="258"/>
      <c r="AB2373" s="258"/>
      <c r="AC2373" s="407"/>
    </row>
    <row r="2374" spans="2:29" s="406" customFormat="1" ht="16.5" customHeight="1">
      <c r="B2374" s="256"/>
      <c r="C2374" s="256"/>
      <c r="D2374" s="414"/>
      <c r="E2374" s="414"/>
      <c r="F2374" s="414"/>
      <c r="G2374" s="253"/>
      <c r="H2374" s="253"/>
      <c r="I2374" s="253"/>
      <c r="J2374" s="253"/>
      <c r="K2374" s="253"/>
      <c r="L2374" s="253"/>
      <c r="M2374" s="253"/>
      <c r="N2374" s="253"/>
      <c r="O2374" s="258"/>
      <c r="P2374" s="258"/>
      <c r="Q2374" s="258"/>
      <c r="R2374" s="258"/>
      <c r="S2374" s="258"/>
      <c r="T2374" s="258"/>
      <c r="U2374" s="258"/>
      <c r="V2374" s="258"/>
      <c r="W2374" s="258"/>
      <c r="X2374" s="258"/>
      <c r="Y2374" s="258"/>
      <c r="Z2374" s="258"/>
      <c r="AA2374" s="258"/>
      <c r="AB2374" s="258"/>
      <c r="AC2374" s="407"/>
    </row>
    <row r="2375" spans="2:29" s="406" customFormat="1" ht="16.5" customHeight="1">
      <c r="B2375" s="256"/>
      <c r="C2375" s="256"/>
      <c r="D2375" s="414"/>
      <c r="E2375" s="414"/>
      <c r="F2375" s="414"/>
      <c r="G2375" s="253"/>
      <c r="H2375" s="253"/>
      <c r="I2375" s="253"/>
      <c r="J2375" s="253"/>
      <c r="K2375" s="253"/>
      <c r="L2375" s="253"/>
      <c r="M2375" s="253"/>
      <c r="N2375" s="253"/>
      <c r="O2375" s="258"/>
      <c r="P2375" s="258"/>
      <c r="Q2375" s="258"/>
      <c r="R2375" s="258"/>
      <c r="S2375" s="258"/>
      <c r="T2375" s="258"/>
      <c r="U2375" s="258"/>
      <c r="V2375" s="258"/>
      <c r="W2375" s="258"/>
      <c r="X2375" s="258"/>
      <c r="Y2375" s="258"/>
      <c r="Z2375" s="258"/>
      <c r="AA2375" s="258"/>
      <c r="AB2375" s="258"/>
      <c r="AC2375" s="407"/>
    </row>
    <row r="2376" spans="2:29" s="406" customFormat="1" ht="16.5" customHeight="1">
      <c r="B2376" s="256"/>
      <c r="C2376" s="256"/>
      <c r="D2376" s="414"/>
      <c r="E2376" s="414"/>
      <c r="F2376" s="414"/>
      <c r="G2376" s="253"/>
      <c r="H2376" s="253"/>
      <c r="I2376" s="253"/>
      <c r="J2376" s="253"/>
      <c r="K2376" s="253"/>
      <c r="L2376" s="253"/>
      <c r="M2376" s="253"/>
      <c r="N2376" s="253"/>
      <c r="O2376" s="258"/>
      <c r="P2376" s="258"/>
      <c r="Q2376" s="258"/>
      <c r="R2376" s="258"/>
      <c r="S2376" s="258"/>
      <c r="T2376" s="258"/>
      <c r="U2376" s="258"/>
      <c r="V2376" s="258"/>
      <c r="W2376" s="258"/>
      <c r="X2376" s="258"/>
      <c r="Y2376" s="258"/>
      <c r="Z2376" s="258"/>
      <c r="AA2376" s="258"/>
      <c r="AB2376" s="258"/>
      <c r="AC2376" s="407"/>
    </row>
    <row r="2377" spans="2:29" s="406" customFormat="1" ht="16.5" customHeight="1">
      <c r="B2377" s="256"/>
      <c r="C2377" s="256"/>
      <c r="D2377" s="414"/>
      <c r="E2377" s="414"/>
      <c r="F2377" s="414"/>
      <c r="G2377" s="253"/>
      <c r="H2377" s="253"/>
      <c r="I2377" s="253"/>
      <c r="J2377" s="253"/>
      <c r="K2377" s="253"/>
      <c r="L2377" s="253"/>
      <c r="M2377" s="253"/>
      <c r="N2377" s="253"/>
      <c r="O2377" s="258"/>
      <c r="P2377" s="258"/>
      <c r="Q2377" s="258"/>
      <c r="R2377" s="258"/>
      <c r="S2377" s="258"/>
      <c r="T2377" s="258"/>
      <c r="U2377" s="258"/>
      <c r="V2377" s="258"/>
      <c r="W2377" s="258"/>
      <c r="X2377" s="258"/>
      <c r="Y2377" s="258"/>
      <c r="Z2377" s="258"/>
      <c r="AA2377" s="258"/>
      <c r="AB2377" s="258"/>
      <c r="AC2377" s="407"/>
    </row>
    <row r="2378" spans="2:29" s="406" customFormat="1" ht="16.5" customHeight="1">
      <c r="B2378" s="256"/>
      <c r="C2378" s="256"/>
      <c r="D2378" s="414"/>
      <c r="E2378" s="414"/>
      <c r="F2378" s="414"/>
      <c r="G2378" s="253"/>
      <c r="H2378" s="253"/>
      <c r="I2378" s="253"/>
      <c r="J2378" s="253"/>
      <c r="K2378" s="253"/>
      <c r="L2378" s="253"/>
      <c r="M2378" s="253"/>
      <c r="N2378" s="253"/>
      <c r="O2378" s="258"/>
      <c r="P2378" s="258"/>
      <c r="Q2378" s="258"/>
      <c r="R2378" s="258"/>
      <c r="S2378" s="258"/>
      <c r="T2378" s="258"/>
      <c r="U2378" s="258"/>
      <c r="V2378" s="258"/>
      <c r="W2378" s="258"/>
      <c r="X2378" s="258"/>
      <c r="Y2378" s="258"/>
      <c r="Z2378" s="258"/>
      <c r="AA2378" s="258"/>
      <c r="AB2378" s="258"/>
      <c r="AC2378" s="407"/>
    </row>
    <row r="2379" spans="2:29" s="406" customFormat="1" ht="16.5" customHeight="1">
      <c r="B2379" s="256"/>
      <c r="C2379" s="256"/>
      <c r="D2379" s="414"/>
      <c r="E2379" s="414"/>
      <c r="F2379" s="414"/>
      <c r="G2379" s="253"/>
      <c r="H2379" s="253"/>
      <c r="I2379" s="253"/>
      <c r="J2379" s="253"/>
      <c r="K2379" s="253"/>
      <c r="L2379" s="253"/>
      <c r="M2379" s="253"/>
      <c r="N2379" s="253"/>
      <c r="O2379" s="258"/>
      <c r="P2379" s="258"/>
      <c r="Q2379" s="258"/>
      <c r="R2379" s="258"/>
      <c r="S2379" s="258"/>
      <c r="T2379" s="258"/>
      <c r="U2379" s="258"/>
      <c r="V2379" s="258"/>
      <c r="W2379" s="258"/>
      <c r="X2379" s="258"/>
      <c r="Y2379" s="258"/>
      <c r="Z2379" s="258"/>
      <c r="AA2379" s="258"/>
      <c r="AB2379" s="258"/>
      <c r="AC2379" s="407"/>
    </row>
    <row r="2380" spans="2:29" s="406" customFormat="1" ht="16.5" customHeight="1">
      <c r="B2380" s="256"/>
      <c r="C2380" s="256"/>
      <c r="D2380" s="414"/>
      <c r="E2380" s="414"/>
      <c r="F2380" s="414"/>
      <c r="G2380" s="253"/>
      <c r="H2380" s="253"/>
      <c r="I2380" s="253"/>
      <c r="J2380" s="253"/>
      <c r="K2380" s="253"/>
      <c r="L2380" s="253"/>
      <c r="M2380" s="253"/>
      <c r="N2380" s="253"/>
      <c r="O2380" s="258"/>
      <c r="P2380" s="258"/>
      <c r="Q2380" s="258"/>
      <c r="R2380" s="258"/>
      <c r="S2380" s="258"/>
      <c r="T2380" s="258"/>
      <c r="U2380" s="258"/>
      <c r="V2380" s="258"/>
      <c r="W2380" s="258"/>
      <c r="X2380" s="258"/>
      <c r="Y2380" s="258"/>
      <c r="Z2380" s="258"/>
      <c r="AA2380" s="258"/>
      <c r="AB2380" s="258"/>
      <c r="AC2380" s="407"/>
    </row>
    <row r="2381" spans="2:29" s="406" customFormat="1" ht="16.5" customHeight="1">
      <c r="B2381" s="256"/>
      <c r="C2381" s="256"/>
      <c r="D2381" s="414"/>
      <c r="E2381" s="414"/>
      <c r="F2381" s="414"/>
      <c r="G2381" s="253"/>
      <c r="H2381" s="253"/>
      <c r="I2381" s="253"/>
      <c r="J2381" s="253"/>
      <c r="K2381" s="253"/>
      <c r="L2381" s="253"/>
      <c r="M2381" s="253"/>
      <c r="N2381" s="253"/>
      <c r="O2381" s="258"/>
      <c r="P2381" s="258"/>
      <c r="Q2381" s="258"/>
      <c r="R2381" s="258"/>
      <c r="S2381" s="258"/>
      <c r="T2381" s="258"/>
      <c r="U2381" s="258"/>
      <c r="V2381" s="258"/>
      <c r="W2381" s="258"/>
      <c r="X2381" s="258"/>
      <c r="Y2381" s="258"/>
      <c r="Z2381" s="258"/>
      <c r="AA2381" s="258"/>
      <c r="AB2381" s="258"/>
      <c r="AC2381" s="407"/>
    </row>
    <row r="2382" spans="2:29" s="406" customFormat="1" ht="16.5" customHeight="1">
      <c r="B2382" s="256"/>
      <c r="C2382" s="256"/>
      <c r="D2382" s="414"/>
      <c r="E2382" s="414"/>
      <c r="F2382" s="414"/>
      <c r="G2382" s="253"/>
      <c r="H2382" s="253"/>
      <c r="I2382" s="253"/>
      <c r="J2382" s="253"/>
      <c r="K2382" s="253"/>
      <c r="L2382" s="253"/>
      <c r="M2382" s="253"/>
      <c r="N2382" s="253"/>
      <c r="O2382" s="258"/>
      <c r="P2382" s="258"/>
      <c r="Q2382" s="258"/>
      <c r="R2382" s="258"/>
      <c r="S2382" s="258"/>
      <c r="T2382" s="258"/>
      <c r="U2382" s="258"/>
      <c r="V2382" s="258"/>
      <c r="W2382" s="258"/>
      <c r="X2382" s="258"/>
      <c r="Y2382" s="258"/>
      <c r="Z2382" s="258"/>
      <c r="AA2382" s="258"/>
      <c r="AB2382" s="258"/>
      <c r="AC2382" s="407"/>
    </row>
    <row r="2383" spans="2:29" s="406" customFormat="1" ht="16.5" customHeight="1">
      <c r="B2383" s="256"/>
      <c r="C2383" s="256"/>
      <c r="D2383" s="414"/>
      <c r="E2383" s="414"/>
      <c r="F2383" s="414"/>
      <c r="G2383" s="253"/>
      <c r="H2383" s="253"/>
      <c r="I2383" s="253"/>
      <c r="J2383" s="253"/>
      <c r="K2383" s="253"/>
      <c r="L2383" s="253"/>
      <c r="M2383" s="253"/>
      <c r="N2383" s="253"/>
      <c r="O2383" s="258"/>
      <c r="P2383" s="258"/>
      <c r="Q2383" s="258"/>
      <c r="R2383" s="258"/>
      <c r="S2383" s="258"/>
      <c r="T2383" s="258"/>
      <c r="U2383" s="258"/>
      <c r="V2383" s="258"/>
      <c r="W2383" s="258"/>
      <c r="X2383" s="258"/>
      <c r="Y2383" s="258"/>
      <c r="Z2383" s="258"/>
      <c r="AA2383" s="258"/>
      <c r="AB2383" s="258"/>
      <c r="AC2383" s="407"/>
    </row>
    <row r="2384" spans="2:29" s="406" customFormat="1" ht="16.5" customHeight="1">
      <c r="B2384" s="256"/>
      <c r="C2384" s="256"/>
      <c r="D2384" s="414"/>
      <c r="E2384" s="414"/>
      <c r="F2384" s="414"/>
      <c r="G2384" s="253"/>
      <c r="H2384" s="253"/>
      <c r="I2384" s="253"/>
      <c r="J2384" s="253"/>
      <c r="K2384" s="253"/>
      <c r="L2384" s="253"/>
      <c r="M2384" s="253"/>
      <c r="N2384" s="253"/>
      <c r="O2384" s="258"/>
      <c r="P2384" s="258"/>
      <c r="Q2384" s="258"/>
      <c r="R2384" s="258"/>
      <c r="S2384" s="258"/>
      <c r="T2384" s="258"/>
      <c r="U2384" s="258"/>
      <c r="V2384" s="258"/>
      <c r="W2384" s="258"/>
      <c r="X2384" s="258"/>
      <c r="Y2384" s="258"/>
      <c r="Z2384" s="258"/>
      <c r="AA2384" s="258"/>
      <c r="AB2384" s="258"/>
      <c r="AC2384" s="407"/>
    </row>
    <row r="2385" spans="2:29" s="406" customFormat="1" ht="16.5" customHeight="1">
      <c r="B2385" s="256"/>
      <c r="C2385" s="256"/>
      <c r="D2385" s="414"/>
      <c r="E2385" s="414"/>
      <c r="F2385" s="414"/>
      <c r="G2385" s="253"/>
      <c r="H2385" s="253"/>
      <c r="I2385" s="253"/>
      <c r="J2385" s="253"/>
      <c r="K2385" s="253"/>
      <c r="L2385" s="253"/>
      <c r="M2385" s="253"/>
      <c r="N2385" s="253"/>
      <c r="O2385" s="258"/>
      <c r="P2385" s="258"/>
      <c r="Q2385" s="258"/>
      <c r="R2385" s="258"/>
      <c r="S2385" s="258"/>
      <c r="T2385" s="258"/>
      <c r="U2385" s="258"/>
      <c r="V2385" s="258"/>
      <c r="W2385" s="258"/>
      <c r="X2385" s="258"/>
      <c r="Y2385" s="258"/>
      <c r="Z2385" s="258"/>
      <c r="AA2385" s="258"/>
      <c r="AB2385" s="258"/>
      <c r="AC2385" s="407"/>
    </row>
    <row r="2386" spans="2:29" s="406" customFormat="1" ht="16.5" customHeight="1">
      <c r="B2386" s="256"/>
      <c r="C2386" s="256"/>
      <c r="D2386" s="414"/>
      <c r="E2386" s="414"/>
      <c r="F2386" s="414"/>
      <c r="G2386" s="253"/>
      <c r="H2386" s="253"/>
      <c r="I2386" s="253"/>
      <c r="J2386" s="253"/>
      <c r="K2386" s="253"/>
      <c r="L2386" s="253"/>
      <c r="M2386" s="253"/>
      <c r="N2386" s="253"/>
      <c r="O2386" s="258"/>
      <c r="P2386" s="258"/>
      <c r="Q2386" s="258"/>
      <c r="R2386" s="258"/>
      <c r="S2386" s="258"/>
      <c r="T2386" s="258"/>
      <c r="U2386" s="258"/>
      <c r="V2386" s="258"/>
      <c r="W2386" s="258"/>
      <c r="X2386" s="258"/>
      <c r="Y2386" s="258"/>
      <c r="Z2386" s="258"/>
      <c r="AA2386" s="258"/>
      <c r="AB2386" s="258"/>
      <c r="AC2386" s="407"/>
    </row>
    <row r="2387" spans="2:29" s="406" customFormat="1" ht="16.5" customHeight="1">
      <c r="B2387" s="256"/>
      <c r="C2387" s="256"/>
      <c r="D2387" s="414"/>
      <c r="E2387" s="414"/>
      <c r="F2387" s="414"/>
      <c r="G2387" s="253"/>
      <c r="H2387" s="253"/>
      <c r="I2387" s="253"/>
      <c r="J2387" s="253"/>
      <c r="K2387" s="253"/>
      <c r="L2387" s="253"/>
      <c r="M2387" s="253"/>
      <c r="N2387" s="253"/>
      <c r="O2387" s="258"/>
      <c r="P2387" s="258"/>
      <c r="Q2387" s="258"/>
      <c r="R2387" s="258"/>
      <c r="S2387" s="258"/>
      <c r="T2387" s="258"/>
      <c r="U2387" s="258"/>
      <c r="V2387" s="258"/>
      <c r="W2387" s="258"/>
      <c r="X2387" s="258"/>
      <c r="Y2387" s="258"/>
      <c r="Z2387" s="258"/>
      <c r="AA2387" s="258"/>
      <c r="AB2387" s="258"/>
      <c r="AC2387" s="407"/>
    </row>
    <row r="2388" spans="2:29" s="406" customFormat="1" ht="16.5" customHeight="1">
      <c r="B2388" s="256"/>
      <c r="C2388" s="256"/>
      <c r="D2388" s="414"/>
      <c r="E2388" s="414"/>
      <c r="F2388" s="414"/>
      <c r="G2388" s="253"/>
      <c r="H2388" s="253"/>
      <c r="I2388" s="253"/>
      <c r="J2388" s="253"/>
      <c r="K2388" s="253"/>
      <c r="L2388" s="253"/>
      <c r="M2388" s="253"/>
      <c r="N2388" s="253"/>
      <c r="O2388" s="258"/>
      <c r="P2388" s="258"/>
      <c r="Q2388" s="258"/>
      <c r="R2388" s="258"/>
      <c r="S2388" s="258"/>
      <c r="T2388" s="258"/>
      <c r="U2388" s="258"/>
      <c r="V2388" s="258"/>
      <c r="W2388" s="258"/>
      <c r="X2388" s="258"/>
      <c r="Y2388" s="258"/>
      <c r="Z2388" s="258"/>
      <c r="AA2388" s="258"/>
      <c r="AB2388" s="258"/>
      <c r="AC2388" s="407"/>
    </row>
    <row r="2389" spans="2:29" s="406" customFormat="1" ht="16.5" customHeight="1">
      <c r="B2389" s="256"/>
      <c r="C2389" s="256"/>
      <c r="D2389" s="414"/>
      <c r="E2389" s="414"/>
      <c r="F2389" s="414"/>
      <c r="G2389" s="253"/>
      <c r="H2389" s="253"/>
      <c r="I2389" s="253"/>
      <c r="J2389" s="253"/>
      <c r="K2389" s="253"/>
      <c r="L2389" s="253"/>
      <c r="M2389" s="253"/>
      <c r="N2389" s="253"/>
      <c r="O2389" s="258"/>
      <c r="P2389" s="258"/>
      <c r="Q2389" s="258"/>
      <c r="R2389" s="258"/>
      <c r="S2389" s="258"/>
      <c r="T2389" s="258"/>
      <c r="U2389" s="258"/>
      <c r="V2389" s="258"/>
      <c r="W2389" s="258"/>
      <c r="X2389" s="258"/>
      <c r="Y2389" s="258"/>
      <c r="Z2389" s="258"/>
      <c r="AA2389" s="258"/>
      <c r="AB2389" s="258"/>
      <c r="AC2389" s="407"/>
    </row>
    <row r="2390" spans="2:29" s="406" customFormat="1" ht="16.5" customHeight="1">
      <c r="B2390" s="256"/>
      <c r="C2390" s="256"/>
      <c r="D2390" s="414"/>
      <c r="E2390" s="414"/>
      <c r="F2390" s="414"/>
      <c r="G2390" s="253"/>
      <c r="H2390" s="253"/>
      <c r="I2390" s="253"/>
      <c r="J2390" s="253"/>
      <c r="K2390" s="253"/>
      <c r="L2390" s="253"/>
      <c r="M2390" s="253"/>
      <c r="N2390" s="253"/>
      <c r="O2390" s="258"/>
      <c r="P2390" s="258"/>
      <c r="Q2390" s="258"/>
      <c r="R2390" s="258"/>
      <c r="S2390" s="258"/>
      <c r="T2390" s="258"/>
      <c r="U2390" s="258"/>
      <c r="V2390" s="258"/>
      <c r="W2390" s="258"/>
      <c r="X2390" s="258"/>
      <c r="Y2390" s="258"/>
      <c r="Z2390" s="258"/>
      <c r="AA2390" s="258"/>
      <c r="AB2390" s="258"/>
      <c r="AC2390" s="407"/>
    </row>
    <row r="2391" spans="2:29" s="406" customFormat="1" ht="16.5" customHeight="1">
      <c r="B2391" s="256"/>
      <c r="C2391" s="256"/>
      <c r="D2391" s="414"/>
      <c r="E2391" s="414"/>
      <c r="F2391" s="414"/>
      <c r="G2391" s="253"/>
      <c r="H2391" s="253"/>
      <c r="I2391" s="253"/>
      <c r="J2391" s="253"/>
      <c r="K2391" s="253"/>
      <c r="L2391" s="253"/>
      <c r="M2391" s="253"/>
      <c r="N2391" s="253"/>
      <c r="O2391" s="258"/>
      <c r="P2391" s="258"/>
      <c r="Q2391" s="258"/>
      <c r="R2391" s="258"/>
      <c r="S2391" s="258"/>
      <c r="T2391" s="258"/>
      <c r="U2391" s="258"/>
      <c r="V2391" s="258"/>
      <c r="W2391" s="258"/>
      <c r="X2391" s="258"/>
      <c r="Y2391" s="258"/>
      <c r="Z2391" s="258"/>
      <c r="AA2391" s="258"/>
      <c r="AB2391" s="258"/>
      <c r="AC2391" s="407"/>
    </row>
    <row r="2392" spans="2:29" s="406" customFormat="1" ht="16.5" customHeight="1">
      <c r="B2392" s="256"/>
      <c r="C2392" s="256"/>
      <c r="D2392" s="414"/>
      <c r="E2392" s="414"/>
      <c r="F2392" s="414"/>
      <c r="G2392" s="253"/>
      <c r="H2392" s="253"/>
      <c r="I2392" s="253"/>
      <c r="J2392" s="253"/>
      <c r="K2392" s="253"/>
      <c r="L2392" s="253"/>
      <c r="M2392" s="253"/>
      <c r="N2392" s="253"/>
      <c r="O2392" s="258"/>
      <c r="P2392" s="258"/>
      <c r="Q2392" s="258"/>
      <c r="R2392" s="258"/>
      <c r="S2392" s="258"/>
      <c r="T2392" s="258"/>
      <c r="U2392" s="258"/>
      <c r="V2392" s="258"/>
      <c r="W2392" s="258"/>
      <c r="X2392" s="258"/>
      <c r="Y2392" s="258"/>
      <c r="Z2392" s="258"/>
      <c r="AA2392" s="258"/>
      <c r="AB2392" s="258"/>
      <c r="AC2392" s="407"/>
    </row>
    <row r="2393" spans="2:29" s="406" customFormat="1" ht="16.5" customHeight="1">
      <c r="B2393" s="256"/>
      <c r="C2393" s="256"/>
      <c r="D2393" s="414"/>
      <c r="E2393" s="414"/>
      <c r="F2393" s="414"/>
      <c r="G2393" s="253"/>
      <c r="H2393" s="253"/>
      <c r="I2393" s="253"/>
      <c r="J2393" s="253"/>
      <c r="K2393" s="253"/>
      <c r="L2393" s="253"/>
      <c r="M2393" s="253"/>
      <c r="N2393" s="253"/>
      <c r="O2393" s="258"/>
      <c r="P2393" s="258"/>
      <c r="Q2393" s="258"/>
      <c r="R2393" s="258"/>
      <c r="S2393" s="258"/>
      <c r="T2393" s="258"/>
      <c r="U2393" s="258"/>
      <c r="V2393" s="258"/>
      <c r="W2393" s="258"/>
      <c r="X2393" s="258"/>
      <c r="Y2393" s="258"/>
      <c r="Z2393" s="258"/>
      <c r="AA2393" s="258"/>
      <c r="AB2393" s="258"/>
      <c r="AC2393" s="407"/>
    </row>
    <row r="2394" spans="2:29" s="406" customFormat="1" ht="16.5" customHeight="1">
      <c r="B2394" s="256"/>
      <c r="C2394" s="256"/>
      <c r="D2394" s="414"/>
      <c r="E2394" s="414"/>
      <c r="F2394" s="414"/>
      <c r="G2394" s="253"/>
      <c r="H2394" s="253"/>
      <c r="I2394" s="253"/>
      <c r="J2394" s="253"/>
      <c r="K2394" s="253"/>
      <c r="L2394" s="253"/>
      <c r="M2394" s="253"/>
      <c r="N2394" s="253"/>
      <c r="O2394" s="258"/>
      <c r="P2394" s="258"/>
      <c r="Q2394" s="258"/>
      <c r="R2394" s="258"/>
      <c r="S2394" s="258"/>
      <c r="T2394" s="258"/>
      <c r="U2394" s="258"/>
      <c r="V2394" s="258"/>
      <c r="W2394" s="258"/>
      <c r="X2394" s="258"/>
      <c r="Y2394" s="258"/>
      <c r="Z2394" s="258"/>
      <c r="AA2394" s="258"/>
      <c r="AB2394" s="258"/>
      <c r="AC2394" s="407"/>
    </row>
    <row r="2395" spans="2:29" s="406" customFormat="1" ht="16.5" customHeight="1">
      <c r="B2395" s="256"/>
      <c r="C2395" s="256"/>
      <c r="D2395" s="414"/>
      <c r="E2395" s="414"/>
      <c r="F2395" s="414"/>
      <c r="G2395" s="253"/>
      <c r="H2395" s="253"/>
      <c r="I2395" s="253"/>
      <c r="J2395" s="253"/>
      <c r="K2395" s="253"/>
      <c r="L2395" s="253"/>
      <c r="M2395" s="253"/>
      <c r="N2395" s="253"/>
      <c r="O2395" s="258"/>
      <c r="P2395" s="258"/>
      <c r="Q2395" s="258"/>
      <c r="R2395" s="258"/>
      <c r="S2395" s="258"/>
      <c r="T2395" s="258"/>
      <c r="U2395" s="258"/>
      <c r="V2395" s="258"/>
      <c r="W2395" s="258"/>
      <c r="X2395" s="258"/>
      <c r="Y2395" s="258"/>
      <c r="Z2395" s="258"/>
      <c r="AA2395" s="258"/>
      <c r="AB2395" s="258"/>
      <c r="AC2395" s="407"/>
    </row>
    <row r="2396" spans="2:29" s="406" customFormat="1" ht="16.5" customHeight="1">
      <c r="B2396" s="256"/>
      <c r="C2396" s="256"/>
      <c r="D2396" s="414"/>
      <c r="E2396" s="414"/>
      <c r="F2396" s="414"/>
      <c r="G2396" s="253"/>
      <c r="H2396" s="253"/>
      <c r="I2396" s="253"/>
      <c r="J2396" s="253"/>
      <c r="K2396" s="253"/>
      <c r="L2396" s="253"/>
      <c r="M2396" s="253"/>
      <c r="N2396" s="253"/>
      <c r="O2396" s="258"/>
      <c r="P2396" s="258"/>
      <c r="Q2396" s="258"/>
      <c r="R2396" s="258"/>
      <c r="S2396" s="258"/>
      <c r="T2396" s="258"/>
      <c r="U2396" s="258"/>
      <c r="V2396" s="258"/>
      <c r="W2396" s="258"/>
      <c r="X2396" s="258"/>
      <c r="Y2396" s="258"/>
      <c r="Z2396" s="258"/>
      <c r="AA2396" s="258"/>
      <c r="AB2396" s="258"/>
      <c r="AC2396" s="407"/>
    </row>
    <row r="2397" spans="2:29" s="406" customFormat="1" ht="16.5" customHeight="1">
      <c r="B2397" s="256"/>
      <c r="C2397" s="256"/>
      <c r="D2397" s="414"/>
      <c r="E2397" s="414"/>
      <c r="F2397" s="414"/>
      <c r="G2397" s="253"/>
      <c r="H2397" s="253"/>
      <c r="I2397" s="253"/>
      <c r="J2397" s="253"/>
      <c r="K2397" s="253"/>
      <c r="L2397" s="253"/>
      <c r="M2397" s="253"/>
      <c r="N2397" s="253"/>
      <c r="O2397" s="258"/>
      <c r="P2397" s="258"/>
      <c r="Q2397" s="258"/>
      <c r="R2397" s="258"/>
      <c r="S2397" s="258"/>
      <c r="T2397" s="258"/>
      <c r="U2397" s="258"/>
      <c r="V2397" s="258"/>
      <c r="W2397" s="258"/>
      <c r="X2397" s="258"/>
      <c r="Y2397" s="258"/>
      <c r="Z2397" s="258"/>
      <c r="AA2397" s="258"/>
      <c r="AB2397" s="258"/>
      <c r="AC2397" s="407"/>
    </row>
    <row r="2398" spans="2:29" s="406" customFormat="1" ht="16.5" customHeight="1">
      <c r="B2398" s="256"/>
      <c r="C2398" s="256"/>
      <c r="D2398" s="414"/>
      <c r="E2398" s="414"/>
      <c r="F2398" s="414"/>
      <c r="G2398" s="253"/>
      <c r="H2398" s="253"/>
      <c r="I2398" s="253"/>
      <c r="J2398" s="253"/>
      <c r="K2398" s="253"/>
      <c r="L2398" s="253"/>
      <c r="M2398" s="253"/>
      <c r="N2398" s="253"/>
      <c r="O2398" s="258"/>
      <c r="P2398" s="258"/>
      <c r="Q2398" s="258"/>
      <c r="R2398" s="258"/>
      <c r="S2398" s="258"/>
      <c r="T2398" s="258"/>
      <c r="U2398" s="258"/>
      <c r="V2398" s="258"/>
      <c r="W2398" s="258"/>
      <c r="X2398" s="258"/>
      <c r="Y2398" s="258"/>
      <c r="Z2398" s="258"/>
      <c r="AA2398" s="258"/>
      <c r="AB2398" s="258"/>
      <c r="AC2398" s="407"/>
    </row>
    <row r="2399" spans="2:29" s="406" customFormat="1" ht="16.5" customHeight="1">
      <c r="B2399" s="256"/>
      <c r="C2399" s="256"/>
      <c r="D2399" s="414"/>
      <c r="E2399" s="414"/>
      <c r="F2399" s="414"/>
      <c r="G2399" s="253"/>
      <c r="H2399" s="253"/>
      <c r="I2399" s="253"/>
      <c r="J2399" s="253"/>
      <c r="K2399" s="253"/>
      <c r="L2399" s="253"/>
      <c r="M2399" s="253"/>
      <c r="N2399" s="253"/>
      <c r="O2399" s="258"/>
      <c r="P2399" s="258"/>
      <c r="Q2399" s="258"/>
      <c r="R2399" s="258"/>
      <c r="S2399" s="258"/>
      <c r="T2399" s="258"/>
      <c r="U2399" s="258"/>
      <c r="V2399" s="258"/>
      <c r="W2399" s="258"/>
      <c r="X2399" s="258"/>
      <c r="Y2399" s="258"/>
      <c r="Z2399" s="258"/>
      <c r="AA2399" s="258"/>
      <c r="AB2399" s="258"/>
      <c r="AC2399" s="407"/>
    </row>
    <row r="2400" spans="2:29" s="406" customFormat="1" ht="16.5" customHeight="1">
      <c r="B2400" s="256"/>
      <c r="C2400" s="256"/>
      <c r="D2400" s="414"/>
      <c r="E2400" s="414"/>
      <c r="F2400" s="414"/>
      <c r="G2400" s="253"/>
      <c r="H2400" s="253"/>
      <c r="I2400" s="253"/>
      <c r="J2400" s="253"/>
      <c r="K2400" s="253"/>
      <c r="L2400" s="253"/>
      <c r="M2400" s="253"/>
      <c r="N2400" s="253"/>
      <c r="O2400" s="258"/>
      <c r="P2400" s="258"/>
      <c r="Q2400" s="258"/>
      <c r="R2400" s="258"/>
      <c r="S2400" s="258"/>
      <c r="T2400" s="258"/>
      <c r="U2400" s="258"/>
      <c r="V2400" s="258"/>
      <c r="W2400" s="258"/>
      <c r="X2400" s="258"/>
      <c r="Y2400" s="258"/>
      <c r="Z2400" s="258"/>
      <c r="AA2400" s="258"/>
      <c r="AB2400" s="258"/>
      <c r="AC2400" s="407"/>
    </row>
    <row r="2401" spans="2:29" s="406" customFormat="1" ht="16.5" customHeight="1">
      <c r="B2401" s="256"/>
      <c r="C2401" s="256"/>
      <c r="D2401" s="414"/>
      <c r="E2401" s="414"/>
      <c r="F2401" s="414"/>
      <c r="G2401" s="253"/>
      <c r="H2401" s="253"/>
      <c r="I2401" s="253"/>
      <c r="J2401" s="253"/>
      <c r="K2401" s="253"/>
      <c r="L2401" s="253"/>
      <c r="M2401" s="253"/>
      <c r="N2401" s="253"/>
      <c r="O2401" s="258"/>
      <c r="P2401" s="258"/>
      <c r="Q2401" s="258"/>
      <c r="R2401" s="258"/>
      <c r="S2401" s="258"/>
      <c r="T2401" s="258"/>
      <c r="U2401" s="258"/>
      <c r="V2401" s="258"/>
      <c r="W2401" s="258"/>
      <c r="X2401" s="258"/>
      <c r="Y2401" s="258"/>
      <c r="Z2401" s="258"/>
      <c r="AA2401" s="258"/>
      <c r="AB2401" s="258"/>
      <c r="AC2401" s="407"/>
    </row>
    <row r="2402" spans="2:29" s="406" customFormat="1" ht="16.5" customHeight="1">
      <c r="B2402" s="256"/>
      <c r="C2402" s="256"/>
      <c r="D2402" s="414"/>
      <c r="E2402" s="414"/>
      <c r="F2402" s="414"/>
      <c r="G2402" s="253"/>
      <c r="H2402" s="253"/>
      <c r="I2402" s="253"/>
      <c r="J2402" s="253"/>
      <c r="K2402" s="253"/>
      <c r="L2402" s="253"/>
      <c r="M2402" s="253"/>
      <c r="N2402" s="253"/>
      <c r="O2402" s="258"/>
      <c r="P2402" s="258"/>
      <c r="Q2402" s="258"/>
      <c r="R2402" s="258"/>
      <c r="S2402" s="258"/>
      <c r="T2402" s="258"/>
      <c r="U2402" s="258"/>
      <c r="V2402" s="258"/>
      <c r="W2402" s="258"/>
      <c r="X2402" s="258"/>
      <c r="Y2402" s="258"/>
      <c r="Z2402" s="258"/>
      <c r="AA2402" s="258"/>
      <c r="AB2402" s="258"/>
      <c r="AC2402" s="407"/>
    </row>
    <row r="2403" spans="2:29" s="406" customFormat="1" ht="16.5" customHeight="1">
      <c r="B2403" s="256"/>
      <c r="C2403" s="256"/>
      <c r="D2403" s="414"/>
      <c r="E2403" s="414"/>
      <c r="F2403" s="414"/>
      <c r="G2403" s="253"/>
      <c r="H2403" s="253"/>
      <c r="I2403" s="253"/>
      <c r="J2403" s="253"/>
      <c r="K2403" s="253"/>
      <c r="L2403" s="253"/>
      <c r="M2403" s="253"/>
      <c r="N2403" s="253"/>
      <c r="O2403" s="258"/>
      <c r="P2403" s="258"/>
      <c r="Q2403" s="258"/>
      <c r="R2403" s="258"/>
      <c r="S2403" s="258"/>
      <c r="T2403" s="258"/>
      <c r="U2403" s="258"/>
      <c r="V2403" s="258"/>
      <c r="W2403" s="258"/>
      <c r="X2403" s="258"/>
      <c r="Y2403" s="258"/>
      <c r="Z2403" s="258"/>
      <c r="AA2403" s="258"/>
      <c r="AB2403" s="258"/>
      <c r="AC2403" s="407"/>
    </row>
    <row r="2404" spans="2:29" s="406" customFormat="1" ht="16.5" customHeight="1">
      <c r="B2404" s="256"/>
      <c r="C2404" s="256"/>
      <c r="D2404" s="414"/>
      <c r="E2404" s="414"/>
      <c r="F2404" s="414"/>
      <c r="G2404" s="253"/>
      <c r="H2404" s="253"/>
      <c r="I2404" s="253"/>
      <c r="J2404" s="253"/>
      <c r="K2404" s="253"/>
      <c r="L2404" s="253"/>
      <c r="M2404" s="253"/>
      <c r="N2404" s="253"/>
      <c r="O2404" s="258"/>
      <c r="P2404" s="258"/>
      <c r="Q2404" s="258"/>
      <c r="R2404" s="258"/>
      <c r="S2404" s="258"/>
      <c r="T2404" s="258"/>
      <c r="U2404" s="258"/>
      <c r="V2404" s="258"/>
      <c r="W2404" s="258"/>
      <c r="X2404" s="258"/>
      <c r="Y2404" s="258"/>
      <c r="Z2404" s="258"/>
      <c r="AA2404" s="258"/>
      <c r="AB2404" s="258"/>
      <c r="AC2404" s="407"/>
    </row>
    <row r="2405" spans="2:29" s="406" customFormat="1" ht="16.5" customHeight="1">
      <c r="B2405" s="256"/>
      <c r="C2405" s="256"/>
      <c r="D2405" s="414"/>
      <c r="E2405" s="414"/>
      <c r="F2405" s="414"/>
      <c r="G2405" s="253"/>
      <c r="H2405" s="253"/>
      <c r="I2405" s="253"/>
      <c r="J2405" s="253"/>
      <c r="K2405" s="253"/>
      <c r="L2405" s="253"/>
      <c r="M2405" s="253"/>
      <c r="N2405" s="253"/>
      <c r="O2405" s="258"/>
      <c r="P2405" s="258"/>
      <c r="Q2405" s="258"/>
      <c r="R2405" s="258"/>
      <c r="S2405" s="258"/>
      <c r="T2405" s="258"/>
      <c r="U2405" s="258"/>
      <c r="V2405" s="258"/>
      <c r="W2405" s="258"/>
      <c r="X2405" s="258"/>
      <c r="Y2405" s="258"/>
      <c r="Z2405" s="258"/>
      <c r="AA2405" s="258"/>
      <c r="AB2405" s="258"/>
      <c r="AC2405" s="407"/>
    </row>
    <row r="2406" spans="2:29" s="406" customFormat="1" ht="16.5" customHeight="1">
      <c r="B2406" s="256"/>
      <c r="C2406" s="256"/>
      <c r="D2406" s="414"/>
      <c r="E2406" s="414"/>
      <c r="F2406" s="414"/>
      <c r="G2406" s="253"/>
      <c r="H2406" s="253"/>
      <c r="I2406" s="253"/>
      <c r="J2406" s="253"/>
      <c r="K2406" s="253"/>
      <c r="L2406" s="253"/>
      <c r="M2406" s="253"/>
      <c r="N2406" s="253"/>
      <c r="O2406" s="258"/>
      <c r="P2406" s="258"/>
      <c r="Q2406" s="258"/>
      <c r="R2406" s="258"/>
      <c r="S2406" s="258"/>
      <c r="T2406" s="258"/>
      <c r="U2406" s="258"/>
      <c r="V2406" s="258"/>
      <c r="W2406" s="258"/>
      <c r="X2406" s="258"/>
      <c r="Y2406" s="258"/>
      <c r="Z2406" s="258"/>
      <c r="AA2406" s="258"/>
      <c r="AB2406" s="258"/>
      <c r="AC2406" s="407"/>
    </row>
    <row r="2407" spans="2:29" s="406" customFormat="1" ht="16.5" customHeight="1">
      <c r="B2407" s="256"/>
      <c r="C2407" s="256"/>
      <c r="D2407" s="414"/>
      <c r="E2407" s="414"/>
      <c r="F2407" s="414"/>
      <c r="G2407" s="253"/>
      <c r="H2407" s="253"/>
      <c r="I2407" s="253"/>
      <c r="J2407" s="253"/>
      <c r="K2407" s="253"/>
      <c r="L2407" s="253"/>
      <c r="M2407" s="253"/>
      <c r="N2407" s="253"/>
      <c r="O2407" s="258"/>
      <c r="P2407" s="258"/>
      <c r="Q2407" s="258"/>
      <c r="R2407" s="258"/>
      <c r="S2407" s="258"/>
      <c r="T2407" s="258"/>
      <c r="U2407" s="258"/>
      <c r="V2407" s="258"/>
      <c r="W2407" s="258"/>
      <c r="X2407" s="258"/>
      <c r="Y2407" s="258"/>
      <c r="Z2407" s="258"/>
      <c r="AA2407" s="258"/>
      <c r="AB2407" s="258"/>
      <c r="AC2407" s="407"/>
    </row>
    <row r="2408" spans="2:29" s="406" customFormat="1" ht="16.5" customHeight="1">
      <c r="B2408" s="256"/>
      <c r="C2408" s="256"/>
      <c r="D2408" s="414"/>
      <c r="E2408" s="414"/>
      <c r="F2408" s="414"/>
      <c r="G2408" s="253"/>
      <c r="H2408" s="253"/>
      <c r="I2408" s="253"/>
      <c r="J2408" s="253"/>
      <c r="K2408" s="253"/>
      <c r="L2408" s="253"/>
      <c r="M2408" s="253"/>
      <c r="N2408" s="253"/>
      <c r="O2408" s="258"/>
      <c r="P2408" s="258"/>
      <c r="Q2408" s="258"/>
      <c r="R2408" s="258"/>
      <c r="S2408" s="258"/>
      <c r="T2408" s="258"/>
      <c r="U2408" s="258"/>
      <c r="V2408" s="258"/>
      <c r="W2408" s="258"/>
      <c r="X2408" s="258"/>
      <c r="Y2408" s="258"/>
      <c r="Z2408" s="258"/>
      <c r="AA2408" s="258"/>
      <c r="AB2408" s="258"/>
      <c r="AC2408" s="407"/>
    </row>
    <row r="2409" spans="2:29" s="406" customFormat="1" ht="16.5" customHeight="1">
      <c r="B2409" s="256"/>
      <c r="C2409" s="256"/>
      <c r="D2409" s="414"/>
      <c r="E2409" s="414"/>
      <c r="F2409" s="414"/>
      <c r="G2409" s="253"/>
      <c r="H2409" s="253"/>
      <c r="I2409" s="253"/>
      <c r="J2409" s="253"/>
      <c r="K2409" s="253"/>
      <c r="L2409" s="253"/>
      <c r="M2409" s="253"/>
      <c r="N2409" s="253"/>
      <c r="O2409" s="258"/>
      <c r="P2409" s="258"/>
      <c r="Q2409" s="258"/>
      <c r="R2409" s="258"/>
      <c r="S2409" s="258"/>
      <c r="T2409" s="258"/>
      <c r="U2409" s="258"/>
      <c r="V2409" s="258"/>
      <c r="W2409" s="258"/>
      <c r="X2409" s="258"/>
      <c r="Y2409" s="258"/>
      <c r="Z2409" s="258"/>
      <c r="AA2409" s="258"/>
      <c r="AB2409" s="258"/>
      <c r="AC2409" s="407"/>
    </row>
    <row r="2410" spans="2:29" s="406" customFormat="1" ht="16.5" customHeight="1">
      <c r="B2410" s="256"/>
      <c r="C2410" s="256"/>
      <c r="D2410" s="414"/>
      <c r="E2410" s="414"/>
      <c r="F2410" s="414"/>
      <c r="G2410" s="253"/>
      <c r="H2410" s="253"/>
      <c r="I2410" s="253"/>
      <c r="J2410" s="253"/>
      <c r="K2410" s="253"/>
      <c r="L2410" s="253"/>
      <c r="M2410" s="253"/>
      <c r="N2410" s="253"/>
      <c r="O2410" s="258"/>
      <c r="P2410" s="258"/>
      <c r="Q2410" s="258"/>
      <c r="R2410" s="258"/>
      <c r="S2410" s="258"/>
      <c r="T2410" s="258"/>
      <c r="U2410" s="258"/>
      <c r="V2410" s="258"/>
      <c r="W2410" s="258"/>
      <c r="X2410" s="258"/>
      <c r="Y2410" s="258"/>
      <c r="Z2410" s="258"/>
      <c r="AA2410" s="258"/>
      <c r="AB2410" s="258"/>
      <c r="AC2410" s="407"/>
    </row>
    <row r="2411" spans="2:29" s="406" customFormat="1" ht="16.5" customHeight="1">
      <c r="B2411" s="256"/>
      <c r="C2411" s="256"/>
      <c r="D2411" s="414"/>
      <c r="E2411" s="414"/>
      <c r="F2411" s="414"/>
      <c r="G2411" s="253"/>
      <c r="H2411" s="253"/>
      <c r="I2411" s="253"/>
      <c r="J2411" s="253"/>
      <c r="K2411" s="253"/>
      <c r="L2411" s="253"/>
      <c r="M2411" s="253"/>
      <c r="N2411" s="253"/>
      <c r="O2411" s="258"/>
      <c r="P2411" s="258"/>
      <c r="Q2411" s="258"/>
      <c r="R2411" s="258"/>
      <c r="S2411" s="258"/>
      <c r="T2411" s="258"/>
      <c r="U2411" s="258"/>
      <c r="V2411" s="258"/>
      <c r="W2411" s="258"/>
      <c r="X2411" s="258"/>
      <c r="Y2411" s="258"/>
      <c r="Z2411" s="258"/>
      <c r="AA2411" s="258"/>
      <c r="AB2411" s="258"/>
      <c r="AC2411" s="407"/>
    </row>
    <row r="2412" spans="2:29" s="406" customFormat="1" ht="16.5" customHeight="1">
      <c r="B2412" s="256"/>
      <c r="C2412" s="256"/>
      <c r="D2412" s="414"/>
      <c r="E2412" s="414"/>
      <c r="F2412" s="414"/>
      <c r="G2412" s="253"/>
      <c r="H2412" s="253"/>
      <c r="I2412" s="253"/>
      <c r="J2412" s="253"/>
      <c r="K2412" s="253"/>
      <c r="L2412" s="253"/>
      <c r="M2412" s="253"/>
      <c r="N2412" s="253"/>
      <c r="O2412" s="258"/>
      <c r="P2412" s="258"/>
      <c r="Q2412" s="258"/>
      <c r="R2412" s="258"/>
      <c r="S2412" s="258"/>
      <c r="T2412" s="258"/>
      <c r="U2412" s="258"/>
      <c r="V2412" s="258"/>
      <c r="W2412" s="258"/>
      <c r="X2412" s="258"/>
      <c r="Y2412" s="258"/>
      <c r="Z2412" s="258"/>
      <c r="AA2412" s="258"/>
      <c r="AB2412" s="258"/>
      <c r="AC2412" s="407"/>
    </row>
    <row r="2413" spans="2:29" s="406" customFormat="1" ht="16.5" customHeight="1">
      <c r="B2413" s="256"/>
      <c r="C2413" s="256"/>
      <c r="D2413" s="414"/>
      <c r="E2413" s="414"/>
      <c r="F2413" s="414"/>
      <c r="G2413" s="253"/>
      <c r="H2413" s="253"/>
      <c r="I2413" s="253"/>
      <c r="J2413" s="253"/>
      <c r="K2413" s="253"/>
      <c r="L2413" s="253"/>
      <c r="M2413" s="253"/>
      <c r="N2413" s="253"/>
      <c r="O2413" s="258"/>
      <c r="P2413" s="258"/>
      <c r="Q2413" s="258"/>
      <c r="R2413" s="258"/>
      <c r="S2413" s="258"/>
      <c r="T2413" s="258"/>
      <c r="U2413" s="258"/>
      <c r="V2413" s="258"/>
      <c r="W2413" s="258"/>
      <c r="X2413" s="258"/>
      <c r="Y2413" s="258"/>
      <c r="Z2413" s="258"/>
      <c r="AA2413" s="258"/>
      <c r="AB2413" s="258"/>
      <c r="AC2413" s="407"/>
    </row>
    <row r="2414" spans="2:29" s="406" customFormat="1" ht="16.5" customHeight="1">
      <c r="B2414" s="256"/>
      <c r="C2414" s="256"/>
      <c r="D2414" s="414"/>
      <c r="E2414" s="414"/>
      <c r="F2414" s="414"/>
      <c r="G2414" s="253"/>
      <c r="H2414" s="253"/>
      <c r="I2414" s="253"/>
      <c r="J2414" s="253"/>
      <c r="K2414" s="253"/>
      <c r="L2414" s="253"/>
      <c r="M2414" s="253"/>
      <c r="N2414" s="253"/>
      <c r="O2414" s="258"/>
      <c r="P2414" s="258"/>
      <c r="Q2414" s="258"/>
      <c r="R2414" s="258"/>
      <c r="S2414" s="258"/>
      <c r="T2414" s="258"/>
      <c r="U2414" s="258"/>
      <c r="V2414" s="258"/>
      <c r="W2414" s="258"/>
      <c r="X2414" s="258"/>
      <c r="Y2414" s="258"/>
      <c r="Z2414" s="258"/>
      <c r="AA2414" s="258"/>
      <c r="AB2414" s="258"/>
      <c r="AC2414" s="407"/>
    </row>
    <row r="2415" spans="2:29" s="406" customFormat="1" ht="16.5" customHeight="1">
      <c r="B2415" s="256"/>
      <c r="C2415" s="256"/>
      <c r="D2415" s="414"/>
      <c r="E2415" s="414"/>
      <c r="F2415" s="414"/>
      <c r="G2415" s="253"/>
      <c r="H2415" s="253"/>
      <c r="I2415" s="253"/>
      <c r="J2415" s="253"/>
      <c r="K2415" s="253"/>
      <c r="L2415" s="253"/>
      <c r="M2415" s="253"/>
      <c r="N2415" s="253"/>
      <c r="O2415" s="258"/>
      <c r="P2415" s="258"/>
      <c r="Q2415" s="258"/>
      <c r="R2415" s="258"/>
      <c r="S2415" s="258"/>
      <c r="T2415" s="258"/>
      <c r="U2415" s="258"/>
      <c r="V2415" s="258"/>
      <c r="W2415" s="258"/>
      <c r="X2415" s="258"/>
      <c r="Y2415" s="258"/>
      <c r="Z2415" s="258"/>
      <c r="AA2415" s="258"/>
      <c r="AB2415" s="258"/>
      <c r="AC2415" s="407"/>
    </row>
    <row r="2416" spans="2:29" s="406" customFormat="1" ht="16.5" customHeight="1">
      <c r="B2416" s="256"/>
      <c r="C2416" s="256"/>
      <c r="D2416" s="414"/>
      <c r="E2416" s="414"/>
      <c r="F2416" s="414"/>
      <c r="G2416" s="253"/>
      <c r="H2416" s="253"/>
      <c r="I2416" s="253"/>
      <c r="J2416" s="253"/>
      <c r="K2416" s="253"/>
      <c r="L2416" s="253"/>
      <c r="M2416" s="253"/>
      <c r="N2416" s="253"/>
      <c r="O2416" s="258"/>
      <c r="P2416" s="258"/>
      <c r="Q2416" s="258"/>
      <c r="R2416" s="258"/>
      <c r="S2416" s="258"/>
      <c r="T2416" s="258"/>
      <c r="U2416" s="258"/>
      <c r="V2416" s="258"/>
      <c r="W2416" s="258"/>
      <c r="X2416" s="258"/>
      <c r="Y2416" s="258"/>
      <c r="Z2416" s="258"/>
      <c r="AA2416" s="258"/>
      <c r="AB2416" s="258"/>
      <c r="AC2416" s="407"/>
    </row>
    <row r="2417" spans="2:29" s="406" customFormat="1" ht="16.5" customHeight="1">
      <c r="B2417" s="256"/>
      <c r="C2417" s="256"/>
      <c r="D2417" s="414"/>
      <c r="E2417" s="414"/>
      <c r="F2417" s="414"/>
      <c r="G2417" s="253"/>
      <c r="H2417" s="253"/>
      <c r="I2417" s="253"/>
      <c r="J2417" s="253"/>
      <c r="K2417" s="253"/>
      <c r="L2417" s="253"/>
      <c r="M2417" s="253"/>
      <c r="N2417" s="253"/>
      <c r="O2417" s="258"/>
      <c r="P2417" s="258"/>
      <c r="Q2417" s="258"/>
      <c r="R2417" s="258"/>
      <c r="S2417" s="258"/>
      <c r="T2417" s="258"/>
      <c r="U2417" s="258"/>
      <c r="V2417" s="258"/>
      <c r="W2417" s="258"/>
      <c r="X2417" s="258"/>
      <c r="Y2417" s="258"/>
      <c r="Z2417" s="258"/>
      <c r="AA2417" s="258"/>
      <c r="AB2417" s="258"/>
      <c r="AC2417" s="407"/>
    </row>
    <row r="2418" spans="2:29" s="406" customFormat="1" ht="16.5" customHeight="1">
      <c r="B2418" s="256"/>
      <c r="C2418" s="256"/>
      <c r="D2418" s="414"/>
      <c r="E2418" s="414"/>
      <c r="F2418" s="414"/>
      <c r="G2418" s="253"/>
      <c r="H2418" s="253"/>
      <c r="I2418" s="253"/>
      <c r="J2418" s="253"/>
      <c r="K2418" s="253"/>
      <c r="L2418" s="253"/>
      <c r="M2418" s="253"/>
      <c r="N2418" s="253"/>
      <c r="O2418" s="258"/>
      <c r="P2418" s="258"/>
      <c r="Q2418" s="258"/>
      <c r="R2418" s="258"/>
      <c r="S2418" s="258"/>
      <c r="T2418" s="258"/>
      <c r="U2418" s="258"/>
      <c r="V2418" s="258"/>
      <c r="W2418" s="258"/>
      <c r="X2418" s="258"/>
      <c r="Y2418" s="258"/>
      <c r="Z2418" s="258"/>
      <c r="AA2418" s="258"/>
      <c r="AB2418" s="258"/>
      <c r="AC2418" s="407"/>
    </row>
    <row r="2419" spans="2:29" s="406" customFormat="1" ht="16.5" customHeight="1">
      <c r="B2419" s="256"/>
      <c r="C2419" s="256"/>
      <c r="D2419" s="414"/>
      <c r="E2419" s="414"/>
      <c r="F2419" s="414"/>
      <c r="G2419" s="253"/>
      <c r="H2419" s="253"/>
      <c r="I2419" s="253"/>
      <c r="J2419" s="253"/>
      <c r="K2419" s="253"/>
      <c r="L2419" s="253"/>
      <c r="M2419" s="253"/>
      <c r="N2419" s="253"/>
      <c r="O2419" s="258"/>
      <c r="P2419" s="258"/>
      <c r="Q2419" s="258"/>
      <c r="R2419" s="258"/>
      <c r="S2419" s="258"/>
      <c r="T2419" s="258"/>
      <c r="U2419" s="258"/>
      <c r="V2419" s="258"/>
      <c r="W2419" s="258"/>
      <c r="X2419" s="258"/>
      <c r="Y2419" s="258"/>
      <c r="Z2419" s="258"/>
      <c r="AA2419" s="258"/>
      <c r="AB2419" s="258"/>
      <c r="AC2419" s="407"/>
    </row>
    <row r="2420" spans="2:29" s="406" customFormat="1" ht="16.5" customHeight="1">
      <c r="B2420" s="256"/>
      <c r="C2420" s="256"/>
      <c r="D2420" s="414"/>
      <c r="E2420" s="414"/>
      <c r="F2420" s="414"/>
      <c r="G2420" s="253"/>
      <c r="H2420" s="253"/>
      <c r="I2420" s="253"/>
      <c r="J2420" s="253"/>
      <c r="K2420" s="253"/>
      <c r="L2420" s="253"/>
      <c r="M2420" s="253"/>
      <c r="N2420" s="253"/>
      <c r="O2420" s="258"/>
      <c r="P2420" s="258"/>
      <c r="Q2420" s="258"/>
      <c r="R2420" s="258"/>
      <c r="S2420" s="258"/>
      <c r="T2420" s="258"/>
      <c r="U2420" s="258"/>
      <c r="V2420" s="258"/>
      <c r="W2420" s="258"/>
      <c r="X2420" s="258"/>
      <c r="Y2420" s="258"/>
      <c r="Z2420" s="258"/>
      <c r="AA2420" s="258"/>
      <c r="AB2420" s="258"/>
      <c r="AC2420" s="407"/>
    </row>
    <row r="2421" spans="2:29" s="406" customFormat="1" ht="16.5" customHeight="1">
      <c r="B2421" s="256"/>
      <c r="C2421" s="256"/>
      <c r="D2421" s="414"/>
      <c r="E2421" s="414"/>
      <c r="F2421" s="414"/>
      <c r="G2421" s="253"/>
      <c r="H2421" s="253"/>
      <c r="I2421" s="253"/>
      <c r="J2421" s="253"/>
      <c r="K2421" s="253"/>
      <c r="L2421" s="253"/>
      <c r="M2421" s="253"/>
      <c r="N2421" s="253"/>
      <c r="O2421" s="258"/>
      <c r="P2421" s="258"/>
      <c r="Q2421" s="258"/>
      <c r="R2421" s="258"/>
      <c r="S2421" s="258"/>
      <c r="T2421" s="258"/>
      <c r="U2421" s="258"/>
      <c r="V2421" s="258"/>
      <c r="W2421" s="258"/>
      <c r="X2421" s="258"/>
      <c r="Y2421" s="258"/>
      <c r="Z2421" s="258"/>
      <c r="AA2421" s="258"/>
      <c r="AB2421" s="258"/>
      <c r="AC2421" s="407"/>
    </row>
    <row r="2422" spans="2:29" s="406" customFormat="1" ht="16.5" customHeight="1">
      <c r="B2422" s="256"/>
      <c r="C2422" s="256"/>
      <c r="D2422" s="414"/>
      <c r="E2422" s="414"/>
      <c r="F2422" s="414"/>
      <c r="G2422" s="253"/>
      <c r="H2422" s="253"/>
      <c r="I2422" s="253"/>
      <c r="J2422" s="253"/>
      <c r="K2422" s="253"/>
      <c r="L2422" s="253"/>
      <c r="M2422" s="253"/>
      <c r="N2422" s="253"/>
      <c r="O2422" s="258"/>
      <c r="P2422" s="258"/>
      <c r="Q2422" s="258"/>
      <c r="R2422" s="258"/>
      <c r="S2422" s="258"/>
      <c r="T2422" s="258"/>
      <c r="U2422" s="258"/>
      <c r="V2422" s="258"/>
      <c r="W2422" s="258"/>
      <c r="X2422" s="258"/>
      <c r="Y2422" s="258"/>
      <c r="Z2422" s="258"/>
      <c r="AA2422" s="258"/>
      <c r="AB2422" s="258"/>
      <c r="AC2422" s="407"/>
    </row>
    <row r="2423" spans="2:29" s="406" customFormat="1" ht="16.5" customHeight="1">
      <c r="B2423" s="256"/>
      <c r="C2423" s="256"/>
      <c r="D2423" s="414"/>
      <c r="E2423" s="414"/>
      <c r="F2423" s="414"/>
      <c r="G2423" s="253"/>
      <c r="H2423" s="253"/>
      <c r="I2423" s="253"/>
      <c r="J2423" s="253"/>
      <c r="K2423" s="253"/>
      <c r="L2423" s="253"/>
      <c r="M2423" s="253"/>
      <c r="N2423" s="253"/>
      <c r="O2423" s="258"/>
      <c r="P2423" s="258"/>
      <c r="Q2423" s="258"/>
      <c r="R2423" s="258"/>
      <c r="S2423" s="258"/>
      <c r="T2423" s="258"/>
      <c r="U2423" s="258"/>
      <c r="V2423" s="258"/>
      <c r="W2423" s="258"/>
      <c r="X2423" s="258"/>
      <c r="Y2423" s="258"/>
      <c r="Z2423" s="258"/>
      <c r="AA2423" s="258"/>
      <c r="AB2423" s="258"/>
      <c r="AC2423" s="407"/>
    </row>
    <row r="2424" spans="2:29" s="406" customFormat="1" ht="16.5" customHeight="1">
      <c r="B2424" s="256"/>
      <c r="C2424" s="256"/>
      <c r="D2424" s="414"/>
      <c r="E2424" s="414"/>
      <c r="F2424" s="414"/>
      <c r="G2424" s="253"/>
      <c r="H2424" s="253"/>
      <c r="I2424" s="253"/>
      <c r="J2424" s="253"/>
      <c r="K2424" s="253"/>
      <c r="L2424" s="253"/>
      <c r="M2424" s="253"/>
      <c r="N2424" s="253"/>
      <c r="O2424" s="258"/>
      <c r="P2424" s="258"/>
      <c r="Q2424" s="258"/>
      <c r="R2424" s="258"/>
      <c r="S2424" s="258"/>
      <c r="T2424" s="258"/>
      <c r="U2424" s="258"/>
      <c r="V2424" s="258"/>
      <c r="W2424" s="258"/>
      <c r="X2424" s="258"/>
      <c r="Y2424" s="258"/>
      <c r="Z2424" s="258"/>
      <c r="AA2424" s="258"/>
      <c r="AB2424" s="258"/>
      <c r="AC2424" s="407"/>
    </row>
    <row r="2425" spans="2:29" s="406" customFormat="1" ht="16.5" customHeight="1">
      <c r="B2425" s="256"/>
      <c r="C2425" s="256"/>
      <c r="D2425" s="414"/>
      <c r="E2425" s="414"/>
      <c r="F2425" s="414"/>
      <c r="G2425" s="253"/>
      <c r="H2425" s="253"/>
      <c r="I2425" s="253"/>
      <c r="J2425" s="253"/>
      <c r="K2425" s="253"/>
      <c r="L2425" s="253"/>
      <c r="M2425" s="253"/>
      <c r="N2425" s="253"/>
      <c r="O2425" s="258"/>
      <c r="P2425" s="258"/>
      <c r="Q2425" s="258"/>
      <c r="R2425" s="258"/>
      <c r="S2425" s="258"/>
      <c r="T2425" s="258"/>
      <c r="U2425" s="258"/>
      <c r="V2425" s="258"/>
      <c r="W2425" s="258"/>
      <c r="X2425" s="258"/>
      <c r="Y2425" s="258"/>
      <c r="Z2425" s="258"/>
      <c r="AA2425" s="258"/>
      <c r="AB2425" s="258"/>
      <c r="AC2425" s="407"/>
    </row>
    <row r="2426" spans="2:29" s="406" customFormat="1" ht="16.5" customHeight="1">
      <c r="B2426" s="256"/>
      <c r="C2426" s="256"/>
      <c r="D2426" s="414"/>
      <c r="E2426" s="414"/>
      <c r="F2426" s="414"/>
      <c r="G2426" s="253"/>
      <c r="H2426" s="253"/>
      <c r="I2426" s="253"/>
      <c r="J2426" s="253"/>
      <c r="K2426" s="253"/>
      <c r="L2426" s="253"/>
      <c r="M2426" s="253"/>
      <c r="N2426" s="253"/>
      <c r="O2426" s="258"/>
      <c r="P2426" s="258"/>
      <c r="Q2426" s="258"/>
      <c r="R2426" s="258"/>
      <c r="S2426" s="258"/>
      <c r="T2426" s="258"/>
      <c r="U2426" s="258"/>
      <c r="V2426" s="258"/>
      <c r="W2426" s="258"/>
      <c r="X2426" s="258"/>
      <c r="Y2426" s="258"/>
      <c r="Z2426" s="258"/>
      <c r="AA2426" s="258"/>
      <c r="AB2426" s="258"/>
      <c r="AC2426" s="407"/>
    </row>
    <row r="2427" spans="2:29" s="406" customFormat="1" ht="16.5" customHeight="1">
      <c r="B2427" s="256"/>
      <c r="C2427" s="256"/>
      <c r="D2427" s="414"/>
      <c r="E2427" s="414"/>
      <c r="F2427" s="414"/>
      <c r="G2427" s="253"/>
      <c r="H2427" s="253"/>
      <c r="I2427" s="253"/>
      <c r="J2427" s="253"/>
      <c r="K2427" s="253"/>
      <c r="L2427" s="253"/>
      <c r="M2427" s="253"/>
      <c r="N2427" s="253"/>
      <c r="O2427" s="258"/>
      <c r="P2427" s="258"/>
      <c r="Q2427" s="258"/>
      <c r="R2427" s="258"/>
      <c r="S2427" s="258"/>
      <c r="T2427" s="258"/>
      <c r="U2427" s="258"/>
      <c r="V2427" s="258"/>
      <c r="W2427" s="258"/>
      <c r="X2427" s="258"/>
      <c r="Y2427" s="258"/>
      <c r="Z2427" s="258"/>
      <c r="AA2427" s="258"/>
      <c r="AB2427" s="258"/>
      <c r="AC2427" s="407"/>
    </row>
    <row r="2428" spans="2:29" s="406" customFormat="1" ht="16.5" customHeight="1">
      <c r="B2428" s="256"/>
      <c r="C2428" s="256"/>
      <c r="D2428" s="414"/>
      <c r="E2428" s="414"/>
      <c r="F2428" s="414"/>
      <c r="G2428" s="253"/>
      <c r="H2428" s="253"/>
      <c r="I2428" s="253"/>
      <c r="J2428" s="253"/>
      <c r="K2428" s="253"/>
      <c r="L2428" s="253"/>
      <c r="M2428" s="253"/>
      <c r="N2428" s="253"/>
      <c r="O2428" s="258"/>
      <c r="P2428" s="258"/>
      <c r="Q2428" s="258"/>
      <c r="R2428" s="258"/>
      <c r="S2428" s="258"/>
      <c r="T2428" s="258"/>
      <c r="U2428" s="258"/>
      <c r="V2428" s="258"/>
      <c r="W2428" s="258"/>
      <c r="X2428" s="258"/>
      <c r="Y2428" s="258"/>
      <c r="Z2428" s="258"/>
      <c r="AA2428" s="258"/>
      <c r="AB2428" s="258"/>
      <c r="AC2428" s="407"/>
    </row>
    <row r="2429" spans="2:29" s="406" customFormat="1" ht="16.5" customHeight="1">
      <c r="B2429" s="256"/>
      <c r="C2429" s="256"/>
      <c r="D2429" s="414"/>
      <c r="E2429" s="414"/>
      <c r="F2429" s="414"/>
      <c r="G2429" s="253"/>
      <c r="H2429" s="253"/>
      <c r="I2429" s="253"/>
      <c r="J2429" s="253"/>
      <c r="K2429" s="253"/>
      <c r="L2429" s="253"/>
      <c r="M2429" s="253"/>
      <c r="N2429" s="253"/>
      <c r="O2429" s="258"/>
      <c r="P2429" s="258"/>
      <c r="Q2429" s="258"/>
      <c r="R2429" s="258"/>
      <c r="S2429" s="258"/>
      <c r="T2429" s="258"/>
      <c r="U2429" s="258"/>
      <c r="V2429" s="258"/>
      <c r="W2429" s="258"/>
      <c r="X2429" s="258"/>
      <c r="Y2429" s="258"/>
      <c r="Z2429" s="258"/>
      <c r="AA2429" s="258"/>
      <c r="AB2429" s="258"/>
      <c r="AC2429" s="407"/>
    </row>
    <row r="2430" spans="2:29" s="406" customFormat="1" ht="16.5" customHeight="1">
      <c r="B2430" s="256"/>
      <c r="C2430" s="256"/>
      <c r="D2430" s="414"/>
      <c r="E2430" s="414"/>
      <c r="F2430" s="414"/>
      <c r="G2430" s="253"/>
      <c r="H2430" s="253"/>
      <c r="I2430" s="253"/>
      <c r="J2430" s="253"/>
      <c r="K2430" s="253"/>
      <c r="L2430" s="253"/>
      <c r="M2430" s="253"/>
      <c r="N2430" s="253"/>
      <c r="O2430" s="258"/>
      <c r="P2430" s="258"/>
      <c r="Q2430" s="258"/>
      <c r="R2430" s="258"/>
      <c r="S2430" s="258"/>
      <c r="T2430" s="258"/>
      <c r="U2430" s="258"/>
      <c r="V2430" s="258"/>
      <c r="W2430" s="258"/>
      <c r="X2430" s="258"/>
      <c r="Y2430" s="258"/>
      <c r="Z2430" s="258"/>
      <c r="AA2430" s="258"/>
      <c r="AB2430" s="258"/>
      <c r="AC2430" s="407"/>
    </row>
    <row r="2431" spans="2:29" s="406" customFormat="1" ht="16.5" customHeight="1">
      <c r="B2431" s="256"/>
      <c r="C2431" s="256"/>
      <c r="D2431" s="414"/>
      <c r="E2431" s="414"/>
      <c r="F2431" s="414"/>
      <c r="G2431" s="253"/>
      <c r="H2431" s="253"/>
      <c r="I2431" s="253"/>
      <c r="J2431" s="253"/>
      <c r="K2431" s="253"/>
      <c r="L2431" s="253"/>
      <c r="M2431" s="253"/>
      <c r="N2431" s="253"/>
      <c r="O2431" s="258"/>
      <c r="P2431" s="258"/>
      <c r="Q2431" s="258"/>
      <c r="R2431" s="258"/>
      <c r="S2431" s="258"/>
      <c r="T2431" s="258"/>
      <c r="U2431" s="258"/>
      <c r="V2431" s="258"/>
      <c r="W2431" s="258"/>
      <c r="X2431" s="258"/>
      <c r="Y2431" s="258"/>
      <c r="Z2431" s="258"/>
      <c r="AA2431" s="258"/>
      <c r="AB2431" s="258"/>
      <c r="AC2431" s="407"/>
    </row>
    <row r="2432" spans="2:29" s="406" customFormat="1" ht="16.5" customHeight="1">
      <c r="B2432" s="256"/>
      <c r="C2432" s="256"/>
      <c r="D2432" s="414"/>
      <c r="E2432" s="414"/>
      <c r="F2432" s="414"/>
      <c r="G2432" s="253"/>
      <c r="H2432" s="253"/>
      <c r="I2432" s="253"/>
      <c r="J2432" s="253"/>
      <c r="K2432" s="253"/>
      <c r="L2432" s="253"/>
      <c r="M2432" s="253"/>
      <c r="N2432" s="253"/>
      <c r="O2432" s="258"/>
      <c r="P2432" s="258"/>
      <c r="Q2432" s="258"/>
      <c r="R2432" s="258"/>
      <c r="S2432" s="258"/>
      <c r="T2432" s="258"/>
      <c r="U2432" s="258"/>
      <c r="V2432" s="258"/>
      <c r="W2432" s="258"/>
      <c r="X2432" s="258"/>
      <c r="Y2432" s="258"/>
      <c r="Z2432" s="258"/>
      <c r="AA2432" s="258"/>
      <c r="AB2432" s="258"/>
      <c r="AC2432" s="407"/>
    </row>
    <row r="2433" spans="2:29" s="406" customFormat="1" ht="16.5" customHeight="1">
      <c r="B2433" s="256"/>
      <c r="C2433" s="256"/>
      <c r="D2433" s="414"/>
      <c r="E2433" s="414"/>
      <c r="F2433" s="414"/>
      <c r="G2433" s="253"/>
      <c r="H2433" s="253"/>
      <c r="I2433" s="253"/>
      <c r="J2433" s="253"/>
      <c r="K2433" s="253"/>
      <c r="L2433" s="253"/>
      <c r="M2433" s="253"/>
      <c r="N2433" s="253"/>
      <c r="O2433" s="258"/>
      <c r="P2433" s="258"/>
      <c r="Q2433" s="258"/>
      <c r="R2433" s="258"/>
      <c r="S2433" s="258"/>
      <c r="T2433" s="258"/>
      <c r="U2433" s="258"/>
      <c r="V2433" s="258"/>
      <c r="W2433" s="258"/>
      <c r="X2433" s="258"/>
      <c r="Y2433" s="258"/>
      <c r="Z2433" s="258"/>
      <c r="AA2433" s="258"/>
      <c r="AB2433" s="258"/>
      <c r="AC2433" s="407"/>
    </row>
    <row r="2434" spans="2:29" s="406" customFormat="1" ht="16.5" customHeight="1">
      <c r="B2434" s="256"/>
      <c r="C2434" s="256"/>
      <c r="D2434" s="414"/>
      <c r="E2434" s="414"/>
      <c r="F2434" s="414"/>
      <c r="G2434" s="253"/>
      <c r="H2434" s="253"/>
      <c r="I2434" s="253"/>
      <c r="J2434" s="253"/>
      <c r="K2434" s="253"/>
      <c r="L2434" s="253"/>
      <c r="M2434" s="253"/>
      <c r="N2434" s="253"/>
      <c r="O2434" s="258"/>
      <c r="P2434" s="258"/>
      <c r="Q2434" s="258"/>
      <c r="R2434" s="258"/>
      <c r="S2434" s="258"/>
      <c r="T2434" s="258"/>
      <c r="U2434" s="258"/>
      <c r="V2434" s="258"/>
      <c r="W2434" s="258"/>
      <c r="X2434" s="258"/>
      <c r="Y2434" s="258"/>
      <c r="Z2434" s="258"/>
      <c r="AA2434" s="258"/>
      <c r="AB2434" s="258"/>
      <c r="AC2434" s="407"/>
    </row>
    <row r="2435" spans="2:29" s="406" customFormat="1" ht="16.5" customHeight="1">
      <c r="B2435" s="256"/>
      <c r="C2435" s="256"/>
      <c r="D2435" s="414"/>
      <c r="E2435" s="414"/>
      <c r="F2435" s="414"/>
      <c r="G2435" s="253"/>
      <c r="H2435" s="253"/>
      <c r="I2435" s="253"/>
      <c r="J2435" s="253"/>
      <c r="K2435" s="253"/>
      <c r="L2435" s="253"/>
      <c r="M2435" s="253"/>
      <c r="N2435" s="253"/>
      <c r="O2435" s="258"/>
      <c r="P2435" s="258"/>
      <c r="Q2435" s="258"/>
      <c r="R2435" s="258"/>
      <c r="S2435" s="258"/>
      <c r="T2435" s="258"/>
      <c r="U2435" s="258"/>
      <c r="V2435" s="258"/>
      <c r="W2435" s="258"/>
      <c r="X2435" s="258"/>
      <c r="Y2435" s="258"/>
      <c r="Z2435" s="258"/>
      <c r="AA2435" s="258"/>
      <c r="AB2435" s="258"/>
      <c r="AC2435" s="407"/>
    </row>
    <row r="2436" spans="2:29" s="406" customFormat="1" ht="16.5" customHeight="1">
      <c r="B2436" s="256"/>
      <c r="C2436" s="256"/>
      <c r="D2436" s="414"/>
      <c r="E2436" s="414"/>
      <c r="F2436" s="414"/>
      <c r="G2436" s="253"/>
      <c r="H2436" s="253"/>
      <c r="I2436" s="253"/>
      <c r="J2436" s="253"/>
      <c r="K2436" s="253"/>
      <c r="L2436" s="253"/>
      <c r="M2436" s="253"/>
      <c r="N2436" s="253"/>
      <c r="O2436" s="258"/>
      <c r="P2436" s="258"/>
      <c r="Q2436" s="258"/>
      <c r="R2436" s="258"/>
      <c r="S2436" s="258"/>
      <c r="T2436" s="258"/>
      <c r="U2436" s="258"/>
      <c r="V2436" s="258"/>
      <c r="W2436" s="258"/>
      <c r="X2436" s="258"/>
      <c r="Y2436" s="258"/>
      <c r="Z2436" s="258"/>
      <c r="AA2436" s="258"/>
      <c r="AB2436" s="258"/>
      <c r="AC2436" s="407"/>
    </row>
    <row r="2437" spans="2:29" s="406" customFormat="1" ht="16.5" customHeight="1">
      <c r="B2437" s="256"/>
      <c r="C2437" s="256"/>
      <c r="D2437" s="414"/>
      <c r="E2437" s="414"/>
      <c r="F2437" s="414"/>
      <c r="G2437" s="253"/>
      <c r="H2437" s="253"/>
      <c r="I2437" s="253"/>
      <c r="J2437" s="253"/>
      <c r="K2437" s="253"/>
      <c r="L2437" s="253"/>
      <c r="M2437" s="253"/>
      <c r="N2437" s="253"/>
      <c r="O2437" s="258"/>
      <c r="P2437" s="258"/>
      <c r="Q2437" s="258"/>
      <c r="R2437" s="258"/>
      <c r="S2437" s="258"/>
      <c r="T2437" s="258"/>
      <c r="U2437" s="258"/>
      <c r="V2437" s="258"/>
      <c r="W2437" s="258"/>
      <c r="X2437" s="258"/>
      <c r="Y2437" s="258"/>
      <c r="Z2437" s="258"/>
      <c r="AA2437" s="258"/>
      <c r="AB2437" s="258"/>
      <c r="AC2437" s="407"/>
    </row>
    <row r="2438" spans="2:29" s="406" customFormat="1" ht="16.5" customHeight="1">
      <c r="B2438" s="256"/>
      <c r="C2438" s="256"/>
      <c r="D2438" s="414"/>
      <c r="E2438" s="414"/>
      <c r="F2438" s="414"/>
      <c r="G2438" s="253"/>
      <c r="H2438" s="253"/>
      <c r="I2438" s="253"/>
      <c r="J2438" s="253"/>
      <c r="K2438" s="253"/>
      <c r="L2438" s="253"/>
      <c r="M2438" s="253"/>
      <c r="N2438" s="253"/>
      <c r="O2438" s="258"/>
      <c r="P2438" s="258"/>
      <c r="Q2438" s="258"/>
      <c r="R2438" s="258"/>
      <c r="S2438" s="258"/>
      <c r="T2438" s="258"/>
      <c r="U2438" s="258"/>
      <c r="V2438" s="258"/>
      <c r="W2438" s="258"/>
      <c r="X2438" s="258"/>
      <c r="Y2438" s="258"/>
      <c r="Z2438" s="258"/>
      <c r="AA2438" s="258"/>
      <c r="AB2438" s="258"/>
      <c r="AC2438" s="407"/>
    </row>
    <row r="2439" spans="2:29" s="406" customFormat="1" ht="16.5" customHeight="1">
      <c r="B2439" s="256"/>
      <c r="C2439" s="256"/>
      <c r="D2439" s="414"/>
      <c r="E2439" s="414"/>
      <c r="F2439" s="414"/>
      <c r="G2439" s="253"/>
      <c r="H2439" s="253"/>
      <c r="I2439" s="253"/>
      <c r="J2439" s="253"/>
      <c r="K2439" s="253"/>
      <c r="L2439" s="253"/>
      <c r="M2439" s="253"/>
      <c r="N2439" s="253"/>
      <c r="O2439" s="258"/>
      <c r="P2439" s="258"/>
      <c r="Q2439" s="258"/>
      <c r="R2439" s="258"/>
      <c r="S2439" s="258"/>
      <c r="T2439" s="258"/>
      <c r="U2439" s="258"/>
      <c r="V2439" s="258"/>
      <c r="W2439" s="258"/>
      <c r="X2439" s="258"/>
      <c r="Y2439" s="258"/>
      <c r="Z2439" s="258"/>
      <c r="AA2439" s="258"/>
      <c r="AB2439" s="258"/>
      <c r="AC2439" s="407"/>
    </row>
    <row r="2440" spans="2:29" s="406" customFormat="1" ht="16.5" customHeight="1">
      <c r="B2440" s="256"/>
      <c r="C2440" s="256"/>
      <c r="D2440" s="414"/>
      <c r="E2440" s="414"/>
      <c r="F2440" s="414"/>
      <c r="G2440" s="253"/>
      <c r="H2440" s="253"/>
      <c r="I2440" s="253"/>
      <c r="J2440" s="253"/>
      <c r="K2440" s="253"/>
      <c r="L2440" s="253"/>
      <c r="M2440" s="253"/>
      <c r="N2440" s="253"/>
      <c r="O2440" s="258"/>
      <c r="P2440" s="258"/>
      <c r="Q2440" s="258"/>
      <c r="R2440" s="258"/>
      <c r="S2440" s="258"/>
      <c r="T2440" s="258"/>
      <c r="U2440" s="258"/>
      <c r="V2440" s="258"/>
      <c r="W2440" s="258"/>
      <c r="X2440" s="258"/>
      <c r="Y2440" s="258"/>
      <c r="Z2440" s="258"/>
      <c r="AA2440" s="258"/>
      <c r="AB2440" s="258"/>
      <c r="AC2440" s="407"/>
    </row>
    <row r="2441" spans="2:29" s="406" customFormat="1" ht="16.5" customHeight="1">
      <c r="B2441" s="256"/>
      <c r="C2441" s="256"/>
      <c r="D2441" s="414"/>
      <c r="E2441" s="414"/>
      <c r="F2441" s="414"/>
      <c r="G2441" s="253"/>
      <c r="H2441" s="253"/>
      <c r="I2441" s="253"/>
      <c r="J2441" s="253"/>
      <c r="K2441" s="253"/>
      <c r="L2441" s="253"/>
      <c r="M2441" s="253"/>
      <c r="N2441" s="253"/>
      <c r="O2441" s="258"/>
      <c r="P2441" s="258"/>
      <c r="Q2441" s="258"/>
      <c r="R2441" s="258"/>
      <c r="S2441" s="258"/>
      <c r="T2441" s="258"/>
      <c r="U2441" s="258"/>
      <c r="V2441" s="258"/>
      <c r="W2441" s="258"/>
      <c r="X2441" s="258"/>
      <c r="Y2441" s="258"/>
      <c r="Z2441" s="258"/>
      <c r="AA2441" s="258"/>
      <c r="AB2441" s="258"/>
      <c r="AC2441" s="407"/>
    </row>
    <row r="2442" spans="2:29" s="406" customFormat="1" ht="16.5" customHeight="1">
      <c r="B2442" s="256"/>
      <c r="C2442" s="256"/>
      <c r="D2442" s="414"/>
      <c r="E2442" s="414"/>
      <c r="F2442" s="414"/>
      <c r="G2442" s="253"/>
      <c r="H2442" s="253"/>
      <c r="I2442" s="253"/>
      <c r="J2442" s="253"/>
      <c r="K2442" s="253"/>
      <c r="L2442" s="253"/>
      <c r="M2442" s="253"/>
      <c r="N2442" s="253"/>
      <c r="O2442" s="258"/>
      <c r="P2442" s="258"/>
      <c r="Q2442" s="258"/>
      <c r="R2442" s="258"/>
      <c r="S2442" s="258"/>
      <c r="T2442" s="258"/>
      <c r="U2442" s="258"/>
      <c r="V2442" s="258"/>
      <c r="W2442" s="258"/>
      <c r="X2442" s="258"/>
      <c r="Y2442" s="258"/>
      <c r="Z2442" s="258"/>
      <c r="AA2442" s="258"/>
      <c r="AB2442" s="258"/>
      <c r="AC2442" s="407"/>
    </row>
    <row r="2443" spans="2:29" s="406" customFormat="1" ht="16.5" customHeight="1">
      <c r="B2443" s="256"/>
      <c r="C2443" s="256"/>
      <c r="D2443" s="414"/>
      <c r="E2443" s="414"/>
      <c r="F2443" s="414"/>
      <c r="G2443" s="253"/>
      <c r="H2443" s="253"/>
      <c r="I2443" s="253"/>
      <c r="J2443" s="253"/>
      <c r="K2443" s="253"/>
      <c r="L2443" s="253"/>
      <c r="M2443" s="253"/>
      <c r="N2443" s="253"/>
      <c r="O2443" s="258"/>
      <c r="P2443" s="258"/>
      <c r="Q2443" s="258"/>
      <c r="R2443" s="258"/>
      <c r="S2443" s="258"/>
      <c r="T2443" s="258"/>
      <c r="U2443" s="258"/>
      <c r="V2443" s="258"/>
      <c r="W2443" s="258"/>
      <c r="X2443" s="258"/>
      <c r="Y2443" s="258"/>
      <c r="Z2443" s="258"/>
      <c r="AA2443" s="258"/>
      <c r="AB2443" s="258"/>
      <c r="AC2443" s="407"/>
    </row>
    <row r="2444" spans="2:29" s="406" customFormat="1" ht="16.5" customHeight="1">
      <c r="B2444" s="256"/>
      <c r="C2444" s="256"/>
      <c r="D2444" s="414"/>
      <c r="E2444" s="414"/>
      <c r="F2444" s="414"/>
      <c r="G2444" s="253"/>
      <c r="H2444" s="253"/>
      <c r="I2444" s="253"/>
      <c r="J2444" s="253"/>
      <c r="K2444" s="253"/>
      <c r="L2444" s="253"/>
      <c r="M2444" s="253"/>
      <c r="N2444" s="253"/>
      <c r="O2444" s="258"/>
      <c r="P2444" s="258"/>
      <c r="Q2444" s="258"/>
      <c r="R2444" s="258"/>
      <c r="S2444" s="258"/>
      <c r="T2444" s="258"/>
      <c r="U2444" s="258"/>
      <c r="V2444" s="258"/>
      <c r="W2444" s="258"/>
      <c r="X2444" s="258"/>
      <c r="Y2444" s="258"/>
      <c r="Z2444" s="258"/>
      <c r="AA2444" s="258"/>
      <c r="AB2444" s="258"/>
      <c r="AC2444" s="407"/>
    </row>
    <row r="2445" spans="2:29" s="406" customFormat="1" ht="16.5" customHeight="1">
      <c r="B2445" s="256"/>
      <c r="C2445" s="256"/>
      <c r="D2445" s="414"/>
      <c r="E2445" s="414"/>
      <c r="F2445" s="414"/>
      <c r="G2445" s="253"/>
      <c r="H2445" s="253"/>
      <c r="I2445" s="253"/>
      <c r="J2445" s="253"/>
      <c r="K2445" s="253"/>
      <c r="L2445" s="253"/>
      <c r="M2445" s="253"/>
      <c r="N2445" s="253"/>
      <c r="O2445" s="258"/>
      <c r="P2445" s="258"/>
      <c r="Q2445" s="258"/>
      <c r="R2445" s="258"/>
      <c r="S2445" s="258"/>
      <c r="T2445" s="258"/>
      <c r="U2445" s="258"/>
      <c r="V2445" s="258"/>
      <c r="W2445" s="258"/>
      <c r="X2445" s="258"/>
      <c r="Y2445" s="258"/>
      <c r="Z2445" s="258"/>
      <c r="AA2445" s="258"/>
      <c r="AB2445" s="258"/>
      <c r="AC2445" s="407"/>
    </row>
    <row r="2446" spans="2:29" s="406" customFormat="1" ht="16.5" customHeight="1">
      <c r="B2446" s="256"/>
      <c r="C2446" s="256"/>
      <c r="D2446" s="414"/>
      <c r="E2446" s="414"/>
      <c r="F2446" s="414"/>
      <c r="G2446" s="253"/>
      <c r="H2446" s="253"/>
      <c r="I2446" s="253"/>
      <c r="J2446" s="253"/>
      <c r="K2446" s="253"/>
      <c r="L2446" s="253"/>
      <c r="M2446" s="253"/>
      <c r="N2446" s="253"/>
      <c r="O2446" s="258"/>
      <c r="P2446" s="258"/>
      <c r="Q2446" s="258"/>
      <c r="R2446" s="258"/>
      <c r="S2446" s="258"/>
      <c r="T2446" s="258"/>
      <c r="U2446" s="258"/>
      <c r="V2446" s="258"/>
      <c r="W2446" s="258"/>
      <c r="X2446" s="258"/>
      <c r="Y2446" s="258"/>
      <c r="Z2446" s="258"/>
      <c r="AA2446" s="258"/>
      <c r="AB2446" s="258"/>
      <c r="AC2446" s="407"/>
    </row>
    <row r="2447" spans="2:29" s="406" customFormat="1" ht="16.5" customHeight="1">
      <c r="B2447" s="256"/>
      <c r="C2447" s="256"/>
      <c r="D2447" s="414"/>
      <c r="E2447" s="414"/>
      <c r="F2447" s="414"/>
      <c r="G2447" s="253"/>
      <c r="H2447" s="253"/>
      <c r="I2447" s="253"/>
      <c r="J2447" s="253"/>
      <c r="K2447" s="253"/>
      <c r="L2447" s="253"/>
      <c r="M2447" s="253"/>
      <c r="N2447" s="253"/>
      <c r="O2447" s="258"/>
      <c r="P2447" s="258"/>
      <c r="Q2447" s="258"/>
      <c r="R2447" s="258"/>
      <c r="S2447" s="258"/>
      <c r="T2447" s="258"/>
      <c r="U2447" s="258"/>
      <c r="V2447" s="258"/>
      <c r="W2447" s="258"/>
      <c r="X2447" s="258"/>
      <c r="Y2447" s="258"/>
      <c r="Z2447" s="258"/>
      <c r="AA2447" s="258"/>
      <c r="AB2447" s="258"/>
      <c r="AC2447" s="407"/>
    </row>
    <row r="2448" spans="2:29" s="406" customFormat="1" ht="16.5" customHeight="1">
      <c r="B2448" s="256"/>
      <c r="C2448" s="256"/>
      <c r="D2448" s="414"/>
      <c r="E2448" s="414"/>
      <c r="F2448" s="414"/>
      <c r="G2448" s="253"/>
      <c r="H2448" s="253"/>
      <c r="I2448" s="253"/>
      <c r="J2448" s="253"/>
      <c r="K2448" s="253"/>
      <c r="L2448" s="253"/>
      <c r="M2448" s="253"/>
      <c r="N2448" s="253"/>
      <c r="O2448" s="258"/>
      <c r="P2448" s="258"/>
      <c r="Q2448" s="258"/>
      <c r="R2448" s="258"/>
      <c r="S2448" s="258"/>
      <c r="T2448" s="258"/>
      <c r="U2448" s="258"/>
      <c r="V2448" s="258"/>
      <c r="W2448" s="258"/>
      <c r="X2448" s="258"/>
      <c r="Y2448" s="258"/>
      <c r="Z2448" s="258"/>
      <c r="AA2448" s="258"/>
      <c r="AB2448" s="258"/>
      <c r="AC2448" s="407"/>
    </row>
    <row r="2449" spans="2:29" s="406" customFormat="1" ht="16.5" customHeight="1">
      <c r="B2449" s="256"/>
      <c r="C2449" s="256"/>
      <c r="D2449" s="414"/>
      <c r="E2449" s="414"/>
      <c r="F2449" s="414"/>
      <c r="G2449" s="253"/>
      <c r="H2449" s="253"/>
      <c r="I2449" s="253"/>
      <c r="J2449" s="253"/>
      <c r="K2449" s="253"/>
      <c r="L2449" s="253"/>
      <c r="M2449" s="253"/>
      <c r="N2449" s="253"/>
      <c r="O2449" s="258"/>
      <c r="P2449" s="258"/>
      <c r="Q2449" s="258"/>
      <c r="R2449" s="258"/>
      <c r="S2449" s="258"/>
      <c r="T2449" s="258"/>
      <c r="U2449" s="258"/>
      <c r="V2449" s="258"/>
      <c r="W2449" s="258"/>
      <c r="X2449" s="258"/>
      <c r="Y2449" s="258"/>
      <c r="Z2449" s="258"/>
      <c r="AA2449" s="258"/>
      <c r="AB2449" s="258"/>
      <c r="AC2449" s="407"/>
    </row>
    <row r="2450" spans="2:29" s="406" customFormat="1" ht="16.5" customHeight="1">
      <c r="B2450" s="256"/>
      <c r="C2450" s="256"/>
      <c r="D2450" s="414"/>
      <c r="E2450" s="414"/>
      <c r="F2450" s="414"/>
      <c r="G2450" s="253"/>
      <c r="H2450" s="253"/>
      <c r="I2450" s="253"/>
      <c r="J2450" s="253"/>
      <c r="K2450" s="253"/>
      <c r="L2450" s="253"/>
      <c r="M2450" s="253"/>
      <c r="N2450" s="253"/>
      <c r="O2450" s="258"/>
      <c r="P2450" s="258"/>
      <c r="Q2450" s="258"/>
      <c r="R2450" s="258"/>
      <c r="S2450" s="258"/>
      <c r="T2450" s="258"/>
      <c r="U2450" s="258"/>
      <c r="V2450" s="258"/>
      <c r="W2450" s="258"/>
      <c r="X2450" s="258"/>
      <c r="Y2450" s="258"/>
      <c r="Z2450" s="258"/>
      <c r="AA2450" s="258"/>
      <c r="AB2450" s="258"/>
      <c r="AC2450" s="407"/>
    </row>
    <row r="2451" spans="2:29" s="406" customFormat="1" ht="16.5" customHeight="1">
      <c r="B2451" s="256"/>
      <c r="C2451" s="256"/>
      <c r="D2451" s="414"/>
      <c r="E2451" s="414"/>
      <c r="F2451" s="414"/>
      <c r="G2451" s="253"/>
      <c r="H2451" s="253"/>
      <c r="I2451" s="253"/>
      <c r="J2451" s="253"/>
      <c r="K2451" s="253"/>
      <c r="L2451" s="253"/>
      <c r="M2451" s="253"/>
      <c r="N2451" s="253"/>
      <c r="O2451" s="258"/>
      <c r="P2451" s="258"/>
      <c r="Q2451" s="258"/>
      <c r="R2451" s="258"/>
      <c r="S2451" s="258"/>
      <c r="T2451" s="258"/>
      <c r="U2451" s="258"/>
      <c r="V2451" s="258"/>
      <c r="W2451" s="258"/>
      <c r="X2451" s="258"/>
      <c r="Y2451" s="258"/>
      <c r="Z2451" s="258"/>
      <c r="AA2451" s="258"/>
      <c r="AB2451" s="258"/>
      <c r="AC2451" s="407"/>
    </row>
    <row r="2452" spans="2:29" s="406" customFormat="1" ht="16.5" customHeight="1">
      <c r="B2452" s="256"/>
      <c r="C2452" s="256"/>
      <c r="D2452" s="414"/>
      <c r="E2452" s="414"/>
      <c r="F2452" s="414"/>
      <c r="G2452" s="253"/>
      <c r="H2452" s="253"/>
      <c r="I2452" s="253"/>
      <c r="J2452" s="253"/>
      <c r="K2452" s="253"/>
      <c r="L2452" s="253"/>
      <c r="M2452" s="253"/>
      <c r="N2452" s="253"/>
      <c r="O2452" s="258"/>
      <c r="P2452" s="258"/>
      <c r="Q2452" s="258"/>
      <c r="R2452" s="258"/>
      <c r="S2452" s="258"/>
      <c r="T2452" s="258"/>
      <c r="U2452" s="258"/>
      <c r="V2452" s="258"/>
      <c r="W2452" s="258"/>
      <c r="X2452" s="258"/>
      <c r="Y2452" s="258"/>
      <c r="Z2452" s="258"/>
      <c r="AA2452" s="258"/>
      <c r="AB2452" s="258"/>
      <c r="AC2452" s="407"/>
    </row>
    <row r="2453" spans="2:29" s="406" customFormat="1" ht="16.5" customHeight="1">
      <c r="B2453" s="256"/>
      <c r="C2453" s="256"/>
      <c r="D2453" s="414"/>
      <c r="E2453" s="414"/>
      <c r="F2453" s="414"/>
      <c r="G2453" s="253"/>
      <c r="H2453" s="253"/>
      <c r="I2453" s="253"/>
      <c r="J2453" s="253"/>
      <c r="K2453" s="253"/>
      <c r="L2453" s="253"/>
      <c r="M2453" s="253"/>
      <c r="N2453" s="253"/>
      <c r="O2453" s="258"/>
      <c r="P2453" s="258"/>
      <c r="Q2453" s="258"/>
      <c r="R2453" s="258"/>
      <c r="S2453" s="258"/>
      <c r="T2453" s="258"/>
      <c r="U2453" s="258"/>
      <c r="V2453" s="258"/>
      <c r="W2453" s="258"/>
      <c r="X2453" s="258"/>
      <c r="Y2453" s="258"/>
      <c r="Z2453" s="258"/>
      <c r="AA2453" s="258"/>
      <c r="AB2453" s="258"/>
      <c r="AC2453" s="407"/>
    </row>
    <row r="2454" spans="2:29" s="406" customFormat="1" ht="16.5" customHeight="1">
      <c r="B2454" s="256"/>
      <c r="C2454" s="256"/>
      <c r="D2454" s="414"/>
      <c r="E2454" s="414"/>
      <c r="F2454" s="414"/>
      <c r="G2454" s="253"/>
      <c r="H2454" s="253"/>
      <c r="I2454" s="253"/>
      <c r="J2454" s="253"/>
      <c r="K2454" s="253"/>
      <c r="L2454" s="253"/>
      <c r="M2454" s="253"/>
      <c r="N2454" s="253"/>
      <c r="O2454" s="258"/>
      <c r="P2454" s="258"/>
      <c r="Q2454" s="258"/>
      <c r="R2454" s="258"/>
      <c r="S2454" s="258"/>
      <c r="T2454" s="258"/>
      <c r="U2454" s="258"/>
      <c r="V2454" s="258"/>
      <c r="W2454" s="258"/>
      <c r="X2454" s="258"/>
      <c r="Y2454" s="258"/>
      <c r="Z2454" s="258"/>
      <c r="AA2454" s="258"/>
      <c r="AB2454" s="258"/>
      <c r="AC2454" s="407"/>
    </row>
    <row r="2455" spans="2:29" s="406" customFormat="1" ht="16.5" customHeight="1">
      <c r="B2455" s="256"/>
      <c r="C2455" s="256"/>
      <c r="D2455" s="414"/>
      <c r="E2455" s="414"/>
      <c r="F2455" s="414"/>
      <c r="G2455" s="253"/>
      <c r="H2455" s="253"/>
      <c r="I2455" s="253"/>
      <c r="J2455" s="253"/>
      <c r="K2455" s="253"/>
      <c r="L2455" s="253"/>
      <c r="M2455" s="253"/>
      <c r="N2455" s="253"/>
      <c r="O2455" s="258"/>
      <c r="P2455" s="258"/>
      <c r="Q2455" s="258"/>
      <c r="R2455" s="258"/>
      <c r="S2455" s="258"/>
      <c r="T2455" s="258"/>
      <c r="U2455" s="258"/>
      <c r="V2455" s="258"/>
      <c r="W2455" s="258"/>
      <c r="X2455" s="258"/>
      <c r="Y2455" s="258"/>
      <c r="Z2455" s="258"/>
      <c r="AA2455" s="258"/>
      <c r="AB2455" s="258"/>
      <c r="AC2455" s="407"/>
    </row>
    <row r="2456" spans="2:29" s="406" customFormat="1" ht="16.5" customHeight="1">
      <c r="B2456" s="256"/>
      <c r="C2456" s="256"/>
      <c r="D2456" s="414"/>
      <c r="E2456" s="414"/>
      <c r="F2456" s="414"/>
      <c r="G2456" s="253"/>
      <c r="H2456" s="253"/>
      <c r="I2456" s="253"/>
      <c r="J2456" s="253"/>
      <c r="K2456" s="253"/>
      <c r="L2456" s="253"/>
      <c r="M2456" s="253"/>
      <c r="N2456" s="253"/>
      <c r="O2456" s="258"/>
      <c r="P2456" s="258"/>
      <c r="Q2456" s="258"/>
      <c r="R2456" s="258"/>
      <c r="S2456" s="258"/>
      <c r="T2456" s="258"/>
      <c r="U2456" s="258"/>
      <c r="V2456" s="258"/>
      <c r="W2456" s="258"/>
      <c r="X2456" s="258"/>
      <c r="Y2456" s="258"/>
      <c r="Z2456" s="258"/>
      <c r="AA2456" s="258"/>
      <c r="AB2456" s="258"/>
      <c r="AC2456" s="407"/>
    </row>
    <row r="2457" spans="2:29" s="406" customFormat="1" ht="16.5" customHeight="1">
      <c r="B2457" s="256"/>
      <c r="C2457" s="256"/>
      <c r="D2457" s="414"/>
      <c r="E2457" s="414"/>
      <c r="F2457" s="414"/>
      <c r="G2457" s="253"/>
      <c r="H2457" s="253"/>
      <c r="I2457" s="253"/>
      <c r="J2457" s="253"/>
      <c r="K2457" s="253"/>
      <c r="L2457" s="253"/>
      <c r="M2457" s="253"/>
      <c r="N2457" s="253"/>
      <c r="O2457" s="258"/>
      <c r="P2457" s="258"/>
      <c r="Q2457" s="258"/>
      <c r="R2457" s="258"/>
      <c r="S2457" s="258"/>
      <c r="T2457" s="258"/>
      <c r="U2457" s="258"/>
      <c r="V2457" s="258"/>
      <c r="W2457" s="258"/>
      <c r="X2457" s="258"/>
      <c r="Y2457" s="258"/>
      <c r="Z2457" s="258"/>
      <c r="AA2457" s="258"/>
      <c r="AB2457" s="258"/>
      <c r="AC2457" s="407"/>
    </row>
    <row r="2458" spans="2:29" s="406" customFormat="1" ht="16.5" customHeight="1">
      <c r="B2458" s="256"/>
      <c r="C2458" s="256"/>
      <c r="D2458" s="414"/>
      <c r="E2458" s="414"/>
      <c r="F2458" s="414"/>
      <c r="G2458" s="253"/>
      <c r="H2458" s="253"/>
      <c r="I2458" s="253"/>
      <c r="J2458" s="253"/>
      <c r="K2458" s="253"/>
      <c r="L2458" s="253"/>
      <c r="M2458" s="253"/>
      <c r="N2458" s="253"/>
      <c r="O2458" s="258"/>
      <c r="P2458" s="258"/>
      <c r="Q2458" s="258"/>
      <c r="R2458" s="258"/>
      <c r="S2458" s="258"/>
      <c r="T2458" s="258"/>
      <c r="U2458" s="258"/>
      <c r="V2458" s="258"/>
      <c r="W2458" s="258"/>
      <c r="X2458" s="258"/>
      <c r="Y2458" s="258"/>
      <c r="Z2458" s="258"/>
      <c r="AA2458" s="258"/>
      <c r="AB2458" s="258"/>
      <c r="AC2458" s="407"/>
    </row>
    <row r="2459" spans="2:29" s="406" customFormat="1" ht="16.5" customHeight="1">
      <c r="B2459" s="256"/>
      <c r="C2459" s="256"/>
      <c r="D2459" s="414"/>
      <c r="E2459" s="414"/>
      <c r="F2459" s="414"/>
      <c r="G2459" s="253"/>
      <c r="H2459" s="253"/>
      <c r="I2459" s="253"/>
      <c r="J2459" s="253"/>
      <c r="K2459" s="253"/>
      <c r="L2459" s="253"/>
      <c r="M2459" s="253"/>
      <c r="N2459" s="253"/>
      <c r="O2459" s="258"/>
      <c r="P2459" s="258"/>
      <c r="Q2459" s="258"/>
      <c r="R2459" s="258"/>
      <c r="S2459" s="258"/>
      <c r="T2459" s="258"/>
      <c r="U2459" s="258"/>
      <c r="V2459" s="258"/>
      <c r="W2459" s="258"/>
      <c r="X2459" s="258"/>
      <c r="Y2459" s="258"/>
      <c r="Z2459" s="258"/>
      <c r="AA2459" s="258"/>
      <c r="AB2459" s="258"/>
      <c r="AC2459" s="407"/>
    </row>
    <row r="2460" spans="2:29" s="406" customFormat="1" ht="16.5" customHeight="1">
      <c r="B2460" s="256"/>
      <c r="C2460" s="256"/>
      <c r="D2460" s="414"/>
      <c r="E2460" s="414"/>
      <c r="F2460" s="414"/>
      <c r="G2460" s="253"/>
      <c r="H2460" s="253"/>
      <c r="I2460" s="253"/>
      <c r="J2460" s="253"/>
      <c r="K2460" s="253"/>
      <c r="L2460" s="253"/>
      <c r="M2460" s="253"/>
      <c r="N2460" s="253"/>
      <c r="O2460" s="258"/>
      <c r="P2460" s="258"/>
      <c r="Q2460" s="258"/>
      <c r="R2460" s="258"/>
      <c r="S2460" s="258"/>
      <c r="T2460" s="258"/>
      <c r="U2460" s="258"/>
      <c r="V2460" s="258"/>
      <c r="W2460" s="258"/>
      <c r="X2460" s="258"/>
      <c r="Y2460" s="258"/>
      <c r="Z2460" s="258"/>
      <c r="AA2460" s="258"/>
      <c r="AB2460" s="258"/>
      <c r="AC2460" s="407"/>
    </row>
    <row r="2461" spans="2:29" s="406" customFormat="1" ht="16.5" customHeight="1">
      <c r="B2461" s="256"/>
      <c r="C2461" s="256"/>
      <c r="D2461" s="414"/>
      <c r="E2461" s="414"/>
      <c r="F2461" s="414"/>
      <c r="G2461" s="253"/>
      <c r="H2461" s="253"/>
      <c r="I2461" s="253"/>
      <c r="J2461" s="253"/>
      <c r="K2461" s="253"/>
      <c r="L2461" s="253"/>
      <c r="M2461" s="253"/>
      <c r="N2461" s="253"/>
      <c r="O2461" s="258"/>
      <c r="P2461" s="258"/>
      <c r="Q2461" s="258"/>
      <c r="R2461" s="258"/>
      <c r="S2461" s="258"/>
      <c r="T2461" s="258"/>
      <c r="U2461" s="258"/>
      <c r="V2461" s="258"/>
      <c r="W2461" s="258"/>
      <c r="X2461" s="258"/>
      <c r="Y2461" s="258"/>
      <c r="Z2461" s="258"/>
      <c r="AA2461" s="258"/>
      <c r="AB2461" s="258"/>
      <c r="AC2461" s="407"/>
    </row>
    <row r="2462" spans="2:29" s="406" customFormat="1" ht="16.5" customHeight="1">
      <c r="B2462" s="256"/>
      <c r="C2462" s="256"/>
      <c r="D2462" s="414"/>
      <c r="E2462" s="414"/>
      <c r="F2462" s="414"/>
      <c r="G2462" s="253"/>
      <c r="H2462" s="253"/>
      <c r="I2462" s="253"/>
      <c r="J2462" s="253"/>
      <c r="K2462" s="253"/>
      <c r="L2462" s="253"/>
      <c r="M2462" s="253"/>
      <c r="N2462" s="253"/>
      <c r="O2462" s="258"/>
      <c r="P2462" s="258"/>
      <c r="Q2462" s="258"/>
      <c r="R2462" s="258"/>
      <c r="S2462" s="258"/>
      <c r="T2462" s="258"/>
      <c r="U2462" s="258"/>
      <c r="V2462" s="258"/>
      <c r="W2462" s="258"/>
      <c r="X2462" s="258"/>
      <c r="Y2462" s="258"/>
      <c r="Z2462" s="258"/>
      <c r="AA2462" s="258"/>
      <c r="AB2462" s="258"/>
      <c r="AC2462" s="407"/>
    </row>
    <row r="2463" spans="2:29" s="406" customFormat="1" ht="16.5" customHeight="1">
      <c r="B2463" s="256"/>
      <c r="C2463" s="256"/>
      <c r="D2463" s="414"/>
      <c r="E2463" s="414"/>
      <c r="F2463" s="414"/>
      <c r="G2463" s="253"/>
      <c r="H2463" s="253"/>
      <c r="I2463" s="253"/>
      <c r="J2463" s="253"/>
      <c r="K2463" s="253"/>
      <c r="L2463" s="253"/>
      <c r="M2463" s="253"/>
      <c r="N2463" s="253"/>
      <c r="O2463" s="258"/>
      <c r="P2463" s="258"/>
      <c r="Q2463" s="258"/>
      <c r="R2463" s="258"/>
      <c r="S2463" s="258"/>
      <c r="T2463" s="258"/>
      <c r="U2463" s="258"/>
      <c r="V2463" s="258"/>
      <c r="W2463" s="258"/>
      <c r="X2463" s="258"/>
      <c r="Y2463" s="258"/>
      <c r="Z2463" s="258"/>
      <c r="AA2463" s="258"/>
      <c r="AB2463" s="258"/>
      <c r="AC2463" s="407"/>
    </row>
    <row r="2464" spans="2:29" s="406" customFormat="1" ht="16.5" customHeight="1">
      <c r="B2464" s="256"/>
      <c r="C2464" s="256"/>
      <c r="D2464" s="414"/>
      <c r="E2464" s="414"/>
      <c r="F2464" s="414"/>
      <c r="G2464" s="253"/>
      <c r="H2464" s="253"/>
      <c r="I2464" s="253"/>
      <c r="J2464" s="253"/>
      <c r="K2464" s="253"/>
      <c r="L2464" s="253"/>
      <c r="M2464" s="253"/>
      <c r="N2464" s="253"/>
      <c r="O2464" s="258"/>
      <c r="P2464" s="258"/>
      <c r="Q2464" s="258"/>
      <c r="R2464" s="258"/>
      <c r="S2464" s="258"/>
      <c r="T2464" s="258"/>
      <c r="U2464" s="258"/>
      <c r="V2464" s="258"/>
      <c r="W2464" s="258"/>
      <c r="X2464" s="258"/>
      <c r="Y2464" s="258"/>
      <c r="Z2464" s="258"/>
      <c r="AA2464" s="258"/>
      <c r="AB2464" s="258"/>
      <c r="AC2464" s="407"/>
    </row>
    <row r="2465" spans="2:29" s="406" customFormat="1" ht="16.5" customHeight="1">
      <c r="B2465" s="256"/>
      <c r="C2465" s="256"/>
      <c r="D2465" s="414"/>
      <c r="E2465" s="414"/>
      <c r="F2465" s="414"/>
      <c r="G2465" s="253"/>
      <c r="H2465" s="253"/>
      <c r="I2465" s="253"/>
      <c r="J2465" s="253"/>
      <c r="K2465" s="253"/>
      <c r="L2465" s="253"/>
      <c r="M2465" s="253"/>
      <c r="N2465" s="253"/>
      <c r="O2465" s="258"/>
      <c r="P2465" s="258"/>
      <c r="Q2465" s="258"/>
      <c r="R2465" s="258"/>
      <c r="S2465" s="258"/>
      <c r="T2465" s="258"/>
      <c r="U2465" s="258"/>
      <c r="V2465" s="258"/>
      <c r="W2465" s="258"/>
      <c r="X2465" s="258"/>
      <c r="Y2465" s="258"/>
      <c r="Z2465" s="258"/>
      <c r="AA2465" s="258"/>
      <c r="AB2465" s="258"/>
      <c r="AC2465" s="407"/>
    </row>
    <row r="2466" spans="2:29" s="406" customFormat="1" ht="16.5" customHeight="1">
      <c r="B2466" s="256"/>
      <c r="C2466" s="256"/>
      <c r="D2466" s="414"/>
      <c r="E2466" s="414"/>
      <c r="F2466" s="414"/>
      <c r="G2466" s="253"/>
      <c r="H2466" s="253"/>
      <c r="I2466" s="253"/>
      <c r="J2466" s="253"/>
      <c r="K2466" s="253"/>
      <c r="L2466" s="253"/>
      <c r="M2466" s="253"/>
      <c r="N2466" s="253"/>
      <c r="O2466" s="258"/>
      <c r="P2466" s="258"/>
      <c r="Q2466" s="258"/>
      <c r="R2466" s="258"/>
      <c r="S2466" s="258"/>
      <c r="T2466" s="258"/>
      <c r="U2466" s="258"/>
      <c r="V2466" s="258"/>
      <c r="W2466" s="258"/>
      <c r="X2466" s="258"/>
      <c r="Y2466" s="258"/>
      <c r="Z2466" s="258"/>
      <c r="AA2466" s="258"/>
      <c r="AB2466" s="258"/>
      <c r="AC2466" s="407"/>
    </row>
    <row r="2467" spans="2:29" s="406" customFormat="1" ht="16.5" customHeight="1">
      <c r="B2467" s="256"/>
      <c r="C2467" s="256"/>
      <c r="D2467" s="414"/>
      <c r="E2467" s="414"/>
      <c r="F2467" s="414"/>
      <c r="G2467" s="253"/>
      <c r="H2467" s="253"/>
      <c r="I2467" s="253"/>
      <c r="J2467" s="253"/>
      <c r="K2467" s="253"/>
      <c r="L2467" s="253"/>
      <c r="M2467" s="253"/>
      <c r="N2467" s="253"/>
      <c r="O2467" s="258"/>
      <c r="P2467" s="258"/>
      <c r="Q2467" s="258"/>
      <c r="R2467" s="258"/>
      <c r="S2467" s="258"/>
      <c r="T2467" s="258"/>
      <c r="U2467" s="258"/>
      <c r="V2467" s="258"/>
      <c r="W2467" s="258"/>
      <c r="X2467" s="258"/>
      <c r="Y2467" s="258"/>
      <c r="Z2467" s="258"/>
      <c r="AA2467" s="258"/>
      <c r="AB2467" s="258"/>
      <c r="AC2467" s="407"/>
    </row>
    <row r="2468" spans="2:29" s="406" customFormat="1" ht="16.5" customHeight="1">
      <c r="B2468" s="256"/>
      <c r="C2468" s="256"/>
      <c r="D2468" s="414"/>
      <c r="E2468" s="414"/>
      <c r="F2468" s="414"/>
      <c r="G2468" s="253"/>
      <c r="H2468" s="253"/>
      <c r="I2468" s="253"/>
      <c r="J2468" s="253"/>
      <c r="K2468" s="253"/>
      <c r="L2468" s="253"/>
      <c r="M2468" s="253"/>
      <c r="N2468" s="253"/>
      <c r="O2468" s="258"/>
      <c r="P2468" s="258"/>
      <c r="Q2468" s="258"/>
      <c r="R2468" s="258"/>
      <c r="S2468" s="258"/>
      <c r="T2468" s="258"/>
      <c r="U2468" s="258"/>
      <c r="V2468" s="258"/>
      <c r="W2468" s="258"/>
      <c r="X2468" s="258"/>
      <c r="Y2468" s="258"/>
      <c r="Z2468" s="258"/>
      <c r="AA2468" s="258"/>
      <c r="AB2468" s="258"/>
      <c r="AC2468" s="407"/>
    </row>
    <row r="2469" spans="2:29" s="406" customFormat="1" ht="16.5" customHeight="1">
      <c r="B2469" s="256"/>
      <c r="C2469" s="256"/>
      <c r="D2469" s="414"/>
      <c r="E2469" s="414"/>
      <c r="F2469" s="414"/>
      <c r="G2469" s="253"/>
      <c r="H2469" s="253"/>
      <c r="I2469" s="253"/>
      <c r="J2469" s="253"/>
      <c r="K2469" s="253"/>
      <c r="L2469" s="253"/>
      <c r="M2469" s="253"/>
      <c r="N2469" s="253"/>
      <c r="O2469" s="258"/>
      <c r="P2469" s="258"/>
      <c r="Q2469" s="258"/>
      <c r="R2469" s="258"/>
      <c r="S2469" s="258"/>
      <c r="T2469" s="258"/>
      <c r="U2469" s="258"/>
      <c r="V2469" s="258"/>
      <c r="W2469" s="258"/>
      <c r="X2469" s="258"/>
      <c r="Y2469" s="258"/>
      <c r="Z2469" s="258"/>
      <c r="AA2469" s="258"/>
      <c r="AB2469" s="258"/>
      <c r="AC2469" s="407"/>
    </row>
    <row r="2470" spans="2:29" s="406" customFormat="1" ht="16.5" customHeight="1">
      <c r="B2470" s="256"/>
      <c r="C2470" s="256"/>
      <c r="D2470" s="414"/>
      <c r="E2470" s="414"/>
      <c r="F2470" s="414"/>
      <c r="G2470" s="253"/>
      <c r="H2470" s="253"/>
      <c r="I2470" s="253"/>
      <c r="J2470" s="253"/>
      <c r="K2470" s="253"/>
      <c r="L2470" s="253"/>
      <c r="M2470" s="253"/>
      <c r="N2470" s="253"/>
      <c r="O2470" s="258"/>
      <c r="P2470" s="258"/>
      <c r="Q2470" s="258"/>
      <c r="R2470" s="258"/>
      <c r="S2470" s="258"/>
      <c r="T2470" s="258"/>
      <c r="U2470" s="258"/>
      <c r="V2470" s="258"/>
      <c r="W2470" s="258"/>
      <c r="X2470" s="258"/>
      <c r="Y2470" s="258"/>
      <c r="Z2470" s="258"/>
      <c r="AA2470" s="258"/>
      <c r="AB2470" s="258"/>
      <c r="AC2470" s="407"/>
    </row>
    <row r="2471" spans="2:29" s="406" customFormat="1" ht="16.5" customHeight="1">
      <c r="B2471" s="256"/>
      <c r="C2471" s="256"/>
      <c r="D2471" s="414"/>
      <c r="E2471" s="414"/>
      <c r="F2471" s="414"/>
      <c r="G2471" s="253"/>
      <c r="H2471" s="253"/>
      <c r="I2471" s="253"/>
      <c r="J2471" s="253"/>
      <c r="K2471" s="253"/>
      <c r="L2471" s="253"/>
      <c r="M2471" s="253"/>
      <c r="N2471" s="253"/>
      <c r="O2471" s="258"/>
      <c r="P2471" s="258"/>
      <c r="Q2471" s="258"/>
      <c r="R2471" s="258"/>
      <c r="S2471" s="258"/>
      <c r="T2471" s="258"/>
      <c r="U2471" s="258"/>
      <c r="V2471" s="258"/>
      <c r="W2471" s="258"/>
      <c r="X2471" s="258"/>
      <c r="Y2471" s="258"/>
      <c r="Z2471" s="258"/>
      <c r="AA2471" s="258"/>
      <c r="AB2471" s="258"/>
      <c r="AC2471" s="407"/>
    </row>
    <row r="2472" spans="2:29" s="406" customFormat="1" ht="16.5" customHeight="1">
      <c r="B2472" s="256"/>
      <c r="C2472" s="256"/>
      <c r="D2472" s="414"/>
      <c r="E2472" s="414"/>
      <c r="F2472" s="414"/>
      <c r="G2472" s="253"/>
      <c r="H2472" s="253"/>
      <c r="I2472" s="253"/>
      <c r="J2472" s="253"/>
      <c r="K2472" s="253"/>
      <c r="L2472" s="253"/>
      <c r="M2472" s="253"/>
      <c r="N2472" s="253"/>
      <c r="O2472" s="258"/>
      <c r="P2472" s="258"/>
      <c r="Q2472" s="258"/>
      <c r="R2472" s="258"/>
      <c r="S2472" s="258"/>
      <c r="T2472" s="258"/>
      <c r="U2472" s="258"/>
      <c r="V2472" s="258"/>
      <c r="W2472" s="258"/>
      <c r="X2472" s="258"/>
      <c r="Y2472" s="258"/>
      <c r="Z2472" s="258"/>
      <c r="AA2472" s="258"/>
      <c r="AB2472" s="258"/>
      <c r="AC2472" s="407"/>
    </row>
    <row r="2473" spans="2:29" s="406" customFormat="1" ht="16.5" customHeight="1">
      <c r="B2473" s="256"/>
      <c r="C2473" s="256"/>
      <c r="D2473" s="414"/>
      <c r="E2473" s="414"/>
      <c r="F2473" s="414"/>
      <c r="G2473" s="253"/>
      <c r="H2473" s="253"/>
      <c r="I2473" s="253"/>
      <c r="J2473" s="253"/>
      <c r="K2473" s="253"/>
      <c r="L2473" s="253"/>
      <c r="M2473" s="253"/>
      <c r="N2473" s="253"/>
      <c r="O2473" s="258"/>
      <c r="P2473" s="258"/>
      <c r="Q2473" s="258"/>
      <c r="R2473" s="258"/>
      <c r="S2473" s="258"/>
      <c r="T2473" s="258"/>
      <c r="U2473" s="258"/>
      <c r="V2473" s="258"/>
      <c r="W2473" s="258"/>
      <c r="X2473" s="258"/>
      <c r="Y2473" s="258"/>
      <c r="Z2473" s="258"/>
      <c r="AA2473" s="258"/>
      <c r="AB2473" s="258"/>
      <c r="AC2473" s="407"/>
    </row>
    <row r="2474" spans="2:29" s="406" customFormat="1" ht="16.5" customHeight="1">
      <c r="B2474" s="256"/>
      <c r="C2474" s="256"/>
      <c r="D2474" s="414"/>
      <c r="E2474" s="414"/>
      <c r="F2474" s="414"/>
      <c r="G2474" s="253"/>
      <c r="H2474" s="253"/>
      <c r="I2474" s="253"/>
      <c r="J2474" s="253"/>
      <c r="K2474" s="253"/>
      <c r="L2474" s="253"/>
      <c r="M2474" s="253"/>
      <c r="N2474" s="253"/>
      <c r="O2474" s="258"/>
      <c r="P2474" s="258"/>
      <c r="Q2474" s="258"/>
      <c r="R2474" s="258"/>
      <c r="S2474" s="258"/>
      <c r="T2474" s="258"/>
      <c r="U2474" s="258"/>
      <c r="V2474" s="258"/>
      <c r="W2474" s="258"/>
      <c r="X2474" s="258"/>
      <c r="Y2474" s="258"/>
      <c r="Z2474" s="258"/>
      <c r="AA2474" s="258"/>
      <c r="AB2474" s="258"/>
      <c r="AC2474" s="407"/>
    </row>
    <row r="2475" spans="2:29" s="406" customFormat="1" ht="16.5" customHeight="1">
      <c r="B2475" s="256"/>
      <c r="C2475" s="256"/>
      <c r="D2475" s="414"/>
      <c r="E2475" s="414"/>
      <c r="F2475" s="414"/>
      <c r="G2475" s="253"/>
      <c r="H2475" s="253"/>
      <c r="I2475" s="253"/>
      <c r="J2475" s="253"/>
      <c r="K2475" s="253"/>
      <c r="L2475" s="253"/>
      <c r="M2475" s="253"/>
      <c r="N2475" s="253"/>
      <c r="O2475" s="258"/>
      <c r="P2475" s="258"/>
      <c r="Q2475" s="258"/>
      <c r="R2475" s="258"/>
      <c r="S2475" s="258"/>
      <c r="T2475" s="258"/>
      <c r="U2475" s="258"/>
      <c r="V2475" s="258"/>
      <c r="W2475" s="258"/>
      <c r="X2475" s="258"/>
      <c r="Y2475" s="258"/>
      <c r="Z2475" s="258"/>
      <c r="AA2475" s="258"/>
      <c r="AB2475" s="258"/>
      <c r="AC2475" s="407"/>
    </row>
    <row r="2476" spans="2:29" s="406" customFormat="1" ht="16.5" customHeight="1">
      <c r="B2476" s="256"/>
      <c r="C2476" s="256"/>
      <c r="D2476" s="414"/>
      <c r="E2476" s="414"/>
      <c r="F2476" s="414"/>
      <c r="G2476" s="253"/>
      <c r="H2476" s="253"/>
      <c r="I2476" s="253"/>
      <c r="J2476" s="253"/>
      <c r="K2476" s="253"/>
      <c r="L2476" s="253"/>
      <c r="M2476" s="253"/>
      <c r="N2476" s="253"/>
      <c r="O2476" s="258"/>
      <c r="P2476" s="258"/>
      <c r="Q2476" s="258"/>
      <c r="R2476" s="258"/>
      <c r="S2476" s="258"/>
      <c r="T2476" s="258"/>
      <c r="U2476" s="258"/>
      <c r="V2476" s="258"/>
      <c r="W2476" s="258"/>
      <c r="X2476" s="258"/>
      <c r="Y2476" s="258"/>
      <c r="Z2476" s="258"/>
      <c r="AA2476" s="258"/>
      <c r="AB2476" s="258"/>
      <c r="AC2476" s="407"/>
    </row>
    <row r="2477" spans="2:29" s="406" customFormat="1" ht="16.5" customHeight="1">
      <c r="B2477" s="256"/>
      <c r="C2477" s="256"/>
      <c r="D2477" s="414"/>
      <c r="E2477" s="414"/>
      <c r="F2477" s="414"/>
      <c r="G2477" s="253"/>
      <c r="H2477" s="253"/>
      <c r="I2477" s="253"/>
      <c r="J2477" s="253"/>
      <c r="K2477" s="253"/>
      <c r="L2477" s="253"/>
      <c r="M2477" s="253"/>
      <c r="N2477" s="253"/>
      <c r="O2477" s="258"/>
      <c r="P2477" s="258"/>
      <c r="Q2477" s="258"/>
      <c r="R2477" s="258"/>
      <c r="S2477" s="258"/>
      <c r="T2477" s="258"/>
      <c r="U2477" s="258"/>
      <c r="V2477" s="258"/>
      <c r="W2477" s="258"/>
      <c r="X2477" s="258"/>
      <c r="Y2477" s="258"/>
      <c r="Z2477" s="258"/>
      <c r="AA2477" s="258"/>
      <c r="AB2477" s="258"/>
      <c r="AC2477" s="407"/>
    </row>
    <row r="2478" spans="2:29" s="406" customFormat="1" ht="16.5" customHeight="1">
      <c r="B2478" s="256"/>
      <c r="C2478" s="256"/>
      <c r="D2478" s="414"/>
      <c r="E2478" s="414"/>
      <c r="F2478" s="414"/>
      <c r="G2478" s="253"/>
      <c r="H2478" s="253"/>
      <c r="I2478" s="253"/>
      <c r="J2478" s="253"/>
      <c r="K2478" s="253"/>
      <c r="L2478" s="253"/>
      <c r="M2478" s="253"/>
      <c r="N2478" s="253"/>
      <c r="O2478" s="258"/>
      <c r="P2478" s="258"/>
      <c r="Q2478" s="258"/>
      <c r="R2478" s="258"/>
      <c r="S2478" s="258"/>
      <c r="T2478" s="258"/>
      <c r="U2478" s="258"/>
      <c r="V2478" s="258"/>
      <c r="W2478" s="258"/>
      <c r="X2478" s="258"/>
      <c r="Y2478" s="258"/>
      <c r="Z2478" s="258"/>
      <c r="AA2478" s="258"/>
      <c r="AB2478" s="258"/>
      <c r="AC2478" s="407"/>
    </row>
    <row r="2479" spans="2:29" s="406" customFormat="1" ht="16.5" customHeight="1">
      <c r="B2479" s="256"/>
      <c r="C2479" s="256"/>
      <c r="D2479" s="414"/>
      <c r="E2479" s="414"/>
      <c r="F2479" s="414"/>
      <c r="G2479" s="253"/>
      <c r="H2479" s="253"/>
      <c r="I2479" s="253"/>
      <c r="J2479" s="253"/>
      <c r="K2479" s="253"/>
      <c r="L2479" s="253"/>
      <c r="M2479" s="253"/>
      <c r="N2479" s="253"/>
      <c r="O2479" s="258"/>
      <c r="P2479" s="258"/>
      <c r="Q2479" s="258"/>
      <c r="R2479" s="258"/>
      <c r="S2479" s="258"/>
      <c r="T2479" s="258"/>
      <c r="U2479" s="258"/>
      <c r="V2479" s="258"/>
      <c r="W2479" s="258"/>
      <c r="X2479" s="258"/>
      <c r="Y2479" s="258"/>
      <c r="Z2479" s="258"/>
      <c r="AA2479" s="258"/>
      <c r="AB2479" s="258"/>
      <c r="AC2479" s="407"/>
    </row>
    <row r="2480" spans="2:29" s="406" customFormat="1" ht="16.5" customHeight="1">
      <c r="B2480" s="256"/>
      <c r="C2480" s="256"/>
      <c r="D2480" s="414"/>
      <c r="E2480" s="414"/>
      <c r="F2480" s="414"/>
      <c r="G2480" s="253"/>
      <c r="H2480" s="253"/>
      <c r="I2480" s="253"/>
      <c r="J2480" s="253"/>
      <c r="K2480" s="253"/>
      <c r="L2480" s="253"/>
      <c r="M2480" s="253"/>
      <c r="N2480" s="253"/>
      <c r="O2480" s="258"/>
      <c r="P2480" s="258"/>
      <c r="Q2480" s="258"/>
      <c r="R2480" s="258"/>
      <c r="S2480" s="258"/>
      <c r="T2480" s="258"/>
      <c r="U2480" s="258"/>
      <c r="V2480" s="258"/>
      <c r="W2480" s="258"/>
      <c r="X2480" s="258"/>
      <c r="Y2480" s="258"/>
      <c r="Z2480" s="258"/>
      <c r="AA2480" s="258"/>
      <c r="AB2480" s="258"/>
      <c r="AC2480" s="407"/>
    </row>
    <row r="2481" spans="2:29" s="406" customFormat="1" ht="16.5" customHeight="1">
      <c r="B2481" s="256"/>
      <c r="C2481" s="256"/>
      <c r="D2481" s="414"/>
      <c r="E2481" s="414"/>
      <c r="F2481" s="414"/>
      <c r="G2481" s="253"/>
      <c r="H2481" s="253"/>
      <c r="I2481" s="253"/>
      <c r="J2481" s="253"/>
      <c r="K2481" s="253"/>
      <c r="L2481" s="253"/>
      <c r="M2481" s="253"/>
      <c r="N2481" s="253"/>
      <c r="O2481" s="258"/>
      <c r="P2481" s="258"/>
      <c r="Q2481" s="258"/>
      <c r="R2481" s="258"/>
      <c r="S2481" s="258"/>
      <c r="T2481" s="258"/>
      <c r="U2481" s="258"/>
      <c r="V2481" s="258"/>
      <c r="W2481" s="258"/>
      <c r="X2481" s="258"/>
      <c r="Y2481" s="258"/>
      <c r="Z2481" s="258"/>
      <c r="AA2481" s="258"/>
      <c r="AB2481" s="258"/>
      <c r="AC2481" s="407"/>
    </row>
    <row r="2482" spans="2:29" s="406" customFormat="1" ht="16.5" customHeight="1">
      <c r="B2482" s="256"/>
      <c r="C2482" s="256"/>
      <c r="D2482" s="414"/>
      <c r="E2482" s="414"/>
      <c r="F2482" s="414"/>
      <c r="G2482" s="253"/>
      <c r="H2482" s="253"/>
      <c r="I2482" s="253"/>
      <c r="J2482" s="253"/>
      <c r="K2482" s="253"/>
      <c r="L2482" s="253"/>
      <c r="M2482" s="253"/>
      <c r="N2482" s="253"/>
      <c r="O2482" s="258"/>
      <c r="P2482" s="258"/>
      <c r="Q2482" s="258"/>
      <c r="R2482" s="258"/>
      <c r="S2482" s="258"/>
      <c r="T2482" s="258"/>
      <c r="U2482" s="258"/>
      <c r="V2482" s="258"/>
      <c r="W2482" s="258"/>
      <c r="X2482" s="258"/>
      <c r="Y2482" s="258"/>
      <c r="Z2482" s="258"/>
      <c r="AA2482" s="258"/>
      <c r="AB2482" s="258"/>
      <c r="AC2482" s="407"/>
    </row>
    <row r="2483" spans="2:29" s="406" customFormat="1" ht="16.5" customHeight="1">
      <c r="B2483" s="256"/>
      <c r="C2483" s="256"/>
      <c r="D2483" s="414"/>
      <c r="E2483" s="414"/>
      <c r="F2483" s="414"/>
      <c r="G2483" s="253"/>
      <c r="H2483" s="253"/>
      <c r="I2483" s="253"/>
      <c r="J2483" s="253"/>
      <c r="K2483" s="253"/>
      <c r="L2483" s="253"/>
      <c r="M2483" s="253"/>
      <c r="N2483" s="253"/>
      <c r="O2483" s="258"/>
      <c r="P2483" s="258"/>
      <c r="Q2483" s="258"/>
      <c r="R2483" s="258"/>
      <c r="S2483" s="258"/>
      <c r="T2483" s="258"/>
      <c r="U2483" s="258"/>
      <c r="V2483" s="258"/>
      <c r="W2483" s="258"/>
      <c r="X2483" s="258"/>
      <c r="Y2483" s="258"/>
      <c r="Z2483" s="258"/>
      <c r="AA2483" s="258"/>
      <c r="AB2483" s="258"/>
      <c r="AC2483" s="407"/>
    </row>
    <row r="2484" spans="2:29" s="406" customFormat="1" ht="16.5" customHeight="1">
      <c r="B2484" s="256"/>
      <c r="C2484" s="256"/>
      <c r="D2484" s="414"/>
      <c r="E2484" s="414"/>
      <c r="F2484" s="414"/>
      <c r="G2484" s="253"/>
      <c r="H2484" s="253"/>
      <c r="I2484" s="253"/>
      <c r="J2484" s="253"/>
      <c r="K2484" s="253"/>
      <c r="L2484" s="253"/>
      <c r="M2484" s="253"/>
      <c r="N2484" s="253"/>
      <c r="O2484" s="258"/>
      <c r="P2484" s="258"/>
      <c r="Q2484" s="258"/>
      <c r="R2484" s="258"/>
      <c r="S2484" s="258"/>
      <c r="T2484" s="258"/>
      <c r="U2484" s="258"/>
      <c r="V2484" s="258"/>
      <c r="W2484" s="258"/>
      <c r="X2484" s="258"/>
      <c r="Y2484" s="258"/>
      <c r="Z2484" s="258"/>
      <c r="AA2484" s="258"/>
      <c r="AB2484" s="258"/>
      <c r="AC2484" s="407"/>
    </row>
    <row r="2485" spans="2:29" s="406" customFormat="1" ht="16.5" customHeight="1">
      <c r="B2485" s="256"/>
      <c r="C2485" s="256"/>
      <c r="D2485" s="414"/>
      <c r="E2485" s="414"/>
      <c r="F2485" s="414"/>
      <c r="G2485" s="253"/>
      <c r="H2485" s="253"/>
      <c r="I2485" s="253"/>
      <c r="J2485" s="253"/>
      <c r="K2485" s="253"/>
      <c r="L2485" s="253"/>
      <c r="M2485" s="253"/>
      <c r="N2485" s="253"/>
      <c r="O2485" s="258"/>
      <c r="P2485" s="258"/>
      <c r="Q2485" s="258"/>
      <c r="R2485" s="258"/>
      <c r="S2485" s="258"/>
      <c r="T2485" s="258"/>
      <c r="U2485" s="258"/>
      <c r="V2485" s="258"/>
      <c r="W2485" s="258"/>
      <c r="X2485" s="258"/>
      <c r="Y2485" s="258"/>
      <c r="Z2485" s="258"/>
      <c r="AA2485" s="258"/>
      <c r="AB2485" s="258"/>
      <c r="AC2485" s="407"/>
    </row>
    <row r="2486" spans="2:29" s="406" customFormat="1" ht="16.5" customHeight="1">
      <c r="B2486" s="256"/>
      <c r="C2486" s="256"/>
      <c r="D2486" s="414"/>
      <c r="E2486" s="414"/>
      <c r="F2486" s="414"/>
      <c r="G2486" s="253"/>
      <c r="H2486" s="253"/>
      <c r="I2486" s="253"/>
      <c r="J2486" s="253"/>
      <c r="K2486" s="253"/>
      <c r="L2486" s="253"/>
      <c r="M2486" s="253"/>
      <c r="N2486" s="253"/>
      <c r="O2486" s="258"/>
      <c r="P2486" s="258"/>
      <c r="Q2486" s="258"/>
      <c r="R2486" s="258"/>
      <c r="S2486" s="258"/>
      <c r="T2486" s="258"/>
      <c r="U2486" s="258"/>
      <c r="V2486" s="258"/>
      <c r="W2486" s="258"/>
      <c r="X2486" s="258"/>
      <c r="Y2486" s="258"/>
      <c r="Z2486" s="258"/>
      <c r="AA2486" s="258"/>
      <c r="AB2486" s="258"/>
      <c r="AC2486" s="407"/>
    </row>
    <row r="2487" spans="2:29" s="406" customFormat="1" ht="16.5" customHeight="1">
      <c r="B2487" s="256"/>
      <c r="C2487" s="256"/>
      <c r="D2487" s="414"/>
      <c r="E2487" s="414"/>
      <c r="F2487" s="414"/>
      <c r="G2487" s="253"/>
      <c r="H2487" s="253"/>
      <c r="I2487" s="253"/>
      <c r="J2487" s="253"/>
      <c r="K2487" s="253"/>
      <c r="L2487" s="253"/>
      <c r="M2487" s="253"/>
      <c r="N2487" s="253"/>
      <c r="O2487" s="258"/>
      <c r="P2487" s="258"/>
      <c r="Q2487" s="258"/>
      <c r="R2487" s="258"/>
      <c r="S2487" s="258"/>
      <c r="T2487" s="258"/>
      <c r="U2487" s="258"/>
      <c r="V2487" s="258"/>
      <c r="W2487" s="258"/>
      <c r="X2487" s="258"/>
      <c r="Y2487" s="258"/>
      <c r="Z2487" s="258"/>
      <c r="AA2487" s="258"/>
      <c r="AB2487" s="258"/>
      <c r="AC2487" s="407"/>
    </row>
    <row r="2488" spans="2:29" s="406" customFormat="1" ht="16.5" customHeight="1">
      <c r="B2488" s="256"/>
      <c r="C2488" s="256"/>
      <c r="D2488" s="414"/>
      <c r="E2488" s="414"/>
      <c r="F2488" s="414"/>
      <c r="G2488" s="253"/>
      <c r="H2488" s="253"/>
      <c r="I2488" s="253"/>
      <c r="J2488" s="253"/>
      <c r="K2488" s="253"/>
      <c r="L2488" s="253"/>
      <c r="M2488" s="253"/>
      <c r="N2488" s="253"/>
      <c r="O2488" s="258"/>
      <c r="P2488" s="258"/>
      <c r="Q2488" s="258"/>
      <c r="R2488" s="258"/>
      <c r="S2488" s="258"/>
      <c r="T2488" s="258"/>
      <c r="U2488" s="258"/>
      <c r="V2488" s="258"/>
      <c r="W2488" s="258"/>
      <c r="X2488" s="258"/>
      <c r="Y2488" s="258"/>
      <c r="Z2488" s="258"/>
      <c r="AA2488" s="258"/>
      <c r="AB2488" s="258"/>
      <c r="AC2488" s="407"/>
    </row>
    <row r="2489" spans="2:29" s="406" customFormat="1" ht="16.5" customHeight="1">
      <c r="B2489" s="256"/>
      <c r="C2489" s="256"/>
      <c r="D2489" s="414"/>
      <c r="E2489" s="414"/>
      <c r="F2489" s="414"/>
      <c r="G2489" s="253"/>
      <c r="H2489" s="253"/>
      <c r="I2489" s="253"/>
      <c r="J2489" s="253"/>
      <c r="K2489" s="253"/>
      <c r="L2489" s="253"/>
      <c r="M2489" s="253"/>
      <c r="N2489" s="253"/>
      <c r="O2489" s="258"/>
      <c r="P2489" s="258"/>
      <c r="Q2489" s="258"/>
      <c r="R2489" s="258"/>
      <c r="S2489" s="258"/>
      <c r="T2489" s="258"/>
      <c r="U2489" s="258"/>
      <c r="V2489" s="258"/>
      <c r="W2489" s="258"/>
      <c r="X2489" s="258"/>
      <c r="Y2489" s="258"/>
      <c r="Z2489" s="258"/>
      <c r="AA2489" s="258"/>
      <c r="AB2489" s="258"/>
      <c r="AC2489" s="407"/>
    </row>
    <row r="2490" spans="2:29" s="406" customFormat="1" ht="16.5" customHeight="1">
      <c r="B2490" s="256"/>
      <c r="C2490" s="256"/>
      <c r="D2490" s="414"/>
      <c r="E2490" s="414"/>
      <c r="F2490" s="414"/>
      <c r="G2490" s="253"/>
      <c r="H2490" s="253"/>
      <c r="I2490" s="253"/>
      <c r="J2490" s="253"/>
      <c r="K2490" s="253"/>
      <c r="L2490" s="253"/>
      <c r="M2490" s="253"/>
      <c r="N2490" s="253"/>
      <c r="O2490" s="258"/>
      <c r="P2490" s="258"/>
      <c r="Q2490" s="258"/>
      <c r="R2490" s="258"/>
      <c r="S2490" s="258"/>
      <c r="T2490" s="258"/>
      <c r="U2490" s="258"/>
      <c r="V2490" s="258"/>
      <c r="W2490" s="258"/>
      <c r="X2490" s="258"/>
      <c r="Y2490" s="258"/>
      <c r="Z2490" s="258"/>
      <c r="AA2490" s="258"/>
      <c r="AB2490" s="258"/>
      <c r="AC2490" s="407"/>
    </row>
    <row r="2491" spans="2:29" s="406" customFormat="1" ht="16.5" customHeight="1">
      <c r="B2491" s="256"/>
      <c r="C2491" s="256"/>
      <c r="D2491" s="414"/>
      <c r="E2491" s="414"/>
      <c r="F2491" s="414"/>
      <c r="G2491" s="253"/>
      <c r="H2491" s="253"/>
      <c r="I2491" s="253"/>
      <c r="J2491" s="253"/>
      <c r="K2491" s="253"/>
      <c r="L2491" s="253"/>
      <c r="M2491" s="253"/>
      <c r="N2491" s="253"/>
      <c r="O2491" s="258"/>
      <c r="P2491" s="258"/>
      <c r="Q2491" s="258"/>
      <c r="R2491" s="258"/>
      <c r="S2491" s="258"/>
      <c r="T2491" s="258"/>
      <c r="U2491" s="258"/>
      <c r="V2491" s="258"/>
      <c r="W2491" s="258"/>
      <c r="X2491" s="258"/>
      <c r="Y2491" s="258"/>
      <c r="Z2491" s="258"/>
      <c r="AA2491" s="258"/>
      <c r="AB2491" s="258"/>
      <c r="AC2491" s="407"/>
    </row>
    <row r="2492" spans="2:29" s="406" customFormat="1" ht="16.5" customHeight="1">
      <c r="B2492" s="256"/>
      <c r="C2492" s="256"/>
      <c r="D2492" s="414"/>
      <c r="E2492" s="414"/>
      <c r="F2492" s="414"/>
      <c r="G2492" s="253"/>
      <c r="H2492" s="253"/>
      <c r="I2492" s="253"/>
      <c r="J2492" s="253"/>
      <c r="K2492" s="253"/>
      <c r="L2492" s="253"/>
      <c r="M2492" s="253"/>
      <c r="N2492" s="253"/>
      <c r="O2492" s="258"/>
      <c r="P2492" s="258"/>
      <c r="Q2492" s="258"/>
      <c r="R2492" s="258"/>
      <c r="S2492" s="258"/>
      <c r="T2492" s="258"/>
      <c r="U2492" s="258"/>
      <c r="V2492" s="258"/>
      <c r="W2492" s="258"/>
      <c r="X2492" s="258"/>
      <c r="Y2492" s="258"/>
      <c r="Z2492" s="258"/>
      <c r="AA2492" s="258"/>
      <c r="AB2492" s="258"/>
      <c r="AC2492" s="407"/>
    </row>
    <row r="2493" spans="2:29" s="406" customFormat="1" ht="16.5" customHeight="1">
      <c r="B2493" s="256"/>
      <c r="C2493" s="256"/>
      <c r="D2493" s="414"/>
      <c r="E2493" s="414"/>
      <c r="F2493" s="414"/>
      <c r="G2493" s="253"/>
      <c r="H2493" s="253"/>
      <c r="I2493" s="253"/>
      <c r="J2493" s="253"/>
      <c r="K2493" s="253"/>
      <c r="L2493" s="253"/>
      <c r="M2493" s="253"/>
      <c r="N2493" s="253"/>
      <c r="O2493" s="258"/>
      <c r="P2493" s="258"/>
      <c r="Q2493" s="258"/>
      <c r="R2493" s="258"/>
      <c r="S2493" s="258"/>
      <c r="T2493" s="258"/>
      <c r="U2493" s="258"/>
      <c r="V2493" s="258"/>
      <c r="W2493" s="258"/>
      <c r="X2493" s="258"/>
      <c r="Y2493" s="258"/>
      <c r="Z2493" s="258"/>
      <c r="AA2493" s="258"/>
      <c r="AB2493" s="258"/>
      <c r="AC2493" s="407"/>
    </row>
    <row r="2494" spans="2:29" s="406" customFormat="1" ht="16.5" customHeight="1">
      <c r="B2494" s="256"/>
      <c r="C2494" s="256"/>
      <c r="D2494" s="414"/>
      <c r="E2494" s="414"/>
      <c r="F2494" s="414"/>
      <c r="G2494" s="253"/>
      <c r="H2494" s="253"/>
      <c r="I2494" s="253"/>
      <c r="J2494" s="253"/>
      <c r="K2494" s="253"/>
      <c r="L2494" s="253"/>
      <c r="M2494" s="253"/>
      <c r="N2494" s="253"/>
      <c r="O2494" s="258"/>
      <c r="P2494" s="258"/>
      <c r="Q2494" s="258"/>
      <c r="R2494" s="258"/>
      <c r="S2494" s="258"/>
      <c r="T2494" s="258"/>
      <c r="U2494" s="258"/>
      <c r="V2494" s="258"/>
      <c r="W2494" s="258"/>
      <c r="X2494" s="258"/>
      <c r="Y2494" s="258"/>
      <c r="Z2494" s="258"/>
      <c r="AA2494" s="258"/>
      <c r="AB2494" s="258"/>
      <c r="AC2494" s="407"/>
    </row>
    <row r="2495" spans="2:29" s="406" customFormat="1" ht="16.5" customHeight="1">
      <c r="B2495" s="256"/>
      <c r="C2495" s="256"/>
      <c r="D2495" s="414"/>
      <c r="E2495" s="414"/>
      <c r="F2495" s="414"/>
      <c r="G2495" s="253"/>
      <c r="H2495" s="253"/>
      <c r="I2495" s="253"/>
      <c r="J2495" s="253"/>
      <c r="K2495" s="253"/>
      <c r="L2495" s="253"/>
      <c r="M2495" s="253"/>
      <c r="N2495" s="253"/>
      <c r="O2495" s="258"/>
      <c r="P2495" s="258"/>
      <c r="Q2495" s="258"/>
      <c r="R2495" s="258"/>
      <c r="S2495" s="258"/>
      <c r="T2495" s="258"/>
      <c r="U2495" s="258"/>
      <c r="V2495" s="258"/>
      <c r="W2495" s="258"/>
      <c r="X2495" s="258"/>
      <c r="Y2495" s="258"/>
      <c r="Z2495" s="258"/>
      <c r="AA2495" s="258"/>
      <c r="AB2495" s="258"/>
      <c r="AC2495" s="407"/>
    </row>
    <row r="2496" spans="2:29" s="406" customFormat="1" ht="16.5" customHeight="1">
      <c r="B2496" s="256"/>
      <c r="C2496" s="256"/>
      <c r="D2496" s="414"/>
      <c r="E2496" s="414"/>
      <c r="F2496" s="414"/>
      <c r="G2496" s="253"/>
      <c r="H2496" s="253"/>
      <c r="I2496" s="253"/>
      <c r="J2496" s="253"/>
      <c r="K2496" s="253"/>
      <c r="L2496" s="253"/>
      <c r="M2496" s="253"/>
      <c r="N2496" s="253"/>
      <c r="O2496" s="258"/>
      <c r="P2496" s="258"/>
      <c r="Q2496" s="258"/>
      <c r="R2496" s="258"/>
      <c r="S2496" s="258"/>
      <c r="T2496" s="258"/>
      <c r="U2496" s="258"/>
      <c r="V2496" s="258"/>
      <c r="W2496" s="258"/>
      <c r="X2496" s="258"/>
      <c r="Y2496" s="258"/>
      <c r="Z2496" s="258"/>
      <c r="AA2496" s="258"/>
      <c r="AB2496" s="258"/>
      <c r="AC2496" s="407"/>
    </row>
    <row r="2497" spans="2:29" s="406" customFormat="1" ht="16.5" customHeight="1">
      <c r="B2497" s="256"/>
      <c r="C2497" s="256"/>
      <c r="D2497" s="414"/>
      <c r="E2497" s="414"/>
      <c r="F2497" s="414"/>
      <c r="G2497" s="253"/>
      <c r="H2497" s="253"/>
      <c r="I2497" s="253"/>
      <c r="J2497" s="253"/>
      <c r="K2497" s="253"/>
      <c r="L2497" s="253"/>
      <c r="M2497" s="253"/>
      <c r="N2497" s="253"/>
      <c r="O2497" s="258"/>
      <c r="P2497" s="258"/>
      <c r="Q2497" s="258"/>
      <c r="R2497" s="258"/>
      <c r="S2497" s="258"/>
      <c r="T2497" s="258"/>
      <c r="U2497" s="258"/>
      <c r="V2497" s="258"/>
      <c r="W2497" s="258"/>
      <c r="X2497" s="258"/>
      <c r="Y2497" s="258"/>
      <c r="Z2497" s="258"/>
      <c r="AA2497" s="258"/>
      <c r="AB2497" s="258"/>
      <c r="AC2497" s="407"/>
    </row>
    <row r="2498" spans="2:29" s="406" customFormat="1" ht="16.5" customHeight="1">
      <c r="B2498" s="256"/>
      <c r="C2498" s="256"/>
      <c r="D2498" s="414"/>
      <c r="E2498" s="414"/>
      <c r="F2498" s="414"/>
      <c r="G2498" s="253"/>
      <c r="H2498" s="253"/>
      <c r="I2498" s="253"/>
      <c r="J2498" s="253"/>
      <c r="K2498" s="253"/>
      <c r="L2498" s="253"/>
      <c r="M2498" s="253"/>
      <c r="N2498" s="253"/>
      <c r="O2498" s="258"/>
      <c r="P2498" s="258"/>
      <c r="Q2498" s="258"/>
      <c r="R2498" s="258"/>
      <c r="S2498" s="258"/>
      <c r="T2498" s="258"/>
      <c r="U2498" s="258"/>
      <c r="V2498" s="258"/>
      <c r="W2498" s="258"/>
      <c r="X2498" s="258"/>
      <c r="Y2498" s="258"/>
      <c r="Z2498" s="258"/>
      <c r="AA2498" s="258"/>
      <c r="AB2498" s="258"/>
      <c r="AC2498" s="407"/>
    </row>
    <row r="2499" spans="2:29" s="406" customFormat="1" ht="16.5" customHeight="1">
      <c r="B2499" s="256"/>
      <c r="C2499" s="256"/>
      <c r="D2499" s="414"/>
      <c r="E2499" s="414"/>
      <c r="F2499" s="414"/>
      <c r="G2499" s="253"/>
      <c r="H2499" s="253"/>
      <c r="I2499" s="253"/>
      <c r="J2499" s="253"/>
      <c r="K2499" s="253"/>
      <c r="L2499" s="253"/>
      <c r="M2499" s="253"/>
      <c r="N2499" s="253"/>
      <c r="O2499" s="258"/>
      <c r="P2499" s="258"/>
      <c r="Q2499" s="258"/>
      <c r="R2499" s="258"/>
      <c r="S2499" s="258"/>
      <c r="T2499" s="258"/>
      <c r="U2499" s="258"/>
      <c r="V2499" s="258"/>
      <c r="W2499" s="258"/>
      <c r="X2499" s="258"/>
      <c r="Y2499" s="258"/>
      <c r="Z2499" s="258"/>
      <c r="AA2499" s="258"/>
      <c r="AB2499" s="258"/>
      <c r="AC2499" s="407"/>
    </row>
    <row r="2500" spans="2:29" s="406" customFormat="1" ht="16.5" customHeight="1">
      <c r="B2500" s="256"/>
      <c r="C2500" s="256"/>
      <c r="D2500" s="414"/>
      <c r="E2500" s="414"/>
      <c r="F2500" s="414"/>
      <c r="G2500" s="253"/>
      <c r="H2500" s="253"/>
      <c r="I2500" s="253"/>
      <c r="J2500" s="253"/>
      <c r="K2500" s="253"/>
      <c r="L2500" s="253"/>
      <c r="M2500" s="253"/>
      <c r="N2500" s="253"/>
      <c r="O2500" s="258"/>
      <c r="P2500" s="258"/>
      <c r="Q2500" s="258"/>
      <c r="R2500" s="258"/>
      <c r="S2500" s="258"/>
      <c r="T2500" s="258"/>
      <c r="U2500" s="258"/>
      <c r="V2500" s="258"/>
      <c r="W2500" s="258"/>
      <c r="X2500" s="258"/>
      <c r="Y2500" s="258"/>
      <c r="Z2500" s="258"/>
      <c r="AA2500" s="258"/>
      <c r="AB2500" s="258"/>
      <c r="AC2500" s="407"/>
    </row>
    <row r="2501" spans="2:29" s="406" customFormat="1" ht="16.5" customHeight="1">
      <c r="B2501" s="256"/>
      <c r="C2501" s="256"/>
      <c r="D2501" s="414"/>
      <c r="E2501" s="414"/>
      <c r="F2501" s="414"/>
      <c r="G2501" s="253"/>
      <c r="H2501" s="253"/>
      <c r="I2501" s="253"/>
      <c r="J2501" s="253"/>
      <c r="K2501" s="253"/>
      <c r="L2501" s="253"/>
      <c r="M2501" s="253"/>
      <c r="N2501" s="253"/>
      <c r="O2501" s="258"/>
      <c r="P2501" s="258"/>
      <c r="Q2501" s="258"/>
      <c r="R2501" s="258"/>
      <c r="S2501" s="258"/>
      <c r="T2501" s="258"/>
      <c r="U2501" s="258"/>
      <c r="V2501" s="258"/>
      <c r="W2501" s="258"/>
      <c r="X2501" s="258"/>
      <c r="Y2501" s="258"/>
      <c r="Z2501" s="258"/>
      <c r="AA2501" s="258"/>
      <c r="AB2501" s="258"/>
      <c r="AC2501" s="407"/>
    </row>
    <row r="2502" spans="2:29" s="406" customFormat="1" ht="16.5" customHeight="1">
      <c r="B2502" s="256"/>
      <c r="C2502" s="256"/>
      <c r="D2502" s="414"/>
      <c r="E2502" s="414"/>
      <c r="F2502" s="414"/>
      <c r="G2502" s="253"/>
      <c r="H2502" s="253"/>
      <c r="I2502" s="253"/>
      <c r="J2502" s="253"/>
      <c r="K2502" s="253"/>
      <c r="L2502" s="253"/>
      <c r="M2502" s="253"/>
      <c r="N2502" s="253"/>
      <c r="O2502" s="258"/>
      <c r="P2502" s="258"/>
      <c r="Q2502" s="258"/>
      <c r="R2502" s="258"/>
      <c r="S2502" s="258"/>
      <c r="T2502" s="258"/>
      <c r="U2502" s="258"/>
      <c r="V2502" s="258"/>
      <c r="W2502" s="258"/>
      <c r="X2502" s="258"/>
      <c r="Y2502" s="258"/>
      <c r="Z2502" s="258"/>
      <c r="AA2502" s="258"/>
      <c r="AB2502" s="258"/>
      <c r="AC2502" s="407"/>
    </row>
    <row r="2503" spans="2:29" s="406" customFormat="1" ht="16.5" customHeight="1">
      <c r="B2503" s="256"/>
      <c r="C2503" s="256"/>
      <c r="D2503" s="414"/>
      <c r="E2503" s="414"/>
      <c r="F2503" s="414"/>
      <c r="G2503" s="253"/>
      <c r="H2503" s="253"/>
      <c r="I2503" s="253"/>
      <c r="J2503" s="253"/>
      <c r="K2503" s="253"/>
      <c r="L2503" s="253"/>
      <c r="M2503" s="253"/>
      <c r="N2503" s="253"/>
      <c r="O2503" s="258"/>
      <c r="P2503" s="258"/>
      <c r="Q2503" s="258"/>
      <c r="R2503" s="258"/>
      <c r="S2503" s="258"/>
      <c r="T2503" s="258"/>
      <c r="U2503" s="258"/>
      <c r="V2503" s="258"/>
      <c r="W2503" s="258"/>
      <c r="X2503" s="258"/>
      <c r="Y2503" s="258"/>
      <c r="Z2503" s="258"/>
      <c r="AA2503" s="258"/>
      <c r="AB2503" s="258"/>
      <c r="AC2503" s="407"/>
    </row>
    <row r="2504" spans="2:29" s="406" customFormat="1" ht="16.5" customHeight="1">
      <c r="B2504" s="256"/>
      <c r="C2504" s="256"/>
      <c r="D2504" s="414"/>
      <c r="E2504" s="414"/>
      <c r="F2504" s="414"/>
      <c r="G2504" s="253"/>
      <c r="H2504" s="253"/>
      <c r="I2504" s="253"/>
      <c r="J2504" s="253"/>
      <c r="K2504" s="253"/>
      <c r="L2504" s="253"/>
      <c r="M2504" s="253"/>
      <c r="N2504" s="253"/>
      <c r="O2504" s="258"/>
      <c r="P2504" s="258"/>
      <c r="Q2504" s="258"/>
      <c r="R2504" s="258"/>
      <c r="S2504" s="258"/>
      <c r="T2504" s="258"/>
      <c r="U2504" s="258"/>
      <c r="V2504" s="258"/>
      <c r="W2504" s="258"/>
      <c r="X2504" s="258"/>
      <c r="Y2504" s="258"/>
      <c r="Z2504" s="258"/>
      <c r="AA2504" s="258"/>
      <c r="AB2504" s="258"/>
      <c r="AC2504" s="407"/>
    </row>
    <row r="2505" spans="2:29" s="406" customFormat="1" ht="16.5" customHeight="1">
      <c r="B2505" s="256"/>
      <c r="C2505" s="256"/>
      <c r="D2505" s="414"/>
      <c r="E2505" s="414"/>
      <c r="F2505" s="414"/>
      <c r="G2505" s="253"/>
      <c r="H2505" s="253"/>
      <c r="I2505" s="253"/>
      <c r="J2505" s="253"/>
      <c r="K2505" s="253"/>
      <c r="L2505" s="253"/>
      <c r="M2505" s="253"/>
      <c r="N2505" s="253"/>
      <c r="O2505" s="258"/>
      <c r="P2505" s="258"/>
      <c r="Q2505" s="258"/>
      <c r="R2505" s="258"/>
      <c r="S2505" s="258"/>
      <c r="T2505" s="258"/>
      <c r="U2505" s="258"/>
      <c r="V2505" s="258"/>
      <c r="W2505" s="258"/>
      <c r="X2505" s="258"/>
      <c r="Y2505" s="258"/>
      <c r="Z2505" s="258"/>
      <c r="AA2505" s="258"/>
      <c r="AB2505" s="258"/>
      <c r="AC2505" s="407"/>
    </row>
    <row r="2506" spans="2:29" s="406" customFormat="1" ht="16.5" customHeight="1">
      <c r="B2506" s="256"/>
      <c r="C2506" s="256"/>
      <c r="D2506" s="414"/>
      <c r="E2506" s="414"/>
      <c r="F2506" s="414"/>
      <c r="G2506" s="253"/>
      <c r="H2506" s="253"/>
      <c r="I2506" s="253"/>
      <c r="J2506" s="253"/>
      <c r="K2506" s="253"/>
      <c r="L2506" s="253"/>
      <c r="M2506" s="253"/>
      <c r="N2506" s="253"/>
      <c r="O2506" s="258"/>
      <c r="P2506" s="258"/>
      <c r="Q2506" s="258"/>
      <c r="R2506" s="258"/>
      <c r="S2506" s="258"/>
      <c r="T2506" s="258"/>
      <c r="U2506" s="258"/>
      <c r="V2506" s="258"/>
      <c r="W2506" s="258"/>
      <c r="X2506" s="258"/>
      <c r="Y2506" s="258"/>
      <c r="Z2506" s="258"/>
      <c r="AA2506" s="258"/>
      <c r="AB2506" s="258"/>
      <c r="AC2506" s="407"/>
    </row>
    <row r="2507" spans="2:29" s="406" customFormat="1" ht="16.5" customHeight="1">
      <c r="B2507" s="256"/>
      <c r="C2507" s="256"/>
      <c r="D2507" s="414"/>
      <c r="E2507" s="414"/>
      <c r="F2507" s="414"/>
      <c r="G2507" s="253"/>
      <c r="H2507" s="253"/>
      <c r="I2507" s="253"/>
      <c r="J2507" s="253"/>
      <c r="K2507" s="253"/>
      <c r="L2507" s="253"/>
      <c r="M2507" s="253"/>
      <c r="N2507" s="253"/>
      <c r="O2507" s="258"/>
      <c r="P2507" s="258"/>
      <c r="Q2507" s="258"/>
      <c r="R2507" s="258"/>
      <c r="S2507" s="258"/>
      <c r="T2507" s="258"/>
      <c r="U2507" s="258"/>
      <c r="V2507" s="258"/>
      <c r="W2507" s="258"/>
      <c r="X2507" s="258"/>
      <c r="Y2507" s="258"/>
      <c r="Z2507" s="258"/>
      <c r="AA2507" s="258"/>
      <c r="AB2507" s="258"/>
      <c r="AC2507" s="407"/>
    </row>
    <row r="2508" spans="2:29" s="406" customFormat="1" ht="16.5" customHeight="1">
      <c r="B2508" s="256"/>
      <c r="C2508" s="256"/>
      <c r="D2508" s="414"/>
      <c r="E2508" s="414"/>
      <c r="F2508" s="414"/>
      <c r="G2508" s="253"/>
      <c r="H2508" s="253"/>
      <c r="I2508" s="253"/>
      <c r="J2508" s="253"/>
      <c r="K2508" s="253"/>
      <c r="L2508" s="253"/>
      <c r="M2508" s="253"/>
      <c r="N2508" s="253"/>
      <c r="O2508" s="258"/>
      <c r="P2508" s="258"/>
      <c r="Q2508" s="258"/>
      <c r="R2508" s="258"/>
      <c r="S2508" s="258"/>
      <c r="T2508" s="258"/>
      <c r="U2508" s="258"/>
      <c r="V2508" s="258"/>
      <c r="W2508" s="258"/>
      <c r="X2508" s="258"/>
      <c r="Y2508" s="258"/>
      <c r="Z2508" s="258"/>
      <c r="AA2508" s="258"/>
      <c r="AB2508" s="258"/>
      <c r="AC2508" s="407"/>
    </row>
    <row r="2509" spans="2:29" s="406" customFormat="1" ht="16.5" customHeight="1">
      <c r="B2509" s="256"/>
      <c r="C2509" s="256"/>
      <c r="D2509" s="414"/>
      <c r="E2509" s="414"/>
      <c r="F2509" s="414"/>
      <c r="G2509" s="253"/>
      <c r="H2509" s="253"/>
      <c r="I2509" s="253"/>
      <c r="J2509" s="253"/>
      <c r="K2509" s="253"/>
      <c r="L2509" s="253"/>
      <c r="M2509" s="253"/>
      <c r="N2509" s="253"/>
      <c r="O2509" s="258"/>
      <c r="P2509" s="258"/>
      <c r="Q2509" s="258"/>
      <c r="R2509" s="258"/>
      <c r="S2509" s="258"/>
      <c r="T2509" s="258"/>
      <c r="U2509" s="258"/>
      <c r="V2509" s="258"/>
      <c r="W2509" s="258"/>
      <c r="X2509" s="258"/>
      <c r="Y2509" s="258"/>
      <c r="Z2509" s="258"/>
      <c r="AA2509" s="258"/>
      <c r="AB2509" s="258"/>
      <c r="AC2509" s="407"/>
    </row>
    <row r="2510" spans="2:29" s="406" customFormat="1" ht="16.5" customHeight="1">
      <c r="B2510" s="256"/>
      <c r="C2510" s="256"/>
      <c r="D2510" s="414"/>
      <c r="E2510" s="414"/>
      <c r="F2510" s="414"/>
      <c r="G2510" s="253"/>
      <c r="H2510" s="253"/>
      <c r="I2510" s="253"/>
      <c r="J2510" s="253"/>
      <c r="K2510" s="253"/>
      <c r="L2510" s="253"/>
      <c r="M2510" s="253"/>
      <c r="N2510" s="253"/>
      <c r="O2510" s="258"/>
      <c r="P2510" s="258"/>
      <c r="Q2510" s="258"/>
      <c r="R2510" s="258"/>
      <c r="S2510" s="258"/>
      <c r="T2510" s="258"/>
      <c r="U2510" s="258"/>
      <c r="V2510" s="258"/>
      <c r="W2510" s="258"/>
      <c r="X2510" s="258"/>
      <c r="Y2510" s="258"/>
      <c r="Z2510" s="258"/>
      <c r="AA2510" s="258"/>
      <c r="AB2510" s="258"/>
      <c r="AC2510" s="407"/>
    </row>
    <row r="2511" spans="2:29" s="406" customFormat="1" ht="16.5" customHeight="1">
      <c r="B2511" s="256"/>
      <c r="C2511" s="256"/>
      <c r="D2511" s="414"/>
      <c r="E2511" s="414"/>
      <c r="F2511" s="414"/>
      <c r="G2511" s="253"/>
      <c r="H2511" s="253"/>
      <c r="I2511" s="253"/>
      <c r="J2511" s="253"/>
      <c r="K2511" s="253"/>
      <c r="L2511" s="253"/>
      <c r="M2511" s="253"/>
      <c r="N2511" s="253"/>
      <c r="O2511" s="258"/>
      <c r="P2511" s="258"/>
      <c r="Q2511" s="258"/>
      <c r="R2511" s="258"/>
      <c r="S2511" s="258"/>
      <c r="T2511" s="258"/>
      <c r="U2511" s="258"/>
      <c r="V2511" s="258"/>
      <c r="W2511" s="258"/>
      <c r="X2511" s="258"/>
      <c r="Y2511" s="258"/>
      <c r="Z2511" s="258"/>
      <c r="AA2511" s="258"/>
      <c r="AB2511" s="258"/>
      <c r="AC2511" s="407"/>
    </row>
    <row r="2512" spans="2:29" s="406" customFormat="1" ht="16.5" customHeight="1">
      <c r="B2512" s="256"/>
      <c r="C2512" s="256"/>
      <c r="D2512" s="414"/>
      <c r="E2512" s="414"/>
      <c r="F2512" s="414"/>
      <c r="G2512" s="253"/>
      <c r="H2512" s="253"/>
      <c r="I2512" s="253"/>
      <c r="J2512" s="253"/>
      <c r="K2512" s="253"/>
      <c r="L2512" s="253"/>
      <c r="M2512" s="253"/>
      <c r="N2512" s="253"/>
      <c r="O2512" s="258"/>
      <c r="P2512" s="258"/>
      <c r="Q2512" s="258"/>
      <c r="R2512" s="258"/>
      <c r="S2512" s="258"/>
      <c r="T2512" s="258"/>
      <c r="U2512" s="258"/>
      <c r="V2512" s="258"/>
      <c r="W2512" s="258"/>
      <c r="X2512" s="258"/>
      <c r="Y2512" s="258"/>
      <c r="Z2512" s="258"/>
      <c r="AA2512" s="258"/>
      <c r="AB2512" s="258"/>
      <c r="AC2512" s="407"/>
    </row>
    <row r="2513" spans="2:29" s="406" customFormat="1" ht="16.5" customHeight="1">
      <c r="B2513" s="256"/>
      <c r="C2513" s="256"/>
      <c r="D2513" s="414"/>
      <c r="E2513" s="414"/>
      <c r="F2513" s="414"/>
      <c r="G2513" s="253"/>
      <c r="H2513" s="253"/>
      <c r="I2513" s="253"/>
      <c r="J2513" s="253"/>
      <c r="K2513" s="253"/>
      <c r="L2513" s="253"/>
      <c r="M2513" s="253"/>
      <c r="N2513" s="253"/>
      <c r="O2513" s="258"/>
      <c r="P2513" s="258"/>
      <c r="Q2513" s="258"/>
      <c r="R2513" s="258"/>
      <c r="S2513" s="258"/>
      <c r="T2513" s="258"/>
      <c r="U2513" s="258"/>
      <c r="V2513" s="258"/>
      <c r="W2513" s="258"/>
      <c r="X2513" s="258"/>
      <c r="Y2513" s="258"/>
      <c r="Z2513" s="258"/>
      <c r="AA2513" s="258"/>
      <c r="AB2513" s="258"/>
      <c r="AC2513" s="407"/>
    </row>
    <row r="2514" spans="2:29" s="406" customFormat="1" ht="16.5" customHeight="1">
      <c r="B2514" s="256"/>
      <c r="C2514" s="256"/>
      <c r="D2514" s="414"/>
      <c r="E2514" s="414"/>
      <c r="F2514" s="414"/>
      <c r="G2514" s="253"/>
      <c r="H2514" s="253"/>
      <c r="I2514" s="253"/>
      <c r="J2514" s="253"/>
      <c r="K2514" s="253"/>
      <c r="L2514" s="253"/>
      <c r="M2514" s="253"/>
      <c r="N2514" s="253"/>
      <c r="O2514" s="258"/>
      <c r="P2514" s="258"/>
      <c r="Q2514" s="258"/>
      <c r="R2514" s="258"/>
      <c r="S2514" s="258"/>
      <c r="T2514" s="258"/>
      <c r="U2514" s="258"/>
      <c r="V2514" s="258"/>
      <c r="W2514" s="258"/>
      <c r="X2514" s="258"/>
      <c r="Y2514" s="258"/>
      <c r="Z2514" s="258"/>
      <c r="AA2514" s="258"/>
      <c r="AB2514" s="258"/>
      <c r="AC2514" s="407"/>
    </row>
    <row r="2515" spans="2:29" s="406" customFormat="1" ht="16.5" customHeight="1">
      <c r="B2515" s="256"/>
      <c r="C2515" s="256"/>
      <c r="D2515" s="414"/>
      <c r="E2515" s="414"/>
      <c r="F2515" s="414"/>
      <c r="G2515" s="253"/>
      <c r="H2515" s="253"/>
      <c r="I2515" s="253"/>
      <c r="J2515" s="253"/>
      <c r="K2515" s="253"/>
      <c r="L2515" s="253"/>
      <c r="M2515" s="253"/>
      <c r="N2515" s="253"/>
      <c r="O2515" s="258"/>
      <c r="P2515" s="258"/>
      <c r="Q2515" s="258"/>
      <c r="R2515" s="258"/>
      <c r="S2515" s="258"/>
      <c r="T2515" s="258"/>
      <c r="U2515" s="258"/>
      <c r="V2515" s="258"/>
      <c r="W2515" s="258"/>
      <c r="X2515" s="258"/>
      <c r="Y2515" s="258"/>
      <c r="Z2515" s="258"/>
      <c r="AA2515" s="258"/>
      <c r="AB2515" s="258"/>
      <c r="AC2515" s="407"/>
    </row>
    <row r="2516" spans="2:29" s="406" customFormat="1" ht="16.5" customHeight="1">
      <c r="B2516" s="256"/>
      <c r="C2516" s="256"/>
      <c r="D2516" s="414"/>
      <c r="E2516" s="414"/>
      <c r="F2516" s="414"/>
      <c r="G2516" s="253"/>
      <c r="H2516" s="253"/>
      <c r="I2516" s="253"/>
      <c r="J2516" s="253"/>
      <c r="K2516" s="253"/>
      <c r="L2516" s="253"/>
      <c r="M2516" s="253"/>
      <c r="N2516" s="253"/>
      <c r="O2516" s="258"/>
      <c r="P2516" s="258"/>
      <c r="Q2516" s="258"/>
      <c r="R2516" s="258"/>
      <c r="S2516" s="258"/>
      <c r="T2516" s="258"/>
      <c r="U2516" s="258"/>
      <c r="V2516" s="258"/>
      <c r="W2516" s="258"/>
      <c r="X2516" s="258"/>
      <c r="Y2516" s="258"/>
      <c r="Z2516" s="258"/>
      <c r="AA2516" s="258"/>
      <c r="AB2516" s="258"/>
      <c r="AC2516" s="407"/>
    </row>
    <row r="2517" spans="2:29" s="406" customFormat="1" ht="16.5" customHeight="1">
      <c r="B2517" s="256"/>
      <c r="C2517" s="256"/>
      <c r="D2517" s="414"/>
      <c r="E2517" s="414"/>
      <c r="F2517" s="414"/>
      <c r="G2517" s="253"/>
      <c r="H2517" s="253"/>
      <c r="I2517" s="253"/>
      <c r="J2517" s="253"/>
      <c r="K2517" s="253"/>
      <c r="L2517" s="253"/>
      <c r="M2517" s="253"/>
      <c r="N2517" s="253"/>
      <c r="O2517" s="258"/>
      <c r="P2517" s="258"/>
      <c r="Q2517" s="258"/>
      <c r="R2517" s="258"/>
      <c r="S2517" s="258"/>
      <c r="T2517" s="258"/>
      <c r="U2517" s="258"/>
      <c r="V2517" s="258"/>
      <c r="W2517" s="258"/>
      <c r="X2517" s="258"/>
      <c r="Y2517" s="258"/>
      <c r="Z2517" s="258"/>
      <c r="AA2517" s="258"/>
      <c r="AB2517" s="258"/>
      <c r="AC2517" s="407"/>
    </row>
    <row r="2518" spans="2:29" s="406" customFormat="1" ht="16.5" customHeight="1">
      <c r="B2518" s="256"/>
      <c r="C2518" s="256"/>
      <c r="D2518" s="414"/>
      <c r="E2518" s="414"/>
      <c r="F2518" s="414"/>
      <c r="G2518" s="253"/>
      <c r="H2518" s="253"/>
      <c r="I2518" s="253"/>
      <c r="J2518" s="253"/>
      <c r="K2518" s="253"/>
      <c r="L2518" s="253"/>
      <c r="M2518" s="253"/>
      <c r="N2518" s="253"/>
      <c r="O2518" s="258"/>
      <c r="P2518" s="258"/>
      <c r="Q2518" s="258"/>
      <c r="R2518" s="258"/>
      <c r="S2518" s="258"/>
      <c r="T2518" s="258"/>
      <c r="U2518" s="258"/>
      <c r="V2518" s="258"/>
      <c r="W2518" s="258"/>
      <c r="X2518" s="258"/>
      <c r="Y2518" s="258"/>
      <c r="Z2518" s="258"/>
      <c r="AA2518" s="258"/>
      <c r="AB2518" s="258"/>
      <c r="AC2518" s="407"/>
    </row>
    <row r="2519" spans="2:29" s="406" customFormat="1" ht="16.5" customHeight="1">
      <c r="B2519" s="256"/>
      <c r="C2519" s="256"/>
      <c r="D2519" s="414"/>
      <c r="E2519" s="414"/>
      <c r="F2519" s="414"/>
      <c r="G2519" s="253"/>
      <c r="H2519" s="253"/>
      <c r="I2519" s="253"/>
      <c r="J2519" s="253"/>
      <c r="K2519" s="253"/>
      <c r="L2519" s="253"/>
      <c r="M2519" s="253"/>
      <c r="N2519" s="253"/>
      <c r="O2519" s="258"/>
      <c r="P2519" s="258"/>
      <c r="Q2519" s="258"/>
      <c r="R2519" s="258"/>
      <c r="S2519" s="258"/>
      <c r="T2519" s="258"/>
      <c r="U2519" s="258"/>
      <c r="V2519" s="258"/>
      <c r="W2519" s="258"/>
      <c r="X2519" s="258"/>
      <c r="Y2519" s="258"/>
      <c r="Z2519" s="258"/>
      <c r="AA2519" s="258"/>
      <c r="AB2519" s="258"/>
      <c r="AC2519" s="407"/>
    </row>
    <row r="2520" spans="2:29" s="406" customFormat="1" ht="16.5" customHeight="1">
      <c r="B2520" s="256"/>
      <c r="C2520" s="256"/>
      <c r="D2520" s="414"/>
      <c r="E2520" s="414"/>
      <c r="F2520" s="414"/>
      <c r="G2520" s="253"/>
      <c r="H2520" s="253"/>
      <c r="I2520" s="253"/>
      <c r="J2520" s="253"/>
      <c r="K2520" s="253"/>
      <c r="L2520" s="253"/>
      <c r="M2520" s="253"/>
      <c r="N2520" s="253"/>
      <c r="O2520" s="258"/>
      <c r="P2520" s="258"/>
      <c r="Q2520" s="258"/>
      <c r="R2520" s="258"/>
      <c r="S2520" s="258"/>
      <c r="T2520" s="258"/>
      <c r="U2520" s="258"/>
      <c r="V2520" s="258"/>
      <c r="W2520" s="258"/>
      <c r="X2520" s="258"/>
      <c r="Y2520" s="258"/>
      <c r="Z2520" s="258"/>
      <c r="AA2520" s="258"/>
      <c r="AB2520" s="258"/>
      <c r="AC2520" s="407"/>
    </row>
    <row r="2521" spans="2:29" s="406" customFormat="1" ht="16.5" customHeight="1">
      <c r="B2521" s="256"/>
      <c r="C2521" s="256"/>
      <c r="D2521" s="414"/>
      <c r="E2521" s="414"/>
      <c r="F2521" s="414"/>
      <c r="G2521" s="253"/>
      <c r="H2521" s="253"/>
      <c r="I2521" s="253"/>
      <c r="J2521" s="253"/>
      <c r="K2521" s="253"/>
      <c r="L2521" s="253"/>
      <c r="M2521" s="253"/>
      <c r="N2521" s="253"/>
      <c r="O2521" s="258"/>
      <c r="P2521" s="258"/>
      <c r="Q2521" s="258"/>
      <c r="R2521" s="258"/>
      <c r="S2521" s="258"/>
      <c r="T2521" s="258"/>
      <c r="U2521" s="258"/>
      <c r="V2521" s="258"/>
      <c r="W2521" s="258"/>
      <c r="X2521" s="258"/>
      <c r="Y2521" s="258"/>
      <c r="Z2521" s="258"/>
      <c r="AA2521" s="258"/>
      <c r="AB2521" s="258"/>
      <c r="AC2521" s="407"/>
    </row>
    <row r="2522" spans="2:29" s="406" customFormat="1" ht="16.5" customHeight="1">
      <c r="B2522" s="256"/>
      <c r="C2522" s="256"/>
      <c r="D2522" s="414"/>
      <c r="E2522" s="414"/>
      <c r="F2522" s="414"/>
      <c r="G2522" s="253"/>
      <c r="H2522" s="253"/>
      <c r="I2522" s="253"/>
      <c r="J2522" s="253"/>
      <c r="K2522" s="253"/>
      <c r="L2522" s="253"/>
      <c r="M2522" s="253"/>
      <c r="N2522" s="253"/>
      <c r="O2522" s="258"/>
      <c r="P2522" s="258"/>
      <c r="Q2522" s="258"/>
      <c r="R2522" s="258"/>
      <c r="S2522" s="258"/>
      <c r="T2522" s="258"/>
      <c r="U2522" s="258"/>
      <c r="V2522" s="258"/>
      <c r="W2522" s="258"/>
      <c r="X2522" s="258"/>
      <c r="Y2522" s="258"/>
      <c r="Z2522" s="258"/>
      <c r="AA2522" s="258"/>
      <c r="AB2522" s="258"/>
      <c r="AC2522" s="407"/>
    </row>
    <row r="2523" spans="2:29" s="406" customFormat="1" ht="16.5" customHeight="1">
      <c r="B2523" s="256"/>
      <c r="C2523" s="256"/>
      <c r="D2523" s="414"/>
      <c r="E2523" s="414"/>
      <c r="F2523" s="414"/>
      <c r="G2523" s="253"/>
      <c r="H2523" s="253"/>
      <c r="I2523" s="253"/>
      <c r="J2523" s="253"/>
      <c r="K2523" s="253"/>
      <c r="L2523" s="253"/>
      <c r="M2523" s="253"/>
      <c r="N2523" s="253"/>
      <c r="O2523" s="258"/>
      <c r="P2523" s="258"/>
      <c r="Q2523" s="258"/>
      <c r="R2523" s="258"/>
      <c r="S2523" s="258"/>
      <c r="T2523" s="258"/>
      <c r="U2523" s="258"/>
      <c r="V2523" s="258"/>
      <c r="W2523" s="258"/>
      <c r="X2523" s="258"/>
      <c r="Y2523" s="258"/>
      <c r="Z2523" s="258"/>
      <c r="AA2523" s="258"/>
      <c r="AB2523" s="258"/>
      <c r="AC2523" s="407"/>
    </row>
    <row r="2524" spans="2:29" s="406" customFormat="1" ht="16.5" customHeight="1">
      <c r="B2524" s="256"/>
      <c r="C2524" s="256"/>
      <c r="D2524" s="414"/>
      <c r="E2524" s="414"/>
      <c r="F2524" s="414"/>
      <c r="G2524" s="253"/>
      <c r="H2524" s="253"/>
      <c r="I2524" s="253"/>
      <c r="J2524" s="253"/>
      <c r="K2524" s="253"/>
      <c r="L2524" s="253"/>
      <c r="M2524" s="253"/>
      <c r="N2524" s="253"/>
      <c r="O2524" s="258"/>
      <c r="P2524" s="258"/>
      <c r="Q2524" s="258"/>
      <c r="R2524" s="258"/>
      <c r="S2524" s="258"/>
      <c r="T2524" s="258"/>
      <c r="U2524" s="258"/>
      <c r="V2524" s="258"/>
      <c r="W2524" s="258"/>
      <c r="X2524" s="258"/>
      <c r="Y2524" s="258"/>
      <c r="Z2524" s="258"/>
      <c r="AA2524" s="258"/>
      <c r="AB2524" s="258"/>
      <c r="AC2524" s="407"/>
    </row>
    <row r="2525" spans="2:29" s="406" customFormat="1" ht="16.5" customHeight="1">
      <c r="B2525" s="256"/>
      <c r="C2525" s="256"/>
      <c r="D2525" s="414"/>
      <c r="E2525" s="414"/>
      <c r="F2525" s="414"/>
      <c r="G2525" s="253"/>
      <c r="H2525" s="253"/>
      <c r="I2525" s="253"/>
      <c r="J2525" s="253"/>
      <c r="K2525" s="253"/>
      <c r="L2525" s="253"/>
      <c r="M2525" s="253"/>
      <c r="N2525" s="253"/>
      <c r="O2525" s="258"/>
      <c r="P2525" s="258"/>
      <c r="Q2525" s="258"/>
      <c r="R2525" s="258"/>
      <c r="S2525" s="258"/>
      <c r="T2525" s="258"/>
      <c r="U2525" s="258"/>
      <c r="V2525" s="258"/>
      <c r="W2525" s="258"/>
      <c r="X2525" s="258"/>
      <c r="Y2525" s="258"/>
      <c r="Z2525" s="258"/>
      <c r="AA2525" s="258"/>
      <c r="AB2525" s="258"/>
      <c r="AC2525" s="407"/>
    </row>
    <row r="2526" spans="2:29" s="406" customFormat="1" ht="16.5" customHeight="1">
      <c r="B2526" s="256"/>
      <c r="C2526" s="256"/>
      <c r="D2526" s="414"/>
      <c r="E2526" s="414"/>
      <c r="F2526" s="414"/>
      <c r="G2526" s="253"/>
      <c r="H2526" s="253"/>
      <c r="I2526" s="253"/>
      <c r="J2526" s="253"/>
      <c r="K2526" s="253"/>
      <c r="L2526" s="253"/>
      <c r="M2526" s="253"/>
      <c r="N2526" s="253"/>
      <c r="O2526" s="258"/>
      <c r="P2526" s="258"/>
      <c r="Q2526" s="258"/>
      <c r="R2526" s="258"/>
      <c r="S2526" s="258"/>
      <c r="T2526" s="258"/>
      <c r="U2526" s="258"/>
      <c r="V2526" s="258"/>
      <c r="W2526" s="258"/>
      <c r="X2526" s="258"/>
      <c r="Y2526" s="258"/>
      <c r="Z2526" s="258"/>
      <c r="AA2526" s="258"/>
      <c r="AB2526" s="258"/>
      <c r="AC2526" s="407"/>
    </row>
    <row r="2527" spans="2:29" s="406" customFormat="1" ht="16.5" customHeight="1">
      <c r="B2527" s="256"/>
      <c r="C2527" s="256"/>
      <c r="D2527" s="414"/>
      <c r="E2527" s="414"/>
      <c r="F2527" s="414"/>
      <c r="G2527" s="253"/>
      <c r="H2527" s="253"/>
      <c r="I2527" s="253"/>
      <c r="J2527" s="253"/>
      <c r="K2527" s="253"/>
      <c r="L2527" s="253"/>
      <c r="M2527" s="253"/>
      <c r="N2527" s="253"/>
      <c r="O2527" s="258"/>
      <c r="P2527" s="258"/>
      <c r="Q2527" s="258"/>
      <c r="R2527" s="258"/>
      <c r="S2527" s="258"/>
      <c r="T2527" s="258"/>
      <c r="U2527" s="258"/>
      <c r="V2527" s="258"/>
      <c r="W2527" s="258"/>
      <c r="X2527" s="258"/>
      <c r="Y2527" s="258"/>
      <c r="Z2527" s="258"/>
      <c r="AA2527" s="258"/>
      <c r="AB2527" s="258"/>
      <c r="AC2527" s="407"/>
    </row>
    <row r="2528" spans="2:29" s="406" customFormat="1" ht="16.5" customHeight="1">
      <c r="B2528" s="256"/>
      <c r="C2528" s="256"/>
      <c r="D2528" s="414"/>
      <c r="E2528" s="414"/>
      <c r="F2528" s="414"/>
      <c r="G2528" s="253"/>
      <c r="H2528" s="253"/>
      <c r="I2528" s="253"/>
      <c r="J2528" s="253"/>
      <c r="K2528" s="253"/>
      <c r="L2528" s="253"/>
      <c r="M2528" s="253"/>
      <c r="N2528" s="253"/>
      <c r="O2528" s="258"/>
      <c r="P2528" s="258"/>
      <c r="Q2528" s="258"/>
      <c r="R2528" s="258"/>
      <c r="S2528" s="258"/>
      <c r="T2528" s="258"/>
      <c r="U2528" s="258"/>
      <c r="V2528" s="258"/>
      <c r="W2528" s="258"/>
      <c r="X2528" s="258"/>
      <c r="Y2528" s="258"/>
      <c r="Z2528" s="258"/>
      <c r="AA2528" s="258"/>
      <c r="AB2528" s="258"/>
      <c r="AC2528" s="407"/>
    </row>
    <row r="2529" spans="2:29" s="406" customFormat="1" ht="16.5" customHeight="1">
      <c r="B2529" s="256"/>
      <c r="C2529" s="256"/>
      <c r="D2529" s="414"/>
      <c r="E2529" s="414"/>
      <c r="F2529" s="414"/>
      <c r="G2529" s="253"/>
      <c r="H2529" s="253"/>
      <c r="I2529" s="253"/>
      <c r="J2529" s="253"/>
      <c r="K2529" s="253"/>
      <c r="L2529" s="253"/>
      <c r="M2529" s="253"/>
      <c r="N2529" s="253"/>
      <c r="O2529" s="258"/>
      <c r="P2529" s="258"/>
      <c r="Q2529" s="258"/>
      <c r="R2529" s="258"/>
      <c r="S2529" s="258"/>
      <c r="T2529" s="258"/>
      <c r="U2529" s="258"/>
      <c r="V2529" s="258"/>
      <c r="W2529" s="258"/>
      <c r="X2529" s="258"/>
      <c r="Y2529" s="258"/>
      <c r="Z2529" s="258"/>
      <c r="AA2529" s="258"/>
      <c r="AB2529" s="258"/>
      <c r="AC2529" s="407"/>
    </row>
    <row r="2530" spans="2:29" s="406" customFormat="1" ht="16.5" customHeight="1">
      <c r="B2530" s="256"/>
      <c r="C2530" s="256"/>
      <c r="D2530" s="414"/>
      <c r="E2530" s="414"/>
      <c r="F2530" s="414"/>
      <c r="G2530" s="253"/>
      <c r="H2530" s="253"/>
      <c r="I2530" s="253"/>
      <c r="J2530" s="253"/>
      <c r="K2530" s="253"/>
      <c r="L2530" s="253"/>
      <c r="M2530" s="253"/>
      <c r="N2530" s="253"/>
      <c r="O2530" s="258"/>
      <c r="P2530" s="258"/>
      <c r="Q2530" s="258"/>
      <c r="R2530" s="258"/>
      <c r="S2530" s="258"/>
      <c r="T2530" s="258"/>
      <c r="U2530" s="258"/>
      <c r="V2530" s="258"/>
      <c r="W2530" s="258"/>
      <c r="X2530" s="258"/>
      <c r="Y2530" s="258"/>
      <c r="Z2530" s="258"/>
      <c r="AA2530" s="258"/>
      <c r="AB2530" s="258"/>
      <c r="AC2530" s="407"/>
    </row>
    <row r="2531" spans="2:29" s="406" customFormat="1" ht="16.5" customHeight="1">
      <c r="B2531" s="256"/>
      <c r="C2531" s="256"/>
      <c r="D2531" s="414"/>
      <c r="E2531" s="414"/>
      <c r="F2531" s="414"/>
      <c r="G2531" s="253"/>
      <c r="H2531" s="253"/>
      <c r="I2531" s="253"/>
      <c r="J2531" s="253"/>
      <c r="K2531" s="253"/>
      <c r="L2531" s="253"/>
      <c r="M2531" s="253"/>
      <c r="N2531" s="253"/>
      <c r="O2531" s="258"/>
      <c r="P2531" s="258"/>
      <c r="Q2531" s="258"/>
      <c r="R2531" s="258"/>
      <c r="S2531" s="258"/>
      <c r="T2531" s="258"/>
      <c r="U2531" s="258"/>
      <c r="V2531" s="258"/>
      <c r="W2531" s="258"/>
      <c r="X2531" s="258"/>
      <c r="Y2531" s="258"/>
      <c r="Z2531" s="258"/>
      <c r="AA2531" s="258"/>
      <c r="AB2531" s="258"/>
      <c r="AC2531" s="407"/>
    </row>
    <row r="2532" spans="2:29" s="406" customFormat="1" ht="16.5" customHeight="1">
      <c r="B2532" s="256"/>
      <c r="C2532" s="256"/>
      <c r="D2532" s="414"/>
      <c r="E2532" s="414"/>
      <c r="F2532" s="414"/>
      <c r="G2532" s="253"/>
      <c r="H2532" s="253"/>
      <c r="I2532" s="253"/>
      <c r="J2532" s="253"/>
      <c r="K2532" s="253"/>
      <c r="L2532" s="253"/>
      <c r="M2532" s="253"/>
      <c r="N2532" s="253"/>
      <c r="O2532" s="258"/>
      <c r="P2532" s="258"/>
      <c r="Q2532" s="258"/>
      <c r="R2532" s="258"/>
      <c r="S2532" s="258"/>
      <c r="T2532" s="258"/>
      <c r="U2532" s="258"/>
      <c r="V2532" s="258"/>
      <c r="W2532" s="258"/>
      <c r="X2532" s="258"/>
      <c r="Y2532" s="258"/>
      <c r="Z2532" s="258"/>
      <c r="AA2532" s="258"/>
      <c r="AB2532" s="258"/>
      <c r="AC2532" s="407"/>
    </row>
    <row r="2533" spans="2:29" s="406" customFormat="1" ht="16.5" customHeight="1">
      <c r="B2533" s="256"/>
      <c r="C2533" s="256"/>
      <c r="D2533" s="414"/>
      <c r="E2533" s="414"/>
      <c r="F2533" s="414"/>
      <c r="G2533" s="253"/>
      <c r="H2533" s="253"/>
      <c r="I2533" s="253"/>
      <c r="J2533" s="253"/>
      <c r="K2533" s="253"/>
      <c r="L2533" s="253"/>
      <c r="M2533" s="253"/>
      <c r="N2533" s="253"/>
      <c r="O2533" s="258"/>
      <c r="P2533" s="258"/>
      <c r="Q2533" s="258"/>
      <c r="R2533" s="258"/>
      <c r="S2533" s="258"/>
      <c r="T2533" s="258"/>
      <c r="U2533" s="258"/>
      <c r="V2533" s="258"/>
      <c r="W2533" s="258"/>
      <c r="X2533" s="258"/>
      <c r="Y2533" s="258"/>
      <c r="Z2533" s="258"/>
      <c r="AA2533" s="258"/>
      <c r="AB2533" s="258"/>
      <c r="AC2533" s="407"/>
    </row>
    <row r="2534" spans="2:29" s="406" customFormat="1" ht="16.5" customHeight="1">
      <c r="B2534" s="256"/>
      <c r="C2534" s="256"/>
      <c r="D2534" s="414"/>
      <c r="E2534" s="414"/>
      <c r="F2534" s="414"/>
      <c r="G2534" s="253"/>
      <c r="H2534" s="253"/>
      <c r="I2534" s="253"/>
      <c r="J2534" s="253"/>
      <c r="K2534" s="253"/>
      <c r="L2534" s="253"/>
      <c r="M2534" s="253"/>
      <c r="N2534" s="253"/>
      <c r="O2534" s="258"/>
      <c r="P2534" s="258"/>
      <c r="Q2534" s="258"/>
      <c r="R2534" s="258"/>
      <c r="S2534" s="258"/>
      <c r="T2534" s="258"/>
      <c r="U2534" s="258"/>
      <c r="V2534" s="258"/>
      <c r="W2534" s="258"/>
      <c r="X2534" s="258"/>
      <c r="Y2534" s="258"/>
      <c r="Z2534" s="258"/>
      <c r="AA2534" s="258"/>
      <c r="AB2534" s="258"/>
      <c r="AC2534" s="407"/>
    </row>
    <row r="2535" spans="2:29" s="406" customFormat="1" ht="16.5" customHeight="1">
      <c r="B2535" s="256"/>
      <c r="C2535" s="256"/>
      <c r="D2535" s="414"/>
      <c r="E2535" s="414"/>
      <c r="F2535" s="414"/>
      <c r="G2535" s="253"/>
      <c r="H2535" s="253"/>
      <c r="I2535" s="253"/>
      <c r="J2535" s="253"/>
      <c r="K2535" s="253"/>
      <c r="L2535" s="253"/>
      <c r="M2535" s="253"/>
      <c r="N2535" s="253"/>
      <c r="O2535" s="258"/>
      <c r="P2535" s="258"/>
      <c r="Q2535" s="258"/>
      <c r="R2535" s="258"/>
      <c r="S2535" s="258"/>
      <c r="T2535" s="258"/>
      <c r="U2535" s="258"/>
      <c r="V2535" s="258"/>
      <c r="W2535" s="258"/>
      <c r="X2535" s="258"/>
      <c r="Y2535" s="258"/>
      <c r="Z2535" s="258"/>
      <c r="AA2535" s="258"/>
      <c r="AB2535" s="258"/>
      <c r="AC2535" s="407"/>
    </row>
    <row r="2536" spans="2:29" s="406" customFormat="1" ht="16.5" customHeight="1">
      <c r="B2536" s="256"/>
      <c r="C2536" s="256"/>
      <c r="D2536" s="414"/>
      <c r="E2536" s="414"/>
      <c r="F2536" s="414"/>
      <c r="G2536" s="253"/>
      <c r="H2536" s="253"/>
      <c r="I2536" s="253"/>
      <c r="J2536" s="253"/>
      <c r="K2536" s="253"/>
      <c r="L2536" s="253"/>
      <c r="M2536" s="253"/>
      <c r="N2536" s="253"/>
      <c r="O2536" s="258"/>
      <c r="P2536" s="258"/>
      <c r="Q2536" s="258"/>
      <c r="R2536" s="258"/>
      <c r="S2536" s="258"/>
      <c r="T2536" s="258"/>
      <c r="U2536" s="258"/>
      <c r="V2536" s="258"/>
      <c r="W2536" s="258"/>
      <c r="X2536" s="258"/>
      <c r="Y2536" s="258"/>
      <c r="Z2536" s="258"/>
      <c r="AA2536" s="258"/>
      <c r="AB2536" s="258"/>
      <c r="AC2536" s="407"/>
    </row>
    <row r="2537" spans="2:29" s="406" customFormat="1" ht="16.5" customHeight="1">
      <c r="B2537" s="256"/>
      <c r="C2537" s="256"/>
      <c r="D2537" s="414"/>
      <c r="E2537" s="414"/>
      <c r="F2537" s="414"/>
      <c r="G2537" s="253"/>
      <c r="H2537" s="253"/>
      <c r="I2537" s="253"/>
      <c r="J2537" s="253"/>
      <c r="K2537" s="253"/>
      <c r="L2537" s="253"/>
      <c r="M2537" s="253"/>
      <c r="N2537" s="253"/>
      <c r="O2537" s="258"/>
      <c r="P2537" s="258"/>
      <c r="Q2537" s="258"/>
      <c r="R2537" s="258"/>
      <c r="S2537" s="258"/>
      <c r="T2537" s="258"/>
      <c r="U2537" s="258"/>
      <c r="V2537" s="258"/>
      <c r="W2537" s="258"/>
      <c r="X2537" s="258"/>
      <c r="Y2537" s="258"/>
      <c r="Z2537" s="258"/>
      <c r="AA2537" s="258"/>
      <c r="AB2537" s="258"/>
      <c r="AC2537" s="407"/>
    </row>
    <row r="2538" spans="2:29" s="406" customFormat="1" ht="16.5" customHeight="1">
      <c r="B2538" s="256"/>
      <c r="C2538" s="256"/>
      <c r="D2538" s="414"/>
      <c r="E2538" s="414"/>
      <c r="F2538" s="414"/>
      <c r="G2538" s="253"/>
      <c r="H2538" s="253"/>
      <c r="I2538" s="253"/>
      <c r="J2538" s="253"/>
      <c r="K2538" s="253"/>
      <c r="L2538" s="253"/>
      <c r="M2538" s="253"/>
      <c r="N2538" s="253"/>
      <c r="O2538" s="258"/>
      <c r="P2538" s="258"/>
      <c r="Q2538" s="258"/>
      <c r="R2538" s="258"/>
      <c r="S2538" s="258"/>
      <c r="T2538" s="258"/>
      <c r="U2538" s="258"/>
      <c r="V2538" s="258"/>
      <c r="W2538" s="258"/>
      <c r="X2538" s="258"/>
      <c r="Y2538" s="258"/>
      <c r="Z2538" s="258"/>
      <c r="AA2538" s="258"/>
      <c r="AB2538" s="258"/>
      <c r="AC2538" s="407"/>
    </row>
    <row r="2539" spans="2:29" s="406" customFormat="1" ht="16.5" customHeight="1">
      <c r="B2539" s="256"/>
      <c r="C2539" s="256"/>
      <c r="D2539" s="414"/>
      <c r="E2539" s="414"/>
      <c r="F2539" s="414"/>
      <c r="G2539" s="253"/>
      <c r="H2539" s="253"/>
      <c r="I2539" s="253"/>
      <c r="J2539" s="253"/>
      <c r="K2539" s="253"/>
      <c r="L2539" s="253"/>
      <c r="M2539" s="253"/>
      <c r="N2539" s="253"/>
      <c r="O2539" s="258"/>
      <c r="P2539" s="258"/>
      <c r="Q2539" s="258"/>
      <c r="R2539" s="258"/>
      <c r="S2539" s="258"/>
      <c r="T2539" s="258"/>
      <c r="U2539" s="258"/>
      <c r="V2539" s="258"/>
      <c r="W2539" s="258"/>
      <c r="X2539" s="258"/>
      <c r="Y2539" s="258"/>
      <c r="Z2539" s="258"/>
      <c r="AA2539" s="258"/>
      <c r="AB2539" s="258"/>
      <c r="AC2539" s="407"/>
    </row>
    <row r="2540" spans="2:29" s="406" customFormat="1" ht="16.5" customHeight="1">
      <c r="B2540" s="256"/>
      <c r="C2540" s="256"/>
      <c r="D2540" s="414"/>
      <c r="E2540" s="414"/>
      <c r="F2540" s="414"/>
      <c r="G2540" s="253"/>
      <c r="H2540" s="253"/>
      <c r="I2540" s="253"/>
      <c r="J2540" s="253"/>
      <c r="K2540" s="253"/>
      <c r="L2540" s="253"/>
      <c r="M2540" s="253"/>
      <c r="N2540" s="253"/>
      <c r="O2540" s="258"/>
      <c r="P2540" s="258"/>
      <c r="Q2540" s="258"/>
      <c r="R2540" s="258"/>
      <c r="S2540" s="258"/>
      <c r="T2540" s="258"/>
      <c r="U2540" s="258"/>
      <c r="V2540" s="258"/>
      <c r="W2540" s="258"/>
      <c r="X2540" s="258"/>
      <c r="Y2540" s="258"/>
      <c r="Z2540" s="258"/>
      <c r="AA2540" s="258"/>
      <c r="AB2540" s="258"/>
      <c r="AC2540" s="407"/>
    </row>
    <row r="2541" spans="2:29" s="406" customFormat="1" ht="16.5" customHeight="1">
      <c r="B2541" s="256"/>
      <c r="C2541" s="256"/>
      <c r="D2541" s="414"/>
      <c r="E2541" s="414"/>
      <c r="F2541" s="414"/>
      <c r="G2541" s="253"/>
      <c r="H2541" s="253"/>
      <c r="I2541" s="253"/>
      <c r="J2541" s="253"/>
      <c r="K2541" s="253"/>
      <c r="L2541" s="253"/>
      <c r="M2541" s="253"/>
      <c r="N2541" s="253"/>
      <c r="O2541" s="258"/>
      <c r="P2541" s="258"/>
      <c r="Q2541" s="258"/>
      <c r="R2541" s="258"/>
      <c r="S2541" s="258"/>
      <c r="T2541" s="258"/>
      <c r="U2541" s="258"/>
      <c r="V2541" s="258"/>
      <c r="W2541" s="258"/>
      <c r="X2541" s="258"/>
      <c r="Y2541" s="258"/>
      <c r="Z2541" s="258"/>
      <c r="AA2541" s="258"/>
      <c r="AB2541" s="258"/>
      <c r="AC2541" s="407"/>
    </row>
    <row r="2542" spans="2:29" s="406" customFormat="1" ht="16.5" customHeight="1">
      <c r="B2542" s="256"/>
      <c r="C2542" s="256"/>
      <c r="D2542" s="414"/>
      <c r="E2542" s="414"/>
      <c r="F2542" s="414"/>
      <c r="G2542" s="253"/>
      <c r="H2542" s="253"/>
      <c r="I2542" s="253"/>
      <c r="J2542" s="253"/>
      <c r="K2542" s="253"/>
      <c r="L2542" s="253"/>
      <c r="M2542" s="253"/>
      <c r="N2542" s="253"/>
      <c r="O2542" s="258"/>
      <c r="P2542" s="258"/>
      <c r="Q2542" s="258"/>
      <c r="R2542" s="258"/>
      <c r="S2542" s="258"/>
      <c r="T2542" s="258"/>
      <c r="U2542" s="258"/>
      <c r="V2542" s="258"/>
      <c r="W2542" s="258"/>
      <c r="X2542" s="258"/>
      <c r="Y2542" s="258"/>
      <c r="Z2542" s="258"/>
      <c r="AA2542" s="258"/>
      <c r="AB2542" s="258"/>
      <c r="AC2542" s="407"/>
    </row>
    <row r="2543" spans="2:29" s="406" customFormat="1" ht="16.5" customHeight="1">
      <c r="B2543" s="256"/>
      <c r="C2543" s="256"/>
      <c r="D2543" s="414"/>
      <c r="E2543" s="414"/>
      <c r="F2543" s="414"/>
      <c r="G2543" s="253"/>
      <c r="H2543" s="253"/>
      <c r="I2543" s="253"/>
      <c r="J2543" s="253"/>
      <c r="K2543" s="253"/>
      <c r="L2543" s="253"/>
      <c r="M2543" s="253"/>
      <c r="N2543" s="253"/>
      <c r="O2543" s="258"/>
      <c r="P2543" s="258"/>
      <c r="Q2543" s="258"/>
      <c r="R2543" s="258"/>
      <c r="S2543" s="258"/>
      <c r="T2543" s="258"/>
      <c r="U2543" s="258"/>
      <c r="V2543" s="258"/>
      <c r="W2543" s="258"/>
      <c r="X2543" s="258"/>
      <c r="Y2543" s="258"/>
      <c r="Z2543" s="258"/>
      <c r="AA2543" s="258"/>
      <c r="AB2543" s="258"/>
      <c r="AC2543" s="407"/>
    </row>
    <row r="2544" spans="2:29" s="406" customFormat="1" ht="16.5" customHeight="1">
      <c r="B2544" s="256"/>
      <c r="C2544" s="256"/>
      <c r="D2544" s="414"/>
      <c r="E2544" s="414"/>
      <c r="F2544" s="414"/>
      <c r="G2544" s="253"/>
      <c r="H2544" s="253"/>
      <c r="I2544" s="253"/>
      <c r="J2544" s="253"/>
      <c r="K2544" s="253"/>
      <c r="L2544" s="253"/>
      <c r="M2544" s="253"/>
      <c r="N2544" s="253"/>
      <c r="O2544" s="258"/>
      <c r="P2544" s="258"/>
      <c r="Q2544" s="258"/>
      <c r="R2544" s="258"/>
      <c r="S2544" s="258"/>
      <c r="T2544" s="258"/>
      <c r="U2544" s="258"/>
      <c r="V2544" s="258"/>
      <c r="W2544" s="258"/>
      <c r="X2544" s="258"/>
      <c r="Y2544" s="258"/>
      <c r="Z2544" s="258"/>
      <c r="AA2544" s="258"/>
      <c r="AB2544" s="258"/>
      <c r="AC2544" s="407"/>
    </row>
    <row r="2545" spans="2:29" s="406" customFormat="1" ht="16.5" customHeight="1">
      <c r="B2545" s="256"/>
      <c r="C2545" s="256"/>
      <c r="D2545" s="414"/>
      <c r="E2545" s="414"/>
      <c r="F2545" s="414"/>
      <c r="G2545" s="253"/>
      <c r="H2545" s="253"/>
      <c r="I2545" s="253"/>
      <c r="J2545" s="253"/>
      <c r="K2545" s="253"/>
      <c r="L2545" s="253"/>
      <c r="M2545" s="253"/>
      <c r="N2545" s="253"/>
      <c r="O2545" s="258"/>
      <c r="P2545" s="258"/>
      <c r="Q2545" s="258"/>
      <c r="R2545" s="258"/>
      <c r="S2545" s="258"/>
      <c r="T2545" s="258"/>
      <c r="U2545" s="258"/>
      <c r="V2545" s="258"/>
      <c r="W2545" s="258"/>
      <c r="X2545" s="258"/>
      <c r="Y2545" s="258"/>
      <c r="Z2545" s="258"/>
      <c r="AA2545" s="258"/>
      <c r="AB2545" s="258"/>
      <c r="AC2545" s="407"/>
    </row>
    <row r="2546" spans="2:29" s="406" customFormat="1" ht="16.5" customHeight="1">
      <c r="B2546" s="256"/>
      <c r="C2546" s="256"/>
      <c r="D2546" s="414"/>
      <c r="E2546" s="414"/>
      <c r="F2546" s="414"/>
      <c r="G2546" s="253"/>
      <c r="H2546" s="253"/>
      <c r="I2546" s="253"/>
      <c r="J2546" s="253"/>
      <c r="K2546" s="253"/>
      <c r="L2546" s="253"/>
      <c r="M2546" s="253"/>
      <c r="N2546" s="253"/>
      <c r="O2546" s="258"/>
      <c r="P2546" s="258"/>
      <c r="Q2546" s="258"/>
      <c r="R2546" s="258"/>
      <c r="S2546" s="258"/>
      <c r="T2546" s="258"/>
      <c r="U2546" s="258"/>
      <c r="V2546" s="258"/>
      <c r="W2546" s="258"/>
      <c r="X2546" s="258"/>
      <c r="Y2546" s="258"/>
      <c r="Z2546" s="258"/>
      <c r="AA2546" s="258"/>
      <c r="AB2546" s="258"/>
      <c r="AC2546" s="407"/>
    </row>
    <row r="2547" spans="2:29" s="406" customFormat="1" ht="16.5" customHeight="1">
      <c r="B2547" s="256"/>
      <c r="C2547" s="256"/>
      <c r="D2547" s="414"/>
      <c r="E2547" s="414"/>
      <c r="F2547" s="414"/>
      <c r="G2547" s="253"/>
      <c r="H2547" s="253"/>
      <c r="I2547" s="253"/>
      <c r="J2547" s="253"/>
      <c r="K2547" s="253"/>
      <c r="L2547" s="253"/>
      <c r="M2547" s="253"/>
      <c r="N2547" s="253"/>
      <c r="O2547" s="258"/>
      <c r="P2547" s="258"/>
      <c r="Q2547" s="258"/>
      <c r="R2547" s="258"/>
      <c r="S2547" s="258"/>
      <c r="T2547" s="258"/>
      <c r="U2547" s="258"/>
      <c r="V2547" s="258"/>
      <c r="W2547" s="258"/>
      <c r="X2547" s="258"/>
      <c r="Y2547" s="258"/>
      <c r="Z2547" s="258"/>
      <c r="AA2547" s="258"/>
      <c r="AB2547" s="258"/>
      <c r="AC2547" s="407"/>
    </row>
    <row r="2548" spans="2:29" s="406" customFormat="1" ht="16.5" customHeight="1">
      <c r="B2548" s="256"/>
      <c r="C2548" s="256"/>
      <c r="D2548" s="414"/>
      <c r="E2548" s="414"/>
      <c r="F2548" s="414"/>
      <c r="G2548" s="253"/>
      <c r="H2548" s="253"/>
      <c r="I2548" s="253"/>
      <c r="J2548" s="253"/>
      <c r="K2548" s="253"/>
      <c r="L2548" s="253"/>
      <c r="M2548" s="253"/>
      <c r="N2548" s="253"/>
      <c r="O2548" s="258"/>
      <c r="P2548" s="258"/>
      <c r="Q2548" s="258"/>
      <c r="R2548" s="258"/>
      <c r="S2548" s="258"/>
      <c r="T2548" s="258"/>
      <c r="U2548" s="258"/>
      <c r="V2548" s="258"/>
      <c r="W2548" s="258"/>
      <c r="X2548" s="258"/>
      <c r="Y2548" s="258"/>
      <c r="Z2548" s="258"/>
      <c r="AA2548" s="258"/>
      <c r="AB2548" s="258"/>
      <c r="AC2548" s="407"/>
    </row>
    <row r="2549" spans="2:29" s="406" customFormat="1" ht="16.5" customHeight="1">
      <c r="B2549" s="256"/>
      <c r="C2549" s="256"/>
      <c r="D2549" s="414"/>
      <c r="E2549" s="414"/>
      <c r="F2549" s="414"/>
      <c r="G2549" s="253"/>
      <c r="H2549" s="253"/>
      <c r="I2549" s="253"/>
      <c r="J2549" s="253"/>
      <c r="K2549" s="253"/>
      <c r="L2549" s="253"/>
      <c r="M2549" s="253"/>
      <c r="N2549" s="253"/>
      <c r="O2549" s="258"/>
      <c r="P2549" s="258"/>
      <c r="Q2549" s="258"/>
      <c r="R2549" s="258"/>
      <c r="S2549" s="258"/>
      <c r="T2549" s="258"/>
      <c r="U2549" s="258"/>
      <c r="V2549" s="258"/>
      <c r="W2549" s="258"/>
      <c r="X2549" s="258"/>
      <c r="Y2549" s="258"/>
      <c r="Z2549" s="258"/>
      <c r="AA2549" s="258"/>
      <c r="AB2549" s="258"/>
      <c r="AC2549" s="407"/>
    </row>
    <row r="2550" spans="2:29" s="406" customFormat="1" ht="16.5" customHeight="1">
      <c r="B2550" s="256"/>
      <c r="C2550" s="256"/>
      <c r="D2550" s="414"/>
      <c r="E2550" s="414"/>
      <c r="F2550" s="414"/>
      <c r="G2550" s="253"/>
      <c r="H2550" s="253"/>
      <c r="I2550" s="253"/>
      <c r="J2550" s="253"/>
      <c r="K2550" s="253"/>
      <c r="L2550" s="253"/>
      <c r="M2550" s="253"/>
      <c r="N2550" s="253"/>
      <c r="O2550" s="258"/>
      <c r="P2550" s="258"/>
      <c r="Q2550" s="258"/>
      <c r="R2550" s="258"/>
      <c r="S2550" s="258"/>
      <c r="T2550" s="258"/>
      <c r="U2550" s="258"/>
      <c r="V2550" s="258"/>
      <c r="W2550" s="258"/>
      <c r="X2550" s="258"/>
      <c r="Y2550" s="258"/>
      <c r="Z2550" s="258"/>
      <c r="AA2550" s="258"/>
      <c r="AB2550" s="258"/>
      <c r="AC2550" s="407"/>
    </row>
    <row r="2551" spans="2:29" s="406" customFormat="1" ht="16.5" customHeight="1">
      <c r="B2551" s="256"/>
      <c r="C2551" s="256"/>
      <c r="D2551" s="414"/>
      <c r="E2551" s="414"/>
      <c r="F2551" s="414"/>
      <c r="G2551" s="253"/>
      <c r="H2551" s="253"/>
      <c r="I2551" s="253"/>
      <c r="J2551" s="253"/>
      <c r="K2551" s="253"/>
      <c r="L2551" s="253"/>
      <c r="M2551" s="253"/>
      <c r="N2551" s="253"/>
      <c r="O2551" s="258"/>
      <c r="P2551" s="258"/>
      <c r="Q2551" s="258"/>
      <c r="R2551" s="258"/>
      <c r="S2551" s="258"/>
      <c r="T2551" s="258"/>
      <c r="U2551" s="258"/>
      <c r="V2551" s="258"/>
      <c r="W2551" s="258"/>
      <c r="X2551" s="258"/>
      <c r="Y2551" s="258"/>
      <c r="Z2551" s="258"/>
      <c r="AA2551" s="258"/>
      <c r="AB2551" s="258"/>
      <c r="AC2551" s="407"/>
    </row>
    <row r="2552" spans="2:29" s="406" customFormat="1" ht="16.5" customHeight="1">
      <c r="B2552" s="256"/>
      <c r="C2552" s="256"/>
      <c r="D2552" s="414"/>
      <c r="E2552" s="414"/>
      <c r="F2552" s="414"/>
      <c r="G2552" s="253"/>
      <c r="H2552" s="253"/>
      <c r="I2552" s="253"/>
      <c r="J2552" s="253"/>
      <c r="K2552" s="253"/>
      <c r="L2552" s="253"/>
      <c r="M2552" s="253"/>
      <c r="N2552" s="253"/>
      <c r="O2552" s="258"/>
      <c r="P2552" s="258"/>
      <c r="Q2552" s="258"/>
      <c r="R2552" s="258"/>
      <c r="S2552" s="258"/>
      <c r="T2552" s="258"/>
      <c r="U2552" s="258"/>
      <c r="V2552" s="258"/>
      <c r="W2552" s="258"/>
      <c r="X2552" s="258"/>
      <c r="Y2552" s="258"/>
      <c r="Z2552" s="258"/>
      <c r="AA2552" s="258"/>
      <c r="AB2552" s="258"/>
      <c r="AC2552" s="407"/>
    </row>
    <row r="2553" spans="2:29" s="406" customFormat="1" ht="16.5" customHeight="1">
      <c r="B2553" s="256"/>
      <c r="C2553" s="256"/>
      <c r="D2553" s="414"/>
      <c r="E2553" s="414"/>
      <c r="F2553" s="414"/>
      <c r="G2553" s="253"/>
      <c r="H2553" s="253"/>
      <c r="I2553" s="253"/>
      <c r="J2553" s="253"/>
      <c r="K2553" s="253"/>
      <c r="L2553" s="253"/>
      <c r="M2553" s="253"/>
      <c r="N2553" s="253"/>
      <c r="O2553" s="258"/>
      <c r="P2553" s="258"/>
      <c r="Q2553" s="258"/>
      <c r="R2553" s="258"/>
      <c r="S2553" s="258"/>
      <c r="T2553" s="258"/>
      <c r="U2553" s="258"/>
      <c r="V2553" s="258"/>
      <c r="W2553" s="258"/>
      <c r="X2553" s="258"/>
      <c r="Y2553" s="258"/>
      <c r="Z2553" s="258"/>
      <c r="AA2553" s="258"/>
      <c r="AB2553" s="258"/>
      <c r="AC2553" s="407"/>
    </row>
    <row r="2554" spans="2:29" s="406" customFormat="1" ht="16.5" customHeight="1">
      <c r="B2554" s="256"/>
      <c r="C2554" s="256"/>
      <c r="D2554" s="414"/>
      <c r="E2554" s="414"/>
      <c r="F2554" s="414"/>
      <c r="G2554" s="253"/>
      <c r="H2554" s="253"/>
      <c r="I2554" s="253"/>
      <c r="J2554" s="253"/>
      <c r="K2554" s="253"/>
      <c r="L2554" s="253"/>
      <c r="M2554" s="253"/>
      <c r="N2554" s="253"/>
      <c r="O2554" s="258"/>
      <c r="P2554" s="258"/>
      <c r="Q2554" s="258"/>
      <c r="R2554" s="258"/>
      <c r="S2554" s="258"/>
      <c r="T2554" s="258"/>
      <c r="U2554" s="258"/>
      <c r="V2554" s="258"/>
      <c r="W2554" s="258"/>
      <c r="X2554" s="258"/>
      <c r="Y2554" s="258"/>
      <c r="Z2554" s="258"/>
      <c r="AA2554" s="258"/>
      <c r="AB2554" s="258"/>
      <c r="AC2554" s="407"/>
    </row>
    <row r="2555" spans="2:29" s="406" customFormat="1" ht="16.5" customHeight="1">
      <c r="B2555" s="256"/>
      <c r="C2555" s="256"/>
      <c r="D2555" s="414"/>
      <c r="E2555" s="414"/>
      <c r="F2555" s="414"/>
      <c r="G2555" s="253"/>
      <c r="H2555" s="253"/>
      <c r="I2555" s="253"/>
      <c r="J2555" s="253"/>
      <c r="K2555" s="253"/>
      <c r="L2555" s="253"/>
      <c r="M2555" s="253"/>
      <c r="N2555" s="253"/>
      <c r="O2555" s="258"/>
      <c r="P2555" s="258"/>
      <c r="Q2555" s="258"/>
      <c r="R2555" s="258"/>
      <c r="S2555" s="258"/>
      <c r="T2555" s="258"/>
      <c r="U2555" s="258"/>
      <c r="V2555" s="258"/>
      <c r="W2555" s="258"/>
      <c r="X2555" s="258"/>
      <c r="Y2555" s="258"/>
      <c r="Z2555" s="258"/>
      <c r="AA2555" s="258"/>
      <c r="AB2555" s="258"/>
      <c r="AC2555" s="407"/>
    </row>
    <row r="2556" spans="2:29" s="406" customFormat="1" ht="16.5" customHeight="1">
      <c r="B2556" s="256"/>
      <c r="C2556" s="256"/>
      <c r="D2556" s="414"/>
      <c r="E2556" s="414"/>
      <c r="F2556" s="414"/>
      <c r="G2556" s="253"/>
      <c r="H2556" s="253"/>
      <c r="I2556" s="253"/>
      <c r="J2556" s="253"/>
      <c r="K2556" s="253"/>
      <c r="L2556" s="253"/>
      <c r="M2556" s="253"/>
      <c r="N2556" s="253"/>
      <c r="O2556" s="258"/>
      <c r="P2556" s="258"/>
      <c r="Q2556" s="258"/>
      <c r="R2556" s="258"/>
      <c r="S2556" s="258"/>
      <c r="T2556" s="258"/>
      <c r="U2556" s="258"/>
      <c r="V2556" s="258"/>
      <c r="W2556" s="258"/>
      <c r="X2556" s="258"/>
      <c r="Y2556" s="258"/>
      <c r="Z2556" s="258"/>
      <c r="AA2556" s="258"/>
      <c r="AB2556" s="258"/>
      <c r="AC2556" s="407"/>
    </row>
    <row r="2557" spans="2:29" s="406" customFormat="1" ht="16.5" customHeight="1">
      <c r="B2557" s="256"/>
      <c r="C2557" s="256"/>
      <c r="D2557" s="414"/>
      <c r="E2557" s="414"/>
      <c r="F2557" s="414"/>
      <c r="G2557" s="253"/>
      <c r="H2557" s="253"/>
      <c r="I2557" s="253"/>
      <c r="J2557" s="253"/>
      <c r="K2557" s="253"/>
      <c r="L2557" s="253"/>
      <c r="M2557" s="253"/>
      <c r="N2557" s="253"/>
      <c r="O2557" s="258"/>
      <c r="P2557" s="258"/>
      <c r="Q2557" s="258"/>
      <c r="R2557" s="258"/>
      <c r="S2557" s="258"/>
      <c r="T2557" s="258"/>
      <c r="U2557" s="258"/>
      <c r="V2557" s="258"/>
      <c r="W2557" s="258"/>
      <c r="X2557" s="258"/>
      <c r="Y2557" s="258"/>
      <c r="Z2557" s="258"/>
      <c r="AA2557" s="258"/>
      <c r="AB2557" s="258"/>
      <c r="AC2557" s="407"/>
    </row>
    <row r="2558" spans="2:29" s="406" customFormat="1" ht="16.5" customHeight="1">
      <c r="B2558" s="256"/>
      <c r="C2558" s="256"/>
      <c r="D2558" s="414"/>
      <c r="E2558" s="414"/>
      <c r="F2558" s="414"/>
      <c r="G2558" s="253"/>
      <c r="H2558" s="253"/>
      <c r="I2558" s="253"/>
      <c r="J2558" s="253"/>
      <c r="K2558" s="253"/>
      <c r="L2558" s="253"/>
      <c r="M2558" s="253"/>
      <c r="N2558" s="253"/>
      <c r="O2558" s="258"/>
      <c r="P2558" s="258"/>
      <c r="Q2558" s="258"/>
      <c r="R2558" s="258"/>
      <c r="S2558" s="258"/>
      <c r="T2558" s="258"/>
      <c r="U2558" s="258"/>
      <c r="V2558" s="258"/>
      <c r="W2558" s="258"/>
      <c r="X2558" s="258"/>
      <c r="Y2558" s="258"/>
      <c r="Z2558" s="258"/>
      <c r="AA2558" s="258"/>
      <c r="AB2558" s="258"/>
      <c r="AC2558" s="407"/>
    </row>
    <row r="2559" spans="2:29" s="406" customFormat="1" ht="16.5" customHeight="1">
      <c r="B2559" s="256"/>
      <c r="C2559" s="256"/>
      <c r="D2559" s="414"/>
      <c r="E2559" s="414"/>
      <c r="F2559" s="414"/>
      <c r="G2559" s="253"/>
      <c r="H2559" s="253"/>
      <c r="I2559" s="253"/>
      <c r="J2559" s="253"/>
      <c r="K2559" s="253"/>
      <c r="L2559" s="253"/>
      <c r="M2559" s="253"/>
      <c r="N2559" s="253"/>
      <c r="O2559" s="258"/>
      <c r="P2559" s="258"/>
      <c r="Q2559" s="258"/>
      <c r="R2559" s="258"/>
      <c r="S2559" s="258"/>
      <c r="T2559" s="258"/>
      <c r="U2559" s="258"/>
      <c r="V2559" s="258"/>
      <c r="W2559" s="258"/>
      <c r="X2559" s="258"/>
      <c r="Y2559" s="258"/>
      <c r="Z2559" s="258"/>
      <c r="AA2559" s="258"/>
      <c r="AB2559" s="258"/>
      <c r="AC2559" s="407"/>
    </row>
    <row r="2560" spans="2:29" s="406" customFormat="1" ht="16.5" customHeight="1">
      <c r="B2560" s="256"/>
      <c r="C2560" s="256"/>
      <c r="D2560" s="414"/>
      <c r="E2560" s="414"/>
      <c r="F2560" s="414"/>
      <c r="G2560" s="253"/>
      <c r="H2560" s="253"/>
      <c r="I2560" s="253"/>
      <c r="J2560" s="253"/>
      <c r="K2560" s="253"/>
      <c r="L2560" s="253"/>
      <c r="M2560" s="253"/>
      <c r="N2560" s="253"/>
      <c r="O2560" s="258"/>
      <c r="P2560" s="258"/>
      <c r="Q2560" s="258"/>
      <c r="R2560" s="258"/>
      <c r="S2560" s="258"/>
      <c r="T2560" s="258"/>
      <c r="U2560" s="258"/>
      <c r="V2560" s="258"/>
      <c r="W2560" s="258"/>
      <c r="X2560" s="258"/>
      <c r="Y2560" s="258"/>
      <c r="Z2560" s="258"/>
      <c r="AA2560" s="258"/>
      <c r="AB2560" s="258"/>
      <c r="AC2560" s="407"/>
    </row>
    <row r="2561" spans="2:29" s="406" customFormat="1" ht="16.5" customHeight="1">
      <c r="B2561" s="256"/>
      <c r="C2561" s="256"/>
      <c r="D2561" s="414"/>
      <c r="E2561" s="414"/>
      <c r="F2561" s="414"/>
      <c r="G2561" s="253"/>
      <c r="H2561" s="253"/>
      <c r="I2561" s="253"/>
      <c r="J2561" s="253"/>
      <c r="K2561" s="253"/>
      <c r="L2561" s="253"/>
      <c r="M2561" s="253"/>
      <c r="N2561" s="253"/>
      <c r="O2561" s="258"/>
      <c r="P2561" s="258"/>
      <c r="Q2561" s="258"/>
      <c r="R2561" s="258"/>
      <c r="S2561" s="258"/>
      <c r="T2561" s="258"/>
      <c r="U2561" s="258"/>
      <c r="V2561" s="258"/>
      <c r="W2561" s="258"/>
      <c r="X2561" s="258"/>
      <c r="Y2561" s="258"/>
      <c r="Z2561" s="258"/>
      <c r="AA2561" s="258"/>
      <c r="AB2561" s="258"/>
      <c r="AC2561" s="407"/>
    </row>
    <row r="2562" spans="2:29" s="406" customFormat="1" ht="16.5" customHeight="1">
      <c r="B2562" s="256"/>
      <c r="C2562" s="256"/>
      <c r="D2562" s="414"/>
      <c r="E2562" s="414"/>
      <c r="F2562" s="414"/>
      <c r="G2562" s="253"/>
      <c r="H2562" s="253"/>
      <c r="I2562" s="253"/>
      <c r="J2562" s="253"/>
      <c r="K2562" s="253"/>
      <c r="L2562" s="253"/>
      <c r="M2562" s="253"/>
      <c r="N2562" s="253"/>
      <c r="O2562" s="258"/>
      <c r="P2562" s="258"/>
      <c r="Q2562" s="258"/>
      <c r="R2562" s="258"/>
      <c r="S2562" s="258"/>
      <c r="T2562" s="258"/>
      <c r="U2562" s="258"/>
      <c r="V2562" s="258"/>
      <c r="W2562" s="258"/>
      <c r="X2562" s="258"/>
      <c r="Y2562" s="258"/>
      <c r="Z2562" s="258"/>
      <c r="AA2562" s="258"/>
      <c r="AB2562" s="258"/>
      <c r="AC2562" s="407"/>
    </row>
    <row r="2563" spans="2:29" s="406" customFormat="1" ht="16.5" customHeight="1">
      <c r="B2563" s="256"/>
      <c r="C2563" s="256"/>
      <c r="D2563" s="414"/>
      <c r="E2563" s="414"/>
      <c r="F2563" s="414"/>
      <c r="G2563" s="253"/>
      <c r="H2563" s="253"/>
      <c r="I2563" s="253"/>
      <c r="J2563" s="253"/>
      <c r="K2563" s="253"/>
      <c r="L2563" s="253"/>
      <c r="M2563" s="253"/>
      <c r="N2563" s="253"/>
      <c r="O2563" s="258"/>
      <c r="P2563" s="258"/>
      <c r="Q2563" s="258"/>
      <c r="R2563" s="258"/>
      <c r="S2563" s="258"/>
      <c r="T2563" s="258"/>
      <c r="U2563" s="258"/>
      <c r="V2563" s="258"/>
      <c r="W2563" s="258"/>
      <c r="X2563" s="258"/>
      <c r="Y2563" s="258"/>
      <c r="Z2563" s="258"/>
      <c r="AA2563" s="258"/>
      <c r="AB2563" s="258"/>
      <c r="AC2563" s="407"/>
    </row>
    <row r="2564" spans="2:29" s="406" customFormat="1" ht="16.5" customHeight="1">
      <c r="B2564" s="256"/>
      <c r="C2564" s="256"/>
      <c r="D2564" s="414"/>
      <c r="E2564" s="414"/>
      <c r="F2564" s="414"/>
      <c r="G2564" s="253"/>
      <c r="H2564" s="253"/>
      <c r="I2564" s="253"/>
      <c r="J2564" s="253"/>
      <c r="K2564" s="253"/>
      <c r="L2564" s="253"/>
      <c r="M2564" s="253"/>
      <c r="N2564" s="253"/>
      <c r="O2564" s="258"/>
      <c r="P2564" s="258"/>
      <c r="Q2564" s="258"/>
      <c r="R2564" s="258"/>
      <c r="S2564" s="258"/>
      <c r="T2564" s="258"/>
      <c r="U2564" s="258"/>
      <c r="V2564" s="258"/>
      <c r="W2564" s="258"/>
      <c r="X2564" s="258"/>
      <c r="Y2564" s="258"/>
      <c r="Z2564" s="258"/>
      <c r="AA2564" s="258"/>
      <c r="AB2564" s="258"/>
      <c r="AC2564" s="407"/>
    </row>
    <row r="2565" spans="2:29" s="406" customFormat="1" ht="16.5" customHeight="1">
      <c r="B2565" s="256"/>
      <c r="C2565" s="256"/>
      <c r="D2565" s="414"/>
      <c r="E2565" s="414"/>
      <c r="F2565" s="414"/>
      <c r="G2565" s="253"/>
      <c r="H2565" s="253"/>
      <c r="I2565" s="253"/>
      <c r="J2565" s="253"/>
      <c r="K2565" s="253"/>
      <c r="L2565" s="253"/>
      <c r="M2565" s="253"/>
      <c r="N2565" s="253"/>
      <c r="O2565" s="258"/>
      <c r="P2565" s="258"/>
      <c r="Q2565" s="258"/>
      <c r="R2565" s="258"/>
      <c r="S2565" s="258"/>
      <c r="T2565" s="258"/>
      <c r="U2565" s="258"/>
      <c r="V2565" s="258"/>
      <c r="W2565" s="258"/>
      <c r="X2565" s="258"/>
      <c r="Y2565" s="258"/>
      <c r="Z2565" s="258"/>
      <c r="AA2565" s="258"/>
      <c r="AB2565" s="258"/>
      <c r="AC2565" s="407"/>
    </row>
    <row r="2566" spans="2:29" s="406" customFormat="1" ht="16.5" customHeight="1">
      <c r="B2566" s="256"/>
      <c r="C2566" s="256"/>
      <c r="D2566" s="414"/>
      <c r="E2566" s="414"/>
      <c r="F2566" s="414"/>
      <c r="G2566" s="253"/>
      <c r="H2566" s="253"/>
      <c r="I2566" s="253"/>
      <c r="J2566" s="253"/>
      <c r="K2566" s="253"/>
      <c r="L2566" s="253"/>
      <c r="M2566" s="253"/>
      <c r="N2566" s="253"/>
      <c r="O2566" s="258"/>
      <c r="P2566" s="258"/>
      <c r="Q2566" s="258"/>
      <c r="R2566" s="258"/>
      <c r="S2566" s="258"/>
      <c r="T2566" s="258"/>
      <c r="U2566" s="258"/>
      <c r="V2566" s="258"/>
      <c r="W2566" s="258"/>
      <c r="X2566" s="258"/>
      <c r="Y2566" s="258"/>
      <c r="Z2566" s="258"/>
      <c r="AA2566" s="258"/>
      <c r="AB2566" s="258"/>
      <c r="AC2566" s="407"/>
    </row>
    <row r="2567" spans="2:29" s="406" customFormat="1" ht="16.5" customHeight="1">
      <c r="B2567" s="256"/>
      <c r="C2567" s="256"/>
      <c r="D2567" s="414"/>
      <c r="E2567" s="414"/>
      <c r="F2567" s="414"/>
      <c r="G2567" s="253"/>
      <c r="H2567" s="253"/>
      <c r="I2567" s="253"/>
      <c r="J2567" s="253"/>
      <c r="K2567" s="253"/>
      <c r="L2567" s="253"/>
      <c r="M2567" s="253"/>
      <c r="N2567" s="253"/>
      <c r="O2567" s="258"/>
      <c r="P2567" s="258"/>
      <c r="Q2567" s="258"/>
      <c r="R2567" s="258"/>
      <c r="S2567" s="258"/>
      <c r="T2567" s="258"/>
      <c r="U2567" s="258"/>
      <c r="V2567" s="258"/>
      <c r="W2567" s="258"/>
      <c r="X2567" s="258"/>
      <c r="Y2567" s="258"/>
      <c r="Z2567" s="258"/>
      <c r="AA2567" s="258"/>
      <c r="AB2567" s="258"/>
      <c r="AC2567" s="407"/>
    </row>
    <row r="2568" spans="2:29" s="406" customFormat="1" ht="16.5" customHeight="1">
      <c r="B2568" s="256"/>
      <c r="C2568" s="256"/>
      <c r="D2568" s="414"/>
      <c r="E2568" s="414"/>
      <c r="F2568" s="414"/>
      <c r="G2568" s="253"/>
      <c r="H2568" s="253"/>
      <c r="I2568" s="253"/>
      <c r="J2568" s="253"/>
      <c r="K2568" s="253"/>
      <c r="L2568" s="253"/>
      <c r="M2568" s="253"/>
      <c r="N2568" s="253"/>
      <c r="O2568" s="258"/>
      <c r="P2568" s="258"/>
      <c r="Q2568" s="258"/>
      <c r="R2568" s="258"/>
      <c r="S2568" s="258"/>
      <c r="T2568" s="258"/>
      <c r="U2568" s="258"/>
      <c r="V2568" s="258"/>
      <c r="W2568" s="258"/>
      <c r="X2568" s="258"/>
      <c r="Y2568" s="258"/>
      <c r="Z2568" s="258"/>
      <c r="AA2568" s="258"/>
      <c r="AB2568" s="258"/>
      <c r="AC2568" s="407"/>
    </row>
    <row r="2569" spans="2:29" s="406" customFormat="1" ht="16.5" customHeight="1">
      <c r="B2569" s="256"/>
      <c r="C2569" s="256"/>
      <c r="D2569" s="414"/>
      <c r="E2569" s="414"/>
      <c r="F2569" s="414"/>
      <c r="G2569" s="253"/>
      <c r="H2569" s="253"/>
      <c r="I2569" s="253"/>
      <c r="J2569" s="253"/>
      <c r="K2569" s="253"/>
      <c r="L2569" s="253"/>
      <c r="M2569" s="253"/>
      <c r="N2569" s="253"/>
      <c r="O2569" s="258"/>
      <c r="P2569" s="258"/>
      <c r="Q2569" s="258"/>
      <c r="R2569" s="258"/>
      <c r="S2569" s="258"/>
      <c r="T2569" s="258"/>
      <c r="U2569" s="258"/>
      <c r="V2569" s="258"/>
      <c r="W2569" s="258"/>
      <c r="X2569" s="258"/>
      <c r="Y2569" s="258"/>
      <c r="Z2569" s="258"/>
      <c r="AA2569" s="258"/>
      <c r="AB2569" s="258"/>
      <c r="AC2569" s="407"/>
    </row>
    <row r="2570" spans="2:29" s="406" customFormat="1" ht="16.5" customHeight="1">
      <c r="B2570" s="256"/>
      <c r="C2570" s="256"/>
      <c r="D2570" s="414"/>
      <c r="E2570" s="414"/>
      <c r="F2570" s="414"/>
      <c r="G2570" s="253"/>
      <c r="H2570" s="253"/>
      <c r="I2570" s="253"/>
      <c r="J2570" s="253"/>
      <c r="K2570" s="253"/>
      <c r="L2570" s="253"/>
      <c r="M2570" s="253"/>
      <c r="N2570" s="253"/>
      <c r="O2570" s="258"/>
      <c r="P2570" s="258"/>
      <c r="Q2570" s="258"/>
      <c r="R2570" s="258"/>
      <c r="S2570" s="258"/>
      <c r="T2570" s="258"/>
      <c r="U2570" s="258"/>
      <c r="V2570" s="258"/>
      <c r="W2570" s="258"/>
      <c r="X2570" s="258"/>
      <c r="Y2570" s="258"/>
      <c r="Z2570" s="258"/>
      <c r="AA2570" s="258"/>
      <c r="AB2570" s="258"/>
      <c r="AC2570" s="407"/>
    </row>
    <row r="2571" spans="2:29" s="406" customFormat="1" ht="16.5" customHeight="1">
      <c r="B2571" s="256"/>
      <c r="C2571" s="256"/>
      <c r="D2571" s="414"/>
      <c r="E2571" s="414"/>
      <c r="F2571" s="414"/>
      <c r="G2571" s="253"/>
      <c r="H2571" s="253"/>
      <c r="I2571" s="253"/>
      <c r="J2571" s="253"/>
      <c r="K2571" s="253"/>
      <c r="L2571" s="253"/>
      <c r="M2571" s="253"/>
      <c r="N2571" s="253"/>
      <c r="O2571" s="258"/>
      <c r="P2571" s="258"/>
      <c r="Q2571" s="258"/>
      <c r="R2571" s="258"/>
      <c r="S2571" s="258"/>
      <c r="T2571" s="258"/>
      <c r="U2571" s="258"/>
      <c r="V2571" s="258"/>
      <c r="W2571" s="258"/>
      <c r="X2571" s="258"/>
      <c r="Y2571" s="258"/>
      <c r="Z2571" s="258"/>
      <c r="AA2571" s="258"/>
      <c r="AB2571" s="258"/>
      <c r="AC2571" s="407"/>
    </row>
    <row r="2572" spans="2:29" s="406" customFormat="1" ht="16.5" customHeight="1">
      <c r="B2572" s="256"/>
      <c r="C2572" s="256"/>
      <c r="D2572" s="414"/>
      <c r="E2572" s="414"/>
      <c r="F2572" s="414"/>
      <c r="G2572" s="253"/>
      <c r="H2572" s="253"/>
      <c r="I2572" s="253"/>
      <c r="J2572" s="253"/>
      <c r="K2572" s="253"/>
      <c r="L2572" s="253"/>
      <c r="M2572" s="253"/>
      <c r="N2572" s="253"/>
      <c r="O2572" s="258"/>
      <c r="P2572" s="258"/>
      <c r="Q2572" s="258"/>
      <c r="R2572" s="258"/>
      <c r="S2572" s="258"/>
      <c r="T2572" s="258"/>
      <c r="U2572" s="258"/>
      <c r="V2572" s="258"/>
      <c r="W2572" s="258"/>
      <c r="X2572" s="258"/>
      <c r="Y2572" s="258"/>
      <c r="Z2572" s="258"/>
      <c r="AA2572" s="258"/>
      <c r="AB2572" s="258"/>
      <c r="AC2572" s="407"/>
    </row>
    <row r="2573" spans="2:29" s="406" customFormat="1" ht="16.5" customHeight="1">
      <c r="B2573" s="256"/>
      <c r="C2573" s="256"/>
      <c r="D2573" s="414"/>
      <c r="E2573" s="414"/>
      <c r="F2573" s="414"/>
      <c r="G2573" s="253"/>
      <c r="H2573" s="253"/>
      <c r="I2573" s="253"/>
      <c r="J2573" s="253"/>
      <c r="K2573" s="253"/>
      <c r="L2573" s="253"/>
      <c r="M2573" s="253"/>
      <c r="N2573" s="253"/>
      <c r="O2573" s="258"/>
      <c r="P2573" s="258"/>
      <c r="Q2573" s="258"/>
      <c r="R2573" s="258"/>
      <c r="S2573" s="258"/>
      <c r="T2573" s="258"/>
      <c r="U2573" s="258"/>
      <c r="V2573" s="258"/>
      <c r="W2573" s="258"/>
      <c r="X2573" s="258"/>
      <c r="Y2573" s="258"/>
      <c r="Z2573" s="258"/>
      <c r="AA2573" s="258"/>
      <c r="AB2573" s="258"/>
      <c r="AC2573" s="407"/>
    </row>
    <row r="2574" spans="2:29" s="406" customFormat="1" ht="16.5" customHeight="1">
      <c r="B2574" s="256"/>
      <c r="C2574" s="256"/>
      <c r="D2574" s="414"/>
      <c r="E2574" s="414"/>
      <c r="F2574" s="414"/>
      <c r="G2574" s="253"/>
      <c r="H2574" s="253"/>
      <c r="I2574" s="253"/>
      <c r="J2574" s="253"/>
      <c r="K2574" s="253"/>
      <c r="L2574" s="253"/>
      <c r="M2574" s="253"/>
      <c r="N2574" s="253"/>
      <c r="O2574" s="258"/>
      <c r="P2574" s="258"/>
      <c r="Q2574" s="258"/>
      <c r="R2574" s="258"/>
      <c r="S2574" s="258"/>
      <c r="T2574" s="258"/>
      <c r="U2574" s="258"/>
      <c r="V2574" s="258"/>
      <c r="W2574" s="258"/>
      <c r="X2574" s="258"/>
      <c r="Y2574" s="258"/>
      <c r="Z2574" s="258"/>
      <c r="AA2574" s="258"/>
      <c r="AB2574" s="258"/>
      <c r="AC2574" s="407"/>
    </row>
    <row r="2575" spans="2:29" s="406" customFormat="1" ht="16.5" customHeight="1">
      <c r="B2575" s="256"/>
      <c r="C2575" s="256"/>
      <c r="D2575" s="414"/>
      <c r="E2575" s="414"/>
      <c r="F2575" s="414"/>
      <c r="G2575" s="253"/>
      <c r="H2575" s="253"/>
      <c r="I2575" s="253"/>
      <c r="J2575" s="253"/>
      <c r="K2575" s="253"/>
      <c r="L2575" s="253"/>
      <c r="M2575" s="253"/>
      <c r="N2575" s="253"/>
      <c r="O2575" s="258"/>
      <c r="P2575" s="258"/>
      <c r="Q2575" s="258"/>
      <c r="R2575" s="258"/>
      <c r="S2575" s="258"/>
      <c r="T2575" s="258"/>
      <c r="U2575" s="258"/>
      <c r="V2575" s="258"/>
      <c r="W2575" s="258"/>
      <c r="X2575" s="258"/>
      <c r="Y2575" s="258"/>
      <c r="Z2575" s="258"/>
      <c r="AA2575" s="258"/>
      <c r="AB2575" s="258"/>
      <c r="AC2575" s="407"/>
    </row>
    <row r="2576" spans="2:29" s="406" customFormat="1" ht="16.5" customHeight="1">
      <c r="B2576" s="256"/>
      <c r="C2576" s="256"/>
      <c r="D2576" s="414"/>
      <c r="E2576" s="414"/>
      <c r="F2576" s="414"/>
      <c r="G2576" s="253"/>
      <c r="H2576" s="253"/>
      <c r="I2576" s="253"/>
      <c r="J2576" s="253"/>
      <c r="K2576" s="253"/>
      <c r="L2576" s="253"/>
      <c r="M2576" s="253"/>
      <c r="N2576" s="253"/>
      <c r="O2576" s="258"/>
      <c r="P2576" s="258"/>
      <c r="Q2576" s="258"/>
      <c r="R2576" s="258"/>
      <c r="S2576" s="258"/>
      <c r="T2576" s="258"/>
      <c r="U2576" s="258"/>
      <c r="V2576" s="258"/>
      <c r="W2576" s="258"/>
      <c r="X2576" s="258"/>
      <c r="Y2576" s="258"/>
      <c r="Z2576" s="258"/>
      <c r="AA2576" s="258"/>
      <c r="AB2576" s="258"/>
      <c r="AC2576" s="407"/>
    </row>
    <row r="2577" spans="2:29" s="406" customFormat="1" ht="16.5" customHeight="1">
      <c r="B2577" s="256"/>
      <c r="C2577" s="256"/>
      <c r="D2577" s="414"/>
      <c r="E2577" s="414"/>
      <c r="F2577" s="414"/>
      <c r="G2577" s="253"/>
      <c r="H2577" s="253"/>
      <c r="I2577" s="253"/>
      <c r="J2577" s="253"/>
      <c r="K2577" s="253"/>
      <c r="L2577" s="253"/>
      <c r="M2577" s="253"/>
      <c r="N2577" s="253"/>
      <c r="O2577" s="258"/>
      <c r="P2577" s="258"/>
      <c r="Q2577" s="258"/>
      <c r="R2577" s="258"/>
      <c r="S2577" s="258"/>
      <c r="T2577" s="258"/>
      <c r="U2577" s="258"/>
      <c r="V2577" s="258"/>
      <c r="W2577" s="258"/>
      <c r="X2577" s="258"/>
      <c r="Y2577" s="258"/>
      <c r="Z2577" s="258"/>
      <c r="AA2577" s="258"/>
      <c r="AB2577" s="258"/>
      <c r="AC2577" s="407"/>
    </row>
    <row r="2578" spans="2:29" s="406" customFormat="1" ht="16.5" customHeight="1">
      <c r="B2578" s="256"/>
      <c r="C2578" s="256"/>
      <c r="D2578" s="414"/>
      <c r="E2578" s="414"/>
      <c r="F2578" s="414"/>
      <c r="G2578" s="253"/>
      <c r="H2578" s="253"/>
      <c r="I2578" s="253"/>
      <c r="J2578" s="253"/>
      <c r="K2578" s="253"/>
      <c r="L2578" s="253"/>
      <c r="M2578" s="253"/>
      <c r="N2578" s="253"/>
      <c r="O2578" s="258"/>
      <c r="P2578" s="258"/>
      <c r="Q2578" s="258"/>
      <c r="R2578" s="258"/>
      <c r="S2578" s="258"/>
      <c r="T2578" s="258"/>
      <c r="U2578" s="258"/>
      <c r="V2578" s="258"/>
      <c r="W2578" s="258"/>
      <c r="X2578" s="258"/>
      <c r="Y2578" s="258"/>
      <c r="Z2578" s="258"/>
      <c r="AA2578" s="258"/>
      <c r="AB2578" s="258"/>
      <c r="AC2578" s="407"/>
    </row>
    <row r="2579" spans="2:29" s="406" customFormat="1" ht="16.5" customHeight="1">
      <c r="B2579" s="256"/>
      <c r="C2579" s="256"/>
      <c r="D2579" s="414"/>
      <c r="E2579" s="414"/>
      <c r="F2579" s="414"/>
      <c r="G2579" s="253"/>
      <c r="H2579" s="253"/>
      <c r="I2579" s="253"/>
      <c r="J2579" s="253"/>
      <c r="K2579" s="253"/>
      <c r="L2579" s="253"/>
      <c r="M2579" s="253"/>
      <c r="N2579" s="253"/>
      <c r="O2579" s="258"/>
      <c r="P2579" s="258"/>
      <c r="Q2579" s="258"/>
      <c r="R2579" s="258"/>
      <c r="S2579" s="258"/>
      <c r="T2579" s="258"/>
      <c r="U2579" s="258"/>
      <c r="V2579" s="258"/>
      <c r="W2579" s="258"/>
      <c r="X2579" s="258"/>
      <c r="Y2579" s="258"/>
      <c r="Z2579" s="258"/>
      <c r="AA2579" s="258"/>
      <c r="AB2579" s="258"/>
      <c r="AC2579" s="407"/>
    </row>
    <row r="2580" spans="2:29" s="406" customFormat="1" ht="16.5" customHeight="1">
      <c r="B2580" s="256"/>
      <c r="C2580" s="256"/>
      <c r="D2580" s="414"/>
      <c r="E2580" s="414"/>
      <c r="F2580" s="414"/>
      <c r="G2580" s="253"/>
      <c r="H2580" s="253"/>
      <c r="I2580" s="253"/>
      <c r="J2580" s="253"/>
      <c r="K2580" s="253"/>
      <c r="L2580" s="253"/>
      <c r="M2580" s="253"/>
      <c r="N2580" s="253"/>
      <c r="O2580" s="258"/>
      <c r="P2580" s="258"/>
      <c r="Q2580" s="258"/>
      <c r="R2580" s="258"/>
      <c r="S2580" s="258"/>
      <c r="T2580" s="258"/>
      <c r="U2580" s="258"/>
      <c r="V2580" s="258"/>
      <c r="W2580" s="258"/>
      <c r="X2580" s="258"/>
      <c r="Y2580" s="258"/>
      <c r="Z2580" s="258"/>
      <c r="AA2580" s="258"/>
      <c r="AB2580" s="258"/>
      <c r="AC2580" s="407"/>
    </row>
    <row r="2581" spans="2:29" s="406" customFormat="1" ht="16.5" customHeight="1">
      <c r="B2581" s="256"/>
      <c r="C2581" s="256"/>
      <c r="D2581" s="414"/>
      <c r="E2581" s="414"/>
      <c r="F2581" s="414"/>
      <c r="G2581" s="253"/>
      <c r="H2581" s="253"/>
      <c r="I2581" s="253"/>
      <c r="J2581" s="253"/>
      <c r="K2581" s="253"/>
      <c r="L2581" s="253"/>
      <c r="M2581" s="253"/>
      <c r="N2581" s="253"/>
      <c r="O2581" s="258"/>
      <c r="P2581" s="258"/>
      <c r="Q2581" s="258"/>
      <c r="R2581" s="258"/>
      <c r="S2581" s="258"/>
      <c r="T2581" s="258"/>
      <c r="U2581" s="258"/>
      <c r="V2581" s="258"/>
      <c r="W2581" s="258"/>
      <c r="X2581" s="258"/>
      <c r="Y2581" s="258"/>
      <c r="Z2581" s="258"/>
      <c r="AA2581" s="258"/>
      <c r="AB2581" s="258"/>
      <c r="AC2581" s="407"/>
    </row>
    <row r="2582" spans="2:29" s="406" customFormat="1" ht="16.5" customHeight="1">
      <c r="B2582" s="256"/>
      <c r="C2582" s="256"/>
      <c r="D2582" s="414"/>
      <c r="E2582" s="414"/>
      <c r="F2582" s="414"/>
      <c r="G2582" s="253"/>
      <c r="H2582" s="253"/>
      <c r="I2582" s="253"/>
      <c r="J2582" s="253"/>
      <c r="K2582" s="253"/>
      <c r="L2582" s="253"/>
      <c r="M2582" s="253"/>
      <c r="N2582" s="253"/>
      <c r="O2582" s="258"/>
      <c r="P2582" s="258"/>
      <c r="Q2582" s="258"/>
      <c r="R2582" s="258"/>
      <c r="S2582" s="258"/>
      <c r="T2582" s="258"/>
      <c r="U2582" s="258"/>
      <c r="V2582" s="258"/>
      <c r="W2582" s="258"/>
      <c r="X2582" s="258"/>
      <c r="Y2582" s="258"/>
      <c r="Z2582" s="258"/>
      <c r="AA2582" s="258"/>
      <c r="AB2582" s="258"/>
      <c r="AC2582" s="407"/>
    </row>
    <row r="2583" spans="2:29" s="406" customFormat="1" ht="16.5" customHeight="1">
      <c r="B2583" s="256"/>
      <c r="C2583" s="256"/>
      <c r="D2583" s="414"/>
      <c r="E2583" s="414"/>
      <c r="F2583" s="414"/>
      <c r="G2583" s="253"/>
      <c r="H2583" s="253"/>
      <c r="I2583" s="253"/>
      <c r="J2583" s="253"/>
      <c r="K2583" s="253"/>
      <c r="L2583" s="253"/>
      <c r="M2583" s="253"/>
      <c r="N2583" s="253"/>
      <c r="O2583" s="258"/>
      <c r="P2583" s="258"/>
      <c r="Q2583" s="258"/>
      <c r="R2583" s="258"/>
      <c r="S2583" s="258"/>
      <c r="T2583" s="258"/>
      <c r="U2583" s="258"/>
      <c r="V2583" s="258"/>
      <c r="W2583" s="258"/>
      <c r="X2583" s="258"/>
      <c r="Y2583" s="258"/>
      <c r="Z2583" s="258"/>
      <c r="AA2583" s="258"/>
      <c r="AB2583" s="258"/>
      <c r="AC2583" s="407"/>
    </row>
    <row r="2584" spans="2:29" s="406" customFormat="1" ht="16.5" customHeight="1">
      <c r="B2584" s="256"/>
      <c r="C2584" s="256"/>
      <c r="D2584" s="414"/>
      <c r="E2584" s="414"/>
      <c r="F2584" s="414"/>
      <c r="G2584" s="253"/>
      <c r="H2584" s="253"/>
      <c r="I2584" s="253"/>
      <c r="J2584" s="253"/>
      <c r="K2584" s="253"/>
      <c r="L2584" s="253"/>
      <c r="M2584" s="253"/>
      <c r="N2584" s="253"/>
      <c r="O2584" s="258"/>
      <c r="P2584" s="258"/>
      <c r="Q2584" s="258"/>
      <c r="R2584" s="258"/>
      <c r="S2584" s="258"/>
      <c r="T2584" s="258"/>
      <c r="U2584" s="258"/>
      <c r="V2584" s="258"/>
      <c r="W2584" s="258"/>
      <c r="X2584" s="258"/>
      <c r="Y2584" s="258"/>
      <c r="Z2584" s="258"/>
      <c r="AA2584" s="258"/>
      <c r="AB2584" s="258"/>
      <c r="AC2584" s="407"/>
    </row>
    <row r="2585" spans="2:29" s="406" customFormat="1" ht="16.5" customHeight="1">
      <c r="B2585" s="256"/>
      <c r="C2585" s="256"/>
      <c r="D2585" s="414"/>
      <c r="E2585" s="414"/>
      <c r="F2585" s="414"/>
      <c r="G2585" s="253"/>
      <c r="H2585" s="253"/>
      <c r="I2585" s="253"/>
      <c r="J2585" s="253"/>
      <c r="K2585" s="253"/>
      <c r="L2585" s="253"/>
      <c r="M2585" s="253"/>
      <c r="N2585" s="253"/>
      <c r="O2585" s="258"/>
      <c r="P2585" s="258"/>
      <c r="Q2585" s="258"/>
      <c r="R2585" s="258"/>
      <c r="S2585" s="258"/>
      <c r="T2585" s="258"/>
      <c r="U2585" s="258"/>
      <c r="V2585" s="258"/>
      <c r="W2585" s="258"/>
      <c r="X2585" s="258"/>
      <c r="Y2585" s="258"/>
      <c r="Z2585" s="258"/>
      <c r="AA2585" s="258"/>
      <c r="AB2585" s="258"/>
      <c r="AC2585" s="407"/>
    </row>
    <row r="2586" spans="2:29" s="406" customFormat="1" ht="16.5" customHeight="1">
      <c r="B2586" s="256"/>
      <c r="C2586" s="256"/>
      <c r="D2586" s="414"/>
      <c r="E2586" s="414"/>
      <c r="F2586" s="414"/>
      <c r="G2586" s="253"/>
      <c r="H2586" s="253"/>
      <c r="I2586" s="253"/>
      <c r="J2586" s="253"/>
      <c r="K2586" s="253"/>
      <c r="L2586" s="253"/>
      <c r="M2586" s="253"/>
      <c r="N2586" s="253"/>
      <c r="O2586" s="258"/>
      <c r="P2586" s="258"/>
      <c r="Q2586" s="258"/>
      <c r="R2586" s="258"/>
      <c r="S2586" s="258"/>
      <c r="T2586" s="258"/>
      <c r="U2586" s="258"/>
      <c r="V2586" s="258"/>
      <c r="W2586" s="258"/>
      <c r="X2586" s="258"/>
      <c r="Y2586" s="258"/>
      <c r="Z2586" s="258"/>
      <c r="AA2586" s="258"/>
      <c r="AB2586" s="258"/>
      <c r="AC2586" s="407"/>
    </row>
    <row r="2587" spans="2:29" s="406" customFormat="1" ht="16.5" customHeight="1">
      <c r="B2587" s="256"/>
      <c r="C2587" s="256"/>
      <c r="D2587" s="414"/>
      <c r="E2587" s="414"/>
      <c r="F2587" s="414"/>
      <c r="G2587" s="253"/>
      <c r="H2587" s="253"/>
      <c r="I2587" s="253"/>
      <c r="J2587" s="253"/>
      <c r="K2587" s="253"/>
      <c r="L2587" s="253"/>
      <c r="M2587" s="253"/>
      <c r="N2587" s="253"/>
      <c r="O2587" s="258"/>
      <c r="P2587" s="258"/>
      <c r="Q2587" s="258"/>
      <c r="R2587" s="258"/>
      <c r="S2587" s="258"/>
      <c r="T2587" s="258"/>
      <c r="U2587" s="258"/>
      <c r="V2587" s="258"/>
      <c r="W2587" s="258"/>
      <c r="X2587" s="258"/>
      <c r="Y2587" s="258"/>
      <c r="Z2587" s="258"/>
      <c r="AA2587" s="258"/>
      <c r="AB2587" s="258"/>
      <c r="AC2587" s="407"/>
    </row>
    <row r="2588" spans="2:29" s="406" customFormat="1" ht="16.5" customHeight="1">
      <c r="B2588" s="256"/>
      <c r="C2588" s="256"/>
      <c r="D2588" s="414"/>
      <c r="E2588" s="414"/>
      <c r="F2588" s="414"/>
      <c r="G2588" s="253"/>
      <c r="H2588" s="253"/>
      <c r="I2588" s="253"/>
      <c r="J2588" s="253"/>
      <c r="K2588" s="253"/>
      <c r="L2588" s="253"/>
      <c r="M2588" s="253"/>
      <c r="N2588" s="253"/>
      <c r="O2588" s="258"/>
      <c r="P2588" s="258"/>
      <c r="Q2588" s="258"/>
      <c r="R2588" s="258"/>
      <c r="S2588" s="258"/>
      <c r="T2588" s="258"/>
      <c r="U2588" s="258"/>
      <c r="V2588" s="258"/>
      <c r="W2588" s="258"/>
      <c r="X2588" s="258"/>
      <c r="Y2588" s="258"/>
      <c r="Z2588" s="258"/>
      <c r="AA2588" s="258"/>
      <c r="AB2588" s="258"/>
      <c r="AC2588" s="407"/>
    </row>
    <row r="2589" spans="2:29" s="406" customFormat="1" ht="16.5" customHeight="1">
      <c r="B2589" s="256"/>
      <c r="C2589" s="256"/>
      <c r="D2589" s="414"/>
      <c r="E2589" s="414"/>
      <c r="F2589" s="414"/>
      <c r="G2589" s="253"/>
      <c r="H2589" s="253"/>
      <c r="I2589" s="253"/>
      <c r="J2589" s="253"/>
      <c r="K2589" s="253"/>
      <c r="L2589" s="253"/>
      <c r="M2589" s="253"/>
      <c r="N2589" s="253"/>
      <c r="O2589" s="258"/>
      <c r="P2589" s="258"/>
      <c r="Q2589" s="258"/>
      <c r="R2589" s="258"/>
      <c r="S2589" s="258"/>
      <c r="T2589" s="258"/>
      <c r="U2589" s="258"/>
      <c r="V2589" s="258"/>
      <c r="W2589" s="258"/>
      <c r="X2589" s="258"/>
      <c r="Y2589" s="258"/>
      <c r="Z2589" s="258"/>
      <c r="AA2589" s="258"/>
      <c r="AB2589" s="258"/>
      <c r="AC2589" s="407"/>
    </row>
    <row r="2590" spans="2:29" s="406" customFormat="1" ht="16.5" customHeight="1">
      <c r="B2590" s="256"/>
      <c r="C2590" s="256"/>
      <c r="D2590" s="414"/>
      <c r="E2590" s="414"/>
      <c r="F2590" s="414"/>
      <c r="G2590" s="253"/>
      <c r="H2590" s="253"/>
      <c r="I2590" s="253"/>
      <c r="J2590" s="253"/>
      <c r="K2590" s="253"/>
      <c r="L2590" s="253"/>
      <c r="M2590" s="253"/>
      <c r="N2590" s="253"/>
      <c r="O2590" s="258"/>
      <c r="P2590" s="258"/>
      <c r="Q2590" s="258"/>
      <c r="R2590" s="258"/>
      <c r="S2590" s="258"/>
      <c r="T2590" s="258"/>
      <c r="U2590" s="258"/>
      <c r="V2590" s="258"/>
      <c r="W2590" s="258"/>
      <c r="X2590" s="258"/>
      <c r="Y2590" s="258"/>
      <c r="Z2590" s="258"/>
      <c r="AA2590" s="258"/>
      <c r="AB2590" s="258"/>
      <c r="AC2590" s="407"/>
    </row>
    <row r="2591" spans="2:29" s="406" customFormat="1" ht="16.5" customHeight="1">
      <c r="B2591" s="256"/>
      <c r="C2591" s="256"/>
      <c r="D2591" s="414"/>
      <c r="E2591" s="414"/>
      <c r="F2591" s="414"/>
      <c r="G2591" s="253"/>
      <c r="H2591" s="253"/>
      <c r="I2591" s="253"/>
      <c r="J2591" s="253"/>
      <c r="K2591" s="253"/>
      <c r="L2591" s="253"/>
      <c r="M2591" s="253"/>
      <c r="N2591" s="253"/>
      <c r="O2591" s="258"/>
      <c r="P2591" s="258"/>
      <c r="Q2591" s="258"/>
      <c r="R2591" s="258"/>
      <c r="S2591" s="258"/>
      <c r="T2591" s="258"/>
      <c r="U2591" s="258"/>
      <c r="V2591" s="258"/>
      <c r="W2591" s="258"/>
      <c r="X2591" s="258"/>
      <c r="Y2591" s="258"/>
      <c r="Z2591" s="258"/>
      <c r="AA2591" s="258"/>
      <c r="AB2591" s="258"/>
      <c r="AC2591" s="407"/>
    </row>
    <row r="2592" spans="2:29" s="406" customFormat="1" ht="16.5" customHeight="1">
      <c r="B2592" s="256"/>
      <c r="C2592" s="256"/>
      <c r="D2592" s="414"/>
      <c r="E2592" s="414"/>
      <c r="F2592" s="414"/>
      <c r="G2592" s="253"/>
      <c r="H2592" s="253"/>
      <c r="I2592" s="253"/>
      <c r="J2592" s="253"/>
      <c r="K2592" s="253"/>
      <c r="L2592" s="253"/>
      <c r="M2592" s="253"/>
      <c r="N2592" s="253"/>
      <c r="O2592" s="258"/>
      <c r="P2592" s="258"/>
      <c r="Q2592" s="258"/>
      <c r="R2592" s="258"/>
      <c r="S2592" s="258"/>
      <c r="T2592" s="258"/>
      <c r="U2592" s="258"/>
      <c r="V2592" s="258"/>
      <c r="W2592" s="258"/>
      <c r="X2592" s="258"/>
      <c r="Y2592" s="258"/>
      <c r="Z2592" s="258"/>
      <c r="AA2592" s="258"/>
      <c r="AB2592" s="258"/>
      <c r="AC2592" s="407"/>
    </row>
    <row r="2593" spans="2:29" s="406" customFormat="1" ht="16.5" customHeight="1">
      <c r="B2593" s="256"/>
      <c r="C2593" s="256"/>
      <c r="D2593" s="414"/>
      <c r="E2593" s="414"/>
      <c r="F2593" s="414"/>
      <c r="G2593" s="253"/>
      <c r="H2593" s="253"/>
      <c r="I2593" s="253"/>
      <c r="J2593" s="253"/>
      <c r="K2593" s="253"/>
      <c r="L2593" s="253"/>
      <c r="M2593" s="253"/>
      <c r="N2593" s="253"/>
      <c r="O2593" s="258"/>
      <c r="P2593" s="258"/>
      <c r="Q2593" s="258"/>
      <c r="R2593" s="258"/>
      <c r="S2593" s="258"/>
      <c r="T2593" s="258"/>
      <c r="U2593" s="258"/>
      <c r="V2593" s="258"/>
      <c r="W2593" s="258"/>
      <c r="X2593" s="258"/>
      <c r="Y2593" s="258"/>
      <c r="Z2593" s="258"/>
      <c r="AA2593" s="258"/>
      <c r="AB2593" s="258"/>
      <c r="AC2593" s="407"/>
    </row>
    <row r="2594" spans="2:29" s="406" customFormat="1" ht="16.5" customHeight="1">
      <c r="B2594" s="256"/>
      <c r="C2594" s="256"/>
      <c r="D2594" s="414"/>
      <c r="E2594" s="414"/>
      <c r="F2594" s="414"/>
      <c r="G2594" s="253"/>
      <c r="H2594" s="253"/>
      <c r="I2594" s="253"/>
      <c r="J2594" s="253"/>
      <c r="K2594" s="253"/>
      <c r="L2594" s="253"/>
      <c r="M2594" s="253"/>
      <c r="N2594" s="253"/>
      <c r="O2594" s="258"/>
      <c r="P2594" s="258"/>
      <c r="Q2594" s="258"/>
      <c r="R2594" s="258"/>
      <c r="S2594" s="258"/>
      <c r="T2594" s="258"/>
      <c r="U2594" s="258"/>
      <c r="V2594" s="258"/>
      <c r="W2594" s="258"/>
      <c r="X2594" s="258"/>
      <c r="Y2594" s="258"/>
      <c r="Z2594" s="258"/>
      <c r="AA2594" s="258"/>
      <c r="AB2594" s="258"/>
      <c r="AC2594" s="407"/>
    </row>
    <row r="2595" spans="2:29" s="406" customFormat="1" ht="16.5" customHeight="1">
      <c r="B2595" s="256"/>
      <c r="C2595" s="256"/>
      <c r="D2595" s="414"/>
      <c r="E2595" s="414"/>
      <c r="F2595" s="414"/>
      <c r="G2595" s="253"/>
      <c r="H2595" s="253"/>
      <c r="I2595" s="253"/>
      <c r="J2595" s="253"/>
      <c r="K2595" s="253"/>
      <c r="L2595" s="253"/>
      <c r="M2595" s="253"/>
      <c r="N2595" s="253"/>
      <c r="O2595" s="258"/>
      <c r="P2595" s="258"/>
      <c r="Q2595" s="258"/>
      <c r="R2595" s="258"/>
      <c r="S2595" s="258"/>
      <c r="T2595" s="258"/>
      <c r="U2595" s="258"/>
      <c r="V2595" s="258"/>
      <c r="W2595" s="258"/>
      <c r="X2595" s="258"/>
      <c r="Y2595" s="258"/>
      <c r="Z2595" s="258"/>
      <c r="AA2595" s="258"/>
      <c r="AB2595" s="258"/>
      <c r="AC2595" s="407"/>
    </row>
    <row r="2596" spans="2:29" s="406" customFormat="1" ht="16.5" customHeight="1">
      <c r="B2596" s="256"/>
      <c r="C2596" s="256"/>
      <c r="D2596" s="414"/>
      <c r="E2596" s="414"/>
      <c r="F2596" s="414"/>
      <c r="G2596" s="253"/>
      <c r="H2596" s="253"/>
      <c r="I2596" s="253"/>
      <c r="J2596" s="253"/>
      <c r="K2596" s="253"/>
      <c r="L2596" s="253"/>
      <c r="M2596" s="253"/>
      <c r="N2596" s="253"/>
      <c r="O2596" s="258"/>
      <c r="P2596" s="258"/>
      <c r="Q2596" s="258"/>
      <c r="R2596" s="258"/>
      <c r="S2596" s="258"/>
      <c r="T2596" s="258"/>
      <c r="U2596" s="258"/>
      <c r="V2596" s="258"/>
      <c r="W2596" s="258"/>
      <c r="X2596" s="258"/>
      <c r="Y2596" s="258"/>
      <c r="Z2596" s="258"/>
      <c r="AA2596" s="258"/>
      <c r="AB2596" s="258"/>
      <c r="AC2596" s="407"/>
    </row>
    <row r="2597" spans="2:29" s="406" customFormat="1" ht="16.5" customHeight="1">
      <c r="B2597" s="256"/>
      <c r="C2597" s="256"/>
      <c r="D2597" s="414"/>
      <c r="E2597" s="414"/>
      <c r="F2597" s="414"/>
      <c r="G2597" s="253"/>
      <c r="H2597" s="253"/>
      <c r="I2597" s="253"/>
      <c r="J2597" s="253"/>
      <c r="K2597" s="253"/>
      <c r="L2597" s="253"/>
      <c r="M2597" s="253"/>
      <c r="N2597" s="253"/>
      <c r="O2597" s="258"/>
      <c r="P2597" s="258"/>
      <c r="Q2597" s="258"/>
      <c r="R2597" s="258"/>
      <c r="S2597" s="258"/>
      <c r="T2597" s="258"/>
      <c r="U2597" s="258"/>
      <c r="V2597" s="258"/>
      <c r="W2597" s="258"/>
      <c r="X2597" s="258"/>
      <c r="Y2597" s="258"/>
      <c r="Z2597" s="258"/>
      <c r="AA2597" s="258"/>
      <c r="AB2597" s="258"/>
      <c r="AC2597" s="407"/>
    </row>
    <row r="2598" spans="2:29" s="406" customFormat="1" ht="16.5" customHeight="1">
      <c r="B2598" s="256"/>
      <c r="C2598" s="256"/>
      <c r="D2598" s="414"/>
      <c r="E2598" s="414"/>
      <c r="F2598" s="414"/>
      <c r="G2598" s="253"/>
      <c r="H2598" s="253"/>
      <c r="I2598" s="253"/>
      <c r="J2598" s="253"/>
      <c r="K2598" s="253"/>
      <c r="L2598" s="253"/>
      <c r="M2598" s="253"/>
      <c r="N2598" s="253"/>
      <c r="O2598" s="258"/>
      <c r="P2598" s="258"/>
      <c r="Q2598" s="258"/>
      <c r="R2598" s="258"/>
      <c r="S2598" s="258"/>
      <c r="T2598" s="258"/>
      <c r="U2598" s="258"/>
      <c r="V2598" s="258"/>
      <c r="W2598" s="258"/>
      <c r="X2598" s="258"/>
      <c r="Y2598" s="258"/>
      <c r="Z2598" s="258"/>
      <c r="AA2598" s="258"/>
      <c r="AB2598" s="258"/>
      <c r="AC2598" s="407"/>
    </row>
    <row r="2599" spans="2:29" s="406" customFormat="1" ht="16.5" customHeight="1">
      <c r="B2599" s="256"/>
      <c r="C2599" s="256"/>
      <c r="D2599" s="414"/>
      <c r="E2599" s="414"/>
      <c r="F2599" s="414"/>
      <c r="G2599" s="253"/>
      <c r="H2599" s="253"/>
      <c r="I2599" s="253"/>
      <c r="J2599" s="253"/>
      <c r="K2599" s="253"/>
      <c r="L2599" s="253"/>
      <c r="M2599" s="253"/>
      <c r="N2599" s="253"/>
      <c r="O2599" s="258"/>
      <c r="P2599" s="258"/>
      <c r="Q2599" s="258"/>
      <c r="R2599" s="258"/>
      <c r="S2599" s="258"/>
      <c r="T2599" s="258"/>
      <c r="U2599" s="258"/>
      <c r="V2599" s="258"/>
      <c r="W2599" s="258"/>
      <c r="X2599" s="258"/>
      <c r="Y2599" s="258"/>
      <c r="Z2599" s="258"/>
      <c r="AA2599" s="258"/>
      <c r="AB2599" s="258"/>
      <c r="AC2599" s="407"/>
    </row>
    <row r="2600" spans="2:29" s="406" customFormat="1" ht="16.5" customHeight="1">
      <c r="B2600" s="256"/>
      <c r="C2600" s="256"/>
      <c r="D2600" s="414"/>
      <c r="E2600" s="414"/>
      <c r="F2600" s="414"/>
      <c r="G2600" s="253"/>
      <c r="H2600" s="253"/>
      <c r="I2600" s="253"/>
      <c r="J2600" s="253"/>
      <c r="K2600" s="253"/>
      <c r="L2600" s="253"/>
      <c r="M2600" s="253"/>
      <c r="N2600" s="253"/>
      <c r="O2600" s="258"/>
      <c r="P2600" s="258"/>
      <c r="Q2600" s="258"/>
      <c r="R2600" s="258"/>
      <c r="S2600" s="258"/>
      <c r="T2600" s="258"/>
      <c r="U2600" s="258"/>
      <c r="V2600" s="258"/>
      <c r="W2600" s="258"/>
      <c r="X2600" s="258"/>
      <c r="Y2600" s="258"/>
      <c r="Z2600" s="258"/>
      <c r="AA2600" s="258"/>
      <c r="AB2600" s="258"/>
      <c r="AC2600" s="407"/>
    </row>
    <row r="2601" spans="2:29" s="406" customFormat="1" ht="16.5" customHeight="1">
      <c r="B2601" s="256"/>
      <c r="C2601" s="256"/>
      <c r="D2601" s="414"/>
      <c r="E2601" s="414"/>
      <c r="F2601" s="414"/>
      <c r="G2601" s="253"/>
      <c r="H2601" s="253"/>
      <c r="I2601" s="253"/>
      <c r="J2601" s="253"/>
      <c r="K2601" s="253"/>
      <c r="L2601" s="253"/>
      <c r="M2601" s="253"/>
      <c r="N2601" s="253"/>
      <c r="O2601" s="258"/>
      <c r="P2601" s="258"/>
      <c r="Q2601" s="258"/>
      <c r="R2601" s="258"/>
      <c r="S2601" s="258"/>
      <c r="T2601" s="258"/>
      <c r="U2601" s="258"/>
      <c r="V2601" s="258"/>
      <c r="W2601" s="258"/>
      <c r="X2601" s="258"/>
      <c r="Y2601" s="258"/>
      <c r="Z2601" s="258"/>
      <c r="AA2601" s="258"/>
      <c r="AB2601" s="258"/>
      <c r="AC2601" s="407"/>
    </row>
    <row r="2602" spans="2:29" s="406" customFormat="1" ht="16.5" customHeight="1">
      <c r="B2602" s="256"/>
      <c r="C2602" s="256"/>
      <c r="D2602" s="414"/>
      <c r="E2602" s="414"/>
      <c r="F2602" s="414"/>
      <c r="G2602" s="253"/>
      <c r="H2602" s="253"/>
      <c r="I2602" s="253"/>
      <c r="J2602" s="253"/>
      <c r="K2602" s="253"/>
      <c r="L2602" s="253"/>
      <c r="M2602" s="253"/>
      <c r="N2602" s="253"/>
      <c r="O2602" s="258"/>
      <c r="P2602" s="258"/>
      <c r="Q2602" s="258"/>
      <c r="R2602" s="258"/>
      <c r="S2602" s="258"/>
      <c r="T2602" s="258"/>
      <c r="U2602" s="258"/>
      <c r="V2602" s="258"/>
      <c r="W2602" s="258"/>
      <c r="X2602" s="258"/>
      <c r="Y2602" s="258"/>
      <c r="Z2602" s="258"/>
      <c r="AA2602" s="258"/>
      <c r="AB2602" s="258"/>
      <c r="AC2602" s="407"/>
    </row>
    <row r="2603" spans="2:29" s="406" customFormat="1" ht="16.5" customHeight="1">
      <c r="B2603" s="256"/>
      <c r="C2603" s="256"/>
      <c r="D2603" s="414"/>
      <c r="E2603" s="414"/>
      <c r="F2603" s="414"/>
      <c r="G2603" s="253"/>
      <c r="H2603" s="253"/>
      <c r="I2603" s="253"/>
      <c r="J2603" s="253"/>
      <c r="K2603" s="253"/>
      <c r="L2603" s="253"/>
      <c r="M2603" s="253"/>
      <c r="N2603" s="253"/>
      <c r="O2603" s="258"/>
      <c r="P2603" s="258"/>
      <c r="Q2603" s="258"/>
      <c r="R2603" s="258"/>
      <c r="S2603" s="258"/>
      <c r="T2603" s="258"/>
      <c r="U2603" s="258"/>
      <c r="V2603" s="258"/>
      <c r="W2603" s="258"/>
      <c r="X2603" s="258"/>
      <c r="Y2603" s="258"/>
      <c r="Z2603" s="258"/>
      <c r="AA2603" s="258"/>
      <c r="AB2603" s="258"/>
      <c r="AC2603" s="407"/>
    </row>
    <row r="2604" spans="2:29" s="406" customFormat="1" ht="16.5" customHeight="1">
      <c r="B2604" s="256"/>
      <c r="C2604" s="256"/>
      <c r="D2604" s="414"/>
      <c r="E2604" s="414"/>
      <c r="F2604" s="414"/>
      <c r="G2604" s="253"/>
      <c r="H2604" s="253"/>
      <c r="I2604" s="253"/>
      <c r="J2604" s="253"/>
      <c r="K2604" s="253"/>
      <c r="L2604" s="253"/>
      <c r="M2604" s="253"/>
      <c r="N2604" s="253"/>
      <c r="O2604" s="258"/>
      <c r="P2604" s="258"/>
      <c r="Q2604" s="258"/>
      <c r="R2604" s="258"/>
      <c r="S2604" s="258"/>
      <c r="T2604" s="258"/>
      <c r="U2604" s="258"/>
      <c r="V2604" s="258"/>
      <c r="W2604" s="258"/>
      <c r="X2604" s="258"/>
      <c r="Y2604" s="258"/>
      <c r="Z2604" s="258"/>
      <c r="AA2604" s="258"/>
      <c r="AB2604" s="258"/>
      <c r="AC2604" s="407"/>
    </row>
    <row r="2605" spans="2:29" s="406" customFormat="1" ht="16.5" customHeight="1">
      <c r="B2605" s="256"/>
      <c r="C2605" s="256"/>
      <c r="D2605" s="414"/>
      <c r="E2605" s="414"/>
      <c r="F2605" s="414"/>
      <c r="G2605" s="253"/>
      <c r="H2605" s="253"/>
      <c r="I2605" s="253"/>
      <c r="J2605" s="253"/>
      <c r="K2605" s="253"/>
      <c r="L2605" s="253"/>
      <c r="M2605" s="253"/>
      <c r="N2605" s="253"/>
      <c r="O2605" s="258"/>
      <c r="P2605" s="258"/>
      <c r="Q2605" s="258"/>
      <c r="R2605" s="258"/>
      <c r="S2605" s="258"/>
      <c r="T2605" s="258"/>
      <c r="U2605" s="258"/>
      <c r="V2605" s="258"/>
      <c r="W2605" s="258"/>
      <c r="X2605" s="258"/>
      <c r="Y2605" s="258"/>
      <c r="Z2605" s="258"/>
      <c r="AA2605" s="258"/>
      <c r="AB2605" s="258"/>
      <c r="AC2605" s="407"/>
    </row>
    <row r="2606" spans="2:29" s="406" customFormat="1" ht="16.5" customHeight="1">
      <c r="B2606" s="256"/>
      <c r="C2606" s="256"/>
      <c r="D2606" s="414"/>
      <c r="E2606" s="414"/>
      <c r="F2606" s="414"/>
      <c r="G2606" s="253"/>
      <c r="H2606" s="253"/>
      <c r="I2606" s="253"/>
      <c r="J2606" s="253"/>
      <c r="K2606" s="253"/>
      <c r="L2606" s="253"/>
      <c r="M2606" s="253"/>
      <c r="N2606" s="253"/>
      <c r="O2606" s="258"/>
      <c r="P2606" s="258"/>
      <c r="Q2606" s="258"/>
      <c r="R2606" s="258"/>
      <c r="S2606" s="258"/>
      <c r="T2606" s="258"/>
      <c r="U2606" s="258"/>
      <c r="V2606" s="258"/>
      <c r="W2606" s="258"/>
      <c r="X2606" s="258"/>
      <c r="Y2606" s="258"/>
      <c r="Z2606" s="258"/>
      <c r="AA2606" s="258"/>
      <c r="AB2606" s="258"/>
      <c r="AC2606" s="407"/>
    </row>
    <row r="2607" spans="2:29" s="406" customFormat="1" ht="16.5" customHeight="1">
      <c r="B2607" s="256"/>
      <c r="C2607" s="256"/>
      <c r="D2607" s="414"/>
      <c r="E2607" s="414"/>
      <c r="F2607" s="414"/>
      <c r="G2607" s="253"/>
      <c r="H2607" s="253"/>
      <c r="I2607" s="253"/>
      <c r="J2607" s="253"/>
      <c r="K2607" s="253"/>
      <c r="L2607" s="253"/>
      <c r="M2607" s="253"/>
      <c r="N2607" s="253"/>
      <c r="O2607" s="258"/>
      <c r="P2607" s="258"/>
      <c r="Q2607" s="258"/>
      <c r="R2607" s="258"/>
      <c r="S2607" s="258"/>
      <c r="T2607" s="258"/>
      <c r="U2607" s="258"/>
      <c r="V2607" s="258"/>
      <c r="W2607" s="258"/>
      <c r="X2607" s="258"/>
      <c r="Y2607" s="258"/>
      <c r="Z2607" s="258"/>
      <c r="AA2607" s="258"/>
      <c r="AB2607" s="258"/>
      <c r="AC2607" s="407"/>
    </row>
    <row r="2608" spans="2:29" s="406" customFormat="1" ht="16.5" customHeight="1">
      <c r="B2608" s="256"/>
      <c r="C2608" s="256"/>
      <c r="D2608" s="414"/>
      <c r="E2608" s="414"/>
      <c r="F2608" s="414"/>
      <c r="G2608" s="253"/>
      <c r="H2608" s="253"/>
      <c r="I2608" s="253"/>
      <c r="J2608" s="253"/>
      <c r="K2608" s="253"/>
      <c r="L2608" s="253"/>
      <c r="M2608" s="253"/>
      <c r="N2608" s="253"/>
      <c r="O2608" s="258"/>
      <c r="P2608" s="258"/>
      <c r="Q2608" s="258"/>
      <c r="R2608" s="258"/>
      <c r="S2608" s="258"/>
      <c r="T2608" s="258"/>
      <c r="U2608" s="258"/>
      <c r="V2608" s="258"/>
      <c r="W2608" s="258"/>
      <c r="X2608" s="258"/>
      <c r="Y2608" s="258"/>
      <c r="Z2608" s="258"/>
      <c r="AA2608" s="258"/>
      <c r="AB2608" s="258"/>
      <c r="AC2608" s="407"/>
    </row>
    <row r="2609" spans="2:29" s="406" customFormat="1" ht="16.5" customHeight="1">
      <c r="B2609" s="256"/>
      <c r="C2609" s="256"/>
      <c r="D2609" s="414"/>
      <c r="E2609" s="414"/>
      <c r="F2609" s="414"/>
      <c r="G2609" s="253"/>
      <c r="H2609" s="253"/>
      <c r="I2609" s="253"/>
      <c r="J2609" s="253"/>
      <c r="K2609" s="253"/>
      <c r="L2609" s="253"/>
      <c r="M2609" s="253"/>
      <c r="N2609" s="253"/>
      <c r="O2609" s="258"/>
      <c r="P2609" s="258"/>
      <c r="Q2609" s="258"/>
      <c r="R2609" s="258"/>
      <c r="S2609" s="258"/>
      <c r="T2609" s="258"/>
      <c r="U2609" s="258"/>
      <c r="V2609" s="258"/>
      <c r="W2609" s="258"/>
      <c r="X2609" s="258"/>
      <c r="Y2609" s="258"/>
      <c r="Z2609" s="258"/>
      <c r="AA2609" s="258"/>
      <c r="AB2609" s="258"/>
      <c r="AC2609" s="407"/>
    </row>
    <row r="2610" spans="2:29" s="406" customFormat="1" ht="16.5" customHeight="1">
      <c r="B2610" s="256"/>
      <c r="C2610" s="256"/>
      <c r="D2610" s="414"/>
      <c r="E2610" s="414"/>
      <c r="F2610" s="414"/>
      <c r="G2610" s="253"/>
      <c r="H2610" s="253"/>
      <c r="I2610" s="253"/>
      <c r="J2610" s="253"/>
      <c r="K2610" s="253"/>
      <c r="L2610" s="253"/>
      <c r="M2610" s="253"/>
      <c r="N2610" s="253"/>
      <c r="O2610" s="258"/>
      <c r="P2610" s="258"/>
      <c r="Q2610" s="258"/>
      <c r="R2610" s="258"/>
      <c r="S2610" s="258"/>
      <c r="T2610" s="258"/>
      <c r="U2610" s="258"/>
      <c r="V2610" s="258"/>
      <c r="W2610" s="258"/>
      <c r="X2610" s="258"/>
      <c r="Y2610" s="258"/>
      <c r="Z2610" s="258"/>
      <c r="AA2610" s="258"/>
      <c r="AB2610" s="258"/>
      <c r="AC2610" s="407"/>
    </row>
    <row r="2611" spans="2:29" s="406" customFormat="1" ht="16.5" customHeight="1">
      <c r="B2611" s="256"/>
      <c r="C2611" s="256"/>
      <c r="D2611" s="414"/>
      <c r="E2611" s="414"/>
      <c r="F2611" s="414"/>
      <c r="G2611" s="253"/>
      <c r="H2611" s="253"/>
      <c r="I2611" s="253"/>
      <c r="J2611" s="253"/>
      <c r="K2611" s="253"/>
      <c r="L2611" s="253"/>
      <c r="M2611" s="253"/>
      <c r="N2611" s="253"/>
      <c r="O2611" s="258"/>
      <c r="P2611" s="258"/>
      <c r="Q2611" s="258"/>
      <c r="R2611" s="258"/>
      <c r="S2611" s="258"/>
      <c r="T2611" s="258"/>
      <c r="U2611" s="258"/>
      <c r="V2611" s="258"/>
      <c r="W2611" s="258"/>
      <c r="X2611" s="258"/>
      <c r="Y2611" s="258"/>
      <c r="Z2611" s="258"/>
      <c r="AA2611" s="258"/>
      <c r="AB2611" s="258"/>
      <c r="AC2611" s="407"/>
    </row>
    <row r="2612" spans="2:29" s="406" customFormat="1" ht="16.5" customHeight="1">
      <c r="B2612" s="256"/>
      <c r="C2612" s="256"/>
      <c r="D2612" s="414"/>
      <c r="E2612" s="414"/>
      <c r="F2612" s="414"/>
      <c r="G2612" s="253"/>
      <c r="H2612" s="253"/>
      <c r="I2612" s="253"/>
      <c r="J2612" s="253"/>
      <c r="K2612" s="253"/>
      <c r="L2612" s="253"/>
      <c r="M2612" s="253"/>
      <c r="N2612" s="253"/>
      <c r="O2612" s="258"/>
      <c r="P2612" s="258"/>
      <c r="Q2612" s="258"/>
      <c r="R2612" s="258"/>
      <c r="S2612" s="258"/>
      <c r="T2612" s="258"/>
      <c r="U2612" s="258"/>
      <c r="V2612" s="258"/>
      <c r="W2612" s="258"/>
      <c r="X2612" s="258"/>
      <c r="Y2612" s="258"/>
      <c r="Z2612" s="258"/>
      <c r="AA2612" s="258"/>
      <c r="AB2612" s="258"/>
      <c r="AC2612" s="407"/>
    </row>
    <row r="2613" spans="2:29" s="406" customFormat="1" ht="16.5" customHeight="1">
      <c r="B2613" s="256"/>
      <c r="C2613" s="256"/>
      <c r="D2613" s="414"/>
      <c r="E2613" s="414"/>
      <c r="F2613" s="414"/>
      <c r="G2613" s="253"/>
      <c r="H2613" s="253"/>
      <c r="I2613" s="253"/>
      <c r="J2613" s="253"/>
      <c r="K2613" s="253"/>
      <c r="L2613" s="253"/>
      <c r="M2613" s="253"/>
      <c r="N2613" s="253"/>
      <c r="O2613" s="258"/>
      <c r="P2613" s="258"/>
      <c r="Q2613" s="258"/>
      <c r="R2613" s="258"/>
      <c r="S2613" s="258"/>
      <c r="T2613" s="258"/>
      <c r="U2613" s="258"/>
      <c r="V2613" s="258"/>
      <c r="W2613" s="258"/>
      <c r="X2613" s="258"/>
      <c r="Y2613" s="258"/>
      <c r="Z2613" s="258"/>
      <c r="AA2613" s="258"/>
      <c r="AB2613" s="258"/>
      <c r="AC2613" s="407"/>
    </row>
    <row r="2614" spans="2:29" s="406" customFormat="1" ht="16.5" customHeight="1">
      <c r="B2614" s="256"/>
      <c r="C2614" s="256"/>
      <c r="D2614" s="414"/>
      <c r="E2614" s="414"/>
      <c r="F2614" s="414"/>
      <c r="G2614" s="253"/>
      <c r="H2614" s="253"/>
      <c r="I2614" s="253"/>
      <c r="J2614" s="253"/>
      <c r="K2614" s="253"/>
      <c r="L2614" s="253"/>
      <c r="M2614" s="253"/>
      <c r="N2614" s="253"/>
      <c r="O2614" s="258"/>
      <c r="P2614" s="258"/>
      <c r="Q2614" s="258"/>
      <c r="R2614" s="258"/>
      <c r="S2614" s="258"/>
      <c r="T2614" s="258"/>
      <c r="U2614" s="258"/>
      <c r="V2614" s="258"/>
      <c r="W2614" s="258"/>
      <c r="X2614" s="258"/>
      <c r="Y2614" s="258"/>
      <c r="Z2614" s="258"/>
      <c r="AA2614" s="258"/>
      <c r="AB2614" s="258"/>
      <c r="AC2614" s="407"/>
    </row>
    <row r="2615" spans="2:29" s="406" customFormat="1" ht="16.5" customHeight="1">
      <c r="B2615" s="256"/>
      <c r="C2615" s="256"/>
      <c r="D2615" s="414"/>
      <c r="E2615" s="414"/>
      <c r="F2615" s="414"/>
      <c r="G2615" s="253"/>
      <c r="H2615" s="253"/>
      <c r="I2615" s="253"/>
      <c r="J2615" s="253"/>
      <c r="K2615" s="253"/>
      <c r="L2615" s="253"/>
      <c r="M2615" s="253"/>
      <c r="N2615" s="253"/>
      <c r="O2615" s="258"/>
      <c r="P2615" s="258"/>
      <c r="Q2615" s="258"/>
      <c r="R2615" s="258"/>
      <c r="S2615" s="258"/>
      <c r="T2615" s="258"/>
      <c r="U2615" s="258"/>
      <c r="V2615" s="258"/>
      <c r="W2615" s="258"/>
      <c r="X2615" s="258"/>
      <c r="Y2615" s="258"/>
      <c r="Z2615" s="258"/>
      <c r="AA2615" s="258"/>
      <c r="AB2615" s="258"/>
      <c r="AC2615" s="407"/>
    </row>
    <row r="2616" spans="2:29" s="406" customFormat="1" ht="16.5" customHeight="1">
      <c r="B2616" s="256"/>
      <c r="C2616" s="256"/>
      <c r="D2616" s="414"/>
      <c r="E2616" s="414"/>
      <c r="F2616" s="414"/>
      <c r="G2616" s="253"/>
      <c r="H2616" s="253"/>
      <c r="I2616" s="253"/>
      <c r="J2616" s="253"/>
      <c r="K2616" s="253"/>
      <c r="L2616" s="253"/>
      <c r="M2616" s="253"/>
      <c r="N2616" s="253"/>
      <c r="O2616" s="258"/>
      <c r="P2616" s="258"/>
      <c r="Q2616" s="258"/>
      <c r="R2616" s="258"/>
      <c r="S2616" s="258"/>
      <c r="T2616" s="258"/>
      <c r="U2616" s="258"/>
      <c r="V2616" s="258"/>
      <c r="W2616" s="258"/>
      <c r="X2616" s="258"/>
      <c r="Y2616" s="258"/>
      <c r="Z2616" s="258"/>
      <c r="AA2616" s="258"/>
      <c r="AB2616" s="258"/>
      <c r="AC2616" s="407"/>
    </row>
    <row r="2617" spans="2:29" s="406" customFormat="1" ht="16.5" customHeight="1">
      <c r="B2617" s="256"/>
      <c r="C2617" s="256"/>
      <c r="D2617" s="414"/>
      <c r="E2617" s="414"/>
      <c r="F2617" s="414"/>
      <c r="G2617" s="253"/>
      <c r="H2617" s="253"/>
      <c r="I2617" s="253"/>
      <c r="J2617" s="253"/>
      <c r="K2617" s="253"/>
      <c r="L2617" s="253"/>
      <c r="M2617" s="253"/>
      <c r="N2617" s="253"/>
      <c r="O2617" s="258"/>
      <c r="P2617" s="258"/>
      <c r="Q2617" s="258"/>
      <c r="R2617" s="258"/>
      <c r="S2617" s="258"/>
      <c r="T2617" s="258"/>
      <c r="U2617" s="258"/>
      <c r="V2617" s="258"/>
      <c r="W2617" s="258"/>
      <c r="X2617" s="258"/>
      <c r="Y2617" s="258"/>
      <c r="Z2617" s="258"/>
      <c r="AA2617" s="258"/>
      <c r="AB2617" s="258"/>
      <c r="AC2617" s="407"/>
    </row>
    <row r="2618" spans="2:29" s="406" customFormat="1" ht="16.5" customHeight="1">
      <c r="B2618" s="256"/>
      <c r="C2618" s="256"/>
      <c r="D2618" s="414"/>
      <c r="E2618" s="414"/>
      <c r="F2618" s="414"/>
      <c r="G2618" s="253"/>
      <c r="H2618" s="253"/>
      <c r="I2618" s="253"/>
      <c r="J2618" s="253"/>
      <c r="K2618" s="253"/>
      <c r="L2618" s="253"/>
      <c r="M2618" s="253"/>
      <c r="N2618" s="253"/>
      <c r="O2618" s="258"/>
      <c r="P2618" s="258"/>
      <c r="Q2618" s="258"/>
      <c r="R2618" s="258"/>
      <c r="S2618" s="258"/>
      <c r="T2618" s="258"/>
      <c r="U2618" s="258"/>
      <c r="V2618" s="258"/>
      <c r="W2618" s="258"/>
      <c r="X2618" s="258"/>
      <c r="Y2618" s="258"/>
      <c r="Z2618" s="258"/>
      <c r="AA2618" s="258"/>
      <c r="AB2618" s="258"/>
      <c r="AC2618" s="407"/>
    </row>
    <row r="2619" spans="2:29" s="406" customFormat="1" ht="16.5" customHeight="1">
      <c r="B2619" s="256"/>
      <c r="C2619" s="256"/>
      <c r="D2619" s="414"/>
      <c r="E2619" s="414"/>
      <c r="F2619" s="414"/>
      <c r="G2619" s="253"/>
      <c r="H2619" s="253"/>
      <c r="I2619" s="253"/>
      <c r="J2619" s="253"/>
      <c r="K2619" s="253"/>
      <c r="L2619" s="253"/>
      <c r="M2619" s="253"/>
      <c r="N2619" s="253"/>
      <c r="O2619" s="258"/>
      <c r="P2619" s="258"/>
      <c r="Q2619" s="258"/>
      <c r="R2619" s="258"/>
      <c r="S2619" s="258"/>
      <c r="T2619" s="258"/>
      <c r="U2619" s="258"/>
      <c r="V2619" s="258"/>
      <c r="W2619" s="258"/>
      <c r="X2619" s="258"/>
      <c r="Y2619" s="258"/>
      <c r="Z2619" s="258"/>
      <c r="AA2619" s="258"/>
      <c r="AB2619" s="258"/>
      <c r="AC2619" s="407"/>
    </row>
    <row r="2620" spans="2:29" s="406" customFormat="1" ht="16.5" customHeight="1">
      <c r="B2620" s="256"/>
      <c r="C2620" s="256"/>
      <c r="D2620" s="414"/>
      <c r="E2620" s="414"/>
      <c r="F2620" s="414"/>
      <c r="G2620" s="253"/>
      <c r="H2620" s="253"/>
      <c r="I2620" s="253"/>
      <c r="J2620" s="253"/>
      <c r="K2620" s="253"/>
      <c r="L2620" s="253"/>
      <c r="M2620" s="253"/>
      <c r="N2620" s="253"/>
      <c r="O2620" s="258"/>
      <c r="P2620" s="258"/>
      <c r="Q2620" s="258"/>
      <c r="R2620" s="258"/>
      <c r="S2620" s="258"/>
      <c r="T2620" s="258"/>
      <c r="U2620" s="258"/>
      <c r="V2620" s="258"/>
      <c r="W2620" s="258"/>
      <c r="X2620" s="258"/>
      <c r="Y2620" s="258"/>
      <c r="Z2620" s="258"/>
      <c r="AA2620" s="258"/>
      <c r="AB2620" s="258"/>
      <c r="AC2620" s="407"/>
    </row>
    <row r="2621" spans="2:29" s="406" customFormat="1" ht="16.5" customHeight="1">
      <c r="B2621" s="256"/>
      <c r="C2621" s="256"/>
      <c r="D2621" s="414"/>
      <c r="E2621" s="414"/>
      <c r="F2621" s="414"/>
      <c r="G2621" s="253"/>
      <c r="H2621" s="253"/>
      <c r="I2621" s="253"/>
      <c r="J2621" s="253"/>
      <c r="K2621" s="253"/>
      <c r="L2621" s="253"/>
      <c r="M2621" s="253"/>
      <c r="N2621" s="253"/>
      <c r="O2621" s="258"/>
      <c r="P2621" s="258"/>
      <c r="Q2621" s="258"/>
      <c r="R2621" s="258"/>
      <c r="S2621" s="258"/>
      <c r="T2621" s="258"/>
      <c r="U2621" s="258"/>
      <c r="V2621" s="258"/>
      <c r="W2621" s="258"/>
      <c r="X2621" s="258"/>
      <c r="Y2621" s="258"/>
      <c r="Z2621" s="258"/>
      <c r="AA2621" s="258"/>
      <c r="AB2621" s="258"/>
      <c r="AC2621" s="407"/>
    </row>
    <row r="2622" spans="2:29" s="406" customFormat="1" ht="16.5" customHeight="1">
      <c r="B2622" s="256"/>
      <c r="C2622" s="256"/>
      <c r="D2622" s="414"/>
      <c r="E2622" s="414"/>
      <c r="F2622" s="414"/>
      <c r="G2622" s="253"/>
      <c r="H2622" s="253"/>
      <c r="I2622" s="253"/>
      <c r="J2622" s="253"/>
      <c r="K2622" s="253"/>
      <c r="L2622" s="253"/>
      <c r="M2622" s="253"/>
      <c r="N2622" s="253"/>
      <c r="O2622" s="258"/>
      <c r="P2622" s="258"/>
      <c r="Q2622" s="258"/>
      <c r="R2622" s="258"/>
      <c r="S2622" s="258"/>
      <c r="T2622" s="258"/>
      <c r="U2622" s="258"/>
      <c r="V2622" s="258"/>
      <c r="W2622" s="258"/>
      <c r="X2622" s="258"/>
      <c r="Y2622" s="258"/>
      <c r="Z2622" s="258"/>
      <c r="AA2622" s="258"/>
      <c r="AB2622" s="258"/>
      <c r="AC2622" s="407"/>
    </row>
    <row r="2623" spans="2:29" s="406" customFormat="1" ht="16.5" customHeight="1">
      <c r="B2623" s="256"/>
      <c r="C2623" s="256"/>
      <c r="D2623" s="414"/>
      <c r="E2623" s="414"/>
      <c r="F2623" s="414"/>
      <c r="G2623" s="253"/>
      <c r="H2623" s="253"/>
      <c r="I2623" s="253"/>
      <c r="J2623" s="253"/>
      <c r="K2623" s="253"/>
      <c r="L2623" s="253"/>
      <c r="M2623" s="253"/>
      <c r="N2623" s="253"/>
      <c r="O2623" s="258"/>
      <c r="P2623" s="258"/>
      <c r="Q2623" s="258"/>
      <c r="R2623" s="258"/>
      <c r="S2623" s="258"/>
      <c r="T2623" s="258"/>
      <c r="U2623" s="258"/>
      <c r="V2623" s="258"/>
      <c r="W2623" s="258"/>
      <c r="X2623" s="258"/>
      <c r="Y2623" s="258"/>
      <c r="Z2623" s="258"/>
      <c r="AA2623" s="258"/>
      <c r="AB2623" s="258"/>
      <c r="AC2623" s="407"/>
    </row>
    <row r="2624" spans="2:29" s="406" customFormat="1" ht="16.5" customHeight="1">
      <c r="B2624" s="256"/>
      <c r="C2624" s="256"/>
      <c r="D2624" s="414"/>
      <c r="E2624" s="414"/>
      <c r="F2624" s="414"/>
      <c r="G2624" s="253"/>
      <c r="H2624" s="253"/>
      <c r="I2624" s="253"/>
      <c r="J2624" s="253"/>
      <c r="K2624" s="253"/>
      <c r="L2624" s="253"/>
      <c r="M2624" s="253"/>
      <c r="N2624" s="253"/>
      <c r="O2624" s="258"/>
      <c r="P2624" s="258"/>
      <c r="Q2624" s="258"/>
      <c r="R2624" s="258"/>
      <c r="S2624" s="258"/>
      <c r="T2624" s="258"/>
      <c r="U2624" s="258"/>
      <c r="V2624" s="258"/>
      <c r="W2624" s="258"/>
      <c r="X2624" s="258"/>
      <c r="Y2624" s="258"/>
      <c r="Z2624" s="258"/>
      <c r="AA2624" s="258"/>
      <c r="AB2624" s="258"/>
      <c r="AC2624" s="407"/>
    </row>
    <row r="2625" spans="2:29" s="406" customFormat="1" ht="16.5" customHeight="1">
      <c r="B2625" s="256"/>
      <c r="C2625" s="256"/>
      <c r="D2625" s="414"/>
      <c r="E2625" s="414"/>
      <c r="F2625" s="414"/>
      <c r="G2625" s="253"/>
      <c r="H2625" s="253"/>
      <c r="I2625" s="253"/>
      <c r="J2625" s="253"/>
      <c r="K2625" s="253"/>
      <c r="L2625" s="253"/>
      <c r="M2625" s="253"/>
      <c r="N2625" s="253"/>
      <c r="O2625" s="258"/>
      <c r="P2625" s="258"/>
      <c r="Q2625" s="258"/>
      <c r="R2625" s="258"/>
      <c r="S2625" s="258"/>
      <c r="T2625" s="258"/>
      <c r="U2625" s="258"/>
      <c r="V2625" s="258"/>
      <c r="W2625" s="258"/>
      <c r="X2625" s="258"/>
      <c r="Y2625" s="258"/>
      <c r="Z2625" s="258"/>
      <c r="AA2625" s="258"/>
      <c r="AB2625" s="258"/>
      <c r="AC2625" s="407"/>
    </row>
    <row r="2626" spans="2:29" s="406" customFormat="1" ht="16.5" customHeight="1">
      <c r="B2626" s="256"/>
      <c r="C2626" s="256"/>
      <c r="D2626" s="414"/>
      <c r="E2626" s="414"/>
      <c r="F2626" s="414"/>
      <c r="G2626" s="253"/>
      <c r="H2626" s="253"/>
      <c r="I2626" s="253"/>
      <c r="J2626" s="253"/>
      <c r="K2626" s="253"/>
      <c r="L2626" s="253"/>
      <c r="M2626" s="253"/>
      <c r="N2626" s="253"/>
      <c r="O2626" s="258"/>
      <c r="P2626" s="258"/>
      <c r="Q2626" s="258"/>
      <c r="R2626" s="258"/>
      <c r="S2626" s="258"/>
      <c r="T2626" s="258"/>
      <c r="U2626" s="258"/>
      <c r="V2626" s="258"/>
      <c r="W2626" s="258"/>
      <c r="X2626" s="258"/>
      <c r="Y2626" s="258"/>
      <c r="Z2626" s="258"/>
      <c r="AA2626" s="258"/>
      <c r="AB2626" s="258"/>
      <c r="AC2626" s="407"/>
    </row>
    <row r="2627" spans="2:29" s="406" customFormat="1" ht="16.5" customHeight="1">
      <c r="B2627" s="256"/>
      <c r="C2627" s="256"/>
      <c r="D2627" s="414"/>
      <c r="E2627" s="414"/>
      <c r="F2627" s="414"/>
      <c r="G2627" s="253"/>
      <c r="H2627" s="253"/>
      <c r="I2627" s="253"/>
      <c r="J2627" s="253"/>
      <c r="K2627" s="253"/>
      <c r="L2627" s="253"/>
      <c r="M2627" s="253"/>
      <c r="N2627" s="253"/>
      <c r="O2627" s="258"/>
      <c r="P2627" s="258"/>
      <c r="Q2627" s="258"/>
      <c r="R2627" s="258"/>
      <c r="S2627" s="258"/>
      <c r="T2627" s="258"/>
      <c r="U2627" s="258"/>
      <c r="V2627" s="258"/>
      <c r="W2627" s="258"/>
      <c r="X2627" s="258"/>
      <c r="Y2627" s="258"/>
      <c r="Z2627" s="258"/>
      <c r="AA2627" s="258"/>
      <c r="AB2627" s="258"/>
      <c r="AC2627" s="407"/>
    </row>
    <row r="2628" spans="2:29" s="406" customFormat="1" ht="16.5" customHeight="1">
      <c r="B2628" s="256"/>
      <c r="C2628" s="256"/>
      <c r="D2628" s="414"/>
      <c r="E2628" s="414"/>
      <c r="F2628" s="414"/>
      <c r="G2628" s="253"/>
      <c r="H2628" s="253"/>
      <c r="I2628" s="253"/>
      <c r="J2628" s="253"/>
      <c r="K2628" s="253"/>
      <c r="L2628" s="253"/>
      <c r="M2628" s="253"/>
      <c r="N2628" s="253"/>
      <c r="O2628" s="258"/>
      <c r="P2628" s="258"/>
      <c r="Q2628" s="258"/>
      <c r="R2628" s="258"/>
      <c r="S2628" s="258"/>
      <c r="T2628" s="258"/>
      <c r="U2628" s="258"/>
      <c r="V2628" s="258"/>
      <c r="W2628" s="258"/>
      <c r="X2628" s="258"/>
      <c r="Y2628" s="258"/>
      <c r="Z2628" s="258"/>
      <c r="AA2628" s="258"/>
      <c r="AB2628" s="258"/>
      <c r="AC2628" s="407"/>
    </row>
    <row r="2629" spans="2:29" s="406" customFormat="1" ht="16.5" customHeight="1">
      <c r="B2629" s="256"/>
      <c r="C2629" s="256"/>
      <c r="D2629" s="414"/>
      <c r="E2629" s="414"/>
      <c r="F2629" s="414"/>
      <c r="G2629" s="253"/>
      <c r="H2629" s="253"/>
      <c r="I2629" s="253"/>
      <c r="J2629" s="253"/>
      <c r="K2629" s="253"/>
      <c r="L2629" s="253"/>
      <c r="M2629" s="253"/>
      <c r="N2629" s="253"/>
      <c r="O2629" s="258"/>
      <c r="P2629" s="258"/>
      <c r="Q2629" s="258"/>
      <c r="R2629" s="258"/>
      <c r="S2629" s="258"/>
      <c r="T2629" s="258"/>
      <c r="U2629" s="258"/>
      <c r="V2629" s="258"/>
      <c r="W2629" s="258"/>
      <c r="X2629" s="258"/>
      <c r="Y2629" s="258"/>
      <c r="Z2629" s="258"/>
      <c r="AA2629" s="258"/>
      <c r="AB2629" s="258"/>
      <c r="AC2629" s="407"/>
    </row>
    <row r="2630" spans="2:29" s="406" customFormat="1" ht="16.5" customHeight="1">
      <c r="B2630" s="256"/>
      <c r="C2630" s="256"/>
      <c r="D2630" s="414"/>
      <c r="E2630" s="414"/>
      <c r="F2630" s="414"/>
      <c r="G2630" s="253"/>
      <c r="H2630" s="253"/>
      <c r="I2630" s="253"/>
      <c r="J2630" s="253"/>
      <c r="K2630" s="253"/>
      <c r="L2630" s="253"/>
      <c r="M2630" s="253"/>
      <c r="N2630" s="253"/>
      <c r="O2630" s="258"/>
      <c r="P2630" s="258"/>
      <c r="Q2630" s="258"/>
      <c r="R2630" s="258"/>
      <c r="S2630" s="258"/>
      <c r="T2630" s="258"/>
      <c r="U2630" s="258"/>
      <c r="V2630" s="258"/>
      <c r="W2630" s="258"/>
      <c r="X2630" s="258"/>
      <c r="Y2630" s="258"/>
      <c r="Z2630" s="258"/>
      <c r="AA2630" s="258"/>
      <c r="AB2630" s="258"/>
      <c r="AC2630" s="407"/>
    </row>
    <row r="2631" spans="2:29" s="406" customFormat="1" ht="16.5" customHeight="1">
      <c r="B2631" s="256"/>
      <c r="C2631" s="256"/>
      <c r="D2631" s="414"/>
      <c r="E2631" s="414"/>
      <c r="F2631" s="414"/>
      <c r="G2631" s="253"/>
      <c r="H2631" s="253"/>
      <c r="I2631" s="253"/>
      <c r="J2631" s="253"/>
      <c r="K2631" s="253"/>
      <c r="L2631" s="253"/>
      <c r="M2631" s="253"/>
      <c r="N2631" s="253"/>
      <c r="O2631" s="258"/>
      <c r="P2631" s="258"/>
      <c r="Q2631" s="258"/>
      <c r="R2631" s="258"/>
      <c r="S2631" s="258"/>
      <c r="T2631" s="258"/>
      <c r="U2631" s="258"/>
      <c r="V2631" s="258"/>
      <c r="W2631" s="258"/>
      <c r="X2631" s="258"/>
      <c r="Y2631" s="258"/>
      <c r="Z2631" s="258"/>
      <c r="AA2631" s="258"/>
      <c r="AB2631" s="258"/>
      <c r="AC2631" s="407"/>
    </row>
    <row r="2632" spans="2:29" s="406" customFormat="1" ht="16.5" customHeight="1">
      <c r="B2632" s="256"/>
      <c r="C2632" s="256"/>
      <c r="D2632" s="414"/>
      <c r="E2632" s="414"/>
      <c r="F2632" s="414"/>
      <c r="G2632" s="253"/>
      <c r="H2632" s="253"/>
      <c r="I2632" s="253"/>
      <c r="J2632" s="253"/>
      <c r="K2632" s="253"/>
      <c r="L2632" s="253"/>
      <c r="M2632" s="253"/>
      <c r="N2632" s="253"/>
      <c r="O2632" s="258"/>
      <c r="P2632" s="258"/>
      <c r="Q2632" s="258"/>
      <c r="R2632" s="258"/>
      <c r="S2632" s="258"/>
      <c r="T2632" s="258"/>
      <c r="U2632" s="258"/>
      <c r="V2632" s="258"/>
      <c r="W2632" s="258"/>
      <c r="X2632" s="258"/>
      <c r="Y2632" s="258"/>
      <c r="Z2632" s="258"/>
      <c r="AA2632" s="258"/>
      <c r="AB2632" s="258"/>
      <c r="AC2632" s="407"/>
    </row>
    <row r="2633" spans="2:29" s="406" customFormat="1" ht="16.5" customHeight="1">
      <c r="B2633" s="256"/>
      <c r="C2633" s="256"/>
      <c r="D2633" s="414"/>
      <c r="E2633" s="414"/>
      <c r="F2633" s="414"/>
      <c r="G2633" s="253"/>
      <c r="H2633" s="253"/>
      <c r="I2633" s="253"/>
      <c r="J2633" s="253"/>
      <c r="K2633" s="253"/>
      <c r="L2633" s="253"/>
      <c r="M2633" s="253"/>
      <c r="N2633" s="253"/>
      <c r="O2633" s="258"/>
      <c r="P2633" s="258"/>
      <c r="Q2633" s="258"/>
      <c r="R2633" s="258"/>
      <c r="S2633" s="258"/>
      <c r="T2633" s="258"/>
      <c r="U2633" s="258"/>
      <c r="V2633" s="258"/>
      <c r="W2633" s="258"/>
      <c r="X2633" s="258"/>
      <c r="Y2633" s="258"/>
      <c r="Z2633" s="258"/>
      <c r="AA2633" s="258"/>
      <c r="AB2633" s="258"/>
      <c r="AC2633" s="407"/>
    </row>
    <row r="2634" spans="2:29" s="406" customFormat="1" ht="16.5" customHeight="1">
      <c r="B2634" s="256"/>
      <c r="C2634" s="256"/>
      <c r="D2634" s="414"/>
      <c r="E2634" s="414"/>
      <c r="F2634" s="414"/>
      <c r="G2634" s="253"/>
      <c r="H2634" s="253"/>
      <c r="I2634" s="253"/>
      <c r="J2634" s="253"/>
      <c r="K2634" s="253"/>
      <c r="L2634" s="253"/>
      <c r="M2634" s="253"/>
      <c r="N2634" s="253"/>
      <c r="O2634" s="258"/>
      <c r="P2634" s="258"/>
      <c r="Q2634" s="258"/>
      <c r="R2634" s="258"/>
      <c r="S2634" s="258"/>
      <c r="T2634" s="258"/>
      <c r="U2634" s="258"/>
      <c r="V2634" s="258"/>
      <c r="W2634" s="258"/>
      <c r="X2634" s="258"/>
      <c r="Y2634" s="258"/>
      <c r="Z2634" s="258"/>
      <c r="AA2634" s="258"/>
      <c r="AB2634" s="258"/>
      <c r="AC2634" s="407"/>
    </row>
    <row r="2635" spans="2:29" s="406" customFormat="1" ht="16.5" customHeight="1">
      <c r="B2635" s="256"/>
      <c r="C2635" s="256"/>
      <c r="D2635" s="414"/>
      <c r="E2635" s="414"/>
      <c r="F2635" s="414"/>
      <c r="G2635" s="253"/>
      <c r="H2635" s="253"/>
      <c r="I2635" s="253"/>
      <c r="J2635" s="253"/>
      <c r="K2635" s="253"/>
      <c r="L2635" s="253"/>
      <c r="M2635" s="253"/>
      <c r="N2635" s="253"/>
      <c r="O2635" s="258"/>
      <c r="P2635" s="258"/>
      <c r="Q2635" s="258"/>
      <c r="R2635" s="258"/>
      <c r="S2635" s="258"/>
      <c r="T2635" s="258"/>
      <c r="U2635" s="258"/>
      <c r="V2635" s="258"/>
      <c r="W2635" s="258"/>
      <c r="X2635" s="258"/>
      <c r="Y2635" s="258"/>
      <c r="Z2635" s="258"/>
      <c r="AA2635" s="258"/>
      <c r="AB2635" s="258"/>
      <c r="AC2635" s="407"/>
    </row>
    <row r="2636" spans="2:29" s="406" customFormat="1" ht="16.5" customHeight="1">
      <c r="B2636" s="256"/>
      <c r="C2636" s="256"/>
      <c r="D2636" s="414"/>
      <c r="E2636" s="414"/>
      <c r="F2636" s="414"/>
      <c r="G2636" s="253"/>
      <c r="H2636" s="253"/>
      <c r="I2636" s="253"/>
      <c r="J2636" s="253"/>
      <c r="K2636" s="253"/>
      <c r="L2636" s="253"/>
      <c r="M2636" s="253"/>
      <c r="N2636" s="253"/>
      <c r="O2636" s="258"/>
      <c r="P2636" s="258"/>
      <c r="Q2636" s="258"/>
      <c r="R2636" s="258"/>
      <c r="S2636" s="258"/>
      <c r="T2636" s="258"/>
      <c r="U2636" s="258"/>
      <c r="V2636" s="258"/>
      <c r="W2636" s="258"/>
      <c r="X2636" s="258"/>
      <c r="Y2636" s="258"/>
      <c r="Z2636" s="258"/>
      <c r="AA2636" s="258"/>
      <c r="AB2636" s="258"/>
      <c r="AC2636" s="407"/>
    </row>
    <row r="2637" spans="2:29" s="406" customFormat="1" ht="16.5" customHeight="1">
      <c r="B2637" s="256"/>
      <c r="C2637" s="256"/>
      <c r="D2637" s="414"/>
      <c r="E2637" s="414"/>
      <c r="F2637" s="414"/>
      <c r="G2637" s="253"/>
      <c r="H2637" s="253"/>
      <c r="I2637" s="253"/>
      <c r="J2637" s="253"/>
      <c r="K2637" s="253"/>
      <c r="L2637" s="253"/>
      <c r="M2637" s="253"/>
      <c r="N2637" s="253"/>
      <c r="O2637" s="258"/>
      <c r="P2637" s="258"/>
      <c r="Q2637" s="258"/>
      <c r="R2637" s="258"/>
      <c r="S2637" s="258"/>
      <c r="T2637" s="258"/>
      <c r="U2637" s="258"/>
      <c r="V2637" s="258"/>
      <c r="W2637" s="258"/>
      <c r="X2637" s="258"/>
      <c r="Y2637" s="258"/>
      <c r="Z2637" s="258"/>
      <c r="AA2637" s="258"/>
      <c r="AB2637" s="258"/>
      <c r="AC2637" s="407"/>
    </row>
    <row r="2638" spans="2:29" s="406" customFormat="1" ht="16.5" customHeight="1">
      <c r="B2638" s="256"/>
      <c r="C2638" s="256"/>
      <c r="D2638" s="414"/>
      <c r="E2638" s="414"/>
      <c r="F2638" s="414"/>
      <c r="G2638" s="253"/>
      <c r="H2638" s="253"/>
      <c r="I2638" s="253"/>
      <c r="J2638" s="253"/>
      <c r="K2638" s="253"/>
      <c r="L2638" s="253"/>
      <c r="M2638" s="253"/>
      <c r="N2638" s="253"/>
      <c r="O2638" s="258"/>
      <c r="P2638" s="258"/>
      <c r="Q2638" s="258"/>
      <c r="R2638" s="258"/>
      <c r="S2638" s="258"/>
      <c r="T2638" s="258"/>
      <c r="U2638" s="258"/>
      <c r="V2638" s="258"/>
      <c r="W2638" s="258"/>
      <c r="X2638" s="258"/>
      <c r="Y2638" s="258"/>
      <c r="Z2638" s="258"/>
      <c r="AA2638" s="258"/>
      <c r="AB2638" s="258"/>
      <c r="AC2638" s="407"/>
    </row>
    <row r="2639" spans="2:29" s="406" customFormat="1" ht="16.5" customHeight="1">
      <c r="B2639" s="256"/>
      <c r="C2639" s="256"/>
      <c r="D2639" s="414"/>
      <c r="E2639" s="414"/>
      <c r="F2639" s="414"/>
      <c r="G2639" s="253"/>
      <c r="H2639" s="253"/>
      <c r="I2639" s="253"/>
      <c r="J2639" s="253"/>
      <c r="K2639" s="253"/>
      <c r="L2639" s="253"/>
      <c r="M2639" s="253"/>
      <c r="N2639" s="253"/>
      <c r="O2639" s="258"/>
      <c r="P2639" s="258"/>
      <c r="Q2639" s="258"/>
      <c r="R2639" s="258"/>
      <c r="S2639" s="258"/>
      <c r="T2639" s="258"/>
      <c r="U2639" s="258"/>
      <c r="V2639" s="258"/>
      <c r="W2639" s="258"/>
      <c r="X2639" s="258"/>
      <c r="Y2639" s="258"/>
      <c r="Z2639" s="258"/>
      <c r="AA2639" s="258"/>
      <c r="AB2639" s="258"/>
      <c r="AC2639" s="407"/>
    </row>
    <row r="2640" spans="2:29" s="406" customFormat="1" ht="16.5" customHeight="1">
      <c r="B2640" s="256"/>
      <c r="C2640" s="256"/>
      <c r="D2640" s="414"/>
      <c r="E2640" s="414"/>
      <c r="F2640" s="414"/>
      <c r="G2640" s="253"/>
      <c r="H2640" s="253"/>
      <c r="I2640" s="253"/>
      <c r="J2640" s="253"/>
      <c r="K2640" s="253"/>
      <c r="L2640" s="253"/>
      <c r="M2640" s="253"/>
      <c r="N2640" s="253"/>
      <c r="O2640" s="258"/>
      <c r="P2640" s="258"/>
      <c r="Q2640" s="258"/>
      <c r="R2640" s="258"/>
      <c r="S2640" s="258"/>
      <c r="T2640" s="258"/>
      <c r="U2640" s="258"/>
      <c r="V2640" s="258"/>
      <c r="W2640" s="258"/>
      <c r="X2640" s="258"/>
      <c r="Y2640" s="258"/>
      <c r="Z2640" s="258"/>
      <c r="AA2640" s="258"/>
      <c r="AB2640" s="258"/>
      <c r="AC2640" s="407"/>
    </row>
    <row r="2641" spans="2:29" s="406" customFormat="1" ht="16.5" customHeight="1">
      <c r="B2641" s="256"/>
      <c r="C2641" s="256"/>
      <c r="D2641" s="414"/>
      <c r="E2641" s="414"/>
      <c r="F2641" s="414"/>
      <c r="G2641" s="253"/>
      <c r="H2641" s="253"/>
      <c r="I2641" s="253"/>
      <c r="J2641" s="253"/>
      <c r="K2641" s="253"/>
      <c r="L2641" s="253"/>
      <c r="M2641" s="253"/>
      <c r="N2641" s="253"/>
      <c r="O2641" s="258"/>
      <c r="P2641" s="258"/>
      <c r="Q2641" s="258"/>
      <c r="R2641" s="258"/>
      <c r="S2641" s="258"/>
      <c r="T2641" s="258"/>
      <c r="U2641" s="258"/>
      <c r="V2641" s="258"/>
      <c r="W2641" s="258"/>
      <c r="X2641" s="258"/>
      <c r="Y2641" s="258"/>
      <c r="Z2641" s="258"/>
      <c r="AA2641" s="258"/>
      <c r="AB2641" s="258"/>
      <c r="AC2641" s="407"/>
    </row>
    <row r="2642" spans="2:29" s="406" customFormat="1" ht="16.5" customHeight="1">
      <c r="B2642" s="256"/>
      <c r="C2642" s="256"/>
      <c r="D2642" s="414"/>
      <c r="E2642" s="414"/>
      <c r="F2642" s="414"/>
      <c r="G2642" s="253"/>
      <c r="H2642" s="253"/>
      <c r="I2642" s="253"/>
      <c r="J2642" s="253"/>
      <c r="K2642" s="253"/>
      <c r="L2642" s="253"/>
      <c r="M2642" s="253"/>
      <c r="N2642" s="253"/>
      <c r="O2642" s="258"/>
      <c r="P2642" s="258"/>
      <c r="Q2642" s="258"/>
      <c r="R2642" s="258"/>
      <c r="S2642" s="258"/>
      <c r="T2642" s="258"/>
      <c r="U2642" s="258"/>
      <c r="V2642" s="258"/>
      <c r="W2642" s="258"/>
      <c r="X2642" s="258"/>
      <c r="Y2642" s="258"/>
      <c r="Z2642" s="258"/>
      <c r="AA2642" s="258"/>
      <c r="AB2642" s="258"/>
      <c r="AC2642" s="407"/>
    </row>
    <row r="2643" spans="2:29" s="406" customFormat="1" ht="16.5" customHeight="1">
      <c r="B2643" s="256"/>
      <c r="C2643" s="256"/>
      <c r="D2643" s="414"/>
      <c r="E2643" s="414"/>
      <c r="F2643" s="414"/>
      <c r="G2643" s="253"/>
      <c r="H2643" s="253"/>
      <c r="I2643" s="253"/>
      <c r="J2643" s="253"/>
      <c r="K2643" s="253"/>
      <c r="L2643" s="253"/>
      <c r="M2643" s="253"/>
      <c r="N2643" s="253"/>
      <c r="O2643" s="258"/>
      <c r="P2643" s="258"/>
      <c r="Q2643" s="258"/>
      <c r="R2643" s="258"/>
      <c r="S2643" s="258"/>
      <c r="T2643" s="258"/>
      <c r="U2643" s="258"/>
      <c r="V2643" s="258"/>
      <c r="W2643" s="258"/>
      <c r="X2643" s="258"/>
      <c r="Y2643" s="258"/>
      <c r="Z2643" s="258"/>
      <c r="AA2643" s="258"/>
      <c r="AB2643" s="258"/>
      <c r="AC2643" s="407"/>
    </row>
    <row r="2644" spans="2:29" s="406" customFormat="1" ht="16.5" customHeight="1">
      <c r="B2644" s="256"/>
      <c r="C2644" s="256"/>
      <c r="D2644" s="414"/>
      <c r="E2644" s="414"/>
      <c r="F2644" s="414"/>
      <c r="G2644" s="253"/>
      <c r="H2644" s="253"/>
      <c r="I2644" s="253"/>
      <c r="J2644" s="253"/>
      <c r="K2644" s="253"/>
      <c r="L2644" s="253"/>
      <c r="M2644" s="253"/>
      <c r="N2644" s="253"/>
      <c r="O2644" s="258"/>
      <c r="P2644" s="258"/>
      <c r="Q2644" s="258"/>
      <c r="R2644" s="258"/>
      <c r="S2644" s="258"/>
      <c r="T2644" s="258"/>
      <c r="U2644" s="258"/>
      <c r="V2644" s="258"/>
      <c r="W2644" s="258"/>
      <c r="X2644" s="258"/>
      <c r="Y2644" s="258"/>
      <c r="Z2644" s="258"/>
      <c r="AA2644" s="258"/>
      <c r="AB2644" s="258"/>
      <c r="AC2644" s="407"/>
    </row>
    <row r="2645" spans="2:29" s="406" customFormat="1" ht="16.5" customHeight="1">
      <c r="B2645" s="256"/>
      <c r="C2645" s="256"/>
      <c r="D2645" s="414"/>
      <c r="E2645" s="414"/>
      <c r="F2645" s="414"/>
      <c r="G2645" s="253"/>
      <c r="H2645" s="253"/>
      <c r="I2645" s="253"/>
      <c r="J2645" s="253"/>
      <c r="K2645" s="253"/>
      <c r="L2645" s="253"/>
      <c r="M2645" s="253"/>
      <c r="N2645" s="253"/>
      <c r="O2645" s="258"/>
      <c r="P2645" s="258"/>
      <c r="Q2645" s="258"/>
      <c r="R2645" s="258"/>
      <c r="S2645" s="258"/>
      <c r="T2645" s="258"/>
      <c r="U2645" s="258"/>
      <c r="V2645" s="258"/>
      <c r="W2645" s="258"/>
      <c r="X2645" s="258"/>
      <c r="Y2645" s="258"/>
      <c r="Z2645" s="258"/>
      <c r="AA2645" s="258"/>
      <c r="AB2645" s="258"/>
      <c r="AC2645" s="407"/>
    </row>
    <row r="2646" spans="2:29" s="406" customFormat="1" ht="16.5" customHeight="1">
      <c r="B2646" s="256"/>
      <c r="C2646" s="256"/>
      <c r="D2646" s="414"/>
      <c r="E2646" s="414"/>
      <c r="F2646" s="414"/>
      <c r="G2646" s="253"/>
      <c r="H2646" s="253"/>
      <c r="I2646" s="253"/>
      <c r="J2646" s="253"/>
      <c r="K2646" s="253"/>
      <c r="L2646" s="253"/>
      <c r="M2646" s="253"/>
      <c r="N2646" s="253"/>
      <c r="O2646" s="258"/>
      <c r="P2646" s="258"/>
      <c r="Q2646" s="258"/>
      <c r="R2646" s="258"/>
      <c r="S2646" s="258"/>
      <c r="T2646" s="258"/>
      <c r="U2646" s="258"/>
      <c r="V2646" s="258"/>
      <c r="W2646" s="258"/>
      <c r="X2646" s="258"/>
      <c r="Y2646" s="258"/>
      <c r="Z2646" s="258"/>
      <c r="AA2646" s="258"/>
      <c r="AB2646" s="258"/>
      <c r="AC2646" s="407"/>
    </row>
    <row r="2647" spans="2:29" s="406" customFormat="1" ht="16.5" customHeight="1">
      <c r="B2647" s="256"/>
      <c r="C2647" s="256"/>
      <c r="D2647" s="414"/>
      <c r="E2647" s="414"/>
      <c r="F2647" s="414"/>
      <c r="G2647" s="253"/>
      <c r="H2647" s="253"/>
      <c r="I2647" s="253"/>
      <c r="J2647" s="253"/>
      <c r="K2647" s="253"/>
      <c r="L2647" s="253"/>
      <c r="M2647" s="253"/>
      <c r="N2647" s="253"/>
      <c r="O2647" s="258"/>
      <c r="P2647" s="258"/>
      <c r="Q2647" s="258"/>
      <c r="R2647" s="258"/>
      <c r="S2647" s="258"/>
      <c r="T2647" s="258"/>
      <c r="U2647" s="258"/>
      <c r="V2647" s="258"/>
      <c r="W2647" s="258"/>
      <c r="X2647" s="258"/>
      <c r="Y2647" s="258"/>
      <c r="Z2647" s="258"/>
      <c r="AA2647" s="258"/>
      <c r="AB2647" s="258"/>
      <c r="AC2647" s="407"/>
    </row>
    <row r="2648" spans="2:29" s="406" customFormat="1" ht="16.5" customHeight="1">
      <c r="B2648" s="256"/>
      <c r="C2648" s="256"/>
      <c r="D2648" s="414"/>
      <c r="E2648" s="414"/>
      <c r="F2648" s="414"/>
      <c r="G2648" s="253"/>
      <c r="H2648" s="253"/>
      <c r="I2648" s="253"/>
      <c r="J2648" s="253"/>
      <c r="K2648" s="253"/>
      <c r="L2648" s="253"/>
      <c r="M2648" s="253"/>
      <c r="N2648" s="253"/>
      <c r="O2648" s="258"/>
      <c r="P2648" s="258"/>
      <c r="Q2648" s="258"/>
      <c r="R2648" s="258"/>
      <c r="S2648" s="258"/>
      <c r="T2648" s="258"/>
      <c r="U2648" s="258"/>
      <c r="V2648" s="258"/>
      <c r="W2648" s="258"/>
      <c r="X2648" s="258"/>
      <c r="Y2648" s="258"/>
      <c r="Z2648" s="258"/>
      <c r="AA2648" s="258"/>
      <c r="AB2648" s="258"/>
      <c r="AC2648" s="407"/>
    </row>
    <row r="2649" spans="2:29" s="406" customFormat="1" ht="16.5" customHeight="1">
      <c r="B2649" s="256"/>
      <c r="C2649" s="256"/>
      <c r="D2649" s="414"/>
      <c r="E2649" s="414"/>
      <c r="F2649" s="414"/>
      <c r="G2649" s="253"/>
      <c r="H2649" s="253"/>
      <c r="I2649" s="253"/>
      <c r="J2649" s="253"/>
      <c r="K2649" s="253"/>
      <c r="L2649" s="253"/>
      <c r="M2649" s="253"/>
      <c r="N2649" s="253"/>
      <c r="O2649" s="258"/>
      <c r="P2649" s="258"/>
      <c r="Q2649" s="258"/>
      <c r="R2649" s="258"/>
      <c r="S2649" s="258"/>
      <c r="T2649" s="258"/>
      <c r="U2649" s="258"/>
      <c r="V2649" s="258"/>
      <c r="W2649" s="258"/>
      <c r="X2649" s="258"/>
      <c r="Y2649" s="258"/>
      <c r="Z2649" s="258"/>
      <c r="AA2649" s="258"/>
      <c r="AB2649" s="258"/>
      <c r="AC2649" s="407"/>
    </row>
    <row r="2650" spans="2:29" s="406" customFormat="1" ht="16.5" customHeight="1">
      <c r="B2650" s="256"/>
      <c r="C2650" s="256"/>
      <c r="D2650" s="414"/>
      <c r="E2650" s="414"/>
      <c r="F2650" s="414"/>
      <c r="G2650" s="253"/>
      <c r="H2650" s="253"/>
      <c r="I2650" s="253"/>
      <c r="J2650" s="253"/>
      <c r="K2650" s="253"/>
      <c r="L2650" s="253"/>
      <c r="M2650" s="253"/>
      <c r="N2650" s="253"/>
      <c r="O2650" s="258"/>
      <c r="P2650" s="258"/>
      <c r="Q2650" s="258"/>
      <c r="R2650" s="258"/>
      <c r="S2650" s="258"/>
      <c r="T2650" s="258"/>
      <c r="U2650" s="258"/>
      <c r="V2650" s="258"/>
      <c r="W2650" s="258"/>
      <c r="X2650" s="258"/>
      <c r="Y2650" s="258"/>
      <c r="Z2650" s="258"/>
      <c r="AA2650" s="258"/>
      <c r="AB2650" s="258"/>
      <c r="AC2650" s="407"/>
    </row>
    <row r="2651" spans="2:29" s="406" customFormat="1" ht="16.5" customHeight="1">
      <c r="B2651" s="256"/>
      <c r="C2651" s="256"/>
      <c r="D2651" s="414"/>
      <c r="E2651" s="414"/>
      <c r="F2651" s="414"/>
      <c r="G2651" s="253"/>
      <c r="H2651" s="253"/>
      <c r="I2651" s="253"/>
      <c r="J2651" s="253"/>
      <c r="K2651" s="253"/>
      <c r="L2651" s="253"/>
      <c r="M2651" s="253"/>
      <c r="N2651" s="253"/>
      <c r="O2651" s="258"/>
      <c r="P2651" s="258"/>
      <c r="Q2651" s="258"/>
      <c r="R2651" s="258"/>
      <c r="S2651" s="258"/>
      <c r="T2651" s="258"/>
      <c r="U2651" s="258"/>
      <c r="V2651" s="258"/>
      <c r="W2651" s="258"/>
      <c r="X2651" s="258"/>
      <c r="Y2651" s="258"/>
      <c r="Z2651" s="258"/>
      <c r="AA2651" s="258"/>
      <c r="AB2651" s="258"/>
      <c r="AC2651" s="407"/>
    </row>
    <row r="2652" spans="2:29" s="406" customFormat="1" ht="16.5" customHeight="1">
      <c r="B2652" s="256"/>
      <c r="C2652" s="256"/>
      <c r="D2652" s="414"/>
      <c r="E2652" s="414"/>
      <c r="F2652" s="414"/>
      <c r="G2652" s="253"/>
      <c r="H2652" s="253"/>
      <c r="I2652" s="253"/>
      <c r="J2652" s="253"/>
      <c r="K2652" s="253"/>
      <c r="L2652" s="253"/>
      <c r="M2652" s="253"/>
      <c r="N2652" s="253"/>
      <c r="O2652" s="258"/>
      <c r="P2652" s="258"/>
      <c r="Q2652" s="258"/>
      <c r="R2652" s="258"/>
      <c r="S2652" s="258"/>
      <c r="T2652" s="258"/>
      <c r="U2652" s="258"/>
      <c r="V2652" s="258"/>
      <c r="W2652" s="258"/>
      <c r="X2652" s="258"/>
      <c r="Y2652" s="258"/>
      <c r="Z2652" s="258"/>
      <c r="AA2652" s="258"/>
      <c r="AB2652" s="258"/>
      <c r="AC2652" s="407"/>
    </row>
    <row r="2653" spans="2:29" s="406" customFormat="1" ht="16.5" customHeight="1">
      <c r="B2653" s="256"/>
      <c r="C2653" s="256"/>
      <c r="D2653" s="414"/>
      <c r="E2653" s="414"/>
      <c r="F2653" s="414"/>
      <c r="G2653" s="253"/>
      <c r="H2653" s="253"/>
      <c r="I2653" s="253"/>
      <c r="J2653" s="253"/>
      <c r="K2653" s="253"/>
      <c r="L2653" s="253"/>
      <c r="M2653" s="253"/>
      <c r="N2653" s="253"/>
      <c r="O2653" s="258"/>
      <c r="P2653" s="258"/>
      <c r="Q2653" s="258"/>
      <c r="R2653" s="258"/>
      <c r="S2653" s="258"/>
      <c r="T2653" s="258"/>
      <c r="U2653" s="258"/>
      <c r="V2653" s="258"/>
      <c r="W2653" s="258"/>
      <c r="X2653" s="258"/>
      <c r="Y2653" s="258"/>
      <c r="Z2653" s="258"/>
      <c r="AA2653" s="258"/>
      <c r="AB2653" s="258"/>
      <c r="AC2653" s="407"/>
    </row>
    <row r="2654" spans="2:29" s="406" customFormat="1" ht="16.5" customHeight="1">
      <c r="B2654" s="256"/>
      <c r="C2654" s="256"/>
      <c r="D2654" s="414"/>
      <c r="E2654" s="414"/>
      <c r="F2654" s="414"/>
      <c r="G2654" s="253"/>
      <c r="H2654" s="253"/>
      <c r="I2654" s="253"/>
      <c r="J2654" s="253"/>
      <c r="K2654" s="253"/>
      <c r="L2654" s="253"/>
      <c r="M2654" s="253"/>
      <c r="N2654" s="253"/>
      <c r="O2654" s="258"/>
      <c r="P2654" s="258"/>
      <c r="Q2654" s="258"/>
      <c r="R2654" s="258"/>
      <c r="S2654" s="258"/>
      <c r="T2654" s="258"/>
      <c r="U2654" s="258"/>
      <c r="V2654" s="258"/>
      <c r="W2654" s="258"/>
      <c r="X2654" s="258"/>
      <c r="Y2654" s="258"/>
      <c r="Z2654" s="258"/>
      <c r="AA2654" s="258"/>
      <c r="AB2654" s="258"/>
      <c r="AC2654" s="407"/>
    </row>
    <row r="2655" spans="2:29" s="406" customFormat="1" ht="16.5" customHeight="1">
      <c r="B2655" s="256"/>
      <c r="C2655" s="256"/>
      <c r="D2655" s="414"/>
      <c r="E2655" s="414"/>
      <c r="F2655" s="414"/>
      <c r="G2655" s="253"/>
      <c r="H2655" s="253"/>
      <c r="I2655" s="253"/>
      <c r="J2655" s="253"/>
      <c r="K2655" s="253"/>
      <c r="L2655" s="253"/>
      <c r="M2655" s="253"/>
      <c r="N2655" s="253"/>
      <c r="O2655" s="258"/>
      <c r="P2655" s="258"/>
      <c r="Q2655" s="258"/>
      <c r="R2655" s="258"/>
      <c r="S2655" s="258"/>
      <c r="T2655" s="258"/>
      <c r="U2655" s="258"/>
      <c r="V2655" s="258"/>
      <c r="W2655" s="258"/>
      <c r="X2655" s="258"/>
      <c r="Y2655" s="258"/>
      <c r="Z2655" s="258"/>
      <c r="AA2655" s="258"/>
      <c r="AB2655" s="258"/>
      <c r="AC2655" s="407"/>
    </row>
    <row r="2656" spans="2:29" s="406" customFormat="1" ht="16.5" customHeight="1">
      <c r="B2656" s="256"/>
      <c r="C2656" s="256"/>
      <c r="D2656" s="414"/>
      <c r="E2656" s="414"/>
      <c r="F2656" s="414"/>
      <c r="G2656" s="253"/>
      <c r="H2656" s="253"/>
      <c r="I2656" s="253"/>
      <c r="J2656" s="253"/>
      <c r="K2656" s="253"/>
      <c r="L2656" s="253"/>
      <c r="M2656" s="253"/>
      <c r="N2656" s="253"/>
      <c r="O2656" s="258"/>
      <c r="P2656" s="258"/>
      <c r="Q2656" s="258"/>
      <c r="R2656" s="258"/>
      <c r="S2656" s="258"/>
      <c r="T2656" s="258"/>
      <c r="U2656" s="258"/>
      <c r="V2656" s="258"/>
      <c r="W2656" s="258"/>
      <c r="X2656" s="258"/>
      <c r="Y2656" s="258"/>
      <c r="Z2656" s="258"/>
      <c r="AA2656" s="258"/>
      <c r="AB2656" s="258"/>
      <c r="AC2656" s="407"/>
    </row>
    <row r="2657" spans="2:29" s="406" customFormat="1" ht="16.5" customHeight="1">
      <c r="B2657" s="256"/>
      <c r="C2657" s="256"/>
      <c r="D2657" s="414"/>
      <c r="E2657" s="414"/>
      <c r="F2657" s="414"/>
      <c r="G2657" s="253"/>
      <c r="H2657" s="253"/>
      <c r="I2657" s="253"/>
      <c r="J2657" s="253"/>
      <c r="K2657" s="253"/>
      <c r="L2657" s="253"/>
      <c r="M2657" s="253"/>
      <c r="N2657" s="253"/>
      <c r="O2657" s="258"/>
      <c r="P2657" s="258"/>
      <c r="Q2657" s="258"/>
      <c r="R2657" s="258"/>
      <c r="S2657" s="258"/>
      <c r="T2657" s="258"/>
      <c r="U2657" s="258"/>
      <c r="V2657" s="258"/>
      <c r="W2657" s="258"/>
      <c r="X2657" s="258"/>
      <c r="Y2657" s="258"/>
      <c r="Z2657" s="258"/>
      <c r="AA2657" s="258"/>
      <c r="AB2657" s="258"/>
      <c r="AC2657" s="407"/>
    </row>
    <row r="2658" spans="2:29" s="406" customFormat="1" ht="16.5" customHeight="1">
      <c r="B2658" s="256"/>
      <c r="C2658" s="256"/>
      <c r="D2658" s="414"/>
      <c r="E2658" s="414"/>
      <c r="F2658" s="414"/>
      <c r="G2658" s="253"/>
      <c r="H2658" s="253"/>
      <c r="I2658" s="253"/>
      <c r="J2658" s="253"/>
      <c r="K2658" s="253"/>
      <c r="L2658" s="253"/>
      <c r="M2658" s="253"/>
      <c r="N2658" s="253"/>
      <c r="O2658" s="258"/>
      <c r="P2658" s="258"/>
      <c r="Q2658" s="258"/>
      <c r="R2658" s="258"/>
      <c r="S2658" s="258"/>
      <c r="T2658" s="258"/>
      <c r="U2658" s="258"/>
      <c r="V2658" s="258"/>
      <c r="W2658" s="258"/>
      <c r="X2658" s="258"/>
      <c r="Y2658" s="258"/>
      <c r="Z2658" s="258"/>
      <c r="AA2658" s="258"/>
      <c r="AB2658" s="258"/>
      <c r="AC2658" s="407"/>
    </row>
    <row r="2659" spans="2:29" s="406" customFormat="1" ht="16.5" customHeight="1">
      <c r="B2659" s="256"/>
      <c r="C2659" s="256"/>
      <c r="D2659" s="414"/>
      <c r="E2659" s="414"/>
      <c r="F2659" s="414"/>
      <c r="G2659" s="253"/>
      <c r="H2659" s="253"/>
      <c r="I2659" s="253"/>
      <c r="J2659" s="253"/>
      <c r="K2659" s="253"/>
      <c r="L2659" s="253"/>
      <c r="M2659" s="253"/>
      <c r="N2659" s="253"/>
      <c r="O2659" s="258"/>
      <c r="P2659" s="258"/>
      <c r="Q2659" s="258"/>
      <c r="R2659" s="258"/>
      <c r="S2659" s="258"/>
      <c r="T2659" s="258"/>
      <c r="U2659" s="258"/>
      <c r="V2659" s="258"/>
      <c r="W2659" s="258"/>
      <c r="X2659" s="258"/>
      <c r="Y2659" s="258"/>
      <c r="Z2659" s="258"/>
      <c r="AA2659" s="258"/>
      <c r="AB2659" s="258"/>
      <c r="AC2659" s="407"/>
    </row>
    <row r="2660" spans="2:29" s="406" customFormat="1" ht="16.5" customHeight="1">
      <c r="B2660" s="256"/>
      <c r="C2660" s="256"/>
      <c r="D2660" s="414"/>
      <c r="E2660" s="414"/>
      <c r="F2660" s="414"/>
      <c r="G2660" s="253"/>
      <c r="H2660" s="253"/>
      <c r="I2660" s="253"/>
      <c r="J2660" s="253"/>
      <c r="K2660" s="253"/>
      <c r="L2660" s="253"/>
      <c r="M2660" s="253"/>
      <c r="N2660" s="253"/>
      <c r="O2660" s="258"/>
      <c r="P2660" s="258"/>
      <c r="Q2660" s="258"/>
      <c r="R2660" s="258"/>
      <c r="S2660" s="258"/>
      <c r="T2660" s="258"/>
      <c r="U2660" s="258"/>
      <c r="V2660" s="258"/>
      <c r="W2660" s="258"/>
      <c r="X2660" s="258"/>
      <c r="Y2660" s="258"/>
      <c r="Z2660" s="258"/>
      <c r="AA2660" s="258"/>
      <c r="AB2660" s="258"/>
      <c r="AC2660" s="407"/>
    </row>
    <row r="2661" spans="2:29" s="406" customFormat="1" ht="16.5" customHeight="1">
      <c r="B2661" s="256"/>
      <c r="C2661" s="256"/>
      <c r="D2661" s="414"/>
      <c r="E2661" s="414"/>
      <c r="F2661" s="414"/>
      <c r="G2661" s="253"/>
      <c r="H2661" s="253"/>
      <c r="I2661" s="253"/>
      <c r="J2661" s="253"/>
      <c r="K2661" s="253"/>
      <c r="L2661" s="253"/>
      <c r="M2661" s="253"/>
      <c r="N2661" s="253"/>
      <c r="O2661" s="258"/>
      <c r="P2661" s="258"/>
      <c r="Q2661" s="258"/>
      <c r="R2661" s="258"/>
      <c r="S2661" s="258"/>
      <c r="T2661" s="258"/>
      <c r="U2661" s="258"/>
      <c r="V2661" s="258"/>
      <c r="W2661" s="258"/>
      <c r="X2661" s="258"/>
      <c r="Y2661" s="258"/>
      <c r="Z2661" s="258"/>
      <c r="AA2661" s="258"/>
      <c r="AB2661" s="258"/>
      <c r="AC2661" s="407"/>
    </row>
    <row r="2662" spans="2:29" s="406" customFormat="1" ht="16.5" customHeight="1">
      <c r="B2662" s="256"/>
      <c r="C2662" s="256"/>
      <c r="D2662" s="414"/>
      <c r="E2662" s="414"/>
      <c r="F2662" s="414"/>
      <c r="G2662" s="253"/>
      <c r="H2662" s="253"/>
      <c r="I2662" s="253"/>
      <c r="J2662" s="253"/>
      <c r="K2662" s="253"/>
      <c r="L2662" s="253"/>
      <c r="M2662" s="253"/>
      <c r="N2662" s="253"/>
      <c r="O2662" s="258"/>
      <c r="P2662" s="258"/>
      <c r="Q2662" s="258"/>
      <c r="R2662" s="258"/>
      <c r="S2662" s="258"/>
      <c r="T2662" s="258"/>
      <c r="U2662" s="258"/>
      <c r="V2662" s="258"/>
      <c r="W2662" s="258"/>
      <c r="X2662" s="258"/>
      <c r="Y2662" s="258"/>
      <c r="Z2662" s="258"/>
      <c r="AA2662" s="258"/>
      <c r="AB2662" s="258"/>
      <c r="AC2662" s="407"/>
    </row>
    <row r="2663" spans="2:29" s="406" customFormat="1" ht="16.5" customHeight="1">
      <c r="B2663" s="256"/>
      <c r="C2663" s="256"/>
      <c r="D2663" s="414"/>
      <c r="E2663" s="414"/>
      <c r="F2663" s="414"/>
      <c r="G2663" s="253"/>
      <c r="H2663" s="253"/>
      <c r="I2663" s="253"/>
      <c r="J2663" s="253"/>
      <c r="K2663" s="253"/>
      <c r="L2663" s="253"/>
      <c r="M2663" s="253"/>
      <c r="N2663" s="253"/>
      <c r="O2663" s="258"/>
      <c r="P2663" s="258"/>
      <c r="Q2663" s="258"/>
      <c r="R2663" s="258"/>
      <c r="S2663" s="258"/>
      <c r="T2663" s="258"/>
      <c r="U2663" s="258"/>
      <c r="V2663" s="258"/>
      <c r="W2663" s="258"/>
      <c r="X2663" s="258"/>
      <c r="Y2663" s="258"/>
      <c r="Z2663" s="258"/>
      <c r="AA2663" s="258"/>
      <c r="AB2663" s="258"/>
      <c r="AC2663" s="407"/>
    </row>
    <row r="2664" spans="2:29" s="406" customFormat="1" ht="16.5" customHeight="1">
      <c r="B2664" s="256"/>
      <c r="C2664" s="256"/>
      <c r="D2664" s="414"/>
      <c r="E2664" s="414"/>
      <c r="F2664" s="414"/>
      <c r="G2664" s="253"/>
      <c r="H2664" s="253"/>
      <c r="I2664" s="253"/>
      <c r="J2664" s="253"/>
      <c r="K2664" s="253"/>
      <c r="L2664" s="253"/>
      <c r="M2664" s="253"/>
      <c r="N2664" s="253"/>
      <c r="O2664" s="258"/>
      <c r="P2664" s="258"/>
      <c r="Q2664" s="258"/>
      <c r="R2664" s="258"/>
      <c r="S2664" s="258"/>
      <c r="T2664" s="258"/>
      <c r="U2664" s="258"/>
      <c r="V2664" s="258"/>
      <c r="W2664" s="258"/>
      <c r="X2664" s="258"/>
      <c r="Y2664" s="258"/>
      <c r="Z2664" s="258"/>
      <c r="AA2664" s="258"/>
      <c r="AB2664" s="258"/>
      <c r="AC2664" s="407"/>
    </row>
    <row r="2665" spans="2:29" s="406" customFormat="1" ht="16.5" customHeight="1">
      <c r="B2665" s="256"/>
      <c r="C2665" s="256"/>
      <c r="D2665" s="414"/>
      <c r="E2665" s="414"/>
      <c r="F2665" s="414"/>
      <c r="G2665" s="253"/>
      <c r="H2665" s="253"/>
      <c r="I2665" s="253"/>
      <c r="J2665" s="253"/>
      <c r="K2665" s="253"/>
      <c r="L2665" s="253"/>
      <c r="M2665" s="253"/>
      <c r="N2665" s="253"/>
      <c r="O2665" s="258"/>
      <c r="P2665" s="258"/>
      <c r="Q2665" s="258"/>
      <c r="R2665" s="258"/>
      <c r="S2665" s="258"/>
      <c r="T2665" s="258"/>
      <c r="U2665" s="258"/>
      <c r="V2665" s="258"/>
      <c r="W2665" s="258"/>
      <c r="X2665" s="258"/>
      <c r="Y2665" s="258"/>
      <c r="Z2665" s="258"/>
      <c r="AA2665" s="258"/>
      <c r="AB2665" s="258"/>
      <c r="AC2665" s="407"/>
    </row>
    <row r="2666" spans="2:29" s="406" customFormat="1" ht="16.5" customHeight="1">
      <c r="B2666" s="256"/>
      <c r="C2666" s="256"/>
      <c r="D2666" s="414"/>
      <c r="E2666" s="414"/>
      <c r="F2666" s="414"/>
      <c r="G2666" s="253"/>
      <c r="H2666" s="253"/>
      <c r="I2666" s="253"/>
      <c r="J2666" s="253"/>
      <c r="K2666" s="253"/>
      <c r="L2666" s="253"/>
      <c r="M2666" s="253"/>
      <c r="N2666" s="253"/>
      <c r="O2666" s="258"/>
      <c r="P2666" s="258"/>
      <c r="Q2666" s="258"/>
      <c r="R2666" s="258"/>
      <c r="S2666" s="258"/>
      <c r="T2666" s="258"/>
      <c r="U2666" s="258"/>
      <c r="V2666" s="258"/>
      <c r="W2666" s="258"/>
      <c r="X2666" s="258"/>
      <c r="Y2666" s="258"/>
      <c r="Z2666" s="258"/>
      <c r="AA2666" s="258"/>
      <c r="AB2666" s="258"/>
      <c r="AC2666" s="407"/>
    </row>
    <row r="2667" spans="2:29" s="406" customFormat="1" ht="16.5" customHeight="1">
      <c r="B2667" s="256"/>
      <c r="C2667" s="256"/>
      <c r="D2667" s="414"/>
      <c r="E2667" s="414"/>
      <c r="F2667" s="414"/>
      <c r="G2667" s="253"/>
      <c r="H2667" s="253"/>
      <c r="I2667" s="253"/>
      <c r="J2667" s="253"/>
      <c r="K2667" s="253"/>
      <c r="L2667" s="253"/>
      <c r="M2667" s="253"/>
      <c r="N2667" s="253"/>
      <c r="O2667" s="258"/>
      <c r="P2667" s="258"/>
      <c r="Q2667" s="258"/>
      <c r="R2667" s="258"/>
      <c r="S2667" s="258"/>
      <c r="T2667" s="258"/>
      <c r="U2667" s="258"/>
      <c r="V2667" s="258"/>
      <c r="W2667" s="258"/>
      <c r="X2667" s="258"/>
      <c r="Y2667" s="258"/>
      <c r="Z2667" s="258"/>
      <c r="AA2667" s="258"/>
      <c r="AB2667" s="258"/>
      <c r="AC2667" s="407"/>
    </row>
    <row r="2668" spans="2:29" s="406" customFormat="1" ht="16.5" customHeight="1">
      <c r="B2668" s="256"/>
      <c r="C2668" s="256"/>
      <c r="D2668" s="414"/>
      <c r="E2668" s="414"/>
      <c r="F2668" s="414"/>
      <c r="G2668" s="253"/>
      <c r="H2668" s="253"/>
      <c r="I2668" s="253"/>
      <c r="J2668" s="253"/>
      <c r="K2668" s="253"/>
      <c r="L2668" s="253"/>
      <c r="M2668" s="253"/>
      <c r="N2668" s="253"/>
      <c r="O2668" s="258"/>
      <c r="P2668" s="258"/>
      <c r="Q2668" s="258"/>
      <c r="R2668" s="258"/>
      <c r="S2668" s="258"/>
      <c r="T2668" s="258"/>
      <c r="U2668" s="258"/>
      <c r="V2668" s="258"/>
      <c r="W2668" s="258"/>
      <c r="X2668" s="258"/>
      <c r="Y2668" s="258"/>
      <c r="Z2668" s="258"/>
      <c r="AA2668" s="258"/>
      <c r="AB2668" s="258"/>
      <c r="AC2668" s="407"/>
    </row>
    <row r="2669" spans="2:29" s="406" customFormat="1" ht="16.5" customHeight="1">
      <c r="B2669" s="256"/>
      <c r="C2669" s="256"/>
      <c r="D2669" s="414"/>
      <c r="E2669" s="414"/>
      <c r="F2669" s="414"/>
      <c r="G2669" s="253"/>
      <c r="H2669" s="253"/>
      <c r="I2669" s="253"/>
      <c r="J2669" s="253"/>
      <c r="K2669" s="253"/>
      <c r="L2669" s="253"/>
      <c r="M2669" s="253"/>
      <c r="N2669" s="253"/>
      <c r="O2669" s="258"/>
      <c r="P2669" s="258"/>
      <c r="Q2669" s="258"/>
      <c r="R2669" s="258"/>
      <c r="S2669" s="258"/>
      <c r="T2669" s="258"/>
      <c r="U2669" s="258"/>
      <c r="V2669" s="258"/>
      <c r="W2669" s="258"/>
      <c r="X2669" s="258"/>
      <c r="Y2669" s="258"/>
      <c r="Z2669" s="258"/>
      <c r="AA2669" s="258"/>
      <c r="AB2669" s="258"/>
      <c r="AC2669" s="407"/>
    </row>
    <row r="2670" spans="2:29" s="406" customFormat="1" ht="16.5" customHeight="1">
      <c r="B2670" s="256"/>
      <c r="C2670" s="256"/>
      <c r="D2670" s="414"/>
      <c r="E2670" s="414"/>
      <c r="F2670" s="414"/>
      <c r="G2670" s="253"/>
      <c r="H2670" s="253"/>
      <c r="I2670" s="253"/>
      <c r="J2670" s="253"/>
      <c r="K2670" s="253"/>
      <c r="L2670" s="253"/>
      <c r="M2670" s="253"/>
      <c r="N2670" s="253"/>
      <c r="O2670" s="258"/>
      <c r="P2670" s="258"/>
      <c r="Q2670" s="258"/>
      <c r="R2670" s="258"/>
      <c r="S2670" s="258"/>
      <c r="T2670" s="258"/>
      <c r="U2670" s="258"/>
      <c r="V2670" s="258"/>
      <c r="W2670" s="258"/>
      <c r="X2670" s="258"/>
      <c r="Y2670" s="258"/>
      <c r="Z2670" s="258"/>
      <c r="AA2670" s="258"/>
      <c r="AB2670" s="258"/>
      <c r="AC2670" s="407"/>
    </row>
    <row r="2671" spans="2:29" s="406" customFormat="1" ht="16.5" customHeight="1">
      <c r="B2671" s="256"/>
      <c r="C2671" s="256"/>
      <c r="D2671" s="414"/>
      <c r="E2671" s="414"/>
      <c r="F2671" s="414"/>
      <c r="G2671" s="253"/>
      <c r="H2671" s="253"/>
      <c r="I2671" s="253"/>
      <c r="J2671" s="253"/>
      <c r="K2671" s="253"/>
      <c r="L2671" s="253"/>
      <c r="M2671" s="253"/>
      <c r="N2671" s="253"/>
      <c r="O2671" s="258"/>
      <c r="P2671" s="258"/>
      <c r="Q2671" s="258"/>
      <c r="R2671" s="258"/>
      <c r="S2671" s="258"/>
      <c r="T2671" s="258"/>
      <c r="U2671" s="258"/>
      <c r="V2671" s="258"/>
      <c r="W2671" s="258"/>
      <c r="X2671" s="258"/>
      <c r="Y2671" s="258"/>
      <c r="Z2671" s="258"/>
      <c r="AA2671" s="258"/>
      <c r="AB2671" s="258"/>
      <c r="AC2671" s="407"/>
    </row>
    <row r="2672" spans="2:29" s="406" customFormat="1" ht="16.5" customHeight="1">
      <c r="B2672" s="256"/>
      <c r="C2672" s="256"/>
      <c r="D2672" s="414"/>
      <c r="E2672" s="414"/>
      <c r="F2672" s="414"/>
      <c r="G2672" s="253"/>
      <c r="H2672" s="253"/>
      <c r="I2672" s="253"/>
      <c r="J2672" s="253"/>
      <c r="K2672" s="253"/>
      <c r="L2672" s="253"/>
      <c r="M2672" s="253"/>
      <c r="N2672" s="253"/>
      <c r="O2672" s="258"/>
      <c r="P2672" s="258"/>
      <c r="Q2672" s="258"/>
      <c r="R2672" s="258"/>
      <c r="S2672" s="258"/>
      <c r="T2672" s="258"/>
      <c r="U2672" s="258"/>
      <c r="V2672" s="258"/>
      <c r="W2672" s="258"/>
      <c r="X2672" s="258"/>
      <c r="Y2672" s="258"/>
      <c r="Z2672" s="258"/>
      <c r="AA2672" s="258"/>
      <c r="AB2672" s="258"/>
      <c r="AC2672" s="407"/>
    </row>
    <row r="2673" spans="2:29" s="406" customFormat="1" ht="16.5" customHeight="1">
      <c r="B2673" s="256"/>
      <c r="C2673" s="256"/>
      <c r="D2673" s="414"/>
      <c r="E2673" s="414"/>
      <c r="F2673" s="414"/>
      <c r="G2673" s="253"/>
      <c r="H2673" s="253"/>
      <c r="I2673" s="253"/>
      <c r="J2673" s="253"/>
      <c r="K2673" s="253"/>
      <c r="L2673" s="253"/>
      <c r="M2673" s="253"/>
      <c r="N2673" s="253"/>
      <c r="O2673" s="258"/>
      <c r="P2673" s="258"/>
      <c r="Q2673" s="258"/>
      <c r="R2673" s="258"/>
      <c r="S2673" s="258"/>
      <c r="T2673" s="258"/>
      <c r="U2673" s="258"/>
      <c r="V2673" s="258"/>
      <c r="W2673" s="258"/>
      <c r="X2673" s="258"/>
      <c r="Y2673" s="258"/>
      <c r="Z2673" s="258"/>
      <c r="AA2673" s="258"/>
      <c r="AB2673" s="258"/>
      <c r="AC2673" s="407"/>
    </row>
    <row r="2674" spans="2:29" s="406" customFormat="1" ht="16.5" customHeight="1">
      <c r="B2674" s="256"/>
      <c r="C2674" s="256"/>
      <c r="D2674" s="414"/>
      <c r="E2674" s="414"/>
      <c r="F2674" s="414"/>
      <c r="G2674" s="253"/>
      <c r="H2674" s="253"/>
      <c r="I2674" s="253"/>
      <c r="J2674" s="253"/>
      <c r="K2674" s="253"/>
      <c r="L2674" s="253"/>
      <c r="M2674" s="253"/>
      <c r="N2674" s="253"/>
      <c r="O2674" s="258"/>
      <c r="P2674" s="258"/>
      <c r="Q2674" s="258"/>
      <c r="R2674" s="258"/>
      <c r="S2674" s="258"/>
      <c r="T2674" s="258"/>
      <c r="U2674" s="258"/>
      <c r="V2674" s="258"/>
      <c r="W2674" s="258"/>
      <c r="X2674" s="258"/>
      <c r="Y2674" s="258"/>
      <c r="Z2674" s="258"/>
      <c r="AA2674" s="258"/>
      <c r="AB2674" s="258"/>
      <c r="AC2674" s="407"/>
    </row>
    <row r="2675" spans="2:29" s="406" customFormat="1" ht="16.5" customHeight="1">
      <c r="B2675" s="256"/>
      <c r="C2675" s="256"/>
      <c r="D2675" s="414"/>
      <c r="E2675" s="414"/>
      <c r="F2675" s="414"/>
      <c r="G2675" s="253"/>
      <c r="H2675" s="253"/>
      <c r="I2675" s="253"/>
      <c r="J2675" s="253"/>
      <c r="K2675" s="253"/>
      <c r="L2675" s="253"/>
      <c r="M2675" s="253"/>
      <c r="N2675" s="253"/>
      <c r="O2675" s="258"/>
      <c r="P2675" s="258"/>
      <c r="Q2675" s="258"/>
      <c r="R2675" s="258"/>
      <c r="S2675" s="258"/>
      <c r="T2675" s="258"/>
      <c r="U2675" s="258"/>
      <c r="V2675" s="258"/>
      <c r="W2675" s="258"/>
      <c r="X2675" s="258"/>
      <c r="Y2675" s="258"/>
      <c r="Z2675" s="258"/>
      <c r="AA2675" s="258"/>
      <c r="AB2675" s="258"/>
      <c r="AC2675" s="407"/>
    </row>
    <row r="2676" spans="2:29" s="406" customFormat="1" ht="16.5" customHeight="1">
      <c r="B2676" s="256"/>
      <c r="C2676" s="256"/>
      <c r="D2676" s="414"/>
      <c r="E2676" s="414"/>
      <c r="F2676" s="414"/>
      <c r="G2676" s="253"/>
      <c r="H2676" s="253"/>
      <c r="I2676" s="253"/>
      <c r="J2676" s="253"/>
      <c r="K2676" s="253"/>
      <c r="L2676" s="253"/>
      <c r="M2676" s="253"/>
      <c r="N2676" s="253"/>
      <c r="O2676" s="258"/>
      <c r="P2676" s="258"/>
      <c r="Q2676" s="258"/>
      <c r="R2676" s="258"/>
      <c r="S2676" s="258"/>
      <c r="T2676" s="258"/>
      <c r="U2676" s="258"/>
      <c r="V2676" s="258"/>
      <c r="W2676" s="258"/>
      <c r="X2676" s="258"/>
      <c r="Y2676" s="258"/>
      <c r="Z2676" s="258"/>
      <c r="AA2676" s="258"/>
      <c r="AB2676" s="258"/>
      <c r="AC2676" s="407"/>
    </row>
    <row r="2677" spans="2:29" s="406" customFormat="1" ht="16.5" customHeight="1">
      <c r="B2677" s="256"/>
      <c r="C2677" s="256"/>
      <c r="D2677" s="414"/>
      <c r="E2677" s="414"/>
      <c r="F2677" s="414"/>
      <c r="G2677" s="253"/>
      <c r="H2677" s="253"/>
      <c r="I2677" s="253"/>
      <c r="J2677" s="253"/>
      <c r="K2677" s="253"/>
      <c r="L2677" s="253"/>
      <c r="M2677" s="253"/>
      <c r="N2677" s="253"/>
      <c r="O2677" s="258"/>
      <c r="P2677" s="258"/>
      <c r="Q2677" s="258"/>
      <c r="R2677" s="258"/>
      <c r="S2677" s="258"/>
      <c r="T2677" s="258"/>
      <c r="U2677" s="258"/>
      <c r="V2677" s="258"/>
      <c r="W2677" s="258"/>
      <c r="X2677" s="258"/>
      <c r="Y2677" s="258"/>
      <c r="Z2677" s="258"/>
      <c r="AA2677" s="258"/>
      <c r="AB2677" s="258"/>
      <c r="AC2677" s="407"/>
    </row>
    <row r="2678" spans="2:29" s="406" customFormat="1" ht="16.5" customHeight="1">
      <c r="B2678" s="256"/>
      <c r="C2678" s="256"/>
      <c r="D2678" s="414"/>
      <c r="E2678" s="414"/>
      <c r="F2678" s="414"/>
      <c r="G2678" s="253"/>
      <c r="H2678" s="253"/>
      <c r="I2678" s="253"/>
      <c r="J2678" s="253"/>
      <c r="K2678" s="253"/>
      <c r="L2678" s="253"/>
      <c r="M2678" s="253"/>
      <c r="N2678" s="253"/>
      <c r="O2678" s="258"/>
      <c r="P2678" s="258"/>
      <c r="Q2678" s="258"/>
      <c r="R2678" s="258"/>
      <c r="S2678" s="258"/>
      <c r="T2678" s="258"/>
      <c r="U2678" s="258"/>
      <c r="V2678" s="258"/>
      <c r="W2678" s="258"/>
      <c r="X2678" s="258"/>
      <c r="Y2678" s="258"/>
      <c r="Z2678" s="258"/>
      <c r="AA2678" s="258"/>
      <c r="AB2678" s="258"/>
      <c r="AC2678" s="407"/>
    </row>
    <row r="2679" spans="2:29" s="406" customFormat="1" ht="16.5" customHeight="1">
      <c r="B2679" s="256"/>
      <c r="C2679" s="256"/>
      <c r="D2679" s="414"/>
      <c r="E2679" s="414"/>
      <c r="F2679" s="414"/>
      <c r="G2679" s="253"/>
      <c r="H2679" s="253"/>
      <c r="I2679" s="253"/>
      <c r="J2679" s="253"/>
      <c r="K2679" s="253"/>
      <c r="L2679" s="253"/>
      <c r="M2679" s="253"/>
      <c r="N2679" s="253"/>
      <c r="O2679" s="258"/>
      <c r="P2679" s="258"/>
      <c r="Q2679" s="258"/>
      <c r="R2679" s="258"/>
      <c r="S2679" s="258"/>
      <c r="T2679" s="258"/>
      <c r="U2679" s="258"/>
      <c r="V2679" s="258"/>
      <c r="W2679" s="258"/>
      <c r="X2679" s="258"/>
      <c r="Y2679" s="258"/>
      <c r="Z2679" s="258"/>
      <c r="AA2679" s="258"/>
      <c r="AB2679" s="258"/>
      <c r="AC2679" s="407"/>
    </row>
    <row r="2680" spans="2:29" s="406" customFormat="1" ht="16.5" customHeight="1">
      <c r="B2680" s="256"/>
      <c r="C2680" s="256"/>
      <c r="D2680" s="414"/>
      <c r="E2680" s="414"/>
      <c r="F2680" s="414"/>
      <c r="G2680" s="253"/>
      <c r="H2680" s="253"/>
      <c r="I2680" s="253"/>
      <c r="J2680" s="253"/>
      <c r="K2680" s="253"/>
      <c r="L2680" s="253"/>
      <c r="M2680" s="253"/>
      <c r="N2680" s="253"/>
      <c r="O2680" s="258"/>
      <c r="P2680" s="258"/>
      <c r="Q2680" s="258"/>
      <c r="R2680" s="258"/>
      <c r="S2680" s="258"/>
      <c r="T2680" s="258"/>
      <c r="U2680" s="258"/>
      <c r="V2680" s="258"/>
      <c r="W2680" s="258"/>
      <c r="X2680" s="258"/>
      <c r="Y2680" s="258"/>
      <c r="Z2680" s="258"/>
      <c r="AA2680" s="258"/>
      <c r="AB2680" s="258"/>
      <c r="AC2680" s="407"/>
    </row>
    <row r="2681" spans="2:29" s="406" customFormat="1" ht="16.5" customHeight="1">
      <c r="B2681" s="256"/>
      <c r="C2681" s="256"/>
      <c r="D2681" s="414"/>
      <c r="E2681" s="414"/>
      <c r="F2681" s="414"/>
      <c r="G2681" s="253"/>
      <c r="H2681" s="253"/>
      <c r="I2681" s="253"/>
      <c r="J2681" s="253"/>
      <c r="K2681" s="253"/>
      <c r="L2681" s="253"/>
      <c r="M2681" s="253"/>
      <c r="N2681" s="253"/>
      <c r="O2681" s="258"/>
      <c r="P2681" s="258"/>
      <c r="Q2681" s="258"/>
      <c r="R2681" s="258"/>
      <c r="S2681" s="258"/>
      <c r="T2681" s="258"/>
      <c r="U2681" s="258"/>
      <c r="V2681" s="258"/>
      <c r="W2681" s="258"/>
      <c r="X2681" s="258"/>
      <c r="Y2681" s="258"/>
      <c r="Z2681" s="258"/>
      <c r="AA2681" s="258"/>
      <c r="AB2681" s="258"/>
      <c r="AC2681" s="407"/>
    </row>
    <row r="2682" spans="2:29" s="406" customFormat="1" ht="16.5" customHeight="1">
      <c r="B2682" s="256"/>
      <c r="C2682" s="256"/>
      <c r="D2682" s="414"/>
      <c r="E2682" s="414"/>
      <c r="F2682" s="414"/>
      <c r="G2682" s="253"/>
      <c r="H2682" s="253"/>
      <c r="I2682" s="253"/>
      <c r="J2682" s="253"/>
      <c r="K2682" s="253"/>
      <c r="L2682" s="253"/>
      <c r="M2682" s="253"/>
      <c r="N2682" s="253"/>
      <c r="O2682" s="258"/>
      <c r="P2682" s="258"/>
      <c r="Q2682" s="258"/>
      <c r="R2682" s="258"/>
      <c r="S2682" s="258"/>
      <c r="T2682" s="258"/>
      <c r="U2682" s="258"/>
      <c r="V2682" s="258"/>
      <c r="W2682" s="258"/>
      <c r="X2682" s="258"/>
      <c r="Y2682" s="258"/>
      <c r="Z2682" s="258"/>
      <c r="AA2682" s="258"/>
      <c r="AB2682" s="258"/>
      <c r="AC2682" s="407"/>
    </row>
    <row r="2683" spans="2:29" s="406" customFormat="1" ht="16.5" customHeight="1">
      <c r="B2683" s="256"/>
      <c r="C2683" s="256"/>
      <c r="D2683" s="414"/>
      <c r="E2683" s="414"/>
      <c r="F2683" s="414"/>
      <c r="G2683" s="253"/>
      <c r="H2683" s="253"/>
      <c r="I2683" s="253"/>
      <c r="J2683" s="253"/>
      <c r="K2683" s="253"/>
      <c r="L2683" s="253"/>
      <c r="M2683" s="253"/>
      <c r="N2683" s="253"/>
      <c r="O2683" s="258"/>
      <c r="P2683" s="258"/>
      <c r="Q2683" s="258"/>
      <c r="R2683" s="258"/>
      <c r="S2683" s="258"/>
      <c r="T2683" s="258"/>
      <c r="U2683" s="258"/>
      <c r="V2683" s="258"/>
      <c r="W2683" s="258"/>
      <c r="X2683" s="258"/>
      <c r="Y2683" s="258"/>
      <c r="Z2683" s="258"/>
      <c r="AA2683" s="258"/>
      <c r="AB2683" s="258"/>
      <c r="AC2683" s="407"/>
    </row>
    <row r="2684" spans="2:29" s="406" customFormat="1" ht="16.5" customHeight="1">
      <c r="B2684" s="256"/>
      <c r="C2684" s="256"/>
      <c r="D2684" s="414"/>
      <c r="E2684" s="414"/>
      <c r="F2684" s="414"/>
      <c r="G2684" s="253"/>
      <c r="H2684" s="253"/>
      <c r="I2684" s="253"/>
      <c r="J2684" s="253"/>
      <c r="K2684" s="253"/>
      <c r="L2684" s="253"/>
      <c r="M2684" s="253"/>
      <c r="N2684" s="253"/>
      <c r="O2684" s="258"/>
      <c r="P2684" s="258"/>
      <c r="Q2684" s="258"/>
      <c r="R2684" s="258"/>
      <c r="S2684" s="258"/>
      <c r="T2684" s="258"/>
      <c r="U2684" s="258"/>
      <c r="V2684" s="258"/>
      <c r="W2684" s="258"/>
      <c r="X2684" s="258"/>
      <c r="Y2684" s="258"/>
      <c r="Z2684" s="258"/>
      <c r="AA2684" s="258"/>
      <c r="AB2684" s="258"/>
      <c r="AC2684" s="407"/>
    </row>
    <row r="2685" spans="2:29" s="406" customFormat="1" ht="16.5" customHeight="1">
      <c r="B2685" s="256"/>
      <c r="C2685" s="256"/>
      <c r="D2685" s="414"/>
      <c r="E2685" s="414"/>
      <c r="F2685" s="414"/>
      <c r="G2685" s="253"/>
      <c r="H2685" s="253"/>
      <c r="I2685" s="253"/>
      <c r="J2685" s="253"/>
      <c r="K2685" s="253"/>
      <c r="L2685" s="253"/>
      <c r="M2685" s="253"/>
      <c r="N2685" s="253"/>
      <c r="O2685" s="258"/>
      <c r="P2685" s="258"/>
      <c r="Q2685" s="258"/>
      <c r="R2685" s="258"/>
      <c r="S2685" s="258"/>
      <c r="T2685" s="258"/>
      <c r="U2685" s="258"/>
      <c r="V2685" s="258"/>
      <c r="W2685" s="258"/>
      <c r="X2685" s="258"/>
      <c r="Y2685" s="258"/>
      <c r="Z2685" s="258"/>
      <c r="AA2685" s="258"/>
      <c r="AB2685" s="258"/>
      <c r="AC2685" s="407"/>
    </row>
    <row r="2686" spans="2:29" s="406" customFormat="1" ht="16.5" customHeight="1">
      <c r="B2686" s="256"/>
      <c r="C2686" s="256"/>
      <c r="D2686" s="414"/>
      <c r="E2686" s="414"/>
      <c r="F2686" s="414"/>
      <c r="G2686" s="253"/>
      <c r="H2686" s="253"/>
      <c r="I2686" s="253"/>
      <c r="J2686" s="253"/>
      <c r="K2686" s="253"/>
      <c r="L2686" s="253"/>
      <c r="M2686" s="253"/>
      <c r="N2686" s="253"/>
      <c r="O2686" s="258"/>
      <c r="P2686" s="258"/>
      <c r="Q2686" s="258"/>
      <c r="R2686" s="258"/>
      <c r="S2686" s="258"/>
      <c r="T2686" s="258"/>
      <c r="U2686" s="258"/>
      <c r="V2686" s="258"/>
      <c r="W2686" s="258"/>
      <c r="X2686" s="258"/>
      <c r="Y2686" s="258"/>
      <c r="Z2686" s="258"/>
      <c r="AA2686" s="258"/>
      <c r="AB2686" s="258"/>
      <c r="AC2686" s="407"/>
    </row>
    <row r="2687" spans="2:29" s="406" customFormat="1" ht="16.5" customHeight="1">
      <c r="B2687" s="256"/>
      <c r="C2687" s="256"/>
      <c r="D2687" s="414"/>
      <c r="E2687" s="414"/>
      <c r="F2687" s="414"/>
      <c r="G2687" s="253"/>
      <c r="H2687" s="253"/>
      <c r="I2687" s="253"/>
      <c r="J2687" s="253"/>
      <c r="K2687" s="253"/>
      <c r="L2687" s="253"/>
      <c r="M2687" s="253"/>
      <c r="N2687" s="253"/>
      <c r="O2687" s="258"/>
      <c r="P2687" s="258"/>
      <c r="Q2687" s="258"/>
      <c r="R2687" s="258"/>
      <c r="S2687" s="258"/>
      <c r="T2687" s="258"/>
      <c r="U2687" s="258"/>
      <c r="V2687" s="258"/>
      <c r="W2687" s="258"/>
      <c r="X2687" s="258"/>
      <c r="Y2687" s="258"/>
      <c r="Z2687" s="258"/>
      <c r="AA2687" s="258"/>
      <c r="AB2687" s="258"/>
      <c r="AC2687" s="407"/>
    </row>
    <row r="2688" spans="2:29" s="406" customFormat="1" ht="16.5" customHeight="1">
      <c r="B2688" s="256"/>
      <c r="C2688" s="256"/>
      <c r="D2688" s="414"/>
      <c r="E2688" s="414"/>
      <c r="F2688" s="414"/>
      <c r="G2688" s="253"/>
      <c r="H2688" s="253"/>
      <c r="I2688" s="253"/>
      <c r="J2688" s="253"/>
      <c r="K2688" s="253"/>
      <c r="L2688" s="253"/>
      <c r="M2688" s="253"/>
      <c r="N2688" s="253"/>
      <c r="O2688" s="258"/>
      <c r="P2688" s="258"/>
      <c r="Q2688" s="258"/>
      <c r="R2688" s="258"/>
      <c r="S2688" s="258"/>
      <c r="T2688" s="258"/>
      <c r="U2688" s="258"/>
      <c r="V2688" s="258"/>
      <c r="W2688" s="258"/>
      <c r="X2688" s="258"/>
      <c r="Y2688" s="258"/>
      <c r="Z2688" s="258"/>
      <c r="AA2688" s="258"/>
      <c r="AB2688" s="258"/>
      <c r="AC2688" s="407"/>
    </row>
    <row r="2689" spans="2:29" s="406" customFormat="1" ht="16.5" customHeight="1">
      <c r="B2689" s="256"/>
      <c r="C2689" s="256"/>
      <c r="D2689" s="414"/>
      <c r="E2689" s="414"/>
      <c r="F2689" s="414"/>
      <c r="G2689" s="253"/>
      <c r="H2689" s="253"/>
      <c r="I2689" s="253"/>
      <c r="J2689" s="253"/>
      <c r="K2689" s="253"/>
      <c r="L2689" s="253"/>
      <c r="M2689" s="253"/>
      <c r="N2689" s="253"/>
      <c r="O2689" s="258"/>
      <c r="P2689" s="258"/>
      <c r="Q2689" s="258"/>
      <c r="R2689" s="258"/>
      <c r="S2689" s="258"/>
      <c r="T2689" s="258"/>
      <c r="U2689" s="258"/>
      <c r="V2689" s="258"/>
      <c r="W2689" s="258"/>
      <c r="X2689" s="258"/>
      <c r="Y2689" s="258"/>
      <c r="Z2689" s="258"/>
      <c r="AA2689" s="258"/>
      <c r="AB2689" s="258"/>
      <c r="AC2689" s="407"/>
    </row>
    <row r="2690" spans="2:29" s="406" customFormat="1" ht="16.5" customHeight="1">
      <c r="B2690" s="256"/>
      <c r="C2690" s="256"/>
      <c r="D2690" s="414"/>
      <c r="E2690" s="414"/>
      <c r="F2690" s="414"/>
      <c r="G2690" s="253"/>
      <c r="H2690" s="253"/>
      <c r="I2690" s="253"/>
      <c r="J2690" s="253"/>
      <c r="K2690" s="253"/>
      <c r="L2690" s="253"/>
      <c r="M2690" s="253"/>
      <c r="N2690" s="253"/>
      <c r="O2690" s="258"/>
      <c r="P2690" s="258"/>
      <c r="Q2690" s="258"/>
      <c r="R2690" s="258"/>
      <c r="S2690" s="258"/>
      <c r="T2690" s="258"/>
      <c r="U2690" s="258"/>
      <c r="V2690" s="258"/>
      <c r="W2690" s="258"/>
      <c r="X2690" s="258"/>
      <c r="Y2690" s="258"/>
      <c r="Z2690" s="258"/>
      <c r="AA2690" s="258"/>
      <c r="AB2690" s="258"/>
      <c r="AC2690" s="407"/>
    </row>
    <row r="2691" spans="2:29" s="406" customFormat="1" ht="16.5" customHeight="1">
      <c r="B2691" s="256"/>
      <c r="C2691" s="256"/>
      <c r="D2691" s="414"/>
      <c r="E2691" s="414"/>
      <c r="F2691" s="414"/>
      <c r="G2691" s="253"/>
      <c r="H2691" s="253"/>
      <c r="I2691" s="253"/>
      <c r="J2691" s="253"/>
      <c r="K2691" s="253"/>
      <c r="L2691" s="253"/>
      <c r="M2691" s="253"/>
      <c r="N2691" s="253"/>
      <c r="O2691" s="258"/>
      <c r="P2691" s="258"/>
      <c r="Q2691" s="258"/>
      <c r="R2691" s="258"/>
      <c r="S2691" s="258"/>
      <c r="T2691" s="258"/>
      <c r="U2691" s="258"/>
      <c r="V2691" s="258"/>
      <c r="W2691" s="258"/>
      <c r="X2691" s="258"/>
      <c r="Y2691" s="258"/>
      <c r="Z2691" s="258"/>
      <c r="AA2691" s="258"/>
      <c r="AB2691" s="258"/>
      <c r="AC2691" s="407"/>
    </row>
    <row r="2692" spans="2:29" s="406" customFormat="1" ht="16.5" customHeight="1">
      <c r="B2692" s="256"/>
      <c r="C2692" s="256"/>
      <c r="D2692" s="414"/>
      <c r="E2692" s="414"/>
      <c r="F2692" s="414"/>
      <c r="G2692" s="253"/>
      <c r="H2692" s="253"/>
      <c r="I2692" s="253"/>
      <c r="J2692" s="253"/>
      <c r="K2692" s="253"/>
      <c r="L2692" s="253"/>
      <c r="M2692" s="253"/>
      <c r="N2692" s="253"/>
      <c r="O2692" s="258"/>
      <c r="P2692" s="258"/>
      <c r="Q2692" s="258"/>
      <c r="R2692" s="258"/>
      <c r="S2692" s="258"/>
      <c r="T2692" s="258"/>
      <c r="U2692" s="258"/>
      <c r="V2692" s="258"/>
      <c r="W2692" s="258"/>
      <c r="X2692" s="258"/>
      <c r="Y2692" s="258"/>
      <c r="Z2692" s="258"/>
      <c r="AA2692" s="258"/>
      <c r="AB2692" s="258"/>
      <c r="AC2692" s="407"/>
    </row>
    <row r="2693" spans="2:29" s="406" customFormat="1" ht="16.5" customHeight="1">
      <c r="B2693" s="256"/>
      <c r="C2693" s="256"/>
      <c r="D2693" s="414"/>
      <c r="E2693" s="414"/>
      <c r="F2693" s="414"/>
      <c r="G2693" s="253"/>
      <c r="H2693" s="253"/>
      <c r="I2693" s="253"/>
      <c r="J2693" s="253"/>
      <c r="K2693" s="253"/>
      <c r="L2693" s="253"/>
      <c r="M2693" s="253"/>
      <c r="N2693" s="253"/>
      <c r="O2693" s="258"/>
      <c r="P2693" s="258"/>
      <c r="Q2693" s="258"/>
      <c r="R2693" s="258"/>
      <c r="S2693" s="258"/>
      <c r="T2693" s="258"/>
      <c r="U2693" s="258"/>
      <c r="V2693" s="258"/>
      <c r="W2693" s="258"/>
      <c r="X2693" s="258"/>
      <c r="Y2693" s="258"/>
      <c r="Z2693" s="258"/>
      <c r="AA2693" s="258"/>
      <c r="AB2693" s="258"/>
      <c r="AC2693" s="407"/>
    </row>
    <row r="2694" spans="2:29" s="406" customFormat="1" ht="16.5" customHeight="1">
      <c r="B2694" s="256"/>
      <c r="C2694" s="256"/>
      <c r="D2694" s="414"/>
      <c r="E2694" s="414"/>
      <c r="F2694" s="414"/>
      <c r="G2694" s="253"/>
      <c r="H2694" s="253"/>
      <c r="I2694" s="253"/>
      <c r="J2694" s="253"/>
      <c r="K2694" s="253"/>
      <c r="L2694" s="253"/>
      <c r="M2694" s="253"/>
      <c r="N2694" s="253"/>
      <c r="O2694" s="258"/>
      <c r="P2694" s="258"/>
      <c r="Q2694" s="258"/>
      <c r="R2694" s="258"/>
      <c r="S2694" s="258"/>
      <c r="T2694" s="258"/>
      <c r="U2694" s="258"/>
      <c r="V2694" s="258"/>
      <c r="W2694" s="258"/>
      <c r="X2694" s="258"/>
      <c r="Y2694" s="258"/>
      <c r="Z2694" s="258"/>
      <c r="AA2694" s="258"/>
      <c r="AB2694" s="258"/>
      <c r="AC2694" s="407"/>
    </row>
    <row r="2695" spans="2:29" s="406" customFormat="1" ht="16.5" customHeight="1">
      <c r="B2695" s="256"/>
      <c r="C2695" s="256"/>
      <c r="D2695" s="414"/>
      <c r="E2695" s="414"/>
      <c r="F2695" s="414"/>
      <c r="G2695" s="253"/>
      <c r="H2695" s="253"/>
      <c r="I2695" s="253"/>
      <c r="J2695" s="253"/>
      <c r="K2695" s="253"/>
      <c r="L2695" s="253"/>
      <c r="M2695" s="253"/>
      <c r="N2695" s="253"/>
      <c r="O2695" s="258"/>
      <c r="P2695" s="258"/>
      <c r="Q2695" s="258"/>
      <c r="R2695" s="258"/>
      <c r="S2695" s="258"/>
      <c r="T2695" s="258"/>
      <c r="U2695" s="258"/>
      <c r="V2695" s="258"/>
      <c r="W2695" s="258"/>
      <c r="X2695" s="258"/>
      <c r="Y2695" s="258"/>
      <c r="Z2695" s="258"/>
      <c r="AA2695" s="258"/>
      <c r="AB2695" s="258"/>
      <c r="AC2695" s="407"/>
    </row>
    <row r="2696" spans="2:29" s="406" customFormat="1" ht="16.5" customHeight="1">
      <c r="B2696" s="256"/>
      <c r="C2696" s="256"/>
      <c r="D2696" s="414"/>
      <c r="E2696" s="414"/>
      <c r="F2696" s="414"/>
      <c r="G2696" s="253"/>
      <c r="H2696" s="253"/>
      <c r="I2696" s="253"/>
      <c r="J2696" s="253"/>
      <c r="K2696" s="253"/>
      <c r="L2696" s="253"/>
      <c r="M2696" s="253"/>
      <c r="N2696" s="253"/>
      <c r="O2696" s="258"/>
      <c r="P2696" s="258"/>
      <c r="Q2696" s="258"/>
      <c r="R2696" s="258"/>
      <c r="S2696" s="258"/>
      <c r="T2696" s="258"/>
      <c r="U2696" s="258"/>
      <c r="V2696" s="258"/>
      <c r="W2696" s="258"/>
      <c r="X2696" s="258"/>
      <c r="Y2696" s="258"/>
      <c r="Z2696" s="258"/>
      <c r="AA2696" s="258"/>
      <c r="AB2696" s="258"/>
      <c r="AC2696" s="407"/>
    </row>
    <row r="2697" spans="2:29" s="406" customFormat="1" ht="16.5" customHeight="1">
      <c r="B2697" s="256"/>
      <c r="C2697" s="256"/>
      <c r="D2697" s="414"/>
      <c r="E2697" s="414"/>
      <c r="F2697" s="414"/>
      <c r="G2697" s="253"/>
      <c r="H2697" s="253"/>
      <c r="I2697" s="253"/>
      <c r="J2697" s="253"/>
      <c r="K2697" s="253"/>
      <c r="L2697" s="253"/>
      <c r="M2697" s="253"/>
      <c r="N2697" s="253"/>
      <c r="O2697" s="258"/>
      <c r="P2697" s="258"/>
      <c r="Q2697" s="258"/>
      <c r="R2697" s="258"/>
      <c r="S2697" s="258"/>
      <c r="T2697" s="258"/>
      <c r="U2697" s="258"/>
      <c r="V2697" s="258"/>
      <c r="W2697" s="258"/>
      <c r="X2697" s="258"/>
      <c r="Y2697" s="258"/>
      <c r="Z2697" s="258"/>
      <c r="AA2697" s="258"/>
      <c r="AB2697" s="258"/>
      <c r="AC2697" s="407"/>
    </row>
    <row r="2698" spans="2:29" s="406" customFormat="1" ht="16.5" customHeight="1">
      <c r="B2698" s="256"/>
      <c r="C2698" s="256"/>
      <c r="D2698" s="414"/>
      <c r="E2698" s="414"/>
      <c r="F2698" s="414"/>
      <c r="G2698" s="253"/>
      <c r="H2698" s="253"/>
      <c r="I2698" s="253"/>
      <c r="J2698" s="253"/>
      <c r="K2698" s="253"/>
      <c r="L2698" s="253"/>
      <c r="M2698" s="253"/>
      <c r="N2698" s="253"/>
      <c r="O2698" s="258"/>
      <c r="P2698" s="258"/>
      <c r="Q2698" s="258"/>
      <c r="R2698" s="258"/>
      <c r="S2698" s="258"/>
      <c r="T2698" s="258"/>
      <c r="U2698" s="258"/>
      <c r="V2698" s="258"/>
      <c r="W2698" s="258"/>
      <c r="X2698" s="258"/>
      <c r="Y2698" s="258"/>
      <c r="Z2698" s="258"/>
      <c r="AA2698" s="258"/>
      <c r="AB2698" s="258"/>
      <c r="AC2698" s="407"/>
    </row>
    <row r="2699" spans="2:29" s="406" customFormat="1" ht="16.5" customHeight="1">
      <c r="B2699" s="256"/>
      <c r="C2699" s="256"/>
      <c r="D2699" s="414"/>
      <c r="E2699" s="414"/>
      <c r="F2699" s="414"/>
      <c r="G2699" s="253"/>
      <c r="H2699" s="253"/>
      <c r="I2699" s="253"/>
      <c r="J2699" s="253"/>
      <c r="K2699" s="253"/>
      <c r="L2699" s="253"/>
      <c r="M2699" s="253"/>
      <c r="N2699" s="253"/>
      <c r="O2699" s="258"/>
      <c r="P2699" s="258"/>
      <c r="Q2699" s="258"/>
      <c r="R2699" s="258"/>
      <c r="S2699" s="258"/>
      <c r="T2699" s="258"/>
      <c r="U2699" s="258"/>
      <c r="V2699" s="258"/>
      <c r="W2699" s="258"/>
      <c r="X2699" s="258"/>
      <c r="Y2699" s="258"/>
      <c r="Z2699" s="258"/>
      <c r="AA2699" s="258"/>
      <c r="AB2699" s="258"/>
      <c r="AC2699" s="407"/>
    </row>
    <row r="2700" spans="2:29" s="406" customFormat="1" ht="16.5" customHeight="1">
      <c r="B2700" s="256"/>
      <c r="C2700" s="256"/>
      <c r="D2700" s="414"/>
      <c r="E2700" s="414"/>
      <c r="F2700" s="414"/>
      <c r="G2700" s="253"/>
      <c r="H2700" s="253"/>
      <c r="I2700" s="253"/>
      <c r="J2700" s="253"/>
      <c r="K2700" s="253"/>
      <c r="L2700" s="253"/>
      <c r="M2700" s="253"/>
      <c r="N2700" s="253"/>
      <c r="O2700" s="258"/>
      <c r="P2700" s="258"/>
      <c r="Q2700" s="258"/>
      <c r="R2700" s="258"/>
      <c r="S2700" s="258"/>
      <c r="T2700" s="258"/>
      <c r="U2700" s="258"/>
      <c r="V2700" s="258"/>
      <c r="W2700" s="258"/>
      <c r="X2700" s="258"/>
      <c r="Y2700" s="258"/>
      <c r="Z2700" s="258"/>
      <c r="AA2700" s="258"/>
      <c r="AB2700" s="258"/>
      <c r="AC2700" s="407"/>
    </row>
    <row r="2701" spans="2:29" s="406" customFormat="1" ht="16.5" customHeight="1">
      <c r="B2701" s="256"/>
      <c r="C2701" s="256"/>
      <c r="D2701" s="414"/>
      <c r="E2701" s="414"/>
      <c r="F2701" s="414"/>
      <c r="G2701" s="253"/>
      <c r="H2701" s="253"/>
      <c r="I2701" s="253"/>
      <c r="J2701" s="253"/>
      <c r="K2701" s="253"/>
      <c r="L2701" s="253"/>
      <c r="M2701" s="253"/>
      <c r="N2701" s="253"/>
      <c r="O2701" s="258"/>
      <c r="P2701" s="258"/>
      <c r="Q2701" s="258"/>
      <c r="R2701" s="258"/>
      <c r="S2701" s="258"/>
      <c r="T2701" s="258"/>
      <c r="U2701" s="258"/>
      <c r="V2701" s="258"/>
      <c r="W2701" s="258"/>
      <c r="X2701" s="258"/>
      <c r="Y2701" s="258"/>
      <c r="Z2701" s="258"/>
      <c r="AA2701" s="258"/>
      <c r="AB2701" s="258"/>
      <c r="AC2701" s="407"/>
    </row>
    <row r="2702" spans="2:29" s="406" customFormat="1" ht="16.5" customHeight="1">
      <c r="B2702" s="256"/>
      <c r="C2702" s="256"/>
      <c r="D2702" s="414"/>
      <c r="E2702" s="414"/>
      <c r="F2702" s="414"/>
      <c r="G2702" s="253"/>
      <c r="H2702" s="253"/>
      <c r="I2702" s="253"/>
      <c r="J2702" s="253"/>
      <c r="K2702" s="253"/>
      <c r="L2702" s="253"/>
      <c r="M2702" s="253"/>
      <c r="N2702" s="253"/>
      <c r="O2702" s="258"/>
      <c r="P2702" s="258"/>
      <c r="Q2702" s="258"/>
      <c r="R2702" s="258"/>
      <c r="S2702" s="258"/>
      <c r="T2702" s="258"/>
      <c r="U2702" s="258"/>
      <c r="V2702" s="258"/>
      <c r="W2702" s="258"/>
      <c r="X2702" s="258"/>
      <c r="Y2702" s="258"/>
      <c r="Z2702" s="258"/>
      <c r="AA2702" s="258"/>
      <c r="AB2702" s="258"/>
      <c r="AC2702" s="407"/>
    </row>
    <row r="2703" spans="2:29" s="406" customFormat="1" ht="16.5" customHeight="1">
      <c r="B2703" s="256"/>
      <c r="C2703" s="256"/>
      <c r="D2703" s="414"/>
      <c r="E2703" s="414"/>
      <c r="F2703" s="414"/>
      <c r="G2703" s="253"/>
      <c r="H2703" s="253"/>
      <c r="I2703" s="253"/>
      <c r="J2703" s="253"/>
      <c r="K2703" s="253"/>
      <c r="L2703" s="253"/>
      <c r="M2703" s="253"/>
      <c r="N2703" s="253"/>
      <c r="O2703" s="258"/>
      <c r="P2703" s="258"/>
      <c r="Q2703" s="258"/>
      <c r="R2703" s="258"/>
      <c r="S2703" s="258"/>
      <c r="T2703" s="258"/>
      <c r="U2703" s="258"/>
      <c r="V2703" s="258"/>
      <c r="W2703" s="258"/>
      <c r="X2703" s="258"/>
      <c r="Y2703" s="258"/>
      <c r="Z2703" s="258"/>
      <c r="AA2703" s="258"/>
      <c r="AB2703" s="258"/>
      <c r="AC2703" s="407"/>
    </row>
    <row r="2704" spans="2:29" s="406" customFormat="1" ht="16.5" customHeight="1">
      <c r="B2704" s="256"/>
      <c r="C2704" s="256"/>
      <c r="D2704" s="414"/>
      <c r="E2704" s="414"/>
      <c r="F2704" s="414"/>
      <c r="G2704" s="253"/>
      <c r="H2704" s="253"/>
      <c r="I2704" s="253"/>
      <c r="J2704" s="253"/>
      <c r="K2704" s="253"/>
      <c r="L2704" s="253"/>
      <c r="M2704" s="253"/>
      <c r="N2704" s="253"/>
      <c r="O2704" s="258"/>
      <c r="P2704" s="258"/>
      <c r="Q2704" s="258"/>
      <c r="R2704" s="258"/>
      <c r="S2704" s="258"/>
      <c r="T2704" s="258"/>
      <c r="U2704" s="258"/>
      <c r="V2704" s="258"/>
      <c r="W2704" s="258"/>
      <c r="X2704" s="258"/>
      <c r="Y2704" s="258"/>
      <c r="Z2704" s="258"/>
      <c r="AA2704" s="258"/>
      <c r="AB2704" s="258"/>
      <c r="AC2704" s="407"/>
    </row>
    <row r="2705" spans="2:29" s="406" customFormat="1" ht="16.5" customHeight="1">
      <c r="B2705" s="256"/>
      <c r="C2705" s="256"/>
      <c r="D2705" s="414"/>
      <c r="E2705" s="414"/>
      <c r="F2705" s="414"/>
      <c r="G2705" s="253"/>
      <c r="H2705" s="253"/>
      <c r="I2705" s="253"/>
      <c r="J2705" s="253"/>
      <c r="K2705" s="253"/>
      <c r="L2705" s="253"/>
      <c r="M2705" s="253"/>
      <c r="N2705" s="253"/>
      <c r="O2705" s="258"/>
      <c r="P2705" s="258"/>
      <c r="Q2705" s="258"/>
      <c r="R2705" s="258"/>
      <c r="S2705" s="258"/>
      <c r="T2705" s="258"/>
      <c r="U2705" s="258"/>
      <c r="V2705" s="258"/>
      <c r="W2705" s="258"/>
      <c r="X2705" s="258"/>
      <c r="Y2705" s="258"/>
      <c r="Z2705" s="258"/>
      <c r="AA2705" s="258"/>
      <c r="AB2705" s="258"/>
      <c r="AC2705" s="407"/>
    </row>
    <row r="2706" spans="2:29" s="406" customFormat="1" ht="16.5" customHeight="1">
      <c r="B2706" s="256"/>
      <c r="C2706" s="256"/>
      <c r="D2706" s="414"/>
      <c r="E2706" s="414"/>
      <c r="F2706" s="414"/>
      <c r="G2706" s="253"/>
      <c r="H2706" s="253"/>
      <c r="I2706" s="253"/>
      <c r="J2706" s="253"/>
      <c r="K2706" s="253"/>
      <c r="L2706" s="253"/>
      <c r="M2706" s="253"/>
      <c r="N2706" s="253"/>
      <c r="O2706" s="258"/>
      <c r="P2706" s="258"/>
      <c r="Q2706" s="258"/>
      <c r="R2706" s="258"/>
      <c r="S2706" s="258"/>
      <c r="T2706" s="258"/>
      <c r="U2706" s="258"/>
      <c r="V2706" s="258"/>
      <c r="W2706" s="258"/>
      <c r="X2706" s="258"/>
      <c r="Y2706" s="258"/>
      <c r="Z2706" s="258"/>
      <c r="AA2706" s="258"/>
      <c r="AB2706" s="258"/>
      <c r="AC2706" s="407"/>
    </row>
    <row r="2707" spans="2:29" s="406" customFormat="1" ht="16.5" customHeight="1">
      <c r="B2707" s="256"/>
      <c r="C2707" s="256"/>
      <c r="D2707" s="414"/>
      <c r="E2707" s="414"/>
      <c r="F2707" s="414"/>
      <c r="G2707" s="253"/>
      <c r="H2707" s="253"/>
      <c r="I2707" s="253"/>
      <c r="J2707" s="253"/>
      <c r="K2707" s="253"/>
      <c r="L2707" s="253"/>
      <c r="M2707" s="253"/>
      <c r="N2707" s="253"/>
      <c r="O2707" s="258"/>
      <c r="P2707" s="258"/>
      <c r="Q2707" s="258"/>
      <c r="R2707" s="258"/>
      <c r="S2707" s="258"/>
      <c r="T2707" s="258"/>
      <c r="U2707" s="258"/>
      <c r="V2707" s="258"/>
      <c r="W2707" s="258"/>
      <c r="X2707" s="258"/>
      <c r="Y2707" s="258"/>
      <c r="Z2707" s="258"/>
      <c r="AA2707" s="258"/>
      <c r="AB2707" s="258"/>
      <c r="AC2707" s="407"/>
    </row>
    <row r="2708" spans="2:29" s="406" customFormat="1" ht="16.5" customHeight="1">
      <c r="B2708" s="256"/>
      <c r="C2708" s="256"/>
      <c r="D2708" s="414"/>
      <c r="E2708" s="414"/>
      <c r="F2708" s="414"/>
      <c r="G2708" s="253"/>
      <c r="H2708" s="253"/>
      <c r="I2708" s="253"/>
      <c r="J2708" s="253"/>
      <c r="K2708" s="253"/>
      <c r="L2708" s="253"/>
      <c r="M2708" s="253"/>
      <c r="N2708" s="253"/>
      <c r="O2708" s="258"/>
      <c r="P2708" s="258"/>
      <c r="Q2708" s="258"/>
      <c r="R2708" s="258"/>
      <c r="S2708" s="258"/>
      <c r="T2708" s="258"/>
      <c r="U2708" s="258"/>
      <c r="V2708" s="258"/>
      <c r="W2708" s="258"/>
      <c r="X2708" s="258"/>
      <c r="Y2708" s="258"/>
      <c r="Z2708" s="258"/>
      <c r="AA2708" s="258"/>
      <c r="AB2708" s="258"/>
      <c r="AC2708" s="407"/>
    </row>
    <row r="2709" spans="2:29" s="406" customFormat="1" ht="16.5" customHeight="1">
      <c r="B2709" s="256"/>
      <c r="C2709" s="256"/>
      <c r="D2709" s="414"/>
      <c r="E2709" s="414"/>
      <c r="F2709" s="414"/>
      <c r="G2709" s="253"/>
      <c r="H2709" s="253"/>
      <c r="I2709" s="253"/>
      <c r="J2709" s="253"/>
      <c r="K2709" s="253"/>
      <c r="L2709" s="253"/>
      <c r="M2709" s="253"/>
      <c r="N2709" s="253"/>
      <c r="O2709" s="258"/>
      <c r="P2709" s="258"/>
      <c r="Q2709" s="258"/>
      <c r="R2709" s="258"/>
      <c r="S2709" s="258"/>
      <c r="T2709" s="258"/>
      <c r="U2709" s="258"/>
      <c r="V2709" s="258"/>
      <c r="W2709" s="258"/>
      <c r="X2709" s="258"/>
      <c r="Y2709" s="258"/>
      <c r="Z2709" s="258"/>
      <c r="AA2709" s="258"/>
      <c r="AB2709" s="258"/>
      <c r="AC2709" s="407"/>
    </row>
    <row r="2710" spans="2:29" s="406" customFormat="1" ht="16.5" customHeight="1">
      <c r="B2710" s="256"/>
      <c r="C2710" s="256"/>
      <c r="D2710" s="414"/>
      <c r="E2710" s="414"/>
      <c r="F2710" s="414"/>
      <c r="G2710" s="253"/>
      <c r="H2710" s="253"/>
      <c r="I2710" s="253"/>
      <c r="J2710" s="253"/>
      <c r="K2710" s="253"/>
      <c r="L2710" s="253"/>
      <c r="M2710" s="253"/>
      <c r="N2710" s="253"/>
      <c r="O2710" s="258"/>
      <c r="P2710" s="258"/>
      <c r="Q2710" s="258"/>
      <c r="R2710" s="258"/>
      <c r="S2710" s="258"/>
      <c r="T2710" s="258"/>
      <c r="U2710" s="258"/>
      <c r="V2710" s="258"/>
      <c r="W2710" s="258"/>
      <c r="X2710" s="258"/>
      <c r="Y2710" s="258"/>
      <c r="Z2710" s="258"/>
      <c r="AA2710" s="258"/>
      <c r="AB2710" s="258"/>
      <c r="AC2710" s="407"/>
    </row>
    <row r="2711" spans="2:29" s="406" customFormat="1" ht="16.5" customHeight="1">
      <c r="B2711" s="256"/>
      <c r="C2711" s="256"/>
      <c r="D2711" s="414"/>
      <c r="E2711" s="414"/>
      <c r="F2711" s="414"/>
      <c r="G2711" s="253"/>
      <c r="H2711" s="253"/>
      <c r="I2711" s="253"/>
      <c r="J2711" s="253"/>
      <c r="K2711" s="253"/>
      <c r="L2711" s="253"/>
      <c r="M2711" s="253"/>
      <c r="N2711" s="253"/>
      <c r="O2711" s="258"/>
      <c r="P2711" s="258"/>
      <c r="Q2711" s="258"/>
      <c r="R2711" s="258"/>
      <c r="S2711" s="258"/>
      <c r="T2711" s="258"/>
      <c r="U2711" s="258"/>
      <c r="V2711" s="258"/>
      <c r="W2711" s="258"/>
      <c r="X2711" s="258"/>
      <c r="Y2711" s="258"/>
      <c r="Z2711" s="258"/>
      <c r="AA2711" s="258"/>
      <c r="AB2711" s="258"/>
      <c r="AC2711" s="407"/>
    </row>
    <row r="2712" spans="2:29" s="406" customFormat="1" ht="16.5" customHeight="1">
      <c r="B2712" s="256"/>
      <c r="C2712" s="256"/>
      <c r="D2712" s="414"/>
      <c r="E2712" s="414"/>
      <c r="F2712" s="414"/>
      <c r="G2712" s="253"/>
      <c r="H2712" s="253"/>
      <c r="I2712" s="253"/>
      <c r="J2712" s="253"/>
      <c r="K2712" s="253"/>
      <c r="L2712" s="253"/>
      <c r="M2712" s="253"/>
      <c r="N2712" s="253"/>
      <c r="O2712" s="258"/>
      <c r="P2712" s="258"/>
      <c r="Q2712" s="258"/>
      <c r="R2712" s="258"/>
      <c r="S2712" s="258"/>
      <c r="T2712" s="258"/>
      <c r="U2712" s="258"/>
      <c r="V2712" s="258"/>
      <c r="W2712" s="258"/>
      <c r="X2712" s="258"/>
      <c r="Y2712" s="258"/>
      <c r="Z2712" s="258"/>
      <c r="AA2712" s="258"/>
      <c r="AB2712" s="258"/>
      <c r="AC2712" s="407"/>
    </row>
    <row r="2713" spans="2:29" s="406" customFormat="1" ht="16.5" customHeight="1">
      <c r="B2713" s="256"/>
      <c r="C2713" s="256"/>
      <c r="D2713" s="414"/>
      <c r="E2713" s="414"/>
      <c r="F2713" s="414"/>
      <c r="G2713" s="253"/>
      <c r="H2713" s="253"/>
      <c r="I2713" s="253"/>
      <c r="J2713" s="253"/>
      <c r="K2713" s="253"/>
      <c r="L2713" s="253"/>
      <c r="M2713" s="253"/>
      <c r="N2713" s="253"/>
      <c r="O2713" s="258"/>
      <c r="P2713" s="258"/>
      <c r="Q2713" s="258"/>
      <c r="R2713" s="258"/>
      <c r="S2713" s="258"/>
      <c r="T2713" s="258"/>
      <c r="U2713" s="258"/>
      <c r="V2713" s="258"/>
      <c r="W2713" s="258"/>
      <c r="X2713" s="258"/>
      <c r="Y2713" s="258"/>
      <c r="Z2713" s="258"/>
      <c r="AA2713" s="258"/>
      <c r="AB2713" s="258"/>
      <c r="AC2713" s="407"/>
    </row>
    <row r="2714" spans="2:29" s="406" customFormat="1" ht="16.5" customHeight="1">
      <c r="B2714" s="256"/>
      <c r="C2714" s="256"/>
      <c r="D2714" s="414"/>
      <c r="E2714" s="414"/>
      <c r="F2714" s="414"/>
      <c r="G2714" s="253"/>
      <c r="H2714" s="253"/>
      <c r="I2714" s="253"/>
      <c r="J2714" s="253"/>
      <c r="K2714" s="253"/>
      <c r="L2714" s="253"/>
      <c r="M2714" s="253"/>
      <c r="N2714" s="253"/>
      <c r="O2714" s="258"/>
      <c r="P2714" s="258"/>
      <c r="Q2714" s="258"/>
      <c r="R2714" s="258"/>
      <c r="S2714" s="258"/>
      <c r="T2714" s="258"/>
      <c r="U2714" s="258"/>
      <c r="V2714" s="258"/>
      <c r="W2714" s="258"/>
      <c r="X2714" s="258"/>
      <c r="Y2714" s="258"/>
      <c r="Z2714" s="258"/>
      <c r="AA2714" s="258"/>
      <c r="AB2714" s="258"/>
      <c r="AC2714" s="407"/>
    </row>
    <row r="2715" spans="2:29" s="406" customFormat="1" ht="16.5" customHeight="1">
      <c r="B2715" s="256"/>
      <c r="C2715" s="256"/>
      <c r="D2715" s="414"/>
      <c r="E2715" s="414"/>
      <c r="F2715" s="414"/>
      <c r="G2715" s="253"/>
      <c r="H2715" s="253"/>
      <c r="I2715" s="253"/>
      <c r="J2715" s="253"/>
      <c r="K2715" s="253"/>
      <c r="L2715" s="253"/>
      <c r="M2715" s="253"/>
      <c r="N2715" s="253"/>
      <c r="O2715" s="258"/>
      <c r="P2715" s="258"/>
      <c r="Q2715" s="258"/>
      <c r="R2715" s="258"/>
      <c r="S2715" s="258"/>
      <c r="T2715" s="258"/>
      <c r="U2715" s="258"/>
      <c r="V2715" s="258"/>
      <c r="W2715" s="258"/>
      <c r="X2715" s="258"/>
      <c r="Y2715" s="258"/>
      <c r="Z2715" s="258"/>
      <c r="AA2715" s="258"/>
      <c r="AB2715" s="258"/>
      <c r="AC2715" s="407"/>
    </row>
    <row r="2716" spans="2:29" s="406" customFormat="1" ht="16.5" customHeight="1">
      <c r="B2716" s="256"/>
      <c r="C2716" s="256"/>
      <c r="D2716" s="414"/>
      <c r="E2716" s="414"/>
      <c r="F2716" s="414"/>
      <c r="G2716" s="253"/>
      <c r="H2716" s="253"/>
      <c r="I2716" s="253"/>
      <c r="J2716" s="253"/>
      <c r="K2716" s="253"/>
      <c r="L2716" s="253"/>
      <c r="M2716" s="253"/>
      <c r="N2716" s="253"/>
      <c r="O2716" s="258"/>
      <c r="P2716" s="258"/>
      <c r="Q2716" s="258"/>
      <c r="R2716" s="258"/>
      <c r="S2716" s="258"/>
      <c r="T2716" s="258"/>
      <c r="U2716" s="258"/>
      <c r="V2716" s="258"/>
      <c r="W2716" s="258"/>
      <c r="X2716" s="258"/>
      <c r="Y2716" s="258"/>
      <c r="Z2716" s="258"/>
      <c r="AA2716" s="258"/>
      <c r="AB2716" s="258"/>
      <c r="AC2716" s="407"/>
    </row>
    <row r="2717" spans="2:29" s="406" customFormat="1" ht="16.5" customHeight="1">
      <c r="B2717" s="256"/>
      <c r="C2717" s="256"/>
      <c r="D2717" s="414"/>
      <c r="E2717" s="414"/>
      <c r="F2717" s="414"/>
      <c r="G2717" s="253"/>
      <c r="H2717" s="253"/>
      <c r="I2717" s="253"/>
      <c r="J2717" s="253"/>
      <c r="K2717" s="253"/>
      <c r="L2717" s="253"/>
      <c r="M2717" s="253"/>
      <c r="N2717" s="253"/>
      <c r="O2717" s="258"/>
      <c r="P2717" s="258"/>
      <c r="Q2717" s="258"/>
      <c r="R2717" s="258"/>
      <c r="S2717" s="258"/>
      <c r="T2717" s="258"/>
      <c r="U2717" s="258"/>
      <c r="V2717" s="258"/>
      <c r="W2717" s="258"/>
      <c r="X2717" s="258"/>
      <c r="Y2717" s="258"/>
      <c r="Z2717" s="258"/>
      <c r="AA2717" s="258"/>
      <c r="AB2717" s="258"/>
      <c r="AC2717" s="407"/>
    </row>
    <row r="2718" spans="2:29" s="406" customFormat="1" ht="16.5" customHeight="1">
      <c r="B2718" s="256"/>
      <c r="C2718" s="256"/>
      <c r="D2718" s="414"/>
      <c r="E2718" s="414"/>
      <c r="F2718" s="414"/>
      <c r="G2718" s="253"/>
      <c r="H2718" s="253"/>
      <c r="I2718" s="253"/>
      <c r="J2718" s="253"/>
      <c r="K2718" s="253"/>
      <c r="L2718" s="253"/>
      <c r="M2718" s="253"/>
      <c r="N2718" s="253"/>
      <c r="O2718" s="258"/>
      <c r="P2718" s="258"/>
      <c r="Q2718" s="258"/>
      <c r="R2718" s="258"/>
      <c r="S2718" s="258"/>
      <c r="T2718" s="258"/>
      <c r="U2718" s="258"/>
      <c r="V2718" s="258"/>
      <c r="W2718" s="258"/>
      <c r="X2718" s="258"/>
      <c r="Y2718" s="258"/>
      <c r="Z2718" s="258"/>
      <c r="AA2718" s="258"/>
      <c r="AB2718" s="258"/>
      <c r="AC2718" s="407"/>
    </row>
    <row r="2719" spans="2:29" s="406" customFormat="1" ht="16.5" customHeight="1">
      <c r="B2719" s="256"/>
      <c r="C2719" s="256"/>
      <c r="D2719" s="414"/>
      <c r="E2719" s="414"/>
      <c r="F2719" s="414"/>
      <c r="G2719" s="253"/>
      <c r="H2719" s="253"/>
      <c r="I2719" s="253"/>
      <c r="J2719" s="253"/>
      <c r="K2719" s="253"/>
      <c r="L2719" s="253"/>
      <c r="M2719" s="253"/>
      <c r="N2719" s="253"/>
      <c r="O2719" s="258"/>
      <c r="P2719" s="258"/>
      <c r="Q2719" s="258"/>
      <c r="R2719" s="258"/>
      <c r="S2719" s="258"/>
      <c r="T2719" s="258"/>
      <c r="U2719" s="258"/>
      <c r="V2719" s="258"/>
      <c r="W2719" s="258"/>
      <c r="X2719" s="258"/>
      <c r="Y2719" s="258"/>
      <c r="Z2719" s="258"/>
      <c r="AA2719" s="258"/>
      <c r="AB2719" s="258"/>
      <c r="AC2719" s="407"/>
    </row>
    <row r="2720" spans="2:29" s="406" customFormat="1" ht="16.5" customHeight="1">
      <c r="B2720" s="256"/>
      <c r="C2720" s="256"/>
      <c r="D2720" s="414"/>
      <c r="E2720" s="414"/>
      <c r="F2720" s="414"/>
      <c r="G2720" s="253"/>
      <c r="H2720" s="253"/>
      <c r="I2720" s="253"/>
      <c r="J2720" s="253"/>
      <c r="K2720" s="253"/>
      <c r="L2720" s="253"/>
      <c r="M2720" s="253"/>
      <c r="N2720" s="253"/>
      <c r="O2720" s="258"/>
      <c r="P2720" s="258"/>
      <c r="Q2720" s="258"/>
      <c r="R2720" s="258"/>
      <c r="S2720" s="258"/>
      <c r="T2720" s="258"/>
      <c r="U2720" s="258"/>
      <c r="V2720" s="258"/>
      <c r="W2720" s="258"/>
      <c r="X2720" s="258"/>
      <c r="Y2720" s="258"/>
      <c r="Z2720" s="258"/>
      <c r="AA2720" s="258"/>
      <c r="AB2720" s="258"/>
      <c r="AC2720" s="407"/>
    </row>
    <row r="2721" spans="2:29" s="406" customFormat="1" ht="16.5" customHeight="1">
      <c r="B2721" s="256"/>
      <c r="C2721" s="256"/>
      <c r="D2721" s="414"/>
      <c r="E2721" s="414"/>
      <c r="F2721" s="414"/>
      <c r="G2721" s="253"/>
      <c r="H2721" s="253"/>
      <c r="I2721" s="253"/>
      <c r="J2721" s="253"/>
      <c r="K2721" s="253"/>
      <c r="L2721" s="253"/>
      <c r="M2721" s="253"/>
      <c r="N2721" s="253"/>
      <c r="O2721" s="258"/>
      <c r="P2721" s="258"/>
      <c r="Q2721" s="258"/>
      <c r="R2721" s="258"/>
      <c r="S2721" s="258"/>
      <c r="T2721" s="258"/>
      <c r="U2721" s="258"/>
      <c r="V2721" s="258"/>
      <c r="W2721" s="258"/>
      <c r="X2721" s="258"/>
      <c r="Y2721" s="258"/>
      <c r="Z2721" s="258"/>
      <c r="AA2721" s="258"/>
      <c r="AB2721" s="258"/>
      <c r="AC2721" s="407"/>
    </row>
    <row r="2722" spans="2:29" s="406" customFormat="1" ht="16.5" customHeight="1">
      <c r="B2722" s="256"/>
      <c r="C2722" s="256"/>
      <c r="D2722" s="414"/>
      <c r="E2722" s="414"/>
      <c r="F2722" s="414"/>
      <c r="G2722" s="253"/>
      <c r="H2722" s="253"/>
      <c r="I2722" s="253"/>
      <c r="J2722" s="253"/>
      <c r="K2722" s="253"/>
      <c r="L2722" s="253"/>
      <c r="M2722" s="253"/>
      <c r="N2722" s="253"/>
      <c r="O2722" s="258"/>
      <c r="P2722" s="258"/>
      <c r="Q2722" s="258"/>
      <c r="R2722" s="258"/>
      <c r="S2722" s="258"/>
      <c r="T2722" s="258"/>
      <c r="U2722" s="258"/>
      <c r="V2722" s="258"/>
      <c r="W2722" s="258"/>
      <c r="X2722" s="258"/>
      <c r="Y2722" s="258"/>
      <c r="Z2722" s="258"/>
      <c r="AA2722" s="258"/>
      <c r="AB2722" s="258"/>
      <c r="AC2722" s="407"/>
    </row>
    <row r="2723" spans="2:29" s="406" customFormat="1" ht="16.5" customHeight="1">
      <c r="B2723" s="256"/>
      <c r="C2723" s="256"/>
      <c r="D2723" s="414"/>
      <c r="E2723" s="414"/>
      <c r="F2723" s="414"/>
      <c r="G2723" s="253"/>
      <c r="H2723" s="253"/>
      <c r="I2723" s="253"/>
      <c r="J2723" s="253"/>
      <c r="K2723" s="253"/>
      <c r="L2723" s="253"/>
      <c r="M2723" s="253"/>
      <c r="N2723" s="253"/>
      <c r="O2723" s="258"/>
      <c r="P2723" s="258"/>
      <c r="Q2723" s="258"/>
      <c r="R2723" s="258"/>
      <c r="S2723" s="258"/>
      <c r="T2723" s="258"/>
      <c r="U2723" s="258"/>
      <c r="V2723" s="258"/>
      <c r="W2723" s="258"/>
      <c r="X2723" s="258"/>
      <c r="Y2723" s="258"/>
      <c r="Z2723" s="258"/>
      <c r="AA2723" s="258"/>
      <c r="AB2723" s="258"/>
      <c r="AC2723" s="407"/>
    </row>
    <row r="2724" spans="2:29" s="406" customFormat="1" ht="16.5" customHeight="1">
      <c r="B2724" s="256"/>
      <c r="C2724" s="256"/>
      <c r="D2724" s="414"/>
      <c r="E2724" s="414"/>
      <c r="F2724" s="414"/>
      <c r="G2724" s="253"/>
      <c r="H2724" s="253"/>
      <c r="I2724" s="253"/>
      <c r="J2724" s="253"/>
      <c r="K2724" s="253"/>
      <c r="L2724" s="253"/>
      <c r="M2724" s="253"/>
      <c r="N2724" s="253"/>
      <c r="O2724" s="258"/>
      <c r="P2724" s="258"/>
      <c r="Q2724" s="258"/>
      <c r="R2724" s="258"/>
      <c r="S2724" s="258"/>
      <c r="T2724" s="258"/>
      <c r="U2724" s="258"/>
      <c r="V2724" s="258"/>
      <c r="W2724" s="258"/>
      <c r="X2724" s="258"/>
      <c r="Y2724" s="258"/>
      <c r="Z2724" s="258"/>
      <c r="AA2724" s="258"/>
      <c r="AB2724" s="258"/>
      <c r="AC2724" s="407"/>
    </row>
    <row r="2725" spans="2:29" s="406" customFormat="1" ht="16.5" customHeight="1">
      <c r="B2725" s="256"/>
      <c r="C2725" s="256"/>
      <c r="D2725" s="414"/>
      <c r="E2725" s="414"/>
      <c r="F2725" s="414"/>
      <c r="G2725" s="253"/>
      <c r="H2725" s="253"/>
      <c r="I2725" s="253"/>
      <c r="J2725" s="253"/>
      <c r="K2725" s="253"/>
      <c r="L2725" s="253"/>
      <c r="M2725" s="253"/>
      <c r="N2725" s="253"/>
      <c r="O2725" s="258"/>
      <c r="P2725" s="258"/>
      <c r="Q2725" s="258"/>
      <c r="R2725" s="258"/>
      <c r="S2725" s="258"/>
      <c r="T2725" s="258"/>
      <c r="U2725" s="258"/>
      <c r="V2725" s="258"/>
      <c r="W2725" s="258"/>
      <c r="X2725" s="258"/>
      <c r="Y2725" s="258"/>
      <c r="Z2725" s="258"/>
      <c r="AA2725" s="258"/>
      <c r="AB2725" s="258"/>
      <c r="AC2725" s="407"/>
    </row>
    <row r="2726" spans="2:29" s="406" customFormat="1" ht="16.5" customHeight="1">
      <c r="B2726" s="256"/>
      <c r="C2726" s="256"/>
      <c r="D2726" s="414"/>
      <c r="E2726" s="414"/>
      <c r="F2726" s="414"/>
      <c r="G2726" s="253"/>
      <c r="H2726" s="253"/>
      <c r="I2726" s="253"/>
      <c r="J2726" s="253"/>
      <c r="K2726" s="253"/>
      <c r="L2726" s="253"/>
      <c r="M2726" s="253"/>
      <c r="N2726" s="253"/>
      <c r="O2726" s="258"/>
      <c r="P2726" s="258"/>
      <c r="Q2726" s="258"/>
      <c r="R2726" s="258"/>
      <c r="S2726" s="258"/>
      <c r="T2726" s="258"/>
      <c r="U2726" s="258"/>
      <c r="V2726" s="258"/>
      <c r="W2726" s="258"/>
      <c r="X2726" s="258"/>
      <c r="Y2726" s="258"/>
      <c r="Z2726" s="258"/>
      <c r="AA2726" s="258"/>
      <c r="AB2726" s="258"/>
      <c r="AC2726" s="407"/>
    </row>
    <row r="2727" spans="2:29" s="406" customFormat="1" ht="16.5" customHeight="1">
      <c r="B2727" s="256"/>
      <c r="C2727" s="256"/>
      <c r="D2727" s="414"/>
      <c r="E2727" s="414"/>
      <c r="F2727" s="414"/>
      <c r="G2727" s="253"/>
      <c r="H2727" s="253"/>
      <c r="I2727" s="253"/>
      <c r="J2727" s="253"/>
      <c r="K2727" s="253"/>
      <c r="L2727" s="253"/>
      <c r="M2727" s="253"/>
      <c r="N2727" s="253"/>
      <c r="O2727" s="258"/>
      <c r="P2727" s="258"/>
      <c r="Q2727" s="258"/>
      <c r="R2727" s="258"/>
      <c r="S2727" s="258"/>
      <c r="T2727" s="258"/>
      <c r="U2727" s="258"/>
      <c r="V2727" s="258"/>
      <c r="W2727" s="258"/>
      <c r="X2727" s="258"/>
      <c r="Y2727" s="258"/>
      <c r="Z2727" s="258"/>
      <c r="AA2727" s="258"/>
      <c r="AB2727" s="258"/>
      <c r="AC2727" s="407"/>
    </row>
    <row r="2728" spans="2:29" s="406" customFormat="1" ht="16.5" customHeight="1">
      <c r="B2728" s="256"/>
      <c r="C2728" s="256"/>
      <c r="D2728" s="414"/>
      <c r="E2728" s="414"/>
      <c r="F2728" s="414"/>
      <c r="G2728" s="253"/>
      <c r="H2728" s="253"/>
      <c r="I2728" s="253"/>
      <c r="J2728" s="253"/>
      <c r="K2728" s="253"/>
      <c r="L2728" s="253"/>
      <c r="M2728" s="253"/>
      <c r="N2728" s="253"/>
      <c r="O2728" s="258"/>
      <c r="P2728" s="258"/>
      <c r="Q2728" s="258"/>
      <c r="R2728" s="258"/>
      <c r="S2728" s="258"/>
      <c r="T2728" s="258"/>
      <c r="U2728" s="258"/>
      <c r="V2728" s="258"/>
      <c r="W2728" s="258"/>
      <c r="X2728" s="258"/>
      <c r="Y2728" s="258"/>
      <c r="Z2728" s="258"/>
      <c r="AA2728" s="258"/>
      <c r="AB2728" s="258"/>
      <c r="AC2728" s="407"/>
    </row>
    <row r="2729" spans="2:29" s="406" customFormat="1" ht="16.5" customHeight="1">
      <c r="B2729" s="256"/>
      <c r="C2729" s="256"/>
      <c r="D2729" s="414"/>
      <c r="E2729" s="414"/>
      <c r="F2729" s="414"/>
      <c r="G2729" s="253"/>
      <c r="H2729" s="253"/>
      <c r="I2729" s="253"/>
      <c r="J2729" s="253"/>
      <c r="K2729" s="253"/>
      <c r="L2729" s="253"/>
      <c r="M2729" s="253"/>
      <c r="N2729" s="253"/>
      <c r="O2729" s="258"/>
      <c r="P2729" s="258"/>
      <c r="Q2729" s="258"/>
      <c r="R2729" s="258"/>
      <c r="S2729" s="258"/>
      <c r="T2729" s="258"/>
      <c r="U2729" s="258"/>
      <c r="V2729" s="258"/>
      <c r="W2729" s="258"/>
      <c r="X2729" s="258"/>
      <c r="Y2729" s="258"/>
      <c r="Z2729" s="258"/>
      <c r="AA2729" s="258"/>
      <c r="AB2729" s="258"/>
      <c r="AC2729" s="407"/>
    </row>
    <row r="2730" spans="2:29" s="406" customFormat="1" ht="16.5" customHeight="1">
      <c r="B2730" s="256"/>
      <c r="C2730" s="256"/>
      <c r="D2730" s="414"/>
      <c r="E2730" s="414"/>
      <c r="F2730" s="414"/>
      <c r="G2730" s="253"/>
      <c r="H2730" s="253"/>
      <c r="I2730" s="253"/>
      <c r="J2730" s="253"/>
      <c r="K2730" s="253"/>
      <c r="L2730" s="253"/>
      <c r="M2730" s="253"/>
      <c r="N2730" s="253"/>
      <c r="O2730" s="258"/>
      <c r="P2730" s="258"/>
      <c r="Q2730" s="258"/>
      <c r="R2730" s="258"/>
      <c r="S2730" s="258"/>
      <c r="T2730" s="258"/>
      <c r="U2730" s="258"/>
      <c r="V2730" s="258"/>
      <c r="W2730" s="258"/>
      <c r="X2730" s="258"/>
      <c r="Y2730" s="258"/>
      <c r="Z2730" s="258"/>
      <c r="AA2730" s="258"/>
      <c r="AB2730" s="258"/>
      <c r="AC2730" s="407"/>
    </row>
    <row r="2731" spans="2:29" s="406" customFormat="1" ht="16.5" customHeight="1">
      <c r="B2731" s="256"/>
      <c r="C2731" s="256"/>
      <c r="D2731" s="414"/>
      <c r="E2731" s="414"/>
      <c r="F2731" s="414"/>
      <c r="G2731" s="253"/>
      <c r="H2731" s="253"/>
      <c r="I2731" s="253"/>
      <c r="J2731" s="253"/>
      <c r="K2731" s="253"/>
      <c r="L2731" s="253"/>
      <c r="M2731" s="253"/>
      <c r="N2731" s="253"/>
      <c r="O2731" s="258"/>
      <c r="P2731" s="258"/>
      <c r="Q2731" s="258"/>
      <c r="R2731" s="258"/>
      <c r="S2731" s="258"/>
      <c r="T2731" s="258"/>
      <c r="U2731" s="258"/>
      <c r="V2731" s="258"/>
      <c r="W2731" s="258"/>
      <c r="X2731" s="258"/>
      <c r="Y2731" s="258"/>
      <c r="Z2731" s="258"/>
      <c r="AA2731" s="258"/>
      <c r="AB2731" s="258"/>
      <c r="AC2731" s="407"/>
    </row>
    <row r="2732" spans="2:29" s="406" customFormat="1" ht="16.5" customHeight="1">
      <c r="B2732" s="256"/>
      <c r="C2732" s="256"/>
      <c r="D2732" s="414"/>
      <c r="E2732" s="414"/>
      <c r="F2732" s="414"/>
      <c r="G2732" s="253"/>
      <c r="H2732" s="253"/>
      <c r="I2732" s="253"/>
      <c r="J2732" s="253"/>
      <c r="K2732" s="253"/>
      <c r="L2732" s="253"/>
      <c r="M2732" s="253"/>
      <c r="N2732" s="253"/>
      <c r="O2732" s="258"/>
      <c r="P2732" s="258"/>
      <c r="Q2732" s="258"/>
      <c r="R2732" s="258"/>
      <c r="S2732" s="258"/>
      <c r="T2732" s="258"/>
      <c r="U2732" s="258"/>
      <c r="V2732" s="258"/>
      <c r="W2732" s="258"/>
      <c r="X2732" s="258"/>
      <c r="Y2732" s="258"/>
      <c r="Z2732" s="258"/>
      <c r="AA2732" s="258"/>
      <c r="AB2732" s="258"/>
      <c r="AC2732" s="407"/>
    </row>
    <row r="2733" spans="2:29" s="406" customFormat="1" ht="16.5" customHeight="1">
      <c r="B2733" s="256"/>
      <c r="C2733" s="256"/>
      <c r="D2733" s="414"/>
      <c r="E2733" s="414"/>
      <c r="F2733" s="414"/>
      <c r="G2733" s="253"/>
      <c r="H2733" s="253"/>
      <c r="I2733" s="253"/>
      <c r="J2733" s="253"/>
      <c r="K2733" s="253"/>
      <c r="L2733" s="253"/>
      <c r="M2733" s="253"/>
      <c r="N2733" s="253"/>
      <c r="O2733" s="258"/>
      <c r="P2733" s="258"/>
      <c r="Q2733" s="258"/>
      <c r="R2733" s="258"/>
      <c r="S2733" s="258"/>
      <c r="T2733" s="258"/>
      <c r="U2733" s="258"/>
      <c r="V2733" s="258"/>
      <c r="W2733" s="258"/>
      <c r="X2733" s="258"/>
      <c r="Y2733" s="258"/>
      <c r="Z2733" s="258"/>
      <c r="AA2733" s="258"/>
      <c r="AB2733" s="258"/>
      <c r="AC2733" s="407"/>
    </row>
    <row r="2734" spans="2:29" s="406" customFormat="1" ht="16.5" customHeight="1">
      <c r="B2734" s="256"/>
      <c r="C2734" s="256"/>
      <c r="D2734" s="414"/>
      <c r="E2734" s="414"/>
      <c r="F2734" s="414"/>
      <c r="G2734" s="253"/>
      <c r="H2734" s="253"/>
      <c r="I2734" s="253"/>
      <c r="J2734" s="253"/>
      <c r="K2734" s="253"/>
      <c r="L2734" s="253"/>
      <c r="M2734" s="253"/>
      <c r="N2734" s="253"/>
      <c r="O2734" s="258"/>
      <c r="P2734" s="258"/>
      <c r="Q2734" s="258"/>
      <c r="R2734" s="258"/>
      <c r="S2734" s="258"/>
      <c r="T2734" s="258"/>
      <c r="U2734" s="258"/>
      <c r="V2734" s="258"/>
      <c r="W2734" s="258"/>
      <c r="X2734" s="258"/>
      <c r="Y2734" s="258"/>
      <c r="Z2734" s="258"/>
      <c r="AA2734" s="258"/>
      <c r="AB2734" s="258"/>
      <c r="AC2734" s="407"/>
    </row>
    <row r="2735" spans="2:29" s="406" customFormat="1" ht="16.5" customHeight="1">
      <c r="B2735" s="256"/>
      <c r="C2735" s="256"/>
      <c r="D2735" s="414"/>
      <c r="E2735" s="414"/>
      <c r="F2735" s="414"/>
      <c r="G2735" s="253"/>
      <c r="H2735" s="253"/>
      <c r="I2735" s="253"/>
      <c r="J2735" s="253"/>
      <c r="K2735" s="253"/>
      <c r="L2735" s="253"/>
      <c r="M2735" s="253"/>
      <c r="N2735" s="253"/>
      <c r="O2735" s="258"/>
      <c r="P2735" s="258"/>
      <c r="Q2735" s="258"/>
      <c r="R2735" s="258"/>
      <c r="S2735" s="258"/>
      <c r="T2735" s="258"/>
      <c r="U2735" s="258"/>
      <c r="V2735" s="258"/>
      <c r="W2735" s="258"/>
      <c r="X2735" s="258"/>
      <c r="Y2735" s="258"/>
      <c r="Z2735" s="258"/>
      <c r="AA2735" s="258"/>
      <c r="AB2735" s="258"/>
      <c r="AC2735" s="407"/>
    </row>
    <row r="2736" spans="2:29" s="406" customFormat="1" ht="16.5" customHeight="1">
      <c r="B2736" s="256"/>
      <c r="C2736" s="256"/>
      <c r="D2736" s="414"/>
      <c r="E2736" s="414"/>
      <c r="F2736" s="414"/>
      <c r="G2736" s="253"/>
      <c r="H2736" s="253"/>
      <c r="I2736" s="253"/>
      <c r="J2736" s="253"/>
      <c r="K2736" s="253"/>
      <c r="L2736" s="253"/>
      <c r="M2736" s="253"/>
      <c r="N2736" s="253"/>
      <c r="O2736" s="258"/>
      <c r="P2736" s="258"/>
      <c r="Q2736" s="258"/>
      <c r="R2736" s="258"/>
      <c r="S2736" s="258"/>
      <c r="T2736" s="258"/>
      <c r="U2736" s="258"/>
      <c r="V2736" s="258"/>
      <c r="W2736" s="258"/>
      <c r="X2736" s="258"/>
      <c r="Y2736" s="258"/>
      <c r="Z2736" s="258"/>
      <c r="AA2736" s="258"/>
      <c r="AB2736" s="258"/>
      <c r="AC2736" s="407"/>
    </row>
    <row r="2737" spans="2:29" s="406" customFormat="1" ht="16.5" customHeight="1">
      <c r="B2737" s="256"/>
      <c r="C2737" s="256"/>
      <c r="D2737" s="414"/>
      <c r="E2737" s="414"/>
      <c r="F2737" s="414"/>
      <c r="G2737" s="253"/>
      <c r="H2737" s="253"/>
      <c r="I2737" s="253"/>
      <c r="J2737" s="253"/>
      <c r="K2737" s="253"/>
      <c r="L2737" s="253"/>
      <c r="M2737" s="253"/>
      <c r="N2737" s="253"/>
      <c r="O2737" s="258"/>
      <c r="P2737" s="258"/>
      <c r="Q2737" s="258"/>
      <c r="R2737" s="258"/>
      <c r="S2737" s="258"/>
      <c r="T2737" s="258"/>
      <c r="U2737" s="258"/>
      <c r="V2737" s="258"/>
      <c r="W2737" s="258"/>
      <c r="X2737" s="258"/>
      <c r="Y2737" s="258"/>
      <c r="Z2737" s="258"/>
      <c r="AA2737" s="258"/>
      <c r="AB2737" s="258"/>
      <c r="AC2737" s="407"/>
    </row>
    <row r="2738" spans="2:29" s="406" customFormat="1" ht="16.5" customHeight="1">
      <c r="B2738" s="256"/>
      <c r="C2738" s="256"/>
      <c r="D2738" s="414"/>
      <c r="E2738" s="414"/>
      <c r="F2738" s="414"/>
      <c r="G2738" s="253"/>
      <c r="H2738" s="253"/>
      <c r="I2738" s="253"/>
      <c r="J2738" s="253"/>
      <c r="K2738" s="253"/>
      <c r="L2738" s="253"/>
      <c r="M2738" s="253"/>
      <c r="N2738" s="253"/>
      <c r="O2738" s="258"/>
      <c r="P2738" s="258"/>
      <c r="Q2738" s="258"/>
      <c r="R2738" s="258"/>
      <c r="S2738" s="258"/>
      <c r="T2738" s="258"/>
      <c r="U2738" s="258"/>
      <c r="V2738" s="258"/>
      <c r="W2738" s="258"/>
      <c r="X2738" s="258"/>
      <c r="Y2738" s="258"/>
      <c r="Z2738" s="258"/>
      <c r="AA2738" s="258"/>
      <c r="AB2738" s="258"/>
      <c r="AC2738" s="407"/>
    </row>
    <row r="2739" spans="2:29" s="406" customFormat="1" ht="16.5" customHeight="1">
      <c r="B2739" s="256"/>
      <c r="C2739" s="256"/>
      <c r="D2739" s="414"/>
      <c r="E2739" s="414"/>
      <c r="F2739" s="414"/>
      <c r="G2739" s="253"/>
      <c r="H2739" s="253"/>
      <c r="I2739" s="253"/>
      <c r="J2739" s="253"/>
      <c r="K2739" s="253"/>
      <c r="L2739" s="253"/>
      <c r="M2739" s="253"/>
      <c r="N2739" s="253"/>
      <c r="O2739" s="258"/>
      <c r="P2739" s="258"/>
      <c r="Q2739" s="258"/>
      <c r="R2739" s="258"/>
      <c r="S2739" s="258"/>
      <c r="T2739" s="258"/>
      <c r="U2739" s="258"/>
      <c r="V2739" s="258"/>
      <c r="W2739" s="258"/>
      <c r="X2739" s="258"/>
      <c r="Y2739" s="258"/>
      <c r="Z2739" s="258"/>
      <c r="AA2739" s="258"/>
      <c r="AB2739" s="258"/>
      <c r="AC2739" s="407"/>
    </row>
    <row r="2740" spans="2:29" s="406" customFormat="1" ht="16.5" customHeight="1">
      <c r="B2740" s="256"/>
      <c r="C2740" s="256"/>
      <c r="D2740" s="414"/>
      <c r="E2740" s="414"/>
      <c r="F2740" s="414"/>
      <c r="G2740" s="253"/>
      <c r="H2740" s="253"/>
      <c r="I2740" s="253"/>
      <c r="J2740" s="253"/>
      <c r="K2740" s="253"/>
      <c r="L2740" s="253"/>
      <c r="M2740" s="253"/>
      <c r="N2740" s="253"/>
      <c r="O2740" s="258"/>
      <c r="P2740" s="258"/>
      <c r="Q2740" s="258"/>
      <c r="R2740" s="258"/>
      <c r="S2740" s="258"/>
      <c r="T2740" s="258"/>
      <c r="U2740" s="258"/>
      <c r="V2740" s="258"/>
      <c r="W2740" s="258"/>
      <c r="X2740" s="258"/>
      <c r="Y2740" s="258"/>
      <c r="Z2740" s="258"/>
      <c r="AA2740" s="258"/>
      <c r="AB2740" s="258"/>
      <c r="AC2740" s="407"/>
    </row>
    <row r="2741" spans="2:29" s="406" customFormat="1" ht="16.5" customHeight="1">
      <c r="B2741" s="256"/>
      <c r="C2741" s="256"/>
      <c r="D2741" s="414"/>
      <c r="E2741" s="414"/>
      <c r="F2741" s="414"/>
      <c r="G2741" s="253"/>
      <c r="H2741" s="253"/>
      <c r="I2741" s="253"/>
      <c r="J2741" s="253"/>
      <c r="K2741" s="253"/>
      <c r="L2741" s="253"/>
      <c r="M2741" s="253"/>
      <c r="N2741" s="253"/>
      <c r="O2741" s="258"/>
      <c r="P2741" s="258"/>
      <c r="Q2741" s="258"/>
      <c r="R2741" s="258"/>
      <c r="S2741" s="258"/>
      <c r="T2741" s="258"/>
      <c r="U2741" s="258"/>
      <c r="V2741" s="258"/>
      <c r="W2741" s="258"/>
      <c r="X2741" s="258"/>
      <c r="Y2741" s="258"/>
      <c r="Z2741" s="258"/>
      <c r="AA2741" s="258"/>
      <c r="AB2741" s="258"/>
      <c r="AC2741" s="407"/>
    </row>
    <row r="2742" spans="2:29" s="406" customFormat="1" ht="16.5" customHeight="1">
      <c r="B2742" s="256"/>
      <c r="C2742" s="256"/>
      <c r="D2742" s="414"/>
      <c r="E2742" s="414"/>
      <c r="F2742" s="414"/>
      <c r="G2742" s="253"/>
      <c r="H2742" s="253"/>
      <c r="I2742" s="253"/>
      <c r="J2742" s="253"/>
      <c r="K2742" s="253"/>
      <c r="L2742" s="253"/>
      <c r="M2742" s="253"/>
      <c r="N2742" s="253"/>
      <c r="O2742" s="258"/>
      <c r="P2742" s="258"/>
      <c r="Q2742" s="258"/>
      <c r="R2742" s="258"/>
      <c r="S2742" s="258"/>
      <c r="T2742" s="258"/>
      <c r="U2742" s="258"/>
      <c r="V2742" s="258"/>
      <c r="W2742" s="258"/>
      <c r="X2742" s="258"/>
      <c r="Y2742" s="258"/>
      <c r="Z2742" s="258"/>
      <c r="AA2742" s="258"/>
      <c r="AB2742" s="258"/>
      <c r="AC2742" s="407"/>
    </row>
    <row r="2743" spans="2:29" s="406" customFormat="1" ht="16.5" customHeight="1">
      <c r="B2743" s="256"/>
      <c r="C2743" s="256"/>
      <c r="D2743" s="414"/>
      <c r="E2743" s="414"/>
      <c r="F2743" s="414"/>
      <c r="G2743" s="253"/>
      <c r="H2743" s="253"/>
      <c r="I2743" s="253"/>
      <c r="J2743" s="253"/>
      <c r="K2743" s="253"/>
      <c r="L2743" s="253"/>
      <c r="M2743" s="253"/>
      <c r="N2743" s="253"/>
      <c r="O2743" s="258"/>
      <c r="P2743" s="258"/>
      <c r="Q2743" s="258"/>
      <c r="R2743" s="258"/>
      <c r="S2743" s="258"/>
      <c r="T2743" s="258"/>
      <c r="U2743" s="258"/>
      <c r="V2743" s="258"/>
      <c r="W2743" s="258"/>
      <c r="X2743" s="258"/>
      <c r="Y2743" s="258"/>
      <c r="Z2743" s="258"/>
      <c r="AA2743" s="258"/>
      <c r="AB2743" s="258"/>
      <c r="AC2743" s="407"/>
    </row>
    <row r="2744" spans="2:29" s="406" customFormat="1" ht="16.5" customHeight="1">
      <c r="B2744" s="256"/>
      <c r="C2744" s="256"/>
      <c r="D2744" s="414"/>
      <c r="E2744" s="414"/>
      <c r="F2744" s="414"/>
      <c r="G2744" s="253"/>
      <c r="H2744" s="253"/>
      <c r="I2744" s="253"/>
      <c r="J2744" s="253"/>
      <c r="K2744" s="253"/>
      <c r="L2744" s="253"/>
      <c r="M2744" s="253"/>
      <c r="N2744" s="253"/>
      <c r="O2744" s="258"/>
      <c r="P2744" s="258"/>
      <c r="Q2744" s="258"/>
      <c r="R2744" s="258"/>
      <c r="S2744" s="258"/>
      <c r="T2744" s="258"/>
      <c r="U2744" s="258"/>
      <c r="V2744" s="258"/>
      <c r="W2744" s="258"/>
      <c r="X2744" s="258"/>
      <c r="Y2744" s="258"/>
      <c r="Z2744" s="258"/>
      <c r="AA2744" s="258"/>
      <c r="AB2744" s="258"/>
      <c r="AC2744" s="407"/>
    </row>
    <row r="2745" spans="2:29" s="406" customFormat="1" ht="16.5" customHeight="1">
      <c r="B2745" s="256"/>
      <c r="C2745" s="256"/>
      <c r="D2745" s="414"/>
      <c r="E2745" s="414"/>
      <c r="F2745" s="414"/>
      <c r="G2745" s="253"/>
      <c r="H2745" s="253"/>
      <c r="I2745" s="253"/>
      <c r="J2745" s="253"/>
      <c r="K2745" s="253"/>
      <c r="L2745" s="253"/>
      <c r="M2745" s="253"/>
      <c r="N2745" s="253"/>
      <c r="O2745" s="258"/>
      <c r="P2745" s="258"/>
      <c r="Q2745" s="258"/>
      <c r="R2745" s="258"/>
      <c r="S2745" s="258"/>
      <c r="T2745" s="258"/>
      <c r="U2745" s="258"/>
      <c r="V2745" s="258"/>
      <c r="W2745" s="258"/>
      <c r="X2745" s="258"/>
      <c r="Y2745" s="258"/>
      <c r="Z2745" s="258"/>
      <c r="AA2745" s="258"/>
      <c r="AB2745" s="258"/>
      <c r="AC2745" s="407"/>
    </row>
    <row r="2746" spans="2:29" s="406" customFormat="1" ht="16.5" customHeight="1">
      <c r="B2746" s="256"/>
      <c r="C2746" s="256"/>
      <c r="D2746" s="414"/>
      <c r="E2746" s="414"/>
      <c r="F2746" s="414"/>
      <c r="G2746" s="253"/>
      <c r="H2746" s="253"/>
      <c r="I2746" s="253"/>
      <c r="J2746" s="253"/>
      <c r="K2746" s="253"/>
      <c r="L2746" s="253"/>
      <c r="M2746" s="253"/>
      <c r="N2746" s="253"/>
      <c r="O2746" s="258"/>
      <c r="P2746" s="258"/>
      <c r="Q2746" s="258"/>
      <c r="R2746" s="258"/>
      <c r="S2746" s="258"/>
      <c r="T2746" s="258"/>
      <c r="U2746" s="258"/>
      <c r="V2746" s="258"/>
      <c r="W2746" s="258"/>
      <c r="X2746" s="258"/>
      <c r="Y2746" s="258"/>
      <c r="Z2746" s="258"/>
      <c r="AA2746" s="258"/>
      <c r="AB2746" s="258"/>
      <c r="AC2746" s="407"/>
    </row>
    <row r="2747" spans="2:29" s="406" customFormat="1" ht="16.5" customHeight="1">
      <c r="B2747" s="256"/>
      <c r="C2747" s="256"/>
      <c r="D2747" s="414"/>
      <c r="E2747" s="414"/>
      <c r="F2747" s="414"/>
      <c r="G2747" s="253"/>
      <c r="H2747" s="253"/>
      <c r="I2747" s="253"/>
      <c r="J2747" s="253"/>
      <c r="K2747" s="253"/>
      <c r="L2747" s="253"/>
      <c r="M2747" s="253"/>
      <c r="N2747" s="253"/>
      <c r="O2747" s="258"/>
      <c r="P2747" s="258"/>
      <c r="Q2747" s="258"/>
      <c r="R2747" s="258"/>
      <c r="S2747" s="258"/>
      <c r="T2747" s="258"/>
      <c r="U2747" s="258"/>
      <c r="V2747" s="258"/>
      <c r="W2747" s="258"/>
      <c r="X2747" s="258"/>
      <c r="Y2747" s="258"/>
      <c r="Z2747" s="258"/>
      <c r="AA2747" s="258"/>
      <c r="AB2747" s="258"/>
      <c r="AC2747" s="407"/>
    </row>
    <row r="2748" spans="2:29" s="406" customFormat="1" ht="16.5" customHeight="1">
      <c r="B2748" s="256"/>
      <c r="C2748" s="256"/>
      <c r="D2748" s="414"/>
      <c r="E2748" s="414"/>
      <c r="F2748" s="414"/>
      <c r="G2748" s="253"/>
      <c r="H2748" s="253"/>
      <c r="I2748" s="253"/>
      <c r="J2748" s="253"/>
      <c r="K2748" s="253"/>
      <c r="L2748" s="253"/>
      <c r="M2748" s="253"/>
      <c r="N2748" s="253"/>
      <c r="O2748" s="258"/>
      <c r="P2748" s="258"/>
      <c r="Q2748" s="258"/>
      <c r="R2748" s="258"/>
      <c r="S2748" s="258"/>
      <c r="T2748" s="258"/>
      <c r="U2748" s="258"/>
      <c r="V2748" s="258"/>
      <c r="W2748" s="258"/>
      <c r="X2748" s="258"/>
      <c r="Y2748" s="258"/>
      <c r="Z2748" s="258"/>
      <c r="AA2748" s="258"/>
      <c r="AB2748" s="258"/>
      <c r="AC2748" s="407"/>
    </row>
    <row r="2749" spans="2:29" s="406" customFormat="1" ht="16.5" customHeight="1">
      <c r="B2749" s="256"/>
      <c r="C2749" s="256"/>
      <c r="D2749" s="414"/>
      <c r="E2749" s="414"/>
      <c r="F2749" s="414"/>
      <c r="G2749" s="253"/>
      <c r="H2749" s="253"/>
      <c r="I2749" s="253"/>
      <c r="J2749" s="253"/>
      <c r="K2749" s="253"/>
      <c r="L2749" s="253"/>
      <c r="M2749" s="253"/>
      <c r="N2749" s="253"/>
      <c r="O2749" s="258"/>
      <c r="P2749" s="258"/>
      <c r="Q2749" s="258"/>
      <c r="R2749" s="258"/>
      <c r="S2749" s="258"/>
      <c r="T2749" s="258"/>
      <c r="U2749" s="258"/>
      <c r="V2749" s="258"/>
      <c r="W2749" s="258"/>
      <c r="X2749" s="258"/>
      <c r="Y2749" s="258"/>
      <c r="Z2749" s="258"/>
      <c r="AA2749" s="258"/>
      <c r="AB2749" s="258"/>
      <c r="AC2749" s="407"/>
    </row>
    <row r="2750" spans="2:29" s="406" customFormat="1" ht="16.5" customHeight="1">
      <c r="B2750" s="256"/>
      <c r="C2750" s="256"/>
      <c r="D2750" s="414"/>
      <c r="E2750" s="414"/>
      <c r="F2750" s="414"/>
      <c r="G2750" s="253"/>
      <c r="H2750" s="253"/>
      <c r="I2750" s="253"/>
      <c r="J2750" s="253"/>
      <c r="K2750" s="253"/>
      <c r="L2750" s="253"/>
      <c r="M2750" s="253"/>
      <c r="N2750" s="253"/>
      <c r="O2750" s="258"/>
      <c r="P2750" s="258"/>
      <c r="Q2750" s="258"/>
      <c r="R2750" s="258"/>
      <c r="S2750" s="258"/>
      <c r="T2750" s="258"/>
      <c r="U2750" s="258"/>
      <c r="V2750" s="258"/>
      <c r="W2750" s="258"/>
      <c r="X2750" s="258"/>
      <c r="Y2750" s="258"/>
      <c r="Z2750" s="258"/>
      <c r="AA2750" s="258"/>
      <c r="AB2750" s="258"/>
      <c r="AC2750" s="407"/>
    </row>
    <row r="2751" spans="2:29" s="406" customFormat="1" ht="16.5" customHeight="1">
      <c r="B2751" s="256"/>
      <c r="C2751" s="256"/>
      <c r="D2751" s="414"/>
      <c r="E2751" s="414"/>
      <c r="F2751" s="414"/>
      <c r="G2751" s="253"/>
      <c r="H2751" s="253"/>
      <c r="I2751" s="253"/>
      <c r="J2751" s="253"/>
      <c r="K2751" s="253"/>
      <c r="L2751" s="253"/>
      <c r="M2751" s="253"/>
      <c r="N2751" s="253"/>
      <c r="O2751" s="258"/>
      <c r="P2751" s="258"/>
      <c r="Q2751" s="258"/>
      <c r="R2751" s="258"/>
      <c r="S2751" s="258"/>
      <c r="T2751" s="258"/>
      <c r="U2751" s="258"/>
      <c r="V2751" s="258"/>
      <c r="W2751" s="258"/>
      <c r="X2751" s="258"/>
      <c r="Y2751" s="258"/>
      <c r="Z2751" s="258"/>
      <c r="AA2751" s="258"/>
      <c r="AB2751" s="258"/>
      <c r="AC2751" s="407"/>
    </row>
    <row r="2752" spans="2:29" s="406" customFormat="1" ht="16.5" customHeight="1">
      <c r="B2752" s="256"/>
      <c r="C2752" s="256"/>
      <c r="D2752" s="414"/>
      <c r="E2752" s="414"/>
      <c r="F2752" s="414"/>
      <c r="G2752" s="253"/>
      <c r="H2752" s="253"/>
      <c r="I2752" s="253"/>
      <c r="J2752" s="253"/>
      <c r="K2752" s="253"/>
      <c r="L2752" s="253"/>
      <c r="M2752" s="253"/>
      <c r="N2752" s="253"/>
      <c r="O2752" s="258"/>
      <c r="P2752" s="258"/>
      <c r="Q2752" s="258"/>
      <c r="R2752" s="258"/>
      <c r="S2752" s="258"/>
      <c r="T2752" s="258"/>
      <c r="U2752" s="258"/>
      <c r="V2752" s="258"/>
      <c r="W2752" s="258"/>
      <c r="X2752" s="258"/>
      <c r="Y2752" s="258"/>
      <c r="Z2752" s="258"/>
      <c r="AA2752" s="258"/>
      <c r="AB2752" s="258"/>
      <c r="AC2752" s="407"/>
    </row>
    <row r="2753" spans="2:29" s="406" customFormat="1" ht="16.5" customHeight="1">
      <c r="B2753" s="256"/>
      <c r="C2753" s="256"/>
      <c r="D2753" s="414"/>
      <c r="E2753" s="414"/>
      <c r="F2753" s="414"/>
      <c r="G2753" s="253"/>
      <c r="H2753" s="253"/>
      <c r="I2753" s="253"/>
      <c r="J2753" s="253"/>
      <c r="K2753" s="253"/>
      <c r="L2753" s="253"/>
      <c r="M2753" s="253"/>
      <c r="N2753" s="253"/>
      <c r="O2753" s="258"/>
      <c r="P2753" s="258"/>
      <c r="Q2753" s="258"/>
      <c r="R2753" s="258"/>
      <c r="S2753" s="258"/>
      <c r="T2753" s="258"/>
      <c r="U2753" s="258"/>
      <c r="V2753" s="258"/>
      <c r="W2753" s="258"/>
      <c r="X2753" s="258"/>
      <c r="Y2753" s="258"/>
      <c r="Z2753" s="258"/>
      <c r="AA2753" s="258"/>
      <c r="AB2753" s="258"/>
      <c r="AC2753" s="407"/>
    </row>
    <row r="2754" spans="2:29" s="406" customFormat="1" ht="16.5" customHeight="1">
      <c r="B2754" s="256"/>
      <c r="C2754" s="256"/>
      <c r="D2754" s="414"/>
      <c r="E2754" s="414"/>
      <c r="F2754" s="414"/>
      <c r="G2754" s="253"/>
      <c r="H2754" s="253"/>
      <c r="I2754" s="253"/>
      <c r="J2754" s="253"/>
      <c r="K2754" s="253"/>
      <c r="L2754" s="253"/>
      <c r="M2754" s="253"/>
      <c r="N2754" s="253"/>
      <c r="O2754" s="258"/>
      <c r="P2754" s="258"/>
      <c r="Q2754" s="258"/>
      <c r="R2754" s="258"/>
      <c r="S2754" s="258"/>
      <c r="T2754" s="258"/>
      <c r="U2754" s="258"/>
      <c r="V2754" s="258"/>
      <c r="W2754" s="258"/>
      <c r="X2754" s="258"/>
      <c r="Y2754" s="258"/>
      <c r="Z2754" s="258"/>
      <c r="AA2754" s="258"/>
      <c r="AB2754" s="258"/>
      <c r="AC2754" s="407"/>
    </row>
    <row r="2755" spans="2:29" s="406" customFormat="1" ht="16.5" customHeight="1">
      <c r="B2755" s="256"/>
      <c r="C2755" s="256"/>
      <c r="D2755" s="414"/>
      <c r="E2755" s="414"/>
      <c r="F2755" s="414"/>
      <c r="G2755" s="253"/>
      <c r="H2755" s="253"/>
      <c r="I2755" s="253"/>
      <c r="J2755" s="253"/>
      <c r="K2755" s="253"/>
      <c r="L2755" s="253"/>
      <c r="M2755" s="253"/>
      <c r="N2755" s="253"/>
      <c r="O2755" s="258"/>
      <c r="P2755" s="258"/>
      <c r="Q2755" s="258"/>
      <c r="R2755" s="258"/>
      <c r="S2755" s="258"/>
      <c r="T2755" s="258"/>
      <c r="U2755" s="258"/>
      <c r="V2755" s="258"/>
      <c r="W2755" s="258"/>
      <c r="X2755" s="258"/>
      <c r="Y2755" s="258"/>
      <c r="Z2755" s="258"/>
      <c r="AA2755" s="258"/>
      <c r="AB2755" s="258"/>
      <c r="AC2755" s="407"/>
    </row>
    <row r="2756" spans="2:29" s="406" customFormat="1" ht="16.5" customHeight="1">
      <c r="B2756" s="256"/>
      <c r="C2756" s="256"/>
      <c r="D2756" s="414"/>
      <c r="E2756" s="414"/>
      <c r="F2756" s="414"/>
      <c r="G2756" s="253"/>
      <c r="H2756" s="253"/>
      <c r="I2756" s="253"/>
      <c r="J2756" s="253"/>
      <c r="K2756" s="253"/>
      <c r="L2756" s="253"/>
      <c r="M2756" s="253"/>
      <c r="N2756" s="253"/>
      <c r="O2756" s="258"/>
      <c r="P2756" s="258"/>
      <c r="Q2756" s="258"/>
      <c r="R2756" s="258"/>
      <c r="S2756" s="258"/>
      <c r="T2756" s="258"/>
      <c r="U2756" s="258"/>
      <c r="V2756" s="258"/>
      <c r="W2756" s="258"/>
      <c r="X2756" s="258"/>
      <c r="Y2756" s="258"/>
      <c r="Z2756" s="258"/>
      <c r="AA2756" s="258"/>
      <c r="AB2756" s="258"/>
      <c r="AC2756" s="407"/>
    </row>
    <row r="2757" spans="2:29" s="406" customFormat="1" ht="16.5" customHeight="1">
      <c r="B2757" s="256"/>
      <c r="C2757" s="256"/>
      <c r="D2757" s="414"/>
      <c r="E2757" s="414"/>
      <c r="F2757" s="414"/>
      <c r="G2757" s="253"/>
      <c r="H2757" s="253"/>
      <c r="I2757" s="253"/>
      <c r="J2757" s="253"/>
      <c r="K2757" s="253"/>
      <c r="L2757" s="253"/>
      <c r="M2757" s="253"/>
      <c r="N2757" s="253"/>
      <c r="O2757" s="258"/>
      <c r="P2757" s="258"/>
      <c r="Q2757" s="258"/>
      <c r="R2757" s="258"/>
      <c r="S2757" s="258"/>
      <c r="T2757" s="258"/>
      <c r="U2757" s="258"/>
      <c r="V2757" s="258"/>
      <c r="W2757" s="258"/>
      <c r="X2757" s="258"/>
      <c r="Y2757" s="258"/>
      <c r="Z2757" s="258"/>
      <c r="AA2757" s="258"/>
      <c r="AB2757" s="258"/>
      <c r="AC2757" s="407"/>
    </row>
    <row r="2758" spans="2:29" s="406" customFormat="1" ht="16.5" customHeight="1">
      <c r="B2758" s="256"/>
      <c r="C2758" s="256"/>
      <c r="D2758" s="414"/>
      <c r="E2758" s="414"/>
      <c r="F2758" s="414"/>
      <c r="G2758" s="253"/>
      <c r="H2758" s="253"/>
      <c r="I2758" s="253"/>
      <c r="J2758" s="253"/>
      <c r="K2758" s="253"/>
      <c r="L2758" s="253"/>
      <c r="M2758" s="253"/>
      <c r="N2758" s="253"/>
      <c r="O2758" s="258"/>
      <c r="P2758" s="258"/>
      <c r="Q2758" s="258"/>
      <c r="R2758" s="258"/>
      <c r="S2758" s="258"/>
      <c r="T2758" s="258"/>
      <c r="U2758" s="258"/>
      <c r="V2758" s="258"/>
      <c r="W2758" s="258"/>
      <c r="X2758" s="258"/>
      <c r="Y2758" s="258"/>
      <c r="Z2758" s="258"/>
      <c r="AA2758" s="258"/>
      <c r="AB2758" s="258"/>
      <c r="AC2758" s="407"/>
    </row>
    <row r="2759" spans="2:29" s="406" customFormat="1" ht="16.5" customHeight="1">
      <c r="B2759" s="256"/>
      <c r="C2759" s="256"/>
      <c r="D2759" s="414"/>
      <c r="E2759" s="414"/>
      <c r="F2759" s="414"/>
      <c r="G2759" s="253"/>
      <c r="H2759" s="253"/>
      <c r="I2759" s="253"/>
      <c r="J2759" s="253"/>
      <c r="K2759" s="253"/>
      <c r="L2759" s="253"/>
      <c r="M2759" s="253"/>
      <c r="N2759" s="253"/>
      <c r="O2759" s="258"/>
      <c r="P2759" s="258"/>
      <c r="Q2759" s="258"/>
      <c r="R2759" s="258"/>
      <c r="S2759" s="258"/>
      <c r="T2759" s="258"/>
      <c r="U2759" s="258"/>
      <c r="V2759" s="258"/>
      <c r="W2759" s="258"/>
      <c r="X2759" s="258"/>
      <c r="Y2759" s="258"/>
      <c r="Z2759" s="258"/>
      <c r="AA2759" s="258"/>
      <c r="AB2759" s="258"/>
      <c r="AC2759" s="407"/>
    </row>
    <row r="2760" spans="2:29" s="406" customFormat="1" ht="16.5" customHeight="1">
      <c r="B2760" s="256"/>
      <c r="C2760" s="256"/>
      <c r="D2760" s="414"/>
      <c r="E2760" s="414"/>
      <c r="F2760" s="414"/>
      <c r="G2760" s="253"/>
      <c r="H2760" s="253"/>
      <c r="I2760" s="253"/>
      <c r="J2760" s="253"/>
      <c r="K2760" s="253"/>
      <c r="L2760" s="253"/>
      <c r="M2760" s="253"/>
      <c r="N2760" s="253"/>
      <c r="O2760" s="258"/>
      <c r="P2760" s="258"/>
      <c r="Q2760" s="258"/>
      <c r="R2760" s="258"/>
      <c r="S2760" s="258"/>
      <c r="T2760" s="258"/>
      <c r="U2760" s="258"/>
      <c r="V2760" s="258"/>
      <c r="W2760" s="258"/>
      <c r="X2760" s="258"/>
      <c r="Y2760" s="258"/>
      <c r="Z2760" s="258"/>
      <c r="AA2760" s="258"/>
      <c r="AB2760" s="258"/>
      <c r="AC2760" s="407"/>
    </row>
    <row r="2761" spans="2:29" s="406" customFormat="1" ht="16.5" customHeight="1">
      <c r="B2761" s="256"/>
      <c r="C2761" s="256"/>
      <c r="D2761" s="414"/>
      <c r="E2761" s="414"/>
      <c r="F2761" s="414"/>
      <c r="G2761" s="253"/>
      <c r="H2761" s="253"/>
      <c r="I2761" s="253"/>
      <c r="J2761" s="253"/>
      <c r="K2761" s="253"/>
      <c r="L2761" s="253"/>
      <c r="M2761" s="253"/>
      <c r="N2761" s="253"/>
      <c r="O2761" s="258"/>
      <c r="P2761" s="258"/>
      <c r="Q2761" s="258"/>
      <c r="R2761" s="258"/>
      <c r="S2761" s="258"/>
      <c r="T2761" s="258"/>
      <c r="U2761" s="258"/>
      <c r="V2761" s="258"/>
      <c r="W2761" s="258"/>
      <c r="X2761" s="258"/>
      <c r="Y2761" s="258"/>
      <c r="Z2761" s="258"/>
      <c r="AA2761" s="258"/>
      <c r="AB2761" s="258"/>
      <c r="AC2761" s="407"/>
    </row>
    <row r="2762" spans="2:29" s="406" customFormat="1" ht="16.5" customHeight="1">
      <c r="B2762" s="256"/>
      <c r="C2762" s="256"/>
      <c r="D2762" s="414"/>
      <c r="E2762" s="414"/>
      <c r="F2762" s="414"/>
      <c r="G2762" s="253"/>
      <c r="H2762" s="253"/>
      <c r="I2762" s="253"/>
      <c r="J2762" s="253"/>
      <c r="K2762" s="253"/>
      <c r="L2762" s="253"/>
      <c r="M2762" s="253"/>
      <c r="N2762" s="253"/>
      <c r="O2762" s="258"/>
      <c r="P2762" s="258"/>
      <c r="Q2762" s="258"/>
      <c r="R2762" s="258"/>
      <c r="S2762" s="258"/>
      <c r="T2762" s="258"/>
      <c r="U2762" s="258"/>
      <c r="V2762" s="258"/>
      <c r="W2762" s="258"/>
      <c r="X2762" s="258"/>
      <c r="Y2762" s="258"/>
      <c r="Z2762" s="258"/>
      <c r="AA2762" s="258"/>
      <c r="AB2762" s="258"/>
      <c r="AC2762" s="407"/>
    </row>
    <row r="2763" spans="2:29" s="406" customFormat="1" ht="16.5" customHeight="1">
      <c r="B2763" s="256"/>
      <c r="C2763" s="256"/>
      <c r="D2763" s="414"/>
      <c r="E2763" s="414"/>
      <c r="F2763" s="414"/>
      <c r="G2763" s="253"/>
      <c r="H2763" s="253"/>
      <c r="I2763" s="253"/>
      <c r="J2763" s="253"/>
      <c r="K2763" s="253"/>
      <c r="L2763" s="253"/>
      <c r="M2763" s="253"/>
      <c r="N2763" s="253"/>
      <c r="O2763" s="258"/>
      <c r="P2763" s="258"/>
      <c r="Q2763" s="258"/>
      <c r="R2763" s="258"/>
      <c r="S2763" s="258"/>
      <c r="T2763" s="258"/>
      <c r="U2763" s="258"/>
      <c r="V2763" s="258"/>
      <c r="W2763" s="258"/>
      <c r="X2763" s="258"/>
      <c r="Y2763" s="258"/>
      <c r="Z2763" s="258"/>
      <c r="AA2763" s="258"/>
      <c r="AB2763" s="258"/>
      <c r="AC2763" s="407"/>
    </row>
    <row r="2764" spans="2:29" s="406" customFormat="1" ht="16.5" customHeight="1">
      <c r="B2764" s="256"/>
      <c r="C2764" s="256"/>
      <c r="D2764" s="414"/>
      <c r="E2764" s="414"/>
      <c r="F2764" s="414"/>
      <c r="G2764" s="253"/>
      <c r="H2764" s="253"/>
      <c r="I2764" s="253"/>
      <c r="J2764" s="253"/>
      <c r="K2764" s="253"/>
      <c r="L2764" s="253"/>
      <c r="M2764" s="253"/>
      <c r="N2764" s="253"/>
      <c r="O2764" s="258"/>
      <c r="P2764" s="258"/>
      <c r="Q2764" s="258"/>
      <c r="R2764" s="258"/>
      <c r="S2764" s="258"/>
      <c r="T2764" s="258"/>
      <c r="U2764" s="258"/>
      <c r="V2764" s="258"/>
      <c r="W2764" s="258"/>
      <c r="X2764" s="258"/>
      <c r="Y2764" s="258"/>
      <c r="Z2764" s="258"/>
      <c r="AA2764" s="258"/>
      <c r="AB2764" s="258"/>
      <c r="AC2764" s="407"/>
    </row>
    <row r="2765" spans="2:29" s="406" customFormat="1" ht="16.5" customHeight="1">
      <c r="B2765" s="256"/>
      <c r="C2765" s="256"/>
      <c r="D2765" s="414"/>
      <c r="E2765" s="414"/>
      <c r="F2765" s="414"/>
      <c r="G2765" s="253"/>
      <c r="H2765" s="253"/>
      <c r="I2765" s="253"/>
      <c r="J2765" s="253"/>
      <c r="K2765" s="253"/>
      <c r="L2765" s="253"/>
      <c r="M2765" s="253"/>
      <c r="N2765" s="253"/>
      <c r="O2765" s="258"/>
      <c r="P2765" s="258"/>
      <c r="Q2765" s="258"/>
      <c r="R2765" s="258"/>
      <c r="S2765" s="258"/>
      <c r="T2765" s="258"/>
      <c r="U2765" s="258"/>
      <c r="V2765" s="258"/>
      <c r="W2765" s="258"/>
      <c r="X2765" s="258"/>
      <c r="Y2765" s="258"/>
      <c r="Z2765" s="258"/>
      <c r="AA2765" s="258"/>
      <c r="AB2765" s="258"/>
      <c r="AC2765" s="407"/>
    </row>
    <row r="2766" spans="2:29" s="406" customFormat="1" ht="16.5" customHeight="1">
      <c r="B2766" s="256"/>
      <c r="C2766" s="256"/>
      <c r="D2766" s="414"/>
      <c r="E2766" s="414"/>
      <c r="F2766" s="414"/>
      <c r="G2766" s="253"/>
      <c r="H2766" s="253"/>
      <c r="I2766" s="253"/>
      <c r="J2766" s="253"/>
      <c r="K2766" s="253"/>
      <c r="L2766" s="253"/>
      <c r="M2766" s="253"/>
      <c r="N2766" s="253"/>
      <c r="O2766" s="258"/>
      <c r="P2766" s="258"/>
      <c r="Q2766" s="258"/>
      <c r="R2766" s="258"/>
      <c r="S2766" s="258"/>
      <c r="T2766" s="258"/>
      <c r="U2766" s="258"/>
      <c r="V2766" s="258"/>
      <c r="W2766" s="258"/>
      <c r="X2766" s="258"/>
      <c r="Y2766" s="258"/>
      <c r="Z2766" s="258"/>
      <c r="AA2766" s="258"/>
      <c r="AB2766" s="258"/>
      <c r="AC2766" s="407"/>
    </row>
    <row r="2767" spans="2:29" s="406" customFormat="1" ht="16.5" customHeight="1">
      <c r="B2767" s="256"/>
      <c r="C2767" s="256"/>
      <c r="D2767" s="414"/>
      <c r="E2767" s="414"/>
      <c r="F2767" s="414"/>
      <c r="G2767" s="253"/>
      <c r="H2767" s="253"/>
      <c r="I2767" s="253"/>
      <c r="J2767" s="253"/>
      <c r="K2767" s="253"/>
      <c r="L2767" s="253"/>
      <c r="M2767" s="253"/>
      <c r="N2767" s="253"/>
      <c r="O2767" s="258"/>
      <c r="P2767" s="258"/>
      <c r="Q2767" s="258"/>
      <c r="R2767" s="258"/>
      <c r="S2767" s="258"/>
      <c r="T2767" s="258"/>
      <c r="U2767" s="258"/>
      <c r="V2767" s="258"/>
      <c r="W2767" s="258"/>
      <c r="X2767" s="258"/>
      <c r="Y2767" s="258"/>
      <c r="Z2767" s="258"/>
      <c r="AA2767" s="258"/>
      <c r="AB2767" s="258"/>
      <c r="AC2767" s="407"/>
    </row>
    <row r="2768" spans="2:29" s="406" customFormat="1" ht="16.5" customHeight="1">
      <c r="B2768" s="256"/>
      <c r="C2768" s="256"/>
      <c r="D2768" s="414"/>
      <c r="E2768" s="414"/>
      <c r="F2768" s="414"/>
      <c r="G2768" s="253"/>
      <c r="H2768" s="253"/>
      <c r="I2768" s="253"/>
      <c r="J2768" s="253"/>
      <c r="K2768" s="253"/>
      <c r="L2768" s="253"/>
      <c r="M2768" s="253"/>
      <c r="N2768" s="253"/>
      <c r="O2768" s="258"/>
      <c r="P2768" s="258"/>
      <c r="Q2768" s="258"/>
      <c r="R2768" s="258"/>
      <c r="S2768" s="258"/>
      <c r="T2768" s="258"/>
      <c r="U2768" s="258"/>
      <c r="V2768" s="258"/>
      <c r="W2768" s="258"/>
      <c r="X2768" s="258"/>
      <c r="Y2768" s="258"/>
      <c r="Z2768" s="258"/>
      <c r="AA2768" s="258"/>
      <c r="AB2768" s="258"/>
      <c r="AC2768" s="407"/>
    </row>
    <row r="2769" spans="2:29" s="406" customFormat="1" ht="16.5" customHeight="1">
      <c r="B2769" s="256"/>
      <c r="C2769" s="256"/>
      <c r="D2769" s="414"/>
      <c r="E2769" s="414"/>
      <c r="F2769" s="414"/>
      <c r="G2769" s="253"/>
      <c r="H2769" s="253"/>
      <c r="I2769" s="253"/>
      <c r="J2769" s="253"/>
      <c r="K2769" s="253"/>
      <c r="L2769" s="253"/>
      <c r="M2769" s="253"/>
      <c r="N2769" s="253"/>
      <c r="O2769" s="258"/>
      <c r="P2769" s="258"/>
      <c r="Q2769" s="258"/>
      <c r="R2769" s="258"/>
      <c r="S2769" s="258"/>
      <c r="T2769" s="258"/>
      <c r="U2769" s="258"/>
      <c r="V2769" s="258"/>
      <c r="W2769" s="258"/>
      <c r="X2769" s="258"/>
      <c r="Y2769" s="258"/>
      <c r="Z2769" s="258"/>
      <c r="AA2769" s="258"/>
      <c r="AB2769" s="258"/>
      <c r="AC2769" s="407"/>
    </row>
    <row r="2770" spans="2:29" s="406" customFormat="1" ht="16.5" customHeight="1">
      <c r="B2770" s="256"/>
      <c r="C2770" s="256"/>
      <c r="D2770" s="414"/>
      <c r="E2770" s="414"/>
      <c r="F2770" s="414"/>
      <c r="G2770" s="253"/>
      <c r="H2770" s="253"/>
      <c r="I2770" s="253"/>
      <c r="J2770" s="253"/>
      <c r="K2770" s="253"/>
      <c r="L2770" s="253"/>
      <c r="M2770" s="253"/>
      <c r="N2770" s="253"/>
      <c r="O2770" s="258"/>
      <c r="P2770" s="258"/>
      <c r="Q2770" s="258"/>
      <c r="R2770" s="258"/>
      <c r="S2770" s="258"/>
      <c r="T2770" s="258"/>
      <c r="U2770" s="258"/>
      <c r="V2770" s="258"/>
      <c r="W2770" s="258"/>
      <c r="X2770" s="258"/>
      <c r="Y2770" s="258"/>
      <c r="Z2770" s="258"/>
      <c r="AA2770" s="258"/>
      <c r="AB2770" s="258"/>
      <c r="AC2770" s="407"/>
    </row>
    <row r="2771" spans="2:29" s="406" customFormat="1" ht="16.5" customHeight="1">
      <c r="B2771" s="256"/>
      <c r="C2771" s="256"/>
      <c r="D2771" s="414"/>
      <c r="E2771" s="414"/>
      <c r="F2771" s="414"/>
      <c r="G2771" s="253"/>
      <c r="H2771" s="253"/>
      <c r="I2771" s="253"/>
      <c r="J2771" s="253"/>
      <c r="K2771" s="253"/>
      <c r="L2771" s="253"/>
      <c r="M2771" s="253"/>
      <c r="N2771" s="253"/>
      <c r="O2771" s="258"/>
      <c r="P2771" s="258"/>
      <c r="Q2771" s="258"/>
      <c r="R2771" s="258"/>
      <c r="S2771" s="258"/>
      <c r="T2771" s="258"/>
      <c r="U2771" s="258"/>
      <c r="V2771" s="258"/>
      <c r="W2771" s="258"/>
      <c r="X2771" s="258"/>
      <c r="Y2771" s="258"/>
      <c r="Z2771" s="258"/>
      <c r="AA2771" s="258"/>
      <c r="AB2771" s="258"/>
      <c r="AC2771" s="407"/>
    </row>
    <row r="2772" spans="2:29" s="406" customFormat="1" ht="16.5" customHeight="1">
      <c r="B2772" s="256"/>
      <c r="C2772" s="256"/>
      <c r="D2772" s="414"/>
      <c r="E2772" s="414"/>
      <c r="F2772" s="414"/>
      <c r="G2772" s="253"/>
      <c r="H2772" s="253"/>
      <c r="I2772" s="253"/>
      <c r="J2772" s="253"/>
      <c r="K2772" s="253"/>
      <c r="L2772" s="253"/>
      <c r="M2772" s="253"/>
      <c r="N2772" s="253"/>
      <c r="O2772" s="258"/>
      <c r="P2772" s="258"/>
      <c r="Q2772" s="258"/>
      <c r="R2772" s="258"/>
      <c r="S2772" s="258"/>
      <c r="T2772" s="258"/>
      <c r="U2772" s="258"/>
      <c r="V2772" s="258"/>
      <c r="W2772" s="258"/>
      <c r="X2772" s="258"/>
      <c r="Y2772" s="258"/>
      <c r="Z2772" s="258"/>
      <c r="AA2772" s="258"/>
      <c r="AB2772" s="258"/>
      <c r="AC2772" s="407"/>
    </row>
    <row r="2773" spans="2:29" s="406" customFormat="1" ht="16.5" customHeight="1">
      <c r="B2773" s="256"/>
      <c r="C2773" s="256"/>
      <c r="D2773" s="414"/>
      <c r="E2773" s="414"/>
      <c r="F2773" s="414"/>
      <c r="G2773" s="253"/>
      <c r="H2773" s="253"/>
      <c r="I2773" s="253"/>
      <c r="J2773" s="253"/>
      <c r="K2773" s="253"/>
      <c r="L2773" s="253"/>
      <c r="M2773" s="253"/>
      <c r="N2773" s="253"/>
      <c r="O2773" s="258"/>
      <c r="P2773" s="258"/>
      <c r="Q2773" s="258"/>
      <c r="R2773" s="258"/>
      <c r="S2773" s="258"/>
      <c r="T2773" s="258"/>
      <c r="U2773" s="258"/>
      <c r="V2773" s="258"/>
      <c r="W2773" s="258"/>
      <c r="X2773" s="258"/>
      <c r="Y2773" s="258"/>
      <c r="Z2773" s="258"/>
      <c r="AA2773" s="258"/>
      <c r="AB2773" s="258"/>
      <c r="AC2773" s="407"/>
    </row>
    <row r="2774" spans="2:29" s="406" customFormat="1" ht="16.5" customHeight="1">
      <c r="B2774" s="256"/>
      <c r="C2774" s="256"/>
      <c r="D2774" s="414"/>
      <c r="E2774" s="414"/>
      <c r="F2774" s="414"/>
      <c r="G2774" s="253"/>
      <c r="H2774" s="253"/>
      <c r="I2774" s="253"/>
      <c r="J2774" s="253"/>
      <c r="K2774" s="253"/>
      <c r="L2774" s="253"/>
      <c r="M2774" s="253"/>
      <c r="N2774" s="253"/>
      <c r="O2774" s="258"/>
      <c r="P2774" s="258"/>
      <c r="Q2774" s="258"/>
      <c r="R2774" s="258"/>
      <c r="S2774" s="258"/>
      <c r="T2774" s="258"/>
      <c r="U2774" s="258"/>
      <c r="V2774" s="258"/>
      <c r="W2774" s="258"/>
      <c r="X2774" s="258"/>
      <c r="Y2774" s="258"/>
      <c r="Z2774" s="258"/>
      <c r="AA2774" s="258"/>
      <c r="AB2774" s="258"/>
      <c r="AC2774" s="407"/>
    </row>
    <row r="2775" spans="2:29" s="406" customFormat="1" ht="16.5" customHeight="1">
      <c r="B2775" s="256"/>
      <c r="C2775" s="256"/>
      <c r="D2775" s="414"/>
      <c r="E2775" s="414"/>
      <c r="F2775" s="414"/>
      <c r="G2775" s="253"/>
      <c r="H2775" s="253"/>
      <c r="I2775" s="253"/>
      <c r="J2775" s="253"/>
      <c r="K2775" s="253"/>
      <c r="L2775" s="253"/>
      <c r="M2775" s="253"/>
      <c r="N2775" s="253"/>
      <c r="O2775" s="258"/>
      <c r="P2775" s="258"/>
      <c r="Q2775" s="258"/>
      <c r="R2775" s="258"/>
      <c r="S2775" s="258"/>
      <c r="T2775" s="258"/>
      <c r="U2775" s="258"/>
      <c r="V2775" s="258"/>
      <c r="W2775" s="258"/>
      <c r="X2775" s="258"/>
      <c r="Y2775" s="258"/>
      <c r="Z2775" s="258"/>
      <c r="AA2775" s="258"/>
      <c r="AB2775" s="258"/>
      <c r="AC2775" s="407"/>
    </row>
    <row r="2776" spans="2:29" s="406" customFormat="1" ht="16.5" customHeight="1">
      <c r="B2776" s="256"/>
      <c r="C2776" s="256"/>
      <c r="D2776" s="414"/>
      <c r="E2776" s="414"/>
      <c r="F2776" s="414"/>
      <c r="G2776" s="253"/>
      <c r="H2776" s="253"/>
      <c r="I2776" s="253"/>
      <c r="J2776" s="253"/>
      <c r="K2776" s="253"/>
      <c r="L2776" s="253"/>
      <c r="M2776" s="253"/>
      <c r="N2776" s="253"/>
      <c r="O2776" s="258"/>
      <c r="P2776" s="258"/>
      <c r="Q2776" s="258"/>
      <c r="R2776" s="258"/>
      <c r="S2776" s="258"/>
      <c r="T2776" s="258"/>
      <c r="U2776" s="258"/>
      <c r="V2776" s="258"/>
      <c r="W2776" s="258"/>
      <c r="X2776" s="258"/>
      <c r="Y2776" s="258"/>
      <c r="Z2776" s="258"/>
      <c r="AA2776" s="258"/>
      <c r="AB2776" s="258"/>
      <c r="AC2776" s="407"/>
    </row>
    <row r="2777" spans="2:29" s="406" customFormat="1" ht="16.5" customHeight="1">
      <c r="B2777" s="256"/>
      <c r="C2777" s="256"/>
      <c r="D2777" s="414"/>
      <c r="E2777" s="414"/>
      <c r="F2777" s="414"/>
      <c r="G2777" s="253"/>
      <c r="H2777" s="253"/>
      <c r="I2777" s="253"/>
      <c r="J2777" s="253"/>
      <c r="K2777" s="253"/>
      <c r="L2777" s="253"/>
      <c r="M2777" s="253"/>
      <c r="N2777" s="253"/>
      <c r="O2777" s="258"/>
      <c r="P2777" s="258"/>
      <c r="Q2777" s="258"/>
      <c r="R2777" s="258"/>
      <c r="S2777" s="258"/>
      <c r="T2777" s="258"/>
      <c r="U2777" s="258"/>
      <c r="V2777" s="258"/>
      <c r="W2777" s="258"/>
      <c r="X2777" s="258"/>
      <c r="Y2777" s="258"/>
      <c r="Z2777" s="258"/>
      <c r="AA2777" s="258"/>
      <c r="AB2777" s="258"/>
      <c r="AC2777" s="407"/>
    </row>
    <row r="2778" spans="2:29" s="406" customFormat="1" ht="16.5" customHeight="1">
      <c r="B2778" s="256"/>
      <c r="C2778" s="256"/>
      <c r="D2778" s="414"/>
      <c r="E2778" s="414"/>
      <c r="F2778" s="414"/>
      <c r="G2778" s="253"/>
      <c r="H2778" s="253"/>
      <c r="I2778" s="253"/>
      <c r="J2778" s="253"/>
      <c r="K2778" s="253"/>
      <c r="L2778" s="253"/>
      <c r="M2778" s="253"/>
      <c r="N2778" s="253"/>
      <c r="O2778" s="258"/>
      <c r="P2778" s="258"/>
      <c r="Q2778" s="258"/>
      <c r="R2778" s="258"/>
      <c r="S2778" s="258"/>
      <c r="T2778" s="258"/>
      <c r="U2778" s="258"/>
      <c r="V2778" s="258"/>
      <c r="W2778" s="258"/>
      <c r="X2778" s="258"/>
      <c r="Y2778" s="258"/>
      <c r="Z2778" s="258"/>
      <c r="AA2778" s="258"/>
      <c r="AB2778" s="258"/>
      <c r="AC2778" s="407"/>
    </row>
    <row r="2779" spans="2:29" s="406" customFormat="1" ht="16.5" customHeight="1">
      <c r="B2779" s="256"/>
      <c r="C2779" s="256"/>
      <c r="D2779" s="414"/>
      <c r="E2779" s="414"/>
      <c r="F2779" s="414"/>
      <c r="G2779" s="253"/>
      <c r="H2779" s="253"/>
      <c r="I2779" s="253"/>
      <c r="J2779" s="253"/>
      <c r="K2779" s="253"/>
      <c r="L2779" s="253"/>
      <c r="M2779" s="253"/>
      <c r="N2779" s="253"/>
      <c r="O2779" s="258"/>
      <c r="P2779" s="258"/>
      <c r="Q2779" s="258"/>
      <c r="R2779" s="258"/>
      <c r="S2779" s="258"/>
      <c r="T2779" s="258"/>
      <c r="U2779" s="258"/>
      <c r="V2779" s="258"/>
      <c r="W2779" s="258"/>
      <c r="X2779" s="258"/>
      <c r="Y2779" s="258"/>
      <c r="Z2779" s="258"/>
      <c r="AA2779" s="258"/>
      <c r="AB2779" s="258"/>
      <c r="AC2779" s="407"/>
    </row>
    <row r="2780" spans="2:29" s="406" customFormat="1" ht="16.5" customHeight="1">
      <c r="B2780" s="256"/>
      <c r="C2780" s="256"/>
      <c r="D2780" s="414"/>
      <c r="E2780" s="414"/>
      <c r="F2780" s="414"/>
      <c r="G2780" s="253"/>
      <c r="H2780" s="253"/>
      <c r="I2780" s="253"/>
      <c r="J2780" s="253"/>
      <c r="K2780" s="253"/>
      <c r="L2780" s="253"/>
      <c r="M2780" s="253"/>
      <c r="N2780" s="253"/>
      <c r="O2780" s="258"/>
      <c r="P2780" s="258"/>
      <c r="Q2780" s="258"/>
      <c r="R2780" s="258"/>
      <c r="S2780" s="258"/>
      <c r="T2780" s="258"/>
      <c r="U2780" s="258"/>
      <c r="V2780" s="258"/>
      <c r="W2780" s="258"/>
      <c r="X2780" s="258"/>
      <c r="Y2780" s="258"/>
      <c r="Z2780" s="258"/>
      <c r="AA2780" s="258"/>
      <c r="AB2780" s="258"/>
      <c r="AC2780" s="407"/>
    </row>
    <row r="2781" spans="2:29" s="406" customFormat="1" ht="16.5" customHeight="1">
      <c r="B2781" s="256"/>
      <c r="C2781" s="256"/>
      <c r="D2781" s="414"/>
      <c r="E2781" s="414"/>
      <c r="F2781" s="414"/>
      <c r="G2781" s="253"/>
      <c r="H2781" s="253"/>
      <c r="I2781" s="253"/>
      <c r="J2781" s="253"/>
      <c r="K2781" s="253"/>
      <c r="L2781" s="253"/>
      <c r="M2781" s="253"/>
      <c r="N2781" s="253"/>
      <c r="O2781" s="258"/>
      <c r="P2781" s="258"/>
      <c r="Q2781" s="258"/>
      <c r="R2781" s="258"/>
      <c r="S2781" s="258"/>
      <c r="T2781" s="258"/>
      <c r="U2781" s="258"/>
      <c r="V2781" s="258"/>
      <c r="W2781" s="258"/>
      <c r="X2781" s="258"/>
      <c r="Y2781" s="258"/>
      <c r="Z2781" s="258"/>
      <c r="AA2781" s="258"/>
      <c r="AB2781" s="258"/>
      <c r="AC2781" s="407"/>
    </row>
    <row r="2782" spans="2:29" s="406" customFormat="1" ht="16.5" customHeight="1">
      <c r="B2782" s="256"/>
      <c r="C2782" s="256"/>
      <c r="D2782" s="414"/>
      <c r="E2782" s="414"/>
      <c r="F2782" s="414"/>
      <c r="G2782" s="253"/>
      <c r="H2782" s="253"/>
      <c r="I2782" s="253"/>
      <c r="J2782" s="253"/>
      <c r="K2782" s="253"/>
      <c r="L2782" s="253"/>
      <c r="M2782" s="253"/>
      <c r="N2782" s="253"/>
      <c r="O2782" s="258"/>
      <c r="P2782" s="258"/>
      <c r="Q2782" s="258"/>
      <c r="R2782" s="258"/>
      <c r="S2782" s="258"/>
      <c r="T2782" s="258"/>
      <c r="U2782" s="258"/>
      <c r="V2782" s="258"/>
      <c r="W2782" s="258"/>
      <c r="X2782" s="258"/>
      <c r="Y2782" s="258"/>
      <c r="Z2782" s="258"/>
      <c r="AA2782" s="258"/>
      <c r="AB2782" s="258"/>
      <c r="AC2782" s="407"/>
    </row>
    <row r="2783" spans="2:29" s="406" customFormat="1" ht="16.5" customHeight="1">
      <c r="B2783" s="256"/>
      <c r="C2783" s="256"/>
      <c r="D2783" s="414"/>
      <c r="E2783" s="414"/>
      <c r="F2783" s="414"/>
      <c r="G2783" s="253"/>
      <c r="H2783" s="253"/>
      <c r="I2783" s="253"/>
      <c r="J2783" s="253"/>
      <c r="K2783" s="253"/>
      <c r="L2783" s="253"/>
      <c r="M2783" s="253"/>
      <c r="N2783" s="253"/>
      <c r="O2783" s="258"/>
      <c r="P2783" s="258"/>
      <c r="Q2783" s="258"/>
      <c r="R2783" s="258"/>
      <c r="S2783" s="258"/>
      <c r="T2783" s="258"/>
      <c r="U2783" s="258"/>
      <c r="V2783" s="258"/>
      <c r="W2783" s="258"/>
      <c r="X2783" s="258"/>
      <c r="Y2783" s="258"/>
      <c r="Z2783" s="258"/>
      <c r="AA2783" s="258"/>
      <c r="AB2783" s="258"/>
      <c r="AC2783" s="407"/>
    </row>
    <row r="2784" spans="2:29" s="406" customFormat="1" ht="16.5" customHeight="1">
      <c r="B2784" s="256"/>
      <c r="C2784" s="256"/>
      <c r="D2784" s="414"/>
      <c r="E2784" s="414"/>
      <c r="F2784" s="414"/>
      <c r="G2784" s="253"/>
      <c r="H2784" s="253"/>
      <c r="I2784" s="253"/>
      <c r="J2784" s="253"/>
      <c r="K2784" s="253"/>
      <c r="L2784" s="253"/>
      <c r="M2784" s="253"/>
      <c r="N2784" s="253"/>
      <c r="O2784" s="258"/>
      <c r="P2784" s="258"/>
      <c r="Q2784" s="258"/>
      <c r="R2784" s="258"/>
      <c r="S2784" s="258"/>
      <c r="T2784" s="258"/>
      <c r="U2784" s="258"/>
      <c r="V2784" s="258"/>
      <c r="W2784" s="258"/>
      <c r="X2784" s="258"/>
      <c r="Y2784" s="258"/>
      <c r="Z2784" s="258"/>
      <c r="AA2784" s="258"/>
      <c r="AB2784" s="258"/>
      <c r="AC2784" s="407"/>
    </row>
    <row r="2785" spans="2:29" s="406" customFormat="1" ht="16.5" customHeight="1">
      <c r="B2785" s="256"/>
      <c r="C2785" s="256"/>
      <c r="D2785" s="414"/>
      <c r="E2785" s="414"/>
      <c r="F2785" s="414"/>
      <c r="G2785" s="253"/>
      <c r="H2785" s="253"/>
      <c r="I2785" s="253"/>
      <c r="J2785" s="253"/>
      <c r="K2785" s="253"/>
      <c r="L2785" s="253"/>
      <c r="M2785" s="253"/>
      <c r="N2785" s="253"/>
      <c r="O2785" s="258"/>
      <c r="P2785" s="258"/>
      <c r="Q2785" s="258"/>
      <c r="R2785" s="258"/>
      <c r="S2785" s="258"/>
      <c r="T2785" s="258"/>
      <c r="U2785" s="258"/>
      <c r="V2785" s="258"/>
      <c r="W2785" s="258"/>
      <c r="X2785" s="258"/>
      <c r="Y2785" s="258"/>
      <c r="Z2785" s="258"/>
      <c r="AA2785" s="258"/>
      <c r="AB2785" s="258"/>
      <c r="AC2785" s="407"/>
    </row>
    <row r="2786" spans="2:29" s="406" customFormat="1" ht="16.5" customHeight="1">
      <c r="B2786" s="256"/>
      <c r="C2786" s="256"/>
      <c r="D2786" s="414"/>
      <c r="E2786" s="414"/>
      <c r="F2786" s="414"/>
      <c r="G2786" s="253"/>
      <c r="H2786" s="253"/>
      <c r="I2786" s="253"/>
      <c r="J2786" s="253"/>
      <c r="K2786" s="253"/>
      <c r="L2786" s="253"/>
      <c r="M2786" s="253"/>
      <c r="N2786" s="253"/>
      <c r="O2786" s="258"/>
      <c r="P2786" s="258"/>
      <c r="Q2786" s="258"/>
      <c r="R2786" s="258"/>
      <c r="S2786" s="258"/>
      <c r="T2786" s="258"/>
      <c r="U2786" s="258"/>
      <c r="V2786" s="258"/>
      <c r="W2786" s="258"/>
      <c r="X2786" s="258"/>
      <c r="Y2786" s="258"/>
      <c r="Z2786" s="258"/>
      <c r="AA2786" s="258"/>
      <c r="AB2786" s="258"/>
      <c r="AC2786" s="407"/>
    </row>
    <row r="2787" spans="2:29" s="406" customFormat="1" ht="16.5" customHeight="1">
      <c r="B2787" s="256"/>
      <c r="C2787" s="256"/>
      <c r="D2787" s="414"/>
      <c r="E2787" s="414"/>
      <c r="F2787" s="414"/>
      <c r="G2787" s="253"/>
      <c r="H2787" s="253"/>
      <c r="I2787" s="253"/>
      <c r="J2787" s="253"/>
      <c r="K2787" s="253"/>
      <c r="L2787" s="253"/>
      <c r="M2787" s="253"/>
      <c r="N2787" s="253"/>
      <c r="O2787" s="258"/>
      <c r="P2787" s="258"/>
      <c r="Q2787" s="258"/>
      <c r="R2787" s="258"/>
      <c r="S2787" s="258"/>
      <c r="T2787" s="258"/>
      <c r="U2787" s="258"/>
      <c r="V2787" s="258"/>
      <c r="W2787" s="258"/>
      <c r="X2787" s="258"/>
      <c r="Y2787" s="258"/>
      <c r="Z2787" s="258"/>
      <c r="AA2787" s="258"/>
      <c r="AB2787" s="258"/>
      <c r="AC2787" s="407"/>
    </row>
    <row r="2788" spans="2:29" s="406" customFormat="1" ht="16.5" customHeight="1">
      <c r="B2788" s="256"/>
      <c r="C2788" s="256"/>
      <c r="D2788" s="414"/>
      <c r="E2788" s="414"/>
      <c r="F2788" s="414"/>
      <c r="G2788" s="253"/>
      <c r="H2788" s="253"/>
      <c r="I2788" s="253"/>
      <c r="J2788" s="253"/>
      <c r="K2788" s="253"/>
      <c r="L2788" s="253"/>
      <c r="M2788" s="253"/>
      <c r="N2788" s="253"/>
      <c r="O2788" s="258"/>
      <c r="P2788" s="258"/>
      <c r="Q2788" s="258"/>
      <c r="R2788" s="258"/>
      <c r="S2788" s="258"/>
      <c r="T2788" s="258"/>
      <c r="U2788" s="258"/>
      <c r="V2788" s="258"/>
      <c r="W2788" s="258"/>
      <c r="X2788" s="258"/>
      <c r="Y2788" s="258"/>
      <c r="Z2788" s="258"/>
      <c r="AA2788" s="258"/>
      <c r="AB2788" s="258"/>
      <c r="AC2788" s="407"/>
    </row>
    <row r="2789" spans="2:29" s="406" customFormat="1" ht="16.5" customHeight="1">
      <c r="B2789" s="256"/>
      <c r="C2789" s="256"/>
      <c r="D2789" s="414"/>
      <c r="E2789" s="414"/>
      <c r="F2789" s="414"/>
      <c r="G2789" s="253"/>
      <c r="H2789" s="253"/>
      <c r="I2789" s="253"/>
      <c r="J2789" s="253"/>
      <c r="K2789" s="253"/>
      <c r="L2789" s="253"/>
      <c r="M2789" s="253"/>
      <c r="N2789" s="253"/>
      <c r="O2789" s="258"/>
      <c r="P2789" s="258"/>
      <c r="Q2789" s="258"/>
      <c r="R2789" s="258"/>
      <c r="S2789" s="258"/>
      <c r="T2789" s="258"/>
      <c r="U2789" s="258"/>
      <c r="V2789" s="258"/>
      <c r="W2789" s="258"/>
      <c r="X2789" s="258"/>
      <c r="Y2789" s="258"/>
      <c r="Z2789" s="258"/>
      <c r="AA2789" s="258"/>
      <c r="AB2789" s="258"/>
      <c r="AC2789" s="407"/>
    </row>
    <row r="2790" spans="2:29" s="406" customFormat="1" ht="16.5" customHeight="1">
      <c r="B2790" s="256"/>
      <c r="C2790" s="256"/>
      <c r="D2790" s="414"/>
      <c r="E2790" s="414"/>
      <c r="F2790" s="414"/>
      <c r="G2790" s="253"/>
      <c r="H2790" s="253"/>
      <c r="I2790" s="253"/>
      <c r="J2790" s="253"/>
      <c r="K2790" s="253"/>
      <c r="L2790" s="253"/>
      <c r="M2790" s="253"/>
      <c r="N2790" s="253"/>
      <c r="O2790" s="258"/>
      <c r="P2790" s="258"/>
      <c r="Q2790" s="258"/>
      <c r="R2790" s="258"/>
      <c r="S2790" s="258"/>
      <c r="T2790" s="258"/>
      <c r="U2790" s="258"/>
      <c r="V2790" s="258"/>
      <c r="W2790" s="258"/>
      <c r="X2790" s="258"/>
      <c r="Y2790" s="258"/>
      <c r="Z2790" s="258"/>
      <c r="AA2790" s="258"/>
      <c r="AB2790" s="258"/>
      <c r="AC2790" s="407"/>
    </row>
    <row r="2791" spans="2:29" s="406" customFormat="1" ht="16.5" customHeight="1">
      <c r="B2791" s="256"/>
      <c r="C2791" s="256"/>
      <c r="D2791" s="414"/>
      <c r="E2791" s="414"/>
      <c r="F2791" s="414"/>
      <c r="G2791" s="253"/>
      <c r="H2791" s="253"/>
      <c r="I2791" s="253"/>
      <c r="J2791" s="253"/>
      <c r="K2791" s="253"/>
      <c r="L2791" s="253"/>
      <c r="M2791" s="253"/>
      <c r="N2791" s="253"/>
      <c r="O2791" s="258"/>
      <c r="P2791" s="258"/>
      <c r="Q2791" s="258"/>
      <c r="R2791" s="258"/>
      <c r="S2791" s="258"/>
      <c r="T2791" s="258"/>
      <c r="U2791" s="258"/>
      <c r="V2791" s="258"/>
      <c r="W2791" s="258"/>
      <c r="X2791" s="258"/>
      <c r="Y2791" s="258"/>
      <c r="Z2791" s="258"/>
      <c r="AA2791" s="258"/>
      <c r="AB2791" s="258"/>
      <c r="AC2791" s="407"/>
    </row>
    <row r="2792" spans="2:29" s="406" customFormat="1" ht="16.5" customHeight="1">
      <c r="B2792" s="256"/>
      <c r="C2792" s="256"/>
      <c r="D2792" s="414"/>
      <c r="E2792" s="414"/>
      <c r="F2792" s="414"/>
      <c r="G2792" s="253"/>
      <c r="H2792" s="253"/>
      <c r="I2792" s="253"/>
      <c r="J2792" s="253"/>
      <c r="K2792" s="253"/>
      <c r="L2792" s="253"/>
      <c r="M2792" s="253"/>
      <c r="N2792" s="253"/>
      <c r="O2792" s="258"/>
      <c r="P2792" s="258"/>
      <c r="Q2792" s="258"/>
      <c r="R2792" s="258"/>
      <c r="S2792" s="258"/>
      <c r="T2792" s="258"/>
      <c r="U2792" s="258"/>
      <c r="V2792" s="258"/>
      <c r="W2792" s="258"/>
      <c r="X2792" s="258"/>
      <c r="Y2792" s="258"/>
      <c r="Z2792" s="258"/>
      <c r="AA2792" s="258"/>
      <c r="AB2792" s="258"/>
      <c r="AC2792" s="407"/>
    </row>
    <row r="2793" spans="2:29" s="406" customFormat="1" ht="16.5" customHeight="1">
      <c r="B2793" s="256"/>
      <c r="C2793" s="256"/>
      <c r="D2793" s="414"/>
      <c r="E2793" s="414"/>
      <c r="F2793" s="414"/>
      <c r="G2793" s="253"/>
      <c r="H2793" s="253"/>
      <c r="I2793" s="253"/>
      <c r="J2793" s="253"/>
      <c r="K2793" s="253"/>
      <c r="L2793" s="253"/>
      <c r="M2793" s="253"/>
      <c r="N2793" s="253"/>
      <c r="O2793" s="258"/>
      <c r="P2793" s="258"/>
      <c r="Q2793" s="258"/>
      <c r="R2793" s="258"/>
      <c r="S2793" s="258"/>
      <c r="T2793" s="258"/>
      <c r="U2793" s="258"/>
      <c r="V2793" s="258"/>
      <c r="W2793" s="258"/>
      <c r="X2793" s="258"/>
      <c r="Y2793" s="258"/>
      <c r="Z2793" s="258"/>
      <c r="AA2793" s="258"/>
      <c r="AB2793" s="258"/>
      <c r="AC2793" s="407"/>
    </row>
    <row r="2794" spans="2:29" s="406" customFormat="1" ht="16.5" customHeight="1">
      <c r="B2794" s="256"/>
      <c r="C2794" s="256"/>
      <c r="D2794" s="414"/>
      <c r="E2794" s="414"/>
      <c r="F2794" s="414"/>
      <c r="G2794" s="253"/>
      <c r="H2794" s="253"/>
      <c r="I2794" s="253"/>
      <c r="J2794" s="253"/>
      <c r="K2794" s="253"/>
      <c r="L2794" s="253"/>
      <c r="M2794" s="253"/>
      <c r="N2794" s="253"/>
      <c r="O2794" s="258"/>
      <c r="P2794" s="258"/>
      <c r="Q2794" s="258"/>
      <c r="R2794" s="258"/>
      <c r="S2794" s="258"/>
      <c r="T2794" s="258"/>
      <c r="U2794" s="258"/>
      <c r="V2794" s="258"/>
      <c r="W2794" s="258"/>
      <c r="X2794" s="258"/>
      <c r="Y2794" s="258"/>
      <c r="Z2794" s="258"/>
      <c r="AA2794" s="258"/>
      <c r="AB2794" s="258"/>
      <c r="AC2794" s="407"/>
    </row>
    <row r="2795" spans="2:29" s="406" customFormat="1" ht="16.5" customHeight="1">
      <c r="B2795" s="256"/>
      <c r="C2795" s="256"/>
      <c r="D2795" s="414"/>
      <c r="E2795" s="414"/>
      <c r="F2795" s="414"/>
      <c r="G2795" s="253"/>
      <c r="H2795" s="253"/>
      <c r="I2795" s="253"/>
      <c r="J2795" s="253"/>
      <c r="K2795" s="253"/>
      <c r="L2795" s="253"/>
      <c r="M2795" s="253"/>
      <c r="N2795" s="253"/>
      <c r="O2795" s="258"/>
      <c r="P2795" s="258"/>
      <c r="Q2795" s="258"/>
      <c r="R2795" s="258"/>
      <c r="S2795" s="258"/>
      <c r="T2795" s="258"/>
      <c r="U2795" s="258"/>
      <c r="V2795" s="258"/>
      <c r="W2795" s="258"/>
      <c r="X2795" s="258"/>
      <c r="Y2795" s="258"/>
      <c r="Z2795" s="258"/>
      <c r="AA2795" s="258"/>
      <c r="AB2795" s="258"/>
      <c r="AC2795" s="407"/>
    </row>
    <row r="2796" spans="2:29" s="406" customFormat="1" ht="16.5" customHeight="1">
      <c r="B2796" s="256"/>
      <c r="C2796" s="256"/>
      <c r="D2796" s="414"/>
      <c r="E2796" s="414"/>
      <c r="F2796" s="414"/>
      <c r="G2796" s="253"/>
      <c r="H2796" s="253"/>
      <c r="I2796" s="253"/>
      <c r="J2796" s="253"/>
      <c r="K2796" s="253"/>
      <c r="L2796" s="253"/>
      <c r="M2796" s="253"/>
      <c r="N2796" s="253"/>
      <c r="O2796" s="258"/>
      <c r="P2796" s="258"/>
      <c r="Q2796" s="258"/>
      <c r="R2796" s="258"/>
      <c r="S2796" s="258"/>
      <c r="T2796" s="258"/>
      <c r="U2796" s="258"/>
      <c r="V2796" s="258"/>
      <c r="W2796" s="258"/>
      <c r="X2796" s="258"/>
      <c r="Y2796" s="258"/>
      <c r="Z2796" s="258"/>
      <c r="AA2796" s="258"/>
      <c r="AB2796" s="258"/>
      <c r="AC2796" s="407"/>
    </row>
    <row r="2797" spans="2:29" s="406" customFormat="1" ht="16.5" customHeight="1">
      <c r="B2797" s="256"/>
      <c r="C2797" s="256"/>
      <c r="D2797" s="414"/>
      <c r="E2797" s="414"/>
      <c r="F2797" s="414"/>
      <c r="G2797" s="253"/>
      <c r="H2797" s="253"/>
      <c r="I2797" s="253"/>
      <c r="J2797" s="253"/>
      <c r="K2797" s="253"/>
      <c r="L2797" s="253"/>
      <c r="M2797" s="253"/>
      <c r="N2797" s="253"/>
      <c r="O2797" s="258"/>
      <c r="P2797" s="258"/>
      <c r="Q2797" s="258"/>
      <c r="R2797" s="258"/>
      <c r="S2797" s="258"/>
      <c r="T2797" s="258"/>
      <c r="U2797" s="258"/>
      <c r="V2797" s="258"/>
      <c r="W2797" s="258"/>
      <c r="X2797" s="258"/>
      <c r="Y2797" s="258"/>
      <c r="Z2797" s="258"/>
      <c r="AA2797" s="258"/>
      <c r="AB2797" s="258"/>
      <c r="AC2797" s="407"/>
    </row>
    <row r="2798" spans="2:29" s="406" customFormat="1" ht="16.5" customHeight="1">
      <c r="B2798" s="256"/>
      <c r="C2798" s="256"/>
      <c r="D2798" s="414"/>
      <c r="E2798" s="414"/>
      <c r="F2798" s="414"/>
      <c r="G2798" s="253"/>
      <c r="H2798" s="253"/>
      <c r="I2798" s="253"/>
      <c r="J2798" s="253"/>
      <c r="K2798" s="253"/>
      <c r="L2798" s="253"/>
      <c r="M2798" s="253"/>
      <c r="N2798" s="253"/>
      <c r="O2798" s="258"/>
      <c r="P2798" s="258"/>
      <c r="Q2798" s="258"/>
      <c r="R2798" s="258"/>
      <c r="S2798" s="258"/>
      <c r="T2798" s="258"/>
      <c r="U2798" s="258"/>
      <c r="V2798" s="258"/>
      <c r="W2798" s="258"/>
      <c r="X2798" s="258"/>
      <c r="Y2798" s="258"/>
      <c r="Z2798" s="258"/>
      <c r="AA2798" s="258"/>
      <c r="AB2798" s="258"/>
      <c r="AC2798" s="407"/>
    </row>
    <row r="2799" spans="2:29" s="406" customFormat="1" ht="16.5" customHeight="1">
      <c r="B2799" s="256"/>
      <c r="C2799" s="256"/>
      <c r="D2799" s="414"/>
      <c r="E2799" s="414"/>
      <c r="F2799" s="414"/>
      <c r="G2799" s="253"/>
      <c r="H2799" s="253"/>
      <c r="I2799" s="253"/>
      <c r="J2799" s="253"/>
      <c r="K2799" s="253"/>
      <c r="L2799" s="253"/>
      <c r="M2799" s="253"/>
      <c r="N2799" s="253"/>
      <c r="O2799" s="258"/>
      <c r="P2799" s="258"/>
      <c r="Q2799" s="258"/>
      <c r="R2799" s="258"/>
      <c r="S2799" s="258"/>
      <c r="T2799" s="258"/>
      <c r="U2799" s="258"/>
      <c r="V2799" s="258"/>
      <c r="W2799" s="258"/>
      <c r="X2799" s="258"/>
      <c r="Y2799" s="258"/>
      <c r="Z2799" s="258"/>
      <c r="AA2799" s="258"/>
      <c r="AB2799" s="258"/>
      <c r="AC2799" s="407"/>
    </row>
    <row r="2800" spans="2:29" s="406" customFormat="1" ht="16.5" customHeight="1">
      <c r="B2800" s="256"/>
      <c r="C2800" s="256"/>
      <c r="D2800" s="414"/>
      <c r="E2800" s="414"/>
      <c r="F2800" s="414"/>
      <c r="G2800" s="253"/>
      <c r="H2800" s="253"/>
      <c r="I2800" s="253"/>
      <c r="J2800" s="253"/>
      <c r="K2800" s="253"/>
      <c r="L2800" s="253"/>
      <c r="M2800" s="253"/>
      <c r="N2800" s="253"/>
      <c r="O2800" s="258"/>
      <c r="P2800" s="258"/>
      <c r="Q2800" s="258"/>
      <c r="R2800" s="258"/>
      <c r="S2800" s="258"/>
      <c r="T2800" s="258"/>
      <c r="U2800" s="258"/>
      <c r="V2800" s="258"/>
      <c r="W2800" s="258"/>
      <c r="X2800" s="258"/>
      <c r="Y2800" s="258"/>
      <c r="Z2800" s="258"/>
      <c r="AA2800" s="258"/>
      <c r="AB2800" s="258"/>
      <c r="AC2800" s="407"/>
    </row>
    <row r="2801" spans="2:29" s="406" customFormat="1" ht="16.5" customHeight="1">
      <c r="B2801" s="256"/>
      <c r="C2801" s="256"/>
      <c r="D2801" s="414"/>
      <c r="E2801" s="414"/>
      <c r="F2801" s="414"/>
      <c r="G2801" s="253"/>
      <c r="H2801" s="253"/>
      <c r="I2801" s="253"/>
      <c r="J2801" s="253"/>
      <c r="K2801" s="253"/>
      <c r="L2801" s="253"/>
      <c r="M2801" s="253"/>
      <c r="N2801" s="253"/>
      <c r="O2801" s="258"/>
      <c r="P2801" s="258"/>
      <c r="Q2801" s="258"/>
      <c r="R2801" s="258"/>
      <c r="S2801" s="258"/>
      <c r="T2801" s="258"/>
      <c r="U2801" s="258"/>
      <c r="V2801" s="258"/>
      <c r="W2801" s="258"/>
      <c r="X2801" s="258"/>
      <c r="Y2801" s="258"/>
      <c r="Z2801" s="258"/>
      <c r="AA2801" s="258"/>
      <c r="AB2801" s="258"/>
      <c r="AC2801" s="407"/>
    </row>
    <row r="2802" spans="2:29" s="406" customFormat="1" ht="16.5" customHeight="1">
      <c r="B2802" s="256"/>
      <c r="C2802" s="256"/>
      <c r="D2802" s="414"/>
      <c r="E2802" s="414"/>
      <c r="F2802" s="414"/>
      <c r="G2802" s="253"/>
      <c r="H2802" s="253"/>
      <c r="I2802" s="253"/>
      <c r="J2802" s="253"/>
      <c r="K2802" s="253"/>
      <c r="L2802" s="253"/>
      <c r="M2802" s="253"/>
      <c r="N2802" s="253"/>
      <c r="O2802" s="258"/>
      <c r="P2802" s="258"/>
      <c r="Q2802" s="258"/>
      <c r="R2802" s="258"/>
      <c r="S2802" s="258"/>
      <c r="T2802" s="258"/>
      <c r="U2802" s="258"/>
      <c r="V2802" s="258"/>
      <c r="W2802" s="258"/>
      <c r="X2802" s="258"/>
      <c r="Y2802" s="258"/>
      <c r="Z2802" s="258"/>
      <c r="AA2802" s="258"/>
      <c r="AB2802" s="258"/>
      <c r="AC2802" s="407"/>
    </row>
    <row r="2803" spans="2:29" s="406" customFormat="1" ht="16.5" customHeight="1">
      <c r="B2803" s="256"/>
      <c r="C2803" s="256"/>
      <c r="D2803" s="414"/>
      <c r="E2803" s="414"/>
      <c r="F2803" s="414"/>
      <c r="G2803" s="253"/>
      <c r="H2803" s="253"/>
      <c r="I2803" s="253"/>
      <c r="J2803" s="253"/>
      <c r="K2803" s="253"/>
      <c r="L2803" s="253"/>
      <c r="M2803" s="253"/>
      <c r="N2803" s="253"/>
      <c r="O2803" s="258"/>
      <c r="P2803" s="258"/>
      <c r="Q2803" s="258"/>
      <c r="R2803" s="258"/>
      <c r="S2803" s="258"/>
      <c r="T2803" s="258"/>
      <c r="U2803" s="258"/>
      <c r="V2803" s="258"/>
      <c r="W2803" s="258"/>
      <c r="X2803" s="258"/>
      <c r="Y2803" s="258"/>
      <c r="Z2803" s="258"/>
      <c r="AA2803" s="258"/>
      <c r="AB2803" s="258"/>
      <c r="AC2803" s="407"/>
    </row>
    <row r="2804" spans="2:29" s="406" customFormat="1" ht="16.5" customHeight="1">
      <c r="B2804" s="256"/>
      <c r="C2804" s="256"/>
      <c r="D2804" s="414"/>
      <c r="E2804" s="414"/>
      <c r="F2804" s="414"/>
      <c r="G2804" s="253"/>
      <c r="H2804" s="253"/>
      <c r="I2804" s="253"/>
      <c r="J2804" s="253"/>
      <c r="K2804" s="253"/>
      <c r="L2804" s="253"/>
      <c r="M2804" s="253"/>
      <c r="N2804" s="253"/>
      <c r="O2804" s="258"/>
      <c r="P2804" s="258"/>
      <c r="Q2804" s="258"/>
      <c r="R2804" s="258"/>
      <c r="S2804" s="258"/>
      <c r="T2804" s="258"/>
      <c r="U2804" s="258"/>
      <c r="V2804" s="258"/>
      <c r="W2804" s="258"/>
      <c r="X2804" s="258"/>
      <c r="Y2804" s="258"/>
      <c r="Z2804" s="258"/>
      <c r="AA2804" s="258"/>
      <c r="AB2804" s="258"/>
      <c r="AC2804" s="407"/>
    </row>
    <row r="2805" spans="2:29" s="406" customFormat="1" ht="16.5" customHeight="1">
      <c r="B2805" s="256"/>
      <c r="C2805" s="256"/>
      <c r="D2805" s="414"/>
      <c r="E2805" s="414"/>
      <c r="F2805" s="414"/>
      <c r="G2805" s="253"/>
      <c r="H2805" s="253"/>
      <c r="I2805" s="253"/>
      <c r="J2805" s="253"/>
      <c r="K2805" s="253"/>
      <c r="L2805" s="253"/>
      <c r="M2805" s="253"/>
      <c r="N2805" s="253"/>
      <c r="O2805" s="258"/>
      <c r="P2805" s="258"/>
      <c r="Q2805" s="258"/>
      <c r="R2805" s="258"/>
      <c r="S2805" s="258"/>
      <c r="T2805" s="258"/>
      <c r="U2805" s="258"/>
      <c r="V2805" s="258"/>
      <c r="W2805" s="258"/>
      <c r="X2805" s="258"/>
      <c r="Y2805" s="258"/>
      <c r="Z2805" s="258"/>
      <c r="AA2805" s="258"/>
      <c r="AB2805" s="258"/>
      <c r="AC2805" s="407"/>
    </row>
    <row r="2806" spans="2:29" s="406" customFormat="1" ht="16.5" customHeight="1">
      <c r="B2806" s="256"/>
      <c r="C2806" s="256"/>
      <c r="D2806" s="414"/>
      <c r="E2806" s="414"/>
      <c r="F2806" s="414"/>
      <c r="G2806" s="253"/>
      <c r="H2806" s="253"/>
      <c r="I2806" s="253"/>
      <c r="J2806" s="253"/>
      <c r="K2806" s="253"/>
      <c r="L2806" s="253"/>
      <c r="M2806" s="253"/>
      <c r="N2806" s="253"/>
      <c r="O2806" s="258"/>
      <c r="P2806" s="258"/>
      <c r="Q2806" s="258"/>
      <c r="R2806" s="258"/>
      <c r="S2806" s="258"/>
      <c r="T2806" s="258"/>
      <c r="U2806" s="258"/>
      <c r="V2806" s="258"/>
      <c r="W2806" s="258"/>
      <c r="X2806" s="258"/>
      <c r="Y2806" s="258"/>
      <c r="Z2806" s="258"/>
      <c r="AA2806" s="258"/>
      <c r="AB2806" s="258"/>
      <c r="AC2806" s="407"/>
    </row>
    <row r="2807" spans="2:29" s="406" customFormat="1" ht="16.5" customHeight="1">
      <c r="B2807" s="256"/>
      <c r="C2807" s="256"/>
      <c r="D2807" s="414"/>
      <c r="E2807" s="414"/>
      <c r="F2807" s="414"/>
      <c r="G2807" s="253"/>
      <c r="H2807" s="253"/>
      <c r="I2807" s="253"/>
      <c r="J2807" s="253"/>
      <c r="K2807" s="253"/>
      <c r="L2807" s="253"/>
      <c r="M2807" s="253"/>
      <c r="N2807" s="253"/>
      <c r="O2807" s="258"/>
      <c r="P2807" s="258"/>
      <c r="Q2807" s="258"/>
      <c r="R2807" s="258"/>
      <c r="S2807" s="258"/>
      <c r="T2807" s="258"/>
      <c r="U2807" s="258"/>
      <c r="V2807" s="258"/>
      <c r="W2807" s="258"/>
      <c r="X2807" s="258"/>
      <c r="Y2807" s="258"/>
      <c r="Z2807" s="258"/>
      <c r="AA2807" s="258"/>
      <c r="AB2807" s="258"/>
      <c r="AC2807" s="407"/>
    </row>
    <row r="2808" spans="2:29" s="406" customFormat="1" ht="16.5" customHeight="1">
      <c r="B2808" s="256"/>
      <c r="C2808" s="256"/>
      <c r="D2808" s="414"/>
      <c r="E2808" s="414"/>
      <c r="F2808" s="414"/>
      <c r="G2808" s="253"/>
      <c r="H2808" s="253"/>
      <c r="I2808" s="253"/>
      <c r="J2808" s="253"/>
      <c r="K2808" s="253"/>
      <c r="L2808" s="253"/>
      <c r="M2808" s="253"/>
      <c r="N2808" s="253"/>
      <c r="O2808" s="258"/>
      <c r="P2808" s="258"/>
      <c r="Q2808" s="258"/>
      <c r="R2808" s="258"/>
      <c r="S2808" s="258"/>
      <c r="T2808" s="258"/>
      <c r="U2808" s="258"/>
      <c r="V2808" s="258"/>
      <c r="W2808" s="258"/>
      <c r="X2808" s="258"/>
      <c r="Y2808" s="258"/>
      <c r="Z2808" s="258"/>
      <c r="AA2808" s="258"/>
      <c r="AB2808" s="258"/>
      <c r="AC2808" s="407"/>
    </row>
    <row r="2809" spans="2:29" s="406" customFormat="1" ht="16.5" customHeight="1">
      <c r="B2809" s="256"/>
      <c r="C2809" s="256"/>
      <c r="D2809" s="414"/>
      <c r="E2809" s="414"/>
      <c r="F2809" s="414"/>
      <c r="G2809" s="253"/>
      <c r="H2809" s="253"/>
      <c r="I2809" s="253"/>
      <c r="J2809" s="253"/>
      <c r="K2809" s="253"/>
      <c r="L2809" s="253"/>
      <c r="M2809" s="253"/>
      <c r="N2809" s="253"/>
      <c r="O2809" s="258"/>
      <c r="P2809" s="258"/>
      <c r="Q2809" s="258"/>
      <c r="R2809" s="258"/>
      <c r="S2809" s="258"/>
      <c r="T2809" s="258"/>
      <c r="U2809" s="258"/>
      <c r="V2809" s="258"/>
      <c r="W2809" s="258"/>
      <c r="X2809" s="258"/>
      <c r="Y2809" s="258"/>
      <c r="Z2809" s="258"/>
      <c r="AA2809" s="258"/>
      <c r="AB2809" s="258"/>
      <c r="AC2809" s="407"/>
    </row>
    <row r="2810" spans="2:29" s="406" customFormat="1" ht="16.5" customHeight="1">
      <c r="B2810" s="256"/>
      <c r="C2810" s="256"/>
      <c r="D2810" s="414"/>
      <c r="E2810" s="414"/>
      <c r="F2810" s="414"/>
      <c r="G2810" s="253"/>
      <c r="H2810" s="253"/>
      <c r="I2810" s="253"/>
      <c r="J2810" s="253"/>
      <c r="K2810" s="253"/>
      <c r="L2810" s="253"/>
      <c r="M2810" s="253"/>
      <c r="N2810" s="253"/>
      <c r="O2810" s="258"/>
      <c r="P2810" s="258"/>
      <c r="Q2810" s="258"/>
      <c r="R2810" s="258"/>
      <c r="S2810" s="258"/>
      <c r="T2810" s="258"/>
      <c r="U2810" s="258"/>
      <c r="V2810" s="258"/>
      <c r="W2810" s="258"/>
      <c r="X2810" s="258"/>
      <c r="Y2810" s="258"/>
      <c r="Z2810" s="258"/>
      <c r="AA2810" s="258"/>
      <c r="AB2810" s="258"/>
      <c r="AC2810" s="407"/>
    </row>
    <row r="2811" spans="2:29" s="406" customFormat="1" ht="16.5" customHeight="1">
      <c r="B2811" s="256"/>
      <c r="C2811" s="256"/>
      <c r="D2811" s="414"/>
      <c r="E2811" s="414"/>
      <c r="F2811" s="414"/>
      <c r="G2811" s="253"/>
      <c r="H2811" s="253"/>
      <c r="I2811" s="253"/>
      <c r="J2811" s="253"/>
      <c r="K2811" s="253"/>
      <c r="L2811" s="253"/>
      <c r="M2811" s="253"/>
      <c r="N2811" s="253"/>
      <c r="O2811" s="258"/>
      <c r="P2811" s="258"/>
      <c r="Q2811" s="258"/>
      <c r="R2811" s="258"/>
      <c r="S2811" s="258"/>
      <c r="T2811" s="258"/>
      <c r="U2811" s="258"/>
      <c r="V2811" s="258"/>
      <c r="W2811" s="258"/>
      <c r="X2811" s="258"/>
      <c r="Y2811" s="258"/>
      <c r="Z2811" s="258"/>
      <c r="AA2811" s="258"/>
      <c r="AB2811" s="258"/>
      <c r="AC2811" s="407"/>
    </row>
    <row r="2812" spans="2:29" s="406" customFormat="1" ht="16.5" customHeight="1">
      <c r="B2812" s="256"/>
      <c r="C2812" s="256"/>
      <c r="D2812" s="414"/>
      <c r="E2812" s="414"/>
      <c r="F2812" s="414"/>
      <c r="G2812" s="253"/>
      <c r="H2812" s="253"/>
      <c r="I2812" s="253"/>
      <c r="J2812" s="253"/>
      <c r="K2812" s="253"/>
      <c r="L2812" s="253"/>
      <c r="M2812" s="253"/>
      <c r="N2812" s="253"/>
      <c r="O2812" s="258"/>
      <c r="P2812" s="258"/>
      <c r="Q2812" s="258"/>
      <c r="R2812" s="258"/>
      <c r="S2812" s="258"/>
      <c r="T2812" s="258"/>
      <c r="U2812" s="258"/>
      <c r="V2812" s="258"/>
      <c r="W2812" s="258"/>
      <c r="X2812" s="258"/>
      <c r="Y2812" s="258"/>
      <c r="Z2812" s="258"/>
      <c r="AA2812" s="258"/>
      <c r="AB2812" s="258"/>
      <c r="AC2812" s="407"/>
    </row>
    <row r="2813" spans="2:29" s="406" customFormat="1" ht="16.5" customHeight="1">
      <c r="B2813" s="256"/>
      <c r="C2813" s="256"/>
      <c r="D2813" s="414"/>
      <c r="E2813" s="414"/>
      <c r="F2813" s="414"/>
      <c r="G2813" s="253"/>
      <c r="H2813" s="253"/>
      <c r="I2813" s="253"/>
      <c r="J2813" s="253"/>
      <c r="K2813" s="253"/>
      <c r="L2813" s="253"/>
      <c r="M2813" s="253"/>
      <c r="N2813" s="253"/>
      <c r="O2813" s="258"/>
      <c r="P2813" s="258"/>
      <c r="Q2813" s="258"/>
      <c r="R2813" s="258"/>
      <c r="S2813" s="258"/>
      <c r="T2813" s="258"/>
      <c r="U2813" s="258"/>
      <c r="V2813" s="258"/>
      <c r="W2813" s="258"/>
      <c r="X2813" s="258"/>
      <c r="Y2813" s="258"/>
      <c r="Z2813" s="258"/>
      <c r="AA2813" s="258"/>
      <c r="AB2813" s="258"/>
      <c r="AC2813" s="407"/>
    </row>
    <row r="2814" spans="2:29" s="406" customFormat="1" ht="16.5" customHeight="1">
      <c r="B2814" s="256"/>
      <c r="C2814" s="256"/>
      <c r="D2814" s="414"/>
      <c r="E2814" s="414"/>
      <c r="F2814" s="414"/>
      <c r="G2814" s="253"/>
      <c r="H2814" s="253"/>
      <c r="I2814" s="253"/>
      <c r="J2814" s="253"/>
      <c r="K2814" s="253"/>
      <c r="L2814" s="253"/>
      <c r="M2814" s="253"/>
      <c r="N2814" s="253"/>
      <c r="O2814" s="258"/>
      <c r="P2814" s="258"/>
      <c r="Q2814" s="258"/>
      <c r="R2814" s="258"/>
      <c r="S2814" s="258"/>
      <c r="T2814" s="258"/>
      <c r="U2814" s="258"/>
      <c r="V2814" s="258"/>
      <c r="W2814" s="258"/>
      <c r="X2814" s="258"/>
      <c r="Y2814" s="258"/>
      <c r="Z2814" s="258"/>
      <c r="AA2814" s="258"/>
      <c r="AB2814" s="258"/>
      <c r="AC2814" s="407"/>
    </row>
    <row r="2815" spans="2:29" s="406" customFormat="1" ht="16.5" customHeight="1">
      <c r="B2815" s="256"/>
      <c r="C2815" s="256"/>
      <c r="D2815" s="414"/>
      <c r="E2815" s="414"/>
      <c r="F2815" s="414"/>
      <c r="G2815" s="253"/>
      <c r="H2815" s="253"/>
      <c r="I2815" s="253"/>
      <c r="J2815" s="253"/>
      <c r="K2815" s="253"/>
      <c r="L2815" s="253"/>
      <c r="M2815" s="253"/>
      <c r="N2815" s="253"/>
      <c r="O2815" s="258"/>
      <c r="P2815" s="258"/>
      <c r="Q2815" s="258"/>
      <c r="R2815" s="258"/>
      <c r="S2815" s="258"/>
      <c r="T2815" s="258"/>
      <c r="U2815" s="258"/>
      <c r="V2815" s="258"/>
      <c r="W2815" s="258"/>
      <c r="X2815" s="258"/>
      <c r="Y2815" s="258"/>
      <c r="Z2815" s="258"/>
      <c r="AA2815" s="258"/>
      <c r="AB2815" s="258"/>
      <c r="AC2815" s="407"/>
    </row>
    <row r="2816" spans="2:29" s="406" customFormat="1" ht="16.5" customHeight="1">
      <c r="B2816" s="256"/>
      <c r="C2816" s="256"/>
      <c r="D2816" s="414"/>
      <c r="E2816" s="414"/>
      <c r="F2816" s="414"/>
      <c r="G2816" s="253"/>
      <c r="H2816" s="253"/>
      <c r="I2816" s="253"/>
      <c r="J2816" s="253"/>
      <c r="K2816" s="253"/>
      <c r="L2816" s="253"/>
      <c r="M2816" s="253"/>
      <c r="N2816" s="253"/>
      <c r="O2816" s="258"/>
      <c r="P2816" s="258"/>
      <c r="Q2816" s="258"/>
      <c r="R2816" s="258"/>
      <c r="S2816" s="258"/>
      <c r="T2816" s="258"/>
      <c r="U2816" s="258"/>
      <c r="V2816" s="258"/>
      <c r="W2816" s="258"/>
      <c r="X2816" s="258"/>
      <c r="Y2816" s="258"/>
      <c r="Z2816" s="258"/>
      <c r="AA2816" s="258"/>
      <c r="AB2816" s="258"/>
      <c r="AC2816" s="407"/>
    </row>
    <row r="2817" spans="2:29" s="406" customFormat="1" ht="16.5" customHeight="1">
      <c r="B2817" s="256"/>
      <c r="C2817" s="256"/>
      <c r="D2817" s="414"/>
      <c r="E2817" s="414"/>
      <c r="F2817" s="414"/>
      <c r="G2817" s="253"/>
      <c r="H2817" s="253"/>
      <c r="I2817" s="253"/>
      <c r="J2817" s="253"/>
      <c r="K2817" s="253"/>
      <c r="L2817" s="253"/>
      <c r="M2817" s="253"/>
      <c r="N2817" s="253"/>
      <c r="O2817" s="258"/>
      <c r="P2817" s="258"/>
      <c r="Q2817" s="258"/>
      <c r="R2817" s="258"/>
      <c r="S2817" s="258"/>
      <c r="T2817" s="258"/>
      <c r="U2817" s="258"/>
      <c r="V2817" s="258"/>
      <c r="W2817" s="258"/>
      <c r="X2817" s="258"/>
      <c r="Y2817" s="258"/>
      <c r="Z2817" s="258"/>
      <c r="AA2817" s="258"/>
      <c r="AB2817" s="258"/>
      <c r="AC2817" s="407"/>
    </row>
    <row r="2818" spans="2:29" s="406" customFormat="1" ht="16.5" customHeight="1">
      <c r="B2818" s="256"/>
      <c r="C2818" s="256"/>
      <c r="D2818" s="414"/>
      <c r="E2818" s="414"/>
      <c r="F2818" s="414"/>
      <c r="G2818" s="253"/>
      <c r="H2818" s="253"/>
      <c r="I2818" s="253"/>
      <c r="J2818" s="253"/>
      <c r="K2818" s="253"/>
      <c r="L2818" s="253"/>
      <c r="M2818" s="253"/>
      <c r="N2818" s="253"/>
      <c r="O2818" s="258"/>
      <c r="P2818" s="258"/>
      <c r="Q2818" s="258"/>
      <c r="R2818" s="258"/>
      <c r="S2818" s="258"/>
      <c r="T2818" s="258"/>
      <c r="U2818" s="258"/>
      <c r="V2818" s="258"/>
      <c r="W2818" s="258"/>
      <c r="X2818" s="258"/>
      <c r="Y2818" s="258"/>
      <c r="Z2818" s="258"/>
      <c r="AA2818" s="258"/>
      <c r="AB2818" s="258"/>
      <c r="AC2818" s="407"/>
    </row>
    <row r="2819" spans="2:29" s="406" customFormat="1" ht="16.5" customHeight="1">
      <c r="B2819" s="256"/>
      <c r="C2819" s="256"/>
      <c r="D2819" s="414"/>
      <c r="E2819" s="414"/>
      <c r="F2819" s="414"/>
      <c r="G2819" s="253"/>
      <c r="H2819" s="253"/>
      <c r="I2819" s="253"/>
      <c r="J2819" s="253"/>
      <c r="K2819" s="253"/>
      <c r="L2819" s="253"/>
      <c r="M2819" s="253"/>
      <c r="N2819" s="253"/>
      <c r="O2819" s="258"/>
      <c r="P2819" s="258"/>
      <c r="Q2819" s="258"/>
      <c r="R2819" s="258"/>
      <c r="S2819" s="258"/>
      <c r="T2819" s="258"/>
      <c r="U2819" s="258"/>
      <c r="V2819" s="258"/>
      <c r="W2819" s="258"/>
      <c r="X2819" s="258"/>
      <c r="Y2819" s="258"/>
      <c r="Z2819" s="258"/>
      <c r="AA2819" s="258"/>
      <c r="AB2819" s="258"/>
      <c r="AC2819" s="407"/>
    </row>
    <row r="2820" spans="2:29" s="406" customFormat="1" ht="16.5" customHeight="1">
      <c r="B2820" s="256"/>
      <c r="C2820" s="256"/>
      <c r="D2820" s="414"/>
      <c r="E2820" s="414"/>
      <c r="F2820" s="414"/>
      <c r="G2820" s="253"/>
      <c r="H2820" s="253"/>
      <c r="I2820" s="253"/>
      <c r="J2820" s="253"/>
      <c r="K2820" s="253"/>
      <c r="L2820" s="253"/>
      <c r="M2820" s="253"/>
      <c r="N2820" s="253"/>
      <c r="O2820" s="258"/>
      <c r="P2820" s="258"/>
      <c r="Q2820" s="258"/>
      <c r="R2820" s="258"/>
      <c r="S2820" s="258"/>
      <c r="T2820" s="258"/>
      <c r="U2820" s="258"/>
      <c r="V2820" s="258"/>
      <c r="W2820" s="258"/>
      <c r="X2820" s="258"/>
      <c r="Y2820" s="258"/>
      <c r="Z2820" s="258"/>
      <c r="AA2820" s="258"/>
      <c r="AB2820" s="258"/>
      <c r="AC2820" s="407"/>
    </row>
    <row r="2821" spans="2:29" s="406" customFormat="1" ht="16.5" customHeight="1">
      <c r="B2821" s="256"/>
      <c r="C2821" s="256"/>
      <c r="D2821" s="414"/>
      <c r="E2821" s="414"/>
      <c r="F2821" s="414"/>
      <c r="G2821" s="253"/>
      <c r="H2821" s="253"/>
      <c r="I2821" s="253"/>
      <c r="J2821" s="253"/>
      <c r="K2821" s="253"/>
      <c r="L2821" s="253"/>
      <c r="M2821" s="253"/>
      <c r="N2821" s="253"/>
      <c r="O2821" s="258"/>
      <c r="P2821" s="258"/>
      <c r="Q2821" s="258"/>
      <c r="R2821" s="258"/>
      <c r="S2821" s="258"/>
      <c r="T2821" s="258"/>
      <c r="U2821" s="258"/>
      <c r="V2821" s="258"/>
      <c r="W2821" s="258"/>
      <c r="X2821" s="258"/>
      <c r="Y2821" s="258"/>
      <c r="Z2821" s="258"/>
      <c r="AA2821" s="258"/>
      <c r="AB2821" s="258"/>
      <c r="AC2821" s="407"/>
    </row>
    <row r="2822" spans="2:29" s="406" customFormat="1" ht="16.5" customHeight="1">
      <c r="B2822" s="256"/>
      <c r="C2822" s="256"/>
      <c r="D2822" s="414"/>
      <c r="E2822" s="414"/>
      <c r="F2822" s="414"/>
      <c r="G2822" s="253"/>
      <c r="H2822" s="253"/>
      <c r="I2822" s="253"/>
      <c r="J2822" s="253"/>
      <c r="K2822" s="253"/>
      <c r="L2822" s="253"/>
      <c r="M2822" s="253"/>
      <c r="N2822" s="253"/>
      <c r="O2822" s="258"/>
      <c r="P2822" s="258"/>
      <c r="Q2822" s="258"/>
      <c r="R2822" s="258"/>
      <c r="S2822" s="258"/>
      <c r="T2822" s="258"/>
      <c r="U2822" s="258"/>
      <c r="V2822" s="258"/>
      <c r="W2822" s="258"/>
      <c r="X2822" s="258"/>
      <c r="Y2822" s="258"/>
      <c r="Z2822" s="258"/>
      <c r="AA2822" s="258"/>
      <c r="AB2822" s="258"/>
      <c r="AC2822" s="407"/>
    </row>
    <row r="2823" spans="2:29" s="406" customFormat="1" ht="16.5" customHeight="1">
      <c r="B2823" s="256"/>
      <c r="C2823" s="256"/>
      <c r="D2823" s="414"/>
      <c r="E2823" s="414"/>
      <c r="F2823" s="414"/>
      <c r="G2823" s="253"/>
      <c r="H2823" s="253"/>
      <c r="I2823" s="253"/>
      <c r="J2823" s="253"/>
      <c r="K2823" s="253"/>
      <c r="L2823" s="253"/>
      <c r="M2823" s="253"/>
      <c r="N2823" s="253"/>
      <c r="O2823" s="258"/>
      <c r="P2823" s="258"/>
      <c r="Q2823" s="258"/>
      <c r="R2823" s="258"/>
      <c r="S2823" s="258"/>
      <c r="T2823" s="258"/>
      <c r="U2823" s="258"/>
      <c r="V2823" s="258"/>
      <c r="W2823" s="258"/>
      <c r="X2823" s="258"/>
      <c r="Y2823" s="258"/>
      <c r="Z2823" s="258"/>
      <c r="AA2823" s="258"/>
      <c r="AB2823" s="258"/>
      <c r="AC2823" s="407"/>
    </row>
    <row r="2824" spans="2:29" s="406" customFormat="1" ht="16.5" customHeight="1">
      <c r="B2824" s="256"/>
      <c r="C2824" s="256"/>
      <c r="D2824" s="414"/>
      <c r="E2824" s="414"/>
      <c r="F2824" s="414"/>
      <c r="G2824" s="253"/>
      <c r="H2824" s="253"/>
      <c r="I2824" s="253"/>
      <c r="J2824" s="253"/>
      <c r="K2824" s="253"/>
      <c r="L2824" s="253"/>
      <c r="M2824" s="253"/>
      <c r="N2824" s="253"/>
      <c r="O2824" s="258"/>
      <c r="P2824" s="258"/>
      <c r="Q2824" s="258"/>
      <c r="R2824" s="258"/>
      <c r="S2824" s="258"/>
      <c r="T2824" s="258"/>
      <c r="U2824" s="258"/>
      <c r="V2824" s="258"/>
      <c r="W2824" s="258"/>
      <c r="X2824" s="258"/>
      <c r="Y2824" s="258"/>
      <c r="Z2824" s="258"/>
      <c r="AA2824" s="258"/>
      <c r="AB2824" s="258"/>
      <c r="AC2824" s="407"/>
    </row>
    <row r="2825" spans="2:29" s="406" customFormat="1" ht="16.5" customHeight="1">
      <c r="B2825" s="256"/>
      <c r="C2825" s="256"/>
      <c r="D2825" s="414"/>
      <c r="E2825" s="414"/>
      <c r="F2825" s="414"/>
      <c r="G2825" s="253"/>
      <c r="H2825" s="253"/>
      <c r="I2825" s="253"/>
      <c r="J2825" s="253"/>
      <c r="K2825" s="253"/>
      <c r="L2825" s="253"/>
      <c r="M2825" s="253"/>
      <c r="N2825" s="253"/>
      <c r="O2825" s="258"/>
      <c r="P2825" s="258"/>
      <c r="Q2825" s="258"/>
      <c r="R2825" s="258"/>
      <c r="S2825" s="258"/>
      <c r="T2825" s="258"/>
      <c r="U2825" s="258"/>
      <c r="V2825" s="258"/>
      <c r="W2825" s="258"/>
      <c r="X2825" s="258"/>
      <c r="Y2825" s="258"/>
      <c r="Z2825" s="258"/>
      <c r="AA2825" s="258"/>
      <c r="AB2825" s="258"/>
      <c r="AC2825" s="407"/>
    </row>
    <row r="2826" spans="2:29" s="406" customFormat="1" ht="16.5" customHeight="1">
      <c r="B2826" s="256"/>
      <c r="C2826" s="256"/>
      <c r="D2826" s="414"/>
      <c r="E2826" s="414"/>
      <c r="F2826" s="414"/>
      <c r="G2826" s="253"/>
      <c r="H2826" s="253"/>
      <c r="I2826" s="253"/>
      <c r="J2826" s="253"/>
      <c r="K2826" s="253"/>
      <c r="L2826" s="253"/>
      <c r="M2826" s="253"/>
      <c r="N2826" s="253"/>
      <c r="O2826" s="258"/>
      <c r="P2826" s="258"/>
      <c r="Q2826" s="258"/>
      <c r="R2826" s="258"/>
      <c r="S2826" s="258"/>
      <c r="T2826" s="258"/>
      <c r="U2826" s="258"/>
      <c r="V2826" s="258"/>
      <c r="W2826" s="258"/>
      <c r="X2826" s="258"/>
      <c r="Y2826" s="258"/>
      <c r="Z2826" s="258"/>
      <c r="AA2826" s="258"/>
      <c r="AB2826" s="258"/>
      <c r="AC2826" s="407"/>
    </row>
    <row r="2827" spans="2:29" s="406" customFormat="1" ht="16.5" customHeight="1">
      <c r="B2827" s="256"/>
      <c r="C2827" s="256"/>
      <c r="D2827" s="414"/>
      <c r="E2827" s="414"/>
      <c r="F2827" s="414"/>
      <c r="G2827" s="253"/>
      <c r="H2827" s="253"/>
      <c r="I2827" s="253"/>
      <c r="J2827" s="253"/>
      <c r="K2827" s="253"/>
      <c r="L2827" s="253"/>
      <c r="M2827" s="253"/>
      <c r="N2827" s="253"/>
      <c r="O2827" s="258"/>
      <c r="P2827" s="258"/>
      <c r="Q2827" s="258"/>
      <c r="R2827" s="258"/>
      <c r="S2827" s="258"/>
      <c r="T2827" s="258"/>
      <c r="U2827" s="258"/>
      <c r="V2827" s="258"/>
      <c r="W2827" s="258"/>
      <c r="X2827" s="258"/>
      <c r="Y2827" s="258"/>
      <c r="Z2827" s="258"/>
      <c r="AA2827" s="258"/>
      <c r="AB2827" s="258"/>
      <c r="AC2827" s="407"/>
    </row>
    <row r="2828" spans="2:29" s="406" customFormat="1" ht="16.5" customHeight="1">
      <c r="B2828" s="256"/>
      <c r="C2828" s="256"/>
      <c r="D2828" s="414"/>
      <c r="E2828" s="414"/>
      <c r="F2828" s="414"/>
      <c r="G2828" s="253"/>
      <c r="H2828" s="253"/>
      <c r="I2828" s="253"/>
      <c r="J2828" s="253"/>
      <c r="K2828" s="253"/>
      <c r="L2828" s="253"/>
      <c r="M2828" s="253"/>
      <c r="N2828" s="253"/>
      <c r="O2828" s="258"/>
      <c r="P2828" s="258"/>
      <c r="Q2828" s="258"/>
      <c r="R2828" s="258"/>
      <c r="S2828" s="258"/>
      <c r="T2828" s="258"/>
      <c r="U2828" s="258"/>
      <c r="V2828" s="258"/>
      <c r="W2828" s="258"/>
      <c r="X2828" s="258"/>
      <c r="Y2828" s="258"/>
      <c r="Z2828" s="258"/>
      <c r="AA2828" s="258"/>
      <c r="AB2828" s="258"/>
      <c r="AC2828" s="407"/>
    </row>
    <row r="2829" spans="2:29" s="406" customFormat="1" ht="16.5" customHeight="1">
      <c r="B2829" s="256"/>
      <c r="C2829" s="256"/>
      <c r="D2829" s="414"/>
      <c r="E2829" s="414"/>
      <c r="F2829" s="414"/>
      <c r="G2829" s="253"/>
      <c r="H2829" s="253"/>
      <c r="I2829" s="253"/>
      <c r="J2829" s="253"/>
      <c r="K2829" s="253"/>
      <c r="L2829" s="253"/>
      <c r="M2829" s="253"/>
      <c r="N2829" s="253"/>
      <c r="O2829" s="258"/>
      <c r="P2829" s="258"/>
      <c r="Q2829" s="258"/>
      <c r="R2829" s="258"/>
      <c r="S2829" s="258"/>
      <c r="T2829" s="258"/>
      <c r="U2829" s="258"/>
      <c r="V2829" s="258"/>
      <c r="W2829" s="258"/>
      <c r="X2829" s="258"/>
      <c r="Y2829" s="258"/>
      <c r="Z2829" s="258"/>
      <c r="AA2829" s="258"/>
      <c r="AB2829" s="258"/>
      <c r="AC2829" s="407"/>
    </row>
    <row r="2830" spans="2:29" s="406" customFormat="1" ht="16.5" customHeight="1">
      <c r="B2830" s="256"/>
      <c r="C2830" s="256"/>
      <c r="D2830" s="414"/>
      <c r="E2830" s="414"/>
      <c r="F2830" s="414"/>
      <c r="G2830" s="253"/>
      <c r="H2830" s="253"/>
      <c r="I2830" s="253"/>
      <c r="J2830" s="253"/>
      <c r="K2830" s="253"/>
      <c r="L2830" s="253"/>
      <c r="M2830" s="253"/>
      <c r="N2830" s="253"/>
      <c r="O2830" s="258"/>
      <c r="P2830" s="258"/>
      <c r="Q2830" s="258"/>
      <c r="R2830" s="258"/>
      <c r="S2830" s="258"/>
      <c r="T2830" s="258"/>
      <c r="U2830" s="258"/>
      <c r="V2830" s="258"/>
      <c r="W2830" s="258"/>
      <c r="X2830" s="258"/>
      <c r="Y2830" s="258"/>
      <c r="Z2830" s="258"/>
      <c r="AA2830" s="258"/>
      <c r="AB2830" s="258"/>
      <c r="AC2830" s="407"/>
    </row>
    <row r="2831" spans="2:29" s="406" customFormat="1" ht="16.5" customHeight="1">
      <c r="B2831" s="256"/>
      <c r="C2831" s="256"/>
      <c r="D2831" s="414"/>
      <c r="E2831" s="414"/>
      <c r="F2831" s="414"/>
      <c r="G2831" s="253"/>
      <c r="H2831" s="253"/>
      <c r="I2831" s="253"/>
      <c r="J2831" s="253"/>
      <c r="K2831" s="253"/>
      <c r="L2831" s="253"/>
      <c r="M2831" s="253"/>
      <c r="N2831" s="253"/>
      <c r="O2831" s="258"/>
      <c r="P2831" s="258"/>
      <c r="Q2831" s="258"/>
      <c r="R2831" s="258"/>
      <c r="S2831" s="258"/>
      <c r="T2831" s="258"/>
      <c r="U2831" s="258"/>
      <c r="V2831" s="258"/>
      <c r="W2831" s="258"/>
      <c r="X2831" s="258"/>
      <c r="Y2831" s="258"/>
      <c r="Z2831" s="258"/>
      <c r="AA2831" s="258"/>
      <c r="AB2831" s="258"/>
      <c r="AC2831" s="407"/>
    </row>
    <row r="2832" spans="2:29" s="406" customFormat="1" ht="16.5" customHeight="1">
      <c r="B2832" s="256"/>
      <c r="C2832" s="256"/>
      <c r="D2832" s="414"/>
      <c r="E2832" s="414"/>
      <c r="F2832" s="414"/>
      <c r="G2832" s="253"/>
      <c r="H2832" s="253"/>
      <c r="I2832" s="253"/>
      <c r="J2832" s="253"/>
      <c r="K2832" s="253"/>
      <c r="L2832" s="253"/>
      <c r="M2832" s="253"/>
      <c r="N2832" s="253"/>
      <c r="O2832" s="258"/>
      <c r="P2832" s="258"/>
      <c r="Q2832" s="258"/>
      <c r="R2832" s="258"/>
      <c r="S2832" s="258"/>
      <c r="T2832" s="258"/>
      <c r="U2832" s="258"/>
      <c r="V2832" s="258"/>
      <c r="W2832" s="258"/>
      <c r="X2832" s="258"/>
      <c r="Y2832" s="258"/>
      <c r="Z2832" s="258"/>
      <c r="AA2832" s="258"/>
      <c r="AB2832" s="258"/>
      <c r="AC2832" s="407"/>
    </row>
    <row r="2833" spans="2:29" s="406" customFormat="1" ht="16.5" customHeight="1">
      <c r="B2833" s="256"/>
      <c r="C2833" s="256"/>
      <c r="D2833" s="414"/>
      <c r="E2833" s="414"/>
      <c r="F2833" s="414"/>
      <c r="G2833" s="253"/>
      <c r="H2833" s="253"/>
      <c r="I2833" s="253"/>
      <c r="J2833" s="253"/>
      <c r="K2833" s="253"/>
      <c r="L2833" s="253"/>
      <c r="M2833" s="253"/>
      <c r="N2833" s="253"/>
      <c r="O2833" s="258"/>
      <c r="P2833" s="258"/>
      <c r="Q2833" s="258"/>
      <c r="R2833" s="258"/>
      <c r="S2833" s="258"/>
      <c r="T2833" s="258"/>
      <c r="U2833" s="258"/>
      <c r="V2833" s="258"/>
      <c r="W2833" s="258"/>
      <c r="X2833" s="258"/>
      <c r="Y2833" s="258"/>
      <c r="Z2833" s="258"/>
      <c r="AA2833" s="258"/>
      <c r="AB2833" s="258"/>
      <c r="AC2833" s="407"/>
    </row>
    <row r="2834" spans="2:29" s="406" customFormat="1" ht="16.5" customHeight="1">
      <c r="B2834" s="256"/>
      <c r="C2834" s="256"/>
      <c r="D2834" s="414"/>
      <c r="E2834" s="414"/>
      <c r="F2834" s="414"/>
      <c r="G2834" s="253"/>
      <c r="H2834" s="253"/>
      <c r="I2834" s="253"/>
      <c r="J2834" s="253"/>
      <c r="K2834" s="253"/>
      <c r="L2834" s="253"/>
      <c r="M2834" s="253"/>
      <c r="N2834" s="253"/>
      <c r="O2834" s="258"/>
      <c r="P2834" s="258"/>
      <c r="Q2834" s="258"/>
      <c r="R2834" s="258"/>
      <c r="S2834" s="258"/>
      <c r="T2834" s="258"/>
      <c r="U2834" s="258"/>
      <c r="V2834" s="258"/>
      <c r="W2834" s="258"/>
      <c r="X2834" s="258"/>
      <c r="Y2834" s="258"/>
      <c r="Z2834" s="258"/>
      <c r="AA2834" s="258"/>
      <c r="AB2834" s="258"/>
      <c r="AC2834" s="407"/>
    </row>
    <row r="2835" spans="2:29" s="406" customFormat="1" ht="16.5" customHeight="1">
      <c r="B2835" s="256"/>
      <c r="C2835" s="256"/>
      <c r="D2835" s="414"/>
      <c r="E2835" s="414"/>
      <c r="F2835" s="414"/>
      <c r="G2835" s="253"/>
      <c r="H2835" s="253"/>
      <c r="I2835" s="253"/>
      <c r="J2835" s="253"/>
      <c r="K2835" s="253"/>
      <c r="L2835" s="253"/>
      <c r="M2835" s="253"/>
      <c r="N2835" s="253"/>
      <c r="O2835" s="258"/>
      <c r="P2835" s="258"/>
      <c r="Q2835" s="258"/>
      <c r="R2835" s="258"/>
      <c r="S2835" s="258"/>
      <c r="T2835" s="258"/>
      <c r="U2835" s="258"/>
      <c r="V2835" s="258"/>
      <c r="W2835" s="258"/>
      <c r="X2835" s="258"/>
      <c r="Y2835" s="258"/>
      <c r="Z2835" s="258"/>
      <c r="AA2835" s="258"/>
      <c r="AB2835" s="258"/>
      <c r="AC2835" s="407"/>
    </row>
    <row r="2836" spans="2:29" s="406" customFormat="1" ht="16.5" customHeight="1">
      <c r="B2836" s="256"/>
      <c r="C2836" s="256"/>
      <c r="D2836" s="414"/>
      <c r="E2836" s="414"/>
      <c r="F2836" s="414"/>
      <c r="G2836" s="253"/>
      <c r="H2836" s="253"/>
      <c r="I2836" s="253"/>
      <c r="J2836" s="253"/>
      <c r="K2836" s="253"/>
      <c r="L2836" s="253"/>
      <c r="M2836" s="253"/>
      <c r="N2836" s="253"/>
      <c r="O2836" s="258"/>
      <c r="P2836" s="258"/>
      <c r="Q2836" s="258"/>
      <c r="R2836" s="258"/>
      <c r="S2836" s="258"/>
      <c r="T2836" s="258"/>
      <c r="U2836" s="258"/>
      <c r="V2836" s="258"/>
      <c r="W2836" s="258"/>
      <c r="X2836" s="258"/>
      <c r="Y2836" s="258"/>
      <c r="Z2836" s="258"/>
      <c r="AA2836" s="258"/>
      <c r="AB2836" s="258"/>
      <c r="AC2836" s="407"/>
    </row>
    <row r="2837" spans="2:29" s="406" customFormat="1" ht="16.5" customHeight="1">
      <c r="B2837" s="256"/>
      <c r="C2837" s="256"/>
      <c r="D2837" s="414"/>
      <c r="E2837" s="414"/>
      <c r="F2837" s="414"/>
      <c r="G2837" s="253"/>
      <c r="H2837" s="253"/>
      <c r="I2837" s="253"/>
      <c r="J2837" s="253"/>
      <c r="K2837" s="253"/>
      <c r="L2837" s="253"/>
      <c r="M2837" s="253"/>
      <c r="N2837" s="253"/>
      <c r="O2837" s="258"/>
      <c r="P2837" s="258"/>
      <c r="Q2837" s="258"/>
      <c r="R2837" s="258"/>
      <c r="S2837" s="258"/>
      <c r="T2837" s="258"/>
      <c r="U2837" s="258"/>
      <c r="V2837" s="258"/>
      <c r="W2837" s="258"/>
      <c r="X2837" s="258"/>
      <c r="Y2837" s="258"/>
      <c r="Z2837" s="258"/>
      <c r="AA2837" s="258"/>
      <c r="AB2837" s="258"/>
      <c r="AC2837" s="407"/>
    </row>
    <row r="2838" spans="2:29" s="406" customFormat="1" ht="16.5" customHeight="1">
      <c r="B2838" s="256"/>
      <c r="C2838" s="256"/>
      <c r="D2838" s="414"/>
      <c r="E2838" s="414"/>
      <c r="F2838" s="414"/>
      <c r="G2838" s="253"/>
      <c r="H2838" s="253"/>
      <c r="I2838" s="253"/>
      <c r="J2838" s="253"/>
      <c r="K2838" s="253"/>
      <c r="L2838" s="253"/>
      <c r="M2838" s="253"/>
      <c r="N2838" s="253"/>
      <c r="O2838" s="258"/>
      <c r="P2838" s="258"/>
      <c r="Q2838" s="258"/>
      <c r="R2838" s="258"/>
      <c r="S2838" s="258"/>
      <c r="T2838" s="258"/>
      <c r="U2838" s="258"/>
      <c r="V2838" s="258"/>
      <c r="W2838" s="258"/>
      <c r="X2838" s="258"/>
      <c r="Y2838" s="258"/>
      <c r="Z2838" s="258"/>
      <c r="AA2838" s="258"/>
      <c r="AB2838" s="258"/>
      <c r="AC2838" s="407"/>
    </row>
    <row r="2839" spans="2:29" s="406" customFormat="1" ht="16.5" customHeight="1">
      <c r="B2839" s="256"/>
      <c r="C2839" s="256"/>
      <c r="D2839" s="414"/>
      <c r="E2839" s="414"/>
      <c r="F2839" s="414"/>
      <c r="G2839" s="253"/>
      <c r="H2839" s="253"/>
      <c r="I2839" s="253"/>
      <c r="J2839" s="253"/>
      <c r="K2839" s="253"/>
      <c r="L2839" s="253"/>
      <c r="M2839" s="253"/>
      <c r="N2839" s="253"/>
      <c r="O2839" s="258"/>
      <c r="P2839" s="258"/>
      <c r="Q2839" s="258"/>
      <c r="R2839" s="258"/>
      <c r="S2839" s="258"/>
      <c r="T2839" s="258"/>
      <c r="U2839" s="258"/>
      <c r="V2839" s="258"/>
      <c r="W2839" s="258"/>
      <c r="X2839" s="258"/>
      <c r="Y2839" s="258"/>
      <c r="Z2839" s="258"/>
      <c r="AA2839" s="258"/>
      <c r="AB2839" s="258"/>
      <c r="AC2839" s="407"/>
    </row>
    <row r="2840" spans="2:29" s="406" customFormat="1" ht="16.5" customHeight="1">
      <c r="B2840" s="256"/>
      <c r="C2840" s="256"/>
      <c r="D2840" s="414"/>
      <c r="E2840" s="414"/>
      <c r="F2840" s="414"/>
      <c r="G2840" s="253"/>
      <c r="H2840" s="253"/>
      <c r="I2840" s="253"/>
      <c r="J2840" s="253"/>
      <c r="K2840" s="253"/>
      <c r="L2840" s="253"/>
      <c r="M2840" s="253"/>
      <c r="N2840" s="253"/>
      <c r="O2840" s="258"/>
      <c r="P2840" s="258"/>
      <c r="Q2840" s="258"/>
      <c r="R2840" s="258"/>
      <c r="S2840" s="258"/>
      <c r="T2840" s="258"/>
      <c r="U2840" s="258"/>
      <c r="V2840" s="258"/>
      <c r="W2840" s="258"/>
      <c r="X2840" s="258"/>
      <c r="Y2840" s="258"/>
      <c r="Z2840" s="258"/>
      <c r="AA2840" s="258"/>
      <c r="AB2840" s="258"/>
      <c r="AC2840" s="407"/>
    </row>
    <row r="2841" spans="2:29" s="406" customFormat="1" ht="16.5" customHeight="1">
      <c r="B2841" s="256"/>
      <c r="C2841" s="256"/>
      <c r="D2841" s="414"/>
      <c r="E2841" s="414"/>
      <c r="F2841" s="414"/>
      <c r="G2841" s="253"/>
      <c r="H2841" s="253"/>
      <c r="I2841" s="253"/>
      <c r="J2841" s="253"/>
      <c r="K2841" s="253"/>
      <c r="L2841" s="253"/>
      <c r="M2841" s="253"/>
      <c r="N2841" s="253"/>
      <c r="O2841" s="258"/>
      <c r="P2841" s="258"/>
      <c r="Q2841" s="258"/>
      <c r="R2841" s="258"/>
      <c r="S2841" s="258"/>
      <c r="T2841" s="258"/>
      <c r="U2841" s="258"/>
      <c r="V2841" s="258"/>
      <c r="W2841" s="258"/>
      <c r="X2841" s="258"/>
      <c r="Y2841" s="258"/>
      <c r="Z2841" s="258"/>
      <c r="AA2841" s="258"/>
      <c r="AB2841" s="258"/>
      <c r="AC2841" s="407"/>
    </row>
    <row r="2842" spans="2:29" s="406" customFormat="1" ht="16.5" customHeight="1">
      <c r="B2842" s="256"/>
      <c r="C2842" s="256"/>
      <c r="D2842" s="414"/>
      <c r="E2842" s="414"/>
      <c r="F2842" s="414"/>
      <c r="G2842" s="253"/>
      <c r="H2842" s="253"/>
      <c r="I2842" s="253"/>
      <c r="J2842" s="253"/>
      <c r="K2842" s="253"/>
      <c r="L2842" s="253"/>
      <c r="M2842" s="253"/>
      <c r="N2842" s="253"/>
      <c r="O2842" s="258"/>
      <c r="P2842" s="258"/>
      <c r="Q2842" s="258"/>
      <c r="R2842" s="258"/>
      <c r="S2842" s="258"/>
      <c r="T2842" s="258"/>
      <c r="U2842" s="258"/>
      <c r="V2842" s="258"/>
      <c r="W2842" s="258"/>
      <c r="X2842" s="258"/>
      <c r="Y2842" s="258"/>
      <c r="Z2842" s="258"/>
      <c r="AA2842" s="258"/>
      <c r="AB2842" s="258"/>
      <c r="AC2842" s="407"/>
    </row>
    <row r="2843" spans="2:29" s="406" customFormat="1" ht="16.5" customHeight="1">
      <c r="B2843" s="256"/>
      <c r="C2843" s="256"/>
      <c r="D2843" s="414"/>
      <c r="E2843" s="414"/>
      <c r="F2843" s="414"/>
      <c r="G2843" s="253"/>
      <c r="H2843" s="253"/>
      <c r="I2843" s="253"/>
      <c r="J2843" s="253"/>
      <c r="K2843" s="253"/>
      <c r="L2843" s="253"/>
      <c r="M2843" s="253"/>
      <c r="N2843" s="253"/>
      <c r="O2843" s="258"/>
      <c r="P2843" s="258"/>
      <c r="Q2843" s="258"/>
      <c r="R2843" s="258"/>
      <c r="S2843" s="258"/>
      <c r="T2843" s="258"/>
      <c r="U2843" s="258"/>
      <c r="V2843" s="258"/>
      <c r="W2843" s="258"/>
      <c r="X2843" s="258"/>
      <c r="Y2843" s="258"/>
      <c r="Z2843" s="258"/>
      <c r="AA2843" s="258"/>
      <c r="AB2843" s="258"/>
      <c r="AC2843" s="407"/>
    </row>
    <row r="2844" spans="2:29" s="406" customFormat="1" ht="16.5" customHeight="1">
      <c r="B2844" s="256"/>
      <c r="C2844" s="256"/>
      <c r="D2844" s="414"/>
      <c r="E2844" s="414"/>
      <c r="F2844" s="414"/>
      <c r="G2844" s="253"/>
      <c r="H2844" s="253"/>
      <c r="I2844" s="253"/>
      <c r="J2844" s="253"/>
      <c r="K2844" s="253"/>
      <c r="L2844" s="253"/>
      <c r="M2844" s="253"/>
      <c r="N2844" s="253"/>
      <c r="O2844" s="258"/>
      <c r="P2844" s="258"/>
      <c r="Q2844" s="258"/>
      <c r="R2844" s="258"/>
      <c r="S2844" s="258"/>
      <c r="T2844" s="258"/>
      <c r="U2844" s="258"/>
      <c r="V2844" s="258"/>
      <c r="W2844" s="258"/>
      <c r="X2844" s="258"/>
      <c r="Y2844" s="258"/>
      <c r="Z2844" s="258"/>
      <c r="AA2844" s="258"/>
      <c r="AB2844" s="258"/>
      <c r="AC2844" s="407"/>
    </row>
    <row r="2845" spans="2:29" s="406" customFormat="1" ht="16.5" customHeight="1">
      <c r="B2845" s="256"/>
      <c r="C2845" s="256"/>
      <c r="D2845" s="414"/>
      <c r="E2845" s="414"/>
      <c r="F2845" s="414"/>
      <c r="G2845" s="253"/>
      <c r="H2845" s="253"/>
      <c r="I2845" s="253"/>
      <c r="J2845" s="253"/>
      <c r="K2845" s="253"/>
      <c r="L2845" s="253"/>
      <c r="M2845" s="253"/>
      <c r="N2845" s="253"/>
      <c r="O2845" s="258"/>
      <c r="P2845" s="258"/>
      <c r="Q2845" s="258"/>
      <c r="R2845" s="258"/>
      <c r="S2845" s="258"/>
      <c r="T2845" s="258"/>
      <c r="U2845" s="258"/>
      <c r="V2845" s="258"/>
      <c r="W2845" s="258"/>
      <c r="X2845" s="258"/>
      <c r="Y2845" s="258"/>
      <c r="Z2845" s="258"/>
      <c r="AA2845" s="258"/>
      <c r="AB2845" s="258"/>
      <c r="AC2845" s="407"/>
    </row>
    <row r="2846" spans="2:29" s="406" customFormat="1" ht="16.5" customHeight="1">
      <c r="B2846" s="256"/>
      <c r="C2846" s="256"/>
      <c r="D2846" s="414"/>
      <c r="E2846" s="414"/>
      <c r="F2846" s="414"/>
      <c r="G2846" s="253"/>
      <c r="H2846" s="253"/>
      <c r="I2846" s="253"/>
      <c r="J2846" s="253"/>
      <c r="K2846" s="253"/>
      <c r="L2846" s="253"/>
      <c r="M2846" s="253"/>
      <c r="N2846" s="253"/>
      <c r="O2846" s="258"/>
      <c r="P2846" s="258"/>
      <c r="Q2846" s="258"/>
      <c r="R2846" s="258"/>
      <c r="S2846" s="258"/>
      <c r="T2846" s="258"/>
      <c r="U2846" s="258"/>
      <c r="V2846" s="258"/>
      <c r="W2846" s="258"/>
      <c r="X2846" s="258"/>
      <c r="Y2846" s="258"/>
      <c r="Z2846" s="258"/>
      <c r="AA2846" s="258"/>
      <c r="AB2846" s="258"/>
      <c r="AC2846" s="407"/>
    </row>
    <row r="2847" spans="2:29" s="406" customFormat="1" ht="16.5" customHeight="1">
      <c r="B2847" s="256"/>
      <c r="C2847" s="256"/>
      <c r="D2847" s="414"/>
      <c r="E2847" s="414"/>
      <c r="F2847" s="414"/>
      <c r="G2847" s="253"/>
      <c r="H2847" s="253"/>
      <c r="I2847" s="253"/>
      <c r="J2847" s="253"/>
      <c r="K2847" s="253"/>
      <c r="L2847" s="253"/>
      <c r="M2847" s="253"/>
      <c r="N2847" s="253"/>
      <c r="O2847" s="258"/>
      <c r="P2847" s="258"/>
      <c r="Q2847" s="258"/>
      <c r="R2847" s="258"/>
      <c r="S2847" s="258"/>
      <c r="T2847" s="258"/>
      <c r="U2847" s="258"/>
      <c r="V2847" s="258"/>
      <c r="W2847" s="258"/>
      <c r="X2847" s="258"/>
      <c r="Y2847" s="258"/>
      <c r="Z2847" s="258"/>
      <c r="AA2847" s="258"/>
      <c r="AB2847" s="258"/>
      <c r="AC2847" s="407"/>
    </row>
    <row r="2848" spans="2:29" s="406" customFormat="1" ht="16.5" customHeight="1">
      <c r="B2848" s="256"/>
      <c r="C2848" s="256"/>
      <c r="D2848" s="414"/>
      <c r="E2848" s="414"/>
      <c r="F2848" s="414"/>
      <c r="G2848" s="253"/>
      <c r="H2848" s="253"/>
      <c r="I2848" s="253"/>
      <c r="J2848" s="253"/>
      <c r="K2848" s="253"/>
      <c r="L2848" s="253"/>
      <c r="M2848" s="253"/>
      <c r="N2848" s="253"/>
      <c r="O2848" s="258"/>
      <c r="P2848" s="258"/>
      <c r="Q2848" s="258"/>
      <c r="R2848" s="258"/>
      <c r="S2848" s="258"/>
      <c r="T2848" s="258"/>
      <c r="U2848" s="258"/>
      <c r="V2848" s="258"/>
      <c r="W2848" s="258"/>
      <c r="X2848" s="258"/>
      <c r="Y2848" s="258"/>
      <c r="Z2848" s="258"/>
      <c r="AA2848" s="258"/>
      <c r="AB2848" s="258"/>
      <c r="AC2848" s="407"/>
    </row>
    <row r="2849" spans="2:29" s="406" customFormat="1" ht="16.5" customHeight="1">
      <c r="B2849" s="256"/>
      <c r="C2849" s="256"/>
      <c r="D2849" s="414"/>
      <c r="E2849" s="414"/>
      <c r="F2849" s="414"/>
      <c r="G2849" s="253"/>
      <c r="H2849" s="253"/>
      <c r="I2849" s="253"/>
      <c r="J2849" s="253"/>
      <c r="K2849" s="253"/>
      <c r="L2849" s="253"/>
      <c r="M2849" s="253"/>
      <c r="N2849" s="253"/>
      <c r="O2849" s="258"/>
      <c r="P2849" s="258"/>
      <c r="Q2849" s="258"/>
      <c r="R2849" s="258"/>
      <c r="S2849" s="258"/>
      <c r="T2849" s="258"/>
      <c r="U2849" s="258"/>
      <c r="V2849" s="258"/>
      <c r="W2849" s="258"/>
      <c r="X2849" s="258"/>
      <c r="Y2849" s="258"/>
      <c r="Z2849" s="258"/>
      <c r="AA2849" s="258"/>
      <c r="AB2849" s="258"/>
      <c r="AC2849" s="407"/>
    </row>
    <row r="2850" spans="2:29" s="406" customFormat="1" ht="16.5" customHeight="1">
      <c r="B2850" s="256"/>
      <c r="C2850" s="256"/>
      <c r="D2850" s="414"/>
      <c r="E2850" s="414"/>
      <c r="F2850" s="414"/>
      <c r="G2850" s="253"/>
      <c r="H2850" s="253"/>
      <c r="I2850" s="253"/>
      <c r="J2850" s="253"/>
      <c r="K2850" s="253"/>
      <c r="L2850" s="253"/>
      <c r="M2850" s="253"/>
      <c r="N2850" s="253"/>
      <c r="O2850" s="258"/>
      <c r="P2850" s="258"/>
      <c r="Q2850" s="258"/>
      <c r="R2850" s="258"/>
      <c r="S2850" s="258"/>
      <c r="T2850" s="258"/>
      <c r="U2850" s="258"/>
      <c r="V2850" s="258"/>
      <c r="W2850" s="258"/>
      <c r="X2850" s="258"/>
      <c r="Y2850" s="258"/>
      <c r="Z2850" s="258"/>
      <c r="AA2850" s="258"/>
      <c r="AB2850" s="258"/>
      <c r="AC2850" s="407"/>
    </row>
    <row r="2851" spans="2:29" s="406" customFormat="1" ht="16.5" customHeight="1">
      <c r="B2851" s="256"/>
      <c r="C2851" s="256"/>
      <c r="D2851" s="414"/>
      <c r="E2851" s="414"/>
      <c r="F2851" s="414"/>
      <c r="G2851" s="253"/>
      <c r="H2851" s="253"/>
      <c r="I2851" s="253"/>
      <c r="J2851" s="253"/>
      <c r="K2851" s="253"/>
      <c r="L2851" s="253"/>
      <c r="M2851" s="253"/>
      <c r="N2851" s="253"/>
      <c r="O2851" s="258"/>
      <c r="P2851" s="258"/>
      <c r="Q2851" s="258"/>
      <c r="R2851" s="258"/>
      <c r="S2851" s="258"/>
      <c r="T2851" s="258"/>
      <c r="U2851" s="258"/>
      <c r="V2851" s="258"/>
      <c r="W2851" s="258"/>
      <c r="X2851" s="258"/>
      <c r="Y2851" s="258"/>
      <c r="Z2851" s="258"/>
      <c r="AA2851" s="258"/>
      <c r="AB2851" s="258"/>
      <c r="AC2851" s="407"/>
    </row>
    <row r="2852" spans="2:29" s="406" customFormat="1" ht="16.5" customHeight="1">
      <c r="B2852" s="256"/>
      <c r="C2852" s="256"/>
      <c r="D2852" s="414"/>
      <c r="E2852" s="414"/>
      <c r="F2852" s="414"/>
      <c r="G2852" s="253"/>
      <c r="H2852" s="253"/>
      <c r="I2852" s="253"/>
      <c r="J2852" s="253"/>
      <c r="K2852" s="253"/>
      <c r="L2852" s="253"/>
      <c r="M2852" s="253"/>
      <c r="N2852" s="253"/>
      <c r="O2852" s="258"/>
      <c r="P2852" s="258"/>
      <c r="Q2852" s="258"/>
      <c r="R2852" s="258"/>
      <c r="S2852" s="258"/>
      <c r="T2852" s="258"/>
      <c r="U2852" s="258"/>
      <c r="V2852" s="258"/>
      <c r="W2852" s="258"/>
      <c r="X2852" s="258"/>
      <c r="Y2852" s="258"/>
      <c r="Z2852" s="258"/>
      <c r="AA2852" s="258"/>
      <c r="AB2852" s="258"/>
      <c r="AC2852" s="407"/>
    </row>
    <row r="2853" spans="2:29" s="406" customFormat="1" ht="16.5" customHeight="1">
      <c r="B2853" s="256"/>
      <c r="C2853" s="256"/>
      <c r="D2853" s="414"/>
      <c r="E2853" s="414"/>
      <c r="F2853" s="414"/>
      <c r="G2853" s="253"/>
      <c r="H2853" s="253"/>
      <c r="I2853" s="253"/>
      <c r="J2853" s="253"/>
      <c r="K2853" s="253"/>
      <c r="L2853" s="253"/>
      <c r="M2853" s="253"/>
      <c r="N2853" s="253"/>
      <c r="O2853" s="258"/>
      <c r="P2853" s="258"/>
      <c r="Q2853" s="258"/>
      <c r="R2853" s="258"/>
      <c r="S2853" s="258"/>
      <c r="T2853" s="258"/>
      <c r="U2853" s="258"/>
      <c r="V2853" s="258"/>
      <c r="W2853" s="258"/>
      <c r="X2853" s="258"/>
      <c r="Y2853" s="258"/>
      <c r="Z2853" s="258"/>
      <c r="AA2853" s="258"/>
      <c r="AB2853" s="258"/>
      <c r="AC2853" s="407"/>
    </row>
    <row r="2854" spans="2:29" s="406" customFormat="1" ht="16.5" customHeight="1">
      <c r="B2854" s="256"/>
      <c r="C2854" s="256"/>
      <c r="D2854" s="414"/>
      <c r="E2854" s="414"/>
      <c r="F2854" s="414"/>
      <c r="G2854" s="253"/>
      <c r="H2854" s="253"/>
      <c r="I2854" s="253"/>
      <c r="J2854" s="253"/>
      <c r="K2854" s="253"/>
      <c r="L2854" s="253"/>
      <c r="M2854" s="253"/>
      <c r="N2854" s="253"/>
      <c r="O2854" s="258"/>
      <c r="P2854" s="258"/>
      <c r="Q2854" s="258"/>
      <c r="R2854" s="258"/>
      <c r="S2854" s="258"/>
      <c r="T2854" s="258"/>
      <c r="U2854" s="258"/>
      <c r="V2854" s="258"/>
      <c r="W2854" s="258"/>
      <c r="X2854" s="258"/>
      <c r="Y2854" s="258"/>
      <c r="Z2854" s="258"/>
      <c r="AA2854" s="258"/>
      <c r="AB2854" s="258"/>
      <c r="AC2854" s="407"/>
    </row>
    <row r="2855" spans="2:29" s="406" customFormat="1" ht="16.5" customHeight="1">
      <c r="B2855" s="256"/>
      <c r="C2855" s="256"/>
      <c r="D2855" s="414"/>
      <c r="E2855" s="414"/>
      <c r="F2855" s="414"/>
      <c r="G2855" s="253"/>
      <c r="H2855" s="253"/>
      <c r="I2855" s="253"/>
      <c r="J2855" s="253"/>
      <c r="K2855" s="253"/>
      <c r="L2855" s="253"/>
      <c r="M2855" s="253"/>
      <c r="N2855" s="253"/>
      <c r="O2855" s="258"/>
      <c r="P2855" s="258"/>
      <c r="Q2855" s="258"/>
      <c r="R2855" s="258"/>
      <c r="S2855" s="258"/>
      <c r="T2855" s="258"/>
      <c r="U2855" s="258"/>
      <c r="V2855" s="258"/>
      <c r="W2855" s="258"/>
      <c r="X2855" s="258"/>
      <c r="Y2855" s="258"/>
      <c r="Z2855" s="258"/>
      <c r="AA2855" s="258"/>
      <c r="AB2855" s="258"/>
      <c r="AC2855" s="407"/>
    </row>
    <row r="2856" spans="2:29" s="406" customFormat="1" ht="16.5" customHeight="1">
      <c r="B2856" s="256"/>
      <c r="C2856" s="256"/>
      <c r="D2856" s="414"/>
      <c r="E2856" s="414"/>
      <c r="F2856" s="414"/>
      <c r="G2856" s="253"/>
      <c r="H2856" s="253"/>
      <c r="I2856" s="253"/>
      <c r="J2856" s="253"/>
      <c r="K2856" s="253"/>
      <c r="L2856" s="253"/>
      <c r="M2856" s="253"/>
      <c r="N2856" s="253"/>
      <c r="O2856" s="258"/>
      <c r="P2856" s="258"/>
      <c r="Q2856" s="258"/>
      <c r="R2856" s="258"/>
      <c r="S2856" s="258"/>
      <c r="T2856" s="258"/>
      <c r="U2856" s="258"/>
      <c r="V2856" s="258"/>
      <c r="W2856" s="258"/>
      <c r="X2856" s="258"/>
      <c r="Y2856" s="258"/>
      <c r="Z2856" s="258"/>
      <c r="AA2856" s="258"/>
      <c r="AB2856" s="258"/>
      <c r="AC2856" s="407"/>
    </row>
    <row r="2857" spans="2:29" s="406" customFormat="1" ht="16.5" customHeight="1">
      <c r="B2857" s="256"/>
      <c r="C2857" s="256"/>
      <c r="D2857" s="414"/>
      <c r="E2857" s="414"/>
      <c r="F2857" s="414"/>
      <c r="G2857" s="253"/>
      <c r="H2857" s="253"/>
      <c r="I2857" s="253"/>
      <c r="J2857" s="253"/>
      <c r="K2857" s="253"/>
      <c r="L2857" s="253"/>
      <c r="M2857" s="253"/>
      <c r="N2857" s="253"/>
      <c r="O2857" s="258"/>
      <c r="P2857" s="258"/>
      <c r="Q2857" s="258"/>
      <c r="R2857" s="258"/>
      <c r="S2857" s="258"/>
      <c r="T2857" s="258"/>
      <c r="U2857" s="258"/>
      <c r="V2857" s="258"/>
      <c r="W2857" s="258"/>
      <c r="X2857" s="258"/>
      <c r="Y2857" s="258"/>
      <c r="Z2857" s="258"/>
      <c r="AA2857" s="258"/>
      <c r="AB2857" s="258"/>
      <c r="AC2857" s="407"/>
    </row>
    <row r="2858" spans="2:29" s="406" customFormat="1" ht="16.5" customHeight="1">
      <c r="B2858" s="256"/>
      <c r="C2858" s="256"/>
      <c r="D2858" s="414"/>
      <c r="E2858" s="414"/>
      <c r="F2858" s="414"/>
      <c r="G2858" s="253"/>
      <c r="H2858" s="253"/>
      <c r="I2858" s="253"/>
      <c r="J2858" s="253"/>
      <c r="K2858" s="253"/>
      <c r="L2858" s="253"/>
      <c r="M2858" s="253"/>
      <c r="N2858" s="253"/>
      <c r="O2858" s="258"/>
      <c r="P2858" s="258"/>
      <c r="Q2858" s="258"/>
      <c r="R2858" s="258"/>
      <c r="S2858" s="258"/>
      <c r="T2858" s="258"/>
      <c r="U2858" s="258"/>
      <c r="V2858" s="258"/>
      <c r="W2858" s="258"/>
      <c r="X2858" s="258"/>
      <c r="Y2858" s="258"/>
      <c r="Z2858" s="258"/>
      <c r="AA2858" s="258"/>
      <c r="AB2858" s="258"/>
      <c r="AC2858" s="407"/>
    </row>
    <row r="2859" spans="2:29" s="406" customFormat="1" ht="16.5" customHeight="1">
      <c r="B2859" s="256"/>
      <c r="C2859" s="256"/>
      <c r="D2859" s="414"/>
      <c r="E2859" s="414"/>
      <c r="F2859" s="414"/>
      <c r="G2859" s="253"/>
      <c r="H2859" s="253"/>
      <c r="I2859" s="253"/>
      <c r="J2859" s="253"/>
      <c r="K2859" s="253"/>
      <c r="L2859" s="253"/>
      <c r="M2859" s="253"/>
      <c r="N2859" s="253"/>
      <c r="O2859" s="258"/>
      <c r="P2859" s="258"/>
      <c r="Q2859" s="258"/>
      <c r="R2859" s="258"/>
      <c r="S2859" s="258"/>
      <c r="T2859" s="258"/>
      <c r="U2859" s="258"/>
      <c r="V2859" s="258"/>
      <c r="W2859" s="258"/>
      <c r="X2859" s="258"/>
      <c r="Y2859" s="258"/>
      <c r="Z2859" s="258"/>
      <c r="AA2859" s="258"/>
      <c r="AB2859" s="258"/>
      <c r="AC2859" s="407"/>
    </row>
    <row r="2860" spans="2:29" s="406" customFormat="1" ht="16.5" customHeight="1">
      <c r="B2860" s="256"/>
      <c r="C2860" s="256"/>
      <c r="D2860" s="414"/>
      <c r="E2860" s="414"/>
      <c r="F2860" s="414"/>
      <c r="G2860" s="253"/>
      <c r="H2860" s="253"/>
      <c r="I2860" s="253"/>
      <c r="J2860" s="253"/>
      <c r="K2860" s="253"/>
      <c r="L2860" s="253"/>
      <c r="M2860" s="253"/>
      <c r="N2860" s="253"/>
      <c r="O2860" s="258"/>
      <c r="P2860" s="258"/>
      <c r="Q2860" s="258"/>
      <c r="R2860" s="258"/>
      <c r="S2860" s="258"/>
      <c r="T2860" s="258"/>
      <c r="U2860" s="258"/>
      <c r="V2860" s="258"/>
      <c r="W2860" s="258"/>
      <c r="X2860" s="258"/>
      <c r="Y2860" s="258"/>
      <c r="Z2860" s="258"/>
      <c r="AA2860" s="258"/>
      <c r="AB2860" s="258"/>
      <c r="AC2860" s="407"/>
    </row>
    <row r="2861" spans="2:29" s="406" customFormat="1" ht="16.5" customHeight="1">
      <c r="B2861" s="256"/>
      <c r="C2861" s="256"/>
      <c r="D2861" s="414"/>
      <c r="E2861" s="414"/>
      <c r="F2861" s="414"/>
      <c r="G2861" s="253"/>
      <c r="H2861" s="253"/>
      <c r="I2861" s="253"/>
      <c r="J2861" s="253"/>
      <c r="K2861" s="253"/>
      <c r="L2861" s="253"/>
      <c r="M2861" s="253"/>
      <c r="N2861" s="253"/>
      <c r="O2861" s="258"/>
      <c r="P2861" s="258"/>
      <c r="Q2861" s="258"/>
      <c r="R2861" s="258"/>
      <c r="S2861" s="258"/>
      <c r="T2861" s="258"/>
      <c r="U2861" s="258"/>
      <c r="V2861" s="258"/>
      <c r="W2861" s="258"/>
      <c r="X2861" s="258"/>
      <c r="Y2861" s="258"/>
      <c r="Z2861" s="258"/>
      <c r="AA2861" s="258"/>
      <c r="AB2861" s="258"/>
      <c r="AC2861" s="407"/>
    </row>
    <row r="2862" spans="2:29" s="406" customFormat="1" ht="16.5" customHeight="1">
      <c r="B2862" s="256"/>
      <c r="C2862" s="256"/>
      <c r="D2862" s="414"/>
      <c r="E2862" s="414"/>
      <c r="F2862" s="414"/>
      <c r="G2862" s="253"/>
      <c r="H2862" s="253"/>
      <c r="I2862" s="253"/>
      <c r="J2862" s="253"/>
      <c r="K2862" s="253"/>
      <c r="L2862" s="253"/>
      <c r="M2862" s="253"/>
      <c r="N2862" s="253"/>
      <c r="O2862" s="258"/>
      <c r="P2862" s="258"/>
      <c r="Q2862" s="258"/>
      <c r="R2862" s="258"/>
      <c r="S2862" s="258"/>
      <c r="T2862" s="258"/>
      <c r="U2862" s="258"/>
      <c r="V2862" s="258"/>
      <c r="W2862" s="258"/>
      <c r="X2862" s="258"/>
      <c r="Y2862" s="258"/>
      <c r="Z2862" s="258"/>
      <c r="AA2862" s="258"/>
      <c r="AB2862" s="258"/>
      <c r="AC2862" s="407"/>
    </row>
    <row r="2863" spans="2:29" s="406" customFormat="1" ht="16.5" customHeight="1">
      <c r="B2863" s="256"/>
      <c r="C2863" s="256"/>
      <c r="D2863" s="414"/>
      <c r="E2863" s="414"/>
      <c r="F2863" s="414"/>
      <c r="G2863" s="253"/>
      <c r="H2863" s="253"/>
      <c r="I2863" s="253"/>
      <c r="J2863" s="253"/>
      <c r="K2863" s="253"/>
      <c r="L2863" s="253"/>
      <c r="M2863" s="253"/>
      <c r="N2863" s="253"/>
      <c r="O2863" s="258"/>
      <c r="P2863" s="258"/>
      <c r="Q2863" s="258"/>
      <c r="R2863" s="258"/>
      <c r="S2863" s="258"/>
      <c r="T2863" s="258"/>
      <c r="U2863" s="258"/>
      <c r="V2863" s="258"/>
      <c r="W2863" s="258"/>
      <c r="X2863" s="258"/>
      <c r="Y2863" s="258"/>
      <c r="Z2863" s="258"/>
      <c r="AA2863" s="258"/>
      <c r="AB2863" s="258"/>
      <c r="AC2863" s="407"/>
    </row>
    <row r="2864" spans="2:29" s="406" customFormat="1" ht="16.5" customHeight="1">
      <c r="B2864" s="256"/>
      <c r="C2864" s="256"/>
      <c r="D2864" s="414"/>
      <c r="E2864" s="414"/>
      <c r="F2864" s="414"/>
      <c r="G2864" s="253"/>
      <c r="H2864" s="253"/>
      <c r="I2864" s="253"/>
      <c r="J2864" s="253"/>
      <c r="K2864" s="253"/>
      <c r="L2864" s="253"/>
      <c r="M2864" s="253"/>
      <c r="N2864" s="253"/>
      <c r="O2864" s="258"/>
      <c r="P2864" s="258"/>
      <c r="Q2864" s="258"/>
      <c r="R2864" s="258"/>
      <c r="S2864" s="258"/>
      <c r="T2864" s="258"/>
      <c r="U2864" s="258"/>
      <c r="V2864" s="258"/>
      <c r="W2864" s="258"/>
      <c r="X2864" s="258"/>
      <c r="Y2864" s="258"/>
      <c r="Z2864" s="258"/>
      <c r="AA2864" s="258"/>
      <c r="AB2864" s="258"/>
      <c r="AC2864" s="407"/>
    </row>
    <row r="2865" spans="2:29" s="406" customFormat="1" ht="16.5" customHeight="1">
      <c r="B2865" s="256"/>
      <c r="C2865" s="256"/>
      <c r="D2865" s="414"/>
      <c r="E2865" s="414"/>
      <c r="F2865" s="414"/>
      <c r="G2865" s="253"/>
      <c r="H2865" s="253"/>
      <c r="I2865" s="253"/>
      <c r="J2865" s="253"/>
      <c r="K2865" s="253"/>
      <c r="L2865" s="253"/>
      <c r="M2865" s="253"/>
      <c r="N2865" s="253"/>
      <c r="O2865" s="258"/>
      <c r="P2865" s="258"/>
      <c r="Q2865" s="258"/>
      <c r="R2865" s="258"/>
      <c r="S2865" s="258"/>
      <c r="T2865" s="258"/>
      <c r="U2865" s="258"/>
      <c r="V2865" s="258"/>
      <c r="W2865" s="258"/>
      <c r="X2865" s="258"/>
      <c r="Y2865" s="258"/>
      <c r="Z2865" s="258"/>
      <c r="AA2865" s="258"/>
      <c r="AB2865" s="258"/>
      <c r="AC2865" s="407"/>
    </row>
    <row r="2866" spans="2:29" s="406" customFormat="1" ht="16.5" customHeight="1">
      <c r="B2866" s="256"/>
      <c r="C2866" s="256"/>
      <c r="D2866" s="414"/>
      <c r="E2866" s="414"/>
      <c r="F2866" s="414"/>
      <c r="G2866" s="253"/>
      <c r="H2866" s="253"/>
      <c r="I2866" s="253"/>
      <c r="J2866" s="253"/>
      <c r="K2866" s="253"/>
      <c r="L2866" s="253"/>
      <c r="M2866" s="253"/>
      <c r="N2866" s="253"/>
      <c r="O2866" s="258"/>
      <c r="P2866" s="258"/>
      <c r="Q2866" s="258"/>
      <c r="R2866" s="258"/>
      <c r="S2866" s="258"/>
      <c r="T2866" s="258"/>
      <c r="U2866" s="258"/>
      <c r="V2866" s="258"/>
      <c r="W2866" s="258"/>
      <c r="X2866" s="258"/>
      <c r="Y2866" s="258"/>
      <c r="Z2866" s="258"/>
      <c r="AA2866" s="258"/>
      <c r="AB2866" s="258"/>
      <c r="AC2866" s="407"/>
    </row>
    <row r="2867" spans="2:29" s="406" customFormat="1" ht="16.5" customHeight="1">
      <c r="B2867" s="256"/>
      <c r="C2867" s="256"/>
      <c r="D2867" s="414"/>
      <c r="E2867" s="414"/>
      <c r="F2867" s="414"/>
      <c r="G2867" s="253"/>
      <c r="H2867" s="253"/>
      <c r="I2867" s="253"/>
      <c r="J2867" s="253"/>
      <c r="K2867" s="253"/>
      <c r="L2867" s="253"/>
      <c r="M2867" s="253"/>
      <c r="N2867" s="253"/>
      <c r="O2867" s="258"/>
      <c r="P2867" s="258"/>
      <c r="Q2867" s="258"/>
      <c r="R2867" s="258"/>
      <c r="S2867" s="258"/>
      <c r="T2867" s="258"/>
      <c r="U2867" s="258"/>
      <c r="V2867" s="258"/>
      <c r="W2867" s="258"/>
      <c r="X2867" s="258"/>
      <c r="Y2867" s="258"/>
      <c r="Z2867" s="258"/>
      <c r="AA2867" s="258"/>
      <c r="AB2867" s="258"/>
      <c r="AC2867" s="407"/>
    </row>
    <row r="2868" spans="2:29" s="406" customFormat="1" ht="16.5" customHeight="1">
      <c r="B2868" s="256"/>
      <c r="C2868" s="256"/>
      <c r="D2868" s="414"/>
      <c r="E2868" s="414"/>
      <c r="F2868" s="414"/>
      <c r="G2868" s="253"/>
      <c r="H2868" s="253"/>
      <c r="I2868" s="253"/>
      <c r="J2868" s="253"/>
      <c r="K2868" s="253"/>
      <c r="L2868" s="253"/>
      <c r="M2868" s="253"/>
      <c r="N2868" s="253"/>
      <c r="O2868" s="258"/>
      <c r="P2868" s="258"/>
      <c r="Q2868" s="258"/>
      <c r="R2868" s="258"/>
      <c r="S2868" s="258"/>
      <c r="T2868" s="258"/>
      <c r="U2868" s="258"/>
      <c r="V2868" s="258"/>
      <c r="W2868" s="258"/>
      <c r="X2868" s="258"/>
      <c r="Y2868" s="258"/>
      <c r="Z2868" s="258"/>
      <c r="AA2868" s="258"/>
      <c r="AB2868" s="258"/>
      <c r="AC2868" s="407"/>
    </row>
    <row r="2869" spans="2:29" s="406" customFormat="1" ht="16.5" customHeight="1">
      <c r="B2869" s="256"/>
      <c r="C2869" s="256"/>
      <c r="D2869" s="414"/>
      <c r="E2869" s="414"/>
      <c r="F2869" s="414"/>
      <c r="G2869" s="253"/>
      <c r="H2869" s="253"/>
      <c r="I2869" s="253"/>
      <c r="J2869" s="253"/>
      <c r="K2869" s="253"/>
      <c r="L2869" s="253"/>
      <c r="M2869" s="253"/>
      <c r="N2869" s="253"/>
      <c r="O2869" s="258"/>
      <c r="P2869" s="258"/>
      <c r="Q2869" s="258"/>
      <c r="R2869" s="258"/>
      <c r="S2869" s="258"/>
      <c r="T2869" s="258"/>
      <c r="U2869" s="258"/>
      <c r="V2869" s="258"/>
      <c r="W2869" s="258"/>
      <c r="X2869" s="258"/>
      <c r="Y2869" s="258"/>
      <c r="Z2869" s="258"/>
      <c r="AA2869" s="258"/>
      <c r="AB2869" s="258"/>
      <c r="AC2869" s="407"/>
    </row>
    <row r="2870" spans="2:29" s="406" customFormat="1" ht="16.5" customHeight="1">
      <c r="B2870" s="256"/>
      <c r="C2870" s="256"/>
      <c r="D2870" s="414"/>
      <c r="E2870" s="414"/>
      <c r="F2870" s="414"/>
      <c r="G2870" s="253"/>
      <c r="H2870" s="253"/>
      <c r="I2870" s="253"/>
      <c r="J2870" s="253"/>
      <c r="K2870" s="253"/>
      <c r="L2870" s="253"/>
      <c r="M2870" s="253"/>
      <c r="N2870" s="253"/>
      <c r="O2870" s="258"/>
      <c r="P2870" s="258"/>
      <c r="Q2870" s="258"/>
      <c r="R2870" s="258"/>
      <c r="S2870" s="258"/>
      <c r="T2870" s="258"/>
      <c r="U2870" s="258"/>
      <c r="V2870" s="258"/>
      <c r="W2870" s="258"/>
      <c r="X2870" s="258"/>
      <c r="Y2870" s="258"/>
      <c r="Z2870" s="258"/>
      <c r="AA2870" s="258"/>
      <c r="AB2870" s="258"/>
      <c r="AC2870" s="407"/>
    </row>
    <row r="2871" spans="2:29" s="406" customFormat="1" ht="16.5" customHeight="1">
      <c r="B2871" s="256"/>
      <c r="C2871" s="256"/>
      <c r="D2871" s="414"/>
      <c r="E2871" s="414"/>
      <c r="F2871" s="414"/>
      <c r="G2871" s="253"/>
      <c r="H2871" s="253"/>
      <c r="I2871" s="253"/>
      <c r="J2871" s="253"/>
      <c r="K2871" s="253"/>
      <c r="L2871" s="253"/>
      <c r="M2871" s="253"/>
      <c r="N2871" s="253"/>
      <c r="O2871" s="258"/>
      <c r="P2871" s="258"/>
      <c r="Q2871" s="258"/>
      <c r="R2871" s="258"/>
      <c r="S2871" s="258"/>
      <c r="T2871" s="258"/>
      <c r="U2871" s="258"/>
      <c r="V2871" s="258"/>
      <c r="W2871" s="258"/>
      <c r="X2871" s="258"/>
      <c r="Y2871" s="258"/>
      <c r="Z2871" s="258"/>
      <c r="AA2871" s="258"/>
      <c r="AB2871" s="258"/>
      <c r="AC2871" s="407"/>
    </row>
    <row r="2872" spans="2:29" s="406" customFormat="1" ht="16.5" customHeight="1">
      <c r="B2872" s="256"/>
      <c r="C2872" s="256"/>
      <c r="D2872" s="414"/>
      <c r="E2872" s="414"/>
      <c r="F2872" s="414"/>
      <c r="G2872" s="253"/>
      <c r="H2872" s="253"/>
      <c r="I2872" s="253"/>
      <c r="J2872" s="253"/>
      <c r="K2872" s="253"/>
      <c r="L2872" s="253"/>
      <c r="M2872" s="253"/>
      <c r="N2872" s="253"/>
      <c r="O2872" s="258"/>
      <c r="P2872" s="258"/>
      <c r="Q2872" s="258"/>
      <c r="R2872" s="258"/>
      <c r="S2872" s="258"/>
      <c r="T2872" s="258"/>
      <c r="U2872" s="258"/>
      <c r="V2872" s="258"/>
      <c r="W2872" s="258"/>
      <c r="X2872" s="258"/>
      <c r="Y2872" s="258"/>
      <c r="Z2872" s="258"/>
      <c r="AA2872" s="258"/>
      <c r="AB2872" s="258"/>
      <c r="AC2872" s="407"/>
    </row>
    <row r="2873" spans="2:29" s="406" customFormat="1" ht="16.5" customHeight="1">
      <c r="B2873" s="256"/>
      <c r="C2873" s="256"/>
      <c r="D2873" s="414"/>
      <c r="E2873" s="414"/>
      <c r="F2873" s="414"/>
      <c r="G2873" s="253"/>
      <c r="H2873" s="253"/>
      <c r="I2873" s="253"/>
      <c r="J2873" s="253"/>
      <c r="K2873" s="253"/>
      <c r="L2873" s="253"/>
      <c r="M2873" s="253"/>
      <c r="N2873" s="253"/>
      <c r="O2873" s="258"/>
      <c r="P2873" s="258"/>
      <c r="Q2873" s="258"/>
      <c r="R2873" s="258"/>
      <c r="S2873" s="258"/>
      <c r="T2873" s="258"/>
      <c r="U2873" s="258"/>
      <c r="V2873" s="258"/>
      <c r="W2873" s="258"/>
      <c r="X2873" s="258"/>
      <c r="Y2873" s="258"/>
      <c r="Z2873" s="258"/>
      <c r="AA2873" s="258"/>
      <c r="AB2873" s="258"/>
      <c r="AC2873" s="407"/>
    </row>
    <row r="2874" spans="2:29" s="406" customFormat="1" ht="16.5" customHeight="1">
      <c r="B2874" s="256"/>
      <c r="C2874" s="256"/>
      <c r="D2874" s="414"/>
      <c r="E2874" s="414"/>
      <c r="F2874" s="414"/>
      <c r="G2874" s="253"/>
      <c r="H2874" s="253"/>
      <c r="I2874" s="253"/>
      <c r="J2874" s="253"/>
      <c r="K2874" s="253"/>
      <c r="L2874" s="253"/>
      <c r="M2874" s="253"/>
      <c r="N2874" s="253"/>
      <c r="O2874" s="258"/>
      <c r="P2874" s="258"/>
      <c r="Q2874" s="258"/>
      <c r="R2874" s="258"/>
      <c r="S2874" s="258"/>
      <c r="T2874" s="258"/>
      <c r="U2874" s="258"/>
      <c r="V2874" s="258"/>
      <c r="W2874" s="258"/>
      <c r="X2874" s="258"/>
      <c r="Y2874" s="258"/>
      <c r="Z2874" s="258"/>
      <c r="AA2874" s="258"/>
      <c r="AB2874" s="258"/>
      <c r="AC2874" s="407"/>
    </row>
    <row r="2875" spans="2:29" s="406" customFormat="1" ht="16.5" customHeight="1">
      <c r="B2875" s="256"/>
      <c r="C2875" s="256"/>
      <c r="D2875" s="414"/>
      <c r="E2875" s="414"/>
      <c r="F2875" s="414"/>
      <c r="G2875" s="253"/>
      <c r="H2875" s="253"/>
      <c r="I2875" s="253"/>
      <c r="J2875" s="253"/>
      <c r="K2875" s="253"/>
      <c r="L2875" s="253"/>
      <c r="M2875" s="253"/>
      <c r="N2875" s="253"/>
      <c r="O2875" s="258"/>
      <c r="P2875" s="258"/>
      <c r="Q2875" s="258"/>
      <c r="R2875" s="258"/>
      <c r="S2875" s="258"/>
      <c r="T2875" s="258"/>
      <c r="U2875" s="258"/>
      <c r="V2875" s="258"/>
      <c r="W2875" s="258"/>
      <c r="X2875" s="258"/>
      <c r="Y2875" s="258"/>
      <c r="Z2875" s="258"/>
      <c r="AA2875" s="258"/>
      <c r="AB2875" s="258"/>
      <c r="AC2875" s="407"/>
    </row>
    <row r="2876" spans="2:29" s="406" customFormat="1" ht="16.5" customHeight="1">
      <c r="B2876" s="256"/>
      <c r="C2876" s="256"/>
      <c r="D2876" s="414"/>
      <c r="E2876" s="414"/>
      <c r="F2876" s="414"/>
      <c r="G2876" s="253"/>
      <c r="H2876" s="253"/>
      <c r="I2876" s="253"/>
      <c r="J2876" s="253"/>
      <c r="K2876" s="253"/>
      <c r="L2876" s="253"/>
      <c r="M2876" s="253"/>
      <c r="N2876" s="253"/>
      <c r="O2876" s="258"/>
      <c r="P2876" s="258"/>
      <c r="Q2876" s="258"/>
      <c r="R2876" s="258"/>
      <c r="S2876" s="258"/>
      <c r="T2876" s="258"/>
      <c r="U2876" s="258"/>
      <c r="V2876" s="258"/>
      <c r="W2876" s="258"/>
      <c r="X2876" s="258"/>
      <c r="Y2876" s="258"/>
      <c r="Z2876" s="258"/>
      <c r="AA2876" s="258"/>
      <c r="AB2876" s="258"/>
      <c r="AC2876" s="407"/>
    </row>
    <row r="2877" spans="2:29" s="406" customFormat="1" ht="16.5" customHeight="1">
      <c r="B2877" s="256"/>
      <c r="C2877" s="256"/>
      <c r="D2877" s="414"/>
      <c r="E2877" s="414"/>
      <c r="F2877" s="414"/>
      <c r="G2877" s="253"/>
      <c r="H2877" s="253"/>
      <c r="I2877" s="253"/>
      <c r="J2877" s="253"/>
      <c r="K2877" s="253"/>
      <c r="L2877" s="253"/>
      <c r="M2877" s="253"/>
      <c r="N2877" s="253"/>
      <c r="O2877" s="258"/>
      <c r="P2877" s="258"/>
      <c r="Q2877" s="258"/>
      <c r="R2877" s="258"/>
      <c r="S2877" s="258"/>
      <c r="T2877" s="258"/>
      <c r="U2877" s="258"/>
      <c r="V2877" s="258"/>
      <c r="W2877" s="258"/>
      <c r="X2877" s="258"/>
      <c r="Y2877" s="258"/>
      <c r="Z2877" s="258"/>
      <c r="AA2877" s="258"/>
      <c r="AB2877" s="258"/>
      <c r="AC2877" s="407"/>
    </row>
    <row r="2878" spans="2:29" s="406" customFormat="1" ht="16.5" customHeight="1">
      <c r="B2878" s="256"/>
      <c r="C2878" s="256"/>
      <c r="D2878" s="414"/>
      <c r="E2878" s="414"/>
      <c r="F2878" s="414"/>
      <c r="G2878" s="253"/>
      <c r="H2878" s="253"/>
      <c r="I2878" s="253"/>
      <c r="J2878" s="253"/>
      <c r="K2878" s="253"/>
      <c r="L2878" s="253"/>
      <c r="M2878" s="253"/>
      <c r="N2878" s="253"/>
      <c r="O2878" s="258"/>
      <c r="P2878" s="258"/>
      <c r="Q2878" s="258"/>
      <c r="R2878" s="258"/>
      <c r="S2878" s="258"/>
      <c r="T2878" s="258"/>
      <c r="U2878" s="258"/>
      <c r="V2878" s="258"/>
      <c r="W2878" s="258"/>
      <c r="X2878" s="258"/>
      <c r="Y2878" s="258"/>
      <c r="Z2878" s="258"/>
      <c r="AA2878" s="258"/>
      <c r="AB2878" s="258"/>
      <c r="AC2878" s="407"/>
    </row>
    <row r="2879" spans="2:29" s="406" customFormat="1" ht="16.5" customHeight="1">
      <c r="B2879" s="256"/>
      <c r="C2879" s="256"/>
      <c r="D2879" s="414"/>
      <c r="E2879" s="414"/>
      <c r="F2879" s="414"/>
      <c r="G2879" s="253"/>
      <c r="H2879" s="253"/>
      <c r="I2879" s="253"/>
      <c r="J2879" s="253"/>
      <c r="K2879" s="253"/>
      <c r="L2879" s="253"/>
      <c r="M2879" s="253"/>
      <c r="N2879" s="253"/>
      <c r="O2879" s="258"/>
      <c r="P2879" s="258"/>
      <c r="Q2879" s="258"/>
      <c r="R2879" s="258"/>
      <c r="S2879" s="258"/>
      <c r="T2879" s="258"/>
      <c r="U2879" s="258"/>
      <c r="V2879" s="258"/>
      <c r="W2879" s="258"/>
      <c r="X2879" s="258"/>
      <c r="Y2879" s="258"/>
      <c r="Z2879" s="258"/>
      <c r="AA2879" s="258"/>
      <c r="AB2879" s="258"/>
      <c r="AC2879" s="407"/>
    </row>
    <row r="2880" spans="2:29" s="406" customFormat="1" ht="16.5" customHeight="1">
      <c r="B2880" s="256"/>
      <c r="C2880" s="256"/>
      <c r="D2880" s="414"/>
      <c r="E2880" s="414"/>
      <c r="F2880" s="414"/>
      <c r="G2880" s="253"/>
      <c r="H2880" s="253"/>
      <c r="I2880" s="253"/>
      <c r="J2880" s="253"/>
      <c r="K2880" s="253"/>
      <c r="L2880" s="253"/>
      <c r="M2880" s="253"/>
      <c r="N2880" s="253"/>
      <c r="O2880" s="258"/>
      <c r="P2880" s="258"/>
      <c r="Q2880" s="258"/>
      <c r="R2880" s="258"/>
      <c r="S2880" s="258"/>
      <c r="T2880" s="258"/>
      <c r="U2880" s="258"/>
      <c r="V2880" s="258"/>
      <c r="W2880" s="258"/>
      <c r="X2880" s="258"/>
      <c r="Y2880" s="258"/>
      <c r="Z2880" s="258"/>
      <c r="AA2880" s="258"/>
      <c r="AB2880" s="258"/>
      <c r="AC2880" s="407"/>
    </row>
    <row r="2881" spans="2:29" s="406" customFormat="1" ht="16.5" customHeight="1">
      <c r="B2881" s="256"/>
      <c r="C2881" s="256"/>
      <c r="D2881" s="414"/>
      <c r="E2881" s="414"/>
      <c r="F2881" s="414"/>
      <c r="G2881" s="253"/>
      <c r="H2881" s="253"/>
      <c r="I2881" s="253"/>
      <c r="J2881" s="253"/>
      <c r="K2881" s="253"/>
      <c r="L2881" s="253"/>
      <c r="M2881" s="253"/>
      <c r="N2881" s="253"/>
      <c r="O2881" s="258"/>
      <c r="P2881" s="258"/>
      <c r="Q2881" s="258"/>
      <c r="R2881" s="258"/>
      <c r="S2881" s="258"/>
      <c r="T2881" s="258"/>
      <c r="U2881" s="258"/>
      <c r="V2881" s="258"/>
      <c r="W2881" s="258"/>
      <c r="X2881" s="258"/>
      <c r="Y2881" s="258"/>
      <c r="Z2881" s="258"/>
      <c r="AA2881" s="258"/>
      <c r="AB2881" s="258"/>
      <c r="AC2881" s="407"/>
    </row>
    <row r="2882" spans="2:29" s="406" customFormat="1" ht="16.5" customHeight="1">
      <c r="B2882" s="256"/>
      <c r="C2882" s="256"/>
      <c r="D2882" s="414"/>
      <c r="E2882" s="414"/>
      <c r="F2882" s="414"/>
      <c r="G2882" s="253"/>
      <c r="H2882" s="253"/>
      <c r="I2882" s="253"/>
      <c r="J2882" s="253"/>
      <c r="K2882" s="253"/>
      <c r="L2882" s="253"/>
      <c r="M2882" s="253"/>
      <c r="N2882" s="253"/>
      <c r="O2882" s="258"/>
      <c r="P2882" s="258"/>
      <c r="Q2882" s="258"/>
      <c r="R2882" s="258"/>
      <c r="S2882" s="258"/>
      <c r="T2882" s="258"/>
      <c r="U2882" s="258"/>
      <c r="V2882" s="258"/>
      <c r="W2882" s="258"/>
      <c r="X2882" s="258"/>
      <c r="Y2882" s="258"/>
      <c r="Z2882" s="258"/>
      <c r="AA2882" s="258"/>
      <c r="AB2882" s="258"/>
      <c r="AC2882" s="407"/>
    </row>
    <row r="2883" spans="2:29" s="406" customFormat="1" ht="16.5" customHeight="1">
      <c r="B2883" s="256"/>
      <c r="C2883" s="256"/>
      <c r="D2883" s="414"/>
      <c r="E2883" s="414"/>
      <c r="F2883" s="414"/>
      <c r="G2883" s="253"/>
      <c r="H2883" s="253"/>
      <c r="I2883" s="253"/>
      <c r="J2883" s="253"/>
      <c r="K2883" s="253"/>
      <c r="L2883" s="253"/>
      <c r="M2883" s="253"/>
      <c r="N2883" s="253"/>
      <c r="O2883" s="258"/>
      <c r="P2883" s="258"/>
      <c r="Q2883" s="258"/>
      <c r="R2883" s="258"/>
      <c r="S2883" s="258"/>
      <c r="T2883" s="258"/>
      <c r="U2883" s="258"/>
      <c r="V2883" s="258"/>
      <c r="W2883" s="258"/>
      <c r="X2883" s="258"/>
      <c r="Y2883" s="258"/>
      <c r="Z2883" s="258"/>
      <c r="AA2883" s="258"/>
      <c r="AB2883" s="258"/>
      <c r="AC2883" s="407"/>
    </row>
    <row r="2884" spans="2:29" s="406" customFormat="1" ht="16.5" customHeight="1">
      <c r="B2884" s="256"/>
      <c r="C2884" s="256"/>
      <c r="D2884" s="414"/>
      <c r="E2884" s="414"/>
      <c r="F2884" s="414"/>
      <c r="G2884" s="253"/>
      <c r="H2884" s="253"/>
      <c r="I2884" s="253"/>
      <c r="J2884" s="253"/>
      <c r="K2884" s="253"/>
      <c r="L2884" s="253"/>
      <c r="M2884" s="253"/>
      <c r="N2884" s="253"/>
      <c r="O2884" s="258"/>
      <c r="P2884" s="258"/>
      <c r="Q2884" s="258"/>
      <c r="R2884" s="258"/>
      <c r="S2884" s="258"/>
      <c r="T2884" s="258"/>
      <c r="U2884" s="258"/>
      <c r="V2884" s="258"/>
      <c r="W2884" s="258"/>
      <c r="X2884" s="258"/>
      <c r="Y2884" s="258"/>
      <c r="Z2884" s="258"/>
      <c r="AA2884" s="258"/>
      <c r="AB2884" s="258"/>
      <c r="AC2884" s="407"/>
    </row>
    <row r="2885" spans="2:29" s="406" customFormat="1" ht="16.5" customHeight="1">
      <c r="B2885" s="256"/>
      <c r="C2885" s="256"/>
      <c r="D2885" s="414"/>
      <c r="E2885" s="414"/>
      <c r="F2885" s="414"/>
      <c r="G2885" s="253"/>
      <c r="H2885" s="253"/>
      <c r="I2885" s="253"/>
      <c r="J2885" s="253"/>
      <c r="K2885" s="253"/>
      <c r="L2885" s="253"/>
      <c r="M2885" s="253"/>
      <c r="N2885" s="253"/>
      <c r="O2885" s="258"/>
      <c r="P2885" s="258"/>
      <c r="Q2885" s="258"/>
      <c r="R2885" s="258"/>
      <c r="S2885" s="258"/>
      <c r="T2885" s="258"/>
      <c r="U2885" s="258"/>
      <c r="V2885" s="258"/>
      <c r="W2885" s="258"/>
      <c r="X2885" s="258"/>
      <c r="Y2885" s="258"/>
      <c r="Z2885" s="258"/>
      <c r="AA2885" s="258"/>
      <c r="AB2885" s="258"/>
      <c r="AC2885" s="407"/>
    </row>
    <row r="2886" spans="2:29" s="406" customFormat="1" ht="16.5" customHeight="1">
      <c r="B2886" s="256"/>
      <c r="C2886" s="256"/>
      <c r="D2886" s="414"/>
      <c r="E2886" s="414"/>
      <c r="F2886" s="414"/>
      <c r="G2886" s="253"/>
      <c r="H2886" s="253"/>
      <c r="I2886" s="253"/>
      <c r="J2886" s="253"/>
      <c r="K2886" s="253"/>
      <c r="L2886" s="253"/>
      <c r="M2886" s="253"/>
      <c r="N2886" s="253"/>
      <c r="O2886" s="258"/>
      <c r="P2886" s="258"/>
      <c r="Q2886" s="258"/>
      <c r="R2886" s="258"/>
      <c r="S2886" s="258"/>
      <c r="T2886" s="258"/>
      <c r="U2886" s="258"/>
      <c r="V2886" s="258"/>
      <c r="W2886" s="258"/>
      <c r="X2886" s="258"/>
      <c r="Y2886" s="258"/>
      <c r="Z2886" s="258"/>
      <c r="AA2886" s="258"/>
      <c r="AB2886" s="258"/>
      <c r="AC2886" s="407"/>
    </row>
    <row r="2887" spans="2:29" s="406" customFormat="1" ht="16.5" customHeight="1">
      <c r="B2887" s="256"/>
      <c r="C2887" s="256"/>
      <c r="D2887" s="414"/>
      <c r="E2887" s="414"/>
      <c r="F2887" s="414"/>
      <c r="G2887" s="253"/>
      <c r="H2887" s="253"/>
      <c r="I2887" s="253"/>
      <c r="J2887" s="253"/>
      <c r="K2887" s="253"/>
      <c r="L2887" s="253"/>
      <c r="M2887" s="253"/>
      <c r="N2887" s="253"/>
      <c r="O2887" s="258"/>
      <c r="P2887" s="258"/>
      <c r="Q2887" s="258"/>
      <c r="R2887" s="258"/>
      <c r="S2887" s="258"/>
      <c r="T2887" s="258"/>
      <c r="U2887" s="258"/>
      <c r="V2887" s="258"/>
      <c r="W2887" s="258"/>
      <c r="X2887" s="258"/>
      <c r="Y2887" s="258"/>
      <c r="Z2887" s="258"/>
      <c r="AA2887" s="258"/>
      <c r="AB2887" s="258"/>
      <c r="AC2887" s="407"/>
    </row>
    <row r="2888" spans="2:29" s="406" customFormat="1" ht="16.5" customHeight="1">
      <c r="B2888" s="256"/>
      <c r="C2888" s="256"/>
      <c r="D2888" s="414"/>
      <c r="E2888" s="414"/>
      <c r="F2888" s="414"/>
      <c r="G2888" s="253"/>
      <c r="H2888" s="253"/>
      <c r="I2888" s="253"/>
      <c r="J2888" s="253"/>
      <c r="K2888" s="253"/>
      <c r="L2888" s="253"/>
      <c r="M2888" s="253"/>
      <c r="N2888" s="253"/>
      <c r="O2888" s="258"/>
      <c r="P2888" s="258"/>
      <c r="Q2888" s="258"/>
      <c r="R2888" s="258"/>
      <c r="S2888" s="258"/>
      <c r="T2888" s="258"/>
      <c r="U2888" s="258"/>
      <c r="V2888" s="258"/>
      <c r="W2888" s="258"/>
      <c r="X2888" s="258"/>
      <c r="Y2888" s="258"/>
      <c r="Z2888" s="258"/>
      <c r="AA2888" s="258"/>
      <c r="AB2888" s="258"/>
      <c r="AC2888" s="407"/>
    </row>
    <row r="2889" spans="2:29" s="406" customFormat="1" ht="16.5" customHeight="1">
      <c r="B2889" s="256"/>
      <c r="C2889" s="256"/>
      <c r="D2889" s="414"/>
      <c r="E2889" s="414"/>
      <c r="F2889" s="414"/>
      <c r="G2889" s="253"/>
      <c r="H2889" s="253"/>
      <c r="I2889" s="253"/>
      <c r="J2889" s="253"/>
      <c r="K2889" s="253"/>
      <c r="L2889" s="253"/>
      <c r="M2889" s="253"/>
      <c r="N2889" s="253"/>
      <c r="O2889" s="258"/>
      <c r="P2889" s="258"/>
      <c r="Q2889" s="258"/>
      <c r="R2889" s="258"/>
      <c r="S2889" s="258"/>
      <c r="T2889" s="258"/>
      <c r="U2889" s="258"/>
      <c r="V2889" s="258"/>
      <c r="W2889" s="258"/>
      <c r="X2889" s="258"/>
      <c r="Y2889" s="258"/>
      <c r="Z2889" s="258"/>
      <c r="AA2889" s="258"/>
      <c r="AB2889" s="258"/>
      <c r="AC2889" s="407"/>
    </row>
    <row r="2890" spans="2:29" s="406" customFormat="1" ht="16.5" customHeight="1">
      <c r="B2890" s="256"/>
      <c r="C2890" s="256"/>
      <c r="D2890" s="414"/>
      <c r="E2890" s="414"/>
      <c r="F2890" s="414"/>
      <c r="G2890" s="253"/>
      <c r="H2890" s="253"/>
      <c r="I2890" s="253"/>
      <c r="J2890" s="253"/>
      <c r="K2890" s="253"/>
      <c r="L2890" s="253"/>
      <c r="M2890" s="253"/>
      <c r="N2890" s="253"/>
      <c r="O2890" s="258"/>
      <c r="P2890" s="258"/>
      <c r="Q2890" s="258"/>
      <c r="R2890" s="258"/>
      <c r="S2890" s="258"/>
      <c r="T2890" s="258"/>
      <c r="U2890" s="258"/>
      <c r="V2890" s="258"/>
      <c r="W2890" s="258"/>
      <c r="X2890" s="258"/>
      <c r="Y2890" s="258"/>
      <c r="Z2890" s="258"/>
      <c r="AA2890" s="258"/>
      <c r="AB2890" s="258"/>
      <c r="AC2890" s="407"/>
    </row>
    <row r="2891" spans="2:29" s="406" customFormat="1" ht="16.5" customHeight="1">
      <c r="B2891" s="256"/>
      <c r="C2891" s="256"/>
      <c r="D2891" s="414"/>
      <c r="E2891" s="414"/>
      <c r="F2891" s="414"/>
      <c r="G2891" s="253"/>
      <c r="H2891" s="253"/>
      <c r="I2891" s="253"/>
      <c r="J2891" s="253"/>
      <c r="K2891" s="253"/>
      <c r="L2891" s="253"/>
      <c r="M2891" s="253"/>
      <c r="N2891" s="253"/>
      <c r="O2891" s="258"/>
      <c r="P2891" s="258"/>
      <c r="Q2891" s="258"/>
      <c r="R2891" s="258"/>
      <c r="S2891" s="258"/>
      <c r="T2891" s="258"/>
      <c r="U2891" s="258"/>
      <c r="V2891" s="258"/>
      <c r="W2891" s="258"/>
      <c r="X2891" s="258"/>
      <c r="Y2891" s="258"/>
      <c r="Z2891" s="258"/>
      <c r="AA2891" s="258"/>
      <c r="AB2891" s="258"/>
      <c r="AC2891" s="407"/>
    </row>
    <row r="2892" spans="2:29" s="406" customFormat="1" ht="16.5" customHeight="1">
      <c r="B2892" s="256"/>
      <c r="C2892" s="256"/>
      <c r="D2892" s="414"/>
      <c r="E2892" s="414"/>
      <c r="F2892" s="414"/>
      <c r="G2892" s="253"/>
      <c r="H2892" s="253"/>
      <c r="I2892" s="253"/>
      <c r="J2892" s="253"/>
      <c r="K2892" s="253"/>
      <c r="L2892" s="253"/>
      <c r="M2892" s="253"/>
      <c r="N2892" s="253"/>
      <c r="O2892" s="258"/>
      <c r="P2892" s="258"/>
      <c r="Q2892" s="258"/>
      <c r="R2892" s="258"/>
      <c r="S2892" s="258"/>
      <c r="T2892" s="258"/>
      <c r="U2892" s="258"/>
      <c r="V2892" s="258"/>
      <c r="W2892" s="258"/>
      <c r="X2892" s="258"/>
      <c r="Y2892" s="258"/>
      <c r="Z2892" s="258"/>
      <c r="AA2892" s="258"/>
      <c r="AB2892" s="258"/>
      <c r="AC2892" s="407"/>
    </row>
    <row r="2893" spans="2:29" s="406" customFormat="1" ht="16.5" customHeight="1">
      <c r="B2893" s="256"/>
      <c r="C2893" s="256"/>
      <c r="D2893" s="414"/>
      <c r="E2893" s="414"/>
      <c r="F2893" s="414"/>
      <c r="G2893" s="253"/>
      <c r="H2893" s="253"/>
      <c r="I2893" s="253"/>
      <c r="J2893" s="253"/>
      <c r="K2893" s="253"/>
      <c r="L2893" s="253"/>
      <c r="M2893" s="253"/>
      <c r="N2893" s="253"/>
      <c r="O2893" s="258"/>
      <c r="P2893" s="258"/>
      <c r="Q2893" s="258"/>
      <c r="R2893" s="258"/>
      <c r="S2893" s="258"/>
      <c r="T2893" s="258"/>
      <c r="U2893" s="258"/>
      <c r="V2893" s="258"/>
      <c r="W2893" s="258"/>
      <c r="X2893" s="258"/>
      <c r="Y2893" s="258"/>
      <c r="Z2893" s="258"/>
      <c r="AA2893" s="258"/>
      <c r="AB2893" s="258"/>
      <c r="AC2893" s="407"/>
    </row>
    <row r="2894" spans="2:29" s="406" customFormat="1" ht="16.5" customHeight="1">
      <c r="B2894" s="256"/>
      <c r="C2894" s="256"/>
      <c r="D2894" s="414"/>
      <c r="E2894" s="414"/>
      <c r="F2894" s="414"/>
      <c r="G2894" s="253"/>
      <c r="H2894" s="253"/>
      <c r="I2894" s="253"/>
      <c r="J2894" s="253"/>
      <c r="K2894" s="253"/>
      <c r="L2894" s="253"/>
      <c r="M2894" s="253"/>
      <c r="N2894" s="253"/>
      <c r="O2894" s="258"/>
      <c r="P2894" s="258"/>
      <c r="Q2894" s="258"/>
      <c r="R2894" s="258"/>
      <c r="S2894" s="258"/>
      <c r="T2894" s="258"/>
      <c r="U2894" s="258"/>
      <c r="V2894" s="258"/>
      <c r="W2894" s="258"/>
      <c r="X2894" s="258"/>
      <c r="Y2894" s="258"/>
      <c r="Z2894" s="258"/>
      <c r="AA2894" s="258"/>
      <c r="AB2894" s="258"/>
      <c r="AC2894" s="407"/>
    </row>
    <row r="2895" spans="2:29" s="406" customFormat="1" ht="16.5" customHeight="1">
      <c r="B2895" s="256"/>
      <c r="C2895" s="256"/>
      <c r="D2895" s="414"/>
      <c r="E2895" s="414"/>
      <c r="F2895" s="414"/>
      <c r="G2895" s="253"/>
      <c r="H2895" s="253"/>
      <c r="I2895" s="253"/>
      <c r="J2895" s="253"/>
      <c r="K2895" s="253"/>
      <c r="L2895" s="253"/>
      <c r="M2895" s="253"/>
      <c r="N2895" s="253"/>
      <c r="O2895" s="258"/>
      <c r="P2895" s="258"/>
      <c r="Q2895" s="258"/>
      <c r="R2895" s="258"/>
      <c r="S2895" s="258"/>
      <c r="T2895" s="258"/>
      <c r="U2895" s="258"/>
      <c r="V2895" s="258"/>
      <c r="W2895" s="258"/>
      <c r="X2895" s="258"/>
      <c r="Y2895" s="258"/>
      <c r="Z2895" s="258"/>
      <c r="AA2895" s="258"/>
      <c r="AB2895" s="258"/>
      <c r="AC2895" s="407"/>
    </row>
    <row r="2896" spans="2:29" s="406" customFormat="1" ht="16.5" customHeight="1">
      <c r="B2896" s="256"/>
      <c r="C2896" s="256"/>
      <c r="D2896" s="414"/>
      <c r="E2896" s="414"/>
      <c r="F2896" s="414"/>
      <c r="G2896" s="253"/>
      <c r="H2896" s="253"/>
      <c r="I2896" s="253"/>
      <c r="J2896" s="253"/>
      <c r="K2896" s="253"/>
      <c r="L2896" s="253"/>
      <c r="M2896" s="253"/>
      <c r="N2896" s="253"/>
      <c r="O2896" s="258"/>
      <c r="P2896" s="258"/>
      <c r="Q2896" s="258"/>
      <c r="R2896" s="258"/>
      <c r="S2896" s="258"/>
      <c r="T2896" s="258"/>
      <c r="U2896" s="258"/>
      <c r="V2896" s="258"/>
      <c r="W2896" s="258"/>
      <c r="X2896" s="258"/>
      <c r="Y2896" s="258"/>
      <c r="Z2896" s="258"/>
      <c r="AA2896" s="258"/>
      <c r="AB2896" s="258"/>
      <c r="AC2896" s="407"/>
    </row>
    <row r="2897" spans="2:29" s="406" customFormat="1" ht="16.5" customHeight="1">
      <c r="B2897" s="256"/>
      <c r="C2897" s="256"/>
      <c r="D2897" s="414"/>
      <c r="E2897" s="414"/>
      <c r="F2897" s="414"/>
      <c r="G2897" s="253"/>
      <c r="H2897" s="253"/>
      <c r="I2897" s="253"/>
      <c r="J2897" s="253"/>
      <c r="K2897" s="253"/>
      <c r="L2897" s="253"/>
      <c r="M2897" s="253"/>
      <c r="N2897" s="253"/>
      <c r="O2897" s="258"/>
      <c r="P2897" s="258"/>
      <c r="Q2897" s="258"/>
      <c r="R2897" s="258"/>
      <c r="S2897" s="258"/>
      <c r="T2897" s="258"/>
      <c r="U2897" s="258"/>
      <c r="V2897" s="258"/>
      <c r="W2897" s="258"/>
      <c r="X2897" s="258"/>
      <c r="Y2897" s="258"/>
      <c r="Z2897" s="258"/>
      <c r="AA2897" s="258"/>
      <c r="AB2897" s="258"/>
      <c r="AC2897" s="407"/>
    </row>
    <row r="2898" spans="2:29" s="406" customFormat="1" ht="16.5" customHeight="1">
      <c r="B2898" s="256"/>
      <c r="C2898" s="256"/>
      <c r="D2898" s="414"/>
      <c r="E2898" s="414"/>
      <c r="F2898" s="414"/>
      <c r="G2898" s="253"/>
      <c r="H2898" s="253"/>
      <c r="I2898" s="253"/>
      <c r="J2898" s="253"/>
      <c r="K2898" s="253"/>
      <c r="L2898" s="253"/>
      <c r="M2898" s="253"/>
      <c r="N2898" s="253"/>
      <c r="O2898" s="258"/>
      <c r="P2898" s="258"/>
      <c r="Q2898" s="258"/>
      <c r="R2898" s="258"/>
      <c r="S2898" s="258"/>
      <c r="T2898" s="258"/>
      <c r="U2898" s="258"/>
      <c r="V2898" s="258"/>
      <c r="W2898" s="258"/>
      <c r="X2898" s="258"/>
      <c r="Y2898" s="258"/>
      <c r="Z2898" s="258"/>
      <c r="AA2898" s="258"/>
      <c r="AB2898" s="258"/>
      <c r="AC2898" s="407"/>
    </row>
    <row r="2899" spans="2:29" s="406" customFormat="1" ht="16.5" customHeight="1">
      <c r="B2899" s="256"/>
      <c r="C2899" s="256"/>
      <c r="D2899" s="414"/>
      <c r="E2899" s="414"/>
      <c r="F2899" s="414"/>
      <c r="G2899" s="253"/>
      <c r="H2899" s="253"/>
      <c r="I2899" s="253"/>
      <c r="J2899" s="253"/>
      <c r="K2899" s="253"/>
      <c r="L2899" s="253"/>
      <c r="M2899" s="253"/>
      <c r="N2899" s="253"/>
      <c r="O2899" s="258"/>
      <c r="P2899" s="258"/>
      <c r="Q2899" s="258"/>
      <c r="R2899" s="258"/>
      <c r="S2899" s="258"/>
      <c r="T2899" s="258"/>
      <c r="U2899" s="258"/>
      <c r="V2899" s="258"/>
      <c r="W2899" s="258"/>
      <c r="X2899" s="258"/>
      <c r="Y2899" s="258"/>
      <c r="Z2899" s="258"/>
      <c r="AA2899" s="258"/>
      <c r="AB2899" s="258"/>
      <c r="AC2899" s="407"/>
    </row>
    <row r="2900" spans="2:29" s="406" customFormat="1" ht="16.5" customHeight="1">
      <c r="B2900" s="256"/>
      <c r="C2900" s="256"/>
      <c r="D2900" s="414"/>
      <c r="E2900" s="414"/>
      <c r="F2900" s="414"/>
      <c r="G2900" s="253"/>
      <c r="H2900" s="253"/>
      <c r="I2900" s="253"/>
      <c r="J2900" s="253"/>
      <c r="K2900" s="253"/>
      <c r="L2900" s="253"/>
      <c r="M2900" s="253"/>
      <c r="N2900" s="253"/>
      <c r="O2900" s="258"/>
      <c r="P2900" s="258"/>
      <c r="Q2900" s="258"/>
      <c r="R2900" s="258"/>
      <c r="S2900" s="258"/>
      <c r="T2900" s="258"/>
      <c r="U2900" s="258"/>
      <c r="V2900" s="258"/>
      <c r="W2900" s="258"/>
      <c r="X2900" s="258"/>
      <c r="Y2900" s="258"/>
      <c r="Z2900" s="258"/>
      <c r="AA2900" s="258"/>
      <c r="AB2900" s="258"/>
      <c r="AC2900" s="407"/>
    </row>
    <row r="2901" spans="2:29" s="406" customFormat="1" ht="16.5" customHeight="1">
      <c r="B2901" s="256"/>
      <c r="C2901" s="256"/>
      <c r="D2901" s="414"/>
      <c r="E2901" s="414"/>
      <c r="F2901" s="414"/>
      <c r="G2901" s="253"/>
      <c r="H2901" s="253"/>
      <c r="I2901" s="253"/>
      <c r="J2901" s="253"/>
      <c r="K2901" s="253"/>
      <c r="L2901" s="253"/>
      <c r="M2901" s="253"/>
      <c r="N2901" s="253"/>
      <c r="O2901" s="258"/>
      <c r="P2901" s="258"/>
      <c r="Q2901" s="258"/>
      <c r="R2901" s="258"/>
      <c r="S2901" s="258"/>
      <c r="T2901" s="258"/>
      <c r="U2901" s="258"/>
      <c r="V2901" s="258"/>
      <c r="W2901" s="258"/>
      <c r="X2901" s="258"/>
      <c r="Y2901" s="258"/>
      <c r="Z2901" s="258"/>
      <c r="AA2901" s="258"/>
      <c r="AB2901" s="258"/>
      <c r="AC2901" s="407"/>
    </row>
    <row r="2902" spans="2:29" s="406" customFormat="1" ht="16.5" customHeight="1">
      <c r="B2902" s="256"/>
      <c r="C2902" s="256"/>
      <c r="D2902" s="414"/>
      <c r="E2902" s="414"/>
      <c r="F2902" s="414"/>
      <c r="G2902" s="253"/>
      <c r="H2902" s="253"/>
      <c r="I2902" s="253"/>
      <c r="J2902" s="253"/>
      <c r="K2902" s="253"/>
      <c r="L2902" s="253"/>
      <c r="M2902" s="253"/>
      <c r="N2902" s="253"/>
      <c r="O2902" s="258"/>
      <c r="P2902" s="258"/>
      <c r="Q2902" s="258"/>
      <c r="R2902" s="258"/>
      <c r="S2902" s="258"/>
      <c r="T2902" s="258"/>
      <c r="U2902" s="258"/>
      <c r="V2902" s="258"/>
      <c r="W2902" s="258"/>
      <c r="X2902" s="258"/>
      <c r="Y2902" s="258"/>
      <c r="Z2902" s="258"/>
      <c r="AA2902" s="258"/>
      <c r="AB2902" s="258"/>
      <c r="AC2902" s="407"/>
    </row>
    <row r="2903" spans="2:29" s="406" customFormat="1" ht="16.5" customHeight="1">
      <c r="B2903" s="256"/>
      <c r="C2903" s="256"/>
      <c r="D2903" s="414"/>
      <c r="E2903" s="414"/>
      <c r="F2903" s="414"/>
      <c r="G2903" s="253"/>
      <c r="H2903" s="253"/>
      <c r="I2903" s="253"/>
      <c r="J2903" s="253"/>
      <c r="K2903" s="253"/>
      <c r="L2903" s="253"/>
      <c r="M2903" s="253"/>
      <c r="N2903" s="253"/>
      <c r="O2903" s="258"/>
      <c r="P2903" s="258"/>
      <c r="Q2903" s="258"/>
      <c r="R2903" s="258"/>
      <c r="S2903" s="258"/>
      <c r="T2903" s="258"/>
      <c r="U2903" s="258"/>
      <c r="V2903" s="258"/>
      <c r="W2903" s="258"/>
      <c r="X2903" s="258"/>
      <c r="Y2903" s="258"/>
      <c r="Z2903" s="258"/>
      <c r="AA2903" s="258"/>
      <c r="AB2903" s="258"/>
      <c r="AC2903" s="407"/>
    </row>
    <row r="2904" spans="2:29" s="406" customFormat="1" ht="16.5" customHeight="1">
      <c r="B2904" s="256"/>
      <c r="C2904" s="256"/>
      <c r="D2904" s="414"/>
      <c r="E2904" s="414"/>
      <c r="F2904" s="414"/>
      <c r="G2904" s="253"/>
      <c r="H2904" s="253"/>
      <c r="I2904" s="253"/>
      <c r="J2904" s="253"/>
      <c r="K2904" s="253"/>
      <c r="L2904" s="253"/>
      <c r="M2904" s="253"/>
      <c r="N2904" s="253"/>
      <c r="O2904" s="258"/>
      <c r="P2904" s="258"/>
      <c r="Q2904" s="258"/>
      <c r="R2904" s="258"/>
      <c r="S2904" s="258"/>
      <c r="T2904" s="258"/>
      <c r="U2904" s="258"/>
      <c r="V2904" s="258"/>
      <c r="W2904" s="258"/>
      <c r="X2904" s="258"/>
      <c r="Y2904" s="258"/>
      <c r="Z2904" s="258"/>
      <c r="AA2904" s="258"/>
      <c r="AB2904" s="258"/>
      <c r="AC2904" s="407"/>
    </row>
    <row r="2905" spans="2:29" s="406" customFormat="1" ht="16.5" customHeight="1">
      <c r="B2905" s="256"/>
      <c r="C2905" s="256"/>
      <c r="D2905" s="414"/>
      <c r="E2905" s="414"/>
      <c r="F2905" s="414"/>
      <c r="G2905" s="253"/>
      <c r="H2905" s="253"/>
      <c r="I2905" s="253"/>
      <c r="J2905" s="253"/>
      <c r="K2905" s="253"/>
      <c r="L2905" s="253"/>
      <c r="M2905" s="253"/>
      <c r="N2905" s="253"/>
      <c r="O2905" s="258"/>
      <c r="P2905" s="258"/>
      <c r="Q2905" s="258"/>
      <c r="R2905" s="258"/>
      <c r="S2905" s="258"/>
      <c r="T2905" s="258"/>
      <c r="U2905" s="258"/>
      <c r="V2905" s="258"/>
      <c r="W2905" s="258"/>
      <c r="X2905" s="258"/>
      <c r="Y2905" s="258"/>
      <c r="Z2905" s="258"/>
      <c r="AA2905" s="258"/>
      <c r="AB2905" s="258"/>
      <c r="AC2905" s="407"/>
    </row>
    <row r="2906" spans="2:29" s="406" customFormat="1" ht="16.5" customHeight="1">
      <c r="B2906" s="256"/>
      <c r="C2906" s="256"/>
      <c r="D2906" s="414"/>
      <c r="E2906" s="414"/>
      <c r="F2906" s="414"/>
      <c r="G2906" s="253"/>
      <c r="H2906" s="253"/>
      <c r="I2906" s="253"/>
      <c r="J2906" s="253"/>
      <c r="K2906" s="253"/>
      <c r="L2906" s="253"/>
      <c r="M2906" s="253"/>
      <c r="N2906" s="253"/>
      <c r="O2906" s="258"/>
      <c r="P2906" s="258"/>
      <c r="Q2906" s="258"/>
      <c r="R2906" s="258"/>
      <c r="S2906" s="258"/>
      <c r="T2906" s="258"/>
      <c r="U2906" s="258"/>
      <c r="V2906" s="258"/>
      <c r="W2906" s="258"/>
      <c r="X2906" s="258"/>
      <c r="Y2906" s="258"/>
      <c r="Z2906" s="258"/>
      <c r="AA2906" s="258"/>
      <c r="AB2906" s="258"/>
      <c r="AC2906" s="407"/>
    </row>
    <row r="2907" spans="2:29" s="406" customFormat="1" ht="16.5" customHeight="1">
      <c r="B2907" s="256"/>
      <c r="C2907" s="256"/>
      <c r="D2907" s="414"/>
      <c r="E2907" s="414"/>
      <c r="F2907" s="414"/>
      <c r="G2907" s="253"/>
      <c r="H2907" s="253"/>
      <c r="I2907" s="253"/>
      <c r="J2907" s="253"/>
      <c r="K2907" s="253"/>
      <c r="L2907" s="253"/>
      <c r="M2907" s="253"/>
      <c r="N2907" s="253"/>
      <c r="O2907" s="258"/>
      <c r="P2907" s="258"/>
      <c r="Q2907" s="258"/>
      <c r="R2907" s="258"/>
      <c r="S2907" s="258"/>
      <c r="T2907" s="258"/>
      <c r="U2907" s="258"/>
      <c r="V2907" s="258"/>
      <c r="W2907" s="258"/>
      <c r="X2907" s="258"/>
      <c r="Y2907" s="258"/>
      <c r="Z2907" s="258"/>
      <c r="AA2907" s="258"/>
      <c r="AB2907" s="258"/>
      <c r="AC2907" s="407"/>
    </row>
    <row r="2908" spans="2:29" s="406" customFormat="1" ht="16.5" customHeight="1">
      <c r="B2908" s="256"/>
      <c r="C2908" s="256"/>
      <c r="D2908" s="414"/>
      <c r="E2908" s="414"/>
      <c r="F2908" s="414"/>
      <c r="G2908" s="253"/>
      <c r="H2908" s="253"/>
      <c r="I2908" s="253"/>
      <c r="J2908" s="253"/>
      <c r="K2908" s="253"/>
      <c r="L2908" s="253"/>
      <c r="M2908" s="253"/>
      <c r="N2908" s="253"/>
      <c r="O2908" s="258"/>
      <c r="P2908" s="258"/>
      <c r="Q2908" s="258"/>
      <c r="R2908" s="258"/>
      <c r="S2908" s="258"/>
      <c r="T2908" s="258"/>
      <c r="U2908" s="258"/>
      <c r="V2908" s="258"/>
      <c r="W2908" s="258"/>
      <c r="X2908" s="258"/>
      <c r="Y2908" s="258"/>
      <c r="Z2908" s="258"/>
      <c r="AA2908" s="258"/>
      <c r="AB2908" s="258"/>
      <c r="AC2908" s="407"/>
    </row>
    <row r="2909" spans="2:29" s="406" customFormat="1" ht="16.5" customHeight="1">
      <c r="B2909" s="256"/>
      <c r="C2909" s="256"/>
      <c r="D2909" s="414"/>
      <c r="E2909" s="414"/>
      <c r="F2909" s="414"/>
      <c r="G2909" s="253"/>
      <c r="H2909" s="253"/>
      <c r="I2909" s="253"/>
      <c r="J2909" s="253"/>
      <c r="K2909" s="253"/>
      <c r="L2909" s="253"/>
      <c r="M2909" s="253"/>
      <c r="N2909" s="253"/>
      <c r="O2909" s="258"/>
      <c r="P2909" s="258"/>
      <c r="Q2909" s="258"/>
      <c r="R2909" s="258"/>
      <c r="S2909" s="258"/>
      <c r="T2909" s="258"/>
      <c r="U2909" s="258"/>
      <c r="V2909" s="258"/>
      <c r="W2909" s="258"/>
      <c r="X2909" s="258"/>
      <c r="Y2909" s="258"/>
      <c r="Z2909" s="258"/>
      <c r="AA2909" s="258"/>
      <c r="AB2909" s="258"/>
      <c r="AC2909" s="407"/>
    </row>
    <row r="2910" spans="2:29" s="406" customFormat="1" ht="16.5" customHeight="1">
      <c r="B2910" s="256"/>
      <c r="C2910" s="256"/>
      <c r="D2910" s="414"/>
      <c r="E2910" s="414"/>
      <c r="F2910" s="414"/>
      <c r="G2910" s="253"/>
      <c r="H2910" s="253"/>
      <c r="I2910" s="253"/>
      <c r="J2910" s="253"/>
      <c r="K2910" s="253"/>
      <c r="L2910" s="253"/>
      <c r="M2910" s="253"/>
      <c r="N2910" s="253"/>
      <c r="O2910" s="258"/>
      <c r="P2910" s="258"/>
      <c r="Q2910" s="258"/>
      <c r="R2910" s="258"/>
      <c r="S2910" s="258"/>
      <c r="T2910" s="258"/>
      <c r="U2910" s="258"/>
      <c r="V2910" s="258"/>
      <c r="W2910" s="258"/>
      <c r="X2910" s="258"/>
      <c r="Y2910" s="258"/>
      <c r="Z2910" s="258"/>
      <c r="AA2910" s="258"/>
      <c r="AB2910" s="258"/>
      <c r="AC2910" s="407"/>
    </row>
    <row r="2911" spans="2:29" s="406" customFormat="1" ht="16.5" customHeight="1">
      <c r="B2911" s="256"/>
      <c r="C2911" s="256"/>
      <c r="D2911" s="414"/>
      <c r="E2911" s="414"/>
      <c r="F2911" s="414"/>
      <c r="G2911" s="253"/>
      <c r="H2911" s="253"/>
      <c r="I2911" s="253"/>
      <c r="J2911" s="253"/>
      <c r="K2911" s="253"/>
      <c r="L2911" s="253"/>
      <c r="M2911" s="253"/>
      <c r="N2911" s="253"/>
      <c r="O2911" s="258"/>
      <c r="P2911" s="258"/>
      <c r="Q2911" s="258"/>
      <c r="R2911" s="258"/>
      <c r="S2911" s="258"/>
      <c r="T2911" s="258"/>
      <c r="U2911" s="258"/>
      <c r="V2911" s="258"/>
      <c r="W2911" s="258"/>
      <c r="X2911" s="258"/>
      <c r="Y2911" s="258"/>
      <c r="Z2911" s="258"/>
      <c r="AA2911" s="258"/>
      <c r="AB2911" s="258"/>
      <c r="AC2911" s="407"/>
    </row>
    <row r="2912" spans="2:29" s="406" customFormat="1" ht="16.5" customHeight="1">
      <c r="B2912" s="256"/>
      <c r="C2912" s="256"/>
      <c r="D2912" s="414"/>
      <c r="E2912" s="414"/>
      <c r="F2912" s="414"/>
      <c r="G2912" s="253"/>
      <c r="H2912" s="253"/>
      <c r="I2912" s="253"/>
      <c r="J2912" s="253"/>
      <c r="K2912" s="253"/>
      <c r="L2912" s="253"/>
      <c r="M2912" s="253"/>
      <c r="N2912" s="253"/>
      <c r="O2912" s="258"/>
      <c r="P2912" s="258"/>
      <c r="Q2912" s="258"/>
      <c r="R2912" s="258"/>
      <c r="S2912" s="258"/>
      <c r="T2912" s="258"/>
      <c r="U2912" s="258"/>
      <c r="V2912" s="258"/>
      <c r="W2912" s="258"/>
      <c r="X2912" s="258"/>
      <c r="Y2912" s="258"/>
      <c r="Z2912" s="258"/>
      <c r="AA2912" s="258"/>
      <c r="AB2912" s="258"/>
      <c r="AC2912" s="407"/>
    </row>
    <row r="2913" spans="2:29" s="406" customFormat="1" ht="16.5" customHeight="1">
      <c r="B2913" s="256"/>
      <c r="C2913" s="256"/>
      <c r="D2913" s="414"/>
      <c r="E2913" s="414"/>
      <c r="F2913" s="414"/>
      <c r="G2913" s="253"/>
      <c r="H2913" s="253"/>
      <c r="I2913" s="253"/>
      <c r="J2913" s="253"/>
      <c r="K2913" s="253"/>
      <c r="L2913" s="253"/>
      <c r="M2913" s="253"/>
      <c r="N2913" s="253"/>
      <c r="O2913" s="258"/>
      <c r="P2913" s="258"/>
      <c r="Q2913" s="258"/>
      <c r="R2913" s="258"/>
      <c r="S2913" s="258"/>
      <c r="T2913" s="258"/>
      <c r="U2913" s="258"/>
      <c r="V2913" s="258"/>
      <c r="W2913" s="258"/>
      <c r="X2913" s="258"/>
      <c r="Y2913" s="258"/>
      <c r="Z2913" s="258"/>
      <c r="AA2913" s="258"/>
      <c r="AB2913" s="258"/>
      <c r="AC2913" s="407"/>
    </row>
    <row r="2914" spans="2:29" s="406" customFormat="1" ht="16.5" customHeight="1">
      <c r="B2914" s="256"/>
      <c r="C2914" s="256"/>
      <c r="D2914" s="414"/>
      <c r="E2914" s="414"/>
      <c r="F2914" s="414"/>
      <c r="G2914" s="253"/>
      <c r="H2914" s="253"/>
      <c r="I2914" s="253"/>
      <c r="J2914" s="253"/>
      <c r="K2914" s="253"/>
      <c r="L2914" s="253"/>
      <c r="M2914" s="253"/>
      <c r="N2914" s="253"/>
      <c r="O2914" s="258"/>
      <c r="P2914" s="258"/>
      <c r="Q2914" s="258"/>
      <c r="R2914" s="258"/>
      <c r="S2914" s="258"/>
      <c r="T2914" s="258"/>
      <c r="U2914" s="258"/>
      <c r="V2914" s="258"/>
      <c r="W2914" s="258"/>
      <c r="X2914" s="258"/>
      <c r="Y2914" s="258"/>
      <c r="Z2914" s="258"/>
      <c r="AA2914" s="258"/>
      <c r="AB2914" s="258"/>
      <c r="AC2914" s="407"/>
    </row>
    <row r="2915" spans="2:29" s="406" customFormat="1" ht="16.5" customHeight="1">
      <c r="B2915" s="256"/>
      <c r="C2915" s="256"/>
      <c r="D2915" s="414"/>
      <c r="E2915" s="414"/>
      <c r="F2915" s="414"/>
      <c r="G2915" s="253"/>
      <c r="H2915" s="253"/>
      <c r="I2915" s="253"/>
      <c r="J2915" s="253"/>
      <c r="K2915" s="253"/>
      <c r="L2915" s="253"/>
      <c r="M2915" s="253"/>
      <c r="N2915" s="253"/>
      <c r="O2915" s="258"/>
      <c r="P2915" s="258"/>
      <c r="Q2915" s="258"/>
      <c r="R2915" s="258"/>
      <c r="S2915" s="258"/>
      <c r="T2915" s="258"/>
      <c r="U2915" s="258"/>
      <c r="V2915" s="258"/>
      <c r="W2915" s="258"/>
      <c r="X2915" s="258"/>
      <c r="Y2915" s="258"/>
      <c r="Z2915" s="258"/>
      <c r="AA2915" s="258"/>
      <c r="AB2915" s="258"/>
      <c r="AC2915" s="407"/>
    </row>
    <row r="2916" spans="2:29" s="406" customFormat="1" ht="16.5" customHeight="1">
      <c r="B2916" s="256"/>
      <c r="C2916" s="256"/>
      <c r="D2916" s="414"/>
      <c r="E2916" s="414"/>
      <c r="F2916" s="414"/>
      <c r="G2916" s="253"/>
      <c r="H2916" s="253"/>
      <c r="I2916" s="253"/>
      <c r="J2916" s="253"/>
      <c r="K2916" s="253"/>
      <c r="L2916" s="253"/>
      <c r="M2916" s="253"/>
      <c r="N2916" s="253"/>
      <c r="O2916" s="258"/>
      <c r="P2916" s="258"/>
      <c r="Q2916" s="258"/>
      <c r="R2916" s="258"/>
      <c r="S2916" s="258"/>
      <c r="T2916" s="258"/>
      <c r="U2916" s="258"/>
      <c r="V2916" s="258"/>
      <c r="W2916" s="258"/>
      <c r="X2916" s="258"/>
      <c r="Y2916" s="258"/>
      <c r="Z2916" s="258"/>
      <c r="AA2916" s="258"/>
      <c r="AB2916" s="258"/>
      <c r="AC2916" s="407"/>
    </row>
    <row r="2917" spans="2:29" s="406" customFormat="1" ht="16.5" customHeight="1">
      <c r="B2917" s="256"/>
      <c r="C2917" s="256"/>
      <c r="D2917" s="414"/>
      <c r="E2917" s="414"/>
      <c r="F2917" s="414"/>
      <c r="G2917" s="253"/>
      <c r="H2917" s="253"/>
      <c r="I2917" s="253"/>
      <c r="J2917" s="253"/>
      <c r="K2917" s="253"/>
      <c r="L2917" s="253"/>
      <c r="M2917" s="253"/>
      <c r="N2917" s="253"/>
      <c r="O2917" s="258"/>
      <c r="P2917" s="258"/>
      <c r="Q2917" s="258"/>
      <c r="R2917" s="258"/>
      <c r="S2917" s="258"/>
      <c r="T2917" s="258"/>
      <c r="U2917" s="258"/>
      <c r="V2917" s="258"/>
      <c r="W2917" s="258"/>
      <c r="X2917" s="258"/>
      <c r="Y2917" s="258"/>
      <c r="Z2917" s="258"/>
      <c r="AA2917" s="258"/>
      <c r="AB2917" s="258"/>
      <c r="AC2917" s="407"/>
    </row>
    <row r="2918" spans="2:29" s="406" customFormat="1" ht="16.5" customHeight="1">
      <c r="B2918" s="256"/>
      <c r="C2918" s="256"/>
      <c r="D2918" s="414"/>
      <c r="E2918" s="414"/>
      <c r="F2918" s="414"/>
      <c r="G2918" s="253"/>
      <c r="H2918" s="253"/>
      <c r="I2918" s="253"/>
      <c r="J2918" s="253"/>
      <c r="K2918" s="253"/>
      <c r="L2918" s="253"/>
      <c r="M2918" s="253"/>
      <c r="N2918" s="253"/>
      <c r="O2918" s="258"/>
      <c r="P2918" s="258"/>
      <c r="Q2918" s="258"/>
      <c r="R2918" s="258"/>
      <c r="S2918" s="258"/>
      <c r="T2918" s="258"/>
      <c r="U2918" s="258"/>
      <c r="V2918" s="258"/>
      <c r="W2918" s="258"/>
      <c r="X2918" s="258"/>
      <c r="Y2918" s="258"/>
      <c r="Z2918" s="258"/>
      <c r="AA2918" s="258"/>
      <c r="AB2918" s="258"/>
      <c r="AC2918" s="407"/>
    </row>
    <row r="2919" spans="2:29" s="406" customFormat="1" ht="16.5" customHeight="1">
      <c r="B2919" s="256"/>
      <c r="C2919" s="256"/>
      <c r="D2919" s="414"/>
      <c r="E2919" s="414"/>
      <c r="F2919" s="414"/>
      <c r="G2919" s="253"/>
      <c r="H2919" s="253"/>
      <c r="I2919" s="253"/>
      <c r="J2919" s="253"/>
      <c r="K2919" s="253"/>
      <c r="L2919" s="253"/>
      <c r="M2919" s="253"/>
      <c r="N2919" s="253"/>
      <c r="O2919" s="258"/>
      <c r="P2919" s="258"/>
      <c r="Q2919" s="258"/>
      <c r="R2919" s="258"/>
      <c r="S2919" s="258"/>
      <c r="T2919" s="258"/>
      <c r="U2919" s="258"/>
      <c r="V2919" s="258"/>
      <c r="W2919" s="258"/>
      <c r="X2919" s="258"/>
      <c r="Y2919" s="258"/>
      <c r="Z2919" s="258"/>
      <c r="AA2919" s="258"/>
      <c r="AB2919" s="258"/>
      <c r="AC2919" s="407"/>
    </row>
    <row r="2920" spans="2:29" s="406" customFormat="1" ht="16.5" customHeight="1">
      <c r="B2920" s="256"/>
      <c r="C2920" s="256"/>
      <c r="D2920" s="414"/>
      <c r="E2920" s="414"/>
      <c r="F2920" s="414"/>
      <c r="G2920" s="253"/>
      <c r="H2920" s="253"/>
      <c r="I2920" s="253"/>
      <c r="J2920" s="253"/>
      <c r="K2920" s="253"/>
      <c r="L2920" s="253"/>
      <c r="M2920" s="253"/>
      <c r="N2920" s="253"/>
      <c r="O2920" s="258"/>
      <c r="P2920" s="258"/>
      <c r="Q2920" s="258"/>
      <c r="R2920" s="258"/>
      <c r="S2920" s="258"/>
      <c r="T2920" s="258"/>
      <c r="U2920" s="258"/>
      <c r="V2920" s="258"/>
      <c r="W2920" s="258"/>
      <c r="X2920" s="258"/>
      <c r="Y2920" s="258"/>
      <c r="Z2920" s="258"/>
      <c r="AA2920" s="258"/>
      <c r="AB2920" s="258"/>
      <c r="AC2920" s="407"/>
    </row>
    <row r="2921" spans="2:29" s="406" customFormat="1" ht="16.5" customHeight="1">
      <c r="B2921" s="256"/>
      <c r="C2921" s="256"/>
      <c r="D2921" s="414"/>
      <c r="E2921" s="414"/>
      <c r="F2921" s="414"/>
      <c r="G2921" s="253"/>
      <c r="H2921" s="253"/>
      <c r="I2921" s="253"/>
      <c r="J2921" s="253"/>
      <c r="K2921" s="253"/>
      <c r="L2921" s="253"/>
      <c r="M2921" s="253"/>
      <c r="N2921" s="253"/>
      <c r="O2921" s="258"/>
      <c r="P2921" s="258"/>
      <c r="Q2921" s="258"/>
      <c r="R2921" s="258"/>
      <c r="S2921" s="258"/>
      <c r="T2921" s="258"/>
      <c r="U2921" s="258"/>
      <c r="V2921" s="258"/>
      <c r="W2921" s="258"/>
      <c r="X2921" s="258"/>
      <c r="Y2921" s="258"/>
      <c r="Z2921" s="258"/>
      <c r="AA2921" s="258"/>
      <c r="AB2921" s="258"/>
      <c r="AC2921" s="407"/>
    </row>
    <row r="2922" spans="2:29" s="406" customFormat="1" ht="16.5" customHeight="1">
      <c r="B2922" s="256"/>
      <c r="C2922" s="256"/>
      <c r="D2922" s="414"/>
      <c r="E2922" s="414"/>
      <c r="F2922" s="414"/>
      <c r="G2922" s="253"/>
      <c r="H2922" s="253"/>
      <c r="I2922" s="253"/>
      <c r="J2922" s="253"/>
      <c r="K2922" s="253"/>
      <c r="L2922" s="253"/>
      <c r="M2922" s="253"/>
      <c r="N2922" s="253"/>
      <c r="O2922" s="258"/>
      <c r="P2922" s="258"/>
      <c r="Q2922" s="258"/>
      <c r="R2922" s="258"/>
      <c r="S2922" s="258"/>
      <c r="T2922" s="258"/>
      <c r="U2922" s="258"/>
      <c r="V2922" s="258"/>
      <c r="W2922" s="258"/>
      <c r="X2922" s="258"/>
      <c r="Y2922" s="258"/>
      <c r="Z2922" s="258"/>
      <c r="AA2922" s="258"/>
      <c r="AB2922" s="258"/>
      <c r="AC2922" s="407"/>
    </row>
    <row r="2923" spans="2:29" s="406" customFormat="1" ht="16.5" customHeight="1">
      <c r="B2923" s="256"/>
      <c r="C2923" s="256"/>
      <c r="D2923" s="414"/>
      <c r="E2923" s="414"/>
      <c r="F2923" s="414"/>
      <c r="G2923" s="253"/>
      <c r="H2923" s="253"/>
      <c r="I2923" s="253"/>
      <c r="J2923" s="253"/>
      <c r="K2923" s="253"/>
      <c r="L2923" s="253"/>
      <c r="M2923" s="253"/>
      <c r="N2923" s="253"/>
      <c r="O2923" s="258"/>
      <c r="P2923" s="258"/>
      <c r="Q2923" s="258"/>
      <c r="R2923" s="258"/>
      <c r="S2923" s="258"/>
      <c r="T2923" s="258"/>
      <c r="U2923" s="258"/>
      <c r="V2923" s="258"/>
      <c r="W2923" s="258"/>
      <c r="X2923" s="258"/>
      <c r="Y2923" s="258"/>
      <c r="Z2923" s="258"/>
      <c r="AA2923" s="258"/>
      <c r="AB2923" s="258"/>
      <c r="AC2923" s="407"/>
    </row>
    <row r="2924" spans="2:29" s="406" customFormat="1" ht="16.5" customHeight="1">
      <c r="B2924" s="256"/>
      <c r="C2924" s="256"/>
      <c r="D2924" s="414"/>
      <c r="E2924" s="414"/>
      <c r="F2924" s="414"/>
      <c r="G2924" s="253"/>
      <c r="H2924" s="253"/>
      <c r="I2924" s="253"/>
      <c r="J2924" s="253"/>
      <c r="K2924" s="253"/>
      <c r="L2924" s="253"/>
      <c r="M2924" s="253"/>
      <c r="N2924" s="253"/>
      <c r="O2924" s="258"/>
      <c r="P2924" s="258"/>
      <c r="Q2924" s="258"/>
      <c r="R2924" s="258"/>
      <c r="S2924" s="258"/>
      <c r="T2924" s="258"/>
      <c r="U2924" s="258"/>
      <c r="V2924" s="258"/>
      <c r="W2924" s="258"/>
      <c r="X2924" s="258"/>
      <c r="Y2924" s="258"/>
      <c r="Z2924" s="258"/>
      <c r="AA2924" s="258"/>
      <c r="AB2924" s="258"/>
      <c r="AC2924" s="407"/>
    </row>
    <row r="2925" spans="2:29" s="406" customFormat="1" ht="16.5" customHeight="1">
      <c r="B2925" s="256"/>
      <c r="C2925" s="256"/>
      <c r="D2925" s="414"/>
      <c r="E2925" s="414"/>
      <c r="F2925" s="414"/>
      <c r="G2925" s="253"/>
      <c r="H2925" s="253"/>
      <c r="I2925" s="253"/>
      <c r="J2925" s="253"/>
      <c r="K2925" s="253"/>
      <c r="L2925" s="253"/>
      <c r="M2925" s="253"/>
      <c r="N2925" s="253"/>
      <c r="O2925" s="258"/>
      <c r="P2925" s="258"/>
      <c r="Q2925" s="258"/>
      <c r="R2925" s="258"/>
      <c r="S2925" s="258"/>
      <c r="T2925" s="258"/>
      <c r="U2925" s="258"/>
      <c r="V2925" s="258"/>
      <c r="W2925" s="258"/>
      <c r="X2925" s="258"/>
      <c r="Y2925" s="258"/>
      <c r="Z2925" s="258"/>
      <c r="AA2925" s="258"/>
      <c r="AB2925" s="258"/>
      <c r="AC2925" s="407"/>
    </row>
    <row r="2926" spans="2:29" s="406" customFormat="1" ht="16.5" customHeight="1">
      <c r="B2926" s="256"/>
      <c r="C2926" s="256"/>
      <c r="D2926" s="414"/>
      <c r="E2926" s="414"/>
      <c r="F2926" s="414"/>
      <c r="G2926" s="253"/>
      <c r="H2926" s="253"/>
      <c r="I2926" s="253"/>
      <c r="J2926" s="253"/>
      <c r="K2926" s="253"/>
      <c r="L2926" s="253"/>
      <c r="M2926" s="253"/>
      <c r="N2926" s="253"/>
      <c r="O2926" s="258"/>
      <c r="P2926" s="258"/>
      <c r="Q2926" s="258"/>
      <c r="R2926" s="258"/>
      <c r="S2926" s="258"/>
      <c r="T2926" s="258"/>
      <c r="U2926" s="258"/>
      <c r="V2926" s="258"/>
      <c r="W2926" s="258"/>
      <c r="X2926" s="258"/>
      <c r="Y2926" s="258"/>
      <c r="Z2926" s="258"/>
      <c r="AA2926" s="258"/>
      <c r="AB2926" s="258"/>
      <c r="AC2926" s="407"/>
    </row>
    <row r="2927" spans="2:29" s="406" customFormat="1" ht="16.5" customHeight="1">
      <c r="B2927" s="256"/>
      <c r="C2927" s="256"/>
      <c r="D2927" s="414"/>
      <c r="E2927" s="414"/>
      <c r="F2927" s="414"/>
      <c r="G2927" s="253"/>
      <c r="H2927" s="253"/>
      <c r="I2927" s="253"/>
      <c r="J2927" s="253"/>
      <c r="K2927" s="253"/>
      <c r="L2927" s="253"/>
      <c r="M2927" s="253"/>
      <c r="N2927" s="253"/>
      <c r="O2927" s="258"/>
      <c r="P2927" s="258"/>
      <c r="Q2927" s="258"/>
      <c r="R2927" s="258"/>
      <c r="S2927" s="258"/>
      <c r="T2927" s="258"/>
      <c r="U2927" s="258"/>
      <c r="V2927" s="258"/>
      <c r="W2927" s="258"/>
      <c r="X2927" s="258"/>
      <c r="Y2927" s="258"/>
      <c r="Z2927" s="258"/>
      <c r="AA2927" s="258"/>
      <c r="AB2927" s="258"/>
      <c r="AC2927" s="407"/>
    </row>
    <row r="2928" spans="2:29" s="406" customFormat="1" ht="16.5" customHeight="1">
      <c r="B2928" s="256"/>
      <c r="C2928" s="256"/>
      <c r="D2928" s="414"/>
      <c r="E2928" s="414"/>
      <c r="F2928" s="414"/>
      <c r="G2928" s="253"/>
      <c r="H2928" s="253"/>
      <c r="I2928" s="253"/>
      <c r="J2928" s="253"/>
      <c r="K2928" s="253"/>
      <c r="L2928" s="253"/>
      <c r="M2928" s="253"/>
      <c r="N2928" s="253"/>
      <c r="O2928" s="258"/>
      <c r="P2928" s="258"/>
      <c r="Q2928" s="258"/>
      <c r="R2928" s="258"/>
      <c r="S2928" s="258"/>
      <c r="T2928" s="258"/>
      <c r="U2928" s="258"/>
      <c r="V2928" s="258"/>
      <c r="W2928" s="258"/>
      <c r="X2928" s="258"/>
      <c r="Y2928" s="258"/>
      <c r="Z2928" s="258"/>
      <c r="AA2928" s="258"/>
      <c r="AB2928" s="258"/>
      <c r="AC2928" s="407"/>
    </row>
    <row r="2929" spans="2:29" s="406" customFormat="1" ht="16.5" customHeight="1">
      <c r="B2929" s="256"/>
      <c r="C2929" s="256"/>
      <c r="D2929" s="414"/>
      <c r="E2929" s="414"/>
      <c r="F2929" s="414"/>
      <c r="G2929" s="253"/>
      <c r="H2929" s="253"/>
      <c r="I2929" s="253"/>
      <c r="J2929" s="253"/>
      <c r="K2929" s="253"/>
      <c r="L2929" s="253"/>
      <c r="M2929" s="253"/>
      <c r="N2929" s="253"/>
      <c r="O2929" s="258"/>
      <c r="P2929" s="258"/>
      <c r="Q2929" s="258"/>
      <c r="R2929" s="258"/>
      <c r="S2929" s="258"/>
      <c r="T2929" s="258"/>
      <c r="U2929" s="258"/>
      <c r="V2929" s="258"/>
      <c r="W2929" s="258"/>
      <c r="X2929" s="258"/>
      <c r="Y2929" s="258"/>
      <c r="Z2929" s="258"/>
      <c r="AA2929" s="258"/>
      <c r="AB2929" s="258"/>
      <c r="AC2929" s="407"/>
    </row>
    <row r="2930" spans="2:29" s="406" customFormat="1" ht="16.5" customHeight="1">
      <c r="B2930" s="256"/>
      <c r="C2930" s="256"/>
      <c r="D2930" s="414"/>
      <c r="E2930" s="414"/>
      <c r="F2930" s="414"/>
      <c r="G2930" s="253"/>
      <c r="H2930" s="253"/>
      <c r="I2930" s="253"/>
      <c r="J2930" s="253"/>
      <c r="K2930" s="253"/>
      <c r="L2930" s="253"/>
      <c r="M2930" s="253"/>
      <c r="N2930" s="253"/>
      <c r="O2930" s="258"/>
      <c r="P2930" s="258"/>
      <c r="Q2930" s="258"/>
      <c r="R2930" s="258"/>
      <c r="S2930" s="258"/>
      <c r="T2930" s="258"/>
      <c r="U2930" s="258"/>
      <c r="V2930" s="258"/>
      <c r="W2930" s="258"/>
      <c r="X2930" s="258"/>
      <c r="Y2930" s="258"/>
      <c r="Z2930" s="258"/>
      <c r="AA2930" s="258"/>
      <c r="AB2930" s="258"/>
      <c r="AC2930" s="407"/>
    </row>
    <row r="2931" spans="2:29" s="406" customFormat="1" ht="16.5" customHeight="1">
      <c r="B2931" s="256"/>
      <c r="C2931" s="256"/>
      <c r="D2931" s="414"/>
      <c r="E2931" s="414"/>
      <c r="F2931" s="414"/>
      <c r="G2931" s="253"/>
      <c r="H2931" s="253"/>
      <c r="I2931" s="253"/>
      <c r="J2931" s="253"/>
      <c r="K2931" s="253"/>
      <c r="L2931" s="253"/>
      <c r="M2931" s="253"/>
      <c r="N2931" s="253"/>
      <c r="O2931" s="258"/>
      <c r="P2931" s="258"/>
      <c r="Q2931" s="258"/>
      <c r="R2931" s="258"/>
      <c r="S2931" s="258"/>
      <c r="T2931" s="258"/>
      <c r="U2931" s="258"/>
      <c r="V2931" s="258"/>
      <c r="W2931" s="258"/>
      <c r="X2931" s="258"/>
      <c r="Y2931" s="258"/>
      <c r="Z2931" s="258"/>
      <c r="AA2931" s="258"/>
      <c r="AB2931" s="258"/>
      <c r="AC2931" s="407"/>
    </row>
    <row r="2932" spans="2:29" s="406" customFormat="1" ht="16.5" customHeight="1">
      <c r="B2932" s="256"/>
      <c r="C2932" s="256"/>
      <c r="D2932" s="414"/>
      <c r="E2932" s="414"/>
      <c r="F2932" s="414"/>
      <c r="G2932" s="253"/>
      <c r="H2932" s="253"/>
      <c r="I2932" s="253"/>
      <c r="J2932" s="253"/>
      <c r="K2932" s="253"/>
      <c r="L2932" s="253"/>
      <c r="M2932" s="253"/>
      <c r="N2932" s="253"/>
      <c r="O2932" s="258"/>
      <c r="P2932" s="258"/>
      <c r="Q2932" s="258"/>
      <c r="R2932" s="258"/>
      <c r="S2932" s="258"/>
      <c r="T2932" s="258"/>
      <c r="U2932" s="258"/>
      <c r="V2932" s="258"/>
      <c r="W2932" s="258"/>
      <c r="X2932" s="258"/>
      <c r="Y2932" s="258"/>
      <c r="Z2932" s="258"/>
      <c r="AA2932" s="258"/>
      <c r="AB2932" s="258"/>
      <c r="AC2932" s="407"/>
    </row>
    <row r="2933" spans="2:29" s="406" customFormat="1" ht="16.5" customHeight="1">
      <c r="B2933" s="256"/>
      <c r="C2933" s="256"/>
      <c r="D2933" s="414"/>
      <c r="E2933" s="414"/>
      <c r="F2933" s="414"/>
      <c r="G2933" s="253"/>
      <c r="H2933" s="253"/>
      <c r="I2933" s="253"/>
      <c r="J2933" s="253"/>
      <c r="K2933" s="253"/>
      <c r="L2933" s="253"/>
      <c r="M2933" s="253"/>
      <c r="N2933" s="253"/>
      <c r="O2933" s="258"/>
      <c r="P2933" s="258"/>
      <c r="Q2933" s="258"/>
      <c r="R2933" s="258"/>
      <c r="S2933" s="258"/>
      <c r="T2933" s="258"/>
      <c r="U2933" s="258"/>
      <c r="V2933" s="258"/>
      <c r="W2933" s="258"/>
      <c r="X2933" s="258"/>
      <c r="Y2933" s="258"/>
      <c r="Z2933" s="258"/>
      <c r="AA2933" s="258"/>
      <c r="AB2933" s="258"/>
      <c r="AC2933" s="407"/>
    </row>
    <row r="2934" spans="2:29" s="406" customFormat="1" ht="16.5" customHeight="1">
      <c r="B2934" s="256"/>
      <c r="C2934" s="256"/>
      <c r="D2934" s="414"/>
      <c r="E2934" s="414"/>
      <c r="F2934" s="414"/>
      <c r="G2934" s="253"/>
      <c r="H2934" s="253"/>
      <c r="I2934" s="253"/>
      <c r="J2934" s="253"/>
      <c r="K2934" s="253"/>
      <c r="L2934" s="253"/>
      <c r="M2934" s="253"/>
      <c r="N2934" s="253"/>
      <c r="O2934" s="258"/>
      <c r="P2934" s="258"/>
      <c r="Q2934" s="258"/>
      <c r="R2934" s="258"/>
      <c r="S2934" s="258"/>
      <c r="T2934" s="258"/>
      <c r="U2934" s="258"/>
      <c r="V2934" s="258"/>
      <c r="W2934" s="258"/>
      <c r="X2934" s="258"/>
      <c r="Y2934" s="258"/>
      <c r="Z2934" s="258"/>
      <c r="AA2934" s="258"/>
      <c r="AB2934" s="258"/>
      <c r="AC2934" s="407"/>
    </row>
    <row r="2935" spans="2:29" s="406" customFormat="1" ht="16.5" customHeight="1">
      <c r="B2935" s="256"/>
      <c r="C2935" s="256"/>
      <c r="D2935" s="414"/>
      <c r="E2935" s="414"/>
      <c r="F2935" s="414"/>
      <c r="G2935" s="253"/>
      <c r="H2935" s="253"/>
      <c r="I2935" s="253"/>
      <c r="J2935" s="253"/>
      <c r="K2935" s="253"/>
      <c r="L2935" s="253"/>
      <c r="M2935" s="253"/>
      <c r="N2935" s="253"/>
      <c r="O2935" s="258"/>
      <c r="P2935" s="258"/>
      <c r="Q2935" s="258"/>
      <c r="R2935" s="258"/>
      <c r="S2935" s="258"/>
      <c r="T2935" s="258"/>
      <c r="U2935" s="258"/>
      <c r="V2935" s="258"/>
      <c r="W2935" s="258"/>
      <c r="X2935" s="258"/>
      <c r="Y2935" s="258"/>
      <c r="Z2935" s="258"/>
      <c r="AA2935" s="258"/>
      <c r="AB2935" s="258"/>
      <c r="AC2935" s="407"/>
    </row>
    <row r="2936" spans="2:29" s="406" customFormat="1" ht="16.5" customHeight="1">
      <c r="B2936" s="256"/>
      <c r="C2936" s="256"/>
      <c r="D2936" s="414"/>
      <c r="E2936" s="414"/>
      <c r="F2936" s="414"/>
      <c r="G2936" s="253"/>
      <c r="H2936" s="253"/>
      <c r="I2936" s="253"/>
      <c r="J2936" s="253"/>
      <c r="K2936" s="253"/>
      <c r="L2936" s="253"/>
      <c r="M2936" s="253"/>
      <c r="N2936" s="253"/>
      <c r="O2936" s="258"/>
      <c r="P2936" s="258"/>
      <c r="Q2936" s="258"/>
      <c r="R2936" s="258"/>
      <c r="S2936" s="258"/>
      <c r="T2936" s="258"/>
      <c r="U2936" s="258"/>
      <c r="V2936" s="258"/>
      <c r="W2936" s="258"/>
      <c r="X2936" s="258"/>
      <c r="Y2936" s="258"/>
      <c r="Z2936" s="258"/>
      <c r="AA2936" s="258"/>
      <c r="AB2936" s="258"/>
      <c r="AC2936" s="407"/>
    </row>
    <row r="2937" spans="2:29" s="406" customFormat="1" ht="16.5" customHeight="1">
      <c r="B2937" s="256"/>
      <c r="C2937" s="256"/>
      <c r="D2937" s="414"/>
      <c r="E2937" s="414"/>
      <c r="F2937" s="414"/>
      <c r="G2937" s="253"/>
      <c r="H2937" s="253"/>
      <c r="I2937" s="253"/>
      <c r="J2937" s="253"/>
      <c r="K2937" s="253"/>
      <c r="L2937" s="253"/>
      <c r="M2937" s="253"/>
      <c r="N2937" s="253"/>
      <c r="O2937" s="258"/>
      <c r="P2937" s="258"/>
      <c r="Q2937" s="258"/>
      <c r="R2937" s="258"/>
      <c r="S2937" s="258"/>
      <c r="T2937" s="258"/>
      <c r="U2937" s="258"/>
      <c r="V2937" s="258"/>
      <c r="W2937" s="258"/>
      <c r="X2937" s="258"/>
      <c r="Y2937" s="258"/>
      <c r="Z2937" s="258"/>
      <c r="AA2937" s="258"/>
      <c r="AB2937" s="258"/>
      <c r="AC2937" s="407"/>
    </row>
    <row r="2938" spans="2:29" s="406" customFormat="1" ht="16.5" customHeight="1">
      <c r="B2938" s="256"/>
      <c r="C2938" s="256"/>
      <c r="D2938" s="414"/>
      <c r="E2938" s="414"/>
      <c r="F2938" s="414"/>
      <c r="G2938" s="253"/>
      <c r="H2938" s="253"/>
      <c r="I2938" s="253"/>
      <c r="J2938" s="253"/>
      <c r="K2938" s="253"/>
      <c r="L2938" s="253"/>
      <c r="M2938" s="253"/>
      <c r="N2938" s="253"/>
      <c r="O2938" s="258"/>
      <c r="P2938" s="258"/>
      <c r="Q2938" s="258"/>
      <c r="R2938" s="258"/>
      <c r="S2938" s="258"/>
      <c r="T2938" s="258"/>
      <c r="U2938" s="258"/>
      <c r="V2938" s="258"/>
      <c r="W2938" s="258"/>
      <c r="X2938" s="258"/>
      <c r="Y2938" s="258"/>
      <c r="Z2938" s="258"/>
      <c r="AA2938" s="258"/>
      <c r="AB2938" s="258"/>
      <c r="AC2938" s="407"/>
    </row>
    <row r="2939" spans="2:29" s="406" customFormat="1" ht="16.5" customHeight="1">
      <c r="B2939" s="256"/>
      <c r="C2939" s="256"/>
      <c r="D2939" s="414"/>
      <c r="E2939" s="414"/>
      <c r="F2939" s="414"/>
      <c r="G2939" s="253"/>
      <c r="H2939" s="253"/>
      <c r="I2939" s="253"/>
      <c r="J2939" s="253"/>
      <c r="K2939" s="253"/>
      <c r="L2939" s="253"/>
      <c r="M2939" s="253"/>
      <c r="N2939" s="253"/>
      <c r="O2939" s="258"/>
      <c r="P2939" s="258"/>
      <c r="Q2939" s="258"/>
      <c r="R2939" s="258"/>
      <c r="S2939" s="258"/>
      <c r="T2939" s="258"/>
      <c r="U2939" s="258"/>
      <c r="V2939" s="258"/>
      <c r="W2939" s="258"/>
      <c r="X2939" s="258"/>
      <c r="Y2939" s="258"/>
      <c r="Z2939" s="258"/>
      <c r="AA2939" s="258"/>
      <c r="AB2939" s="258"/>
      <c r="AC2939" s="407"/>
    </row>
    <row r="2940" spans="2:29" s="406" customFormat="1" ht="16.5" customHeight="1">
      <c r="B2940" s="256"/>
      <c r="C2940" s="256"/>
      <c r="D2940" s="414"/>
      <c r="E2940" s="414"/>
      <c r="F2940" s="414"/>
      <c r="G2940" s="253"/>
      <c r="H2940" s="253"/>
      <c r="I2940" s="253"/>
      <c r="J2940" s="253"/>
      <c r="K2940" s="253"/>
      <c r="L2940" s="253"/>
      <c r="M2940" s="253"/>
      <c r="N2940" s="253"/>
      <c r="O2940" s="258"/>
      <c r="P2940" s="258"/>
      <c r="Q2940" s="258"/>
      <c r="R2940" s="258"/>
      <c r="S2940" s="258"/>
      <c r="T2940" s="258"/>
      <c r="U2940" s="258"/>
      <c r="V2940" s="258"/>
      <c r="W2940" s="258"/>
      <c r="X2940" s="258"/>
      <c r="Y2940" s="258"/>
      <c r="Z2940" s="258"/>
      <c r="AA2940" s="258"/>
      <c r="AB2940" s="258"/>
      <c r="AC2940" s="407"/>
    </row>
    <row r="2941" spans="2:29" s="406" customFormat="1" ht="16.5" customHeight="1">
      <c r="B2941" s="256"/>
      <c r="C2941" s="256"/>
      <c r="D2941" s="414"/>
      <c r="E2941" s="414"/>
      <c r="F2941" s="414"/>
      <c r="G2941" s="253"/>
      <c r="H2941" s="253"/>
      <c r="I2941" s="253"/>
      <c r="J2941" s="253"/>
      <c r="K2941" s="253"/>
      <c r="L2941" s="253"/>
      <c r="M2941" s="253"/>
      <c r="N2941" s="253"/>
      <c r="O2941" s="258"/>
      <c r="P2941" s="258"/>
      <c r="Q2941" s="258"/>
      <c r="R2941" s="258"/>
      <c r="S2941" s="258"/>
      <c r="T2941" s="258"/>
      <c r="U2941" s="258"/>
      <c r="V2941" s="258"/>
      <c r="W2941" s="258"/>
      <c r="X2941" s="258"/>
      <c r="Y2941" s="258"/>
      <c r="Z2941" s="258"/>
      <c r="AA2941" s="258"/>
      <c r="AB2941" s="258"/>
      <c r="AC2941" s="407"/>
    </row>
    <row r="2942" spans="2:29" s="406" customFormat="1" ht="16.5" customHeight="1">
      <c r="B2942" s="256"/>
      <c r="C2942" s="256"/>
      <c r="D2942" s="414"/>
      <c r="E2942" s="414"/>
      <c r="F2942" s="414"/>
      <c r="G2942" s="253"/>
      <c r="H2942" s="253"/>
      <c r="I2942" s="253"/>
      <c r="J2942" s="253"/>
      <c r="K2942" s="253"/>
      <c r="L2942" s="253"/>
      <c r="M2942" s="253"/>
      <c r="N2942" s="253"/>
      <c r="O2942" s="258"/>
      <c r="P2942" s="258"/>
      <c r="Q2942" s="258"/>
      <c r="R2942" s="258"/>
      <c r="S2942" s="258"/>
      <c r="T2942" s="258"/>
      <c r="U2942" s="258"/>
      <c r="V2942" s="258"/>
      <c r="W2942" s="258"/>
      <c r="X2942" s="258"/>
      <c r="Y2942" s="258"/>
      <c r="Z2942" s="258"/>
      <c r="AA2942" s="258"/>
      <c r="AB2942" s="258"/>
      <c r="AC2942" s="407"/>
    </row>
    <row r="2943" spans="2:29" s="406" customFormat="1" ht="16.5" customHeight="1">
      <c r="B2943" s="256"/>
      <c r="C2943" s="256"/>
      <c r="D2943" s="414"/>
      <c r="E2943" s="414"/>
      <c r="F2943" s="414"/>
      <c r="G2943" s="253"/>
      <c r="H2943" s="253"/>
      <c r="I2943" s="253"/>
      <c r="J2943" s="253"/>
      <c r="K2943" s="253"/>
      <c r="L2943" s="253"/>
      <c r="M2943" s="253"/>
      <c r="N2943" s="253"/>
      <c r="O2943" s="258"/>
      <c r="P2943" s="258"/>
      <c r="Q2943" s="258"/>
      <c r="R2943" s="258"/>
      <c r="S2943" s="258"/>
      <c r="T2943" s="258"/>
      <c r="U2943" s="258"/>
      <c r="V2943" s="258"/>
      <c r="W2943" s="258"/>
      <c r="X2943" s="258"/>
      <c r="Y2943" s="258"/>
      <c r="Z2943" s="258"/>
      <c r="AA2943" s="258"/>
      <c r="AB2943" s="258"/>
      <c r="AC2943" s="407"/>
    </row>
    <row r="2944" spans="2:29" s="406" customFormat="1" ht="16.5" customHeight="1">
      <c r="B2944" s="256"/>
      <c r="C2944" s="256"/>
      <c r="D2944" s="414"/>
      <c r="E2944" s="414"/>
      <c r="F2944" s="414"/>
      <c r="G2944" s="253"/>
      <c r="H2944" s="253"/>
      <c r="I2944" s="253"/>
      <c r="J2944" s="253"/>
      <c r="K2944" s="253"/>
      <c r="L2944" s="253"/>
      <c r="M2944" s="253"/>
      <c r="N2944" s="253"/>
      <c r="O2944" s="258"/>
      <c r="P2944" s="258"/>
      <c r="Q2944" s="258"/>
      <c r="R2944" s="258"/>
      <c r="S2944" s="258"/>
      <c r="T2944" s="258"/>
      <c r="U2944" s="258"/>
      <c r="V2944" s="258"/>
      <c r="W2944" s="258"/>
      <c r="X2944" s="258"/>
      <c r="Y2944" s="258"/>
      <c r="Z2944" s="258"/>
      <c r="AA2944" s="258"/>
      <c r="AB2944" s="258"/>
      <c r="AC2944" s="407"/>
    </row>
    <row r="2945" spans="2:29" s="406" customFormat="1" ht="16.5" customHeight="1">
      <c r="B2945" s="256"/>
      <c r="C2945" s="256"/>
      <c r="D2945" s="414"/>
      <c r="E2945" s="414"/>
      <c r="F2945" s="414"/>
      <c r="G2945" s="253"/>
      <c r="H2945" s="253"/>
      <c r="I2945" s="253"/>
      <c r="J2945" s="253"/>
      <c r="K2945" s="253"/>
      <c r="L2945" s="253"/>
      <c r="M2945" s="253"/>
      <c r="N2945" s="253"/>
      <c r="O2945" s="258"/>
      <c r="P2945" s="258"/>
      <c r="Q2945" s="258"/>
      <c r="R2945" s="258"/>
      <c r="S2945" s="258"/>
      <c r="T2945" s="258"/>
      <c r="U2945" s="258"/>
      <c r="V2945" s="258"/>
      <c r="W2945" s="258"/>
      <c r="X2945" s="258"/>
      <c r="Y2945" s="258"/>
      <c r="Z2945" s="258"/>
      <c r="AA2945" s="258"/>
      <c r="AB2945" s="258"/>
      <c r="AC2945" s="407"/>
    </row>
    <row r="2946" spans="2:29" s="406" customFormat="1" ht="16.5" customHeight="1">
      <c r="B2946" s="256"/>
      <c r="C2946" s="256"/>
      <c r="D2946" s="414"/>
      <c r="E2946" s="414"/>
      <c r="F2946" s="414"/>
      <c r="G2946" s="253"/>
      <c r="H2946" s="253"/>
      <c r="I2946" s="253"/>
      <c r="J2946" s="253"/>
      <c r="K2946" s="253"/>
      <c r="L2946" s="253"/>
      <c r="M2946" s="253"/>
      <c r="N2946" s="253"/>
      <c r="O2946" s="258"/>
      <c r="P2946" s="258"/>
      <c r="Q2946" s="258"/>
      <c r="R2946" s="258"/>
      <c r="S2946" s="258"/>
      <c r="T2946" s="258"/>
      <c r="U2946" s="258"/>
      <c r="V2946" s="258"/>
      <c r="W2946" s="258"/>
      <c r="X2946" s="258"/>
      <c r="Y2946" s="258"/>
      <c r="Z2946" s="258"/>
      <c r="AA2946" s="258"/>
      <c r="AB2946" s="258"/>
      <c r="AC2946" s="407"/>
    </row>
    <row r="2947" spans="2:29" s="406" customFormat="1" ht="16.5" customHeight="1">
      <c r="B2947" s="256"/>
      <c r="C2947" s="256"/>
      <c r="D2947" s="414"/>
      <c r="E2947" s="414"/>
      <c r="F2947" s="414"/>
      <c r="G2947" s="253"/>
      <c r="H2947" s="253"/>
      <c r="I2947" s="253"/>
      <c r="J2947" s="253"/>
      <c r="K2947" s="253"/>
      <c r="L2947" s="253"/>
      <c r="M2947" s="253"/>
      <c r="N2947" s="253"/>
      <c r="O2947" s="258"/>
      <c r="P2947" s="258"/>
      <c r="Q2947" s="258"/>
      <c r="R2947" s="258"/>
      <c r="S2947" s="258"/>
      <c r="T2947" s="258"/>
      <c r="U2947" s="258"/>
      <c r="V2947" s="258"/>
      <c r="W2947" s="258"/>
      <c r="X2947" s="258"/>
      <c r="Y2947" s="258"/>
      <c r="Z2947" s="258"/>
      <c r="AA2947" s="258"/>
      <c r="AB2947" s="258"/>
      <c r="AC2947" s="407"/>
    </row>
    <row r="2948" spans="2:29" s="406" customFormat="1" ht="16.5" customHeight="1">
      <c r="B2948" s="256"/>
      <c r="C2948" s="256"/>
      <c r="D2948" s="414"/>
      <c r="E2948" s="414"/>
      <c r="F2948" s="414"/>
      <c r="G2948" s="253"/>
      <c r="H2948" s="253"/>
      <c r="I2948" s="253"/>
      <c r="J2948" s="253"/>
      <c r="K2948" s="253"/>
      <c r="L2948" s="253"/>
      <c r="M2948" s="253"/>
      <c r="N2948" s="253"/>
      <c r="O2948" s="258"/>
      <c r="P2948" s="258"/>
      <c r="Q2948" s="258"/>
      <c r="R2948" s="258"/>
      <c r="S2948" s="258"/>
      <c r="T2948" s="258"/>
      <c r="U2948" s="258"/>
      <c r="V2948" s="258"/>
      <c r="W2948" s="258"/>
      <c r="X2948" s="258"/>
      <c r="Y2948" s="258"/>
      <c r="Z2948" s="258"/>
      <c r="AA2948" s="258"/>
      <c r="AB2948" s="258"/>
      <c r="AC2948" s="407"/>
    </row>
    <row r="2949" spans="2:29" s="406" customFormat="1" ht="16.5" customHeight="1">
      <c r="B2949" s="256"/>
      <c r="C2949" s="256"/>
      <c r="D2949" s="414"/>
      <c r="E2949" s="414"/>
      <c r="F2949" s="414"/>
      <c r="G2949" s="253"/>
      <c r="H2949" s="253"/>
      <c r="I2949" s="253"/>
      <c r="J2949" s="253"/>
      <c r="K2949" s="253"/>
      <c r="L2949" s="253"/>
      <c r="M2949" s="253"/>
      <c r="N2949" s="253"/>
      <c r="O2949" s="258"/>
      <c r="P2949" s="258"/>
      <c r="Q2949" s="258"/>
      <c r="R2949" s="258"/>
      <c r="S2949" s="258"/>
      <c r="T2949" s="258"/>
      <c r="U2949" s="258"/>
      <c r="V2949" s="258"/>
      <c r="W2949" s="258"/>
      <c r="X2949" s="258"/>
      <c r="Y2949" s="258"/>
      <c r="Z2949" s="258"/>
      <c r="AA2949" s="258"/>
      <c r="AB2949" s="258"/>
      <c r="AC2949" s="407"/>
    </row>
    <row r="2950" spans="2:29" s="406" customFormat="1" ht="16.5" customHeight="1">
      <c r="B2950" s="256"/>
      <c r="C2950" s="256"/>
      <c r="D2950" s="414"/>
      <c r="E2950" s="414"/>
      <c r="F2950" s="414"/>
      <c r="G2950" s="253"/>
      <c r="H2950" s="253"/>
      <c r="I2950" s="253"/>
      <c r="J2950" s="253"/>
      <c r="K2950" s="253"/>
      <c r="L2950" s="253"/>
      <c r="M2950" s="253"/>
      <c r="N2950" s="253"/>
      <c r="O2950" s="258"/>
      <c r="P2950" s="258"/>
      <c r="Q2950" s="258"/>
      <c r="R2950" s="258"/>
      <c r="S2950" s="258"/>
      <c r="T2950" s="258"/>
      <c r="U2950" s="258"/>
      <c r="V2950" s="258"/>
      <c r="W2950" s="258"/>
      <c r="X2950" s="258"/>
      <c r="Y2950" s="258"/>
      <c r="Z2950" s="258"/>
      <c r="AA2950" s="258"/>
      <c r="AB2950" s="258"/>
      <c r="AC2950" s="407"/>
    </row>
    <row r="2951" spans="2:29" s="406" customFormat="1" ht="16.5" customHeight="1">
      <c r="B2951" s="256"/>
      <c r="C2951" s="256"/>
      <c r="D2951" s="414"/>
      <c r="E2951" s="414"/>
      <c r="F2951" s="414"/>
      <c r="G2951" s="253"/>
      <c r="H2951" s="253"/>
      <c r="I2951" s="253"/>
      <c r="J2951" s="253"/>
      <c r="K2951" s="253"/>
      <c r="L2951" s="253"/>
      <c r="M2951" s="253"/>
      <c r="N2951" s="253"/>
      <c r="O2951" s="258"/>
      <c r="P2951" s="258"/>
      <c r="Q2951" s="258"/>
      <c r="R2951" s="258"/>
      <c r="S2951" s="258"/>
      <c r="T2951" s="258"/>
      <c r="U2951" s="258"/>
      <c r="V2951" s="258"/>
      <c r="W2951" s="258"/>
      <c r="X2951" s="258"/>
      <c r="Y2951" s="258"/>
      <c r="Z2951" s="258"/>
      <c r="AA2951" s="258"/>
      <c r="AB2951" s="258"/>
      <c r="AC2951" s="407"/>
    </row>
    <row r="2952" spans="2:29" s="406" customFormat="1" ht="16.5" customHeight="1">
      <c r="B2952" s="256"/>
      <c r="C2952" s="256"/>
      <c r="D2952" s="414"/>
      <c r="E2952" s="414"/>
      <c r="F2952" s="414"/>
      <c r="G2952" s="253"/>
      <c r="H2952" s="253"/>
      <c r="I2952" s="253"/>
      <c r="J2952" s="253"/>
      <c r="K2952" s="253"/>
      <c r="L2952" s="253"/>
      <c r="M2952" s="253"/>
      <c r="N2952" s="253"/>
      <c r="O2952" s="258"/>
      <c r="P2952" s="258"/>
      <c r="Q2952" s="258"/>
      <c r="R2952" s="258"/>
      <c r="S2952" s="258"/>
      <c r="T2952" s="258"/>
      <c r="U2952" s="258"/>
      <c r="V2952" s="258"/>
      <c r="W2952" s="258"/>
      <c r="X2952" s="258"/>
      <c r="Y2952" s="258"/>
      <c r="Z2952" s="258"/>
      <c r="AA2952" s="258"/>
      <c r="AB2952" s="258"/>
      <c r="AC2952" s="407"/>
    </row>
    <row r="2953" spans="2:29" s="406" customFormat="1" ht="16.5" customHeight="1">
      <c r="B2953" s="256"/>
      <c r="C2953" s="256"/>
      <c r="D2953" s="414"/>
      <c r="E2953" s="414"/>
      <c r="F2953" s="414"/>
      <c r="G2953" s="253"/>
      <c r="H2953" s="253"/>
      <c r="I2953" s="253"/>
      <c r="J2953" s="253"/>
      <c r="K2953" s="253"/>
      <c r="L2953" s="253"/>
      <c r="M2953" s="253"/>
      <c r="N2953" s="253"/>
      <c r="O2953" s="258"/>
      <c r="P2953" s="258"/>
      <c r="Q2953" s="258"/>
      <c r="R2953" s="258"/>
      <c r="S2953" s="258"/>
      <c r="T2953" s="258"/>
      <c r="U2953" s="258"/>
      <c r="V2953" s="258"/>
      <c r="W2953" s="258"/>
      <c r="X2953" s="258"/>
      <c r="Y2953" s="258"/>
      <c r="Z2953" s="258"/>
      <c r="AA2953" s="258"/>
      <c r="AB2953" s="258"/>
      <c r="AC2953" s="407"/>
    </row>
    <row r="2954" spans="2:29" s="406" customFormat="1" ht="16.5" customHeight="1">
      <c r="B2954" s="256"/>
      <c r="C2954" s="256"/>
      <c r="D2954" s="414"/>
      <c r="E2954" s="414"/>
      <c r="F2954" s="414"/>
      <c r="G2954" s="253"/>
      <c r="H2954" s="253"/>
      <c r="I2954" s="253"/>
      <c r="J2954" s="253"/>
      <c r="K2954" s="253"/>
      <c r="L2954" s="253"/>
      <c r="M2954" s="253"/>
      <c r="N2954" s="253"/>
      <c r="O2954" s="258"/>
      <c r="P2954" s="258"/>
      <c r="Q2954" s="258"/>
      <c r="R2954" s="258"/>
      <c r="S2954" s="258"/>
      <c r="T2954" s="258"/>
      <c r="U2954" s="258"/>
      <c r="V2954" s="258"/>
      <c r="W2954" s="258"/>
      <c r="X2954" s="258"/>
      <c r="Y2954" s="258"/>
      <c r="Z2954" s="258"/>
      <c r="AA2954" s="258"/>
      <c r="AB2954" s="258"/>
      <c r="AC2954" s="407"/>
    </row>
    <row r="2955" spans="2:29" s="406" customFormat="1" ht="16.5" customHeight="1">
      <c r="B2955" s="256"/>
      <c r="C2955" s="256"/>
      <c r="D2955" s="414"/>
      <c r="E2955" s="414"/>
      <c r="F2955" s="414"/>
      <c r="G2955" s="253"/>
      <c r="H2955" s="253"/>
      <c r="I2955" s="253"/>
      <c r="J2955" s="253"/>
      <c r="K2955" s="253"/>
      <c r="L2955" s="253"/>
      <c r="M2955" s="253"/>
      <c r="N2955" s="253"/>
      <c r="O2955" s="258"/>
      <c r="P2955" s="258"/>
      <c r="Q2955" s="258"/>
      <c r="R2955" s="258"/>
      <c r="S2955" s="258"/>
      <c r="T2955" s="258"/>
      <c r="U2955" s="258"/>
      <c r="V2955" s="258"/>
      <c r="W2955" s="258"/>
      <c r="X2955" s="258"/>
      <c r="Y2955" s="258"/>
      <c r="Z2955" s="258"/>
      <c r="AA2955" s="258"/>
      <c r="AB2955" s="258"/>
      <c r="AC2955" s="407"/>
    </row>
    <row r="2956" spans="2:29" s="406" customFormat="1" ht="16.5" customHeight="1">
      <c r="B2956" s="256"/>
      <c r="C2956" s="256"/>
      <c r="D2956" s="414"/>
      <c r="E2956" s="414"/>
      <c r="F2956" s="414"/>
      <c r="G2956" s="253"/>
      <c r="H2956" s="253"/>
      <c r="I2956" s="253"/>
      <c r="J2956" s="253"/>
      <c r="K2956" s="253"/>
      <c r="L2956" s="253"/>
      <c r="M2956" s="253"/>
      <c r="N2956" s="253"/>
      <c r="O2956" s="258"/>
      <c r="P2956" s="258"/>
      <c r="Q2956" s="258"/>
      <c r="R2956" s="258"/>
      <c r="S2956" s="258"/>
      <c r="T2956" s="258"/>
      <c r="U2956" s="258"/>
      <c r="V2956" s="258"/>
      <c r="W2956" s="258"/>
      <c r="X2956" s="258"/>
      <c r="Y2956" s="258"/>
      <c r="Z2956" s="258"/>
      <c r="AA2956" s="258"/>
      <c r="AB2956" s="258"/>
      <c r="AC2956" s="407"/>
    </row>
    <row r="2957" spans="2:29" s="406" customFormat="1" ht="16.5" customHeight="1">
      <c r="B2957" s="256"/>
      <c r="C2957" s="256"/>
      <c r="D2957" s="414"/>
      <c r="E2957" s="414"/>
      <c r="F2957" s="414"/>
      <c r="G2957" s="253"/>
      <c r="H2957" s="253"/>
      <c r="I2957" s="253"/>
      <c r="J2957" s="253"/>
      <c r="K2957" s="253"/>
      <c r="L2957" s="253"/>
      <c r="M2957" s="253"/>
      <c r="N2957" s="253"/>
      <c r="O2957" s="258"/>
      <c r="P2957" s="258"/>
      <c r="Q2957" s="258"/>
      <c r="R2957" s="258"/>
      <c r="S2957" s="258"/>
      <c r="T2957" s="258"/>
      <c r="U2957" s="258"/>
      <c r="V2957" s="258"/>
      <c r="W2957" s="258"/>
      <c r="X2957" s="258"/>
      <c r="Y2957" s="258"/>
      <c r="Z2957" s="258"/>
      <c r="AA2957" s="258"/>
      <c r="AB2957" s="258"/>
      <c r="AC2957" s="407"/>
    </row>
    <row r="2958" spans="2:29" s="406" customFormat="1" ht="16.5" customHeight="1">
      <c r="B2958" s="256"/>
      <c r="C2958" s="256"/>
      <c r="D2958" s="414"/>
      <c r="E2958" s="414"/>
      <c r="F2958" s="414"/>
      <c r="G2958" s="253"/>
      <c r="H2958" s="253"/>
      <c r="I2958" s="253"/>
      <c r="J2958" s="253"/>
      <c r="K2958" s="253"/>
      <c r="L2958" s="253"/>
      <c r="M2958" s="253"/>
      <c r="N2958" s="253"/>
      <c r="O2958" s="258"/>
      <c r="P2958" s="258"/>
      <c r="Q2958" s="258"/>
      <c r="R2958" s="258"/>
      <c r="S2958" s="258"/>
      <c r="T2958" s="258"/>
      <c r="U2958" s="258"/>
      <c r="V2958" s="258"/>
      <c r="W2958" s="258"/>
      <c r="X2958" s="258"/>
      <c r="Y2958" s="258"/>
      <c r="Z2958" s="258"/>
      <c r="AA2958" s="258"/>
      <c r="AB2958" s="258"/>
      <c r="AC2958" s="407"/>
    </row>
    <row r="2959" spans="2:29" s="406" customFormat="1" ht="16.5" customHeight="1">
      <c r="B2959" s="256"/>
      <c r="C2959" s="256"/>
      <c r="D2959" s="414"/>
      <c r="E2959" s="414"/>
      <c r="F2959" s="414"/>
      <c r="G2959" s="253"/>
      <c r="H2959" s="253"/>
      <c r="I2959" s="253"/>
      <c r="J2959" s="253"/>
      <c r="K2959" s="253"/>
      <c r="L2959" s="253"/>
      <c r="M2959" s="253"/>
      <c r="N2959" s="253"/>
      <c r="O2959" s="258"/>
      <c r="P2959" s="258"/>
      <c r="Q2959" s="258"/>
      <c r="R2959" s="258"/>
      <c r="S2959" s="258"/>
      <c r="T2959" s="258"/>
      <c r="U2959" s="258"/>
      <c r="V2959" s="258"/>
      <c r="W2959" s="258"/>
      <c r="X2959" s="258"/>
      <c r="Y2959" s="258"/>
      <c r="Z2959" s="258"/>
      <c r="AA2959" s="258"/>
      <c r="AB2959" s="258"/>
      <c r="AC2959" s="407"/>
    </row>
    <row r="2960" spans="2:29" s="406" customFormat="1" ht="16.5" customHeight="1">
      <c r="B2960" s="256"/>
      <c r="C2960" s="256"/>
      <c r="D2960" s="414"/>
      <c r="E2960" s="414"/>
      <c r="F2960" s="414"/>
      <c r="G2960" s="253"/>
      <c r="H2960" s="253"/>
      <c r="I2960" s="253"/>
      <c r="J2960" s="253"/>
      <c r="K2960" s="253"/>
      <c r="L2960" s="253"/>
      <c r="M2960" s="253"/>
      <c r="N2960" s="253"/>
      <c r="O2960" s="258"/>
      <c r="P2960" s="258"/>
      <c r="Q2960" s="258"/>
      <c r="R2960" s="258"/>
      <c r="S2960" s="258"/>
      <c r="T2960" s="258"/>
      <c r="U2960" s="258"/>
      <c r="V2960" s="258"/>
      <c r="W2960" s="258"/>
      <c r="X2960" s="258"/>
      <c r="Y2960" s="258"/>
      <c r="Z2960" s="258"/>
      <c r="AA2960" s="258"/>
      <c r="AB2960" s="258"/>
      <c r="AC2960" s="407"/>
    </row>
    <row r="2961" spans="2:29" s="406" customFormat="1" ht="16.5" customHeight="1">
      <c r="B2961" s="256"/>
      <c r="C2961" s="256"/>
      <c r="D2961" s="414"/>
      <c r="E2961" s="414"/>
      <c r="F2961" s="414"/>
      <c r="G2961" s="253"/>
      <c r="H2961" s="253"/>
      <c r="I2961" s="253"/>
      <c r="J2961" s="253"/>
      <c r="K2961" s="253"/>
      <c r="L2961" s="253"/>
      <c r="M2961" s="253"/>
      <c r="N2961" s="253"/>
      <c r="O2961" s="258"/>
      <c r="P2961" s="258"/>
      <c r="Q2961" s="258"/>
      <c r="R2961" s="258"/>
      <c r="S2961" s="258"/>
      <c r="T2961" s="258"/>
      <c r="U2961" s="258"/>
      <c r="V2961" s="258"/>
      <c r="W2961" s="258"/>
      <c r="X2961" s="258"/>
      <c r="Y2961" s="258"/>
      <c r="Z2961" s="258"/>
      <c r="AA2961" s="258"/>
      <c r="AB2961" s="258"/>
      <c r="AC2961" s="407"/>
    </row>
    <row r="2962" spans="2:29" s="406" customFormat="1" ht="16.5" customHeight="1">
      <c r="B2962" s="256"/>
      <c r="C2962" s="256"/>
      <c r="D2962" s="414"/>
      <c r="E2962" s="414"/>
      <c r="F2962" s="414"/>
      <c r="G2962" s="253"/>
      <c r="H2962" s="253"/>
      <c r="I2962" s="253"/>
      <c r="J2962" s="253"/>
      <c r="K2962" s="253"/>
      <c r="L2962" s="253"/>
      <c r="M2962" s="253"/>
      <c r="N2962" s="253"/>
      <c r="O2962" s="258"/>
      <c r="P2962" s="258"/>
      <c r="Q2962" s="258"/>
      <c r="R2962" s="258"/>
      <c r="S2962" s="258"/>
      <c r="T2962" s="258"/>
      <c r="U2962" s="258"/>
      <c r="V2962" s="258"/>
      <c r="W2962" s="258"/>
      <c r="X2962" s="258"/>
      <c r="Y2962" s="258"/>
      <c r="Z2962" s="258"/>
      <c r="AA2962" s="258"/>
      <c r="AB2962" s="258"/>
      <c r="AC2962" s="407"/>
    </row>
    <row r="2963" spans="2:29" s="406" customFormat="1" ht="16.5" customHeight="1">
      <c r="B2963" s="256"/>
      <c r="C2963" s="256"/>
      <c r="D2963" s="414"/>
      <c r="E2963" s="414"/>
      <c r="F2963" s="414"/>
      <c r="G2963" s="253"/>
      <c r="H2963" s="253"/>
      <c r="I2963" s="253"/>
      <c r="J2963" s="253"/>
      <c r="K2963" s="253"/>
      <c r="L2963" s="253"/>
      <c r="M2963" s="253"/>
      <c r="N2963" s="253"/>
      <c r="O2963" s="258"/>
      <c r="P2963" s="258"/>
      <c r="Q2963" s="258"/>
      <c r="R2963" s="258"/>
      <c r="S2963" s="258"/>
      <c r="T2963" s="258"/>
      <c r="U2963" s="258"/>
      <c r="V2963" s="258"/>
      <c r="W2963" s="258"/>
      <c r="X2963" s="258"/>
      <c r="Y2963" s="258"/>
      <c r="Z2963" s="258"/>
      <c r="AA2963" s="258"/>
      <c r="AB2963" s="258"/>
      <c r="AC2963" s="407"/>
    </row>
    <row r="2964" spans="2:29" s="406" customFormat="1" ht="16.5" customHeight="1">
      <c r="B2964" s="256"/>
      <c r="C2964" s="256"/>
      <c r="D2964" s="414"/>
      <c r="E2964" s="414"/>
      <c r="F2964" s="414"/>
      <c r="G2964" s="253"/>
      <c r="H2964" s="253"/>
      <c r="I2964" s="253"/>
      <c r="J2964" s="253"/>
      <c r="K2964" s="253"/>
      <c r="L2964" s="253"/>
      <c r="M2964" s="253"/>
      <c r="N2964" s="253"/>
      <c r="O2964" s="258"/>
      <c r="P2964" s="258"/>
      <c r="Q2964" s="258"/>
      <c r="R2964" s="258"/>
      <c r="S2964" s="258"/>
      <c r="T2964" s="258"/>
      <c r="U2964" s="258"/>
      <c r="V2964" s="258"/>
      <c r="W2964" s="258"/>
      <c r="X2964" s="258"/>
      <c r="Y2964" s="258"/>
      <c r="Z2964" s="258"/>
      <c r="AA2964" s="258"/>
      <c r="AB2964" s="258"/>
      <c r="AC2964" s="407"/>
    </row>
    <row r="2965" spans="2:29" s="406" customFormat="1" ht="16.5" customHeight="1">
      <c r="B2965" s="256"/>
      <c r="C2965" s="256"/>
      <c r="D2965" s="414"/>
      <c r="E2965" s="414"/>
      <c r="F2965" s="414"/>
      <c r="G2965" s="253"/>
      <c r="H2965" s="253"/>
      <c r="I2965" s="253"/>
      <c r="J2965" s="253"/>
      <c r="K2965" s="253"/>
      <c r="L2965" s="253"/>
      <c r="M2965" s="253"/>
      <c r="N2965" s="253"/>
      <c r="O2965" s="258"/>
      <c r="P2965" s="258"/>
      <c r="Q2965" s="258"/>
      <c r="R2965" s="258"/>
      <c r="S2965" s="258"/>
      <c r="T2965" s="258"/>
      <c r="U2965" s="258"/>
      <c r="V2965" s="258"/>
      <c r="W2965" s="258"/>
      <c r="X2965" s="258"/>
      <c r="Y2965" s="258"/>
      <c r="Z2965" s="258"/>
      <c r="AA2965" s="258"/>
      <c r="AB2965" s="258"/>
      <c r="AC2965" s="407"/>
    </row>
    <row r="2966" spans="2:29" s="406" customFormat="1" ht="16.5" customHeight="1">
      <c r="B2966" s="256"/>
      <c r="C2966" s="256"/>
      <c r="D2966" s="414"/>
      <c r="E2966" s="414"/>
      <c r="F2966" s="414"/>
      <c r="G2966" s="253"/>
      <c r="H2966" s="253"/>
      <c r="I2966" s="253"/>
      <c r="J2966" s="253"/>
      <c r="K2966" s="253"/>
      <c r="L2966" s="253"/>
      <c r="M2966" s="253"/>
      <c r="N2966" s="253"/>
      <c r="O2966" s="258"/>
      <c r="P2966" s="258"/>
      <c r="Q2966" s="258"/>
      <c r="R2966" s="258"/>
      <c r="S2966" s="258"/>
      <c r="T2966" s="258"/>
      <c r="U2966" s="258"/>
      <c r="V2966" s="258"/>
      <c r="W2966" s="258"/>
      <c r="X2966" s="258"/>
      <c r="Y2966" s="258"/>
      <c r="Z2966" s="258"/>
      <c r="AA2966" s="258"/>
      <c r="AB2966" s="258"/>
      <c r="AC2966" s="407"/>
    </row>
    <row r="2967" spans="2:29" s="406" customFormat="1" ht="16.5" customHeight="1">
      <c r="B2967" s="256"/>
      <c r="C2967" s="256"/>
      <c r="D2967" s="414"/>
      <c r="E2967" s="414"/>
      <c r="F2967" s="414"/>
      <c r="G2967" s="253"/>
      <c r="H2967" s="253"/>
      <c r="I2967" s="253"/>
      <c r="J2967" s="253"/>
      <c r="K2967" s="253"/>
      <c r="L2967" s="253"/>
      <c r="M2967" s="253"/>
      <c r="N2967" s="253"/>
      <c r="O2967" s="258"/>
      <c r="P2967" s="258"/>
      <c r="Q2967" s="258"/>
      <c r="R2967" s="258"/>
      <c r="S2967" s="258"/>
      <c r="T2967" s="258"/>
      <c r="U2967" s="258"/>
      <c r="V2967" s="258"/>
      <c r="W2967" s="258"/>
      <c r="X2967" s="258"/>
      <c r="Y2967" s="258"/>
      <c r="Z2967" s="258"/>
      <c r="AA2967" s="258"/>
      <c r="AB2967" s="258"/>
      <c r="AC2967" s="407"/>
    </row>
    <row r="2968" spans="2:29" s="406" customFormat="1" ht="16.5" customHeight="1">
      <c r="B2968" s="256"/>
      <c r="C2968" s="256"/>
      <c r="D2968" s="414"/>
      <c r="E2968" s="414"/>
      <c r="F2968" s="414"/>
      <c r="G2968" s="253"/>
      <c r="H2968" s="253"/>
      <c r="I2968" s="253"/>
      <c r="J2968" s="253"/>
      <c r="K2968" s="253"/>
      <c r="L2968" s="253"/>
      <c r="M2968" s="253"/>
      <c r="N2968" s="253"/>
      <c r="O2968" s="258"/>
      <c r="P2968" s="258"/>
      <c r="Q2968" s="258"/>
      <c r="R2968" s="258"/>
      <c r="S2968" s="258"/>
      <c r="T2968" s="258"/>
      <c r="U2968" s="258"/>
      <c r="V2968" s="258"/>
      <c r="W2968" s="258"/>
      <c r="X2968" s="258"/>
      <c r="Y2968" s="258"/>
      <c r="Z2968" s="258"/>
      <c r="AA2968" s="258"/>
      <c r="AB2968" s="258"/>
      <c r="AC2968" s="407"/>
    </row>
    <row r="2969" spans="2:29" s="406" customFormat="1" ht="16.5" customHeight="1">
      <c r="B2969" s="256"/>
      <c r="C2969" s="256"/>
      <c r="D2969" s="414"/>
      <c r="E2969" s="414"/>
      <c r="F2969" s="414"/>
      <c r="G2969" s="253"/>
      <c r="H2969" s="253"/>
      <c r="I2969" s="253"/>
      <c r="J2969" s="253"/>
      <c r="K2969" s="253"/>
      <c r="L2969" s="253"/>
      <c r="M2969" s="253"/>
      <c r="N2969" s="253"/>
      <c r="O2969" s="258"/>
      <c r="P2969" s="258"/>
      <c r="Q2969" s="258"/>
      <c r="R2969" s="258"/>
      <c r="S2969" s="258"/>
      <c r="T2969" s="258"/>
      <c r="U2969" s="258"/>
      <c r="V2969" s="258"/>
      <c r="W2969" s="258"/>
      <c r="X2969" s="258"/>
      <c r="Y2969" s="258"/>
      <c r="Z2969" s="258"/>
      <c r="AA2969" s="258"/>
      <c r="AB2969" s="258"/>
      <c r="AC2969" s="407"/>
    </row>
    <row r="2970" spans="2:29" s="406" customFormat="1" ht="16.5" customHeight="1">
      <c r="B2970" s="256"/>
      <c r="C2970" s="256"/>
      <c r="D2970" s="414"/>
      <c r="E2970" s="414"/>
      <c r="F2970" s="414"/>
      <c r="G2970" s="253"/>
      <c r="H2970" s="253"/>
      <c r="I2970" s="253"/>
      <c r="J2970" s="253"/>
      <c r="K2970" s="253"/>
      <c r="L2970" s="253"/>
      <c r="M2970" s="253"/>
      <c r="N2970" s="253"/>
      <c r="O2970" s="258"/>
      <c r="P2970" s="258"/>
      <c r="Q2970" s="258"/>
      <c r="R2970" s="258"/>
      <c r="S2970" s="258"/>
      <c r="T2970" s="258"/>
      <c r="U2970" s="258"/>
      <c r="V2970" s="258"/>
      <c r="W2970" s="258"/>
      <c r="X2970" s="258"/>
      <c r="Y2970" s="258"/>
      <c r="Z2970" s="258"/>
      <c r="AA2970" s="258"/>
      <c r="AB2970" s="258"/>
      <c r="AC2970" s="407"/>
    </row>
    <row r="2971" spans="2:29" s="406" customFormat="1" ht="16.5" customHeight="1">
      <c r="B2971" s="256"/>
      <c r="C2971" s="256"/>
      <c r="D2971" s="414"/>
      <c r="E2971" s="414"/>
      <c r="F2971" s="414"/>
      <c r="G2971" s="253"/>
      <c r="H2971" s="253"/>
      <c r="I2971" s="253"/>
      <c r="J2971" s="253"/>
      <c r="K2971" s="253"/>
      <c r="L2971" s="253"/>
      <c r="M2971" s="253"/>
      <c r="N2971" s="253"/>
      <c r="O2971" s="258"/>
      <c r="P2971" s="258"/>
      <c r="Q2971" s="258"/>
      <c r="R2971" s="258"/>
      <c r="S2971" s="258"/>
      <c r="T2971" s="258"/>
      <c r="U2971" s="258"/>
      <c r="V2971" s="258"/>
      <c r="W2971" s="258"/>
      <c r="X2971" s="258"/>
      <c r="Y2971" s="258"/>
      <c r="Z2971" s="258"/>
      <c r="AA2971" s="258"/>
      <c r="AB2971" s="258"/>
      <c r="AC2971" s="407"/>
    </row>
    <row r="2972" spans="2:29" s="406" customFormat="1" ht="16.5" customHeight="1">
      <c r="B2972" s="256"/>
      <c r="C2972" s="256"/>
      <c r="D2972" s="414"/>
      <c r="E2972" s="414"/>
      <c r="F2972" s="414"/>
      <c r="G2972" s="253"/>
      <c r="H2972" s="253"/>
      <c r="I2972" s="253"/>
      <c r="J2972" s="253"/>
      <c r="K2972" s="253"/>
      <c r="L2972" s="253"/>
      <c r="M2972" s="253"/>
      <c r="N2972" s="253"/>
      <c r="O2972" s="258"/>
      <c r="P2972" s="258"/>
      <c r="Q2972" s="258"/>
      <c r="R2972" s="258"/>
      <c r="S2972" s="258"/>
      <c r="T2972" s="258"/>
      <c r="U2972" s="258"/>
      <c r="V2972" s="258"/>
      <c r="W2972" s="258"/>
      <c r="X2972" s="258"/>
      <c r="Y2972" s="258"/>
      <c r="Z2972" s="258"/>
      <c r="AA2972" s="258"/>
      <c r="AB2972" s="258"/>
      <c r="AC2972" s="407"/>
    </row>
    <row r="2973" spans="2:29" s="406" customFormat="1" ht="16.5" customHeight="1">
      <c r="B2973" s="256"/>
      <c r="C2973" s="256"/>
      <c r="D2973" s="414"/>
      <c r="E2973" s="414"/>
      <c r="F2973" s="414"/>
      <c r="G2973" s="253"/>
      <c r="H2973" s="253"/>
      <c r="I2973" s="253"/>
      <c r="J2973" s="253"/>
      <c r="K2973" s="253"/>
      <c r="L2973" s="253"/>
      <c r="M2973" s="253"/>
      <c r="N2973" s="253"/>
      <c r="O2973" s="258"/>
      <c r="P2973" s="258"/>
      <c r="Q2973" s="258"/>
      <c r="R2973" s="258"/>
      <c r="S2973" s="258"/>
      <c r="T2973" s="258"/>
      <c r="U2973" s="258"/>
      <c r="V2973" s="258"/>
      <c r="W2973" s="258"/>
      <c r="X2973" s="258"/>
      <c r="Y2973" s="258"/>
      <c r="Z2973" s="258"/>
      <c r="AA2973" s="258"/>
      <c r="AB2973" s="258"/>
      <c r="AC2973" s="407"/>
    </row>
    <row r="2974" spans="2:29" s="406" customFormat="1" ht="16.5" customHeight="1">
      <c r="B2974" s="256"/>
      <c r="C2974" s="256"/>
      <c r="D2974" s="414"/>
      <c r="E2974" s="414"/>
      <c r="F2974" s="414"/>
      <c r="G2974" s="253"/>
      <c r="H2974" s="253"/>
      <c r="I2974" s="253"/>
      <c r="J2974" s="253"/>
      <c r="K2974" s="253"/>
      <c r="L2974" s="253"/>
      <c r="M2974" s="253"/>
      <c r="N2974" s="253"/>
      <c r="O2974" s="258"/>
      <c r="P2974" s="258"/>
      <c r="Q2974" s="258"/>
      <c r="R2974" s="258"/>
      <c r="S2974" s="258"/>
      <c r="T2974" s="258"/>
      <c r="U2974" s="258"/>
      <c r="V2974" s="258"/>
      <c r="W2974" s="258"/>
      <c r="X2974" s="258"/>
      <c r="Y2974" s="258"/>
      <c r="Z2974" s="258"/>
      <c r="AA2974" s="258"/>
      <c r="AB2974" s="258"/>
      <c r="AC2974" s="407"/>
    </row>
    <row r="2975" spans="2:29" s="406" customFormat="1" ht="16.5" customHeight="1">
      <c r="B2975" s="256"/>
      <c r="C2975" s="256"/>
      <c r="D2975" s="414"/>
      <c r="E2975" s="414"/>
      <c r="F2975" s="414"/>
      <c r="G2975" s="253"/>
      <c r="H2975" s="253"/>
      <c r="I2975" s="253"/>
      <c r="J2975" s="253"/>
      <c r="K2975" s="253"/>
      <c r="L2975" s="253"/>
      <c r="M2975" s="253"/>
      <c r="N2975" s="253"/>
      <c r="O2975" s="258"/>
      <c r="P2975" s="258"/>
      <c r="Q2975" s="258"/>
      <c r="R2975" s="258"/>
      <c r="S2975" s="258"/>
      <c r="T2975" s="258"/>
      <c r="U2975" s="258"/>
      <c r="V2975" s="258"/>
      <c r="W2975" s="258"/>
      <c r="X2975" s="258"/>
      <c r="Y2975" s="258"/>
      <c r="Z2975" s="258"/>
      <c r="AA2975" s="258"/>
      <c r="AB2975" s="258"/>
      <c r="AC2975" s="407"/>
    </row>
    <row r="2976" spans="2:29" s="406" customFormat="1" ht="16.5" customHeight="1">
      <c r="B2976" s="256"/>
      <c r="C2976" s="256"/>
      <c r="D2976" s="414"/>
      <c r="E2976" s="414"/>
      <c r="F2976" s="414"/>
      <c r="G2976" s="253"/>
      <c r="H2976" s="253"/>
      <c r="I2976" s="253"/>
      <c r="J2976" s="253"/>
      <c r="K2976" s="253"/>
      <c r="L2976" s="253"/>
      <c r="M2976" s="253"/>
      <c r="N2976" s="253"/>
      <c r="O2976" s="258"/>
      <c r="P2976" s="258"/>
      <c r="Q2976" s="258"/>
      <c r="R2976" s="258"/>
      <c r="S2976" s="258"/>
      <c r="T2976" s="258"/>
      <c r="U2976" s="258"/>
      <c r="V2976" s="258"/>
      <c r="W2976" s="258"/>
      <c r="X2976" s="258"/>
      <c r="Y2976" s="258"/>
      <c r="Z2976" s="258"/>
      <c r="AA2976" s="258"/>
      <c r="AB2976" s="258"/>
      <c r="AC2976" s="407"/>
    </row>
    <row r="2977" spans="2:29" s="406" customFormat="1" ht="16.5" customHeight="1">
      <c r="B2977" s="256"/>
      <c r="C2977" s="256"/>
      <c r="D2977" s="414"/>
      <c r="E2977" s="414"/>
      <c r="F2977" s="414"/>
      <c r="G2977" s="253"/>
      <c r="H2977" s="253"/>
      <c r="I2977" s="253"/>
      <c r="J2977" s="253"/>
      <c r="K2977" s="253"/>
      <c r="L2977" s="253"/>
      <c r="M2977" s="253"/>
      <c r="N2977" s="253"/>
      <c r="O2977" s="258"/>
      <c r="P2977" s="258"/>
      <c r="Q2977" s="258"/>
      <c r="R2977" s="258"/>
      <c r="S2977" s="258"/>
      <c r="T2977" s="258"/>
      <c r="U2977" s="258"/>
      <c r="V2977" s="258"/>
      <c r="W2977" s="258"/>
      <c r="X2977" s="258"/>
      <c r="Y2977" s="258"/>
      <c r="Z2977" s="258"/>
      <c r="AA2977" s="258"/>
      <c r="AB2977" s="258"/>
      <c r="AC2977" s="407"/>
    </row>
    <row r="2978" spans="2:29" s="406" customFormat="1" ht="16.5" customHeight="1">
      <c r="B2978" s="256"/>
      <c r="C2978" s="256"/>
      <c r="D2978" s="414"/>
      <c r="E2978" s="414"/>
      <c r="F2978" s="414"/>
      <c r="G2978" s="253"/>
      <c r="H2978" s="253"/>
      <c r="I2978" s="253"/>
      <c r="J2978" s="253"/>
      <c r="K2978" s="253"/>
      <c r="L2978" s="253"/>
      <c r="M2978" s="253"/>
      <c r="N2978" s="253"/>
      <c r="O2978" s="258"/>
      <c r="P2978" s="258"/>
      <c r="Q2978" s="258"/>
      <c r="R2978" s="258"/>
      <c r="S2978" s="258"/>
      <c r="T2978" s="258"/>
      <c r="U2978" s="258"/>
      <c r="V2978" s="258"/>
      <c r="W2978" s="258"/>
      <c r="X2978" s="258"/>
      <c r="Y2978" s="258"/>
      <c r="Z2978" s="258"/>
      <c r="AA2978" s="258"/>
      <c r="AB2978" s="258"/>
      <c r="AC2978" s="407"/>
    </row>
    <row r="2979" spans="2:29" s="406" customFormat="1" ht="16.5" customHeight="1">
      <c r="B2979" s="256"/>
      <c r="C2979" s="256"/>
      <c r="D2979" s="414"/>
      <c r="E2979" s="414"/>
      <c r="F2979" s="414"/>
      <c r="G2979" s="253"/>
      <c r="H2979" s="253"/>
      <c r="I2979" s="253"/>
      <c r="J2979" s="253"/>
      <c r="K2979" s="253"/>
      <c r="L2979" s="253"/>
      <c r="M2979" s="253"/>
      <c r="N2979" s="253"/>
      <c r="O2979" s="258"/>
      <c r="P2979" s="258"/>
      <c r="Q2979" s="258"/>
      <c r="R2979" s="258"/>
      <c r="S2979" s="258"/>
      <c r="T2979" s="258"/>
      <c r="U2979" s="258"/>
      <c r="V2979" s="258"/>
      <c r="W2979" s="258"/>
      <c r="X2979" s="258"/>
      <c r="Y2979" s="258"/>
      <c r="Z2979" s="258"/>
      <c r="AA2979" s="258"/>
      <c r="AB2979" s="258"/>
      <c r="AC2979" s="407"/>
    </row>
    <row r="2980" spans="2:29" s="406" customFormat="1" ht="16.5" customHeight="1">
      <c r="B2980" s="256"/>
      <c r="C2980" s="256"/>
      <c r="D2980" s="414"/>
      <c r="E2980" s="414"/>
      <c r="F2980" s="414"/>
      <c r="G2980" s="253"/>
      <c r="H2980" s="253"/>
      <c r="I2980" s="253"/>
      <c r="J2980" s="253"/>
      <c r="K2980" s="253"/>
      <c r="L2980" s="253"/>
      <c r="M2980" s="253"/>
      <c r="N2980" s="253"/>
      <c r="O2980" s="258"/>
      <c r="P2980" s="258"/>
      <c r="Q2980" s="258"/>
      <c r="R2980" s="258"/>
      <c r="S2980" s="258"/>
      <c r="T2980" s="258"/>
      <c r="U2980" s="258"/>
      <c r="V2980" s="258"/>
      <c r="W2980" s="258"/>
      <c r="X2980" s="258"/>
      <c r="Y2980" s="258"/>
      <c r="Z2980" s="258"/>
      <c r="AA2980" s="258"/>
      <c r="AB2980" s="258"/>
      <c r="AC2980" s="407"/>
    </row>
    <row r="2981" spans="2:29" s="406" customFormat="1" ht="16.5" customHeight="1">
      <c r="B2981" s="256"/>
      <c r="C2981" s="256"/>
      <c r="D2981" s="414"/>
      <c r="E2981" s="414"/>
      <c r="F2981" s="414"/>
      <c r="G2981" s="253"/>
      <c r="H2981" s="253"/>
      <c r="I2981" s="253"/>
      <c r="J2981" s="253"/>
      <c r="K2981" s="253"/>
      <c r="L2981" s="253"/>
      <c r="M2981" s="253"/>
      <c r="N2981" s="253"/>
      <c r="O2981" s="258"/>
      <c r="P2981" s="258"/>
      <c r="Q2981" s="258"/>
      <c r="R2981" s="258"/>
      <c r="S2981" s="258"/>
      <c r="T2981" s="258"/>
      <c r="U2981" s="258"/>
      <c r="V2981" s="258"/>
      <c r="W2981" s="258"/>
      <c r="X2981" s="258"/>
      <c r="Y2981" s="258"/>
      <c r="Z2981" s="258"/>
      <c r="AA2981" s="258"/>
      <c r="AB2981" s="258"/>
      <c r="AC2981" s="407"/>
    </row>
    <row r="2982" spans="2:29" s="406" customFormat="1" ht="16.5" customHeight="1">
      <c r="B2982" s="256"/>
      <c r="C2982" s="256"/>
      <c r="D2982" s="414"/>
      <c r="E2982" s="414"/>
      <c r="F2982" s="414"/>
      <c r="G2982" s="253"/>
      <c r="H2982" s="253"/>
      <c r="I2982" s="253"/>
      <c r="J2982" s="253"/>
      <c r="K2982" s="253"/>
      <c r="L2982" s="253"/>
      <c r="M2982" s="253"/>
      <c r="N2982" s="253"/>
      <c r="O2982" s="258"/>
      <c r="P2982" s="258"/>
      <c r="Q2982" s="258"/>
      <c r="R2982" s="258"/>
      <c r="S2982" s="258"/>
      <c r="T2982" s="258"/>
      <c r="U2982" s="258"/>
      <c r="V2982" s="258"/>
      <c r="W2982" s="258"/>
      <c r="X2982" s="258"/>
      <c r="Y2982" s="258"/>
      <c r="Z2982" s="258"/>
      <c r="AA2982" s="258"/>
      <c r="AB2982" s="258"/>
      <c r="AC2982" s="407"/>
    </row>
    <row r="2983" spans="2:29" s="406" customFormat="1" ht="16.5" customHeight="1">
      <c r="B2983" s="256"/>
      <c r="C2983" s="256"/>
      <c r="D2983" s="414"/>
      <c r="E2983" s="414"/>
      <c r="F2983" s="414"/>
      <c r="G2983" s="253"/>
      <c r="H2983" s="253"/>
      <c r="I2983" s="253"/>
      <c r="J2983" s="253"/>
      <c r="K2983" s="253"/>
      <c r="L2983" s="253"/>
      <c r="M2983" s="253"/>
      <c r="N2983" s="253"/>
      <c r="O2983" s="258"/>
      <c r="P2983" s="258"/>
      <c r="Q2983" s="258"/>
      <c r="R2983" s="258"/>
      <c r="S2983" s="258"/>
      <c r="T2983" s="258"/>
      <c r="U2983" s="258"/>
      <c r="V2983" s="258"/>
      <c r="W2983" s="258"/>
      <c r="X2983" s="258"/>
      <c r="Y2983" s="258"/>
      <c r="Z2983" s="258"/>
      <c r="AA2983" s="258"/>
      <c r="AB2983" s="258"/>
      <c r="AC2983" s="407"/>
    </row>
    <row r="2984" spans="2:29" s="406" customFormat="1" ht="16.5" customHeight="1">
      <c r="B2984" s="256"/>
      <c r="C2984" s="256"/>
      <c r="D2984" s="414"/>
      <c r="E2984" s="414"/>
      <c r="F2984" s="414"/>
      <c r="G2984" s="253"/>
      <c r="H2984" s="253"/>
      <c r="I2984" s="253"/>
      <c r="J2984" s="253"/>
      <c r="K2984" s="253"/>
      <c r="L2984" s="253"/>
      <c r="M2984" s="253"/>
      <c r="N2984" s="253"/>
      <c r="O2984" s="258"/>
      <c r="P2984" s="258"/>
      <c r="Q2984" s="258"/>
      <c r="R2984" s="258"/>
      <c r="S2984" s="258"/>
      <c r="T2984" s="258"/>
      <c r="U2984" s="258"/>
      <c r="V2984" s="258"/>
      <c r="W2984" s="258"/>
      <c r="X2984" s="258"/>
      <c r="Y2984" s="258"/>
      <c r="Z2984" s="258"/>
      <c r="AA2984" s="258"/>
      <c r="AB2984" s="258"/>
      <c r="AC2984" s="407"/>
    </row>
    <row r="2985" spans="2:29" s="406" customFormat="1" ht="16.5" customHeight="1">
      <c r="B2985" s="256"/>
      <c r="C2985" s="256"/>
      <c r="D2985" s="414"/>
      <c r="E2985" s="414"/>
      <c r="F2985" s="414"/>
      <c r="G2985" s="253"/>
      <c r="H2985" s="253"/>
      <c r="I2985" s="253"/>
      <c r="J2985" s="253"/>
      <c r="K2985" s="253"/>
      <c r="L2985" s="253"/>
      <c r="M2985" s="253"/>
      <c r="N2985" s="253"/>
      <c r="O2985" s="258"/>
      <c r="P2985" s="258"/>
      <c r="Q2985" s="258"/>
      <c r="R2985" s="258"/>
      <c r="S2985" s="258"/>
      <c r="T2985" s="258"/>
      <c r="U2985" s="258"/>
      <c r="V2985" s="258"/>
      <c r="W2985" s="258"/>
      <c r="X2985" s="258"/>
      <c r="Y2985" s="258"/>
      <c r="Z2985" s="258"/>
      <c r="AA2985" s="258"/>
      <c r="AB2985" s="258"/>
      <c r="AC2985" s="407"/>
    </row>
    <row r="2986" spans="2:29" s="406" customFormat="1" ht="16.5" customHeight="1">
      <c r="B2986" s="256"/>
      <c r="C2986" s="256"/>
      <c r="D2986" s="414"/>
      <c r="E2986" s="414"/>
      <c r="F2986" s="414"/>
      <c r="G2986" s="253"/>
      <c r="H2986" s="253"/>
      <c r="I2986" s="253"/>
      <c r="J2986" s="253"/>
      <c r="K2986" s="253"/>
      <c r="L2986" s="253"/>
      <c r="M2986" s="253"/>
      <c r="N2986" s="253"/>
      <c r="O2986" s="258"/>
      <c r="P2986" s="258"/>
      <c r="Q2986" s="258"/>
      <c r="R2986" s="258"/>
      <c r="S2986" s="258"/>
      <c r="T2986" s="258"/>
      <c r="U2986" s="258"/>
      <c r="V2986" s="258"/>
      <c r="W2986" s="258"/>
      <c r="X2986" s="258"/>
      <c r="Y2986" s="258"/>
      <c r="Z2986" s="258"/>
      <c r="AA2986" s="258"/>
      <c r="AB2986" s="258"/>
      <c r="AC2986" s="407"/>
    </row>
    <row r="2987" spans="2:29" s="406" customFormat="1" ht="16.5" customHeight="1">
      <c r="B2987" s="256"/>
      <c r="C2987" s="256"/>
      <c r="D2987" s="414"/>
      <c r="E2987" s="414"/>
      <c r="F2987" s="414"/>
      <c r="G2987" s="253"/>
      <c r="H2987" s="253"/>
      <c r="I2987" s="253"/>
      <c r="J2987" s="253"/>
      <c r="K2987" s="253"/>
      <c r="L2987" s="253"/>
      <c r="M2987" s="253"/>
      <c r="N2987" s="253"/>
      <c r="O2987" s="258"/>
      <c r="P2987" s="258"/>
      <c r="Q2987" s="258"/>
      <c r="R2987" s="258"/>
      <c r="S2987" s="258"/>
      <c r="T2987" s="258"/>
      <c r="U2987" s="258"/>
      <c r="V2987" s="258"/>
      <c r="W2987" s="258"/>
      <c r="X2987" s="258"/>
      <c r="Y2987" s="258"/>
      <c r="Z2987" s="258"/>
      <c r="AA2987" s="258"/>
      <c r="AB2987" s="258"/>
      <c r="AC2987" s="407"/>
    </row>
    <row r="2988" spans="2:29" s="406" customFormat="1" ht="16.5" customHeight="1">
      <c r="B2988" s="256"/>
      <c r="C2988" s="256"/>
      <c r="D2988" s="414"/>
      <c r="E2988" s="414"/>
      <c r="F2988" s="414"/>
      <c r="G2988" s="253"/>
      <c r="H2988" s="253"/>
      <c r="I2988" s="253"/>
      <c r="J2988" s="253"/>
      <c r="K2988" s="253"/>
      <c r="L2988" s="253"/>
      <c r="M2988" s="253"/>
      <c r="N2988" s="253"/>
      <c r="O2988" s="258"/>
      <c r="P2988" s="258"/>
      <c r="Q2988" s="258"/>
      <c r="R2988" s="258"/>
      <c r="S2988" s="258"/>
      <c r="T2988" s="258"/>
      <c r="U2988" s="258"/>
      <c r="V2988" s="258"/>
      <c r="W2988" s="258"/>
      <c r="X2988" s="258"/>
      <c r="Y2988" s="258"/>
      <c r="Z2988" s="258"/>
      <c r="AA2988" s="258"/>
      <c r="AB2988" s="258"/>
      <c r="AC2988" s="407"/>
    </row>
    <row r="2989" spans="2:29" s="406" customFormat="1" ht="16.5" customHeight="1">
      <c r="B2989" s="256"/>
      <c r="C2989" s="256"/>
      <c r="D2989" s="414"/>
      <c r="E2989" s="414"/>
      <c r="F2989" s="414"/>
      <c r="G2989" s="253"/>
      <c r="H2989" s="253"/>
      <c r="I2989" s="253"/>
      <c r="J2989" s="253"/>
      <c r="K2989" s="253"/>
      <c r="L2989" s="253"/>
      <c r="M2989" s="253"/>
      <c r="N2989" s="253"/>
      <c r="O2989" s="258"/>
      <c r="P2989" s="258"/>
      <c r="Q2989" s="258"/>
      <c r="R2989" s="258"/>
      <c r="S2989" s="258"/>
      <c r="T2989" s="258"/>
      <c r="U2989" s="258"/>
      <c r="V2989" s="258"/>
      <c r="W2989" s="258"/>
      <c r="X2989" s="258"/>
      <c r="Y2989" s="258"/>
      <c r="Z2989" s="258"/>
      <c r="AA2989" s="258"/>
      <c r="AB2989" s="258"/>
      <c r="AC2989" s="407"/>
    </row>
    <row r="2990" spans="2:29" s="406" customFormat="1" ht="16.5" customHeight="1">
      <c r="B2990" s="256"/>
      <c r="C2990" s="256"/>
      <c r="D2990" s="414"/>
      <c r="E2990" s="414"/>
      <c r="F2990" s="414"/>
      <c r="G2990" s="253"/>
      <c r="H2990" s="253"/>
      <c r="I2990" s="253"/>
      <c r="J2990" s="253"/>
      <c r="K2990" s="253"/>
      <c r="L2990" s="253"/>
      <c r="M2990" s="253"/>
      <c r="N2990" s="253"/>
      <c r="O2990" s="258"/>
      <c r="P2990" s="258"/>
      <c r="Q2990" s="258"/>
      <c r="R2990" s="258"/>
      <c r="S2990" s="258"/>
      <c r="T2990" s="258"/>
      <c r="U2990" s="258"/>
      <c r="V2990" s="258"/>
      <c r="W2990" s="258"/>
      <c r="X2990" s="258"/>
      <c r="Y2990" s="258"/>
      <c r="Z2990" s="258"/>
      <c r="AA2990" s="258"/>
      <c r="AB2990" s="258"/>
      <c r="AC2990" s="407"/>
    </row>
    <row r="2991" spans="2:29" s="406" customFormat="1" ht="16.5" customHeight="1">
      <c r="B2991" s="256"/>
      <c r="C2991" s="256"/>
      <c r="D2991" s="414"/>
      <c r="E2991" s="414"/>
      <c r="F2991" s="414"/>
      <c r="G2991" s="253"/>
      <c r="H2991" s="253"/>
      <c r="I2991" s="253"/>
      <c r="J2991" s="253"/>
      <c r="K2991" s="253"/>
      <c r="L2991" s="253"/>
      <c r="M2991" s="253"/>
      <c r="N2991" s="253"/>
      <c r="O2991" s="258"/>
      <c r="P2991" s="258"/>
      <c r="Q2991" s="258"/>
      <c r="R2991" s="258"/>
      <c r="S2991" s="258"/>
      <c r="T2991" s="258"/>
      <c r="U2991" s="258"/>
      <c r="V2991" s="258"/>
      <c r="W2991" s="258"/>
      <c r="X2991" s="258"/>
      <c r="Y2991" s="258"/>
      <c r="Z2991" s="258"/>
      <c r="AA2991" s="258"/>
      <c r="AB2991" s="258"/>
      <c r="AC2991" s="407"/>
    </row>
    <row r="2992" spans="2:29" s="406" customFormat="1" ht="16.5" customHeight="1">
      <c r="B2992" s="256"/>
      <c r="C2992" s="256"/>
      <c r="D2992" s="414"/>
      <c r="E2992" s="414"/>
      <c r="F2992" s="414"/>
      <c r="G2992" s="253"/>
      <c r="H2992" s="253"/>
      <c r="I2992" s="253"/>
      <c r="J2992" s="253"/>
      <c r="K2992" s="253"/>
      <c r="L2992" s="253"/>
      <c r="M2992" s="253"/>
      <c r="N2992" s="253"/>
      <c r="O2992" s="258"/>
      <c r="P2992" s="258"/>
      <c r="Q2992" s="258"/>
      <c r="R2992" s="258"/>
      <c r="S2992" s="258"/>
      <c r="T2992" s="258"/>
      <c r="U2992" s="258"/>
      <c r="V2992" s="258"/>
      <c r="W2992" s="258"/>
      <c r="X2992" s="258"/>
      <c r="Y2992" s="258"/>
      <c r="Z2992" s="258"/>
      <c r="AA2992" s="258"/>
      <c r="AB2992" s="258"/>
      <c r="AC2992" s="407"/>
    </row>
    <row r="2993" spans="2:29" s="406" customFormat="1" ht="16.5" customHeight="1">
      <c r="B2993" s="256"/>
      <c r="C2993" s="256"/>
      <c r="D2993" s="414"/>
      <c r="E2993" s="414"/>
      <c r="F2993" s="414"/>
      <c r="G2993" s="253"/>
      <c r="H2993" s="253"/>
      <c r="I2993" s="253"/>
      <c r="J2993" s="253"/>
      <c r="K2993" s="253"/>
      <c r="L2993" s="253"/>
      <c r="M2993" s="253"/>
      <c r="N2993" s="253"/>
      <c r="O2993" s="258"/>
      <c r="P2993" s="258"/>
      <c r="Q2993" s="258"/>
      <c r="R2993" s="258"/>
      <c r="S2993" s="258"/>
      <c r="T2993" s="258"/>
      <c r="U2993" s="258"/>
      <c r="V2993" s="258"/>
      <c r="W2993" s="258"/>
      <c r="X2993" s="258"/>
      <c r="Y2993" s="258"/>
      <c r="Z2993" s="258"/>
      <c r="AA2993" s="258"/>
      <c r="AB2993" s="258"/>
      <c r="AC2993" s="407"/>
    </row>
    <row r="2994" spans="2:29" s="406" customFormat="1" ht="16.5" customHeight="1">
      <c r="B2994" s="256"/>
      <c r="C2994" s="256"/>
      <c r="D2994" s="414"/>
      <c r="E2994" s="414"/>
      <c r="F2994" s="414"/>
      <c r="G2994" s="253"/>
      <c r="H2994" s="253"/>
      <c r="I2994" s="253"/>
      <c r="J2994" s="253"/>
      <c r="K2994" s="253"/>
      <c r="L2994" s="253"/>
      <c r="M2994" s="253"/>
      <c r="N2994" s="253"/>
      <c r="O2994" s="258"/>
      <c r="P2994" s="258"/>
      <c r="Q2994" s="258"/>
      <c r="R2994" s="258"/>
      <c r="S2994" s="258"/>
      <c r="T2994" s="258"/>
      <c r="U2994" s="258"/>
      <c r="V2994" s="258"/>
      <c r="W2994" s="258"/>
      <c r="X2994" s="258"/>
      <c r="Y2994" s="258"/>
      <c r="Z2994" s="258"/>
      <c r="AA2994" s="258"/>
      <c r="AB2994" s="258"/>
      <c r="AC2994" s="407"/>
    </row>
    <row r="2995" spans="2:29" s="406" customFormat="1" ht="16.5" customHeight="1">
      <c r="B2995" s="256"/>
      <c r="C2995" s="256"/>
      <c r="D2995" s="414"/>
      <c r="E2995" s="414"/>
      <c r="F2995" s="414"/>
      <c r="G2995" s="253"/>
      <c r="H2995" s="253"/>
      <c r="I2995" s="253"/>
      <c r="J2995" s="253"/>
      <c r="K2995" s="253"/>
      <c r="L2995" s="253"/>
      <c r="M2995" s="253"/>
      <c r="N2995" s="253"/>
      <c r="O2995" s="258"/>
      <c r="P2995" s="258"/>
      <c r="Q2995" s="258"/>
      <c r="R2995" s="258"/>
      <c r="S2995" s="258"/>
      <c r="T2995" s="258"/>
      <c r="U2995" s="258"/>
      <c r="V2995" s="258"/>
      <c r="W2995" s="258"/>
      <c r="X2995" s="258"/>
      <c r="Y2995" s="258"/>
      <c r="Z2995" s="258"/>
      <c r="AA2995" s="258"/>
      <c r="AB2995" s="258"/>
      <c r="AC2995" s="407"/>
    </row>
    <row r="2996" spans="2:29" s="406" customFormat="1" ht="16.5" customHeight="1">
      <c r="B2996" s="256"/>
      <c r="C2996" s="256"/>
      <c r="D2996" s="414"/>
      <c r="E2996" s="414"/>
      <c r="F2996" s="414"/>
      <c r="G2996" s="253"/>
      <c r="H2996" s="253"/>
      <c r="I2996" s="253"/>
      <c r="J2996" s="253"/>
      <c r="K2996" s="253"/>
      <c r="L2996" s="253"/>
      <c r="M2996" s="253"/>
      <c r="N2996" s="253"/>
      <c r="O2996" s="258"/>
      <c r="P2996" s="258"/>
      <c r="Q2996" s="258"/>
      <c r="R2996" s="258"/>
      <c r="S2996" s="258"/>
      <c r="T2996" s="258"/>
      <c r="U2996" s="258"/>
      <c r="V2996" s="258"/>
      <c r="W2996" s="258"/>
      <c r="X2996" s="258"/>
      <c r="Y2996" s="258"/>
      <c r="Z2996" s="258"/>
      <c r="AA2996" s="258"/>
      <c r="AB2996" s="258"/>
      <c r="AC2996" s="407"/>
    </row>
    <row r="2997" spans="2:29" s="406" customFormat="1" ht="16.5" customHeight="1">
      <c r="B2997" s="256"/>
      <c r="C2997" s="256"/>
      <c r="D2997" s="414"/>
      <c r="E2997" s="414"/>
      <c r="F2997" s="414"/>
      <c r="G2997" s="253"/>
      <c r="H2997" s="253"/>
      <c r="I2997" s="253"/>
      <c r="J2997" s="253"/>
      <c r="K2997" s="253"/>
      <c r="L2997" s="253"/>
      <c r="M2997" s="253"/>
      <c r="N2997" s="253"/>
      <c r="O2997" s="258"/>
      <c r="P2997" s="258"/>
      <c r="Q2997" s="258"/>
      <c r="R2997" s="258"/>
      <c r="S2997" s="258"/>
      <c r="T2997" s="258"/>
      <c r="U2997" s="258"/>
      <c r="V2997" s="258"/>
      <c r="W2997" s="258"/>
      <c r="X2997" s="258"/>
      <c r="Y2997" s="258"/>
      <c r="Z2997" s="258"/>
      <c r="AA2997" s="258"/>
      <c r="AB2997" s="258"/>
      <c r="AC2997" s="407"/>
    </row>
    <row r="2998" spans="2:29" s="406" customFormat="1" ht="16.5" customHeight="1">
      <c r="B2998" s="256"/>
      <c r="C2998" s="256"/>
      <c r="D2998" s="414"/>
      <c r="E2998" s="414"/>
      <c r="F2998" s="414"/>
      <c r="G2998" s="253"/>
      <c r="H2998" s="253"/>
      <c r="I2998" s="253"/>
      <c r="J2998" s="253"/>
      <c r="K2998" s="253"/>
      <c r="L2998" s="253"/>
      <c r="M2998" s="253"/>
      <c r="N2998" s="253"/>
      <c r="O2998" s="258"/>
      <c r="P2998" s="258"/>
      <c r="Q2998" s="258"/>
      <c r="R2998" s="258"/>
      <c r="S2998" s="258"/>
      <c r="T2998" s="258"/>
      <c r="U2998" s="258"/>
      <c r="V2998" s="258"/>
      <c r="W2998" s="258"/>
      <c r="X2998" s="258"/>
      <c r="Y2998" s="258"/>
      <c r="Z2998" s="258"/>
      <c r="AA2998" s="258"/>
      <c r="AB2998" s="258"/>
      <c r="AC2998" s="407"/>
    </row>
    <row r="2999" spans="2:29" s="406" customFormat="1" ht="16.5" customHeight="1">
      <c r="B2999" s="256"/>
      <c r="C2999" s="256"/>
      <c r="D2999" s="414"/>
      <c r="E2999" s="414"/>
      <c r="F2999" s="414"/>
      <c r="G2999" s="253"/>
      <c r="H2999" s="253"/>
      <c r="I2999" s="253"/>
      <c r="J2999" s="253"/>
      <c r="K2999" s="253"/>
      <c r="L2999" s="253"/>
      <c r="M2999" s="253"/>
      <c r="N2999" s="253"/>
      <c r="O2999" s="258"/>
      <c r="P2999" s="258"/>
      <c r="Q2999" s="258"/>
      <c r="R2999" s="258"/>
      <c r="S2999" s="258"/>
      <c r="T2999" s="258"/>
      <c r="U2999" s="258"/>
      <c r="V2999" s="258"/>
      <c r="W2999" s="258"/>
      <c r="X2999" s="258"/>
      <c r="Y2999" s="258"/>
      <c r="Z2999" s="258"/>
      <c r="AA2999" s="258"/>
      <c r="AB2999" s="258"/>
      <c r="AC2999" s="407"/>
    </row>
    <row r="3000" spans="2:29" s="406" customFormat="1" ht="16.5" customHeight="1">
      <c r="B3000" s="256"/>
      <c r="C3000" s="256"/>
      <c r="D3000" s="414"/>
      <c r="E3000" s="414"/>
      <c r="F3000" s="414"/>
      <c r="G3000" s="253"/>
      <c r="H3000" s="253"/>
      <c r="I3000" s="253"/>
      <c r="J3000" s="253"/>
      <c r="K3000" s="253"/>
      <c r="L3000" s="253"/>
      <c r="M3000" s="253"/>
      <c r="N3000" s="253"/>
      <c r="O3000" s="258"/>
      <c r="P3000" s="258"/>
      <c r="Q3000" s="258"/>
      <c r="R3000" s="258"/>
      <c r="S3000" s="258"/>
      <c r="T3000" s="258"/>
      <c r="U3000" s="258"/>
      <c r="V3000" s="258"/>
      <c r="W3000" s="258"/>
      <c r="X3000" s="258"/>
      <c r="Y3000" s="258"/>
      <c r="Z3000" s="258"/>
      <c r="AA3000" s="258"/>
      <c r="AB3000" s="258"/>
      <c r="AC3000" s="407"/>
    </row>
    <row r="3001" spans="2:29" s="406" customFormat="1" ht="16.5" customHeight="1">
      <c r="B3001" s="256"/>
      <c r="C3001" s="256"/>
      <c r="D3001" s="414"/>
      <c r="E3001" s="414"/>
      <c r="F3001" s="414"/>
      <c r="G3001" s="253"/>
      <c r="H3001" s="253"/>
      <c r="I3001" s="253"/>
      <c r="J3001" s="253"/>
      <c r="K3001" s="253"/>
      <c r="L3001" s="253"/>
      <c r="M3001" s="253"/>
      <c r="N3001" s="253"/>
      <c r="O3001" s="258"/>
      <c r="P3001" s="258"/>
      <c r="Q3001" s="258"/>
      <c r="R3001" s="258"/>
      <c r="S3001" s="258"/>
      <c r="T3001" s="258"/>
      <c r="U3001" s="258"/>
      <c r="V3001" s="258"/>
      <c r="W3001" s="258"/>
      <c r="X3001" s="258"/>
      <c r="Y3001" s="258"/>
      <c r="Z3001" s="258"/>
      <c r="AA3001" s="258"/>
      <c r="AB3001" s="258"/>
      <c r="AC3001" s="407"/>
    </row>
    <row r="3002" spans="2:29" s="406" customFormat="1" ht="16.5" customHeight="1">
      <c r="B3002" s="256"/>
      <c r="C3002" s="256"/>
      <c r="D3002" s="414"/>
      <c r="E3002" s="414"/>
      <c r="F3002" s="414"/>
      <c r="G3002" s="253"/>
      <c r="H3002" s="253"/>
      <c r="I3002" s="253"/>
      <c r="J3002" s="253"/>
      <c r="K3002" s="253"/>
      <c r="L3002" s="253"/>
      <c r="M3002" s="253"/>
      <c r="N3002" s="253"/>
      <c r="O3002" s="258"/>
      <c r="P3002" s="258"/>
      <c r="Q3002" s="258"/>
      <c r="R3002" s="258"/>
      <c r="S3002" s="258"/>
      <c r="T3002" s="258"/>
      <c r="U3002" s="258"/>
      <c r="V3002" s="258"/>
      <c r="W3002" s="258"/>
      <c r="X3002" s="258"/>
      <c r="Y3002" s="258"/>
      <c r="Z3002" s="258"/>
      <c r="AA3002" s="258"/>
      <c r="AB3002" s="258"/>
      <c r="AC3002" s="407"/>
    </row>
    <row r="3003" spans="2:29" s="406" customFormat="1" ht="16.5" customHeight="1">
      <c r="B3003" s="256"/>
      <c r="C3003" s="256"/>
      <c r="D3003" s="414"/>
      <c r="E3003" s="414"/>
      <c r="F3003" s="414"/>
      <c r="G3003" s="253"/>
      <c r="H3003" s="253"/>
      <c r="I3003" s="253"/>
      <c r="J3003" s="253"/>
      <c r="K3003" s="253"/>
      <c r="L3003" s="253"/>
      <c r="M3003" s="253"/>
      <c r="N3003" s="253"/>
      <c r="O3003" s="258"/>
      <c r="P3003" s="258"/>
      <c r="Q3003" s="258"/>
      <c r="R3003" s="258"/>
      <c r="S3003" s="258"/>
      <c r="T3003" s="258"/>
      <c r="U3003" s="258"/>
      <c r="V3003" s="258"/>
      <c r="W3003" s="258"/>
      <c r="X3003" s="258"/>
      <c r="Y3003" s="258"/>
      <c r="Z3003" s="258"/>
      <c r="AA3003" s="258"/>
      <c r="AB3003" s="258"/>
      <c r="AC3003" s="407"/>
    </row>
    <row r="3004" spans="2:29" s="406" customFormat="1" ht="16.5" customHeight="1">
      <c r="B3004" s="256"/>
      <c r="C3004" s="256"/>
      <c r="D3004" s="414"/>
      <c r="E3004" s="414"/>
      <c r="F3004" s="414"/>
      <c r="G3004" s="253"/>
      <c r="H3004" s="253"/>
      <c r="I3004" s="253"/>
      <c r="J3004" s="253"/>
      <c r="K3004" s="253"/>
      <c r="L3004" s="253"/>
      <c r="M3004" s="253"/>
      <c r="N3004" s="253"/>
      <c r="O3004" s="258"/>
      <c r="P3004" s="258"/>
      <c r="Q3004" s="258"/>
      <c r="R3004" s="258"/>
      <c r="S3004" s="258"/>
      <c r="T3004" s="258"/>
      <c r="U3004" s="258"/>
      <c r="V3004" s="258"/>
      <c r="W3004" s="258"/>
      <c r="X3004" s="258"/>
      <c r="Y3004" s="258"/>
      <c r="Z3004" s="258"/>
      <c r="AA3004" s="258"/>
      <c r="AB3004" s="258"/>
      <c r="AC3004" s="407"/>
    </row>
    <row r="3005" spans="2:29" s="406" customFormat="1" ht="16.5" customHeight="1">
      <c r="B3005" s="256"/>
      <c r="C3005" s="256"/>
      <c r="D3005" s="414"/>
      <c r="E3005" s="414"/>
      <c r="F3005" s="414"/>
      <c r="G3005" s="253"/>
      <c r="H3005" s="253"/>
      <c r="I3005" s="253"/>
      <c r="J3005" s="253"/>
      <c r="K3005" s="253"/>
      <c r="L3005" s="253"/>
      <c r="M3005" s="253"/>
      <c r="N3005" s="253"/>
      <c r="O3005" s="258"/>
      <c r="P3005" s="258"/>
      <c r="Q3005" s="258"/>
      <c r="R3005" s="258"/>
      <c r="S3005" s="258"/>
      <c r="T3005" s="258"/>
      <c r="U3005" s="258"/>
      <c r="V3005" s="258"/>
      <c r="W3005" s="258"/>
      <c r="X3005" s="258"/>
      <c r="Y3005" s="258"/>
      <c r="Z3005" s="258"/>
      <c r="AA3005" s="258"/>
      <c r="AB3005" s="258"/>
      <c r="AC3005" s="407"/>
    </row>
    <row r="3006" spans="2:29" s="406" customFormat="1" ht="16.5" customHeight="1">
      <c r="B3006" s="256"/>
      <c r="C3006" s="256"/>
      <c r="D3006" s="414"/>
      <c r="E3006" s="414"/>
      <c r="F3006" s="414"/>
      <c r="G3006" s="253"/>
      <c r="H3006" s="253"/>
      <c r="I3006" s="253"/>
      <c r="J3006" s="253"/>
      <c r="K3006" s="253"/>
      <c r="L3006" s="253"/>
      <c r="M3006" s="253"/>
      <c r="N3006" s="253"/>
      <c r="O3006" s="258"/>
      <c r="P3006" s="258"/>
      <c r="Q3006" s="258"/>
      <c r="R3006" s="258"/>
      <c r="S3006" s="258"/>
      <c r="T3006" s="258"/>
      <c r="U3006" s="258"/>
      <c r="V3006" s="258"/>
      <c r="W3006" s="258"/>
      <c r="X3006" s="258"/>
      <c r="Y3006" s="258"/>
      <c r="Z3006" s="258"/>
      <c r="AA3006" s="258"/>
      <c r="AB3006" s="258"/>
      <c r="AC3006" s="407"/>
    </row>
    <row r="3007" spans="2:29" s="406" customFormat="1" ht="16.5" customHeight="1">
      <c r="B3007" s="256"/>
      <c r="C3007" s="256"/>
      <c r="D3007" s="414"/>
      <c r="E3007" s="414"/>
      <c r="F3007" s="414"/>
      <c r="G3007" s="253"/>
      <c r="H3007" s="253"/>
      <c r="I3007" s="253"/>
      <c r="J3007" s="253"/>
      <c r="K3007" s="253"/>
      <c r="L3007" s="253"/>
      <c r="M3007" s="253"/>
      <c r="N3007" s="253"/>
      <c r="O3007" s="258"/>
      <c r="P3007" s="258"/>
      <c r="Q3007" s="258"/>
      <c r="R3007" s="258"/>
      <c r="S3007" s="258"/>
      <c r="T3007" s="258"/>
      <c r="U3007" s="258"/>
      <c r="V3007" s="258"/>
      <c r="W3007" s="258"/>
      <c r="X3007" s="258"/>
      <c r="Y3007" s="258"/>
      <c r="Z3007" s="258"/>
      <c r="AA3007" s="258"/>
      <c r="AB3007" s="258"/>
      <c r="AC3007" s="407"/>
    </row>
    <row r="3008" spans="2:29" s="406" customFormat="1" ht="16.5" customHeight="1">
      <c r="B3008" s="256"/>
      <c r="C3008" s="256"/>
      <c r="D3008" s="414"/>
      <c r="E3008" s="414"/>
      <c r="F3008" s="414"/>
      <c r="G3008" s="253"/>
      <c r="H3008" s="253"/>
      <c r="I3008" s="253"/>
      <c r="J3008" s="253"/>
      <c r="K3008" s="253"/>
      <c r="L3008" s="253"/>
      <c r="M3008" s="253"/>
      <c r="N3008" s="253"/>
      <c r="O3008" s="258"/>
      <c r="P3008" s="258"/>
      <c r="Q3008" s="258"/>
      <c r="R3008" s="258"/>
      <c r="S3008" s="258"/>
      <c r="T3008" s="258"/>
      <c r="U3008" s="258"/>
      <c r="V3008" s="258"/>
      <c r="W3008" s="258"/>
      <c r="X3008" s="258"/>
      <c r="Y3008" s="258"/>
      <c r="Z3008" s="258"/>
      <c r="AA3008" s="258"/>
      <c r="AB3008" s="258"/>
      <c r="AC3008" s="407"/>
    </row>
    <row r="3009" spans="2:29" s="406" customFormat="1" ht="16.5" customHeight="1">
      <c r="B3009" s="256"/>
      <c r="C3009" s="256"/>
      <c r="D3009" s="414"/>
      <c r="E3009" s="414"/>
      <c r="F3009" s="414"/>
      <c r="G3009" s="253"/>
      <c r="H3009" s="253"/>
      <c r="I3009" s="253"/>
      <c r="J3009" s="253"/>
      <c r="K3009" s="253"/>
      <c r="L3009" s="253"/>
      <c r="M3009" s="253"/>
      <c r="N3009" s="253"/>
      <c r="O3009" s="258"/>
      <c r="P3009" s="258"/>
      <c r="Q3009" s="258"/>
      <c r="R3009" s="258"/>
      <c r="S3009" s="258"/>
      <c r="T3009" s="258"/>
      <c r="U3009" s="258"/>
      <c r="V3009" s="258"/>
      <c r="W3009" s="258"/>
      <c r="X3009" s="258"/>
      <c r="Y3009" s="258"/>
      <c r="Z3009" s="258"/>
      <c r="AA3009" s="258"/>
      <c r="AB3009" s="258"/>
      <c r="AC3009" s="407"/>
    </row>
    <row r="3010" spans="2:29" s="406" customFormat="1" ht="16.5" customHeight="1">
      <c r="B3010" s="256"/>
      <c r="C3010" s="256"/>
      <c r="D3010" s="414"/>
      <c r="E3010" s="414"/>
      <c r="F3010" s="414"/>
      <c r="G3010" s="253"/>
      <c r="H3010" s="253"/>
      <c r="I3010" s="253"/>
      <c r="J3010" s="253"/>
      <c r="K3010" s="253"/>
      <c r="L3010" s="253"/>
      <c r="M3010" s="253"/>
      <c r="N3010" s="253"/>
      <c r="O3010" s="258"/>
      <c r="P3010" s="258"/>
      <c r="Q3010" s="258"/>
      <c r="R3010" s="258"/>
      <c r="S3010" s="258"/>
      <c r="T3010" s="258"/>
      <c r="U3010" s="258"/>
      <c r="V3010" s="258"/>
      <c r="W3010" s="258"/>
      <c r="X3010" s="258"/>
      <c r="Y3010" s="258"/>
      <c r="Z3010" s="258"/>
      <c r="AA3010" s="258"/>
      <c r="AB3010" s="258"/>
      <c r="AC3010" s="407"/>
    </row>
    <row r="3011" spans="2:29" s="406" customFormat="1" ht="16.5" customHeight="1">
      <c r="B3011" s="256"/>
      <c r="C3011" s="256"/>
      <c r="D3011" s="414"/>
      <c r="E3011" s="414"/>
      <c r="F3011" s="414"/>
      <c r="G3011" s="253"/>
      <c r="H3011" s="253"/>
      <c r="I3011" s="253"/>
      <c r="J3011" s="253"/>
      <c r="K3011" s="253"/>
      <c r="L3011" s="253"/>
      <c r="M3011" s="253"/>
      <c r="N3011" s="253"/>
      <c r="O3011" s="258"/>
      <c r="P3011" s="258"/>
      <c r="Q3011" s="258"/>
      <c r="R3011" s="258"/>
      <c r="S3011" s="258"/>
      <c r="T3011" s="258"/>
      <c r="U3011" s="258"/>
      <c r="V3011" s="258"/>
      <c r="W3011" s="258"/>
      <c r="X3011" s="258"/>
      <c r="Y3011" s="258"/>
      <c r="Z3011" s="258"/>
      <c r="AA3011" s="258"/>
      <c r="AB3011" s="258"/>
      <c r="AC3011" s="407"/>
    </row>
    <row r="3012" spans="2:29" s="406" customFormat="1" ht="16.5" customHeight="1">
      <c r="B3012" s="256"/>
      <c r="C3012" s="256"/>
      <c r="D3012" s="414"/>
      <c r="E3012" s="414"/>
      <c r="F3012" s="414"/>
      <c r="G3012" s="253"/>
      <c r="H3012" s="253"/>
      <c r="I3012" s="253"/>
      <c r="J3012" s="253"/>
      <c r="K3012" s="253"/>
      <c r="L3012" s="253"/>
      <c r="M3012" s="253"/>
      <c r="N3012" s="253"/>
      <c r="O3012" s="258"/>
      <c r="P3012" s="258"/>
      <c r="Q3012" s="258"/>
      <c r="R3012" s="258"/>
      <c r="S3012" s="258"/>
      <c r="T3012" s="258"/>
      <c r="U3012" s="258"/>
      <c r="V3012" s="258"/>
      <c r="W3012" s="258"/>
      <c r="X3012" s="258"/>
      <c r="Y3012" s="258"/>
      <c r="Z3012" s="258"/>
      <c r="AA3012" s="258"/>
      <c r="AB3012" s="258"/>
      <c r="AC3012" s="407"/>
    </row>
    <row r="3013" spans="2:29" s="406" customFormat="1" ht="16.5" customHeight="1">
      <c r="B3013" s="256"/>
      <c r="C3013" s="256"/>
      <c r="D3013" s="414"/>
      <c r="E3013" s="414"/>
      <c r="F3013" s="414"/>
      <c r="G3013" s="253"/>
      <c r="H3013" s="253"/>
      <c r="I3013" s="253"/>
      <c r="J3013" s="253"/>
      <c r="K3013" s="253"/>
      <c r="L3013" s="253"/>
      <c r="M3013" s="253"/>
      <c r="N3013" s="253"/>
      <c r="O3013" s="258"/>
      <c r="P3013" s="258"/>
      <c r="Q3013" s="258"/>
      <c r="R3013" s="258"/>
      <c r="S3013" s="258"/>
      <c r="T3013" s="258"/>
      <c r="U3013" s="258"/>
      <c r="V3013" s="258"/>
      <c r="W3013" s="258"/>
      <c r="X3013" s="258"/>
      <c r="Y3013" s="258"/>
      <c r="Z3013" s="258"/>
      <c r="AA3013" s="258"/>
      <c r="AB3013" s="258"/>
      <c r="AC3013" s="407"/>
    </row>
    <row r="3014" spans="2:29" s="406" customFormat="1" ht="16.5" customHeight="1">
      <c r="B3014" s="256"/>
      <c r="C3014" s="256"/>
      <c r="D3014" s="414"/>
      <c r="E3014" s="414"/>
      <c r="F3014" s="414"/>
      <c r="G3014" s="253"/>
      <c r="H3014" s="253"/>
      <c r="I3014" s="253"/>
      <c r="J3014" s="253"/>
      <c r="K3014" s="253"/>
      <c r="L3014" s="253"/>
      <c r="M3014" s="253"/>
      <c r="N3014" s="253"/>
      <c r="O3014" s="258"/>
      <c r="P3014" s="258"/>
      <c r="Q3014" s="258"/>
      <c r="R3014" s="258"/>
      <c r="S3014" s="258"/>
      <c r="T3014" s="258"/>
      <c r="U3014" s="258"/>
      <c r="V3014" s="258"/>
      <c r="W3014" s="258"/>
      <c r="X3014" s="258"/>
      <c r="Y3014" s="258"/>
      <c r="Z3014" s="258"/>
      <c r="AA3014" s="258"/>
      <c r="AB3014" s="258"/>
      <c r="AC3014" s="407"/>
    </row>
    <row r="3015" spans="2:29" s="406" customFormat="1" ht="16.5" customHeight="1">
      <c r="B3015" s="256"/>
      <c r="C3015" s="256"/>
      <c r="D3015" s="414"/>
      <c r="E3015" s="414"/>
      <c r="F3015" s="414"/>
      <c r="G3015" s="253"/>
      <c r="H3015" s="253"/>
      <c r="I3015" s="253"/>
      <c r="J3015" s="253"/>
      <c r="K3015" s="253"/>
      <c r="L3015" s="253"/>
      <c r="M3015" s="253"/>
      <c r="N3015" s="253"/>
      <c r="O3015" s="258"/>
      <c r="P3015" s="258"/>
      <c r="Q3015" s="258"/>
      <c r="R3015" s="258"/>
      <c r="S3015" s="258"/>
      <c r="T3015" s="258"/>
      <c r="U3015" s="258"/>
      <c r="V3015" s="258"/>
      <c r="W3015" s="258"/>
      <c r="X3015" s="258"/>
      <c r="Y3015" s="258"/>
      <c r="Z3015" s="258"/>
      <c r="AA3015" s="258"/>
      <c r="AB3015" s="258"/>
      <c r="AC3015" s="407"/>
    </row>
    <row r="3016" spans="2:29" s="406" customFormat="1" ht="16.5" customHeight="1">
      <c r="B3016" s="256"/>
      <c r="C3016" s="256"/>
      <c r="D3016" s="414"/>
      <c r="E3016" s="414"/>
      <c r="F3016" s="414"/>
      <c r="G3016" s="253"/>
      <c r="H3016" s="253"/>
      <c r="I3016" s="253"/>
      <c r="J3016" s="253"/>
      <c r="K3016" s="253"/>
      <c r="L3016" s="253"/>
      <c r="M3016" s="253"/>
      <c r="N3016" s="253"/>
      <c r="O3016" s="258"/>
      <c r="P3016" s="258"/>
      <c r="Q3016" s="258"/>
      <c r="R3016" s="258"/>
      <c r="S3016" s="258"/>
      <c r="T3016" s="258"/>
      <c r="U3016" s="258"/>
      <c r="V3016" s="258"/>
      <c r="W3016" s="258"/>
      <c r="X3016" s="258"/>
      <c r="Y3016" s="258"/>
      <c r="Z3016" s="258"/>
      <c r="AA3016" s="258"/>
      <c r="AB3016" s="258"/>
      <c r="AC3016" s="407"/>
    </row>
    <row r="3017" spans="2:29" s="406" customFormat="1" ht="16.5" customHeight="1">
      <c r="B3017" s="256"/>
      <c r="C3017" s="256"/>
      <c r="D3017" s="414"/>
      <c r="E3017" s="414"/>
      <c r="F3017" s="414"/>
      <c r="G3017" s="253"/>
      <c r="H3017" s="253"/>
      <c r="I3017" s="253"/>
      <c r="J3017" s="253"/>
      <c r="K3017" s="253"/>
      <c r="L3017" s="253"/>
      <c r="M3017" s="253"/>
      <c r="N3017" s="253"/>
      <c r="O3017" s="258"/>
      <c r="P3017" s="258"/>
      <c r="Q3017" s="258"/>
      <c r="R3017" s="258"/>
      <c r="S3017" s="258"/>
      <c r="T3017" s="258"/>
      <c r="U3017" s="258"/>
      <c r="V3017" s="258"/>
      <c r="W3017" s="258"/>
      <c r="X3017" s="258"/>
      <c r="Y3017" s="258"/>
      <c r="Z3017" s="258"/>
      <c r="AA3017" s="258"/>
      <c r="AB3017" s="258"/>
      <c r="AC3017" s="407"/>
    </row>
    <row r="3018" spans="2:29" s="406" customFormat="1" ht="16.5" customHeight="1">
      <c r="B3018" s="256"/>
      <c r="C3018" s="256"/>
      <c r="D3018" s="414"/>
      <c r="E3018" s="414"/>
      <c r="F3018" s="414"/>
      <c r="G3018" s="253"/>
      <c r="H3018" s="253"/>
      <c r="I3018" s="253"/>
      <c r="J3018" s="253"/>
      <c r="K3018" s="253"/>
      <c r="L3018" s="253"/>
      <c r="M3018" s="253"/>
      <c r="N3018" s="253"/>
      <c r="O3018" s="258"/>
      <c r="P3018" s="258"/>
      <c r="Q3018" s="258"/>
      <c r="R3018" s="258"/>
      <c r="S3018" s="258"/>
      <c r="T3018" s="258"/>
      <c r="U3018" s="258"/>
      <c r="V3018" s="258"/>
      <c r="W3018" s="258"/>
      <c r="X3018" s="258"/>
      <c r="Y3018" s="258"/>
      <c r="Z3018" s="258"/>
      <c r="AA3018" s="258"/>
      <c r="AB3018" s="258"/>
      <c r="AC3018" s="407"/>
    </row>
    <row r="3019" spans="2:29" s="406" customFormat="1" ht="16.5" customHeight="1">
      <c r="B3019" s="256"/>
      <c r="C3019" s="256"/>
      <c r="D3019" s="414"/>
      <c r="E3019" s="414"/>
      <c r="F3019" s="414"/>
      <c r="G3019" s="253"/>
      <c r="H3019" s="253"/>
      <c r="I3019" s="253"/>
      <c r="J3019" s="253"/>
      <c r="K3019" s="253"/>
      <c r="L3019" s="253"/>
      <c r="M3019" s="253"/>
      <c r="N3019" s="253"/>
      <c r="O3019" s="258"/>
      <c r="P3019" s="258"/>
      <c r="Q3019" s="258"/>
      <c r="R3019" s="258"/>
      <c r="S3019" s="258"/>
      <c r="T3019" s="258"/>
      <c r="U3019" s="258"/>
      <c r="V3019" s="258"/>
      <c r="W3019" s="258"/>
      <c r="X3019" s="258"/>
      <c r="Y3019" s="258"/>
      <c r="Z3019" s="258"/>
      <c r="AA3019" s="258"/>
      <c r="AB3019" s="258"/>
      <c r="AC3019" s="407"/>
    </row>
    <row r="3020" spans="2:29" s="406" customFormat="1" ht="16.5" customHeight="1">
      <c r="B3020" s="256"/>
      <c r="C3020" s="256"/>
      <c r="D3020" s="414"/>
      <c r="E3020" s="414"/>
      <c r="F3020" s="414"/>
      <c r="G3020" s="253"/>
      <c r="H3020" s="253"/>
      <c r="I3020" s="253"/>
      <c r="J3020" s="253"/>
      <c r="K3020" s="253"/>
      <c r="L3020" s="253"/>
      <c r="M3020" s="253"/>
      <c r="N3020" s="253"/>
      <c r="O3020" s="258"/>
      <c r="P3020" s="258"/>
      <c r="Q3020" s="258"/>
      <c r="R3020" s="258"/>
      <c r="S3020" s="258"/>
      <c r="T3020" s="258"/>
      <c r="U3020" s="258"/>
      <c r="V3020" s="258"/>
      <c r="W3020" s="258"/>
      <c r="X3020" s="258"/>
      <c r="Y3020" s="258"/>
      <c r="Z3020" s="258"/>
      <c r="AA3020" s="258"/>
      <c r="AB3020" s="258"/>
      <c r="AC3020" s="407"/>
    </row>
    <row r="3021" spans="2:29" s="406" customFormat="1" ht="16.5" customHeight="1">
      <c r="B3021" s="256"/>
      <c r="C3021" s="256"/>
      <c r="D3021" s="414"/>
      <c r="E3021" s="414"/>
      <c r="F3021" s="414"/>
      <c r="G3021" s="253"/>
      <c r="H3021" s="253"/>
      <c r="I3021" s="253"/>
      <c r="J3021" s="253"/>
      <c r="K3021" s="253"/>
      <c r="L3021" s="253"/>
      <c r="M3021" s="253"/>
      <c r="N3021" s="253"/>
      <c r="O3021" s="258"/>
      <c r="P3021" s="258"/>
      <c r="Q3021" s="258"/>
      <c r="R3021" s="258"/>
      <c r="S3021" s="258"/>
      <c r="T3021" s="258"/>
      <c r="U3021" s="258"/>
      <c r="V3021" s="258"/>
      <c r="W3021" s="258"/>
      <c r="X3021" s="258"/>
      <c r="Y3021" s="258"/>
      <c r="Z3021" s="258"/>
      <c r="AA3021" s="258"/>
      <c r="AB3021" s="258"/>
      <c r="AC3021" s="407"/>
    </row>
    <row r="3022" spans="2:29" s="406" customFormat="1" ht="16.5" customHeight="1">
      <c r="B3022" s="256"/>
      <c r="C3022" s="256"/>
      <c r="D3022" s="414"/>
      <c r="E3022" s="414"/>
      <c r="F3022" s="414"/>
      <c r="G3022" s="253"/>
      <c r="H3022" s="253"/>
      <c r="I3022" s="253"/>
      <c r="J3022" s="253"/>
      <c r="K3022" s="253"/>
      <c r="L3022" s="253"/>
      <c r="M3022" s="253"/>
      <c r="N3022" s="253"/>
      <c r="O3022" s="258"/>
      <c r="P3022" s="258"/>
      <c r="Q3022" s="258"/>
      <c r="R3022" s="258"/>
      <c r="S3022" s="258"/>
      <c r="T3022" s="258"/>
      <c r="U3022" s="258"/>
      <c r="V3022" s="258"/>
      <c r="W3022" s="258"/>
      <c r="X3022" s="258"/>
      <c r="Y3022" s="258"/>
      <c r="Z3022" s="258"/>
      <c r="AA3022" s="258"/>
      <c r="AB3022" s="258"/>
      <c r="AC3022" s="407"/>
    </row>
    <row r="3023" spans="2:29" s="406" customFormat="1" ht="16.5" customHeight="1">
      <c r="B3023" s="256"/>
      <c r="C3023" s="256"/>
      <c r="D3023" s="414"/>
      <c r="E3023" s="414"/>
      <c r="F3023" s="414"/>
      <c r="G3023" s="253"/>
      <c r="H3023" s="253"/>
      <c r="I3023" s="253"/>
      <c r="J3023" s="253"/>
      <c r="K3023" s="253"/>
      <c r="L3023" s="253"/>
      <c r="M3023" s="253"/>
      <c r="N3023" s="253"/>
      <c r="O3023" s="258"/>
      <c r="P3023" s="258"/>
      <c r="Q3023" s="258"/>
      <c r="R3023" s="258"/>
      <c r="S3023" s="258"/>
      <c r="T3023" s="258"/>
      <c r="U3023" s="258"/>
      <c r="V3023" s="258"/>
      <c r="W3023" s="258"/>
      <c r="X3023" s="258"/>
      <c r="Y3023" s="258"/>
      <c r="Z3023" s="258"/>
      <c r="AA3023" s="258"/>
      <c r="AB3023" s="258"/>
      <c r="AC3023" s="407"/>
    </row>
    <row r="3024" spans="2:29" s="406" customFormat="1" ht="16.5" customHeight="1">
      <c r="B3024" s="256"/>
      <c r="C3024" s="256"/>
      <c r="D3024" s="414"/>
      <c r="E3024" s="414"/>
      <c r="F3024" s="414"/>
      <c r="G3024" s="253"/>
      <c r="H3024" s="253"/>
      <c r="I3024" s="253"/>
      <c r="J3024" s="253"/>
      <c r="K3024" s="253"/>
      <c r="L3024" s="253"/>
      <c r="M3024" s="253"/>
      <c r="N3024" s="253"/>
      <c r="O3024" s="258"/>
      <c r="P3024" s="258"/>
      <c r="Q3024" s="258"/>
      <c r="R3024" s="258"/>
      <c r="S3024" s="258"/>
      <c r="T3024" s="258"/>
      <c r="U3024" s="258"/>
      <c r="V3024" s="258"/>
      <c r="W3024" s="258"/>
      <c r="X3024" s="258"/>
      <c r="Y3024" s="258"/>
      <c r="Z3024" s="258"/>
      <c r="AA3024" s="258"/>
      <c r="AB3024" s="258"/>
      <c r="AC3024" s="407"/>
    </row>
    <row r="3025" spans="1:29" s="406" customFormat="1" ht="16.5" customHeight="1">
      <c r="B3025" s="256"/>
      <c r="C3025" s="256"/>
      <c r="D3025" s="414"/>
      <c r="E3025" s="414"/>
      <c r="F3025" s="414"/>
      <c r="G3025" s="253"/>
      <c r="H3025" s="253"/>
      <c r="I3025" s="253"/>
      <c r="J3025" s="253"/>
      <c r="K3025" s="253"/>
      <c r="L3025" s="253"/>
      <c r="M3025" s="253"/>
      <c r="N3025" s="253"/>
      <c r="O3025" s="258"/>
      <c r="P3025" s="258"/>
      <c r="Q3025" s="258"/>
      <c r="R3025" s="258"/>
      <c r="S3025" s="258"/>
      <c r="T3025" s="258"/>
      <c r="U3025" s="258"/>
      <c r="V3025" s="258"/>
      <c r="W3025" s="258"/>
      <c r="X3025" s="258"/>
      <c r="Y3025" s="258"/>
      <c r="Z3025" s="258"/>
      <c r="AA3025" s="258"/>
      <c r="AB3025" s="258"/>
      <c r="AC3025" s="407"/>
    </row>
    <row r="3026" spans="1:29" s="406" customFormat="1" ht="16.5" customHeight="1">
      <c r="B3026" s="256"/>
      <c r="C3026" s="256"/>
      <c r="D3026" s="414"/>
      <c r="E3026" s="414"/>
      <c r="F3026" s="414"/>
      <c r="G3026" s="253"/>
      <c r="H3026" s="253"/>
      <c r="I3026" s="253"/>
      <c r="J3026" s="253"/>
      <c r="K3026" s="253"/>
      <c r="L3026" s="253"/>
      <c r="M3026" s="253"/>
      <c r="N3026" s="253"/>
      <c r="O3026" s="258"/>
      <c r="P3026" s="258"/>
      <c r="Q3026" s="258"/>
      <c r="R3026" s="258"/>
      <c r="S3026" s="258"/>
      <c r="T3026" s="258"/>
      <c r="U3026" s="258"/>
      <c r="V3026" s="258"/>
      <c r="W3026" s="258"/>
      <c r="X3026" s="258"/>
      <c r="Y3026" s="258"/>
      <c r="Z3026" s="258"/>
      <c r="AA3026" s="258"/>
      <c r="AB3026" s="258"/>
      <c r="AC3026" s="407"/>
    </row>
    <row r="3027" spans="1:29" s="406" customFormat="1" ht="16.5" customHeight="1">
      <c r="B3027" s="256"/>
      <c r="C3027" s="256"/>
      <c r="D3027" s="414"/>
      <c r="E3027" s="414"/>
      <c r="F3027" s="414"/>
      <c r="G3027" s="253"/>
      <c r="H3027" s="253"/>
      <c r="I3027" s="253"/>
      <c r="J3027" s="253"/>
      <c r="K3027" s="253"/>
      <c r="L3027" s="253"/>
      <c r="M3027" s="253"/>
      <c r="N3027" s="253"/>
      <c r="O3027" s="258"/>
      <c r="P3027" s="258"/>
      <c r="Q3027" s="258"/>
      <c r="R3027" s="258"/>
      <c r="S3027" s="258"/>
      <c r="T3027" s="258"/>
      <c r="U3027" s="258"/>
      <c r="V3027" s="258"/>
      <c r="W3027" s="258"/>
      <c r="X3027" s="258"/>
      <c r="Y3027" s="258"/>
      <c r="Z3027" s="258"/>
      <c r="AA3027" s="258"/>
      <c r="AB3027" s="258"/>
      <c r="AC3027" s="407"/>
    </row>
    <row r="3028" spans="1:29" s="406" customFormat="1" ht="16.5" customHeight="1">
      <c r="B3028" s="256"/>
      <c r="C3028" s="256"/>
      <c r="D3028" s="414"/>
      <c r="E3028" s="414"/>
      <c r="F3028" s="414"/>
      <c r="G3028" s="253"/>
      <c r="H3028" s="253"/>
      <c r="I3028" s="253"/>
      <c r="J3028" s="253"/>
      <c r="K3028" s="253"/>
      <c r="L3028" s="253"/>
      <c r="M3028" s="253"/>
      <c r="N3028" s="253"/>
      <c r="O3028" s="258"/>
      <c r="P3028" s="258"/>
      <c r="Q3028" s="258"/>
      <c r="R3028" s="258"/>
      <c r="S3028" s="258"/>
      <c r="T3028" s="258"/>
      <c r="U3028" s="258"/>
      <c r="V3028" s="258"/>
      <c r="W3028" s="258"/>
      <c r="X3028" s="258"/>
      <c r="Y3028" s="258"/>
      <c r="Z3028" s="258"/>
      <c r="AA3028" s="258"/>
      <c r="AB3028" s="258"/>
      <c r="AC3028" s="407"/>
    </row>
    <row r="3029" spans="1:29" s="406" customFormat="1" ht="16.5" customHeight="1">
      <c r="B3029" s="256"/>
      <c r="C3029" s="256"/>
      <c r="D3029" s="414"/>
      <c r="E3029" s="414"/>
      <c r="F3029" s="414"/>
      <c r="G3029" s="253"/>
      <c r="H3029" s="253"/>
      <c r="I3029" s="253"/>
      <c r="J3029" s="253"/>
      <c r="K3029" s="253"/>
      <c r="L3029" s="253"/>
      <c r="M3029" s="253"/>
      <c r="N3029" s="253"/>
      <c r="O3029" s="258"/>
      <c r="P3029" s="258"/>
      <c r="Q3029" s="258"/>
      <c r="R3029" s="258"/>
      <c r="S3029" s="258"/>
      <c r="T3029" s="258"/>
      <c r="U3029" s="258"/>
      <c r="V3029" s="258"/>
      <c r="W3029" s="258"/>
      <c r="X3029" s="258"/>
      <c r="Y3029" s="258"/>
      <c r="Z3029" s="258"/>
      <c r="AA3029" s="258"/>
      <c r="AB3029" s="258"/>
      <c r="AC3029" s="407"/>
    </row>
    <row r="3030" spans="1:29" s="406" customFormat="1" ht="16.5" customHeight="1">
      <c r="B3030" s="256"/>
      <c r="C3030" s="256"/>
      <c r="D3030" s="414"/>
      <c r="E3030" s="414"/>
      <c r="F3030" s="414"/>
      <c r="G3030" s="253"/>
      <c r="H3030" s="253"/>
      <c r="I3030" s="253"/>
      <c r="J3030" s="253"/>
      <c r="K3030" s="253"/>
      <c r="L3030" s="253"/>
      <c r="M3030" s="253"/>
      <c r="N3030" s="253"/>
      <c r="O3030" s="258"/>
      <c r="P3030" s="258"/>
      <c r="Q3030" s="258"/>
      <c r="R3030" s="258"/>
      <c r="S3030" s="258"/>
      <c r="T3030" s="258"/>
      <c r="U3030" s="258"/>
      <c r="V3030" s="258"/>
      <c r="W3030" s="258"/>
      <c r="X3030" s="258"/>
      <c r="Y3030" s="258"/>
      <c r="Z3030" s="258"/>
      <c r="AA3030" s="258"/>
      <c r="AB3030" s="258"/>
      <c r="AC3030" s="407"/>
    </row>
    <row r="3031" spans="1:29" s="406" customFormat="1" ht="16.5" customHeight="1">
      <c r="B3031" s="256"/>
      <c r="C3031" s="256"/>
      <c r="D3031" s="414"/>
      <c r="E3031" s="414"/>
      <c r="F3031" s="414"/>
      <c r="G3031" s="253"/>
      <c r="H3031" s="253"/>
      <c r="I3031" s="253"/>
      <c r="J3031" s="253"/>
      <c r="K3031" s="253"/>
      <c r="L3031" s="253"/>
      <c r="M3031" s="253"/>
      <c r="N3031" s="253"/>
      <c r="O3031" s="258"/>
      <c r="P3031" s="258"/>
      <c r="Q3031" s="258"/>
      <c r="R3031" s="258"/>
      <c r="S3031" s="258"/>
      <c r="T3031" s="258"/>
      <c r="U3031" s="258"/>
      <c r="V3031" s="258"/>
      <c r="W3031" s="258"/>
      <c r="X3031" s="258"/>
      <c r="Y3031" s="258"/>
      <c r="Z3031" s="258"/>
      <c r="AA3031" s="258"/>
      <c r="AB3031" s="258"/>
      <c r="AC3031" s="407"/>
    </row>
    <row r="3032" spans="1:29" s="406" customFormat="1" ht="16.5" customHeight="1">
      <c r="B3032" s="256"/>
      <c r="C3032" s="256"/>
      <c r="D3032" s="414"/>
      <c r="E3032" s="414"/>
      <c r="F3032" s="414"/>
      <c r="G3032" s="253"/>
      <c r="H3032" s="253"/>
      <c r="I3032" s="253"/>
      <c r="J3032" s="253"/>
      <c r="K3032" s="253"/>
      <c r="L3032" s="253"/>
      <c r="M3032" s="253"/>
      <c r="N3032" s="253"/>
      <c r="O3032" s="258"/>
      <c r="P3032" s="258"/>
      <c r="Q3032" s="258"/>
      <c r="R3032" s="258"/>
      <c r="S3032" s="258"/>
      <c r="T3032" s="258"/>
      <c r="U3032" s="258"/>
      <c r="V3032" s="258"/>
      <c r="W3032" s="258"/>
      <c r="X3032" s="258"/>
      <c r="Y3032" s="258"/>
      <c r="Z3032" s="258"/>
      <c r="AA3032" s="258"/>
      <c r="AB3032" s="258"/>
      <c r="AC3032" s="407"/>
    </row>
    <row r="3033" spans="1:29" ht="16.5" customHeight="1">
      <c r="A3033" s="406"/>
    </row>
    <row r="3034" spans="1:29" ht="16.5" customHeight="1">
      <c r="A3034" s="406"/>
    </row>
    <row r="3035" spans="1:29" ht="16.5" customHeight="1">
      <c r="A3035" s="406"/>
    </row>
    <row r="3036" spans="1:29" ht="16.5" customHeight="1">
      <c r="A3036" s="406"/>
    </row>
  </sheetData>
  <mergeCells count="1">
    <mergeCell ref="A1:B1"/>
  </mergeCells>
  <phoneticPr fontId="7" type="noConversion"/>
  <pageMargins left="0.94488188976377963" right="0.55118110236220474" top="0.98425196850393704" bottom="0.98425196850393704" header="0.51181102362204722" footer="0.51181102362204722"/>
  <pageSetup paperSize="9" scale="70" orientation="portrait" verticalDpi="1200" r:id="rId1"/>
  <headerFooter alignWithMargins="0"/>
  <ignoredErrors>
    <ignoredError sqref="D29:H29 D63:D64 AM23 I63:I64"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15403" r:id="rId4" name="Button 43">
              <controlPr defaultSize="0" print="0" autoFill="0" autoPict="0" macro="[0]!CustomIdxs_Click">
                <anchor moveWithCells="1">
                  <from>
                    <xdr:col>1</xdr:col>
                    <xdr:colOff>1478280</xdr:colOff>
                    <xdr:row>0</xdr:row>
                    <xdr:rowOff>38100</xdr:rowOff>
                  </from>
                  <to>
                    <xdr:col>2</xdr:col>
                    <xdr:colOff>0</xdr:colOff>
                    <xdr:row>0</xdr:row>
                    <xdr:rowOff>297180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AF157"/>
  <sheetViews>
    <sheetView workbookViewId="0">
      <selection activeCell="F154" sqref="F154"/>
    </sheetView>
  </sheetViews>
  <sheetFormatPr defaultRowHeight="15" customHeight="1"/>
  <cols>
    <col min="1" max="1" width="12" customWidth="1"/>
    <col min="19" max="19" width="9.875" bestFit="1" customWidth="1"/>
  </cols>
  <sheetData>
    <row r="1" spans="1:32" ht="27" customHeight="1">
      <c r="A1" s="524" t="s">
        <v>1380</v>
      </c>
    </row>
    <row r="2" spans="1:32" s="528" customFormat="1" ht="6" customHeight="1"/>
    <row r="3" spans="1:32" s="105" customFormat="1" ht="30" customHeight="1">
      <c r="A3" s="530" t="s">
        <v>346</v>
      </c>
    </row>
    <row r="4" spans="1:32" ht="15" customHeight="1">
      <c r="A4" s="525"/>
      <c r="L4" s="526"/>
      <c r="M4" s="1299" t="s">
        <v>349</v>
      </c>
      <c r="N4" s="526"/>
      <c r="U4" s="1299" t="s">
        <v>351</v>
      </c>
      <c r="V4" s="1299"/>
      <c r="W4" s="1299"/>
      <c r="AD4" s="1299" t="s">
        <v>853</v>
      </c>
      <c r="AE4" s="1299"/>
      <c r="AF4" s="1299"/>
    </row>
    <row r="5" spans="1:32" ht="15" customHeight="1">
      <c r="M5" s="1299"/>
      <c r="U5" s="1299"/>
      <c r="V5" s="1299"/>
      <c r="W5" s="1299"/>
      <c r="AD5" s="1299"/>
      <c r="AE5" s="1299"/>
      <c r="AF5" s="1299"/>
    </row>
    <row r="10" spans="1:32" ht="15" customHeight="1">
      <c r="Q10" s="1301" t="s">
        <v>347</v>
      </c>
      <c r="R10" s="1301"/>
      <c r="Z10" s="1301" t="s">
        <v>348</v>
      </c>
      <c r="AA10" s="1301"/>
      <c r="AB10" s="526"/>
    </row>
    <row r="11" spans="1:32" ht="15" customHeight="1">
      <c r="Q11" s="1301"/>
      <c r="R11" s="1301"/>
      <c r="Z11" s="1301"/>
      <c r="AA11" s="1301"/>
      <c r="AB11" s="526"/>
    </row>
    <row r="12" spans="1:32" ht="15" customHeight="1">
      <c r="D12" s="1299" t="s">
        <v>850</v>
      </c>
      <c r="Q12" s="1301"/>
      <c r="R12" s="1301"/>
      <c r="Z12" s="1301"/>
      <c r="AA12" s="1301"/>
      <c r="AB12" s="526"/>
    </row>
    <row r="13" spans="1:32" ht="16.5" customHeight="1">
      <c r="D13" s="1299"/>
    </row>
    <row r="17" spans="8:28" ht="15" customHeight="1">
      <c r="L17" s="1300" t="s">
        <v>370</v>
      </c>
      <c r="M17" s="1301"/>
      <c r="N17" s="1301"/>
    </row>
    <row r="18" spans="8:28" ht="15" customHeight="1">
      <c r="H18" s="1301" t="s">
        <v>347</v>
      </c>
      <c r="I18" s="1301"/>
      <c r="L18" s="1301"/>
      <c r="M18" s="1301"/>
      <c r="N18" s="1301"/>
    </row>
    <row r="19" spans="8:28" ht="15" customHeight="1">
      <c r="H19" s="1301"/>
      <c r="I19" s="1301"/>
      <c r="L19" s="1301"/>
      <c r="M19" s="1301"/>
      <c r="N19" s="1301"/>
    </row>
    <row r="20" spans="8:28" ht="15" customHeight="1">
      <c r="H20" s="1301"/>
      <c r="I20" s="1301"/>
      <c r="L20" s="1299" t="s">
        <v>350</v>
      </c>
      <c r="M20" s="1299"/>
      <c r="N20" s="1299"/>
      <c r="Z20" s="1299" t="s">
        <v>852</v>
      </c>
      <c r="AA20" s="1299"/>
      <c r="AB20" s="1299"/>
    </row>
    <row r="21" spans="8:28" ht="15" customHeight="1">
      <c r="L21" s="1299"/>
      <c r="M21" s="1299"/>
      <c r="N21" s="1299"/>
      <c r="Z21" s="1299"/>
      <c r="AA21" s="1299"/>
      <c r="AB21" s="1299"/>
    </row>
    <row r="26" spans="8:28" ht="15" customHeight="1">
      <c r="Q26" s="1301" t="s">
        <v>347</v>
      </c>
      <c r="R26" s="1301"/>
      <c r="S26" s="1302" t="s">
        <v>352</v>
      </c>
      <c r="T26" s="1302"/>
      <c r="U26" s="1302"/>
      <c r="V26" s="1302"/>
      <c r="W26" s="1302"/>
    </row>
    <row r="27" spans="8:28" ht="15" customHeight="1">
      <c r="Q27" s="1301"/>
      <c r="R27" s="1301"/>
      <c r="S27" s="1302"/>
      <c r="T27" s="1302"/>
      <c r="U27" s="1302"/>
      <c r="V27" s="1302"/>
      <c r="W27" s="1302"/>
    </row>
    <row r="28" spans="8:28" ht="15" customHeight="1">
      <c r="Q28" s="1301"/>
      <c r="R28" s="1301"/>
      <c r="S28" s="1302"/>
      <c r="T28" s="1302"/>
      <c r="U28" s="1302"/>
      <c r="V28" s="1302"/>
      <c r="W28" s="1302"/>
    </row>
    <row r="33" spans="1:24" s="529" customFormat="1" ht="7.5" customHeight="1"/>
    <row r="34" spans="1:24" s="105" customFormat="1" ht="32.25" customHeight="1">
      <c r="A34" s="530" t="s">
        <v>368</v>
      </c>
    </row>
    <row r="35" spans="1:24" ht="15" customHeight="1">
      <c r="C35" s="1299" t="s">
        <v>846</v>
      </c>
      <c r="D35" s="1299"/>
      <c r="E35" s="1299"/>
      <c r="F35" s="1299"/>
      <c r="L35" s="1299" t="s">
        <v>847</v>
      </c>
      <c r="M35" s="1299"/>
      <c r="N35" s="1299"/>
      <c r="O35" s="1299"/>
      <c r="U35" s="1299" t="s">
        <v>992</v>
      </c>
      <c r="V35" s="1299"/>
      <c r="W35" s="1299"/>
      <c r="X35" s="1299"/>
    </row>
    <row r="36" spans="1:24" ht="15" customHeight="1">
      <c r="C36" s="1299"/>
      <c r="D36" s="1299"/>
      <c r="E36" s="1299"/>
      <c r="F36" s="1299"/>
      <c r="L36" s="1299"/>
      <c r="M36" s="1299"/>
      <c r="N36" s="1299"/>
      <c r="O36" s="1299"/>
      <c r="U36" s="1299"/>
      <c r="V36" s="1299"/>
      <c r="W36" s="1299"/>
      <c r="X36" s="1299"/>
    </row>
    <row r="49" spans="1:24" ht="15" customHeight="1">
      <c r="C49" s="1299" t="s">
        <v>860</v>
      </c>
      <c r="D49" s="1299"/>
      <c r="E49" s="1299"/>
      <c r="F49" s="1299"/>
      <c r="L49" s="1299" t="s">
        <v>356</v>
      </c>
      <c r="M49" s="1299"/>
      <c r="N49" s="1299"/>
      <c r="O49" s="1299"/>
      <c r="U49" s="1299" t="s">
        <v>357</v>
      </c>
      <c r="V49" s="1299"/>
      <c r="W49" s="1299"/>
      <c r="X49" s="1299"/>
    </row>
    <row r="50" spans="1:24" ht="15" customHeight="1">
      <c r="C50" s="1299"/>
      <c r="D50" s="1299"/>
      <c r="E50" s="1299"/>
      <c r="F50" s="1299"/>
      <c r="L50" s="1299"/>
      <c r="M50" s="1299"/>
      <c r="N50" s="1299"/>
      <c r="O50" s="1299"/>
      <c r="U50" s="1299"/>
      <c r="V50" s="1299"/>
      <c r="W50" s="1299"/>
      <c r="X50" s="1299"/>
    </row>
    <row r="63" spans="1:24" s="529" customFormat="1" ht="7.5" customHeight="1"/>
    <row r="64" spans="1:24" s="105" customFormat="1" ht="32.25" customHeight="1">
      <c r="A64" s="530" t="s">
        <v>358</v>
      </c>
    </row>
    <row r="65" spans="3:24" ht="15" customHeight="1">
      <c r="C65" s="1299" t="s">
        <v>848</v>
      </c>
      <c r="D65" s="1299"/>
      <c r="E65" s="1299"/>
      <c r="F65" s="1299"/>
      <c r="L65" s="1299" t="s">
        <v>849</v>
      </c>
      <c r="M65" s="1299"/>
      <c r="N65" s="1299"/>
      <c r="O65" s="1299"/>
      <c r="U65" s="1299" t="s">
        <v>850</v>
      </c>
      <c r="V65" s="1299"/>
      <c r="W65" s="1299"/>
      <c r="X65" s="1299"/>
    </row>
    <row r="66" spans="3:24" ht="15" customHeight="1">
      <c r="C66" s="1299"/>
      <c r="D66" s="1299"/>
      <c r="E66" s="1299"/>
      <c r="F66" s="1299"/>
      <c r="L66" s="1299"/>
      <c r="M66" s="1299"/>
      <c r="N66" s="1299"/>
      <c r="O66" s="1299"/>
      <c r="U66" s="1299"/>
      <c r="V66" s="1299"/>
      <c r="W66" s="1299"/>
      <c r="X66" s="1299"/>
    </row>
    <row r="79" spans="3:24" ht="15" customHeight="1">
      <c r="C79" s="1299" t="s">
        <v>359</v>
      </c>
      <c r="D79" s="1299"/>
      <c r="E79" s="1299"/>
      <c r="F79" s="1299"/>
      <c r="L79" s="1299" t="s">
        <v>851</v>
      </c>
      <c r="M79" s="1299"/>
      <c r="N79" s="1299"/>
      <c r="O79" s="1299"/>
      <c r="U79" s="1299" t="s">
        <v>360</v>
      </c>
      <c r="V79" s="1299"/>
      <c r="W79" s="1299"/>
      <c r="X79" s="1299"/>
    </row>
    <row r="80" spans="3:24" ht="15" customHeight="1">
      <c r="C80" s="1299"/>
      <c r="D80" s="1299"/>
      <c r="E80" s="1299"/>
      <c r="F80" s="1299"/>
      <c r="L80" s="1299"/>
      <c r="M80" s="1299"/>
      <c r="N80" s="1299"/>
      <c r="O80" s="1299"/>
      <c r="U80" s="1299"/>
      <c r="V80" s="1299"/>
      <c r="W80" s="1299"/>
      <c r="X80" s="1299"/>
    </row>
    <row r="93" spans="2:24" ht="15" customHeight="1">
      <c r="B93" s="1299" t="s">
        <v>361</v>
      </c>
      <c r="C93" s="1299"/>
      <c r="D93" s="1299"/>
      <c r="E93" s="1299"/>
      <c r="F93" s="1299"/>
      <c r="G93" s="1299"/>
      <c r="K93" s="1299" t="s">
        <v>362</v>
      </c>
      <c r="L93" s="1299"/>
      <c r="M93" s="1299"/>
      <c r="N93" s="1299"/>
      <c r="O93" s="1299"/>
      <c r="P93" s="1299"/>
      <c r="U93" s="1299" t="s">
        <v>853</v>
      </c>
      <c r="V93" s="1299"/>
      <c r="W93" s="1299"/>
      <c r="X93" s="1299"/>
    </row>
    <row r="94" spans="2:24" ht="15" customHeight="1">
      <c r="B94" s="1299"/>
      <c r="C94" s="1299"/>
      <c r="D94" s="1299"/>
      <c r="E94" s="1299"/>
      <c r="F94" s="1299"/>
      <c r="G94" s="1299"/>
      <c r="K94" s="1299"/>
      <c r="L94" s="1299"/>
      <c r="M94" s="1299"/>
      <c r="N94" s="1299"/>
      <c r="O94" s="1299"/>
      <c r="P94" s="1299"/>
      <c r="U94" s="1299"/>
      <c r="V94" s="1299"/>
      <c r="W94" s="1299"/>
      <c r="X94" s="1299"/>
    </row>
    <row r="107" spans="1:14" s="8" customFormat="1" ht="7.5" customHeight="1"/>
    <row r="108" spans="1:14" s="105" customFormat="1" ht="32.25" customHeight="1">
      <c r="A108" s="530" t="s">
        <v>1307</v>
      </c>
    </row>
    <row r="109" spans="1:14" s="1066" customFormat="1" ht="18" customHeight="1">
      <c r="A109" s="1065" t="s">
        <v>1308</v>
      </c>
      <c r="B109" s="1065"/>
      <c r="C109" s="1065" t="s">
        <v>1309</v>
      </c>
      <c r="D109" s="1065"/>
      <c r="E109" s="1065" t="s">
        <v>1313</v>
      </c>
      <c r="F109" s="1065"/>
      <c r="G109" s="1065"/>
      <c r="H109" s="1065" t="s">
        <v>1310</v>
      </c>
      <c r="I109" s="1065"/>
      <c r="J109" s="1065"/>
      <c r="K109" s="1065"/>
      <c r="L109" s="1065"/>
    </row>
    <row r="110" spans="1:14" ht="18" customHeight="1">
      <c r="A110" s="1063" t="s">
        <v>1303</v>
      </c>
      <c r="B110" s="1063"/>
      <c r="C110" s="1063">
        <f ca="1">绝对估值!C33</f>
        <v>19.960960618332074</v>
      </c>
      <c r="D110" s="1063"/>
      <c r="E110" s="1063">
        <f ca="1">绝对估值敏感性分析!H10</f>
        <v>16.971305076330456</v>
      </c>
      <c r="F110" s="1063" t="s">
        <v>1311</v>
      </c>
      <c r="G110" s="1063">
        <f ca="1">绝对估值敏感性分析!F8</f>
        <v>23.289043603741664</v>
      </c>
      <c r="H110" s="1063" t="s">
        <v>2434</v>
      </c>
      <c r="I110" s="1063"/>
      <c r="J110" s="1063"/>
      <c r="K110" s="1063"/>
      <c r="L110" s="1063"/>
      <c r="N110" s="697">
        <f ca="1">G110-E110</f>
        <v>6.3177385274112083</v>
      </c>
    </row>
    <row r="111" spans="1:14" ht="18" customHeight="1">
      <c r="A111" s="1059" t="s">
        <v>1144</v>
      </c>
      <c r="B111" s="1059"/>
      <c r="C111" s="1059">
        <f ca="1">绝对估值!C50</f>
        <v>4.5600412500791538</v>
      </c>
      <c r="D111" s="1059"/>
      <c r="E111" s="1059">
        <f ca="1">绝对估值敏感性分析!H25</f>
        <v>3.9963453431629636</v>
      </c>
      <c r="F111" s="1059" t="s">
        <v>1311</v>
      </c>
      <c r="G111" s="1059">
        <f ca="1">绝对估值敏感性分析!F23</f>
        <v>5.1881633367316038</v>
      </c>
      <c r="H111" s="1059" t="s">
        <v>2438</v>
      </c>
      <c r="I111" s="1059"/>
      <c r="J111" s="1059"/>
      <c r="K111" s="1059"/>
      <c r="L111" s="1059"/>
      <c r="N111" s="697">
        <f ca="1">G111-E111</f>
        <v>1.1918179935686402</v>
      </c>
    </row>
    <row r="112" spans="1:14" ht="18" customHeight="1">
      <c r="A112" s="1060" t="s">
        <v>1304</v>
      </c>
      <c r="B112" s="1060"/>
      <c r="C112" s="1060">
        <f>绝对估值!C60</f>
        <v>0.77323448765471547</v>
      </c>
      <c r="D112" s="1060"/>
      <c r="E112" s="1060">
        <f>绝对估值敏感性分析!H40</f>
        <v>0.69425833968512995</v>
      </c>
      <c r="F112" s="1060" t="s">
        <v>1311</v>
      </c>
      <c r="G112" s="1060">
        <f>绝对估值敏感性分析!F38</f>
        <v>0.86117409480283269</v>
      </c>
      <c r="H112" s="1060" t="s">
        <v>2435</v>
      </c>
      <c r="I112" s="1060"/>
      <c r="J112" s="1060"/>
      <c r="K112" s="1060"/>
      <c r="L112" s="1060"/>
      <c r="N112" s="697">
        <f>G112-E112</f>
        <v>0.16691575511770274</v>
      </c>
    </row>
    <row r="113" spans="1:14" ht="18" customHeight="1">
      <c r="A113" s="1059" t="s">
        <v>1305</v>
      </c>
      <c r="B113" s="1059"/>
      <c r="C113" s="1059">
        <f ca="1">绝对估值!C77</f>
        <v>-6.9737826736940276</v>
      </c>
      <c r="D113" s="1059"/>
      <c r="E113" s="1059">
        <f ca="1">绝对估值敏感性分析!H55</f>
        <v>-5.6685328801998267</v>
      </c>
      <c r="F113" s="1059" t="s">
        <v>1311</v>
      </c>
      <c r="G113" s="1059">
        <f ca="1">绝对估值敏感性分析!F53</f>
        <v>-8.4241145843695602</v>
      </c>
      <c r="H113" s="1059" t="s">
        <v>2435</v>
      </c>
      <c r="I113" s="1059"/>
      <c r="J113" s="1059"/>
      <c r="K113" s="1059"/>
      <c r="L113" s="1059"/>
      <c r="N113" s="697">
        <f ca="1">G113-E113</f>
        <v>-2.7555817041697335</v>
      </c>
    </row>
    <row r="114" spans="1:14" ht="18" customHeight="1">
      <c r="A114" s="1061" t="s">
        <v>1306</v>
      </c>
      <c r="B114" s="1061"/>
      <c r="C114" s="1061">
        <f ca="1">绝对估值!C92</f>
        <v>-2.6737599806246188</v>
      </c>
      <c r="D114" s="1061"/>
      <c r="E114" s="1061">
        <f ca="1">绝对估值敏感性分析!H70</f>
        <v>-1.9102187836956055</v>
      </c>
      <c r="F114" s="1061" t="s">
        <v>1311</v>
      </c>
      <c r="G114" s="1061">
        <f ca="1">绝对估值敏感性分析!F68</f>
        <v>-3.5243911824237655</v>
      </c>
      <c r="H114" s="1061" t="s">
        <v>2438</v>
      </c>
      <c r="I114" s="1061"/>
      <c r="J114" s="1061"/>
      <c r="K114" s="1061"/>
      <c r="L114" s="1061"/>
      <c r="N114" s="697">
        <f ca="1">G114-E114</f>
        <v>-1.61417239872816</v>
      </c>
    </row>
    <row r="115" spans="1:14" ht="15" customHeight="1">
      <c r="A115" s="1064" t="s">
        <v>2439</v>
      </c>
    </row>
    <row r="132" spans="1:14" ht="7.5" customHeight="1"/>
    <row r="134" spans="1:14" s="105" customFormat="1" ht="32.25" customHeight="1">
      <c r="A134" s="530" t="s">
        <v>1341</v>
      </c>
    </row>
    <row r="135" spans="1:14" s="1066" customFormat="1" ht="18" customHeight="1">
      <c r="A135" s="1065" t="s">
        <v>1308</v>
      </c>
      <c r="B135" s="1065"/>
      <c r="C135" s="1065" t="s">
        <v>1309</v>
      </c>
      <c r="D135" s="1065"/>
      <c r="E135" s="1065" t="s">
        <v>1313</v>
      </c>
      <c r="F135" s="1065"/>
      <c r="G135" s="1065"/>
      <c r="H135" s="1065" t="s">
        <v>1310</v>
      </c>
      <c r="I135" s="1065"/>
      <c r="J135" s="1065"/>
      <c r="K135" s="1065"/>
      <c r="L135" s="1065"/>
    </row>
    <row r="136" spans="1:14" ht="18" customHeight="1">
      <c r="A136" s="1063" t="s">
        <v>1342</v>
      </c>
      <c r="B136" s="1063"/>
      <c r="C136" s="1063">
        <f ca="1">相对估值!H14</f>
        <v>-4.7582510847771005</v>
      </c>
      <c r="D136" s="1063"/>
      <c r="E136" s="1063">
        <f ca="1">相对估值!G13</f>
        <v>-3.9324389130389257</v>
      </c>
      <c r="F136" s="1063" t="s">
        <v>1311</v>
      </c>
      <c r="G136" s="1063">
        <f ca="1">相对估值!I15</f>
        <v>-5.7574838125802934</v>
      </c>
      <c r="H136" s="1063" t="s">
        <v>2437</v>
      </c>
      <c r="I136" s="1063"/>
      <c r="J136" s="1063"/>
      <c r="K136" s="1063"/>
      <c r="L136" s="1063"/>
      <c r="N136" s="697">
        <f ca="1">G136-E136</f>
        <v>-1.8250448995413677</v>
      </c>
    </row>
    <row r="137" spans="1:14" ht="18" customHeight="1">
      <c r="A137" s="1059" t="s">
        <v>288</v>
      </c>
      <c r="B137" s="1059"/>
      <c r="C137" s="1059">
        <f>相对估值!H33</f>
        <v>17.827120328814082</v>
      </c>
      <c r="D137" s="1059"/>
      <c r="E137" s="1059">
        <f>相对估值!G32</f>
        <v>14.733157296540561</v>
      </c>
      <c r="F137" s="1059" t="s">
        <v>1311</v>
      </c>
      <c r="G137" s="1059">
        <f>相对估值!I34</f>
        <v>21.570815597865042</v>
      </c>
      <c r="H137" s="1059" t="s">
        <v>2437</v>
      </c>
      <c r="I137" s="1059"/>
      <c r="J137" s="1059"/>
      <c r="K137" s="1059"/>
      <c r="L137" s="1059"/>
      <c r="N137" s="697">
        <f>G137-E137</f>
        <v>6.8376583013244812</v>
      </c>
    </row>
    <row r="138" spans="1:14" ht="18" customHeight="1">
      <c r="A138" s="1060" t="s">
        <v>290</v>
      </c>
      <c r="B138" s="1060"/>
      <c r="C138" s="1060">
        <f ca="1">相对估值!H52</f>
        <v>12.615604739016216</v>
      </c>
      <c r="D138" s="1060"/>
      <c r="E138" s="1060">
        <f ca="1">相对估值!G51</f>
        <v>10.426119619021666</v>
      </c>
      <c r="F138" s="1060" t="s">
        <v>1311</v>
      </c>
      <c r="G138" s="1060">
        <f ca="1">相对估值!I53</f>
        <v>15.264881734209625</v>
      </c>
      <c r="H138" s="1060" t="s">
        <v>2437</v>
      </c>
      <c r="I138" s="1060"/>
      <c r="J138" s="1060"/>
      <c r="K138" s="1060"/>
      <c r="L138" s="1060"/>
      <c r="N138" s="697">
        <f ca="1">G138-E138</f>
        <v>4.8387621151879596</v>
      </c>
    </row>
    <row r="139" spans="1:14" ht="18" customHeight="1">
      <c r="A139" s="1059" t="s">
        <v>1343</v>
      </c>
      <c r="B139" s="1059"/>
      <c r="C139" s="1059">
        <f ca="1">相对估值!H91</f>
        <v>-1.4341653377278678</v>
      </c>
      <c r="D139" s="1059"/>
      <c r="E139" s="1059">
        <f ca="1">相对估值!G90</f>
        <v>-1.4386686727734883</v>
      </c>
      <c r="F139" s="1059" t="s">
        <v>1311</v>
      </c>
      <c r="G139" s="1059">
        <f ca="1">相对估值!I92</f>
        <v>-1.4287163023226668</v>
      </c>
      <c r="H139" s="1059" t="s">
        <v>2437</v>
      </c>
      <c r="I139" s="1059"/>
      <c r="J139" s="1059"/>
      <c r="K139" s="1059"/>
      <c r="L139" s="1059"/>
      <c r="N139" s="697">
        <f ca="1">G139-E139</f>
        <v>9.9523704508215349E-3</v>
      </c>
    </row>
    <row r="140" spans="1:14" ht="15" customHeight="1">
      <c r="A140" s="1060" t="s">
        <v>2436</v>
      </c>
      <c r="B140" s="1060"/>
      <c r="C140" s="1060"/>
      <c r="D140" s="1060"/>
      <c r="E140" s="1060"/>
      <c r="F140" s="1060"/>
      <c r="G140" s="1060"/>
      <c r="H140" s="1060"/>
      <c r="I140" s="1060"/>
      <c r="J140" s="1060"/>
      <c r="K140" s="1060"/>
      <c r="L140" s="1060"/>
    </row>
    <row r="141" spans="1:14" ht="15" customHeight="1">
      <c r="A141" s="1062" t="s">
        <v>2436</v>
      </c>
      <c r="B141" s="1062"/>
      <c r="C141" s="1062"/>
      <c r="D141" s="1062"/>
      <c r="E141" s="1062"/>
      <c r="F141" s="1062"/>
      <c r="G141" s="1062"/>
      <c r="H141" s="1062"/>
      <c r="I141" s="1062"/>
      <c r="J141" s="1062"/>
      <c r="K141" s="1062"/>
      <c r="L141" s="1062"/>
    </row>
    <row r="142" spans="1:14" ht="15" customHeight="1">
      <c r="A142" s="1064" t="s">
        <v>2436</v>
      </c>
    </row>
    <row r="157" customFormat="1" ht="7.5" customHeight="1"/>
  </sheetData>
  <mergeCells count="27">
    <mergeCell ref="U79:X80"/>
    <mergeCell ref="U93:X94"/>
    <mergeCell ref="Q26:R28"/>
    <mergeCell ref="L65:O66"/>
    <mergeCell ref="B93:G94"/>
    <mergeCell ref="C79:F80"/>
    <mergeCell ref="L79:O80"/>
    <mergeCell ref="U65:X66"/>
    <mergeCell ref="S26:W28"/>
    <mergeCell ref="U35:X36"/>
    <mergeCell ref="C49:F50"/>
    <mergeCell ref="L49:O50"/>
    <mergeCell ref="U49:X50"/>
    <mergeCell ref="C65:F66"/>
    <mergeCell ref="AD4:AF5"/>
    <mergeCell ref="U4:W5"/>
    <mergeCell ref="H18:I20"/>
    <mergeCell ref="M4:M5"/>
    <mergeCell ref="Q10:R12"/>
    <mergeCell ref="Z20:AB21"/>
    <mergeCell ref="L20:N21"/>
    <mergeCell ref="Z10:AA12"/>
    <mergeCell ref="D12:D13"/>
    <mergeCell ref="L17:N19"/>
    <mergeCell ref="C35:F36"/>
    <mergeCell ref="L35:O36"/>
    <mergeCell ref="K93:P94"/>
  </mergeCells>
  <phoneticPr fontId="7" type="noConversion"/>
  <pageMargins left="0.75" right="0.75" top="1" bottom="1" header="0.5" footer="0.5"/>
  <pageSetup paperSize="9" orientation="portrait" horizontalDpi="1200" verticalDpi="12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N35"/>
  <sheetViews>
    <sheetView workbookViewId="0">
      <selection activeCell="F13" sqref="F13"/>
    </sheetView>
  </sheetViews>
  <sheetFormatPr defaultColWidth="19.5" defaultRowHeight="15.75" customHeight="1"/>
  <cols>
    <col min="1" max="1" width="2.875" customWidth="1"/>
    <col min="2" max="2" width="13.875" customWidth="1"/>
    <col min="3" max="3" width="11.5" customWidth="1"/>
    <col min="4" max="4" width="4.5" customWidth="1"/>
    <col min="5" max="5" width="15.5" customWidth="1"/>
    <col min="6" max="11" width="13.5" customWidth="1"/>
    <col min="12" max="12" width="19.5" customWidth="1"/>
    <col min="13" max="13" width="13" customWidth="1"/>
    <col min="14" max="14" width="8.5" customWidth="1"/>
  </cols>
  <sheetData>
    <row r="1" spans="2:14" ht="15.75" customHeight="1">
      <c r="M1" s="83" t="s">
        <v>1129</v>
      </c>
      <c r="N1" s="84">
        <v>0.05</v>
      </c>
    </row>
    <row r="2" spans="2:14" ht="15.75" customHeight="1">
      <c r="B2" s="1303" t="s">
        <v>1118</v>
      </c>
      <c r="C2" s="1304"/>
      <c r="M2" s="85" t="s">
        <v>1130</v>
      </c>
      <c r="N2" s="86">
        <v>7.0000000000000007E-2</v>
      </c>
    </row>
    <row r="3" spans="2:14" ht="15.75" customHeight="1">
      <c r="B3" s="70" t="s">
        <v>1112</v>
      </c>
      <c r="C3" s="72">
        <v>3.5000000000000003E-2</v>
      </c>
      <c r="D3" s="77"/>
      <c r="E3" s="77"/>
      <c r="F3" s="78" t="s">
        <v>1121</v>
      </c>
      <c r="G3" s="78" t="s">
        <v>1122</v>
      </c>
      <c r="H3" s="78" t="s">
        <v>1123</v>
      </c>
      <c r="I3" s="78" t="s">
        <v>1124</v>
      </c>
      <c r="J3" s="78" t="s">
        <v>1125</v>
      </c>
      <c r="K3" s="78" t="s">
        <v>1118</v>
      </c>
      <c r="M3" s="87" t="s">
        <v>1131</v>
      </c>
      <c r="N3" s="88">
        <v>0.03</v>
      </c>
    </row>
    <row r="4" spans="2:14" ht="15.75" customHeight="1">
      <c r="B4" s="71" t="s">
        <v>1113</v>
      </c>
      <c r="C4" s="73">
        <v>7.0000000000000007E-2</v>
      </c>
      <c r="E4" s="79" t="s">
        <v>1119</v>
      </c>
      <c r="F4" s="97" t="e">
        <f>资产负债!#REF!</f>
        <v>#REF!</v>
      </c>
      <c r="G4" s="79" t="e">
        <f>F4</f>
        <v>#REF!</v>
      </c>
      <c r="H4" s="91" t="e">
        <f>G4/G8</f>
        <v>#REF!</v>
      </c>
      <c r="I4" s="91">
        <f>N1</f>
        <v>0.05</v>
      </c>
      <c r="J4" s="91">
        <f>I4*(1-假设!I19)</f>
        <v>4.2356715029505831E-2</v>
      </c>
      <c r="K4" s="91" t="e">
        <f>H4*J4</f>
        <v>#REF!</v>
      </c>
    </row>
    <row r="5" spans="2:14" ht="15.75" customHeight="1">
      <c r="B5" s="71" t="s">
        <v>1115</v>
      </c>
      <c r="C5" s="74">
        <v>0.9</v>
      </c>
      <c r="E5" s="80" t="s">
        <v>1120</v>
      </c>
      <c r="F5" s="80" t="e">
        <f>资产负债!#REF!+资产负债!#REF!</f>
        <v>#REF!</v>
      </c>
      <c r="G5" s="80" t="e">
        <f>F5</f>
        <v>#REF!</v>
      </c>
      <c r="H5" s="92" t="e">
        <f>G5/G8</f>
        <v>#REF!</v>
      </c>
      <c r="I5" s="92">
        <f>N2</f>
        <v>7.0000000000000007E-2</v>
      </c>
      <c r="J5" s="92">
        <f>I5*(1-假设!I19)</f>
        <v>5.9299401041308167E-2</v>
      </c>
      <c r="K5" s="92" t="e">
        <f>H5*J5</f>
        <v>#REF!</v>
      </c>
    </row>
    <row r="6" spans="2:14" ht="15.75" customHeight="1">
      <c r="B6" s="71" t="s">
        <v>1116</v>
      </c>
      <c r="C6" s="75">
        <f>C3+C4</f>
        <v>0.10500000000000001</v>
      </c>
      <c r="E6" s="81" t="s">
        <v>1126</v>
      </c>
      <c r="F6" s="81" t="e">
        <f>F4+F5</f>
        <v>#REF!</v>
      </c>
      <c r="G6" s="81" t="e">
        <f>G4+G5</f>
        <v>#REF!</v>
      </c>
      <c r="H6" s="89" t="e">
        <f>G6/G8</f>
        <v>#REF!</v>
      </c>
      <c r="I6" s="89" t="e">
        <f>(G4/G6)*I4+(G5/G6)*I5</f>
        <v>#REF!</v>
      </c>
      <c r="J6" s="89" t="e">
        <f>I6*(1-假设!I19)</f>
        <v>#REF!</v>
      </c>
      <c r="K6" s="89" t="e">
        <f>H6*J6</f>
        <v>#REF!</v>
      </c>
    </row>
    <row r="7" spans="2:14" ht="15.75" customHeight="1">
      <c r="B7" s="71" t="s">
        <v>1117</v>
      </c>
      <c r="C7" s="75">
        <f>C3+C5*(C6-C3)</f>
        <v>9.8000000000000018E-2</v>
      </c>
      <c r="E7" s="81" t="s">
        <v>1127</v>
      </c>
      <c r="F7" s="81" t="e">
        <f>估值!B5*1000000</f>
        <v>#VALUE!</v>
      </c>
      <c r="G7" s="81" t="e">
        <f>F7*#REF!</f>
        <v>#VALUE!</v>
      </c>
      <c r="H7" s="89" t="e">
        <f>G7/G8</f>
        <v>#VALUE!</v>
      </c>
      <c r="I7" s="89">
        <f>C7</f>
        <v>9.8000000000000018E-2</v>
      </c>
      <c r="J7" s="89">
        <f>I7</f>
        <v>9.8000000000000018E-2</v>
      </c>
      <c r="K7" s="89" t="e">
        <f>H7*J7</f>
        <v>#VALUE!</v>
      </c>
    </row>
    <row r="8" spans="2:14" ht="15.75" customHeight="1">
      <c r="B8" s="76" t="s">
        <v>1118</v>
      </c>
      <c r="C8" s="76" t="str">
        <f>K8</f>
        <v xml:space="preserve">                                                                                                                                                                       </v>
      </c>
      <c r="D8" s="21"/>
      <c r="E8" s="82" t="s">
        <v>1128</v>
      </c>
      <c r="F8" s="82" t="e">
        <f>F6+F7</f>
        <v>#REF!</v>
      </c>
      <c r="G8" s="82" t="e">
        <f>G6+G7</f>
        <v>#REF!</v>
      </c>
      <c r="H8" s="90" t="e">
        <f>H6+H7</f>
        <v>#REF!</v>
      </c>
      <c r="I8" s="90"/>
      <c r="J8" s="90"/>
      <c r="K8" s="90" t="s">
        <v>1210</v>
      </c>
    </row>
    <row r="11" spans="2:14" s="101" customFormat="1" ht="15.75" customHeight="1">
      <c r="E11" s="100" t="s">
        <v>1216</v>
      </c>
      <c r="F11" s="101" t="s">
        <v>1217</v>
      </c>
      <c r="G11" s="101" t="s">
        <v>1218</v>
      </c>
      <c r="H11" s="101" t="s">
        <v>1219</v>
      </c>
      <c r="I11" s="101" t="s">
        <v>1220</v>
      </c>
      <c r="J11" s="101" t="s">
        <v>1221</v>
      </c>
    </row>
    <row r="12" spans="2:14" ht="15.75" customHeight="1">
      <c r="B12" s="1305" t="s">
        <v>1132</v>
      </c>
      <c r="C12" s="1305"/>
      <c r="E12" s="99" t="s">
        <v>1211</v>
      </c>
    </row>
    <row r="13" spans="2:14" ht="15.75" customHeight="1">
      <c r="B13" s="93" t="s">
        <v>1133</v>
      </c>
      <c r="C13" s="95">
        <v>0.02</v>
      </c>
      <c r="E13" s="93" t="s">
        <v>1137</v>
      </c>
    </row>
    <row r="14" spans="2:14" ht="15.75" customHeight="1">
      <c r="B14" s="94" t="s">
        <v>1134</v>
      </c>
      <c r="C14" s="96"/>
      <c r="E14" s="94" t="s">
        <v>1138</v>
      </c>
    </row>
    <row r="15" spans="2:14" ht="15.75" customHeight="1">
      <c r="B15" s="94" t="s">
        <v>1135</v>
      </c>
      <c r="C15" s="9" t="str">
        <f>C8</f>
        <v xml:space="preserve">                                                                                                                                                                       </v>
      </c>
      <c r="E15" s="94" t="s">
        <v>1139</v>
      </c>
    </row>
    <row r="16" spans="2:14" ht="15.75" customHeight="1">
      <c r="B16" s="94" t="s">
        <v>1136</v>
      </c>
      <c r="C16" s="9">
        <f>C7</f>
        <v>9.8000000000000018E-2</v>
      </c>
      <c r="E16" s="98"/>
    </row>
    <row r="17" spans="5:5" ht="15.75" customHeight="1">
      <c r="E17" s="99" t="s">
        <v>1212</v>
      </c>
    </row>
    <row r="18" spans="5:5" ht="15.75" customHeight="1">
      <c r="E18" s="93" t="s">
        <v>1140</v>
      </c>
    </row>
    <row r="19" spans="5:5" ht="15.75" customHeight="1">
      <c r="E19" s="94" t="s">
        <v>1138</v>
      </c>
    </row>
    <row r="20" spans="5:5" ht="15.75" customHeight="1">
      <c r="E20" s="94" t="s">
        <v>1141</v>
      </c>
    </row>
    <row r="21" spans="5:5" ht="15.75" customHeight="1">
      <c r="E21" s="7"/>
    </row>
    <row r="22" spans="5:5" ht="15.75" customHeight="1">
      <c r="E22" s="99" t="s">
        <v>1213</v>
      </c>
    </row>
    <row r="23" spans="5:5" ht="15.75" customHeight="1">
      <c r="E23" s="93" t="s">
        <v>1142</v>
      </c>
    </row>
    <row r="24" spans="5:5" ht="15.75" customHeight="1">
      <c r="E24" s="94" t="s">
        <v>1138</v>
      </c>
    </row>
    <row r="25" spans="5:5" ht="15.75" customHeight="1">
      <c r="E25" s="94" t="s">
        <v>1143</v>
      </c>
    </row>
    <row r="26" spans="5:5" ht="15.75" customHeight="1">
      <c r="E26" s="98"/>
    </row>
    <row r="27" spans="5:5" ht="15.75" customHeight="1">
      <c r="E27" s="99" t="s">
        <v>1214</v>
      </c>
    </row>
    <row r="28" spans="5:5" ht="15.75" customHeight="1">
      <c r="E28" s="93" t="s">
        <v>1144</v>
      </c>
    </row>
    <row r="29" spans="5:5" ht="15.75" customHeight="1">
      <c r="E29" s="94" t="s">
        <v>1138</v>
      </c>
    </row>
    <row r="30" spans="5:5" ht="15.75" customHeight="1">
      <c r="E30" s="94" t="s">
        <v>1145</v>
      </c>
    </row>
    <row r="31" spans="5:5" ht="15.75" customHeight="1">
      <c r="E31" s="98"/>
    </row>
    <row r="32" spans="5:5" ht="15.75" customHeight="1">
      <c r="E32" s="99" t="s">
        <v>1215</v>
      </c>
    </row>
    <row r="33" spans="5:5" ht="15.75" customHeight="1">
      <c r="E33" s="93" t="s">
        <v>1066</v>
      </c>
    </row>
    <row r="34" spans="5:5" ht="15.75" customHeight="1">
      <c r="E34" s="94" t="s">
        <v>1138</v>
      </c>
    </row>
    <row r="35" spans="5:5" ht="15.75" customHeight="1">
      <c r="E35" s="102" t="s">
        <v>1145</v>
      </c>
    </row>
  </sheetData>
  <mergeCells count="2">
    <mergeCell ref="B2:C2"/>
    <mergeCell ref="B12:C12"/>
  </mergeCells>
  <phoneticPr fontId="33" type="noConversion"/>
  <pageMargins left="0.75" right="0.75" top="1" bottom="1" header="0.5" footer="0.5"/>
  <pageSetup paperSize="9"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theme="0"/>
  </sheetPr>
  <dimension ref="A1:AE82"/>
  <sheetViews>
    <sheetView workbookViewId="0">
      <pane xSplit="1" topLeftCell="B1" activePane="topRight" state="frozen"/>
      <selection activeCell="M117" sqref="M117"/>
      <selection pane="topRight" activeCell="B15" sqref="B15"/>
    </sheetView>
  </sheetViews>
  <sheetFormatPr defaultColWidth="20.875" defaultRowHeight="15" customHeight="1"/>
  <cols>
    <col min="1" max="1" width="30.625" customWidth="1"/>
    <col min="2" max="4" width="15.875" customWidth="1"/>
    <col min="5" max="31" width="15.875" hidden="1" customWidth="1"/>
    <col min="32" max="120" width="12.875" customWidth="1"/>
  </cols>
  <sheetData>
    <row r="1" spans="1:4" ht="23.25" customHeight="1"/>
    <row r="2" spans="1:4" s="69" customFormat="1" ht="15.75" customHeight="1">
      <c r="A2" s="664" t="s">
        <v>1114</v>
      </c>
      <c r="B2" s="69" t="s">
        <v>904</v>
      </c>
      <c r="C2" s="69" t="s">
        <v>905</v>
      </c>
      <c r="D2" s="69" t="s">
        <v>906</v>
      </c>
    </row>
    <row r="3" spans="1:4" s="450" customFormat="1" ht="15" customHeight="1">
      <c r="A3" s="612" t="s">
        <v>846</v>
      </c>
      <c r="B3" s="450">
        <v>1218.8803831403129</v>
      </c>
      <c r="C3" s="450">
        <v>1216.9602273482863</v>
      </c>
      <c r="D3" s="450">
        <v>1008.2287433540104</v>
      </c>
    </row>
    <row r="4" spans="1:4" s="9" customFormat="1" ht="15" customHeight="1">
      <c r="A4" s="610" t="s">
        <v>28</v>
      </c>
      <c r="B4" s="9">
        <v>-3.6797614181926543E-2</v>
      </c>
      <c r="C4" s="9">
        <v>-1.5753439128125175E-3</v>
      </c>
      <c r="D4" s="9">
        <v>-0.17151873931746683</v>
      </c>
    </row>
    <row r="5" spans="1:4" s="9" customFormat="1" ht="15" customHeight="1">
      <c r="A5" s="608" t="s">
        <v>705</v>
      </c>
      <c r="B5" s="9">
        <v>-0.51114214979847983</v>
      </c>
      <c r="C5" s="9">
        <v>-0.54882982849025486</v>
      </c>
      <c r="D5" s="9">
        <v>-0.56980080605233074</v>
      </c>
    </row>
    <row r="6" spans="1:4" s="450" customFormat="1" ht="15" customHeight="1">
      <c r="A6" s="613" t="s">
        <v>985</v>
      </c>
      <c r="B6" s="450">
        <v>1841.9015225258472</v>
      </c>
      <c r="C6" s="450">
        <v>1884.8643002033077</v>
      </c>
      <c r="D6" s="450">
        <v>1582.718294002254</v>
      </c>
    </row>
    <row r="7" spans="1:4" s="450" customFormat="1" ht="15" customHeight="1">
      <c r="A7" s="614" t="s">
        <v>986</v>
      </c>
      <c r="B7" s="450">
        <v>6.4302056571791821</v>
      </c>
      <c r="C7" s="450">
        <v>6.6953155834380658</v>
      </c>
      <c r="D7" s="450">
        <v>5.6465563053600789</v>
      </c>
    </row>
    <row r="8" spans="1:4" s="450" customFormat="1" ht="15" customHeight="1">
      <c r="A8" s="615" t="s">
        <v>1165</v>
      </c>
      <c r="B8" s="450">
        <v>1.0971181800151455</v>
      </c>
      <c r="C8" s="450">
        <v>1.2425890750202757</v>
      </c>
      <c r="D8" s="450">
        <v>1.2587777734592935</v>
      </c>
    </row>
    <row r="9" spans="1:4" s="450" customFormat="1" ht="15" customHeight="1">
      <c r="A9" s="612" t="s">
        <v>1058</v>
      </c>
      <c r="B9" s="450">
        <v>74.702016759338207</v>
      </c>
      <c r="C9" s="450">
        <v>75.151504134251866</v>
      </c>
      <c r="D9" s="450">
        <v>69.446371293327076</v>
      </c>
    </row>
    <row r="10" spans="1:4" s="450" customFormat="1" ht="15" customHeight="1">
      <c r="A10" s="616" t="s">
        <v>987</v>
      </c>
      <c r="B10" s="450">
        <v>177.55908865850077</v>
      </c>
      <c r="C10" s="450">
        <v>166.13531265363829</v>
      </c>
      <c r="D10" s="450">
        <v>132.18180916131655</v>
      </c>
    </row>
    <row r="11" spans="1:4" s="9" customFormat="1" ht="15" customHeight="1">
      <c r="A11" s="617" t="s">
        <v>1451</v>
      </c>
      <c r="B11" s="9">
        <v>0.20786143341244379</v>
      </c>
      <c r="C11" s="9">
        <v>0.19929115217789289</v>
      </c>
      <c r="D11" s="9">
        <v>0.20123107932151565</v>
      </c>
    </row>
    <row r="12" spans="1:4" s="625" customFormat="1" ht="15.75" customHeight="1">
      <c r="A12" s="624" t="s">
        <v>642</v>
      </c>
      <c r="B12" s="625">
        <v>0</v>
      </c>
      <c r="C12" s="625">
        <v>0</v>
      </c>
      <c r="D12" s="625">
        <v>0</v>
      </c>
    </row>
    <row r="13" spans="1:4" s="450" customFormat="1" ht="15" customHeight="1">
      <c r="A13" s="615" t="s">
        <v>643</v>
      </c>
      <c r="B13" s="450">
        <v>0</v>
      </c>
      <c r="C13" s="450">
        <v>0</v>
      </c>
      <c r="D13" s="450">
        <v>0</v>
      </c>
    </row>
    <row r="14" spans="1:4" s="450" customFormat="1" ht="15" customHeight="1">
      <c r="A14" s="615" t="s">
        <v>644</v>
      </c>
      <c r="B14" s="450">
        <v>-8.600376136666668</v>
      </c>
      <c r="C14" s="450">
        <v>4.9096498544444458</v>
      </c>
      <c r="D14" s="450">
        <v>-1.2302420940740717</v>
      </c>
    </row>
    <row r="15" spans="1:4" s="450" customFormat="1" ht="15" customHeight="1">
      <c r="A15" s="618" t="s">
        <v>1008</v>
      </c>
      <c r="B15" s="450">
        <v>-891.40994477723427</v>
      </c>
      <c r="C15" s="450">
        <v>-912.2191444469255</v>
      </c>
      <c r="D15" s="450">
        <v>-784.25330727578057</v>
      </c>
    </row>
    <row r="16" spans="1:4" s="450" customFormat="1" ht="15" customHeight="1">
      <c r="A16" s="613" t="s">
        <v>648</v>
      </c>
      <c r="B16" s="450">
        <v>1109.43743926</v>
      </c>
      <c r="C16" s="450">
        <v>1201.8109696600002</v>
      </c>
      <c r="D16" s="450">
        <v>1096.8176757933334</v>
      </c>
    </row>
    <row r="17" spans="1:4" s="450" customFormat="1" ht="15" customHeight="1">
      <c r="A17" s="613" t="s">
        <v>1009</v>
      </c>
      <c r="B17" s="450">
        <v>2.0034078599999998</v>
      </c>
      <c r="C17" s="450">
        <v>2.4799087433333331</v>
      </c>
      <c r="D17" s="450">
        <v>1.5646419144444443</v>
      </c>
    </row>
    <row r="18" spans="1:4" s="627" customFormat="1" ht="15" customHeight="1">
      <c r="A18" s="626" t="s">
        <v>650</v>
      </c>
      <c r="B18" s="627">
        <v>216.02408662276574</v>
      </c>
      <c r="C18" s="627">
        <v>287.11191646974135</v>
      </c>
      <c r="D18" s="627">
        <v>310.99972660310834</v>
      </c>
    </row>
    <row r="19" spans="1:4" s="450" customFormat="1" ht="15" customHeight="1">
      <c r="A19" s="613" t="s">
        <v>1026</v>
      </c>
      <c r="B19" s="450">
        <v>23.805348446679208</v>
      </c>
      <c r="C19" s="450">
        <v>66.233984364420309</v>
      </c>
      <c r="D19" s="450">
        <v>34.061944263991919</v>
      </c>
    </row>
    <row r="20" spans="1:4" s="627" customFormat="1" ht="12.75" customHeight="1">
      <c r="A20" s="626" t="s">
        <v>1025</v>
      </c>
      <c r="B20" s="627">
        <v>192.21873817608653</v>
      </c>
      <c r="C20" s="627">
        <v>220.87793210532104</v>
      </c>
      <c r="D20" s="627">
        <v>276.93778233911644</v>
      </c>
    </row>
    <row r="21" spans="1:4" s="450" customFormat="1" ht="16.5" customHeight="1">
      <c r="A21" s="612" t="s">
        <v>720</v>
      </c>
      <c r="B21" s="450">
        <v>-47.389245302495148</v>
      </c>
      <c r="C21" s="450">
        <v>-77.852362013796963</v>
      </c>
      <c r="D21" s="450">
        <v>-43.295966729332306</v>
      </c>
    </row>
    <row r="22" spans="1:4" s="623" customFormat="1" ht="15" customHeight="1">
      <c r="A22" s="622" t="s">
        <v>32</v>
      </c>
      <c r="B22" s="623">
        <v>239.60798347858167</v>
      </c>
      <c r="C22" s="623">
        <v>298.73029411911801</v>
      </c>
      <c r="D22" s="623">
        <v>320.23374906844873</v>
      </c>
    </row>
    <row r="23" spans="1:4" s="627" customFormat="1" ht="14.25" customHeight="1">
      <c r="A23" s="626" t="s">
        <v>33</v>
      </c>
      <c r="B23" s="627">
        <v>0.39751634402772673</v>
      </c>
      <c r="C23" s="627">
        <v>0.49560191043957547</v>
      </c>
      <c r="D23" s="627">
        <v>0.5312767434368949</v>
      </c>
    </row>
    <row r="24" spans="1:4" s="9" customFormat="1" ht="15" customHeight="1">
      <c r="A24" s="609" t="s">
        <v>1489</v>
      </c>
      <c r="B24" s="9">
        <v>3.0400596101995487E-2</v>
      </c>
      <c r="C24" s="9">
        <v>3.5178675612384414E-2</v>
      </c>
      <c r="D24" s="9">
        <v>4.5371444330461988E-2</v>
      </c>
    </row>
    <row r="25" spans="1:4" s="9" customFormat="1" ht="15" customHeight="1">
      <c r="A25" s="609" t="s">
        <v>1488</v>
      </c>
      <c r="B25" s="9">
        <v>0.10037374660880347</v>
      </c>
      <c r="C25" s="9">
        <v>0.10341172787019562</v>
      </c>
      <c r="D25" s="9">
        <v>0.11477641448709454</v>
      </c>
    </row>
    <row r="26" spans="1:4" s="9" customFormat="1" ht="15" customHeight="1">
      <c r="A26" s="611" t="s">
        <v>29</v>
      </c>
      <c r="B26" s="9">
        <v>6.2182236761157569E-2</v>
      </c>
      <c r="C26" s="9">
        <v>6.0784487878809246E-2</v>
      </c>
      <c r="D26" s="9">
        <v>6.9018841205715081E-2</v>
      </c>
    </row>
    <row r="27" spans="1:4" s="9" customFormat="1" ht="15" customHeight="1">
      <c r="A27" s="611"/>
    </row>
    <row r="28" spans="1:4" s="9" customFormat="1" ht="15" customHeight="1">
      <c r="A28" s="611"/>
    </row>
    <row r="29" spans="1:4" s="9" customFormat="1" ht="20.25" customHeight="1">
      <c r="A29" s="611"/>
    </row>
    <row r="30" spans="1:4" s="621" customFormat="1" ht="15" customHeight="1">
      <c r="A30" s="665" t="s">
        <v>31</v>
      </c>
      <c r="B30" s="69" t="str">
        <f>假设!I2</f>
        <v>2023E</v>
      </c>
      <c r="C30" s="69" t="str">
        <f>假设!J2</f>
        <v>2024E</v>
      </c>
      <c r="D30" s="69" t="str">
        <f>假设!K2</f>
        <v>2025E</v>
      </c>
    </row>
    <row r="31" spans="1:4" ht="15" customHeight="1">
      <c r="A31" s="111" t="s">
        <v>846</v>
      </c>
      <c r="B31">
        <v>34388.499724908448</v>
      </c>
      <c r="C31">
        <v>53858.838642621573</v>
      </c>
      <c r="D31">
        <v>85364.359137257939</v>
      </c>
    </row>
    <row r="32" spans="1:4" s="9" customFormat="1" ht="15" customHeight="1">
      <c r="A32" s="631" t="s">
        <v>28</v>
      </c>
      <c r="B32" s="9">
        <v>0.656306212440528</v>
      </c>
      <c r="C32" s="9">
        <v>0.56618750668003903</v>
      </c>
      <c r="D32" s="9">
        <v>0.58496472052971915</v>
      </c>
    </row>
    <row r="33" spans="1:4" s="9" customFormat="1" ht="15" customHeight="1">
      <c r="A33" s="632" t="s">
        <v>705</v>
      </c>
      <c r="B33" s="9">
        <v>0.27235627896888281</v>
      </c>
      <c r="C33" s="9">
        <v>0.26772184882099825</v>
      </c>
      <c r="D33" s="9">
        <v>0.26575726041717862</v>
      </c>
    </row>
    <row r="34" spans="1:4" ht="15" customHeight="1">
      <c r="A34" s="108" t="s">
        <v>985</v>
      </c>
      <c r="B34">
        <v>25022.575900509932</v>
      </c>
      <c r="C34">
        <v>39439.650785867103</v>
      </c>
      <c r="D34">
        <v>62678.160915672117</v>
      </c>
    </row>
    <row r="35" spans="1:4" ht="15" customHeight="1">
      <c r="A35" s="106" t="s">
        <v>986</v>
      </c>
      <c r="B35">
        <v>122.99843202022205</v>
      </c>
      <c r="C35">
        <v>200.4244069508847</v>
      </c>
      <c r="D35">
        <v>355.68736410969444</v>
      </c>
    </row>
    <row r="36" spans="1:4" ht="15" customHeight="1">
      <c r="A36" s="110" t="s">
        <v>1165</v>
      </c>
      <c r="B36">
        <v>2384.5070927468346</v>
      </c>
      <c r="C36">
        <v>3597.0904677275989</v>
      </c>
      <c r="D36">
        <v>5586.770227395843</v>
      </c>
    </row>
    <row r="37" spans="1:4" ht="15" customHeight="1">
      <c r="A37" s="111" t="s">
        <v>1058</v>
      </c>
      <c r="B37">
        <v>1469.832054761114</v>
      </c>
      <c r="C37">
        <v>2333.7618637807118</v>
      </c>
      <c r="D37">
        <v>3592.1753592533437</v>
      </c>
    </row>
    <row r="38" spans="1:4" ht="15" customHeight="1">
      <c r="A38" s="536" t="s">
        <v>987</v>
      </c>
      <c r="B38">
        <v>545.41718290383665</v>
      </c>
      <c r="C38">
        <v>1006.9826941073272</v>
      </c>
      <c r="D38">
        <v>1454.8600995838785</v>
      </c>
    </row>
    <row r="39" spans="1:4" s="9" customFormat="1" ht="15" customHeight="1">
      <c r="A39" s="617" t="s">
        <v>1451</v>
      </c>
      <c r="B39" s="9">
        <v>0.12794266587980668</v>
      </c>
      <c r="C39" s="9">
        <v>0.12881516201363713</v>
      </c>
      <c r="D39" s="9">
        <v>0.12456961891009918</v>
      </c>
    </row>
    <row r="40" spans="1:4" ht="15" customHeight="1">
      <c r="A40" s="110" t="s">
        <v>642</v>
      </c>
      <c r="B40">
        <v>209.57362892536818</v>
      </c>
      <c r="C40">
        <v>296.73932407044617</v>
      </c>
      <c r="D40">
        <v>437.91126674621552</v>
      </c>
    </row>
    <row r="41" spans="1:4" ht="15" customHeight="1">
      <c r="A41" s="110" t="s">
        <v>643</v>
      </c>
      <c r="B41">
        <v>-4.2343694766666671</v>
      </c>
      <c r="C41">
        <v>-5.6458259688888894</v>
      </c>
      <c r="D41">
        <v>-1.6365782451851858</v>
      </c>
    </row>
    <row r="42" spans="1:4" ht="15" customHeight="1">
      <c r="A42" s="110" t="s">
        <v>644</v>
      </c>
      <c r="B42">
        <v>7.5318017766666667</v>
      </c>
      <c r="C42" s="619">
        <v>5.8791426522222219</v>
      </c>
      <c r="D42">
        <v>4.3849001696296295</v>
      </c>
    </row>
    <row r="43" spans="1:4" s="619" customFormat="1" ht="15" customHeight="1">
      <c r="A43" s="628" t="s">
        <v>1008</v>
      </c>
      <c r="B43" s="619">
        <v>4636.8928653411404</v>
      </c>
      <c r="C43" s="619">
        <v>6984.422416800835</v>
      </c>
      <c r="D43" s="619">
        <v>11261.542226421292</v>
      </c>
    </row>
    <row r="44" spans="1:4" ht="15" customHeight="1">
      <c r="A44" s="108" t="s">
        <v>648</v>
      </c>
      <c r="B44">
        <v>123.64198532</v>
      </c>
      <c r="C44">
        <v>145.58516165333333</v>
      </c>
      <c r="D44">
        <v>133.31578485111109</v>
      </c>
    </row>
    <row r="45" spans="1:4" ht="15" customHeight="1">
      <c r="A45" s="108" t="s">
        <v>1009</v>
      </c>
      <c r="B45">
        <v>47.160857253333326</v>
      </c>
      <c r="C45">
        <v>45.714546757777782</v>
      </c>
      <c r="D45">
        <v>42.015763247037036</v>
      </c>
    </row>
    <row r="46" spans="1:4" s="619" customFormat="1" ht="15" customHeight="1">
      <c r="A46" s="628" t="s">
        <v>34</v>
      </c>
      <c r="B46" s="619">
        <v>4713.3739934078076</v>
      </c>
      <c r="C46" s="619">
        <v>7084.2930316963912</v>
      </c>
      <c r="D46" s="619">
        <v>11352.842248025367</v>
      </c>
    </row>
    <row r="47" spans="1:4" ht="15" customHeight="1">
      <c r="A47" s="108" t="s">
        <v>1026</v>
      </c>
      <c r="B47">
        <v>433.80288847649524</v>
      </c>
      <c r="C47">
        <v>811.82527378683528</v>
      </c>
      <c r="D47">
        <v>1328.799611410911</v>
      </c>
    </row>
    <row r="48" spans="1:4" s="619" customFormat="1" ht="15" customHeight="1">
      <c r="A48" s="628" t="s">
        <v>1025</v>
      </c>
      <c r="B48" s="619">
        <v>4279.5711049313122</v>
      </c>
      <c r="C48" s="619">
        <v>6272.467757909556</v>
      </c>
      <c r="D48" s="619">
        <v>10024.042636614457</v>
      </c>
    </row>
    <row r="49" spans="1:4" ht="15" customHeight="1">
      <c r="A49" s="111" t="s">
        <v>720</v>
      </c>
      <c r="B49">
        <v>46.492989594362037</v>
      </c>
      <c r="C49">
        <v>94.783016041086668</v>
      </c>
      <c r="D49">
        <v>150.91191498352345</v>
      </c>
    </row>
    <row r="50" spans="1:4" s="619" customFormat="1" ht="15" customHeight="1">
      <c r="A50" s="629" t="s">
        <v>32</v>
      </c>
      <c r="B50" s="619">
        <v>4233.0781153369498</v>
      </c>
      <c r="C50" s="619">
        <v>6177.6847418684692</v>
      </c>
      <c r="D50" s="619">
        <v>9873.1307216309324</v>
      </c>
    </row>
    <row r="51" spans="1:4" s="619" customFormat="1" ht="15" customHeight="1">
      <c r="A51" s="620" t="s">
        <v>33</v>
      </c>
      <c r="B51" s="619">
        <v>0.99607697284239072</v>
      </c>
      <c r="C51" s="619">
        <v>1.4536583897566844</v>
      </c>
      <c r="D51" s="619">
        <v>2.3232262419273915</v>
      </c>
    </row>
    <row r="52" spans="1:4" s="9" customFormat="1" ht="15" customHeight="1">
      <c r="A52" s="617" t="s">
        <v>1489</v>
      </c>
      <c r="B52" s="9">
        <v>9.8581785741082631E-2</v>
      </c>
      <c r="C52" s="9">
        <v>9.0532013398841316E-2</v>
      </c>
      <c r="D52" s="9">
        <v>9.6933420003516929E-2</v>
      </c>
    </row>
    <row r="53" spans="1:4" s="9" customFormat="1" ht="15" customHeight="1">
      <c r="A53" s="617" t="s">
        <v>1488</v>
      </c>
      <c r="B53" s="9">
        <v>0.34444468276081264</v>
      </c>
      <c r="C53" s="9">
        <v>0.34405458121238242</v>
      </c>
      <c r="D53" s="9">
        <v>0.36496524724662216</v>
      </c>
    </row>
    <row r="54" spans="1:4" s="9" customFormat="1" ht="15" customHeight="1">
      <c r="A54" s="630" t="s">
        <v>29</v>
      </c>
      <c r="B54" s="9">
        <v>0.14524381223632868</v>
      </c>
      <c r="C54" s="9">
        <v>0.14810289881767041</v>
      </c>
      <c r="D54" s="9">
        <v>0.15013397184452323</v>
      </c>
    </row>
    <row r="55" spans="1:4" ht="16.5" customHeight="1">
      <c r="A55" s="611"/>
    </row>
    <row r="56" spans="1:4" ht="15" customHeight="1">
      <c r="A56" s="611"/>
    </row>
    <row r="57" spans="1:4" ht="21" customHeight="1">
      <c r="A57" s="611"/>
    </row>
    <row r="58" spans="1:4" s="621" customFormat="1" ht="15" customHeight="1">
      <c r="A58" s="665" t="s">
        <v>30</v>
      </c>
      <c r="B58" s="621" t="str">
        <f>假设!I2</f>
        <v>2023E</v>
      </c>
      <c r="C58" s="621" t="str">
        <f>假设!J2</f>
        <v>2024E</v>
      </c>
      <c r="D58" s="621" t="str">
        <f>假设!K2</f>
        <v>2025E</v>
      </c>
    </row>
    <row r="59" spans="1:4" ht="15" customHeight="1">
      <c r="A59" s="111" t="s">
        <v>846</v>
      </c>
      <c r="B59">
        <v>26990.812028960001</v>
      </c>
      <c r="C59">
        <v>35088.055637648002</v>
      </c>
      <c r="D59">
        <v>45614.472328942407</v>
      </c>
    </row>
    <row r="60" spans="1:4" s="9" customFormat="1" ht="15" customHeight="1">
      <c r="A60" s="631" t="s">
        <v>28</v>
      </c>
      <c r="B60" s="9">
        <v>0.3</v>
      </c>
      <c r="C60" s="9">
        <v>0.3</v>
      </c>
      <c r="D60" s="9">
        <v>0.3</v>
      </c>
    </row>
    <row r="61" spans="1:4" s="9" customFormat="1" ht="15" customHeight="1">
      <c r="A61" s="632" t="s">
        <v>705</v>
      </c>
      <c r="B61" s="9">
        <v>0.27235627896888281</v>
      </c>
      <c r="C61" s="9">
        <v>0.26772184882099825</v>
      </c>
      <c r="D61" s="9">
        <v>0.26575726041717862</v>
      </c>
    </row>
    <row r="62" spans="1:4" ht="15" customHeight="1">
      <c r="A62" s="108" t="s">
        <v>985</v>
      </c>
      <c r="B62">
        <v>19639.694898403894</v>
      </c>
      <c r="C62">
        <v>25694.216510802828</v>
      </c>
      <c r="D62">
        <v>33492.09512742747</v>
      </c>
    </row>
    <row r="63" spans="1:4" ht="15" customHeight="1">
      <c r="A63" s="106" t="s">
        <v>986</v>
      </c>
      <c r="B63">
        <v>96.538889020214938</v>
      </c>
      <c r="C63">
        <v>130.57286268089018</v>
      </c>
      <c r="D63">
        <v>190.06165561260349</v>
      </c>
    </row>
    <row r="64" spans="1:4" ht="15" customHeight="1">
      <c r="A64" s="110" t="s">
        <v>1165</v>
      </c>
      <c r="B64">
        <v>1871.5495946871536</v>
      </c>
      <c r="C64">
        <v>2343.4391391684817</v>
      </c>
      <c r="D64">
        <v>2985.2924396228627</v>
      </c>
    </row>
    <row r="65" spans="1:4" ht="15" customHeight="1">
      <c r="A65" s="111" t="s">
        <v>1058</v>
      </c>
      <c r="B65">
        <v>1153.6403455095158</v>
      </c>
      <c r="C65">
        <v>1520.4034878048171</v>
      </c>
      <c r="D65">
        <v>1919.4800403984352</v>
      </c>
    </row>
    <row r="66" spans="1:4" ht="15" customHeight="1">
      <c r="A66" s="536" t="s">
        <v>987</v>
      </c>
      <c r="B66">
        <v>428.08650504922667</v>
      </c>
      <c r="C66">
        <v>656.03094473384181</v>
      </c>
      <c r="D66">
        <v>777.40495478032256</v>
      </c>
    </row>
    <row r="67" spans="1:4" s="9" customFormat="1" ht="15" customHeight="1">
      <c r="A67" s="617" t="s">
        <v>1451</v>
      </c>
      <c r="B67" s="9">
        <v>0.12794266587980666</v>
      </c>
      <c r="C67" s="9">
        <v>0.12881516201363713</v>
      </c>
      <c r="D67" s="9">
        <v>0.1245696189100992</v>
      </c>
    </row>
    <row r="68" spans="1:4" ht="15" customHeight="1">
      <c r="A68" s="110" t="s">
        <v>642</v>
      </c>
      <c r="B68">
        <v>164.48994488859418</v>
      </c>
      <c r="C68">
        <v>193.32028271070558</v>
      </c>
      <c r="D68">
        <v>233.99802401619718</v>
      </c>
    </row>
    <row r="69" spans="1:4" ht="15" customHeight="1">
      <c r="A69" s="110" t="s">
        <v>643</v>
      </c>
      <c r="B69">
        <v>-4.2343694766666671</v>
      </c>
      <c r="C69">
        <v>-5.6458259688888894</v>
      </c>
      <c r="D69">
        <v>-1.6365782451851858</v>
      </c>
    </row>
    <row r="70" spans="1:4" ht="15" customHeight="1">
      <c r="A70" s="110" t="s">
        <v>644</v>
      </c>
      <c r="B70">
        <v>7.5318017766666667</v>
      </c>
      <c r="C70">
        <v>5.8791426522222219</v>
      </c>
      <c r="D70">
        <v>4.3849001696296295</v>
      </c>
    </row>
    <row r="71" spans="1:4" s="619" customFormat="1" ht="15" customHeight="1">
      <c r="A71" s="628" t="s">
        <v>1008</v>
      </c>
      <c r="B71" s="619">
        <v>3640.1092837014025</v>
      </c>
      <c r="C71" s="619">
        <v>4550.3057264297704</v>
      </c>
      <c r="D71" s="619">
        <v>6018.8884090089605</v>
      </c>
    </row>
    <row r="72" spans="1:4" ht="15" customHeight="1">
      <c r="A72" s="108" t="s">
        <v>648</v>
      </c>
      <c r="B72">
        <v>123.64198532</v>
      </c>
      <c r="C72">
        <v>145.58516165333333</v>
      </c>
      <c r="D72">
        <v>133.31578485111109</v>
      </c>
    </row>
    <row r="73" spans="1:4" ht="15" customHeight="1">
      <c r="A73" s="108" t="s">
        <v>1009</v>
      </c>
      <c r="B73">
        <v>47.160857253333326</v>
      </c>
      <c r="C73">
        <v>45.714546757777782</v>
      </c>
      <c r="D73">
        <v>42.015763247037036</v>
      </c>
    </row>
    <row r="74" spans="1:4" s="619" customFormat="1" ht="15" customHeight="1">
      <c r="A74" s="628" t="s">
        <v>34</v>
      </c>
      <c r="B74" s="619">
        <v>3716.5904117680693</v>
      </c>
      <c r="C74" s="619">
        <v>4650.1763413253266</v>
      </c>
      <c r="D74" s="619">
        <v>6110.1884306130341</v>
      </c>
    </row>
    <row r="75" spans="1:4" ht="15" customHeight="1">
      <c r="A75" s="108" t="s">
        <v>1026</v>
      </c>
      <c r="B75">
        <v>342.06232269367462</v>
      </c>
      <c r="C75">
        <v>532.88742639002771</v>
      </c>
      <c r="D75">
        <v>715.17033663162579</v>
      </c>
    </row>
    <row r="76" spans="1:4" s="619" customFormat="1" ht="15" customHeight="1">
      <c r="A76" s="628" t="s">
        <v>1025</v>
      </c>
      <c r="B76" s="619">
        <v>3374.5280890743948</v>
      </c>
      <c r="C76" s="619">
        <v>4117.2889149352986</v>
      </c>
      <c r="D76" s="619">
        <v>5395.0180939814081</v>
      </c>
    </row>
    <row r="77" spans="1:4" ht="15" customHeight="1">
      <c r="A77" s="111" t="s">
        <v>720</v>
      </c>
      <c r="B77">
        <v>36.660659557784442</v>
      </c>
      <c r="C77">
        <v>62.21619246715111</v>
      </c>
      <c r="D77">
        <v>81.221972157180844</v>
      </c>
    </row>
    <row r="78" spans="1:4" s="619" customFormat="1" ht="15" customHeight="1">
      <c r="A78" s="629" t="s">
        <v>32</v>
      </c>
      <c r="B78" s="619">
        <v>3337.8674295166102</v>
      </c>
      <c r="C78" s="619">
        <v>4055.0727224681477</v>
      </c>
      <c r="D78" s="619">
        <v>5313.7961218242272</v>
      </c>
    </row>
    <row r="79" spans="1:4" s="619" customFormat="1" ht="15" customHeight="1">
      <c r="A79" s="620" t="s">
        <v>723</v>
      </c>
      <c r="B79" s="619">
        <v>0.78542677322586274</v>
      </c>
      <c r="C79" s="619">
        <v>0.95419088710351141</v>
      </c>
      <c r="D79" s="619">
        <v>1.2503785215187311</v>
      </c>
    </row>
    <row r="80" spans="1:4" s="9" customFormat="1" ht="15" customHeight="1">
      <c r="A80" s="630" t="s">
        <v>35</v>
      </c>
      <c r="B80" s="9">
        <v>0.10399896033698842</v>
      </c>
      <c r="C80" s="9">
        <v>8.7350643899441929E-2</v>
      </c>
      <c r="D80" s="9">
        <v>9.9012367943549728E-2</v>
      </c>
    </row>
    <row r="81" spans="1:4" s="9" customFormat="1" ht="15" customHeight="1">
      <c r="A81" s="617" t="s">
        <v>1488</v>
      </c>
      <c r="B81" s="9">
        <v>0.29294025428433168</v>
      </c>
      <c r="C81" s="9">
        <v>0.2696439865697402</v>
      </c>
      <c r="D81" s="9">
        <v>0.26779262107397334</v>
      </c>
    </row>
    <row r="82" spans="1:4" s="9" customFormat="1" ht="15" customHeight="1">
      <c r="A82" s="630" t="s">
        <v>29</v>
      </c>
      <c r="B82" s="9">
        <v>0.14464917146132417</v>
      </c>
      <c r="C82" s="9">
        <v>0.14430888567593894</v>
      </c>
      <c r="D82" s="9">
        <v>0.14365024777626875</v>
      </c>
    </row>
  </sheetData>
  <phoneticPr fontId="4" type="noConversion"/>
  <pageMargins left="0.75" right="0.75" top="1" bottom="1" header="0.5" footer="0.5"/>
  <pageSetup paperSize="9" orientation="portrait" horizontalDpi="1200" verticalDpi="1200" r:id="rId1"/>
  <headerFooter alignWithMargins="0"/>
  <drawing r:id="rId2"/>
  <legacyDrawing r:id="rId3"/>
  <controls>
    <mc:AlternateContent xmlns:mc="http://schemas.openxmlformats.org/markup-compatibility/2006">
      <mc:Choice Requires="x14">
        <control shapeId="259076" r:id="rId4" name="cmdGood">
          <controlPr defaultSize="0" autoFill="0" autoLine="0" r:id="rId5">
            <anchor moveWithCells="1">
              <from>
                <xdr:col>1</xdr:col>
                <xdr:colOff>22860</xdr:colOff>
                <xdr:row>0</xdr:row>
                <xdr:rowOff>7620</xdr:rowOff>
              </from>
              <to>
                <xdr:col>2</xdr:col>
                <xdr:colOff>68580</xdr:colOff>
                <xdr:row>0</xdr:row>
                <xdr:rowOff>281940</xdr:rowOff>
              </to>
            </anchor>
          </controlPr>
        </control>
      </mc:Choice>
      <mc:Fallback>
        <control shapeId="259076" r:id="rId4" name="cmdGood"/>
      </mc:Fallback>
    </mc:AlternateContent>
    <mc:AlternateContent xmlns:mc="http://schemas.openxmlformats.org/markup-compatibility/2006">
      <mc:Choice Requires="x14">
        <control shapeId="259075" r:id="rId6" name="cmdCommon">
          <controlPr defaultSize="0" autoFill="0" autoLine="0" r:id="rId7">
            <anchor moveWithCells="1">
              <from>
                <xdr:col>1</xdr:col>
                <xdr:colOff>7620</xdr:colOff>
                <xdr:row>27</xdr:row>
                <xdr:rowOff>182880</xdr:rowOff>
              </from>
              <to>
                <xdr:col>1</xdr:col>
                <xdr:colOff>929640</xdr:colOff>
                <xdr:row>29</xdr:row>
                <xdr:rowOff>7620</xdr:rowOff>
              </to>
            </anchor>
          </controlPr>
        </control>
      </mc:Choice>
      <mc:Fallback>
        <control shapeId="259075" r:id="rId6" name="cmdCommon"/>
      </mc:Fallback>
    </mc:AlternateContent>
    <mc:AlternateContent xmlns:mc="http://schemas.openxmlformats.org/markup-compatibility/2006">
      <mc:Choice Requires="x14">
        <control shapeId="259074" r:id="rId8" name="cmdBad">
          <controlPr defaultSize="0" autoFill="0" autoLine="0" r:id="rId9">
            <anchor moveWithCells="1">
              <from>
                <xdr:col>1</xdr:col>
                <xdr:colOff>22860</xdr:colOff>
                <xdr:row>56</xdr:row>
                <xdr:rowOff>7620</xdr:rowOff>
              </from>
              <to>
                <xdr:col>1</xdr:col>
                <xdr:colOff>944880</xdr:colOff>
                <xdr:row>57</xdr:row>
                <xdr:rowOff>7620</xdr:rowOff>
              </to>
            </anchor>
          </controlPr>
        </control>
      </mc:Choice>
      <mc:Fallback>
        <control shapeId="259074" r:id="rId8" name="cmdBad"/>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8"/>
  <dimension ref="A1:AO104"/>
  <sheetViews>
    <sheetView zoomScale="103" workbookViewId="0">
      <pane xSplit="2" ySplit="16" topLeftCell="C17" activePane="bottomRight" state="frozen"/>
      <selection activeCell="F22" sqref="F22"/>
      <selection pane="topRight" activeCell="F22" sqref="F22"/>
      <selection pane="bottomLeft" activeCell="F22" sqref="F22"/>
      <selection pane="bottomRight"/>
    </sheetView>
  </sheetViews>
  <sheetFormatPr defaultColWidth="9.375" defaultRowHeight="11.4" outlineLevelRow="1"/>
  <cols>
    <col min="1" max="1" width="34" style="13" customWidth="1"/>
    <col min="2" max="2" width="21" style="17" customWidth="1"/>
    <col min="3" max="3" width="18.875" style="17" customWidth="1"/>
    <col min="4" max="6" width="15.875" style="17" customWidth="1"/>
    <col min="7" max="7" width="15.875" style="17" hidden="1" customWidth="1"/>
    <col min="8" max="13" width="15.875" style="15" hidden="1" customWidth="1"/>
    <col min="14" max="33" width="15.875" hidden="1" customWidth="1"/>
    <col min="34" max="34" width="18.125" customWidth="1"/>
    <col min="35" max="35" width="12.125" customWidth="1"/>
    <col min="36" max="36" width="11.875" customWidth="1"/>
    <col min="37" max="37" width="10.625" customWidth="1"/>
    <col min="38" max="38" width="9" customWidth="1"/>
    <col min="39" max="39" width="10.625" customWidth="1"/>
  </cols>
  <sheetData>
    <row r="1" spans="1:38" s="105" customFormat="1" ht="22.5" customHeight="1">
      <c r="A1" s="335" t="s">
        <v>235</v>
      </c>
      <c r="B1" s="335" t="s">
        <v>236</v>
      </c>
      <c r="C1" s="698" t="s">
        <v>1323</v>
      </c>
      <c r="D1" s="324"/>
      <c r="E1" s="324"/>
      <c r="F1" s="324"/>
      <c r="G1" s="324"/>
      <c r="H1" s="325"/>
      <c r="I1" s="325"/>
      <c r="J1" s="325"/>
      <c r="K1" s="325"/>
      <c r="L1" s="325"/>
      <c r="M1" s="325"/>
    </row>
    <row r="2" spans="1:38" s="105" customFormat="1" ht="15" customHeight="1">
      <c r="A2" s="326" t="s">
        <v>1315</v>
      </c>
      <c r="B2" s="699">
        <v>6</v>
      </c>
      <c r="C2" s="705" t="s">
        <v>1348</v>
      </c>
      <c r="D2" s="324"/>
      <c r="E2" s="324"/>
      <c r="F2" s="324"/>
      <c r="G2" s="324"/>
      <c r="H2" s="325"/>
      <c r="I2" s="325"/>
      <c r="J2" s="325"/>
      <c r="K2" s="325"/>
      <c r="L2" s="325"/>
      <c r="M2" s="325"/>
    </row>
    <row r="3" spans="1:38" s="105" customFormat="1" ht="15" customHeight="1">
      <c r="A3" s="326" t="s">
        <v>1314</v>
      </c>
      <c r="B3" s="543">
        <v>0.1</v>
      </c>
      <c r="C3" s="330" t="s">
        <v>1322</v>
      </c>
      <c r="D3" s="324"/>
      <c r="E3" s="324"/>
      <c r="F3" s="324"/>
      <c r="G3" s="324"/>
      <c r="H3" s="325"/>
      <c r="I3" s="325"/>
      <c r="J3" s="325"/>
      <c r="K3" s="325"/>
      <c r="L3" s="325"/>
      <c r="M3" s="325"/>
    </row>
    <row r="4" spans="1:38" s="105" customFormat="1" ht="15.75" customHeight="1">
      <c r="A4" s="326" t="s">
        <v>238</v>
      </c>
      <c r="B4" s="543">
        <v>0.03</v>
      </c>
      <c r="C4" s="330" t="s">
        <v>1316</v>
      </c>
      <c r="K4" s="325"/>
      <c r="L4" s="325"/>
      <c r="M4" s="325"/>
    </row>
    <row r="5" spans="1:38" s="105" customFormat="1" ht="15.75" customHeight="1">
      <c r="A5" s="328" t="s">
        <v>1065</v>
      </c>
      <c r="B5" s="544">
        <v>1.1000000000000001</v>
      </c>
      <c r="C5" s="330" t="s">
        <v>1317</v>
      </c>
      <c r="K5" s="325"/>
      <c r="L5" s="325"/>
      <c r="M5" s="325"/>
    </row>
    <row r="6" spans="1:38" s="105" customFormat="1" ht="15.75" customHeight="1">
      <c r="A6" s="329" t="s">
        <v>239</v>
      </c>
      <c r="B6" s="543">
        <v>0.04</v>
      </c>
      <c r="C6" s="330" t="s">
        <v>1318</v>
      </c>
      <c r="K6" s="325"/>
      <c r="L6" s="325"/>
      <c r="M6" s="325"/>
    </row>
    <row r="7" spans="1:38" s="105" customFormat="1" ht="15.75" customHeight="1">
      <c r="A7" s="329" t="s">
        <v>240</v>
      </c>
      <c r="B7" s="543">
        <v>0.1</v>
      </c>
      <c r="C7" s="330" t="s">
        <v>1319</v>
      </c>
      <c r="K7" s="325"/>
      <c r="L7" s="325"/>
      <c r="M7" s="325"/>
    </row>
    <row r="8" spans="1:38" s="105" customFormat="1" ht="15.75" customHeight="1">
      <c r="A8" s="326" t="s">
        <v>241</v>
      </c>
      <c r="B8" s="331">
        <f>假设!I19</f>
        <v>0.15286569940988332</v>
      </c>
      <c r="C8" s="330" t="s">
        <v>1320</v>
      </c>
      <c r="K8" s="325"/>
      <c r="L8" s="325"/>
      <c r="M8" s="325"/>
      <c r="AJ8" s="427"/>
    </row>
    <row r="9" spans="1:38" s="105" customFormat="1" ht="15.75" customHeight="1">
      <c r="A9" s="696" t="s">
        <v>1312</v>
      </c>
      <c r="B9" s="543">
        <v>0</v>
      </c>
      <c r="C9" s="330" t="s">
        <v>1321</v>
      </c>
      <c r="K9" s="325"/>
      <c r="L9" s="325"/>
      <c r="M9" s="325"/>
      <c r="AJ9" s="427"/>
    </row>
    <row r="10" spans="1:38" s="105" customFormat="1" ht="15.75" customHeight="1">
      <c r="A10" s="335" t="s">
        <v>242</v>
      </c>
      <c r="B10" s="299"/>
      <c r="C10" s="970">
        <f ca="1">目录!$C$8</f>
        <v>45327</v>
      </c>
      <c r="D10" s="332" t="str">
        <f>假设!I2</f>
        <v>2023E</v>
      </c>
      <c r="E10" s="332" t="str">
        <f>假设!J2</f>
        <v>2024E</v>
      </c>
      <c r="F10" s="332" t="str">
        <f>假设!K2</f>
        <v>2025E</v>
      </c>
      <c r="G10" s="332" t="str">
        <f>假设!L2</f>
        <v>2026E</v>
      </c>
      <c r="H10" s="332" t="str">
        <f>假设!M2</f>
        <v>2027E</v>
      </c>
      <c r="I10" s="332" t="str">
        <f>假设!N2</f>
        <v>2028E</v>
      </c>
      <c r="J10" s="332" t="str">
        <f>假设!O2</f>
        <v>2029E</v>
      </c>
      <c r="K10" s="332" t="str">
        <f>假设!P2</f>
        <v>2030E</v>
      </c>
      <c r="L10" s="332" t="str">
        <f>假设!Q2</f>
        <v>2031E</v>
      </c>
      <c r="M10" s="332" t="str">
        <f>假设!R2</f>
        <v>2032E</v>
      </c>
      <c r="N10" s="332" t="str">
        <f>假设!S2</f>
        <v>2033E</v>
      </c>
      <c r="O10" s="332" t="str">
        <f>假设!T2</f>
        <v>2034E</v>
      </c>
      <c r="P10" s="332" t="str">
        <f>假设!U2</f>
        <v>2035E</v>
      </c>
      <c r="Q10" s="332" t="str">
        <f>假设!V2</f>
        <v>2036E</v>
      </c>
      <c r="R10" s="332" t="str">
        <f>假设!W2</f>
        <v>2037E</v>
      </c>
      <c r="S10" s="332" t="str">
        <f>假设!X2</f>
        <v>2038E</v>
      </c>
      <c r="T10" s="332" t="str">
        <f>假设!Y2</f>
        <v>2039E</v>
      </c>
      <c r="U10" s="332" t="str">
        <f>假设!Z2</f>
        <v>2040E</v>
      </c>
      <c r="V10" s="332" t="str">
        <f>假设!AA2</f>
        <v>2041E</v>
      </c>
      <c r="W10" s="332" t="str">
        <f>假设!AB2</f>
        <v>2042E</v>
      </c>
      <c r="X10" s="332" t="str">
        <f>假设!AC2</f>
        <v>2043E</v>
      </c>
      <c r="Y10" s="332" t="str">
        <f>假设!AD2</f>
        <v>2044E</v>
      </c>
      <c r="Z10" s="332" t="str">
        <f>假设!AE2</f>
        <v>2045E</v>
      </c>
      <c r="AA10" s="332" t="str">
        <f>假设!AF2</f>
        <v>2046E</v>
      </c>
      <c r="AB10" s="332" t="str">
        <f>假设!AG2</f>
        <v>2047E</v>
      </c>
      <c r="AC10" s="332" t="str">
        <f>假设!AH2</f>
        <v>2048E</v>
      </c>
      <c r="AD10" s="332" t="str">
        <f>假设!AI2</f>
        <v>2049E</v>
      </c>
      <c r="AE10" s="332" t="str">
        <f>假设!AJ2</f>
        <v>2050E</v>
      </c>
      <c r="AF10" s="332" t="str">
        <f>假设!AK2</f>
        <v>2051E</v>
      </c>
      <c r="AG10" s="332" t="str">
        <f>假设!AL2</f>
        <v>2052E</v>
      </c>
      <c r="AH10" s="427"/>
      <c r="AI10" s="427"/>
      <c r="AK10" s="427"/>
      <c r="AL10" s="427"/>
    </row>
    <row r="11" spans="1:38" s="105" customFormat="1" ht="15.75" customHeight="1">
      <c r="A11" s="324" t="s">
        <v>835</v>
      </c>
      <c r="B11" s="700">
        <f t="shared" ref="B11:B16" ca="1" si="0">D11</f>
        <v>5.2239679767694801E-2</v>
      </c>
      <c r="C11" s="223"/>
      <c r="D11" s="223">
        <f ca="1">(1-$B8)*(假设!$I110*(营运资本!I30+营运资本!I31)/营运资本!I38+假设!$I109*(营运资本!I38-营运资本!I30-营运资本!I31)/营运资本!I38)</f>
        <v>5.2239679767694801E-2</v>
      </c>
      <c r="E11" s="223">
        <f ca="1">(1-$B8)*(假设!$I110*(营运资本!J30+营运资本!J31)/营运资本!J38+假设!$I109*(营运资本!J38-营运资本!J30-营运资本!J31)/营运资本!J38)</f>
        <v>5.1734639180437365E-2</v>
      </c>
      <c r="F11" s="223">
        <f ca="1">(1-$B8)*(假设!$I110*(营运资本!K30+营运资本!K31)/营运资本!K38+假设!$I109*(营运资本!K38-营运资本!K30-营运资本!K31)/营运资本!K38)</f>
        <v>5.1727983724254328E-2</v>
      </c>
      <c r="G11" s="223">
        <f ca="1">(1-$B8)*(假设!$I110*(营运资本!L30+营运资本!L31)/营运资本!L38+假设!$I109*(营运资本!L38-营运资本!L30-营运资本!L31)/营运资本!L38)</f>
        <v>5.156087494880935E-2</v>
      </c>
      <c r="H11" s="223">
        <f ca="1">(1-$B8)*(假设!$I110*(营运资本!M30+营运资本!M31)/营运资本!M38+假设!$I109*(营运资本!M38-营运资本!M30-营运资本!M31)/营运资本!M38)</f>
        <v>5.1507700602223608E-2</v>
      </c>
      <c r="I11" s="223">
        <f ca="1">(1-$B8)*(假设!$I110*(营运资本!N30+营运资本!N31)/营运资本!N38+假设!$I109*(营运资本!N38-营运资本!N30-营运资本!N31)/营运资本!N38)</f>
        <v>5.1424214415052176E-2</v>
      </c>
      <c r="J11" s="223">
        <f ca="1">(1-$B8)*(假设!$I110*(营运资本!O30+营运资本!O31)/营运资本!O38+假设!$I109*(营运资本!O38-营运资本!O30-营运资本!O31)/营运资本!O38)</f>
        <v>5.1428448670847469E-2</v>
      </c>
      <c r="K11" s="223">
        <f ca="1">(1-$B8)*(假设!$I110*(营运资本!P30+营运资本!P31)/营运资本!P38+假设!$I109*(营运资本!P38-营运资本!P30-营运资本!P31)/营运资本!P38)</f>
        <v>5.1411429095219799E-2</v>
      </c>
      <c r="L11" s="223">
        <f ca="1">(1-$B8)*(假设!$I110*(营运资本!Q30+营运资本!Q31)/营运资本!Q38+假设!$I109*(营运资本!Q38-营运资本!Q30-营运资本!Q31)/营运资本!Q38)</f>
        <v>5.1413428886138639E-2</v>
      </c>
      <c r="M11" s="223">
        <f ca="1">(1-$B8)*(假设!$I110*(营运资本!R30+营运资本!R31)/营运资本!R38+假设!$I109*(营运资本!R38-营运资本!R30-营运资本!R31)/营运资本!R38)</f>
        <v>5.1402060950832835E-2</v>
      </c>
      <c r="N11" s="223">
        <f ca="1">(1-$B8)*(假设!$I110*(营运资本!S30+营运资本!S31)/营运资本!S38+假设!$I109*(营运资本!S38-营运资本!S30-营运资本!S31)/营运资本!S38)</f>
        <v>5.1403188270835933E-2</v>
      </c>
      <c r="O11" s="223">
        <f ca="1">(1-$B8)*(假设!$I110*(营运资本!T30+营运资本!T31)/营运资本!T38+假设!$I109*(营运资本!T38-营运资本!T30-营运资本!T31)/营运资本!T38)</f>
        <v>5.1395792963648441E-2</v>
      </c>
      <c r="P11" s="223">
        <f ca="1">(1-$B8)*(假设!$I110*(营运资本!U30+营运资本!U31)/营运资本!U38+假设!$I109*(营运资本!U38-营运资本!U30-营运资本!U31)/营运资本!U38)</f>
        <v>5.1396325587843537E-2</v>
      </c>
      <c r="Q11" s="223">
        <f ca="1">(1-$B8)*(假设!$I110*(营运资本!V30+营运资本!V31)/营运资本!V38+假设!$I109*(营运资本!V38-营运资本!V30-营运资本!V31)/营运资本!V38)</f>
        <v>5.1395351255531074E-2</v>
      </c>
      <c r="R11" s="223">
        <f ca="1">(1-$B8)*(假设!$I110*(营运资本!W30+营运资本!W31)/营运资本!W38+假设!$I109*(营运资本!W38-营运资本!W30-营运资本!W31)/营运资本!W38)</f>
        <v>5.1399005995521989E-2</v>
      </c>
      <c r="S11" s="223">
        <f ca="1">(1-$B8)*(假设!$I110*(营运资本!X30+营运资本!X31)/营运资本!X38+假设!$I109*(营运资本!X38-营运资本!X30-营运资本!X31)/营运资本!X38)</f>
        <v>5.1397005194995384E-2</v>
      </c>
      <c r="T11" s="223">
        <f ca="1">(1-$B8)*(假设!$I110*(营运资本!Y30+营运资本!Y31)/营运资本!Y38+假设!$I109*(营运资本!Y38-营运资本!Y30-营运资本!Y31)/营运资本!Y38)</f>
        <v>5.1398536302613644E-2</v>
      </c>
      <c r="U11" s="223">
        <f ca="1">(1-$B8)*(假设!$I110*(营运资本!Z30+营运资本!Z31)/营运资本!Z38+假设!$I109*(营运资本!Z38-营运资本!Z30-营运资本!Z31)/营运资本!Z38)</f>
        <v>5.1395718073969435E-2</v>
      </c>
      <c r="V11" s="223">
        <f ca="1">(1-$B8)*(假设!$I110*(营运资本!AA30+营运资本!AA31)/营运资本!AA38+假设!$I109*(营运资本!AA38-营运资本!AA30-营运资本!AA31)/营运资本!AA38)</f>
        <v>5.1395700606934339E-2</v>
      </c>
      <c r="W11" s="223">
        <f ca="1">(1-$B8)*(假设!$I110*(营运资本!AB30+营运资本!AB31)/营运资本!AB38+假设!$I109*(营运资本!AB38-营运资本!AB30-营运资本!AB31)/营运资本!AB38)</f>
        <v>5.1393105137736601E-2</v>
      </c>
      <c r="X11" s="223">
        <f ca="1">(1-$B8)*(假设!$I110*(营运资本!AC30+营运资本!AC31)/营运资本!AC38+假设!$I109*(营运资本!AC38-营运资本!AC30-营运资本!AC31)/营运资本!AC38)</f>
        <v>5.1393031603306591E-2</v>
      </c>
      <c r="Y11" s="223">
        <f ca="1">(1-$B8)*(假设!$I110*(营运资本!AD30+营运资本!AD31)/营运资本!AD38+假设!$I109*(营运资本!AD38-营运资本!AD30-营运资本!AD31)/营运资本!AD38)</f>
        <v>5.1391068525844498E-2</v>
      </c>
      <c r="Z11" s="223">
        <f ca="1">(1-$B8)*(假设!$I110*(营运资本!AE30+营运资本!AE31)/营运资本!AE38+假设!$I109*(营运资本!AE38-营运资本!AE30-营运资本!AE31)/营运资本!AE38)</f>
        <v>5.1390911491166237E-2</v>
      </c>
      <c r="AA11" s="223">
        <f ca="1">(1-$B8)*(假设!$I110*(营运资本!AF30+营运资本!AF31)/营运资本!AF38+假设!$I109*(营运资本!AF38-营运资本!AF30-营运资本!AF31)/营运资本!AF38)</f>
        <v>5.1389396500890527E-2</v>
      </c>
      <c r="AB11" s="223">
        <f ca="1">(1-$B8)*(假设!$I110*(营运资本!AG30+营运资本!AG31)/营运资本!AG38+假设!$I109*(营运资本!AG38-营运资本!AG30-营运资本!AG31)/营运资本!AG38)</f>
        <v>5.1389250572801748E-2</v>
      </c>
      <c r="AC11" s="223">
        <f ca="1">(1-$B8)*(假设!$I110*(营运资本!AH30+营运资本!AH31)/营运资本!AH38+假设!$I109*(营运资本!AH38-营运资本!AH30-营运资本!AH31)/营运资本!AH38)</f>
        <v>5.138806260186865E-2</v>
      </c>
      <c r="AD11" s="223">
        <f ca="1">(1-$B8)*(假设!$I110*(营运资本!AI30+营运资本!AI31)/营运资本!AI38+假设!$I109*(营运资本!AI38-营运资本!AI30-营运资本!AI31)/营运资本!AI38)</f>
        <v>5.1387915388495999E-2</v>
      </c>
      <c r="AE11" s="223">
        <f ca="1">(1-$B8)*(假设!$I110*(营运资本!AJ30+营运资本!AJ31)/营运资本!AJ38+假设!$I109*(营运资本!AJ38-营运资本!AJ30-营运资本!AJ31)/营运资本!AJ38)</f>
        <v>5.1386992855281893E-2</v>
      </c>
      <c r="AF11" s="223">
        <f ca="1">(1-$B8)*(假设!$I110*(营运资本!AK30+营运资本!AK31)/营运资本!AK38+假设!$I109*(营运资本!AK38-营运资本!AK30-营运资本!AK31)/营运资本!AK38)</f>
        <v>5.1386842182186122E-2</v>
      </c>
      <c r="AG11" s="223">
        <f ca="1">(1-$B8)*(假设!$I110*(营运资本!AL30+营运资本!AL31)/营运资本!AL38+假设!$I109*(营运资本!AL38-营运资本!AL30-营运资本!AL31)/营运资本!AL38)</f>
        <v>5.1386117557786673E-2</v>
      </c>
      <c r="AH11" s="223"/>
      <c r="AI11" s="447"/>
      <c r="AJ11" s="427"/>
      <c r="AK11" s="427"/>
      <c r="AL11" s="427"/>
    </row>
    <row r="12" spans="1:38" s="105" customFormat="1" ht="15.75" customHeight="1">
      <c r="A12" s="324" t="s">
        <v>339</v>
      </c>
      <c r="B12" s="700">
        <f t="shared" ca="1" si="0"/>
        <v>0.42882108532263663</v>
      </c>
      <c r="C12" s="223"/>
      <c r="D12" s="223">
        <f ca="1">营运资本!I38/营运资本!I43</f>
        <v>0.42882108532263663</v>
      </c>
      <c r="E12" s="223">
        <f ca="1">营运资本!J38/营运资本!J43</f>
        <v>0.60674954885939292</v>
      </c>
      <c r="F12" s="223">
        <f ca="1">营运资本!K38/营运资本!K43</f>
        <v>0.5839673686504675</v>
      </c>
      <c r="G12" s="223">
        <f ca="1">营运资本!L38/营运资本!L43</f>
        <v>0.67326737844403162</v>
      </c>
      <c r="H12" s="223">
        <f ca="1">营运资本!M38/营运资本!M43</f>
        <v>0.67371747826264616</v>
      </c>
      <c r="I12" s="223">
        <f ca="1">营运资本!N38/营运资本!N43</f>
        <v>0.74584260673162162</v>
      </c>
      <c r="J12" s="223">
        <f ca="1">营运资本!O38/营运资本!O43</f>
        <v>0.75822364151955013</v>
      </c>
      <c r="K12" s="223">
        <f ca="1">营运资本!P38/营运资本!P43</f>
        <v>0.81384379582571131</v>
      </c>
      <c r="L12" s="223">
        <f ca="1">营运资本!Q38/营运资本!Q43</f>
        <v>0.8306945137468037</v>
      </c>
      <c r="M12" s="223">
        <f ca="1">营运资本!R38/营运资本!R43</f>
        <v>0.87281327600898162</v>
      </c>
      <c r="N12" s="223">
        <f ca="1">营运资本!S38/营运资本!S43</f>
        <v>0.89398288183248331</v>
      </c>
      <c r="O12" s="223">
        <f ca="1">营运资本!T38/营运资本!T43</f>
        <v>0.9264134700408182</v>
      </c>
      <c r="P12" s="223">
        <f ca="1">营运资本!U38/营运资本!U43</f>
        <v>0.94811889991118659</v>
      </c>
      <c r="Q12" s="223">
        <f ca="1">营运资本!V38/营运资本!V43</f>
        <v>0.97364005599963199</v>
      </c>
      <c r="R12" s="223">
        <f ca="1">营运资本!W38/营运资本!W43</f>
        <v>0.99499384302218286</v>
      </c>
      <c r="S12" s="223">
        <f ca="1">营运资本!X38/营运资本!X43</f>
        <v>1.0153233694081927</v>
      </c>
      <c r="T12" s="223">
        <f ca="1">营运资本!Y38/营运资本!Y43</f>
        <v>1.035200035964329</v>
      </c>
      <c r="U12" s="223">
        <f ca="1">营运资本!Z38/营运资本!Z43</f>
        <v>1.0516631614079663</v>
      </c>
      <c r="V12" s="223">
        <f ca="1">营运资本!AA38/营运资本!AA43</f>
        <v>1.0697663303640039</v>
      </c>
      <c r="W12" s="223">
        <f ca="1">营运资本!AB38/营运资本!AB43</f>
        <v>1.0833535528569818</v>
      </c>
      <c r="X12" s="223">
        <f ca="1">营运资本!AC38/营运资本!AC43</f>
        <v>1.0995128323586738</v>
      </c>
      <c r="Y12" s="223">
        <f ca="1">营运资本!AD38/营运资本!AD43</f>
        <v>1.1108678318618774</v>
      </c>
      <c r="Z12" s="223">
        <f ca="1">营运资本!AE38/营运资本!AE43</f>
        <v>1.1251287154033607</v>
      </c>
      <c r="AA12" s="223">
        <f ca="1">营运资本!AF38/营运资本!AF43</f>
        <v>1.1347398421120658</v>
      </c>
      <c r="AB12" s="223">
        <f ca="1">营运资本!AG38/营运资本!AG43</f>
        <v>1.1471975080725758</v>
      </c>
      <c r="AC12" s="223">
        <f ca="1">营运资本!AH38/营运资本!AH43</f>
        <v>1.155398548722562</v>
      </c>
      <c r="AD12" s="223">
        <f ca="1">营运资本!AI38/营运资本!AI43</f>
        <v>1.1662117543342292</v>
      </c>
      <c r="AE12" s="223">
        <f ca="1">营运资本!AJ38/营运资本!AJ43</f>
        <v>1.1732609884069884</v>
      </c>
      <c r="AF12" s="223">
        <f ca="1">营运资本!AK38/营运资本!AK43</f>
        <v>1.1826029891721794</v>
      </c>
      <c r="AG12" s="223">
        <f ca="1">营运资本!AL38/营运资本!AL43</f>
        <v>1.1886911138862442</v>
      </c>
      <c r="AH12" s="331"/>
      <c r="AI12" s="447"/>
      <c r="AJ12" s="427"/>
      <c r="AK12" s="427"/>
      <c r="AL12" s="427"/>
    </row>
    <row r="13" spans="1:38" s="105" customFormat="1" ht="15.75" customHeight="1">
      <c r="A13" s="324" t="s">
        <v>243</v>
      </c>
      <c r="B13" s="700">
        <f t="shared" si="0"/>
        <v>0.10600000000000001</v>
      </c>
      <c r="C13" s="223"/>
      <c r="D13" s="223">
        <f>$B6+$B5*($B7-$B6)</f>
        <v>0.10600000000000001</v>
      </c>
      <c r="E13" s="223">
        <f t="shared" ref="E13:AG13" si="1">$B6+$B5*($B7-$B6)</f>
        <v>0.10600000000000001</v>
      </c>
      <c r="F13" s="223">
        <f t="shared" si="1"/>
        <v>0.10600000000000001</v>
      </c>
      <c r="G13" s="223">
        <f t="shared" si="1"/>
        <v>0.10600000000000001</v>
      </c>
      <c r="H13" s="223">
        <f t="shared" si="1"/>
        <v>0.10600000000000001</v>
      </c>
      <c r="I13" s="223">
        <f t="shared" si="1"/>
        <v>0.10600000000000001</v>
      </c>
      <c r="J13" s="223">
        <f t="shared" si="1"/>
        <v>0.10600000000000001</v>
      </c>
      <c r="K13" s="223">
        <f t="shared" si="1"/>
        <v>0.10600000000000001</v>
      </c>
      <c r="L13" s="223">
        <f t="shared" si="1"/>
        <v>0.10600000000000001</v>
      </c>
      <c r="M13" s="223">
        <f t="shared" si="1"/>
        <v>0.10600000000000001</v>
      </c>
      <c r="N13" s="223">
        <f t="shared" si="1"/>
        <v>0.10600000000000001</v>
      </c>
      <c r="O13" s="223">
        <f t="shared" si="1"/>
        <v>0.10600000000000001</v>
      </c>
      <c r="P13" s="223">
        <f t="shared" si="1"/>
        <v>0.10600000000000001</v>
      </c>
      <c r="Q13" s="223">
        <f t="shared" si="1"/>
        <v>0.10600000000000001</v>
      </c>
      <c r="R13" s="223">
        <f t="shared" si="1"/>
        <v>0.10600000000000001</v>
      </c>
      <c r="S13" s="223">
        <f t="shared" si="1"/>
        <v>0.10600000000000001</v>
      </c>
      <c r="T13" s="223">
        <f t="shared" si="1"/>
        <v>0.10600000000000001</v>
      </c>
      <c r="U13" s="223">
        <f t="shared" si="1"/>
        <v>0.10600000000000001</v>
      </c>
      <c r="V13" s="223">
        <f t="shared" si="1"/>
        <v>0.10600000000000001</v>
      </c>
      <c r="W13" s="223">
        <f t="shared" si="1"/>
        <v>0.10600000000000001</v>
      </c>
      <c r="X13" s="223">
        <f t="shared" si="1"/>
        <v>0.10600000000000001</v>
      </c>
      <c r="Y13" s="223">
        <f t="shared" si="1"/>
        <v>0.10600000000000001</v>
      </c>
      <c r="Z13" s="223">
        <f t="shared" si="1"/>
        <v>0.10600000000000001</v>
      </c>
      <c r="AA13" s="223">
        <f t="shared" si="1"/>
        <v>0.10600000000000001</v>
      </c>
      <c r="AB13" s="223">
        <f t="shared" si="1"/>
        <v>0.10600000000000001</v>
      </c>
      <c r="AC13" s="223">
        <f t="shared" si="1"/>
        <v>0.10600000000000001</v>
      </c>
      <c r="AD13" s="223">
        <f t="shared" si="1"/>
        <v>0.10600000000000001</v>
      </c>
      <c r="AE13" s="223">
        <f t="shared" si="1"/>
        <v>0.10600000000000001</v>
      </c>
      <c r="AF13" s="223">
        <f t="shared" si="1"/>
        <v>0.10600000000000001</v>
      </c>
      <c r="AG13" s="223">
        <f t="shared" si="1"/>
        <v>0.10600000000000001</v>
      </c>
      <c r="AH13" s="331"/>
      <c r="AI13" s="447"/>
      <c r="AJ13" s="427"/>
      <c r="AK13" s="427"/>
      <c r="AL13" s="427"/>
    </row>
    <row r="14" spans="1:38" s="105" customFormat="1" ht="15.75" customHeight="1">
      <c r="A14" s="324" t="s">
        <v>246</v>
      </c>
      <c r="B14" s="700">
        <f t="shared" ca="1" si="0"/>
        <v>8.2946441130690385E-2</v>
      </c>
      <c r="C14" s="223"/>
      <c r="D14" s="223">
        <f t="shared" ref="D14:J14" ca="1" si="2">D11*D12+D13*(1-D12)</f>
        <v>8.2946441130690385E-2</v>
      </c>
      <c r="E14" s="223">
        <f t="shared" ca="1" si="2"/>
        <v>7.3074516804038203E-2</v>
      </c>
      <c r="F14" s="223">
        <f t="shared" ca="1" si="2"/>
        <v>7.4306913464097457E-2</v>
      </c>
      <c r="G14" s="223">
        <f t="shared" ca="1" si="2"/>
        <v>6.9347912991998065E-2</v>
      </c>
      <c r="H14" s="223">
        <f t="shared" ca="1" si="2"/>
        <v>6.928758546499697E-2</v>
      </c>
      <c r="I14" s="223">
        <f t="shared" ca="1" si="2"/>
        <v>6.5295053814896462E-2</v>
      </c>
      <c r="J14" s="223">
        <f t="shared" ca="1" si="2"/>
        <v>6.462255962783893E-2</v>
      </c>
      <c r="K14" s="223">
        <f t="shared" ref="K14:O14" ca="1" si="3">K11*K12+K13*(1-K12)</f>
        <v>6.1573430246152694E-2</v>
      </c>
      <c r="L14" s="223">
        <f t="shared" ca="1" si="3"/>
        <v>6.0655234851465623E-2</v>
      </c>
      <c r="M14" s="223">
        <f t="shared" ca="1" si="3"/>
        <v>5.8346193955157707E-2</v>
      </c>
      <c r="N14" s="223">
        <f t="shared" ca="1" si="3"/>
        <v>5.7191384911496383E-2</v>
      </c>
      <c r="O14" s="223">
        <f t="shared" ca="1" si="3"/>
        <v>5.5413927080626299E-2</v>
      </c>
      <c r="P14" s="223">
        <f t="shared" ref="P14" ca="1" si="4">P11*P12+P13*(1-P12)</f>
        <v>5.4229224285237611E-2</v>
      </c>
      <c r="Q14" s="223">
        <f t="shared" ref="Q14" ca="1" si="5">Q11*Q12+Q13*(1-Q12)</f>
        <v>5.2834726738595045E-2</v>
      </c>
      <c r="R14" s="223">
        <f t="shared" ref="R14" ca="1" si="6">R11*R12+R13*(1-R12)</f>
        <v>5.1672347142653258E-2</v>
      </c>
      <c r="S14" s="223">
        <f t="shared" ref="S14" ca="1" si="7">S11*S12+S13*(1-S12)</f>
        <v>5.0560303334804678E-2</v>
      </c>
      <c r="T14" s="223">
        <f t="shared" ref="T14" ca="1" si="8">T11*T12+T13*(1-T12)</f>
        <v>4.947656281676064E-2</v>
      </c>
      <c r="U14" s="223">
        <f t="shared" ref="U14" ca="1" si="9">U11*U12+U13*(1-U12)</f>
        <v>4.8574688243258821E-2</v>
      </c>
      <c r="V14" s="223">
        <f t="shared" ref="V14" ca="1" si="10">V11*V12+V13*(1-V12)</f>
        <v>4.7586159016182746E-2</v>
      </c>
      <c r="W14" s="223">
        <f t="shared" ref="W14" ca="1" si="11">W11*W12+W13*(1-W12)</f>
        <v>4.6841426440479283E-2</v>
      </c>
      <c r="X14" s="223">
        <f t="shared" ref="X14" ca="1" si="12">X11*X12+X13*(1-X12)</f>
        <v>4.5958937511631034E-2</v>
      </c>
      <c r="Y14" s="223">
        <f t="shared" ref="Y14" ca="1" si="13">Y11*Y12+Y13*(1-Y12)</f>
        <v>4.5336694693011041E-2</v>
      </c>
      <c r="Z14" s="223">
        <f t="shared" ref="Z14" ca="1" si="14">Z11*Z12+Z13*(1-Z12)</f>
        <v>4.455774639670744E-2</v>
      </c>
      <c r="AA14" s="223">
        <f t="shared" ref="AA14" ca="1" si="15">AA11*AA12+AA13*(1-AA12)</f>
        <v>4.403117240777589E-2</v>
      </c>
      <c r="AB14" s="223">
        <f t="shared" ref="AB14" ca="1" si="16">AB11*AB12+AB13*(1-AB12)</f>
        <v>4.3350684343142321E-2</v>
      </c>
      <c r="AC14" s="223">
        <f t="shared" ref="AC14" ca="1" si="17">AC11*AC12+AC13*(1-AC12)</f>
        <v>4.2901446787271626E-2</v>
      </c>
      <c r="AD14" s="223">
        <f t="shared" ref="AD14" ca="1" si="18">AD11*AD12+AD13*(1-AD12)</f>
        <v>4.2310744997368553E-2</v>
      </c>
      <c r="AE14" s="223">
        <f t="shared" ref="AE14" ca="1" si="19">AE11*AE12+AE13*(1-AE12)</f>
        <v>4.1924689257510112E-2</v>
      </c>
      <c r="AF14" s="223">
        <f t="shared" ref="AF14" ca="1" si="20">AF11*AF12+AF13*(1-AF12)</f>
        <v>4.141431631652133E-2</v>
      </c>
      <c r="AG14" s="223">
        <f t="shared" ref="AG14" ca="1" si="21">AG11*AG12+AG13*(1-AG12)</f>
        <v>4.1080963246113045E-2</v>
      </c>
      <c r="AH14" s="331"/>
      <c r="AI14" s="447"/>
      <c r="AJ14" s="427"/>
      <c r="AK14" s="427"/>
      <c r="AL14" s="427"/>
    </row>
    <row r="15" spans="1:38" s="105" customFormat="1" ht="15.75" customHeight="1">
      <c r="A15" s="324" t="s">
        <v>244</v>
      </c>
      <c r="B15" s="701">
        <f t="shared" si="0"/>
        <v>0.90415913200723319</v>
      </c>
      <c r="C15" s="200"/>
      <c r="D15" s="200">
        <f>1/POWER((1+D13),LEFT(D10,4)-LEFT($D10,4)+1)</f>
        <v>0.90415913200723319</v>
      </c>
      <c r="E15" s="200">
        <f t="shared" ref="E15:AG15" si="22">1/POWER((1+E13),LEFT(E10,4)-LEFT($D10,4)+1)</f>
        <v>0.81750373599207338</v>
      </c>
      <c r="F15" s="200">
        <f t="shared" si="22"/>
        <v>0.73915346834726336</v>
      </c>
      <c r="G15" s="200">
        <f t="shared" si="22"/>
        <v>0.66831235836099756</v>
      </c>
      <c r="H15" s="200">
        <f t="shared" si="22"/>
        <v>0.60426072184538648</v>
      </c>
      <c r="I15" s="200">
        <f t="shared" si="22"/>
        <v>0.5463478497697889</v>
      </c>
      <c r="J15" s="200">
        <f t="shared" si="22"/>
        <v>0.49398539762187055</v>
      </c>
      <c r="K15" s="200">
        <f t="shared" si="22"/>
        <v>0.4466414083380385</v>
      </c>
      <c r="L15" s="200">
        <f t="shared" si="22"/>
        <v>0.40383490808140904</v>
      </c>
      <c r="M15" s="200">
        <f t="shared" si="22"/>
        <v>0.36513101996510761</v>
      </c>
      <c r="N15" s="200">
        <f t="shared" si="22"/>
        <v>0.33013654608056747</v>
      </c>
      <c r="O15" s="200">
        <f t="shared" si="22"/>
        <v>0.29849597294807184</v>
      </c>
      <c r="P15" s="200">
        <f t="shared" si="22"/>
        <v>0.26988785980838315</v>
      </c>
      <c r="Q15" s="200">
        <f t="shared" si="22"/>
        <v>0.24402157306363756</v>
      </c>
      <c r="R15" s="200">
        <f t="shared" si="22"/>
        <v>0.22063433369225818</v>
      </c>
      <c r="S15" s="200">
        <f t="shared" si="22"/>
        <v>0.19948854764218643</v>
      </c>
      <c r="T15" s="200">
        <f t="shared" si="22"/>
        <v>0.18036939208154287</v>
      </c>
      <c r="U15" s="200">
        <f t="shared" si="22"/>
        <v>0.16308263298512013</v>
      </c>
      <c r="V15" s="200">
        <f t="shared" si="22"/>
        <v>0.14745265188528039</v>
      </c>
      <c r="W15" s="200">
        <f t="shared" si="22"/>
        <v>0.13332066174075982</v>
      </c>
      <c r="X15" s="200">
        <f t="shared" si="22"/>
        <v>0.12054309379815534</v>
      </c>
      <c r="Y15" s="200">
        <f t="shared" si="22"/>
        <v>0.10899013905800663</v>
      </c>
      <c r="Z15" s="200">
        <f t="shared" si="22"/>
        <v>9.8544429528034938E-2</v>
      </c>
      <c r="AA15" s="200">
        <f t="shared" si="22"/>
        <v>8.9099845866216026E-2</v>
      </c>
      <c r="AB15" s="200">
        <f t="shared" si="22"/>
        <v>8.0560439300376138E-2</v>
      </c>
      <c r="AC15" s="200">
        <f t="shared" si="22"/>
        <v>7.2839456871949496E-2</v>
      </c>
      <c r="AD15" s="200">
        <f t="shared" si="22"/>
        <v>6.5858460101220165E-2</v>
      </c>
      <c r="AE15" s="200">
        <f t="shared" si="22"/>
        <v>5.9546528120452212E-2</v>
      </c>
      <c r="AF15" s="200">
        <f t="shared" si="22"/>
        <v>5.3839537179432372E-2</v>
      </c>
      <c r="AG15" s="200">
        <f t="shared" si="22"/>
        <v>4.8679509203826736E-2</v>
      </c>
      <c r="AH15" s="447"/>
      <c r="AI15" s="447"/>
      <c r="AJ15" s="427"/>
      <c r="AK15" s="427"/>
      <c r="AL15" s="427"/>
    </row>
    <row r="16" spans="1:38" s="105" customFormat="1" ht="15.75" customHeight="1">
      <c r="A16" s="324" t="s">
        <v>245</v>
      </c>
      <c r="B16" s="701">
        <f t="shared" ca="1" si="0"/>
        <v>0.92340670047903095</v>
      </c>
      <c r="C16" s="200"/>
      <c r="D16" s="200">
        <f ca="1">1/POWER((1+D14),LEFT(D10,4)-LEFT($D10,4)+1)</f>
        <v>0.92340670047903095</v>
      </c>
      <c r="E16" s="200">
        <f ca="1">1/POWER((1+E14),LEFT(E10,4)-LEFT($D10,4)+1)</f>
        <v>0.868440836758957</v>
      </c>
      <c r="F16" s="200">
        <f t="shared" ref="F16:AG16" ca="1" si="23">1/POWER((1+F14),LEFT(F10,4)-LEFT($D10,4)+1)</f>
        <v>0.80651952999560794</v>
      </c>
      <c r="G16" s="200">
        <f t="shared" ca="1" si="23"/>
        <v>0.76475776500634174</v>
      </c>
      <c r="H16" s="200">
        <f t="shared" ca="1" si="23"/>
        <v>0.71536448729095004</v>
      </c>
      <c r="I16" s="200">
        <f t="shared" ca="1" si="23"/>
        <v>0.68419600885236298</v>
      </c>
      <c r="J16" s="200">
        <f t="shared" ca="1" si="23"/>
        <v>0.64510490907696316</v>
      </c>
      <c r="K16" s="200">
        <f t="shared" ca="1" si="23"/>
        <v>0.6200114052409107</v>
      </c>
      <c r="L16" s="200">
        <f t="shared" ca="1" si="23"/>
        <v>0.58861570055684997</v>
      </c>
      <c r="M16" s="200">
        <f t="shared" ca="1" si="23"/>
        <v>0.56718204843276121</v>
      </c>
      <c r="N16" s="200">
        <f t="shared" ca="1" si="23"/>
        <v>0.54238819757837609</v>
      </c>
      <c r="O16" s="200">
        <f t="shared" ca="1" si="23"/>
        <v>0.52351140906893123</v>
      </c>
      <c r="P16" s="200">
        <f t="shared" ca="1" si="23"/>
        <v>0.50332017092489156</v>
      </c>
      <c r="Q16" s="200">
        <f t="shared" ca="1" si="23"/>
        <v>0.48635925207053698</v>
      </c>
      <c r="R16" s="200">
        <f t="shared" ca="1" si="23"/>
        <v>0.46967038880960216</v>
      </c>
      <c r="S16" s="200">
        <f t="shared" ca="1" si="23"/>
        <v>0.45421787050223689</v>
      </c>
      <c r="T16" s="200">
        <f t="shared" ca="1" si="23"/>
        <v>0.44001081159796712</v>
      </c>
      <c r="U16" s="200">
        <f t="shared" ca="1" si="23"/>
        <v>0.42580557210222791</v>
      </c>
      <c r="V16" s="200">
        <f t="shared" ca="1" si="23"/>
        <v>0.41342307815990564</v>
      </c>
      <c r="W16" s="200">
        <f t="shared" ca="1" si="23"/>
        <v>0.40029668070982188</v>
      </c>
      <c r="X16" s="200">
        <f t="shared" ca="1" si="23"/>
        <v>0.38921776997641794</v>
      </c>
      <c r="Y16" s="200">
        <f t="shared" ca="1" si="23"/>
        <v>0.37701939515280153</v>
      </c>
      <c r="Z16" s="200">
        <f t="shared" ca="1" si="23"/>
        <v>0.36690493656262058</v>
      </c>
      <c r="AA16" s="200">
        <f t="shared" ca="1" si="23"/>
        <v>0.35553046278867872</v>
      </c>
      <c r="AB16" s="200">
        <f t="shared" ca="1" si="23"/>
        <v>0.34613249189727491</v>
      </c>
      <c r="AC16" s="200">
        <f t="shared" ca="1" si="23"/>
        <v>0.33548644799282512</v>
      </c>
      <c r="AD16" s="200">
        <f t="shared" ca="1" si="23"/>
        <v>0.32664438638012872</v>
      </c>
      <c r="AE16" s="200">
        <f t="shared" ca="1" si="23"/>
        <v>0.31665240055004601</v>
      </c>
      <c r="AF16" s="200">
        <f t="shared" ca="1" si="23"/>
        <v>0.30826004316860778</v>
      </c>
      <c r="AG16" s="200">
        <f t="shared" ca="1" si="23"/>
        <v>0.29885797064408537</v>
      </c>
      <c r="AH16" s="447"/>
      <c r="AI16" s="447"/>
      <c r="AJ16" s="427"/>
      <c r="AK16" s="427"/>
      <c r="AL16" s="427"/>
    </row>
    <row r="17" spans="1:41" s="105" customFormat="1" ht="19.5" customHeight="1">
      <c r="A17" s="333" t="s">
        <v>247</v>
      </c>
      <c r="B17" s="333" t="s">
        <v>1048</v>
      </c>
      <c r="C17" s="200"/>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0"/>
      <c r="AB17" s="200"/>
      <c r="AC17" s="200"/>
      <c r="AD17" s="200"/>
      <c r="AE17" s="200"/>
      <c r="AF17" s="200"/>
      <c r="AG17" s="200"/>
      <c r="AH17" s="200"/>
      <c r="AI17" s="447"/>
      <c r="AJ17" s="427"/>
      <c r="AK17" s="427"/>
      <c r="AL17" s="427"/>
    </row>
    <row r="18" spans="1:41" s="105" customFormat="1" ht="16.5" customHeight="1" outlineLevel="1">
      <c r="A18" s="327" t="s">
        <v>249</v>
      </c>
      <c r="B18" s="299"/>
      <c r="C18" s="200"/>
      <c r="D18" s="200">
        <f ca="1">利润表!I34</f>
        <v>-123.1726077978868</v>
      </c>
      <c r="E18" s="200">
        <f ca="1">利润表!J34</f>
        <v>408.55781360940864</v>
      </c>
      <c r="F18" s="200">
        <f ca="1">利润表!K34</f>
        <v>441.88446481901741</v>
      </c>
      <c r="G18" s="200">
        <f ca="1">利润表!L34</f>
        <v>413.16845725434177</v>
      </c>
      <c r="H18" s="200">
        <f ca="1">利润表!M34</f>
        <v>402.90391941718457</v>
      </c>
      <c r="I18" s="200">
        <f ca="1">利润表!N34</f>
        <v>446.74213203119541</v>
      </c>
      <c r="J18" s="200">
        <f ca="1">利润表!O34</f>
        <v>539.40073060656619</v>
      </c>
      <c r="K18" s="200">
        <f ca="1">利润表!P34</f>
        <v>605.43431382853396</v>
      </c>
      <c r="L18" s="200">
        <f ca="1">利润表!Q34</f>
        <v>662.70086222806663</v>
      </c>
      <c r="M18" s="200">
        <f ca="1">利润表!R34</f>
        <v>731.05169725523763</v>
      </c>
      <c r="N18" s="200">
        <f ca="1">利润表!S34</f>
        <v>818.49842773233752</v>
      </c>
      <c r="O18" s="200">
        <f ca="1">利润表!T34</f>
        <v>924.1446618421719</v>
      </c>
      <c r="P18" s="200">
        <f ca="1">利润表!U34</f>
        <v>1037.548444865226</v>
      </c>
      <c r="Q18" s="200">
        <f ca="1">利润表!V34</f>
        <v>1159.4690513512614</v>
      </c>
      <c r="R18" s="200">
        <f ca="1">利润表!W34</f>
        <v>1299.2167815565444</v>
      </c>
      <c r="S18" s="200">
        <f ca="1">利润表!X34</f>
        <v>1460.7176480749201</v>
      </c>
      <c r="T18" s="200">
        <f ca="1">利润表!Y34</f>
        <v>1644.1208205151431</v>
      </c>
      <c r="U18" s="200">
        <f ca="1">利润表!Z34</f>
        <v>1848.9304915158223</v>
      </c>
      <c r="V18" s="200">
        <f ca="1">利润表!AA34</f>
        <v>2078.9780912108799</v>
      </c>
      <c r="W18" s="200">
        <f ca="1">利润表!AB34</f>
        <v>2340.1642689573409</v>
      </c>
      <c r="X18" s="200">
        <f ca="1">利润表!AC34</f>
        <v>2636.2515022050547</v>
      </c>
      <c r="Y18" s="200">
        <f ca="1">利润表!AD34</f>
        <v>2970.5294629664777</v>
      </c>
      <c r="Z18" s="200">
        <f ca="1">利润表!AE34</f>
        <v>3347.4092409440505</v>
      </c>
      <c r="AA18" s="200">
        <f ca="1">利润表!AF34</f>
        <v>3773.1551660143359</v>
      </c>
      <c r="AB18" s="200">
        <f ca="1">利润表!AG34</f>
        <v>4254.6915509253795</v>
      </c>
      <c r="AC18" s="200">
        <f ca="1">利润表!AH34</f>
        <v>4798.9063419121303</v>
      </c>
      <c r="AD18" s="200">
        <f ca="1">利润表!AI34</f>
        <v>5413.5707554181909</v>
      </c>
      <c r="AE18" s="200">
        <f ca="1">利润表!AJ34</f>
        <v>6107.8625463249155</v>
      </c>
      <c r="AF18" s="200">
        <f ca="1">利润表!AK34</f>
        <v>6892.3936480007851</v>
      </c>
      <c r="AG18" s="200">
        <f ca="1">利润表!AL34</f>
        <v>7778.9428144277026</v>
      </c>
      <c r="AH18" s="200"/>
      <c r="AI18" s="447"/>
      <c r="AJ18" s="427"/>
      <c r="AK18" s="427"/>
      <c r="AL18" s="427"/>
    </row>
    <row r="19" spans="1:41" s="105" customFormat="1" ht="16.5" customHeight="1" outlineLevel="1">
      <c r="A19" s="326" t="s">
        <v>250</v>
      </c>
      <c r="B19" s="299"/>
      <c r="C19" s="200"/>
      <c r="D19" s="200">
        <f ca="1">利润表!I27</f>
        <v>159.67568942618274</v>
      </c>
      <c r="E19" s="200">
        <f ca="1">利润表!J27</f>
        <v>178.29660496705071</v>
      </c>
      <c r="F19" s="200">
        <f ca="1">利润表!K27</f>
        <v>206.53562264950685</v>
      </c>
      <c r="G19" s="200">
        <f ca="1">利润表!L27</f>
        <v>236.9227226316784</v>
      </c>
      <c r="H19" s="200">
        <f ca="1">利润表!M27</f>
        <v>265.31343784344983</v>
      </c>
      <c r="I19" s="200">
        <f ca="1">利润表!N27</f>
        <v>296.67679217114386</v>
      </c>
      <c r="J19" s="200">
        <f ca="1">利润表!O27</f>
        <v>335.10374570500522</v>
      </c>
      <c r="K19" s="200">
        <f ca="1">利润表!P27</f>
        <v>378.49358324467477</v>
      </c>
      <c r="L19" s="200">
        <f ca="1">利润表!Q27</f>
        <v>426.52582930108832</v>
      </c>
      <c r="M19" s="200">
        <f ca="1">利润表!R27</f>
        <v>479.28899939193815</v>
      </c>
      <c r="N19" s="200">
        <f ca="1">利润表!S27</f>
        <v>538.55465636874908</v>
      </c>
      <c r="O19" s="200">
        <f ca="1">利润表!T27</f>
        <v>606.79311083667392</v>
      </c>
      <c r="P19" s="200">
        <f ca="1">利润表!U27</f>
        <v>683.53667865476859</v>
      </c>
      <c r="Q19" s="200">
        <f ca="1">利润表!V27</f>
        <v>613.24261232595609</v>
      </c>
      <c r="R19" s="200">
        <f ca="1">利润表!W27</f>
        <v>686.04985674259683</v>
      </c>
      <c r="S19" s="200">
        <f ca="1">利润表!X27</f>
        <v>765.67445522763148</v>
      </c>
      <c r="T19" s="200">
        <f ca="1">利润表!Y27</f>
        <v>860.72415812252029</v>
      </c>
      <c r="U19" s="200">
        <f ca="1">利润表!Z27</f>
        <v>973.64725190846241</v>
      </c>
      <c r="V19" s="200">
        <f ca="1">利润表!AA27</f>
        <v>1097.0518470059346</v>
      </c>
      <c r="W19" s="200">
        <f ca="1">利润表!AB27</f>
        <v>1233.6158117106406</v>
      </c>
      <c r="X19" s="200">
        <f ca="1">利润表!AC27</f>
        <v>1389.2203142469018</v>
      </c>
      <c r="Y19" s="200">
        <f ca="1">利润表!AD27</f>
        <v>1566.9719974686861</v>
      </c>
      <c r="Z19" s="200">
        <f ca="1">利润表!AE27</f>
        <v>1767.5226487591144</v>
      </c>
      <c r="AA19" s="200">
        <f ca="1">利润表!AF27</f>
        <v>1993.1503851419498</v>
      </c>
      <c r="AB19" s="200">
        <f ca="1">利润表!AG27</f>
        <v>2247.6527198618437</v>
      </c>
      <c r="AC19" s="200">
        <f ca="1">利润表!AH27</f>
        <v>2535.0930203969911</v>
      </c>
      <c r="AD19" s="200">
        <f ca="1">利润表!AI27</f>
        <v>2860.7910931420533</v>
      </c>
      <c r="AE19" s="200">
        <f ca="1">利润表!AJ27</f>
        <v>3228.4127159392601</v>
      </c>
      <c r="AF19" s="200">
        <f ca="1">利润表!AK27</f>
        <v>3642.6274694959147</v>
      </c>
      <c r="AG19" s="200">
        <f ca="1">利润表!AL27</f>
        <v>4111.1144205275168</v>
      </c>
      <c r="AH19" s="200"/>
      <c r="AI19" s="447"/>
      <c r="AJ19" s="427"/>
      <c r="AK19" s="427"/>
      <c r="AL19" s="427"/>
    </row>
    <row r="20" spans="1:41" s="105" customFormat="1" ht="16.5" customHeight="1" outlineLevel="1">
      <c r="A20" s="326" t="s">
        <v>251</v>
      </c>
      <c r="B20" s="299"/>
      <c r="C20" s="200"/>
      <c r="D20" s="200">
        <f ca="1">营运资本!I21</f>
        <v>1725.6196271845865</v>
      </c>
      <c r="E20" s="200">
        <f ca="1">营运资本!J21</f>
        <v>4192.4904604445564</v>
      </c>
      <c r="F20" s="200">
        <f ca="1">营运资本!K21</f>
        <v>-1080.9465266692932</v>
      </c>
      <c r="G20" s="200">
        <f ca="1">营运资本!L21</f>
        <v>3172.757650520165</v>
      </c>
      <c r="H20" s="200">
        <f ca="1">营运资本!M21</f>
        <v>-463.48638972363733</v>
      </c>
      <c r="I20" s="200">
        <f ca="1">营运资本!N21</f>
        <v>3738.2107049290862</v>
      </c>
      <c r="J20" s="200">
        <f ca="1">营运资本!O21</f>
        <v>-135.21930449852152</v>
      </c>
      <c r="K20" s="200">
        <f ca="1">营运资本!P21</f>
        <v>4409.0195904346674</v>
      </c>
      <c r="L20" s="200">
        <f ca="1">营运资本!Q21</f>
        <v>190.86068437761787</v>
      </c>
      <c r="M20" s="200">
        <f ca="1">营运资本!R21</f>
        <v>4955.7393017695977</v>
      </c>
      <c r="N20" s="200">
        <f ca="1">营运资本!S21</f>
        <v>1017.1598194585858</v>
      </c>
      <c r="O20" s="200">
        <f ca="1">营运资本!T21</f>
        <v>5717.7864749472647</v>
      </c>
      <c r="P20" s="200">
        <f ca="1">营运资本!U21</f>
        <v>1856.6679786814711</v>
      </c>
      <c r="Q20" s="200">
        <f ca="1">营运资本!V21</f>
        <v>6683.653242140681</v>
      </c>
      <c r="R20" s="200">
        <f ca="1">营运资本!W21</f>
        <v>2965.2198630065832</v>
      </c>
      <c r="S20" s="200">
        <f ca="1">营运资本!X21</f>
        <v>7968.3109057014153</v>
      </c>
      <c r="T20" s="200">
        <f ca="1">营运资本!Y21</f>
        <v>4383.2935290941314</v>
      </c>
      <c r="U20" s="200">
        <f ca="1">营运资本!Z21</f>
        <v>9555.2914284495491</v>
      </c>
      <c r="V20" s="200">
        <f ca="1">营运资本!AA21</f>
        <v>6189.0535986943723</v>
      </c>
      <c r="W20" s="200">
        <f ca="1">营运资本!AB21</f>
        <v>11608.965640844559</v>
      </c>
      <c r="X20" s="200">
        <f ca="1">营运资本!AC21</f>
        <v>8505.1063560175389</v>
      </c>
      <c r="Y20" s="200">
        <f ca="1">营运资本!AD21</f>
        <v>14216.71264719704</v>
      </c>
      <c r="Z20" s="200">
        <f ca="1">营运资本!AE21</f>
        <v>11451.827170359495</v>
      </c>
      <c r="AA20" s="200">
        <f ca="1">营运资本!AF21</f>
        <v>17550.474453434887</v>
      </c>
      <c r="AB20" s="200">
        <f ca="1">营运资本!AG21</f>
        <v>15220.812286478496</v>
      </c>
      <c r="AC20" s="200">
        <f ca="1">营运资本!AH21</f>
        <v>21806.276220303989</v>
      </c>
      <c r="AD20" s="200">
        <f ca="1">营运资本!AI21</f>
        <v>20026.990640916774</v>
      </c>
      <c r="AE20" s="200">
        <f ca="1">营运资本!AJ21</f>
        <v>27237.896693205694</v>
      </c>
      <c r="AF20" s="200">
        <f ca="1">营运资本!AK21</f>
        <v>26165.14429071077</v>
      </c>
      <c r="AG20" s="200">
        <f ca="1">营运资本!AL21</f>
        <v>34173.046942498913</v>
      </c>
      <c r="AH20" s="200"/>
      <c r="AI20" s="447"/>
      <c r="AJ20" s="427"/>
      <c r="AK20" s="427"/>
      <c r="AL20" s="427"/>
    </row>
    <row r="21" spans="1:41" s="105" customFormat="1" ht="16.5" customHeight="1" outlineLevel="1">
      <c r="A21" s="326" t="s">
        <v>252</v>
      </c>
      <c r="B21" s="299"/>
      <c r="C21" s="200"/>
      <c r="D21" s="200">
        <f ca="1">营运资本!I62</f>
        <v>197.78088647506297</v>
      </c>
      <c r="E21" s="200">
        <f ca="1">营运资本!J62</f>
        <v>427.80018107635135</v>
      </c>
      <c r="F21" s="200">
        <f ca="1">营运资本!K62</f>
        <v>474.74916070267727</v>
      </c>
      <c r="G21" s="200">
        <f ca="1">营运资本!L62</f>
        <v>454.77868884110671</v>
      </c>
      <c r="H21" s="200">
        <f>营运资本!H62</f>
        <v>365.12046151000027</v>
      </c>
      <c r="I21" s="200">
        <f ca="1">营运资本!I62</f>
        <v>197.78088647506297</v>
      </c>
      <c r="J21" s="200">
        <f ca="1">营运资本!J62</f>
        <v>427.80018107635135</v>
      </c>
      <c r="K21" s="200">
        <f ca="1">营运资本!K62</f>
        <v>474.74916070267727</v>
      </c>
      <c r="L21" s="200">
        <f ca="1">营运资本!L62</f>
        <v>454.77868884110671</v>
      </c>
      <c r="M21" s="200">
        <f ca="1">营运资本!M62</f>
        <v>428.15181403801779</v>
      </c>
      <c r="N21" s="200">
        <f ca="1">营运资本!N62</f>
        <v>540.35209347607065</v>
      </c>
      <c r="O21" s="200">
        <f ca="1">营运资本!O62</f>
        <v>636.77874028515316</v>
      </c>
      <c r="P21" s="200">
        <f ca="1">营运资本!P62</f>
        <v>698.51626272090004</v>
      </c>
      <c r="Q21" s="200">
        <f ca="1">营运资本!Q62</f>
        <v>754.20341656337564</v>
      </c>
      <c r="R21" s="200">
        <f ca="1">营运资本!R62</f>
        <v>841.5795899876149</v>
      </c>
      <c r="S21" s="200">
        <f ca="1">营运资本!S62</f>
        <v>965.10526190980204</v>
      </c>
      <c r="T21" s="200">
        <f ca="1">营运资本!T62</f>
        <v>1089.4216150882148</v>
      </c>
      <c r="U21" s="200">
        <f ca="1">营运资本!U62</f>
        <v>1214.6856169040161</v>
      </c>
      <c r="V21" s="200">
        <f ca="1">营运资本!V62</f>
        <v>1357.2520938259565</v>
      </c>
      <c r="W21" s="200">
        <f ca="1">营运资本!W62</f>
        <v>1533.5635474563082</v>
      </c>
      <c r="X21" s="200">
        <f ca="1">营运资本!X62</f>
        <v>1733.0285358142719</v>
      </c>
      <c r="Y21" s="200">
        <f ca="1">营运资本!Y62</f>
        <v>1948.1243795499931</v>
      </c>
      <c r="Z21" s="200">
        <f ca="1">营运资本!Z62</f>
        <v>2193.3407855608953</v>
      </c>
      <c r="AA21" s="200">
        <f ca="1">营运资本!AA62</f>
        <v>2470.5915847599654</v>
      </c>
      <c r="AB21" s="200">
        <f ca="1">营运资本!AB62</f>
        <v>2784.3797486127805</v>
      </c>
      <c r="AC21" s="200">
        <f ca="1">营运资本!AC62</f>
        <v>3142.5355946660839</v>
      </c>
      <c r="AD21" s="200">
        <f ca="1">营运资本!AD62</f>
        <v>3542.5944775738089</v>
      </c>
      <c r="AE21" s="200">
        <f ca="1">营运资本!AE62</f>
        <v>3992.7847182155119</v>
      </c>
      <c r="AF21" s="200">
        <f ca="1">营运资本!AF62</f>
        <v>4506.9521222290114</v>
      </c>
      <c r="AG21" s="200">
        <f ca="1">营运资本!AG62</f>
        <v>5085.9251083049439</v>
      </c>
      <c r="AH21" s="200"/>
      <c r="AI21" s="447"/>
      <c r="AJ21" s="427"/>
      <c r="AK21" s="427"/>
      <c r="AL21" s="427"/>
    </row>
    <row r="22" spans="1:41" s="105" customFormat="1" ht="16.5" customHeight="1" outlineLevel="1">
      <c r="A22" s="336" t="s">
        <v>253</v>
      </c>
      <c r="B22" s="428" t="s">
        <v>1031</v>
      </c>
      <c r="C22" s="200"/>
      <c r="D22" s="200">
        <f ca="1">D18+D19-D20-D21</f>
        <v>-1886.8974320313534</v>
      </c>
      <c r="E22" s="200">
        <f t="shared" ref="E22:AG22" ca="1" si="24">E18+E19-E20-E21</f>
        <v>-4033.4362229444482</v>
      </c>
      <c r="F22" s="200">
        <f t="shared" ca="1" si="24"/>
        <v>1254.6174534351403</v>
      </c>
      <c r="G22" s="200">
        <f t="shared" ca="1" si="24"/>
        <v>-2977.4451594752518</v>
      </c>
      <c r="H22" s="200">
        <f t="shared" ca="1" si="24"/>
        <v>766.58328547427141</v>
      </c>
      <c r="I22" s="200">
        <f t="shared" ca="1" si="24"/>
        <v>-3192.57266720181</v>
      </c>
      <c r="J22" s="200">
        <f t="shared" ca="1" si="24"/>
        <v>581.92359973374153</v>
      </c>
      <c r="K22" s="200">
        <f t="shared" ca="1" si="24"/>
        <v>-3899.8408540641362</v>
      </c>
      <c r="L22" s="200">
        <f t="shared" ca="1" si="24"/>
        <v>443.58731831043042</v>
      </c>
      <c r="M22" s="200">
        <f t="shared" ca="1" si="24"/>
        <v>-4173.5504191604396</v>
      </c>
      <c r="N22" s="200">
        <f t="shared" ca="1" si="24"/>
        <v>-200.4588288335699</v>
      </c>
      <c r="O22" s="200">
        <f t="shared" ca="1" si="24"/>
        <v>-4823.6274425535721</v>
      </c>
      <c r="P22" s="200">
        <f t="shared" ca="1" si="24"/>
        <v>-834.09911788237662</v>
      </c>
      <c r="Q22" s="200">
        <f t="shared" ca="1" si="24"/>
        <v>-5665.1449950268398</v>
      </c>
      <c r="R22" s="200">
        <f t="shared" ca="1" si="24"/>
        <v>-1821.5328146950569</v>
      </c>
      <c r="S22" s="200">
        <f t="shared" ca="1" si="24"/>
        <v>-6707.0240643086654</v>
      </c>
      <c r="T22" s="200">
        <f t="shared" ca="1" si="24"/>
        <v>-2967.870165544683</v>
      </c>
      <c r="U22" s="200">
        <f t="shared" ca="1" si="24"/>
        <v>-7947.3993019292811</v>
      </c>
      <c r="V22" s="200">
        <f t="shared" ca="1" si="24"/>
        <v>-4370.2757543035141</v>
      </c>
      <c r="W22" s="200">
        <f t="shared" ca="1" si="24"/>
        <v>-9568.7491076328861</v>
      </c>
      <c r="X22" s="200">
        <f t="shared" ca="1" si="24"/>
        <v>-6212.6630753798545</v>
      </c>
      <c r="Y22" s="200">
        <f t="shared" ca="1" si="24"/>
        <v>-11627.335566311871</v>
      </c>
      <c r="Z22" s="200">
        <f t="shared" ca="1" si="24"/>
        <v>-8530.236066217225</v>
      </c>
      <c r="AA22" s="200">
        <f t="shared" ca="1" si="24"/>
        <v>-14254.760487038566</v>
      </c>
      <c r="AB22" s="200">
        <f t="shared" ca="1" si="24"/>
        <v>-11502.847764304053</v>
      </c>
      <c r="AC22" s="200">
        <f t="shared" ca="1" si="24"/>
        <v>-17614.812452660954</v>
      </c>
      <c r="AD22" s="200">
        <f t="shared" ca="1" si="24"/>
        <v>-15295.223269930339</v>
      </c>
      <c r="AE22" s="200">
        <f t="shared" ca="1" si="24"/>
        <v>-21894.406149157032</v>
      </c>
      <c r="AF22" s="200">
        <f t="shared" ca="1" si="24"/>
        <v>-20137.075295443079</v>
      </c>
      <c r="AG22" s="200">
        <f t="shared" ca="1" si="24"/>
        <v>-27368.914815848635</v>
      </c>
      <c r="AH22" s="200"/>
      <c r="AI22" s="447"/>
      <c r="AJ22" s="427"/>
      <c r="AK22" s="427"/>
      <c r="AL22" s="427"/>
    </row>
    <row r="23" spans="1:41" s="105" customFormat="1" ht="16.5" customHeight="1" outlineLevel="1">
      <c r="A23" s="326" t="s">
        <v>1325</v>
      </c>
      <c r="B23" s="428"/>
      <c r="C23" s="200"/>
      <c r="D23" s="200">
        <f ca="1">IF($B2&gt;0,F22*(1+$B$3),0)</f>
        <v>1380.0791987786545</v>
      </c>
      <c r="E23" s="200">
        <f ca="1">IF($B2-(LEFT(E10,4)-LEFT($D10,4))&gt;0,D23*(1+$B$3)," ")</f>
        <v>1518.08711865652</v>
      </c>
      <c r="F23" s="200">
        <f t="shared" ref="F23:AG23" ca="1" si="25">IF($B2-(LEFT(F10,4)-LEFT($D10,4))&gt;0,E23*(1+$B$3)," ")</f>
        <v>1669.8958305221722</v>
      </c>
      <c r="G23" s="200">
        <f t="shared" ca="1" si="25"/>
        <v>1836.8854135743895</v>
      </c>
      <c r="H23" s="200">
        <f t="shared" ca="1" si="25"/>
        <v>2020.5739549318287</v>
      </c>
      <c r="I23" s="200">
        <f t="shared" ca="1" si="25"/>
        <v>2222.6313504250115</v>
      </c>
      <c r="J23" s="200" t="str">
        <f t="shared" si="25"/>
        <v xml:space="preserve"> </v>
      </c>
      <c r="K23" s="200" t="str">
        <f t="shared" si="25"/>
        <v xml:space="preserve"> </v>
      </c>
      <c r="L23" s="200" t="str">
        <f t="shared" si="25"/>
        <v xml:space="preserve"> </v>
      </c>
      <c r="M23" s="200" t="str">
        <f t="shared" si="25"/>
        <v xml:space="preserve"> </v>
      </c>
      <c r="N23" s="200" t="str">
        <f t="shared" si="25"/>
        <v xml:space="preserve"> </v>
      </c>
      <c r="O23" s="200" t="str">
        <f t="shared" si="25"/>
        <v xml:space="preserve"> </v>
      </c>
      <c r="P23" s="200" t="str">
        <f t="shared" si="25"/>
        <v xml:space="preserve"> </v>
      </c>
      <c r="Q23" s="200" t="str">
        <f t="shared" si="25"/>
        <v xml:space="preserve"> </v>
      </c>
      <c r="R23" s="200" t="str">
        <f t="shared" si="25"/>
        <v xml:space="preserve"> </v>
      </c>
      <c r="S23" s="200" t="str">
        <f t="shared" si="25"/>
        <v xml:space="preserve"> </v>
      </c>
      <c r="T23" s="200" t="str">
        <f t="shared" si="25"/>
        <v xml:space="preserve"> </v>
      </c>
      <c r="U23" s="200" t="str">
        <f t="shared" si="25"/>
        <v xml:space="preserve"> </v>
      </c>
      <c r="V23" s="200" t="str">
        <f t="shared" si="25"/>
        <v xml:space="preserve"> </v>
      </c>
      <c r="W23" s="200" t="str">
        <f t="shared" si="25"/>
        <v xml:space="preserve"> </v>
      </c>
      <c r="X23" s="200" t="str">
        <f t="shared" si="25"/>
        <v xml:space="preserve"> </v>
      </c>
      <c r="Y23" s="200" t="str">
        <f t="shared" si="25"/>
        <v xml:space="preserve"> </v>
      </c>
      <c r="Z23" s="200" t="str">
        <f t="shared" si="25"/>
        <v xml:space="preserve"> </v>
      </c>
      <c r="AA23" s="200" t="str">
        <f t="shared" si="25"/>
        <v xml:space="preserve"> </v>
      </c>
      <c r="AB23" s="200" t="str">
        <f t="shared" si="25"/>
        <v xml:space="preserve"> </v>
      </c>
      <c r="AC23" s="200" t="str">
        <f t="shared" si="25"/>
        <v xml:space="preserve"> </v>
      </c>
      <c r="AD23" s="200" t="str">
        <f t="shared" si="25"/>
        <v xml:space="preserve"> </v>
      </c>
      <c r="AE23" s="200" t="str">
        <f t="shared" si="25"/>
        <v xml:space="preserve"> </v>
      </c>
      <c r="AF23" s="200" t="str">
        <f t="shared" si="25"/>
        <v xml:space="preserve"> </v>
      </c>
      <c r="AG23" s="200" t="str">
        <f t="shared" si="25"/>
        <v xml:space="preserve"> </v>
      </c>
      <c r="AH23" s="200"/>
      <c r="AI23" s="447"/>
      <c r="AJ23" s="427"/>
      <c r="AK23" s="427"/>
      <c r="AL23" s="427"/>
    </row>
    <row r="24" spans="1:41" s="105" customFormat="1" ht="16.5" customHeight="1" outlineLevel="1">
      <c r="A24" s="326" t="s">
        <v>254</v>
      </c>
      <c r="B24" s="299"/>
      <c r="C24" s="200">
        <f ca="1">D22+NPV(B14,E22:F22)</f>
        <v>-4541.6123382485439</v>
      </c>
      <c r="D24" s="200"/>
      <c r="E24" s="200"/>
      <c r="F24" s="200"/>
      <c r="G24" s="200"/>
      <c r="H24" s="200"/>
      <c r="I24" s="200"/>
      <c r="J24" s="200"/>
      <c r="K24" s="200"/>
      <c r="L24" s="200"/>
      <c r="M24" s="200"/>
      <c r="N24" s="200"/>
      <c r="O24" s="200"/>
      <c r="P24" s="200"/>
      <c r="Q24" s="200"/>
      <c r="R24" s="200"/>
      <c r="S24" s="200"/>
      <c r="T24" s="200"/>
      <c r="U24" s="200"/>
      <c r="V24" s="200"/>
      <c r="W24" s="200"/>
      <c r="X24" s="200"/>
      <c r="Y24" s="200"/>
      <c r="Z24" s="200"/>
      <c r="AA24" s="200"/>
      <c r="AB24" s="200"/>
      <c r="AC24" s="200"/>
      <c r="AD24" s="200"/>
      <c r="AE24" s="200"/>
      <c r="AF24" s="200"/>
      <c r="AG24" s="200"/>
      <c r="AH24" s="200"/>
      <c r="AI24" s="447"/>
      <c r="AJ24" s="427"/>
      <c r="AK24" s="427"/>
      <c r="AL24" s="427"/>
    </row>
    <row r="25" spans="1:41" s="105" customFormat="1" ht="16.5" customHeight="1" outlineLevel="1">
      <c r="A25" s="119" t="s">
        <v>1324</v>
      </c>
      <c r="B25" s="299"/>
      <c r="C25" s="200">
        <f ca="1">IF(B2=0,0,NPV(B14,D23:I23)/(1+B14)^(目录!C9-1))</f>
        <v>6781.9283824534405</v>
      </c>
      <c r="D25" s="200"/>
      <c r="E25" s="200"/>
      <c r="F25" s="200"/>
      <c r="G25" s="200"/>
      <c r="H25" s="200"/>
      <c r="I25" s="200"/>
      <c r="J25" s="200"/>
      <c r="K25" s="200"/>
      <c r="L25" s="200"/>
      <c r="M25" s="200"/>
      <c r="N25" s="200"/>
      <c r="O25" s="200"/>
      <c r="P25" s="200"/>
      <c r="Q25" s="200"/>
      <c r="R25" s="200"/>
      <c r="S25" s="200"/>
      <c r="T25" s="200"/>
      <c r="U25" s="200"/>
      <c r="V25" s="200"/>
      <c r="W25" s="200"/>
      <c r="X25" s="200"/>
      <c r="Y25" s="200"/>
      <c r="Z25" s="200"/>
      <c r="AA25" s="200"/>
      <c r="AB25" s="200"/>
      <c r="AC25" s="200"/>
      <c r="AD25" s="200"/>
      <c r="AE25" s="200"/>
      <c r="AF25" s="200"/>
      <c r="AG25" s="200"/>
      <c r="AH25" s="200"/>
      <c r="AI25" s="200"/>
      <c r="AJ25" s="200"/>
      <c r="AK25" s="200"/>
      <c r="AL25" s="200"/>
      <c r="AM25" s="200"/>
      <c r="AN25" s="200"/>
      <c r="AO25" s="200"/>
    </row>
    <row r="26" spans="1:41" s="105" customFormat="1" ht="16.5" customHeight="1" outlineLevel="1">
      <c r="A26" s="326" t="s">
        <v>255</v>
      </c>
      <c r="B26" s="299"/>
      <c r="C26" s="200">
        <f ca="1">F22*POWER((1+$B$3),B2)*(1+$B$4)/POWER((1+$B$14),目录!C9+B2-1)/(B14-$B$4)</f>
        <v>22856.622705823142</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0"/>
      <c r="AB26" s="200"/>
      <c r="AC26" s="200"/>
      <c r="AD26" s="200"/>
      <c r="AE26" s="200"/>
      <c r="AF26" s="200"/>
      <c r="AG26" s="200"/>
      <c r="AH26" s="200"/>
      <c r="AI26" s="447"/>
      <c r="AJ26" s="427"/>
      <c r="AK26" s="427"/>
      <c r="AL26" s="427"/>
    </row>
    <row r="27" spans="1:41" s="105" customFormat="1" ht="16.5" customHeight="1" outlineLevel="1">
      <c r="A27" s="337" t="s">
        <v>256</v>
      </c>
      <c r="B27" s="428" t="s">
        <v>1031</v>
      </c>
      <c r="C27" s="200">
        <f ca="1">C24+C25+C26</f>
        <v>25096.938750028039</v>
      </c>
      <c r="D27" s="200"/>
      <c r="E27" s="200"/>
      <c r="F27" s="200"/>
      <c r="G27" s="200"/>
      <c r="H27" s="200"/>
      <c r="I27" s="200"/>
      <c r="J27" s="200"/>
      <c r="K27" s="200"/>
      <c r="L27" s="200"/>
      <c r="M27" s="200"/>
      <c r="N27" s="200"/>
      <c r="O27" s="200"/>
      <c r="P27" s="200"/>
      <c r="Q27" s="200"/>
      <c r="R27" s="200"/>
      <c r="S27" s="200"/>
      <c r="T27" s="200"/>
      <c r="U27" s="200"/>
      <c r="V27" s="200"/>
      <c r="W27" s="200"/>
      <c r="X27" s="200"/>
      <c r="Y27" s="200"/>
      <c r="Z27" s="200"/>
      <c r="AA27" s="200"/>
      <c r="AB27" s="200"/>
      <c r="AC27" s="200"/>
      <c r="AD27" s="200"/>
      <c r="AE27" s="200"/>
      <c r="AF27" s="200"/>
      <c r="AG27" s="200"/>
      <c r="AH27" s="200"/>
      <c r="AI27" s="447"/>
      <c r="AJ27" s="427"/>
      <c r="AL27" s="427"/>
    </row>
    <row r="28" spans="1:41" s="105" customFormat="1" ht="16.5" customHeight="1" outlineLevel="1">
      <c r="A28" s="429" t="s">
        <v>340</v>
      </c>
      <c r="B28" s="299"/>
      <c r="C28" s="200">
        <f ca="1">营运资本!I53</f>
        <v>2426.8919875108049</v>
      </c>
      <c r="D28" s="200"/>
      <c r="E28" s="200"/>
      <c r="F28" s="200"/>
      <c r="G28" s="200"/>
      <c r="H28" s="200"/>
      <c r="I28" s="200"/>
      <c r="J28" s="200"/>
      <c r="K28" s="200"/>
      <c r="L28" s="200"/>
      <c r="M28" s="200"/>
      <c r="N28" s="200"/>
      <c r="O28" s="200"/>
      <c r="P28" s="200"/>
      <c r="Q28" s="200"/>
      <c r="R28" s="200"/>
      <c r="S28" s="200"/>
      <c r="T28" s="200"/>
      <c r="U28" s="200"/>
      <c r="V28" s="200"/>
      <c r="W28" s="200"/>
      <c r="X28" s="200"/>
      <c r="Y28" s="200"/>
      <c r="Z28" s="200"/>
      <c r="AA28" s="200"/>
      <c r="AB28" s="200"/>
      <c r="AC28" s="200"/>
      <c r="AD28" s="200"/>
      <c r="AE28" s="200"/>
      <c r="AF28" s="200"/>
      <c r="AG28" s="200"/>
      <c r="AH28" s="200"/>
      <c r="AI28" s="447"/>
      <c r="AJ28" s="427"/>
      <c r="AK28" s="427"/>
      <c r="AL28" s="427"/>
    </row>
    <row r="29" spans="1:41" s="105" customFormat="1" ht="16.5" customHeight="1" outlineLevel="1">
      <c r="A29" s="334" t="s">
        <v>258</v>
      </c>
      <c r="B29" s="299"/>
      <c r="C29" s="200">
        <f ca="1">营运资本!I38</f>
        <v>4022.9651347634617</v>
      </c>
      <c r="D29" s="200"/>
      <c r="E29" s="200"/>
      <c r="F29" s="200"/>
      <c r="G29" s="200"/>
      <c r="H29" s="200"/>
      <c r="I29" s="200"/>
      <c r="J29" s="200"/>
      <c r="K29" s="200"/>
      <c r="L29" s="200"/>
      <c r="M29" s="200"/>
      <c r="N29" s="200"/>
      <c r="O29" s="200"/>
      <c r="P29" s="200"/>
      <c r="Q29" s="200"/>
      <c r="R29" s="200"/>
      <c r="S29" s="200"/>
      <c r="T29" s="200"/>
      <c r="U29" s="200"/>
      <c r="V29" s="200"/>
      <c r="W29" s="200"/>
      <c r="X29" s="200"/>
      <c r="Y29" s="200"/>
      <c r="Z29" s="200"/>
      <c r="AA29" s="200"/>
      <c r="AB29" s="200"/>
      <c r="AC29" s="200"/>
      <c r="AD29" s="200"/>
      <c r="AE29" s="200"/>
      <c r="AF29" s="200"/>
      <c r="AG29" s="200"/>
      <c r="AH29" s="200"/>
      <c r="AI29" s="447"/>
      <c r="AJ29" s="427"/>
      <c r="AK29" s="427"/>
      <c r="AL29" s="427"/>
    </row>
    <row r="30" spans="1:41" s="105" customFormat="1" ht="16.5" customHeight="1" outlineLevel="1">
      <c r="A30" s="334" t="s">
        <v>259</v>
      </c>
      <c r="B30" s="299"/>
      <c r="C30" s="200">
        <f ca="1">资产负债!I85</f>
        <v>1.0948822408591112</v>
      </c>
      <c r="D30" s="200"/>
      <c r="E30" s="200"/>
      <c r="F30" s="200"/>
      <c r="G30" s="200"/>
      <c r="H30" s="200"/>
      <c r="I30" s="200"/>
      <c r="J30" s="200"/>
      <c r="K30" s="200"/>
      <c r="L30" s="200"/>
      <c r="M30" s="200"/>
      <c r="N30" s="200"/>
      <c r="O30" s="200"/>
      <c r="P30" s="200"/>
      <c r="Q30" s="200"/>
      <c r="R30" s="200"/>
      <c r="S30" s="200"/>
      <c r="T30" s="200"/>
      <c r="U30" s="200"/>
      <c r="V30" s="200"/>
      <c r="W30" s="200"/>
      <c r="X30" s="200"/>
      <c r="Y30" s="200"/>
      <c r="Z30" s="200"/>
      <c r="AA30" s="200"/>
      <c r="AB30" s="200"/>
      <c r="AC30" s="200"/>
      <c r="AD30" s="200"/>
      <c r="AE30" s="200"/>
      <c r="AF30" s="200"/>
      <c r="AG30" s="200"/>
      <c r="AH30" s="200"/>
      <c r="AI30" s="447"/>
      <c r="AJ30" s="427"/>
      <c r="AK30" s="427"/>
      <c r="AL30" s="427"/>
    </row>
    <row r="31" spans="1:41" s="105" customFormat="1" ht="16.5" customHeight="1" outlineLevel="1">
      <c r="A31" s="337" t="s">
        <v>257</v>
      </c>
      <c r="B31" s="428" t="s">
        <v>1031</v>
      </c>
      <c r="C31" s="200">
        <f ca="1">C27+C28-C29-C30</f>
        <v>23499.770720534521</v>
      </c>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200"/>
      <c r="AG31" s="200"/>
      <c r="AH31" s="200"/>
      <c r="AI31" s="447"/>
      <c r="AJ31" s="427"/>
      <c r="AK31" s="427"/>
      <c r="AL31" s="427"/>
    </row>
    <row r="32" spans="1:41" s="105" customFormat="1" ht="16.5" customHeight="1" outlineLevel="1">
      <c r="A32" s="334" t="s">
        <v>265</v>
      </c>
      <c r="B32" s="299"/>
      <c r="C32" s="200">
        <f>目录!F8</f>
        <v>1177.2865629999999</v>
      </c>
      <c r="D32" s="200"/>
      <c r="E32" s="200"/>
      <c r="F32" s="200"/>
      <c r="G32" s="200"/>
      <c r="H32" s="200"/>
      <c r="I32" s="200"/>
      <c r="J32" s="200"/>
      <c r="K32" s="200"/>
      <c r="L32" s="200"/>
      <c r="M32" s="200"/>
      <c r="N32" s="200"/>
      <c r="O32" s="200"/>
      <c r="P32" s="200"/>
      <c r="Q32" s="200"/>
      <c r="R32" s="200"/>
      <c r="S32" s="200"/>
      <c r="T32" s="200"/>
      <c r="U32" s="200"/>
      <c r="V32" s="200"/>
      <c r="W32" s="200"/>
      <c r="X32" s="200"/>
      <c r="Y32" s="200"/>
      <c r="Z32" s="200"/>
      <c r="AA32" s="200"/>
      <c r="AB32" s="200"/>
      <c r="AC32" s="200"/>
      <c r="AD32" s="200"/>
      <c r="AE32" s="200"/>
      <c r="AF32" s="200"/>
      <c r="AG32" s="200"/>
      <c r="AH32" s="200"/>
      <c r="AI32" s="447"/>
      <c r="AJ32" s="427"/>
      <c r="AK32" s="427"/>
      <c r="AL32" s="427"/>
    </row>
    <row r="33" spans="1:41" s="105" customFormat="1" ht="16.5" customHeight="1">
      <c r="A33" s="336" t="s">
        <v>268</v>
      </c>
      <c r="B33" s="428" t="s">
        <v>1031</v>
      </c>
      <c r="C33" s="539">
        <f ca="1">C31/C32</f>
        <v>19.960960618332074</v>
      </c>
      <c r="D33" s="200"/>
      <c r="E33" s="200"/>
      <c r="F33" s="200"/>
      <c r="G33" s="200"/>
      <c r="H33" s="200"/>
      <c r="I33" s="200"/>
      <c r="J33" s="200"/>
      <c r="K33" s="447"/>
      <c r="L33" s="447"/>
      <c r="M33" s="447"/>
      <c r="N33" s="447"/>
      <c r="O33" s="447"/>
      <c r="P33" s="447"/>
      <c r="Q33" s="447"/>
      <c r="R33" s="447"/>
      <c r="S33" s="447"/>
      <c r="T33" s="447"/>
      <c r="U33" s="447"/>
      <c r="V33" s="447"/>
      <c r="W33" s="447"/>
      <c r="X33" s="447"/>
      <c r="Y33" s="447"/>
      <c r="Z33" s="447"/>
      <c r="AA33" s="447"/>
      <c r="AB33" s="447"/>
      <c r="AC33" s="447"/>
      <c r="AD33" s="447"/>
      <c r="AE33" s="447"/>
      <c r="AF33" s="447"/>
      <c r="AG33" s="447"/>
      <c r="AH33" s="447"/>
      <c r="AI33" s="447"/>
      <c r="AJ33" s="427"/>
      <c r="AK33" s="427"/>
      <c r="AL33" s="427"/>
    </row>
    <row r="34" spans="1:41" s="105" customFormat="1" ht="16.5" customHeight="1">
      <c r="A34" s="326"/>
      <c r="B34" s="428"/>
      <c r="C34" s="200"/>
      <c r="D34" s="200"/>
      <c r="E34" s="200"/>
      <c r="F34" s="200"/>
      <c r="G34" s="200"/>
      <c r="H34" s="200"/>
      <c r="I34" s="200"/>
      <c r="J34" s="200"/>
      <c r="K34" s="447"/>
      <c r="L34" s="447"/>
      <c r="M34" s="447"/>
      <c r="N34" s="447"/>
      <c r="O34" s="447"/>
      <c r="P34" s="447"/>
      <c r="Q34" s="447"/>
      <c r="R34" s="447"/>
      <c r="S34" s="447"/>
      <c r="T34" s="447"/>
      <c r="U34" s="447"/>
      <c r="V34" s="447"/>
      <c r="W34" s="447"/>
      <c r="X34" s="447"/>
      <c r="Y34" s="447"/>
      <c r="Z34" s="447"/>
      <c r="AA34" s="447"/>
      <c r="AB34" s="447"/>
      <c r="AC34" s="447"/>
      <c r="AD34" s="447"/>
      <c r="AE34" s="447"/>
      <c r="AF34" s="447"/>
      <c r="AG34" s="447"/>
      <c r="AH34" s="447"/>
      <c r="AI34" s="447"/>
      <c r="AJ34" s="427"/>
      <c r="AK34" s="427"/>
      <c r="AL34" s="427"/>
    </row>
    <row r="35" spans="1:41" s="105" customFormat="1" ht="16.5" customHeight="1">
      <c r="A35" s="333" t="s">
        <v>260</v>
      </c>
      <c r="B35" s="333" t="s">
        <v>1048</v>
      </c>
      <c r="C35" s="200"/>
      <c r="D35" s="200"/>
      <c r="E35" s="200"/>
      <c r="F35" s="200"/>
      <c r="G35" s="200"/>
      <c r="H35" s="200"/>
      <c r="I35" s="200"/>
      <c r="J35" s="200"/>
      <c r="K35" s="447"/>
      <c r="L35" s="447"/>
      <c r="M35" s="447"/>
      <c r="N35" s="447"/>
      <c r="O35" s="447"/>
      <c r="P35" s="447"/>
      <c r="Q35" s="447"/>
      <c r="R35" s="447"/>
      <c r="S35" s="447"/>
      <c r="T35" s="447"/>
      <c r="U35" s="447"/>
      <c r="V35" s="447"/>
      <c r="W35" s="447"/>
      <c r="X35" s="447"/>
      <c r="Y35" s="447"/>
      <c r="Z35" s="447"/>
      <c r="AA35" s="447"/>
      <c r="AB35" s="447"/>
      <c r="AC35" s="447"/>
      <c r="AD35" s="447"/>
      <c r="AE35" s="447"/>
      <c r="AF35" s="447"/>
      <c r="AG35" s="447"/>
      <c r="AH35" s="447"/>
      <c r="AI35" s="447"/>
      <c r="AJ35" s="427"/>
      <c r="AK35" s="427"/>
      <c r="AL35" s="427"/>
    </row>
    <row r="36" spans="1:41" s="105" customFormat="1" ht="16.5" hidden="1" customHeight="1" outlineLevel="1">
      <c r="A36" s="430" t="s">
        <v>1067</v>
      </c>
      <c r="B36" s="299"/>
      <c r="C36" s="200"/>
      <c r="D36" s="200">
        <f ca="1">利润表!I25</f>
        <v>-199.25122841240608</v>
      </c>
      <c r="E36" s="200">
        <f ca="1">利润表!J25</f>
        <v>167.7204316946341</v>
      </c>
      <c r="F36" s="200">
        <f ca="1">利润表!K25</f>
        <v>114.43447540068274</v>
      </c>
      <c r="G36" s="200">
        <f ca="1">利润表!L25</f>
        <v>23.30179887353469</v>
      </c>
      <c r="H36" s="200">
        <f ca="1">利润表!M25</f>
        <v>-68.072277470160131</v>
      </c>
      <c r="I36" s="200">
        <f ca="1">利润表!N25</f>
        <v>-116.50982662922706</v>
      </c>
      <c r="J36" s="200">
        <f ca="1">利润表!O25</f>
        <v>-132.61471420978478</v>
      </c>
      <c r="K36" s="200">
        <f ca="1">利润表!P25</f>
        <v>-192.227902336265</v>
      </c>
      <c r="L36" s="200">
        <f ca="1">利润表!Q25</f>
        <v>-270.95123946832501</v>
      </c>
      <c r="M36" s="200">
        <f ca="1">利润表!R25</f>
        <v>-355.57103260716667</v>
      </c>
      <c r="N36" s="200">
        <f ca="1">利润表!S25</f>
        <v>-445.40455310117699</v>
      </c>
      <c r="O36" s="200">
        <f ca="1">利润表!T25</f>
        <v>-543.94190504128096</v>
      </c>
      <c r="P36" s="200">
        <f ca="1">利润表!U25</f>
        <v>-661.81788087347741</v>
      </c>
      <c r="Q36" s="200">
        <f ca="1">利润表!V25</f>
        <v>-805.30932042174618</v>
      </c>
      <c r="R36" s="200">
        <f ca="1">利润表!W25</f>
        <v>-971.01761989295107</v>
      </c>
      <c r="S36" s="200">
        <f ca="1">利润表!X25</f>
        <v>-1158.5569820307414</v>
      </c>
      <c r="T36" s="200">
        <f ca="1">利润表!Y25</f>
        <v>-1373.2221657905839</v>
      </c>
      <c r="U36" s="200">
        <f ca="1">利润表!Z25</f>
        <v>-1620.5008144837893</v>
      </c>
      <c r="V36" s="200">
        <f ca="1">利润表!AA25</f>
        <v>-1904.2434554263509</v>
      </c>
      <c r="W36" s="200">
        <f ca="1">利润表!AB25</f>
        <v>-2227.2655621405393</v>
      </c>
      <c r="X36" s="200">
        <f ca="1">利润表!AC25</f>
        <v>-2594.963033080493</v>
      </c>
      <c r="Y36" s="200">
        <f ca="1">利润表!AD25</f>
        <v>-3014.3060906538722</v>
      </c>
      <c r="Z36" s="200">
        <f ca="1">利润表!AE25</f>
        <v>-3492.3501290978529</v>
      </c>
      <c r="AA36" s="200">
        <f ca="1">利润表!AF25</f>
        <v>-4036.4484040582947</v>
      </c>
      <c r="AB36" s="200">
        <f ca="1">利润表!AG25</f>
        <v>-4655.0312093376388</v>
      </c>
      <c r="AC36" s="200">
        <f ca="1">利润表!AH25</f>
        <v>-5358.2161854501946</v>
      </c>
      <c r="AD36" s="200">
        <f ca="1">利润表!AI25</f>
        <v>-6157.5275776604567</v>
      </c>
      <c r="AE36" s="200">
        <f ca="1">利润表!AJ25</f>
        <v>-7065.6732163170827</v>
      </c>
      <c r="AF36" s="200">
        <f ca="1">利润表!AK25</f>
        <v>-8096.7897794803621</v>
      </c>
      <c r="AG36" s="200">
        <f ca="1">利润表!AL25</f>
        <v>-9267.1427440367643</v>
      </c>
      <c r="AH36" s="200"/>
      <c r="AI36" s="447"/>
      <c r="AJ36" s="427"/>
      <c r="AK36" s="427"/>
      <c r="AL36" s="427"/>
    </row>
    <row r="37" spans="1:41" s="105" customFormat="1" ht="16.5" hidden="1" customHeight="1" outlineLevel="1">
      <c r="A37" s="326" t="s">
        <v>250</v>
      </c>
      <c r="B37" s="299"/>
      <c r="C37" s="200"/>
      <c r="D37" s="200">
        <f ca="1">利润表!I27</f>
        <v>159.67568942618274</v>
      </c>
      <c r="E37" s="200">
        <f ca="1">(利润表!J9-利润表!J10)*(1-假设!J19)</f>
        <v>240.83738191477454</v>
      </c>
      <c r="F37" s="200">
        <f ca="1">(利润表!K9-利润表!K10)*(1-假设!K19)</f>
        <v>327.44998941833472</v>
      </c>
      <c r="G37" s="200">
        <f ca="1">(利润表!L9-利润表!L10)*(1-假设!L19)</f>
        <v>389.866658380807</v>
      </c>
      <c r="H37" s="200">
        <f ca="1">(利润表!M9-利润表!M10)*(1-假设!M19)</f>
        <v>470.97619688734466</v>
      </c>
      <c r="I37" s="200">
        <f ca="1">(利润表!N9-利润表!N10)*(1-假设!N19)</f>
        <v>563.25195866042247</v>
      </c>
      <c r="J37" s="200">
        <f ca="1">(利润表!O9-利润表!O10)*(1-假设!O19)</f>
        <v>672.01544481635096</v>
      </c>
      <c r="K37" s="200">
        <f ca="1">(利润表!P9-利润表!P10)*(1-假设!P19)</f>
        <v>797.66221616479902</v>
      </c>
      <c r="L37" s="200">
        <f ca="1">(利润表!Q9-利润表!Q10)*(1-假设!Q19)</f>
        <v>933.6521016963917</v>
      </c>
      <c r="M37" s="200">
        <f ca="1">(利润表!R9-利润表!R10)*(1-假设!R19)</f>
        <v>1086.6227298624044</v>
      </c>
      <c r="N37" s="200">
        <f ca="1">(利润表!S9-利润表!S10)*(1-假设!S19)</f>
        <v>1263.9029808335147</v>
      </c>
      <c r="O37" s="200">
        <f ca="1">(利润表!T9-利润表!T10)*(1-假设!T19)</f>
        <v>1468.0865668834531</v>
      </c>
      <c r="P37" s="200">
        <f ca="1">(利润表!U9-利润表!U10)*(1-假设!U19)</f>
        <v>1699.3663257387034</v>
      </c>
      <c r="Q37" s="200">
        <f ca="1">(利润表!V9-利润表!V10)*(1-假设!V19)</f>
        <v>1964.7783717730074</v>
      </c>
      <c r="R37" s="200">
        <f ca="1">(利润表!W9-利润表!W10)*(1-假设!W19)</f>
        <v>2270.2344014494956</v>
      </c>
      <c r="S37" s="200">
        <f ca="1">(利润表!X9-利润表!X10)*(1-假设!X19)</f>
        <v>2619.2746301056618</v>
      </c>
      <c r="T37" s="200">
        <f ca="1">(利润表!Y9-利润表!Y10)*(1-假设!Y19)</f>
        <v>3017.3429863057272</v>
      </c>
      <c r="U37" s="200">
        <f ca="1">(利润表!Z9-利润表!Z10)*(1-假设!Z19)</f>
        <v>3469.4313059996111</v>
      </c>
      <c r="V37" s="200">
        <f ca="1">(利润表!AA9-利润表!AA10)*(1-假设!AA19)</f>
        <v>3983.2215466372309</v>
      </c>
      <c r="W37" s="200">
        <f ca="1">(利润表!AB9-利润表!AB10)*(1-假设!AB19)</f>
        <v>4567.4298310978802</v>
      </c>
      <c r="X37" s="200">
        <f ca="1">(利润表!AC9-利润表!AC10)*(1-假设!AC19)</f>
        <v>5231.2145352855478</v>
      </c>
      <c r="Y37" s="200">
        <f ca="1">(利润表!AD9-利润表!AD10)*(1-假设!AD19)</f>
        <v>5984.8355536203499</v>
      </c>
      <c r="Z37" s="200">
        <f ca="1">(利润表!AE9-利润表!AE10)*(1-假设!AE19)</f>
        <v>6839.7593700419029</v>
      </c>
      <c r="AA37" s="200">
        <f ca="1">(利润表!AF9-利润表!AF10)*(1-假设!AF19)</f>
        <v>7809.6035700726316</v>
      </c>
      <c r="AB37" s="200">
        <f ca="1">(利润表!AG9-利润表!AG10)*(1-假设!AG19)</f>
        <v>8909.7227602630173</v>
      </c>
      <c r="AC37" s="200">
        <f ca="1">(利润表!AH9-利润表!AH10)*(1-假设!AH19)</f>
        <v>10157.122527362324</v>
      </c>
      <c r="AD37" s="200">
        <f ca="1">(利润表!AI9-利润表!AI10)*(1-假设!AI19)</f>
        <v>11571.098333078646</v>
      </c>
      <c r="AE37" s="200">
        <f ca="1">(利润表!AJ9-利润表!AJ10)*(1-假设!AJ19)</f>
        <v>13173.535762641997</v>
      </c>
      <c r="AF37" s="200">
        <f ca="1">(利润表!AK9-利润表!AK10)*(1-假设!AK19)</f>
        <v>14989.183427481146</v>
      </c>
      <c r="AG37" s="200">
        <f ca="1">(利润表!AL9-利润表!AL10)*(1-假设!AL19)</f>
        <v>17046.085558464467</v>
      </c>
      <c r="AH37" s="200"/>
      <c r="AI37" s="447"/>
      <c r="AJ37" s="427"/>
      <c r="AK37" s="427"/>
      <c r="AL37" s="427"/>
    </row>
    <row r="38" spans="1:41" s="105" customFormat="1" ht="16.5" hidden="1" customHeight="1" outlineLevel="1">
      <c r="A38" s="326" t="s">
        <v>251</v>
      </c>
      <c r="B38" s="299"/>
      <c r="C38" s="200"/>
      <c r="D38" s="200">
        <f ca="1">营运资本!I21</f>
        <v>1725.6196271845865</v>
      </c>
      <c r="E38" s="200">
        <f ca="1">营运资本!J21</f>
        <v>4192.4904604445564</v>
      </c>
      <c r="F38" s="200">
        <f ca="1">营运资本!K21</f>
        <v>-1080.9465266692932</v>
      </c>
      <c r="G38" s="200">
        <f ca="1">营运资本!L21</f>
        <v>3172.757650520165</v>
      </c>
      <c r="H38" s="200">
        <f ca="1">营运资本!M21</f>
        <v>-463.48638972363733</v>
      </c>
      <c r="I38" s="200">
        <f ca="1">营运资本!N21</f>
        <v>3738.2107049290862</v>
      </c>
      <c r="J38" s="200">
        <f ca="1">营运资本!O21</f>
        <v>-135.21930449852152</v>
      </c>
      <c r="K38" s="200">
        <f ca="1">营运资本!P21</f>
        <v>4409.0195904346674</v>
      </c>
      <c r="L38" s="200">
        <f ca="1">营运资本!Q21</f>
        <v>190.86068437761787</v>
      </c>
      <c r="M38" s="200">
        <f ca="1">营运资本!R21</f>
        <v>4955.7393017695977</v>
      </c>
      <c r="N38" s="200">
        <f ca="1">营运资本!S21</f>
        <v>1017.1598194585858</v>
      </c>
      <c r="O38" s="200">
        <f ca="1">营运资本!T21</f>
        <v>5717.7864749472647</v>
      </c>
      <c r="P38" s="200">
        <f ca="1">营运资本!U21</f>
        <v>1856.6679786814711</v>
      </c>
      <c r="Q38" s="200">
        <f ca="1">营运资本!V21</f>
        <v>6683.653242140681</v>
      </c>
      <c r="R38" s="200">
        <f ca="1">营运资本!W21</f>
        <v>2965.2198630065832</v>
      </c>
      <c r="S38" s="200">
        <f ca="1">营运资本!X21</f>
        <v>7968.3109057014153</v>
      </c>
      <c r="T38" s="200">
        <f ca="1">营运资本!Y21</f>
        <v>4383.2935290941314</v>
      </c>
      <c r="U38" s="200">
        <f ca="1">营运资本!Z21</f>
        <v>9555.2914284495491</v>
      </c>
      <c r="V38" s="200">
        <f ca="1">营运资本!AA21</f>
        <v>6189.0535986943723</v>
      </c>
      <c r="W38" s="200">
        <f ca="1">营运资本!AB21</f>
        <v>11608.965640844559</v>
      </c>
      <c r="X38" s="200">
        <f ca="1">营运资本!AC21</f>
        <v>8505.1063560175389</v>
      </c>
      <c r="Y38" s="200">
        <f ca="1">营运资本!AD21</f>
        <v>14216.71264719704</v>
      </c>
      <c r="Z38" s="200">
        <f ca="1">营运资本!AE21</f>
        <v>11451.827170359495</v>
      </c>
      <c r="AA38" s="200">
        <f ca="1">营运资本!AF21</f>
        <v>17550.474453434887</v>
      </c>
      <c r="AB38" s="200">
        <f ca="1">营运资本!AG21</f>
        <v>15220.812286478496</v>
      </c>
      <c r="AC38" s="200">
        <f ca="1">营运资本!AH21</f>
        <v>21806.276220303989</v>
      </c>
      <c r="AD38" s="200">
        <f ca="1">营运资本!AI21</f>
        <v>20026.990640916774</v>
      </c>
      <c r="AE38" s="200">
        <f ca="1">营运资本!AJ21</f>
        <v>27237.896693205694</v>
      </c>
      <c r="AF38" s="200">
        <f ca="1">营运资本!AK21</f>
        <v>26165.14429071077</v>
      </c>
      <c r="AG38" s="200">
        <f ca="1">营运资本!AL21</f>
        <v>34173.046942498913</v>
      </c>
      <c r="AH38" s="200"/>
      <c r="AI38" s="447"/>
      <c r="AJ38" s="427"/>
      <c r="AK38" s="427"/>
      <c r="AL38" s="427"/>
    </row>
    <row r="39" spans="1:41" s="105" customFormat="1" ht="16.5" hidden="1" customHeight="1" outlineLevel="1">
      <c r="A39" s="326" t="s">
        <v>252</v>
      </c>
      <c r="B39" s="299"/>
      <c r="C39" s="200"/>
      <c r="D39" s="200">
        <f ca="1">营运资本!I62</f>
        <v>197.78088647506297</v>
      </c>
      <c r="E39" s="200">
        <f ca="1">营运资本!J62</f>
        <v>427.80018107635135</v>
      </c>
      <c r="F39" s="200">
        <f ca="1">营运资本!K62</f>
        <v>474.74916070267727</v>
      </c>
      <c r="G39" s="200">
        <f ca="1">营运资本!L62</f>
        <v>454.77868884110671</v>
      </c>
      <c r="H39" s="200">
        <f ca="1">营运资本!M62</f>
        <v>428.15181403801779</v>
      </c>
      <c r="I39" s="200">
        <f ca="1">营运资本!N62</f>
        <v>540.35209347607065</v>
      </c>
      <c r="J39" s="200">
        <f ca="1">营运资本!O62</f>
        <v>636.77874028515316</v>
      </c>
      <c r="K39" s="200">
        <f ca="1">营运资本!P62</f>
        <v>698.51626272090004</v>
      </c>
      <c r="L39" s="200">
        <f ca="1">营运资本!Q62</f>
        <v>754.20341656337564</v>
      </c>
      <c r="M39" s="200">
        <f ca="1">营运资本!R62</f>
        <v>841.5795899876149</v>
      </c>
      <c r="N39" s="200">
        <f ca="1">营运资本!S62</f>
        <v>965.10526190980204</v>
      </c>
      <c r="O39" s="200">
        <f ca="1">营运资本!T62</f>
        <v>1089.4216150882148</v>
      </c>
      <c r="P39" s="200">
        <f ca="1">营运资本!U62</f>
        <v>1214.6856169040161</v>
      </c>
      <c r="Q39" s="200">
        <f ca="1">营运资本!V62</f>
        <v>1357.2520938259565</v>
      </c>
      <c r="R39" s="200">
        <f ca="1">营运资本!W62</f>
        <v>1533.5635474563082</v>
      </c>
      <c r="S39" s="200">
        <f ca="1">营运资本!X62</f>
        <v>1733.0285358142719</v>
      </c>
      <c r="T39" s="200">
        <f ca="1">营运资本!Y62</f>
        <v>1948.1243795499931</v>
      </c>
      <c r="U39" s="200">
        <f ca="1">营运资本!Z62</f>
        <v>2193.3407855608953</v>
      </c>
      <c r="V39" s="200">
        <f ca="1">营运资本!AA62</f>
        <v>2470.5915847599654</v>
      </c>
      <c r="W39" s="200">
        <f ca="1">营运资本!AB62</f>
        <v>2784.3797486127805</v>
      </c>
      <c r="X39" s="200">
        <f ca="1">营运资本!AC62</f>
        <v>3142.5355946660839</v>
      </c>
      <c r="Y39" s="200">
        <f ca="1">营运资本!AD62</f>
        <v>3542.5944775738089</v>
      </c>
      <c r="Z39" s="200">
        <f ca="1">营运资本!AE62</f>
        <v>3992.7847182155119</v>
      </c>
      <c r="AA39" s="200">
        <f ca="1">营运资本!AF62</f>
        <v>4506.9521222290114</v>
      </c>
      <c r="AB39" s="200">
        <f ca="1">营运资本!AG62</f>
        <v>5085.9251083049439</v>
      </c>
      <c r="AC39" s="200">
        <f ca="1">营运资本!AH62</f>
        <v>5737.4075416285659</v>
      </c>
      <c r="AD39" s="200">
        <f ca="1">营运资本!AI62</f>
        <v>6477.4222781328763</v>
      </c>
      <c r="AE39" s="200">
        <f ca="1">营运资本!AJ62</f>
        <v>7311.5126948386833</v>
      </c>
      <c r="AF39" s="200">
        <f ca="1">营运资本!AK62</f>
        <v>8252.1425356636464</v>
      </c>
      <c r="AG39" s="200">
        <f ca="1">营运资本!AL62</f>
        <v>9319.2793461820747</v>
      </c>
      <c r="AH39" s="200"/>
      <c r="AI39" s="447"/>
      <c r="AJ39" s="427"/>
      <c r="AK39" s="427"/>
      <c r="AL39" s="427"/>
    </row>
    <row r="40" spans="1:41" s="105" customFormat="1" ht="13.5" hidden="1" customHeight="1" outlineLevel="1">
      <c r="A40" s="430" t="s">
        <v>342</v>
      </c>
      <c r="B40" s="299"/>
      <c r="C40" s="200"/>
      <c r="D40" s="200">
        <f ca="1">营运资本!I38-营运资本!H38</f>
        <v>1527.561418713462</v>
      </c>
      <c r="E40" s="200">
        <f ca="1">营运资本!J38-营运资本!I38</f>
        <v>4412.4657338917905</v>
      </c>
      <c r="F40" s="200">
        <f ca="1">营运资本!K38-营运资本!J38</f>
        <v>-704.21705107678463</v>
      </c>
      <c r="G40" s="200">
        <f ca="1">营运资本!L38-营运资本!K38</f>
        <v>3567.5999829019147</v>
      </c>
      <c r="H40" s="200">
        <f ca="1">营运资本!M38-营运资本!L38</f>
        <v>-241.31613841691251</v>
      </c>
      <c r="I40" s="200">
        <f ca="1">营运资本!N38-营运资本!M38</f>
        <v>4138.8941129364084</v>
      </c>
      <c r="J40" s="200">
        <f ca="1">营运资本!O38-营运资本!N38</f>
        <v>437.59257497581166</v>
      </c>
      <c r="K40" s="200">
        <f ca="1">营运资本!P38-营运资本!O38</f>
        <v>5069.9696196066689</v>
      </c>
      <c r="L40" s="200">
        <f ca="1">营运资本!Q38-营运资本!P38</f>
        <v>910.17282286546833</v>
      </c>
      <c r="M40" s="200">
        <f ca="1">营运资本!R38-营运资本!Q38</f>
        <v>5768.0357080957729</v>
      </c>
      <c r="N40" s="200">
        <f ca="1">营运资本!S38-营运资本!R38</f>
        <v>2008.3597613499296</v>
      </c>
      <c r="O40" s="200">
        <f ca="1">营运资本!T38-营运资本!S38</f>
        <v>6897.765719653944</v>
      </c>
      <c r="P40" s="200">
        <f ca="1">营运资本!U38-营运资本!T38</f>
        <v>3205.927766863977</v>
      </c>
      <c r="Q40" s="200">
        <f ca="1">营运资本!V38-营运资本!U38</f>
        <v>8387.1217534963507</v>
      </c>
      <c r="R40" s="200">
        <f ca="1">营运资本!W38-营运资本!V38</f>
        <v>4944.3540089864982</v>
      </c>
      <c r="S40" s="200">
        <f ca="1">营运资本!X38-营运资本!W38</f>
        <v>10277.777839795112</v>
      </c>
      <c r="T40" s="200">
        <f ca="1">营运资本!Y38-营运资本!X38</f>
        <v>7047.4729292477859</v>
      </c>
      <c r="U40" s="200">
        <f ca="1">营运资本!Z38-营运资本!Y38</f>
        <v>12611.481890738942</v>
      </c>
      <c r="V40" s="200">
        <f ca="1">营运资本!AA38-营运资本!Z38</f>
        <v>9698.4329650747823</v>
      </c>
      <c r="W40" s="200">
        <f ca="1">营运资本!AB38-营运资本!AA38</f>
        <v>15641.121945626495</v>
      </c>
      <c r="X40" s="200">
        <f ca="1">营运资本!AC38-营运资本!AB38</f>
        <v>13135.157331241047</v>
      </c>
      <c r="Y40" s="200">
        <f ca="1">营运资本!AD38-营运资本!AC38</f>
        <v>19516.28487123143</v>
      </c>
      <c r="Z40" s="200">
        <f ca="1">营运资本!AE38-营运资本!AD38</f>
        <v>17508.582264350815</v>
      </c>
      <c r="AA40" s="200">
        <f ca="1">营运资本!AF38-营运资本!AE38</f>
        <v>24474.748967602238</v>
      </c>
      <c r="AB40" s="200">
        <f ca="1">营运资本!AG38-营运资本!AF38</f>
        <v>23128.895909245679</v>
      </c>
      <c r="AC40" s="200">
        <f ca="1">营运资本!AH38-营运资本!AG38</f>
        <v>30827.466710562847</v>
      </c>
      <c r="AD40" s="200">
        <f ca="1">营运资本!AI38-营运资本!AH38</f>
        <v>30312.522422321286</v>
      </c>
      <c r="AE40" s="200">
        <f ca="1">营运资本!AJ38-营运资本!AI38</f>
        <v>38955.210287934577</v>
      </c>
      <c r="AF40" s="200">
        <f ca="1">营运资本!AK38-营运资本!AJ38</f>
        <v>39505.216257782595</v>
      </c>
      <c r="AG40" s="200">
        <f ca="1">营运资本!AL38-营运资本!AK38</f>
        <v>49356.045702575415</v>
      </c>
      <c r="AH40" s="200"/>
      <c r="AI40" s="447"/>
      <c r="AJ40" s="427"/>
      <c r="AK40" s="427"/>
      <c r="AL40" s="427"/>
    </row>
    <row r="41" spans="1:41" s="105" customFormat="1" ht="16.5" hidden="1" customHeight="1" outlineLevel="1">
      <c r="A41" s="336" t="s">
        <v>269</v>
      </c>
      <c r="B41" s="428" t="s">
        <v>1031</v>
      </c>
      <c r="C41" s="200"/>
      <c r="D41" s="200">
        <f ca="1">D36+D37-D38-D39+D40</f>
        <v>-435.41463393241088</v>
      </c>
      <c r="E41" s="200">
        <f t="shared" ref="E41:AG41" ca="1" si="26">E36+E37-E38-E39+E40</f>
        <v>200.73290598029143</v>
      </c>
      <c r="F41" s="200">
        <f t="shared" ca="1" si="26"/>
        <v>343.8647797088488</v>
      </c>
      <c r="G41" s="200">
        <f t="shared" ca="1" si="26"/>
        <v>353.23210079498494</v>
      </c>
      <c r="H41" s="200">
        <f t="shared" ca="1" si="26"/>
        <v>196.92235668589154</v>
      </c>
      <c r="I41" s="200">
        <f t="shared" ca="1" si="26"/>
        <v>307.07344656244732</v>
      </c>
      <c r="J41" s="200">
        <f t="shared" ca="1" si="26"/>
        <v>475.4338697957462</v>
      </c>
      <c r="K41" s="200">
        <f t="shared" ca="1" si="26"/>
        <v>567.86808027963525</v>
      </c>
      <c r="L41" s="200">
        <f t="shared" ca="1" si="26"/>
        <v>627.80958415254145</v>
      </c>
      <c r="M41" s="200">
        <f t="shared" ca="1" si="26"/>
        <v>701.76851359379816</v>
      </c>
      <c r="N41" s="200">
        <f t="shared" ca="1" si="26"/>
        <v>844.59310771387936</v>
      </c>
      <c r="O41" s="200">
        <f t="shared" ca="1" si="26"/>
        <v>1014.7022914606368</v>
      </c>
      <c r="P41" s="200">
        <f t="shared" ca="1" si="26"/>
        <v>1172.1226161437157</v>
      </c>
      <c r="Q41" s="200">
        <f t="shared" ca="1" si="26"/>
        <v>1505.6854688809744</v>
      </c>
      <c r="R41" s="200">
        <f t="shared" ca="1" si="26"/>
        <v>1744.7873800801513</v>
      </c>
      <c r="S41" s="200">
        <f t="shared" ca="1" si="26"/>
        <v>2037.1560463543447</v>
      </c>
      <c r="T41" s="200">
        <f t="shared" ca="1" si="26"/>
        <v>2360.1758411188048</v>
      </c>
      <c r="U41" s="200">
        <f t="shared" ca="1" si="26"/>
        <v>2711.7801682443187</v>
      </c>
      <c r="V41" s="200">
        <f t="shared" ca="1" si="26"/>
        <v>3117.7658728313245</v>
      </c>
      <c r="W41" s="200">
        <f t="shared" ca="1" si="26"/>
        <v>3587.9408251264977</v>
      </c>
      <c r="X41" s="200">
        <f t="shared" ca="1" si="26"/>
        <v>4123.7668827624802</v>
      </c>
      <c r="Y41" s="200">
        <f t="shared" ca="1" si="26"/>
        <v>4727.5072094270581</v>
      </c>
      <c r="Z41" s="200">
        <f t="shared" ca="1" si="26"/>
        <v>5411.3796167198579</v>
      </c>
      <c r="AA41" s="200">
        <f t="shared" ca="1" si="26"/>
        <v>6190.4775579526759</v>
      </c>
      <c r="AB41" s="200">
        <f t="shared" ca="1" si="26"/>
        <v>7076.8500653876163</v>
      </c>
      <c r="AC41" s="200">
        <f t="shared" ca="1" si="26"/>
        <v>8082.6892905424211</v>
      </c>
      <c r="AD41" s="200">
        <f t="shared" ca="1" si="26"/>
        <v>9221.6802586898266</v>
      </c>
      <c r="AE41" s="200">
        <f t="shared" ca="1" si="26"/>
        <v>10513.663446215116</v>
      </c>
      <c r="AF41" s="200">
        <f t="shared" ca="1" si="26"/>
        <v>11980.323079408961</v>
      </c>
      <c r="AG41" s="200">
        <f t="shared" ca="1" si="26"/>
        <v>13642.66222832213</v>
      </c>
      <c r="AH41" s="200"/>
      <c r="AI41" s="447"/>
      <c r="AJ41" s="427"/>
      <c r="AK41" s="427"/>
      <c r="AL41" s="427"/>
    </row>
    <row r="42" spans="1:41" s="105" customFormat="1" ht="16.5" hidden="1" customHeight="1" outlineLevel="1">
      <c r="A42" s="326" t="s">
        <v>1325</v>
      </c>
      <c r="B42" s="428"/>
      <c r="C42" s="200"/>
      <c r="D42" s="200">
        <f ca="1">IF($B2&gt;0,F41*(1+$B$3),0)</f>
        <v>378.25125767973373</v>
      </c>
      <c r="E42" s="200">
        <f ca="1">IF($B2-(LEFT(E10,4)-LEFT($D10,4))&gt;0,D42*(1+$B$3)," ")</f>
        <v>416.07638344770714</v>
      </c>
      <c r="F42" s="200">
        <f t="shared" ref="F42:AG42" ca="1" si="27">IF($B2-(LEFT(F10,4)-LEFT($D10,4))&gt;0,E42*(1+$B$3)," ")</f>
        <v>457.68402179247789</v>
      </c>
      <c r="G42" s="200">
        <f t="shared" ca="1" si="27"/>
        <v>503.45242397172575</v>
      </c>
      <c r="H42" s="200">
        <f t="shared" ca="1" si="27"/>
        <v>553.79766636889838</v>
      </c>
      <c r="I42" s="200">
        <f t="shared" ca="1" si="27"/>
        <v>609.17743300578832</v>
      </c>
      <c r="J42" s="200" t="str">
        <f t="shared" si="27"/>
        <v xml:space="preserve"> </v>
      </c>
      <c r="K42" s="200" t="str">
        <f t="shared" si="27"/>
        <v xml:space="preserve"> </v>
      </c>
      <c r="L42" s="200" t="str">
        <f t="shared" si="27"/>
        <v xml:space="preserve"> </v>
      </c>
      <c r="M42" s="200" t="str">
        <f t="shared" si="27"/>
        <v xml:space="preserve"> </v>
      </c>
      <c r="N42" s="200" t="str">
        <f t="shared" si="27"/>
        <v xml:space="preserve"> </v>
      </c>
      <c r="O42" s="200" t="str">
        <f t="shared" si="27"/>
        <v xml:space="preserve"> </v>
      </c>
      <c r="P42" s="200" t="str">
        <f t="shared" si="27"/>
        <v xml:space="preserve"> </v>
      </c>
      <c r="Q42" s="200" t="str">
        <f t="shared" si="27"/>
        <v xml:space="preserve"> </v>
      </c>
      <c r="R42" s="200" t="str">
        <f t="shared" si="27"/>
        <v xml:space="preserve"> </v>
      </c>
      <c r="S42" s="200" t="str">
        <f t="shared" si="27"/>
        <v xml:space="preserve"> </v>
      </c>
      <c r="T42" s="200" t="str">
        <f t="shared" si="27"/>
        <v xml:space="preserve"> </v>
      </c>
      <c r="U42" s="200" t="str">
        <f t="shared" si="27"/>
        <v xml:space="preserve"> </v>
      </c>
      <c r="V42" s="200" t="str">
        <f t="shared" si="27"/>
        <v xml:space="preserve"> </v>
      </c>
      <c r="W42" s="200" t="str">
        <f t="shared" si="27"/>
        <v xml:space="preserve"> </v>
      </c>
      <c r="X42" s="200" t="str">
        <f t="shared" si="27"/>
        <v xml:space="preserve"> </v>
      </c>
      <c r="Y42" s="200" t="str">
        <f t="shared" si="27"/>
        <v xml:space="preserve"> </v>
      </c>
      <c r="Z42" s="200" t="str">
        <f t="shared" si="27"/>
        <v xml:space="preserve"> </v>
      </c>
      <c r="AA42" s="200" t="str">
        <f t="shared" si="27"/>
        <v xml:space="preserve"> </v>
      </c>
      <c r="AB42" s="200" t="str">
        <f t="shared" si="27"/>
        <v xml:space="preserve"> </v>
      </c>
      <c r="AC42" s="200" t="str">
        <f t="shared" si="27"/>
        <v xml:space="preserve"> </v>
      </c>
      <c r="AD42" s="200" t="str">
        <f t="shared" si="27"/>
        <v xml:space="preserve"> </v>
      </c>
      <c r="AE42" s="200" t="str">
        <f t="shared" si="27"/>
        <v xml:space="preserve"> </v>
      </c>
      <c r="AF42" s="200" t="str">
        <f t="shared" si="27"/>
        <v xml:space="preserve"> </v>
      </c>
      <c r="AG42" s="200" t="str">
        <f t="shared" si="27"/>
        <v xml:space="preserve"> </v>
      </c>
      <c r="AH42" s="200"/>
      <c r="AI42" s="447"/>
      <c r="AJ42" s="427"/>
      <c r="AK42" s="427"/>
      <c r="AL42" s="427"/>
    </row>
    <row r="43" spans="1:41" s="105" customFormat="1" ht="16.5" hidden="1" customHeight="1" outlineLevel="1">
      <c r="A43" s="702" t="s">
        <v>1326</v>
      </c>
      <c r="B43" s="299"/>
      <c r="C43" s="200">
        <f ca="1">D41+NPV(B13,E41:F41)</f>
        <v>27.190598192094171</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0"/>
      <c r="AB43" s="200"/>
      <c r="AC43" s="200"/>
      <c r="AD43" s="200"/>
      <c r="AE43" s="200"/>
      <c r="AF43" s="200"/>
      <c r="AG43" s="200"/>
      <c r="AH43" s="200"/>
      <c r="AI43" s="447"/>
      <c r="AJ43" s="427"/>
      <c r="AK43" s="427"/>
      <c r="AL43" s="427"/>
    </row>
    <row r="44" spans="1:41" s="105" customFormat="1" ht="16.5" hidden="1" customHeight="1" outlineLevel="1">
      <c r="A44" s="702" t="s">
        <v>1327</v>
      </c>
      <c r="B44" s="299"/>
      <c r="C44" s="200">
        <f ca="1">IF(B2=0,0,NPV(B13,D42:I42)/(1+B13)^(目录!C9-1))</f>
        <v>1654.9271718134648</v>
      </c>
      <c r="D44" s="200"/>
      <c r="E44" s="200"/>
      <c r="F44" s="200"/>
      <c r="G44" s="200"/>
      <c r="H44" s="200"/>
      <c r="I44" s="200"/>
      <c r="J44" s="200"/>
      <c r="K44" s="200"/>
      <c r="L44" s="200"/>
      <c r="M44" s="200"/>
      <c r="N44" s="200"/>
      <c r="O44" s="200"/>
      <c r="P44" s="200"/>
      <c r="Q44" s="200"/>
      <c r="R44" s="200"/>
      <c r="S44" s="200"/>
      <c r="T44" s="200"/>
      <c r="U44" s="200"/>
      <c r="V44" s="200"/>
      <c r="W44" s="200"/>
      <c r="X44" s="200"/>
      <c r="Y44" s="200"/>
      <c r="Z44" s="200"/>
      <c r="AA44" s="200"/>
      <c r="AB44" s="200"/>
      <c r="AC44" s="200"/>
      <c r="AD44" s="200"/>
      <c r="AE44" s="200"/>
      <c r="AF44" s="200"/>
      <c r="AG44" s="200"/>
      <c r="AH44" s="200"/>
      <c r="AI44" s="200"/>
      <c r="AJ44" s="200"/>
      <c r="AK44" s="200"/>
      <c r="AL44" s="200"/>
      <c r="AM44" s="200"/>
      <c r="AN44" s="200"/>
      <c r="AO44" s="200"/>
    </row>
    <row r="45" spans="1:41" s="105" customFormat="1" ht="16.5" hidden="1" customHeight="1" outlineLevel="1">
      <c r="A45" s="702" t="s">
        <v>1328</v>
      </c>
      <c r="B45" s="299"/>
      <c r="C45" s="200">
        <f ca="1">F41*POWER((1+$B$3),B2)*(1+$B$4)/POWER((1+$B$13),目录!C9+B2-1)/(B13-$B$4)</f>
        <v>3687.4524026792101</v>
      </c>
      <c r="D45" s="200"/>
      <c r="E45" s="200"/>
      <c r="F45" s="200"/>
      <c r="G45" s="200"/>
      <c r="H45" s="200"/>
      <c r="I45" s="200"/>
      <c r="J45" s="200"/>
      <c r="K45" s="200"/>
      <c r="L45" s="200"/>
      <c r="M45" s="200"/>
      <c r="N45" s="200"/>
      <c r="O45" s="200"/>
      <c r="P45" s="200"/>
      <c r="Q45" s="200"/>
      <c r="R45" s="200"/>
      <c r="S45" s="200"/>
      <c r="T45" s="200"/>
      <c r="U45" s="200"/>
      <c r="V45" s="200"/>
      <c r="W45" s="200"/>
      <c r="X45" s="200"/>
      <c r="Y45" s="200"/>
      <c r="Z45" s="200"/>
      <c r="AA45" s="200"/>
      <c r="AB45" s="200"/>
      <c r="AC45" s="200"/>
      <c r="AD45" s="200"/>
      <c r="AE45" s="200"/>
      <c r="AF45" s="200"/>
      <c r="AG45" s="200"/>
      <c r="AH45" s="200"/>
      <c r="AI45" s="447"/>
      <c r="AJ45" s="427"/>
      <c r="AK45" s="427"/>
      <c r="AL45" s="427"/>
    </row>
    <row r="46" spans="1:41" s="105" customFormat="1" ht="16.5" hidden="1" customHeight="1" outlineLevel="1">
      <c r="A46" s="337" t="s">
        <v>270</v>
      </c>
      <c r="B46" s="428" t="s">
        <v>1031</v>
      </c>
      <c r="C46" s="200">
        <f ca="1">C43+C44+C45</f>
        <v>5369.5701726847692</v>
      </c>
      <c r="D46" s="200"/>
      <c r="E46" s="200"/>
      <c r="F46" s="200"/>
      <c r="G46" s="200"/>
      <c r="H46" s="200"/>
      <c r="I46" s="200"/>
      <c r="J46" s="200"/>
      <c r="K46" s="200"/>
      <c r="L46" s="200"/>
      <c r="M46" s="200"/>
      <c r="N46" s="200"/>
      <c r="O46" s="200"/>
      <c r="P46" s="200"/>
      <c r="Q46" s="200"/>
      <c r="R46" s="200"/>
      <c r="S46" s="200"/>
      <c r="T46" s="200"/>
      <c r="U46" s="200"/>
      <c r="V46" s="200"/>
      <c r="W46" s="200"/>
      <c r="X46" s="200"/>
      <c r="Y46" s="200"/>
      <c r="Z46" s="200"/>
      <c r="AA46" s="200"/>
      <c r="AB46" s="200"/>
      <c r="AC46" s="200"/>
      <c r="AD46" s="200"/>
      <c r="AE46" s="200"/>
      <c r="AF46" s="200"/>
      <c r="AG46" s="200"/>
      <c r="AH46" s="200"/>
      <c r="AI46" s="447"/>
      <c r="AJ46" s="427"/>
      <c r="AK46" s="427"/>
      <c r="AL46" s="427"/>
    </row>
    <row r="47" spans="1:41" s="105" customFormat="1" ht="16.5" hidden="1" customHeight="1" outlineLevel="1">
      <c r="A47" s="334" t="s">
        <v>259</v>
      </c>
      <c r="B47" s="299"/>
      <c r="C47" s="200">
        <f ca="1">资产负债!I85</f>
        <v>1.0948822408591112</v>
      </c>
      <c r="D47" s="200"/>
      <c r="E47" s="200"/>
      <c r="F47" s="200"/>
      <c r="G47" s="200"/>
      <c r="H47" s="200"/>
      <c r="I47" s="200"/>
      <c r="J47" s="200"/>
      <c r="K47" s="200"/>
      <c r="L47" s="200"/>
      <c r="M47" s="200"/>
      <c r="N47" s="200"/>
      <c r="O47" s="200"/>
      <c r="P47" s="200"/>
      <c r="Q47" s="200"/>
      <c r="R47" s="200"/>
      <c r="S47" s="200"/>
      <c r="T47" s="200"/>
      <c r="U47" s="200"/>
      <c r="V47" s="200"/>
      <c r="W47" s="200"/>
      <c r="X47" s="200"/>
      <c r="Y47" s="200"/>
      <c r="Z47" s="200"/>
      <c r="AA47" s="200"/>
      <c r="AB47" s="200"/>
      <c r="AC47" s="200"/>
      <c r="AD47" s="200"/>
      <c r="AE47" s="200"/>
      <c r="AF47" s="200"/>
      <c r="AG47" s="200"/>
      <c r="AH47" s="200"/>
      <c r="AI47" s="447"/>
      <c r="AJ47" s="427"/>
      <c r="AK47" s="427"/>
      <c r="AL47" s="427"/>
    </row>
    <row r="48" spans="1:41" s="105" customFormat="1" ht="16.5" hidden="1" customHeight="1" outlineLevel="1">
      <c r="A48" s="337" t="s">
        <v>257</v>
      </c>
      <c r="B48" s="428" t="s">
        <v>1031</v>
      </c>
      <c r="C48" s="200">
        <f ca="1">C46-C47</f>
        <v>5368.4752904439101</v>
      </c>
      <c r="D48" s="200"/>
      <c r="E48" s="200"/>
      <c r="F48" s="200"/>
      <c r="G48" s="200"/>
      <c r="H48" s="200"/>
      <c r="I48" s="200"/>
      <c r="J48" s="200"/>
      <c r="K48" s="200"/>
      <c r="L48" s="200"/>
      <c r="M48" s="200"/>
      <c r="N48" s="200"/>
      <c r="O48" s="200"/>
      <c r="P48" s="200"/>
      <c r="Q48" s="200"/>
      <c r="R48" s="200"/>
      <c r="S48" s="200"/>
      <c r="T48" s="200"/>
      <c r="U48" s="200"/>
      <c r="V48" s="200"/>
      <c r="W48" s="200"/>
      <c r="X48" s="200"/>
      <c r="Y48" s="200"/>
      <c r="Z48" s="200"/>
      <c r="AA48" s="200"/>
      <c r="AB48" s="200"/>
      <c r="AC48" s="200"/>
      <c r="AD48" s="200"/>
      <c r="AE48" s="200"/>
      <c r="AF48" s="200"/>
      <c r="AG48" s="200"/>
      <c r="AH48" s="200"/>
      <c r="AI48" s="447"/>
      <c r="AJ48" s="427"/>
      <c r="AK48" s="427"/>
      <c r="AL48" s="427"/>
    </row>
    <row r="49" spans="1:41" ht="16.5" hidden="1" customHeight="1" outlineLevel="1">
      <c r="A49" s="334" t="s">
        <v>265</v>
      </c>
      <c r="B49" s="299"/>
      <c r="C49" s="200">
        <f>C32</f>
        <v>1177.2865629999999</v>
      </c>
      <c r="D49" s="200"/>
      <c r="E49" s="200"/>
      <c r="F49" s="200"/>
      <c r="G49" s="200"/>
      <c r="H49" s="200"/>
      <c r="I49" s="200"/>
      <c r="J49" s="200"/>
      <c r="K49" s="200"/>
      <c r="L49" s="200"/>
      <c r="M49" s="200"/>
      <c r="N49" s="200"/>
      <c r="O49" s="200"/>
      <c r="P49" s="200"/>
      <c r="Q49" s="200"/>
      <c r="R49" s="200"/>
      <c r="S49" s="200"/>
      <c r="T49" s="200"/>
      <c r="U49" s="200"/>
      <c r="V49" s="200"/>
      <c r="W49" s="200"/>
      <c r="X49" s="200"/>
      <c r="Y49" s="200"/>
      <c r="Z49" s="200"/>
      <c r="AA49" s="200"/>
      <c r="AB49" s="200"/>
      <c r="AC49" s="200"/>
      <c r="AD49" s="200"/>
      <c r="AE49" s="200"/>
      <c r="AF49" s="200"/>
      <c r="AG49" s="200"/>
      <c r="AH49" s="200"/>
      <c r="AI49" s="447"/>
      <c r="AJ49" s="427"/>
      <c r="AK49" s="427"/>
      <c r="AL49" s="427"/>
    </row>
    <row r="50" spans="1:41" ht="16.5" customHeight="1" collapsed="1">
      <c r="A50" s="336" t="s">
        <v>268</v>
      </c>
      <c r="B50" s="428" t="s">
        <v>1031</v>
      </c>
      <c r="C50" s="539">
        <f ca="1">C48/C49</f>
        <v>4.5600412500791538</v>
      </c>
      <c r="D50" s="200"/>
      <c r="E50" s="200"/>
      <c r="F50" s="200"/>
      <c r="G50" s="200"/>
      <c r="H50" s="200"/>
      <c r="I50" s="200"/>
      <c r="J50" s="200"/>
      <c r="K50" s="447"/>
      <c r="L50" s="447"/>
      <c r="M50" s="447"/>
      <c r="N50" s="447"/>
      <c r="O50" s="447"/>
      <c r="P50" s="447"/>
      <c r="Q50" s="447"/>
      <c r="R50" s="447"/>
      <c r="S50" s="447"/>
      <c r="T50" s="447"/>
      <c r="U50" s="447"/>
      <c r="V50" s="447"/>
      <c r="W50" s="447"/>
      <c r="X50" s="447"/>
      <c r="Y50" s="447"/>
      <c r="Z50" s="447"/>
      <c r="AA50" s="447"/>
      <c r="AB50" s="447"/>
      <c r="AC50" s="447"/>
      <c r="AD50" s="447"/>
      <c r="AE50" s="447"/>
      <c r="AF50" s="447"/>
      <c r="AG50" s="447"/>
      <c r="AH50" s="447"/>
      <c r="AI50" s="447"/>
      <c r="AJ50" s="427"/>
      <c r="AK50" s="427"/>
      <c r="AL50" s="427"/>
    </row>
    <row r="51" spans="1:41" ht="16.5" customHeight="1">
      <c r="A51" s="326"/>
      <c r="B51" s="428"/>
      <c r="C51" s="448"/>
      <c r="D51" s="448"/>
      <c r="E51" s="200"/>
      <c r="F51" s="200"/>
      <c r="G51" s="200"/>
      <c r="H51" s="200"/>
      <c r="I51" s="200"/>
      <c r="J51" s="200"/>
      <c r="K51" s="447"/>
      <c r="L51" s="447"/>
      <c r="M51" s="447"/>
      <c r="N51" s="447"/>
      <c r="O51" s="447"/>
      <c r="P51" s="447"/>
      <c r="Q51" s="447"/>
      <c r="R51" s="447"/>
      <c r="S51" s="447"/>
      <c r="T51" s="447"/>
      <c r="U51" s="447"/>
      <c r="V51" s="447"/>
      <c r="W51" s="447"/>
      <c r="X51" s="447"/>
      <c r="Y51" s="447"/>
      <c r="Z51" s="447"/>
      <c r="AA51" s="447"/>
      <c r="AB51" s="447"/>
      <c r="AC51" s="447"/>
      <c r="AD51" s="447"/>
      <c r="AE51" s="447"/>
      <c r="AF51" s="447"/>
      <c r="AG51" s="447"/>
      <c r="AH51" s="447"/>
      <c r="AI51" s="447"/>
      <c r="AJ51" s="427"/>
      <c r="AK51" s="427"/>
      <c r="AL51" s="427"/>
    </row>
    <row r="52" spans="1:41" ht="16.5" customHeight="1">
      <c r="A52" s="333" t="s">
        <v>261</v>
      </c>
      <c r="B52" s="333" t="s">
        <v>1048</v>
      </c>
      <c r="C52" s="448"/>
      <c r="D52" s="448"/>
      <c r="E52" s="200"/>
      <c r="F52" s="200"/>
      <c r="G52" s="200"/>
      <c r="H52" s="200"/>
      <c r="I52" s="200"/>
      <c r="J52" s="200"/>
      <c r="K52" s="447"/>
      <c r="L52" s="447"/>
      <c r="M52" s="447"/>
      <c r="N52" s="447"/>
      <c r="O52" s="447"/>
      <c r="P52" s="447"/>
      <c r="Q52" s="447"/>
      <c r="R52" s="447"/>
      <c r="S52" s="447"/>
      <c r="T52" s="447"/>
      <c r="U52" s="447"/>
      <c r="V52" s="447"/>
      <c r="W52" s="447"/>
      <c r="X52" s="447"/>
      <c r="Y52" s="447"/>
      <c r="Z52" s="447"/>
      <c r="AA52" s="447"/>
      <c r="AB52" s="447"/>
      <c r="AC52" s="447"/>
      <c r="AD52" s="447"/>
      <c r="AE52" s="447"/>
      <c r="AF52" s="447"/>
      <c r="AG52" s="447"/>
      <c r="AH52" s="447"/>
      <c r="AI52" s="447"/>
      <c r="AJ52" s="427"/>
      <c r="AK52" s="427"/>
      <c r="AL52" s="427"/>
    </row>
    <row r="53" spans="1:41" ht="16.5" hidden="1" customHeight="1" outlineLevel="1">
      <c r="A53" s="326" t="s">
        <v>1066</v>
      </c>
      <c r="B53" s="299"/>
      <c r="C53" s="200"/>
      <c r="D53" s="200">
        <f>利润表!I33</f>
        <v>59.043931350000008</v>
      </c>
      <c r="E53" s="200">
        <f>利润表!J33</f>
        <v>73.804914187500003</v>
      </c>
      <c r="F53" s="200">
        <f>利润表!K33</f>
        <v>47.973194221875005</v>
      </c>
      <c r="G53" s="200">
        <f>利润表!L33</f>
        <v>59.966492777343753</v>
      </c>
      <c r="H53" s="200">
        <f>利润表!M33</f>
        <v>60.197133134179694</v>
      </c>
      <c r="I53" s="200">
        <f>利润表!N33</f>
        <v>60.485433580224615</v>
      </c>
      <c r="J53" s="200">
        <f>利润表!O33</f>
        <v>57.155563428405763</v>
      </c>
      <c r="K53" s="200">
        <f>利润表!P33</f>
        <v>59.451155730038458</v>
      </c>
      <c r="L53" s="200">
        <f>利润表!Q33</f>
        <v>59.322321468212131</v>
      </c>
      <c r="M53" s="200">
        <f>利润表!R33</f>
        <v>59.103618551720245</v>
      </c>
      <c r="N53" s="200">
        <f>利润表!S33</f>
        <v>58.758164794594151</v>
      </c>
      <c r="O53" s="200">
        <f>利润表!T33</f>
        <v>59.158815136141243</v>
      </c>
      <c r="P53" s="200">
        <f>利润表!U33</f>
        <v>59.085729987666944</v>
      </c>
      <c r="Q53" s="200">
        <f>利润表!V33</f>
        <v>59.026582117530644</v>
      </c>
      <c r="R53" s="200">
        <f>利润表!W33</f>
        <v>59.007323008983249</v>
      </c>
      <c r="S53" s="200">
        <f>利润表!X33</f>
        <v>59.069612562580524</v>
      </c>
      <c r="T53" s="200">
        <f>利润表!Y33</f>
        <v>59.047311919190335</v>
      </c>
      <c r="U53" s="200">
        <f>利润表!Z33</f>
        <v>59.037707402071185</v>
      </c>
      <c r="V53" s="200">
        <f>利润表!AA33</f>
        <v>59.040488723206323</v>
      </c>
      <c r="W53" s="200">
        <f>利润表!AB33</f>
        <v>59.048780151762095</v>
      </c>
      <c r="X53" s="200">
        <f>利润表!AC33</f>
        <v>59.043572049057488</v>
      </c>
      <c r="Y53" s="200">
        <f>利润表!AD33</f>
        <v>59.042637081524269</v>
      </c>
      <c r="Z53" s="200">
        <f>利润表!AE33</f>
        <v>59.04386950138754</v>
      </c>
      <c r="AA53" s="200">
        <f>利润表!AF33</f>
        <v>59.044714695932846</v>
      </c>
      <c r="AB53" s="200">
        <f>利润表!AG33</f>
        <v>59.043698331975541</v>
      </c>
      <c r="AC53" s="200">
        <f>利润表!AH33</f>
        <v>59.043729902705053</v>
      </c>
      <c r="AD53" s="200">
        <f>利润表!AI33</f>
        <v>59.04400310800024</v>
      </c>
      <c r="AE53" s="200">
        <f>利润表!AJ33</f>
        <v>59.044036509653417</v>
      </c>
      <c r="AF53" s="200">
        <f>利润表!AK33</f>
        <v>59.043866963083559</v>
      </c>
      <c r="AG53" s="200">
        <f>利润表!AL33</f>
        <v>59.043909120860562</v>
      </c>
      <c r="AH53" s="200"/>
      <c r="AI53" s="200"/>
      <c r="AJ53" s="427"/>
      <c r="AK53" s="427"/>
      <c r="AL53" s="427"/>
    </row>
    <row r="54" spans="1:41" s="105" customFormat="1" ht="16.5" hidden="1" customHeight="1" outlineLevel="1">
      <c r="A54" s="702" t="s">
        <v>1329</v>
      </c>
      <c r="B54" s="428"/>
      <c r="C54" s="200"/>
      <c r="D54" s="200">
        <f>IF($B2&gt;0,F53*(1+$B$3),0)</f>
        <v>52.770513644062511</v>
      </c>
      <c r="E54" s="200">
        <f>IF($B2-(LEFT(E10,4)-LEFT($D10,4))&gt;0,D54*(1+$B$3)," ")</f>
        <v>58.047565008468766</v>
      </c>
      <c r="F54" s="200">
        <f t="shared" ref="F54:AG54" si="28">IF($B2-(LEFT(F10,4)-LEFT($D10,4))&gt;0,E54*(1+$B$3)," ")</f>
        <v>63.852321509315651</v>
      </c>
      <c r="G54" s="200">
        <f t="shared" si="28"/>
        <v>70.237553660247215</v>
      </c>
      <c r="H54" s="200">
        <f t="shared" si="28"/>
        <v>77.261309026271945</v>
      </c>
      <c r="I54" s="200">
        <f t="shared" si="28"/>
        <v>84.98743992889915</v>
      </c>
      <c r="J54" s="200" t="str">
        <f t="shared" si="28"/>
        <v xml:space="preserve"> </v>
      </c>
      <c r="K54" s="200" t="str">
        <f t="shared" si="28"/>
        <v xml:space="preserve"> </v>
      </c>
      <c r="L54" s="200" t="str">
        <f t="shared" si="28"/>
        <v xml:space="preserve"> </v>
      </c>
      <c r="M54" s="200" t="str">
        <f t="shared" si="28"/>
        <v xml:space="preserve"> </v>
      </c>
      <c r="N54" s="200" t="str">
        <f t="shared" si="28"/>
        <v xml:space="preserve"> </v>
      </c>
      <c r="O54" s="200" t="str">
        <f t="shared" si="28"/>
        <v xml:space="preserve"> </v>
      </c>
      <c r="P54" s="200" t="str">
        <f t="shared" si="28"/>
        <v xml:space="preserve"> </v>
      </c>
      <c r="Q54" s="200" t="str">
        <f t="shared" si="28"/>
        <v xml:space="preserve"> </v>
      </c>
      <c r="R54" s="200" t="str">
        <f t="shared" si="28"/>
        <v xml:space="preserve"> </v>
      </c>
      <c r="S54" s="200" t="str">
        <f t="shared" si="28"/>
        <v xml:space="preserve"> </v>
      </c>
      <c r="T54" s="200" t="str">
        <f t="shared" si="28"/>
        <v xml:space="preserve"> </v>
      </c>
      <c r="U54" s="200" t="str">
        <f t="shared" si="28"/>
        <v xml:space="preserve"> </v>
      </c>
      <c r="V54" s="200" t="str">
        <f t="shared" si="28"/>
        <v xml:space="preserve"> </v>
      </c>
      <c r="W54" s="200" t="str">
        <f t="shared" si="28"/>
        <v xml:space="preserve"> </v>
      </c>
      <c r="X54" s="200" t="str">
        <f t="shared" si="28"/>
        <v xml:space="preserve"> </v>
      </c>
      <c r="Y54" s="200" t="str">
        <f t="shared" si="28"/>
        <v xml:space="preserve"> </v>
      </c>
      <c r="Z54" s="200" t="str">
        <f t="shared" si="28"/>
        <v xml:space="preserve"> </v>
      </c>
      <c r="AA54" s="200" t="str">
        <f t="shared" si="28"/>
        <v xml:space="preserve"> </v>
      </c>
      <c r="AB54" s="200" t="str">
        <f t="shared" si="28"/>
        <v xml:space="preserve"> </v>
      </c>
      <c r="AC54" s="200" t="str">
        <f t="shared" si="28"/>
        <v xml:space="preserve"> </v>
      </c>
      <c r="AD54" s="200" t="str">
        <f t="shared" si="28"/>
        <v xml:space="preserve"> </v>
      </c>
      <c r="AE54" s="200" t="str">
        <f t="shared" si="28"/>
        <v xml:space="preserve"> </v>
      </c>
      <c r="AF54" s="200" t="str">
        <f t="shared" si="28"/>
        <v xml:space="preserve"> </v>
      </c>
      <c r="AG54" s="200" t="str">
        <f t="shared" si="28"/>
        <v xml:space="preserve"> </v>
      </c>
      <c r="AH54" s="200"/>
      <c r="AI54" s="447"/>
      <c r="AJ54" s="427"/>
      <c r="AK54" s="427"/>
      <c r="AL54" s="427"/>
    </row>
    <row r="55" spans="1:41" s="105" customFormat="1" ht="16.5" hidden="1" customHeight="1" outlineLevel="1">
      <c r="A55" s="702" t="s">
        <v>1330</v>
      </c>
      <c r="B55" s="299"/>
      <c r="C55" s="200">
        <f>D53+NPV(B13,E53:F53)</f>
        <v>164.9935840034945</v>
      </c>
      <c r="D55" s="200"/>
      <c r="E55" s="200"/>
      <c r="F55" s="200"/>
      <c r="G55" s="200"/>
      <c r="H55" s="200"/>
      <c r="I55" s="200"/>
      <c r="J55" s="200"/>
      <c r="K55" s="200"/>
      <c r="L55" s="200"/>
      <c r="M55" s="200"/>
      <c r="N55" s="200"/>
      <c r="O55" s="200"/>
      <c r="P55" s="200"/>
      <c r="Q55" s="200"/>
      <c r="R55" s="200"/>
      <c r="S55" s="200"/>
      <c r="T55" s="200"/>
      <c r="U55" s="200"/>
      <c r="V55" s="200"/>
      <c r="W55" s="200"/>
      <c r="X55" s="200"/>
      <c r="Y55" s="200"/>
      <c r="Z55" s="200"/>
      <c r="AA55" s="200"/>
      <c r="AB55" s="200"/>
      <c r="AC55" s="200"/>
      <c r="AD55" s="200"/>
      <c r="AE55" s="200"/>
      <c r="AF55" s="200"/>
      <c r="AG55" s="200"/>
      <c r="AH55" s="200"/>
      <c r="AI55" s="447"/>
      <c r="AJ55" s="427"/>
      <c r="AK55" s="427"/>
      <c r="AL55" s="427"/>
    </row>
    <row r="56" spans="1:41" s="105" customFormat="1" ht="16.5" hidden="1" customHeight="1" outlineLevel="1">
      <c r="A56" s="702" t="s">
        <v>1331</v>
      </c>
      <c r="B56" s="299"/>
      <c r="C56" s="200">
        <f>IF(B2=0,0,NPV(B13,D54:I54)/(1+B13)^(目录!C9-1))</f>
        <v>230.88186787750462</v>
      </c>
      <c r="D56" s="200"/>
      <c r="E56" s="200"/>
      <c r="F56" s="200"/>
      <c r="G56" s="200"/>
      <c r="H56" s="200"/>
      <c r="I56" s="200"/>
      <c r="J56" s="200"/>
      <c r="K56" s="200"/>
      <c r="L56" s="200"/>
      <c r="M56" s="200"/>
      <c r="N56" s="200"/>
      <c r="O56" s="200"/>
      <c r="P56" s="200"/>
      <c r="Q56" s="200"/>
      <c r="R56" s="200"/>
      <c r="S56" s="200"/>
      <c r="T56" s="200"/>
      <c r="U56" s="200"/>
      <c r="V56" s="200"/>
      <c r="W56" s="200"/>
      <c r="X56" s="200"/>
      <c r="Y56" s="200"/>
      <c r="Z56" s="200"/>
      <c r="AA56" s="200"/>
      <c r="AB56" s="200"/>
      <c r="AC56" s="200"/>
      <c r="AD56" s="200"/>
      <c r="AE56" s="200"/>
      <c r="AF56" s="200"/>
      <c r="AG56" s="200"/>
      <c r="AH56" s="200"/>
      <c r="AI56" s="200"/>
      <c r="AJ56" s="200"/>
      <c r="AK56" s="200"/>
      <c r="AL56" s="200"/>
      <c r="AM56" s="200"/>
      <c r="AN56" s="200"/>
      <c r="AO56" s="200"/>
    </row>
    <row r="57" spans="1:41" s="105" customFormat="1" ht="16.5" hidden="1" customHeight="1" outlineLevel="1">
      <c r="A57" s="702" t="s">
        <v>1332</v>
      </c>
      <c r="B57" s="299"/>
      <c r="C57" s="200">
        <f>F53*POWER((1+$B$3),B2)*(1+$B$4)/POWER((1+$B$13),目录!C9+B2-1)/(B13-$B$4)</f>
        <v>514.44312048308677</v>
      </c>
      <c r="D57" s="200"/>
      <c r="E57" s="200"/>
      <c r="F57" s="200"/>
      <c r="G57" s="200"/>
      <c r="H57" s="200"/>
      <c r="I57" s="200"/>
      <c r="J57" s="200"/>
      <c r="K57" s="200"/>
      <c r="L57" s="200"/>
      <c r="M57" s="200"/>
      <c r="N57" s="200"/>
      <c r="O57" s="200"/>
      <c r="P57" s="200"/>
      <c r="Q57" s="200"/>
      <c r="R57" s="200"/>
      <c r="S57" s="200"/>
      <c r="T57" s="200"/>
      <c r="U57" s="200"/>
      <c r="V57" s="200"/>
      <c r="W57" s="200"/>
      <c r="X57" s="200"/>
      <c r="Y57" s="200"/>
      <c r="Z57" s="200"/>
      <c r="AA57" s="200"/>
      <c r="AB57" s="200"/>
      <c r="AC57" s="200"/>
      <c r="AD57" s="200"/>
      <c r="AE57" s="200"/>
      <c r="AF57" s="200"/>
      <c r="AG57" s="200"/>
      <c r="AH57" s="200"/>
      <c r="AI57" s="447"/>
      <c r="AJ57" s="427"/>
      <c r="AK57" s="427"/>
      <c r="AL57" s="427"/>
    </row>
    <row r="58" spans="1:41" ht="16.5" hidden="1" customHeight="1" outlineLevel="1">
      <c r="A58" s="337" t="s">
        <v>271</v>
      </c>
      <c r="B58" s="428" t="s">
        <v>1031</v>
      </c>
      <c r="C58" s="200">
        <f>C55+C56+C57</f>
        <v>910.31857236408587</v>
      </c>
      <c r="D58" s="200"/>
      <c r="E58" s="200"/>
      <c r="F58" s="200"/>
      <c r="G58" s="200"/>
      <c r="H58" s="200"/>
      <c r="I58" s="200"/>
      <c r="J58" s="200"/>
      <c r="K58" s="200"/>
      <c r="L58" s="200"/>
      <c r="M58" s="200"/>
      <c r="N58" s="200"/>
      <c r="O58" s="200"/>
      <c r="P58" s="200"/>
      <c r="Q58" s="200"/>
      <c r="R58" s="200"/>
      <c r="S58" s="200"/>
      <c r="T58" s="200"/>
      <c r="U58" s="200"/>
      <c r="V58" s="200"/>
      <c r="W58" s="200"/>
      <c r="X58" s="200"/>
      <c r="Y58" s="200"/>
      <c r="Z58" s="200"/>
      <c r="AA58" s="200"/>
      <c r="AB58" s="200"/>
      <c r="AC58" s="200"/>
      <c r="AD58" s="200"/>
      <c r="AE58" s="200"/>
      <c r="AF58" s="200"/>
      <c r="AG58" s="200"/>
      <c r="AH58" s="200"/>
      <c r="AI58" s="200"/>
      <c r="AJ58" s="427"/>
      <c r="AK58" s="427"/>
      <c r="AL58" s="427"/>
    </row>
    <row r="59" spans="1:41" ht="16.5" hidden="1" customHeight="1" outlineLevel="1">
      <c r="A59" s="334" t="s">
        <v>265</v>
      </c>
      <c r="B59" s="299"/>
      <c r="C59" s="200">
        <f>C49</f>
        <v>1177.2865629999999</v>
      </c>
      <c r="D59" s="200"/>
      <c r="E59" s="200"/>
      <c r="F59" s="200"/>
      <c r="G59" s="200"/>
      <c r="H59" s="200"/>
      <c r="I59" s="200"/>
      <c r="J59" s="200"/>
      <c r="K59" s="200"/>
      <c r="L59" s="200"/>
      <c r="M59" s="200"/>
      <c r="N59" s="200"/>
      <c r="O59" s="200"/>
      <c r="P59" s="200"/>
      <c r="Q59" s="200"/>
      <c r="R59" s="200"/>
      <c r="S59" s="200"/>
      <c r="T59" s="200"/>
      <c r="U59" s="200"/>
      <c r="V59" s="200"/>
      <c r="W59" s="200"/>
      <c r="X59" s="200"/>
      <c r="Y59" s="200"/>
      <c r="Z59" s="200"/>
      <c r="AA59" s="200"/>
      <c r="AB59" s="200"/>
      <c r="AC59" s="200"/>
      <c r="AD59" s="200"/>
      <c r="AE59" s="200"/>
      <c r="AF59" s="200"/>
      <c r="AG59" s="200"/>
      <c r="AH59" s="200"/>
      <c r="AI59" s="200"/>
      <c r="AJ59" s="427"/>
      <c r="AK59" s="427"/>
      <c r="AL59" s="427"/>
    </row>
    <row r="60" spans="1:41" ht="16.5" customHeight="1" collapsed="1">
      <c r="A60" s="336" t="s">
        <v>268</v>
      </c>
      <c r="B60" s="428" t="s">
        <v>1031</v>
      </c>
      <c r="C60" s="539">
        <f>C58/C59</f>
        <v>0.77323448765471547</v>
      </c>
      <c r="D60" s="200"/>
      <c r="E60" s="200"/>
      <c r="F60" s="200"/>
      <c r="G60" s="200"/>
      <c r="H60" s="200"/>
      <c r="I60" s="200"/>
      <c r="J60" s="200"/>
      <c r="K60" s="447"/>
      <c r="L60" s="447"/>
      <c r="M60" s="447"/>
      <c r="N60" s="447"/>
      <c r="O60" s="447"/>
      <c r="P60" s="447"/>
      <c r="Q60" s="447"/>
      <c r="R60" s="447"/>
      <c r="S60" s="447"/>
      <c r="T60" s="447"/>
      <c r="U60" s="447"/>
      <c r="V60" s="447"/>
      <c r="W60" s="447"/>
      <c r="X60" s="447"/>
      <c r="Y60" s="447"/>
      <c r="Z60" s="447"/>
      <c r="AA60" s="447"/>
      <c r="AB60" s="447"/>
      <c r="AC60" s="447"/>
      <c r="AD60" s="447"/>
      <c r="AE60" s="447"/>
      <c r="AF60" s="447"/>
      <c r="AG60" s="447"/>
      <c r="AH60" s="447"/>
      <c r="AI60" s="447"/>
      <c r="AJ60" s="427"/>
      <c r="AK60" s="427"/>
      <c r="AL60" s="427"/>
    </row>
    <row r="61" spans="1:41" ht="16.5" customHeight="1">
      <c r="A61" s="326"/>
      <c r="B61" s="428"/>
      <c r="C61" s="448"/>
      <c r="D61" s="200"/>
      <c r="E61" s="447"/>
      <c r="F61" s="447"/>
      <c r="G61" s="447"/>
      <c r="H61" s="447"/>
      <c r="I61" s="447"/>
      <c r="J61" s="447"/>
      <c r="K61" s="447"/>
      <c r="L61" s="447"/>
      <c r="M61" s="447"/>
      <c r="N61" s="447"/>
      <c r="O61" s="447"/>
      <c r="P61" s="447"/>
      <c r="Q61" s="447"/>
      <c r="R61" s="447"/>
      <c r="S61" s="447"/>
      <c r="T61" s="447"/>
      <c r="U61" s="447"/>
      <c r="V61" s="447"/>
      <c r="W61" s="447"/>
      <c r="X61" s="447"/>
      <c r="Y61" s="447"/>
      <c r="Z61" s="447"/>
      <c r="AA61" s="447"/>
      <c r="AB61" s="447"/>
      <c r="AC61" s="447"/>
      <c r="AD61" s="447"/>
      <c r="AE61" s="447"/>
      <c r="AF61" s="447"/>
      <c r="AG61" s="447"/>
      <c r="AH61" s="447"/>
      <c r="AI61" s="447"/>
      <c r="AJ61" s="427"/>
      <c r="AK61" s="427"/>
      <c r="AL61" s="427"/>
    </row>
    <row r="62" spans="1:41" ht="16.5" customHeight="1">
      <c r="A62" s="333" t="s">
        <v>262</v>
      </c>
      <c r="B62" s="333" t="s">
        <v>1048</v>
      </c>
      <c r="C62" s="448"/>
      <c r="D62" s="200"/>
      <c r="E62" s="447"/>
      <c r="F62" s="447"/>
      <c r="G62" s="447"/>
      <c r="H62" s="447"/>
      <c r="I62" s="447"/>
      <c r="J62" s="447"/>
      <c r="K62" s="447"/>
      <c r="L62" s="447"/>
      <c r="M62" s="447"/>
      <c r="N62" s="447"/>
      <c r="O62" s="447"/>
      <c r="P62" s="447"/>
      <c r="Q62" s="447"/>
      <c r="R62" s="447"/>
      <c r="S62" s="447"/>
      <c r="T62" s="447"/>
      <c r="U62" s="447"/>
      <c r="V62" s="447"/>
      <c r="W62" s="447"/>
      <c r="X62" s="447"/>
      <c r="Y62" s="447"/>
      <c r="Z62" s="447"/>
      <c r="AA62" s="447"/>
      <c r="AB62" s="447"/>
      <c r="AC62" s="447"/>
      <c r="AD62" s="447"/>
      <c r="AE62" s="447"/>
      <c r="AF62" s="447"/>
      <c r="AG62" s="447"/>
      <c r="AH62" s="447"/>
      <c r="AI62" s="447"/>
      <c r="AJ62" s="427"/>
      <c r="AK62" s="427"/>
      <c r="AL62" s="427"/>
    </row>
    <row r="63" spans="1:41" ht="16.5" hidden="1" customHeight="1" outlineLevel="1">
      <c r="A63" s="326" t="s">
        <v>248</v>
      </c>
      <c r="B63" s="299"/>
      <c r="C63" s="200"/>
      <c r="D63" s="200">
        <f ca="1">D18</f>
        <v>-123.1726077978868</v>
      </c>
      <c r="E63" s="200">
        <f t="shared" ref="E63:AG63" ca="1" si="29">E18</f>
        <v>408.55781360940864</v>
      </c>
      <c r="F63" s="200">
        <f t="shared" ca="1" si="29"/>
        <v>441.88446481901741</v>
      </c>
      <c r="G63" s="200">
        <f t="shared" ca="1" si="29"/>
        <v>413.16845725434177</v>
      </c>
      <c r="H63" s="200">
        <f t="shared" ca="1" si="29"/>
        <v>402.90391941718457</v>
      </c>
      <c r="I63" s="200">
        <f t="shared" ca="1" si="29"/>
        <v>446.74213203119541</v>
      </c>
      <c r="J63" s="200">
        <f t="shared" ca="1" si="29"/>
        <v>539.40073060656619</v>
      </c>
      <c r="K63" s="200">
        <f t="shared" ca="1" si="29"/>
        <v>605.43431382853396</v>
      </c>
      <c r="L63" s="200">
        <f t="shared" ca="1" si="29"/>
        <v>662.70086222806663</v>
      </c>
      <c r="M63" s="200">
        <f t="shared" ca="1" si="29"/>
        <v>731.05169725523763</v>
      </c>
      <c r="N63" s="200">
        <f t="shared" ca="1" si="29"/>
        <v>818.49842773233752</v>
      </c>
      <c r="O63" s="200">
        <f t="shared" ca="1" si="29"/>
        <v>924.1446618421719</v>
      </c>
      <c r="P63" s="200">
        <f t="shared" ca="1" si="29"/>
        <v>1037.548444865226</v>
      </c>
      <c r="Q63" s="200">
        <f t="shared" ca="1" si="29"/>
        <v>1159.4690513512614</v>
      </c>
      <c r="R63" s="200">
        <f t="shared" ca="1" si="29"/>
        <v>1299.2167815565444</v>
      </c>
      <c r="S63" s="200">
        <f t="shared" ca="1" si="29"/>
        <v>1460.7176480749201</v>
      </c>
      <c r="T63" s="200">
        <f t="shared" ca="1" si="29"/>
        <v>1644.1208205151431</v>
      </c>
      <c r="U63" s="200">
        <f t="shared" ca="1" si="29"/>
        <v>1848.9304915158223</v>
      </c>
      <c r="V63" s="200">
        <f t="shared" ca="1" si="29"/>
        <v>2078.9780912108799</v>
      </c>
      <c r="W63" s="200">
        <f t="shared" ca="1" si="29"/>
        <v>2340.1642689573409</v>
      </c>
      <c r="X63" s="200">
        <f t="shared" ca="1" si="29"/>
        <v>2636.2515022050547</v>
      </c>
      <c r="Y63" s="200">
        <f t="shared" ca="1" si="29"/>
        <v>2970.5294629664777</v>
      </c>
      <c r="Z63" s="200">
        <f t="shared" ca="1" si="29"/>
        <v>3347.4092409440505</v>
      </c>
      <c r="AA63" s="200">
        <f t="shared" ca="1" si="29"/>
        <v>3773.1551660143359</v>
      </c>
      <c r="AB63" s="200">
        <f t="shared" ca="1" si="29"/>
        <v>4254.6915509253795</v>
      </c>
      <c r="AC63" s="200">
        <f t="shared" ca="1" si="29"/>
        <v>4798.9063419121303</v>
      </c>
      <c r="AD63" s="200">
        <f t="shared" ca="1" si="29"/>
        <v>5413.5707554181909</v>
      </c>
      <c r="AE63" s="200">
        <f t="shared" ca="1" si="29"/>
        <v>6107.8625463249155</v>
      </c>
      <c r="AF63" s="200">
        <f t="shared" ca="1" si="29"/>
        <v>6892.3936480007851</v>
      </c>
      <c r="AG63" s="200">
        <f t="shared" ca="1" si="29"/>
        <v>7778.9428144277026</v>
      </c>
      <c r="AH63" s="200"/>
      <c r="AI63" s="200"/>
      <c r="AJ63" s="200"/>
      <c r="AK63" s="200"/>
      <c r="AL63" s="200"/>
    </row>
    <row r="64" spans="1:41" ht="16.5" hidden="1" customHeight="1" outlineLevel="1">
      <c r="A64" s="326" t="s">
        <v>264</v>
      </c>
      <c r="B64" s="299"/>
      <c r="C64" s="200"/>
      <c r="D64" s="200">
        <f ca="1">营运资本!I43</f>
        <v>9381.453646890197</v>
      </c>
      <c r="E64" s="200">
        <f ca="1">营运资本!J43</f>
        <v>13902.657009820148</v>
      </c>
      <c r="F64" s="200">
        <f ca="1">营运资本!K43</f>
        <v>13239.11956835035</v>
      </c>
      <c r="G64" s="200">
        <f ca="1">营运资本!L43</f>
        <v>16782.060385270317</v>
      </c>
      <c r="H64" s="200">
        <f ca="1">营运资本!M43</f>
        <v>16412.662605366975</v>
      </c>
      <c r="I64" s="200">
        <f ca="1">营运资本!N43</f>
        <v>20374.797092368353</v>
      </c>
      <c r="J64" s="200">
        <f ca="1">营运资本!O43</f>
        <v>20619.225639870241</v>
      </c>
      <c r="K64" s="200">
        <f ca="1">营运资本!P43</f>
        <v>25439.714691904112</v>
      </c>
      <c r="L64" s="200">
        <f ca="1">营运资本!Q43</f>
        <v>26019.344578259523</v>
      </c>
      <c r="M64" s="200">
        <f ca="1">营运资本!R43</f>
        <v>31372.302934885498</v>
      </c>
      <c r="N64" s="200">
        <f ca="1">营运资本!S43</f>
        <v>32875.934046576964</v>
      </c>
      <c r="O64" s="200">
        <f ca="1">营运资本!T43</f>
        <v>39170.725766701769</v>
      </c>
      <c r="P64" s="200">
        <f ca="1">营运资本!U43</f>
        <v>41655.340645683791</v>
      </c>
      <c r="Q64" s="200">
        <f ca="1">营运资本!V43</f>
        <v>49177.65780779042</v>
      </c>
      <c r="R64" s="200">
        <f ca="1">营运资本!W43</f>
        <v>53091.475772796897</v>
      </c>
      <c r="S64" s="200">
        <f ca="1">营运资本!X43</f>
        <v>62151.105009501451</v>
      </c>
      <c r="T64" s="200">
        <f ca="1">营运资本!Y43</f>
        <v>67765.591038246901</v>
      </c>
      <c r="U64" s="200">
        <f ca="1">营运资本!Z43</f>
        <v>78696.703666860238</v>
      </c>
      <c r="V64" s="200">
        <f ca="1">营运资本!AA43</f>
        <v>86430.891037942594</v>
      </c>
      <c r="W64" s="200">
        <f ca="1">营运资本!AB43</f>
        <v>99784.579832036077</v>
      </c>
      <c r="X64" s="200">
        <f ca="1">营运资本!AC43</f>
        <v>110264.41242394659</v>
      </c>
      <c r="Y64" s="200">
        <f ca="1">营运资本!AD43</f>
        <v>126705.82156289392</v>
      </c>
      <c r="Z64" s="200">
        <f ca="1">营运资本!AE43</f>
        <v>140661.24291518371</v>
      </c>
      <c r="AA64" s="200">
        <f ca="1">营运资本!AF43</f>
        <v>161038.45633522407</v>
      </c>
      <c r="AB64" s="200">
        <f ca="1">营运资本!AG43</f>
        <v>179450.92015665784</v>
      </c>
      <c r="AC64" s="200">
        <f ca="1">营运资本!AH43</f>
        <v>204858.41478449613</v>
      </c>
      <c r="AD64" s="200">
        <f ca="1">营运资本!AI43</f>
        <v>228951.24883247452</v>
      </c>
      <c r="AE64" s="200">
        <f ca="1">营运资本!AJ43</f>
        <v>260778.16519007419</v>
      </c>
      <c r="AF64" s="200">
        <f ca="1">营运资本!AK43</f>
        <v>292123.44909213844</v>
      </c>
      <c r="AG64" s="200">
        <f ca="1">营运资本!AL43</f>
        <v>332148.6172428889</v>
      </c>
      <c r="AH64" s="200"/>
      <c r="AI64" s="200"/>
      <c r="AJ64" s="200"/>
      <c r="AK64" s="200"/>
      <c r="AL64" s="200"/>
    </row>
    <row r="65" spans="1:41" ht="16.5" hidden="1" customHeight="1" outlineLevel="1">
      <c r="A65" s="336" t="s">
        <v>272</v>
      </c>
      <c r="B65" s="428" t="s">
        <v>1031</v>
      </c>
      <c r="C65" s="200"/>
      <c r="D65" s="200">
        <f t="shared" ref="D65:AG65" ca="1" si="30">D63-D64*D14</f>
        <v>-901.33080043996517</v>
      </c>
      <c r="E65" s="200">
        <f t="shared" ca="1" si="30"/>
        <v>-607.37212967547327</v>
      </c>
      <c r="F65" s="200">
        <f t="shared" ca="1" si="30"/>
        <v>-541.87364728723128</v>
      </c>
      <c r="G65" s="200">
        <f t="shared" ca="1" si="30"/>
        <v>-750.63240616984172</v>
      </c>
      <c r="H65" s="200">
        <f t="shared" ca="1" si="30"/>
        <v>-734.28984356033948</v>
      </c>
      <c r="I65" s="200">
        <f t="shared" ca="1" si="30"/>
        <v>-883.63134058259209</v>
      </c>
      <c r="J65" s="200">
        <f t="shared" ca="1" si="30"/>
        <v>-793.06640778581368</v>
      </c>
      <c r="K65" s="200">
        <f t="shared" ca="1" si="30"/>
        <v>-960.97618423544964</v>
      </c>
      <c r="L65" s="200">
        <f t="shared" ca="1" si="30"/>
        <v>-915.50859384747355</v>
      </c>
      <c r="M65" s="200">
        <f t="shared" ca="1" si="30"/>
        <v>-1099.4027746035549</v>
      </c>
      <c r="N65" s="200">
        <f t="shared" ca="1" si="30"/>
        <v>-1061.7217706504143</v>
      </c>
      <c r="O65" s="200">
        <f t="shared" ca="1" si="30"/>
        <v>-1246.4590794890496</v>
      </c>
      <c r="P65" s="200">
        <f t="shared" ca="1" si="30"/>
        <v>-1221.3883656875346</v>
      </c>
      <c r="Q65" s="200">
        <f t="shared" ca="1" si="30"/>
        <v>-1438.8190605674804</v>
      </c>
      <c r="R65" s="200">
        <f t="shared" ca="1" si="30"/>
        <v>-1444.1443848911817</v>
      </c>
      <c r="S65" s="200">
        <f t="shared" ca="1" si="30"/>
        <v>-1681.6610737987719</v>
      </c>
      <c r="T65" s="200">
        <f t="shared" ca="1" si="30"/>
        <v>-1708.6877013035917</v>
      </c>
      <c r="U65" s="200">
        <f t="shared" ca="1" si="30"/>
        <v>-1973.737354874037</v>
      </c>
      <c r="V65" s="200">
        <f t="shared" ca="1" si="30"/>
        <v>-2033.9360336310201</v>
      </c>
      <c r="W65" s="200">
        <f t="shared" ca="1" si="30"/>
        <v>-2333.8877871391096</v>
      </c>
      <c r="X65" s="200">
        <f t="shared" ca="1" si="30"/>
        <v>-2431.3837381438188</v>
      </c>
      <c r="Y65" s="200">
        <f t="shared" ca="1" si="30"/>
        <v>-2773.8936850575792</v>
      </c>
      <c r="Z65" s="200">
        <f t="shared" ca="1" si="30"/>
        <v>-2920.138748716367</v>
      </c>
      <c r="AA65" s="200">
        <f t="shared" ca="1" si="30"/>
        <v>-3317.5568691640046</v>
      </c>
      <c r="AB65" s="200">
        <f t="shared" ca="1" si="30"/>
        <v>-3524.62864387233</v>
      </c>
      <c r="AC65" s="200">
        <f t="shared" ca="1" si="30"/>
        <v>-3989.8160388897486</v>
      </c>
      <c r="AD65" s="200">
        <f t="shared" ca="1" si="30"/>
        <v>-4273.5271507617135</v>
      </c>
      <c r="AE65" s="200">
        <f t="shared" ca="1" si="30"/>
        <v>-4825.1809944125853</v>
      </c>
      <c r="AF65" s="200">
        <f t="shared" ca="1" si="30"/>
        <v>-5205.6992761742513</v>
      </c>
      <c r="AG65" s="200">
        <f t="shared" ca="1" si="30"/>
        <v>-5866.0423227746851</v>
      </c>
      <c r="AH65" s="200"/>
      <c r="AI65" s="200"/>
      <c r="AJ65" s="200"/>
      <c r="AK65" s="200"/>
      <c r="AL65" s="200"/>
    </row>
    <row r="66" spans="1:41" s="105" customFormat="1" ht="16.5" hidden="1" customHeight="1" outlineLevel="1">
      <c r="A66" s="702" t="s">
        <v>1333</v>
      </c>
      <c r="B66" s="428"/>
      <c r="C66" s="200"/>
      <c r="D66" s="200">
        <f ca="1">IF($B2&gt;0,F65*(1+$B$3),0)</f>
        <v>-596.06101201595447</v>
      </c>
      <c r="E66" s="200">
        <f ca="1">IF($B$2-(LEFT(E$10,4)-LEFT($D$10,4))&gt;0,D66*(1+$B$3)," ")</f>
        <v>-655.66711321754997</v>
      </c>
      <c r="F66" s="200">
        <f t="shared" ref="F66:AG66" ca="1" si="31">IF($B$2-(LEFT(F$10,4)-LEFT($D$10,4))&gt;0,E66*(1+$B$3)," ")</f>
        <v>-721.23382453930503</v>
      </c>
      <c r="G66" s="200">
        <f t="shared" ca="1" si="31"/>
        <v>-793.35720699323565</v>
      </c>
      <c r="H66" s="200">
        <f t="shared" ca="1" si="31"/>
        <v>-872.69292769255924</v>
      </c>
      <c r="I66" s="200">
        <f t="shared" ca="1" si="31"/>
        <v>-959.96222046181526</v>
      </c>
      <c r="J66" s="200" t="str">
        <f t="shared" si="31"/>
        <v xml:space="preserve"> </v>
      </c>
      <c r="K66" s="200" t="str">
        <f t="shared" si="31"/>
        <v xml:space="preserve"> </v>
      </c>
      <c r="L66" s="200" t="str">
        <f t="shared" si="31"/>
        <v xml:space="preserve"> </v>
      </c>
      <c r="M66" s="200" t="str">
        <f t="shared" si="31"/>
        <v xml:space="preserve"> </v>
      </c>
      <c r="N66" s="200" t="str">
        <f t="shared" si="31"/>
        <v xml:space="preserve"> </v>
      </c>
      <c r="O66" s="200" t="str">
        <f t="shared" si="31"/>
        <v xml:space="preserve"> </v>
      </c>
      <c r="P66" s="200" t="str">
        <f t="shared" si="31"/>
        <v xml:space="preserve"> </v>
      </c>
      <c r="Q66" s="200" t="str">
        <f t="shared" si="31"/>
        <v xml:space="preserve"> </v>
      </c>
      <c r="R66" s="200" t="str">
        <f t="shared" si="31"/>
        <v xml:space="preserve"> </v>
      </c>
      <c r="S66" s="200" t="str">
        <f t="shared" si="31"/>
        <v xml:space="preserve"> </v>
      </c>
      <c r="T66" s="200" t="str">
        <f t="shared" si="31"/>
        <v xml:space="preserve"> </v>
      </c>
      <c r="U66" s="200" t="str">
        <f t="shared" si="31"/>
        <v xml:space="preserve"> </v>
      </c>
      <c r="V66" s="200" t="str">
        <f t="shared" si="31"/>
        <v xml:space="preserve"> </v>
      </c>
      <c r="W66" s="200" t="str">
        <f t="shared" si="31"/>
        <v xml:space="preserve"> </v>
      </c>
      <c r="X66" s="200" t="str">
        <f t="shared" si="31"/>
        <v xml:space="preserve"> </v>
      </c>
      <c r="Y66" s="200" t="str">
        <f t="shared" si="31"/>
        <v xml:space="preserve"> </v>
      </c>
      <c r="Z66" s="200" t="str">
        <f t="shared" si="31"/>
        <v xml:space="preserve"> </v>
      </c>
      <c r="AA66" s="200" t="str">
        <f t="shared" si="31"/>
        <v xml:space="preserve"> </v>
      </c>
      <c r="AB66" s="200" t="str">
        <f t="shared" si="31"/>
        <v xml:space="preserve"> </v>
      </c>
      <c r="AC66" s="200" t="str">
        <f t="shared" si="31"/>
        <v xml:space="preserve"> </v>
      </c>
      <c r="AD66" s="200" t="str">
        <f t="shared" si="31"/>
        <v xml:space="preserve"> </v>
      </c>
      <c r="AE66" s="200" t="str">
        <f t="shared" si="31"/>
        <v xml:space="preserve"> </v>
      </c>
      <c r="AF66" s="200" t="str">
        <f t="shared" si="31"/>
        <v xml:space="preserve"> </v>
      </c>
      <c r="AG66" s="200" t="str">
        <f t="shared" si="31"/>
        <v xml:space="preserve"> </v>
      </c>
      <c r="AH66" s="200"/>
      <c r="AI66" s="447"/>
      <c r="AJ66" s="427"/>
      <c r="AK66" s="427"/>
      <c r="AL66" s="427"/>
    </row>
    <row r="67" spans="1:41" s="105" customFormat="1" ht="16.5" hidden="1" customHeight="1" outlineLevel="1">
      <c r="A67" s="702" t="s">
        <v>1334</v>
      </c>
      <c r="B67" s="299"/>
      <c r="C67" s="200">
        <f ca="1">D65+NPV(B14,E65:F65)</f>
        <v>-1924.2270807370173</v>
      </c>
      <c r="D67" s="200"/>
      <c r="E67" s="200"/>
      <c r="F67" s="200"/>
      <c r="G67" s="200"/>
      <c r="H67" s="200"/>
      <c r="I67" s="200"/>
      <c r="J67" s="200"/>
      <c r="K67" s="200"/>
      <c r="L67" s="200"/>
      <c r="M67" s="200"/>
      <c r="N67" s="200"/>
      <c r="O67" s="200"/>
      <c r="P67" s="200"/>
      <c r="Q67" s="200"/>
      <c r="R67" s="200"/>
      <c r="S67" s="200"/>
      <c r="T67" s="200"/>
      <c r="U67" s="200"/>
      <c r="V67" s="200"/>
      <c r="W67" s="200"/>
      <c r="X67" s="200"/>
      <c r="Y67" s="200"/>
      <c r="Z67" s="200"/>
      <c r="AA67" s="200"/>
      <c r="AB67" s="200"/>
      <c r="AC67" s="200"/>
      <c r="AD67" s="200"/>
      <c r="AE67" s="200"/>
      <c r="AF67" s="200"/>
      <c r="AG67" s="200"/>
      <c r="AH67" s="200"/>
      <c r="AI67" s="447"/>
      <c r="AJ67" s="427"/>
      <c r="AK67" s="427"/>
      <c r="AL67" s="427"/>
    </row>
    <row r="68" spans="1:41" s="105" customFormat="1" ht="16.5" hidden="1" customHeight="1" outlineLevel="1">
      <c r="A68" s="702" t="s">
        <v>1335</v>
      </c>
      <c r="B68" s="299"/>
      <c r="C68" s="200">
        <f ca="1">IF(B2=0,0,NPV(B14,D66:I66)/(1+B14)^(目录!C9-1))</f>
        <v>-2929.1384861408046</v>
      </c>
      <c r="D68" s="200"/>
      <c r="E68" s="200"/>
      <c r="F68" s="200"/>
      <c r="G68" s="200"/>
      <c r="H68" s="200"/>
      <c r="I68" s="200"/>
      <c r="J68" s="200"/>
      <c r="K68" s="200"/>
      <c r="L68" s="200"/>
      <c r="M68" s="200"/>
      <c r="N68" s="200"/>
      <c r="O68" s="200"/>
      <c r="P68" s="200"/>
      <c r="Q68" s="200"/>
      <c r="R68" s="200"/>
      <c r="S68" s="200"/>
      <c r="T68" s="200"/>
      <c r="U68" s="200"/>
      <c r="V68" s="200"/>
      <c r="W68" s="200"/>
      <c r="X68" s="200"/>
      <c r="Y68" s="200"/>
      <c r="Z68" s="200"/>
      <c r="AA68" s="200"/>
      <c r="AB68" s="200"/>
      <c r="AC68" s="200"/>
      <c r="AD68" s="200"/>
      <c r="AE68" s="200"/>
      <c r="AF68" s="200"/>
      <c r="AG68" s="200"/>
      <c r="AH68" s="200"/>
      <c r="AI68" s="200"/>
      <c r="AJ68" s="200"/>
      <c r="AK68" s="200"/>
      <c r="AL68" s="200"/>
      <c r="AM68" s="200"/>
      <c r="AN68" s="200"/>
      <c r="AO68" s="200"/>
    </row>
    <row r="69" spans="1:41" s="105" customFormat="1" ht="16.5" hidden="1" customHeight="1" outlineLevel="1">
      <c r="A69" s="702" t="s">
        <v>1336</v>
      </c>
      <c r="B69" s="299"/>
      <c r="C69" s="200">
        <f ca="1">F65*POWER((1+$B$3),B2)*(1+$B$4)/POWER((1+$B$14),目录!C9+B2-1)/(B14-$B$4)</f>
        <v>-9871.854943800854</v>
      </c>
      <c r="D69" s="200"/>
      <c r="E69" s="200"/>
      <c r="F69" s="200"/>
      <c r="G69" s="200"/>
      <c r="H69" s="200"/>
      <c r="I69" s="200"/>
      <c r="J69" s="200"/>
      <c r="K69" s="200"/>
      <c r="L69" s="200"/>
      <c r="M69" s="200"/>
      <c r="N69" s="200"/>
      <c r="O69" s="200"/>
      <c r="P69" s="200"/>
      <c r="Q69" s="200"/>
      <c r="R69" s="200"/>
      <c r="S69" s="200"/>
      <c r="T69" s="200"/>
      <c r="U69" s="200"/>
      <c r="V69" s="200"/>
      <c r="W69" s="200"/>
      <c r="X69" s="200"/>
      <c r="Y69" s="200"/>
      <c r="Z69" s="200"/>
      <c r="AA69" s="200"/>
      <c r="AB69" s="200"/>
      <c r="AC69" s="200"/>
      <c r="AD69" s="200"/>
      <c r="AE69" s="200"/>
      <c r="AF69" s="200"/>
      <c r="AG69" s="200"/>
      <c r="AH69" s="200"/>
      <c r="AI69" s="447"/>
      <c r="AJ69" s="427"/>
      <c r="AK69" s="427"/>
      <c r="AL69" s="427"/>
    </row>
    <row r="70" spans="1:41" ht="16.5" hidden="1" customHeight="1" outlineLevel="1">
      <c r="A70" s="319" t="s">
        <v>263</v>
      </c>
      <c r="B70" s="428" t="s">
        <v>1031</v>
      </c>
      <c r="C70" s="200">
        <f ca="1">C67+C68+C69</f>
        <v>-14725.220510678675</v>
      </c>
      <c r="D70" s="200"/>
      <c r="E70" s="200"/>
      <c r="F70" s="200"/>
      <c r="G70" s="200"/>
      <c r="H70" s="200"/>
      <c r="I70" s="200"/>
      <c r="J70" s="200"/>
      <c r="K70" s="200"/>
      <c r="L70" s="200"/>
      <c r="M70" s="200"/>
      <c r="N70" s="200"/>
      <c r="O70" s="200"/>
      <c r="P70" s="200"/>
      <c r="Q70" s="200"/>
      <c r="R70" s="200"/>
      <c r="S70" s="200"/>
      <c r="T70" s="200"/>
      <c r="U70" s="200"/>
      <c r="V70" s="200"/>
      <c r="W70" s="200"/>
      <c r="X70" s="200"/>
      <c r="Y70" s="200"/>
      <c r="Z70" s="200"/>
      <c r="AA70" s="200"/>
      <c r="AB70" s="200"/>
      <c r="AC70" s="200"/>
      <c r="AD70" s="200"/>
      <c r="AE70" s="200"/>
      <c r="AF70" s="200"/>
      <c r="AG70" s="200"/>
      <c r="AH70" s="200"/>
      <c r="AI70" s="200"/>
      <c r="AJ70" s="200"/>
      <c r="AK70" s="200"/>
      <c r="AL70" s="200"/>
    </row>
    <row r="71" spans="1:41" ht="16.5" hidden="1" customHeight="1" outlineLevel="1">
      <c r="A71" s="334" t="s">
        <v>266</v>
      </c>
      <c r="B71" s="428"/>
      <c r="C71" s="200">
        <f>营运资本!H43</f>
        <v>8112.2479051499995</v>
      </c>
      <c r="D71" s="200"/>
      <c r="E71" s="200"/>
      <c r="F71" s="200"/>
      <c r="G71" s="200"/>
      <c r="H71" s="200"/>
      <c r="I71" s="200"/>
      <c r="J71" s="200"/>
      <c r="K71" s="200"/>
      <c r="L71" s="200"/>
      <c r="M71" s="200"/>
      <c r="N71" s="200"/>
      <c r="O71" s="200"/>
      <c r="P71" s="200"/>
      <c r="Q71" s="200"/>
      <c r="R71" s="200"/>
      <c r="S71" s="200"/>
      <c r="T71" s="200"/>
      <c r="U71" s="200"/>
      <c r="V71" s="200"/>
      <c r="W71" s="200"/>
      <c r="X71" s="200"/>
      <c r="Y71" s="200"/>
      <c r="Z71" s="200"/>
      <c r="AA71" s="200"/>
      <c r="AB71" s="200"/>
      <c r="AC71" s="200"/>
      <c r="AD71" s="200"/>
      <c r="AE71" s="200"/>
      <c r="AF71" s="200"/>
      <c r="AG71" s="200"/>
      <c r="AH71" s="200"/>
      <c r="AI71" s="447"/>
      <c r="AJ71" s="427"/>
      <c r="AK71" s="427"/>
      <c r="AL71" s="427"/>
    </row>
    <row r="72" spans="1:41" ht="16.5" hidden="1" customHeight="1" outlineLevel="1">
      <c r="A72" s="334" t="s">
        <v>267</v>
      </c>
      <c r="B72" s="428"/>
      <c r="C72" s="200">
        <f ca="1">营运资本!I53</f>
        <v>2426.8919875108049</v>
      </c>
      <c r="D72" s="200"/>
      <c r="E72" s="200"/>
      <c r="F72" s="200"/>
      <c r="G72" s="200"/>
      <c r="H72" s="200"/>
      <c r="I72" s="200"/>
      <c r="J72" s="200"/>
      <c r="K72" s="200"/>
      <c r="L72" s="200"/>
      <c r="M72" s="200"/>
      <c r="N72" s="200"/>
      <c r="O72" s="200"/>
      <c r="P72" s="200"/>
      <c r="Q72" s="200"/>
      <c r="R72" s="200"/>
      <c r="S72" s="200"/>
      <c r="T72" s="200"/>
      <c r="U72" s="200"/>
      <c r="V72" s="200"/>
      <c r="W72" s="200"/>
      <c r="X72" s="200"/>
      <c r="Y72" s="200"/>
      <c r="Z72" s="200"/>
      <c r="AA72" s="200"/>
      <c r="AB72" s="200"/>
      <c r="AC72" s="200"/>
      <c r="AD72" s="200"/>
      <c r="AE72" s="200"/>
      <c r="AF72" s="200"/>
      <c r="AG72" s="200"/>
      <c r="AH72" s="200"/>
      <c r="AI72" s="447"/>
      <c r="AJ72" s="427"/>
      <c r="AK72" s="427"/>
      <c r="AL72" s="427"/>
    </row>
    <row r="73" spans="1:41" ht="16.5" hidden="1" customHeight="1" outlineLevel="1">
      <c r="A73" s="510" t="s">
        <v>273</v>
      </c>
      <c r="B73" s="428"/>
      <c r="C73" s="200">
        <f ca="1">营运资本!I38</f>
        <v>4022.9651347634617</v>
      </c>
      <c r="D73" s="200"/>
      <c r="E73" s="200"/>
      <c r="F73" s="200"/>
      <c r="G73" s="200"/>
      <c r="H73" s="200"/>
      <c r="I73" s="200"/>
      <c r="J73" s="200"/>
      <c r="K73" s="200"/>
      <c r="L73" s="200"/>
      <c r="M73" s="200"/>
      <c r="N73" s="200"/>
      <c r="O73" s="200"/>
      <c r="P73" s="200"/>
      <c r="Q73" s="200"/>
      <c r="R73" s="200"/>
      <c r="S73" s="200"/>
      <c r="T73" s="200"/>
      <c r="U73" s="200"/>
      <c r="V73" s="200"/>
      <c r="W73" s="200"/>
      <c r="X73" s="200"/>
      <c r="Y73" s="200"/>
      <c r="Z73" s="200"/>
      <c r="AA73" s="200"/>
      <c r="AB73" s="200"/>
      <c r="AC73" s="200"/>
      <c r="AD73" s="200"/>
      <c r="AE73" s="200"/>
      <c r="AF73" s="200"/>
      <c r="AG73" s="200"/>
      <c r="AH73" s="200"/>
      <c r="AI73" s="447"/>
      <c r="AJ73" s="427"/>
      <c r="AK73" s="427"/>
      <c r="AL73" s="427"/>
    </row>
    <row r="74" spans="1:41" ht="16.5" hidden="1" customHeight="1" outlineLevel="1">
      <c r="A74" s="334" t="s">
        <v>259</v>
      </c>
      <c r="B74" s="428"/>
      <c r="C74" s="200">
        <f ca="1">资产负债!I85</f>
        <v>1.0948822408591112</v>
      </c>
      <c r="D74" s="200"/>
      <c r="E74" s="200"/>
      <c r="F74" s="200"/>
      <c r="G74" s="200"/>
      <c r="H74" s="200"/>
      <c r="I74" s="200"/>
      <c r="J74" s="200"/>
      <c r="K74" s="200"/>
      <c r="L74" s="200"/>
      <c r="M74" s="200"/>
      <c r="N74" s="200"/>
      <c r="O74" s="200"/>
      <c r="P74" s="200"/>
      <c r="Q74" s="200"/>
      <c r="R74" s="200"/>
      <c r="S74" s="200"/>
      <c r="T74" s="200"/>
      <c r="U74" s="200"/>
      <c r="V74" s="200"/>
      <c r="W74" s="200"/>
      <c r="X74" s="200"/>
      <c r="Y74" s="200"/>
      <c r="Z74" s="200"/>
      <c r="AA74" s="200"/>
      <c r="AB74" s="200"/>
      <c r="AC74" s="200"/>
      <c r="AD74" s="200"/>
      <c r="AE74" s="200"/>
      <c r="AF74" s="200"/>
      <c r="AG74" s="200"/>
      <c r="AH74" s="200"/>
      <c r="AI74" s="447"/>
      <c r="AJ74" s="427"/>
      <c r="AK74" s="427"/>
      <c r="AL74" s="427"/>
    </row>
    <row r="75" spans="1:41" ht="16.5" hidden="1" customHeight="1" outlineLevel="1">
      <c r="A75" s="337" t="s">
        <v>274</v>
      </c>
      <c r="B75" s="428" t="s">
        <v>1031</v>
      </c>
      <c r="C75" s="200">
        <f ca="1">C70+C71+C72-C73-C74</f>
        <v>-8210.1406350221914</v>
      </c>
      <c r="D75" s="200"/>
      <c r="E75" s="200"/>
      <c r="F75" s="200"/>
      <c r="G75" s="200"/>
      <c r="H75" s="200"/>
      <c r="I75" s="200"/>
      <c r="J75" s="200"/>
      <c r="K75" s="200"/>
      <c r="L75" s="200"/>
      <c r="M75" s="200"/>
      <c r="N75" s="200"/>
      <c r="O75" s="200"/>
      <c r="P75" s="200"/>
      <c r="Q75" s="200"/>
      <c r="R75" s="200"/>
      <c r="S75" s="200"/>
      <c r="T75" s="200"/>
      <c r="U75" s="200"/>
      <c r="V75" s="200"/>
      <c r="W75" s="200"/>
      <c r="X75" s="200"/>
      <c r="Y75" s="200"/>
      <c r="Z75" s="200"/>
      <c r="AA75" s="200"/>
      <c r="AB75" s="200"/>
      <c r="AC75" s="200"/>
      <c r="AD75" s="200"/>
      <c r="AE75" s="200"/>
      <c r="AF75" s="200"/>
      <c r="AG75" s="200"/>
      <c r="AH75" s="200"/>
      <c r="AI75" s="447"/>
      <c r="AJ75" s="427"/>
      <c r="AK75" s="427"/>
      <c r="AL75" s="427"/>
    </row>
    <row r="76" spans="1:41" ht="16.5" hidden="1" customHeight="1" outlineLevel="1">
      <c r="A76" s="334" t="s">
        <v>265</v>
      </c>
      <c r="B76" s="299"/>
      <c r="C76" s="200">
        <f>C59</f>
        <v>1177.2865629999999</v>
      </c>
      <c r="D76" s="200"/>
      <c r="E76" s="200"/>
      <c r="F76" s="200"/>
      <c r="G76" s="200"/>
      <c r="H76" s="200"/>
      <c r="I76" s="200"/>
      <c r="J76" s="200"/>
      <c r="K76" s="200"/>
      <c r="L76" s="200"/>
      <c r="M76" s="200"/>
      <c r="N76" s="200"/>
      <c r="O76" s="200"/>
      <c r="P76" s="200"/>
      <c r="Q76" s="200"/>
      <c r="R76" s="200"/>
      <c r="S76" s="200"/>
      <c r="T76" s="200"/>
      <c r="U76" s="200"/>
      <c r="V76" s="200"/>
      <c r="W76" s="200"/>
      <c r="X76" s="200"/>
      <c r="Y76" s="200"/>
      <c r="Z76" s="200"/>
      <c r="AA76" s="200"/>
      <c r="AB76" s="200"/>
      <c r="AC76" s="200"/>
      <c r="AD76" s="200"/>
      <c r="AE76" s="200"/>
      <c r="AF76" s="200"/>
      <c r="AG76" s="200"/>
      <c r="AH76" s="200"/>
      <c r="AI76" s="447"/>
      <c r="AJ76" s="427"/>
      <c r="AK76" s="427"/>
      <c r="AL76" s="427"/>
    </row>
    <row r="77" spans="1:41" ht="16.5" customHeight="1" collapsed="1">
      <c r="A77" s="336" t="s">
        <v>268</v>
      </c>
      <c r="B77" s="428" t="s">
        <v>1031</v>
      </c>
      <c r="C77" s="539">
        <f ca="1">C75/C76</f>
        <v>-6.9737826736940276</v>
      </c>
      <c r="D77" s="200"/>
      <c r="E77" s="447"/>
      <c r="F77" s="447"/>
      <c r="G77" s="447"/>
      <c r="H77" s="447"/>
      <c r="I77" s="447"/>
      <c r="J77" s="447"/>
      <c r="K77" s="447"/>
      <c r="L77" s="447"/>
      <c r="M77" s="447"/>
      <c r="N77" s="447"/>
      <c r="O77" s="447"/>
      <c r="P77" s="447"/>
      <c r="Q77" s="447"/>
      <c r="R77" s="447"/>
      <c r="S77" s="447"/>
      <c r="T77" s="447"/>
      <c r="U77" s="447"/>
      <c r="V77" s="447"/>
      <c r="W77" s="447"/>
      <c r="X77" s="447"/>
      <c r="Y77" s="447"/>
      <c r="Z77" s="447"/>
      <c r="AA77" s="447"/>
      <c r="AB77" s="447"/>
      <c r="AC77" s="447"/>
      <c r="AD77" s="447"/>
      <c r="AE77" s="447"/>
      <c r="AF77" s="447"/>
      <c r="AG77" s="447"/>
      <c r="AH77" s="447"/>
      <c r="AI77" s="447"/>
      <c r="AJ77" s="427"/>
      <c r="AK77" s="427"/>
      <c r="AL77" s="427"/>
    </row>
    <row r="78" spans="1:41" ht="16.5" customHeight="1">
      <c r="A78"/>
      <c r="B78" s="427"/>
      <c r="C78" s="448"/>
      <c r="D78" s="200"/>
      <c r="E78" s="447"/>
      <c r="F78" s="447"/>
      <c r="G78" s="447"/>
      <c r="H78" s="447"/>
      <c r="I78" s="447"/>
      <c r="J78" s="447"/>
      <c r="K78" s="447"/>
      <c r="L78" s="447"/>
      <c r="M78" s="447"/>
      <c r="N78" s="447"/>
      <c r="O78" s="447"/>
      <c r="P78" s="447"/>
      <c r="Q78" s="447"/>
      <c r="R78" s="447"/>
      <c r="S78" s="447"/>
      <c r="T78" s="447"/>
      <c r="U78" s="447"/>
      <c r="V78" s="447"/>
      <c r="W78" s="447"/>
      <c r="X78" s="447"/>
      <c r="Y78" s="447"/>
      <c r="Z78" s="447"/>
      <c r="AA78" s="447"/>
      <c r="AB78" s="447"/>
      <c r="AC78" s="447"/>
      <c r="AD78" s="447"/>
      <c r="AE78" s="447"/>
      <c r="AF78" s="447"/>
      <c r="AG78" s="447"/>
      <c r="AH78" s="447"/>
      <c r="AI78" s="447"/>
      <c r="AJ78" s="427"/>
      <c r="AK78" s="427"/>
      <c r="AL78" s="427"/>
    </row>
    <row r="79" spans="1:41" ht="16.5" customHeight="1">
      <c r="A79" s="333" t="s">
        <v>275</v>
      </c>
      <c r="B79" s="333" t="s">
        <v>1048</v>
      </c>
      <c r="C79" s="540"/>
      <c r="D79" s="200"/>
      <c r="E79" s="447"/>
      <c r="F79" s="447"/>
      <c r="G79" s="447"/>
      <c r="H79" s="447"/>
      <c r="I79" s="447"/>
      <c r="J79" s="447"/>
      <c r="K79" s="447"/>
      <c r="L79" s="447"/>
      <c r="M79" s="447"/>
      <c r="N79" s="447"/>
      <c r="O79" s="447"/>
      <c r="P79" s="447"/>
      <c r="Q79" s="447"/>
      <c r="R79" s="447"/>
      <c r="S79" s="447"/>
      <c r="T79" s="447"/>
      <c r="U79" s="447"/>
      <c r="V79" s="447"/>
      <c r="W79" s="447"/>
      <c r="X79" s="447"/>
      <c r="Y79" s="447"/>
      <c r="Z79" s="447"/>
      <c r="AA79" s="447"/>
      <c r="AB79" s="447"/>
      <c r="AC79" s="447"/>
      <c r="AD79" s="447"/>
      <c r="AE79" s="447"/>
      <c r="AF79" s="447"/>
      <c r="AG79" s="447"/>
      <c r="AH79" s="447"/>
      <c r="AI79" s="447"/>
      <c r="AJ79" s="427"/>
      <c r="AK79" s="427"/>
      <c r="AL79" s="427"/>
    </row>
    <row r="80" spans="1:41" ht="16.5" hidden="1" customHeight="1" outlineLevel="1">
      <c r="A80" s="326" t="s">
        <v>992</v>
      </c>
      <c r="B80" s="299"/>
      <c r="C80" s="200"/>
      <c r="D80" s="200">
        <f ca="1">利润表!I25</f>
        <v>-199.25122841240608</v>
      </c>
      <c r="E80" s="200">
        <f ca="1">利润表!J25</f>
        <v>167.7204316946341</v>
      </c>
      <c r="F80" s="200">
        <f ca="1">利润表!K25</f>
        <v>114.43447540068274</v>
      </c>
      <c r="G80" s="200">
        <f ca="1">利润表!L25</f>
        <v>23.30179887353469</v>
      </c>
      <c r="H80" s="200">
        <f ca="1">利润表!M25</f>
        <v>-68.072277470160131</v>
      </c>
      <c r="I80" s="200">
        <f ca="1">利润表!N25</f>
        <v>-116.50982662922706</v>
      </c>
      <c r="J80" s="200">
        <f ca="1">利润表!O25</f>
        <v>-132.61471420978478</v>
      </c>
      <c r="K80" s="200">
        <f ca="1">利润表!P25</f>
        <v>-192.227902336265</v>
      </c>
      <c r="L80" s="200">
        <f ca="1">利润表!Q25</f>
        <v>-270.95123946832501</v>
      </c>
      <c r="M80" s="200">
        <f ca="1">利润表!R25</f>
        <v>-355.57103260716667</v>
      </c>
      <c r="N80" s="200">
        <f ca="1">利润表!S25</f>
        <v>-445.40455310117699</v>
      </c>
      <c r="O80" s="200">
        <f ca="1">利润表!T25</f>
        <v>-543.94190504128096</v>
      </c>
      <c r="P80" s="200">
        <f ca="1">利润表!U25</f>
        <v>-661.81788087347741</v>
      </c>
      <c r="Q80" s="200">
        <f ca="1">利润表!V25</f>
        <v>-805.30932042174618</v>
      </c>
      <c r="R80" s="200">
        <f ca="1">利润表!W25</f>
        <v>-971.01761989295107</v>
      </c>
      <c r="S80" s="200">
        <f ca="1">利润表!X25</f>
        <v>-1158.5569820307414</v>
      </c>
      <c r="T80" s="200">
        <f ca="1">利润表!Y25</f>
        <v>-1373.2221657905839</v>
      </c>
      <c r="U80" s="200">
        <f ca="1">利润表!Z25</f>
        <v>-1620.5008144837893</v>
      </c>
      <c r="V80" s="200">
        <f ca="1">利润表!AA25</f>
        <v>-1904.2434554263509</v>
      </c>
      <c r="W80" s="200">
        <f ca="1">利润表!AB25</f>
        <v>-2227.2655621405393</v>
      </c>
      <c r="X80" s="200">
        <f ca="1">利润表!AC25</f>
        <v>-2594.963033080493</v>
      </c>
      <c r="Y80" s="200">
        <f ca="1">利润表!AD25</f>
        <v>-3014.3060906538722</v>
      </c>
      <c r="Z80" s="200">
        <f ca="1">利润表!AE25</f>
        <v>-3492.3501290978529</v>
      </c>
      <c r="AA80" s="200">
        <f ca="1">利润表!AF25</f>
        <v>-4036.4484040582947</v>
      </c>
      <c r="AB80" s="200">
        <f ca="1">利润表!AG25</f>
        <v>-4655.0312093376388</v>
      </c>
      <c r="AC80" s="200">
        <f ca="1">利润表!AH25</f>
        <v>-5358.2161854501946</v>
      </c>
      <c r="AD80" s="200">
        <f ca="1">利润表!AI25</f>
        <v>-6157.5275776604567</v>
      </c>
      <c r="AE80" s="200">
        <f ca="1">利润表!AJ25</f>
        <v>-7065.6732163170827</v>
      </c>
      <c r="AF80" s="200">
        <f ca="1">利润表!AK25</f>
        <v>-8096.7897794803621</v>
      </c>
      <c r="AG80" s="200">
        <f ca="1">利润表!AL25</f>
        <v>-9267.1427440367643</v>
      </c>
      <c r="AH80" s="200"/>
      <c r="AI80" s="200"/>
      <c r="AJ80" s="427"/>
      <c r="AK80" s="427"/>
      <c r="AL80" s="427"/>
    </row>
    <row r="81" spans="1:41" ht="16.5" hidden="1" customHeight="1" outlineLevel="1">
      <c r="A81" s="326" t="s">
        <v>276</v>
      </c>
      <c r="B81" s="299"/>
      <c r="C81" s="200"/>
      <c r="D81" s="200">
        <f>资产负债!H86</f>
        <v>5617.8785541300003</v>
      </c>
      <c r="E81" s="200">
        <f ca="1">资产负债!I86</f>
        <v>5359.5833943675943</v>
      </c>
      <c r="F81" s="200">
        <f ca="1">资产负债!J86</f>
        <v>5468.2598947122278</v>
      </c>
      <c r="G81" s="200">
        <f ca="1">资产负债!K86</f>
        <v>5508.8894559254113</v>
      </c>
      <c r="H81" s="200">
        <f ca="1">资产负债!L86</f>
        <v>5484.2180605770709</v>
      </c>
      <c r="I81" s="200">
        <f ca="1">资产负债!M86</f>
        <v>5356.1792903295673</v>
      </c>
      <c r="J81" s="200">
        <f ca="1">资产负债!N86</f>
        <v>5179.4723305661601</v>
      </c>
      <c r="K81" s="200">
        <f ca="1">资产负债!O86</f>
        <v>4986.372182776151</v>
      </c>
      <c r="L81" s="200">
        <f ca="1">资产负债!P86</f>
        <v>4736.9887170114798</v>
      </c>
      <c r="M81" s="200">
        <f ca="1">资产负债!Q86</f>
        <v>4406.5863218131171</v>
      </c>
      <c r="N81" s="200">
        <f ca="1">资产负债!R86</f>
        <v>3991.6929677377379</v>
      </c>
      <c r="O81" s="200">
        <f ca="1">资产负债!S86</f>
        <v>3487.1847960848413</v>
      </c>
      <c r="P81" s="200">
        <f ca="1">资产负债!T86</f>
        <v>2884.4847262489666</v>
      </c>
      <c r="Q81" s="200">
        <f ca="1">资产负债!U86</f>
        <v>2163.5080302393476</v>
      </c>
      <c r="R81" s="200">
        <f ca="1">资产负债!V86</f>
        <v>1299.1129798299344</v>
      </c>
      <c r="S81" s="200">
        <f ca="1">资产负债!W86</f>
        <v>269.06877781945263</v>
      </c>
      <c r="T81" s="200">
        <f ca="1">资产负债!X86</f>
        <v>-948.49552722027192</v>
      </c>
      <c r="U81" s="200">
        <f ca="1">资产负债!Y86</f>
        <v>-2380.7873055734367</v>
      </c>
      <c r="V81" s="200">
        <f ca="1">资产负债!Z86</f>
        <v>-4060.3354319764162</v>
      </c>
      <c r="W81" s="200">
        <f ca="1">资产负债!AA86</f>
        <v>-6023.6165948048374</v>
      </c>
      <c r="X81" s="200">
        <f ca="1">资产负债!AB86</f>
        <v>-8309.9226456685847</v>
      </c>
      <c r="Y81" s="200">
        <f ca="1">资产负债!AC86</f>
        <v>-10963.93445890084</v>
      </c>
      <c r="Z81" s="200">
        <f ca="1">资产负债!AD86</f>
        <v>-14037.284121603767</v>
      </c>
      <c r="AA81" s="200">
        <f ca="1">资产负债!AE86</f>
        <v>-17588.676887783146</v>
      </c>
      <c r="AB81" s="200">
        <f ca="1">资产负债!AF86</f>
        <v>-21684.169161342827</v>
      </c>
      <c r="AC81" s="200">
        <f ca="1">资产负债!AG86</f>
        <v>-26398.245085376402</v>
      </c>
      <c r="AD81" s="200">
        <f ca="1">资产负债!AH86</f>
        <v>-31815.50496915857</v>
      </c>
      <c r="AE81" s="200">
        <f ca="1">资产负债!AI86</f>
        <v>-38032.076276721731</v>
      </c>
      <c r="AF81" s="200">
        <f ca="1">资产负债!AJ86</f>
        <v>-45156.793496146813</v>
      </c>
      <c r="AG81" s="200">
        <f ca="1">资产负债!AK86</f>
        <v>-53312.627312136829</v>
      </c>
      <c r="AH81" s="200"/>
      <c r="AI81" s="200"/>
      <c r="AJ81" s="427"/>
      <c r="AK81" s="427"/>
      <c r="AL81" s="427"/>
    </row>
    <row r="82" spans="1:41" ht="16.5" hidden="1" customHeight="1" outlineLevel="1">
      <c r="A82" s="336" t="s">
        <v>277</v>
      </c>
      <c r="B82" s="428" t="s">
        <v>1031</v>
      </c>
      <c r="C82" s="200"/>
      <c r="D82" s="200">
        <f t="shared" ref="D82:AG82" ca="1" si="32">D80-D81*D13</f>
        <v>-794.74635515018622</v>
      </c>
      <c r="E82" s="200">
        <f t="shared" ca="1" si="32"/>
        <v>-400.39540810833097</v>
      </c>
      <c r="F82" s="200">
        <f t="shared" ca="1" si="32"/>
        <v>-465.20107343881347</v>
      </c>
      <c r="G82" s="200">
        <f t="shared" ca="1" si="32"/>
        <v>-560.64048345455899</v>
      </c>
      <c r="H82" s="200">
        <f t="shared" ca="1" si="32"/>
        <v>-649.39939189132963</v>
      </c>
      <c r="I82" s="200">
        <f t="shared" ca="1" si="32"/>
        <v>-684.26483140416121</v>
      </c>
      <c r="J82" s="200">
        <f t="shared" ca="1" si="32"/>
        <v>-681.63878124979783</v>
      </c>
      <c r="K82" s="200">
        <f t="shared" ca="1" si="32"/>
        <v>-720.78335371053709</v>
      </c>
      <c r="L82" s="200">
        <f t="shared" ca="1" si="32"/>
        <v>-773.07204347154197</v>
      </c>
      <c r="M82" s="200">
        <f t="shared" ca="1" si="32"/>
        <v>-822.6691827193572</v>
      </c>
      <c r="N82" s="200">
        <f t="shared" ca="1" si="32"/>
        <v>-868.52400768137727</v>
      </c>
      <c r="O82" s="200">
        <f t="shared" ca="1" si="32"/>
        <v>-913.58349342627412</v>
      </c>
      <c r="P82" s="200">
        <f t="shared" ca="1" si="32"/>
        <v>-967.57326185586794</v>
      </c>
      <c r="Q82" s="200">
        <f t="shared" ca="1" si="32"/>
        <v>-1034.641171627117</v>
      </c>
      <c r="R82" s="200">
        <f t="shared" ca="1" si="32"/>
        <v>-1108.7235957549242</v>
      </c>
      <c r="S82" s="200">
        <f t="shared" ca="1" si="32"/>
        <v>-1187.0782724796034</v>
      </c>
      <c r="T82" s="200">
        <f t="shared" ca="1" si="32"/>
        <v>-1272.681639905235</v>
      </c>
      <c r="U82" s="200">
        <f t="shared" ca="1" si="32"/>
        <v>-1368.1373600930051</v>
      </c>
      <c r="V82" s="200">
        <f t="shared" ca="1" si="32"/>
        <v>-1473.8478996368508</v>
      </c>
      <c r="W82" s="200">
        <f t="shared" ca="1" si="32"/>
        <v>-1588.7622030912264</v>
      </c>
      <c r="X82" s="200">
        <f t="shared" ca="1" si="32"/>
        <v>-1714.1112326396228</v>
      </c>
      <c r="Y82" s="200">
        <f t="shared" ca="1" si="32"/>
        <v>-1852.1290380103831</v>
      </c>
      <c r="Z82" s="200">
        <f t="shared" ca="1" si="32"/>
        <v>-2004.3980122078535</v>
      </c>
      <c r="AA82" s="200">
        <f t="shared" ca="1" si="32"/>
        <v>-2172.0486539532812</v>
      </c>
      <c r="AB82" s="200">
        <f t="shared" ca="1" si="32"/>
        <v>-2356.509278235299</v>
      </c>
      <c r="AC82" s="200">
        <f t="shared" ca="1" si="32"/>
        <v>-2560.0022064002956</v>
      </c>
      <c r="AD82" s="200">
        <f t="shared" ca="1" si="32"/>
        <v>-2785.0840509296481</v>
      </c>
      <c r="AE82" s="200">
        <f t="shared" ca="1" si="32"/>
        <v>-3034.273130984579</v>
      </c>
      <c r="AF82" s="200">
        <f t="shared" ca="1" si="32"/>
        <v>-3310.1696688887996</v>
      </c>
      <c r="AG82" s="200">
        <f t="shared" ca="1" si="32"/>
        <v>-3616.0042489502603</v>
      </c>
      <c r="AH82" s="200"/>
      <c r="AI82" s="200"/>
      <c r="AJ82" s="427"/>
      <c r="AK82" s="427"/>
      <c r="AL82" s="427"/>
    </row>
    <row r="83" spans="1:41" s="105" customFormat="1" ht="16.5" hidden="1" customHeight="1" outlineLevel="1">
      <c r="A83" s="702" t="s">
        <v>1337</v>
      </c>
      <c r="B83" s="428"/>
      <c r="C83" s="200"/>
      <c r="D83" s="200">
        <f ca="1">IF($B2&gt;0,F82*(1+$B$3),0)</f>
        <v>-511.72118078269483</v>
      </c>
      <c r="E83" s="200">
        <f ca="1">IF($B$2-(LEFT(E$10,4)-LEFT($D$10,4))&gt;0,D83*(1+$B$3)," ")</f>
        <v>-562.89329886096436</v>
      </c>
      <c r="F83" s="200">
        <f t="shared" ref="F83:AG83" ca="1" si="33">IF($B$2-(LEFT(F$10,4)-LEFT($D$10,4))&gt;0,E83*(1+$B$3)," ")</f>
        <v>-619.1826287470609</v>
      </c>
      <c r="G83" s="200">
        <f t="shared" ca="1" si="33"/>
        <v>-681.100891621767</v>
      </c>
      <c r="H83" s="200">
        <f t="shared" ca="1" si="33"/>
        <v>-749.2109807839438</v>
      </c>
      <c r="I83" s="200">
        <f t="shared" ca="1" si="33"/>
        <v>-824.13207886233829</v>
      </c>
      <c r="J83" s="200" t="str">
        <f t="shared" si="33"/>
        <v xml:space="preserve"> </v>
      </c>
      <c r="K83" s="200" t="str">
        <f t="shared" si="33"/>
        <v xml:space="preserve"> </v>
      </c>
      <c r="L83" s="200" t="str">
        <f t="shared" si="33"/>
        <v xml:space="preserve"> </v>
      </c>
      <c r="M83" s="200" t="str">
        <f t="shared" si="33"/>
        <v xml:space="preserve"> </v>
      </c>
      <c r="N83" s="200" t="str">
        <f t="shared" si="33"/>
        <v xml:space="preserve"> </v>
      </c>
      <c r="O83" s="200" t="str">
        <f t="shared" si="33"/>
        <v xml:space="preserve"> </v>
      </c>
      <c r="P83" s="200" t="str">
        <f t="shared" si="33"/>
        <v xml:space="preserve"> </v>
      </c>
      <c r="Q83" s="200" t="str">
        <f t="shared" si="33"/>
        <v xml:space="preserve"> </v>
      </c>
      <c r="R83" s="200" t="str">
        <f t="shared" si="33"/>
        <v xml:space="preserve"> </v>
      </c>
      <c r="S83" s="200" t="str">
        <f t="shared" si="33"/>
        <v xml:space="preserve"> </v>
      </c>
      <c r="T83" s="200" t="str">
        <f t="shared" si="33"/>
        <v xml:space="preserve"> </v>
      </c>
      <c r="U83" s="200" t="str">
        <f t="shared" si="33"/>
        <v xml:space="preserve"> </v>
      </c>
      <c r="V83" s="200" t="str">
        <f t="shared" si="33"/>
        <v xml:space="preserve"> </v>
      </c>
      <c r="W83" s="200" t="str">
        <f t="shared" si="33"/>
        <v xml:space="preserve"> </v>
      </c>
      <c r="X83" s="200" t="str">
        <f t="shared" si="33"/>
        <v xml:space="preserve"> </v>
      </c>
      <c r="Y83" s="200" t="str">
        <f t="shared" si="33"/>
        <v xml:space="preserve"> </v>
      </c>
      <c r="Z83" s="200" t="str">
        <f t="shared" si="33"/>
        <v xml:space="preserve"> </v>
      </c>
      <c r="AA83" s="200" t="str">
        <f t="shared" si="33"/>
        <v xml:space="preserve"> </v>
      </c>
      <c r="AB83" s="200" t="str">
        <f t="shared" si="33"/>
        <v xml:space="preserve"> </v>
      </c>
      <c r="AC83" s="200" t="str">
        <f t="shared" si="33"/>
        <v xml:space="preserve"> </v>
      </c>
      <c r="AD83" s="200" t="str">
        <f t="shared" si="33"/>
        <v xml:space="preserve"> </v>
      </c>
      <c r="AE83" s="200" t="str">
        <f t="shared" si="33"/>
        <v xml:space="preserve"> </v>
      </c>
      <c r="AF83" s="200" t="str">
        <f t="shared" si="33"/>
        <v xml:space="preserve"> </v>
      </c>
      <c r="AG83" s="200" t="str">
        <f t="shared" si="33"/>
        <v xml:space="preserve"> </v>
      </c>
      <c r="AH83" s="200"/>
      <c r="AI83" s="447"/>
      <c r="AJ83" s="427"/>
      <c r="AK83" s="427"/>
      <c r="AL83" s="427"/>
    </row>
    <row r="84" spans="1:41" s="105" customFormat="1" ht="16.5" hidden="1" customHeight="1" outlineLevel="1">
      <c r="A84" s="702" t="s">
        <v>1338</v>
      </c>
      <c r="B84" s="299"/>
      <c r="C84" s="200">
        <f ca="1">D82+NPV(B13,E82:F82)</f>
        <v>-1537.0711353288496</v>
      </c>
      <c r="D84" s="200"/>
      <c r="E84" s="200"/>
      <c r="F84" s="200"/>
      <c r="G84" s="200"/>
      <c r="H84" s="200"/>
      <c r="I84" s="200"/>
      <c r="J84" s="200"/>
      <c r="K84" s="200"/>
      <c r="L84" s="200"/>
      <c r="M84" s="200"/>
      <c r="N84" s="200"/>
      <c r="O84" s="200"/>
      <c r="P84" s="200"/>
      <c r="Q84" s="200"/>
      <c r="R84" s="200"/>
      <c r="S84" s="200"/>
      <c r="T84" s="200"/>
      <c r="U84" s="200"/>
      <c r="V84" s="200"/>
      <c r="W84" s="200"/>
      <c r="X84" s="200"/>
      <c r="Y84" s="200"/>
      <c r="Z84" s="200"/>
      <c r="AA84" s="200"/>
      <c r="AB84" s="200"/>
      <c r="AC84" s="200"/>
      <c r="AD84" s="200"/>
      <c r="AE84" s="200"/>
      <c r="AF84" s="200"/>
      <c r="AG84" s="200"/>
      <c r="AH84" s="200"/>
      <c r="AI84" s="447"/>
      <c r="AJ84" s="427"/>
      <c r="AK84" s="427"/>
      <c r="AL84" s="427"/>
    </row>
    <row r="85" spans="1:41" s="105" customFormat="1" ht="16.5" hidden="1" customHeight="1" outlineLevel="1">
      <c r="A85" s="702" t="s">
        <v>1339</v>
      </c>
      <c r="B85" s="299"/>
      <c r="C85" s="200">
        <f ca="1">IF(B2=0,0,NPV(B13,D83:I83)/(1+B13)^(目录!C9-1))</f>
        <v>-2238.8855800891783</v>
      </c>
      <c r="D85" s="200"/>
      <c r="E85" s="200"/>
      <c r="F85" s="200"/>
      <c r="G85" s="200"/>
      <c r="H85" s="200"/>
      <c r="I85" s="200"/>
      <c r="J85" s="200"/>
      <c r="K85" s="200"/>
      <c r="L85" s="200"/>
      <c r="M85" s="200"/>
      <c r="N85" s="200"/>
      <c r="O85" s="200"/>
      <c r="P85" s="200"/>
      <c r="Q85" s="200"/>
      <c r="R85" s="200"/>
      <c r="S85" s="200"/>
      <c r="T85" s="200"/>
      <c r="U85" s="200"/>
      <c r="V85" s="200"/>
      <c r="W85" s="200"/>
      <c r="X85" s="200"/>
      <c r="Y85" s="200"/>
      <c r="Z85" s="200"/>
      <c r="AA85" s="200"/>
      <c r="AB85" s="200"/>
      <c r="AC85" s="200"/>
      <c r="AD85" s="200"/>
      <c r="AE85" s="200"/>
      <c r="AF85" s="200"/>
      <c r="AG85" s="200"/>
      <c r="AH85" s="200"/>
      <c r="AI85" s="200"/>
      <c r="AJ85" s="200"/>
      <c r="AK85" s="200"/>
      <c r="AL85" s="200"/>
      <c r="AM85" s="200"/>
      <c r="AN85" s="200"/>
      <c r="AO85" s="200"/>
    </row>
    <row r="86" spans="1:41" s="105" customFormat="1" ht="16.5" hidden="1" customHeight="1" outlineLevel="1">
      <c r="A86" s="702" t="s">
        <v>1340</v>
      </c>
      <c r="B86" s="299"/>
      <c r="C86" s="200">
        <f ca="1">F82*POWER((1+$B$3),B2)*(1+$B$4)/POWER((1+$B$13),目录!C9+B2-1)/(B13-$B$4)</f>
        <v>-4988.6086543476185</v>
      </c>
      <c r="D86" s="200"/>
      <c r="E86" s="200"/>
      <c r="F86" s="200"/>
      <c r="G86" s="200"/>
      <c r="H86" s="200"/>
      <c r="I86" s="200"/>
      <c r="J86" s="200"/>
      <c r="K86" s="200"/>
      <c r="L86" s="200"/>
      <c r="M86" s="200"/>
      <c r="N86" s="200"/>
      <c r="O86" s="200"/>
      <c r="P86" s="200"/>
      <c r="Q86" s="200"/>
      <c r="R86" s="200"/>
      <c r="S86" s="200"/>
      <c r="T86" s="200"/>
      <c r="U86" s="200"/>
      <c r="V86" s="200"/>
      <c r="W86" s="200"/>
      <c r="X86" s="200"/>
      <c r="Y86" s="200"/>
      <c r="Z86" s="200"/>
      <c r="AA86" s="200"/>
      <c r="AB86" s="200"/>
      <c r="AC86" s="200"/>
      <c r="AD86" s="200"/>
      <c r="AE86" s="200"/>
      <c r="AF86" s="200"/>
      <c r="AG86" s="200"/>
      <c r="AH86" s="200"/>
      <c r="AI86" s="447"/>
      <c r="AJ86" s="427"/>
      <c r="AK86" s="427"/>
      <c r="AL86" s="427"/>
    </row>
    <row r="87" spans="1:41" ht="16.5" hidden="1" customHeight="1" outlineLevel="1">
      <c r="A87" s="319" t="s">
        <v>278</v>
      </c>
      <c r="B87" s="428" t="s">
        <v>1031</v>
      </c>
      <c r="C87" s="200">
        <f ca="1">C84+C85+C86</f>
        <v>-8764.5653697656453</v>
      </c>
      <c r="D87" s="200"/>
      <c r="E87" s="200"/>
      <c r="F87" s="200"/>
      <c r="G87" s="200"/>
      <c r="H87" s="200"/>
      <c r="I87" s="200"/>
      <c r="J87" s="200"/>
      <c r="K87" s="200"/>
      <c r="L87" s="200"/>
      <c r="M87" s="200"/>
      <c r="N87" s="200"/>
      <c r="O87" s="200"/>
      <c r="P87" s="200"/>
      <c r="Q87" s="200"/>
      <c r="R87" s="200"/>
      <c r="S87" s="200"/>
      <c r="T87" s="200"/>
      <c r="U87" s="200"/>
      <c r="V87" s="200"/>
      <c r="W87" s="200"/>
      <c r="X87" s="200"/>
      <c r="Y87" s="200"/>
      <c r="Z87" s="200"/>
      <c r="AA87" s="200"/>
      <c r="AB87" s="200"/>
      <c r="AC87" s="200"/>
      <c r="AD87" s="200"/>
      <c r="AE87" s="200"/>
      <c r="AF87" s="200"/>
      <c r="AG87" s="200"/>
      <c r="AH87" s="200"/>
      <c r="AI87" s="200"/>
      <c r="AJ87" s="427"/>
      <c r="AK87" s="427"/>
      <c r="AL87" s="427"/>
    </row>
    <row r="88" spans="1:41" ht="16.5" hidden="1" customHeight="1" outlineLevel="1">
      <c r="A88" s="334" t="s">
        <v>279</v>
      </c>
      <c r="B88" s="428"/>
      <c r="C88" s="200">
        <f>D81</f>
        <v>5617.8785541300003</v>
      </c>
      <c r="D88" s="200"/>
      <c r="E88" s="200"/>
      <c r="F88" s="200"/>
      <c r="G88" s="200"/>
      <c r="H88" s="200"/>
      <c r="I88" s="200"/>
      <c r="J88" s="200"/>
      <c r="K88" s="200"/>
      <c r="L88" s="200"/>
      <c r="M88" s="200"/>
      <c r="N88" s="200"/>
      <c r="O88" s="200"/>
      <c r="P88" s="200"/>
      <c r="Q88" s="200"/>
      <c r="R88" s="200"/>
      <c r="S88" s="200"/>
      <c r="T88" s="200"/>
      <c r="U88" s="200"/>
      <c r="V88" s="200"/>
      <c r="W88" s="200"/>
      <c r="X88" s="200"/>
      <c r="Y88" s="200"/>
      <c r="Z88" s="200"/>
      <c r="AA88" s="200"/>
      <c r="AB88" s="200"/>
      <c r="AC88" s="200"/>
      <c r="AD88" s="200"/>
      <c r="AE88" s="200"/>
      <c r="AF88" s="200"/>
      <c r="AG88" s="200"/>
      <c r="AH88" s="200"/>
      <c r="AI88" s="200"/>
      <c r="AJ88" s="427"/>
      <c r="AK88" s="427"/>
      <c r="AL88" s="427"/>
    </row>
    <row r="89" spans="1:41" ht="16.5" hidden="1" customHeight="1" outlineLevel="1">
      <c r="A89" s="334" t="s">
        <v>259</v>
      </c>
      <c r="B89" s="428"/>
      <c r="C89" s="200">
        <f ca="1">C74</f>
        <v>1.0948822408591112</v>
      </c>
      <c r="D89" s="200"/>
      <c r="E89" s="200"/>
      <c r="F89" s="200"/>
      <c r="G89" s="200"/>
      <c r="H89" s="200"/>
      <c r="I89" s="200"/>
      <c r="J89" s="200"/>
      <c r="K89" s="200"/>
      <c r="L89" s="200"/>
      <c r="M89" s="200"/>
      <c r="N89" s="200"/>
      <c r="O89" s="200"/>
      <c r="P89" s="200"/>
      <c r="Q89" s="200"/>
      <c r="R89" s="200"/>
      <c r="S89" s="200"/>
      <c r="T89" s="200"/>
      <c r="U89" s="200"/>
      <c r="V89" s="200"/>
      <c r="W89" s="200"/>
      <c r="X89" s="200"/>
      <c r="Y89" s="200"/>
      <c r="Z89" s="200"/>
      <c r="AA89" s="200"/>
      <c r="AB89" s="200"/>
      <c r="AC89" s="200"/>
      <c r="AD89" s="200"/>
      <c r="AE89" s="200"/>
      <c r="AF89" s="200"/>
      <c r="AG89" s="200"/>
      <c r="AH89" s="200"/>
      <c r="AI89" s="200"/>
      <c r="AJ89" s="427"/>
      <c r="AK89" s="427"/>
      <c r="AL89" s="427"/>
    </row>
    <row r="90" spans="1:41" ht="16.5" hidden="1" customHeight="1" outlineLevel="1">
      <c r="A90" s="337" t="s">
        <v>274</v>
      </c>
      <c r="B90" s="428" t="s">
        <v>1031</v>
      </c>
      <c r="C90" s="200">
        <f ca="1">C87+C88-C89</f>
        <v>-3147.781697876504</v>
      </c>
      <c r="D90" s="200"/>
      <c r="E90" s="200"/>
      <c r="F90" s="200"/>
      <c r="G90" s="200"/>
      <c r="H90" s="200"/>
      <c r="I90" s="200"/>
      <c r="J90" s="200"/>
      <c r="K90" s="200"/>
      <c r="L90" s="200"/>
      <c r="M90" s="200"/>
      <c r="N90" s="200"/>
      <c r="O90" s="200"/>
      <c r="P90" s="200"/>
      <c r="Q90" s="200"/>
      <c r="R90" s="200"/>
      <c r="S90" s="200"/>
      <c r="T90" s="200"/>
      <c r="U90" s="200"/>
      <c r="V90" s="200"/>
      <c r="W90" s="200"/>
      <c r="X90" s="200"/>
      <c r="Y90" s="200"/>
      <c r="Z90" s="200"/>
      <c r="AA90" s="200"/>
      <c r="AB90" s="200"/>
      <c r="AC90" s="200"/>
      <c r="AD90" s="200"/>
      <c r="AE90" s="200"/>
      <c r="AF90" s="200"/>
      <c r="AG90" s="200"/>
      <c r="AH90" s="200"/>
      <c r="AI90" s="200"/>
      <c r="AJ90" s="427"/>
      <c r="AK90" s="427"/>
      <c r="AL90" s="427"/>
    </row>
    <row r="91" spans="1:41" ht="16.5" hidden="1" customHeight="1" outlineLevel="1">
      <c r="A91" s="334" t="s">
        <v>265</v>
      </c>
      <c r="B91" s="299"/>
      <c r="C91" s="200">
        <f>C76</f>
        <v>1177.2865629999999</v>
      </c>
      <c r="D91" s="200"/>
      <c r="E91" s="200"/>
      <c r="F91" s="200"/>
      <c r="G91" s="200"/>
      <c r="H91" s="200"/>
      <c r="I91" s="200"/>
      <c r="J91" s="200"/>
      <c r="K91" s="200"/>
      <c r="L91" s="200"/>
      <c r="M91" s="200"/>
      <c r="N91" s="200"/>
      <c r="O91" s="200"/>
      <c r="P91" s="200"/>
      <c r="Q91" s="200"/>
      <c r="R91" s="200"/>
      <c r="S91" s="200"/>
      <c r="T91" s="200"/>
      <c r="U91" s="200"/>
      <c r="V91" s="200"/>
      <c r="W91" s="200"/>
      <c r="X91" s="200"/>
      <c r="Y91" s="200"/>
      <c r="Z91" s="200"/>
      <c r="AA91" s="200"/>
      <c r="AB91" s="200"/>
      <c r="AC91" s="200"/>
      <c r="AD91" s="200"/>
      <c r="AE91" s="200"/>
      <c r="AF91" s="200"/>
      <c r="AG91" s="200"/>
      <c r="AH91" s="200"/>
      <c r="AI91" s="200"/>
      <c r="AJ91" s="427"/>
      <c r="AK91" s="427"/>
      <c r="AL91" s="427"/>
    </row>
    <row r="92" spans="1:41" ht="16.5" customHeight="1" collapsed="1">
      <c r="A92" s="336" t="s">
        <v>268</v>
      </c>
      <c r="B92" s="428" t="s">
        <v>1031</v>
      </c>
      <c r="C92" s="539">
        <f ca="1">C90/C91</f>
        <v>-2.6737599806246188</v>
      </c>
      <c r="D92" s="448"/>
      <c r="E92" s="200"/>
      <c r="F92" s="447"/>
      <c r="G92" s="447"/>
      <c r="H92" s="447"/>
      <c r="I92" s="447"/>
      <c r="J92" s="447"/>
      <c r="K92" s="447"/>
      <c r="L92" s="447"/>
      <c r="M92" s="447"/>
      <c r="N92" s="447"/>
      <c r="O92" s="447"/>
      <c r="P92" s="447"/>
      <c r="Q92" s="447"/>
      <c r="R92" s="447"/>
      <c r="S92" s="447"/>
      <c r="T92" s="447"/>
      <c r="U92" s="447"/>
      <c r="V92" s="447"/>
      <c r="W92" s="447"/>
      <c r="X92" s="447"/>
      <c r="Y92" s="447"/>
      <c r="Z92" s="447"/>
      <c r="AA92" s="447"/>
      <c r="AB92" s="447"/>
      <c r="AC92" s="447"/>
      <c r="AD92" s="447"/>
      <c r="AE92" s="447"/>
      <c r="AF92" s="447"/>
      <c r="AG92" s="447"/>
      <c r="AH92" s="447"/>
      <c r="AI92" s="447"/>
      <c r="AJ92" s="427"/>
      <c r="AK92" s="427"/>
      <c r="AL92" s="427"/>
    </row>
    <row r="93" spans="1:41" ht="16.5" customHeight="1">
      <c r="A93" s="336"/>
      <c r="B93" s="428"/>
      <c r="C93" s="448"/>
      <c r="D93" s="448"/>
      <c r="E93" s="200"/>
      <c r="F93" s="447"/>
      <c r="G93" s="447"/>
      <c r="H93" s="447"/>
      <c r="I93" s="447"/>
      <c r="J93" s="447"/>
      <c r="K93" s="447"/>
      <c r="L93" s="447"/>
      <c r="M93" s="447"/>
      <c r="N93" s="447"/>
      <c r="O93" s="447"/>
      <c r="P93" s="447"/>
      <c r="Q93" s="447"/>
      <c r="R93" s="447"/>
      <c r="S93" s="447"/>
      <c r="T93" s="447"/>
      <c r="U93" s="447"/>
      <c r="V93" s="447"/>
      <c r="W93" s="447"/>
      <c r="X93" s="447"/>
      <c r="Y93" s="447"/>
      <c r="Z93" s="447"/>
      <c r="AA93" s="447"/>
      <c r="AB93" s="447"/>
      <c r="AC93" s="447"/>
      <c r="AD93" s="447"/>
      <c r="AE93" s="447"/>
      <c r="AF93" s="447"/>
      <c r="AG93" s="447"/>
      <c r="AH93" s="447"/>
      <c r="AI93" s="447"/>
      <c r="AJ93" s="427"/>
      <c r="AK93" s="427"/>
      <c r="AL93" s="427"/>
    </row>
    <row r="94" spans="1:41" ht="16.5" customHeight="1">
      <c r="A94" s="336"/>
      <c r="B94" s="428"/>
      <c r="C94" s="448"/>
      <c r="D94" s="448"/>
      <c r="E94" s="200"/>
      <c r="F94" s="447"/>
      <c r="G94" s="447"/>
      <c r="H94" s="447"/>
      <c r="I94" s="447"/>
      <c r="J94" s="447"/>
      <c r="K94" s="447"/>
      <c r="L94" s="447"/>
      <c r="M94" s="447"/>
      <c r="N94" s="447"/>
      <c r="O94" s="447"/>
      <c r="P94" s="447"/>
      <c r="Q94" s="447"/>
      <c r="R94" s="447"/>
      <c r="S94" s="447"/>
      <c r="T94" s="447"/>
      <c r="U94" s="447"/>
      <c r="V94" s="447"/>
      <c r="W94" s="447"/>
      <c r="X94" s="447"/>
      <c r="Y94" s="447"/>
      <c r="Z94" s="447"/>
      <c r="AA94" s="447"/>
      <c r="AB94" s="447"/>
      <c r="AC94" s="447"/>
      <c r="AD94" s="447"/>
      <c r="AE94" s="447"/>
      <c r="AF94" s="447"/>
      <c r="AG94" s="447"/>
      <c r="AH94" s="447"/>
      <c r="AI94" s="447"/>
      <c r="AJ94" s="427"/>
      <c r="AK94" s="427"/>
      <c r="AL94" s="427"/>
    </row>
    <row r="95" spans="1:41" ht="16.5" customHeight="1">
      <c r="A95" s="336"/>
      <c r="B95" s="428"/>
      <c r="C95" s="448"/>
      <c r="D95" s="448"/>
      <c r="E95" s="200"/>
      <c r="F95" s="447"/>
      <c r="G95" s="447"/>
      <c r="H95" s="447"/>
      <c r="I95" s="447"/>
      <c r="J95" s="447"/>
      <c r="K95" s="447"/>
      <c r="L95" s="447"/>
      <c r="M95" s="447"/>
      <c r="N95" s="447"/>
      <c r="O95" s="447"/>
      <c r="P95" s="447"/>
      <c r="Q95" s="447"/>
      <c r="R95" s="447"/>
      <c r="S95" s="447"/>
      <c r="T95" s="447"/>
      <c r="U95" s="447"/>
      <c r="V95" s="447"/>
      <c r="W95" s="447"/>
      <c r="X95" s="447"/>
      <c r="Y95" s="447"/>
      <c r="Z95" s="447"/>
      <c r="AA95" s="447"/>
      <c r="AB95" s="447"/>
      <c r="AC95" s="447"/>
      <c r="AD95" s="447"/>
      <c r="AE95" s="447"/>
      <c r="AF95" s="447"/>
      <c r="AG95" s="447"/>
      <c r="AH95" s="447"/>
      <c r="AI95" s="447"/>
      <c r="AJ95" s="427"/>
      <c r="AK95" s="427"/>
      <c r="AL95" s="427"/>
    </row>
    <row r="96" spans="1:41" ht="16.5" customHeight="1">
      <c r="A96" s="336"/>
      <c r="B96" s="209"/>
      <c r="C96" s="448"/>
      <c r="D96" s="448"/>
      <c r="E96" s="200"/>
      <c r="F96" s="447"/>
      <c r="G96" s="447"/>
      <c r="H96" s="447"/>
      <c r="I96" s="447"/>
      <c r="J96" s="447"/>
      <c r="K96" s="447"/>
      <c r="L96" s="447"/>
      <c r="M96" s="447"/>
      <c r="N96" s="447"/>
      <c r="O96" s="447"/>
      <c r="P96" s="447"/>
      <c r="Q96" s="447"/>
      <c r="R96" s="447"/>
      <c r="S96" s="447"/>
      <c r="T96" s="447"/>
      <c r="U96" s="447"/>
      <c r="V96" s="447"/>
      <c r="W96" s="447"/>
      <c r="X96" s="447"/>
      <c r="Y96" s="447"/>
      <c r="Z96" s="447"/>
      <c r="AA96" s="447"/>
      <c r="AB96" s="447"/>
      <c r="AC96" s="447"/>
      <c r="AD96" s="447"/>
      <c r="AE96" s="447"/>
      <c r="AF96" s="447"/>
      <c r="AG96" s="447"/>
      <c r="AH96" s="447"/>
      <c r="AI96" s="447"/>
      <c r="AJ96" s="427"/>
    </row>
    <row r="97" spans="3:35">
      <c r="C97" s="16"/>
      <c r="D97" s="16"/>
      <c r="E97" s="16"/>
      <c r="F97" s="16"/>
      <c r="G97" s="16"/>
      <c r="H97" s="449"/>
      <c r="I97" s="449"/>
      <c r="J97" s="449"/>
      <c r="K97" s="449"/>
      <c r="L97" s="449"/>
      <c r="M97" s="449"/>
      <c r="N97" s="450"/>
      <c r="O97" s="450"/>
      <c r="P97" s="450"/>
      <c r="Q97" s="450"/>
      <c r="R97" s="450"/>
      <c r="S97" s="450"/>
      <c r="T97" s="450"/>
      <c r="U97" s="450"/>
      <c r="V97" s="450"/>
      <c r="W97" s="450"/>
      <c r="X97" s="450"/>
      <c r="Y97" s="450"/>
      <c r="Z97" s="450"/>
      <c r="AA97" s="450"/>
      <c r="AB97" s="450"/>
      <c r="AC97" s="450"/>
      <c r="AD97" s="450"/>
      <c r="AE97" s="450"/>
      <c r="AF97" s="450"/>
      <c r="AG97" s="450"/>
      <c r="AH97" s="450"/>
      <c r="AI97" s="450"/>
    </row>
    <row r="98" spans="3:35">
      <c r="C98" s="16"/>
      <c r="D98" s="16"/>
      <c r="E98" s="16"/>
      <c r="F98" s="16"/>
      <c r="G98" s="16"/>
      <c r="H98" s="449"/>
      <c r="I98" s="449"/>
      <c r="J98" s="449"/>
      <c r="K98" s="449"/>
      <c r="L98" s="449"/>
      <c r="M98" s="449"/>
      <c r="N98" s="450"/>
      <c r="O98" s="450"/>
      <c r="P98" s="450"/>
      <c r="Q98" s="450"/>
      <c r="R98" s="450"/>
      <c r="S98" s="450"/>
      <c r="T98" s="450"/>
      <c r="U98" s="450"/>
      <c r="V98" s="450"/>
      <c r="W98" s="450"/>
      <c r="X98" s="450"/>
      <c r="Y98" s="450"/>
      <c r="Z98" s="450"/>
      <c r="AA98" s="450"/>
      <c r="AB98" s="450"/>
      <c r="AC98" s="450"/>
      <c r="AD98" s="450"/>
      <c r="AE98" s="450"/>
      <c r="AF98" s="450"/>
      <c r="AG98" s="450"/>
      <c r="AH98" s="450"/>
      <c r="AI98" s="450"/>
    </row>
    <row r="99" spans="3:35">
      <c r="C99" s="16"/>
      <c r="D99" s="16"/>
      <c r="E99" s="16"/>
      <c r="F99" s="16"/>
      <c r="G99" s="16"/>
      <c r="H99" s="449"/>
      <c r="I99" s="449"/>
      <c r="J99" s="449"/>
      <c r="K99" s="449"/>
      <c r="L99" s="449"/>
      <c r="M99" s="449"/>
      <c r="N99" s="450"/>
      <c r="O99" s="450"/>
      <c r="P99" s="450"/>
      <c r="Q99" s="450"/>
      <c r="R99" s="450"/>
      <c r="S99" s="450"/>
      <c r="T99" s="450"/>
      <c r="U99" s="450"/>
      <c r="V99" s="450"/>
      <c r="W99" s="450"/>
      <c r="X99" s="450"/>
      <c r="Y99" s="450"/>
      <c r="Z99" s="450"/>
      <c r="AA99" s="450"/>
      <c r="AB99" s="450"/>
      <c r="AC99" s="450"/>
      <c r="AD99" s="450"/>
      <c r="AE99" s="450"/>
      <c r="AF99" s="450"/>
      <c r="AG99" s="450"/>
      <c r="AH99" s="450"/>
      <c r="AI99" s="450"/>
    </row>
    <row r="100" spans="3:35">
      <c r="C100" s="16"/>
      <c r="D100" s="16"/>
      <c r="E100" s="16"/>
      <c r="F100" s="16"/>
      <c r="G100" s="16"/>
      <c r="H100" s="449"/>
      <c r="I100" s="449"/>
      <c r="J100" s="449"/>
      <c r="K100" s="449"/>
      <c r="L100" s="449"/>
      <c r="M100" s="449"/>
      <c r="N100" s="450"/>
      <c r="O100" s="450"/>
      <c r="P100" s="450"/>
      <c r="Q100" s="450"/>
      <c r="R100" s="450"/>
      <c r="S100" s="450"/>
      <c r="T100" s="450"/>
      <c r="U100" s="450"/>
      <c r="V100" s="450"/>
      <c r="W100" s="450"/>
      <c r="X100" s="450"/>
      <c r="Y100" s="450"/>
      <c r="Z100" s="450"/>
      <c r="AA100" s="450"/>
      <c r="AB100" s="450"/>
      <c r="AC100" s="450"/>
      <c r="AD100" s="450"/>
      <c r="AE100" s="450"/>
      <c r="AF100" s="450"/>
      <c r="AG100" s="450"/>
      <c r="AH100" s="450"/>
      <c r="AI100" s="450"/>
    </row>
    <row r="101" spans="3:35">
      <c r="C101" s="16"/>
      <c r="D101" s="16"/>
      <c r="E101" s="16"/>
      <c r="F101" s="16"/>
      <c r="G101" s="16"/>
      <c r="H101" s="449"/>
      <c r="I101" s="449"/>
      <c r="J101" s="449"/>
      <c r="K101" s="449"/>
      <c r="L101" s="449"/>
      <c r="M101" s="449"/>
      <c r="N101" s="450"/>
      <c r="O101" s="450"/>
      <c r="P101" s="450"/>
      <c r="Q101" s="450"/>
      <c r="R101" s="450"/>
      <c r="S101" s="450"/>
      <c r="T101" s="450"/>
      <c r="U101" s="450"/>
      <c r="V101" s="450"/>
      <c r="W101" s="450"/>
      <c r="X101" s="450"/>
      <c r="Y101" s="450"/>
      <c r="Z101" s="450"/>
      <c r="AA101" s="450"/>
      <c r="AB101" s="450"/>
      <c r="AC101" s="450"/>
      <c r="AD101" s="450"/>
      <c r="AE101" s="450"/>
      <c r="AF101" s="450"/>
      <c r="AG101" s="450"/>
      <c r="AH101" s="450"/>
      <c r="AI101" s="450"/>
    </row>
    <row r="102" spans="3:35">
      <c r="C102" s="16"/>
      <c r="D102" s="16"/>
      <c r="E102" s="16"/>
      <c r="F102" s="16"/>
      <c r="G102" s="16"/>
      <c r="H102" s="449"/>
      <c r="I102" s="449"/>
      <c r="J102" s="449"/>
      <c r="K102" s="449"/>
      <c r="L102" s="449"/>
      <c r="M102" s="449"/>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row>
    <row r="103" spans="3:35">
      <c r="C103" s="16"/>
      <c r="D103" s="16"/>
      <c r="E103" s="16"/>
      <c r="F103" s="16"/>
      <c r="G103" s="16"/>
      <c r="H103" s="449"/>
      <c r="I103" s="449"/>
      <c r="J103" s="449"/>
      <c r="K103" s="449"/>
      <c r="L103" s="449"/>
      <c r="M103" s="449"/>
      <c r="N103" s="450"/>
      <c r="O103" s="450"/>
      <c r="P103" s="450"/>
      <c r="Q103" s="450"/>
      <c r="R103" s="450"/>
      <c r="S103" s="450"/>
      <c r="T103" s="450"/>
      <c r="U103" s="450"/>
      <c r="V103" s="450"/>
      <c r="W103" s="450"/>
      <c r="X103" s="450"/>
      <c r="Y103" s="450"/>
      <c r="Z103" s="450"/>
      <c r="AA103" s="450"/>
      <c r="AB103" s="450"/>
      <c r="AC103" s="450"/>
      <c r="AD103" s="450"/>
      <c r="AE103" s="450"/>
      <c r="AF103" s="450"/>
      <c r="AG103" s="450"/>
      <c r="AH103" s="450"/>
      <c r="AI103" s="450"/>
    </row>
    <row r="104" spans="3:35">
      <c r="C104" s="16"/>
      <c r="D104" s="16"/>
      <c r="E104" s="16"/>
      <c r="F104" s="16"/>
      <c r="G104" s="16"/>
      <c r="H104" s="449"/>
      <c r="I104" s="449"/>
      <c r="J104" s="449"/>
      <c r="K104" s="449"/>
      <c r="L104" s="449"/>
      <c r="M104" s="449"/>
      <c r="N104" s="450"/>
      <c r="O104" s="450"/>
      <c r="P104" s="450"/>
      <c r="Q104" s="450"/>
      <c r="R104" s="450"/>
      <c r="S104" s="450"/>
      <c r="T104" s="450"/>
      <c r="U104" s="450"/>
      <c r="V104" s="450"/>
      <c r="W104" s="450"/>
      <c r="X104" s="450"/>
      <c r="Y104" s="450"/>
      <c r="Z104" s="450"/>
      <c r="AA104" s="450"/>
      <c r="AB104" s="450"/>
      <c r="AC104" s="450"/>
      <c r="AD104" s="450"/>
      <c r="AE104" s="450"/>
      <c r="AF104" s="450"/>
      <c r="AG104" s="450"/>
      <c r="AH104" s="450"/>
      <c r="AI104" s="450"/>
    </row>
  </sheetData>
  <phoneticPr fontId="7" type="noConversion"/>
  <dataValidations count="1">
    <dataValidation type="whole" allowBlank="1" showInputMessage="1" showErrorMessage="1" sqref="B2" xr:uid="{00000000-0002-0000-1700-000000000000}">
      <formula1>1</formula1>
      <formula2>29</formula2>
    </dataValidation>
  </dataValidations>
  <pageMargins left="0.75" right="0.75" top="1" bottom="1" header="0.5" footer="0.5"/>
  <pageSetup paperSize="9" orientation="portrait" horizontalDpi="96" verticalDpi="96" r:id="rId1"/>
  <headerFooter alignWithMargins="0"/>
  <ignoredErrors>
    <ignoredError sqref="D5:AK5 C88:AK90 D27:AI27 AK24 D26:AI26 C47:AK49 C59:AK61 C71:AK78 C22:AG22 H21:AI21 C33:AK35 D32:AI32 AK32 D37:AK38 C36:D36 AI36:AK36 C12:AK13 D10:AI10 AK10 D8:AI8 AK8 D7:AK7 D6 F6:AK6 C31:AK31 D28:AI28 C11 AI11:AK11 AI41:AK41 AI22 D20:AI20 D40:AK40 D53:AK53 D51:AK51 D52:AK52 E65:AK65 D63:AK63 D64:AK64 D82:AK82 D80:AK80 AI81:AK81 D39:AK39 D50:AK50 D62:AK62 D79:AK79 D30:AK30 D29:AH29 AK29 D46:AK46 AK26 AK21 AK28 AK22 C19:AI19 AK19 AK20 D58:AK58 D70:AK70 D87:AK87 C15:AK18 C14 AH14:AK14" formula="1"/>
  </ignoredErrors>
  <drawing r:id="rId2"/>
  <legacyDrawing r:id="rId3"/>
  <controls>
    <mc:AlternateContent xmlns:mc="http://schemas.openxmlformats.org/markup-compatibility/2006">
      <mc:Choice Requires="x14">
        <control shapeId="71275" r:id="rId4" name="cmdReCalculate">
          <controlPr defaultSize="0" autoLine="0" r:id="rId5">
            <anchor moveWithCells="1">
              <from>
                <xdr:col>3</xdr:col>
                <xdr:colOff>883920</xdr:colOff>
                <xdr:row>0</xdr:row>
                <xdr:rowOff>274320</xdr:rowOff>
              </from>
              <to>
                <xdr:col>5</xdr:col>
                <xdr:colOff>716280</xdr:colOff>
                <xdr:row>2</xdr:row>
                <xdr:rowOff>175260</xdr:rowOff>
              </to>
            </anchor>
          </controlPr>
        </control>
      </mc:Choice>
      <mc:Fallback>
        <control shapeId="71275" r:id="rId4" name="cmdReCalculate"/>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
  <dimension ref="A1:L77"/>
  <sheetViews>
    <sheetView workbookViewId="0">
      <selection sqref="A1:B1"/>
    </sheetView>
  </sheetViews>
  <sheetFormatPr defaultColWidth="9.375" defaultRowHeight="10.8" outlineLevelRow="1"/>
  <cols>
    <col min="1" max="1" width="19.625" style="105" customWidth="1"/>
    <col min="2" max="11" width="15.5" style="105" customWidth="1"/>
    <col min="12" max="33" width="15.375" style="105" customWidth="1"/>
    <col min="34" max="16384" width="9.375" style="105"/>
  </cols>
  <sheetData>
    <row r="1" spans="1:12" ht="27.75" customHeight="1">
      <c r="A1" s="1306" t="s">
        <v>293</v>
      </c>
      <c r="B1" s="1306"/>
    </row>
    <row r="2" spans="1:12" ht="18" customHeight="1" outlineLevel="1">
      <c r="A2" s="1307" t="s">
        <v>280</v>
      </c>
      <c r="B2" s="1307"/>
    </row>
    <row r="3" spans="1:12" ht="26.25" customHeight="1" outlineLevel="1">
      <c r="A3" s="338" t="s">
        <v>281</v>
      </c>
      <c r="B3" s="339">
        <f>C3/1.1</f>
        <v>1.8627639691774646E-2</v>
      </c>
      <c r="C3" s="339">
        <f>D3/1.1</f>
        <v>2.0490403660952113E-2</v>
      </c>
      <c r="D3" s="339">
        <f>E3/1.1</f>
        <v>2.2539444027047325E-2</v>
      </c>
      <c r="E3" s="339">
        <f>F3/1.1</f>
        <v>2.479338842975206E-2</v>
      </c>
      <c r="F3" s="339">
        <f>G3/1.1</f>
        <v>2.7272727272727268E-2</v>
      </c>
      <c r="G3" s="339">
        <f>绝对估值!B4</f>
        <v>0.03</v>
      </c>
      <c r="H3" s="339">
        <f>G3*1.1</f>
        <v>3.3000000000000002E-2</v>
      </c>
      <c r="I3" s="339">
        <f>H3*1.1</f>
        <v>3.6300000000000006E-2</v>
      </c>
      <c r="J3" s="339">
        <f>I3*1.1</f>
        <v>3.9930000000000007E-2</v>
      </c>
      <c r="K3" s="339">
        <f>J3*1.1</f>
        <v>4.3923000000000011E-2</v>
      </c>
      <c r="L3" s="339">
        <f>K3*1.1</f>
        <v>4.8315300000000012E-2</v>
      </c>
    </row>
    <row r="4" spans="1:12" ht="20.25" customHeight="1" outlineLevel="1">
      <c r="A4" s="341">
        <f ca="1">A5/1.1</f>
        <v>5.1503213969916577E-2</v>
      </c>
      <c r="B4" s="511">
        <f ca="1">((绝对估值!D22+NPV(A4,绝对估值!E22:'绝对估值'!F22))+(NPV(A4,绝对估值!D23:'绝对估值'!I23)/(1+A4)^(目录!C9-1))+(绝对估值!F22*POWER((1+绝对估值!$B$3),绝对估值!B2)*(1+$B$3)/POWER((1+$A$4),目录!C9+绝对估值!B2-1)/(A4-$B$3))+(绝对估值!C28-绝对估值!C29-绝对估值!C30))/绝对估值!C32</f>
        <v>40.679939166330108</v>
      </c>
      <c r="C4" s="511">
        <f ca="1">((绝对估值!D22+NPV(A4,绝对估值!E22:'绝对估值'!F22))+(NPV(A4,绝对估值!D23:'绝对估值'!I23)/(1+A4)^(目录!C9-1))+(绝对估值!F22*POWER((1+绝对估值!$B$3),绝对估值!B2)*(1+$C$3)/POWER((1+$A$4),目录!C9+绝对估值!B2-1)/(A4-$C$3))+(绝对估值!C28-绝对估值!C29-绝对估值!C30))/绝对估值!C32</f>
        <v>43.106853102650348</v>
      </c>
      <c r="D4" s="511">
        <f ca="1">((绝对估值!D22+NPV(A4,绝对估值!E22:'绝对估值'!F22))+(NPV(A4,绝对估值!D23:'绝对估值'!I23)/(1+A4)^(目录!C9-1))+(绝对估值!F22*POWER((1+绝对估值!$B$3),绝对估值!B2)*(1+$D$3)/POWER((1+$A$4),目录!C9+绝对估值!B2-1)/(A4-$D$3))+(绝对估值!C28-绝对估值!C29-绝对估值!C30))/绝对估值!C32</f>
        <v>46.137011417375419</v>
      </c>
      <c r="E4" s="511">
        <f ca="1">((绝对估值!D22+NPV(A4,绝对估值!E22:'绝对估值'!F22))+(NPV(A4,绝对估值!D23:'绝对估值'!I23)/(1+A4)^(目录!C9-1))+(绝对估值!F22*POWER((1+绝对估值!$B$3),绝对估值!B2)*(1+$E$3)/POWER((1+$A$4),目录!C9+绝对估值!B2-1)/(A4-$E$3))+(绝对估值!C28-绝对估值!C29-绝对估值!C30))/绝对估值!C32</f>
        <v>50.007163896182412</v>
      </c>
      <c r="F4" s="511">
        <f ca="1">((绝对估值!D22+NPV(A4,绝对估值!E22:'绝对估值'!F22))+(NPV(A4,绝对估值!D23:'绝对估值'!I23)/(1+A4)^(目录!C9-1))+(绝对估值!F22*POWER((1+绝对估值!$B$3),绝对估值!B2)*(1+$F$3)/POWER((1+$A$4),目录!C9+绝对估值!B2-1)/(A4-$F$3))+(绝对估值!C28-绝对估值!C29-绝对估值!C30))/绝对估值!C32</f>
        <v>55.095944331545809</v>
      </c>
      <c r="G4" s="511">
        <f ca="1">((绝对估值!D22+NPV(A4,绝对估值!E22:'绝对估值'!F22))+(NPV(A4,绝对估值!D23:'绝对估值'!I23)/(1+A4)^(目录!C9-1))+(绝对估值!F22*POWER((1+绝对估值!$B$3),绝对估值!B2)*(1+$G$3)/POWER((1+$A$4),目录!C9+绝对估值!B2-1)/(A4-$G$3))+(绝对估值!C28-绝对估值!C29-绝对估值!C30))/绝对估值!C32</f>
        <v>62.04897384676179</v>
      </c>
      <c r="H4" s="511">
        <f ca="1">((绝对估值!D22+NPV(A4,绝对估值!E22:'绝对估值'!F22))+(NPV(A4,绝对估值!D23:'绝对估值'!I23)/(1+A4)^(目录!C9-1))+(绝对估值!F22*POWER((1+绝对估值!$B$3),绝对估值!B2)*(1+$H$3)/POWER((1+$A$4),目录!C9+绝对估值!B2-1)/(A4-$H$3))+(绝对估值!C28-绝对估值!C29-绝对估值!C30))/绝对估值!C32</f>
        <v>72.064683463062664</v>
      </c>
      <c r="I4" s="511">
        <f ca="1">((绝对估值!D22+NPV(A4,绝对估值!E22:'绝对估值'!F22))+(NPV(A4,绝对估值!D23:'绝对估值'!I23)/(1+A4)^(目录!C9-1))+(绝对估值!F22*POWER((1+绝对估值!$B$3),绝对估值!B2)*(1+$I$3)/POWER((1+$A$4),目录!C9+绝对估值!B2-1)/(A4-$I$3))+(绝对估值!C28-绝对估值!C29-绝对估值!C30))/绝对估值!C32</f>
        <v>87.647371577736067</v>
      </c>
      <c r="J4" s="511">
        <f ca="1">((绝对估值!D22+NPV(A4,绝对估值!E22:'绝对估值'!F22))+(NPV(A4,绝对估值!D23:'绝对估值'!I23)/(1+A4)^(目录!C9-1))+(绝对估值!F22*POWER((1+绝对估值!$B$3),绝对估值!B2)*(1+$J$3)/POWER((1+$A$4),目录!C9+绝对估值!B2-1)/(A4-$J$3))+(绝对估值!C28-绝对估值!C29-绝对估值!C30))/绝对估值!C32</f>
        <v>115.05227348985308</v>
      </c>
      <c r="K4" s="511">
        <f ca="1">((绝对估值!D22+NPV(A4,绝对估值!E22:'绝对估值'!F22))+(NPV(A4,绝对估值!D23:'绝对估值'!I23)/(1+A4)^(目录!C9-1))+(绝对估值!F22*POWER((1+绝对估值!$B$3),绝对估值!B2)*(1+$K$3)/POWER((1+$A$4),目录!C9+绝对估值!B2-1)/(A4-$K$3))+(绝对估值!C28-绝对估值!C29-绝对估值!C30))/绝对估值!C32</f>
        <v>175.51321142284704</v>
      </c>
      <c r="L4" s="512">
        <f ca="1">((绝对估值!D22+NPV(A4,绝对估值!E22:'绝对估值'!F22))+(NPV(A4,绝对估值!D23:'绝对估值'!I23)/(1+A4)^(目录!C9-1))+(绝对估值!F22*POWER((1+绝对估值!$B$3),绝对估值!B2)*(1+$L$3)/POWER((1+$A$4),目录!C9+绝对估值!B2-1)/(A4-$L$3))+(绝对估值!C28-绝对估值!C29-绝对估值!C30))/绝对估值!C32</f>
        <v>416.95639838957936</v>
      </c>
    </row>
    <row r="5" spans="1:12" ht="20.25" customHeight="1" outlineLevel="1">
      <c r="A5" s="341">
        <f ca="1">A6/1.1</f>
        <v>5.6653535366908238E-2</v>
      </c>
      <c r="B5" s="511">
        <f ca="1">((绝对估值!D22+NPV(A5,绝对估值!E22:'绝对估值'!F22))+(NPV(A5,绝对估值!D23:'绝对估值'!I23)/(1+A5)^(目录!C9-1))+(绝对估值!F22*POWER((1+绝对估值!$B$3),绝对估值!B2)*(1+$B$3)/POWER((1+$A$5),目录!C9+绝对估值!B2-1)/(A5-$B$3))+(绝对估值!C28-绝对估值!C29-绝对估值!C30))/绝对估值!C32</f>
        <v>33.903599167536562</v>
      </c>
      <c r="C5" s="511">
        <f ca="1">((绝对估值!D22+NPV(A5,绝对估值!E22:'绝对估值'!F22))+(NPV(A5,绝对估值!D23:'绝对估值'!I23)/(1+A5)^(目录!C9-1))+(绝对估值!F22*POWER((1+绝对估值!$B$3),绝对估值!B2)*(1+$C$3)/POWER((1+$A$5),目录!C9+绝对估值!B2-1)/(A5-$C$3))+(绝对估值!C28-绝对估值!C29-绝对估值!C30))/绝对估值!C32</f>
        <v>35.642477992684974</v>
      </c>
      <c r="D5" s="511">
        <f ca="1">((绝对估值!D22+NPV(A5,绝对估值!E22:'绝对估值'!F22))+(NPV(A5,绝对估值!D23:'绝对估值'!I23)/(1+A5)^(目录!C9-1))+(绝对估值!F22*POWER((1+绝对估值!$B$3),绝对估值!B2)*(1+$D$3)/POWER((1+$A$5),目录!C9+绝对估值!B2-1)/(A5-$D$3))+(绝对估值!C28-绝对估值!C29-绝对估值!C30))/绝对估值!C32</f>
        <v>37.774578377592043</v>
      </c>
      <c r="E5" s="511">
        <f ca="1">((绝对估值!D22+NPV(A5,绝对估值!E22:'绝对估值'!F22))+(NPV(A5,绝对估值!D23:'绝对估值'!I23)/(1+A5)^(目录!C9-1))+(绝对估值!F22*POWER((1+绝对估值!$B$3),绝对估值!B2)*(1+$E$3)/POWER((1+$A$5),目录!C9+绝对估值!B2-1)/(A5-$E$3))+(绝对估值!C28-绝对估值!C29-绝对估值!C30))/绝对估值!C32</f>
        <v>40.436642990789835</v>
      </c>
      <c r="F5" s="511">
        <f ca="1">((绝对估值!D22+NPV(A5,绝对估值!E22:'绝对估值'!F22))+(NPV(A5,绝对估值!D23:'绝对估值'!I23)/(1+A5)^(目录!C9-1))+(绝对估值!F22*POWER((1+绝对估值!$B$3),绝对估值!B2)*(1+$F$3)/POWER((1+$A$5),目录!C9+绝对估值!B2-1)/(A5-$F$3))+(绝对估值!C28-绝对估值!C29-绝对估值!C30))/绝对估值!C32</f>
        <v>43.836662029876429</v>
      </c>
      <c r="G5" s="511">
        <f ca="1">((绝对估值!D22+NPV(A5,绝对估值!E22:'绝对估值'!F22))+(NPV(A5,绝对估值!D23:'绝对估值'!I23)/(1+A5)^(目录!C9-1))+(绝对估值!F22*POWER((1+绝对估值!$B$3),绝对估值!B2)*(1+$G$3)/POWER((1+$A$5),目录!C9+绝对估值!B2-1)/(A5-$G$3))+(绝对估值!C28-绝对估值!C29-绝对估值!C30))/绝对估值!C32</f>
        <v>48.307274095089014</v>
      </c>
      <c r="H5" s="511">
        <f ca="1">((绝对估值!D22+NPV(A5,绝对估值!E22:'绝对估值'!F22))+(NPV(A5,绝对估值!D23:'绝对估值'!I23)/(1+A5)^(目录!C9-1))+(绝对估值!F22*POWER((1+绝对估值!$B$3),绝对估值!B2)*(1+$H$3)/POWER((1+$A$5),目录!C9+绝对估值!B2-1)/(A5-$H$3))+(绝对估值!C28-绝对估值!C29-绝对估值!C30))/绝对估值!C32</f>
        <v>54.41567237151888</v>
      </c>
      <c r="I5" s="511">
        <f ca="1">((绝对估值!D22+NPV(A5,绝对估值!E22:'绝对估值'!F22))+(NPV(A5,绝对估值!D23:'绝对估值'!I23)/(1+A5)^(目录!C9-1))+(绝对估值!F22*POWER((1+绝对估值!$B$3),绝对估值!B2)*(1+$I$3)/POWER((1+$A$5),目录!C9+绝对估值!B2-1)/(A5-$I$3))+(绝对估值!C28-绝对估值!C29-绝对估值!C30))/绝对估值!C32</f>
        <v>63.214706407480939</v>
      </c>
      <c r="J5" s="511">
        <f ca="1">((绝对估值!D22+NPV(A5,绝对估值!E22:'绝对估值'!F22))+(NPV(A5,绝对估值!D23:'绝对估值'!I23)/(1+A5)^(目录!C9-1))+(绝对估值!F22*POWER((1+绝对估值!$B$3),绝对估值!B2)*(1+$J$3)/POWER((1+$A$5),目录!C9+绝对估值!B2-1)/(A5-$J$3))+(绝对估值!C28-绝对估值!C29-绝对估值!C30))/绝对估值!C32</f>
        <v>76.904460638138517</v>
      </c>
      <c r="K5" s="511">
        <f ca="1">((绝对估值!D22+NPV(A5,绝对估值!E22:'绝对估值'!F22))+(NPV(A5,绝对估值!D23:'绝对估值'!I23)/(1+A5)^(目录!C9-1))+(绝对估值!F22*POWER((1+绝对估值!$B$3),绝对估值!B2)*(1+$K$3)/POWER((1+$A$5),目录!C9+绝对估值!B2-1)/(A5-$K$3))+(绝对估值!C28-绝对估值!C29-绝对估值!C30))/绝对估值!C32</f>
        <v>100.98030487831716</v>
      </c>
      <c r="L5" s="512">
        <f ca="1">((绝对估值!D22+NPV(A5,绝对估值!E22:'绝对估值'!F22))+(NPV(A5,绝对估值!D23:'绝对估值'!I23)/(1+A5)^(目录!C9-1))+(绝对估值!F22*POWER((1+绝对估值!$B$3),绝对估值!B2)*(1+$L$3)/POWER((1+$A$5),目录!C9+绝对估值!B2-1)/(A5-$L$3))+(绝对估值!C28-绝对估值!C29-绝对估值!C30))/绝对估值!C32</f>
        <v>154.09664621600538</v>
      </c>
    </row>
    <row r="6" spans="1:12" ht="20.25" customHeight="1" outlineLevel="1">
      <c r="A6" s="341">
        <f ca="1">A7/1.1</f>
        <v>6.2318888903599066E-2</v>
      </c>
      <c r="B6" s="511">
        <f ca="1">((绝对估值!D22+NPV(A6,绝对估值!E22:'绝对估值'!F22))+(NPV(A6,绝对估值!D23:'绝对估值'!I23)/(1+A6)^(目录!C9-1))+(绝对估值!F22*POWER((1+绝对估值!$B$3),绝对估值!B2)*(1+$B$3)/POWER((1+$A$6),目录!C9+绝对估值!B2-1)/(A6-$B$3))+(绝对估值!C28-绝对估值!C29-绝对估值!C30))/绝对估值!C32</f>
        <v>28.309599281691845</v>
      </c>
      <c r="C6" s="511">
        <f ca="1">((绝对估值!D22+NPV(A6,绝对估值!E22:'绝对估值'!F22))+(NPV(A6,绝对估值!D23:'绝对估值'!I23)/(1+A6)^(目录!C9-1))+(绝对估值!F22*POWER((1+绝对估值!$B$3),绝对估值!B2)*(1+$C$3)/POWER((1+$A$6),目录!C9+绝对估值!B2-1)/(A6-$C$3))+(绝对估值!C28-绝对估值!C29-绝对估值!C30))/绝对估值!C32</f>
        <v>29.569952144637238</v>
      </c>
      <c r="D6" s="511">
        <f ca="1">((绝对估值!D22+NPV(A6,绝对估值!E22:'绝对估值'!F22))+(NPV(A6,绝对估值!D23:'绝对估值'!I23)/(1+A6)^(目录!C9-1))+(绝对估值!F22*POWER((1+绝对估值!$B$3),绝对估值!B2)*(1+$D$3)/POWER((1+$A$6),目录!C9+绝对估值!B2-1)/(A6-$D$3))+(绝对估值!C28-绝对估值!C29-绝对估值!C30))/绝对估值!C32</f>
        <v>31.092674000629437</v>
      </c>
      <c r="E6" s="511">
        <f ca="1">((绝对估值!D22+NPV(A6,绝对估值!E22:'绝对估值'!F22))+(NPV(A6,绝对估值!D23:'绝对估值'!I23)/(1+A6)^(目录!C9-1))+(绝对估值!F22*POWER((1+绝对估值!$B$3),绝对估值!B2)*(1+$E$3)/POWER((1+$A$6),目录!C9+绝对估值!B2-1)/(A6-$E$3))+(绝对估值!C28-绝对估值!C29-绝对估值!C30))/绝对估值!C32</f>
        <v>32.959736735716952</v>
      </c>
      <c r="F6" s="511">
        <f ca="1">((绝对估值!D22+NPV(A6,绝对估值!E22:'绝对估值'!F22))+(NPV(A6,绝对估值!D23:'绝对估值'!I23)/(1+A6)^(目录!C9-1))+(绝对估值!F22*POWER((1+绝对估值!$B$3),绝对估值!B2)*(1+$F$3)/POWER((1+$A$6),目录!C9+绝对估值!B2-1)/(A6-$F$3))+(绝对估值!C28-绝对估值!C29-绝对估值!C30))/绝对估值!C32</f>
        <v>35.29088477775128</v>
      </c>
      <c r="G6" s="511">
        <f ca="1">((绝对估值!D22+NPV(A6,绝对估值!E22:'绝对估值'!F22))+(NPV(A6,绝对估值!D23:'绝对估值'!I23)/(1+A6)^(目录!C9-1))+(绝对估值!F22*POWER((1+绝对估值!$B$3),绝对估值!B2)*(1+$G$3)/POWER((1+$A$6),目录!C9+绝对估值!B2-1)/(A6-$G$3))+(绝对估值!C28-绝对估值!C29-绝对估值!C30))/绝对估值!C32</f>
        <v>38.268253428591485</v>
      </c>
      <c r="H6" s="511">
        <f ca="1">((绝对估值!D22+NPV(A6,绝对估值!E22:'绝对估值'!F22))+(NPV(A6,绝对估值!D23:'绝对估值'!I23)/(1+A6)^(目录!C9-1))+(绝对估值!F22*POWER((1+绝对估值!$B$3),绝对估值!B2)*(1+$H$3)/POWER((1+$A$6),目录!C9+绝对估值!B2-1)/(A6-$H$3))+(绝对估值!C28-绝对估值!C29-绝对估值!C30))/绝对估值!C32</f>
        <v>42.183131568982063</v>
      </c>
      <c r="I6" s="511">
        <f ca="1">((绝对估值!D22+NPV(A6,绝对估值!E22:'绝对估值'!F22))+(NPV(A6,绝对估值!D23:'绝对估值'!I23)/(1+A6)^(目录!C9-1))+(绝对估值!F22*POWER((1+绝对估值!$B$3),绝对估值!B2)*(1+$I$3)/POWER((1+$A$6),目录!C9+绝对估值!B2-1)/(A6-$I$3))+(绝对估值!C28-绝对估值!C29-绝对估值!C30))/绝对估值!C32</f>
        <v>47.532205596512952</v>
      </c>
      <c r="J6" s="511">
        <f ca="1">((绝对估值!D22+NPV(A6,绝对估值!E22:'绝对估值'!F22))+(NPV(A6,绝对估值!D23:'绝对估值'!I23)/(1+A6)^(目录!C9-1))+(绝对估值!F22*POWER((1+绝对估值!$B$3),绝对估值!B2)*(1+$J$3)/POWER((1+$A$6),目录!C9+绝对估值!B2-1)/(A6-$J$3))+(绝对估值!C28-绝对估值!C29-绝对估值!C30))/绝对估值!C32</f>
        <v>55.237447183450477</v>
      </c>
      <c r="K6" s="511">
        <f ca="1">((绝对估值!D22+NPV(A6,绝对估值!E22:'绝对估值'!F22))+(NPV(A6,绝对估值!D23:'绝对估值'!I23)/(1+A6)^(目录!C9-1))+(绝对估值!F22*POWER((1+绝对估值!$B$3),绝对估值!B2)*(1+$K$3)/POWER((1+$A$6),目录!C9+绝对估值!B2-1)/(A6-$K$3))+(绝对估值!C28-绝对估值!C29-绝对估值!C30))/绝对估值!C32</f>
        <v>67.225452137392367</v>
      </c>
      <c r="L6" s="512">
        <f ca="1">((绝对估值!D22+NPV(A6,绝对估值!E22:'绝对估值'!F22))+(NPV(A6,绝对估值!D23:'绝对估值'!I23)/(1+A6)^(目录!C9-1))+(绝对估值!F22*POWER((1+绝对估值!$B$3),绝对估值!B2)*(1+$L$3)/POWER((1+$A$6),目录!C9+绝对估值!B2-1)/(A6-$L$3))+(绝对估值!C28-绝对估值!C29-绝对估值!C30))/绝对估值!C32</f>
        <v>88.308470514394415</v>
      </c>
    </row>
    <row r="7" spans="1:12" ht="20.25" customHeight="1" outlineLevel="1">
      <c r="A7" s="341">
        <f ca="1">A8/1.1</f>
        <v>6.8550777793958975E-2</v>
      </c>
      <c r="B7" s="511">
        <f ca="1">((绝对估值!D22+NPV(A7,绝对估值!E22:'绝对估值'!F22))+(NPV(A7,绝对估值!D23:'绝对估值'!I23)/(1+A7)^(目录!C9-1))+(绝对估值!F22*POWER((1+绝对估值!$B$3),绝对估值!B2)*(1+$B$3)/POWER((1+$A$7),目录!C9+绝对估值!B2-1)/(A7-$B$3))+(绝对估值!C28-绝对估值!C29-绝对估值!C30))/绝对估值!C32</f>
        <v>23.637764557001493</v>
      </c>
      <c r="C7" s="511">
        <f ca="1">((绝对估值!D22+NPV(A7,绝对估值!E22:'绝对估值'!F22))+(NPV(A7,绝对估值!D23:'绝对估值'!I23)/(1+A7)^(目录!C9-1))+(绝对估值!F22*POWER((1+绝对估值!$B$3),绝对估值!B2)*(1+$C$3)/POWER((1+$A$7),目录!C9+绝对估值!B2-1)/(A7-$C$3))+(绝对估值!C28-绝对估值!C29-绝对估值!C30))/绝对估值!C32</f>
        <v>24.559248771918799</v>
      </c>
      <c r="D7" s="511">
        <f ca="1">((绝对估值!D22+NPV(A7,绝对估值!E22:'绝对估值'!F22))+(NPV(A7,绝对估值!D23:'绝对估值'!I23)/(1+A7)^(目录!C9-1))+(绝对估值!F22*POWER((1+绝对估值!$B$3),绝对估值!B2)*(1+$D$3)/POWER((1+$A$7),目录!C9+绝对估值!B2-1)/(A7-$D$3))+(绝对估值!C28-绝对估值!C29-绝对估值!C30))/绝对估值!C32</f>
        <v>25.659058708937415</v>
      </c>
      <c r="E7" s="511">
        <f ca="1">((绝对估值!D22+NPV(A7,绝对估值!E22:'绝对估值'!F22))+(NPV(A7,绝对估值!D23:'绝对估值'!I23)/(1+A7)^(目录!C9-1))+(绝对估值!F22*POWER((1+绝对估值!$B$3),绝对估值!B2)*(1+$E$3)/POWER((1+$A$7),目录!C9+绝对估值!B2-1)/(A7-$E$3))+(绝对估值!C28-绝对估值!C29-绝对估值!C30))/绝对估值!C32</f>
        <v>26.987817247734185</v>
      </c>
      <c r="F7" s="511">
        <f ca="1">((绝对估值!D22+NPV(A7,绝对估值!E22:'绝对估值'!F22))+(NPV(A7,绝对估值!D23:'绝对估值'!I23)/(1+A7)^(目录!C9-1))+(绝对估值!F22*POWER((1+绝对估值!$B$3),绝对估值!B2)*(1+$F$3)/POWER((1+$A$7),目录!C9+绝对估值!B2-1)/(A7-$F$3))+(绝对估值!C28-绝对估值!C29-绝对估值!C30))/绝对估值!C32</f>
        <v>28.617054748958747</v>
      </c>
      <c r="G7" s="511">
        <f ca="1">((绝对估值!D22+NPV(A7,绝对估值!E22:'绝对估值'!F22))+(NPV(A7,绝对估值!D23:'绝对估值'!I23)/(1+A7)^(目录!C9-1))+(绝对估值!F22*POWER((1+绝对估值!$B$3),绝对估值!B2)*(1+$G$3)/POWER((1+$A$7),目录!C9+绝对估值!B2-1)/(A7-$G$3))+(绝对估值!C28-绝对估值!C29-绝对估值!C30))/绝对估值!C32</f>
        <v>30.651262673316758</v>
      </c>
      <c r="H7" s="511">
        <f ca="1">((绝对估值!D22+NPV(A7,绝对估值!E22:'绝对估值'!F22))+(NPV(A7,绝对估值!D23:'绝对估值'!I23)/(1+A7)^(目录!C9-1))+(绝对估值!F22*POWER((1+绝对估值!$B$3),绝对估值!B2)*(1+$H$3)/POWER((1+$A$7),目录!C9+绝对估值!B2-1)/(A7-$H$3))+(绝对估值!C28-绝对估值!C29-绝对估值!C30))/绝对估值!C32</f>
        <v>33.249376046669418</v>
      </c>
      <c r="I7" s="511">
        <f ca="1">((绝对估值!D22+NPV(A7,绝对估值!E22:'绝对估值'!F22))+(NPV(A7,绝对估值!D23:'绝对估值'!I23)/(1+A7)^(目录!C9-1))+(绝对估值!F22*POWER((1+绝对估值!$B$3),绝对估值!B2)*(1+$I$3)/POWER((1+$A$7),目录!C9+绝对估值!B2-1)/(A7-$I$3))+(绝对估值!C28-绝对估值!C29-绝对估值!C30))/绝对估值!C32</f>
        <v>36.665579562053537</v>
      </c>
      <c r="J7" s="511">
        <f ca="1">((绝对估值!D22+NPV(A7,绝对估值!E22:'绝对估值'!F22))+(NPV(A7,绝对估值!D23:'绝对估值'!I23)/(1+A7)^(目录!C9-1))+(绝对估值!F22*POWER((1+绝对估值!$B$3),绝对估值!B2)*(1+$J$3)/POWER((1+$A$7),目录!C9+绝对估值!B2-1)/(A7-$J$3))+(绝对估值!C28-绝对估值!C29-绝对估值!C30))/绝对估值!C32</f>
        <v>41.333292027575574</v>
      </c>
      <c r="K7" s="511">
        <f ca="1">((绝对估值!D22+NPV(A7,绝对估值!E22:'绝对估值'!F22))+(NPV(A7,绝对估值!D23:'绝对估值'!I23)/(1+A7)^(目录!C9-1))+(绝对估值!F22*POWER((1+绝对估值!$B$3),绝对估值!B2)*(1+$K$3)/POWER((1+$A$7),目录!C9+绝对估值!B2-1)/(A7-$K$3))+(绝对估值!C28-绝对估值!C29-绝对估值!C30))/绝对估值!C32</f>
        <v>48.05704496501788</v>
      </c>
      <c r="L7" s="512">
        <f ca="1">((绝对估值!D22+NPV(A7,绝对估值!E22:'绝对估值'!F22))+(NPV(A7,绝对估值!D23:'绝对估值'!I23)/(1+A7)^(目录!C9-1))+(绝对估值!F22*POWER((1+绝对估值!$B$3),绝对估值!B2)*(1+$L$3)/POWER((1+$A$7),目录!C9+绝对估值!B2-1)/(A7-$L$3))+(绝对估值!C28-绝对估值!C29-绝对估值!C30))/绝对估值!C32</f>
        <v>58.518025664154699</v>
      </c>
    </row>
    <row r="8" spans="1:12" ht="20.25" customHeight="1" outlineLevel="1">
      <c r="A8" s="341">
        <f ca="1">A9/1.1</f>
        <v>7.5405855573354885E-2</v>
      </c>
      <c r="B8" s="511">
        <f ca="1">((绝对估值!D22+NPV(A8,绝对估值!E22:'绝对估值'!F22))+(NPV(A8,绝对估值!D23:'绝对估值'!I23)/(1+A8)^(目录!C9-1))+(绝对估值!F22*POWER((1+绝对估值!$B$3),绝对估值!B2)*(1+$B$3)/POWER((1+$A$8),目录!C9+绝对估值!B2-1)/(A8-$B$3))+(绝对估值!C28-绝对估值!C29-绝对估值!C30))/绝对估值!C32</f>
        <v>19.698815538575335</v>
      </c>
      <c r="C8" s="511">
        <f ca="1">((绝对估值!D22+NPV(A8,绝对估值!E22:'绝对估值'!F22))+(NPV(A8,绝对估值!D23:'绝对估值'!I23)/(1+A8)^(目录!C9-1))+(绝对估值!F22*POWER((1+绝对估值!$B$3),绝对估值!B2)*(1+$C$3)/POWER((1+$A$8),目录!C9+绝对估值!B2-1)/(A8-$C$3))+(绝对估值!C28-绝对估值!C29-绝对估值!C30))/绝对估值!C32</f>
        <v>20.376862846151727</v>
      </c>
      <c r="D8" s="511">
        <f ca="1">((绝对估值!D22+NPV(A8,绝对估值!E22:'绝对估值'!F22))+(NPV(A8,绝对估值!D23:'绝对估值'!I23)/(1+A8)^(目录!C9-1))+(绝对估值!F22*POWER((1+绝对估值!$B$3),绝对估值!B2)*(1+$D$3)/POWER((1+$A$8),目录!C9+绝对估值!B2-1)/(A8-$D$3))+(绝对估值!C28-绝对估值!C29-绝对估值!C30))/绝对估值!C32</f>
        <v>21.177903560086925</v>
      </c>
      <c r="E8" s="511">
        <f ca="1">((绝对估值!D22+NPV(A8,绝对估值!E22:'绝对估值'!F22))+(NPV(A8,绝对估值!D23:'绝对估值'!I23)/(1+A8)^(目录!C9-1))+(绝对估值!F22*POWER((1+绝对估值!$B$3),绝对估值!B2)*(1+$E$3)/POWER((1+$A$8),目录!C9+绝对估值!B2-1)/(A8-$E$3))+(绝对估值!C28-绝对估值!C29-绝对估值!C30))/绝对估值!C32</f>
        <v>22.133961757157056</v>
      </c>
      <c r="F8" s="511">
        <f ca="1">((绝对估值!D22+NPV(A8,绝对估值!E22:'绝对估值'!F22))+(NPV(A8,绝对估值!D23:'绝对估值'!I23)/(1+A8)^(目录!C9-1))+(绝对估值!F22*POWER((1+绝对估值!$B$3),绝对估值!B2)*(1+$F$3)/POWER((1+$A$8),目录!C9+绝对估值!B2-1)/(A8-$F$3))+(绝对估值!C28-绝对估值!C29-绝对估值!C30))/绝对估值!C32</f>
        <v>23.289043603741664</v>
      </c>
      <c r="G8" s="511">
        <f ca="1">((绝对估值!D22+NPV(A8,绝对估值!E22:'绝对估值'!F22))+(NPV(A8,绝对估值!D23:'绝对估值'!I23)/(1+A8)^(目录!C9-1))+(绝对估值!F22*POWER((1+绝对估值!$B$3),绝对估值!B2)*(1+$G$3)/POWER((1+$A$8),目录!C9+绝对估值!B2-1)/(A8-$G$3))+(绝对估值!C28-绝对估值!C29-绝对估值!C30))/绝对估值!C32</f>
        <v>24.705330014321202</v>
      </c>
      <c r="H8" s="511">
        <f ca="1">((绝对估值!D22+NPV(A8,绝对估值!E22:'绝对估值'!F22))+(NPV(A8,绝对估值!D23:'绝对估值'!I23)/(1+A8)^(目录!C9-1))+(绝对估值!F22*POWER((1+绝对估值!$B$3),绝对估值!B2)*(1+$H$3)/POWER((1+$A$8),目录!C9+绝对估值!B2-1)/(A8-$H$3))+(绝对估值!C28-绝对估值!C29-绝对估值!C30))/绝对估值!C32</f>
        <v>26.473654790418003</v>
      </c>
      <c r="I8" s="511">
        <f ca="1">((绝对估值!D22+NPV(A8,绝对估值!E22:'绝对估值'!F22))+(NPV(A8,绝对估值!D23:'绝对估值'!I23)/(1+A8)^(目录!C9-1))+(绝对估值!F22*POWER((1+绝对估值!$B$3),绝对估值!B2)*(1+$I$3)/POWER((1+$A$8),目录!C9+绝对估值!B2-1)/(A8-$I$3))+(绝对估值!C28-绝对估值!C29-绝对估值!C30))/绝对估值!C32</f>
        <v>28.732179198957958</v>
      </c>
      <c r="J8" s="511">
        <f ca="1">((绝对估值!D22+NPV(A8,绝对估值!E22:'绝对估值'!F22))+(NPV(A8,绝对估值!D23:'绝对估值'!I23)/(1+A8)^(目录!C9-1))+(绝对估值!F22*POWER((1+绝对估值!$B$3),绝对估值!B2)*(1+$J$3)/POWER((1+$A$8),目录!C9+绝对估值!B2-1)/(A8-$J$3))+(绝对估值!C28-绝对估值!C29-绝对估值!C30))/绝对估值!C32</f>
        <v>31.701864472575817</v>
      </c>
      <c r="K8" s="511">
        <f ca="1">((绝对估值!D22+NPV(A8,绝对估值!E22:'绝对估值'!F22))+(NPV(A8,绝对估值!D23:'绝对估值'!I23)/(1+A8)^(目录!C9-1))+(绝对估值!F22*POWER((1+绝对估值!$B$3),绝对估值!B2)*(1+$K$3)/POWER((1+$A$8),目录!C9+绝对估值!B2-1)/(A8-$K$3))+(绝对估值!C28-绝对估值!C29-绝对估值!C30))/绝对估值!C32</f>
        <v>35.759478987612901</v>
      </c>
      <c r="L8" s="512">
        <f ca="1">((绝对估值!D22+NPV(A8,绝对估值!E22:'绝对估值'!F22))+(NPV(A8,绝对估值!D23:'绝对估值'!I23)/(1+A8)^(目录!C9-1))+(绝对估值!F22*POWER((1+绝对估值!$B$3),绝对估值!B2)*(1+$L$3)/POWER((1+$A$8),目录!C9+绝对估值!B2-1)/(A8-$L$3))+(绝对估值!C28-绝对估值!C29-绝对估值!C30))/绝对估值!C32</f>
        <v>41.604397181698332</v>
      </c>
    </row>
    <row r="9" spans="1:12" ht="20.25" customHeight="1" outlineLevel="1">
      <c r="A9" s="341">
        <f ca="1">绝对估值!B14</f>
        <v>8.2946441130690385E-2</v>
      </c>
      <c r="B9" s="511">
        <f ca="1">((绝对估值!D22+NPV(A9,绝对估值!E22:'绝对估值'!F22))+(NPV(A9,绝对估值!D23:'绝对估值'!I23)/(1+A9)^(目录!C9-1))+(绝对估值!F22*POWER((1+绝对估值!$B$3),绝对估值!B2)*(1+$B$3)/POWER((1+$A$9),目录!C9+绝对估值!B2-1)/(A9-$B$3))+(绝对估值!C28-绝对估值!C29-绝对估值!C30))/绝对估值!C32</f>
        <v>16.351749438280823</v>
      </c>
      <c r="C9" s="511">
        <f ca="1">((绝对估值!D22+NPV(A9,绝对估值!E22:'绝对估值'!F22))+(NPV(A9,绝对估值!D23:'绝对估值'!I23)/(1+A9)^(目录!C9-1))+(绝对估值!F22*POWER((1+绝对估值!$B$3),绝对估值!B2)*(1+$C$3)/POWER((1+$A$9),目录!C9+绝对估值!B2-1)/(A9-$C$3))+(绝对估值!C28-绝对估值!C29-绝对估值!C30))/绝对估值!C32</f>
        <v>16.852915736946649</v>
      </c>
      <c r="D9" s="511">
        <f ca="1">((绝对估值!D22+NPV(A9,绝对估值!E22:'绝对估值'!F22))+(NPV(A9,绝对估值!D23:'绝对估值'!I23)/(1+A9)^(目录!C9-1))+(绝对估值!F22*POWER((1+绝对估值!$B$3),绝对估值!B2)*(1+$D$3)/POWER((1+$A$9),目录!C9+绝对估值!B2-1)/(A9-$D$3))+(绝对估值!C28-绝对估值!C29-绝对估值!C30))/绝对估值!C32</f>
        <v>17.439898353481993</v>
      </c>
      <c r="E9" s="511">
        <f ca="1">((绝对估值!D22+NPV(A9,绝对估值!E22:'绝对估值'!F22))+(NPV(A9,绝对估值!D23:'绝对估值'!I23)/(1+A9)^(目录!C9-1))+(绝对估值!F22*POWER((1+绝对估值!$B$3),绝对估值!B2)*(1+$E$3)/POWER((1+$A$9),目录!C9+绝对估值!B2-1)/(A9-$E$3))+(绝对估值!C28-绝对估值!C29-绝对估值!C30))/绝对估值!C32</f>
        <v>18.133355829034397</v>
      </c>
      <c r="F9" s="511">
        <f ca="1">((绝对估值!D22+NPV(A9,绝对估值!E22:'绝对估值'!F22))+(NPV(A9,绝对估值!D23:'绝对估值'!I23)/(1+A9)^(目录!C9-1))+(绝对估值!F22*POWER((1+绝对估值!$B$3),绝对估值!B2)*(1+$F$3)/POWER((1+$A$9),目录!C9+绝对估值!B2-1)/(A9-$F$3))+(绝对估值!C28-绝对估值!C29-绝对估值!C30))/绝对估值!C32</f>
        <v>18.961011268124928</v>
      </c>
      <c r="G9" s="539">
        <f ca="1">((绝对估值!D22+NPV(A9,绝对估值!E22:'绝对估值'!F22))+(NPV(A9,绝对估值!D23:'绝对估值'!I23)/(1+A9)^(目录!C9-1))+(绝对估值!F22*POWER((1+绝对估值!$B$3),绝对估值!B2)*(1+$G$3)/POWER((1+$A$9),目录!C9+绝对估值!B2-1)/(A9-$G$3))+(绝对估值!C28-绝对估值!C29-绝对估值!C30))/绝对估值!C32</f>
        <v>19.960960618332074</v>
      </c>
      <c r="H9" s="511">
        <f ca="1">((绝对估值!D22+NPV(A9,绝对估值!E22:'绝对估值'!F22))+(NPV(A9,绝对估值!D23:'绝对估值'!I23)/(1+A9)^(目录!C9-1))+(绝对估值!F22*POWER((1+绝对估值!$B$3),绝对估值!B2)*(1+$H$3)/POWER((1+$A$9),目录!C9+绝对估值!B2-1)/(A9-$H$3))+(绝对估值!C28-绝对估值!C29-绝对估值!C30))/绝对估值!C32</f>
        <v>21.18703362792332</v>
      </c>
      <c r="I9" s="511">
        <f ca="1">((绝对估值!D22+NPV(A9,绝对估值!E22:'绝对估值'!F22))+(NPV(A9,绝对估值!D23:'绝对估值'!I23)/(1+A9)^(目录!C9-1))+(绝对估值!F22*POWER((1+绝对估值!$B$3),绝对估值!B2)*(1+$I$3)/POWER((1+$A$9),目录!C9+绝对估值!B2-1)/(A9-$I$3))+(绝对估值!C28-绝对估值!C29-绝对估值!C30))/绝对估值!C32</f>
        <v>22.717864725339982</v>
      </c>
      <c r="J9" s="511">
        <f ca="1">((绝对估值!D22+NPV(A9,绝对估值!E22:'绝对估值'!F22))+(NPV(A9,绝对估值!D23:'绝对估值'!I23)/(1+A9)^(目录!C9-1))+(绝对估值!F22*POWER((1+绝对估值!$B$3),绝对估值!B2)*(1+$J$3)/POWER((1+$A$9),目录!C9+绝对估值!B2-1)/(A9-$J$3))+(绝对估值!C28-绝对估值!C29-绝对估值!C30))/绝对估值!C32</f>
        <v>24.673059520777418</v>
      </c>
      <c r="K9" s="511">
        <f ca="1">((绝对估值!D22+NPV(A9,绝对估值!E22:'绝对估值'!F22))+(NPV(A9,绝对估值!D23:'绝对估值'!I23)/(1+A9)^(目录!C9-1))+(绝对估值!F22*POWER((1+绝对估值!$B$3),绝对估值!B2)*(1+$K$3)/POWER((1+$A$9),目录!C9+绝对估值!B2-1)/(A9-$K$3))+(绝对估值!C28-绝对估值!C29-绝对估值!C30))/绝对估值!C32</f>
        <v>27.24390319601509</v>
      </c>
      <c r="L9" s="512">
        <f ca="1">((绝对估值!D22+NPV(A9,绝对估值!E22:'绝对估值'!F22))+(NPV(A9,绝对估值!D23:'绝对估值'!I23)/(1+A9)^(目录!C9-1))+(绝对估值!F22*POWER((1+绝对估值!$B$3),绝对估值!B2)*(1+$L$3)/POWER((1+$A$9),目录!C9+绝对估值!B2-1)/(A9-$L$3))+(绝对估值!C28-绝对估值!C29-绝对估值!C30))/绝对估值!C32</f>
        <v>30.756562502106259</v>
      </c>
    </row>
    <row r="10" spans="1:12" ht="20.25" customHeight="1" outlineLevel="1">
      <c r="A10" s="341">
        <f ca="1">A9*1.1</f>
        <v>9.1241085243759429E-2</v>
      </c>
      <c r="B10" s="511">
        <f ca="1">((绝对估值!D22+NPV(A10,绝对估值!E22:'绝对估值'!F22))+(NPV(A10,绝对估值!D23:'绝对估值'!I23)/(1+A10)^(目录!C9-1))+(绝对估值!F22*POWER((1+绝对估值!$B$3),绝对估值!B2)*(1+$B$3)/POWER((1+$A$10),目录!C9+绝对估值!B2-1)/(A10-$B$3))+(绝对估值!C28-绝对估值!C29-绝对估值!C30))/绝对估值!C32</f>
        <v>13.489360295523483</v>
      </c>
      <c r="C10" s="511">
        <f ca="1">((绝对估值!D22+NPV(A10,绝对估值!E22:'绝对估值'!F22))+(NPV(A10,绝对估值!D23:'绝对估值'!I23)/(1+A10)^(目录!C9-1))+(绝对估值!F22*POWER((1+绝对估值!$B$3),绝对估值!B2)*(1+$C$3)/POWER((1+$A$10),目录!C9+绝对估值!B2-1)/(A10-$C$3))+(绝对估值!C28-绝对估值!C29-绝对估值!C30))/绝对估值!C32</f>
        <v>13.860853131469012</v>
      </c>
      <c r="D10" s="511">
        <f ca="1">((绝对估值!D22+NPV(A10,绝对估值!E22:'绝对估值'!F22))+(NPV(A10,绝对估值!D23:'绝对估值'!I23)/(1+A10)^(目录!C9-1))+(绝对估值!F22*POWER((1+绝对估值!$B$3),绝对估值!B2)*(1+$D$3)/POWER((1+$A$10),目录!C9+绝对估值!B2-1)/(A10-$D$3))+(绝对估值!C28-绝对估值!C29-绝对估值!C30))/绝对估值!C32</f>
        <v>14.292762934087428</v>
      </c>
      <c r="E10" s="511">
        <f ca="1">((绝对估值!D22+NPV(A10,绝对估值!E22:'绝对估值'!F22))+(NPV(A10,绝对估值!D23:'绝对估值'!I23)/(1+A10)^(目录!C9-1))+(绝对估值!F22*POWER((1+绝对估值!$B$3),绝对估值!B2)*(1+$E$3)/POWER((1+$A$10),目录!C9+绝对估值!B2-1)/(A10-$E$3))+(绝对估值!C28-绝对估值!C29-绝对估值!C30))/绝对估值!C32</f>
        <v>14.79863004191799</v>
      </c>
      <c r="F10" s="511">
        <f ca="1">((绝对估值!D22+NPV(A10,绝对估值!E22:'绝对估值'!F22))+(NPV(A10,绝对估值!D23:'绝对估值'!I23)/(1+A10)^(目录!C9-1))+(绝对估值!F22*POWER((1+绝对估值!$B$3),绝对估值!B2)*(1+$F$3)/POWER((1+$A$10),目录!C9+绝对估值!B2-1)/(A10-$F$3))+(绝对估值!C28-绝对估值!C29-绝对估值!C30))/绝对估值!C32</f>
        <v>15.396258178900551</v>
      </c>
      <c r="G10" s="511">
        <f ca="1">((绝对估值!D22+NPV(A10,绝对估值!E22:'绝对估值'!F22))+(NPV(A10,绝对估值!D23:'绝对估值'!I23)/(1+A10)^(目录!C9-1))+(绝对估值!F22*POWER((1+绝对估值!$B$3),绝对估值!B2)*(1+$G$3)/POWER((1+$A$10),目录!C9+绝对估值!B2-1)/(A10-$G$3))+(绝对估值!C28-绝对估值!C29-绝对估值!C30))/绝对估值!C32</f>
        <v>16.109539375751368</v>
      </c>
      <c r="H10" s="511">
        <f ca="1">((绝对估值!D22+NPV(A10,绝对估值!E22:'绝对估值'!F22))+(NPV(A10,绝对估值!D23:'绝对估值'!I23)/(1+A10)^(目录!C9-1))+(绝对估值!F22*POWER((1+绝对估值!$B$3),绝对估值!B2)*(1+$H$3)/POWER((1+$A$10),目录!C9+绝对估值!B2-1)/(A10-$H$3))+(绝对估值!C28-绝对估值!C29-绝对估值!C30))/绝对估值!C32</f>
        <v>16.971305076330456</v>
      </c>
      <c r="I10" s="511">
        <f ca="1">((绝对估值!D22+NPV(A10,绝对估值!E22:'绝对估值'!F22))+(NPV(A10,绝对估值!D23:'绝对估值'!I23)/(1+A10)^(目录!C9-1))+(绝对估值!F22*POWER((1+绝对估值!$B$3),绝对估值!B2)*(1+$I$3)/POWER((1+$A$10),目录!C9+绝对估值!B2-1)/(A10-$I$3))+(绝对估值!C28-绝对估值!C29-绝对估值!C30))/绝对估值!C32</f>
        <v>18.027946261059103</v>
      </c>
      <c r="J10" s="511">
        <f ca="1">((绝对估值!D22+NPV(A10,绝对估值!E22:'绝对估值'!F22))+(NPV(A10,绝对估值!D23:'绝对估值'!I23)/(1+A10)^(目录!C9-1))+(绝对估值!F22*POWER((1+绝对估值!$B$3),绝对估值!B2)*(1+$J$3)/POWER((1+$A$10),目录!C9+绝对估值!B2-1)/(A10-$J$3))+(绝对估值!C28-绝对估值!C29-绝对估值!C30))/绝对估值!C32</f>
        <v>19.347230815682043</v>
      </c>
      <c r="K10" s="511">
        <f ca="1">((绝对估值!D22+NPV(A10,绝对估值!E22:'绝对估值'!F22))+(NPV(A10,绝对估值!D23:'绝对估值'!I23)/(1+A10)^(目录!C9-1))+(绝对估值!F22*POWER((1+绝对估值!$B$3),绝对估值!B2)*(1+$K$3)/POWER((1+$A$10),目录!C9+绝对估值!B2-1)/(A10-$K$3))+(绝对估值!C28-绝对估值!C29-绝对估值!C30))/绝对估值!C32</f>
        <v>21.032235973502978</v>
      </c>
      <c r="L10" s="512">
        <f ca="1">((绝对估值!D22+NPV(A10,绝对估值!E22:'绝对估值'!F22))+(NPV(A10,绝对估值!D23:'绝对估值'!I23)/(1+A10)^(目录!C9-1))+(绝对估值!F22*POWER((1+绝对估值!$B$3),绝对估值!B2)*(1+$L$3)/POWER((1+$A$10),目录!C9+绝对估值!B2-1)/(A10-$L$3))+(绝对估值!C28-绝对估值!C29-绝对估值!C30))/绝对估值!C32</f>
        <v>23.247813092895644</v>
      </c>
    </row>
    <row r="11" spans="1:12" ht="20.25" customHeight="1" outlineLevel="1">
      <c r="A11" s="341">
        <f ca="1">A10*1.1</f>
        <v>0.10036519376813538</v>
      </c>
      <c r="B11" s="511">
        <f ca="1">((绝对估值!D22+NPV(A11,绝对估值!E22:'绝对估值'!F22))+(NPV(A11,绝对估值!D23:'绝对估值'!I23)/(1+A11)^(目录!C9-1))+(绝对估值!F22*POWER((1+绝对估值!$B$3),绝对估值!B2)*(1+$B$3)/POWER((1+$A$11),目录!C9+绝对估值!B2-1)/(A11-$B$3))+(绝对估值!C28-绝对估值!C29-绝对估值!C30))/绝对估值!C32</f>
        <v>11.0286737350055</v>
      </c>
      <c r="C11" s="511">
        <f ca="1">((绝对估值!D22+NPV(A11,绝对估值!E22:'绝对估值'!F22))+(NPV(A11,绝对估值!D23:'绝对估值'!I23)/(1+A11)^(目录!C9-1))+(绝对估值!F22*POWER((1+绝对估值!$B$3),绝对估值!B2)*(1+$C$3)/POWER((1+$A$11),目录!C9+绝对估值!B2-1)/(A11-$C$3))+(绝对估值!C28-绝对估值!C29-绝对估值!C30))/绝对估值!C32</f>
        <v>11.304448039611245</v>
      </c>
      <c r="D11" s="511">
        <f ca="1">((绝对估值!D22+NPV(A11,绝对估值!E22:'绝对估值'!F22))+(NPV(A11,绝对估值!D23:'绝对估值'!I23)/(1+A11)^(目录!C9-1))+(绝对估值!F22*POWER((1+绝对估值!$B$3),绝对估值!B2)*(1+$D$3)/POWER((1+$A$11),目录!C9+绝对估值!B2-1)/(A11-$D$3))+(绝对估值!C28-绝对估值!C29-绝对估值!C30))/绝对估值!C32</f>
        <v>11.623047332668241</v>
      </c>
      <c r="E11" s="511">
        <f ca="1">((绝对估值!D22+NPV(A11,绝对估值!E22:'绝对估值'!F22))+(NPV(A11,绝对估值!D23:'绝对估值'!I23)/(1+A11)^(目录!C9-1))+(绝对估值!F22*POWER((1+绝对估值!$B$3),绝对估值!B2)*(1+$E$3)/POWER((1+$A$11),目录!C9+绝对估值!B2-1)/(A11-$E$3))+(绝对估值!C28-绝对估值!C29-绝对估值!C30))/绝对估值!C32</f>
        <v>11.993461360783686</v>
      </c>
      <c r="F11" s="511">
        <f ca="1">((绝对估值!D22+NPV(A11,绝对估值!E22:'绝对估值'!F22))+(NPV(A11,绝对估值!D23:'绝对估值'!I23)/(1+A11)^(目录!C9-1))+(绝对估值!F22*POWER((1+绝对估值!$B$3),绝对估值!B2)*(1+$F$3)/POWER((1+$A$11),目录!C9+绝对估值!B2-1)/(A11-$F$3))+(绝对估值!C28-绝对估值!C29-绝对估值!C30))/绝对估值!C32</f>
        <v>12.427302574774775</v>
      </c>
      <c r="G11" s="511">
        <f ca="1">((绝对估值!D22+NPV(A11,绝对估值!E22:'绝对估值'!F22))+(NPV(A11,绝对估值!D23:'绝对估值'!I23)/(1+A11)^(目录!C9-1))+(绝对估值!F22*POWER((1+绝对估值!$B$3),绝对估值!B2)*(1+$G$3)/POWER((1+$A$11),目录!C9+绝对估值!B2-1)/(A11-$G$3))+(绝对估值!C28-绝对估值!C29-绝对估值!C30))/绝对估值!C32</f>
        <v>12.939839785536851</v>
      </c>
      <c r="H11" s="511">
        <f ca="1">((绝对估值!D22+NPV(A11,绝对估值!E22:'绝对估值'!F22))+(NPV(A11,绝对估值!D23:'绝对估值'!I23)/(1+A11)^(目录!C9-1))+(绝对估值!F22*POWER((1+绝对估值!$B$3),绝对估值!B2)*(1+$H$3)/POWER((1+$A$11),目录!C9+绝对估值!B2-1)/(A11-$H$3))+(绝对估值!C28-绝对估值!C29-绝对估值!C30))/绝对估值!C32</f>
        <v>13.551563251183534</v>
      </c>
      <c r="I11" s="511">
        <f ca="1">((绝对估值!D22+NPV(A11,绝对估值!E22:'绝对估值'!F22))+(NPV(A11,绝对估值!D23:'绝对估值'!I23)/(1+A11)^(目录!C9-1))+(绝对估值!F22*POWER((1+绝对估值!$B$3),绝对估值!B2)*(1+$I$3)/POWER((1+$A$11),目录!C9+绝对估值!B2-1)/(A11-$I$3))+(绝对估值!C28-绝对估值!C29-绝对估值!C30))/绝对估值!C32</f>
        <v>14.290629839874144</v>
      </c>
      <c r="J11" s="511">
        <f ca="1">((绝对估值!D22+NPV(A11,绝对估值!E22:'绝对估值'!F22))+(NPV(A11,绝对估值!D23:'绝对估值'!I23)/(1+A11)^(目录!C9-1))+(绝对估值!F22*POWER((1+绝对估值!$B$3),绝对估值!B2)*(1+$J$3)/POWER((1+$A$11),目录!C9+绝对估值!B2-1)/(A11-$J$3))+(绝对估值!C28-绝对估值!C29-绝对估值!C30))/绝对估值!C32</f>
        <v>15.196825335172509</v>
      </c>
      <c r="K11" s="511">
        <f ca="1">((绝对估值!D22+NPV(A11,绝对估值!E22:'绝对估值'!F22))+(NPV(A11,绝对估值!D23:'绝对估值'!I23)/(1+A11)^(目录!C9-1))+(绝对估值!F22*POWER((1+绝对估值!$B$3),绝对估值!B2)*(1+$K$3)/POWER((1+$A$11),目录!C9+绝对估值!B2-1)/(A11-$K$3))+(绝对估值!C28-绝对估值!C29-绝对估值!C30))/绝对估值!C32</f>
        <v>16.328268759576819</v>
      </c>
      <c r="L11" s="512">
        <f ca="1">((绝对估值!D22+NPV(A11,绝对估值!E22:'绝对估值'!F22))+(NPV(A11,绝对估值!D23:'绝对估值'!I23)/(1+A11)^(目录!C9-1))+(绝对估值!F22*POWER((1+绝对估值!$B$3),绝对估值!B2)*(1+$L$3)/POWER((1+$A$11),目录!C9+绝对估值!B2-1)/(A11-$L$3))+(绝对估值!C28-绝对估值!C29-绝对估值!C30))/绝对估值!C32</f>
        <v>17.773361100894146</v>
      </c>
    </row>
    <row r="12" spans="1:12" ht="20.25" customHeight="1" outlineLevel="1">
      <c r="A12" s="341">
        <f ca="1">A11*1.1</f>
        <v>0.11040171314494893</v>
      </c>
      <c r="B12" s="511">
        <f ca="1">((绝对估值!D22+NPV(A12,绝对估值!E22:'绝对估值'!F22))+(NPV(A12,绝对估值!D23:'绝对估值'!I23)/(1+A12)^(目录!C9-1))+(绝对估值!F22*POWER((1+绝对估值!$B$3),绝对估值!B2)*(1+$B$3)/POWER((1+$A$12),目录!C9+绝对估值!B2-1)/(A12-$B$3))+(绝对估值!C28-绝对估值!C29-绝对估值!C30))/绝对估值!C32</f>
        <v>8.9044536029942538</v>
      </c>
      <c r="C12" s="511">
        <f ca="1">((绝对估值!D22+NPV(A12,绝对估值!E22:'绝对估值'!F22))+(NPV(A12,绝对估值!D23:'绝对估值'!I23)/(1+A12)^(目录!C9-1))+(绝对估值!F22*POWER((1+绝对估值!$B$3),绝对估值!B2)*(1+$C$3)/POWER((1+$A$12),目录!C9+绝对估值!B2-1)/(A12-$C$3))+(绝对估值!C28-绝对估值!C29-绝对估值!C30))/绝对估值!C32</f>
        <v>9.109214905780787</v>
      </c>
      <c r="D12" s="511">
        <f ca="1">((绝对估值!D22+NPV(A12,绝对估值!E22:'绝对估值'!F22))+(NPV(A12,绝对估值!D23:'绝对估值'!I23)/(1+A12)^(目录!C9-1))+(绝对估值!F22*POWER((1+绝对估值!$B$3),绝对估值!B2)*(1+$D$3)/POWER((1+$A$12),目录!C9+绝对估值!B2-1)/(A12-$D$3))+(绝对估值!C28-绝对估值!C29-绝对估值!C30))/绝对估值!C32</f>
        <v>9.3444803608396647</v>
      </c>
      <c r="E12" s="511">
        <f ca="1">((绝对估值!D22+NPV(A12,绝对估值!E22:'绝对估值'!F22))+(NPV(A12,绝对估值!D23:'绝对估值'!I23)/(1+A12)^(目录!C9-1))+(绝对估值!F22*POWER((1+绝对估值!$B$3),绝对估值!B2)*(1+$E$3)/POWER((1+$A$12),目录!C9+绝对估值!B2-1)/(A12-$E$3))+(绝对估值!C28-绝对估值!C29-绝对估值!C30))/绝对估值!C32</f>
        <v>9.6162801855900142</v>
      </c>
      <c r="F12" s="511">
        <f ca="1">((绝对估值!D22+NPV(A12,绝对估值!E22:'绝对估值'!F22))+(NPV(A12,绝对估值!D23:'绝对估值'!I23)/(1+A12)^(目录!C9-1))+(绝对估值!F22*POWER((1+绝对估值!$B$3),绝对估值!B2)*(1+$F$3)/POWER((1+$A$12),目录!C9+绝对估值!B2-1)/(A12-$F$3))+(绝对估值!C28-绝对估值!C29-绝对估值!C30))/绝对估值!C32</f>
        <v>9.9322836109611998</v>
      </c>
      <c r="G12" s="511">
        <f ca="1">((绝对估值!D22+NPV(A12,绝对估值!E22:'绝对估值'!F22))+(NPV(A12,绝对估值!D23:'绝对估值'!I23)/(1+A12)^(目录!C9-1))+(绝对估值!F22*POWER((1+绝对估值!$B$3),绝对估值!B2)*(1+$G$3)/POWER((1+$A$12),目录!C9+绝对估值!B2-1)/(A12-$G$3))+(绝对估值!C28-绝对估值!C29-绝对估值!C30))/绝对估值!C32</f>
        <v>10.302397319628984</v>
      </c>
      <c r="H12" s="511">
        <f ca="1">((绝对估值!D22+NPV(A12,绝对估值!E22:'绝对估值'!F22))+(NPV(A12,绝对估值!D23:'绝对估值'!I23)/(1+A12)^(目录!C9-1))+(绝对估值!F22*POWER((1+绝对估值!$B$3),绝对估值!B2)*(1+$H$3)/POWER((1+$A$12),目录!C9+绝对估值!B2-1)/(A12-$H$3))+(绝对估值!C28-绝对估值!C29-绝对估值!C30))/绝对估值!C32</f>
        <v>10.739647266816538</v>
      </c>
      <c r="I12" s="511">
        <f ca="1">((绝对估值!D22+NPV(A12,绝对估值!E22:'绝对估值'!F22))+(NPV(A12,绝对估值!D23:'绝对估值'!I23)/(1+A12)^(目录!C9-1))+(绝对估值!F22*POWER((1+绝对估值!$B$3),绝对估值!B2)*(1+$I$3)/POWER((1+$A$12),目录!C9+绝对估值!B2-1)/(A12-$I$3))+(绝对估值!C28-绝对估值!C29-绝对估值!C30))/绝对估值!C32</f>
        <v>11.261513869730509</v>
      </c>
      <c r="J12" s="511">
        <f ca="1">((绝对估值!D22+NPV(A12,绝对估值!E22:'绝对估值'!F22))+(NPV(A12,绝对估值!D23:'绝对估值'!I23)/(1+A12)^(目录!C9-1))+(绝对估值!F22*POWER((1+绝对估值!$B$3),绝对估值!B2)*(1+$J$3)/POWER((1+$A$12),目录!C9+绝对估值!B2-1)/(A12-$J$3))+(绝对估值!C28-绝对估值!C29-绝对估值!C30))/绝对估值!C32</f>
        <v>11.892017997211456</v>
      </c>
      <c r="K12" s="511">
        <f ca="1">((绝对估值!D22+NPV(A12,绝对估值!E22:'绝对估值'!F22))+(NPV(A12,绝对估值!D23:'绝对估值'!I23)/(1+A12)^(目录!C9-1))+(绝对估值!F22*POWER((1+绝对估值!$B$3),绝对估值!B2)*(1+$K$3)/POWER((1+$A$12),目录!C9+绝对估值!B2-1)/(A12-$K$3))+(绝对估值!C28-绝对估值!C29-绝对估值!C30))/绝对估值!C32</f>
        <v>12.66510124685818</v>
      </c>
      <c r="L12" s="512">
        <f ca="1">((绝对估值!D22+NPV(A12,绝对估值!E22:'绝对估值'!F22))+(NPV(A12,绝对估值!D23:'绝对估值'!I23)/(1+A12)^(目录!C9-1))+(绝对估值!F22*POWER((1+绝对估值!$B$3),绝对估值!B2)*(1+$L$3)/POWER((1+$A$12),目录!C9+绝对估值!B2-1)/(A12-$L$3))+(绝对估值!C28-绝对估值!C29-绝对估值!C30))/绝对估值!C32</f>
        <v>13.630345461675109</v>
      </c>
    </row>
    <row r="13" spans="1:12" ht="20.25" customHeight="1" outlineLevel="1">
      <c r="A13" s="341">
        <f ca="1">A12*1.1</f>
        <v>0.12144188445944383</v>
      </c>
      <c r="B13" s="511">
        <f ca="1">((绝对估值!D22+NPV(A13,绝对估值!E22:'绝对估值'!F22))+(NPV(A13,绝对估值!D23:'绝对估值'!I23)/(1+A13)^(目录!C9-1))+(绝对估值!F22*POWER((1+绝对估值!$B$3),绝对估值!B2)*(1+$B$3)/POWER((1+$A$13),目录!C9+绝对估值!B2-1)/(A13-$B$3))+(绝对估值!C28-绝对估值!C29-绝对估值!C30))/绝对估值!C32</f>
        <v>7.0646872863723278</v>
      </c>
      <c r="C13" s="511">
        <f ca="1">((绝对估值!D22+NPV(A13,绝对估值!E22:'绝对估值'!F22))+(NPV(A13,绝对估值!D23:'绝对估值'!I23)/(1+A13)^(目录!C9-1))+(绝对估值!F22*POWER((1+绝对估值!$B$3),绝对估值!B2)*(1+$C$3)/POWER((1+$A$13),目录!C9+绝对估值!B2-1)/(A13-$C$3))+(绝对估值!C28-绝对估值!C29-绝对估值!C30))/绝对估值!C32</f>
        <v>7.2165809604352225</v>
      </c>
      <c r="D13" s="511">
        <f ca="1">((绝对估值!D22+NPV(A13,绝对估值!E22:'绝对估值'!F22))+(NPV(A13,绝对估值!D23:'绝对估值'!I23)/(1+A13)^(目录!C9-1))+(绝对估值!F22*POWER((1+绝对估值!$B$3),绝对估值!B2)*(1+$D$3)/POWER((1+$A$13),目录!C9+绝对估值!B2-1)/(A13-$D$3))+(绝对估值!C28-绝对估值!C29-绝对估值!C30))/绝对估值!C32</f>
        <v>7.3902724957202564</v>
      </c>
      <c r="E13" s="511">
        <f ca="1">((绝对估值!D22+NPV(A13,绝对估值!E22:'绝对估值'!F22))+(NPV(A13,绝对估值!D23:'绝对估值'!I23)/(1+A13)^(目录!C9-1))+(绝对估值!F22*POWER((1+绝对估值!$B$3),绝对估值!B2)*(1+$E$3)/POWER((1+$A$13),目录!C9+绝对估值!B2-1)/(A13-$E$3))+(绝对估值!C28-绝对估值!C29-绝对估值!C30))/绝对估值!C32</f>
        <v>7.5898395893683634</v>
      </c>
      <c r="F13" s="511">
        <f ca="1">((绝对估值!D22+NPV(A13,绝对估值!E22:'绝对估值'!F22))+(NPV(A13,绝对估值!D23:'绝对估值'!I23)/(1+A13)^(目录!C9-1))+(绝对估值!F22*POWER((1+绝对估值!$B$3),绝对估值!B2)*(1+$F$3)/POWER((1+$A$13),目录!C9+绝对估值!B2-1)/(A13-$F$3))+(绝对估值!C28-绝对估值!C29-绝对估值!C30))/绝对估值!C32</f>
        <v>7.8203974545930626</v>
      </c>
      <c r="G13" s="511">
        <f ca="1">((绝对估值!D22+NPV(A13,绝对估值!E22:'绝对估值'!F22))+(NPV(A13,绝对估值!D23:'绝对估值'!I23)/(1+A13)^(目录!C9-1))+(绝对估值!F22*POWER((1+绝对估值!$B$3),绝对估值!B2)*(1+$G$3)/POWER((1+$A$13),目录!C9+绝对估值!B2-1)/(A13-$G$3))+(绝对估值!C28-绝对估值!C29-绝对估值!C30))/绝对估值!C32</f>
        <v>8.0884516199119432</v>
      </c>
      <c r="H13" s="511">
        <f ca="1">((绝对估值!D22+NPV(A13,绝对估值!E22:'绝对估值'!F22))+(NPV(A13,绝对估值!D23:'绝对估值'!I23)/(1+A13)^(目录!C9-1))+(绝对估值!F22*POWER((1+绝对估值!$B$3),绝对估值!B2)*(1+$H$3)/POWER((1+$A$13),目录!C9+绝对估值!B2-1)/(A13-$H$3))+(绝对估值!C28-绝对估值!C29-绝对估值!C30))/绝对估值!C32</f>
        <v>8.4024055624474769</v>
      </c>
      <c r="I13" s="511">
        <f ca="1">((绝对估值!D22+NPV(A13,绝对估值!E22:'绝对估值'!F22))+(NPV(A13,绝对估值!D23:'绝对估值'!I23)/(1+A13)^(目录!C9-1))+(绝对估值!F22*POWER((1+绝对估值!$B$3),绝对估值!B2)*(1+$I$3)/POWER((1+$A$13),目录!C9+绝对估值!B2-1)/(A13-$I$3))+(绝对估值!C28-绝对估值!C29-绝对估值!C30))/绝对估值!C32</f>
        <v>8.7733087243084977</v>
      </c>
      <c r="J13" s="511">
        <f ca="1">((绝对估值!D22+NPV(A13,绝对估值!E22:'绝对估值'!F22))+(NPV(A13,绝对估值!D23:'绝对估值'!I23)/(1+A13)^(目录!C9-1))+(绝对估值!F22*POWER((1+绝对估值!$B$3),绝对估值!B2)*(1+$J$3)/POWER((1+$A$13),目录!C9+绝对估值!B2-1)/(A13-$J$3))+(绝对估值!C28-绝对估值!C29-绝对估值!C30))/绝对估值!C32</f>
        <v>9.2159891050277487</v>
      </c>
      <c r="K13" s="511">
        <f ca="1">((绝对估值!D22+NPV(A13,绝对估值!E22:'绝对估值'!F22))+(NPV(A13,绝对估值!D23:'绝对估值'!I23)/(1+A13)^(目录!C9-1))+(绝对估值!F22*POWER((1+绝对估值!$B$3),绝对估值!B2)*(1+$K$3)/POWER((1+$A$13),目录!C9+绝对估值!B2-1)/(A13-$K$3))+(绝对估值!C28-绝对估值!C29-绝对估值!C30))/绝对估值!C32</f>
        <v>9.7508227304021915</v>
      </c>
      <c r="L13" s="512">
        <f ca="1">((绝对估值!D22+NPV(A13,绝对估值!E22:'绝对估值'!F22))+(NPV(A13,绝对估值!D23:'绝对估值'!I23)/(1+A13)^(目录!C9-1))+(绝对估值!F22*POWER((1+绝对估值!$B$3),绝对估值!B2)*(1+$L$3)/POWER((1+$A$13),目录!C9+绝对估值!B2-1)/(A13-$L$3))+(绝对估值!C28-绝对估值!C29-绝对估值!C30))/绝对估值!C32</f>
        <v>10.406601018130072</v>
      </c>
    </row>
    <row r="14" spans="1:12" ht="20.25" customHeight="1" outlineLevel="1">
      <c r="A14" s="341">
        <f ca="1">A13*1.1</f>
        <v>0.13358607290538824</v>
      </c>
      <c r="B14" s="513">
        <f ca="1">((绝对估值!D22+NPV(A14,绝对估值!E22:'绝对估值'!F22))+(NPV(A14,绝对估值!D23:'绝对估值'!I23)/(1+A14)^(目录!C9-1))+(绝对估值!F22*POWER((1+绝对估值!$B$3),绝对估值!B2)*(1+$B$3)/POWER((1+$A$14),目录!C9+绝对估值!B2-1)/(A14-$B$3))+(绝对估值!C28-绝对估值!C29-绝对估值!C30))/绝对估值!C32</f>
        <v>5.4673797128527299</v>
      </c>
      <c r="C14" s="513">
        <f ca="1">((绝对估值!D22+NPV(A14,绝对估值!E22:'绝对估值'!F22))+(NPV(A14,绝对估值!D23:'绝对估值'!I23)/(1+A14)^(目录!C9-1))+(绝对估值!F22*POWER((1+绝对估值!$B$3),绝对估值!B2)*(1+$C$3)/POWER((1+$A$14),目录!C9+绝对估值!B2-1)/(A14-$C$3))+(绝对估值!C28-绝对估值!C29-绝对估值!C30))/绝对估值!C32</f>
        <v>5.5798336733716338</v>
      </c>
      <c r="D14" s="513">
        <f ca="1">((绝对估值!D22+NPV(A14,绝对估值!E22:'绝对估值'!F22))+(NPV(A14,绝对估值!D23:'绝对估值'!I23)/(1+A14)^(目录!C9-1))+(绝对估值!F22*POWER((1+绝对估值!$B$3),绝对估值!B2)*(1+$D$3)/POWER((1+$A$14),目录!C9+绝对估值!B2-1)/(A14-$D$3))+(绝对估值!C28-绝对估值!C29-绝对估值!C30))/绝对估值!C32</f>
        <v>5.7078905478985469</v>
      </c>
      <c r="E14" s="513">
        <f ca="1">((绝对估值!D22+NPV(A14,绝对估值!E22:'绝对估值'!F22))+(NPV(A14,绝对估值!D23:'绝对估值'!I23)/(1+A14)^(目录!C9-1))+(绝对估值!F22*POWER((1+绝对估值!$B$3),绝对估值!B2)*(1+$E$3)/POWER((1+$A$14),目录!C9+绝对估值!B2-1)/(A14-$E$3))+(绝对估值!C28-绝对估值!C29-绝对估值!C30))/绝对估值!C32</f>
        <v>5.8543245273095188</v>
      </c>
      <c r="F14" s="513">
        <f ca="1">((绝对估值!D22+NPV(A14,绝对估值!E22:'绝对估值'!F22))+(NPV(A14,绝对估值!D23:'绝对估值'!I23)/(1+A14)^(目录!C9-1))+(绝对估值!F22*POWER((1+绝对估值!$B$3),绝对估值!B2)*(1+$F$3)/POWER((1+$A$14),目录!C9+绝对估值!B2-1)/(A14-$F$3))+(绝对估值!C28-绝对估值!C29-绝对估值!C30))/绝对估值!C32</f>
        <v>6.0225733923703153</v>
      </c>
      <c r="G14" s="513">
        <f ca="1">((绝对估值!D22+NPV(A14,绝对估值!E22:'绝对估值'!F22))+(NPV(A14,绝对估值!D23:'绝对估值'!I23)/(1+A14)^(目录!C9-1))+(绝对估值!F22*POWER((1+绝对估值!$B$3),绝对估值!B2)*(1+$G$3)/POWER((1+$A$14),目录!C9+绝对估值!B2-1)/(A14-$G$3))+(绝对估值!C28-绝对估值!C29-绝对估值!C30))/绝对估值!C32</f>
        <v>6.2169496216663891</v>
      </c>
      <c r="H14" s="513">
        <f ca="1">((绝对估值!D22+NPV(A14,绝对估值!E22:'绝对估值'!F22))+(NPV(A14,绝对估值!D23:'绝对估值'!I23)/(1+A14)^(目录!C9-1))+(绝对估值!F22*POWER((1+绝对估值!$B$3),绝对估值!B2)*(1+$H$3)/POWER((1+$A$14),目录!C9+绝对估值!B2-1)/(A14-$H$3))+(绝对估值!C28-绝对估值!C29-绝对估值!C30))/绝对估值!C32</f>
        <v>6.4429378257600156</v>
      </c>
      <c r="I14" s="513">
        <f ca="1">((绝对估值!D22+NPV(A14,绝对估值!E22:'绝对估值'!F22))+(NPV(A14,绝对估值!D23:'绝对估值'!I23)/(1+A14)^(目录!C9-1))+(绝对估值!F22*POWER((1+绝对估值!$B$3),绝对估值!B2)*(1+$I$3)/POWER((1+$A$14),目录!C9+绝对估值!B2-1)/(A14-$I$3))+(绝对估值!C28-绝对估值!C29-绝对估值!C30))/绝对估值!C32</f>
        <v>6.7076227171785723</v>
      </c>
      <c r="J14" s="513">
        <f ca="1">((绝对估值!D22+NPV(A14,绝对估值!E22:'绝对估值'!F22))+(NPV(A14,绝对估值!D23:'绝对估值'!I23)/(1+A14)^(目录!C9-1))+(绝对估值!F22*POWER((1+绝对估值!$B$3),绝对估值!B2)*(1+$J$3)/POWER((1+$A$14),目录!C9+绝对估值!B2-1)/(A14-$J$3))+(绝对估值!C28-绝对估值!C29-绝对估值!C30))/绝对估值!C32</f>
        <v>7.0203197399683779</v>
      </c>
      <c r="K14" s="513">
        <f ca="1">((绝对估值!D22+NPV(A14,绝对估值!E22:'绝对估值'!F22))+(NPV(A14,绝对估值!D23:'绝对估值'!I23)/(1+A14)^(目录!C9-1))+(绝对估值!F22*POWER((1+绝对估值!$B$3),绝对估值!B2)*(1+$K$3)/POWER((1+$A$14),目录!C9+绝对估值!B2-1)/(A14-$K$3))+(绝对估值!C28-绝对估值!C29-绝对估值!C30))/绝对估值!C32</f>
        <v>7.3935299234669891</v>
      </c>
      <c r="L14" s="514">
        <f ca="1">((绝对估值!D22+NPV(A14,绝对估值!E22:'绝对估值'!F22))+(NPV(A14,绝对估值!D23:'绝对估值'!I23)/(1+A14)^(目录!C9-1))+(绝对估值!F22*POWER((1+绝对估值!$B$3),绝对估值!B2)*(1+$L$3)/POWER((1+$A$14),目录!C9+绝对估值!B2-1)/(A14-$L$3))+(绝对估值!C28-绝对估值!C29-绝对估值!C30))/绝对估值!C32</f>
        <v>7.8444316669391396</v>
      </c>
    </row>
    <row r="15" spans="1:12" ht="9.75" customHeight="1"/>
    <row r="16" spans="1:12" ht="30" customHeight="1">
      <c r="A16" s="1306" t="s">
        <v>294</v>
      </c>
      <c r="B16" s="1306"/>
    </row>
    <row r="17" spans="1:12" ht="18" customHeight="1" outlineLevel="1">
      <c r="A17" s="1307" t="s">
        <v>280</v>
      </c>
      <c r="B17" s="1307"/>
    </row>
    <row r="18" spans="1:12" ht="27" customHeight="1" outlineLevel="1">
      <c r="A18" s="338" t="s">
        <v>854</v>
      </c>
      <c r="B18" s="340">
        <f>C18/1.1</f>
        <v>1.8627639691774646E-2</v>
      </c>
      <c r="C18" s="339">
        <f>D18/1.1</f>
        <v>2.0490403660952113E-2</v>
      </c>
      <c r="D18" s="339">
        <f>E18/1.1</f>
        <v>2.2539444027047325E-2</v>
      </c>
      <c r="E18" s="339">
        <f>F18/1.1</f>
        <v>2.479338842975206E-2</v>
      </c>
      <c r="F18" s="339">
        <f>G18/1.1</f>
        <v>2.7272727272727268E-2</v>
      </c>
      <c r="G18" s="339">
        <f>G3</f>
        <v>0.03</v>
      </c>
      <c r="H18" s="339">
        <f>G18*1.1</f>
        <v>3.3000000000000002E-2</v>
      </c>
      <c r="I18" s="339">
        <f>H18*1.1</f>
        <v>3.6300000000000006E-2</v>
      </c>
      <c r="J18" s="339">
        <f>I18*1.1</f>
        <v>3.9930000000000007E-2</v>
      </c>
      <c r="K18" s="339">
        <f>J18*1.1</f>
        <v>4.3923000000000011E-2</v>
      </c>
      <c r="L18" s="339">
        <f>K18*1.1</f>
        <v>4.8315300000000012E-2</v>
      </c>
    </row>
    <row r="19" spans="1:12" ht="20.25" customHeight="1" outlineLevel="1">
      <c r="A19" s="341">
        <f>A20/1.1</f>
        <v>6.5817660244270437E-2</v>
      </c>
      <c r="B19" s="511">
        <f ca="1">((绝对估值!D41+NPV(A19,绝对估值!E41:'绝对估值'!F41))+(NPV(A19,绝对估值!D42:'绝对估值'!I42)/(1+A19)^(目录!C9-1))+(绝对估值!F41*POWER((1+绝对估值!$B$3),绝对估值!B2)*(1+$B$3)/POWER((1+$A$19),目录!C9+绝对估值!B2-1)/(A19-$B$3))-绝对估值!C47)/绝对估值!C32</f>
        <v>8.4793318789888037</v>
      </c>
      <c r="C19" s="511">
        <f ca="1">((绝对估值!D41+NPV(A19,绝对估值!E41:'绝对估值'!F41))+(NPV(A19,绝对估值!D42:'绝对估值'!I42)/(1+A19)^(目录!C9-1))+(绝对估值!F41*POWER((1+绝对估值!$B$3),绝对估值!B2)*(1+$C$3)/POWER((1+$A$19),目录!C9+绝对估值!B2-1)/(A19-$C$3))-绝对估值!C47)/绝对估值!C32</f>
        <v>8.7677545954429768</v>
      </c>
      <c r="D19" s="511">
        <f ca="1">((绝对估值!D41+NPV(A19,绝对估值!E41:'绝对估值'!F41))+(NPV(A19,绝对估值!D42:'绝对估值'!I42)/(1+A19)^(目录!C9-1))+(绝对估值!F41*POWER((1+绝对估值!$B$3),绝对估值!B2)*(1+$D$3)/POWER((1+$A$19),目录!C9+绝对估值!B2-1)/(A19-$D$3))-绝对估值!C47)/绝对估值!C32</f>
        <v>9.1136963328255973</v>
      </c>
      <c r="E19" s="511">
        <f ca="1">((绝对估值!D41+NPV(A19,绝对估值!E41:'绝对估值'!F41))+(NPV(A19,绝对估值!D42:'绝对估值'!I42)/(1+A19)^(目录!C9-1))+(绝对估值!F41*POWER((1+绝对估值!$B$3),绝对估值!B2)*(1+$E$3)/POWER((1+$A$19),目录!C9+绝对估值!B2-1)/(A19-$E$3))-绝对估值!C47)/绝对估值!C32</f>
        <v>9.5341461816499429</v>
      </c>
      <c r="F19" s="511">
        <f ca="1">((绝对估值!D41+NPV(A19,绝对估值!E41:'绝对估值'!F41))+(NPV(A19,绝对估值!D42:'绝对估值'!I42)/(1+A19)^(目录!C9-1))+(绝对估值!F41*POWER((1+绝对估值!$B$3),绝对估值!B2)*(1+$F$3)/POWER((1+$A$19),目录!C9+绝对估值!B2-1)/(A19-$F$3))-绝对估值!C47)/绝对估值!C32</f>
        <v>10.053434966696946</v>
      </c>
      <c r="G19" s="511">
        <f ca="1">((绝对估值!D41+NPV(A19,绝对估值!E41:'绝对估值'!F41))+(NPV(A19,绝对估值!D42:'绝对估值'!I42)/(1+A19)^(目录!C9-1))+(绝对估值!F41*POWER((1+绝对估值!$B$3),绝对估值!B2)*(1+$G$3)/POWER((1+$A$19),目录!C9+绝对估值!B2-1)/(A19-$G$3))-绝对估值!C47)/绝对估值!C32</f>
        <v>10.707687325309555</v>
      </c>
      <c r="H19" s="511">
        <f ca="1">((绝对估值!D41+NPV(A19,绝对估值!E41:'绝对估值'!F41))+(NPV(A19,绝对估值!D42:'绝对估值'!I42)/(1+A19)^(目录!C9-1))+(绝对估值!F41*POWER((1+绝对估值!$B$3),绝对估值!B2)*(1+$H$3)/POWER((1+$A$19),目录!C9+绝对估值!B2-1)/(A19-$H$3))-绝对估值!C47)/绝对估值!C32</f>
        <v>11.552961620723709</v>
      </c>
      <c r="I19" s="511">
        <f ca="1">((绝对估值!D41+NPV(A19,绝对估值!E41:'绝对估值'!F41))+(NPV(A19,绝对估值!D42:'绝对估值'!I42)/(1+A19)^(目录!C9-1))+(绝对估值!F41*POWER((1+绝对估值!$B$3),绝对估值!B2)*(1+$I$3)/POWER((1+$A$19),目录!C9+绝对估值!B2-1)/(A19-$I$3))-绝对估值!C47)/绝对估值!C32</f>
        <v>12.681212369712513</v>
      </c>
      <c r="J19" s="511">
        <f ca="1">((绝对估值!D41+NPV(A19,绝对估值!E41:'绝对估值'!F41))+(NPV(A19,绝对估值!D42:'绝对估值'!I42)/(1+A19)^(目录!C9-1))+(绝对估值!F41*POWER((1+绝对估值!$B$3),绝对估值!B2)*(1+$J$3)/POWER((1+$A$19),目录!C9+绝对估值!B2-1)/(A19-$J$3))-绝对估值!C47)/绝对估值!C32</f>
        <v>14.254518120074344</v>
      </c>
      <c r="K19" s="511">
        <f ca="1">((绝对估值!D41+NPV(A19,绝对估值!E41:'绝对估值'!F41))+(NPV(A19,绝对估值!D42:'绝对估值'!I42)/(1+A19)^(目录!C9-1))+(绝对估值!F41*POWER((1+绝对估值!$B$3),绝对估值!B2)*(1+$K$3)/POWER((1+$A$19),目录!C9+绝对估值!B2-1)/(A19-$K$3))-绝对估值!C47)/绝对估值!C32</f>
        <v>16.587705047369067</v>
      </c>
      <c r="L19" s="512">
        <f ca="1">((绝对估值!D41+NPV(A19,绝对估值!E41:'绝对估值'!F41))+(NPV(A19,绝对估值!D42:'绝对估值'!I42)/(1+A19)^(目录!C9-1))+(绝对估值!F41*POWER((1+绝对估值!$B$3),绝对估值!B2)*(1+$L$3)/POWER((1+$A$19),目录!C9+绝对估值!B2-1)/(A19-$L$3))-绝对估值!C47)/绝对估值!C32</f>
        <v>20.383811662643836</v>
      </c>
    </row>
    <row r="20" spans="1:12" ht="20.25" customHeight="1" outlineLevel="1">
      <c r="A20" s="341">
        <f>A21/1.1</f>
        <v>7.2399426268697484E-2</v>
      </c>
      <c r="B20" s="511">
        <f ca="1">((绝对估值!D41+NPV(A20,绝对估值!E41:'绝对估值'!F41))+(NPV(A20,绝对估值!D42:'绝对估值'!I42)/(1+A20)^(目录!C9-1))+(绝对估值!F41*POWER((1+绝对估值!$B$3),绝对估值!B2)*(1+$B$3)/POWER((1+$A$20),目录!C9+绝对估值!B2-1)/(A20-$B$3))-绝对估值!C47)/绝对估值!C32</f>
        <v>7.3129971925996156</v>
      </c>
      <c r="C20" s="511">
        <f ca="1">((绝对估值!D41+NPV(A20,绝对估值!E41:'绝对估值'!F41))+(NPV(A20,绝对估值!D42:'绝对估值'!I42)/(1+A20)^(目录!C9-1))+(绝对估值!F41*POWER((1+绝对估值!$B$3),绝对估值!B2)*(1+$C$3)/POWER((1+$A$20),目录!C9+绝对估值!B2-1)/(A20-$C$3))-绝对估值!C47)/绝对估值!C32</f>
        <v>7.5246997574125096</v>
      </c>
      <c r="D20" s="511">
        <f ca="1">((绝对估值!D41+NPV(A20,绝对估值!E41:'绝对估值'!F41))+(NPV(A20,绝对估值!D42:'绝对估值'!I42)/(1+A20)^(目录!C9-1))+(绝对估值!F41*POWER((1+绝对估值!$B$3),绝对估值!B2)*(1+$D$3)/POWER((1+$A$20),目录!C9+绝对估值!B2-1)/(A20-$D$3))-绝对估值!C47)/绝对估值!C32</f>
        <v>7.7758428000535575</v>
      </c>
      <c r="E20" s="511">
        <f ca="1">((绝对估值!D41+NPV(A20,绝对估值!E41:'绝对估值'!F41))+(NPV(A20,绝对估值!D42:'绝对估值'!I42)/(1+A20)^(目录!C9-1))+(绝对估值!F41*POWER((1+绝对估值!$B$3),绝对估值!B2)*(1+$E$3)/POWER((1+$A$20),目录!C9+绝对估值!B2-1)/(A20-$E$3))-绝对估值!C47)/绝对估值!C32</f>
        <v>8.0770703232212995</v>
      </c>
      <c r="F20" s="511">
        <f ca="1">((绝对估值!D41+NPV(A20,绝对估值!E41:'绝对估值'!F41))+(NPV(A20,绝对估值!D42:'绝对估值'!I42)/(1+A20)^(目录!C9-1))+(绝对估值!F41*POWER((1+绝对估值!$B$3),绝对估值!B2)*(1+$F$3)/POWER((1+$A$20),目录!C9+绝对估值!B2-1)/(A20-$F$3))-绝对估值!C47)/绝对估值!C32</f>
        <v>8.4431755163553976</v>
      </c>
      <c r="G20" s="511">
        <f ca="1">((绝对估值!D41+NPV(A20,绝对估值!E41:'绝对估值'!F41))+(NPV(A20,绝对估值!D42:'绝对估值'!I42)/(1+A20)^(目录!C9-1))+(绝对估值!F41*POWER((1+绝对估值!$B$3),绝对估值!B2)*(1+$G$3)/POWER((1+$A$20),目录!C9+绝对估值!B2-1)/(A20-$G$3))-绝对估值!C47)/绝对估值!C32</f>
        <v>8.8953443575943609</v>
      </c>
      <c r="H20" s="511">
        <f ca="1">((绝对估值!D41+NPV(A20,绝对估值!E41:'绝对估值'!F41))+(NPV(A20,绝对估值!D42:'绝对估值'!I42)/(1+A20)^(目录!C9-1))+(绝对估值!F41*POWER((1+绝对估值!$B$3),绝对估值!B2)*(1+$H$3)/POWER((1+$A$20),目录!C9+绝对估值!B2-1)/(A20-$H$3))-绝对估值!C47)/绝对估值!C32</f>
        <v>9.4650322449323241</v>
      </c>
      <c r="I20" s="511">
        <f ca="1">((绝对估值!D41+NPV(A20,绝对估值!E41:'绝对估值'!F41))+(NPV(A20,绝对估值!D42:'绝对估值'!I42)/(1+A20)^(目录!C9-1))+(绝对估值!F41*POWER((1+绝对估值!$B$3),绝对估值!B2)*(1+$I$3)/POWER((1+$A$20),目录!C9+绝对估值!B2-1)/(A20-$I$3))-绝对估值!C47)/绝对估值!C32</f>
        <v>10.201051796465499</v>
      </c>
      <c r="J20" s="511">
        <f ca="1">((绝对估值!D41+NPV(A20,绝对估值!E41:'绝对估值'!F41))+(NPV(A20,绝对估值!D42:'绝对估值'!I42)/(1+A20)^(目录!C9-1))+(绝对估值!F41*POWER((1+绝对估值!$B$3),绝对估值!B2)*(1+$J$3)/POWER((1+$A$20),目录!C9+绝对估值!B2-1)/(A20-$J$3))-绝对估值!C47)/绝对估值!C32</f>
        <v>11.1834720768324</v>
      </c>
      <c r="K20" s="511">
        <f ca="1">((绝对估值!D41+NPV(A20,绝对估值!E41:'绝对估值'!F41))+(NPV(A20,绝对估值!D42:'绝对估值'!I42)/(1+A20)^(目录!C9-1))+(绝对估值!F41*POWER((1+绝对估值!$B$3),绝对估值!B2)*(1+$K$3)/POWER((1+$A$20),目录!C9+绝对估值!B2-1)/(A20-$K$3))-绝对估值!C47)/绝对估值!C32</f>
        <v>12.553422398388681</v>
      </c>
      <c r="L20" s="512">
        <f ca="1">((绝对估值!D41+NPV(A20,绝对估值!E41:'绝对估值'!F41))+(NPV(A20,绝对估值!D42:'绝对估值'!I42)/(1+A20)^(目录!C9-1))+(绝对估值!F41*POWER((1+绝对估值!$B$3),绝对估值!B2)*(1+$L$3)/POWER((1+$A$20),目录!C9+绝对估值!B2-1)/(A20-$L$3))-绝对估值!C47)/绝对估值!C32</f>
        <v>14.585036520795096</v>
      </c>
    </row>
    <row r="21" spans="1:12" ht="20.25" customHeight="1" outlineLevel="1">
      <c r="A21" s="341">
        <f>A22/1.1</f>
        <v>7.9639368895567234E-2</v>
      </c>
      <c r="B21" s="511">
        <f ca="1">((绝对估值!D41+NPV(A21,绝对估值!E41:'绝对估值'!F41))+(NPV(A21,绝对估值!D42:'绝对估值'!I42)/(1+A21)^(目录!C9-1))+(绝对估值!F41*POWER((1+绝对估值!$B$3),绝对估值!B2)*(1+$B$3)/POWER((1+$A$21),目录!C9+绝对估值!B2-1)/(A21-$B$3))-绝对估值!C47)/绝对估值!C32</f>
        <v>6.3235081373557431</v>
      </c>
      <c r="C21" s="511">
        <f ca="1">((绝对估值!D41+NPV(A21,绝对估值!E41:'绝对估值'!F41))+(NPV(A21,绝对估值!D42:'绝对估值'!I42)/(1+A21)^(目录!C9-1))+(绝对估值!F41*POWER((1+绝对估值!$B$3),绝对估值!B2)*(1+$C$3)/POWER((1+$A$21),目录!C9+绝对估值!B2-1)/(A21-$C$3))-绝对估值!C47)/绝对估值!C32</f>
        <v>6.4797178286812738</v>
      </c>
      <c r="D21" s="511">
        <f ca="1">((绝对估值!D41+NPV(A21,绝对估值!E41:'绝对估值'!F41))+(NPV(A21,绝对估值!D42:'绝对估值'!I42)/(1+A21)^(目录!C9-1))+(绝对估值!F41*POWER((1+绝对估值!$B$3),绝对估值!B2)*(1+$D$3)/POWER((1+$A$21),目录!C9+绝对估值!B2-1)/(A21-$D$3))-绝对估值!C47)/绝对估值!C32</f>
        <v>6.6633202720980966</v>
      </c>
      <c r="E21" s="511">
        <f ca="1">((绝对估值!D41+NPV(A21,绝对估值!E41:'绝对估值'!F41))+(NPV(A21,绝对估值!D42:'绝对估值'!I42)/(1+A21)^(目录!C9-1))+(绝对估值!F41*POWER((1+绝对估值!$B$3),绝对估值!B2)*(1+$E$3)/POWER((1+$A$21),目录!C9+绝对估值!B2-1)/(A21-$E$3))-绝对估值!C47)/绝对估值!C32</f>
        <v>6.8811281022336699</v>
      </c>
      <c r="F21" s="511">
        <f ca="1">((绝对估值!D41+NPV(A21,绝对估值!E41:'绝对估值'!F41))+(NPV(A21,绝对估值!D42:'绝对估值'!I42)/(1+A21)^(目录!C9-1))+(绝对估值!F41*POWER((1+绝对估值!$B$3),绝对估值!B2)*(1+$F$3)/POWER((1+$A$21),目录!C9+绝对估值!B2-1)/(A21-$F$3))-绝对估值!C47)/绝对估值!C32</f>
        <v>7.1423725010763395</v>
      </c>
      <c r="G21" s="511">
        <f ca="1">((绝对估值!D41+NPV(A21,绝对估值!E41:'绝对估值'!F41))+(NPV(A21,绝对估值!D42:'绝对估值'!I42)/(1+A21)^(目录!C9-1))+(绝对估值!F41*POWER((1+绝对估值!$B$3),绝对估值!B2)*(1+$G$3)/POWER((1+$A$21),目录!C9+绝对估值!B2-1)/(A21-$G$3))-绝对估值!C47)/绝对估值!C32</f>
        <v>7.4598830993367633</v>
      </c>
      <c r="H21" s="511">
        <f ca="1">((绝对估值!D41+NPV(A21,绝对估值!E41:'绝对估值'!F41))+(NPV(A21,绝对估值!D42:'绝对估值'!I42)/(1+A21)^(目录!C9-1))+(绝对估值!F41*POWER((1+绝对估值!$B$3),绝对估值!B2)*(1+$H$3)/POWER((1+$A$21),目录!C9+绝对估值!B2-1)/(A21-$H$3))-绝对估值!C47)/绝对估值!C32</f>
        <v>7.8520337762159098</v>
      </c>
      <c r="I21" s="511">
        <f ca="1">((绝对估值!D41+NPV(A21,绝对估值!E41:'绝对估值'!F41))+(NPV(A21,绝对估值!D42:'绝对估值'!I42)/(1+A21)^(目录!C9-1))+(绝对估值!F41*POWER((1+绝对估值!$B$3),绝对估值!B2)*(1+$I$3)/POWER((1+$A$21),目录!C9+绝对估值!B2-1)/(A21-$I$3))-绝对估值!C47)/绝对估值!C32</f>
        <v>8.3461047299271325</v>
      </c>
      <c r="J21" s="511">
        <f ca="1">((绝对估值!D41+NPV(A21,绝对估值!E41:'绝对估值'!F41))+(NPV(A21,绝对估值!D42:'绝对估值'!I42)/(1+A21)^(目录!C9-1))+(绝对估值!F41*POWER((1+绝对估值!$B$3),绝对估值!B2)*(1+$J$3)/POWER((1+$A$21),目录!C9+绝对估值!B2-1)/(A21-$J$3))-绝对估值!C47)/绝对估值!C32</f>
        <v>8.9844294860937861</v>
      </c>
      <c r="K21" s="511">
        <f ca="1">((绝对估值!D41+NPV(A21,绝对估值!E41:'绝对估值'!F41))+(NPV(A21,绝对估值!D42:'绝对估值'!I42)/(1+A21)^(目录!C9-1))+(绝对估值!F41*POWER((1+绝对估值!$B$3),绝对估值!B2)*(1+$K$3)/POWER((1+$A$21),目录!C9+绝对估值!B2-1)/(A21-$K$3))-绝对估值!C47)/绝对估值!C32</f>
        <v>9.8364492247163309</v>
      </c>
      <c r="L21" s="512">
        <f ca="1">((绝对估值!D41+NPV(A21,绝对估值!E41:'绝对估值'!F41))+(NPV(A21,绝对估值!D42:'绝对估值'!I42)/(1+A21)^(目录!C9-1))+(绝对估值!F41*POWER((1+绝对估值!$B$3),绝对估值!B2)*(1+$L$3)/POWER((1+$A$21),目录!C9+绝对估值!B2-1)/(A21-$L$3))-绝对估值!C47)/绝对估值!C32</f>
        <v>11.024560604565224</v>
      </c>
    </row>
    <row r="22" spans="1:12" ht="20.25" customHeight="1" outlineLevel="1">
      <c r="A22" s="341">
        <f>A23/1.1</f>
        <v>8.7603305785123958E-2</v>
      </c>
      <c r="B22" s="511">
        <f ca="1">((绝对估值!D41+NPV(A22,绝对估值!E41:'绝对估值'!F41))+(NPV(A22,绝对估值!D42:'绝对估值'!I42)/(1+A22)^(目录!C9-1))+(绝对估值!F41*POWER((1+绝对估值!$B$3),绝对估值!B2)*(1+$B$3)/POWER((1+$A$22),目录!C9+绝对估值!B2-1)/(A22-$B$3))-绝对估值!C47)/绝对估值!C32</f>
        <v>5.4778737507906019</v>
      </c>
      <c r="C22" s="511">
        <f ca="1">((绝对估值!D41+NPV(A22,绝对估值!E41:'绝对估值'!F41))+(NPV(A22,绝对估值!D42:'绝对估值'!I42)/(1+A22)^(目录!C9-1))+(绝对估值!F41*POWER((1+绝对估值!$B$3),绝对估值!B2)*(1+$C$3)/POWER((1+$A$22),目录!C9+绝对估值!B2-1)/(A22-$C$3))-绝对估值!C47)/绝对估值!C32</f>
        <v>5.593544591795709</v>
      </c>
      <c r="D22" s="511">
        <f ca="1">((绝对估值!D41+NPV(A22,绝对估值!E41:'绝对估值'!F41))+(NPV(A22,绝对估值!D42:'绝对估值'!I42)/(1+A22)^(目录!C9-1))+(绝对估值!F41*POWER((1+绝对估值!$B$3),绝对估值!B2)*(1+$D$3)/POWER((1+$A$22),目录!C9+绝对估值!B2-1)/(A22-$D$3))-绝对估值!C47)/绝对估值!C32</f>
        <v>5.7284323835644813</v>
      </c>
      <c r="E22" s="511">
        <f ca="1">((绝对估值!D41+NPV(A22,绝对估值!E41:'绝对估值'!F41))+(NPV(A22,绝对估值!D42:'绝对估值'!I42)/(1+A22)^(目录!C9-1))+(绝对估值!F41*POWER((1+绝对估值!$B$3),绝对估值!B2)*(1+$E$3)/POWER((1+$A$22),目录!C9+绝对估值!B2-1)/(A22-$E$3))-绝对估值!C47)/绝对估值!C32</f>
        <v>5.8869739436027553</v>
      </c>
      <c r="F22" s="511">
        <f ca="1">((绝对估值!D41+NPV(A22,绝对估值!E41:'绝对估值'!F41))+(NPV(A22,绝对估值!D42:'绝对估值'!I42)/(1+A22)^(目录!C9-1))+(绝对估值!F41*POWER((1+绝对估值!$B$3),绝对估值!B2)*(1+$F$3)/POWER((1+$A$22),目录!C9+绝对估值!B2-1)/(A22-$F$3))-绝对估值!C47)/绝对估值!C32</f>
        <v>6.0750520134563759</v>
      </c>
      <c r="G22" s="511">
        <f ca="1">((绝对估值!D41+NPV(A22,绝对估值!E41:'绝对估值'!F41))+(NPV(A22,绝对估值!D42:'绝对估值'!I42)/(1+A22)^(目录!C9-1))+(绝对估值!F41*POWER((1+绝对估值!$B$3),绝对估值!B2)*(1+$G$3)/POWER((1+$A$22),目录!C9+绝对估值!B2-1)/(A22-$G$3))-绝对估值!C47)/绝对估值!C32</f>
        <v>6.3006377615161009</v>
      </c>
      <c r="H22" s="511">
        <f ca="1">((绝对估值!D41+NPV(A22,绝对估值!E41:'绝对估值'!F41))+(NPV(A22,绝对估值!D42:'绝对估值'!I42)/(1+A22)^(目录!C9-1))+(绝对估值!F41*POWER((1+绝对估值!$B$3),绝对估值!B2)*(1+$H$3)/POWER((1+$A$22),目录!C9+绝对估值!B2-1)/(A22-$H$3))-绝对估值!C47)/绝对估值!C32</f>
        <v>6.5748096333065629</v>
      </c>
      <c r="I22" s="511">
        <f ca="1">((绝对估值!D41+NPV(A22,绝对估值!E41:'绝对估值'!F41))+(NPV(A22,绝对估值!D42:'绝对估值'!I42)/(1+A22)^(目录!C9-1))+(绝对估值!F41*POWER((1+绝对估值!$B$3),绝对估值!B2)*(1+$I$3)/POWER((1+$A$22),目录!C9+绝对估值!B2-1)/(A22-$I$3))-绝对估值!C47)/绝对估值!C32</f>
        <v>6.9134335585957167</v>
      </c>
      <c r="J22" s="511">
        <f ca="1">((绝对估值!D41+NPV(A22,绝对估值!E41:'绝对估值'!F41))+(NPV(A22,绝对估值!D42:'绝对估值'!I42)/(1+A22)^(目录!C9-1))+(绝对估值!F41*POWER((1+绝对估值!$B$3),绝对估值!B2)*(1+$J$3)/POWER((1+$A$22),目录!C9+绝对估值!B2-1)/(A22-$J$3))-绝对估值!C47)/绝对估值!C32</f>
        <v>7.3400661148582937</v>
      </c>
      <c r="K22" s="511">
        <f ca="1">((绝对估值!D41+NPV(A22,绝对估值!E41:'绝对估值'!F41))+(NPV(A22,绝对估值!D42:'绝对估值'!I42)/(1+A22)^(目录!C9-1))+(绝对估值!F41*POWER((1+绝对估值!$B$3),绝对估值!B2)*(1+$K$3)/POWER((1+$A$22),目录!C9+绝对估值!B2-1)/(A22-$K$3))-绝对估值!C47)/绝对估值!C32</f>
        <v>7.8912624974900849</v>
      </c>
      <c r="L22" s="512">
        <f ca="1">((绝对估值!D41+NPV(A22,绝对估值!E41:'绝对估值'!F41))+(NPV(A22,绝对估值!D42:'绝对估值'!I42)/(1+A22)^(目录!C9-1))+(绝对估值!F41*POWER((1+绝对估值!$B$3),绝对估值!B2)*(1+$L$3)/POWER((1+$A$22),目录!C9+绝对估值!B2-1)/(A22-$L$3))-绝对估值!C47)/绝对估值!C32</f>
        <v>8.6269854869600735</v>
      </c>
    </row>
    <row r="23" spans="1:12" ht="20.25" customHeight="1" outlineLevel="1">
      <c r="A23" s="341">
        <f>A24/1.1</f>
        <v>9.636363636363636E-2</v>
      </c>
      <c r="B23" s="511">
        <f ca="1">((绝对估值!D41+NPV(A23,绝对估值!E41:'绝对估值'!F41))+(NPV(A23,绝对估值!D42:'绝对估值'!I42)/(1+A23)^(目录!C9-1))+(绝对估值!F41*POWER((1+绝对估值!$B$3),绝对估值!B2)*(1+$B$3)/POWER((1+$A$23),目录!C9+绝对估值!B2-1)/(A23-$B$3))-绝对估值!C47)/绝对估值!C32</f>
        <v>4.7507363430778842</v>
      </c>
      <c r="C23" s="511">
        <f ca="1">((绝对估值!D41+NPV(A23,绝对估值!E41:'绝对估值'!F41))+(NPV(A23,绝对估值!D42:'绝对估值'!I42)/(1+A23)^(目录!C9-1))+(绝对估值!F41*POWER((1+绝对估值!$B$3),绝对估值!B2)*(1+$C$3)/POWER((1+$A$23),目录!C9+绝对估值!B2-1)/(A23-$C$3))-绝对估值!C47)/绝对估值!C32</f>
        <v>4.8365638169519487</v>
      </c>
      <c r="D23" s="511">
        <f ca="1">((绝对估值!D41+NPV(A23,绝对估值!E41:'绝对估值'!F41))+(NPV(A23,绝对估值!D42:'绝对估值'!I42)/(1+A23)^(目录!C9-1))+(绝对估值!F41*POWER((1+绝对估值!$B$3),绝对估值!B2)*(1+$D$3)/POWER((1+$A$23),目录!C9+绝对估值!B2-1)/(A23-$D$3))-绝对估值!C47)/绝对估值!C32</f>
        <v>4.9359766572890313</v>
      </c>
      <c r="E23" s="511">
        <f ca="1">((绝对估值!D41+NPV(A23,绝对估值!E41:'绝对估值'!F41))+(NPV(A23,绝对估值!D42:'绝对估值'!I42)/(1+A23)^(目录!C9-1))+(绝对估值!F41*POWER((1+绝对估值!$B$3),绝对估值!B2)*(1+$E$3)/POWER((1+$A$23),目录!C9+绝对估值!B2-1)/(A23-$E$3))-绝对估值!C47)/绝对估值!C32</f>
        <v>5.0519054288792598</v>
      </c>
      <c r="F23" s="511">
        <f ca="1">((绝对估值!D41+NPV(A23,绝对估值!E41:'绝对估值'!F41))+(NPV(A23,绝对估值!D42:'绝对估值'!I42)/(1+A23)^(目录!C9-1))+(绝对估值!F41*POWER((1+绝对估值!$B$3),绝对估值!B2)*(1+$F$3)/POWER((1+$A$23),目录!C9+绝对估值!B2-1)/(A23-$F$3))-绝对估值!C47)/绝对估值!C32</f>
        <v>5.1881633367316038</v>
      </c>
      <c r="G23" s="511">
        <f ca="1">((绝对估值!D41+NPV(A23,绝对估值!E41:'绝对估值'!F41))+(NPV(A23,绝对估值!D42:'绝对估值'!I42)/(1+A23)^(目录!C9-1))+(绝对估值!F41*POWER((1+绝对估值!$B$3),绝对估值!B2)*(1+$G$3)/POWER((1+$A$23),目录!C9+绝对估值!B2-1)/(A23-$G$3))-绝对估值!C47)/绝对估值!C32</f>
        <v>5.3498062794715073</v>
      </c>
      <c r="H23" s="511">
        <f ca="1">((绝对估值!D41+NPV(A23,绝对估值!E41:'绝对估值'!F41))+(NPV(A23,绝对估值!D42:'绝对估值'!I42)/(1+A23)^(目录!C9-1))+(绝对估值!F41*POWER((1+绝对估值!$B$3),绝对估值!B2)*(1+$H$3)/POWER((1+$A$23),目录!C9+绝对估值!B2-1)/(A23-$H$3))-绝对估值!C47)/绝对估值!C32</f>
        <v>5.5436850457994247</v>
      </c>
      <c r="I23" s="511">
        <f ca="1">((绝对估值!D41+NPV(A23,绝对估值!E41:'绝对估值'!F41))+(NPV(A23,绝对估值!D42:'绝对估值'!I42)/(1+A23)^(目录!C9-1))+(绝对估值!F41*POWER((1+绝对估值!$B$3),绝对估值!B2)*(1+$I$3)/POWER((1+$A$23),目录!C9+绝对估值!B2-1)/(A23-$I$3))-绝对估值!C47)/绝对估值!C32</f>
        <v>5.7793209612849985</v>
      </c>
      <c r="J23" s="511">
        <f ca="1">((绝对估值!D41+NPV(A23,绝对估值!E41:'绝对估值'!F41))+(NPV(A23,绝对估值!D42:'绝对估值'!I42)/(1+A23)^(目录!C9-1))+(绝对估值!F41*POWER((1+绝对估值!$B$3),绝对估值!B2)*(1+$J$3)/POWER((1+$A$23),目录!C9+绝对估值!B2-1)/(A23-$J$3))-绝对估值!C47)/绝对估值!C32</f>
        <v>6.0703499356278128</v>
      </c>
      <c r="K23" s="511">
        <f ca="1">((绝对估值!D41+NPV(A23,绝对估值!E41:'绝对估值'!F41))+(NPV(A23,绝对估值!D42:'绝对估值'!I42)/(1+A23)^(目录!C9-1))+(绝对估值!F41*POWER((1+绝对估值!$B$3),绝对估值!B2)*(1+$K$3)/POWER((1+$A$23),目录!C9+绝对估值!B2-1)/(A23-$K$3))-绝对估值!C47)/绝对估值!C32</f>
        <v>6.437017574851259</v>
      </c>
      <c r="L23" s="512">
        <f ca="1">((绝对估值!D41+NPV(A23,绝对估值!E41:'绝对估值'!F41))+(NPV(A23,绝对估值!D42:'绝对估值'!I42)/(1+A23)^(目录!C9-1))+(绝对估值!F41*POWER((1+绝对估值!$B$3),绝对估值!B2)*(1+$L$3)/POWER((1+$A$23),目录!C9+绝对估值!B2-1)/(A23-$L$3))-绝对估值!C47)/绝对估值!C32</f>
        <v>6.9107410950125168</v>
      </c>
    </row>
    <row r="24" spans="1:12" ht="20.25" customHeight="1" outlineLevel="1">
      <c r="A24" s="341">
        <f>绝对估值!B13</f>
        <v>0.10600000000000001</v>
      </c>
      <c r="B24" s="511">
        <f ca="1">((绝对估值!D41+NPV(A24,绝对估值!E41:'绝对估值'!F41))+(NPV(A24,绝对估值!D42:'绝对估值'!I42)/(1+A24)^(目录!C9-1))+(绝对估值!F41*POWER((1+绝对估值!$B$3),绝对估值!B2)*(1+$B$3)/POWER((1+$A$24),目录!C9+绝对估值!B2-1)/(A24-$B$3))-绝对估值!C47)/绝对估值!C32</f>
        <v>4.1222786239024902</v>
      </c>
      <c r="C24" s="511">
        <f ca="1">((绝对估值!D41+NPV(A24,绝对估值!E41:'绝对估值'!F41))+(NPV(A24,绝对估值!D42:'绝对估值'!I42)/(1+A24)^(目录!C9-1))+(绝对估值!F41*POWER((1+绝对估值!$B$3),绝对估值!B2)*(1+$C$3)/POWER((1+$A$24),目录!C9+绝对估值!B2-1)/(A24-$C$3))-绝对估值!C47)/绝对估值!C32</f>
        <v>4.1860087290626593</v>
      </c>
      <c r="D24" s="511">
        <f ca="1">((绝对估值!D41+NPV(A24,绝对估值!E41:'绝对估值'!F41))+(NPV(A24,绝对估值!D42:'绝对估值'!I42)/(1+A24)^(目录!C9-1))+(绝对估值!F41*POWER((1+绝对估值!$B$3),绝对估值!B2)*(1+$D$3)/POWER((1+$A$24),目录!C9+绝对估值!B2-1)/(A24-$D$3))-绝对估值!C47)/绝对估值!C32</f>
        <v>4.2593975845547511</v>
      </c>
      <c r="E24" s="511">
        <f ca="1">((绝对估值!D41+NPV(A24,绝对估值!E41:'绝对估值'!F41))+(NPV(A24,绝对估值!D42:'绝对估值'!I42)/(1+A24)^(目录!C9-1))+(绝对估值!F41*POWER((1+绝对估值!$B$3),绝对估值!B2)*(1+$E$3)/POWER((1+$A$24),目录!C9+绝对估值!B2-1)/(A24-$E$3))-绝对估值!C47)/绝对估值!C32</f>
        <v>4.3444029359211678</v>
      </c>
      <c r="F24" s="511">
        <f ca="1">((绝对估值!D41+NPV(A24,绝对估值!E41:'绝对估值'!F41))+(NPV(A24,绝对估值!D42:'绝对估值'!I42)/(1+A24)^(目录!C9-1))+(绝对估值!F41*POWER((1+绝对估值!$B$3),绝对估值!B2)*(1+$F$3)/POWER((1+$A$24),目录!C9+绝对估值!B2-1)/(A24-$F$3))-绝对估值!C47)/绝对估值!C32</f>
        <v>4.4435306334005897</v>
      </c>
      <c r="G24" s="539">
        <f ca="1">((绝对估值!D41+NPV(A24,绝对估值!E41:'绝对估值'!F41))+(NPV(A24,绝对估值!D42:'绝对估值'!I42)/(1+A24)^(目录!C9-1))+(绝对估值!F41*POWER((1+绝对估值!$B$3),绝对估值!B2)*(1+$G$3)/POWER((1+$A$24),目录!C9+绝对估值!B2-1)/(A24-$G$3))-绝对估值!C47)/绝对估值!C32</f>
        <v>4.5600412500791538</v>
      </c>
      <c r="H24" s="511">
        <f ca="1">((绝对估值!D41+NPV(A24,绝对估值!E41:'绝对估值'!F41))+(NPV(A24,绝对估值!D42:'绝对估值'!I42)/(1+A24)^(目录!C9-1))+(绝对估值!F41*POWER((1+绝对估值!$B$3),绝对估值!B2)*(1+$H$3)/POWER((1+$A$24),目录!C9+绝对估值!B2-1)/(A24-$H$3))-绝对估值!C47)/绝对估值!C32</f>
        <v>4.6982579542485192</v>
      </c>
      <c r="I24" s="511">
        <f ca="1">((绝对估值!D41+NPV(A24,绝对估值!E41:'绝对估值'!F41))+(NPV(A24,绝对估值!D42:'绝对估值'!I42)/(1+A24)^(目录!C9-1))+(绝对估值!F41*POWER((1+绝对估值!$B$3),绝对估值!B2)*(1+$I$3)/POWER((1+$A$24),目录!C9+绝对估值!B2-1)/(A24-$I$3))-绝对估值!C47)/绝对估值!C32</f>
        <v>4.864038678331144</v>
      </c>
      <c r="J24" s="511">
        <f ca="1">((绝对估值!D41+NPV(A24,绝对估值!E41:'绝对估值'!F41))+(NPV(A24,绝对估值!D42:'绝对估值'!I42)/(1+A24)^(目录!C9-1))+(绝对估值!F41*POWER((1+绝对估值!$B$3),绝对估值!B2)*(1+$J$3)/POWER((1+$A$24),目录!C9+绝对估值!B2-1)/(A24-$J$3))-绝对估值!C47)/绝对估值!C32</f>
        <v>5.0655248618309896</v>
      </c>
      <c r="K24" s="511">
        <f ca="1">((绝对估值!D41+NPV(A24,绝对估值!E41:'绝对估值'!F41))+(NPV(A24,绝对估值!D42:'绝对估值'!I42)/(1+A24)^(目录!C9-1))+(绝对估值!F41*POWER((1+绝对估值!$B$3),绝对估值!B2)*(1+$K$3)/POWER((1+$A$24),目录!C9+绝对估值!B2-1)/(A24-$K$3))-绝对估值!C47)/绝对估值!C32</f>
        <v>5.3143762188381425</v>
      </c>
      <c r="L24" s="512">
        <f ca="1">((绝对估值!D41+NPV(A24,绝对估值!E41:'绝对估值'!F41))+(NPV(A24,绝对估值!D42:'绝对估值'!I42)/(1+A24)^(目录!C9-1))+(绝对估值!F41*POWER((1+绝对估值!$B$3),绝对估值!B2)*(1+$L$3)/POWER((1+$A$24),目录!C9+绝对估值!B2-1)/(A24-$L$3))-绝对估值!C47)/绝对估值!C32</f>
        <v>5.6279042440026847</v>
      </c>
    </row>
    <row r="25" spans="1:12" ht="20.25" customHeight="1" outlineLevel="1">
      <c r="A25" s="341">
        <f>A24*1.1</f>
        <v>0.11660000000000002</v>
      </c>
      <c r="B25" s="511">
        <f ca="1">((绝对估值!D41+NPV(A25,绝对估值!E41:'绝对估值'!F41))+(NPV(A25,绝对估值!D42:'绝对估值'!I42)/(1+A25)^(目录!C9-1))+(绝对估值!F41*POWER((1+绝对估值!$B$3),绝对估值!B2)*(1+$B$3)/POWER((1+$A$25),目录!C9+绝对估值!B2-1)/(A25-$B$3))-绝对估值!C47)/绝对估值!C32</f>
        <v>3.5767829997224077</v>
      </c>
      <c r="C25" s="511">
        <f ca="1">((绝对估值!D41+NPV(A25,绝对估值!E41:'绝对估值'!F41))+(NPV(A25,绝对估值!D42:'绝对估值'!I42)/(1+A25)^(目录!C9-1))+(绝对估值!F41*POWER((1+绝对估值!$B$3),绝对估值!B2)*(1+$C$3)/POWER((1+$A$25),目录!C9+绝对估值!B2-1)/(A25-$C$3))-绝对估值!C47)/绝对估值!C32</f>
        <v>3.6240835027540812</v>
      </c>
      <c r="D25" s="511">
        <f ca="1">((绝对估值!D41+NPV(A25,绝对估值!E41:'绝对估值'!F41))+(NPV(A25,绝对估值!D42:'绝对估值'!I42)/(1+A25)^(目录!C9-1))+(绝对估值!F41*POWER((1+绝对估值!$B$3),绝对估值!B2)*(1+$D$3)/POWER((1+$A$25),目录!C9+绝对估值!B2-1)/(A25-$D$3))-绝对估值!C47)/绝对估值!C32</f>
        <v>3.6782779104484491</v>
      </c>
      <c r="E25" s="511">
        <f ca="1">((绝对估值!D41+NPV(A25,绝对估值!E41:'绝对估值'!F41))+(NPV(A25,绝对估值!D42:'绝对估值'!I42)/(1+A25)^(目录!C9-1))+(绝对估值!F41*POWER((1+绝对估值!$B$3),绝对估值!B2)*(1+$E$3)/POWER((1+$A$25),目录!C9+绝对估值!B2-1)/(A25-$E$3))-绝对估值!C47)/绝对估值!C32</f>
        <v>3.7406858657588309</v>
      </c>
      <c r="F25" s="511">
        <f ca="1">((绝对估值!D41+NPV(A25,绝对估值!E41:'绝对估值'!F41))+(NPV(A25,绝对估值!D42:'绝对估值'!I42)/(1+A25)^(目录!C9-1))+(绝对估值!F41*POWER((1+绝对估值!$B$3),绝对估值!B2)*(1+$F$3)/POWER((1+$A$25),目录!C9+绝对估值!B2-1)/(A25-$F$3))-绝对估值!C47)/绝对估值!C32</f>
        <v>3.8129721840785122</v>
      </c>
      <c r="G25" s="511">
        <f ca="1">((绝对估值!D41+NPV(A25,绝对估值!E41:'绝对估值'!F41))+(NPV(A25,绝对估值!D42:'绝对估值'!I42)/(1+A25)^(目录!C9-1))+(绝对估值!F41*POWER((1+绝对估值!$B$3),绝对估值!B2)*(1+$G$3)/POWER((1+$A$25),目录!C9+绝对估值!B2-1)/(A25-$G$3))-绝对估值!C47)/绝对估值!C32</f>
        <v>3.8972677746397144</v>
      </c>
      <c r="H25" s="511">
        <f ca="1">((绝对估值!D41+NPV(A25,绝对估值!E41:'绝对估值'!F41))+(NPV(A25,绝对估值!D42:'绝对估值'!I42)/(1+A25)^(目录!C9-1))+(绝对估值!F41*POWER((1+绝对估值!$B$3),绝对估值!B2)*(1+$H$3)/POWER((1+$A$25),目录!C9+绝对估值!B2-1)/(A25-$H$3))-绝对估值!C47)/绝对估值!C32</f>
        <v>3.9963453431629636</v>
      </c>
      <c r="I25" s="511">
        <f ca="1">((绝对估值!D41+NPV(A25,绝对估值!E41:'绝对估值'!F41))+(NPV(A25,绝对估值!D42:'绝对估值'!I42)/(1+A25)^(目录!C9-1))+(绝对估值!F41*POWER((1+绝对估值!$B$3),绝对估值!B2)*(1+$I$3)/POWER((1+$A$25),目录!C9+绝对估值!B2-1)/(A25-$I$3))-绝对估值!C47)/绝对估值!C32</f>
        <v>4.1138811984247923</v>
      </c>
      <c r="J25" s="511">
        <f ca="1">((绝对估值!D41+NPV(A25,绝对估值!E41:'绝对估值'!F41))+(NPV(A25,绝对估值!D42:'绝对估值'!I42)/(1+A25)^(目录!C9-1))+(绝对估值!F41*POWER((1+绝对估值!$B$3),绝对估值!B2)*(1+$J$3)/POWER((1+$A$25),目录!C9+绝对估值!B2-1)/(A25-$J$3))-绝对估值!C47)/绝对估值!C32</f>
        <v>4.2548567723112898</v>
      </c>
      <c r="K25" s="511">
        <f ca="1">((绝对估值!D41+NPV(A25,绝对估值!E41:'绝对估值'!F41))+(NPV(A25,绝对估值!D42:'绝对估值'!I42)/(1+A25)^(目录!C9-1))+(绝对估值!F41*POWER((1+绝对估值!$B$3),绝对估值!B2)*(1+$K$3)/POWER((1+$A$25),目录!C9+绝对估值!B2-1)/(A25-$K$3))-绝对估值!C47)/绝对估值!C32</f>
        <v>4.4261953311592634</v>
      </c>
      <c r="L25" s="512">
        <f ca="1">((绝对估值!D41+NPV(A25,绝对估值!E41:'绝对估值'!F41))+(NPV(A25,绝对估值!D42:'绝对估值'!I42)/(1+A25)^(目录!C9-1))+(绝对估值!F41*POWER((1+绝对估值!$B$3),绝对估值!B2)*(1+$L$3)/POWER((1+$A$25),目录!C9+绝对估值!B2-1)/(A25-$L$3))-绝对估值!C47)/绝对估值!C32</f>
        <v>4.6378119896136729</v>
      </c>
    </row>
    <row r="26" spans="1:12" ht="20.25" customHeight="1" outlineLevel="1">
      <c r="A26" s="341">
        <f>A25*1.1</f>
        <v>0.12826000000000004</v>
      </c>
      <c r="B26" s="511">
        <f ca="1">((绝对估值!D41+NPV(A26,绝对估值!E41:'绝对估值'!F41))+(NPV(A26,绝对估值!D42:'绝对估值'!I42)/(1+A26)^(目录!C9-1))+(绝对估值!F41*POWER((1+绝对估值!$B$3),绝对估值!B2)*(1+$B$3)/POWER((1+$A$26),目录!C9+绝对估值!B2-1)/(A26-$B$3))-绝对估值!C47)/绝对估值!C32</f>
        <v>3.1016175690368395</v>
      </c>
      <c r="C26" s="511">
        <f ca="1">((绝对估值!D41+NPV(A26,绝对估值!E41:'绝对估值'!F41))+(NPV(A26,绝对估值!D42:'绝对估值'!I42)/(1+A26)^(目录!C9-1))+(绝对估值!F41*POWER((1+绝对估值!$B$3),绝对估值!B2)*(1+$C$3)/POWER((1+$A$26),目录!C9+绝对估值!B2-1)/(A26-$C$3))-绝对估值!C47)/绝对估值!C32</f>
        <v>3.1366701569847875</v>
      </c>
      <c r="D26" s="511">
        <f ca="1">((绝对估值!D41+NPV(A26,绝对估值!E41:'绝对估值'!F41))+(NPV(A26,绝对估值!D42:'绝对估值'!I42)/(1+A26)^(目录!C9-1))+(绝对估值!F41*POWER((1+绝对估值!$B$3),绝对估值!B2)*(1+$D$3)/POWER((1+$A$26),目录!C9+绝对估值!B2-1)/(A26-$D$3))-绝对估值!C47)/绝对估值!C32</f>
        <v>3.1766546964899618</v>
      </c>
      <c r="E26" s="511">
        <f ca="1">((绝对估值!D41+NPV(A26,绝对估值!E41:'绝对估值'!F41))+(NPV(A26,绝对估值!D42:'绝对估值'!I42)/(1+A26)^(目录!C9-1))+(绝对估值!F41*POWER((1+绝对估值!$B$3),绝对估值!B2)*(1+$E$3)/POWER((1+$A$26),目录!C9+绝对估值!B2-1)/(A26-$E$3))-绝对估值!C47)/绝对估值!C32</f>
        <v>3.2224668611928218</v>
      </c>
      <c r="F26" s="511">
        <f ca="1">((绝对估值!D41+NPV(A26,绝对估值!E41:'绝对估值'!F41))+(NPV(A26,绝对估值!D42:'绝对估值'!I42)/(1+A26)^(目录!C9-1))+(绝对估值!F41*POWER((1+绝对估值!$B$3),绝对估值!B2)*(1+$F$3)/POWER((1+$A$26),目录!C9+绝对估值!B2-1)/(A26-$F$3))-绝对估值!C47)/绝对估值!C32</f>
        <v>3.2752221850183267</v>
      </c>
      <c r="G26" s="511">
        <f ca="1">((绝对估值!D41+NPV(A26,绝对估值!E41:'绝对估值'!F41))+(NPV(A26,绝对估值!D42:'绝对估值'!I42)/(1+A26)^(目录!C9-1))+(绝对估值!F41*POWER((1+绝对估值!$B$3),绝对估值!B2)*(1+$G$3)/POWER((1+$A$26),目录!C9+绝对估值!B2-1)/(A26-$G$3))-绝对估值!C47)/绝对估值!C32</f>
        <v>3.3363279865486319</v>
      </c>
      <c r="H26" s="511">
        <f ca="1">((绝对估值!D41+NPV(A26,绝对估值!E41:'绝对估值'!F41))+(NPV(A26,绝对估值!D42:'绝对估值'!I42)/(1+A26)^(目录!C9-1))+(绝对估值!F41*POWER((1+绝对估值!$B$3),绝对估值!B2)*(1+$H$3)/POWER((1+$A$26),目录!C9+绝对估值!B2-1)/(A26-$H$3))-绝对估值!C47)/绝对估值!C32</f>
        <v>3.4075855875227599</v>
      </c>
      <c r="I26" s="511">
        <f ca="1">((绝对估值!D41+NPV(A26,绝对估值!E41:'绝对估值'!F41))+(NPV(A26,绝对估值!D42:'绝对估值'!I42)/(1+A26)^(目录!C9-1))+(绝对估值!F41*POWER((1+绝对估值!$B$3),绝对估值!B2)*(1+$I$3)/POWER((1+$A$26),目录!C9+绝对估值!B2-1)/(A26-$I$3))-绝对估值!C47)/绝对估值!C32</f>
        <v>3.4913388395768012</v>
      </c>
      <c r="J26" s="511">
        <f ca="1">((绝对估值!D41+NPV(A26,绝对估值!E41:'绝对估值'!F41))+(NPV(A26,绝对估值!D42:'绝对估值'!I42)/(1+A26)^(目录!C9-1))+(绝对估值!F41*POWER((1+绝对估值!$B$3),绝对估值!B2)*(1+$J$3)/POWER((1+$A$26),目录!C9+绝对估值!B2-1)/(A26-$J$3))-绝对估值!C47)/绝对估值!C32</f>
        <v>3.5906954372189932</v>
      </c>
      <c r="K26" s="511">
        <f ca="1">((绝对估值!D41+NPV(A26,绝对估值!E41:'绝对估值'!F41))+(NPV(A26,绝对估值!D42:'绝对估值'!I42)/(1+A26)^(目录!C9-1))+(绝对估值!F41*POWER((1+绝对估值!$B$3),绝对估值!B2)*(1+$K$3)/POWER((1+$A$26),目录!C9+绝对估值!B2-1)/(A26-$K$3))-绝对估值!C47)/绝对估值!C32</f>
        <v>3.7098663348213932</v>
      </c>
      <c r="L26" s="512">
        <f ca="1">((绝对估值!D41+NPV(A26,绝对估值!E41:'绝对估值'!F41))+(NPV(A26,绝对估值!D42:'绝对估值'!I42)/(1+A26)^(目录!C9-1))+(绝对估值!F41*POWER((1+绝对估值!$B$3),绝对估值!B2)*(1+$L$3)/POWER((1+$A$26),目录!C9+绝对估值!B2-1)/(A26-$L$3))-绝对估值!C47)/绝对估值!C32</f>
        <v>3.8547039778889367</v>
      </c>
    </row>
    <row r="27" spans="1:12" ht="20.25" customHeight="1" outlineLevel="1">
      <c r="A27" s="341">
        <f>A26*1.1</f>
        <v>0.14108600000000004</v>
      </c>
      <c r="B27" s="511">
        <f ca="1">((绝对估值!D41+NPV(A27,绝对估值!E41:'绝对估值'!F41))+(NPV(A27,绝对估值!D42:'绝对估值'!I42)/(1+A27)^(目录!C9-1))+(绝对估值!F41*POWER((1+绝对估值!$B$3),绝对估值!B2)*(1+$B$3)/POWER((1+$A$27),目录!C9+绝对估值!B2-1)/(A27-$B$3))-绝对估值!C47)/绝对估值!C32</f>
        <v>2.6865082822909039</v>
      </c>
      <c r="C27" s="511">
        <f ca="1">((绝对估值!D41+NPV(A27,绝对估值!E41:'绝对估值'!F41))+(NPV(A27,绝对估值!D42:'绝对估值'!I42)/(1+A27)^(目录!C9-1))+(绝对估值!F41*POWER((1+绝对估值!$B$3),绝对估值!B2)*(1+$C$3)/POWER((1+$A$27),目录!C9+绝对估值!B2-1)/(A27-$C$3))-绝对估值!C47)/绝对估值!C32</f>
        <v>2.7124184914913934</v>
      </c>
      <c r="D27" s="511">
        <f ca="1">((绝对估值!D41+NPV(A27,绝对估值!E41:'绝对估值'!F41))+(NPV(A27,绝对估值!D42:'绝对估值'!I42)/(1+A27)^(目录!C9-1))+(绝对估值!F41*POWER((1+绝对估值!$B$3),绝对估值!B2)*(1+$D$3)/POWER((1+$A$27),目录!C9+绝对估值!B2-1)/(A27-$D$3))-绝对估值!C47)/绝对估值!C32</f>
        <v>2.741860206425101</v>
      </c>
      <c r="E27" s="511">
        <f ca="1">((绝对估值!D41+NPV(A27,绝对估值!E41:'绝对估值'!F41))+(NPV(A27,绝对估值!D42:'绝对估值'!I42)/(1+A27)^(目录!C9-1))+(绝对估值!F41*POWER((1+绝对估值!$B$3),绝对估值!B2)*(1+$E$3)/POWER((1+$A$27),目录!C9+绝对估值!B2-1)/(A27-$E$3))-绝对估值!C47)/绝对估值!C32</f>
        <v>2.7754444146899822</v>
      </c>
      <c r="F27" s="511">
        <f ca="1">((绝对估值!D41+NPV(A27,绝对估值!E41:'绝对估值'!F41))+(NPV(A27,绝对估值!D42:'绝对估值'!I42)/(1+A27)^(目录!C9-1))+(绝对估值!F41*POWER((1+绝对估值!$B$3),绝对估值!B2)*(1+$F$3)/POWER((1+$A$27),目录!C9+绝对估值!B2-1)/(A27-$F$3))-绝对估值!C47)/绝对估值!C32</f>
        <v>2.8139234193124256</v>
      </c>
      <c r="G27" s="511">
        <f ca="1">((绝对估值!D41+NPV(A27,绝对估值!E41:'绝对估值'!F41))+(NPV(A27,绝对估值!D42:'绝对估值'!I42)/(1+A27)^(目录!C9-1))+(绝对估值!F41*POWER((1+绝对估值!$B$3),绝对估值!B2)*(1+$G$3)/POWER((1+$A$27),目录!C9+绝对估值!B2-1)/(A27-$G$3))-绝对估值!C47)/绝对估值!C32</f>
        <v>2.8582341905345805</v>
      </c>
      <c r="H27" s="511">
        <f ca="1">((绝对估值!D41+NPV(A27,绝对估值!E41:'绝对估值'!F41))+(NPV(A27,绝对估值!D42:'绝对估值'!I42)/(1+A27)^(目录!C9-1))+(绝对估值!F41*POWER((1+绝对估值!$B$3),绝对估值!B2)*(1+$H$3)/POWER((1+$A$27),目录!C9+绝对估值!B2-1)/(A27-$H$3))-绝对估值!C47)/绝对估值!C32</f>
        <v>2.9095587772419167</v>
      </c>
      <c r="I27" s="511">
        <f ca="1">((绝对估值!D41+NPV(A27,绝对估值!E41:'绝对估值'!F41))+(NPV(A27,绝对估值!D42:'绝对估值'!I42)/(1+A27)^(目录!C9-1))+(绝对估值!F41*POWER((1+绝对估值!$B$3),绝对估值!B2)*(1+$I$3)/POWER((1+$A$27),目录!C9+绝对估值!B2-1)/(A27-$I$3))-绝对估值!C47)/绝对估值!C32</f>
        <v>2.9694101633323138</v>
      </c>
      <c r="J27" s="511">
        <f ca="1">((绝对估值!D41+NPV(A27,绝对估值!E41:'绝对估值'!F41))+(NPV(A27,绝对估值!D42:'绝对估值'!I42)/(1+A27)^(目录!C9-1))+(绝对估值!F41*POWER((1+绝对估值!$B$3),绝对估值!B2)*(1+$J$3)/POWER((1+$A$27),目录!C9+绝对估值!B2-1)/(A27-$J$3))-绝对估值!C47)/绝对估值!C32</f>
        <v>3.0397570197586581</v>
      </c>
      <c r="K27" s="511">
        <f ca="1">((绝对估值!D41+NPV(A27,绝对估值!E41:'绝对估值'!F41))+(NPV(A27,绝对估值!D42:'绝对估值'!I42)/(1+A27)^(目录!C9-1))+(绝对估值!F41*POWER((1+绝对估值!$B$3),绝对估值!B2)*(1+$K$3)/POWER((1+$A$27),目录!C9+绝对估值!B2-1)/(A27-$K$3))-绝对估值!C47)/绝对估值!C32</f>
        <v>3.1232095919027869</v>
      </c>
      <c r="L27" s="512">
        <f ca="1">((绝对估值!D41+NPV(A27,绝对估值!E41:'绝对估值'!F41))+(NPV(A27,绝对估值!D42:'绝对估值'!I42)/(1+A27)^(目录!C9-1))+(绝对估值!F41*POWER((1+绝对估值!$B$3),绝对估值!B2)*(1+$L$3)/POWER((1+$A$27),目录!C9+绝对估值!B2-1)/(A27-$L$3))-绝对估值!C47)/绝对估值!C32</f>
        <v>3.2233047860383568</v>
      </c>
    </row>
    <row r="28" spans="1:12" ht="20.25" customHeight="1" outlineLevel="1">
      <c r="A28" s="341">
        <f>A27*1.1</f>
        <v>0.15519460000000007</v>
      </c>
      <c r="B28" s="511">
        <f ca="1">((绝对估值!D41+NPV(A28,绝对估值!E41:'绝对估值'!F41))+(NPV(A28,绝对估值!D42:'绝对估值'!I42)/(1+A28)^(目录!C9-1))+(绝对估值!F41*POWER((1+绝对估值!$B$3),绝对估值!B2)*(1+$B$3)/POWER((1+$A$28),目录!C9+绝对估值!B2-1)/(A28-$B$3))-绝对估值!C47)/绝对估值!C32</f>
        <v>2.3230073064054704</v>
      </c>
      <c r="C28" s="511">
        <f ca="1">((绝对估值!D41+NPV(A28,绝对估值!E41:'绝对估值'!F41))+(NPV(A28,绝对估值!D42:'绝对估值'!I42)/(1+A28)^(目录!C9-1))+(绝对估值!F41*POWER((1+绝对估值!$B$3),绝对估值!B2)*(1+$C$3)/POWER((1+$A$28),目录!C9+绝对估值!B2-1)/(A28-$C$3))-绝对估值!C47)/绝对估值!C32</f>
        <v>2.3420929420774974</v>
      </c>
      <c r="D28" s="511">
        <f ca="1">((绝对估值!D41+NPV(A28,绝对估值!E41:'绝对估值'!F41))+(NPV(A28,绝对估值!D42:'绝对估值'!I42)/(1+A28)^(目录!C9-1))+(绝对估值!F41*POWER((1+绝对估值!$B$3),绝对估值!B2)*(1+$D$3)/POWER((1+$A$28),目录!C9+绝对估值!B2-1)/(A28-$D$3))-绝对估值!C47)/绝对估值!C32</f>
        <v>2.3637062291991184</v>
      </c>
      <c r="E28" s="511">
        <f ca="1">((绝对估值!D41+NPV(A28,绝对估值!E41:'绝对估值'!F41))+(NPV(A28,绝对估值!D42:'绝对估值'!I42)/(1+A28)^(目录!C9-1))+(绝对估值!F41*POWER((1+绝对估值!$B$3),绝对估值!B2)*(1+$E$3)/POWER((1+$A$28),目录!C9+绝对估值!B2-1)/(A28-$E$3))-绝对估值!C47)/绝对估值!C32</f>
        <v>2.38826536082524</v>
      </c>
      <c r="F28" s="511">
        <f ca="1">((绝对估值!D41+NPV(A28,绝对估值!E41:'绝对估值'!F41))+(NPV(A28,绝对估值!D42:'绝对估值'!I42)/(1+A28)^(目录!C9-1))+(绝对估值!F41*POWER((1+绝对估值!$B$3),绝对估值!B2)*(1+$F$3)/POWER((1+$A$28),目录!C9+绝对估值!B2-1)/(A28-$F$3))-绝对估值!C47)/绝对估值!C32</f>
        <v>2.4162799990076103</v>
      </c>
      <c r="G28" s="511">
        <f ca="1">((绝对估值!D41+NPV(A28,绝对估值!E41:'绝对估值'!F41))+(NPV(A28,绝对估值!D42:'绝对估值'!I42)/(1+A28)^(目录!C9-1))+(绝对估值!F41*POWER((1+绝对估值!$B$3),绝对估值!B2)*(1+$G$3)/POWER((1+$A$28),目录!C9+绝对估值!B2-1)/(A28-$G$3))-绝对估值!C47)/绝对估值!C32</f>
        <v>2.4483776856230985</v>
      </c>
      <c r="H28" s="511">
        <f ca="1">((绝对估值!D41+NPV(A28,绝对估值!E41:'绝对估值'!F41))+(NPV(A28,绝对估值!D42:'绝对估值'!I42)/(1+A28)^(目录!C9-1))+(绝对估值!F41*POWER((1+绝对估值!$B$3),绝对估值!B2)*(1+$H$3)/POWER((1+$A$28),目录!C9+绝对估值!B2-1)/(A28-$H$3))-绝对估值!C47)/绝对估值!C32</f>
        <v>2.4853400047458178</v>
      </c>
      <c r="I28" s="511">
        <f ca="1">((绝对估值!D41+NPV(A28,绝对估值!E41:'绝对估值'!F41))+(NPV(A28,绝对估值!D42:'绝对估值'!I42)/(1+A28)^(目录!C9-1))+(绝对估值!F41*POWER((1+绝对估值!$B$3),绝对估值!B2)*(1+$I$3)/POWER((1+$A$28),目录!C9+绝对估值!B2-1)/(A28-$I$3))-绝对估值!C47)/绝对估值!C32</f>
        <v>2.5281529755065195</v>
      </c>
      <c r="J28" s="511">
        <f ca="1">((绝对估值!D41+NPV(A28,绝对估值!E41:'绝对估值'!F41))+(NPV(A28,绝对估值!D42:'绝对估值'!I42)/(1+A28)^(目录!C9-1))+(绝对估值!F41*POWER((1+绝对估值!$B$3),绝对估值!B2)*(1+$J$3)/POWER((1+$A$28),目录!C9+绝对估值!B2-1)/(A28-$J$3))-绝对估值!C47)/绝对估值!C32</f>
        <v>2.5780786701309517</v>
      </c>
      <c r="K28" s="511">
        <f ca="1">((绝对估值!D41+NPV(A28,绝对估值!E41:'绝对估值'!F41))+(NPV(A28,绝对估值!D42:'绝对估值'!I42)/(1+A28)^(目录!C9-1))+(绝对估值!F41*POWER((1+绝对估值!$B$3),绝对估值!B2)*(1+$K$3)/POWER((1+$A$28),目录!C9+绝对估值!B2-1)/(A28-$K$3))-绝对估值!C47)/绝对估值!C32</f>
        <v>2.6367592772337822</v>
      </c>
      <c r="L28" s="512">
        <f ca="1">((绝对估值!D41+NPV(A28,绝对估值!E41:'绝对估值'!F41))+(NPV(A28,绝对估值!D42:'绝对估值'!I42)/(1+A28)^(目录!C9-1))+(绝对估值!F41*POWER((1+绝对估值!$B$3),绝对估值!B2)*(1+$L$3)/POWER((1+$A$28),目录!C9+绝对估值!B2-1)/(A28-$L$3))-绝对估值!C47)/绝对估值!C32</f>
        <v>2.7063721618242633</v>
      </c>
    </row>
    <row r="29" spans="1:12" ht="20.25" customHeight="1" outlineLevel="1">
      <c r="A29" s="341">
        <f>A28*1.1</f>
        <v>0.17071406000000008</v>
      </c>
      <c r="B29" s="513">
        <f ca="1">((绝对估值!D41+NPV(A29,绝对估值!E41:'绝对估值'!F41))+(NPV(A29,绝对估值!D42:'绝对估值'!I42)/(1+A29)^(目录!C9-1))+(绝对估值!F41*POWER((1+绝对估值!$B$3),绝对估值!B2)*(1+$B$3)/POWER((1+$A$29),目录!C9+绝对估值!B2-1)/(A29-$B$3))-绝对估值!C47)/绝对估值!C32</f>
        <v>2.0040986245907777</v>
      </c>
      <c r="C29" s="513">
        <f ca="1">((绝对估值!D41+NPV(A29,绝对估值!E41:'绝对估值'!F41))+(NPV(A29,绝对估值!D42:'绝对估值'!I42)/(1+A29)^(目录!C9-1))+(绝对估值!F41*POWER((1+绝对估值!$B$3),绝对估值!B2)*(1+$C$3)/POWER((1+$A$29),目录!C9+绝对估值!B2-1)/(A29-$C$3))-绝对估值!C47)/绝对估值!C32</f>
        <v>2.0180956207354592</v>
      </c>
      <c r="D29" s="513">
        <f ca="1">((绝对估值!D41+NPV(A29,绝对估值!E41:'绝对估值'!F41))+(NPV(A29,绝对估值!D42:'绝对估值'!I42)/(1+A29)^(目录!C9-1))+(绝对估值!F41*POWER((1+绝对估值!$B$3),绝对估值!B2)*(1+$D$3)/POWER((1+$A$29),目录!C9+绝对估值!B2-1)/(A29-$D$3))-绝对估值!C47)/绝对估值!C32</f>
        <v>2.0338987886884055</v>
      </c>
      <c r="E29" s="513">
        <f ca="1">((绝对估值!D41+NPV(A29,绝对估值!E41:'绝对估值'!F41))+(NPV(A29,绝对估值!D42:'绝对估值'!I42)/(1+A29)^(目录!C9-1))+(绝对估值!F41*POWER((1+绝对估值!$B$3),绝对估值!B2)*(1+$E$3)/POWER((1+$A$29),目录!C9+绝对估值!B2-1)/(A29-$E$3))-绝对估值!C47)/绝对估值!C32</f>
        <v>2.0517948866894189</v>
      </c>
      <c r="F29" s="513">
        <f ca="1">((绝对估值!D41+NPV(A29,绝对估值!E41:'绝对估值'!F41))+(NPV(A29,绝对估值!D42:'绝对估值'!I42)/(1+A29)^(目录!C9-1))+(绝对估值!F41*POWER((1+绝对估值!$B$3),绝对估值!B2)*(1+$F$3)/POWER((1+$A$29),目录!C9+绝对估值!B2-1)/(A29-$F$3))-绝对估值!C47)/绝对估值!C32</f>
        <v>2.0721301843203457</v>
      </c>
      <c r="G29" s="513">
        <f ca="1">((绝对估值!D41+NPV(A29,绝对估值!E41:'绝对估值'!F41))+(NPV(A29,绝对估值!D42:'绝对估值'!I42)/(1+A29)^(目录!C9-1))+(绝对估值!F41*POWER((1+绝对估值!$B$3),绝对估值!B2)*(1+$G$3)/POWER((1+$A$29),目录!C9+绝对估值!B2-1)/(A29-$G$3))-绝对估值!C47)/绝对估值!C32</f>
        <v>2.0953266887462307</v>
      </c>
      <c r="H29" s="513">
        <f ca="1">((绝对估值!D41+NPV(A29,绝对估值!E41:'绝对估值'!F41))+(NPV(A29,绝对估值!D42:'绝对估值'!I42)/(1+A29)^(目录!C9-1))+(绝对估值!F41*POWER((1+绝对估值!$B$3),绝对估值!B2)*(1+$H$3)/POWER((1+$A$29),目录!C9+绝对估值!B2-1)/(A29-$H$3))-绝对估值!C47)/绝对估值!C32</f>
        <v>2.1219040132431588</v>
      </c>
      <c r="I29" s="513">
        <f ca="1">((绝对估值!D41+NPV(A29,绝对估值!E41:'绝对估值'!F41))+(NPV(A29,绝对估值!D42:'绝对估值'!I42)/(1+A29)^(目录!C9-1))+(绝对估值!F41*POWER((1+绝对估值!$B$3),绝对估值!B2)*(1+$I$3)/POWER((1+$A$29),目录!C9+绝对估值!B2-1)/(A29-$I$3))-绝对估值!C47)/绝对估值!C32</f>
        <v>2.1525093201380643</v>
      </c>
      <c r="J29" s="513">
        <f ca="1">((绝对估值!D41+NPV(A29,绝对估值!E41:'绝对估值'!F41))+(NPV(A29,绝对估值!D42:'绝对估值'!I42)/(1+A29)^(目录!C9-1))+(绝对估值!F41*POWER((1+绝对估值!$B$3),绝对估值!B2)*(1+$J$3)/POWER((1+$A$29),目录!C9+绝对估值!B2-1)/(A29-$J$3))-绝对估值!C47)/绝对估值!C32</f>
        <v>2.187959046787074</v>
      </c>
      <c r="K29" s="513">
        <f ca="1">((绝对估值!D41+NPV(A29,绝对估值!E41:'绝对估值'!F41))+(NPV(A29,绝对估值!D42:'绝对估值'!I42)/(1+A29)^(目录!C9-1))+(绝对估值!F41*POWER((1+绝对估值!$B$3),绝对估值!B2)*(1+$K$3)/POWER((1+$A$29),目录!C9+绝对估值!B2-1)/(A29-$K$3))-绝对估值!C47)/绝对估值!C32</f>
        <v>2.2292982062929729</v>
      </c>
      <c r="L29" s="514">
        <f ca="1">((绝对估值!D41+NPV(A29,绝对估值!E41:'绝对估值'!F41))+(NPV(A29,绝对估值!D42:'绝对估值'!I42)/(1+A29)^(目录!C9-1))+(绝对估值!F41*POWER((1+绝对估值!$B$3),绝对估值!B2)*(1+$L$3)/POWER((1+$A$29),目录!C9+绝对估值!B2-1)/(A29-$L$3))-绝对估值!C47)/绝对估值!C32</f>
        <v>2.2778865533390209</v>
      </c>
    </row>
    <row r="30" spans="1:12" ht="11.25" customHeight="1"/>
    <row r="31" spans="1:12" ht="30" customHeight="1">
      <c r="A31" s="1306" t="s">
        <v>295</v>
      </c>
      <c r="B31" s="1306"/>
    </row>
    <row r="32" spans="1:12" ht="18" customHeight="1" outlineLevel="1">
      <c r="A32" s="1307" t="s">
        <v>280</v>
      </c>
      <c r="B32" s="1307"/>
    </row>
    <row r="33" spans="1:12" ht="26.25" customHeight="1" outlineLevel="1">
      <c r="A33" s="338" t="s">
        <v>854</v>
      </c>
      <c r="B33" s="340">
        <f>C33/1.1</f>
        <v>1.8627639691774646E-2</v>
      </c>
      <c r="C33" s="339">
        <f>D33/1.1</f>
        <v>2.0490403660952113E-2</v>
      </c>
      <c r="D33" s="339">
        <f>E33/1.1</f>
        <v>2.2539444027047325E-2</v>
      </c>
      <c r="E33" s="339">
        <f>F33/1.1</f>
        <v>2.479338842975206E-2</v>
      </c>
      <c r="F33" s="339">
        <f>G33/1.1</f>
        <v>2.7272727272727268E-2</v>
      </c>
      <c r="G33" s="339">
        <f>绝对估值!B4</f>
        <v>0.03</v>
      </c>
      <c r="H33" s="339">
        <f>G33*1.1</f>
        <v>3.3000000000000002E-2</v>
      </c>
      <c r="I33" s="339">
        <f>H33*1.1</f>
        <v>3.6300000000000006E-2</v>
      </c>
      <c r="J33" s="339">
        <f>I33*1.1</f>
        <v>3.9930000000000007E-2</v>
      </c>
      <c r="K33" s="339">
        <f>J33*1.1</f>
        <v>4.3923000000000011E-2</v>
      </c>
      <c r="L33" s="339">
        <f>K33*1.1</f>
        <v>4.8315300000000012E-2</v>
      </c>
    </row>
    <row r="34" spans="1:12" ht="21" customHeight="1" outlineLevel="1">
      <c r="A34" s="341">
        <f>A35/1.1</f>
        <v>6.5817660244270437E-2</v>
      </c>
      <c r="B34" s="515">
        <f>((绝对估值!D53+NPV(A34,绝对估值!E53:'绝对估值'!F53))+(NPV(A34,绝对估值!D54:'绝对估值'!I54)/(1+A34)^(目录!C9-1))+(绝对估值!F53*POWER((1+绝对估值!$B$3),绝对估值!B2)*(1+$B$3)/POWER((1+$A$34),目录!C9+绝对估值!B2-1)/(A34-$B$3)))/绝对估值!C32</f>
        <v>1.3213478979426392</v>
      </c>
      <c r="C34" s="515">
        <f>((绝对估值!D53+NPV(A34,绝对估值!E53:'绝对估值'!F53))+(NPV(A34,绝对估值!D54:'绝对估值'!I54)/(1+A34)^(目录!C9-1))+(绝对估值!F53*POWER((1+绝对估值!$B$3),绝对估值!B2)*(1+$C$3)/POWER((1+$A$34),目录!C9+绝对估值!B2-1)/(A34-$C$3)))/绝对估值!C32</f>
        <v>1.3615862701486334</v>
      </c>
      <c r="D34" s="515">
        <f>((绝对估值!D53+NPV(A34,绝对估值!E53:'绝对估值'!F53))+(NPV(A34,绝对估值!D54:'绝对估值'!I54)/(1+A34)^(目录!C9-1))+(绝对估值!F53*POWER((1+绝对估值!$B$3),绝对估值!B2)*(1+$D$3)/POWER((1+$A$34),目录!C9+绝对估值!B2-1)/(A34-$D$3)))/绝对估值!C32</f>
        <v>1.4098492244731826</v>
      </c>
      <c r="E34" s="515">
        <f>((绝对估值!D53+NPV(A34,绝对估值!E53:'绝对估值'!F53))+(NPV(A34,绝对估值!D54:'绝对估值'!I54)/(1+A34)^(目录!C9-1))+(绝对估值!F53*POWER((1+绝对估值!$B$3),绝对估值!B2)*(1+$E$3)/POWER((1+$A$34),目录!C9+绝对估值!B2-1)/(A34-$E$3)))/绝对估值!C32</f>
        <v>1.4685069395066517</v>
      </c>
      <c r="F34" s="515">
        <f>((绝对估值!D53+NPV(A34,绝对估值!E53:'绝对估值'!F53))+(NPV(A34,绝对估值!D54:'绝对估值'!I54)/(1+A34)^(目录!C9-1))+(绝对估值!F53*POWER((1+绝对估值!$B$3),绝对估值!B2)*(1+$F$3)/POWER((1+$A$34),目录!C9+绝对估值!B2-1)/(A34-$F$3)))/绝对估值!C32</f>
        <v>1.5409538523989648</v>
      </c>
      <c r="G34" s="515">
        <f>((绝对估值!D53+NPV(A34,绝对估值!E53:'绝对估值'!F53))+(NPV(A34,绝对估值!D54:'绝对估值'!I54)/(1+A34)^(目录!C9-1))+(绝对估值!F53*POWER((1+绝对估值!$B$3),绝对估值!B2)*(1+$G$3)/POWER((1+$A$34),目录!C9+绝对估值!B2-1)/(A34-$G$3)))/绝对估值!C32</f>
        <v>1.6322297763142248</v>
      </c>
      <c r="H34" s="515">
        <f>((绝对估值!D53+NPV(A34,绝对估值!E53:'绝对估值'!F53))+(NPV(A34,绝对估值!D54:'绝对估值'!I54)/(1+A34)^(目录!C9-1))+(绝对估值!F53*POWER((1+绝对估值!$B$3),绝对估值!B2)*(1+$H$3)/POWER((1+$A$34),目录!C9+绝对估值!B2-1)/(A34-$H$3)))/绝对估值!C32</f>
        <v>1.7501555143877661</v>
      </c>
      <c r="I34" s="515">
        <f>((绝对估值!D53+NPV(A34,绝对估值!E53:'绝对估值'!F53))+(NPV(A34,绝对估值!D54:'绝对估值'!I54)/(1+A34)^(目录!C9-1))+(绝对估值!F53*POWER((1+绝对估值!$B$3),绝对估值!B2)*(1+$I$3)/POWER((1+$A$34),目录!C9+绝对估值!B2-1)/(A34-$I$3)))/绝对估值!C32</f>
        <v>1.9075598067321127</v>
      </c>
      <c r="J34" s="515">
        <f>((绝对估值!D53+NPV(A34,绝对估值!E53:'绝对估值'!F53))+(NPV(A34,绝对估值!D54:'绝对估值'!I54)/(1+A34)^(目录!C9-1))+(绝对估值!F53*POWER((1+绝对估值!$B$3),绝对估值!B2)*(1+$J$3)/POWER((1+$A$34),目录!C9+绝对估值!B2-1)/(A34-$J$3)))/绝对估值!C32</f>
        <v>2.1270545232203992</v>
      </c>
      <c r="K34" s="515">
        <f>((绝对估值!D53+NPV(A34,绝对估值!E53:'绝对估值'!F53))+(NPV(A34,绝对估值!D54:'绝对估值'!I54)/(1+A34)^(目录!C9-1))+(绝对估值!F53*POWER((1+绝对估值!$B$3),绝对估值!B2)*(1+$K$3)/POWER((1+$A$34),目录!C9+绝对估值!B2-1)/(A34-$K$3)))/绝对估值!C32</f>
        <v>2.452561630153018</v>
      </c>
      <c r="L34" s="516">
        <f>((绝对估值!D53+NPV(A34,绝对估值!E53:'绝对估值'!F53))+(NPV(A34,绝对估值!D54:'绝对估值'!I54)/(1+A34)^(目录!C9-1))+(绝对估值!F53*POWER((1+绝对估值!$B$3),绝对估值!B2)*(1+$L$3)/POWER((1+$A$34),目录!C9+绝对估值!B2-1)/(A34-$L$3)))/绝对估值!C32</f>
        <v>2.9821632953648929</v>
      </c>
    </row>
    <row r="35" spans="1:12" ht="21" customHeight="1" outlineLevel="1">
      <c r="A35" s="341">
        <f>A36/1.1</f>
        <v>7.2399426268697484E-2</v>
      </c>
      <c r="B35" s="515">
        <f>((绝对估值!D53+NPV(A35,绝对估值!E53:'绝对估值'!F53))+(NPV(A35,绝对估值!D54:'绝对估值'!I54)/(1+A35)^(目录!C9-1))+(绝对估值!F53*POWER((1+绝对估值!$B$3),绝对估值!B2)*(1+$B$3)/POWER((1+$A$35),目录!C9+绝对估值!B2-1)/(A35-$B$3)))/绝对估值!C32</f>
        <v>1.1584064257467808</v>
      </c>
      <c r="C35" s="515">
        <f>((绝对估值!D53+NPV(A35,绝对估值!E53:'绝对估值'!F53))+(NPV(A35,绝对估值!D54:'绝对估值'!I54)/(1+A35)^(目录!C9-1))+(绝对估值!F53*POWER((1+绝对估值!$B$3),绝对估值!B2)*(1+$C$3)/POWER((1+$A$35),目录!C9+绝对估值!B2-1)/(A35-$C$3)))/绝对估值!C32</f>
        <v>1.1879414315349199</v>
      </c>
      <c r="D35" s="515">
        <f>((绝对估值!D53+NPV(A35,绝对估值!E53:'绝对估值'!F53))+(NPV(A35,绝对估值!D54:'绝对估值'!I54)/(1+A35)^(目录!C9-1))+(绝对估值!F53*POWER((1+绝对估值!$B$3),绝对估值!B2)*(1+$D$3)/POWER((1+$A$35),目录!C9+绝对估值!B2-1)/(A35-$D$3)))/绝对估值!C32</f>
        <v>1.2229788493603011</v>
      </c>
      <c r="E35" s="515">
        <f>((绝对估值!D53+NPV(A35,绝对估值!E53:'绝对估值'!F53))+(NPV(A35,绝对估值!D54:'绝对估值'!I54)/(1+A35)^(目录!C9-1))+(绝对估值!F53*POWER((1+绝对估值!$B$3),绝对估值!B2)*(1+$E$3)/POWER((1+$A$35),目录!C9+绝对估值!B2-1)/(A35-$E$3)))/绝对估值!C32</f>
        <v>1.2650036431939007</v>
      </c>
      <c r="F35" s="515">
        <f>((绝对估值!D53+NPV(A35,绝对估值!E53:'绝对估值'!F53))+(NPV(A35,绝对估值!D54:'绝对估值'!I54)/(1+A35)^(目录!C9-1))+(绝对估值!F53*POWER((1+绝对估值!$B$3),绝对估值!B2)*(1+$F$3)/POWER((1+$A$35),目录!C9+绝对估值!B2-1)/(A35-$F$3)))/绝对估值!C32</f>
        <v>1.3160796375156509</v>
      </c>
      <c r="G35" s="515">
        <f>((绝对估值!D53+NPV(A35,绝对估值!E53:'绝对估值'!F53))+(NPV(A35,绝对估值!D54:'绝对估值'!I54)/(1+A35)^(目录!C9-1))+(绝对估值!F53*POWER((1+绝对估值!$B$3),绝对估值!B2)*(1+$G$3)/POWER((1+$A$35),目录!C9+绝对估值!B2-1)/(A35-$G$3)))/绝对估值!C32</f>
        <v>1.3791625262610574</v>
      </c>
      <c r="H35" s="515">
        <f>((绝对估值!D53+NPV(A35,绝对估值!E53:'绝对估值'!F53))+(NPV(A35,绝对估值!D54:'绝对估值'!I54)/(1+A35)^(目录!C9-1))+(绝对估值!F53*POWER((1+绝对估值!$B$3),绝对估值!B2)*(1+$H$3)/POWER((1+$A$35),目录!C9+绝对估值!B2-1)/(A35-$H$3)))/绝对估值!C32</f>
        <v>1.4586407086101012</v>
      </c>
      <c r="I35" s="515">
        <f>((绝对估值!D53+NPV(A35,绝对估值!E53:'绝对估值'!F53))+(NPV(A35,绝对估值!D54:'绝对估值'!I54)/(1+A35)^(目录!C9-1))+(绝对估值!F53*POWER((1+绝对估值!$B$3),绝对估值!B2)*(1+$I$3)/POWER((1+$A$35),目录!C9+绝对估值!B2-1)/(A35-$I$3)))/绝对估值!C32</f>
        <v>1.5613241207545343</v>
      </c>
      <c r="J35" s="515">
        <f>((绝对估值!D53+NPV(A35,绝对估值!E53:'绝对估值'!F53))+(NPV(A35,绝对估值!D54:'绝对估值'!I54)/(1+A35)^(目录!C9-1))+(绝对估值!F53*POWER((1+绝对估值!$B$3),绝对估值!B2)*(1+$J$3)/POWER((1+$A$35),目录!C9+绝对估值!B2-1)/(A35-$J$3)))/绝对估值!C32</f>
        <v>1.698383341991019</v>
      </c>
      <c r="K35" s="515">
        <f>((绝对估值!D53+NPV(A35,绝对估值!E53:'绝对估值'!F53))+(NPV(A35,绝对估值!D54:'绝对估值'!I54)/(1+A35)^(目录!C9-1))+(绝对估值!F53*POWER((1+绝对估值!$B$3),绝对估值!B2)*(1+$K$3)/POWER((1+$A$35),目录!C9+绝对估值!B2-1)/(A35-$K$3)))/绝对估值!C32</f>
        <v>1.8895075766567087</v>
      </c>
      <c r="L35" s="516">
        <f>((绝对估值!D53+NPV(A35,绝对估值!E53:'绝对估值'!F53))+(NPV(A35,绝对估值!D54:'绝对估值'!I54)/(1+A35)^(目录!C9-1))+(绝对估值!F53*POWER((1+绝对估值!$B$3),绝对估值!B2)*(1+$L$3)/POWER((1+$A$35),目录!C9+绝对估值!B2-1)/(A35-$L$3)))/绝对估值!C32</f>
        <v>2.1729417188815368</v>
      </c>
    </row>
    <row r="36" spans="1:12" ht="21" customHeight="1" outlineLevel="1">
      <c r="A36" s="341">
        <f>A37/1.1</f>
        <v>7.9639368895567234E-2</v>
      </c>
      <c r="B36" s="515">
        <f>((绝对估值!D53+NPV(A36,绝对估值!E53:'绝对估值'!F53))+(NPV(A36,绝对估值!D54:'绝对估值'!I54)/(1+A36)^(目录!C9-1))+(绝对估值!F53*POWER((1+绝对估值!$B$3),绝对估值!B2)*(1+$B$3)/POWER((1+$A$36),目录!C9+绝对估值!B2-1)/(A36-$B$3)))/绝对估值!C32</f>
        <v>1.020117758424218</v>
      </c>
      <c r="C36" s="515">
        <f>((绝对估值!D53+NPV(A36,绝对估值!E53:'绝对估值'!F53))+(NPV(A36,绝对估值!D54:'绝对估值'!I54)/(1+A36)^(目录!C9-1))+(绝对估值!F53*POWER((1+绝对估值!$B$3),绝对估值!B2)*(1+$C$3)/POWER((1+$A$36),目录!C9+绝对估值!B2-1)/(A36-$C$3)))/绝对估值!C32</f>
        <v>1.0419108535694779</v>
      </c>
      <c r="D36" s="515">
        <f>((绝对估值!D53+NPV(A36,绝对估值!E53:'绝对估值'!F53))+(NPV(A36,绝对估值!D54:'绝对估值'!I54)/(1+A36)^(目录!C9-1))+(绝对估值!F53*POWER((1+绝对估值!$B$3),绝对估值!B2)*(1+$D$3)/POWER((1+$A$36),目录!C9+绝对估值!B2-1)/(A36-$D$3)))/绝对估值!C32</f>
        <v>1.0675255608538465</v>
      </c>
      <c r="E36" s="515">
        <f>((绝对估值!D53+NPV(A36,绝对估值!E53:'绝对估值'!F53))+(NPV(A36,绝对估值!D54:'绝对估值'!I54)/(1+A36)^(目录!C9-1))+(绝对估值!F53*POWER((1+绝对估值!$B$3),绝对估值!B2)*(1+$E$3)/POWER((1+$A$36),目录!C9+绝对估值!B2-1)/(A36-$E$3)))/绝对估值!C32</f>
        <v>1.0979123231939329</v>
      </c>
      <c r="F36" s="515">
        <f>((绝对估值!D53+NPV(A36,绝对估值!E53:'绝对估值'!F53))+(NPV(A36,绝对估值!D54:'绝对估值'!I54)/(1+A36)^(目录!C9-1))+(绝对估值!F53*POWER((1+绝对估值!$B$3),绝对估值!B2)*(1+$F$3)/POWER((1+$A$36),目录!C9+绝对估值!B2-1)/(A36-$F$3)))/绝对估值!C32</f>
        <v>1.1343589994009813</v>
      </c>
      <c r="G36" s="515">
        <f>((绝对估值!D53+NPV(A36,绝对估值!E53:'绝对估值'!F53))+(NPV(A36,绝对估值!D54:'绝对估值'!I54)/(1+A36)^(目录!C9-1))+(绝对估值!F53*POWER((1+绝对估值!$B$3),绝对估值!B2)*(1+$G$3)/POWER((1+$A$36),目录!C9+绝对估值!B2-1)/(A36-$G$3)))/绝对估值!C32</f>
        <v>1.1786554743431026</v>
      </c>
      <c r="H36" s="515">
        <f>((绝对估值!D53+NPV(A36,绝对估值!E53:'绝对估值'!F53))+(NPV(A36,绝对估值!D54:'绝对估值'!I54)/(1+A36)^(目录!C9-1))+(绝对估值!F53*POWER((1+绝对估值!$B$3),绝对估值!B2)*(1+$H$3)/POWER((1+$A$36),目录!C9+绝对估值!B2-1)/(A36-$H$3)))/绝对估值!C32</f>
        <v>1.2333651209724892</v>
      </c>
      <c r="I36" s="515">
        <f>((绝对估值!D53+NPV(A36,绝对估值!E53:'绝对估值'!F53))+(NPV(A36,绝对估值!D54:'绝对估值'!I54)/(1+A36)^(目录!C9-1))+(绝对估值!F53*POWER((1+绝对估值!$B$3),绝对估值!B2)*(1+$I$3)/POWER((1+$A$36),目录!C9+绝对估值!B2-1)/(A36-$I$3)))/绝对估值!C32</f>
        <v>1.3022938488341917</v>
      </c>
      <c r="J36" s="515">
        <f>((绝对估值!D53+NPV(A36,绝对估值!E53:'绝对估值'!F53))+(NPV(A36,绝对估值!D54:'绝对估值'!I54)/(1+A36)^(目录!C9-1))+(绝对估值!F53*POWER((1+绝对估值!$B$3),绝对估值!B2)*(1+$J$3)/POWER((1+$A$36),目录!C9+绝对估值!B2-1)/(A36-$J$3)))/绝对估值!C32</f>
        <v>1.3913476842695685</v>
      </c>
      <c r="K36" s="515">
        <f>((绝对估值!D53+NPV(A36,绝对估值!E53:'绝对估值'!F53))+(NPV(A36,绝对估值!D54:'绝对估值'!I54)/(1+A36)^(目录!C9-1))+(绝对估值!F53*POWER((1+绝对估值!$B$3),绝对估值!B2)*(1+$K$3)/POWER((1+$A$36),目录!C9+绝对估值!B2-1)/(A36-$K$3)))/绝对估值!C32</f>
        <v>1.5102144912639304</v>
      </c>
      <c r="L36" s="516">
        <f>((绝对估值!D53+NPV(A36,绝对估值!E53:'绝对估值'!F53))+(NPV(A36,绝对估值!D54:'绝对估值'!I54)/(1+A36)^(目录!C9-1))+(绝对估值!F53*POWER((1+绝对估值!$B$3),绝对估值!B2)*(1+$L$3)/POWER((1+$A$36),目录!C9+绝对估值!B2-1)/(A36-$L$3)))/绝对估值!C32</f>
        <v>1.6759700479422583</v>
      </c>
    </row>
    <row r="37" spans="1:12" ht="21" customHeight="1" outlineLevel="1">
      <c r="A37" s="341">
        <f>A38/1.1</f>
        <v>8.7603305785123958E-2</v>
      </c>
      <c r="B37" s="515">
        <f>((绝对估值!D53+NPV(A37,绝对估值!E53:'绝对估值'!F53))+(NPV(A37,绝对估值!D54:'绝对估值'!I54)/(1+A37)^(目录!C9-1))+(绝对估值!F53*POWER((1+绝对估值!$B$3),绝对估值!B2)*(1+$B$3)/POWER((1+$A$37),目录!C9+绝对估值!B2-1)/(A37-$B$3)))/绝对估值!C32</f>
        <v>0.90187792872945494</v>
      </c>
      <c r="C37" s="515">
        <f>((绝对估值!D53+NPV(A37,绝对估值!E53:'绝对估值'!F53))+(NPV(A37,绝对估值!D54:'绝对估值'!I54)/(1+A37)^(目录!C9-1))+(绝对估值!F53*POWER((1+绝对估值!$B$3),绝对估值!B2)*(1+$C$3)/POWER((1+$A$37),目录!C9+绝对估值!B2-1)/(A37-$C$3)))/绝对估值!C32</f>
        <v>0.91801537591449089</v>
      </c>
      <c r="D37" s="515">
        <f>((绝对估值!D53+NPV(A37,绝对估值!E53:'绝对估值'!F53))+(NPV(A37,绝对估值!D54:'绝对估值'!I54)/(1+A37)^(目录!C9-1))+(绝对估值!F53*POWER((1+绝对估值!$B$3),绝对估值!B2)*(1+$D$3)/POWER((1+$A$37),目录!C9+绝对估值!B2-1)/(A37-$D$3)))/绝对估值!C32</f>
        <v>0.93683381448258796</v>
      </c>
      <c r="E37" s="515">
        <f>((绝对估值!D53+NPV(A37,绝对估值!E53:'绝对估值'!F53))+(NPV(A37,绝对估值!D54:'绝对估值'!I54)/(1+A37)^(目录!C9-1))+(绝对估值!F53*POWER((1+绝对估值!$B$3),绝对估值!B2)*(1+$E$3)/POWER((1+$A$37),目录!C9+绝对估值!B2-1)/(A37-$E$3)))/绝对估值!C32</f>
        <v>0.95895223282829622</v>
      </c>
      <c r="F37" s="515">
        <f>((绝对估值!D53+NPV(A37,绝对估值!E53:'绝对估值'!F53))+(NPV(A37,绝对估值!D54:'绝对估值'!I54)/(1+A37)^(目录!C9-1))+(绝对估值!F53*POWER((1+绝对估值!$B$3),绝对估值!B2)*(1+$F$3)/POWER((1+$A$37),目录!C9+绝对估值!B2-1)/(A37-$F$3)))/绝对估值!C32</f>
        <v>0.98519134281101295</v>
      </c>
      <c r="G37" s="515">
        <f>((绝对估值!D53+NPV(A37,绝对估值!E53:'绝对估值'!F53))+(NPV(A37,绝对估值!D54:'绝对估值'!I54)/(1+A37)^(目录!C9-1))+(绝对估值!F53*POWER((1+绝对估值!$B$3),绝对估值!B2)*(1+$G$3)/POWER((1+$A$37),目录!C9+绝对估值!B2-1)/(A37-$G$3)))/绝对估值!C32</f>
        <v>1.016663216477514</v>
      </c>
      <c r="H37" s="515">
        <f>((绝对估值!D53+NPV(A37,绝对估值!E53:'绝对估值'!F53))+(NPV(A37,绝对估值!D54:'绝对估值'!I54)/(1+A37)^(目录!C9-1))+(绝对估值!F53*POWER((1+绝对估值!$B$3),绝对估值!B2)*(1+$H$3)/POWER((1+$A$37),目录!C9+绝对估值!B2-1)/(A37-$H$3)))/绝对估值!C32</f>
        <v>1.0549134276992491</v>
      </c>
      <c r="I37" s="515">
        <f>((绝对估值!D53+NPV(A37,绝对估值!E53:'绝对估值'!F53))+(NPV(A37,绝对估值!D54:'绝对估值'!I54)/(1+A37)^(目录!C9-1))+(绝对估值!F53*POWER((1+绝对估值!$B$3),绝对估值!B2)*(1+$I$3)/POWER((1+$A$37),目录!C9+绝对估值!B2-1)/(A37-$I$3)))/绝对估值!C32</f>
        <v>1.1021554608898099</v>
      </c>
      <c r="J37" s="515">
        <f>((绝对估值!D53+NPV(A37,绝对估值!E53:'绝对估值'!F53))+(NPV(A37,绝对估值!D54:'绝对估值'!I54)/(1+A37)^(目录!C9-1))+(绝对估值!F53*POWER((1+绝对估值!$B$3),绝对估值!B2)*(1+$J$3)/POWER((1+$A$37),目录!C9+绝对估值!B2-1)/(A37-$J$3)))/绝对估值!C32</f>
        <v>1.1616757365641286</v>
      </c>
      <c r="K37" s="515">
        <f>((绝对估值!D53+NPV(A37,绝对估值!E53:'绝对估值'!F53))+(NPV(A37,绝对估值!D54:'绝对估值'!I54)/(1+A37)^(目录!C9-1))+(绝对估值!F53*POWER((1+绝对估值!$B$3),绝对估值!B2)*(1+$K$3)/POWER((1+$A$37),目录!C9+绝对估值!B2-1)/(A37-$K$3)))/绝对估值!C32</f>
        <v>1.2385741358150753</v>
      </c>
      <c r="L37" s="516">
        <f>((绝对估值!D53+NPV(A37,绝对估值!E53:'绝对估值'!F53))+(NPV(A37,绝对估值!D54:'绝对估值'!I54)/(1+A37)^(目录!C9-1))+(绝对估值!F53*POWER((1+绝对估值!$B$3),绝对估值!B2)*(1+$L$3)/POWER((1+$A$37),目录!C9+绝对估值!B2-1)/(A37-$L$3)))/绝对估值!C32</f>
        <v>1.3412161740523922</v>
      </c>
    </row>
    <row r="38" spans="1:12" ht="21" customHeight="1" outlineLevel="1">
      <c r="A38" s="341">
        <f>A39/1.1</f>
        <v>9.636363636363636E-2</v>
      </c>
      <c r="B38" s="515">
        <f>((绝对估值!D53+NPV(A38,绝对估值!E53:'绝对估值'!F53))+(NPV(A38,绝对估值!D54:'绝对估值'!I54)/(1+A38)^(目录!C9-1))+(绝对估值!F53*POWER((1+绝对估值!$B$3),绝对估值!B2)*(1+$B$3)/POWER((1+$A$38),目录!C9+绝对估值!B2-1)/(A38-$B$3)))/绝对估值!C32</f>
        <v>0.80014786774285696</v>
      </c>
      <c r="C38" s="515">
        <f>((绝对估值!D53+NPV(A38,绝对估值!E53:'绝对估值'!F53))+(NPV(A38,绝对估值!D54:'绝对估值'!I54)/(1+A38)^(目录!C9-1))+(绝对估值!F53*POWER((1+绝对估值!$B$3),绝对估值!B2)*(1+$C$3)/POWER((1+$A$38),目录!C9+绝对估值!B2-1)/(A38-$C$3)))/绝对估值!C32</f>
        <v>0.81212181307456432</v>
      </c>
      <c r="D38" s="515">
        <f>((绝对估值!D53+NPV(A38,绝对估值!E53:'绝对估值'!F53))+(NPV(A38,绝对估值!D54:'绝对估值'!I54)/(1+A38)^(目录!C9-1))+(绝对估值!F53*POWER((1+绝对估值!$B$3),绝对估值!B2)*(1+$D$3)/POWER((1+$A$38),目录!C9+绝对估值!B2-1)/(A38-$D$3)))/绝对估值!C32</f>
        <v>0.82599107732918564</v>
      </c>
      <c r="E38" s="515">
        <f>((绝对估值!D53+NPV(A38,绝对估值!E53:'绝对估值'!F53))+(NPV(A38,绝对估值!D54:'绝对估值'!I54)/(1+A38)^(目录!C9-1))+(绝对估值!F53*POWER((1+绝对估值!$B$3),绝对估值!B2)*(1+$E$3)/POWER((1+$A$38),目录!C9+绝对估值!B2-1)/(A38-$E$3)))/绝对估值!C32</f>
        <v>0.84216450887431304</v>
      </c>
      <c r="F38" s="515">
        <f>((绝对估值!D53+NPV(A38,绝对估值!E53:'绝对估值'!F53))+(NPV(A38,绝对估值!D54:'绝对估值'!I54)/(1+A38)^(目录!C9-1))+(绝对估值!F53*POWER((1+绝对估值!$B$3),绝对估值!B2)*(1+$F$3)/POWER((1+$A$38),目录!C9+绝对估值!B2-1)/(A38-$F$3)))/绝对估值!C32</f>
        <v>0.86117409480283269</v>
      </c>
      <c r="G38" s="515">
        <f>((绝对估值!D53+NPV(A38,绝对估值!E53:'绝对估值'!F53))+(NPV(A38,绝对估值!D54:'绝对估值'!I54)/(1+A38)^(目录!C9-1))+(绝对估值!F53*POWER((1+绝对估值!$B$3),绝对估值!B2)*(1+$G$3)/POWER((1+$A$38),目录!C9+绝对估值!B2-1)/(A38-$G$3)))/绝对估值!C32</f>
        <v>0.88372519263036431</v>
      </c>
      <c r="H38" s="515">
        <f>((绝对估值!D53+NPV(A38,绝对估值!E53:'绝对估值'!F53))+(NPV(A38,绝对估值!D54:'绝对估值'!I54)/(1+A38)^(目录!C9-1))+(绝对估值!F53*POWER((1+绝对估值!$B$3),绝对估值!B2)*(1+$H$3)/POWER((1+$A$38),目录!C9+绝对估值!B2-1)/(A38-$H$3)))/绝对估值!C32</f>
        <v>0.91077356821690114</v>
      </c>
      <c r="I38" s="515">
        <f>((绝对估值!D53+NPV(A38,绝对估值!E53:'绝对估值'!F53))+(NPV(A38,绝对估值!D54:'绝对估值'!I54)/(1+A38)^(目录!C9-1))+(绝对估值!F53*POWER((1+绝对估值!$B$3),绝对估值!B2)*(1+$I$3)/POWER((1+$A$38),目录!C9+绝对估值!B2-1)/(A38-$I$3)))/绝对估值!C32</f>
        <v>0.94364755882684392</v>
      </c>
      <c r="J38" s="515">
        <f>((绝对估值!D53+NPV(A38,绝对估值!E53:'绝对估值'!F53))+(NPV(A38,绝对估值!D54:'绝对估值'!I54)/(1+A38)^(目录!C9-1))+(绝对估值!F53*POWER((1+绝对估值!$B$3),绝对估值!B2)*(1+$J$3)/POWER((1+$A$38),目录!C9+绝对估值!B2-1)/(A38-$J$3)))/绝对估值!C32</f>
        <v>0.9842495347609953</v>
      </c>
      <c r="K38" s="515">
        <f>((绝对估值!D53+NPV(A38,绝对估值!E53:'绝对估值'!F53))+(NPV(A38,绝对估值!D54:'绝对估值'!I54)/(1+A38)^(目录!C9-1))+(绝对估值!F53*POWER((1+绝对估值!$B$3),绝对估值!B2)*(1+$K$3)/POWER((1+$A$38),目录!C9+绝对估值!B2-1)/(A38-$K$3)))/绝对估值!C32</f>
        <v>1.0354039969488253</v>
      </c>
      <c r="L38" s="516">
        <f>((绝对估值!D53+NPV(A38,绝对估值!E53:'绝对估值'!F53))+(NPV(A38,绝对估值!D54:'绝对估值'!I54)/(1+A38)^(目录!C9-1))+(绝对估值!F53*POWER((1+绝对估值!$B$3),绝对估值!B2)*(1+$L$3)/POWER((1+$A$38),目录!C9+绝对估值!B2-1)/(A38-$L$3)))/绝对估值!C32</f>
        <v>1.1014940177395802</v>
      </c>
    </row>
    <row r="39" spans="1:12" ht="21" customHeight="1" outlineLevel="1">
      <c r="A39" s="341">
        <f>绝对估值!B13</f>
        <v>0.10600000000000001</v>
      </c>
      <c r="B39" s="515">
        <f>((绝对估值!D53+NPV(A39,绝对估值!E53:'绝对估值'!F53))+(NPV(A39,绝对估值!D54:'绝对估值'!I54)/(1+A39)^(目录!C9-1))+(绝对估值!F53*POWER((1+绝对估值!$B$3),绝对估值!B2)*(1+$B$3)/POWER((1+$A$39),目录!C9+绝对估值!B2-1)/(A39-$B$3)))/绝对估值!C32</f>
        <v>0.71216143589747338</v>
      </c>
      <c r="C39" s="515">
        <f>((绝对估值!D53+NPV(A39,绝对估值!E53:'绝对估值'!F53))+(NPV(A39,绝对估值!D54:'绝对估值'!I54)/(1+A39)^(目录!C9-1))+(绝对估值!F53*POWER((1+绝对估值!$B$3),绝对估值!B2)*(1+$C$3)/POWER((1+$A$39),目录!C9+绝对估值!B2-1)/(A39-$C$3)))/绝对估值!C32</f>
        <v>0.72105253755440357</v>
      </c>
      <c r="D39" s="515">
        <f>((绝对估值!D53+NPV(A39,绝对估值!E53:'绝对估值'!F53))+(NPV(A39,绝对估值!D54:'绝对估值'!I54)/(1+A39)^(目录!C9-1))+(绝对估值!F53*POWER((1+绝对估值!$B$3),绝对估值!B2)*(1+$D$3)/POWER((1+$A$39),目录!C9+绝对估值!B2-1)/(A39-$D$3)))/绝对估值!C32</f>
        <v>0.73129114885162427</v>
      </c>
      <c r="E39" s="515">
        <f>((绝对估值!D53+NPV(A39,绝对估值!E53:'绝对估值'!F53))+(NPV(A39,绝对估值!D54:'绝对估值'!I54)/(1+A39)^(目录!C9-1))+(绝对估值!F53*POWER((1+绝对估值!$B$3),绝对估值!B2)*(1+$E$3)/POWER((1+$A$39),目录!C9+绝对估值!B2-1)/(A39-$E$3)))/绝对估值!C32</f>
        <v>0.74315039839283248</v>
      </c>
      <c r="F39" s="515">
        <f>((绝对估值!D53+NPV(A39,绝对估值!E53:'绝对估值'!F53))+(NPV(A39,绝对估值!D54:'绝对估值'!I54)/(1+A39)^(目录!C9-1))+(绝对估值!F53*POWER((1+绝对估值!$B$3),绝对估值!B2)*(1+$F$3)/POWER((1+$A$39),目录!C9+绝对估值!B2-1)/(A39-$F$3)))/绝对估值!C32</f>
        <v>0.75697988185425025</v>
      </c>
      <c r="G39" s="541">
        <f>((绝对估值!D53+NPV(A39,绝对估值!E53:'绝对估值'!F53))+(NPV(A39,绝对估值!D54:'绝对估值'!I54)/(1+A39)^(目录!C9-1))+(绝对估值!F53*POWER((1+绝对估值!$B$3),绝对估值!B2)*(1+$G$3)/POWER((1+$A$39),目录!C9+绝对估值!B2-1)/(A39-$G$3)))/绝对估值!C32</f>
        <v>0.77323448765471547</v>
      </c>
      <c r="H39" s="515">
        <f>((绝对估值!D53+NPV(A39,绝对估值!E53:'绝对估值'!F53))+(NPV(A39,绝对估值!D54:'绝对估值'!I54)/(1+A39)^(目录!C9-1))+(绝对估值!F53*POWER((1+绝对估值!$B$3),绝对估值!B2)*(1+$H$3)/POWER((1+$A$39),目录!C9+绝对估值!B2-1)/(A39-$H$3)))/绝对估值!C32</f>
        <v>0.79251734878239077</v>
      </c>
      <c r="I39" s="515">
        <f>((绝对估值!D53+NPV(A39,绝对估值!E53:'绝对估值'!F53))+(NPV(A39,绝对估值!D54:'绝对估值'!I54)/(1+A39)^(目录!C9-1))+(绝对估值!F53*POWER((1+绝对估值!$B$3),绝对估值!B2)*(1+$I$3)/POWER((1+$A$39),目录!C9+绝对估值!B2-1)/(A39-$I$3)))/绝对估值!C32</f>
        <v>0.81564571593122381</v>
      </c>
      <c r="J39" s="515">
        <f>((绝对估值!D53+NPV(A39,绝对估值!E53:'绝对估值'!F53))+(NPV(A39,绝对估值!D54:'绝对估值'!I54)/(1+A39)^(目录!C9-1))+(绝对估值!F53*POWER((1+绝对估值!$B$3),绝对估值!B2)*(1+$J$3)/POWER((1+$A$39),目录!C9+绝对估值!B2-1)/(A39-$J$3)))/绝对估值!C32</f>
        <v>0.84375541597740644</v>
      </c>
      <c r="K39" s="515">
        <f>((绝对估值!D53+NPV(A39,绝对估值!E53:'绝对估值'!F53))+(NPV(A39,绝对估值!D54:'绝对估值'!I54)/(1+A39)^(目录!C9-1))+(绝对估值!F53*POWER((1+绝对估值!$B$3),绝对估值!B2)*(1+$K$3)/POWER((1+$A$39),目录!C9+绝对估值!B2-1)/(A39-$K$3)))/绝对估值!C32</f>
        <v>0.87847311661598149</v>
      </c>
      <c r="L39" s="516">
        <f>((绝对估值!D53+NPV(A39,绝对估值!E53:'绝对估值'!F53))+(NPV(A39,绝对估值!D54:'绝对估值'!I54)/(1+A39)^(目录!C9-1))+(绝对估值!F53*POWER((1+绝对估值!$B$3),绝对估值!B2)*(1+$L$3)/POWER((1+$A$39),目录!C9+绝对估值!B2-1)/(A39-$L$3)))/绝对估值!C32</f>
        <v>0.92221397561862362</v>
      </c>
    </row>
    <row r="40" spans="1:12" ht="21" customHeight="1" outlineLevel="1">
      <c r="A40" s="341">
        <f>A39*1.1</f>
        <v>0.11660000000000002</v>
      </c>
      <c r="B40" s="515">
        <f>((绝对估值!D53+NPV(A40,绝对估值!E53:'绝对估值'!F53))+(NPV(A40,绝对估值!D54:'绝对估值'!I54)/(1+A40)^(目录!C9-1))+(绝对估值!F53*POWER((1+绝对估值!$B$3),绝对估值!B2)*(1+$B$3)/POWER((1+$A$40),目录!C9+绝对估值!B2-1)/(A40-$B$3)))/绝对估值!C32</f>
        <v>0.63572444212487078</v>
      </c>
      <c r="C40" s="515">
        <f>((绝对估值!D53+NPV(A40,绝对估值!E53:'绝对估值'!F53))+(NPV(A40,绝对估值!D54:'绝对估值'!I54)/(1+A40)^(目录!C9-1))+(绝对估值!F53*POWER((1+绝对估值!$B$3),绝对估值!B2)*(1+$C$3)/POWER((1+$A$40),目录!C9+绝对估值!B2-1)/(A40-$C$3)))/绝对估值!C32</f>
        <v>0.64232342042282886</v>
      </c>
      <c r="D40" s="515">
        <f>((绝对估值!D53+NPV(A40,绝对估值!E53:'绝对估值'!F53))+(NPV(A40,绝对估值!D54:'绝对估值'!I54)/(1+A40)^(目录!C9-1))+(绝对估值!F53*POWER((1+绝对估值!$B$3),绝对估值!B2)*(1+$D$3)/POWER((1+$A$40),目录!C9+绝对估值!B2-1)/(A40-$D$3)))/绝对估值!C32</f>
        <v>0.64988417976626245</v>
      </c>
      <c r="E40" s="515">
        <f>((绝对估值!D53+NPV(A40,绝对估值!E53:'绝对估值'!F53))+(NPV(A40,绝对估值!D54:'绝对估值'!I54)/(1+A40)^(目录!C9-1))+(绝对估值!F53*POWER((1+绝对估值!$B$3),绝对估值!B2)*(1+$E$3)/POWER((1+$A$40),目录!C9+绝对估值!B2-1)/(A40-$E$3)))/绝对估值!C32</f>
        <v>0.65859082591836327</v>
      </c>
      <c r="F40" s="515">
        <f>((绝对估值!D53+NPV(A40,绝对估值!E53:'绝对估值'!F53))+(NPV(A40,绝对估值!D54:'绝对估值'!I54)/(1+A40)^(目录!C9-1))+(绝对估值!F53*POWER((1+绝对估值!$B$3),绝对估值!B2)*(1+$F$3)/POWER((1+$A$40),目录!C9+绝对估值!B2-1)/(A40-$F$3)))/绝对估值!C32</f>
        <v>0.66867562027058092</v>
      </c>
      <c r="G40" s="515">
        <f>((绝对估值!D53+NPV(A40,绝对估值!E53:'绝对估值'!F53))+(NPV(A40,绝对估值!D54:'绝对估值'!I54)/(1+A40)^(目录!C9-1))+(绝对估值!F53*POWER((1+绝对估值!$B$3),绝对估值!B2)*(1+$G$3)/POWER((1+$A$40),目录!C9+绝对估值!B2-1)/(A40-$G$3)))/绝对估值!C32</f>
        <v>0.6804358498045977</v>
      </c>
      <c r="H40" s="515">
        <f>((绝对估值!D53+NPV(A40,绝对估值!E53:'绝对估值'!F53))+(NPV(A40,绝对估值!D54:'绝对估值'!I54)/(1+A40)^(目录!C9-1))+(绝对估值!F53*POWER((1+绝对估值!$B$3),绝对估值!B2)*(1+$H$3)/POWER((1+$A$40),目录!C9+绝对估值!B2-1)/(A40-$H$3)))/绝对估值!C32</f>
        <v>0.69425833968512995</v>
      </c>
      <c r="I40" s="515">
        <f>((绝对估值!D53+NPV(A40,绝对估值!E53:'绝对估值'!F53))+(NPV(A40,绝对估值!D54:'绝对估值'!I54)/(1+A40)^(目录!C9-1))+(绝对估值!F53*POWER((1+绝对估值!$B$3),绝对估值!B2)*(1+$I$3)/POWER((1+$A$40),目录!C9+绝对估值!B2-1)/(A40-$I$3)))/绝对估值!C32</f>
        <v>0.7106559783653229</v>
      </c>
      <c r="J40" s="515">
        <f>((绝对估值!D53+NPV(A40,绝对估值!E53:'绝对估值'!F53))+(NPV(A40,绝对估值!D54:'绝对估值'!I54)/(1+A40)^(目录!C9-1))+(绝对估值!F53*POWER((1+绝对估值!$B$3),绝对估值!B2)*(1+$J$3)/POWER((1+$A$40),目录!C9+绝对估值!B2-1)/(A40-$J$3)))/绝对估值!C32</f>
        <v>0.73032373437198206</v>
      </c>
      <c r="K40" s="515">
        <f>((绝对估值!D53+NPV(A40,绝对估值!E53:'绝对估值'!F53))+(NPV(A40,绝对估值!D54:'绝对估值'!I54)/(1+A40)^(目录!C9-1))+(绝对估值!F53*POWER((1+绝对估值!$B$3),绝对估值!B2)*(1+$K$3)/POWER((1+$A$40),目录!C9+绝对估值!B2-1)/(A40-$K$3)))/绝对估值!C32</f>
        <v>0.75422748505057624</v>
      </c>
      <c r="L40" s="516">
        <f>((绝对估值!D53+NPV(A40,绝对估值!E53:'绝对估值'!F53))+(NPV(A40,绝对估值!D54:'绝对估值'!I54)/(1+A40)^(目录!C9-1))+(绝对估值!F53*POWER((1+绝对估值!$B$3),绝对估值!B2)*(1+$L$3)/POWER((1+$A$40),目录!C9+绝对估值!B2-1)/(A40-$L$3)))/绝对估值!C32</f>
        <v>0.78375050588804951</v>
      </c>
    </row>
    <row r="41" spans="1:12" ht="21" customHeight="1" outlineLevel="1">
      <c r="A41" s="341">
        <f>A40*1.1</f>
        <v>0.12826000000000004</v>
      </c>
      <c r="B41" s="515">
        <f>((绝对估值!D53+NPV(A41,绝对估值!E53:'绝对估值'!F53))+(NPV(A41,绝对估值!D54:'绝对估值'!I54)/(1+A41)^(目录!C9-1))+(绝对估值!F53*POWER((1+绝对估值!$B$3),绝对估值!B2)*(1+$B$3)/POWER((1+$A$41),目录!C9+绝对估值!B2-1)/(A41-$B$3)))/绝对估值!C32</f>
        <v>0.56907319527875688</v>
      </c>
      <c r="C41" s="515">
        <f>((绝对估值!D53+NPV(A41,绝对估值!E53:'绝对估值'!F53))+(NPV(A41,绝对估值!D54:'绝对估值'!I54)/(1+A41)^(目录!C9-1))+(绝对估值!F53*POWER((1+绝对估值!$B$3),绝对估值!B2)*(1+$C$3)/POWER((1+$A$41),目录!C9+绝对估值!B2-1)/(A41-$C$3)))/绝对估值!C32</f>
        <v>0.57396344490254803</v>
      </c>
      <c r="D41" s="515">
        <f>((绝对估值!D53+NPV(A41,绝对估值!E53:'绝对估值'!F53))+(NPV(A41,绝对估值!D54:'绝对估值'!I54)/(1+A41)^(目录!C9-1))+(绝对估值!F53*POWER((1+绝对估值!$B$3),绝对估值!B2)*(1+$D$3)/POWER((1+$A$41),目录!C9+绝对估值!B2-1)/(A41-$D$3)))/绝对估值!C32</f>
        <v>0.57954175996342194</v>
      </c>
      <c r="E41" s="515">
        <f>((绝对估值!D53+NPV(A41,绝对估值!E53:'绝对估值'!F53))+(NPV(A41,绝对估值!D54:'绝对估值'!I54)/(1+A41)^(目录!C9-1))+(绝对估值!F53*POWER((1+绝对估值!$B$3),绝对估值!B2)*(1+$E$3)/POWER((1+$A$41),目录!C9+绝对估值!B2-1)/(A41-$E$3)))/绝对估值!C32</f>
        <v>0.58593309750277578</v>
      </c>
      <c r="F41" s="515">
        <f>((绝对估值!D53+NPV(A41,绝对估值!E53:'绝对估值'!F53))+(NPV(A41,绝对估值!D54:'绝对估值'!I54)/(1+A41)^(目录!C9-1))+(绝对估值!F53*POWER((1+绝对估值!$B$3),绝对估值!B2)*(1+$F$3)/POWER((1+$A$41),目录!C9+绝对估值!B2-1)/(A41-$F$3)))/绝对估值!C32</f>
        <v>0.59329308766594913</v>
      </c>
      <c r="G41" s="515">
        <f>((绝对估值!D53+NPV(A41,绝对估值!E53:'绝对估值'!F53))+(NPV(A41,绝对估值!D54:'绝对估值'!I54)/(1+A41)^(目录!C9-1))+(绝对估值!F53*POWER((1+绝对估值!$B$3),绝对估值!B2)*(1+$G$3)/POWER((1+$A$41),目录!C9+绝对估值!B2-1)/(A41-$G$3)))/绝对估值!C32</f>
        <v>0.60181806800088988</v>
      </c>
      <c r="H41" s="515">
        <f>((绝对估值!D53+NPV(A41,绝对估值!E53:'绝对估值'!F53))+(NPV(A41,绝对估值!D54:'绝对估值'!I54)/(1+A41)^(目录!C9-1))+(绝对估值!F53*POWER((1+绝对估值!$B$3),绝对估值!B2)*(1+$H$3)/POWER((1+$A$41),目录!C9+绝对估值!B2-1)/(A41-$H$3)))/绝对估值!C32</f>
        <v>0.61175934414499267</v>
      </c>
      <c r="I41" s="515">
        <f>((绝对估值!D53+NPV(A41,绝对估值!E53:'绝对估值'!F53))+(NPV(A41,绝对估值!D54:'绝对估值'!I54)/(1+A41)^(目录!C9-1))+(绝对估值!F53*POWER((1+绝对估值!$B$3),绝对估值!B2)*(1+$I$3)/POWER((1+$A$41),目录!C9+绝对估值!B2-1)/(A41-$I$3)))/绝对估值!C32</f>
        <v>0.62344391105790575</v>
      </c>
      <c r="J41" s="515">
        <f>((绝对估值!D53+NPV(A41,绝对估值!E53:'绝对估值'!F53))+(NPV(A41,绝对估值!D54:'绝对估值'!I54)/(1+A41)^(目录!C9-1))+(绝对估值!F53*POWER((1+绝对估值!$B$3),绝对估值!B2)*(1+$J$3)/POWER((1+$A$41),目录!C9+绝对估值!B2-1)/(A41-$J$3)))/绝对估值!C32</f>
        <v>0.63730532879295065</v>
      </c>
      <c r="K41" s="515">
        <f>((绝对估值!D53+NPV(A41,绝对估值!E53:'绝对估值'!F53))+(NPV(A41,绝对估值!D54:'绝对估值'!I54)/(1+A41)^(目录!C9-1))+(绝对估值!F53*POWER((1+绝对估值!$B$3),绝对估值!B2)*(1+$K$3)/POWER((1+$A$41),目录!C9+绝对估值!B2-1)/(A41-$K$3)))/绝对估值!C32</f>
        <v>0.65393107517243076</v>
      </c>
      <c r="L41" s="516">
        <f>((绝对估值!D53+NPV(A41,绝对估值!E53:'绝对估值'!F53))+(NPV(A41,绝对估值!D54:'绝对估值'!I54)/(1+A41)^(目录!C9-1))+(绝对估值!F53*POWER((1+绝对估值!$B$3),绝对估值!B2)*(1+$L$3)/POWER((1+$A$41),目录!C9+绝对估值!B2-1)/(A41-$L$3)))/绝对估值!C32</f>
        <v>0.67413763540055605</v>
      </c>
    </row>
    <row r="42" spans="1:12" ht="21" customHeight="1" outlineLevel="1">
      <c r="A42" s="341">
        <f>A41*1.1</f>
        <v>0.14108600000000004</v>
      </c>
      <c r="B42" s="515">
        <f>((绝对估值!D53+NPV(A42,绝对估值!E53:'绝对估值'!F53))+(NPV(A42,绝对估值!D54:'绝对估值'!I54)/(1+A42)^(目录!C9-1))+(绝对估值!F53*POWER((1+绝对估值!$B$3),绝对估值!B2)*(1+$B$3)/POWER((1+$A$42),目录!C9+绝对估值!B2-1)/(A42-$B$3)))/绝对估值!C32</f>
        <v>0.51077298193978671</v>
      </c>
      <c r="C42" s="515">
        <f>((绝对估值!D53+NPV(A42,绝对估值!E53:'绝对估值'!F53))+(NPV(A42,绝对估值!D54:'绝对估值'!I54)/(1+A42)^(目录!C9-1))+(绝对估值!F53*POWER((1+绝对估值!$B$3),绝对估值!B2)*(1+$C$3)/POWER((1+$A$42),目录!C9+绝对估值!B2-1)/(A42-$C$3)))/绝对估值!C32</f>
        <v>0.51438776185227697</v>
      </c>
      <c r="D42" s="515">
        <f>((绝对估值!D53+NPV(A42,绝对估值!E53:'绝对估值'!F53))+(NPV(A42,绝对估值!D54:'绝对估值'!I54)/(1+A42)^(目录!C9-1))+(绝对估值!F53*POWER((1+绝对估值!$B$3),绝对估值!B2)*(1+$D$3)/POWER((1+$A$42),目录!C9+绝对估值!B2-1)/(A42-$D$3)))/绝对估值!C32</f>
        <v>0.51849522848475893</v>
      </c>
      <c r="E42" s="515">
        <f>((绝对估值!D53+NPV(A42,绝对估值!E53:'绝对估值'!F53))+(NPV(A42,绝对估值!D54:'绝对估值'!I54)/(1+A42)^(目录!C9-1))+(绝对估值!F53*POWER((1+绝对估值!$B$3),绝对估值!B2)*(1+$E$3)/POWER((1+$A$42),目录!C9+绝对估值!B2-1)/(A42-$E$3)))/绝对估值!C32</f>
        <v>0.52318062181653069</v>
      </c>
      <c r="F42" s="515">
        <f>((绝对估值!D53+NPV(A42,绝对估值!E53:'绝对估值'!F53))+(NPV(A42,绝对估值!D54:'绝对估值'!I54)/(1+A42)^(目录!C9-1))+(绝对估值!F53*POWER((1+绝对估值!$B$3),绝对估值!B2)*(1+$F$3)/POWER((1+$A$42),目录!C9+绝对估值!B2-1)/(A42-$F$3)))/绝对估值!C32</f>
        <v>0.52854889699661722</v>
      </c>
      <c r="G42" s="515">
        <f>((绝对估值!D53+NPV(A42,绝对估值!E53:'绝对估值'!F53))+(NPV(A42,绝对估值!D54:'绝对估值'!I54)/(1+A42)^(目录!C9-1))+(绝对估值!F53*POWER((1+绝对估值!$B$3),绝对估值!B2)*(1+$G$3)/POWER((1+$A$42),目录!C9+绝对估值!B2-1)/(A42-$G$3)))/绝对估值!C32</f>
        <v>0.53473077242963296</v>
      </c>
      <c r="H42" s="515">
        <f>((绝对估值!D53+NPV(A42,绝对估值!E53:'绝对估值'!F53))+(NPV(A42,绝对估值!D54:'绝对估值'!I54)/(1+A42)^(目录!C9-1))+(绝对估值!F53*POWER((1+绝对估值!$B$3),绝对估值!B2)*(1+$H$3)/POWER((1+$A$42),目录!C9+绝对估值!B2-1)/(A42-$H$3)))/绝对估值!C32</f>
        <v>0.54189115788275577</v>
      </c>
      <c r="I42" s="515">
        <f>((绝对估值!D53+NPV(A42,绝对估值!E53:'绝对估值'!F53))+(NPV(A42,绝对估值!D54:'绝对估值'!I54)/(1+A42)^(目录!C9-1))+(绝对估值!F53*POWER((1+绝对估值!$B$3),绝对估值!B2)*(1+$I$3)/POWER((1+$A$42),目录!C9+绝对估值!B2-1)/(A42-$I$3)))/绝对估值!C32</f>
        <v>0.55024113246228123</v>
      </c>
      <c r="J42" s="515">
        <f>((绝对估值!D53+NPV(A42,绝对估值!E53:'绝对估值'!F53))+(NPV(A42,绝对估值!D54:'绝对估值'!I54)/(1+A42)^(目录!C9-1))+(绝对估值!F53*POWER((1+绝对估值!$B$3),绝对估值!B2)*(1+$J$3)/POWER((1+$A$42),目录!C9+绝对估值!B2-1)/(A42-$J$3)))/绝对估值!C32</f>
        <v>0.56005534899558485</v>
      </c>
      <c r="K42" s="515">
        <f>((绝对估值!D53+NPV(A42,绝对估值!E53:'绝对估值'!F53))+(NPV(A42,绝对估值!D54:'绝对估值'!I54)/(1+A42)^(目录!C9-1))+(绝对估值!F53*POWER((1+绝对估值!$B$3),绝对估值!B2)*(1+$K$3)/POWER((1+$A$42),目录!C9+绝对估值!B2-1)/(A42-$K$3)))/绝对估值!C32</f>
        <v>0.57169796751317525</v>
      </c>
      <c r="L42" s="516">
        <f>((绝对估值!D53+NPV(A42,绝对估值!E53:'绝对估值'!F53))+(NPV(A42,绝对估值!D54:'绝对估值'!I54)/(1+A42)^(目录!C9-1))+(绝对估值!F53*POWER((1+绝对估值!$B$3),绝对估值!B2)*(1+$L$3)/POWER((1+$A$42),目录!C9+绝对估值!B2-1)/(A42-$L$3)))/绝对估值!C32</f>
        <v>0.58566242817415859</v>
      </c>
    </row>
    <row r="43" spans="1:12" ht="21" customHeight="1" outlineLevel="1">
      <c r="A43" s="341">
        <f>A42*1.1</f>
        <v>0.15519460000000007</v>
      </c>
      <c r="B43" s="515">
        <f>((绝对估值!D53+NPV(A43,绝对估值!E53:'绝对估值'!F53))+(NPV(A43,绝对估值!D54:'绝对估值'!I54)/(1+A43)^(目录!C9-1))+(绝对估值!F53*POWER((1+绝对估值!$B$3),绝对估值!B2)*(1+$B$3)/POWER((1+$A$43),目录!C9+绝对估值!B2-1)/(A43-$B$3)))/绝对估值!C32</f>
        <v>0.45964392021192829</v>
      </c>
      <c r="C43" s="515">
        <f>((绝对估值!D53+NPV(A43,绝对估值!E53:'绝对估值'!F53))+(NPV(A43,绝对估值!D54:'绝对估值'!I54)/(1+A43)^(目录!C9-1))+(绝对估值!F53*POWER((1+绝对估值!$B$3),绝对估值!B2)*(1+$C$3)/POWER((1+$A$43),目录!C9+绝对估值!B2-1)/(A43-$C$3)))/绝对估值!C32</f>
        <v>0.46230659159024551</v>
      </c>
      <c r="D43" s="515">
        <f>((绝对估值!D53+NPV(A43,绝对估值!E53:'绝对估值'!F53))+(NPV(A43,绝对估值!D54:'绝对估值'!I54)/(1+A43)^(目录!C9-1))+(绝对估值!F53*POWER((1+绝对估值!$B$3),绝对估值!B2)*(1+$D$3)/POWER((1+$A$43),目录!C9+绝对估值!B2-1)/(A43-$D$3)))/绝对估值!C32</f>
        <v>0.46532190017095154</v>
      </c>
      <c r="E43" s="515">
        <f>((绝对估值!D53+NPV(A43,绝对估值!E53:'绝对估值'!F53))+(NPV(A43,绝对估值!D54:'绝对估值'!I54)/(1+A43)^(目录!C9-1))+(绝对估值!F53*POWER((1+绝对估值!$B$3),绝对估值!B2)*(1+$E$3)/POWER((1+$A$43),目录!C9+绝对估值!B2-1)/(A43-$E$3)))/绝对估值!C32</f>
        <v>0.46874818881969904</v>
      </c>
      <c r="F43" s="515">
        <f>((绝对估值!D53+NPV(A43,绝对估值!E53:'绝对估值'!F53))+(NPV(A43,绝对估值!D54:'绝对估值'!I54)/(1+A43)^(目录!C9-1))+(绝对估值!F53*POWER((1+绝对估值!$B$3),绝对估值!B2)*(1+$F$3)/POWER((1+$A$43),目录!C9+绝对估值!B2-1)/(A43-$F$3)))/绝对估值!C32</f>
        <v>0.47265656140649409</v>
      </c>
      <c r="G43" s="515">
        <f>((绝对估值!D53+NPV(A43,绝对估值!E53:'绝对估值'!F53))+(NPV(A43,绝对估值!D54:'绝对估值'!I54)/(1+A43)^(目录!C9-1))+(绝对估值!F53*POWER((1+绝对估值!$B$3),绝对估值!B2)*(1+$G$3)/POWER((1+$A$43),目录!C9+绝对估值!B2-1)/(A43-$G$3)))/绝对估值!C32</f>
        <v>0.47713456742787702</v>
      </c>
      <c r="H43" s="515">
        <f>((绝对估值!D53+NPV(A43,绝对估值!E53:'绝对估值'!F53))+(NPV(A43,绝对估值!D54:'绝对估值'!I54)/(1+A43)^(目录!C9-1))+(绝对估值!F53*POWER((1+绝对估值!$B$3),绝对估值!B2)*(1+$H$3)/POWER((1+$A$43),目录!C9+绝对估值!B2-1)/(A43-$H$3)))/绝对估值!C32</f>
        <v>0.48229124708453308</v>
      </c>
      <c r="I43" s="515">
        <f>((绝对估值!D53+NPV(A43,绝对估值!E53:'绝对估值'!F53))+(NPV(A43,绝对估值!D54:'绝对估值'!I54)/(1+A43)^(目录!C9-1))+(绝对估值!F53*POWER((1+绝对估值!$B$3),绝对估值!B2)*(1+$I$3)/POWER((1+$A$43),目录!C9+绝对估值!B2-1)/(A43-$I$3)))/绝对估值!C32</f>
        <v>0.48826416167979236</v>
      </c>
      <c r="J43" s="515">
        <f>((绝对估值!D53+NPV(A43,绝对估值!E53:'绝对估值'!F53))+(NPV(A43,绝对估值!D54:'绝对估值'!I54)/(1+A43)^(目录!C9-1))+(绝对估值!F53*POWER((1+绝对估值!$B$3),绝对估值!B2)*(1+$J$3)/POWER((1+$A$43),目录!C9+绝对估值!B2-1)/(A43-$J$3)))/绝对估值!C32</f>
        <v>0.49522938518104137</v>
      </c>
      <c r="K43" s="515">
        <f>((绝对估值!D53+NPV(A43,绝对估值!E53:'绝对估值'!F53))+(NPV(A43,绝对估值!D54:'绝对估值'!I54)/(1+A43)^(目录!C9-1))+(绝对估值!F53*POWER((1+绝对估值!$B$3),绝对估值!B2)*(1+$K$3)/POWER((1+$A$43),目录!C9+绝对估值!B2-1)/(A43-$K$3)))/绝对估值!C32</f>
        <v>0.50341602227712656</v>
      </c>
      <c r="L43" s="516">
        <f>((绝对估值!D53+NPV(A43,绝对估值!E53:'绝对估值'!F53))+(NPV(A43,绝对估值!D54:'绝对估值'!I54)/(1+A43)^(目录!C9-1))+(绝对估值!F53*POWER((1+绝对估值!$B$3),绝对估值!B2)*(1+$L$3)/POWER((1+$A$43),目录!C9+绝对估值!B2-1)/(A43-$L$3)))/绝对估值!C32</f>
        <v>0.51312784107878384</v>
      </c>
    </row>
    <row r="44" spans="1:12" ht="21" customHeight="1" outlineLevel="1">
      <c r="A44" s="341">
        <f>A43*1.1</f>
        <v>0.17071406000000008</v>
      </c>
      <c r="B44" s="517">
        <f>((绝对估值!D53+NPV(A44,绝对估值!E53:'绝对估值'!F53))+(NPV(A44,绝对估值!D54:'绝对估值'!I54)/(1+A44)^(目录!C9-1))+(绝对估值!F53*POWER((1+绝对估值!$B$3),绝对估值!B2)*(1+$B$3)/POWER((1+$A$44),目录!C9+绝对估值!B2-1)/(A44-$B$3)))/绝对估值!C32</f>
        <v>0.41470596258575199</v>
      </c>
      <c r="C44" s="517">
        <f>((绝对估值!D53+NPV(A44,绝对估值!E53:'绝对估值'!F53))+(NPV(A44,绝对估值!D54:'绝对估值'!I54)/(1+A44)^(目录!C9-1))+(绝对估值!F53*POWER((1+绝对估值!$B$3),绝对估值!B2)*(1+$C$3)/POWER((1+$A$44),目录!C9+绝对估值!B2-1)/(A44-$C$3)))/绝对估值!C32</f>
        <v>0.41665870870630611</v>
      </c>
      <c r="D44" s="517">
        <f>((绝对估值!D53+NPV(A44,绝对估值!E53:'绝对估值'!F53))+(NPV(A44,绝对估值!D54:'绝对估值'!I54)/(1+A44)^(目录!C9-1))+(绝对估值!F53*POWER((1+绝对估值!$B$3),绝对估值!B2)*(1+$D$3)/POWER((1+$A$44),目录!C9+绝对估值!B2-1)/(A44-$D$3)))/绝对估值!C32</f>
        <v>0.41886343710614254</v>
      </c>
      <c r="E44" s="517">
        <f>((绝对估值!D53+NPV(A44,绝对估值!E53:'绝对估值'!F53))+(NPV(A44,绝对估值!D54:'绝对估值'!I54)/(1+A44)^(目录!C9-1))+(绝对估值!F53*POWER((1+绝对估值!$B$3),绝对估值!B2)*(1+$E$3)/POWER((1+$A$44),目录!C9+绝对估值!B2-1)/(A44-$E$3)))/绝对估值!C32</f>
        <v>0.42136015394333431</v>
      </c>
      <c r="F44" s="517">
        <f>((绝对估值!D53+NPV(A44,绝对估值!E53:'绝对估值'!F53))+(NPV(A44,绝对估值!D54:'绝对估值'!I54)/(1+A44)^(目录!C9-1))+(绝对估值!F53*POWER((1+绝对估值!$B$3),绝对估值!B2)*(1+$F$3)/POWER((1+$A$44),目录!C9+绝对估值!B2-1)/(A44-$F$3)))/绝对估值!C32</f>
        <v>0.42419716791037704</v>
      </c>
      <c r="G44" s="517">
        <f>((绝对估值!D53+NPV(A44,绝对估值!E53:'绝对估值'!F53))+(NPV(A44,绝对估值!D54:'绝对估值'!I54)/(1+A44)^(目录!C9-1))+(绝对估值!F53*POWER((1+绝对估值!$B$3),绝对估值!B2)*(1+$G$3)/POWER((1+$A$44),目录!C9+绝对估值!B2-1)/(A44-$G$3)))/绝对估值!C32</f>
        <v>0.42743335398629273</v>
      </c>
      <c r="H44" s="517">
        <f>((绝对估值!D53+NPV(A44,绝对估值!E53:'绝对估值'!F53))+(NPV(A44,绝对估值!D54:'绝对估值'!I54)/(1+A44)^(目录!C9-1))+(绝对估值!F53*POWER((1+绝对估值!$B$3),绝对估值!B2)*(1+$H$3)/POWER((1+$A$44),目录!C9+绝对估值!B2-1)/(A44-$H$3)))/绝对估值!C32</f>
        <v>0.43114120435430209</v>
      </c>
      <c r="I44" s="517">
        <f>((绝对估值!D53+NPV(A44,绝对估值!E53:'绝对估值'!F53))+(NPV(A44,绝对估值!D54:'绝对估值'!I54)/(1+A44)^(目录!C9-1))+(绝对估值!F53*POWER((1+绝对估值!$B$3),绝对估值!B2)*(1+$I$3)/POWER((1+$A$44),目录!C9+绝对估值!B2-1)/(A44-$I$3)))/绝对估值!C32</f>
        <v>0.43541100579524211</v>
      </c>
      <c r="J44" s="517">
        <f>((绝对估值!D53+NPV(A44,绝对估值!E53:'绝对估值'!F53))+(NPV(A44,绝对估值!D54:'绝对估值'!I54)/(1+A44)^(目录!C9-1))+(绝对估值!F53*POWER((1+绝对估值!$B$3),绝对估值!B2)*(1+$J$3)/POWER((1+$A$44),目录!C9+绝对估值!B2-1)/(A44-$J$3)))/绝对估值!C32</f>
        <v>0.4403566609538927</v>
      </c>
      <c r="K44" s="517">
        <f>((绝对估值!D53+NPV(A44,绝对估值!E53:'绝对估值'!F53))+(NPV(A44,绝对估值!D54:'绝对估值'!I54)/(1+A44)^(目录!C9-1))+(绝对估值!F53*POWER((1+绝对估值!$B$3),绝对估值!B2)*(1+$K$3)/POWER((1+$A$44),目录!C9+绝对估值!B2-1)/(A44-$K$3)))/绝对估值!C32</f>
        <v>0.4461239614887853</v>
      </c>
      <c r="L44" s="518">
        <f>((绝对估值!D53+NPV(A44,绝对估值!E53:'绝对估值'!F53))+(NPV(A44,绝对估值!D54:'绝对估值'!I54)/(1+A44)^(目录!C9-1))+(绝对估值!F53*POWER((1+绝对估值!$B$3),绝对估值!B2)*(1+$L$3)/POWER((1+$A$44),目录!C9+绝对估值!B2-1)/(A44-$L$3)))/绝对估值!C32</f>
        <v>0.45290260922273906</v>
      </c>
    </row>
    <row r="46" spans="1:12" ht="28.5" customHeight="1">
      <c r="A46" s="1306" t="s">
        <v>296</v>
      </c>
      <c r="B46" s="1306"/>
    </row>
    <row r="47" spans="1:12" ht="18.75" customHeight="1" outlineLevel="1">
      <c r="A47" s="1307" t="s">
        <v>280</v>
      </c>
      <c r="B47" s="1307"/>
    </row>
    <row r="48" spans="1:12" ht="26.25" customHeight="1" outlineLevel="1">
      <c r="A48" s="338" t="s">
        <v>281</v>
      </c>
      <c r="B48" s="340">
        <f>C48/1.1</f>
        <v>1.8627639691774646E-2</v>
      </c>
      <c r="C48" s="339">
        <f>D48/1.1</f>
        <v>2.0490403660952113E-2</v>
      </c>
      <c r="D48" s="339">
        <f>E48/1.1</f>
        <v>2.2539444027047325E-2</v>
      </c>
      <c r="E48" s="339">
        <f>F48/1.1</f>
        <v>2.479338842975206E-2</v>
      </c>
      <c r="F48" s="339">
        <f>G48/1.1</f>
        <v>2.7272727272727268E-2</v>
      </c>
      <c r="G48" s="339">
        <f>绝对估值!B4</f>
        <v>0.03</v>
      </c>
      <c r="H48" s="339">
        <f>G48*1.1</f>
        <v>3.3000000000000002E-2</v>
      </c>
      <c r="I48" s="339">
        <f>H48*1.1</f>
        <v>3.6300000000000006E-2</v>
      </c>
      <c r="J48" s="339">
        <f>I48*1.1</f>
        <v>3.9930000000000007E-2</v>
      </c>
      <c r="K48" s="339">
        <f>J48*1.1</f>
        <v>4.3923000000000011E-2</v>
      </c>
      <c r="L48" s="339">
        <f>K48*1.1</f>
        <v>4.8315300000000012E-2</v>
      </c>
    </row>
    <row r="49" spans="1:12" ht="19.5" customHeight="1" outlineLevel="1">
      <c r="A49" s="341">
        <f ca="1">A50/1.1</f>
        <v>5.1503213969916577E-2</v>
      </c>
      <c r="B49" s="511">
        <f ca="1">((绝对估值!D65+NPV(A49,绝对估值!E65:'绝对估值'!F65))+(NPV(A49,绝对估值!D66:'绝对估值'!I66)/(1+A49)^(目录!C9-1))+(绝对估值!F65*POWER((1+绝对估值!$B$3),绝对估值!B2)*(1+$B$3)/POWER((1+$A$49),目录!C9+绝对估值!B2-1)/(A49-$B$3))+(绝对估值!C71+绝对估值!C72-绝对估值!C73-绝对估值!C74))/绝对估值!C32</f>
        <v>-15.97748645132884</v>
      </c>
      <c r="C49" s="511">
        <f ca="1">((绝对估值!D65+NPV(A49,绝对估值!E65:'绝对估值'!F65))+(NPV(A49,绝对估值!D66:'绝对估值'!I66)/(1+A49)^(目录!C9-1))+(绝对估值!F65*POWER((1+绝对估值!$B$3),绝对估值!B2)*(1+$C$3)/POWER((1+$A$49),目录!C9+绝对估值!B2-1)/(A49-$C$3))+(绝对估值!C71+绝对估值!C72-绝对估值!C73-绝对估值!C74))/绝对估值!C32</f>
        <v>-17.025679032043683</v>
      </c>
      <c r="D49" s="511">
        <f ca="1">((绝对估值!D65+NPV(A49,绝对估值!E65:'绝对估值'!F65))+(NPV(A49,绝对估值!D66:'绝对估值'!I66)/(1+A49)^(目录!C9-1))+(绝对估值!F65*POWER((1+绝对估值!$B$3),绝对估值!B2)*(1+$D$3)/POWER((1+$A$49),目录!C9+绝对估值!B2-1)/(A49-$D$3))+(绝对估值!C71+绝对估值!C72-绝对估值!C73-绝对估值!C74))/绝对估值!C32</f>
        <v>-18.334414960562853</v>
      </c>
      <c r="E49" s="511">
        <f ca="1">((绝对估值!D65+NPV(A49,绝对估值!E65:'绝对估值'!F65))+(NPV(A49,绝对估值!D66:'绝对估值'!I66)/(1+A49)^(目录!C9-1))+(绝对估值!F65*POWER((1+绝对估值!$B$3),绝对估值!B2)*(1+$E$3)/POWER((1+$A$49),目录!C9+绝对估值!B2-1)/(A49-$E$3))+(绝对估值!C71+绝对估值!C72-绝对估值!C73-绝对估值!C74))/绝对估值!C32</f>
        <v>-20.005947293790737</v>
      </c>
      <c r="F49" s="511">
        <f ca="1">((绝对估值!D65+NPV(A49,绝对估值!E65:'绝对估值'!F65))+(NPV(A49,绝对估值!D66:'绝对估值'!I66)/(1+A49)^(目录!C9-1))+(绝对估值!F65*POWER((1+绝对估值!$B$3),绝对估值!B2)*(1+$F$3)/POWER((1+$A$49),目录!C9+绝对估值!B2-1)/(A49-$F$3))+(绝对估值!C71+绝对估值!C72-绝对估值!C73-绝对估值!C74))/绝对估值!C32</f>
        <v>-22.203809285272129</v>
      </c>
      <c r="G49" s="511">
        <f ca="1">((绝对估值!D65+NPV(A49,绝对估值!E65:'绝对估值'!F65))+(NPV(A49,绝对估值!D66:'绝对估值'!I66)/(1+A49)^(目录!C9-1))+(绝对估值!F65*POWER((1+绝对估值!$B$3),绝对估值!B2)*(1+$G$3)/POWER((1+$A$49),目录!C9+绝对估值!B2-1)/(A49-$G$3))+(绝对估值!C71+绝对估值!C72-绝对估值!C73-绝对估值!C74))/绝对估值!C32</f>
        <v>-25.206846946505038</v>
      </c>
      <c r="H49" s="511">
        <f ca="1">((绝对估值!D65+NPV(A49,绝对估值!E65:'绝对估值'!F65))+(NPV(A49,绝对估值!D66:'绝对估值'!I66)/(1+A49)^(目录!C9-1))+(绝对估值!F65*POWER((1+绝对估值!$B$3),绝对估值!B2)*(1+$H$3)/POWER((1+$A$49),目录!C9+绝对估值!B2-1)/(A49-$H$3))+(绝对估值!C71+绝对估值!C72-绝对估值!C73-绝对估值!C74))/绝对估值!C32</f>
        <v>-29.532666809041583</v>
      </c>
      <c r="I49" s="511">
        <f ca="1">((绝对估值!D65+NPV(A49,绝对估值!E65:'绝对估值'!F65))+(NPV(A49,绝对估值!D66:'绝对估值'!I66)/(1+A49)^(目录!C9-1))+(绝对估值!F65*POWER((1+绝对估值!$B$3),绝对估值!B2)*(1+$I$3)/POWER((1+$A$49),目录!C9+绝对估值!B2-1)/(A49-$I$3))+(绝对估值!C71+绝对估值!C72-绝对估值!C73-绝对估值!C74))/绝对估值!C32</f>
        <v>-36.262884071776313</v>
      </c>
      <c r="J49" s="511">
        <f ca="1">((绝对估值!D65+NPV(A49,绝对估值!E65:'绝对估值'!F65))+(NPV(A49,绝对估值!D66:'绝对估值'!I66)/(1+A49)^(目录!C9-1))+(绝对估值!F65*POWER((1+绝对估值!$B$3),绝对估值!B2)*(1+$J$3)/POWER((1+$A$49),目录!C9+绝对估值!B2-1)/(A49-$J$3))+(绝对估值!C71+绝对估值!C72-绝对估值!C73-绝对估值!C74))/绝对估值!C32</f>
        <v>-48.099156643952313</v>
      </c>
      <c r="K49" s="511">
        <f ca="1">((绝对估值!D65+NPV(A49,绝对估值!E65:'绝对估值'!F65))+(NPV(A49,绝对估值!D66:'绝对估值'!I66)/(1+A49)^(目录!C9-1))+(绝对估值!F65*POWER((1+绝对估值!$B$3),绝对估值!B2)*(1+$K$3)/POWER((1+$A$49),目录!C9+绝对估值!B2-1)/(A49-$K$3))+(绝对估值!C71+绝对估值!C72-绝对估值!C73-绝对估值!C74))/绝对估值!C32</f>
        <v>-74.212446289696956</v>
      </c>
      <c r="L49" s="512">
        <f ca="1">((绝对估值!D65+NPV(A49,绝对估值!E65:'绝对估值'!F65))+(NPV(A49,绝对估值!D66:'绝对估值'!I66)/(1+A49)^(目录!C9-1))+(绝对估值!F65*POWER((1+绝对估值!$B$3),绝对估值!B2)*(1+$L$3)/POWER((1+$A$49),目录!C9+绝对估值!B2-1)/(A49-$L$3))+(绝对估值!C71+绝对估值!C72-绝对估值!C73-绝对估值!C74))/绝对估值!C32</f>
        <v>-178.49259955561809</v>
      </c>
    </row>
    <row r="50" spans="1:12" ht="19.5" customHeight="1" outlineLevel="1">
      <c r="A50" s="341">
        <f ca="1">A51/1.1</f>
        <v>5.6653535366908238E-2</v>
      </c>
      <c r="B50" s="511">
        <f ca="1">((绝对估值!D65+NPV(A50,绝对估值!E65:'绝对估值'!F65))+(NPV(A50,绝对估值!D66:'绝对估值'!I66)/(1+A50)^(目录!C9-1))+(绝对估值!F65*POWER((1+绝对估值!$B$3),绝对估值!B2)*(1+$B$3)/POWER((1+$A$50),目录!C9+绝对估值!B2-1)/(A50-$B$3))+(绝对估值!C71+绝对估值!C72-绝对估值!C73-绝对估值!C74))/绝对估值!C32</f>
        <v>-13.04151098552342</v>
      </c>
      <c r="C50" s="511">
        <f ca="1">((绝对估值!D65+NPV(A50,绝对估值!E65:'绝对估值'!F65))+(NPV(A50,绝对估值!D66:'绝对估值'!I66)/(1+A50)^(目录!C9-1))+(绝对估值!F65*POWER((1+绝对估值!$B$3),绝对估值!B2)*(1+$C$3)/POWER((1+$A$50),目录!C9+绝对估值!B2-1)/(A50-$C$3))+(绝对估值!C71+绝对估值!C72-绝对估值!C73-绝对估值!C74))/绝对估值!C32</f>
        <v>-13.79253880567197</v>
      </c>
      <c r="D50" s="511">
        <f ca="1">((绝对估值!D65+NPV(A50,绝对估值!E65:'绝对估值'!F65))+(NPV(A50,绝对估值!D66:'绝对估值'!I66)/(1+A50)^(目录!C9-1))+(绝对估值!F65*POWER((1+绝对估值!$B$3),绝对估值!B2)*(1+$D$3)/POWER((1+$A$50),目录!C9+绝对估值!B2-1)/(A50-$D$3))+(绝对估值!C71+绝对估值!C72-绝对估值!C73-绝对估值!C74))/绝对估值!C32</f>
        <v>-14.713400386856579</v>
      </c>
      <c r="E50" s="511">
        <f ca="1">((绝对估值!D65+NPV(A50,绝对估值!E65:'绝对估值'!F65))+(NPV(A50,绝对估值!D66:'绝对估值'!I66)/(1+A50)^(目录!C9-1))+(绝对估值!F65*POWER((1+绝对估值!$B$3),绝对估值!B2)*(1+$E$3)/POWER((1+$A$50),目录!C9+绝对估值!B2-1)/(A50-$E$3))+(绝对估值!C71+绝对估值!C72-绝对估值!C73-绝对估值!C74))/绝对估值!C32</f>
        <v>-15.863155363816444</v>
      </c>
      <c r="F50" s="511">
        <f ca="1">((绝对估值!D65+NPV(A50,绝对估值!E65:'绝对估值'!F65))+(NPV(A50,绝对估值!D66:'绝对估值'!I66)/(1+A50)^(目录!C9-1))+(绝对估值!F65*POWER((1+绝对估值!$B$3),绝对估值!B2)*(1+$F$3)/POWER((1+$A$50),目录!C9+绝对估值!B2-1)/(A50-$F$3))+(绝对估值!C71+绝对估值!C72-绝对估值!C73-绝对估值!C74))/绝对估值!C32</f>
        <v>-17.331635427210625</v>
      </c>
      <c r="G50" s="511">
        <f ca="1">((绝对估值!D65+NPV(A50,绝对估值!E65:'绝对估值'!F65))+(NPV(A50,绝对估值!D66:'绝对估值'!I66)/(1+A50)^(目录!C9-1))+(绝对估值!F65*POWER((1+绝对估值!$B$3),绝对估值!B2)*(1+$G$3)/POWER((1+$A$50),目录!C9+绝对估值!B2-1)/(A50-$G$3))+(绝对估值!C71+绝对估值!C72-绝对估值!C73-绝对估值!C74))/绝对估值!C32</f>
        <v>-19.262508346880463</v>
      </c>
      <c r="H50" s="511">
        <f ca="1">((绝对估值!D65+NPV(A50,绝对估值!E65:'绝对估值'!F65))+(NPV(A50,绝对估值!D66:'绝对估值'!I66)/(1+A50)^(目录!C9-1))+(绝对估值!F65*POWER((1+绝对估值!$B$3),绝对估值!B2)*(1+$H$3)/POWER((1+$A$50),目录!C9+绝对估值!B2-1)/(A50-$H$3))+(绝对估值!C71+绝对估值!C72-绝对估值!C73-绝对估值!C74))/绝对估值!C32</f>
        <v>-21.900746834691518</v>
      </c>
      <c r="I50" s="511">
        <f ca="1">((绝对估值!D65+NPV(A50,绝对估值!E65:'绝对估值'!F65))+(NPV(A50,绝对估值!D66:'绝对估值'!I66)/(1+A50)^(目录!C9-1))+(绝对估值!F65*POWER((1+绝对估值!$B$3),绝对估值!B2)*(1+$I$3)/POWER((1+$A$50),目录!C9+绝对估值!B2-1)/(A50-$I$3))+(绝对估值!C71+绝对估值!C72-绝对估值!C73-绝对估值!C74))/绝对估值!C32</f>
        <v>-25.701080277061994</v>
      </c>
      <c r="J50" s="511">
        <f ca="1">((绝对估值!D65+NPV(A50,绝对估值!E65:'绝对估值'!F65))+(NPV(A50,绝对估值!D66:'绝对估值'!I66)/(1+A50)^(目录!C9-1))+(绝对估值!F65*POWER((1+绝对估值!$B$3),绝对估值!B2)*(1+$J$3)/POWER((1+$A$50),目录!C9+绝对估值!B2-1)/(A50-$J$3))+(绝对估值!C71+绝对估值!C72-绝对估值!C73-绝对估值!C74))/绝对估值!C32</f>
        <v>-31.613732803233578</v>
      </c>
      <c r="K50" s="511">
        <f ca="1">((绝对估值!D65+NPV(A50,绝对估值!E65:'绝对估值'!F65))+(NPV(A50,绝对估值!D66:'绝对估值'!I66)/(1+A50)^(目录!C9-1))+(绝对估值!F65*POWER((1+绝对估值!$B$3),绝对估值!B2)*(1+$K$3)/POWER((1+$A$50),目录!C9+绝对估值!B2-1)/(A50-$K$3))+(绝对估值!C71+绝对估值!C72-绝对估值!C73-绝对估值!C74))/绝对估值!C32</f>
        <v>-42.01217377360647</v>
      </c>
      <c r="L50" s="512">
        <f ca="1">((绝对估值!D65+NPV(A50,绝对估值!E65:'绝对估值'!F65))+(NPV(A50,绝对估值!D66:'绝对估值'!I66)/(1+A50)^(目录!C9-1))+(绝对估值!F65*POWER((1+绝对估值!$B$3),绝对估值!B2)*(1+$L$3)/POWER((1+$A$50),目录!C9+绝对估值!B2-1)/(A50-$L$3))+(绝对估值!C71+绝对估值!C72-绝对估值!C73-绝对估值!C74))/绝对估值!C32</f>
        <v>-64.953306572612746</v>
      </c>
    </row>
    <row r="51" spans="1:12" ht="19.5" customHeight="1" outlineLevel="1">
      <c r="A51" s="341">
        <f ca="1">A52/1.1</f>
        <v>6.2318888903599066E-2</v>
      </c>
      <c r="B51" s="511">
        <f ca="1">((绝对估值!D65+NPV(A51,绝对估值!E65:'绝对估值'!F65))+(NPV(A51,绝对估值!D66:'绝对估值'!I66)/(1+A51)^(目录!C9-1))+(绝对估值!F65*POWER((1+绝对估值!$B$3),绝对估值!B2)*(1+$B$3)/POWER((1+$A$51),目录!C9+绝对估值!B2-1)/(A51-$B$3))+(绝对估值!C71+绝对估值!C72-绝对估值!C73-绝对估值!C74))/绝对估值!C32</f>
        <v>-10.615370870361271</v>
      </c>
      <c r="C51" s="511">
        <f ca="1">((绝对估值!D65+NPV(A51,绝对估值!E65:'绝对估值'!F65))+(NPV(A51,绝对估值!D66:'绝对估值'!I66)/(1+A51)^(目录!C9-1))+(绝对估值!F65*POWER((1+绝对估值!$B$3),绝对估值!B2)*(1+$C$3)/POWER((1+$A$51),目录!C9+绝对估值!B2-1)/(A51-$C$3))+(绝对估值!C71+绝对估值!C72-绝对估值!C73-绝对估值!C74))/绝对估值!C32</f>
        <v>-11.159721660989293</v>
      </c>
      <c r="D51" s="511">
        <f ca="1">((绝对估值!D65+NPV(A51,绝对估值!E65:'绝对估值'!F65))+(NPV(A51,绝对估值!D66:'绝对估值'!I66)/(1+A51)^(目录!C9-1))+(绝对估值!F65*POWER((1+绝对估值!$B$3),绝对估值!B2)*(1+$D$3)/POWER((1+$A$51),目录!C9+绝对估值!B2-1)/(A51-$D$3))+(绝对估值!C71+绝对估值!C72-绝对估值!C73-绝对估值!C74))/绝对估值!C32</f>
        <v>-11.817390533402383</v>
      </c>
      <c r="E51" s="511">
        <f ca="1">((绝对估值!D65+NPV(A51,绝对估值!E65:'绝对估值'!F65))+(NPV(A51,绝对估值!D66:'绝对估值'!I66)/(1+A51)^(目录!C9-1))+(绝对估值!F65*POWER((1+绝对估值!$B$3),绝对估值!B2)*(1+$E$3)/POWER((1+$A$51),目录!C9+绝对估值!B2-1)/(A51-$E$3))+(绝对估值!C71+绝对估值!C72-绝对估值!C73-绝对估值!C74))/绝对估值!C32</f>
        <v>-12.623781430648291</v>
      </c>
      <c r="F51" s="511">
        <f ca="1">((绝对估值!D65+NPV(A51,绝对估值!E65:'绝对估值'!F65))+(NPV(A51,绝对估值!D66:'绝对估值'!I66)/(1+A51)^(目录!C9-1))+(绝对估值!F65*POWER((1+绝对估值!$B$3),绝对估值!B2)*(1+$F$3)/POWER((1+$A$51),目录!C9+绝对估值!B2-1)/(A51-$F$3))+(绝对估值!C71+绝对估值!C72-绝对估值!C73-绝对估值!C74))/绝对估值!C32</f>
        <v>-13.63061238812065</v>
      </c>
      <c r="G51" s="511">
        <f ca="1">((绝对估值!D65+NPV(A51,绝对估值!E65:'绝对估值'!F65))+(NPV(A51,绝对估值!D66:'绝对估值'!I66)/(1+A51)^(目录!C9-1))+(绝对估值!F65*POWER((1+绝对估值!$B$3),绝对估值!B2)*(1+$G$3)/POWER((1+$A$51),目录!C9+绝对估值!B2-1)/(A51-$G$3))+(绝对估值!C71+绝对估值!C72-绝对估值!C73-绝对估值!C74))/绝对估值!C32</f>
        <v>-14.916548276970333</v>
      </c>
      <c r="H51" s="511">
        <f ca="1">((绝对估值!D65+NPV(A51,绝对估值!E65:'绝对估值'!F65))+(NPV(A51,绝对估值!D66:'绝对估值'!I66)/(1+A51)^(目录!C9-1))+(绝对估值!F65*POWER((1+绝对估值!$B$3),绝对估值!B2)*(1+$H$3)/POWER((1+$A$51),目录!C9+绝对估值!B2-1)/(A51-$H$3))+(绝对估值!C71+绝对估值!C72-绝对估值!C73-绝对估值!C74))/绝对估值!C32</f>
        <v>-16.607397779191267</v>
      </c>
      <c r="I51" s="511">
        <f ca="1">((绝对估值!D65+NPV(A51,绝对估值!E65:'绝对估值'!F65))+(NPV(A51,绝对估值!D66:'绝对估值'!I66)/(1+A51)^(目录!C9-1))+(绝对估值!F65*POWER((1+绝对估值!$B$3),绝对估值!B2)*(1+$I$3)/POWER((1+$A$51),目录!C9+绝对估值!B2-1)/(A51-$I$3))+(绝对估值!C71+绝对估值!C72-绝对估值!C73-绝对估值!C74))/绝对估值!C32</f>
        <v>-18.917681479590467</v>
      </c>
      <c r="J51" s="511">
        <f ca="1">((绝对估值!D65+NPV(A51,绝对估值!E65:'绝对估值'!F65))+(NPV(A51,绝对估值!D66:'绝对估值'!I66)/(1+A51)^(目录!C9-1))+(绝对估值!F65*POWER((1+绝对估值!$B$3),绝对估值!B2)*(1+$J$3)/POWER((1+$A$51),目录!C9+绝对估值!B2-1)/(A51-$J$3))+(绝对估值!C71+绝对估值!C72-绝对估值!C73-绝对估值!C74))/绝对估值!C32</f>
        <v>-22.245602154144461</v>
      </c>
      <c r="K51" s="511">
        <f ca="1">((绝对估值!D65+NPV(A51,绝对估值!E65:'绝对估值'!F65))+(NPV(A51,绝对估值!D66:'绝对估值'!I66)/(1+A51)^(目录!C9-1))+(绝对估值!F65*POWER((1+绝对估值!$B$3),绝对估值!B2)*(1+$K$3)/POWER((1+$A$51),目录!C9+绝对估值!B2-1)/(A51-$K$3))+(绝对估值!C71+绝对估值!C72-绝对估值!C73-绝对估值!C74))/绝对估值!C32</f>
        <v>-27.423263241437567</v>
      </c>
      <c r="L51" s="512">
        <f ca="1">((绝对估值!D65+NPV(A51,绝对估值!E65:'绝对估值'!F65))+(NPV(A51,绝对估值!D66:'绝对估值'!I66)/(1+A51)^(目录!C9-1))+(绝对估值!F65*POWER((1+绝对估值!$B$3),绝对估值!B2)*(1+$L$3)/POWER((1+$A$51),目录!C9+绝对估值!B2-1)/(A51-$L$3))+(绝对估值!C71+绝对估值!C72-绝对估值!C73-绝对估值!C74))/绝对估值!C32</f>
        <v>-36.529092299123654</v>
      </c>
    </row>
    <row r="52" spans="1:12" ht="19.5" customHeight="1" outlineLevel="1">
      <c r="A52" s="341">
        <f ca="1">A53/1.1</f>
        <v>6.8550777793958975E-2</v>
      </c>
      <c r="B52" s="511">
        <f ca="1">((绝对估值!D65+NPV(A52,绝对估值!E65:'绝对估值'!F65))+(NPV(A52,绝对估值!D66:'绝对估值'!I66)/(1+A52)^(目录!C9-1))+(绝对估值!F65*POWER((1+绝对估值!$B$3),绝对估值!B2)*(1+$B$3)/POWER((1+$A$52),目录!C9+绝对估值!B2-1)/(A52-$B$3))+(绝对估值!C71+绝对估值!C72-绝对估值!C73-绝对估值!C74))/绝对估值!C32</f>
        <v>-8.5866332481556178</v>
      </c>
      <c r="C52" s="511">
        <f ca="1">((绝对估值!D65+NPV(A52,绝对估值!E65:'绝对估值'!F65))+(NPV(A52,绝对估值!D66:'绝对估值'!I66)/(1+A52)^(目录!C9-1))+(绝对估值!F65*POWER((1+绝对估值!$B$3),绝对估值!B2)*(1+$C$3)/POWER((1+$A$52),目录!C9+绝对估值!B2-1)/(A52-$C$3))+(绝对估值!C71+绝对估值!C72-绝对估值!C73-绝对估值!C74))/绝对估值!C32</f>
        <v>-8.9846254896055431</v>
      </c>
      <c r="D52" s="511">
        <f ca="1">((绝对估值!D65+NPV(A52,绝对估值!E65:'绝对估值'!F65))+(NPV(A52,绝对估值!D66:'绝对估值'!I66)/(1+A52)^(目录!C9-1))+(绝对估值!F65*POWER((1+绝对估值!$B$3),绝对估值!B2)*(1+$D$3)/POWER((1+$A$52),目录!C9+绝对估值!B2-1)/(A52-$D$3))+(绝对估值!C71+绝对估值!C72-绝对估值!C73-绝对估值!C74))/绝对估值!C32</f>
        <v>-9.4596372314422954</v>
      </c>
      <c r="E52" s="511">
        <f ca="1">((绝对估值!D65+NPV(A52,绝对估值!E65:'绝对估值'!F65))+(NPV(A52,绝对估值!D66:'绝对估值'!I66)/(1+A52)^(目录!C9-1))+(绝对估值!F65*POWER((1+绝对估值!$B$3),绝对估值!B2)*(1+$E$3)/POWER((1+$A$52),目录!C9+绝对估值!B2-1)/(A52-$E$3))+(绝对估值!C71+绝对估值!C72-绝对估值!C73-绝对估值!C74))/绝对估值!C32</f>
        <v>-10.033532671690189</v>
      </c>
      <c r="F52" s="511">
        <f ca="1">((绝对估值!D65+NPV(A52,绝对估值!E65:'绝对估值'!F65))+(NPV(A52,绝对估值!D66:'绝对估值'!I66)/(1+A52)^(目录!C9-1))+(绝对估值!F65*POWER((1+绝对估值!$B$3),绝对估值!B2)*(1+$F$3)/POWER((1+$A$52),目录!C9+绝对估值!B2-1)/(A52-$F$3))+(绝对估值!C71+绝对估值!C72-绝对估值!C73-绝对估值!C74))/绝对估值!C32</f>
        <v>-10.737206022215068</v>
      </c>
      <c r="G52" s="511">
        <f ca="1">((绝对估值!D65+NPV(A52,绝对估值!E65:'绝对估值'!F65))+(NPV(A52,绝对估值!D66:'绝对估值'!I66)/(1+A52)^(目录!C9-1))+(绝对估值!F65*POWER((1+绝对估值!$B$3),绝对估值!B2)*(1+$G$3)/POWER((1+$A$52),目录!C9+绝对估值!B2-1)/(A52-$G$3))+(绝对估值!C71+绝对估值!C72-绝对估值!C73-绝对估值!C74))/绝对估值!C32</f>
        <v>-11.615787508782473</v>
      </c>
      <c r="H52" s="511">
        <f ca="1">((绝对估值!D65+NPV(A52,绝对估值!E65:'绝对估值'!F65))+(NPV(A52,绝对估值!D66:'绝对估值'!I66)/(1+A52)^(目录!C9-1))+(绝对估值!F65*POWER((1+绝对估值!$B$3),绝对估值!B2)*(1+$H$3)/POWER((1+$A$52),目录!C9+绝对估值!B2-1)/(A52-$H$3))+(绝对估值!C71+绝对估值!C72-绝对估值!C73-绝对估值!C74))/绝对估值!C32</f>
        <v>-12.73792172254592</v>
      </c>
      <c r="I52" s="511">
        <f ca="1">((绝对估值!D65+NPV(A52,绝对估值!E65:'绝对估值'!F65))+(NPV(A52,绝对估值!D66:'绝对估值'!I66)/(1+A52)^(目录!C9-1))+(绝对估值!F65*POWER((1+绝对估值!$B$3),绝对估值!B2)*(1+$I$3)/POWER((1+$A$52),目录!C9+绝对估值!B2-1)/(A52-$I$3))+(绝对估值!C71+绝对估值!C72-绝对估值!C73-绝对估值!C74))/绝对估值!C32</f>
        <v>-14.213391917614713</v>
      </c>
      <c r="J52" s="511">
        <f ca="1">((绝对估值!D65+NPV(A52,绝对估值!E65:'绝对估值'!F65))+(NPV(A52,绝对估值!D66:'绝对估值'!I66)/(1+A52)^(目录!C9-1))+(绝对估值!F65*POWER((1+绝对估值!$B$3),绝对估值!B2)*(1+$J$3)/POWER((1+$A$52),目录!C9+绝对估值!B2-1)/(A52-$J$3))+(绝对估值!C71+绝对估值!C72-绝对估值!C73-绝对估值!C74))/绝对估值!C32</f>
        <v>-16.229393186571436</v>
      </c>
      <c r="K52" s="511">
        <f ca="1">((绝对估值!D65+NPV(A52,绝对估值!E65:'绝对估值'!F65))+(NPV(A52,绝对估值!D66:'绝对估值'!I66)/(1+A52)^(目录!C9-1))+(绝对估值!F65*POWER((1+绝对估值!$B$3),绝对估值!B2)*(1+$K$3)/POWER((1+$A$52),目录!C9+绝对估值!B2-1)/(A52-$K$3))+(绝对估值!C71+绝对估值!C72-绝对估值!C73-绝对估值!C74))/绝对估值!C32</f>
        <v>-19.133405495418572</v>
      </c>
      <c r="L52" s="512">
        <f ca="1">((绝对估值!D65+NPV(A52,绝对估值!E65:'绝对估值'!F65))+(NPV(A52,绝对估值!D66:'绝对估值'!I66)/(1+A52)^(目录!C9-1))+(绝对估值!F65*POWER((1+绝对估值!$B$3),绝对估值!B2)*(1+$L$3)/POWER((1+$A$52),目录!C9+绝对估值!B2-1)/(A52-$L$3))+(绝对估值!C71+绝对估值!C72-绝对估值!C73-绝对估值!C74))/绝对估值!C32</f>
        <v>-23.651539489268394</v>
      </c>
    </row>
    <row r="53" spans="1:12" ht="19.5" customHeight="1" outlineLevel="1">
      <c r="A53" s="341">
        <f ca="1">A54/1.1</f>
        <v>7.5405855573354885E-2</v>
      </c>
      <c r="B53" s="511">
        <f ca="1">((绝对估值!D65+NPV(A53,绝对估值!E65:'绝对估值'!F65))+(NPV(A53,绝对估值!D66:'绝对估值'!I66)/(1+A53)^(目录!C9-1))+(绝对估值!F65*POWER((1+绝对估值!$B$3),绝对估值!B2)*(1+$B$3)/POWER((1+$A$53),目录!C9+绝对估值!B2-1)/(A53-$B$3))+(绝对估值!C71+绝对估值!C72-绝对估值!C73-绝对估值!C74))/绝对估值!C32</f>
        <v>-6.8734825802172024</v>
      </c>
      <c r="C53" s="511">
        <f ca="1">((绝对估值!D65+NPV(A53,绝对估值!E65:'绝对估值'!F65))+(NPV(A53,绝对估值!D66:'绝对估值'!I66)/(1+A53)^(目录!C9-1))+(绝对估值!F65*POWER((1+绝对估值!$B$3),绝对估值!B2)*(1+$C$3)/POWER((1+$A$53),目录!C9+绝对估值!B2-1)/(A53-$C$3))+(绝对估值!C71+绝对估值!C72-绝对估值!C73-绝对估值!C74))/绝对估值!C32</f>
        <v>-7.1663335736285605</v>
      </c>
      <c r="D53" s="511">
        <f ca="1">((绝对估值!D65+NPV(A53,绝对估值!E65:'绝对估值'!F65))+(NPV(A53,绝对估值!D66:'绝对估值'!I66)/(1+A53)^(目录!C9-1))+(绝对估值!F65*POWER((1+绝对估值!$B$3),绝对估值!B2)*(1+$D$3)/POWER((1+$A$53),目录!C9+绝对估值!B2-1)/(A53-$D$3))+(绝对估值!C71+绝对估值!C72-绝对估值!C73-绝对估值!C74))/绝对估值!C32</f>
        <v>-7.5123058475652655</v>
      </c>
      <c r="E53" s="511">
        <f ca="1">((绝对估值!D65+NPV(A53,绝对估值!E65:'绝对估值'!F65))+(NPV(A53,绝对估值!D66:'绝对估值'!I66)/(1+A53)^(目录!C9-1))+(绝对估值!F65*POWER((1+绝对估值!$B$3),绝对估值!B2)*(1+$E$3)/POWER((1+$A$53),目录!C9+绝对估值!B2-1)/(A53-$E$3))+(绝对估值!C71+绝对估值!C72-绝对估值!C73-绝对估值!C74))/绝对估值!C32</f>
        <v>-7.9252307123093262</v>
      </c>
      <c r="F53" s="511">
        <f ca="1">((绝对估值!D65+NPV(A53,绝对估值!E65:'绝对估值'!F65))+(NPV(A53,绝对估值!D66:'绝对估值'!I66)/(1+A53)^(目录!C9-1))+(绝对估值!F65*POWER((1+绝对估值!$B$3),绝对估值!B2)*(1+$F$3)/POWER((1+$A$53),目录!C9+绝对估值!B2-1)/(A53-$F$3))+(绝对估值!C71+绝对估值!C72-绝对估值!C73-绝对估值!C74))/绝对估值!C32</f>
        <v>-8.4241145843695602</v>
      </c>
      <c r="G53" s="511">
        <f ca="1">((绝对估值!D65+NPV(A53,绝对估值!E65:'绝对估值'!F65))+(NPV(A53,绝对估值!D66:'绝对估值'!I66)/(1+A53)^(目录!C9-1))+(绝对估值!F65*POWER((1+绝对估值!$B$3),绝对估值!B2)*(1+$G$3)/POWER((1+$A$53),目录!C9+绝对估值!B2-1)/(A53-$G$3))+(绝对估值!C71+绝对估值!C72-绝对估值!C73-绝对估值!C74))/绝对估值!C32</f>
        <v>-9.0358136172522965</v>
      </c>
      <c r="H53" s="511">
        <f ca="1">((绝对估值!D65+NPV(A53,绝对估值!E65:'绝对估值'!F65))+(NPV(A53,绝对估值!D66:'绝对估值'!I66)/(1+A53)^(目录!C9-1))+(绝对估值!F65*POWER((1+绝对估值!$B$3),绝对估值!B2)*(1+$H$3)/POWER((1+$A$53),目录!C9+绝对估值!B2-1)/(A53-$H$3))+(绝对估值!C71+绝对估值!C72-绝对估值!C73-绝对估值!C74))/绝对估值!C32</f>
        <v>-9.799559246159637</v>
      </c>
      <c r="I53" s="511">
        <f ca="1">((绝对估值!D65+NPV(A53,绝对估值!E65:'绝对估值'!F65))+(NPV(A53,绝对估值!D66:'绝对估值'!I66)/(1+A53)^(目录!C9-1))+(绝对估值!F65*POWER((1+绝对估值!$B$3),绝对估值!B2)*(1+$I$3)/POWER((1+$A$53),目录!C9+绝对估值!B2-1)/(A53-$I$3))+(绝对估值!C71+绝对估值!C72-绝对估值!C73-绝对估值!C74))/绝对估值!C32</f>
        <v>-10.775023803417248</v>
      </c>
      <c r="J53" s="511">
        <f ca="1">((绝对估值!D65+NPV(A53,绝对估值!E65:'绝对估值'!F65))+(NPV(A53,绝对估值!D66:'绝对估值'!I66)/(1+A53)^(目录!C9-1))+(绝对估值!F65*POWER((1+绝对估值!$B$3),绝对估值!B2)*(1+$J$3)/POWER((1+$A$53),目录!C9+绝对估值!B2-1)/(A53-$J$3))+(绝对估值!C71+绝对估值!C72-绝对估值!C73-绝对估值!C74))/绝对估值!C32</f>
        <v>-12.057641214887589</v>
      </c>
      <c r="K53" s="511">
        <f ca="1">((绝对估值!D65+NPV(A53,绝对估值!E65:'绝对估值'!F65))+(NPV(A53,绝对估值!D66:'绝对估值'!I66)/(1+A53)^(目录!C9-1))+(绝对估值!F65*POWER((1+绝对估值!$B$3),绝对估值!B2)*(1+$K$3)/POWER((1+$A$53),目录!C9+绝对估值!B2-1)/(A53-$K$3))+(绝对估值!C71+绝对估值!C72-绝对估值!C73-绝对估值!C74))/绝对估值!C32</f>
        <v>-13.810139054391318</v>
      </c>
      <c r="L53" s="512">
        <f ca="1">((绝对估值!D65+NPV(A53,绝对估值!E65:'绝对估值'!F65))+(NPV(A53,绝对估值!D66:'绝对估值'!I66)/(1+A53)^(目录!C9-1))+(绝对估值!F65*POWER((1+绝对估值!$B$3),绝对估值!B2)*(1+$L$3)/POWER((1+$A$53),目录!C9+绝对估值!B2-1)/(A53-$L$3))+(绝对估值!C71+绝对估值!C72-绝对估值!C73-绝对估值!C74))/绝对估值!C32</f>
        <v>-16.33457957708033</v>
      </c>
    </row>
    <row r="54" spans="1:12" ht="19.5" customHeight="1" outlineLevel="1">
      <c r="A54" s="341">
        <f ca="1">绝对估值!B14</f>
        <v>8.2946441130690385E-2</v>
      </c>
      <c r="B54" s="511">
        <f ca="1">((绝对估值!D65+NPV(A54,绝对估值!E65:'绝对估值'!F65))+(NPV(A54,绝对估值!D66:'绝对估值'!I66)/(1+A54)^(目录!C9-1))+(绝对估值!F65*POWER((1+绝对估值!$B$3),绝对估值!B2)*(1+$B$3)/POWER((1+$A$54),目录!C9+绝对估值!B2-1)/(A54-$B$3))+(绝对估值!C71+绝对估值!C72-绝对估值!C73-绝对估值!C74))/绝对估值!C32</f>
        <v>-5.4149517961150337</v>
      </c>
      <c r="C54" s="511">
        <f ca="1">((绝对估值!D65+NPV(A54,绝对估值!E65:'绝对估值'!F65))+(NPV(A54,绝对估值!D66:'绝对估值'!I66)/(1+A54)^(目录!C9-1))+(绝对估值!F65*POWER((1+绝对估值!$B$3),绝对估值!B2)*(1+$C$3)/POWER((1+$A$54),目录!C9+绝对估值!B2-1)/(A54-$C$3))+(绝对估值!C71+绝对估值!C72-绝对估值!C73-绝对估值!C74))/绝对估值!C32</f>
        <v>-5.6314072657977929</v>
      </c>
      <c r="D54" s="511">
        <f ca="1">((绝对估值!D65+NPV(A54,绝对估值!E65:'绝对估值'!F65))+(NPV(A54,绝对估值!D66:'绝对估值'!I66)/(1+A54)^(目录!C9-1))+(绝对估值!F65*POWER((1+绝对估值!$B$3),绝对估值!B2)*(1+$D$3)/POWER((1+$A$54),目录!C9+绝对估值!B2-1)/(A54-$D$3))+(绝对估值!C71+绝对估值!C72-绝对估值!C73-绝对估值!C74))/绝对估值!C32</f>
        <v>-5.8849271020198506</v>
      </c>
      <c r="E54" s="511">
        <f ca="1">((绝对估值!D65+NPV(A54,绝对估值!E65:'绝对估值'!F65))+(NPV(A54,绝对估值!D66:'绝对估值'!I66)/(1+A54)^(目录!C9-1))+(绝对估值!F65*POWER((1+绝对估值!$B$3),绝对估值!B2)*(1+$E$3)/POWER((1+$A$54),目录!C9+绝对估值!B2-1)/(A54-$E$3))+(绝对估值!C71+绝对估值!C72-绝对估值!C73-绝对估值!C74))/绝对估值!C32</f>
        <v>-6.1844338006452597</v>
      </c>
      <c r="F54" s="511">
        <f ca="1">((绝对估值!D65+NPV(A54,绝对估值!E65:'绝对估值'!F65))+(NPV(A54,绝对估值!D66:'绝对估值'!I66)/(1+A54)^(目录!C9-1))+(绝对估值!F65*POWER((1+绝对估值!$B$3),绝对估值!B2)*(1+$F$3)/POWER((1+$A$54),目录!C9+绝对估值!B2-1)/(A54-$F$3))+(绝对估值!C71+绝对估值!C72-绝对估值!C73-绝对估值!C74))/绝对估值!C32</f>
        <v>-6.5419010670611293</v>
      </c>
      <c r="G54" s="539">
        <f ca="1">((绝对估值!D65+NPV(A54,绝对估值!E65:'绝对估值'!F65))+(NPV(A54,绝对估值!D66:'绝对估值'!I66)/(1+A54)^(目录!C9-1))+(绝对估值!F65*POWER((1+绝对估值!$B$3),绝对估值!B2)*(1+$G$3)/POWER((1+$A$54),目录!C9+绝对估值!B2-1)/(A54-$G$3))+(绝对估值!C71+绝对估值!C72-绝对估值!C73-绝对估值!C74))/绝对估值!C32</f>
        <v>-6.9737826736940276</v>
      </c>
      <c r="H54" s="511">
        <f ca="1">((绝对估值!D65+NPV(A54,绝对估值!E65:'绝对估值'!F65))+(NPV(A54,绝对估值!D66:'绝对估值'!I66)/(1+A54)^(目录!C9-1))+(绝对估值!F65*POWER((1+绝对估值!$B$3),绝对估值!B2)*(1+$H$3)/POWER((1+$A$54),目录!C9+绝对估值!B2-1)/(A54-$H$3))+(绝对估值!C71+绝对估值!C72-绝对估值!C73-绝对估值!C74))/绝对估值!C32</f>
        <v>-7.5033278762803475</v>
      </c>
      <c r="I54" s="511">
        <f ca="1">((绝对估值!D65+NPV(A54,绝对估值!E65:'绝对估值'!F65))+(NPV(A54,绝对估值!D66:'绝对估值'!I66)/(1+A54)^(目录!C9-1))+(绝对估值!F65*POWER((1+绝对估值!$B$3),绝对估值!B2)*(1+$I$3)/POWER((1+$A$54),目录!C9+绝对估值!B2-1)/(A54-$I$3))+(绝对估值!C71+绝对估值!C72-绝对估值!C73-绝对估值!C74))/绝对估值!C32</f>
        <v>-8.1644991583047357</v>
      </c>
      <c r="J54" s="511">
        <f ca="1">((绝对估值!D65+NPV(A54,绝对估值!E65:'绝对估值'!F65))+(NPV(A54,绝对估值!D66:'绝对估值'!I66)/(1+A54)^(目录!C9-1))+(绝对估值!F65*POWER((1+绝对估值!$B$3),绝对估值!B2)*(1+$J$3)/POWER((1+$A$54),目录!C9+绝对估值!B2-1)/(A54-$J$3))+(绝对估值!C71+绝对估值!C72-绝对估值!C73-绝对估值!C74))/绝对估值!C32</f>
        <v>-9.0089545993316946</v>
      </c>
      <c r="K54" s="511">
        <f ca="1">((绝对估值!D65+NPV(A54,绝对估值!E65:'绝对估值'!F65))+(NPV(A54,绝对估值!D66:'绝对估值'!I66)/(1+A54)^(目录!C9-1))+(绝对估值!F65*POWER((1+绝对估值!$B$3),绝对估值!B2)*(1+$K$3)/POWER((1+$A$54),目录!C9+绝对估值!B2-1)/(A54-$K$3))+(绝对估值!C71+绝对估值!C72-绝对估值!C73-绝对估值!C74))/绝对估值!C32</f>
        <v>-10.119310935513786</v>
      </c>
      <c r="L54" s="512">
        <f ca="1">((绝对估值!D65+NPV(A54,绝对估值!E65:'绝对估值'!F65))+(NPV(A54,绝对估值!D66:'绝对估值'!I66)/(1+A54)^(目录!C9-1))+(绝对估值!F65*POWER((1+绝对估值!$B$3),绝对估值!B2)*(1+$L$3)/POWER((1+$A$54),目录!C9+绝对估值!B2-1)/(A54-$L$3))+(绝对估值!C71+绝对估值!C72-绝对估值!C73-绝对估值!C74))/绝对估值!C32</f>
        <v>-11.636440722491884</v>
      </c>
    </row>
    <row r="55" spans="1:12" ht="19.5" customHeight="1" outlineLevel="1">
      <c r="A55" s="341">
        <f ca="1">A54*1.1</f>
        <v>9.1241085243759429E-2</v>
      </c>
      <c r="B55" s="511">
        <f ca="1">((绝对估值!D65+NPV(A55,绝对估值!E65:'绝对估值'!F65))+(NPV(A55,绝对估值!D66:'绝对估值'!I66)/(1+A55)^(目录!C9-1))+(绝对估值!F65*POWER((1+绝对估值!$B$3),绝对估值!B2)*(1+$B$3)/POWER((1+$A$55),目录!C9+绝对估值!B2-1)/(A55-$B$3))+(绝对估值!C71+绝对估值!C72-绝对估值!C73-绝对估值!C74))/绝对估值!C32</f>
        <v>-4.1646688036539228</v>
      </c>
      <c r="C55" s="511">
        <f ca="1">((绝对估值!D65+NPV(A55,绝对估值!E65:'绝对估值'!F65))+(NPV(A55,绝对估值!D66:'绝对估值'!I66)/(1+A55)^(目录!C9-1))+(绝对估值!F65*POWER((1+绝对估值!$B$3),绝对估值!B2)*(1+$C$3)/POWER((1+$A$55),目录!C9+绝对估值!B2-1)/(A55-$C$3))+(绝对估值!C71+绝对估值!C72-绝对估值!C73-绝对估值!C74))/绝对估值!C32</f>
        <v>-4.3251178532058141</v>
      </c>
      <c r="D55" s="511">
        <f ca="1">((绝对估值!D65+NPV(A55,绝对估值!E65:'绝对估值'!F65))+(NPV(A55,绝对估值!D66:'绝对估值'!I66)/(1+A55)^(目录!C9-1))+(绝对估值!F65*POWER((1+绝对估值!$B$3),绝对估值!B2)*(1+$D$3)/POWER((1+$A$55),目录!C9+绝对估值!B2-1)/(A55-$D$3))+(绝对估值!C71+绝对估值!C72-绝对估值!C73-绝对估值!C74))/绝对估值!C32</f>
        <v>-4.5116612010630783</v>
      </c>
      <c r="E55" s="511">
        <f ca="1">((绝对估值!D65+NPV(A55,绝对估值!E65:'绝对估值'!F65))+(NPV(A55,绝对估值!D66:'绝对估值'!I66)/(1+A55)^(目录!C9-1))+(绝对估值!F65*POWER((1+绝对估值!$B$3),绝对估值!B2)*(1+$E$3)/POWER((1+$A$55),目录!C9+绝对估值!B2-1)/(A55-$E$3))+(绝对估值!C71+绝对估值!C72-绝对估值!C73-绝对估值!C74))/绝对估值!C32</f>
        <v>-4.730146966594444</v>
      </c>
      <c r="F55" s="511">
        <f ca="1">((绝对估值!D65+NPV(A55,绝对估值!E65:'绝对估值'!F65))+(NPV(A55,绝对估值!D66:'绝对估值'!I66)/(1+A55)^(目录!C9-1))+(绝对估值!F65*POWER((1+绝对估值!$B$3),绝对估值!B2)*(1+$F$3)/POWER((1+$A$55),目录!C9+绝对估值!B2-1)/(A55-$F$3))+(绝对估值!C71+绝对估值!C72-绝对估值!C73-绝对估值!C74))/绝对估值!C32</f>
        <v>-4.9882646401701969</v>
      </c>
      <c r="G55" s="511">
        <f ca="1">((绝对估值!D65+NPV(A55,绝对估值!E65:'绝对估值'!F65))+(NPV(A55,绝对估值!D66:'绝对估值'!I66)/(1+A55)^(目录!C9-1))+(绝对估值!F65*POWER((1+绝对估值!$B$3),绝对估值!B2)*(1+$G$3)/POWER((1+$A$55),目录!C9+绝对估值!B2-1)/(A55-$G$3))+(绝对估值!C71+绝对估值!C72-绝对估值!C73-绝对估值!C74))/绝对估值!C32</f>
        <v>-5.2963332730596031</v>
      </c>
      <c r="H55" s="511">
        <f ca="1">((绝对估值!D65+NPV(A55,绝对估值!E65:'绝对估值'!F65))+(NPV(A55,绝对估值!D66:'绝对估值'!I66)/(1+A55)^(目录!C9-1))+(绝对估值!F65*POWER((1+绝对估值!$B$3),绝对估值!B2)*(1+$H$3)/POWER((1+$A$55),目录!C9+绝对估值!B2-1)/(A55-$H$3))+(绝对估值!C71+绝对估值!C72-绝对估值!C73-绝对估值!C74))/绝对估值!C32</f>
        <v>-5.6685328801998267</v>
      </c>
      <c r="I55" s="511">
        <f ca="1">((绝对估值!D65+NPV(A55,绝对估值!E65:'绝对估值'!F65))+(NPV(A55,绝对估值!D66:'绝对估值'!I66)/(1+A55)^(目录!C9-1))+(绝对估值!F65*POWER((1+绝对估值!$B$3),绝对估值!B2)*(1+$I$3)/POWER((1+$A$55),目录!C9+绝对估值!B2-1)/(A55-$I$3))+(绝对估值!C71+绝对估值!C72-绝对估值!C73-绝对估值!C74))/绝对估值!C32</f>
        <v>-6.1248998875893124</v>
      </c>
      <c r="J55" s="511">
        <f ca="1">((绝对估值!D65+NPV(A55,绝对估值!E65:'绝对估值'!F65))+(NPV(A55,绝对估值!D66:'绝对估值'!I66)/(1+A55)^(目录!C9-1))+(绝对估值!F65*POWER((1+绝对估值!$B$3),绝对估值!B2)*(1+$J$3)/POWER((1+$A$55),目录!C9+绝对估值!B2-1)/(A55-$J$3))+(绝对估值!C71+绝对估值!C72-绝对估值!C73-绝对估值!C74))/绝对估值!C32</f>
        <v>-6.6947034810798121</v>
      </c>
      <c r="K55" s="511">
        <f ca="1">((绝对估值!D65+NPV(A55,绝对估值!E65:'绝对估值'!F65))+(NPV(A55,绝对估值!D66:'绝对估值'!I66)/(1+A55)^(目录!C9-1))+(绝对估值!F65*POWER((1+绝对估值!$B$3),绝对估值!B2)*(1+$K$3)/POWER((1+$A$55),目录!C9+绝对估值!B2-1)/(A55-$K$3))+(绝对估值!C71+绝对估值!C72-绝对估值!C73-绝对估值!C74))/绝对估值!C32</f>
        <v>-7.4224630766970012</v>
      </c>
      <c r="L55" s="512">
        <f ca="1">((绝对估值!D65+NPV(A55,绝对估值!E65:'绝对估值'!F65))+(NPV(A55,绝对估值!D66:'绝对估值'!I66)/(1+A55)^(目录!C9-1))+(绝对估值!F65*POWER((1+绝对估值!$B$3),绝对估值!B2)*(1+$L$3)/POWER((1+$A$55),目录!C9+绝对估值!B2-1)/(A55-$L$3))+(绝对估值!C71+绝对估值!C72-绝对估值!C73-绝对估值!C74))/绝对估值!C32</f>
        <v>-8.3793785502099087</v>
      </c>
    </row>
    <row r="56" spans="1:12" ht="19.5" customHeight="1" outlineLevel="1">
      <c r="A56" s="341">
        <f ca="1">A55*1.1</f>
        <v>0.10036519376813538</v>
      </c>
      <c r="B56" s="511">
        <f ca="1">((绝对估值!D65+NPV(A56,绝对估值!E65:'绝对估值'!F65))+(NPV(A56,绝对估值!D66:'绝对估值'!I66)/(1+A56)^(目录!C9-1))+(绝对估值!F65*POWER((1+绝对估值!$B$3),绝对估值!B2)*(1+$B$3)/POWER((1+$A$56),目录!C9+绝对估值!B2-1)/(A56-$B$3))+(绝对估值!C71+绝对估值!C72-绝对估值!C73-绝对估值!C74))/绝对估值!C32</f>
        <v>-3.0867257461843516</v>
      </c>
      <c r="C56" s="511">
        <f ca="1">((绝对估值!D65+NPV(A56,绝对估值!E65:'绝对估值'!F65))+(NPV(A56,绝对估值!D66:'绝对估值'!I66)/(1+A56)^(目录!C9-1))+(绝对估值!F65*POWER((1+绝对估值!$B$3),绝对估值!B2)*(1+$C$3)/POWER((1+$A$56),目录!C9+绝对估值!B2-1)/(A56-$C$3))+(绝对估值!C71+绝对估值!C72-绝对估值!C73-绝对估值!C74))/绝对估值!C32</f>
        <v>-3.2058336287151317</v>
      </c>
      <c r="D56" s="511">
        <f ca="1">((绝对估值!D65+NPV(A56,绝对估值!E65:'绝对估值'!F65))+(NPV(A56,绝对估值!D66:'绝对估值'!I66)/(1+A56)^(目录!C9-1))+(绝对估值!F65*POWER((1+绝对估值!$B$3),绝对估值!B2)*(1+$D$3)/POWER((1+$A$56),目录!C9+绝对估值!B2-1)/(A56-$D$3))+(绝对估值!C71+绝对估值!C72-绝对估值!C73-绝对估值!C74))/绝对估值!C32</f>
        <v>-3.3434377728940876</v>
      </c>
      <c r="E56" s="511">
        <f ca="1">((绝对估值!D65+NPV(A56,绝对估值!E65:'绝对估值'!F65))+(NPV(A56,绝对估值!D66:'绝对估值'!I66)/(1+A56)^(目录!C9-1))+(绝对估值!F65*POWER((1+绝对估值!$B$3),绝对估值!B2)*(1+$E$3)/POWER((1+$A$56),目录!C9+绝对估值!B2-1)/(A56-$E$3))+(绝对估值!C71+绝对估值!C72-绝对估值!C73-绝对估值!C74))/绝对估值!C32</f>
        <v>-3.5034208815872661</v>
      </c>
      <c r="F56" s="511">
        <f ca="1">((绝对估值!D65+NPV(A56,绝对估值!E65:'绝对估值'!F65))+(NPV(A56,绝对估值!D66:'绝对估值'!I66)/(1+A56)^(目录!C9-1))+(绝对估值!F65*POWER((1+绝对估值!$B$3),绝对估值!B2)*(1+$F$3)/POWER((1+$A$56),目录!C9+绝对估值!B2-1)/(A56-$F$3))+(绝对估值!C71+绝对估值!C72-绝对估值!C73-绝对估值!C74))/绝对估值!C32</f>
        <v>-3.6907984127424438</v>
      </c>
      <c r="G56" s="511">
        <f ca="1">((绝对估值!D65+NPV(A56,绝对估值!E65:'绝对估值'!F65))+(NPV(A56,绝对估值!D66:'绝对估值'!I66)/(1+A56)^(目录!C9-1))+(绝对估值!F65*POWER((1+绝对估值!$B$3),绝对估值!B2)*(1+$G$3)/POWER((1+$A$56),目录!C9+绝对估值!B2-1)/(A56-$G$3))+(绝对估值!C71+绝对估值!C72-绝对估值!C73-绝对估值!C74))/绝对估值!C32</f>
        <v>-3.9121650189582606</v>
      </c>
      <c r="H56" s="511">
        <f ca="1">((绝对估值!D65+NPV(A56,绝对估值!E65:'绝对估值'!F65))+(NPV(A56,绝对估值!D66:'绝对估值'!I66)/(1+A56)^(目录!C9-1))+(绝对估值!F65*POWER((1+绝对估值!$B$3),绝对估值!B2)*(1+$H$3)/POWER((1+$A$56),目录!C9+绝对估值!B2-1)/(A56-$H$3))+(绝对估值!C71+绝对估值!C72-绝对估值!C73-绝对估值!C74))/绝对估值!C32</f>
        <v>-4.1763705140703937</v>
      </c>
      <c r="I56" s="511">
        <f ca="1">((绝对估值!D65+NPV(A56,绝对估值!E65:'绝对估值'!F65))+(NPV(A56,绝对估值!D66:'绝对估值'!I66)/(1+A56)^(目录!C9-1))+(绝对估值!F65*POWER((1+绝对估值!$B$3),绝对估值!B2)*(1+$I$3)/POWER((1+$A$56),目录!C9+绝对估值!B2-1)/(A56-$I$3))+(绝对估值!C71+绝对估值!C72-绝对估值!C73-绝对估值!C74))/绝对估值!C32</f>
        <v>-4.4955759474918713</v>
      </c>
      <c r="J56" s="511">
        <f ca="1">((绝对估值!D65+NPV(A56,绝对估值!E65:'绝对估值'!F65))+(NPV(A56,绝对估值!D66:'绝对估值'!I66)/(1+A56)^(目录!C9-1))+(绝对估值!F65*POWER((1+绝对估值!$B$3),绝对估值!B2)*(1+$J$3)/POWER((1+$A$56),目录!C9+绝对估值!B2-1)/(A56-$J$3))+(绝对估值!C71+绝对估值!C72-绝对估值!C73-绝对估值!C74))/绝对估值!C32</f>
        <v>-4.8869649376961002</v>
      </c>
      <c r="K56" s="511">
        <f ca="1">((绝对估值!D65+NPV(A56,绝对估值!E65:'绝对估值'!F65))+(NPV(A56,绝对估值!D66:'绝对估值'!I66)/(1+A56)^(目录!C9-1))+(绝对估值!F65*POWER((1+绝对估值!$B$3),绝对估值!B2)*(1+$K$3)/POWER((1+$A$56),目录!C9+绝对估值!B2-1)/(A56-$K$3))+(绝对估值!C71+绝对估值!C72-绝对估值!C73-绝对估值!C74))/绝对估值!C32</f>
        <v>-5.3756392928969259</v>
      </c>
      <c r="L56" s="512">
        <f ca="1">((绝对估值!D65+NPV(A56,绝对估值!E65:'绝对估值'!F65))+(NPV(A56,绝对估值!D66:'绝对估值'!I66)/(1+A56)^(目录!C9-1))+(绝对估值!F65*POWER((1+绝对估值!$B$3),绝对估值!B2)*(1+$L$3)/POWER((1+$A$56),目录!C9+绝对估值!B2-1)/(A56-$L$3))+(绝对估值!C71+绝对估值!C72-绝对估值!C73-绝对估值!C74))/绝对估值!C32</f>
        <v>-5.9997797075806654</v>
      </c>
    </row>
    <row r="57" spans="1:12" ht="19.5" customHeight="1" outlineLevel="1">
      <c r="A57" s="341">
        <f ca="1">A56*1.1</f>
        <v>0.11040171314494893</v>
      </c>
      <c r="B57" s="511">
        <f ca="1">((绝对估值!D65+NPV(A57,绝对估值!E65:'绝对估值'!F65))+(NPV(A57,绝对估值!D66:'绝对估值'!I66)/(1+A57)^(目录!C9-1))+(绝对估值!F65*POWER((1+绝对估值!$B$3),绝对估值!B2)*(1+$B$3)/POWER((1+$A$57),目录!C9+绝对估值!B2-1)/(A57-$B$3))+(绝对估值!C71+绝对估值!C72-绝对估值!C73-绝对估值!C74))/绝对估值!C32</f>
        <v>-2.1528751439450602</v>
      </c>
      <c r="C57" s="511">
        <f ca="1">((绝对估值!D65+NPV(A57,绝对估值!E65:'绝对估值'!F65))+(NPV(A57,绝对估值!D66:'绝对估值'!I66)/(1+A57)^(目录!C9-1))+(绝对估值!F65*POWER((1+绝对估值!$B$3),绝对估值!B2)*(1+$C$3)/POWER((1+$A$57),目录!C9+绝对估值!B2-1)/(A57-$C$3))+(绝对估值!C71+绝对估值!C72-绝对估值!C73-绝对估值!C74))/绝对估值!C32</f>
        <v>-2.24131226369055</v>
      </c>
      <c r="D57" s="511">
        <f ca="1">((绝对估值!D65+NPV(A57,绝对估值!E65:'绝对估值'!F65))+(NPV(A57,绝对估值!D66:'绝对估值'!I66)/(1+A57)^(目录!C9-1))+(绝对估值!F65*POWER((1+绝对估值!$B$3),绝对估值!B2)*(1+$D$3)/POWER((1+$A$57),目录!C9+绝对估值!B2-1)/(A57-$D$3))+(绝对估值!C71+绝对估值!C72-绝对估值!C73-绝对估值!C74))/绝对估值!C32</f>
        <v>-2.3429242330317961</v>
      </c>
      <c r="E57" s="511">
        <f ca="1">((绝对估值!D65+NPV(A57,绝对估值!E65:'绝对估值'!F65))+(NPV(A57,绝对估值!D66:'绝对估值'!I66)/(1+A57)^(目录!C9-1))+(绝对估值!F65*POWER((1+绝对估值!$B$3),绝对估值!B2)*(1+$E$3)/POWER((1+$A$57),目录!C9+绝对估值!B2-1)/(A57-$E$3))+(绝对估值!C71+绝对估值!C72-绝对估值!C73-绝对估值!C74))/绝对估值!C32</f>
        <v>-2.4603155238720809</v>
      </c>
      <c r="F57" s="511">
        <f ca="1">((绝对估值!D65+NPV(A57,绝对估值!E65:'绝对估值'!F65))+(NPV(A57,绝对估值!D66:'绝对估值'!I66)/(1+A57)^(目录!C9-1))+(绝对估值!F65*POWER((1+绝对估值!$B$3),绝对估值!B2)*(1+$F$3)/POWER((1+$A$57),目录!C9+绝对估值!B2-1)/(A57-$F$3))+(绝对估值!C71+绝对估值!C72-绝对估值!C73-绝对估值!C74))/绝对估值!C32</f>
        <v>-2.5967985037575474</v>
      </c>
      <c r="G57" s="511">
        <f ca="1">((绝对估值!D65+NPV(A57,绝对估值!E65:'绝对估值'!F65))+(NPV(A57,绝对估值!D66:'绝对估值'!I66)/(1+A57)^(目录!C9-1))+(绝对估值!F65*POWER((1+绝对估值!$B$3),绝对估值!B2)*(1+$G$3)/POWER((1+$A$57),目录!C9+绝对估值!B2-1)/(A57-$G$3))+(绝对估值!C71+绝对估值!C72-绝对估值!C73-绝对估值!C74))/绝对估值!C32</f>
        <v>-2.7566519034354293</v>
      </c>
      <c r="H57" s="511">
        <f ca="1">((绝对估值!D65+NPV(A57,绝对估值!E65:'绝对估值'!F65))+(NPV(A57,绝对估值!D66:'绝对估值'!I66)/(1+A57)^(目录!C9-1))+(绝对估值!F65*POWER((1+绝对估值!$B$3),绝对估值!B2)*(1+$H$3)/POWER((1+$A$57),目录!C9+绝对估值!B2-1)/(A57-$H$3))+(绝对估值!C71+绝对估值!C72-绝对估值!C73-绝对估值!C74))/绝对估值!C32</f>
        <v>-2.9455016783289203</v>
      </c>
      <c r="I57" s="511">
        <f ca="1">((绝对估值!D65+NPV(A57,绝对估值!E65:'绝对估值'!F65))+(NPV(A57,绝对估值!D66:'绝对估值'!I66)/(1+A57)^(目录!C9-1))+(绝对估值!F65*POWER((1+绝对估值!$B$3),绝对估值!B2)*(1+$I$3)/POWER((1+$A$57),目录!C9+绝对估值!B2-1)/(A57-$I$3))+(绝对估值!C71+绝对估值!C72-绝对估值!C73-绝对估值!C74))/绝对估值!C32</f>
        <v>-3.1708976815043282</v>
      </c>
      <c r="J57" s="511">
        <f ca="1">((绝对估值!D65+NPV(A57,绝对估值!E65:'绝对估值'!F65))+(NPV(A57,绝对估值!D66:'绝对估值'!I66)/(1+A57)^(目录!C9-1))+(绝对估值!F65*POWER((1+绝对估值!$B$3),绝对估值!B2)*(1+$J$3)/POWER((1+$A$57),目录!C9+绝对估值!B2-1)/(A57-$J$3))+(绝对估值!C71+绝对估值!C72-绝对估值!C73-绝对估值!C74))/绝对估值!C32</f>
        <v>-3.4432146098654872</v>
      </c>
      <c r="K57" s="511">
        <f ca="1">((绝对估值!D65+NPV(A57,绝对估值!E65:'绝对估值'!F65))+(NPV(A57,绝对估值!D66:'绝对估值'!I66)/(1+A57)^(目录!C9-1))+(绝对估值!F65*POWER((1+绝对估值!$B$3),绝对估值!B2)*(1+$K$3)/POWER((1+$A$57),目录!C9+绝对估值!B2-1)/(A57-$K$3))+(绝对估值!C71+绝对估值!C72-绝对估值!C73-绝对估值!C74))/绝对估值!C32</f>
        <v>-3.777111957615392</v>
      </c>
      <c r="L57" s="512">
        <f ca="1">((绝对估值!D65+NPV(A57,绝对估值!E65:'绝对估值'!F65))+(NPV(A57,绝对估值!D66:'绝对估值'!I66)/(1+A57)^(目录!C9-1))+(绝对估值!F65*POWER((1+绝对估值!$B$3),绝对估值!B2)*(1+$L$3)/POWER((1+$A$57),目录!C9+绝对估值!B2-1)/(A57-$L$3))+(绝对估值!C71+绝对估值!C72-绝对估值!C73-绝对估值!C74))/绝对估值!C32</f>
        <v>-4.1940042954141896</v>
      </c>
    </row>
    <row r="58" spans="1:12" ht="19.5" customHeight="1" outlineLevel="1">
      <c r="A58" s="341">
        <f ca="1">A57*1.1</f>
        <v>0.12144188445944383</v>
      </c>
      <c r="B58" s="511">
        <f ca="1">((绝对估值!D65+NPV(A58,绝对估值!E65:'绝对估值'!F65))+(NPV(A58,绝对估值!D66:'绝对估值'!I66)/(1+A58)^(目录!C9-1))+(绝对估值!F65*POWER((1+绝对估值!$B$3),绝对估值!B2)*(1+$B$3)/POWER((1+$A$58),目录!C9+绝对估值!B2-1)/(A58-$B$3))+(绝对估值!C71+绝对估值!C72-绝对估值!C73-绝对估值!C74))/绝对估值!C32</f>
        <v>-1.3405807765369631</v>
      </c>
      <c r="C58" s="511">
        <f ca="1">((绝对估值!D65+NPV(A58,绝对估值!E65:'绝对估值'!F65))+(NPV(A58,绝对估值!D66:'绝对估值'!I66)/(1+A58)^(目录!C9-1))+(绝对估值!F65*POWER((1+绝对估值!$B$3),绝对估值!B2)*(1+$C$3)/POWER((1+$A$58),目录!C9+绝对估值!B2-1)/(A58-$C$3))+(绝对估值!C71+绝对估值!C72-绝对估值!C73-绝对估值!C74))/绝对估值!C32</f>
        <v>-1.4061841833275848</v>
      </c>
      <c r="D58" s="511">
        <f ca="1">((绝对估值!D65+NPV(A58,绝对估值!E65:'绝对估值'!F65))+(NPV(A58,绝对估值!D66:'绝对估值'!I66)/(1+A58)^(目录!C9-1))+(绝对估值!F65*POWER((1+绝对估值!$B$3),绝对估值!B2)*(1+$D$3)/POWER((1+$A$58),目录!C9+绝对估值!B2-1)/(A58-$D$3))+(绝对估值!C71+绝对估值!C72-绝对估值!C73-绝对估值!C74))/绝对估值!C32</f>
        <v>-1.4812021622901141</v>
      </c>
      <c r="E58" s="511">
        <f ca="1">((绝对估值!D65+NPV(A58,绝对估值!E65:'绝对估值'!F65))+(NPV(A58,绝对估值!D66:'绝对估值'!I66)/(1+A58)^(目录!C9-1))+(绝对估值!F65*POWER((1+绝对估值!$B$3),绝对估值!B2)*(1+$E$3)/POWER((1+$A$58),目录!C9+绝对估值!B2-1)/(A58-$E$3))+(绝对估值!C71+绝对估值!C72-绝对估值!C73-绝对估值!C74))/绝对估值!C32</f>
        <v>-1.5673958850201191</v>
      </c>
      <c r="F58" s="511">
        <f ca="1">((绝对估值!D65+NPV(A58,绝对估值!E65:'绝对估值'!F65))+(NPV(A58,绝对估值!D66:'绝对估值'!I66)/(1+A58)^(目录!C9-1))+(绝对估值!F65*POWER((1+绝对估值!$B$3),绝对估值!B2)*(1+$F$3)/POWER((1+$A$58),目录!C9+绝对估值!B2-1)/(A58-$F$3))+(绝对估值!C71+绝对估值!C72-绝对估值!C73-绝对估值!C74))/绝对估值!C32</f>
        <v>-1.6669746299180135</v>
      </c>
      <c r="G58" s="511">
        <f ca="1">((绝对估值!D65+NPV(A58,绝对估值!E65:'绝对估值'!F65))+(NPV(A58,绝对估值!D66:'绝对估值'!I66)/(1+A58)^(目录!C9-1))+(绝对估值!F65*POWER((1+绝对估值!$B$3),绝对估值!B2)*(1+$G$3)/POWER((1+$A$58),目录!C9+绝对估值!B2-1)/(A58-$G$3))+(绝对估值!C71+绝对估值!C72-绝对估值!C73-绝对估值!C74))/绝对估值!C32</f>
        <v>-1.7827481574057573</v>
      </c>
      <c r="H58" s="511">
        <f ca="1">((绝对估值!D65+NPV(A58,绝对估值!E65:'绝对估值'!F65))+(NPV(A58,绝对估值!D66:'绝对估值'!I66)/(1+A58)^(目录!C9-1))+(绝对估值!F65*POWER((1+绝对估值!$B$3),绝对估值!B2)*(1+$H$3)/POWER((1+$A$58),目录!C9+绝对估值!B2-1)/(A58-$H$3))+(绝对估值!C71+绝对估值!C72-绝对估值!C73-绝对估值!C74))/绝对估值!C32</f>
        <v>-1.9183459585172744</v>
      </c>
      <c r="I58" s="511">
        <f ca="1">((绝对估值!D65+NPV(A58,绝对估值!E65:'绝对估值'!F65))+(NPV(A58,绝对估值!D66:'绝对估值'!I66)/(1+A58)^(目录!C9-1))+(绝对估值!F65*POWER((1+绝对估值!$B$3),绝对估值!B2)*(1+$I$3)/POWER((1+$A$58),目录!C9+绝对估值!B2-1)/(A58-$I$3))+(绝对估值!C71+绝对估值!C72-绝对估值!C73-绝对估值!C74))/绝对估值!C32</f>
        <v>-2.0785403257785511</v>
      </c>
      <c r="J58" s="511">
        <f ca="1">((绝对估值!D65+NPV(A58,绝对估值!E65:'绝对估值'!F65))+(NPV(A58,绝对估值!D66:'绝对估值'!I66)/(1+A58)^(目录!C9-1))+(绝对估值!F65*POWER((1+绝对估值!$B$3),绝对估值!B2)*(1+$J$3)/POWER((1+$A$58),目录!C9+绝对估值!B2-1)/(A58-$J$3))+(绝对估值!C71+绝对估值!C72-绝对估值!C73-绝对估值!C74))/绝对估值!C32</f>
        <v>-2.2697355238256192</v>
      </c>
      <c r="K58" s="511">
        <f ca="1">((绝对估值!D65+NPV(A58,绝对估值!E65:'绝对估值'!F65))+(NPV(A58,绝对估值!D66:'绝对估值'!I66)/(1+A58)^(目录!C9-1))+(绝对估值!F65*POWER((1+绝对估值!$B$3),绝对估值!B2)*(1+$K$3)/POWER((1+$A$58),目录!C9+绝对估值!B2-1)/(A58-$K$3))+(绝对估值!C71+绝对估值!C72-绝对估值!C73-绝对估值!C74))/绝对估值!C32</f>
        <v>-2.500732029158776</v>
      </c>
      <c r="L58" s="512">
        <f ca="1">((绝对估值!D65+NPV(A58,绝对估值!E65:'绝对估值'!F65))+(NPV(A58,绝对估值!D66:'绝对估值'!I66)/(1+A58)^(目录!C9-1))+(绝对估值!F65*POWER((1+绝对估值!$B$3),绝对估值!B2)*(1+$L$3)/POWER((1+$A$58),目录!C9+绝对估值!B2-1)/(A58-$L$3))+(绝对估值!C71+绝对估值!C72-绝对估值!C73-绝对估值!C74))/绝对估值!C32</f>
        <v>-2.7839649553467054</v>
      </c>
    </row>
    <row r="59" spans="1:12" ht="19.5" customHeight="1" outlineLevel="1">
      <c r="A59" s="341">
        <f ca="1">A58*1.1</f>
        <v>0.13358607290538824</v>
      </c>
      <c r="B59" s="513">
        <f ca="1">((绝对估值!D65+NPV(A59,绝对估值!E65:'绝对估值'!F65))+(NPV(A59,绝对估值!D66:'绝对估值'!I66)/(1+A59)^(目录!C9-1))+(绝对估值!F65*POWER((1+绝对估值!$B$3),绝对估值!B2)*(1+$B$3)/POWER((1+$A$59),目录!C9+绝对估值!B2-1)/(A59-$B$3))+(绝对估值!C71+绝对估值!C72-绝对估值!C73-绝对估值!C74))/绝对估值!C32</f>
        <v>-0.63163394065787382</v>
      </c>
      <c r="C59" s="513">
        <f ca="1">((绝对估值!D65+NPV(A59,绝对估值!E65:'绝对估值'!F65))+(NPV(A59,绝对估值!D66:'绝对估值'!I66)/(1+A59)^(目录!C9-1))+(绝对估值!F65*POWER((1+绝对估值!$B$3),绝对估值!B2)*(1+$C$3)/POWER((1+$A$59),目录!C9+绝对估值!B2-1)/(A59-$C$3))+(绝对估值!C71+绝对估值!C72-绝对估值!C73-绝对估值!C74))/绝对估值!C32</f>
        <v>-0.68020319782182526</v>
      </c>
      <c r="D59" s="513">
        <f ca="1">((绝对估值!D65+NPV(A59,绝对估值!E65:'绝对估值'!F65))+(NPV(A59,绝对估值!D66:'绝对估值'!I66)/(1+A59)^(目录!C9-1))+(绝对估值!F65*POWER((1+绝对估值!$B$3),绝对估值!B2)*(1+$D$3)/POWER((1+$A$59),目录!C9+绝对估值!B2-1)/(A59-$D$3))+(绝对估值!C71+绝对估值!C72-绝对估值!C73-绝对估值!C74))/绝对估值!C32</f>
        <v>-0.73551140788227887</v>
      </c>
      <c r="E59" s="513">
        <f ca="1">((绝对估值!D65+NPV(A59,绝对估值!E65:'绝对估值'!F65))+(NPV(A59,绝对估值!D66:'绝对估值'!I66)/(1+A59)^(目录!C9-1))+(绝对估值!F65*POWER((1+绝对估值!$B$3),绝对估值!B2)*(1+$E$3)/POWER((1+$A$59),目录!C9+绝对估值!B2-1)/(A59-$E$3))+(绝对估值!C71+绝对估值!C72-绝对估值!C73-绝对估值!C74))/绝对估值!C32</f>
        <v>-0.79875675353959363</v>
      </c>
      <c r="F59" s="513">
        <f ca="1">((绝对估值!D65+NPV(A59,绝对估值!E65:'绝对估值'!F65))+(NPV(A59,绝对估值!D66:'绝对估值'!I66)/(1+A59)^(目录!C9-1))+(绝对估值!F65*POWER((1+绝对估值!$B$3),绝对估值!B2)*(1+$F$3)/POWER((1+$A$59),目录!C9+绝对估值!B2-1)/(A59-$F$3))+(绝对估值!C71+绝对估值!C72-绝对估值!C73-绝对估值!C74))/绝对估值!C32</f>
        <v>-0.87142402427842225</v>
      </c>
      <c r="G59" s="513">
        <f ca="1">((绝对估值!D65+NPV(A59,绝对估值!E65:'绝对估值'!F65))+(NPV(A59,绝对估值!D66:'绝对估值'!I66)/(1+A59)^(目录!C9-1))+(绝对估值!F65*POWER((1+绝对估值!$B$3),绝对估值!B2)*(1+$G$3)/POWER((1+$A$59),目录!C9+绝对估值!B2-1)/(A59-$G$3))+(绝对估值!C71+绝对估值!C72-绝对估值!C73-绝对估值!C74))/绝对估值!C32</f>
        <v>-0.95537579461783262</v>
      </c>
      <c r="H59" s="513">
        <f ca="1">((绝对估值!D65+NPV(A59,绝对估值!E65:'绝对估值'!F65))+(NPV(A59,绝对估值!D66:'绝对估值'!I66)/(1+A59)^(目录!C9-1))+(绝对估值!F65*POWER((1+绝对估值!$B$3),绝对估值!B2)*(1+$H$3)/POWER((1+$A$59),目录!C9+绝对估值!B2-1)/(A59-$H$3))+(绝对估值!C71+绝对估值!C72-绝对估值!C73-绝对估值!C74))/绝对估值!C32</f>
        <v>-1.0529808869595805</v>
      </c>
      <c r="I59" s="513">
        <f ca="1">((绝对估值!D65+NPV(A59,绝对估值!E65:'绝对估值'!F65))+(NPV(A59,绝对估值!D66:'绝对估值'!I66)/(1+A59)^(目录!C9-1))+(绝对估值!F65*POWER((1+绝对估值!$B$3),绝对估值!B2)*(1+$I$3)/POWER((1+$A$59),目录!C9+绝对估值!B2-1)/(A59-$I$3))+(绝对估值!C71+绝对估值!C72-绝对估值!C73-绝对估值!C74))/绝对估值!C32</f>
        <v>-1.1672992133164297</v>
      </c>
      <c r="J59" s="513">
        <f ca="1">((绝对估值!D65+NPV(A59,绝对估值!E65:'绝对估值'!F65))+(NPV(A59,绝对估值!D66:'绝对估值'!I66)/(1+A59)^(目录!C9-1))+(绝对估值!F65*POWER((1+绝对估值!$B$3),绝对估值!B2)*(1+$J$3)/POWER((1+$A$59),目录!C9+绝对估值!B2-1)/(A59-$J$3))+(绝对估值!C71+绝对估值!C72-绝对估值!C73-绝对估值!C74))/绝对估值!C32</f>
        <v>-1.3023541464125996</v>
      </c>
      <c r="K59" s="513">
        <f ca="1">((绝对估值!D65+NPV(A59,绝对估值!E65:'绝对估值'!F65))+(NPV(A59,绝对估值!D66:'绝对估值'!I66)/(1+A59)^(目录!C9-1))+(绝对估值!F65*POWER((1+绝对估值!$B$3),绝对估值!B2)*(1+$K$3)/POWER((1+$A$59),目录!C9+绝对估值!B2-1)/(A59-$K$3))+(绝对估值!C71+绝对估值!C72-绝对估值!C73-绝对估值!C74))/绝对估值!C32</f>
        <v>-1.4635449243532517</v>
      </c>
      <c r="L59" s="514">
        <f ca="1">((绝对估值!D65+NPV(A59,绝对估值!E65:'绝对估值'!F65))+(NPV(A59,绝对估值!D66:'绝对估值'!I66)/(1+A59)^(目录!C9-1))+(绝对估值!F65*POWER((1+绝对估值!$B$3),绝对估值!B2)*(1+$L$3)/POWER((1+$A$59),目录!C9+绝对估值!B2-1)/(A59-$L$3))+(绝对估值!C71+绝对估值!C72-绝对估值!C73-绝对估值!C74))/绝对估值!C32</f>
        <v>-1.6582909576038212</v>
      </c>
    </row>
    <row r="61" spans="1:12" ht="27.75" customHeight="1">
      <c r="A61" s="1306" t="s">
        <v>297</v>
      </c>
      <c r="B61" s="1306"/>
    </row>
    <row r="62" spans="1:12" ht="21" customHeight="1" outlineLevel="1">
      <c r="A62" s="1307" t="s">
        <v>280</v>
      </c>
      <c r="B62" s="1307"/>
    </row>
    <row r="63" spans="1:12" ht="27" customHeight="1" outlineLevel="1">
      <c r="A63" s="338" t="s">
        <v>854</v>
      </c>
      <c r="B63" s="340">
        <f>C63/1.1</f>
        <v>1.8627639691774646E-2</v>
      </c>
      <c r="C63" s="339">
        <f>D63/1.1</f>
        <v>2.0490403660952113E-2</v>
      </c>
      <c r="D63" s="339">
        <f>E63/1.1</f>
        <v>2.2539444027047325E-2</v>
      </c>
      <c r="E63" s="339">
        <f>F63/1.1</f>
        <v>2.479338842975206E-2</v>
      </c>
      <c r="F63" s="339">
        <f>G63/1.1</f>
        <v>2.7272727272727268E-2</v>
      </c>
      <c r="G63" s="339">
        <f>绝对估值!B4</f>
        <v>0.03</v>
      </c>
      <c r="H63" s="339">
        <f>G63*1.1</f>
        <v>3.3000000000000002E-2</v>
      </c>
      <c r="I63" s="339">
        <f>H63*1.1</f>
        <v>3.6300000000000006E-2</v>
      </c>
      <c r="J63" s="339">
        <f>I63*1.1</f>
        <v>3.9930000000000007E-2</v>
      </c>
      <c r="K63" s="339">
        <f>J63*1.1</f>
        <v>4.3923000000000011E-2</v>
      </c>
      <c r="L63" s="339">
        <f>K63*1.1</f>
        <v>4.8315300000000012E-2</v>
      </c>
    </row>
    <row r="64" spans="1:12" ht="20.25" customHeight="1" outlineLevel="1">
      <c r="A64" s="341">
        <f>A65/1.1</f>
        <v>6.5817660244270437E-2</v>
      </c>
      <c r="B64" s="511">
        <f ca="1">((绝对估值!D82+NPV(A64,绝对估值!E82:'绝对估值'!F82))+(NPV(A64,绝对估值!D83:'绝对估值'!I83)/(1+A64)^(目录!C9-1))+(绝对估值!F82*POWER((1+绝对估值!$B$3),绝对估值!B2)*(1+$B$3)/POWER((1+$A$64),目录!C9+绝对估值!B2-1)/(A64-$B$3))+(绝对估值!C88-绝对估值!C89))/绝对估值!C32</f>
        <v>-7.9797436615489605</v>
      </c>
      <c r="C64" s="511">
        <f ca="1">((绝对估值!D82+NPV(A64,绝对估值!E82:'绝对估值'!F82))+(NPV(A64,绝对估值!D83:'绝对估值'!I83)/(1+A64)^(目录!C9-1))+(绝对估值!F82*POWER((1+绝对估值!$B$3),绝对估值!B2)*(1+$C$3)/POWER((1+$A$64),目录!C9+绝对估值!B2-1)/(A64-$C$3))+(绝对估值!C88-绝对估值!C89))/绝对估值!C32</f>
        <v>-8.3699393582766834</v>
      </c>
      <c r="D64" s="511">
        <f ca="1">((绝对估值!D82+NPV(A64,绝对估值!E82:'绝对估值'!F82))+(NPV(A64,绝对估值!D83:'绝对估值'!I83)/(1+A64)^(目录!C9-1))+(绝对估值!F82*POWER((1+绝对估值!$B$3),绝对估值!B2)*(1+$D$3)/POWER((1+$A$64),目录!C9+绝对估值!B2-1)/(A64-$D$3))+(绝对估值!C88-绝对估值!C89))/绝对估值!C32</f>
        <v>-8.8379502656861195</v>
      </c>
      <c r="E64" s="511">
        <f ca="1">((绝对估值!D82+NPV(A64,绝对估值!E82:'绝对估值'!F82))+(NPV(A64,绝对估值!D83:'绝对估值'!I83)/(1+A64)^(目录!C9-1))+(绝对估值!F82*POWER((1+绝对估值!$B$3),绝对估值!B2)*(1+$E$3)/POWER((1+$A$64),目录!C9+绝对估值!B2-1)/(A64-$E$3))+(绝对估值!C88-绝对估值!C89))/绝对估值!C32</f>
        <v>-9.4067602530476702</v>
      </c>
      <c r="F64" s="511">
        <f ca="1">((绝对估值!D82+NPV(A64,绝对估值!E82:'绝对估值'!F82))+(NPV(A64,绝对估值!D83:'绝对估值'!I83)/(1+A64)^(目录!C9-1))+(绝对估值!F82*POWER((1+绝对估值!$B$3),绝对估值!B2)*(1+$F$3)/POWER((1+$A$64),目录!C9+绝对估值!B2-1)/(A64-$F$3))+(绝对估值!C88-绝对估值!C89))/绝对估值!C32</f>
        <v>-10.109285531830634</v>
      </c>
      <c r="G64" s="511">
        <f ca="1">((绝对估值!D82+NPV(A64,绝对估值!E82:'绝对估值'!F82))+(NPV(A64,绝对估值!D83:'绝对估值'!I83)/(1+A64)^(目录!C9-1))+(绝对估值!F82*POWER((1+绝对估值!$B$3),绝对估值!B2)*(1+$G$3)/POWER((1+$A$64),目录!C9+绝对估值!B2-1)/(A64-$G$3))+(绝对估值!C88-绝对估值!C89))/绝对估值!C32</f>
        <v>-10.994397696513982</v>
      </c>
      <c r="H64" s="511">
        <f ca="1">((绝对估值!D82+NPV(A64,绝对估值!E82:'绝对估值'!F82))+(NPV(A64,绝对估值!D83:'绝对估值'!I83)/(1+A64)^(目录!C9-1))+(绝对估值!F82*POWER((1+绝对估值!$B$3),绝对估值!B2)*(1+$H$3)/POWER((1+$A$64),目录!C9+绝对估值!B2-1)/(A64-$H$3))+(绝对估值!C88-绝对估值!C89))/绝对估值!C32</f>
        <v>-12.137935891701764</v>
      </c>
      <c r="I64" s="511">
        <f ca="1">((绝对估值!D82+NPV(A64,绝对估值!E82:'绝对估值'!F82))+(NPV(A64,绝对估值!D83:'绝对估值'!I83)/(1+A64)^(目录!C9-1))+(绝对估值!F82*POWER((1+绝对估值!$B$3),绝对估值!B2)*(1+$I$3)/POWER((1+$A$64),目录!C9+绝对估值!B2-1)/(A64-$I$3))+(绝对估值!C88-绝对估值!C89))/绝对估值!C32</f>
        <v>-13.664301749764173</v>
      </c>
      <c r="J64" s="511">
        <f ca="1">((绝对估值!D82+NPV(A64,绝对估值!E82:'绝对估值'!F82))+(NPV(A64,绝对估值!D83:'绝对估值'!I83)/(1+A64)^(目录!C9-1))+(绝对估值!F82*POWER((1+绝对估值!$B$3),绝对估值!B2)*(1+$J$3)/POWER((1+$A$64),目录!C9+绝对估值!B2-1)/(A64-$J$3))+(绝对估值!C88-绝对估值!C89))/绝对估值!C32</f>
        <v>-15.792764933854984</v>
      </c>
      <c r="K64" s="511">
        <f ca="1">((绝对估值!D82+NPV(A64,绝对估值!E82:'绝对估值'!F82))+(NPV(A64,绝对估值!D83:'绝对估值'!I83)/(1+A64)^(目录!C9-1))+(绝对估值!F82*POWER((1+绝对估值!$B$3),绝对估值!B2)*(1+$K$3)/POWER((1+$A$64),目录!C9+绝对估值!B2-1)/(A64-$K$3))+(绝对估值!C88-绝对估值!C89))/绝对估值!C32</f>
        <v>-18.949241337253802</v>
      </c>
      <c r="L64" s="512">
        <f ca="1">((绝对估值!D82+NPV(A64,绝对估值!E82:'绝对估值'!F82))+(NPV(A64,绝对估值!D83:'绝对估值'!I83)/(1+A64)^(目录!C9-1))+(绝对估值!F82*POWER((1+绝对估值!$B$3),绝对估值!B2)*(1+$L$3)/POWER((1+$A$64),目录!C9+绝对估值!B2-1)/(A64-$L$3))+(绝对估值!C88-绝对估值!C89))/绝对估值!C32</f>
        <v>-24.084843982599558</v>
      </c>
    </row>
    <row r="65" spans="1:12" ht="20.25" customHeight="1" outlineLevel="1">
      <c r="A65" s="341">
        <f>A66/1.1</f>
        <v>7.2399426268697484E-2</v>
      </c>
      <c r="B65" s="511">
        <f ca="1">((绝对估值!D82+NPV(A65,绝对估值!E82:'绝对估值'!F82))+(NPV(A65,绝对估值!D83:'绝对估值'!I83)/(1+A65)^(目录!C9-1))+(绝对估值!F82*POWER((1+绝对估值!$B$3),绝对估值!B2)*(1+$B$3)/POWER((1+$A$65),目录!C9+绝对估值!B2-1)/(A65-$B$3))+(绝对估值!C88-绝对估值!C89))/绝对估值!C32</f>
        <v>-6.4012253995638568</v>
      </c>
      <c r="C65" s="511">
        <f ca="1">((绝对估值!D82+NPV(A65,绝对估值!E82:'绝对估值'!F82))+(NPV(A65,绝对估值!D83:'绝对估值'!I83)/(1+A65)^(目录!C9-1))+(绝对估值!F82*POWER((1+绝对估值!$B$3),绝对估值!B2)*(1+$C$3)/POWER((1+$A$65),目录!C9+绝对估值!B2-1)/(A65-$C$3))+(绝对估值!C88-绝对估值!C89))/绝对估值!C32</f>
        <v>-6.6876294345571905</v>
      </c>
      <c r="D65" s="511">
        <f ca="1">((绝对估值!D82+NPV(A65,绝对估值!E82:'绝对估值'!F82))+(NPV(A65,绝对估值!D83:'绝对估值'!I83)/(1+A65)^(目录!C9-1))+(绝对估值!F82*POWER((1+绝对估值!$B$3),绝对估值!B2)*(1+$D$3)/POWER((1+$A$65),目录!C9+绝对估值!B2-1)/(A65-$D$3))+(绝对估值!C88-绝对估值!C89))/绝对估值!C32</f>
        <v>-7.0273909336040763</v>
      </c>
      <c r="E65" s="511">
        <f ca="1">((绝对估值!D82+NPV(A65,绝对估值!E82:'绝对估值'!F82))+(NPV(A65,绝对估值!D83:'绝对估值'!I83)/(1+A65)^(目录!C9-1))+(绝对估值!F82*POWER((1+绝对估值!$B$3),绝对估值!B2)*(1+$E$3)/POWER((1+$A$65),目录!C9+绝对估值!B2-1)/(A65-$E$3))+(绝对估值!C88-绝对估值!C89))/绝对估值!C32</f>
        <v>-7.4349097473819761</v>
      </c>
      <c r="F65" s="511">
        <f ca="1">((绝对估值!D82+NPV(A65,绝对估值!E82:'绝对估值'!F82))+(NPV(A65,绝对估值!D83:'绝对估值'!I83)/(1+A65)^(目录!C9-1))+(绝对估值!F82*POWER((1+绝对估值!$B$3),绝对估值!B2)*(1+$F$3)/POWER((1+$A$65),目录!C9+绝对估值!B2-1)/(A65-$F$3))+(绝对估值!C88-绝对估值!C89))/绝对估值!C32</f>
        <v>-7.9301989973648039</v>
      </c>
      <c r="G65" s="511">
        <f ca="1">((绝对估值!D82+NPV(A65,绝对估值!E82:'绝对估值'!F82))+(NPV(A65,绝对估值!D83:'绝对估值'!I83)/(1+A65)^(目录!C9-1))+(绝对估值!F82*POWER((1+绝对估值!$B$3),绝对估值!B2)*(1+$G$3)/POWER((1+$A$65),目录!C9+绝对估值!B2-1)/(A65-$G$3))+(绝对估值!C88-绝对估值!C89))/绝对估值!C32</f>
        <v>-8.5419203562607464</v>
      </c>
      <c r="H65" s="511">
        <f ca="1">((绝对估值!D82+NPV(A65,绝对估值!E82:'绝对估值'!F82))+(NPV(A65,绝对估值!D83:'绝对估值'!I83)/(1+A65)^(目录!C9-1))+(绝对估值!F82*POWER((1+绝对估值!$B$3),绝对估值!B2)*(1+$H$3)/POWER((1+$A$65),目录!C9+绝对估值!B2-1)/(A65-$H$3))+(绝对估值!C88-绝对估值!C89))/绝对估值!C32</f>
        <v>-9.3126285891280443</v>
      </c>
      <c r="I65" s="511">
        <f ca="1">((绝对估值!D82+NPV(A65,绝对估值!E82:'绝对估值'!F82))+(NPV(A65,绝对估值!D83:'绝对估值'!I83)/(1+A65)^(目录!C9-1))+(绝对估值!F82*POWER((1+绝对估值!$B$3),绝对估值!B2)*(1+$I$3)/POWER((1+$A$65),目录!C9+绝对估值!B2-1)/(A65-$I$3))+(绝对估值!C88-绝对估值!C89))/绝对估值!C32</f>
        <v>-10.308360358270251</v>
      </c>
      <c r="J65" s="511">
        <f ca="1">((绝对估值!D82+NPV(A65,绝对估值!E82:'绝对估值'!F82))+(NPV(A65,绝对估值!D83:'绝对估值'!I83)/(1+A65)^(目录!C9-1))+(绝对估值!F82*POWER((1+绝对估值!$B$3),绝对估值!B2)*(1+$J$3)/POWER((1+$A$65),目录!C9+绝对估值!B2-1)/(A65-$J$3))+(绝对估值!C88-绝对估值!C89))/绝对估值!C32</f>
        <v>-11.637437937491086</v>
      </c>
      <c r="K65" s="511">
        <f ca="1">((绝对估值!D82+NPV(A65,绝对估值!E82:'绝对估值'!F82))+(NPV(A65,绝对估值!D83:'绝对估值'!I83)/(1+A65)^(目录!C9-1))+(绝对估值!F82*POWER((1+绝对估值!$B$3),绝对估值!B2)*(1+$K$3)/POWER((1+$A$65),目录!C9+绝对估值!B2-1)/(A65-$K$3))+(绝对估值!C88-绝对估值!C89))/绝对估值!C32</f>
        <v>-13.490789597074935</v>
      </c>
      <c r="L65" s="512">
        <f ca="1">((绝对估值!D82+NPV(A65,绝对估值!E82:'绝对估值'!F82))+(NPV(A65,绝对估值!D83:'绝对估值'!I83)/(1+A65)^(目录!C9-1))+(绝对估值!F82*POWER((1+绝对估值!$B$3),绝对估值!B2)*(1+$L$3)/POWER((1+$A$65),目录!C9+绝对估值!B2-1)/(A65-$L$3))+(绝对估值!C88-绝对估值!C89))/绝对估值!C32</f>
        <v>-16.239280068699113</v>
      </c>
    </row>
    <row r="66" spans="1:12" ht="20.25" customHeight="1" outlineLevel="1">
      <c r="A66" s="341">
        <f>A67/1.1</f>
        <v>7.9639368895567234E-2</v>
      </c>
      <c r="B66" s="511">
        <f ca="1">((绝对估值!D82+NPV(A66,绝对估值!E82:'绝对估值'!F82))+(NPV(A66,绝对估值!D83:'绝对估值'!I83)/(1+A66)^(目录!C9-1))+(绝对估值!F82*POWER((1+绝对估值!$B$3),绝对估值!B2)*(1+$B$3)/POWER((1+$A$66),目录!C9+绝对估值!B2-1)/(A66-$B$3))+(绝对估值!C88-绝对估值!C89))/绝对估值!C32</f>
        <v>-5.0619004633257285</v>
      </c>
      <c r="C66" s="511">
        <f ca="1">((绝对估值!D82+NPV(A66,绝对估值!E82:'绝对估值'!F82))+(NPV(A66,绝对估值!D83:'绝对估值'!I83)/(1+A66)^(目录!C9-1))+(绝对估值!F82*POWER((1+绝对估值!$B$3),绝对估值!B2)*(1+$C$3)/POWER((1+$A$66),目录!C9+绝对估值!B2-1)/(A66-$C$3))+(绝对估值!C88-绝对估值!C89))/绝对估值!C32</f>
        <v>-5.2732303824518167</v>
      </c>
      <c r="D66" s="511">
        <f ca="1">((绝对估值!D82+NPV(A66,绝对估值!E82:'绝对估值'!F82))+(NPV(A66,绝对估值!D83:'绝对估值'!I83)/(1+A66)^(目录!C9-1))+(绝对估值!F82*POWER((1+绝对估值!$B$3),绝对估值!B2)*(1+$D$3)/POWER((1+$A$66),目录!C9+绝对估值!B2-1)/(A66-$D$3))+(绝对估值!C88-绝对估值!C89))/绝对估值!C32</f>
        <v>-5.5216188735203513</v>
      </c>
      <c r="E66" s="511">
        <f ca="1">((绝对估值!D82+NPV(A66,绝对估值!E82:'绝对估值'!F82))+(NPV(A66,绝对估值!D83:'绝对估值'!I83)/(1+A66)^(目录!C9-1))+(绝对估值!F82*POWER((1+绝对估值!$B$3),绝对估值!B2)*(1+$E$3)/POWER((1+$A$66),目录!C9+绝对估值!B2-1)/(A66-$E$3))+(绝对估值!C88-绝对估值!C89))/绝对估值!C32</f>
        <v>-5.8162824807331646</v>
      </c>
      <c r="F66" s="511">
        <f ca="1">((绝对估值!D82+NPV(A66,绝对估值!E82:'绝对估值'!F82))+(NPV(A66,绝对估值!D83:'绝对估值'!I83)/(1+A66)^(目录!C9-1))+(绝对估值!F82*POWER((1+绝对估值!$B$3),绝对估值!B2)*(1+$F$3)/POWER((1+$A$66),目录!C9+绝对估值!B2-1)/(A66-$F$3))+(绝对估值!C88-绝对估值!C89))/绝对估值!C32</f>
        <v>-6.1697097054532621</v>
      </c>
      <c r="G66" s="511">
        <f ca="1">((绝对估值!D82+NPV(A66,绝对估值!E82:'绝对估值'!F82))+(NPV(A66,绝对估值!D83:'绝对估值'!I83)/(1+A66)^(目录!C9-1))+(绝对估值!F82*POWER((1+绝对估值!$B$3),绝对估值!B2)*(1+$G$3)/POWER((1+$A$66),目录!C9+绝对估值!B2-1)/(A66-$G$3))+(绝对估值!C88-绝对估值!C89))/绝对估值!C32</f>
        <v>-6.5992572481356317</v>
      </c>
      <c r="H66" s="511">
        <f ca="1">((绝对估值!D82+NPV(A66,绝对估值!E82:'绝对估值'!F82))+(NPV(A66,绝对估值!D83:'绝对估值'!I83)/(1+A66)^(目录!C9-1))+(绝对估值!F82*POWER((1+绝对估值!$B$3),绝对估值!B2)*(1+$H$3)/POWER((1+$A$66),目录!C9+绝对估值!B2-1)/(A66-$H$3))+(绝对估值!C88-绝对估值!C89))/绝对估值!C32</f>
        <v>-7.1297824039494895</v>
      </c>
      <c r="I66" s="511">
        <f ca="1">((绝对估值!D82+NPV(A66,绝对估值!E82:'绝对估值'!F82))+(NPV(A66,绝对估值!D83:'绝对估值'!I83)/(1+A66)^(目录!C9-1))+(绝对估值!F82*POWER((1+绝对估值!$B$3),绝对估值!B2)*(1+$I$3)/POWER((1+$A$66),目录!C9+绝对估值!B2-1)/(A66-$I$3))+(绝对估值!C88-绝对估值!C89))/绝对估值!C32</f>
        <v>-7.7981914751431356</v>
      </c>
      <c r="J66" s="511">
        <f ca="1">((绝对估值!D82+NPV(A66,绝对估值!E82:'绝对估值'!F82))+(NPV(A66,绝对估值!D83:'绝对估值'!I83)/(1+A66)^(目录!C9-1))+(绝对估值!F82*POWER((1+绝对估值!$B$3),绝对估值!B2)*(1+$J$3)/POWER((1+$A$66),目录!C9+绝对估值!B2-1)/(A66-$J$3))+(绝对估值!C88-绝对估值!C89))/绝对估值!C32</f>
        <v>-8.6617558158200847</v>
      </c>
      <c r="K66" s="511">
        <f ca="1">((绝对估值!D82+NPV(A66,绝对估值!E82:'绝对估值'!F82))+(NPV(A66,绝对估值!D83:'绝对估值'!I83)/(1+A66)^(目录!C9-1))+(绝对估值!F82*POWER((1+绝对估值!$B$3),绝对估值!B2)*(1+$K$3)/POWER((1+$A$66),目录!C9+绝对估值!B2-1)/(A66-$K$3))+(绝对估值!C88-绝对估值!C89))/绝对估值!C32</f>
        <v>-9.8144196545937561</v>
      </c>
      <c r="L66" s="512">
        <f ca="1">((绝对估值!D82+NPV(A66,绝对估值!E82:'绝对估值'!F82))+(NPV(A66,绝对估值!D83:'绝对估值'!I83)/(1+A66)^(目录!C9-1))+(绝对估值!F82*POWER((1+绝对估值!$B$3),绝对估值!B2)*(1+$L$3)/POWER((1+$A$66),目录!C9+绝对估值!B2-1)/(A66-$L$3))+(绝对估值!C88-绝对估值!C89))/绝对估值!C32</f>
        <v>-11.421768594891036</v>
      </c>
    </row>
    <row r="67" spans="1:12" ht="20.25" customHeight="1" outlineLevel="1">
      <c r="A67" s="341">
        <f>A68/1.1</f>
        <v>8.7603305785123958E-2</v>
      </c>
      <c r="B67" s="511">
        <f ca="1">((绝对估值!D82+NPV(A67,绝对估值!E82:'绝对估值'!F82))+(NPV(A67,绝对估值!D83:'绝对估值'!I83)/(1+A67)^(目录!C9-1))+(绝对估值!F82*POWER((1+绝对估值!$B$3),绝对估值!B2)*(1+$B$3)/POWER((1+$A$67),目录!C9+绝对估值!B2-1)/(A67-$B$3))+(绝对估值!C88-绝对估值!C89))/绝对估值!C32</f>
        <v>-3.9171329176359553</v>
      </c>
      <c r="C67" s="511">
        <f ca="1">((绝对估值!D82+NPV(A67,绝对估值!E82:'绝对估值'!F82))+(NPV(A67,绝对估值!D83:'绝对估值'!I83)/(1+A67)^(目录!C9-1))+(绝对估值!F82*POWER((1+绝对估值!$B$3),绝对估值!B2)*(1+$C$3)/POWER((1+$A$67),目录!C9+绝对估值!B2-1)/(A67-$C$3))+(绝对估值!C88-绝对估值!C89))/绝对估值!C32</f>
        <v>-4.0736194279633802</v>
      </c>
      <c r="D67" s="511">
        <f ca="1">((绝对估值!D82+NPV(A67,绝对估值!E82:'绝对估值'!F82))+(NPV(A67,绝对估值!D83:'绝对估值'!I83)/(1+A67)^(目录!C9-1))+(绝对估值!F82*POWER((1+绝对估值!$B$3),绝对估值!B2)*(1+$D$3)/POWER((1+$A$67),目录!C9+绝对估值!B2-1)/(A67-$D$3))+(绝对估值!C88-绝对估值!C89))/绝对估值!C32</f>
        <v>-4.2561037916651649</v>
      </c>
      <c r="E67" s="511">
        <f ca="1">((绝对估值!D82+NPV(A67,绝对估值!E82:'绝对估值'!F82))+(NPV(A67,绝对估值!D83:'绝对估值'!I83)/(1+A67)^(目录!C9-1))+(绝对估值!F82*POWER((1+绝对估值!$B$3),绝对估值!B2)*(1+$E$3)/POWER((1+$A$67),目录!C9+绝对估值!B2-1)/(A67-$E$3))+(绝对估值!C88-绝对估值!C89))/绝对估值!C32</f>
        <v>-4.4705884038342747</v>
      </c>
      <c r="F67" s="511">
        <f ca="1">((绝对估值!D82+NPV(A67,绝对估值!E82:'绝对估值'!F82))+(NPV(A67,绝对估值!D83:'绝对估值'!I83)/(1+A67)^(目录!C9-1))+(绝对估值!F82*POWER((1+绝对估值!$B$3),绝对估值!B2)*(1+$F$3)/POWER((1+$A$67),目录!C9+绝对估值!B2-1)/(A67-$F$3))+(绝对估值!C88-绝对估值!C89))/绝对估值!C32</f>
        <v>-4.7250317930650247</v>
      </c>
      <c r="G67" s="511">
        <f ca="1">((绝对估值!D82+NPV(A67,绝对估值!E82:'绝对估值'!F82))+(NPV(A67,绝对估值!D83:'绝对估值'!I83)/(1+A67)^(目录!C9-1))+(绝对估值!F82*POWER((1+绝对估值!$B$3),绝对估值!B2)*(1+$G$3)/POWER((1+$A$67),目录!C9+绝对估值!B2-1)/(A67-$G$3))+(绝对估值!C88-绝对估值!C89))/绝对估值!C32</f>
        <v>-5.0302178381108034</v>
      </c>
      <c r="H67" s="511">
        <f ca="1">((绝对估值!D82+NPV(A67,绝对估值!E82:'绝对估值'!F82))+(NPV(A67,绝对估值!D83:'绝对估值'!I83)/(1+A67)^(目录!C9-1))+(绝对估值!F82*POWER((1+绝对估值!$B$3),绝对估值!B2)*(1+$H$3)/POWER((1+$A$67),目录!C9+绝对估值!B2-1)/(A67-$H$3))+(绝对估值!C88-绝对估值!C89))/绝对估值!C32</f>
        <v>-5.4011341301824851</v>
      </c>
      <c r="I67" s="511">
        <f ca="1">((绝对估值!D82+NPV(A67,绝对估值!E82:'绝对估值'!F82))+(NPV(A67,绝对估值!D83:'绝对估值'!I83)/(1+A67)^(目录!C9-1))+(绝对估值!F82*POWER((1+绝对估值!$B$3),绝对估值!B2)*(1+$I$3)/POWER((1+$A$67),目录!C9+绝对估值!B2-1)/(A67-$I$3))+(绝对估值!C88-绝对估值!C89))/绝对估值!C32</f>
        <v>-5.8592450587572547</v>
      </c>
      <c r="J67" s="511">
        <f ca="1">((绝对估值!D82+NPV(A67,绝对估值!E82:'绝对估值'!F82))+(NPV(A67,绝对估值!D83:'绝对估值'!I83)/(1+A67)^(目录!C9-1))+(绝对估值!F82*POWER((1+绝对估值!$B$3),绝对估值!B2)*(1+$J$3)/POWER((1+$A$67),目录!C9+绝对估值!B2-1)/(A67-$J$3))+(绝对估值!C88-绝对估值!C89))/绝对估值!C32</f>
        <v>-6.4364193867164614</v>
      </c>
      <c r="K67" s="511">
        <f ca="1">((绝对估值!D82+NPV(A67,绝对估值!E82:'绝对估值'!F82))+(NPV(A67,绝对估值!D83:'绝对估值'!I83)/(1+A67)^(目录!C9-1))+(绝对估值!F82*POWER((1+绝对估值!$B$3),绝对估值!B2)*(1+$K$3)/POWER((1+$A$67),目录!C9+绝对估值!B2-1)/(A67-$K$3))+(绝对估值!C88-绝对估值!C89))/绝对估值!C32</f>
        <v>-7.1821111935162429</v>
      </c>
      <c r="L67" s="512">
        <f ca="1">((绝对估值!D82+NPV(A67,绝对估值!E82:'绝对估值'!F82))+(NPV(A67,绝对估值!D83:'绝对估值'!I83)/(1+A67)^(目录!C9-1))+(绝对估值!F82*POWER((1+绝对估值!$B$3),绝对估值!B2)*(1+$L$3)/POWER((1+$A$67),目录!C9+绝对估值!B2-1)/(A67-$L$3))+(绝对估值!C88-绝对估值!C89))/绝对估值!C32</f>
        <v>-8.1774417555611336</v>
      </c>
    </row>
    <row r="68" spans="1:12" ht="20.25" customHeight="1" outlineLevel="1">
      <c r="A68" s="341">
        <f>A69/1.1</f>
        <v>9.636363636363636E-2</v>
      </c>
      <c r="B68" s="511">
        <f ca="1">((绝对估值!D82+NPV(A68,绝对估值!E82:'绝对估值'!F82))+(NPV(A68,绝对估值!D83:'绝对估值'!I83)/(1+A68)^(目录!C9-1))+(绝对估值!F82*POWER((1+绝对估值!$B$3),绝对估值!B2)*(1+$B$3)/POWER((1+$A$68),目录!C9+绝对估值!B2-1)/(A68-$B$3))+(绝对估值!C88-绝对估值!C89))/绝对估值!C32</f>
        <v>-2.932613486635554</v>
      </c>
      <c r="C68" s="511">
        <f ca="1">((绝对估值!D82+NPV(A68,绝对估值!E82:'绝对估值'!F82))+(NPV(A68,绝对估值!D83:'绝对估值'!I83)/(1+A68)^(目录!C9-1))+(绝对估值!F82*POWER((1+绝对估值!$B$3),绝对估值!B2)*(1+$C$3)/POWER((1+$A$68),目录!C9+绝对估值!B2-1)/(A68-$C$3))+(绝对估值!C88-绝对估值!C89))/绝对估值!C32</f>
        <v>-3.0487260847636994</v>
      </c>
      <c r="D68" s="511">
        <f ca="1">((绝对估值!D82+NPV(A68,绝对估值!E82:'绝对估值'!F82))+(NPV(A68,绝对估值!D83:'绝对估值'!I83)/(1+A68)^(目录!C9-1))+(绝对估值!F82*POWER((1+绝对估值!$B$3),绝对估值!B2)*(1+$D$3)/POWER((1+$A$68),目录!C9+绝对估值!B2-1)/(A68-$D$3))+(绝对估值!C88-绝对估值!C89))/绝对估值!C32</f>
        <v>-3.1832177883850159</v>
      </c>
      <c r="E68" s="511">
        <f ca="1">((绝对估值!D82+NPV(A68,绝对估值!E82:'绝对估值'!F82))+(NPV(A68,绝对估值!D83:'绝对估值'!I83)/(1+A68)^(目录!C9-1))+(绝对估值!F82*POWER((1+绝对估值!$B$3),绝对估值!B2)*(1+$E$3)/POWER((1+$A$68),目录!C9+绝对估值!B2-1)/(A68-$E$3))+(绝对估值!C88-绝对估值!C89))/绝对估值!C32</f>
        <v>-3.3400532428095149</v>
      </c>
      <c r="F68" s="511">
        <f ca="1">((绝对估值!D82+NPV(A68,绝对估值!E82:'绝对估值'!F82))+(NPV(A68,绝对估值!D83:'绝对估值'!I83)/(1+A68)^(目录!C9-1))+(绝对估值!F82*POWER((1+绝对估值!$B$3),绝对估值!B2)*(1+$F$3)/POWER((1+$A$68),目录!C9+绝对估值!B2-1)/(A68-$F$3))+(绝对估值!C88-绝对估值!C89))/绝对估值!C32</f>
        <v>-3.5243911824237655</v>
      </c>
      <c r="G68" s="511">
        <f ca="1">((绝对估值!D82+NPV(A68,绝对估值!E82:'绝对估值'!F82))+(NPV(A68,绝对估值!D83:'绝对估值'!I83)/(1+A68)^(目录!C9-1))+(绝对估值!F82*POWER((1+绝对估值!$B$3),绝对估值!B2)*(1+$G$3)/POWER((1+$A$68),目录!C9+绝对估值!B2-1)/(A68-$G$3))+(绝对估值!C88-绝对估值!C89))/绝对估值!C32</f>
        <v>-3.7430715327058754</v>
      </c>
      <c r="H68" s="511">
        <f ca="1">((绝对估值!D82+NPV(A68,绝对估值!E82:'绝对估值'!F82))+(NPV(A68,绝对估值!D83:'绝对估值'!I83)/(1+A68)^(目录!C9-1))+(绝对估值!F82*POWER((1+绝对估值!$B$3),绝对估值!B2)*(1+$H$3)/POWER((1+$A$68),目录!C9+绝对估值!B2-1)/(A68-$H$3))+(绝对估值!C88-绝对估值!C89))/绝对估值!C32</f>
        <v>-4.0053624549954652</v>
      </c>
      <c r="I68" s="511">
        <f ca="1">((绝对估值!D82+NPV(A68,绝对估值!E82:'绝对估值'!F82))+(NPV(A68,绝对估值!D83:'绝对估值'!I83)/(1+A68)^(目录!C9-1))+(绝对估值!F82*POWER((1+绝对估值!$B$3),绝对估值!B2)*(1+$I$3)/POWER((1+$A$68),目录!C9+绝对估值!B2-1)/(A68-$I$3))+(绝对估值!C88-绝对估值!C89))/绝对估值!C32</f>
        <v>-4.3241449744423255</v>
      </c>
      <c r="J68" s="511">
        <f ca="1">((绝对估值!D82+NPV(A68,绝对估值!E82:'绝对估值'!F82))+(NPV(A68,绝对估值!D83:'绝对估值'!I83)/(1+A68)^(目录!C9-1))+(绝对估值!F82*POWER((1+绝对估值!$B$3),绝对估值!B2)*(1+$J$3)/POWER((1+$A$68),目录!C9+绝对估值!B2-1)/(A68-$J$3))+(绝对估值!C88-绝对估值!C89))/绝对估值!C32</f>
        <v>-4.7178665744872799</v>
      </c>
      <c r="K68" s="511">
        <f ca="1">((绝对估值!D82+NPV(A68,绝对估值!E82:'绝对估值'!F82))+(NPV(A68,绝对估值!D83:'绝对估值'!I83)/(1+A68)^(目录!C9-1))+(绝对估值!F82*POWER((1+绝对估值!$B$3),绝对估值!B2)*(1+$K$3)/POWER((1+$A$68),目录!C9+绝对估值!B2-1)/(A68-$K$3))+(绝对估值!C88-绝对估值!C89))/绝对估值!C32</f>
        <v>-5.2139167355606197</v>
      </c>
      <c r="L68" s="512">
        <f ca="1">((绝对估值!D82+NPV(A68,绝对估值!E82:'绝对估值'!F82))+(NPV(A68,绝对估值!D83:'绝对估值'!I83)/(1+A68)^(目录!C9-1))+(绝对估值!F82*POWER((1+绝对估值!$B$3),绝对估值!B2)*(1+$L$3)/POWER((1+$A$68),目录!C9+绝对估值!B2-1)/(A68-$L$3))+(绝对估值!C88-绝对估值!C89))/绝对估值!C32</f>
        <v>-5.8547985678867533</v>
      </c>
    </row>
    <row r="69" spans="1:12" ht="20.25" customHeight="1" outlineLevel="1">
      <c r="A69" s="341">
        <f>绝对估值!B13</f>
        <v>0.10600000000000001</v>
      </c>
      <c r="B69" s="511">
        <f ca="1">((绝对估值!D82+NPV(A69,绝对估值!E82:'绝对估值'!F82))+(NPV(A69,绝对估值!D83:'绝对估值'!I83)/(1+A69)^(目录!C9-1))+(绝对估值!F82*POWER((1+绝对估值!$B$3),绝对估值!B2)*(1+$B$3)/POWER((1+$A$69),目录!C9+绝对估值!B2-1)/(A69-$B$3))+(绝对估值!C88-绝对估值!C89))/绝对估值!C32</f>
        <v>-2.0815282208578676</v>
      </c>
      <c r="C69" s="511">
        <f ca="1">((绝对估值!D82+NPV(A69,绝对估值!E82:'绝对估值'!F82))+(NPV(A69,绝对估值!D83:'绝对估值'!I83)/(1+A69)^(目录!C9-1))+(绝对估值!F82*POWER((1+绝对估值!$B$3),绝对估值!B2)*(1+$C$3)/POWER((1+$A$69),目录!C9+绝对估值!B2-1)/(A69-$C$3))+(绝对估值!C88-绝对估值!C89))/绝对估值!C32</f>
        <v>-2.1677461619799008</v>
      </c>
      <c r="D69" s="511">
        <f ca="1">((绝对估值!D82+NPV(A69,绝对估值!E82:'绝对估值'!F82))+(NPV(A69,绝对估值!D83:'绝对估值'!I83)/(1+A69)^(目录!C9-1))+(绝对估值!F82*POWER((1+绝对估值!$B$3),绝对估值!B2)*(1+$D$3)/POWER((1+$A$69),目录!C9+绝对估值!B2-1)/(A69-$D$3))+(绝对估值!C88-绝对估值!C89))/绝对估值!C32</f>
        <v>-2.2670310447825961</v>
      </c>
      <c r="E69" s="511">
        <f ca="1">((绝对估值!D82+NPV(A69,绝对估值!E82:'绝对估值'!F82))+(NPV(A69,绝对估值!D83:'绝对估值'!I83)/(1+A69)^(目录!C9-1))+(绝对估值!F82*POWER((1+绝对估值!$B$3),绝对估值!B2)*(1+$E$3)/POWER((1+$A$69),目录!C9+绝对估值!B2-1)/(A69-$E$3))+(绝对估值!C88-绝对估值!C89))/绝对估值!C32</f>
        <v>-2.3820314258544331</v>
      </c>
      <c r="F69" s="511">
        <f ca="1">((绝对估值!D82+NPV(A69,绝对估值!E82:'绝对估值'!F82))+(NPV(A69,绝对估值!D83:'绝对估值'!I83)/(1+A69)^(目录!C9-1))+(绝对估值!F82*POWER((1+绝对估值!$B$3),绝对估值!B2)*(1+$F$3)/POWER((1+$A$69),目录!C9+绝对估值!B2-1)/(A69-$F$3))+(绝对估值!C88-绝对估值!C89))/绝对估值!C32</f>
        <v>-2.5161373709703878</v>
      </c>
      <c r="G69" s="539">
        <f ca="1">((绝对估值!D82+NPV(A69,绝对估值!E82:'绝对估值'!F82))+(NPV(A69,绝对估值!D83:'绝对估值'!I83)/(1+A69)^(目录!C9-1))+(绝对估值!F82*POWER((1+绝对估值!$B$3),绝对估值!B2)*(1+$G$3)/POWER((1+$A$69),目录!C9+绝对估值!B2-1)/(A69-$G$3))+(绝对估值!C88-绝对估值!C89))/绝对估值!C32</f>
        <v>-2.6737599806246188</v>
      </c>
      <c r="H69" s="511">
        <f ca="1">((绝对估值!D82+NPV(A69,绝对估值!E82:'绝对估值'!F82))+(NPV(A69,绝对估值!D83:'绝对估值'!I83)/(1+A69)^(目录!C9-1))+(绝对估值!F82*POWER((1+绝对估值!$B$3),绝对估值!B2)*(1+$H$3)/POWER((1+$A$69),目录!C9+绝对估值!B2-1)/(A69-$H$3))+(绝对估值!C88-绝对估值!C89))/绝对估值!C32</f>
        <v>-2.8607478983788157</v>
      </c>
      <c r="I69" s="511">
        <f ca="1">((绝对估值!D82+NPV(A69,绝对估值!E82:'绝对估值'!F82))+(NPV(A69,绝对估值!D83:'绝对估值'!I83)/(1+A69)^(目录!C9-1))+(绝对估值!F82*POWER((1+绝对估值!$B$3),绝对估值!B2)*(1+$I$3)/POWER((1+$A$69),目录!C9+绝对估值!B2-1)/(A69-$I$3))+(绝对估值!C88-绝对估值!C89))/绝对估值!C32</f>
        <v>-3.0850260895445407</v>
      </c>
      <c r="J69" s="511">
        <f ca="1">((绝对估值!D82+NPV(A69,绝对估值!E82:'绝对估值'!F82))+(NPV(A69,绝对估值!D83:'绝对估值'!I83)/(1+A69)^(目录!C9-1))+(绝对估值!F82*POWER((1+绝对估值!$B$3),绝对估值!B2)*(1+$J$3)/POWER((1+$A$69),目录!C9+绝对估值!B2-1)/(A69-$J$3))+(绝对估值!C88-绝对估值!C89))/绝对估值!C32</f>
        <v>-3.3576087859363621</v>
      </c>
      <c r="K69" s="511">
        <f ca="1">((绝对估值!D82+NPV(A69,绝对估值!E82:'绝对估值'!F82))+(NPV(A69,绝对估值!D83:'绝对估值'!I83)/(1+A69)^(目录!C9-1))+(绝对估值!F82*POWER((1+绝对估值!$B$3),绝对估值!B2)*(1+$K$3)/POWER((1+$A$69),目录!C9+绝对估值!B2-1)/(A69-$K$3))+(绝对估值!C88-绝对估值!C89))/绝对估值!C32</f>
        <v>-3.6942699540398629</v>
      </c>
      <c r="L69" s="512">
        <f ca="1">((绝对估值!D82+NPV(A69,绝对估值!E82:'绝对估值'!F82))+(NPV(A69,绝对估值!D83:'绝对估值'!I83)/(1+A69)^(目录!C9-1))+(绝对估值!F82*POWER((1+绝对估值!$B$3),绝对估值!B2)*(1+$L$3)/POWER((1+$A$69),目录!C9+绝对估值!B2-1)/(A69-$L$3))+(绝对估值!C88-绝对估值!C89))/绝对估值!C32</f>
        <v>-4.1184296309430621</v>
      </c>
    </row>
    <row r="70" spans="1:12" ht="20.25" customHeight="1" outlineLevel="1">
      <c r="A70" s="341">
        <f>A69*1.1</f>
        <v>0.11660000000000002</v>
      </c>
      <c r="B70" s="511">
        <f ca="1">((绝对估值!D82+NPV(A70,绝对估值!E82:'绝对估值'!F82))+(NPV(A70,绝对估值!D83:'绝对估值'!I83)/(1+A70)^(目录!C9-1))+(绝对估值!F82*POWER((1+绝对估值!$B$3),绝对估值!B2)*(1+$B$3)/POWER((1+$A$70),目录!C9+绝对估值!B2-1)/(A70-$B$3))+(绝对估值!C88-绝对估值!C89))/绝对估值!C32</f>
        <v>-1.3426094673000422</v>
      </c>
      <c r="C70" s="511">
        <f ca="1">((绝对估值!D82+NPV(A70,绝对估值!E82:'绝对估值'!F82))+(NPV(A70,绝对估值!D83:'绝对估值'!I83)/(1+A70)^(目录!C9-1))+(绝对估值!F82*POWER((1+绝对估值!$B$3),绝对估值!B2)*(1+$C$3)/POWER((1+$A$70),目录!C9+绝对估值!B2-1)/(A70-$C$3))+(绝对估值!C88-绝对估值!C89))/绝对估值!C32</f>
        <v>-1.406600448880537</v>
      </c>
      <c r="D70" s="511">
        <f ca="1">((绝对估值!D82+NPV(A70,绝对估值!E82:'绝对估值'!F82))+(NPV(A70,绝对估值!D83:'绝对估值'!I83)/(1+A70)^(目录!C9-1))+(绝对估值!F82*POWER((1+绝对估值!$B$3),绝对估值!B2)*(1+$D$3)/POWER((1+$A$70),目录!C9+绝对估值!B2-1)/(A70-$D$3))+(绝对估值!C88-绝对估值!C89))/绝对估值!C32</f>
        <v>-1.4799179216823393</v>
      </c>
      <c r="E70" s="511">
        <f ca="1">((绝对估值!D82+NPV(A70,绝对估值!E82:'绝对估值'!F82))+(NPV(A70,绝对估值!D83:'绝对估值'!I83)/(1+A70)^(目录!C9-1))+(绝对估值!F82*POWER((1+绝对估值!$B$3),绝对估值!B2)*(1+$E$3)/POWER((1+$A$70),目录!C9+绝对估值!B2-1)/(A70-$E$3))+(绝对估值!C88-绝对估值!C89))/绝对估值!C32</f>
        <v>-1.5643471785143195</v>
      </c>
      <c r="F70" s="511">
        <f ca="1">((绝对估值!D82+NPV(A70,绝对估值!E82:'绝对估值'!F82))+(NPV(A70,绝对估值!D83:'绝对估值'!I83)/(1+A70)^(目录!C9-1))+(绝对估值!F82*POWER((1+绝对估值!$B$3),绝对估值!B2)*(1+$F$3)/POWER((1+$A$70),目录!C9+绝对估值!B2-1)/(A70-$F$3))+(绝对估值!C88-绝对估值!C89))/绝对估值!C32</f>
        <v>-1.6621404823406909</v>
      </c>
      <c r="G70" s="511">
        <f ca="1">((绝对估值!D82+NPV(A70,绝对估值!E82:'绝对估值'!F82))+(NPV(A70,绝对估值!D83:'绝对估值'!I83)/(1+A70)^(目录!C9-1))+(绝对估值!F82*POWER((1+绝对估值!$B$3),绝对估值!B2)*(1+$G$3)/POWER((1+$A$70),目录!C9+绝对估值!B2-1)/(A70-$G$3))+(绝对估值!C88-绝对估值!C89))/绝对估值!C32</f>
        <v>-1.7761806560637248</v>
      </c>
      <c r="H70" s="511">
        <f ca="1">((绝对估值!D82+NPV(A70,绝对估值!E82:'绝对估值'!F82))+(NPV(A70,绝对估值!D83:'绝对估值'!I83)/(1+A70)^(目录!C9-1))+(绝对估值!F82*POWER((1+绝对估值!$B$3),绝对估值!B2)*(1+$H$3)/POWER((1+$A$70),目录!C9+绝对估值!B2-1)/(A70-$H$3))+(绝对估值!C88-绝对估值!C89))/绝对估值!C32</f>
        <v>-1.9102187836956055</v>
      </c>
      <c r="I70" s="511">
        <f ca="1">((绝对估值!D82+NPV(A70,绝对估值!E82:'绝对估值'!F82))+(NPV(A70,绝对估值!D83:'绝对估值'!I83)/(1+A70)^(目录!C9-1))+(绝对估值!F82*POWER((1+绝对估值!$B$3),绝对估值!B2)*(1+$I$3)/POWER((1+$A$70),目录!C9+绝对估值!B2-1)/(A70-$I$3))+(绝对估值!C88-绝对估值!C89))/绝对估值!C32</f>
        <v>-2.0692283981191815</v>
      </c>
      <c r="J70" s="511">
        <f ca="1">((绝对估值!D82+NPV(A70,绝对估值!E82:'绝对估值'!F82))+(NPV(A70,绝对估值!D83:'绝对估值'!I83)/(1+A70)^(目录!C9-1))+(绝对估值!F82*POWER((1+绝对估值!$B$3),绝对估值!B2)*(1+$J$3)/POWER((1+$A$70),目录!C9+绝对估值!B2-1)/(A70-$J$3))+(绝对估值!C88-绝对估值!C89))/绝对估值!C32</f>
        <v>-2.2599486817032663</v>
      </c>
      <c r="K70" s="511">
        <f ca="1">((绝对估值!D82+NPV(A70,绝对估值!E82:'绝对估值'!F82))+(NPV(A70,绝对估值!D83:'绝对估值'!I83)/(1+A70)^(目录!C9-1))+(绝对估值!F82*POWER((1+绝对估值!$B$3),绝对估值!B2)*(1+$K$3)/POWER((1+$A$70),目录!C9+绝对估值!B2-1)/(A70-$K$3))+(绝对估值!C88-绝对估值!C89))/绝对估值!C32</f>
        <v>-2.4917458479179198</v>
      </c>
      <c r="L70" s="512">
        <f ca="1">((绝对估值!D82+NPV(A70,绝对估值!E82:'绝对估值'!F82))+(NPV(A70,绝对估值!D83:'绝对估值'!I83)/(1+A70)^(目录!C9-1))+(绝对估值!F82*POWER((1+绝对估值!$B$3),绝对估值!B2)*(1+$L$3)/POWER((1+$A$70),目录!C9+绝对估值!B2-1)/(A70-$L$3))+(绝对估值!C88-绝对估值!C89))/绝对估值!C32</f>
        <v>-2.7780336635932521</v>
      </c>
    </row>
    <row r="71" spans="1:12" ht="20.25" customHeight="1" outlineLevel="1">
      <c r="A71" s="341">
        <f>A70*1.1</f>
        <v>0.12826000000000004</v>
      </c>
      <c r="B71" s="511">
        <f ca="1">((绝对估值!D82+NPV(A71,绝对估值!E82:'绝对估值'!F82))+(NPV(A71,绝对估值!D83:'绝对估值'!I83)/(1+A71)^(目录!C9-1))+(绝对估值!F82*POWER((1+绝对估值!$B$3),绝对估值!B2)*(1+$B$3)/POWER((1+$A$71),目录!C9+绝对估值!B2-1)/(A71-$B$3))+(绝对估值!C88-绝对估值!C89))/绝对估值!C32</f>
        <v>-0.69876411044319964</v>
      </c>
      <c r="C71" s="511">
        <f ca="1">((绝对估值!D82+NPV(A71,绝对估值!E82:'绝对估值'!F82))+(NPV(A71,绝对估值!D83:'绝对估值'!I83)/(1+A71)^(目录!C9-1))+(绝对估值!F82*POWER((1+绝对估值!$B$3),绝对估值!B2)*(1+$C$3)/POWER((1+$A$71),目录!C9+绝对估值!B2-1)/(A71-$C$3))+(绝对估值!C88-绝对估值!C89))/绝对估值!C32</f>
        <v>-0.74618537165523824</v>
      </c>
      <c r="D71" s="511">
        <f ca="1">((绝对估值!D82+NPV(A71,绝对估值!E82:'绝对估值'!F82))+(NPV(A71,绝对估值!D83:'绝对估值'!I83)/(1+A71)^(目录!C9-1))+(绝对估值!F82*POWER((1+绝对估值!$B$3),绝对估值!B2)*(1+$D$3)/POWER((1+$A$71),目录!C9+绝对估值!B2-1)/(A71-$D$3))+(绝对估值!C88-绝对估值!C89))/绝对估值!C32</f>
        <v>-0.80027887525427865</v>
      </c>
      <c r="E71" s="511">
        <f ca="1">((绝对估值!D82+NPV(A71,绝对估值!E82:'绝对估值'!F82))+(NPV(A71,绝对估值!D83:'绝对估值'!I83)/(1+A71)^(目录!C9-1))+(绝对估值!F82*POWER((1+绝对估值!$B$3),绝对估值!B2)*(1+$E$3)/POWER((1+$A$71),目录!C9+绝对估值!B2-1)/(A71-$E$3))+(绝对估值!C88-绝对估值!C89))/绝对估值!C32</f>
        <v>-0.86225634271800367</v>
      </c>
      <c r="F71" s="511">
        <f ca="1">((绝对估值!D82+NPV(A71,绝对估值!E82:'绝对估值'!F82))+(NPV(A71,绝对估值!D83:'绝对估值'!I83)/(1+A71)^(目录!C9-1))+(绝对估值!F82*POWER((1+绝对估值!$B$3),绝对估值!B2)*(1+$F$3)/POWER((1+$A$71),目录!C9+绝对估值!B2-1)/(A71-$F$3))+(绝对估值!C88-绝对估值!C89))/绝对估值!C32</f>
        <v>-0.93362693581572309</v>
      </c>
      <c r="G71" s="511">
        <f ca="1">((绝对估值!D82+NPV(A71,绝对估值!E82:'绝对估值'!F82))+(NPV(A71,绝对估值!D83:'绝对估值'!I83)/(1+A71)^(目录!C9-1))+(绝对估值!F82*POWER((1+绝对估值!$B$3),绝对估值!B2)*(1+$G$3)/POWER((1+$A$71),目录!C9+绝对估值!B2-1)/(A71-$G$3))+(绝对估值!C88-绝对估值!C89))/绝对估值!C32</f>
        <v>-1.016294560250264</v>
      </c>
      <c r="H71" s="511">
        <f ca="1">((绝对估值!D82+NPV(A71,绝对估值!E82:'绝对估值'!F82))+(NPV(A71,绝对估值!D83:'绝对估值'!I83)/(1+A71)^(目录!C9-1))+(绝对估值!F82*POWER((1+绝对估值!$B$3),绝对估值!B2)*(1+$H$3)/POWER((1+$A$71),目录!C9+绝对估值!B2-1)/(A71-$H$3))+(绝对估值!C88-绝对估值!C89))/绝对估值!C32</f>
        <v>-1.1126961530272454</v>
      </c>
      <c r="I71" s="511">
        <f ca="1">((绝对估值!D82+NPV(A71,绝对估值!E82:'绝对估值'!F82))+(NPV(A71,绝对估值!D83:'绝对估值'!I83)/(1+A71)^(目录!C9-1))+(绝对估值!F82*POWER((1+绝对估值!$B$3),绝对估值!B2)*(1+$I$3)/POWER((1+$A$71),目录!C9+绝对估值!B2-1)/(A71-$I$3))+(绝对估值!C88-绝对估值!C89))/绝对估值!C32</f>
        <v>-1.226002618413206</v>
      </c>
      <c r="J71" s="511">
        <f ca="1">((绝对估值!D82+NPV(A71,绝对估值!E82:'绝对估值'!F82))+(NPV(A71,绝对估值!D83:'绝对估值'!I83)/(1+A71)^(目录!C9-1))+(绝对估值!F82*POWER((1+绝对估值!$B$3),绝对估值!B2)*(1+$J$3)/POWER((1+$A$71),目录!C9+绝对估值!B2-1)/(A71-$J$3))+(绝对估值!C88-绝对估值!C89))/绝对估值!C32</f>
        <v>-1.3604182335149075</v>
      </c>
      <c r="K71" s="511">
        <f ca="1">((绝对估值!D82+NPV(A71,绝对估值!E82:'绝对估值'!F82))+(NPV(A71,绝对估值!D83:'绝对估值'!I83)/(1+A71)^(目录!C9-1))+(绝对估值!F82*POWER((1+绝对估值!$B$3),绝对估值!B2)*(1+$K$3)/POWER((1+$A$71),目录!C9+绝对估值!B2-1)/(A71-$K$3))+(绝对估值!C88-绝对估值!C89))/绝对估值!C32</f>
        <v>-1.5216398321160871</v>
      </c>
      <c r="L71" s="512">
        <f ca="1">((绝对估值!D82+NPV(A71,绝对估值!E82:'绝对估值'!F82))+(NPV(A71,绝对估值!D83:'绝对估值'!I83)/(1+A71)^(目录!C9-1))+(绝对估值!F82*POWER((1+绝对估值!$B$3),绝对估值!B2)*(1+$L$3)/POWER((1+$A$71),目录!C9+绝对估值!B2-1)/(A71-$L$3))+(绝对估值!C88-绝对估值!C89))/绝对估值!C32</f>
        <v>-1.7175849564943935</v>
      </c>
    </row>
    <row r="72" spans="1:12" ht="20.25" customHeight="1" outlineLevel="1">
      <c r="A72" s="341">
        <f>A71*1.1</f>
        <v>0.14108600000000004</v>
      </c>
      <c r="B72" s="511">
        <f ca="1">((绝对估值!D82+NPV(A72,绝对估值!E82:'绝对估值'!F82))+(NPV(A72,绝对估值!D83:'绝对估值'!I83)/(1+A72)^(目录!C9-1))+(绝对估值!F82*POWER((1+绝对估值!$B$3),绝对估值!B2)*(1+$B$3)/POWER((1+$A$72),目录!C9+绝对估值!B2-1)/(A72-$B$3))+(绝对估值!C88-绝对估值!C89))/绝对估值!C32</f>
        <v>-0.13608896264721668</v>
      </c>
      <c r="C72" s="511">
        <f ca="1">((绝对估值!D82+NPV(A72,绝对估值!E82:'绝对估值'!F82))+(NPV(A72,绝对估值!D83:'绝对估值'!I83)/(1+A72)^(目录!C9-1))+(绝对估值!F82*POWER((1+绝对估值!$B$3),绝对估值!B2)*(1+$C$3)/POWER((1+$A$72),目录!C9+绝对估值!B2-1)/(A72-$C$3))+(绝对估值!C88-绝对估值!C89))/绝对估值!C32</f>
        <v>-0.17114186089197897</v>
      </c>
      <c r="D72" s="511">
        <f ca="1">((绝对估值!D82+NPV(A72,绝对估值!E82:'绝对估值'!F82))+(NPV(A72,绝对估值!D83:'绝对估值'!I83)/(1+A72)^(目录!C9-1))+(绝对估值!F82*POWER((1+绝对估值!$B$3),绝对估值!B2)*(1+$D$3)/POWER((1+$A$72),目录!C9+绝对估值!B2-1)/(A72-$D$3))+(绝对估值!C88-绝对估值!C89))/绝对估值!C32</f>
        <v>-0.21097239370384999</v>
      </c>
      <c r="E72" s="511">
        <f ca="1">((绝对估值!D82+NPV(A72,绝对估值!E82:'绝对估值'!F82))+(NPV(A72,绝对估值!D83:'绝对估值'!I83)/(1+A72)^(目录!C9-1))+(绝对估值!F82*POWER((1+绝对估值!$B$3),绝对估值!B2)*(1+$E$3)/POWER((1+$A$72),目录!C9+绝对估值!B2-1)/(A72-$E$3))+(绝对估值!C88-绝对估值!C89))/绝对估值!C32</f>
        <v>-0.25640714206232984</v>
      </c>
      <c r="F72" s="511">
        <f ca="1">((绝对估值!D82+NPV(A72,绝对估值!E82:'绝对估值'!F82))+(NPV(A72,绝对估值!D83:'绝对估值'!I83)/(1+A72)^(目录!C9-1))+(绝对估值!F82*POWER((1+绝对估值!$B$3),绝对估值!B2)*(1+$F$3)/POWER((1+$A$72),目录!C9+绝对估值!B2-1)/(A72-$F$3))+(绝对估值!C88-绝对估值!C89))/绝对估值!C32</f>
        <v>-0.30846386700628559</v>
      </c>
      <c r="G72" s="511">
        <f ca="1">((绝对估值!D82+NPV(A72,绝对估值!E82:'绝对估值'!F82))+(NPV(A72,绝对估值!D83:'绝对估值'!I83)/(1+A72)^(目录!C9-1))+(绝对估值!F82*POWER((1+绝对估值!$B$3),绝对估值!B2)*(1+$G$3)/POWER((1+$A$72),目录!C9+绝对估值!B2-1)/(A72-$G$3))+(绝对估值!C88-绝对估值!C89))/绝对估值!C32</f>
        <v>-0.36841015855409026</v>
      </c>
      <c r="H72" s="511">
        <f ca="1">((绝对估值!D82+NPV(A72,绝对估值!E82:'绝对估值'!F82))+(NPV(A72,绝对估值!D83:'绝对估值'!I83)/(1+A72)^(目录!C9-1))+(绝对估值!F82*POWER((1+绝对估值!$B$3),绝对估值!B2)*(1+$H$3)/POWER((1+$A$72),目录!C9+绝对估值!B2-1)/(A72-$H$3))+(绝对估值!C88-绝对估值!C89))/绝对估值!C32</f>
        <v>-0.4378451639369399</v>
      </c>
      <c r="I72" s="511">
        <f ca="1">((绝对估值!D82+NPV(A72,绝对估值!E82:'绝对估值'!F82))+(NPV(A72,绝对估值!D83:'绝对估值'!I83)/(1+A72)^(目录!C9-1))+(绝对估值!F82*POWER((1+绝对估值!$B$3),绝对估值!B2)*(1+$I$3)/POWER((1+$A$72),目录!C9+绝对估值!B2-1)/(A72-$I$3))+(绝对估值!C88-绝对估值!C89))/绝对估值!C32</f>
        <v>-0.51881573928818236</v>
      </c>
      <c r="J72" s="511">
        <f ca="1">((绝对估值!D82+NPV(A72,绝对估值!E82:'绝对估值'!F82))+(NPV(A72,绝对估值!D83:'绝对估值'!I83)/(1+A72)^(目录!C9-1))+(绝对估值!F82*POWER((1+绝对估值!$B$3),绝对估值!B2)*(1+$J$3)/POWER((1+$A$72),目录!C9+绝对估值!B2-1)/(A72-$J$3))+(绝对估值!C88-绝对估值!C89))/绝对估值!C32</f>
        <v>-0.61398522175245229</v>
      </c>
      <c r="K72" s="511">
        <f ca="1">((绝对估值!D82+NPV(A72,绝对估值!E82:'绝对估值'!F82))+(NPV(A72,绝对估值!D83:'绝对估值'!I83)/(1+A72)^(目录!C9-1))+(绝对估值!F82*POWER((1+绝对估值!$B$3),绝对估值!B2)*(1+$K$3)/POWER((1+$A$72),目录!C9+绝对估值!B2-1)/(A72-$K$3))+(绝对估值!C88-绝对估值!C89))/绝对估值!C32</f>
        <v>-0.72688490916897042</v>
      </c>
      <c r="L72" s="512">
        <f ca="1">((绝对估值!D82+NPV(A72,绝对估值!E82:'绝对估值'!F82))+(NPV(A72,绝对估值!D83:'绝对估值'!I83)/(1+A72)^(目录!C9-1))+(绝对估值!F82*POWER((1+绝对估值!$B$3),绝对估值!B2)*(1+$L$3)/POWER((1+$A$72),目录!C9+绝对估值!B2-1)/(A72-$L$3))+(绝对估值!C88-绝对估值!C89))/绝对估值!C32</f>
        <v>-0.86229974228261275</v>
      </c>
    </row>
    <row r="73" spans="1:12" ht="20.25" customHeight="1" outlineLevel="1">
      <c r="A73" s="341">
        <f>A72*1.1</f>
        <v>0.15519460000000007</v>
      </c>
      <c r="B73" s="511">
        <f ca="1">((绝对估值!D82+NPV(A73,绝对估值!E82:'绝对估值'!F82))+(NPV(A73,绝对估值!D83:'绝对估值'!I83)/(1+A73)^(目录!C9-1))+(绝对估值!F82*POWER((1+绝对估值!$B$3),绝对估值!B2)*(1+$B$3)/POWER((1+$A$73),目录!C9+绝对估值!B2-1)/(A73-$B$3))+(绝对估值!C88-绝对估值!C89))/绝对估值!C32</f>
        <v>0.35684839916188366</v>
      </c>
      <c r="C73" s="511">
        <f ca="1">((绝对估值!D82+NPV(A73,绝对估值!E82:'绝对估值'!F82))+(NPV(A73,绝对估值!D83:'绝对估值'!I83)/(1+A73)^(目录!C9-1))+(绝对估值!F82*POWER((1+绝对估值!$B$3),绝对估值!B2)*(1+$C$3)/POWER((1+$A$73),目录!C9+绝对估值!B2-1)/(A73-$C$3))+(绝对估值!C88-绝对估值!C89))/绝对估值!C32</f>
        <v>0.33102819678638418</v>
      </c>
      <c r="D73" s="511">
        <f ca="1">((绝对估值!D82+NPV(A73,绝对估值!E82:'绝对估值'!F82))+(NPV(A73,绝对估值!D83:'绝对估值'!I83)/(1+A73)^(目录!C9-1))+(绝对估值!F82*POWER((1+绝对估值!$B$3),绝对估值!B2)*(1+$D$3)/POWER((1+$A$73),目录!C9+绝对估值!B2-1)/(A73-$D$3))+(绝对估值!C88-绝对估值!C89))/绝对估值!C32</f>
        <v>0.30178843463908689</v>
      </c>
      <c r="E73" s="511">
        <f ca="1">((绝对估值!D82+NPV(A73,绝对估值!E82:'绝对估值'!F82))+(NPV(A73,绝对估值!D83:'绝对估值'!I83)/(1+A73)^(目录!C9-1))+(绝对估值!F82*POWER((1+绝对估值!$B$3),绝对估值!B2)*(1+$E$3)/POWER((1+$A$73),目录!C9+绝对估值!B2-1)/(A73-$E$3))+(绝对估值!C88-绝对估值!C89))/绝对估值!C32</f>
        <v>0.26856335585995128</v>
      </c>
      <c r="F73" s="511">
        <f ca="1">((绝对估值!D82+NPV(A73,绝对估值!E82:'绝对估值'!F82))+(NPV(A73,绝对估值!D83:'绝对估值'!I83)/(1+A73)^(目录!C9-1))+(绝对估值!F82*POWER((1+绝对估值!$B$3),绝对估值!B2)*(1+$F$3)/POWER((1+$A$73),目录!C9+绝对估值!B2-1)/(A73-$F$3))+(绝对估值!C88-绝对估值!C89))/绝对估值!C32</f>
        <v>0.23066345879729422</v>
      </c>
      <c r="G73" s="511">
        <f ca="1">((绝对估值!D82+NPV(A73,绝对估值!E82:'绝对估值'!F82))+(NPV(A73,绝对估值!D83:'绝对估值'!I83)/(1+A73)^(目录!C9-1))+(绝对估值!F82*POWER((1+绝对估值!$B$3),绝对估值!B2)*(1+$G$3)/POWER((1+$A$73),目录!C9+绝对估值!B2-1)/(A73-$G$3))+(绝对估值!C88-绝对估值!C89))/绝对估值!C32</f>
        <v>0.18723976684178048</v>
      </c>
      <c r="H73" s="511">
        <f ca="1">((绝对估值!D82+NPV(A73,绝对估值!E82:'绝对估值'!F82))+(NPV(A73,绝对估值!D83:'绝对估值'!I83)/(1+A73)^(目录!C9-1))+(绝对估值!F82*POWER((1+绝对估值!$B$3),绝对估值!B2)*(1+$H$3)/POWER((1+$A$73),目录!C9+绝对估值!B2-1)/(A73-$H$3))+(绝对估值!C88-绝对估值!C89))/绝对估值!C32</f>
        <v>0.13723490578204614</v>
      </c>
      <c r="I73" s="511">
        <f ca="1">((绝对估值!D82+NPV(A73,绝对估值!E82:'绝对估值'!F82))+(NPV(A73,绝对估值!D83:'绝对估值'!I83)/(1+A73)^(目录!C9-1))+(绝对估值!F82*POWER((1+绝对估值!$B$3),绝对估值!B2)*(1+$I$3)/POWER((1+$A$73),目录!C9+绝对估值!B2-1)/(A73-$I$3))+(绝对估值!C88-绝对估值!C89))/绝对估值!C32</f>
        <v>7.9314929296386685E-2</v>
      </c>
      <c r="J73" s="511">
        <f ca="1">((绝对估值!D82+NPV(A73,绝对估值!E82:'绝对估值'!F82))+(NPV(A73,绝对估值!D83:'绝对估值'!I83)/(1+A73)^(目录!C9-1))+(绝对估值!F82*POWER((1+绝对估值!$B$3),绝对估值!B2)*(1+$J$3)/POWER((1+$A$73),目录!C9+绝对估值!B2-1)/(A73-$J$3))+(绝对估值!C88-绝对估值!C89))/绝对估值!C32</f>
        <v>1.1772429738481582E-2</v>
      </c>
      <c r="K73" s="511">
        <f ca="1">((绝对估值!D82+NPV(A73,绝对估值!E82:'绝对估值'!F82))+(NPV(A73,绝对估值!D83:'绝对估值'!I83)/(1+A73)^(目录!C9-1))+(绝对估值!F82*POWER((1+绝对估值!$B$3),绝对估值!B2)*(1+$K$3)/POWER((1+$A$73),目录!C9+绝对估值!B2-1)/(A73-$K$3))+(绝对估值!C88-绝对估值!C89))/绝对估值!C32</f>
        <v>-6.7614244981132166E-2</v>
      </c>
      <c r="L73" s="512">
        <f ca="1">((绝对估值!D82+NPV(A73,绝对估值!E82:'绝对估值'!F82))+(NPV(A73,绝对估值!D83:'绝对估值'!I83)/(1+A73)^(目录!C9-1))+(绝对估值!F82*POWER((1+绝对估值!$B$3),绝对估值!B2)*(1+$L$3)/POWER((1+$A$73),目录!C9+绝对估值!B2-1)/(A73-$L$3))+(绝对估值!C88-绝对估值!C89))/绝对估值!C32</f>
        <v>-0.16179076594987965</v>
      </c>
    </row>
    <row r="74" spans="1:12" ht="20.25" customHeight="1" outlineLevel="1">
      <c r="A74" s="341">
        <f>A73*1.1</f>
        <v>0.17071406000000008</v>
      </c>
      <c r="B74" s="513">
        <f ca="1">((绝对估值!D82+NPV(A74,绝对估值!E82:'绝对估值'!F82))+(NPV(A74,绝对估值!D83:'绝对估值'!I83)/(1+A74)^(目录!C9-1))+(绝对估值!F82*POWER((1+绝对估值!$B$3),绝对估值!B2)*(1+$B$3)/POWER((1+$A$74),目录!C9+绝对估值!B2-1)/(A74-$B$3))+(绝对估值!C88-绝对估值!C89))/绝对估值!C32</f>
        <v>0.78954312781988489</v>
      </c>
      <c r="C74" s="513">
        <f ca="1">((绝对估值!D82+NPV(A74,绝对估值!E82:'绝对估值'!F82))+(NPV(A74,绝对估值!D83:'绝对估值'!I83)/(1+A74)^(目录!C9-1))+(绝对估值!F82*POWER((1+绝对估值!$B$3),绝对估值!B2)*(1+$C$3)/POWER((1+$A$74),目录!C9+绝对估值!B2-1)/(A74-$C$3))+(绝对估值!C88-绝对估值!C89))/绝对估值!C32</f>
        <v>0.77060714479499293</v>
      </c>
      <c r="D74" s="513">
        <f ca="1">((绝对估值!D82+NPV(A74,绝对估值!E82:'绝对估值'!F82))+(NPV(A74,绝对估值!D83:'绝对估值'!I83)/(1+A74)^(目录!C9-1))+(绝对估值!F82*POWER((1+绝对估值!$B$3),绝对估值!B2)*(1+$D$3)/POWER((1+$A$74),目录!C9+绝对估值!B2-1)/(A74-$D$3))+(绝对估值!C88-绝对估值!C89))/绝对估值!C32</f>
        <v>0.74922766329744306</v>
      </c>
      <c r="E74" s="513">
        <f ca="1">((绝对估值!D82+NPV(A74,绝对估值!E82:'绝对估值'!F82))+(NPV(A74,绝对估值!D83:'绝对估值'!I83)/(1+A74)^(目录!C9-1))+(绝对估值!F82*POWER((1+绝对估值!$B$3),绝对估值!B2)*(1+$E$3)/POWER((1+$A$74),目录!C9+绝对估值!B2-1)/(A74-$E$3))+(绝对估值!C88-绝对估值!C89))/绝对估值!C32</f>
        <v>0.7250167394352004</v>
      </c>
      <c r="F74" s="513">
        <f ca="1">((绝对估值!D82+NPV(A74,绝对估值!E82:'绝对估值'!F82))+(NPV(A74,绝对估值!D83:'绝对估值'!I83)/(1+A74)^(目录!C9-1))+(绝对估值!F82*POWER((1+绝对估值!$B$3),绝对估值!B2)*(1+$F$3)/POWER((1+$A$74),目录!C9+绝对估值!B2-1)/(A74-$F$3))+(绝对估值!C88-绝对估值!C89))/绝对估值!C32</f>
        <v>0.69750591877303614</v>
      </c>
      <c r="G74" s="513">
        <f ca="1">((绝对估值!D82+NPV(A74,绝对估值!E82:'绝对估值'!F82))+(NPV(A74,绝对估值!D83:'绝对估值'!I83)/(1+A74)^(目录!C9-1))+(绝对估值!F82*POWER((1+绝对估值!$B$3),绝对估值!B2)*(1+$G$3)/POWER((1+$A$74),目录!C9+绝对估值!B2-1)/(A74-$G$3))+(绝对估值!C88-绝对估值!C89))/绝对估值!C32</f>
        <v>0.66612428449200567</v>
      </c>
      <c r="H74" s="513">
        <f ca="1">((绝对估值!D82+NPV(A74,绝对估值!E82:'绝对估值'!F82))+(NPV(A74,绝对估值!D83:'绝对估值'!I83)/(1+A74)^(目录!C9-1))+(绝对估值!F82*POWER((1+绝对估值!$B$3),绝对估值!B2)*(1+$H$3)/POWER((1+$A$74),目录!C9+绝对估值!B2-1)/(A74-$H$3))+(绝对估值!C88-绝对估值!C89))/绝对估值!C32</f>
        <v>0.63016887232222518</v>
      </c>
      <c r="I74" s="513">
        <f ca="1">((绝对估值!D82+NPV(A74,绝对估值!E82:'绝对估值'!F82))+(NPV(A74,绝对估值!D83:'绝对估值'!I83)/(1+A74)^(目录!C9-1))+(绝对估值!F82*POWER((1+绝对估值!$B$3),绝对估值!B2)*(1+$I$3)/POWER((1+$A$74),目录!C9+绝对估值!B2-1)/(A74-$I$3))+(绝对估值!C88-绝对估值!C89))/绝对估值!C32</f>
        <v>0.5887641619227213</v>
      </c>
      <c r="J74" s="513">
        <f ca="1">((绝对估值!D82+NPV(A74,绝对估值!E82:'绝对估值'!F82))+(NPV(A74,绝对估值!D83:'绝对估值'!I83)/(1+A74)^(目录!C9-1))+(绝对估值!F82*POWER((1+绝对估值!$B$3),绝对估值!B2)*(1+$J$3)/POWER((1+$A$74),目录!C9+绝对估值!B2-1)/(A74-$J$3))+(绝对估值!C88-绝对估值!C89))/绝对估值!C32</f>
        <v>0.54080562745404126</v>
      </c>
      <c r="K74" s="513">
        <f ca="1">((绝对估值!D82+NPV(A74,绝对估值!E82:'绝对估值'!F82))+(NPV(A74,绝对估值!D83:'绝对估值'!I83)/(1+A74)^(目录!C9-1))+(绝对估值!F82*POWER((1+绝对估值!$B$3),绝对估值!B2)*(1+$K$3)/POWER((1+$A$74),目录!C9+绝对估值!B2-1)/(A74-$K$3))+(绝对估值!C88-绝对估值!C89))/绝对估值!C32</f>
        <v>0.48487951198072804</v>
      </c>
      <c r="L74" s="514">
        <f ca="1">((绝对估值!D82+NPV(A74,绝对估值!E82:'绝对估值'!F82))+(NPV(A74,绝对估值!D83:'绝对估值'!I83)/(1+A74)^(目录!C9-1))+(绝对估值!F82*POWER((1+绝对估值!$B$3),绝对估值!B2)*(1+$L$3)/POWER((1+$A$74),目录!C9+绝对估值!B2-1)/(A74-$L$3))+(绝对估值!C88-绝对估值!C89))/绝对估值!C32</f>
        <v>0.4191462571193918</v>
      </c>
    </row>
    <row r="75" spans="1:12" ht="15.75" customHeight="1"/>
    <row r="76" spans="1:12" ht="15.75" customHeight="1"/>
    <row r="77" spans="1:12" ht="13.5" customHeight="1"/>
  </sheetData>
  <mergeCells count="10">
    <mergeCell ref="A61:B61"/>
    <mergeCell ref="A62:B62"/>
    <mergeCell ref="A2:B2"/>
    <mergeCell ref="A1:B1"/>
    <mergeCell ref="A16:B16"/>
    <mergeCell ref="A17:B17"/>
    <mergeCell ref="A31:B31"/>
    <mergeCell ref="A32:B32"/>
    <mergeCell ref="A46:B46"/>
    <mergeCell ref="A47:B47"/>
  </mergeCells>
  <phoneticPr fontId="7" type="noConversion"/>
  <pageMargins left="0.7" right="0.7" top="0.75" bottom="0.75" header="0.3" footer="0.3"/>
  <pageSetup paperSize="9" orientation="portrait" horizontalDpi="180" verticalDpi="18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1:N96"/>
  <sheetViews>
    <sheetView workbookViewId="0">
      <selection sqref="A1:B1"/>
    </sheetView>
  </sheetViews>
  <sheetFormatPr defaultColWidth="9.375" defaultRowHeight="11.4" outlineLevelRow="1"/>
  <cols>
    <col min="1" max="1" width="3.125" style="210" customWidth="1"/>
    <col min="2" max="2" width="21.875" style="210" customWidth="1"/>
    <col min="3" max="3" width="14.875" style="210" customWidth="1"/>
    <col min="4" max="4" width="14.875" style="342" customWidth="1"/>
    <col min="5" max="5" width="14.875" style="210" customWidth="1"/>
    <col min="6" max="7" width="14.875" style="342" customWidth="1"/>
    <col min="8" max="13" width="14.875" style="210" customWidth="1"/>
    <col min="14" max="18" width="10.375" style="210" customWidth="1"/>
    <col min="19" max="16384" width="9.375" style="210"/>
  </cols>
  <sheetData>
    <row r="1" spans="1:13" ht="27.75" customHeight="1">
      <c r="A1" s="1309" t="s">
        <v>287</v>
      </c>
      <c r="B1" s="1309"/>
    </row>
    <row r="2" spans="1:13" ht="23.25" customHeight="1">
      <c r="A2" s="1308" t="s">
        <v>286</v>
      </c>
      <c r="B2" s="1308"/>
      <c r="D2" s="343"/>
      <c r="G2" s="210"/>
      <c r="I2" s="343"/>
    </row>
    <row r="3" spans="1:13" ht="15" customHeight="1" outlineLevel="1">
      <c r="A3" s="344"/>
      <c r="B3" s="345"/>
      <c r="C3" s="988">
        <f>假设!H2</f>
        <v>2022</v>
      </c>
      <c r="D3" s="362" t="str">
        <f>假设!I2</f>
        <v>2023E</v>
      </c>
      <c r="E3" s="362" t="str">
        <f>假设!J2</f>
        <v>2024E</v>
      </c>
      <c r="F3" s="362" t="str">
        <f>假设!K2</f>
        <v>2025E</v>
      </c>
      <c r="G3" s="346"/>
      <c r="H3" s="347"/>
    </row>
    <row r="4" spans="1:13" ht="15" customHeight="1" outlineLevel="1">
      <c r="A4" s="344"/>
      <c r="B4" s="348" t="s">
        <v>282</v>
      </c>
      <c r="C4" s="349">
        <f ca="1">D4</f>
        <v>-0.16878258363402929</v>
      </c>
      <c r="D4" s="349">
        <f ca="1">利润表!I31</f>
        <v>-0.16878258363402929</v>
      </c>
      <c r="E4" s="349">
        <f ca="1">利润表!J31</f>
        <v>0.14208196892715891</v>
      </c>
      <c r="F4" s="349">
        <f ca="1">利润表!K31</f>
        <v>9.694859503498017E-2</v>
      </c>
      <c r="G4" s="350"/>
      <c r="H4" s="351"/>
      <c r="I4" s="352"/>
      <c r="J4" s="352"/>
      <c r="K4" s="352"/>
      <c r="L4" s="352"/>
      <c r="M4" s="352"/>
    </row>
    <row r="5" spans="1:13" ht="15" customHeight="1" outlineLevel="1">
      <c r="A5" s="344"/>
      <c r="B5" s="348" t="s">
        <v>367</v>
      </c>
      <c r="C5" s="431">
        <f>D5</f>
        <v>28.191600000000005</v>
      </c>
      <c r="D5" s="353">
        <f>年度数据!I127</f>
        <v>28.191600000000005</v>
      </c>
      <c r="E5" s="353">
        <f>C5</f>
        <v>28.191600000000005</v>
      </c>
      <c r="F5" s="353">
        <f>C5</f>
        <v>28.191600000000005</v>
      </c>
      <c r="G5" s="350"/>
      <c r="H5" s="351"/>
      <c r="I5" s="352"/>
      <c r="J5" s="352"/>
      <c r="K5" s="352"/>
      <c r="L5" s="352"/>
      <c r="M5" s="352"/>
    </row>
    <row r="6" spans="1:13" ht="15" customHeight="1" outlineLevel="1">
      <c r="A6" s="344"/>
      <c r="B6" s="355" t="s">
        <v>283</v>
      </c>
      <c r="C6" s="541">
        <f ca="1">C4*C5</f>
        <v>-4.7582510847771005</v>
      </c>
      <c r="D6" s="356">
        <f ca="1">D4*D5</f>
        <v>-4.7582510847771005</v>
      </c>
      <c r="E6" s="356">
        <f ca="1">E4*E5</f>
        <v>4.0055180352068938</v>
      </c>
      <c r="F6" s="357">
        <f ca="1">F4*F5</f>
        <v>2.7331360117881474</v>
      </c>
      <c r="G6" s="350"/>
      <c r="H6" s="351"/>
      <c r="I6" s="352"/>
      <c r="J6" s="352"/>
      <c r="K6" s="352"/>
      <c r="L6" s="352"/>
      <c r="M6" s="352"/>
    </row>
    <row r="7" spans="1:13" ht="12" outlineLevel="1">
      <c r="A7" s="344"/>
    </row>
    <row r="8" spans="1:13" ht="30" customHeight="1" outlineLevel="1">
      <c r="A8" s="344"/>
      <c r="B8" s="338" t="s">
        <v>289</v>
      </c>
      <c r="C8" s="432">
        <f>D8/1.1</f>
        <v>17.504765571154476</v>
      </c>
      <c r="D8" s="433">
        <f>E8/1.1</f>
        <v>19.255242128269924</v>
      </c>
      <c r="E8" s="433">
        <f>F8/1.1</f>
        <v>21.180766341096916</v>
      </c>
      <c r="F8" s="433">
        <f>G8/1.1</f>
        <v>23.298842975206611</v>
      </c>
      <c r="G8" s="433">
        <f>H8/1.1</f>
        <v>25.628727272727275</v>
      </c>
      <c r="H8" s="433">
        <f>C5</f>
        <v>28.191600000000005</v>
      </c>
      <c r="I8" s="433">
        <f>H8*1.1</f>
        <v>31.010760000000008</v>
      </c>
      <c r="J8" s="433">
        <f>I8*1.1</f>
        <v>34.111836000000011</v>
      </c>
      <c r="K8" s="433">
        <f>J8*1.1</f>
        <v>37.523019600000012</v>
      </c>
      <c r="L8" s="433">
        <f>K8*1.1</f>
        <v>41.275321560000016</v>
      </c>
      <c r="M8" s="433">
        <f>L8*1.1</f>
        <v>45.402853716000024</v>
      </c>
    </row>
    <row r="9" spans="1:13" s="359" customFormat="1" ht="18.75" customHeight="1" outlineLevel="1">
      <c r="A9" s="358"/>
      <c r="B9" s="432">
        <f ca="1">B10/1.1</f>
        <v>-0.10480070513938393</v>
      </c>
      <c r="C9" s="519">
        <f ca="1">C$8*$B9</f>
        <v>-1.8345117751565998</v>
      </c>
      <c r="D9" s="520">
        <f t="shared" ref="D9:M9" ca="1" si="0">D8*$B9</f>
        <v>-2.0179629526722596</v>
      </c>
      <c r="E9" s="520">
        <f t="shared" ca="1" si="0"/>
        <v>-2.2197592479394856</v>
      </c>
      <c r="F9" s="520">
        <f t="shared" ca="1" si="0"/>
        <v>-2.4417351727334347</v>
      </c>
      <c r="G9" s="520">
        <f t="shared" ca="1" si="0"/>
        <v>-2.6859086900067783</v>
      </c>
      <c r="H9" s="520">
        <f t="shared" ca="1" si="0"/>
        <v>-2.9544995590074565</v>
      </c>
      <c r="I9" s="520">
        <f t="shared" ca="1" si="0"/>
        <v>-3.2499495149082023</v>
      </c>
      <c r="J9" s="520">
        <f t="shared" ca="1" si="0"/>
        <v>-3.5749444663990229</v>
      </c>
      <c r="K9" s="520">
        <f t="shared" ca="1" si="0"/>
        <v>-3.9324389130389252</v>
      </c>
      <c r="L9" s="520">
        <f t="shared" ca="1" si="0"/>
        <v>-4.3256828043428177</v>
      </c>
      <c r="M9" s="521">
        <f t="shared" ca="1" si="0"/>
        <v>-4.7582510847771005</v>
      </c>
    </row>
    <row r="10" spans="1:13" s="359" customFormat="1" ht="18.75" customHeight="1" outlineLevel="1">
      <c r="A10" s="358"/>
      <c r="B10" s="432">
        <f ca="1">B11/1.1</f>
        <v>-0.11528077565332233</v>
      </c>
      <c r="C10" s="522">
        <f t="shared" ref="C10:M19" ca="1" si="1">C$8*$B10</f>
        <v>-2.01796295267226</v>
      </c>
      <c r="D10" s="511">
        <f t="shared" ca="1" si="1"/>
        <v>-2.2197592479394856</v>
      </c>
      <c r="E10" s="511">
        <f t="shared" ca="1" si="1"/>
        <v>-2.4417351727334347</v>
      </c>
      <c r="F10" s="511">
        <f t="shared" ca="1" si="1"/>
        <v>-2.6859086900067783</v>
      </c>
      <c r="G10" s="511">
        <f t="shared" ca="1" si="1"/>
        <v>-2.9544995590074565</v>
      </c>
      <c r="H10" s="511">
        <f t="shared" ca="1" si="1"/>
        <v>-3.2499495149082023</v>
      </c>
      <c r="I10" s="511">
        <f t="shared" ca="1" si="1"/>
        <v>-3.5749444663990229</v>
      </c>
      <c r="J10" s="511">
        <f t="shared" ca="1" si="1"/>
        <v>-3.9324389130389252</v>
      </c>
      <c r="K10" s="511">
        <f t="shared" ca="1" si="1"/>
        <v>-4.3256828043428177</v>
      </c>
      <c r="L10" s="511">
        <f t="shared" ca="1" si="1"/>
        <v>-4.7582510847771005</v>
      </c>
      <c r="M10" s="512">
        <f t="shared" ca="1" si="1"/>
        <v>-5.2340761932548112</v>
      </c>
    </row>
    <row r="11" spans="1:13" s="359" customFormat="1" ht="18.75" customHeight="1" outlineLevel="1">
      <c r="A11" s="358"/>
      <c r="B11" s="432">
        <f ca="1">B12/1.1</f>
        <v>-0.12680885321865457</v>
      </c>
      <c r="C11" s="522">
        <f t="shared" ca="1" si="1"/>
        <v>-2.2197592479394856</v>
      </c>
      <c r="D11" s="511">
        <f t="shared" ca="1" si="1"/>
        <v>-2.4417351727334347</v>
      </c>
      <c r="E11" s="511">
        <f t="shared" ca="1" si="1"/>
        <v>-2.6859086900067779</v>
      </c>
      <c r="F11" s="511">
        <f t="shared" ca="1" si="1"/>
        <v>-2.9544995590074561</v>
      </c>
      <c r="G11" s="511">
        <f t="shared" ca="1" si="1"/>
        <v>-3.2499495149082023</v>
      </c>
      <c r="H11" s="511">
        <f t="shared" ca="1" si="1"/>
        <v>-3.5749444663990229</v>
      </c>
      <c r="I11" s="511">
        <f t="shared" ca="1" si="1"/>
        <v>-3.9324389130389252</v>
      </c>
      <c r="J11" s="511">
        <f t="shared" ca="1" si="1"/>
        <v>-4.3256828043428177</v>
      </c>
      <c r="K11" s="511">
        <f t="shared" ca="1" si="1"/>
        <v>-4.7582510847770996</v>
      </c>
      <c r="L11" s="511">
        <f t="shared" ca="1" si="1"/>
        <v>-5.2340761932548103</v>
      </c>
      <c r="M11" s="512">
        <f t="shared" ca="1" si="1"/>
        <v>-5.7574838125802916</v>
      </c>
    </row>
    <row r="12" spans="1:13" s="359" customFormat="1" ht="18.75" customHeight="1" outlineLevel="1">
      <c r="A12" s="358"/>
      <c r="B12" s="432">
        <f ca="1">B13/1.1</f>
        <v>-0.13948973854052005</v>
      </c>
      <c r="C12" s="522">
        <f t="shared" ca="1" si="1"/>
        <v>-2.4417351727334351</v>
      </c>
      <c r="D12" s="511">
        <f t="shared" ca="1" si="1"/>
        <v>-2.6859086900067783</v>
      </c>
      <c r="E12" s="511">
        <f t="shared" ca="1" si="1"/>
        <v>-2.9544995590074561</v>
      </c>
      <c r="F12" s="511">
        <f t="shared" ca="1" si="1"/>
        <v>-3.2499495149082023</v>
      </c>
      <c r="G12" s="511">
        <f t="shared" ca="1" si="1"/>
        <v>-3.5749444663990229</v>
      </c>
      <c r="H12" s="511">
        <f t="shared" ca="1" si="1"/>
        <v>-3.9324389130389257</v>
      </c>
      <c r="I12" s="511">
        <f t="shared" ca="1" si="1"/>
        <v>-4.3256828043428186</v>
      </c>
      <c r="J12" s="511">
        <f t="shared" ca="1" si="1"/>
        <v>-4.7582510847771005</v>
      </c>
      <c r="K12" s="511">
        <f t="shared" ca="1" si="1"/>
        <v>-5.2340761932548112</v>
      </c>
      <c r="L12" s="511">
        <f t="shared" ca="1" si="1"/>
        <v>-5.7574838125802925</v>
      </c>
      <c r="M12" s="512">
        <f t="shared" ca="1" si="1"/>
        <v>-6.333232193838322</v>
      </c>
    </row>
    <row r="13" spans="1:13" s="359" customFormat="1" ht="18.75" customHeight="1" outlineLevel="1">
      <c r="A13" s="358"/>
      <c r="B13" s="432">
        <f ca="1">B14/1.1</f>
        <v>-0.15343871239457207</v>
      </c>
      <c r="C13" s="522">
        <f t="shared" ca="1" si="1"/>
        <v>-2.6859086900067788</v>
      </c>
      <c r="D13" s="511">
        <f t="shared" ca="1" si="1"/>
        <v>-2.9544995590074565</v>
      </c>
      <c r="E13" s="511">
        <f t="shared" ca="1" si="1"/>
        <v>-3.2499495149082023</v>
      </c>
      <c r="F13" s="511">
        <f t="shared" ca="1" si="1"/>
        <v>-3.5749444663990233</v>
      </c>
      <c r="G13" s="511">
        <f t="shared" ca="1" si="1"/>
        <v>-3.9324389130389257</v>
      </c>
      <c r="H13" s="511">
        <f t="shared" ca="1" si="1"/>
        <v>-4.3256828043428186</v>
      </c>
      <c r="I13" s="511">
        <f t="shared" ca="1" si="1"/>
        <v>-4.7582510847771013</v>
      </c>
      <c r="J13" s="511">
        <f t="shared" ca="1" si="1"/>
        <v>-5.2340761932548112</v>
      </c>
      <c r="K13" s="511">
        <f t="shared" ca="1" si="1"/>
        <v>-5.7574838125802925</v>
      </c>
      <c r="L13" s="511">
        <f t="shared" ca="1" si="1"/>
        <v>-6.333232193838322</v>
      </c>
      <c r="M13" s="512">
        <f t="shared" ca="1" si="1"/>
        <v>-6.9665554132221557</v>
      </c>
    </row>
    <row r="14" spans="1:13" s="359" customFormat="1" ht="18.75" customHeight="1" outlineLevel="1">
      <c r="A14" s="358"/>
      <c r="B14" s="432">
        <f ca="1">C4</f>
        <v>-0.16878258363402929</v>
      </c>
      <c r="C14" s="522">
        <f t="shared" ca="1" si="1"/>
        <v>-2.9544995590074565</v>
      </c>
      <c r="D14" s="511">
        <f t="shared" ca="1" si="1"/>
        <v>-3.2499495149082023</v>
      </c>
      <c r="E14" s="511">
        <f t="shared" ca="1" si="1"/>
        <v>-3.5749444663990229</v>
      </c>
      <c r="F14" s="511">
        <f t="shared" ca="1" si="1"/>
        <v>-3.9324389130389257</v>
      </c>
      <c r="G14" s="511">
        <f t="shared" ca="1" si="1"/>
        <v>-4.3256828043428186</v>
      </c>
      <c r="H14" s="539">
        <f t="shared" ca="1" si="1"/>
        <v>-4.7582510847771005</v>
      </c>
      <c r="I14" s="511">
        <f t="shared" ca="1" si="1"/>
        <v>-5.2340761932548112</v>
      </c>
      <c r="J14" s="511">
        <f t="shared" ca="1" si="1"/>
        <v>-5.7574838125802925</v>
      </c>
      <c r="K14" s="511">
        <f t="shared" ca="1" si="1"/>
        <v>-6.333232193838322</v>
      </c>
      <c r="L14" s="511">
        <f t="shared" ca="1" si="1"/>
        <v>-6.9665554132221548</v>
      </c>
      <c r="M14" s="512">
        <f t="shared" ca="1" si="1"/>
        <v>-7.6632109545443718</v>
      </c>
    </row>
    <row r="15" spans="1:13" s="359" customFormat="1" ht="18.75" customHeight="1" outlineLevel="1">
      <c r="A15" s="358"/>
      <c r="B15" s="432">
        <f ca="1">B14*1.1</f>
        <v>-0.18566084199743224</v>
      </c>
      <c r="C15" s="522">
        <f t="shared" ca="1" si="1"/>
        <v>-3.2499495149082027</v>
      </c>
      <c r="D15" s="511">
        <f t="shared" ca="1" si="1"/>
        <v>-3.5749444663990233</v>
      </c>
      <c r="E15" s="511">
        <f t="shared" ca="1" si="1"/>
        <v>-3.9324389130389257</v>
      </c>
      <c r="F15" s="511">
        <f t="shared" ca="1" si="1"/>
        <v>-4.3256828043428186</v>
      </c>
      <c r="G15" s="511">
        <f t="shared" ca="1" si="1"/>
        <v>-4.7582510847771013</v>
      </c>
      <c r="H15" s="511">
        <f t="shared" ca="1" si="1"/>
        <v>-5.2340761932548112</v>
      </c>
      <c r="I15" s="511">
        <f t="shared" ca="1" si="1"/>
        <v>-5.7574838125802934</v>
      </c>
      <c r="J15" s="511">
        <f t="shared" ca="1" si="1"/>
        <v>-6.3332321938383229</v>
      </c>
      <c r="K15" s="511">
        <f t="shared" ca="1" si="1"/>
        <v>-6.9665554132221557</v>
      </c>
      <c r="L15" s="511">
        <f t="shared" ca="1" si="1"/>
        <v>-7.6632109545443718</v>
      </c>
      <c r="M15" s="512">
        <f t="shared" ca="1" si="1"/>
        <v>-8.4295320499988105</v>
      </c>
    </row>
    <row r="16" spans="1:13" s="359" customFormat="1" ht="18.75" customHeight="1" outlineLevel="1">
      <c r="A16" s="358"/>
      <c r="B16" s="432">
        <f ca="1">B15*1.1</f>
        <v>-0.20422692619717547</v>
      </c>
      <c r="C16" s="522">
        <f t="shared" ca="1" si="1"/>
        <v>-3.5749444663990233</v>
      </c>
      <c r="D16" s="511">
        <f t="shared" ca="1" si="1"/>
        <v>-3.9324389130389257</v>
      </c>
      <c r="E16" s="511">
        <f t="shared" ca="1" si="1"/>
        <v>-4.3256828043428186</v>
      </c>
      <c r="F16" s="511">
        <f t="shared" ca="1" si="1"/>
        <v>-4.7582510847771005</v>
      </c>
      <c r="G16" s="511">
        <f t="shared" ca="1" si="1"/>
        <v>-5.2340761932548112</v>
      </c>
      <c r="H16" s="511">
        <f t="shared" ca="1" si="1"/>
        <v>-5.7574838125802934</v>
      </c>
      <c r="I16" s="511">
        <f t="shared" ca="1" si="1"/>
        <v>-6.3332321938383229</v>
      </c>
      <c r="J16" s="511">
        <f t="shared" ca="1" si="1"/>
        <v>-6.9665554132221557</v>
      </c>
      <c r="K16" s="511">
        <f t="shared" ca="1" si="1"/>
        <v>-7.663210954544371</v>
      </c>
      <c r="L16" s="511">
        <f t="shared" ca="1" si="1"/>
        <v>-8.4295320499988087</v>
      </c>
      <c r="M16" s="512">
        <f t="shared" ca="1" si="1"/>
        <v>-9.2724852549986903</v>
      </c>
    </row>
    <row r="17" spans="1:14" s="359" customFormat="1" ht="18.75" customHeight="1" outlineLevel="1">
      <c r="A17" s="358"/>
      <c r="B17" s="432">
        <f ca="1">B16*1.1</f>
        <v>-0.22464961881689305</v>
      </c>
      <c r="C17" s="522">
        <f t="shared" ca="1" si="1"/>
        <v>-3.9324389130389261</v>
      </c>
      <c r="D17" s="511">
        <f t="shared" ca="1" si="1"/>
        <v>-4.3256828043428186</v>
      </c>
      <c r="E17" s="511">
        <f t="shared" ca="1" si="1"/>
        <v>-4.7582510847771005</v>
      </c>
      <c r="F17" s="511">
        <f t="shared" ca="1" si="1"/>
        <v>-5.2340761932548112</v>
      </c>
      <c r="G17" s="511">
        <f t="shared" ca="1" si="1"/>
        <v>-5.7574838125802934</v>
      </c>
      <c r="H17" s="511">
        <f t="shared" ca="1" si="1"/>
        <v>-6.3332321938383229</v>
      </c>
      <c r="I17" s="511">
        <f t="shared" ca="1" si="1"/>
        <v>-6.9665554132221565</v>
      </c>
      <c r="J17" s="511">
        <f t="shared" ca="1" si="1"/>
        <v>-7.6632109545443718</v>
      </c>
      <c r="K17" s="511">
        <f t="shared" ca="1" si="1"/>
        <v>-8.4295320499988087</v>
      </c>
      <c r="L17" s="511">
        <f t="shared" ca="1" si="1"/>
        <v>-9.2724852549986903</v>
      </c>
      <c r="M17" s="512">
        <f t="shared" ca="1" si="1"/>
        <v>-10.199733780498562</v>
      </c>
    </row>
    <row r="18" spans="1:14" s="359" customFormat="1" ht="18.75" customHeight="1" outlineLevel="1">
      <c r="A18" s="358"/>
      <c r="B18" s="432">
        <f ca="1">B17*1.1</f>
        <v>-0.24711458069858239</v>
      </c>
      <c r="C18" s="522">
        <f t="shared" ca="1" si="1"/>
        <v>-4.3256828043428195</v>
      </c>
      <c r="D18" s="511">
        <f t="shared" ca="1" si="1"/>
        <v>-4.7582510847771013</v>
      </c>
      <c r="E18" s="511">
        <f t="shared" ca="1" si="1"/>
        <v>-5.2340761932548112</v>
      </c>
      <c r="F18" s="511">
        <f t="shared" ca="1" si="1"/>
        <v>-5.7574838125802934</v>
      </c>
      <c r="G18" s="511">
        <f t="shared" ca="1" si="1"/>
        <v>-6.3332321938383238</v>
      </c>
      <c r="H18" s="511">
        <f t="shared" ca="1" si="1"/>
        <v>-6.9665554132221565</v>
      </c>
      <c r="I18" s="511">
        <f t="shared" ca="1" si="1"/>
        <v>-7.6632109545443727</v>
      </c>
      <c r="J18" s="511">
        <f t="shared" ca="1" si="1"/>
        <v>-8.4295320499988105</v>
      </c>
      <c r="K18" s="511">
        <f t="shared" ca="1" si="1"/>
        <v>-9.272485254998692</v>
      </c>
      <c r="L18" s="511">
        <f t="shared" ca="1" si="1"/>
        <v>-10.199733780498562</v>
      </c>
      <c r="M18" s="512">
        <f t="shared" ca="1" si="1"/>
        <v>-11.219707158548418</v>
      </c>
    </row>
    <row r="19" spans="1:14" s="359" customFormat="1" ht="18.75" customHeight="1" outlineLevel="1">
      <c r="A19" s="358"/>
      <c r="B19" s="432">
        <f ca="1">B18*1.1</f>
        <v>-0.27182603876844064</v>
      </c>
      <c r="C19" s="523">
        <f t="shared" ca="1" si="1"/>
        <v>-4.7582510847771013</v>
      </c>
      <c r="D19" s="513">
        <f t="shared" ca="1" si="1"/>
        <v>-5.2340761932548112</v>
      </c>
      <c r="E19" s="513">
        <f t="shared" ca="1" si="1"/>
        <v>-5.7574838125802925</v>
      </c>
      <c r="F19" s="513">
        <f t="shared" ca="1" si="1"/>
        <v>-6.3332321938383229</v>
      </c>
      <c r="G19" s="513">
        <f t="shared" ca="1" si="1"/>
        <v>-6.9665554132221565</v>
      </c>
      <c r="H19" s="513">
        <f t="shared" ca="1" si="1"/>
        <v>-7.6632109545443727</v>
      </c>
      <c r="I19" s="513">
        <f t="shared" ca="1" si="1"/>
        <v>-8.4295320499988105</v>
      </c>
      <c r="J19" s="513">
        <f t="shared" ca="1" si="1"/>
        <v>-9.272485254998692</v>
      </c>
      <c r="K19" s="513">
        <f t="shared" ca="1" si="1"/>
        <v>-10.199733780498562</v>
      </c>
      <c r="L19" s="513">
        <f t="shared" ca="1" si="1"/>
        <v>-11.219707158548418</v>
      </c>
      <c r="M19" s="514">
        <f t="shared" ca="1" si="1"/>
        <v>-12.341677874403262</v>
      </c>
    </row>
    <row r="20" spans="1:14" ht="15.75" customHeight="1">
      <c r="A20" s="344"/>
    </row>
    <row r="21" spans="1:14" ht="22.5" customHeight="1">
      <c r="A21" s="1308" t="s">
        <v>288</v>
      </c>
      <c r="B21" s="1308"/>
    </row>
    <row r="22" spans="1:14" ht="15" customHeight="1" outlineLevel="1">
      <c r="A22" s="344"/>
      <c r="B22" s="345"/>
      <c r="C22" s="988">
        <f>假设!H2</f>
        <v>2022</v>
      </c>
      <c r="D22" s="362" t="str">
        <f>假设!I2</f>
        <v>2023E</v>
      </c>
      <c r="E22" s="362" t="str">
        <f>假设!J2</f>
        <v>2024E</v>
      </c>
      <c r="F22" s="362" t="str">
        <f>假设!K2</f>
        <v>2025E</v>
      </c>
      <c r="G22" s="346"/>
      <c r="H22" s="347"/>
    </row>
    <row r="23" spans="1:14" ht="15" customHeight="1" outlineLevel="1">
      <c r="A23" s="344"/>
      <c r="B23" s="348" t="s">
        <v>284</v>
      </c>
      <c r="C23" s="349">
        <f>D23</f>
        <v>7.084712483830927</v>
      </c>
      <c r="D23" s="349">
        <f>财务分析!I54</f>
        <v>7.084712483830927</v>
      </c>
      <c r="E23" s="349">
        <f>财务分析!J54</f>
        <v>8.2033885850278292</v>
      </c>
      <c r="F23" s="349">
        <f>财务分析!K54</f>
        <v>9.5528137515278679</v>
      </c>
      <c r="G23" s="350"/>
      <c r="H23" s="351"/>
      <c r="I23" s="352"/>
      <c r="J23" s="352"/>
      <c r="K23" s="352"/>
      <c r="L23" s="352"/>
      <c r="M23" s="352"/>
    </row>
    <row r="24" spans="1:14" ht="15" customHeight="1" outlineLevel="1">
      <c r="A24" s="344"/>
      <c r="B24" s="473" t="s">
        <v>836</v>
      </c>
      <c r="C24" s="431">
        <f>D24</f>
        <v>2.5162799999999996</v>
      </c>
      <c r="D24" s="353">
        <f>年度数据!I128</f>
        <v>2.5162799999999996</v>
      </c>
      <c r="E24" s="353">
        <f>D24</f>
        <v>2.5162799999999996</v>
      </c>
      <c r="F24" s="354">
        <f>D24</f>
        <v>2.5162799999999996</v>
      </c>
      <c r="G24" s="350"/>
      <c r="H24" s="351"/>
      <c r="I24" s="352"/>
      <c r="J24" s="352"/>
      <c r="K24" s="352"/>
      <c r="L24" s="352"/>
      <c r="M24" s="352"/>
    </row>
    <row r="25" spans="1:14" ht="15" customHeight="1" outlineLevel="1">
      <c r="A25" s="344"/>
      <c r="B25" s="355" t="s">
        <v>283</v>
      </c>
      <c r="C25" s="541">
        <f>C23*C24</f>
        <v>17.827120328814082</v>
      </c>
      <c r="D25" s="356">
        <f>D23*D24</f>
        <v>17.827120328814082</v>
      </c>
      <c r="E25" s="356">
        <f>E23*E24</f>
        <v>20.642022628733823</v>
      </c>
      <c r="F25" s="357">
        <f>F23*F24</f>
        <v>24.037554186694539</v>
      </c>
      <c r="G25" s="350"/>
      <c r="H25" s="351"/>
      <c r="I25" s="352"/>
      <c r="J25" s="352"/>
      <c r="K25" s="352"/>
      <c r="L25" s="352"/>
      <c r="M25" s="352"/>
    </row>
    <row r="26" spans="1:14" ht="12" outlineLevel="1">
      <c r="A26" s="344"/>
    </row>
    <row r="27" spans="1:14" ht="31.5" customHeight="1" outlineLevel="1">
      <c r="A27" s="344"/>
      <c r="B27" s="338" t="s">
        <v>344</v>
      </c>
      <c r="C27" s="432">
        <f>D27/1.1</f>
        <v>1.5624119067872901</v>
      </c>
      <c r="D27" s="432">
        <f>E27/1.1</f>
        <v>1.7186530974660192</v>
      </c>
      <c r="E27" s="432">
        <f>F27/1.1</f>
        <v>1.8905184072126213</v>
      </c>
      <c r="F27" s="432">
        <f>G27/1.1</f>
        <v>2.0795702479338836</v>
      </c>
      <c r="G27" s="432">
        <f>H27/1.1</f>
        <v>2.2875272727272722</v>
      </c>
      <c r="H27" s="432">
        <f>C24</f>
        <v>2.5162799999999996</v>
      </c>
      <c r="I27" s="432">
        <f>H27*1.1</f>
        <v>2.7679079999999998</v>
      </c>
      <c r="J27" s="432">
        <f>I27*1.1</f>
        <v>3.0446987999999999</v>
      </c>
      <c r="K27" s="432">
        <f>J27*1.1</f>
        <v>3.34916868</v>
      </c>
      <c r="L27" s="432">
        <f>K27*1.1</f>
        <v>3.6840855480000001</v>
      </c>
      <c r="M27" s="432">
        <f>L27*1.1</f>
        <v>4.0524941028000008</v>
      </c>
    </row>
    <row r="28" spans="1:14" s="359" customFormat="1" ht="19.5" customHeight="1" outlineLevel="1">
      <c r="A28" s="358"/>
      <c r="B28" s="432">
        <f>B29/1.1</f>
        <v>4.3990490489540104</v>
      </c>
      <c r="C28" s="519">
        <f>C$27*$B28</f>
        <v>6.8731266126270505</v>
      </c>
      <c r="D28" s="520">
        <f t="shared" ref="D28:M38" si="2">D$27*$B28</f>
        <v>7.5604392738897559</v>
      </c>
      <c r="E28" s="520">
        <f t="shared" si="2"/>
        <v>8.3164832012787322</v>
      </c>
      <c r="F28" s="520">
        <f t="shared" si="2"/>
        <v>9.1481315214066061</v>
      </c>
      <c r="G28" s="520">
        <f t="shared" si="2"/>
        <v>10.062944673547268</v>
      </c>
      <c r="H28" s="520">
        <f t="shared" si="2"/>
        <v>11.069239140901995</v>
      </c>
      <c r="I28" s="520">
        <f t="shared" si="2"/>
        <v>12.176163054992196</v>
      </c>
      <c r="J28" s="520">
        <f t="shared" si="2"/>
        <v>13.393779360491417</v>
      </c>
      <c r="K28" s="520">
        <f t="shared" si="2"/>
        <v>14.733157296540558</v>
      </c>
      <c r="L28" s="520">
        <f t="shared" si="2"/>
        <v>16.206473026194615</v>
      </c>
      <c r="M28" s="521">
        <f t="shared" si="2"/>
        <v>17.827120328814079</v>
      </c>
      <c r="N28" s="360"/>
    </row>
    <row r="29" spans="1:14" s="359" customFormat="1" ht="19.5" customHeight="1" outlineLevel="1">
      <c r="A29" s="358"/>
      <c r="B29" s="432">
        <f>B30/1.1</f>
        <v>4.838953953849412</v>
      </c>
      <c r="C29" s="522">
        <f t="shared" ref="C29:C38" si="3">C$27*$B29</f>
        <v>7.5604392738897568</v>
      </c>
      <c r="D29" s="511">
        <f t="shared" si="2"/>
        <v>8.3164832012787322</v>
      </c>
      <c r="E29" s="511">
        <f t="shared" si="2"/>
        <v>9.1481315214066061</v>
      </c>
      <c r="F29" s="511">
        <f t="shared" si="2"/>
        <v>10.062944673547268</v>
      </c>
      <c r="G29" s="511">
        <f t="shared" si="2"/>
        <v>11.069239140901995</v>
      </c>
      <c r="H29" s="511">
        <f t="shared" si="2"/>
        <v>12.176163054992196</v>
      </c>
      <c r="I29" s="511">
        <f t="shared" si="2"/>
        <v>13.393779360491417</v>
      </c>
      <c r="J29" s="511">
        <f t="shared" si="2"/>
        <v>14.733157296540559</v>
      </c>
      <c r="K29" s="511">
        <f t="shared" si="2"/>
        <v>16.206473026194615</v>
      </c>
      <c r="L29" s="511">
        <f t="shared" si="2"/>
        <v>17.827120328814079</v>
      </c>
      <c r="M29" s="512">
        <f t="shared" si="2"/>
        <v>19.609832361695489</v>
      </c>
    </row>
    <row r="30" spans="1:14" s="359" customFormat="1" ht="19.5" customHeight="1" outlineLevel="1">
      <c r="A30" s="358"/>
      <c r="B30" s="432">
        <f>B31/1.1</f>
        <v>5.3228493492343532</v>
      </c>
      <c r="C30" s="522">
        <f t="shared" si="3"/>
        <v>8.3164832012787322</v>
      </c>
      <c r="D30" s="511">
        <f t="shared" si="2"/>
        <v>9.1481315214066061</v>
      </c>
      <c r="E30" s="511">
        <f t="shared" si="2"/>
        <v>10.062944673547268</v>
      </c>
      <c r="F30" s="511">
        <f t="shared" si="2"/>
        <v>11.069239140901995</v>
      </c>
      <c r="G30" s="511">
        <f t="shared" si="2"/>
        <v>12.176163054992195</v>
      </c>
      <c r="H30" s="511">
        <f t="shared" si="2"/>
        <v>13.393779360491417</v>
      </c>
      <c r="I30" s="511">
        <f t="shared" si="2"/>
        <v>14.733157296540559</v>
      </c>
      <c r="J30" s="511">
        <f t="shared" si="2"/>
        <v>16.206473026194615</v>
      </c>
      <c r="K30" s="511">
        <f t="shared" si="2"/>
        <v>17.827120328814079</v>
      </c>
      <c r="L30" s="511">
        <f t="shared" si="2"/>
        <v>19.609832361695485</v>
      </c>
      <c r="M30" s="512">
        <f t="shared" si="2"/>
        <v>21.570815597865039</v>
      </c>
    </row>
    <row r="31" spans="1:14" s="359" customFormat="1" ht="19.5" customHeight="1" outlineLevel="1">
      <c r="A31" s="358"/>
      <c r="B31" s="432">
        <f>B32/1.1</f>
        <v>5.8551342841577894</v>
      </c>
      <c r="C31" s="522">
        <f t="shared" si="3"/>
        <v>9.1481315214066061</v>
      </c>
      <c r="D31" s="511">
        <f t="shared" si="2"/>
        <v>10.062944673547268</v>
      </c>
      <c r="E31" s="511">
        <f t="shared" si="2"/>
        <v>11.069239140901995</v>
      </c>
      <c r="F31" s="511">
        <f t="shared" si="2"/>
        <v>12.176163054992196</v>
      </c>
      <c r="G31" s="511">
        <f t="shared" si="2"/>
        <v>13.393779360491417</v>
      </c>
      <c r="H31" s="511">
        <f t="shared" si="2"/>
        <v>14.733157296540559</v>
      </c>
      <c r="I31" s="511">
        <f t="shared" si="2"/>
        <v>16.206473026194619</v>
      </c>
      <c r="J31" s="511">
        <f t="shared" si="2"/>
        <v>17.827120328814079</v>
      </c>
      <c r="K31" s="511">
        <f t="shared" si="2"/>
        <v>19.609832361695489</v>
      </c>
      <c r="L31" s="511">
        <f t="shared" si="2"/>
        <v>21.570815597865039</v>
      </c>
      <c r="M31" s="512">
        <f t="shared" si="2"/>
        <v>23.727897157651544</v>
      </c>
    </row>
    <row r="32" spans="1:14" s="359" customFormat="1" ht="19.5" customHeight="1" outlineLevel="1">
      <c r="A32" s="358"/>
      <c r="B32" s="432">
        <f>B33/1.1</f>
        <v>6.4406477125735693</v>
      </c>
      <c r="C32" s="522">
        <f t="shared" si="3"/>
        <v>10.062944673547269</v>
      </c>
      <c r="D32" s="511">
        <f t="shared" si="2"/>
        <v>11.069239140901997</v>
      </c>
      <c r="E32" s="511">
        <f t="shared" si="2"/>
        <v>12.176163054992196</v>
      </c>
      <c r="F32" s="511">
        <f t="shared" si="2"/>
        <v>13.393779360491418</v>
      </c>
      <c r="G32" s="511">
        <f t="shared" si="2"/>
        <v>14.733157296540561</v>
      </c>
      <c r="H32" s="511">
        <f t="shared" si="2"/>
        <v>16.206473026194619</v>
      </c>
      <c r="I32" s="511">
        <f t="shared" si="2"/>
        <v>17.827120328814082</v>
      </c>
      <c r="J32" s="511">
        <f t="shared" si="2"/>
        <v>19.609832361695492</v>
      </c>
      <c r="K32" s="511">
        <f t="shared" si="2"/>
        <v>21.570815597865039</v>
      </c>
      <c r="L32" s="511">
        <f t="shared" si="2"/>
        <v>23.727897157651544</v>
      </c>
      <c r="M32" s="512">
        <f t="shared" si="2"/>
        <v>26.100686873416702</v>
      </c>
    </row>
    <row r="33" spans="1:13" s="359" customFormat="1" ht="19.5" customHeight="1" outlineLevel="1">
      <c r="A33" s="358"/>
      <c r="B33" s="432">
        <f>D23</f>
        <v>7.084712483830927</v>
      </c>
      <c r="C33" s="522">
        <f t="shared" si="3"/>
        <v>11.069239140901997</v>
      </c>
      <c r="D33" s="511">
        <f t="shared" si="2"/>
        <v>12.176163054992198</v>
      </c>
      <c r="E33" s="511">
        <f t="shared" si="2"/>
        <v>13.393779360491418</v>
      </c>
      <c r="F33" s="511">
        <f t="shared" si="2"/>
        <v>14.733157296540561</v>
      </c>
      <c r="G33" s="511">
        <f t="shared" si="2"/>
        <v>16.206473026194619</v>
      </c>
      <c r="H33" s="539">
        <f t="shared" si="2"/>
        <v>17.827120328814082</v>
      </c>
      <c r="I33" s="511">
        <f t="shared" si="2"/>
        <v>19.609832361695492</v>
      </c>
      <c r="J33" s="511">
        <f t="shared" si="2"/>
        <v>21.570815597865042</v>
      </c>
      <c r="K33" s="511">
        <f t="shared" si="2"/>
        <v>23.727897157651547</v>
      </c>
      <c r="L33" s="511">
        <f t="shared" si="2"/>
        <v>26.100686873416702</v>
      </c>
      <c r="M33" s="512">
        <f t="shared" si="2"/>
        <v>28.710755560758379</v>
      </c>
    </row>
    <row r="34" spans="1:13" s="359" customFormat="1" ht="19.5" customHeight="1" outlineLevel="1">
      <c r="A34" s="358"/>
      <c r="B34" s="432">
        <f>B33*1.1</f>
        <v>7.7931837322140201</v>
      </c>
      <c r="C34" s="522">
        <f t="shared" si="3"/>
        <v>12.176163054992198</v>
      </c>
      <c r="D34" s="511">
        <f t="shared" si="2"/>
        <v>13.393779360491418</v>
      </c>
      <c r="E34" s="511">
        <f t="shared" si="2"/>
        <v>14.733157296540561</v>
      </c>
      <c r="F34" s="511">
        <f t="shared" si="2"/>
        <v>16.206473026194619</v>
      </c>
      <c r="G34" s="511">
        <f t="shared" si="2"/>
        <v>17.827120328814082</v>
      </c>
      <c r="H34" s="511">
        <f t="shared" si="2"/>
        <v>19.609832361695492</v>
      </c>
      <c r="I34" s="511">
        <f t="shared" si="2"/>
        <v>21.570815597865042</v>
      </c>
      <c r="J34" s="511">
        <f t="shared" si="2"/>
        <v>23.727897157651547</v>
      </c>
      <c r="K34" s="511">
        <f t="shared" si="2"/>
        <v>26.100686873416702</v>
      </c>
      <c r="L34" s="511">
        <f t="shared" si="2"/>
        <v>28.710755560758376</v>
      </c>
      <c r="M34" s="512">
        <f t="shared" si="2"/>
        <v>31.581831116834216</v>
      </c>
    </row>
    <row r="35" spans="1:13" s="359" customFormat="1" ht="19.5" customHeight="1" outlineLevel="1">
      <c r="A35" s="358"/>
      <c r="B35" s="432">
        <f>B34*1.1</f>
        <v>8.5725021054354222</v>
      </c>
      <c r="C35" s="522">
        <f t="shared" si="3"/>
        <v>13.393779360491417</v>
      </c>
      <c r="D35" s="511">
        <f t="shared" si="2"/>
        <v>14.733157296540559</v>
      </c>
      <c r="E35" s="511">
        <f t="shared" si="2"/>
        <v>16.206473026194619</v>
      </c>
      <c r="F35" s="511">
        <f t="shared" si="2"/>
        <v>17.827120328814079</v>
      </c>
      <c r="G35" s="511">
        <f t="shared" si="2"/>
        <v>19.609832361695489</v>
      </c>
      <c r="H35" s="511">
        <f t="shared" si="2"/>
        <v>21.570815597865042</v>
      </c>
      <c r="I35" s="511">
        <f t="shared" si="2"/>
        <v>23.727897157651547</v>
      </c>
      <c r="J35" s="511">
        <f t="shared" si="2"/>
        <v>26.100686873416702</v>
      </c>
      <c r="K35" s="511">
        <f t="shared" si="2"/>
        <v>28.710755560758376</v>
      </c>
      <c r="L35" s="511">
        <f t="shared" si="2"/>
        <v>31.581831116834213</v>
      </c>
      <c r="M35" s="512">
        <f t="shared" si="2"/>
        <v>34.740014228517637</v>
      </c>
    </row>
    <row r="36" spans="1:13" s="359" customFormat="1" ht="19.5" customHeight="1" outlineLevel="1">
      <c r="A36" s="358"/>
      <c r="B36" s="432">
        <f>B35*1.1</f>
        <v>9.4297523159789645</v>
      </c>
      <c r="C36" s="522">
        <f t="shared" si="3"/>
        <v>14.733157296540559</v>
      </c>
      <c r="D36" s="511">
        <f t="shared" si="2"/>
        <v>16.206473026194615</v>
      </c>
      <c r="E36" s="511">
        <f t="shared" si="2"/>
        <v>17.827120328814079</v>
      </c>
      <c r="F36" s="511">
        <f t="shared" si="2"/>
        <v>19.609832361695489</v>
      </c>
      <c r="G36" s="511">
        <f t="shared" si="2"/>
        <v>21.570815597865039</v>
      </c>
      <c r="H36" s="511">
        <f t="shared" si="2"/>
        <v>23.727897157651544</v>
      </c>
      <c r="I36" s="511">
        <f t="shared" si="2"/>
        <v>26.100686873416702</v>
      </c>
      <c r="J36" s="511">
        <f t="shared" si="2"/>
        <v>28.710755560758372</v>
      </c>
      <c r="K36" s="511">
        <f t="shared" si="2"/>
        <v>31.581831116834213</v>
      </c>
      <c r="L36" s="511">
        <f t="shared" si="2"/>
        <v>34.74001422851763</v>
      </c>
      <c r="M36" s="512">
        <f t="shared" si="2"/>
        <v>38.214015651369401</v>
      </c>
    </row>
    <row r="37" spans="1:13" s="359" customFormat="1" ht="19.5" customHeight="1" outlineLevel="1">
      <c r="A37" s="358"/>
      <c r="B37" s="432">
        <f>B36*1.1</f>
        <v>10.372727547576861</v>
      </c>
      <c r="C37" s="522">
        <f t="shared" si="3"/>
        <v>16.206473026194615</v>
      </c>
      <c r="D37" s="511">
        <f t="shared" si="2"/>
        <v>17.827120328814079</v>
      </c>
      <c r="E37" s="511">
        <f t="shared" si="2"/>
        <v>19.609832361695489</v>
      </c>
      <c r="F37" s="511">
        <f t="shared" si="2"/>
        <v>21.570815597865039</v>
      </c>
      <c r="G37" s="511">
        <f t="shared" si="2"/>
        <v>23.727897157651544</v>
      </c>
      <c r="H37" s="511">
        <f t="shared" si="2"/>
        <v>26.100686873416702</v>
      </c>
      <c r="I37" s="511">
        <f t="shared" si="2"/>
        <v>28.710755560758372</v>
      </c>
      <c r="J37" s="511">
        <f t="shared" si="2"/>
        <v>31.581831116834213</v>
      </c>
      <c r="K37" s="511">
        <f t="shared" si="2"/>
        <v>34.740014228517637</v>
      </c>
      <c r="L37" s="511">
        <f t="shared" si="2"/>
        <v>38.214015651369401</v>
      </c>
      <c r="M37" s="512">
        <f t="shared" si="2"/>
        <v>42.035417216506346</v>
      </c>
    </row>
    <row r="38" spans="1:13" s="359" customFormat="1" ht="19.5" customHeight="1" outlineLevel="1">
      <c r="A38" s="358"/>
      <c r="B38" s="432">
        <f>B37*1.1</f>
        <v>11.410000302334549</v>
      </c>
      <c r="C38" s="523">
        <f t="shared" si="3"/>
        <v>17.827120328814079</v>
      </c>
      <c r="D38" s="513">
        <f t="shared" si="2"/>
        <v>19.609832361695489</v>
      </c>
      <c r="E38" s="513">
        <f t="shared" si="2"/>
        <v>21.570815597865039</v>
      </c>
      <c r="F38" s="513">
        <f t="shared" si="2"/>
        <v>23.727897157651544</v>
      </c>
      <c r="G38" s="513">
        <f t="shared" si="2"/>
        <v>26.100686873416702</v>
      </c>
      <c r="H38" s="513">
        <f t="shared" si="2"/>
        <v>28.710755560758376</v>
      </c>
      <c r="I38" s="513">
        <f t="shared" si="2"/>
        <v>31.581831116834213</v>
      </c>
      <c r="J38" s="513">
        <f t="shared" si="2"/>
        <v>34.740014228517637</v>
      </c>
      <c r="K38" s="513">
        <f t="shared" si="2"/>
        <v>38.214015651369401</v>
      </c>
      <c r="L38" s="513">
        <f t="shared" si="2"/>
        <v>42.035417216506346</v>
      </c>
      <c r="M38" s="514">
        <f t="shared" si="2"/>
        <v>46.238958938156983</v>
      </c>
    </row>
    <row r="39" spans="1:13" ht="12">
      <c r="A39" s="344"/>
    </row>
    <row r="40" spans="1:13" ht="17.399999999999999">
      <c r="A40" s="1308" t="s">
        <v>290</v>
      </c>
      <c r="B40" s="1308"/>
    </row>
    <row r="41" spans="1:13" ht="14.25" customHeight="1" outlineLevel="1">
      <c r="A41" s="344"/>
      <c r="B41" s="345"/>
      <c r="C41" s="988">
        <f>假设!H2</f>
        <v>2022</v>
      </c>
      <c r="D41" s="362" t="str">
        <f>假设!I2</f>
        <v>2023E</v>
      </c>
      <c r="E41" s="362" t="str">
        <f>假设!J2</f>
        <v>2024E</v>
      </c>
      <c r="F41" s="362" t="str">
        <f>假设!K2</f>
        <v>2025E</v>
      </c>
      <c r="G41" s="346"/>
      <c r="H41" s="347"/>
    </row>
    <row r="42" spans="1:13" ht="14.25" customHeight="1" outlineLevel="1">
      <c r="A42" s="344"/>
      <c r="B42" s="348" t="s">
        <v>285</v>
      </c>
      <c r="C42" s="349">
        <f ca="1">D42</f>
        <v>4.5386403579710093</v>
      </c>
      <c r="D42" s="349">
        <f ca="1">财务分析!I53</f>
        <v>4.5386403579710093</v>
      </c>
      <c r="E42" s="349">
        <f ca="1">财务分析!J53</f>
        <v>4.6306705614651014</v>
      </c>
      <c r="F42" s="349">
        <f ca="1">财务分析!K53</f>
        <v>4.6650767741648789</v>
      </c>
      <c r="G42" s="350"/>
      <c r="H42" s="351"/>
      <c r="I42" s="352"/>
      <c r="J42" s="352"/>
      <c r="K42" s="352"/>
      <c r="L42" s="352"/>
      <c r="M42" s="352"/>
    </row>
    <row r="43" spans="1:13" ht="14.25" customHeight="1" outlineLevel="1">
      <c r="A43" s="344"/>
      <c r="B43" s="534" t="s">
        <v>366</v>
      </c>
      <c r="C43" s="431">
        <f>D43</f>
        <v>2.7795999999999998</v>
      </c>
      <c r="D43" s="434">
        <f>年度数据!I129</f>
        <v>2.7795999999999998</v>
      </c>
      <c r="E43" s="434">
        <f>D43</f>
        <v>2.7795999999999998</v>
      </c>
      <c r="F43" s="434">
        <f>E43</f>
        <v>2.7795999999999998</v>
      </c>
      <c r="G43" s="350"/>
      <c r="H43" s="351"/>
      <c r="I43" s="352"/>
      <c r="J43" s="352"/>
      <c r="K43" s="352"/>
      <c r="L43" s="352"/>
      <c r="M43" s="352"/>
    </row>
    <row r="44" spans="1:13" ht="15.75" customHeight="1" outlineLevel="1">
      <c r="A44" s="344"/>
      <c r="B44" s="355" t="s">
        <v>283</v>
      </c>
      <c r="C44" s="541">
        <f ca="1">C42*C43</f>
        <v>12.615604739016216</v>
      </c>
      <c r="D44" s="356">
        <f ca="1">D42*D43</f>
        <v>12.615604739016216</v>
      </c>
      <c r="E44" s="356">
        <f ca="1">E42*E43</f>
        <v>12.871411892648394</v>
      </c>
      <c r="F44" s="357">
        <f ca="1">F42*F43</f>
        <v>12.967047401468697</v>
      </c>
      <c r="G44" s="350"/>
      <c r="H44" s="351"/>
      <c r="I44" s="352"/>
      <c r="J44" s="352"/>
      <c r="K44" s="352"/>
      <c r="L44" s="352"/>
      <c r="M44" s="352"/>
    </row>
    <row r="45" spans="1:13" ht="12" outlineLevel="1">
      <c r="A45" s="344"/>
    </row>
    <row r="46" spans="1:13" ht="27.75" customHeight="1" outlineLevel="1">
      <c r="A46" s="344"/>
      <c r="B46" s="338" t="s">
        <v>1353</v>
      </c>
      <c r="C46" s="432">
        <f>D46/1.1</f>
        <v>1.725912909575227</v>
      </c>
      <c r="D46" s="432">
        <f>E46/1.1</f>
        <v>1.8985042005327499</v>
      </c>
      <c r="E46" s="432">
        <f>F46/1.1</f>
        <v>2.0883546205860251</v>
      </c>
      <c r="F46" s="432">
        <f>G46/1.1</f>
        <v>2.2971900826446277</v>
      </c>
      <c r="G46" s="432">
        <f>H46/1.1</f>
        <v>2.5269090909090908</v>
      </c>
      <c r="H46" s="432">
        <f>C43</f>
        <v>2.7795999999999998</v>
      </c>
      <c r="I46" s="432">
        <f>H46*1.1</f>
        <v>3.0575600000000001</v>
      </c>
      <c r="J46" s="432">
        <f>I46*1.1</f>
        <v>3.3633160000000002</v>
      </c>
      <c r="K46" s="432">
        <f>J46*1.1</f>
        <v>3.6996476000000005</v>
      </c>
      <c r="L46" s="432">
        <f>K46*1.1</f>
        <v>4.0696123600000007</v>
      </c>
      <c r="M46" s="432">
        <f>L46*1.1</f>
        <v>4.4765735960000015</v>
      </c>
    </row>
    <row r="47" spans="1:13" s="359" customFormat="1" ht="21" customHeight="1" outlineLevel="1">
      <c r="A47" s="358"/>
      <c r="B47" s="432">
        <f ca="1">B48/1.1</f>
        <v>2.8181385759610356</v>
      </c>
      <c r="C47" s="519">
        <f ca="1">C$46*$B47</f>
        <v>4.8638617492230978</v>
      </c>
      <c r="D47" s="520">
        <f t="shared" ref="D47:M57" ca="1" si="4">D$46*$B47</f>
        <v>5.3502479241454086</v>
      </c>
      <c r="E47" s="520">
        <f t="shared" ca="1" si="4"/>
        <v>5.8852727165599497</v>
      </c>
      <c r="F47" s="520">
        <f t="shared" ca="1" si="4"/>
        <v>6.4737999882159443</v>
      </c>
      <c r="G47" s="520">
        <f t="shared" ca="1" si="4"/>
        <v>7.1211799870375403</v>
      </c>
      <c r="H47" s="520">
        <f t="shared" ca="1" si="4"/>
        <v>7.8332979857412939</v>
      </c>
      <c r="I47" s="520">
        <f t="shared" ca="1" si="4"/>
        <v>8.6166277843154244</v>
      </c>
      <c r="J47" s="520">
        <f t="shared" ca="1" si="4"/>
        <v>9.4782905627469667</v>
      </c>
      <c r="K47" s="520">
        <f t="shared" ca="1" si="4"/>
        <v>10.426119619021664</v>
      </c>
      <c r="L47" s="520">
        <f t="shared" ca="1" si="4"/>
        <v>11.468731580923832</v>
      </c>
      <c r="M47" s="521">
        <f t="shared" ca="1" si="4"/>
        <v>12.615604739016216</v>
      </c>
    </row>
    <row r="48" spans="1:13" s="359" customFormat="1" ht="21" customHeight="1" outlineLevel="1">
      <c r="A48" s="358"/>
      <c r="B48" s="432">
        <f ca="1">B49/1.1</f>
        <v>3.0999524335571396</v>
      </c>
      <c r="C48" s="522">
        <f t="shared" ref="C48:C57" ca="1" si="5">C$46*$B48</f>
        <v>5.3502479241454086</v>
      </c>
      <c r="D48" s="511">
        <f t="shared" ca="1" si="4"/>
        <v>5.8852727165599497</v>
      </c>
      <c r="E48" s="511">
        <f t="shared" ca="1" si="4"/>
        <v>6.4737999882159452</v>
      </c>
      <c r="F48" s="511">
        <f t="shared" ca="1" si="4"/>
        <v>7.1211799870375403</v>
      </c>
      <c r="G48" s="511">
        <f t="shared" ca="1" si="4"/>
        <v>7.8332979857412948</v>
      </c>
      <c r="H48" s="511">
        <f t="shared" ca="1" si="4"/>
        <v>8.6166277843154244</v>
      </c>
      <c r="I48" s="511">
        <f t="shared" ca="1" si="4"/>
        <v>9.4782905627469685</v>
      </c>
      <c r="J48" s="511">
        <f t="shared" ca="1" si="4"/>
        <v>10.426119619021666</v>
      </c>
      <c r="K48" s="511">
        <f t="shared" ca="1" si="4"/>
        <v>11.468731580923832</v>
      </c>
      <c r="L48" s="511">
        <f t="shared" ca="1" si="4"/>
        <v>12.615604739016216</v>
      </c>
      <c r="M48" s="512">
        <f t="shared" ca="1" si="4"/>
        <v>13.87716521291784</v>
      </c>
    </row>
    <row r="49" spans="1:14" s="359" customFormat="1" ht="21" customHeight="1" outlineLevel="1">
      <c r="A49" s="358"/>
      <c r="B49" s="432">
        <f ca="1">B50/1.1</f>
        <v>3.4099476769128536</v>
      </c>
      <c r="C49" s="522">
        <f t="shared" ca="1" si="5"/>
        <v>5.8852727165599497</v>
      </c>
      <c r="D49" s="511">
        <f t="shared" ca="1" si="4"/>
        <v>6.4737999882159452</v>
      </c>
      <c r="E49" s="511">
        <f t="shared" ca="1" si="4"/>
        <v>7.1211799870375403</v>
      </c>
      <c r="F49" s="511">
        <f t="shared" ca="1" si="4"/>
        <v>7.8332979857412939</v>
      </c>
      <c r="G49" s="511">
        <f t="shared" ca="1" si="4"/>
        <v>8.6166277843154244</v>
      </c>
      <c r="H49" s="511">
        <f t="shared" ca="1" si="4"/>
        <v>9.4782905627469667</v>
      </c>
      <c r="I49" s="511">
        <f t="shared" ca="1" si="4"/>
        <v>10.426119619021664</v>
      </c>
      <c r="J49" s="511">
        <f t="shared" ca="1" si="4"/>
        <v>11.468731580923832</v>
      </c>
      <c r="K49" s="511">
        <f t="shared" ca="1" si="4"/>
        <v>12.615604739016216</v>
      </c>
      <c r="L49" s="511">
        <f t="shared" ca="1" si="4"/>
        <v>13.877165212917838</v>
      </c>
      <c r="M49" s="512">
        <f t="shared" ca="1" si="4"/>
        <v>15.264881734209624</v>
      </c>
    </row>
    <row r="50" spans="1:14" s="359" customFormat="1" ht="21" customHeight="1" outlineLevel="1">
      <c r="A50" s="358"/>
      <c r="B50" s="432">
        <f ca="1">B51/1.1</f>
        <v>3.7509424446041395</v>
      </c>
      <c r="C50" s="522">
        <f t="shared" ca="1" si="5"/>
        <v>6.4737999882159452</v>
      </c>
      <c r="D50" s="511">
        <f t="shared" ca="1" si="4"/>
        <v>7.1211799870375403</v>
      </c>
      <c r="E50" s="511">
        <f t="shared" ca="1" si="4"/>
        <v>7.8332979857412948</v>
      </c>
      <c r="F50" s="511">
        <f t="shared" ca="1" si="4"/>
        <v>8.6166277843154244</v>
      </c>
      <c r="G50" s="511">
        <f t="shared" ca="1" si="4"/>
        <v>9.4782905627469685</v>
      </c>
      <c r="H50" s="511">
        <f t="shared" ca="1" si="4"/>
        <v>10.426119619021666</v>
      </c>
      <c r="I50" s="511">
        <f t="shared" ca="1" si="4"/>
        <v>11.468731580923833</v>
      </c>
      <c r="J50" s="511">
        <f t="shared" ca="1" si="4"/>
        <v>12.615604739016216</v>
      </c>
      <c r="K50" s="511">
        <f t="shared" ca="1" si="4"/>
        <v>13.87716521291784</v>
      </c>
      <c r="L50" s="511">
        <f t="shared" ca="1" si="4"/>
        <v>15.264881734209624</v>
      </c>
      <c r="M50" s="512">
        <f t="shared" ca="1" si="4"/>
        <v>16.791369907630589</v>
      </c>
    </row>
    <row r="51" spans="1:14" s="359" customFormat="1" ht="21" customHeight="1" outlineLevel="1">
      <c r="A51" s="358"/>
      <c r="B51" s="432">
        <f ca="1">B52/1.1</f>
        <v>4.1260366890645539</v>
      </c>
      <c r="C51" s="522">
        <f t="shared" ca="1" si="5"/>
        <v>7.1211799870375403</v>
      </c>
      <c r="D51" s="511">
        <f t="shared" ca="1" si="4"/>
        <v>7.8332979857412957</v>
      </c>
      <c r="E51" s="511">
        <f t="shared" ca="1" si="4"/>
        <v>8.6166277843154262</v>
      </c>
      <c r="F51" s="511">
        <f t="shared" ca="1" si="4"/>
        <v>9.4782905627469685</v>
      </c>
      <c r="G51" s="511">
        <f t="shared" ca="1" si="4"/>
        <v>10.426119619021666</v>
      </c>
      <c r="H51" s="511">
        <f t="shared" ca="1" si="4"/>
        <v>11.468731580923833</v>
      </c>
      <c r="I51" s="511">
        <f t="shared" ca="1" si="4"/>
        <v>12.615604739016218</v>
      </c>
      <c r="J51" s="511">
        <f t="shared" ca="1" si="4"/>
        <v>13.87716521291784</v>
      </c>
      <c r="K51" s="511">
        <f t="shared" ca="1" si="4"/>
        <v>15.264881734209625</v>
      </c>
      <c r="L51" s="511">
        <f t="shared" ca="1" si="4"/>
        <v>16.791369907630589</v>
      </c>
      <c r="M51" s="512">
        <f t="shared" ca="1" si="4"/>
        <v>18.470506898393651</v>
      </c>
    </row>
    <row r="52" spans="1:14" s="359" customFormat="1" ht="21" customHeight="1" outlineLevel="1">
      <c r="A52" s="358"/>
      <c r="B52" s="432">
        <f ca="1">D42</f>
        <v>4.5386403579710093</v>
      </c>
      <c r="C52" s="522">
        <f t="shared" ca="1" si="5"/>
        <v>7.8332979857412948</v>
      </c>
      <c r="D52" s="511">
        <f t="shared" ca="1" si="4"/>
        <v>8.6166277843154244</v>
      </c>
      <c r="E52" s="511">
        <f t="shared" ca="1" si="4"/>
        <v>9.4782905627469685</v>
      </c>
      <c r="F52" s="511">
        <f t="shared" ca="1" si="4"/>
        <v>10.426119619021666</v>
      </c>
      <c r="G52" s="511">
        <f t="shared" ca="1" si="4"/>
        <v>11.468731580923833</v>
      </c>
      <c r="H52" s="539">
        <f t="shared" ca="1" si="4"/>
        <v>12.615604739016216</v>
      </c>
      <c r="I52" s="511">
        <f t="shared" ca="1" si="4"/>
        <v>13.87716521291784</v>
      </c>
      <c r="J52" s="511">
        <f t="shared" ca="1" si="4"/>
        <v>15.264881734209624</v>
      </c>
      <c r="K52" s="511">
        <f t="shared" ca="1" si="4"/>
        <v>16.791369907630589</v>
      </c>
      <c r="L52" s="511">
        <f t="shared" ca="1" si="4"/>
        <v>18.470506898393648</v>
      </c>
      <c r="M52" s="512">
        <f t="shared" ca="1" si="4"/>
        <v>20.317557588233015</v>
      </c>
    </row>
    <row r="53" spans="1:14" s="359" customFormat="1" ht="21" customHeight="1" outlineLevel="1">
      <c r="A53" s="358"/>
      <c r="B53" s="432">
        <f ca="1">B52*1.1</f>
        <v>4.9925043937681108</v>
      </c>
      <c r="C53" s="522">
        <f t="shared" ca="1" si="5"/>
        <v>8.6166277843154244</v>
      </c>
      <c r="D53" s="511">
        <f t="shared" ca="1" si="4"/>
        <v>9.4782905627469685</v>
      </c>
      <c r="E53" s="511">
        <f t="shared" ca="1" si="4"/>
        <v>10.426119619021666</v>
      </c>
      <c r="F53" s="511">
        <f t="shared" ca="1" si="4"/>
        <v>11.468731580923833</v>
      </c>
      <c r="G53" s="511">
        <f t="shared" ca="1" si="4"/>
        <v>12.615604739016218</v>
      </c>
      <c r="H53" s="511">
        <f t="shared" ca="1" si="4"/>
        <v>13.87716521291784</v>
      </c>
      <c r="I53" s="511">
        <f t="shared" ca="1" si="4"/>
        <v>15.264881734209625</v>
      </c>
      <c r="J53" s="511">
        <f t="shared" ca="1" si="4"/>
        <v>16.791369907630589</v>
      </c>
      <c r="K53" s="511">
        <f t="shared" ca="1" si="4"/>
        <v>18.470506898393648</v>
      </c>
      <c r="L53" s="511">
        <f t="shared" ca="1" si="4"/>
        <v>20.317557588233015</v>
      </c>
      <c r="M53" s="512">
        <f t="shared" ca="1" si="4"/>
        <v>22.34931334705632</v>
      </c>
    </row>
    <row r="54" spans="1:14" s="359" customFormat="1" ht="21" customHeight="1" outlineLevel="1">
      <c r="A54" s="358"/>
      <c r="B54" s="432">
        <f ca="1">B53*1.1</f>
        <v>5.4917548331449222</v>
      </c>
      <c r="C54" s="522">
        <f t="shared" ca="1" si="5"/>
        <v>9.4782905627469685</v>
      </c>
      <c r="D54" s="511">
        <f t="shared" ca="1" si="4"/>
        <v>10.426119619021666</v>
      </c>
      <c r="E54" s="511">
        <f t="shared" ca="1" si="4"/>
        <v>11.468731580923833</v>
      </c>
      <c r="F54" s="511">
        <f t="shared" ca="1" si="4"/>
        <v>12.615604739016216</v>
      </c>
      <c r="G54" s="511">
        <f t="shared" ca="1" si="4"/>
        <v>13.877165212917841</v>
      </c>
      <c r="H54" s="511">
        <f t="shared" ca="1" si="4"/>
        <v>15.264881734209625</v>
      </c>
      <c r="I54" s="511">
        <f t="shared" ca="1" si="4"/>
        <v>16.791369907630589</v>
      </c>
      <c r="J54" s="511">
        <f t="shared" ca="1" si="4"/>
        <v>18.470506898393648</v>
      </c>
      <c r="K54" s="511">
        <f t="shared" ca="1" si="4"/>
        <v>20.317557588233015</v>
      </c>
      <c r="L54" s="511">
        <f t="shared" ca="1" si="4"/>
        <v>22.349313347056317</v>
      </c>
      <c r="M54" s="512">
        <f t="shared" ca="1" si="4"/>
        <v>24.584244681761952</v>
      </c>
    </row>
    <row r="55" spans="1:14" s="359" customFormat="1" ht="21" customHeight="1" outlineLevel="1">
      <c r="A55" s="358"/>
      <c r="B55" s="432">
        <f ca="1">B54*1.1</f>
        <v>6.0409303164594146</v>
      </c>
      <c r="C55" s="522">
        <f t="shared" ca="1" si="5"/>
        <v>10.426119619021666</v>
      </c>
      <c r="D55" s="511">
        <f t="shared" ca="1" si="4"/>
        <v>11.468731580923833</v>
      </c>
      <c r="E55" s="511">
        <f t="shared" ca="1" si="4"/>
        <v>12.615604739016216</v>
      </c>
      <c r="F55" s="511">
        <f t="shared" ca="1" si="4"/>
        <v>13.87716521291784</v>
      </c>
      <c r="G55" s="511">
        <f t="shared" ca="1" si="4"/>
        <v>15.264881734209625</v>
      </c>
      <c r="H55" s="511">
        <f t="shared" ca="1" si="4"/>
        <v>16.791369907630589</v>
      </c>
      <c r="I55" s="511">
        <f t="shared" ca="1" si="4"/>
        <v>18.470506898393648</v>
      </c>
      <c r="J55" s="511">
        <f t="shared" ca="1" si="4"/>
        <v>20.317557588233015</v>
      </c>
      <c r="K55" s="511">
        <f t="shared" ca="1" si="4"/>
        <v>22.349313347056317</v>
      </c>
      <c r="L55" s="511">
        <f t="shared" ca="1" si="4"/>
        <v>24.584244681761948</v>
      </c>
      <c r="M55" s="512">
        <f t="shared" ca="1" si="4"/>
        <v>27.042669149938149</v>
      </c>
    </row>
    <row r="56" spans="1:14" s="359" customFormat="1" ht="21" customHeight="1" outlineLevel="1">
      <c r="A56" s="358"/>
      <c r="B56" s="432">
        <f ca="1">B55*1.1</f>
        <v>6.6450233481053562</v>
      </c>
      <c r="C56" s="522">
        <f t="shared" ca="1" si="5"/>
        <v>11.468731580923832</v>
      </c>
      <c r="D56" s="511">
        <f t="shared" ca="1" si="4"/>
        <v>12.615604739016216</v>
      </c>
      <c r="E56" s="511">
        <f t="shared" ca="1" si="4"/>
        <v>13.87716521291784</v>
      </c>
      <c r="F56" s="511">
        <f t="shared" ca="1" si="4"/>
        <v>15.264881734209624</v>
      </c>
      <c r="G56" s="511">
        <f t="shared" ca="1" si="4"/>
        <v>16.791369907630589</v>
      </c>
      <c r="H56" s="511">
        <f t="shared" ca="1" si="4"/>
        <v>18.470506898393648</v>
      </c>
      <c r="I56" s="511">
        <f t="shared" ca="1" si="4"/>
        <v>20.317557588233015</v>
      </c>
      <c r="J56" s="511">
        <f t="shared" ca="1" si="4"/>
        <v>22.349313347056317</v>
      </c>
      <c r="K56" s="511">
        <f t="shared" ca="1" si="4"/>
        <v>24.584244681761948</v>
      </c>
      <c r="L56" s="511">
        <f t="shared" ca="1" si="4"/>
        <v>27.042669149938146</v>
      </c>
      <c r="M56" s="512">
        <f t="shared" ca="1" si="4"/>
        <v>29.746936064931965</v>
      </c>
    </row>
    <row r="57" spans="1:14" s="359" customFormat="1" ht="21" customHeight="1" outlineLevel="1">
      <c r="A57" s="358"/>
      <c r="B57" s="432">
        <f ca="1">B56*1.1</f>
        <v>7.3095256829158926</v>
      </c>
      <c r="C57" s="523">
        <f t="shared" ca="1" si="5"/>
        <v>12.615604739016216</v>
      </c>
      <c r="D57" s="513">
        <f t="shared" ca="1" si="4"/>
        <v>13.87716521291784</v>
      </c>
      <c r="E57" s="513">
        <f t="shared" ca="1" si="4"/>
        <v>15.264881734209624</v>
      </c>
      <c r="F57" s="513">
        <f t="shared" ca="1" si="4"/>
        <v>16.791369907630589</v>
      </c>
      <c r="G57" s="513">
        <f t="shared" ca="1" si="4"/>
        <v>18.470506898393648</v>
      </c>
      <c r="H57" s="513">
        <f t="shared" ca="1" si="4"/>
        <v>20.317557588233015</v>
      </c>
      <c r="I57" s="513">
        <f t="shared" ca="1" si="4"/>
        <v>22.349313347056317</v>
      </c>
      <c r="J57" s="513">
        <f t="shared" ca="1" si="4"/>
        <v>24.584244681761948</v>
      </c>
      <c r="K57" s="513">
        <f t="shared" ca="1" si="4"/>
        <v>27.042669149938146</v>
      </c>
      <c r="L57" s="513">
        <f t="shared" ca="1" si="4"/>
        <v>29.746936064931962</v>
      </c>
      <c r="M57" s="514">
        <f t="shared" ca="1" si="4"/>
        <v>32.721629671425163</v>
      </c>
    </row>
    <row r="58" spans="1:14" ht="12">
      <c r="A58" s="344"/>
    </row>
    <row r="59" spans="1:14" ht="24.75" customHeight="1">
      <c r="A59" s="1308" t="s">
        <v>291</v>
      </c>
      <c r="B59" s="1308"/>
      <c r="D59" s="210"/>
      <c r="F59" s="210"/>
      <c r="G59" s="210"/>
    </row>
    <row r="60" spans="1:14" s="342" customFormat="1" ht="14.25" customHeight="1" outlineLevel="1">
      <c r="B60" s="345"/>
      <c r="C60" s="988">
        <f>假设!H2</f>
        <v>2022</v>
      </c>
      <c r="D60" s="362" t="str">
        <f>假设!I2</f>
        <v>2023E</v>
      </c>
      <c r="E60" s="362" t="str">
        <f>假设!J2</f>
        <v>2024E</v>
      </c>
      <c r="F60" s="362" t="str">
        <f>假设!K2</f>
        <v>2025E</v>
      </c>
      <c r="G60" s="346"/>
      <c r="H60" s="347"/>
      <c r="M60" s="210"/>
    </row>
    <row r="61" spans="1:14" ht="14.25" customHeight="1" outlineLevel="1">
      <c r="A61" s="361"/>
      <c r="B61" s="348" t="s">
        <v>345</v>
      </c>
      <c r="C61" s="349">
        <f ca="1">D61</f>
        <v>-0.16878258363402929</v>
      </c>
      <c r="D61" s="349">
        <f ca="1">D4</f>
        <v>-0.16878258363402929</v>
      </c>
      <c r="E61" s="349">
        <f ca="1">E4</f>
        <v>0.14208196892715891</v>
      </c>
      <c r="F61" s="349">
        <f ca="1">F4</f>
        <v>9.694859503498017E-2</v>
      </c>
      <c r="G61" s="350"/>
      <c r="H61" s="351"/>
      <c r="M61" s="352"/>
    </row>
    <row r="62" spans="1:14" ht="14.25" customHeight="1" outlineLevel="1">
      <c r="A62" s="361"/>
      <c r="B62" s="473" t="s">
        <v>838</v>
      </c>
      <c r="C62" s="435" t="e">
        <f ca="1">D62</f>
        <v>#NUM!</v>
      </c>
      <c r="D62" s="436" t="e">
        <f ca="1">(利润表!K30/利润表!I30)^(1/2)-1</f>
        <v>#NUM!</v>
      </c>
      <c r="E62" s="436" t="e">
        <f ca="1">D62</f>
        <v>#NUM!</v>
      </c>
      <c r="F62" s="436" t="e">
        <f ca="1">E62</f>
        <v>#NUM!</v>
      </c>
      <c r="G62" s="350"/>
      <c r="H62" s="351"/>
    </row>
    <row r="63" spans="1:14" ht="14.25" customHeight="1" outlineLevel="1">
      <c r="A63" s="361"/>
      <c r="B63" s="533" t="s">
        <v>365</v>
      </c>
      <c r="C63" s="353">
        <f ca="1">D63</f>
        <v>-25.989742154941741</v>
      </c>
      <c r="D63" s="353">
        <f ca="1">财务分析!I57</f>
        <v>-25.989742154941741</v>
      </c>
      <c r="E63" s="353">
        <f ca="1">财务分析!J57</f>
        <v>30.873838967858017</v>
      </c>
      <c r="F63" s="353">
        <f ca="1">财务分析!K57</f>
        <v>45.24682206390478</v>
      </c>
      <c r="G63" s="350"/>
      <c r="H63" s="351"/>
      <c r="I63" s="352"/>
      <c r="J63" s="352"/>
      <c r="K63" s="352"/>
      <c r="L63" s="352"/>
      <c r="M63" s="352"/>
      <c r="N63" s="352"/>
    </row>
    <row r="64" spans="1:14" ht="14.25" customHeight="1" outlineLevel="1">
      <c r="A64" s="361"/>
      <c r="B64" s="476" t="s">
        <v>840</v>
      </c>
      <c r="C64" s="541" t="e">
        <f ca="1">C63/C62/100</f>
        <v>#NUM!</v>
      </c>
      <c r="D64" s="474" t="e">
        <f ca="1">D63/D62/100</f>
        <v>#NUM!</v>
      </c>
      <c r="E64" s="474" t="e">
        <f ca="1">E63/E62/100</f>
        <v>#NUM!</v>
      </c>
      <c r="F64" s="475" t="e">
        <f ca="1">F63/F62/100</f>
        <v>#NUM!</v>
      </c>
      <c r="G64" s="350"/>
      <c r="H64" s="351"/>
      <c r="I64" s="352"/>
      <c r="J64" s="352"/>
      <c r="K64" s="352"/>
      <c r="L64" s="352"/>
      <c r="M64" s="352"/>
      <c r="N64" s="352"/>
    </row>
    <row r="65" spans="1:13" ht="12" outlineLevel="1">
      <c r="A65" s="361"/>
    </row>
    <row r="66" spans="1:13" ht="26.25" customHeight="1" outlineLevel="1">
      <c r="A66" s="361"/>
      <c r="B66" s="338" t="s">
        <v>839</v>
      </c>
      <c r="C66" s="432">
        <f ca="1">D66/1.1</f>
        <v>-16.137585084812724</v>
      </c>
      <c r="D66" s="432">
        <f ca="1">E66/1.1</f>
        <v>-17.751343593293996</v>
      </c>
      <c r="E66" s="432">
        <f ca="1">F66/1.1</f>
        <v>-19.526477952623395</v>
      </c>
      <c r="F66" s="432">
        <f ca="1">G66/1.1</f>
        <v>-21.479125747885735</v>
      </c>
      <c r="G66" s="432">
        <f ca="1">H66/1.1</f>
        <v>-23.627038322674309</v>
      </c>
      <c r="H66" s="432">
        <f ca="1">C63</f>
        <v>-25.989742154941741</v>
      </c>
      <c r="I66" s="432">
        <f ca="1">H66*1.1</f>
        <v>-28.588716370435918</v>
      </c>
      <c r="J66" s="432">
        <f ca="1">I66*1.1</f>
        <v>-31.447588007479514</v>
      </c>
      <c r="K66" s="432">
        <f ca="1">J66*1.1</f>
        <v>-34.592346808227468</v>
      </c>
      <c r="L66" s="432">
        <f ca="1">K66*1.1</f>
        <v>-38.051581489050221</v>
      </c>
      <c r="M66" s="432">
        <f ca="1">L66*1.1</f>
        <v>-41.856739637955243</v>
      </c>
    </row>
    <row r="67" spans="1:13" ht="20.25" customHeight="1" outlineLevel="1">
      <c r="A67" s="361"/>
      <c r="B67" s="340" t="e">
        <f ca="1">B68/1.1</f>
        <v>#NUM!</v>
      </c>
      <c r="C67" s="519" t="e">
        <f ca="1">C$66/$B67/100</f>
        <v>#NUM!</v>
      </c>
      <c r="D67" s="520" t="e">
        <f t="shared" ref="D67:M77" ca="1" si="6">D$66/$B67/100</f>
        <v>#NUM!</v>
      </c>
      <c r="E67" s="520" t="e">
        <f t="shared" ca="1" si="6"/>
        <v>#NUM!</v>
      </c>
      <c r="F67" s="520" t="e">
        <f t="shared" ca="1" si="6"/>
        <v>#NUM!</v>
      </c>
      <c r="G67" s="520" t="e">
        <f t="shared" ca="1" si="6"/>
        <v>#NUM!</v>
      </c>
      <c r="H67" s="520" t="e">
        <f t="shared" ca="1" si="6"/>
        <v>#NUM!</v>
      </c>
      <c r="I67" s="520" t="e">
        <f t="shared" ca="1" si="6"/>
        <v>#NUM!</v>
      </c>
      <c r="J67" s="520" t="e">
        <f t="shared" ca="1" si="6"/>
        <v>#NUM!</v>
      </c>
      <c r="K67" s="520" t="e">
        <f t="shared" ca="1" si="6"/>
        <v>#NUM!</v>
      </c>
      <c r="L67" s="520" t="e">
        <f t="shared" ca="1" si="6"/>
        <v>#NUM!</v>
      </c>
      <c r="M67" s="521" t="e">
        <f t="shared" ca="1" si="6"/>
        <v>#NUM!</v>
      </c>
    </row>
    <row r="68" spans="1:13" ht="20.25" customHeight="1" outlineLevel="1">
      <c r="A68" s="361"/>
      <c r="B68" s="340" t="e">
        <f ca="1">B69/1.1</f>
        <v>#NUM!</v>
      </c>
      <c r="C68" s="522" t="e">
        <f t="shared" ref="C68:C77" ca="1" si="7">C$66/$B68/100</f>
        <v>#NUM!</v>
      </c>
      <c r="D68" s="511" t="e">
        <f t="shared" ca="1" si="6"/>
        <v>#NUM!</v>
      </c>
      <c r="E68" s="511" t="e">
        <f t="shared" ca="1" si="6"/>
        <v>#NUM!</v>
      </c>
      <c r="F68" s="511" t="e">
        <f t="shared" ca="1" si="6"/>
        <v>#NUM!</v>
      </c>
      <c r="G68" s="511" t="e">
        <f t="shared" ca="1" si="6"/>
        <v>#NUM!</v>
      </c>
      <c r="H68" s="511" t="e">
        <f t="shared" ca="1" si="6"/>
        <v>#NUM!</v>
      </c>
      <c r="I68" s="511" t="e">
        <f t="shared" ca="1" si="6"/>
        <v>#NUM!</v>
      </c>
      <c r="J68" s="511" t="e">
        <f t="shared" ca="1" si="6"/>
        <v>#NUM!</v>
      </c>
      <c r="K68" s="511" t="e">
        <f t="shared" ca="1" si="6"/>
        <v>#NUM!</v>
      </c>
      <c r="L68" s="511" t="e">
        <f t="shared" ca="1" si="6"/>
        <v>#NUM!</v>
      </c>
      <c r="M68" s="512" t="e">
        <f t="shared" ca="1" si="6"/>
        <v>#NUM!</v>
      </c>
    </row>
    <row r="69" spans="1:13" ht="20.25" customHeight="1" outlineLevel="1">
      <c r="A69" s="361"/>
      <c r="B69" s="340" t="e">
        <f ca="1">B70/1.1</f>
        <v>#NUM!</v>
      </c>
      <c r="C69" s="522" t="e">
        <f t="shared" ca="1" si="7"/>
        <v>#NUM!</v>
      </c>
      <c r="D69" s="511" t="e">
        <f t="shared" ca="1" si="6"/>
        <v>#NUM!</v>
      </c>
      <c r="E69" s="511" t="e">
        <f t="shared" ca="1" si="6"/>
        <v>#NUM!</v>
      </c>
      <c r="F69" s="511" t="e">
        <f t="shared" ca="1" si="6"/>
        <v>#NUM!</v>
      </c>
      <c r="G69" s="511" t="e">
        <f t="shared" ca="1" si="6"/>
        <v>#NUM!</v>
      </c>
      <c r="H69" s="511" t="e">
        <f t="shared" ca="1" si="6"/>
        <v>#NUM!</v>
      </c>
      <c r="I69" s="511" t="e">
        <f t="shared" ca="1" si="6"/>
        <v>#NUM!</v>
      </c>
      <c r="J69" s="511" t="e">
        <f t="shared" ca="1" si="6"/>
        <v>#NUM!</v>
      </c>
      <c r="K69" s="511" t="e">
        <f t="shared" ca="1" si="6"/>
        <v>#NUM!</v>
      </c>
      <c r="L69" s="511" t="e">
        <f t="shared" ca="1" si="6"/>
        <v>#NUM!</v>
      </c>
      <c r="M69" s="512" t="e">
        <f t="shared" ca="1" si="6"/>
        <v>#NUM!</v>
      </c>
    </row>
    <row r="70" spans="1:13" ht="20.25" customHeight="1" outlineLevel="1">
      <c r="B70" s="340" t="e">
        <f ca="1">B71/1.1</f>
        <v>#NUM!</v>
      </c>
      <c r="C70" s="522" t="e">
        <f t="shared" ca="1" si="7"/>
        <v>#NUM!</v>
      </c>
      <c r="D70" s="511" t="e">
        <f t="shared" ca="1" si="6"/>
        <v>#NUM!</v>
      </c>
      <c r="E70" s="511" t="e">
        <f t="shared" ca="1" si="6"/>
        <v>#NUM!</v>
      </c>
      <c r="F70" s="511" t="e">
        <f t="shared" ca="1" si="6"/>
        <v>#NUM!</v>
      </c>
      <c r="G70" s="511" t="e">
        <f t="shared" ca="1" si="6"/>
        <v>#NUM!</v>
      </c>
      <c r="H70" s="511" t="e">
        <f t="shared" ca="1" si="6"/>
        <v>#NUM!</v>
      </c>
      <c r="I70" s="511" t="e">
        <f t="shared" ca="1" si="6"/>
        <v>#NUM!</v>
      </c>
      <c r="J70" s="511" t="e">
        <f t="shared" ca="1" si="6"/>
        <v>#NUM!</v>
      </c>
      <c r="K70" s="511" t="e">
        <f t="shared" ca="1" si="6"/>
        <v>#NUM!</v>
      </c>
      <c r="L70" s="511" t="e">
        <f t="shared" ca="1" si="6"/>
        <v>#NUM!</v>
      </c>
      <c r="M70" s="512" t="e">
        <f t="shared" ca="1" si="6"/>
        <v>#NUM!</v>
      </c>
    </row>
    <row r="71" spans="1:13" ht="20.25" customHeight="1" outlineLevel="1">
      <c r="B71" s="340" t="e">
        <f ca="1">B72/1.1</f>
        <v>#NUM!</v>
      </c>
      <c r="C71" s="522" t="e">
        <f t="shared" ca="1" si="7"/>
        <v>#NUM!</v>
      </c>
      <c r="D71" s="511" t="e">
        <f t="shared" ca="1" si="6"/>
        <v>#NUM!</v>
      </c>
      <c r="E71" s="511" t="e">
        <f t="shared" ca="1" si="6"/>
        <v>#NUM!</v>
      </c>
      <c r="F71" s="511" t="e">
        <f t="shared" ca="1" si="6"/>
        <v>#NUM!</v>
      </c>
      <c r="G71" s="511" t="e">
        <f t="shared" ca="1" si="6"/>
        <v>#NUM!</v>
      </c>
      <c r="H71" s="511" t="e">
        <f t="shared" ca="1" si="6"/>
        <v>#NUM!</v>
      </c>
      <c r="I71" s="511" t="e">
        <f t="shared" ca="1" si="6"/>
        <v>#NUM!</v>
      </c>
      <c r="J71" s="511" t="e">
        <f t="shared" ca="1" si="6"/>
        <v>#NUM!</v>
      </c>
      <c r="K71" s="511" t="e">
        <f t="shared" ca="1" si="6"/>
        <v>#NUM!</v>
      </c>
      <c r="L71" s="511" t="e">
        <f t="shared" ca="1" si="6"/>
        <v>#NUM!</v>
      </c>
      <c r="M71" s="512" t="e">
        <f t="shared" ca="1" si="6"/>
        <v>#NUM!</v>
      </c>
    </row>
    <row r="72" spans="1:13" ht="20.25" customHeight="1" outlineLevel="1">
      <c r="B72" s="340" t="e">
        <f ca="1">C62</f>
        <v>#NUM!</v>
      </c>
      <c r="C72" s="522" t="e">
        <f t="shared" ca="1" si="7"/>
        <v>#NUM!</v>
      </c>
      <c r="D72" s="511" t="e">
        <f t="shared" ca="1" si="6"/>
        <v>#NUM!</v>
      </c>
      <c r="E72" s="511" t="e">
        <f t="shared" ca="1" si="6"/>
        <v>#NUM!</v>
      </c>
      <c r="F72" s="511" t="e">
        <f t="shared" ca="1" si="6"/>
        <v>#NUM!</v>
      </c>
      <c r="G72" s="511" t="e">
        <f t="shared" ca="1" si="6"/>
        <v>#NUM!</v>
      </c>
      <c r="H72" s="539" t="e">
        <f t="shared" ca="1" si="6"/>
        <v>#NUM!</v>
      </c>
      <c r="I72" s="511" t="e">
        <f t="shared" ca="1" si="6"/>
        <v>#NUM!</v>
      </c>
      <c r="J72" s="511" t="e">
        <f t="shared" ca="1" si="6"/>
        <v>#NUM!</v>
      </c>
      <c r="K72" s="511" t="e">
        <f t="shared" ca="1" si="6"/>
        <v>#NUM!</v>
      </c>
      <c r="L72" s="511" t="e">
        <f t="shared" ca="1" si="6"/>
        <v>#NUM!</v>
      </c>
      <c r="M72" s="512" t="e">
        <f t="shared" ca="1" si="6"/>
        <v>#NUM!</v>
      </c>
    </row>
    <row r="73" spans="1:13" ht="20.25" customHeight="1" outlineLevel="1">
      <c r="B73" s="340" t="e">
        <f ca="1">B72*1.1</f>
        <v>#NUM!</v>
      </c>
      <c r="C73" s="522" t="e">
        <f t="shared" ca="1" si="7"/>
        <v>#NUM!</v>
      </c>
      <c r="D73" s="511" t="e">
        <f t="shared" ca="1" si="6"/>
        <v>#NUM!</v>
      </c>
      <c r="E73" s="511" t="e">
        <f t="shared" ca="1" si="6"/>
        <v>#NUM!</v>
      </c>
      <c r="F73" s="511" t="e">
        <f t="shared" ca="1" si="6"/>
        <v>#NUM!</v>
      </c>
      <c r="G73" s="511" t="e">
        <f t="shared" ca="1" si="6"/>
        <v>#NUM!</v>
      </c>
      <c r="H73" s="511" t="e">
        <f t="shared" ca="1" si="6"/>
        <v>#NUM!</v>
      </c>
      <c r="I73" s="511" t="e">
        <f t="shared" ca="1" si="6"/>
        <v>#NUM!</v>
      </c>
      <c r="J73" s="511" t="e">
        <f t="shared" ca="1" si="6"/>
        <v>#NUM!</v>
      </c>
      <c r="K73" s="511" t="e">
        <f t="shared" ca="1" si="6"/>
        <v>#NUM!</v>
      </c>
      <c r="L73" s="511" t="e">
        <f t="shared" ca="1" si="6"/>
        <v>#NUM!</v>
      </c>
      <c r="M73" s="512" t="e">
        <f t="shared" ca="1" si="6"/>
        <v>#NUM!</v>
      </c>
    </row>
    <row r="74" spans="1:13" ht="20.25" customHeight="1" outlineLevel="1">
      <c r="B74" s="340" t="e">
        <f ca="1">B73*1.1</f>
        <v>#NUM!</v>
      </c>
      <c r="C74" s="522" t="e">
        <f t="shared" ca="1" si="7"/>
        <v>#NUM!</v>
      </c>
      <c r="D74" s="511" t="e">
        <f t="shared" ca="1" si="6"/>
        <v>#NUM!</v>
      </c>
      <c r="E74" s="511" t="e">
        <f t="shared" ca="1" si="6"/>
        <v>#NUM!</v>
      </c>
      <c r="F74" s="511" t="e">
        <f t="shared" ca="1" si="6"/>
        <v>#NUM!</v>
      </c>
      <c r="G74" s="511" t="e">
        <f t="shared" ca="1" si="6"/>
        <v>#NUM!</v>
      </c>
      <c r="H74" s="511" t="e">
        <f t="shared" ca="1" si="6"/>
        <v>#NUM!</v>
      </c>
      <c r="I74" s="511" t="e">
        <f t="shared" ca="1" si="6"/>
        <v>#NUM!</v>
      </c>
      <c r="J74" s="511" t="e">
        <f t="shared" ca="1" si="6"/>
        <v>#NUM!</v>
      </c>
      <c r="K74" s="511" t="e">
        <f t="shared" ca="1" si="6"/>
        <v>#NUM!</v>
      </c>
      <c r="L74" s="511" t="e">
        <f t="shared" ca="1" si="6"/>
        <v>#NUM!</v>
      </c>
      <c r="M74" s="512" t="e">
        <f t="shared" ca="1" si="6"/>
        <v>#NUM!</v>
      </c>
    </row>
    <row r="75" spans="1:13" ht="20.25" customHeight="1" outlineLevel="1">
      <c r="B75" s="340" t="e">
        <f ca="1">B74*1.1</f>
        <v>#NUM!</v>
      </c>
      <c r="C75" s="522" t="e">
        <f t="shared" ca="1" si="7"/>
        <v>#NUM!</v>
      </c>
      <c r="D75" s="511" t="e">
        <f t="shared" ca="1" si="6"/>
        <v>#NUM!</v>
      </c>
      <c r="E75" s="511" t="e">
        <f t="shared" ca="1" si="6"/>
        <v>#NUM!</v>
      </c>
      <c r="F75" s="511" t="e">
        <f t="shared" ca="1" si="6"/>
        <v>#NUM!</v>
      </c>
      <c r="G75" s="511" t="e">
        <f t="shared" ca="1" si="6"/>
        <v>#NUM!</v>
      </c>
      <c r="H75" s="511" t="e">
        <f t="shared" ca="1" si="6"/>
        <v>#NUM!</v>
      </c>
      <c r="I75" s="511" t="e">
        <f t="shared" ca="1" si="6"/>
        <v>#NUM!</v>
      </c>
      <c r="J75" s="511" t="e">
        <f t="shared" ca="1" si="6"/>
        <v>#NUM!</v>
      </c>
      <c r="K75" s="511" t="e">
        <f t="shared" ca="1" si="6"/>
        <v>#NUM!</v>
      </c>
      <c r="L75" s="511" t="e">
        <f t="shared" ca="1" si="6"/>
        <v>#NUM!</v>
      </c>
      <c r="M75" s="512" t="e">
        <f t="shared" ca="1" si="6"/>
        <v>#NUM!</v>
      </c>
    </row>
    <row r="76" spans="1:13" ht="20.25" customHeight="1" outlineLevel="1">
      <c r="B76" s="340" t="e">
        <f ca="1">B75*1.1</f>
        <v>#NUM!</v>
      </c>
      <c r="C76" s="522" t="e">
        <f t="shared" ca="1" si="7"/>
        <v>#NUM!</v>
      </c>
      <c r="D76" s="511" t="e">
        <f t="shared" ca="1" si="6"/>
        <v>#NUM!</v>
      </c>
      <c r="E76" s="511" t="e">
        <f t="shared" ca="1" si="6"/>
        <v>#NUM!</v>
      </c>
      <c r="F76" s="511" t="e">
        <f t="shared" ca="1" si="6"/>
        <v>#NUM!</v>
      </c>
      <c r="G76" s="511" t="e">
        <f t="shared" ca="1" si="6"/>
        <v>#NUM!</v>
      </c>
      <c r="H76" s="511" t="e">
        <f t="shared" ca="1" si="6"/>
        <v>#NUM!</v>
      </c>
      <c r="I76" s="511" t="e">
        <f t="shared" ca="1" si="6"/>
        <v>#NUM!</v>
      </c>
      <c r="J76" s="511" t="e">
        <f t="shared" ca="1" si="6"/>
        <v>#NUM!</v>
      </c>
      <c r="K76" s="511" t="e">
        <f t="shared" ca="1" si="6"/>
        <v>#NUM!</v>
      </c>
      <c r="L76" s="511" t="e">
        <f t="shared" ca="1" si="6"/>
        <v>#NUM!</v>
      </c>
      <c r="M76" s="512" t="e">
        <f t="shared" ca="1" si="6"/>
        <v>#NUM!</v>
      </c>
    </row>
    <row r="77" spans="1:13" ht="20.25" customHeight="1" outlineLevel="1">
      <c r="B77" s="340" t="e">
        <f ca="1">B76*1.1</f>
        <v>#NUM!</v>
      </c>
      <c r="C77" s="523" t="e">
        <f t="shared" ca="1" si="7"/>
        <v>#NUM!</v>
      </c>
      <c r="D77" s="513" t="e">
        <f t="shared" ca="1" si="6"/>
        <v>#NUM!</v>
      </c>
      <c r="E77" s="513" t="e">
        <f t="shared" ca="1" si="6"/>
        <v>#NUM!</v>
      </c>
      <c r="F77" s="513" t="e">
        <f t="shared" ca="1" si="6"/>
        <v>#NUM!</v>
      </c>
      <c r="G77" s="513" t="e">
        <f t="shared" ca="1" si="6"/>
        <v>#NUM!</v>
      </c>
      <c r="H77" s="513" t="e">
        <f t="shared" ca="1" si="6"/>
        <v>#NUM!</v>
      </c>
      <c r="I77" s="513" t="e">
        <f t="shared" ca="1" si="6"/>
        <v>#NUM!</v>
      </c>
      <c r="J77" s="513" t="e">
        <f t="shared" ca="1" si="6"/>
        <v>#NUM!</v>
      </c>
      <c r="K77" s="513" t="e">
        <f t="shared" ca="1" si="6"/>
        <v>#NUM!</v>
      </c>
      <c r="L77" s="513" t="e">
        <f t="shared" ca="1" si="6"/>
        <v>#NUM!</v>
      </c>
      <c r="M77" s="514" t="e">
        <f t="shared" ca="1" si="6"/>
        <v>#NUM!</v>
      </c>
    </row>
    <row r="79" spans="1:13" ht="24" customHeight="1">
      <c r="A79" s="1308" t="s">
        <v>843</v>
      </c>
      <c r="B79" s="1308"/>
    </row>
    <row r="80" spans="1:13" ht="16.5" customHeight="1" outlineLevel="1">
      <c r="B80" s="345"/>
      <c r="C80" s="988">
        <f>假设!H2</f>
        <v>2022</v>
      </c>
      <c r="D80" s="362" t="str">
        <f>假设!I2</f>
        <v>2023E</v>
      </c>
      <c r="E80" s="362" t="str">
        <f>假设!J2</f>
        <v>2024E</v>
      </c>
      <c r="F80" s="362" t="str">
        <f>假设!K2</f>
        <v>2025E</v>
      </c>
      <c r="G80" s="346"/>
      <c r="H80" s="347"/>
    </row>
    <row r="81" spans="2:13" ht="16.5" customHeight="1" outlineLevel="1">
      <c r="B81" s="473" t="s">
        <v>842</v>
      </c>
      <c r="C81" s="478">
        <f ca="1">D81</f>
        <v>14.276538769569811</v>
      </c>
      <c r="D81" s="478">
        <f ca="1">利润表!I28</f>
        <v>14.276538769569811</v>
      </c>
      <c r="E81" s="478">
        <f ca="1">利润表!J28</f>
        <v>658.64321082848073</v>
      </c>
      <c r="F81" s="478">
        <f ca="1">利润表!K28</f>
        <v>725.00600733661963</v>
      </c>
      <c r="G81" s="350"/>
      <c r="H81" s="351"/>
      <c r="I81" s="352"/>
      <c r="J81" s="352"/>
      <c r="K81" s="352"/>
      <c r="L81" s="352"/>
      <c r="M81" s="352"/>
    </row>
    <row r="82" spans="2:13" ht="16.5" customHeight="1" outlineLevel="1">
      <c r="B82" s="348" t="s">
        <v>2049</v>
      </c>
      <c r="C82" s="479">
        <f>D82</f>
        <v>2.1397330421399414</v>
      </c>
      <c r="D82" s="480">
        <f>年度数据!I130</f>
        <v>2.1397330421399414</v>
      </c>
      <c r="E82" s="480">
        <f>D82</f>
        <v>2.1397330421399414</v>
      </c>
      <c r="F82" s="481">
        <f>E82</f>
        <v>2.1397330421399414</v>
      </c>
      <c r="G82" s="350"/>
      <c r="H82" s="351"/>
      <c r="I82" s="352"/>
      <c r="J82" s="352"/>
      <c r="K82" s="352"/>
      <c r="L82" s="352"/>
      <c r="M82" s="352"/>
    </row>
    <row r="83" spans="2:13" ht="16.5" customHeight="1" outlineLevel="1">
      <c r="B83" s="476" t="s">
        <v>844</v>
      </c>
      <c r="C83" s="542">
        <f ca="1">(C81*C82+资产负债!I3+资产负债!I4-营运资本!I38-资产负债!I85)/目录!$F8</f>
        <v>-1.4341653377278678</v>
      </c>
      <c r="D83" s="542">
        <f ca="1">(D81*D82+资产负债!J3+资产负债!J4-营运资本!J38-资产负债!J85)/目录!$F8</f>
        <v>-4.9071544738855772</v>
      </c>
      <c r="E83" s="542">
        <f ca="1">(E81*E82+资产负债!K3+资产负债!K4-营运资本!K38-资产负债!K85)/目录!$F8</f>
        <v>-2.7584837755083411</v>
      </c>
      <c r="F83" s="542">
        <f ca="1">(F81*F82+资产负债!L3+资产负债!L4-营运资本!L38-资产负债!L85)/目录!$F8</f>
        <v>-5.2301261888417816</v>
      </c>
      <c r="G83" s="350"/>
      <c r="H83" s="351"/>
      <c r="I83" s="352"/>
      <c r="J83" s="352"/>
      <c r="K83" s="352"/>
      <c r="L83" s="352"/>
      <c r="M83" s="352"/>
    </row>
    <row r="84" spans="2:13" outlineLevel="1"/>
    <row r="85" spans="2:13" ht="24" outlineLevel="1">
      <c r="B85" s="338" t="s">
        <v>845</v>
      </c>
      <c r="C85" s="432">
        <f>D85/1.1</f>
        <v>1.3286058715189228</v>
      </c>
      <c r="D85" s="432">
        <f>E85/1.1</f>
        <v>1.4614664586708153</v>
      </c>
      <c r="E85" s="432">
        <f>F85/1.1</f>
        <v>1.607613104537897</v>
      </c>
      <c r="F85" s="432">
        <f>G85/1.1</f>
        <v>1.7683744149916867</v>
      </c>
      <c r="G85" s="432">
        <f>H85/1.1</f>
        <v>1.9452118564908556</v>
      </c>
      <c r="H85" s="432">
        <f>C82</f>
        <v>2.1397330421399414</v>
      </c>
      <c r="I85" s="432">
        <f>H85*1.1</f>
        <v>2.3537063463539356</v>
      </c>
      <c r="J85" s="432">
        <f>I85*1.1</f>
        <v>2.5890769809893293</v>
      </c>
      <c r="K85" s="432">
        <f>J85*1.1</f>
        <v>2.8479846790882624</v>
      </c>
      <c r="L85" s="432">
        <f>K85*1.1</f>
        <v>3.132783146997089</v>
      </c>
      <c r="M85" s="432">
        <f>L85*1.1</f>
        <v>3.4460614616967984</v>
      </c>
    </row>
    <row r="86" spans="2:13" ht="20.25" customHeight="1" outlineLevel="1">
      <c r="B86" s="432">
        <f ca="1">B87/1.1</f>
        <v>8.8646073415066056</v>
      </c>
      <c r="C86" s="519">
        <f ca="1">(C$85*$B86+资产负债!$I$3+资产负债!$I$4-营运资本!$I$38-资产负债!$I$85)/目录!F8</f>
        <v>-1.4501091299700672</v>
      </c>
      <c r="D86" s="520">
        <f ca="1">(D$85*$B86+资产负债!$I$3+资产负债!$I$4-营运资本!$I$38-资产负债!$I$85)/目录!F8</f>
        <v>-1.4491087304299057</v>
      </c>
      <c r="E86" s="520">
        <f ca="1">(E$85*$B86+资产负债!$I$3+资产负债!$I$4-营运资本!$I$38-资产负债!$I$85)/目录!F8</f>
        <v>-1.4480082909357279</v>
      </c>
      <c r="F86" s="520">
        <f ca="1">(F$85*$B86+资产负债!$I$3+资产负债!$I$4-营运资本!$I$38-资产负债!$I$85)/目录!F8</f>
        <v>-1.4467978074921326</v>
      </c>
      <c r="G86" s="520">
        <f ca="1">(G$85*$B86+资产负债!$I$3+资产负债!$I$4-营运资本!$I$38-资产负债!$I$85)/目录!F8</f>
        <v>-1.4454662757041776</v>
      </c>
      <c r="H86" s="520">
        <f ca="1">(H$85*$B86+资产负债!$I$3+资产负债!$I$4-营运资本!$I$38-资产负债!$I$85)/目录!F8</f>
        <v>-1.4440015907374271</v>
      </c>
      <c r="I86" s="520">
        <f ca="1">(I$85*$B86+资产负债!$I$3+资产负债!$I$4-营运资本!$I$38-资产负债!$I$85)/目录!F8</f>
        <v>-1.4423904372740015</v>
      </c>
      <c r="J86" s="520">
        <f ca="1">(J$85*$B86+资产负债!$I$3+资产负债!$I$4-营运资本!$I$38-资产负债!$I$85)/目录!F8</f>
        <v>-1.4406181684642334</v>
      </c>
      <c r="K86" s="520">
        <f ca="1">(K$85*$B86+资产负债!$I$3+资产负债!$I$4-营运资本!$I$38-资产负债!$I$85)/目录!F8</f>
        <v>-1.4386686727734883</v>
      </c>
      <c r="L86" s="520">
        <f ca="1">(L$85*$B86+资产负债!$I$3+资产负债!$I$4-营运资本!$I$38-资产负债!$I$85)/目录!F8</f>
        <v>-1.4365242275136691</v>
      </c>
      <c r="M86" s="521">
        <f ca="1">(M$85*$B86+资产负债!$I$3+资产负债!$I$4-营运资本!$I$38-资产负债!$I$85)/目录!F8</f>
        <v>-1.4341653377278678</v>
      </c>
    </row>
    <row r="87" spans="2:13" ht="20.25" customHeight="1" outlineLevel="1">
      <c r="B87" s="432">
        <f ca="1">B88/1.1</f>
        <v>9.7510680756572672</v>
      </c>
      <c r="C87" s="522">
        <f ca="1">(C$85*$B87+资产负债!$I$3+资产负债!$I$4-营运资本!$I$38-资产负债!$I$85)/目录!F8</f>
        <v>-1.4491087304299057</v>
      </c>
      <c r="D87" s="511">
        <f ca="1">(D$85*$B87+资产负债!$I$3+资产负债!$I$4-营运资本!$I$38-资产负债!$I$85)/目录!F8</f>
        <v>-1.4480082909357279</v>
      </c>
      <c r="E87" s="511">
        <f ca="1">(E$85*$B87+资产负债!$I$3+资产负债!$I$4-营运资本!$I$38-资产负债!$I$85)/目录!F8</f>
        <v>-1.4467978074921326</v>
      </c>
      <c r="F87" s="511">
        <f ca="1">(F$85*$B87+资产负债!$I$3+资产负债!$I$4-营运资本!$I$38-资产负债!$I$85)/目录!F8</f>
        <v>-1.4454662757041776</v>
      </c>
      <c r="G87" s="511">
        <f ca="1">(G$85*$B87+资产负债!$I$3+资产负债!$I$4-营运资本!$I$38-资产负债!$I$85)/目录!F8</f>
        <v>-1.4440015907374271</v>
      </c>
      <c r="H87" s="511">
        <f ca="1">(H$85*$B87+资产负债!$I$3+资产负债!$I$4-营运资本!$I$38-资产负债!$I$85)/目录!F8</f>
        <v>-1.4423904372740015</v>
      </c>
      <c r="I87" s="511">
        <f ca="1">(I$85*$B87+资产负债!$I$3+资产负债!$I$4-营运资本!$I$38-资产负债!$I$85)/目录!F8</f>
        <v>-1.4406181684642334</v>
      </c>
      <c r="J87" s="511">
        <f ca="1">(J$85*$B87+资产负债!$I$3+资产负债!$I$4-营运资本!$I$38-资产负债!$I$85)/目录!F8</f>
        <v>-1.4386686727734883</v>
      </c>
      <c r="K87" s="511">
        <f ca="1">(K$85*$B87+资产负债!$I$3+资产负债!$I$4-营运资本!$I$38-资产负债!$I$85)/目录!F8</f>
        <v>-1.4365242275136691</v>
      </c>
      <c r="L87" s="511">
        <f ca="1">(L$85*$B87+资产负债!$I$3+资产负债!$I$4-营运资本!$I$38-资产负债!$I$85)/目录!F8</f>
        <v>-1.4341653377278678</v>
      </c>
      <c r="M87" s="512">
        <f ca="1">(M$85*$B87+资产负债!$I$3+资产负债!$I$4-营运资本!$I$38-资产负债!$I$85)/目录!F8</f>
        <v>-1.4315705589634864</v>
      </c>
    </row>
    <row r="88" spans="2:13" ht="20.25" customHeight="1" outlineLevel="1">
      <c r="B88" s="432">
        <f ca="1">B89/1.1</f>
        <v>10.726174883222996</v>
      </c>
      <c r="C88" s="522">
        <f ca="1">(C$85*$B88+资产负债!$I$3+资产负债!$I$4-营运资本!$I$38-资产负债!$I$85)/目录!F8</f>
        <v>-1.4480082909357279</v>
      </c>
      <c r="D88" s="511">
        <f ca="1">(D$85*$B88+资产负债!$I$3+资产负债!$I$4-营运资本!$I$38-资产负债!$I$85)/目录!F8</f>
        <v>-1.4467978074921326</v>
      </c>
      <c r="E88" s="511">
        <f ca="1">(E$85*$B88+资产负债!$I$3+资产负债!$I$4-营运资本!$I$38-资产负债!$I$85)/目录!F8</f>
        <v>-1.4454662757041776</v>
      </c>
      <c r="F88" s="511">
        <f ca="1">(F$85*$B88+资产负债!$I$3+资产负债!$I$4-营运资本!$I$38-资产负债!$I$85)/目录!F8</f>
        <v>-1.4440015907374271</v>
      </c>
      <c r="G88" s="511">
        <f ca="1">(G$85*$B88+资产负债!$I$3+资产负债!$I$4-营运资本!$I$38-资产负债!$I$85)/目录!F8</f>
        <v>-1.4423904372740015</v>
      </c>
      <c r="H88" s="511">
        <f ca="1">(H$85*$B88+资产负债!$I$3+资产负债!$I$4-营运资本!$I$38-资产负债!$I$85)/目录!F8</f>
        <v>-1.4406181684642334</v>
      </c>
      <c r="I88" s="511">
        <f ca="1">(I$85*$B88+资产负债!$I$3+资产负债!$I$4-营运资本!$I$38-资产负债!$I$85)/目录!F8</f>
        <v>-1.4386686727734883</v>
      </c>
      <c r="J88" s="511">
        <f ca="1">(J$85*$B88+资产负债!$I$3+资产负债!$I$4-营运资本!$I$38-资产负债!$I$85)/目录!F8</f>
        <v>-1.4365242275136691</v>
      </c>
      <c r="K88" s="511">
        <f ca="1">(K$85*$B88+资产负债!$I$3+资产负债!$I$4-营运资本!$I$38-资产负债!$I$85)/目录!F8</f>
        <v>-1.4341653377278678</v>
      </c>
      <c r="L88" s="511">
        <f ca="1">(L$85*$B88+资产负债!$I$3+资产负债!$I$4-营运资本!$I$38-资产负债!$I$85)/目录!F8</f>
        <v>-1.4315705589634864</v>
      </c>
      <c r="M88" s="512">
        <f ca="1">(M$85*$B88+资产负债!$I$3+资产负债!$I$4-营运资本!$I$38-资产负债!$I$85)/目录!F8</f>
        <v>-1.4287163023226668</v>
      </c>
    </row>
    <row r="89" spans="2:13" ht="20.25" customHeight="1" outlineLevel="1">
      <c r="B89" s="432">
        <f ca="1">B90/1.1</f>
        <v>11.798792371545296</v>
      </c>
      <c r="C89" s="522">
        <f ca="1">(C$85*$B89+资产负债!$I$3+资产负债!$I$4-营运资本!$I$38-资产负债!$I$85)/目录!F8</f>
        <v>-1.4467978074921326</v>
      </c>
      <c r="D89" s="511">
        <f ca="1">(D$85*$B89+资产负债!$I$3+资产负债!$I$4-营运资本!$I$38-资产负债!$I$85)/目录!F8</f>
        <v>-1.4454662757041776</v>
      </c>
      <c r="E89" s="511">
        <f ca="1">(E$85*$B89+资产负债!$I$3+资产负债!$I$4-营运资本!$I$38-资产负债!$I$85)/目录!F8</f>
        <v>-1.4440015907374271</v>
      </c>
      <c r="F89" s="511">
        <f ca="1">(F$85*$B89+资产负债!$I$3+资产负债!$I$4-营运资本!$I$38-资产负债!$I$85)/目录!F8</f>
        <v>-1.4423904372740015</v>
      </c>
      <c r="G89" s="511">
        <f ca="1">(G$85*$B89+资产负债!$I$3+资产负债!$I$4-营运资本!$I$38-资产负债!$I$85)/目录!F8</f>
        <v>-1.4406181684642334</v>
      </c>
      <c r="H89" s="511">
        <f ca="1">(H$85*$B89+资产负债!$I$3+资产负债!$I$4-营运资本!$I$38-资产负债!$I$85)/目录!F8</f>
        <v>-1.4386686727734883</v>
      </c>
      <c r="I89" s="511">
        <f ca="1">(I$85*$B89+资产负债!$I$3+资产负债!$I$4-营运资本!$I$38-资产负债!$I$85)/目录!F8</f>
        <v>-1.4365242275136691</v>
      </c>
      <c r="J89" s="511">
        <f ca="1">(J$85*$B89+资产负债!$I$3+资产负债!$I$4-营运资本!$I$38-资产负债!$I$85)/目录!F8</f>
        <v>-1.4341653377278678</v>
      </c>
      <c r="K89" s="511">
        <f ca="1">(K$85*$B89+资产负债!$I$3+资产负债!$I$4-营运资本!$I$38-资产负债!$I$85)/目录!F8</f>
        <v>-1.4315705589634864</v>
      </c>
      <c r="L89" s="511">
        <f ca="1">(L$85*$B89+资产负债!$I$3+资产负债!$I$4-营运资本!$I$38-资产负债!$I$85)/目录!F8</f>
        <v>-1.4287163023226668</v>
      </c>
      <c r="M89" s="512">
        <f ca="1">(M$85*$B89+资产负债!$I$3+资产负债!$I$4-营运资本!$I$38-资产负债!$I$85)/目录!F8</f>
        <v>-1.4255766200177651</v>
      </c>
    </row>
    <row r="90" spans="2:13" ht="20.25" customHeight="1" outlineLevel="1">
      <c r="B90" s="432">
        <f ca="1">B91/1.1</f>
        <v>12.978671608699827</v>
      </c>
      <c r="C90" s="522">
        <f ca="1">(C$85*$B90+资产负债!$I$3+资产负债!$I$4-营运资本!$I$38-资产负债!$I$85)/目录!F8</f>
        <v>-1.4454662757041776</v>
      </c>
      <c r="D90" s="511">
        <f ca="1">(D$85*$B90+资产负债!$I$3+资产负债!$I$4-营运资本!$I$38-资产负债!$I$85)/目录!F8</f>
        <v>-1.4440015907374271</v>
      </c>
      <c r="E90" s="511">
        <f ca="1">(E$85*$B90+资产负债!$I$3+资产负债!$I$4-营运资本!$I$38-资产负债!$I$85)/目录!F8</f>
        <v>-1.4423904372740015</v>
      </c>
      <c r="F90" s="511">
        <f ca="1">(F$85*$B90+资产负债!$I$3+资产负债!$I$4-营运资本!$I$38-资产负债!$I$85)/目录!F8</f>
        <v>-1.4406181684642334</v>
      </c>
      <c r="G90" s="511">
        <f ca="1">(G$85*$B90+资产负债!$I$3+资产负债!$I$4-营运资本!$I$38-资产负债!$I$85)/目录!F8</f>
        <v>-1.4386686727734883</v>
      </c>
      <c r="H90" s="511">
        <f ca="1">(H$85*$B90+资产负债!$I$3+资产负债!$I$4-营运资本!$I$38-资产负债!$I$85)/目录!F8</f>
        <v>-1.4365242275136691</v>
      </c>
      <c r="I90" s="511">
        <f ca="1">(I$85*$B90+资产负债!$I$3+资产负债!$I$4-营运资本!$I$38-资产负债!$I$85)/目录!F8</f>
        <v>-1.4341653377278678</v>
      </c>
      <c r="J90" s="511">
        <f ca="1">(J$85*$B90+资产负债!$I$3+资产负债!$I$4-营运资本!$I$38-资产负债!$I$85)/目录!F8</f>
        <v>-1.4315705589634864</v>
      </c>
      <c r="K90" s="511">
        <f ca="1">(K$85*$B90+资产负债!$I$3+资产负债!$I$4-营运资本!$I$38-资产负债!$I$85)/目录!F8</f>
        <v>-1.4287163023226668</v>
      </c>
      <c r="L90" s="511">
        <f ca="1">(L$85*$B90+资产负债!$I$3+资产负债!$I$4-营运资本!$I$38-资产负债!$I$85)/目录!F8</f>
        <v>-1.4255766200177651</v>
      </c>
      <c r="M90" s="512">
        <f ca="1">(M$85*$B90+资产负债!$I$3+资产负债!$I$4-营运资本!$I$38-资产负债!$I$85)/目录!F8</f>
        <v>-1.4221229694823734</v>
      </c>
    </row>
    <row r="91" spans="2:13" ht="20.25" customHeight="1" outlineLevel="1">
      <c r="B91" s="432">
        <f ca="1">C81</f>
        <v>14.276538769569811</v>
      </c>
      <c r="C91" s="522">
        <f ca="1">(C$85*$B91+资产负债!$I$3+资产负债!$I$4-营运资本!$I$38-资产负债!$I$85)/目录!F8</f>
        <v>-1.4440015907374271</v>
      </c>
      <c r="D91" s="511">
        <f ca="1">(D$85*$B91+资产负债!$I$3+资产负债!$I$4-营运资本!$I$38-资产负债!$I$85)/目录!F8</f>
        <v>-1.4423904372740015</v>
      </c>
      <c r="E91" s="511">
        <f ca="1">(E$85*$B91+资产负债!$I$3+资产负债!$I$4-营运资本!$I$38-资产负债!$I$85)/目录!F8</f>
        <v>-1.4406181684642334</v>
      </c>
      <c r="F91" s="511">
        <f ca="1">(F$85*$B91+资产负债!$I$3+资产负债!$I$4-营运资本!$I$38-资产负债!$I$85)/目录!F8</f>
        <v>-1.4386686727734883</v>
      </c>
      <c r="G91" s="511">
        <f ca="1">(G$85*$B91+资产负债!$I$3+资产负债!$I$4-营运资本!$I$38-资产负债!$I$85)/目录!F8</f>
        <v>-1.4365242275136691</v>
      </c>
      <c r="H91" s="542">
        <f ca="1">(H$85*$B91+资产负债!$I$3+资产负债!$I$4-营运资本!$I$38-资产负债!$I$85)/目录!F8</f>
        <v>-1.4341653377278678</v>
      </c>
      <c r="I91" s="511">
        <f ca="1">(I$85*$B91+资产负债!$I$3+资产负债!$I$4-营运资本!$I$38-资产负债!$I$85)/目录!F8</f>
        <v>-1.4315705589634864</v>
      </c>
      <c r="J91" s="511">
        <f ca="1">(J$85*$B91+资产负债!$I$3+资产负债!$I$4-营运资本!$I$38-资产负债!$I$85)/目录!F8</f>
        <v>-1.4287163023226668</v>
      </c>
      <c r="K91" s="511">
        <f ca="1">(K$85*$B91+资产负债!$I$3+资产负债!$I$4-营运资本!$I$38-资产负债!$I$85)/目录!F8</f>
        <v>-1.4255766200177651</v>
      </c>
      <c r="L91" s="511">
        <f ca="1">(L$85*$B91+资产负债!$I$3+资产负债!$I$4-营运资本!$I$38-资产负债!$I$85)/目录!F8</f>
        <v>-1.4221229694823734</v>
      </c>
      <c r="M91" s="512">
        <f ca="1">(M$85*$B91+资产负债!$I$3+资产负债!$I$4-营运资本!$I$38-资产负债!$I$85)/目录!F8</f>
        <v>-1.4183239538934427</v>
      </c>
    </row>
    <row r="92" spans="2:13" ht="20.25" customHeight="1" outlineLevel="1">
      <c r="B92" s="432">
        <f ca="1">B91*1.1</f>
        <v>15.704192646526794</v>
      </c>
      <c r="C92" s="522">
        <f ca="1">(C$85*$B92+资产负债!$I$3+资产负债!$I$4-营运资本!$I$38-资产负债!$I$85)/目录!F8</f>
        <v>-1.4423904372740015</v>
      </c>
      <c r="D92" s="511">
        <f ca="1">(D$85*$B92+资产负债!$I$3+资产负债!$I$4-营运资本!$I$38-资产负债!$I$85)/目录!F8</f>
        <v>-1.4406181684642334</v>
      </c>
      <c r="E92" s="511">
        <f ca="1">(E$85*$B92+资产负债!$I$3+资产负债!$I$4-营运资本!$I$38-资产负债!$I$85)/目录!F8</f>
        <v>-1.4386686727734883</v>
      </c>
      <c r="F92" s="511">
        <f ca="1">(F$85*$B92+资产负债!$I$3+资产负债!$I$4-营运资本!$I$38-资产负债!$I$85)/目录!F8</f>
        <v>-1.4365242275136691</v>
      </c>
      <c r="G92" s="511">
        <f ca="1">(G$85*$B92+资产负债!$I$3+资产负债!$I$4-营运资本!$I$38-资产负债!$I$85)/目录!F8</f>
        <v>-1.4341653377278678</v>
      </c>
      <c r="H92" s="511">
        <f ca="1">(H$85*$B92+资产负债!$I$3+资产负债!$I$4-营运资本!$I$38-资产负债!$I$85)/目录!F8</f>
        <v>-1.4315705589634864</v>
      </c>
      <c r="I92" s="511">
        <f ca="1">(I$85*$B92+资产负债!$I$3+资产负债!$I$4-营运资本!$I$38-资产负债!$I$85)/目录!F8</f>
        <v>-1.4287163023226668</v>
      </c>
      <c r="J92" s="511">
        <f ca="1">(J$85*$B92+资产负债!$I$3+资产负债!$I$4-营运资本!$I$38-资产负债!$I$85)/目录!F8</f>
        <v>-1.4255766200177651</v>
      </c>
      <c r="K92" s="511">
        <f ca="1">(K$85*$B92+资产负债!$I$3+资产负债!$I$4-营运资本!$I$38-资产负债!$I$85)/目录!F8</f>
        <v>-1.4221229694823734</v>
      </c>
      <c r="L92" s="511">
        <f ca="1">(L$85*$B92+资产负债!$I$3+资产负债!$I$4-营运资本!$I$38-资产负债!$I$85)/目录!F8</f>
        <v>-1.4183239538934427</v>
      </c>
      <c r="M92" s="512">
        <f ca="1">(M$85*$B92+资产负债!$I$3+资产负债!$I$4-营运资本!$I$38-资产负债!$I$85)/目录!F8</f>
        <v>-1.4141450367456183</v>
      </c>
    </row>
    <row r="93" spans="2:13" ht="20.25" customHeight="1" outlineLevel="1">
      <c r="B93" s="432">
        <f ca="1">B92*1.1</f>
        <v>17.274611911179473</v>
      </c>
      <c r="C93" s="522">
        <f ca="1">(C$85*$B93+资产负债!$I$3+资产负债!$I$4-营运资本!$I$38-资产负债!$I$85)/目录!F8</f>
        <v>-1.4406181684642334</v>
      </c>
      <c r="D93" s="511">
        <f ca="1">(D$85*$B93+资产负债!$I$3+资产负债!$I$4-营运资本!$I$38-资产负债!$I$85)/目录!F8</f>
        <v>-1.4386686727734883</v>
      </c>
      <c r="E93" s="511">
        <f ca="1">(E$85*$B93+资产负债!$I$3+资产负债!$I$4-营运资本!$I$38-资产负债!$I$85)/目录!F8</f>
        <v>-1.4365242275136691</v>
      </c>
      <c r="F93" s="511">
        <f ca="1">(F$85*$B93+资产负债!$I$3+资产负债!$I$4-营运资本!$I$38-资产负债!$I$85)/目录!F8</f>
        <v>-1.4341653377278678</v>
      </c>
      <c r="G93" s="511">
        <f ca="1">(G$85*$B93+资产负债!$I$3+资产负债!$I$4-营运资本!$I$38-资产负债!$I$85)/目录!F8</f>
        <v>-1.4315705589634864</v>
      </c>
      <c r="H93" s="511">
        <f ca="1">(H$85*$B93+资产负债!$I$3+资产负债!$I$4-营运资本!$I$38-资产负债!$I$85)/目录!F8</f>
        <v>-1.4287163023226668</v>
      </c>
      <c r="I93" s="511">
        <f ca="1">(I$85*$B93+资产负债!$I$3+资产负债!$I$4-营运资本!$I$38-资产负债!$I$85)/目录!F8</f>
        <v>-1.4255766200177651</v>
      </c>
      <c r="J93" s="511">
        <f ca="1">(J$85*$B93+资产负债!$I$3+资产负债!$I$4-营运资本!$I$38-资产负债!$I$85)/目录!F8</f>
        <v>-1.4221229694823734</v>
      </c>
      <c r="K93" s="511">
        <f ca="1">(K$85*$B93+资产负债!$I$3+资产负债!$I$4-营运资本!$I$38-资产负债!$I$85)/目录!F8</f>
        <v>-1.4183239538934427</v>
      </c>
      <c r="L93" s="511">
        <f ca="1">(L$85*$B93+资产负债!$I$3+资产负债!$I$4-营运资本!$I$38-资产负债!$I$85)/目录!F8</f>
        <v>-1.4141450367456183</v>
      </c>
      <c r="M93" s="512">
        <f ca="1">(M$85*$B93+资产负债!$I$3+资产负债!$I$4-营运资本!$I$38-资产负债!$I$85)/目录!F8</f>
        <v>-1.4095482278830123</v>
      </c>
    </row>
    <row r="94" spans="2:13" ht="20.25" customHeight="1" outlineLevel="1">
      <c r="B94" s="432">
        <f ca="1">B93*1.1</f>
        <v>19.002073102297423</v>
      </c>
      <c r="C94" s="522">
        <f ca="1">(C$85*$B94+资产负债!$I$3+资产负债!$I$4-营运资本!$I$38-资产负债!$I$85)/目录!F8</f>
        <v>-1.4386686727734883</v>
      </c>
      <c r="D94" s="511">
        <f ca="1">(D$85*$B94+资产负债!$I$3+资产负债!$I$4-营运资本!$I$38-资产负债!$I$85)/目录!F8</f>
        <v>-1.4365242275136691</v>
      </c>
      <c r="E94" s="511">
        <f ca="1">(E$85*$B94+资产负债!$I$3+资产负债!$I$4-营运资本!$I$38-资产负债!$I$85)/目录!F8</f>
        <v>-1.4341653377278678</v>
      </c>
      <c r="F94" s="511">
        <f ca="1">(F$85*$B94+资产负债!$I$3+资产负债!$I$4-营运资本!$I$38-资产负债!$I$85)/目录!F8</f>
        <v>-1.4315705589634864</v>
      </c>
      <c r="G94" s="511">
        <f ca="1">(G$85*$B94+资产负债!$I$3+资产负债!$I$4-营运资本!$I$38-资产负债!$I$85)/目录!F8</f>
        <v>-1.4287163023226668</v>
      </c>
      <c r="H94" s="511">
        <f ca="1">(H$85*$B94+资产负债!$I$3+资产负债!$I$4-营运资本!$I$38-资产负债!$I$85)/目录!F8</f>
        <v>-1.4255766200177651</v>
      </c>
      <c r="I94" s="511">
        <f ca="1">(I$85*$B94+资产负债!$I$3+资产负债!$I$4-营运资本!$I$38-资产负债!$I$85)/目录!F8</f>
        <v>-1.4221229694823734</v>
      </c>
      <c r="J94" s="511">
        <f ca="1">(J$85*$B94+资产负债!$I$3+资产负债!$I$4-营运资本!$I$38-资产负债!$I$85)/目录!F8</f>
        <v>-1.4183239538934427</v>
      </c>
      <c r="K94" s="511">
        <f ca="1">(K$85*$B94+资产负债!$I$3+资产负债!$I$4-营运资本!$I$38-资产负债!$I$85)/目录!F8</f>
        <v>-1.4141450367456183</v>
      </c>
      <c r="L94" s="511">
        <f ca="1">(L$85*$B94+资产负债!$I$3+资产负债!$I$4-营运资本!$I$38-资产负债!$I$85)/目录!F8</f>
        <v>-1.4095482278830123</v>
      </c>
      <c r="M94" s="512">
        <f ca="1">(M$85*$B94+资产负债!$I$3+资产负债!$I$4-营运资本!$I$38-资产负债!$I$85)/目录!F8</f>
        <v>-1.4044917381341449</v>
      </c>
    </row>
    <row r="95" spans="2:13" ht="20.25" customHeight="1" outlineLevel="1">
      <c r="B95" s="432">
        <f ca="1">B94*1.1</f>
        <v>20.902280412527166</v>
      </c>
      <c r="C95" s="522">
        <f ca="1">(C$85*$B95+资产负债!$I$3+资产负债!$I$4-营运资本!$I$38-资产负债!$I$85)/目录!F8</f>
        <v>-1.4365242275136691</v>
      </c>
      <c r="D95" s="511">
        <f ca="1">(D$85*$B95+资产负债!$I$3+资产负债!$I$4-营运资本!$I$38-资产负债!$I$85)/目录!F8</f>
        <v>-1.4341653377278678</v>
      </c>
      <c r="E95" s="511">
        <f ca="1">(E$85*$B95+资产负债!$I$3+资产负债!$I$4-营运资本!$I$38-资产负债!$I$85)/目录!F8</f>
        <v>-1.4315705589634864</v>
      </c>
      <c r="F95" s="511">
        <f ca="1">(F$85*$B95+资产负债!$I$3+资产负债!$I$4-营运资本!$I$38-资产负债!$I$85)/目录!F8</f>
        <v>-1.4287163023226668</v>
      </c>
      <c r="G95" s="511">
        <f ca="1">(G$85*$B95+资产负债!$I$3+资产负债!$I$4-营运资本!$I$38-资产负债!$I$85)/目录!F8</f>
        <v>-1.4255766200177651</v>
      </c>
      <c r="H95" s="511">
        <f ca="1">(H$85*$B95+资产负债!$I$3+资产负债!$I$4-营运资本!$I$38-资产负债!$I$85)/目录!F8</f>
        <v>-1.4221229694823734</v>
      </c>
      <c r="I95" s="511">
        <f ca="1">(I$85*$B95+资产负债!$I$3+资产负债!$I$4-营运资本!$I$38-资产负债!$I$85)/目录!F8</f>
        <v>-1.4183239538934427</v>
      </c>
      <c r="J95" s="511">
        <f ca="1">(J$85*$B95+资产负债!$I$3+资产负债!$I$4-营运资本!$I$38-资产负债!$I$85)/目录!F8</f>
        <v>-1.4141450367456183</v>
      </c>
      <c r="K95" s="511">
        <f ca="1">(K$85*$B95+资产负债!$I$3+资产负债!$I$4-营运资本!$I$38-资产负债!$I$85)/目录!F8</f>
        <v>-1.4095482278830123</v>
      </c>
      <c r="L95" s="511">
        <f ca="1">(L$85*$B95+资产负债!$I$3+资产负债!$I$4-营运资本!$I$38-资产负债!$I$85)/目录!F8</f>
        <v>-1.4044917381341449</v>
      </c>
      <c r="M95" s="512">
        <f ca="1">(M$85*$B95+资产负债!$I$3+资产负债!$I$4-营运资本!$I$38-资产负债!$I$85)/目录!F8</f>
        <v>-1.3989295994103914</v>
      </c>
    </row>
    <row r="96" spans="2:13" ht="20.25" customHeight="1" outlineLevel="1">
      <c r="B96" s="432">
        <f ca="1">B95*1.1</f>
        <v>22.992508453779884</v>
      </c>
      <c r="C96" s="523">
        <f ca="1">(C$85*$B96+资产负债!$I$3+资产负债!$I$4-营运资本!$I$38-资产负债!$I$85)/目录!F8</f>
        <v>-1.4341653377278678</v>
      </c>
      <c r="D96" s="513">
        <f ca="1">(D$85*$B96+资产负债!$I$3+资产负债!$I$4-营运资本!$I$38-资产负债!$I$85)/目录!F8</f>
        <v>-1.4315705589634864</v>
      </c>
      <c r="E96" s="513">
        <f ca="1">(E$85*$B96+资产负债!$I$3+资产负债!$I$4-营运资本!$I$38-资产负债!$I$85)/目录!F8</f>
        <v>-1.4287163023226668</v>
      </c>
      <c r="F96" s="513">
        <f ca="1">(F$85*$B96+资产负债!$I$3+资产负债!$I$4-营运资本!$I$38-资产负债!$I$85)/目录!F8</f>
        <v>-1.4255766200177651</v>
      </c>
      <c r="G96" s="513">
        <f ca="1">(G$85*$B96+资产负债!$I$3+资产负债!$I$4-营运资本!$I$38-资产负债!$I$85)/目录!F8</f>
        <v>-1.4221229694823734</v>
      </c>
      <c r="H96" s="513">
        <f ca="1">(H$85*$B96+资产负债!$I$3+资产负债!$I$4-营运资本!$I$38-资产负债!$I$85)/目录!F8</f>
        <v>-1.4183239538934427</v>
      </c>
      <c r="I96" s="513">
        <f ca="1">(I$85*$B96+资产负债!$I$3+资产负债!$I$4-营运资本!$I$38-资产负债!$I$85)/目录!F8</f>
        <v>-1.4141450367456183</v>
      </c>
      <c r="J96" s="513">
        <f ca="1">(J$85*$B96+资产负债!$I$3+资产负债!$I$4-营运资本!$I$38-资产负债!$I$85)/目录!F8</f>
        <v>-1.4095482278830123</v>
      </c>
      <c r="K96" s="513">
        <f ca="1">(K$85*$B96+资产负债!$I$3+资产负债!$I$4-营运资本!$I$38-资产负债!$I$85)/目录!F8</f>
        <v>-1.4044917381341449</v>
      </c>
      <c r="L96" s="513">
        <f ca="1">(L$85*$B96+资产负债!$I$3+资产负债!$I$4-营运资本!$I$38-资产负债!$I$85)/目录!F8</f>
        <v>-1.3989295994103914</v>
      </c>
      <c r="M96" s="514">
        <f ca="1">(M$85*$B96+资产负债!$I$3+资产负债!$I$4-营运资本!$I$38-资产负债!$I$85)/目录!F8</f>
        <v>-1.3928112468142622</v>
      </c>
    </row>
  </sheetData>
  <mergeCells count="6">
    <mergeCell ref="A59:B59"/>
    <mergeCell ref="A79:B79"/>
    <mergeCell ref="A1:B1"/>
    <mergeCell ref="A2:B2"/>
    <mergeCell ref="A21:B21"/>
    <mergeCell ref="A40:B40"/>
  </mergeCells>
  <phoneticPr fontId="67" type="noConversion"/>
  <pageMargins left="0.7" right="0.7" top="0.75" bottom="0.75" header="0.3" footer="0.3"/>
  <pageSetup paperSize="9" orientation="portrait" horizontalDpi="300" verticalDpi="300" r:id="rId1"/>
  <ignoredErrors>
    <ignoredError sqref="C6:F6 C44:F44 C25:F25" evalError="1"/>
  </ignoredError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tabColor theme="0"/>
  </sheetPr>
  <dimension ref="A1:IU767"/>
  <sheetViews>
    <sheetView workbookViewId="0">
      <pane xSplit="1" ySplit="3" topLeftCell="C4" activePane="bottomRight" state="frozen"/>
      <selection activeCell="A37" sqref="A37"/>
      <selection pane="topRight" activeCell="A37" sqref="A37"/>
      <selection pane="bottomLeft" activeCell="A37" sqref="A37"/>
      <selection pane="bottomRight" activeCell="C4" sqref="C4"/>
    </sheetView>
  </sheetViews>
  <sheetFormatPr defaultColWidth="9.375" defaultRowHeight="18" customHeight="1"/>
  <cols>
    <col min="1" max="1" width="29.625" style="591" customWidth="1"/>
    <col min="2" max="2" width="14.125" style="592" hidden="1" customWidth="1"/>
    <col min="3" max="3" width="17" style="1153" customWidth="1"/>
    <col min="4" max="4" width="15.5" style="1153" customWidth="1"/>
    <col min="5" max="8" width="14.125" style="1153" customWidth="1"/>
    <col min="9" max="9" width="14.125" style="1154" customWidth="1"/>
    <col min="10" max="10" width="14.125" style="1155" customWidth="1"/>
    <col min="11" max="11" width="14.125" style="1153" customWidth="1"/>
    <col min="12" max="12" width="14.125" style="1153" hidden="1" customWidth="1"/>
    <col min="13" max="13" width="14.125" style="593" hidden="1" customWidth="1"/>
    <col min="14" max="14" width="1.625" style="593" hidden="1" customWidth="1"/>
    <col min="15" max="15" width="15.875" style="593" customWidth="1"/>
    <col min="16" max="16" width="25" style="593" hidden="1" customWidth="1"/>
    <col min="17" max="39" width="15.875" style="569" customWidth="1"/>
    <col min="40" max="16384" width="9.375" style="569"/>
  </cols>
  <sheetData>
    <row r="1" spans="1:255" s="548" customFormat="1" ht="16.5" customHeight="1">
      <c r="A1" s="784"/>
      <c r="B1" s="784"/>
      <c r="C1" s="1133"/>
      <c r="D1" s="786"/>
      <c r="E1" s="1134"/>
      <c r="F1" s="1135"/>
      <c r="G1" s="1135"/>
      <c r="H1" s="1136"/>
      <c r="I1" s="1137"/>
      <c r="J1" s="1138"/>
      <c r="K1" s="1139"/>
      <c r="L1" s="1140"/>
      <c r="M1" s="549"/>
      <c r="N1" s="549"/>
      <c r="O1" s="549"/>
      <c r="P1" s="549"/>
      <c r="Q1" s="549"/>
    </row>
    <row r="2" spans="1:255" s="554" customFormat="1" ht="9.75" customHeight="1">
      <c r="B2" s="555"/>
      <c r="M2" s="555"/>
      <c r="N2" s="555"/>
      <c r="O2" s="555"/>
      <c r="P2" s="555"/>
      <c r="Q2" s="555"/>
      <c r="R2" s="555"/>
      <c r="S2" s="555"/>
      <c r="T2" s="555"/>
      <c r="U2" s="555"/>
      <c r="V2" s="555"/>
      <c r="W2" s="555"/>
      <c r="X2" s="555"/>
      <c r="Y2" s="555"/>
      <c r="Z2" s="555"/>
      <c r="AA2" s="555"/>
      <c r="AB2" s="555"/>
      <c r="AC2" s="555"/>
      <c r="AD2" s="555"/>
      <c r="AE2" s="555"/>
      <c r="AF2" s="555"/>
      <c r="AG2" s="555"/>
      <c r="AH2" s="555"/>
      <c r="AI2" s="555"/>
      <c r="AJ2" s="555"/>
      <c r="AK2" s="555"/>
      <c r="AL2" s="555"/>
      <c r="AM2" s="555"/>
    </row>
    <row r="3" spans="1:255" s="558" customFormat="1" ht="18" customHeight="1">
      <c r="A3" s="556" t="s">
        <v>638</v>
      </c>
      <c r="B3" s="557"/>
      <c r="C3" s="1141" t="str">
        <f ca="1">CONCATENATE(数据输入!O5,"-12-","31")</f>
        <v>2021-12-31</v>
      </c>
      <c r="D3" s="1141" t="str">
        <f ca="1">CONCATENATE(数据输入!O4,"-03-","31")</f>
        <v>2022-03-31</v>
      </c>
      <c r="E3" s="1141" t="str">
        <f ca="1">CONCATENATE(数据输入!O4,"-06-","30")</f>
        <v>2022-06-30</v>
      </c>
      <c r="F3" s="1141" t="str">
        <f ca="1">CONCATENATE(数据输入!O4,"-09-","30")</f>
        <v>2022-09-30</v>
      </c>
      <c r="G3" s="1141" t="str">
        <f ca="1">CONCATENATE(数据输入!O4,"-12-","31")</f>
        <v>2022-12-31</v>
      </c>
      <c r="H3" s="1141" t="str">
        <f ca="1">CONCATENATE(数据输入!O3,"-03-","31")</f>
        <v>2023-03-31</v>
      </c>
      <c r="I3" s="1141" t="str">
        <f ca="1">CONCATENATE(数据输入!O3,"-06-","30")</f>
        <v>2023-06-30</v>
      </c>
      <c r="J3" s="1141" t="str">
        <f ca="1">CONCATENATE(数据输入!O3,"-09-","30")</f>
        <v>2023-09-30</v>
      </c>
      <c r="K3" s="1141" t="str">
        <f ca="1">CONCATENATE(数据输入!O3,"-12-","31")</f>
        <v>2023-12-31</v>
      </c>
      <c r="L3" s="1141" t="str">
        <f ca="1">CONCATENATE(数据输入!O2,"-03-","31")</f>
        <v>2024-03-31</v>
      </c>
      <c r="M3" s="1082" t="str">
        <f ca="1">CONCATENATE(数据输入!O2,"-06-","30")</f>
        <v>2024-06-30</v>
      </c>
      <c r="N3" s="1082" t="str">
        <f ca="1">CONCATENATE(数据输入!O2,"-09-","30")</f>
        <v>2024-09-30</v>
      </c>
      <c r="O3" s="557"/>
      <c r="P3" s="557"/>
      <c r="Q3" s="557"/>
      <c r="R3" s="557"/>
      <c r="S3" s="557"/>
      <c r="T3" s="557"/>
      <c r="U3" s="557"/>
      <c r="V3" s="557"/>
      <c r="W3" s="557"/>
      <c r="X3" s="557"/>
      <c r="Y3" s="557"/>
      <c r="Z3" s="557"/>
      <c r="AA3" s="557"/>
      <c r="AB3" s="557"/>
      <c r="AC3" s="557"/>
      <c r="AD3" s="557"/>
      <c r="AE3" s="557"/>
      <c r="AF3" s="557"/>
      <c r="AG3" s="557"/>
      <c r="AH3" s="557"/>
      <c r="AI3" s="557"/>
      <c r="AJ3" s="557"/>
      <c r="AK3" s="557"/>
      <c r="AL3" s="557"/>
      <c r="AM3" s="557"/>
      <c r="AN3" s="557"/>
      <c r="AO3" s="557"/>
      <c r="AP3" s="557"/>
      <c r="AQ3" s="557"/>
      <c r="AR3" s="557"/>
      <c r="AS3" s="557"/>
      <c r="AT3" s="557"/>
      <c r="AU3" s="557"/>
      <c r="AV3" s="557"/>
    </row>
    <row r="4" spans="1:255" s="565" customFormat="1" ht="18" customHeight="1">
      <c r="A4" s="559" t="s">
        <v>920</v>
      </c>
      <c r="B4" s="560"/>
      <c r="C4" s="1142">
        <v>7770.7241516800004</v>
      </c>
      <c r="D4" s="1142">
        <v>1734.63153848</v>
      </c>
      <c r="E4" s="1142">
        <v>4140.6018343099995</v>
      </c>
      <c r="F4" s="1142">
        <v>5956.5449686800002</v>
      </c>
      <c r="G4" s="1142">
        <v>7660.6405554399998</v>
      </c>
      <c r="H4" s="1142">
        <v>1866.3621105899999</v>
      </c>
      <c r="I4" s="1142">
        <v>4336.57805852</v>
      </c>
      <c r="J4" s="1143">
        <v>6240.7563878000001</v>
      </c>
      <c r="K4" s="1143">
        <v>0</v>
      </c>
      <c r="L4" s="1143">
        <v>0</v>
      </c>
      <c r="M4" s="562">
        <v>0</v>
      </c>
      <c r="N4" s="562">
        <v>0</v>
      </c>
      <c r="O4"/>
      <c r="P4" s="832" t="s">
        <v>2008</v>
      </c>
      <c r="Q4" s="562"/>
      <c r="R4" s="562"/>
      <c r="S4" s="562"/>
      <c r="T4" s="562"/>
      <c r="U4" s="562"/>
      <c r="V4" s="562"/>
      <c r="W4" s="562"/>
      <c r="X4" s="562"/>
      <c r="Y4" s="562"/>
      <c r="Z4" s="562"/>
      <c r="AA4" s="562"/>
      <c r="AB4" s="562"/>
      <c r="AC4" s="562"/>
      <c r="AD4" s="562"/>
      <c r="AE4" s="562"/>
      <c r="AF4" s="562"/>
      <c r="AG4" s="562"/>
      <c r="AH4" s="563"/>
      <c r="AI4" s="563"/>
      <c r="AJ4" s="563"/>
      <c r="AK4" s="563"/>
      <c r="AL4" s="563"/>
      <c r="AM4" s="563"/>
      <c r="AN4" s="563"/>
      <c r="AO4" s="563"/>
      <c r="AP4" s="563"/>
      <c r="AQ4" s="563"/>
      <c r="AR4" s="563"/>
      <c r="AS4" s="563"/>
      <c r="AT4" s="563"/>
      <c r="AU4" s="563"/>
      <c r="AV4" s="563"/>
      <c r="AW4" s="563"/>
      <c r="AX4" s="563"/>
      <c r="AY4" s="563"/>
      <c r="AZ4" s="563"/>
      <c r="BA4" s="563"/>
      <c r="BB4" s="563"/>
      <c r="BC4" s="563"/>
      <c r="BD4" s="564"/>
      <c r="BE4" s="564"/>
      <c r="BF4" s="564"/>
      <c r="BG4" s="564"/>
      <c r="BH4" s="564"/>
      <c r="BI4" s="564"/>
      <c r="BJ4" s="564"/>
      <c r="BK4" s="564"/>
      <c r="BL4" s="564"/>
      <c r="BM4" s="564"/>
      <c r="BN4" s="564"/>
      <c r="BO4" s="564"/>
      <c r="BP4" s="564"/>
      <c r="BQ4" s="564"/>
      <c r="BR4" s="564"/>
      <c r="BS4" s="564"/>
      <c r="BT4" s="564"/>
      <c r="BU4" s="564"/>
      <c r="BV4" s="564"/>
      <c r="BW4" s="564"/>
      <c r="BX4" s="564"/>
    </row>
    <row r="5" spans="1:255" ht="18" customHeight="1">
      <c r="A5" s="566" t="s">
        <v>846</v>
      </c>
      <c r="B5" s="561"/>
      <c r="C5" s="1142">
        <v>7770.7241516800004</v>
      </c>
      <c r="D5" s="1142">
        <v>1734.63153848</v>
      </c>
      <c r="E5" s="1142">
        <v>4140.6018343099995</v>
      </c>
      <c r="F5" s="1142">
        <v>5956.5449686800002</v>
      </c>
      <c r="G5" s="1142">
        <v>7660.6405554399998</v>
      </c>
      <c r="H5" s="1142">
        <v>1866.3621105899999</v>
      </c>
      <c r="I5" s="1142">
        <v>4336.57805852</v>
      </c>
      <c r="J5" s="1142">
        <v>6240.7563878000001</v>
      </c>
      <c r="K5" s="1142">
        <v>0</v>
      </c>
      <c r="L5" s="1142">
        <v>0</v>
      </c>
      <c r="M5" s="561">
        <v>0</v>
      </c>
      <c r="N5" s="561">
        <v>0</v>
      </c>
      <c r="O5"/>
      <c r="P5" s="832" t="s">
        <v>1599</v>
      </c>
      <c r="Q5" s="561"/>
      <c r="R5" s="561"/>
      <c r="S5" s="561"/>
      <c r="T5" s="561"/>
      <c r="U5" s="561"/>
      <c r="V5" s="561"/>
      <c r="W5" s="561"/>
      <c r="X5" s="561"/>
      <c r="Y5" s="561"/>
      <c r="Z5" s="561"/>
      <c r="AA5" s="561"/>
      <c r="AB5" s="561"/>
      <c r="AC5" s="561"/>
      <c r="AD5" s="561"/>
      <c r="AE5" s="561"/>
      <c r="AF5" s="561"/>
      <c r="AG5" s="561"/>
      <c r="AH5" s="567"/>
      <c r="AI5" s="567"/>
      <c r="AJ5" s="567"/>
      <c r="AK5" s="567"/>
      <c r="AL5" s="567"/>
      <c r="AM5" s="567"/>
      <c r="AN5" s="567"/>
      <c r="AO5" s="567"/>
      <c r="AP5" s="567"/>
      <c r="AQ5" s="567"/>
      <c r="AR5" s="567"/>
      <c r="AS5" s="567"/>
      <c r="AT5" s="567"/>
      <c r="AU5" s="567"/>
      <c r="AV5" s="567"/>
      <c r="AW5" s="567"/>
      <c r="AX5" s="567"/>
      <c r="AY5" s="567"/>
      <c r="AZ5" s="567"/>
      <c r="BA5" s="567"/>
      <c r="BB5" s="567"/>
      <c r="BC5" s="567"/>
      <c r="BD5" s="568"/>
      <c r="BE5" s="568"/>
      <c r="BF5" s="568"/>
      <c r="BG5" s="568"/>
      <c r="BH5" s="568"/>
      <c r="BI5" s="568"/>
      <c r="BJ5" s="568"/>
      <c r="BK5" s="568"/>
      <c r="BL5" s="568"/>
      <c r="BM5" s="568"/>
      <c r="BN5" s="568"/>
      <c r="BO5" s="568"/>
      <c r="BP5" s="568"/>
      <c r="BQ5" s="568"/>
      <c r="BR5" s="568"/>
      <c r="BS5" s="568"/>
      <c r="BT5" s="568"/>
      <c r="BU5" s="568"/>
      <c r="BV5" s="568"/>
      <c r="BW5" s="568"/>
      <c r="BX5" s="568"/>
      <c r="BY5" s="568"/>
      <c r="BZ5" s="568"/>
      <c r="CA5" s="568"/>
      <c r="CB5" s="568"/>
      <c r="CC5" s="568"/>
      <c r="CD5" s="568"/>
      <c r="CE5" s="568"/>
      <c r="CF5" s="568"/>
      <c r="CG5" s="568"/>
      <c r="CH5" s="568"/>
      <c r="CI5" s="568"/>
      <c r="CJ5" s="568"/>
      <c r="CK5" s="568"/>
      <c r="CL5" s="568"/>
      <c r="CM5" s="568"/>
      <c r="CN5" s="568"/>
      <c r="CO5" s="568"/>
      <c r="CP5" s="568"/>
      <c r="CQ5" s="568"/>
      <c r="CR5" s="568"/>
      <c r="CS5" s="568"/>
      <c r="CT5" s="568"/>
      <c r="CU5" s="568"/>
      <c r="CV5" s="568"/>
      <c r="CW5" s="568"/>
      <c r="CX5" s="568"/>
      <c r="CY5" s="568"/>
      <c r="CZ5" s="568"/>
      <c r="DA5" s="568"/>
      <c r="DB5" s="568"/>
      <c r="DC5" s="568"/>
      <c r="DD5" s="568"/>
      <c r="DE5" s="568"/>
      <c r="DF5" s="568"/>
      <c r="DG5" s="568"/>
      <c r="DH5" s="568"/>
      <c r="DI5" s="568"/>
      <c r="DJ5" s="568"/>
      <c r="DK5" s="568"/>
      <c r="DL5" s="568"/>
      <c r="DM5" s="568"/>
      <c r="DN5" s="568"/>
      <c r="DO5" s="568"/>
      <c r="DP5" s="568"/>
      <c r="DQ5" s="568"/>
      <c r="DR5" s="568"/>
      <c r="DS5" s="568"/>
      <c r="DT5" s="568"/>
      <c r="DU5" s="568"/>
      <c r="DV5" s="568"/>
      <c r="DW5" s="568"/>
      <c r="DX5" s="568"/>
      <c r="DY5" s="568"/>
      <c r="DZ5" s="568"/>
      <c r="EA5" s="568"/>
      <c r="EB5" s="568"/>
      <c r="EC5" s="568"/>
      <c r="ED5" s="568"/>
      <c r="EE5" s="568"/>
      <c r="EF5" s="568"/>
      <c r="EG5" s="568"/>
      <c r="EH5" s="568"/>
      <c r="EI5" s="568"/>
      <c r="EJ5" s="568"/>
      <c r="EK5" s="568"/>
      <c r="EL5" s="568"/>
      <c r="EM5" s="568"/>
      <c r="EN5" s="568"/>
      <c r="EO5" s="568"/>
      <c r="EP5" s="568"/>
      <c r="EQ5" s="568"/>
      <c r="ER5" s="568"/>
      <c r="ES5" s="568"/>
      <c r="ET5" s="568"/>
      <c r="EU5" s="568"/>
      <c r="EV5" s="568"/>
      <c r="EW5" s="568"/>
      <c r="EX5" s="568"/>
      <c r="EY5" s="568"/>
      <c r="EZ5" s="568"/>
      <c r="FA5" s="568"/>
      <c r="FB5" s="568"/>
      <c r="FC5" s="568"/>
      <c r="FD5" s="568"/>
      <c r="FE5" s="568"/>
      <c r="FF5" s="568"/>
      <c r="FG5" s="568"/>
      <c r="FH5" s="568"/>
      <c r="FI5" s="568"/>
      <c r="FJ5" s="568"/>
      <c r="FK5" s="568"/>
      <c r="FL5" s="568"/>
      <c r="FM5" s="568"/>
      <c r="FN5" s="568"/>
      <c r="FO5" s="568"/>
      <c r="FP5" s="568"/>
      <c r="FQ5" s="568"/>
      <c r="FR5" s="568"/>
      <c r="FS5" s="568"/>
      <c r="FT5" s="568"/>
      <c r="FU5" s="568"/>
      <c r="FV5" s="568"/>
      <c r="FW5" s="568"/>
      <c r="FX5" s="568"/>
      <c r="FY5" s="568"/>
      <c r="FZ5" s="568"/>
      <c r="GA5" s="568"/>
      <c r="GB5" s="568"/>
      <c r="GC5" s="568"/>
      <c r="GD5" s="568"/>
      <c r="GE5" s="568"/>
      <c r="GF5" s="568"/>
      <c r="GG5" s="568"/>
      <c r="GH5" s="568"/>
      <c r="GI5" s="568"/>
      <c r="GJ5" s="568"/>
      <c r="GK5" s="568"/>
      <c r="GL5" s="568"/>
      <c r="GM5" s="568"/>
      <c r="GN5" s="568"/>
      <c r="GO5" s="568"/>
      <c r="GP5" s="568"/>
      <c r="GQ5" s="568"/>
      <c r="GR5" s="568"/>
      <c r="GS5" s="568"/>
      <c r="GT5" s="568"/>
      <c r="GU5" s="568"/>
      <c r="GV5" s="568"/>
      <c r="GW5" s="568"/>
      <c r="GX5" s="568"/>
      <c r="GY5" s="568"/>
      <c r="GZ5" s="568"/>
      <c r="HA5" s="568"/>
      <c r="HB5" s="568"/>
      <c r="HC5" s="568"/>
      <c r="HD5" s="568"/>
      <c r="HE5" s="568"/>
      <c r="HF5" s="568"/>
      <c r="HG5" s="568"/>
      <c r="HH5" s="568"/>
      <c r="HI5" s="568"/>
      <c r="HJ5" s="568"/>
      <c r="HK5" s="568"/>
      <c r="HL5" s="568"/>
      <c r="HM5" s="568"/>
      <c r="HN5" s="568"/>
      <c r="HO5" s="568"/>
      <c r="HP5" s="568"/>
      <c r="HQ5" s="568"/>
      <c r="HR5" s="568"/>
      <c r="HS5" s="568"/>
      <c r="HT5" s="568"/>
      <c r="HU5" s="568"/>
      <c r="HV5" s="568"/>
      <c r="HW5" s="568"/>
      <c r="HX5" s="568"/>
      <c r="HY5" s="568"/>
      <c r="HZ5" s="568"/>
      <c r="IA5" s="568"/>
      <c r="IB5" s="568"/>
      <c r="IC5" s="568"/>
      <c r="ID5" s="568"/>
      <c r="IE5" s="568"/>
      <c r="IF5" s="568"/>
      <c r="IG5" s="568"/>
      <c r="IH5" s="568"/>
      <c r="II5" s="568"/>
      <c r="IJ5" s="568"/>
      <c r="IK5" s="568"/>
      <c r="IL5" s="568"/>
      <c r="IM5" s="568"/>
      <c r="IN5" s="568"/>
      <c r="IO5" s="568"/>
      <c r="IP5" s="568"/>
      <c r="IQ5" s="568"/>
      <c r="IR5" s="568"/>
      <c r="IS5" s="568"/>
      <c r="IT5" s="568"/>
      <c r="IU5" s="568"/>
    </row>
    <row r="6" spans="1:255" ht="18" customHeight="1">
      <c r="A6" s="566" t="s">
        <v>985</v>
      </c>
      <c r="B6" s="561"/>
      <c r="C6" s="1142">
        <v>5554.9510171599995</v>
      </c>
      <c r="D6" s="1142">
        <v>1288.1157886300002</v>
      </c>
      <c r="E6" s="1142">
        <v>3198.05150985</v>
      </c>
      <c r="F6" s="1142">
        <v>4669.3169084900001</v>
      </c>
      <c r="G6" s="1142">
        <v>6035.7600298300003</v>
      </c>
      <c r="H6" s="1142">
        <v>1463.4160575999999</v>
      </c>
      <c r="I6" s="1142">
        <v>3420.87600165</v>
      </c>
      <c r="J6" s="1142">
        <v>4918.4441651099996</v>
      </c>
      <c r="K6" s="1142">
        <v>0</v>
      </c>
      <c r="L6" s="1142">
        <v>0</v>
      </c>
      <c r="M6" s="561">
        <v>0</v>
      </c>
      <c r="N6" s="561">
        <v>0</v>
      </c>
      <c r="O6"/>
      <c r="P6" s="832" t="s">
        <v>1604</v>
      </c>
      <c r="Q6" s="561"/>
      <c r="R6" s="561"/>
      <c r="S6" s="561"/>
      <c r="T6" s="561"/>
      <c r="U6" s="561"/>
      <c r="V6" s="561"/>
      <c r="W6" s="561"/>
      <c r="X6" s="561"/>
      <c r="Y6" s="561"/>
      <c r="Z6" s="561"/>
      <c r="AA6" s="561"/>
      <c r="AB6" s="561"/>
      <c r="AC6" s="561"/>
      <c r="AD6" s="561"/>
      <c r="AE6" s="561"/>
      <c r="AF6" s="561"/>
      <c r="AG6" s="561"/>
      <c r="AH6" s="567"/>
      <c r="AI6" s="567"/>
      <c r="AJ6" s="567"/>
      <c r="AK6" s="567"/>
      <c r="AL6" s="567"/>
      <c r="AM6" s="567"/>
      <c r="AN6" s="567"/>
      <c r="AO6" s="567"/>
      <c r="AP6" s="567"/>
      <c r="AQ6" s="567"/>
      <c r="AR6" s="567"/>
      <c r="AS6" s="567"/>
      <c r="AT6" s="567"/>
      <c r="AU6" s="567"/>
      <c r="AV6" s="567"/>
      <c r="AW6" s="567"/>
      <c r="AX6" s="567"/>
      <c r="AY6" s="567"/>
      <c r="AZ6" s="567"/>
      <c r="BA6" s="567"/>
      <c r="BB6" s="567"/>
      <c r="BC6" s="567"/>
      <c r="BD6" s="568"/>
      <c r="BE6" s="568"/>
      <c r="BF6" s="568"/>
      <c r="BG6" s="568"/>
      <c r="BH6" s="568"/>
      <c r="BI6" s="568"/>
      <c r="BJ6" s="568"/>
      <c r="BK6" s="568"/>
      <c r="BL6" s="568"/>
      <c r="BM6" s="568"/>
      <c r="BN6" s="568"/>
      <c r="BO6" s="568"/>
      <c r="BP6" s="568"/>
      <c r="BQ6" s="568"/>
      <c r="BR6" s="568"/>
      <c r="BS6" s="568"/>
      <c r="BT6" s="568"/>
      <c r="BU6" s="568"/>
      <c r="BV6" s="568"/>
      <c r="BW6" s="568"/>
      <c r="BX6" s="568"/>
      <c r="BY6" s="568"/>
      <c r="BZ6" s="568"/>
      <c r="CA6" s="568"/>
      <c r="CB6" s="568"/>
      <c r="CC6" s="568"/>
      <c r="CD6" s="568"/>
      <c r="CE6" s="568"/>
      <c r="CF6" s="568"/>
      <c r="CG6" s="568"/>
      <c r="CH6" s="568"/>
      <c r="CI6" s="568"/>
      <c r="CJ6" s="568"/>
      <c r="CK6" s="568"/>
      <c r="CL6" s="568"/>
      <c r="CM6" s="568"/>
      <c r="CN6" s="568"/>
      <c r="CO6" s="568"/>
      <c r="CP6" s="568"/>
      <c r="CQ6" s="568"/>
      <c r="CR6" s="568"/>
      <c r="CS6" s="568"/>
      <c r="CT6" s="568"/>
      <c r="CU6" s="568"/>
      <c r="CV6" s="568"/>
      <c r="CW6" s="568"/>
      <c r="CX6" s="568"/>
      <c r="CY6" s="568"/>
      <c r="CZ6" s="568"/>
      <c r="DA6" s="568"/>
      <c r="DB6" s="568"/>
      <c r="DC6" s="568"/>
      <c r="DD6" s="568"/>
      <c r="DE6" s="568"/>
      <c r="DF6" s="568"/>
      <c r="DG6" s="568"/>
      <c r="DH6" s="568"/>
      <c r="DI6" s="568"/>
      <c r="DJ6" s="568"/>
      <c r="DK6" s="568"/>
      <c r="DL6" s="568"/>
      <c r="DM6" s="568"/>
      <c r="DN6" s="568"/>
      <c r="DO6" s="568"/>
      <c r="DP6" s="568"/>
      <c r="DQ6" s="568"/>
      <c r="DR6" s="568"/>
      <c r="DS6" s="568"/>
      <c r="DT6" s="568"/>
      <c r="DU6" s="568"/>
      <c r="DV6" s="568"/>
      <c r="DW6" s="568"/>
      <c r="DX6" s="568"/>
      <c r="DY6" s="568"/>
      <c r="DZ6" s="568"/>
      <c r="EA6" s="568"/>
      <c r="EB6" s="568"/>
      <c r="EC6" s="568"/>
      <c r="ED6" s="568"/>
      <c r="EE6" s="568"/>
      <c r="EF6" s="568"/>
      <c r="EG6" s="568"/>
      <c r="EH6" s="568"/>
      <c r="EI6" s="568"/>
      <c r="EJ6" s="568"/>
      <c r="EK6" s="568"/>
      <c r="EL6" s="568"/>
      <c r="EM6" s="568"/>
      <c r="EN6" s="568"/>
      <c r="EO6" s="568"/>
      <c r="EP6" s="568"/>
      <c r="EQ6" s="568"/>
      <c r="ER6" s="568"/>
      <c r="ES6" s="568"/>
      <c r="ET6" s="568"/>
      <c r="EU6" s="568"/>
      <c r="EV6" s="568"/>
      <c r="EW6" s="568"/>
      <c r="EX6" s="568"/>
      <c r="EY6" s="568"/>
      <c r="EZ6" s="568"/>
      <c r="FA6" s="568"/>
      <c r="FB6" s="568"/>
      <c r="FC6" s="568"/>
      <c r="FD6" s="568"/>
      <c r="FE6" s="568"/>
      <c r="FF6" s="568"/>
      <c r="FG6" s="568"/>
      <c r="FH6" s="568"/>
      <c r="FI6" s="568"/>
      <c r="FJ6" s="568"/>
      <c r="FK6" s="568"/>
      <c r="FL6" s="568"/>
      <c r="FM6" s="568"/>
      <c r="FN6" s="568"/>
      <c r="FO6" s="568"/>
      <c r="FP6" s="568"/>
      <c r="FQ6" s="568"/>
      <c r="FR6" s="568"/>
      <c r="FS6" s="568"/>
      <c r="FT6" s="568"/>
      <c r="FU6" s="568"/>
      <c r="FV6" s="568"/>
      <c r="FW6" s="568"/>
      <c r="FX6" s="568"/>
      <c r="FY6" s="568"/>
      <c r="FZ6" s="568"/>
      <c r="GA6" s="568"/>
      <c r="GB6" s="568"/>
      <c r="GC6" s="568"/>
      <c r="GD6" s="568"/>
      <c r="GE6" s="568"/>
      <c r="GF6" s="568"/>
      <c r="GG6" s="568"/>
      <c r="GH6" s="568"/>
      <c r="GI6" s="568"/>
      <c r="GJ6" s="568"/>
      <c r="GK6" s="568"/>
      <c r="GL6" s="568"/>
      <c r="GM6" s="568"/>
      <c r="GN6" s="568"/>
      <c r="GO6" s="568"/>
      <c r="GP6" s="568"/>
      <c r="GQ6" s="568"/>
      <c r="GR6" s="568"/>
      <c r="GS6" s="568"/>
      <c r="GT6" s="568"/>
      <c r="GU6" s="568"/>
      <c r="GV6" s="568"/>
      <c r="GW6" s="568"/>
      <c r="GX6" s="568"/>
      <c r="GY6" s="568"/>
      <c r="GZ6" s="568"/>
      <c r="HA6" s="568"/>
      <c r="HB6" s="568"/>
      <c r="HC6" s="568"/>
      <c r="HD6" s="568"/>
      <c r="HE6" s="568"/>
      <c r="HF6" s="568"/>
      <c r="HG6" s="568"/>
      <c r="HH6" s="568"/>
      <c r="HI6" s="568"/>
      <c r="HJ6" s="568"/>
      <c r="HK6" s="568"/>
      <c r="HL6" s="568"/>
      <c r="HM6" s="568"/>
      <c r="HN6" s="568"/>
      <c r="HO6" s="568"/>
      <c r="HP6" s="568"/>
      <c r="HQ6" s="568"/>
      <c r="HR6" s="568"/>
      <c r="HS6" s="568"/>
      <c r="HT6" s="568"/>
      <c r="HU6" s="568"/>
      <c r="HV6" s="568"/>
      <c r="HW6" s="568"/>
      <c r="HX6" s="568"/>
      <c r="HY6" s="568"/>
      <c r="HZ6" s="568"/>
      <c r="IA6" s="568"/>
      <c r="IB6" s="568"/>
      <c r="IC6" s="568"/>
      <c r="ID6" s="568"/>
      <c r="IE6" s="568"/>
      <c r="IF6" s="568"/>
      <c r="IG6" s="568"/>
      <c r="IH6" s="568"/>
      <c r="II6" s="568"/>
      <c r="IJ6" s="568"/>
      <c r="IK6" s="568"/>
      <c r="IL6" s="568"/>
      <c r="IM6" s="568"/>
      <c r="IN6" s="568"/>
      <c r="IO6" s="568"/>
      <c r="IP6" s="568"/>
      <c r="IQ6" s="568"/>
      <c r="IR6" s="568"/>
      <c r="IS6" s="568"/>
      <c r="IT6" s="568"/>
      <c r="IU6" s="568"/>
    </row>
    <row r="7" spans="1:255" ht="18" customHeight="1">
      <c r="A7" s="566" t="s">
        <v>986</v>
      </c>
      <c r="B7" s="561"/>
      <c r="C7" s="1142">
        <v>43.490777829999999</v>
      </c>
      <c r="D7" s="1142">
        <v>9.0093716700000002</v>
      </c>
      <c r="E7" s="1142">
        <v>17.940379989999997</v>
      </c>
      <c r="F7" s="1142">
        <v>27.75005513</v>
      </c>
      <c r="G7" s="1142">
        <v>36.744935640000001</v>
      </c>
      <c r="H7" s="1142">
        <v>9.6827970600000004</v>
      </c>
      <c r="I7" s="1142">
        <v>23.11426062</v>
      </c>
      <c r="J7" s="1142">
        <v>34.798265860000001</v>
      </c>
      <c r="K7" s="1142">
        <v>0</v>
      </c>
      <c r="L7" s="1142">
        <v>0</v>
      </c>
      <c r="M7" s="561">
        <v>0</v>
      </c>
      <c r="N7" s="561">
        <v>0</v>
      </c>
      <c r="O7"/>
      <c r="P7" s="832" t="s">
        <v>1612</v>
      </c>
      <c r="Q7" s="561"/>
      <c r="R7" s="561"/>
      <c r="S7" s="561"/>
      <c r="T7" s="561"/>
      <c r="U7" s="561"/>
      <c r="V7" s="561"/>
      <c r="W7" s="561"/>
      <c r="X7" s="561"/>
      <c r="Y7" s="561"/>
      <c r="Z7" s="561"/>
      <c r="AA7" s="561"/>
      <c r="AB7" s="561"/>
      <c r="AC7" s="561"/>
      <c r="AD7" s="561"/>
      <c r="AE7" s="561"/>
      <c r="AF7" s="561"/>
      <c r="AG7" s="561"/>
      <c r="AH7" s="567"/>
      <c r="AI7" s="567"/>
      <c r="AJ7" s="567"/>
      <c r="AK7" s="567"/>
      <c r="AL7" s="567"/>
      <c r="AM7" s="567"/>
      <c r="AN7" s="567"/>
      <c r="AO7" s="567"/>
      <c r="AP7" s="567"/>
      <c r="AQ7" s="567"/>
      <c r="AR7" s="567"/>
      <c r="AS7" s="567"/>
      <c r="AT7" s="567"/>
      <c r="AU7" s="567"/>
      <c r="AV7" s="567"/>
      <c r="AW7" s="567"/>
      <c r="AX7" s="567"/>
      <c r="AY7" s="567"/>
      <c r="AZ7" s="567"/>
      <c r="BA7" s="567"/>
      <c r="BB7" s="567"/>
      <c r="BC7" s="567"/>
      <c r="BD7" s="568"/>
      <c r="BE7" s="568"/>
      <c r="BF7" s="568"/>
      <c r="BG7" s="568"/>
      <c r="BH7" s="568"/>
      <c r="BI7" s="568"/>
      <c r="BJ7" s="568"/>
      <c r="BK7" s="568"/>
      <c r="BL7" s="568"/>
      <c r="BM7" s="568"/>
      <c r="BN7" s="568"/>
      <c r="BO7" s="568"/>
      <c r="BP7" s="568"/>
      <c r="BQ7" s="568"/>
      <c r="BR7" s="568"/>
      <c r="BS7" s="568"/>
      <c r="BT7" s="568"/>
      <c r="BU7" s="568"/>
      <c r="BV7" s="568"/>
      <c r="BW7" s="568"/>
      <c r="BX7" s="568"/>
      <c r="BY7" s="568"/>
      <c r="BZ7" s="568"/>
      <c r="CA7" s="568"/>
      <c r="CB7" s="568"/>
      <c r="CC7" s="568"/>
      <c r="CD7" s="568"/>
      <c r="CE7" s="568"/>
      <c r="CF7" s="568"/>
      <c r="CG7" s="568"/>
      <c r="CH7" s="568"/>
      <c r="CI7" s="568"/>
      <c r="CJ7" s="568"/>
      <c r="CK7" s="568"/>
      <c r="CL7" s="568"/>
      <c r="CM7" s="568"/>
      <c r="CN7" s="568"/>
      <c r="CO7" s="568"/>
      <c r="CP7" s="568"/>
      <c r="CQ7" s="568"/>
      <c r="CR7" s="568"/>
      <c r="CS7" s="568"/>
      <c r="CT7" s="568"/>
      <c r="CU7" s="568"/>
      <c r="CV7" s="568"/>
      <c r="CW7" s="568"/>
      <c r="CX7" s="568"/>
      <c r="CY7" s="568"/>
      <c r="CZ7" s="568"/>
      <c r="DA7" s="568"/>
      <c r="DB7" s="568"/>
      <c r="DC7" s="568"/>
      <c r="DD7" s="568"/>
      <c r="DE7" s="568"/>
      <c r="DF7" s="568"/>
      <c r="DG7" s="568"/>
      <c r="DH7" s="568"/>
      <c r="DI7" s="568"/>
      <c r="DJ7" s="568"/>
      <c r="DK7" s="568"/>
      <c r="DL7" s="568"/>
      <c r="DM7" s="568"/>
      <c r="DN7" s="568"/>
      <c r="DO7" s="568"/>
      <c r="DP7" s="568"/>
      <c r="DQ7" s="568"/>
      <c r="DR7" s="568"/>
      <c r="DS7" s="568"/>
      <c r="DT7" s="568"/>
      <c r="DU7" s="568"/>
      <c r="DV7" s="568"/>
      <c r="DW7" s="568"/>
      <c r="DX7" s="568"/>
      <c r="DY7" s="568"/>
      <c r="DZ7" s="568"/>
      <c r="EA7" s="568"/>
      <c r="EB7" s="568"/>
      <c r="EC7" s="568"/>
      <c r="ED7" s="568"/>
      <c r="EE7" s="568"/>
      <c r="EF7" s="568"/>
      <c r="EG7" s="568"/>
      <c r="EH7" s="568"/>
      <c r="EI7" s="568"/>
      <c r="EJ7" s="568"/>
      <c r="EK7" s="568"/>
      <c r="EL7" s="568"/>
      <c r="EM7" s="568"/>
      <c r="EN7" s="568"/>
      <c r="EO7" s="568"/>
      <c r="EP7" s="568"/>
      <c r="EQ7" s="568"/>
      <c r="ER7" s="568"/>
      <c r="ES7" s="568"/>
      <c r="ET7" s="568"/>
      <c r="EU7" s="568"/>
      <c r="EV7" s="568"/>
      <c r="EW7" s="568"/>
      <c r="EX7" s="568"/>
      <c r="EY7" s="568"/>
      <c r="EZ7" s="568"/>
      <c r="FA7" s="568"/>
      <c r="FB7" s="568"/>
      <c r="FC7" s="568"/>
      <c r="FD7" s="568"/>
      <c r="FE7" s="568"/>
      <c r="FF7" s="568"/>
      <c r="FG7" s="568"/>
      <c r="FH7" s="568"/>
      <c r="FI7" s="568"/>
      <c r="FJ7" s="568"/>
      <c r="FK7" s="568"/>
      <c r="FL7" s="568"/>
      <c r="FM7" s="568"/>
      <c r="FN7" s="568"/>
      <c r="FO7" s="568"/>
      <c r="FP7" s="568"/>
      <c r="FQ7" s="568"/>
      <c r="FR7" s="568"/>
      <c r="FS7" s="568"/>
      <c r="FT7" s="568"/>
      <c r="FU7" s="568"/>
      <c r="FV7" s="568"/>
      <c r="FW7" s="568"/>
      <c r="FX7" s="568"/>
      <c r="FY7" s="568"/>
      <c r="FZ7" s="568"/>
      <c r="GA7" s="568"/>
      <c r="GB7" s="568"/>
      <c r="GC7" s="568"/>
      <c r="GD7" s="568"/>
      <c r="GE7" s="568"/>
      <c r="GF7" s="568"/>
      <c r="GG7" s="568"/>
      <c r="GH7" s="568"/>
      <c r="GI7" s="568"/>
      <c r="GJ7" s="568"/>
      <c r="GK7" s="568"/>
      <c r="GL7" s="568"/>
      <c r="GM7" s="568"/>
      <c r="GN7" s="568"/>
      <c r="GO7" s="568"/>
      <c r="GP7" s="568"/>
      <c r="GQ7" s="568"/>
      <c r="GR7" s="568"/>
      <c r="GS7" s="568"/>
      <c r="GT7" s="568"/>
      <c r="GU7" s="568"/>
      <c r="GV7" s="568"/>
      <c r="GW7" s="568"/>
      <c r="GX7" s="568"/>
      <c r="GY7" s="568"/>
      <c r="GZ7" s="568"/>
      <c r="HA7" s="568"/>
      <c r="HB7" s="568"/>
      <c r="HC7" s="568"/>
      <c r="HD7" s="568"/>
      <c r="HE7" s="568"/>
      <c r="HF7" s="568"/>
      <c r="HG7" s="568"/>
      <c r="HH7" s="568"/>
      <c r="HI7" s="568"/>
      <c r="HJ7" s="568"/>
      <c r="HK7" s="568"/>
      <c r="HL7" s="568"/>
      <c r="HM7" s="568"/>
      <c r="HN7" s="568"/>
      <c r="HO7" s="568"/>
      <c r="HP7" s="568"/>
      <c r="HQ7" s="568"/>
      <c r="HR7" s="568"/>
      <c r="HS7" s="568"/>
      <c r="HT7" s="568"/>
      <c r="HU7" s="568"/>
      <c r="HV7" s="568"/>
      <c r="HW7" s="568"/>
      <c r="HX7" s="568"/>
      <c r="HY7" s="568"/>
      <c r="HZ7" s="568"/>
      <c r="IA7" s="568"/>
      <c r="IB7" s="568"/>
      <c r="IC7" s="568"/>
      <c r="ID7" s="568"/>
      <c r="IE7" s="568"/>
      <c r="IF7" s="568"/>
      <c r="IG7" s="568"/>
      <c r="IH7" s="568"/>
      <c r="II7" s="568"/>
      <c r="IJ7" s="568"/>
      <c r="IK7" s="568"/>
      <c r="IL7" s="568"/>
      <c r="IM7" s="568"/>
      <c r="IN7" s="568"/>
      <c r="IO7" s="568"/>
      <c r="IP7" s="568"/>
      <c r="IQ7" s="568"/>
      <c r="IR7" s="568"/>
      <c r="IS7" s="568"/>
      <c r="IT7" s="568"/>
      <c r="IU7" s="568"/>
    </row>
    <row r="8" spans="1:255" ht="18" customHeight="1">
      <c r="A8" s="566" t="s">
        <v>637</v>
      </c>
      <c r="B8" s="561"/>
      <c r="C8" s="1142">
        <v>472.99545004999999</v>
      </c>
      <c r="D8" s="1142">
        <v>127.05173911</v>
      </c>
      <c r="E8" s="1142">
        <v>240.73645218000001</v>
      </c>
      <c r="F8" s="1142">
        <v>355.85429359</v>
      </c>
      <c r="G8" s="1142">
        <v>509.95078439999997</v>
      </c>
      <c r="H8" s="1142">
        <v>131.82770526000002</v>
      </c>
      <c r="I8" s="1142">
        <v>281.23714685000004</v>
      </c>
      <c r="J8" s="1142">
        <v>439.81556870999998</v>
      </c>
      <c r="K8" s="1142">
        <v>0</v>
      </c>
      <c r="L8" s="1142">
        <v>0</v>
      </c>
      <c r="M8" s="561">
        <v>0</v>
      </c>
      <c r="N8" s="561">
        <v>0</v>
      </c>
      <c r="O8"/>
      <c r="P8" s="832" t="s">
        <v>1613</v>
      </c>
      <c r="Q8" s="561"/>
      <c r="R8" s="561"/>
      <c r="S8" s="561"/>
      <c r="T8" s="561"/>
      <c r="U8" s="561"/>
      <c r="V8" s="561"/>
      <c r="W8" s="561"/>
      <c r="X8" s="561"/>
      <c r="Y8" s="561"/>
      <c r="Z8" s="561"/>
      <c r="AA8" s="561"/>
      <c r="AB8" s="561"/>
      <c r="AC8" s="561"/>
      <c r="AD8" s="561"/>
      <c r="AE8" s="561"/>
      <c r="AF8" s="561"/>
      <c r="AG8" s="561"/>
      <c r="AH8" s="567"/>
      <c r="AI8" s="567"/>
      <c r="AJ8" s="567"/>
      <c r="AK8" s="567"/>
      <c r="AL8" s="567"/>
      <c r="AM8" s="567"/>
      <c r="AN8" s="567"/>
      <c r="AO8" s="567"/>
      <c r="AP8" s="567"/>
      <c r="AQ8" s="567"/>
      <c r="AR8" s="567"/>
      <c r="AS8" s="567"/>
      <c r="AT8" s="567"/>
      <c r="AU8" s="567"/>
      <c r="AV8" s="567"/>
      <c r="AW8" s="567"/>
      <c r="AX8" s="567"/>
      <c r="AY8" s="567"/>
      <c r="AZ8" s="567"/>
      <c r="BA8" s="567"/>
      <c r="BB8" s="567"/>
      <c r="BC8" s="567"/>
      <c r="BD8" s="568"/>
      <c r="BE8" s="568"/>
      <c r="BF8" s="568"/>
      <c r="BG8" s="568"/>
      <c r="BH8" s="568"/>
      <c r="BI8" s="568"/>
      <c r="BJ8" s="568"/>
      <c r="BK8" s="568"/>
      <c r="BL8" s="568"/>
      <c r="BM8" s="568"/>
      <c r="BN8" s="568"/>
      <c r="BO8" s="568"/>
      <c r="BP8" s="568"/>
      <c r="BQ8" s="568"/>
      <c r="BR8" s="568"/>
      <c r="BS8" s="568"/>
      <c r="BT8" s="568"/>
      <c r="BU8" s="568"/>
      <c r="BV8" s="568"/>
      <c r="BW8" s="568"/>
      <c r="BX8" s="568"/>
      <c r="BY8" s="568"/>
      <c r="BZ8" s="568"/>
      <c r="CA8" s="568"/>
      <c r="CB8" s="568"/>
      <c r="CC8" s="568"/>
      <c r="CD8" s="568"/>
      <c r="CE8" s="568"/>
      <c r="CF8" s="568"/>
      <c r="CG8" s="568"/>
      <c r="CH8" s="568"/>
      <c r="CI8" s="568"/>
      <c r="CJ8" s="568"/>
      <c r="CK8" s="568"/>
      <c r="CL8" s="568"/>
      <c r="CM8" s="568"/>
      <c r="CN8" s="568"/>
      <c r="CO8" s="568"/>
      <c r="CP8" s="568"/>
      <c r="CQ8" s="568"/>
      <c r="CR8" s="568"/>
      <c r="CS8" s="568"/>
      <c r="CT8" s="568"/>
      <c r="CU8" s="568"/>
      <c r="CV8" s="568"/>
      <c r="CW8" s="568"/>
      <c r="CX8" s="568"/>
      <c r="CY8" s="568"/>
      <c r="CZ8" s="568"/>
      <c r="DA8" s="568"/>
      <c r="DB8" s="568"/>
      <c r="DC8" s="568"/>
      <c r="DD8" s="568"/>
      <c r="DE8" s="568"/>
      <c r="DF8" s="568"/>
      <c r="DG8" s="568"/>
      <c r="DH8" s="568"/>
      <c r="DI8" s="568"/>
      <c r="DJ8" s="568"/>
      <c r="DK8" s="568"/>
      <c r="DL8" s="568"/>
      <c r="DM8" s="568"/>
      <c r="DN8" s="568"/>
      <c r="DO8" s="568"/>
      <c r="DP8" s="568"/>
      <c r="DQ8" s="568"/>
      <c r="DR8" s="568"/>
      <c r="DS8" s="568"/>
      <c r="DT8" s="568"/>
      <c r="DU8" s="568"/>
      <c r="DV8" s="568"/>
      <c r="DW8" s="568"/>
      <c r="DX8" s="568"/>
      <c r="DY8" s="568"/>
      <c r="DZ8" s="568"/>
      <c r="EA8" s="568"/>
      <c r="EB8" s="568"/>
      <c r="EC8" s="568"/>
      <c r="ED8" s="568"/>
      <c r="EE8" s="568"/>
      <c r="EF8" s="568"/>
      <c r="EG8" s="568"/>
      <c r="EH8" s="568"/>
      <c r="EI8" s="568"/>
      <c r="EJ8" s="568"/>
      <c r="EK8" s="568"/>
      <c r="EL8" s="568"/>
      <c r="EM8" s="568"/>
      <c r="EN8" s="568"/>
      <c r="EO8" s="568"/>
      <c r="EP8" s="568"/>
      <c r="EQ8" s="568"/>
      <c r="ER8" s="568"/>
      <c r="ES8" s="568"/>
      <c r="ET8" s="568"/>
      <c r="EU8" s="568"/>
      <c r="EV8" s="568"/>
      <c r="EW8" s="568"/>
      <c r="EX8" s="568"/>
      <c r="EY8" s="568"/>
      <c r="EZ8" s="568"/>
      <c r="FA8" s="568"/>
      <c r="FB8" s="568"/>
      <c r="FC8" s="568"/>
      <c r="FD8" s="568"/>
      <c r="FE8" s="568"/>
      <c r="FF8" s="568"/>
      <c r="FG8" s="568"/>
      <c r="FH8" s="568"/>
      <c r="FI8" s="568"/>
      <c r="FJ8" s="568"/>
      <c r="FK8" s="568"/>
      <c r="FL8" s="568"/>
      <c r="FM8" s="568"/>
      <c r="FN8" s="568"/>
      <c r="FO8" s="568"/>
      <c r="FP8" s="568"/>
      <c r="FQ8" s="568"/>
      <c r="FR8" s="568"/>
      <c r="FS8" s="568"/>
      <c r="FT8" s="568"/>
      <c r="FU8" s="568"/>
      <c r="FV8" s="568"/>
      <c r="FW8" s="568"/>
      <c r="FX8" s="568"/>
      <c r="FY8" s="568"/>
      <c r="FZ8" s="568"/>
      <c r="GA8" s="568"/>
      <c r="GB8" s="568"/>
      <c r="GC8" s="568"/>
      <c r="GD8" s="568"/>
      <c r="GE8" s="568"/>
      <c r="GF8" s="568"/>
      <c r="GG8" s="568"/>
      <c r="GH8" s="568"/>
      <c r="GI8" s="568"/>
      <c r="GJ8" s="568"/>
      <c r="GK8" s="568"/>
      <c r="GL8" s="568"/>
      <c r="GM8" s="568"/>
      <c r="GN8" s="568"/>
      <c r="GO8" s="568"/>
      <c r="GP8" s="568"/>
      <c r="GQ8" s="568"/>
      <c r="GR8" s="568"/>
      <c r="GS8" s="568"/>
      <c r="GT8" s="568"/>
      <c r="GU8" s="568"/>
      <c r="GV8" s="568"/>
      <c r="GW8" s="568"/>
      <c r="GX8" s="568"/>
      <c r="GY8" s="568"/>
      <c r="GZ8" s="568"/>
      <c r="HA8" s="568"/>
      <c r="HB8" s="568"/>
      <c r="HC8" s="568"/>
      <c r="HD8" s="568"/>
      <c r="HE8" s="568"/>
      <c r="HF8" s="568"/>
      <c r="HG8" s="568"/>
      <c r="HH8" s="568"/>
      <c r="HI8" s="568"/>
      <c r="HJ8" s="568"/>
      <c r="HK8" s="568"/>
      <c r="HL8" s="568"/>
      <c r="HM8" s="568"/>
      <c r="HN8" s="568"/>
      <c r="HO8" s="568"/>
      <c r="HP8" s="568"/>
      <c r="HQ8" s="568"/>
      <c r="HR8" s="568"/>
      <c r="HS8" s="568"/>
      <c r="HT8" s="568"/>
      <c r="HU8" s="568"/>
      <c r="HV8" s="568"/>
      <c r="HW8" s="568"/>
      <c r="HX8" s="568"/>
      <c r="HY8" s="568"/>
      <c r="HZ8" s="568"/>
      <c r="IA8" s="568"/>
      <c r="IB8" s="568"/>
      <c r="IC8" s="568"/>
      <c r="ID8" s="568"/>
      <c r="IE8" s="568"/>
      <c r="IF8" s="568"/>
      <c r="IG8" s="568"/>
      <c r="IH8" s="568"/>
      <c r="II8" s="568"/>
      <c r="IJ8" s="568"/>
      <c r="IK8" s="568"/>
      <c r="IL8" s="568"/>
      <c r="IM8" s="568"/>
      <c r="IN8" s="568"/>
      <c r="IO8" s="568"/>
      <c r="IP8" s="568"/>
      <c r="IQ8" s="568"/>
      <c r="IR8" s="568"/>
      <c r="IS8" s="568"/>
      <c r="IT8" s="568"/>
      <c r="IU8" s="568"/>
    </row>
    <row r="9" spans="1:255" ht="18" customHeight="1">
      <c r="A9" s="566" t="s">
        <v>1058</v>
      </c>
      <c r="B9" s="561"/>
      <c r="C9" s="1142">
        <v>289.52784451999997</v>
      </c>
      <c r="D9" s="1142">
        <v>85.822405319999987</v>
      </c>
      <c r="E9" s="1142">
        <v>152.73135051</v>
      </c>
      <c r="F9" s="1142">
        <v>230.10787234</v>
      </c>
      <c r="G9" s="1142">
        <v>300.71854592</v>
      </c>
      <c r="H9" s="1142">
        <v>85.96250379</v>
      </c>
      <c r="I9" s="1142">
        <v>162.83727356</v>
      </c>
      <c r="J9" s="1142">
        <v>233.45426174000002</v>
      </c>
      <c r="K9" s="1142">
        <v>0</v>
      </c>
      <c r="L9" s="1142">
        <v>0</v>
      </c>
      <c r="M9" s="561">
        <v>0</v>
      </c>
      <c r="N9" s="561">
        <v>0</v>
      </c>
      <c r="O9"/>
      <c r="P9" s="832" t="s">
        <v>1614</v>
      </c>
      <c r="Q9" s="561"/>
      <c r="R9" s="561"/>
      <c r="S9" s="561"/>
      <c r="T9" s="561"/>
      <c r="U9" s="561"/>
      <c r="V9" s="561"/>
      <c r="W9" s="561"/>
      <c r="X9" s="561"/>
      <c r="Y9" s="561"/>
      <c r="Z9" s="561"/>
      <c r="AA9" s="561"/>
      <c r="AB9" s="561"/>
      <c r="AC9" s="561"/>
      <c r="AD9" s="561"/>
      <c r="AE9" s="561"/>
      <c r="AF9" s="561"/>
      <c r="AG9" s="561"/>
      <c r="AH9" s="567"/>
      <c r="AI9" s="567"/>
      <c r="AJ9" s="567"/>
      <c r="AK9" s="567"/>
      <c r="AL9" s="567"/>
      <c r="AM9" s="567"/>
      <c r="AN9" s="567"/>
      <c r="AO9" s="567"/>
      <c r="AP9" s="567"/>
      <c r="AQ9" s="567"/>
      <c r="AR9" s="567"/>
      <c r="AS9" s="567"/>
      <c r="AT9" s="567"/>
      <c r="AU9" s="567"/>
      <c r="AV9" s="567"/>
      <c r="AW9" s="567"/>
      <c r="AX9" s="567"/>
      <c r="AY9" s="567"/>
      <c r="AZ9" s="567"/>
      <c r="BA9" s="567"/>
      <c r="BB9" s="567"/>
      <c r="BC9" s="567"/>
      <c r="BD9" s="568"/>
      <c r="BE9" s="568"/>
      <c r="BF9" s="568"/>
      <c r="BG9" s="568"/>
      <c r="BH9" s="568"/>
      <c r="BI9" s="568"/>
      <c r="BJ9" s="568"/>
      <c r="BK9" s="568"/>
      <c r="BL9" s="568"/>
      <c r="BM9" s="568"/>
      <c r="BN9" s="568"/>
      <c r="BO9" s="568"/>
      <c r="BP9" s="568"/>
      <c r="BQ9" s="568"/>
      <c r="BR9" s="568"/>
      <c r="BS9" s="568"/>
      <c r="BT9" s="568"/>
      <c r="BU9" s="568"/>
      <c r="BV9" s="568"/>
      <c r="BW9" s="568"/>
      <c r="BX9" s="568"/>
      <c r="BY9" s="568"/>
      <c r="BZ9" s="568"/>
      <c r="CA9" s="568"/>
      <c r="CB9" s="568"/>
      <c r="CC9" s="568"/>
      <c r="CD9" s="568"/>
      <c r="CE9" s="568"/>
      <c r="CF9" s="568"/>
      <c r="CG9" s="568"/>
      <c r="CH9" s="568"/>
      <c r="CI9" s="568"/>
      <c r="CJ9" s="568"/>
      <c r="CK9" s="568"/>
      <c r="CL9" s="568"/>
      <c r="CM9" s="568"/>
      <c r="CN9" s="568"/>
      <c r="CO9" s="568"/>
      <c r="CP9" s="568"/>
      <c r="CQ9" s="568"/>
      <c r="CR9" s="568"/>
      <c r="CS9" s="568"/>
      <c r="CT9" s="568"/>
      <c r="CU9" s="568"/>
      <c r="CV9" s="568"/>
      <c r="CW9" s="568"/>
      <c r="CX9" s="568"/>
      <c r="CY9" s="568"/>
      <c r="CZ9" s="568"/>
      <c r="DA9" s="568"/>
      <c r="DB9" s="568"/>
      <c r="DC9" s="568"/>
      <c r="DD9" s="568"/>
      <c r="DE9" s="568"/>
      <c r="DF9" s="568"/>
      <c r="DG9" s="568"/>
      <c r="DH9" s="568"/>
      <c r="DI9" s="568"/>
      <c r="DJ9" s="568"/>
      <c r="DK9" s="568"/>
      <c r="DL9" s="568"/>
      <c r="DM9" s="568"/>
      <c r="DN9" s="568"/>
      <c r="DO9" s="568"/>
      <c r="DP9" s="568"/>
      <c r="DQ9" s="568"/>
      <c r="DR9" s="568"/>
      <c r="DS9" s="568"/>
      <c r="DT9" s="568"/>
      <c r="DU9" s="568"/>
      <c r="DV9" s="568"/>
      <c r="DW9" s="568"/>
      <c r="DX9" s="568"/>
      <c r="DY9" s="568"/>
      <c r="DZ9" s="568"/>
      <c r="EA9" s="568"/>
      <c r="EB9" s="568"/>
      <c r="EC9" s="568"/>
      <c r="ED9" s="568"/>
      <c r="EE9" s="568"/>
      <c r="EF9" s="568"/>
      <c r="EG9" s="568"/>
      <c r="EH9" s="568"/>
      <c r="EI9" s="568"/>
      <c r="EJ9" s="568"/>
      <c r="EK9" s="568"/>
      <c r="EL9" s="568"/>
      <c r="EM9" s="568"/>
      <c r="EN9" s="568"/>
      <c r="EO9" s="568"/>
      <c r="EP9" s="568"/>
      <c r="EQ9" s="568"/>
      <c r="ER9" s="568"/>
      <c r="ES9" s="568"/>
      <c r="ET9" s="568"/>
      <c r="EU9" s="568"/>
      <c r="EV9" s="568"/>
      <c r="EW9" s="568"/>
      <c r="EX9" s="568"/>
      <c r="EY9" s="568"/>
      <c r="EZ9" s="568"/>
      <c r="FA9" s="568"/>
      <c r="FB9" s="568"/>
      <c r="FC9" s="568"/>
      <c r="FD9" s="568"/>
      <c r="FE9" s="568"/>
      <c r="FF9" s="568"/>
      <c r="FG9" s="568"/>
      <c r="FH9" s="568"/>
      <c r="FI9" s="568"/>
      <c r="FJ9" s="568"/>
      <c r="FK9" s="568"/>
      <c r="FL9" s="568"/>
      <c r="FM9" s="568"/>
      <c r="FN9" s="568"/>
      <c r="FO9" s="568"/>
      <c r="FP9" s="568"/>
      <c r="FQ9" s="568"/>
      <c r="FR9" s="568"/>
      <c r="FS9" s="568"/>
      <c r="FT9" s="568"/>
      <c r="FU9" s="568"/>
      <c r="FV9" s="568"/>
      <c r="FW9" s="568"/>
      <c r="FX9" s="568"/>
      <c r="FY9" s="568"/>
      <c r="FZ9" s="568"/>
      <c r="GA9" s="568"/>
      <c r="GB9" s="568"/>
      <c r="GC9" s="568"/>
      <c r="GD9" s="568"/>
      <c r="GE9" s="568"/>
      <c r="GF9" s="568"/>
      <c r="GG9" s="568"/>
      <c r="GH9" s="568"/>
      <c r="GI9" s="568"/>
      <c r="GJ9" s="568"/>
      <c r="GK9" s="568"/>
      <c r="GL9" s="568"/>
      <c r="GM9" s="568"/>
      <c r="GN9" s="568"/>
      <c r="GO9" s="568"/>
      <c r="GP9" s="568"/>
      <c r="GQ9" s="568"/>
      <c r="GR9" s="568"/>
      <c r="GS9" s="568"/>
      <c r="GT9" s="568"/>
      <c r="GU9" s="568"/>
      <c r="GV9" s="568"/>
      <c r="GW9" s="568"/>
      <c r="GX9" s="568"/>
      <c r="GY9" s="568"/>
      <c r="GZ9" s="568"/>
      <c r="HA9" s="568"/>
      <c r="HB9" s="568"/>
      <c r="HC9" s="568"/>
      <c r="HD9" s="568"/>
      <c r="HE9" s="568"/>
      <c r="HF9" s="568"/>
      <c r="HG9" s="568"/>
      <c r="HH9" s="568"/>
      <c r="HI9" s="568"/>
      <c r="HJ9" s="568"/>
      <c r="HK9" s="568"/>
      <c r="HL9" s="568"/>
      <c r="HM9" s="568"/>
      <c r="HN9" s="568"/>
      <c r="HO9" s="568"/>
      <c r="HP9" s="568"/>
      <c r="HQ9" s="568"/>
      <c r="HR9" s="568"/>
      <c r="HS9" s="568"/>
      <c r="HT9" s="568"/>
      <c r="HU9" s="568"/>
      <c r="HV9" s="568"/>
      <c r="HW9" s="568"/>
      <c r="HX9" s="568"/>
      <c r="HY9" s="568"/>
      <c r="HZ9" s="568"/>
      <c r="IA9" s="568"/>
      <c r="IB9" s="568"/>
      <c r="IC9" s="568"/>
      <c r="ID9" s="568"/>
      <c r="IE9" s="568"/>
      <c r="IF9" s="568"/>
      <c r="IG9" s="568"/>
      <c r="IH9" s="568"/>
      <c r="II9" s="568"/>
      <c r="IJ9" s="568"/>
      <c r="IK9" s="568"/>
      <c r="IL9" s="568"/>
      <c r="IM9" s="568"/>
      <c r="IN9" s="568"/>
      <c r="IO9" s="568"/>
      <c r="IP9" s="568"/>
      <c r="IQ9" s="568"/>
      <c r="IR9" s="568"/>
      <c r="IS9" s="568"/>
      <c r="IT9" s="568"/>
      <c r="IU9" s="568"/>
    </row>
    <row r="10" spans="1:255" ht="18" customHeight="1">
      <c r="A10" s="1132" t="s">
        <v>2714</v>
      </c>
      <c r="B10" s="561"/>
      <c r="C10" s="1142">
        <v>339.99656446</v>
      </c>
      <c r="D10" s="1142">
        <v>52.910284149999995</v>
      </c>
      <c r="E10" s="1142">
        <v>145.33044175000001</v>
      </c>
      <c r="F10" s="1142">
        <v>255.16663438</v>
      </c>
      <c r="G10" s="1142">
        <v>343.13398811000002</v>
      </c>
      <c r="H10" s="1142">
        <v>66.510017759999997</v>
      </c>
      <c r="I10" s="1142">
        <v>161.86500713000001</v>
      </c>
      <c r="J10" s="1142">
        <v>246.54911363999997</v>
      </c>
      <c r="K10" s="1142">
        <v>0</v>
      </c>
      <c r="L10" s="1142">
        <v>0</v>
      </c>
      <c r="M10" s="561">
        <v>0</v>
      </c>
      <c r="N10" s="561">
        <v>0</v>
      </c>
      <c r="O10"/>
      <c r="P10" s="832" t="s">
        <v>2728</v>
      </c>
      <c r="Q10" s="561"/>
      <c r="R10" s="561"/>
      <c r="S10" s="561"/>
      <c r="T10" s="561"/>
      <c r="U10" s="561"/>
      <c r="V10" s="561"/>
      <c r="W10" s="561"/>
      <c r="X10" s="561"/>
      <c r="Y10" s="561"/>
      <c r="Z10" s="561"/>
      <c r="AA10" s="561"/>
      <c r="AB10" s="561"/>
      <c r="AC10" s="561"/>
      <c r="AD10" s="561"/>
      <c r="AE10" s="561"/>
      <c r="AF10" s="561"/>
      <c r="AG10" s="561"/>
      <c r="AH10" s="567"/>
      <c r="AI10" s="567"/>
      <c r="AJ10" s="567"/>
      <c r="AK10" s="567"/>
      <c r="AL10" s="567"/>
      <c r="AM10" s="567"/>
      <c r="AN10" s="567"/>
      <c r="AO10" s="567"/>
      <c r="AP10" s="567"/>
      <c r="AQ10" s="567"/>
      <c r="AR10" s="567"/>
      <c r="AS10" s="567"/>
      <c r="AT10" s="567"/>
      <c r="AU10" s="567"/>
      <c r="AV10" s="567"/>
      <c r="AW10" s="567"/>
      <c r="AX10" s="567"/>
      <c r="AY10" s="567"/>
      <c r="AZ10" s="567"/>
      <c r="BA10" s="567"/>
      <c r="BB10" s="567"/>
      <c r="BC10" s="567"/>
      <c r="BD10" s="568"/>
      <c r="BE10" s="568"/>
      <c r="BF10" s="568"/>
      <c r="BG10" s="568"/>
      <c r="BH10" s="568"/>
      <c r="BI10" s="568"/>
      <c r="BJ10" s="568"/>
      <c r="BK10" s="568"/>
      <c r="BL10" s="568"/>
      <c r="BM10" s="568"/>
      <c r="BN10" s="568"/>
      <c r="BO10" s="568"/>
      <c r="BP10" s="568"/>
      <c r="BQ10" s="568"/>
      <c r="BR10" s="568"/>
      <c r="BS10" s="568"/>
      <c r="BT10" s="568"/>
      <c r="BU10" s="568"/>
      <c r="BV10" s="568"/>
      <c r="BW10" s="568"/>
      <c r="BX10" s="568"/>
      <c r="BY10" s="568"/>
      <c r="BZ10" s="568"/>
      <c r="CA10" s="568"/>
      <c r="CB10" s="568"/>
      <c r="CC10" s="568"/>
      <c r="CD10" s="568"/>
      <c r="CE10" s="568"/>
      <c r="CF10" s="568"/>
      <c r="CG10" s="568"/>
      <c r="CH10" s="568"/>
      <c r="CI10" s="568"/>
      <c r="CJ10" s="568"/>
      <c r="CK10" s="568"/>
      <c r="CL10" s="568"/>
      <c r="CM10" s="568"/>
      <c r="CN10" s="568"/>
      <c r="CO10" s="568"/>
      <c r="CP10" s="568"/>
      <c r="CQ10" s="568"/>
      <c r="CR10" s="568"/>
      <c r="CS10" s="568"/>
      <c r="CT10" s="568"/>
      <c r="CU10" s="568"/>
      <c r="CV10" s="568"/>
      <c r="CW10" s="568"/>
      <c r="CX10" s="568"/>
      <c r="CY10" s="568"/>
      <c r="CZ10" s="568"/>
      <c r="DA10" s="568"/>
      <c r="DB10" s="568"/>
      <c r="DC10" s="568"/>
      <c r="DD10" s="568"/>
      <c r="DE10" s="568"/>
      <c r="DF10" s="568"/>
      <c r="DG10" s="568"/>
      <c r="DH10" s="568"/>
      <c r="DI10" s="568"/>
      <c r="DJ10" s="568"/>
      <c r="DK10" s="568"/>
      <c r="DL10" s="568"/>
      <c r="DM10" s="568"/>
      <c r="DN10" s="568"/>
      <c r="DO10" s="568"/>
      <c r="DP10" s="568"/>
      <c r="DQ10" s="568"/>
      <c r="DR10" s="568"/>
      <c r="DS10" s="568"/>
      <c r="DT10" s="568"/>
      <c r="DU10" s="568"/>
      <c r="DV10" s="568"/>
      <c r="DW10" s="568"/>
      <c r="DX10" s="568"/>
      <c r="DY10" s="568"/>
      <c r="DZ10" s="568"/>
      <c r="EA10" s="568"/>
      <c r="EB10" s="568"/>
      <c r="EC10" s="568"/>
      <c r="ED10" s="568"/>
      <c r="EE10" s="568"/>
      <c r="EF10" s="568"/>
      <c r="EG10" s="568"/>
      <c r="EH10" s="568"/>
      <c r="EI10" s="568"/>
      <c r="EJ10" s="568"/>
      <c r="EK10" s="568"/>
      <c r="EL10" s="568"/>
      <c r="EM10" s="568"/>
      <c r="EN10" s="568"/>
      <c r="EO10" s="568"/>
      <c r="EP10" s="568"/>
      <c r="EQ10" s="568"/>
      <c r="ER10" s="568"/>
      <c r="ES10" s="568"/>
      <c r="ET10" s="568"/>
      <c r="EU10" s="568"/>
      <c r="EV10" s="568"/>
      <c r="EW10" s="568"/>
      <c r="EX10" s="568"/>
      <c r="EY10" s="568"/>
      <c r="EZ10" s="568"/>
      <c r="FA10" s="568"/>
      <c r="FB10" s="568"/>
      <c r="FC10" s="568"/>
      <c r="FD10" s="568"/>
      <c r="FE10" s="568"/>
      <c r="FF10" s="568"/>
      <c r="FG10" s="568"/>
      <c r="FH10" s="568"/>
      <c r="FI10" s="568"/>
      <c r="FJ10" s="568"/>
      <c r="FK10" s="568"/>
      <c r="FL10" s="568"/>
      <c r="FM10" s="568"/>
      <c r="FN10" s="568"/>
      <c r="FO10" s="568"/>
      <c r="FP10" s="568"/>
      <c r="FQ10" s="568"/>
      <c r="FR10" s="568"/>
      <c r="FS10" s="568"/>
      <c r="FT10" s="568"/>
      <c r="FU10" s="568"/>
      <c r="FV10" s="568"/>
      <c r="FW10" s="568"/>
      <c r="FX10" s="568"/>
      <c r="FY10" s="568"/>
      <c r="FZ10" s="568"/>
      <c r="GA10" s="568"/>
      <c r="GB10" s="568"/>
      <c r="GC10" s="568"/>
      <c r="GD10" s="568"/>
      <c r="GE10" s="568"/>
      <c r="GF10" s="568"/>
      <c r="GG10" s="568"/>
      <c r="GH10" s="568"/>
      <c r="GI10" s="568"/>
      <c r="GJ10" s="568"/>
      <c r="GK10" s="568"/>
      <c r="GL10" s="568"/>
      <c r="GM10" s="568"/>
      <c r="GN10" s="568"/>
      <c r="GO10" s="568"/>
      <c r="GP10" s="568"/>
      <c r="GQ10" s="568"/>
      <c r="GR10" s="568"/>
      <c r="GS10" s="568"/>
      <c r="GT10" s="568"/>
      <c r="GU10" s="568"/>
      <c r="GV10" s="568"/>
      <c r="GW10" s="568"/>
      <c r="GX10" s="568"/>
      <c r="GY10" s="568"/>
      <c r="GZ10" s="568"/>
      <c r="HA10" s="568"/>
      <c r="HB10" s="568"/>
      <c r="HC10" s="568"/>
      <c r="HD10" s="568"/>
      <c r="HE10" s="568"/>
      <c r="HF10" s="568"/>
      <c r="HG10" s="568"/>
      <c r="HH10" s="568"/>
      <c r="HI10" s="568"/>
      <c r="HJ10" s="568"/>
      <c r="HK10" s="568"/>
      <c r="HL10" s="568"/>
      <c r="HM10" s="568"/>
      <c r="HN10" s="568"/>
      <c r="HO10" s="568"/>
      <c r="HP10" s="568"/>
      <c r="HQ10" s="568"/>
      <c r="HR10" s="568"/>
      <c r="HS10" s="568"/>
      <c r="HT10" s="568"/>
      <c r="HU10" s="568"/>
      <c r="HV10" s="568"/>
      <c r="HW10" s="568"/>
      <c r="HX10" s="568"/>
      <c r="HY10" s="568"/>
      <c r="HZ10" s="568"/>
      <c r="IA10" s="568"/>
      <c r="IB10" s="568"/>
      <c r="IC10" s="568"/>
      <c r="ID10" s="568"/>
      <c r="IE10" s="568"/>
      <c r="IF10" s="568"/>
      <c r="IG10" s="568"/>
      <c r="IH10" s="568"/>
      <c r="II10" s="568"/>
      <c r="IJ10" s="568"/>
      <c r="IK10" s="568"/>
      <c r="IL10" s="568"/>
      <c r="IM10" s="568"/>
      <c r="IN10" s="568"/>
      <c r="IO10" s="568"/>
      <c r="IP10" s="568"/>
      <c r="IQ10" s="568"/>
      <c r="IR10" s="568"/>
      <c r="IS10" s="568"/>
      <c r="IT10" s="568"/>
      <c r="IU10" s="568"/>
    </row>
    <row r="11" spans="1:255" ht="18" customHeight="1">
      <c r="A11" s="566" t="s">
        <v>987</v>
      </c>
      <c r="B11" s="561"/>
      <c r="C11" s="1142">
        <v>42.603031940000001</v>
      </c>
      <c r="D11" s="1142">
        <v>17.635382249999999</v>
      </c>
      <c r="E11" s="1142">
        <v>41.789257720000002</v>
      </c>
      <c r="F11" s="1142">
        <v>56.937776899999996</v>
      </c>
      <c r="G11" s="1142">
        <v>75.63140765</v>
      </c>
      <c r="H11" s="1142">
        <v>18.99991073</v>
      </c>
      <c r="I11" s="1142">
        <v>44.826395789999999</v>
      </c>
      <c r="J11" s="1142">
        <v>52.155814630000002</v>
      </c>
      <c r="K11" s="1142">
        <v>0</v>
      </c>
      <c r="L11" s="1142">
        <v>0</v>
      </c>
      <c r="M11" s="561">
        <v>0</v>
      </c>
      <c r="N11" s="561">
        <v>0</v>
      </c>
      <c r="O11"/>
      <c r="P11" s="832" t="s">
        <v>1615</v>
      </c>
      <c r="Q11" s="561"/>
      <c r="R11" s="561"/>
      <c r="S11" s="561"/>
      <c r="T11" s="561"/>
      <c r="U11" s="561"/>
      <c r="V11" s="561"/>
      <c r="W11" s="561"/>
      <c r="X11" s="561"/>
      <c r="Y11" s="561"/>
      <c r="Z11" s="561"/>
      <c r="AA11" s="561"/>
      <c r="AB11" s="561"/>
      <c r="AC11" s="561"/>
      <c r="AD11" s="561"/>
      <c r="AE11" s="561"/>
      <c r="AF11" s="561"/>
      <c r="AG11" s="561"/>
      <c r="AH11" s="567"/>
      <c r="AI11" s="567"/>
      <c r="AJ11" s="567"/>
      <c r="AK11" s="567"/>
      <c r="AL11" s="567"/>
      <c r="AM11" s="567"/>
      <c r="AN11" s="567"/>
      <c r="AO11" s="567"/>
      <c r="AP11" s="567"/>
      <c r="AQ11" s="567"/>
      <c r="AR11" s="567"/>
      <c r="AS11" s="567"/>
      <c r="AT11" s="567"/>
      <c r="AU11" s="567"/>
      <c r="AV11" s="567"/>
      <c r="AW11" s="567"/>
      <c r="AX11" s="567"/>
      <c r="AY11" s="567"/>
      <c r="AZ11" s="567"/>
      <c r="BA11" s="567"/>
      <c r="BB11" s="567"/>
      <c r="BC11" s="567"/>
      <c r="BD11" s="568"/>
      <c r="BE11" s="568"/>
      <c r="BF11" s="568"/>
      <c r="BG11" s="568"/>
      <c r="BH11" s="568"/>
      <c r="BI11" s="568"/>
      <c r="BJ11" s="568"/>
      <c r="BK11" s="568"/>
      <c r="BL11" s="568"/>
      <c r="BM11" s="568"/>
      <c r="BN11" s="568"/>
      <c r="BO11" s="568"/>
      <c r="BP11" s="568"/>
      <c r="BQ11" s="568"/>
      <c r="BR11" s="568"/>
      <c r="BS11" s="568"/>
      <c r="BT11" s="568"/>
      <c r="BU11" s="568"/>
      <c r="BV11" s="568"/>
      <c r="BW11" s="568"/>
      <c r="BX11" s="568"/>
      <c r="BY11" s="568"/>
      <c r="BZ11" s="568"/>
      <c r="CA11" s="568"/>
      <c r="CB11" s="568"/>
      <c r="CC11" s="568"/>
      <c r="CD11" s="568"/>
      <c r="CE11" s="568"/>
      <c r="CF11" s="568"/>
      <c r="CG11" s="568"/>
      <c r="CH11" s="568"/>
      <c r="CI11" s="568"/>
      <c r="CJ11" s="568"/>
      <c r="CK11" s="568"/>
      <c r="CL11" s="568"/>
      <c r="CM11" s="568"/>
      <c r="CN11" s="568"/>
      <c r="CO11" s="568"/>
      <c r="CP11" s="568"/>
      <c r="CQ11" s="568"/>
      <c r="CR11" s="568"/>
      <c r="CS11" s="568"/>
      <c r="CT11" s="568"/>
      <c r="CU11" s="568"/>
      <c r="CV11" s="568"/>
      <c r="CW11" s="568"/>
      <c r="CX11" s="568"/>
      <c r="CY11" s="568"/>
      <c r="CZ11" s="568"/>
      <c r="DA11" s="568"/>
      <c r="DB11" s="568"/>
      <c r="DC11" s="568"/>
      <c r="DD11" s="568"/>
      <c r="DE11" s="568"/>
      <c r="DF11" s="568"/>
      <c r="DG11" s="568"/>
      <c r="DH11" s="568"/>
      <c r="DI11" s="568"/>
      <c r="DJ11" s="568"/>
      <c r="DK11" s="568"/>
      <c r="DL11" s="568"/>
      <c r="DM11" s="568"/>
      <c r="DN11" s="568"/>
      <c r="DO11" s="568"/>
      <c r="DP11" s="568"/>
      <c r="DQ11" s="568"/>
      <c r="DR11" s="568"/>
      <c r="DS11" s="568"/>
      <c r="DT11" s="568"/>
      <c r="DU11" s="568"/>
      <c r="DV11" s="568"/>
      <c r="DW11" s="568"/>
      <c r="DX11" s="568"/>
      <c r="DY11" s="568"/>
      <c r="DZ11" s="568"/>
      <c r="EA11" s="568"/>
      <c r="EB11" s="568"/>
      <c r="EC11" s="568"/>
      <c r="ED11" s="568"/>
      <c r="EE11" s="568"/>
      <c r="EF11" s="568"/>
      <c r="EG11" s="568"/>
      <c r="EH11" s="568"/>
      <c r="EI11" s="568"/>
      <c r="EJ11" s="568"/>
      <c r="EK11" s="568"/>
      <c r="EL11" s="568"/>
      <c r="EM11" s="568"/>
      <c r="EN11" s="568"/>
      <c r="EO11" s="568"/>
      <c r="EP11" s="568"/>
      <c r="EQ11" s="568"/>
      <c r="ER11" s="568"/>
      <c r="ES11" s="568"/>
      <c r="ET11" s="568"/>
      <c r="EU11" s="568"/>
      <c r="EV11" s="568"/>
      <c r="EW11" s="568"/>
      <c r="EX11" s="568"/>
      <c r="EY11" s="568"/>
      <c r="EZ11" s="568"/>
      <c r="FA11" s="568"/>
      <c r="FB11" s="568"/>
      <c r="FC11" s="568"/>
      <c r="FD11" s="568"/>
      <c r="FE11" s="568"/>
      <c r="FF11" s="568"/>
      <c r="FG11" s="568"/>
      <c r="FH11" s="568"/>
      <c r="FI11" s="568"/>
      <c r="FJ11" s="568"/>
      <c r="FK11" s="568"/>
      <c r="FL11" s="568"/>
      <c r="FM11" s="568"/>
      <c r="FN11" s="568"/>
      <c r="FO11" s="568"/>
      <c r="FP11" s="568"/>
      <c r="FQ11" s="568"/>
      <c r="FR11" s="568"/>
      <c r="FS11" s="568"/>
      <c r="FT11" s="568"/>
      <c r="FU11" s="568"/>
      <c r="FV11" s="568"/>
      <c r="FW11" s="568"/>
      <c r="FX11" s="568"/>
      <c r="FY11" s="568"/>
      <c r="FZ11" s="568"/>
      <c r="GA11" s="568"/>
      <c r="GB11" s="568"/>
      <c r="GC11" s="568"/>
      <c r="GD11" s="568"/>
      <c r="GE11" s="568"/>
      <c r="GF11" s="568"/>
      <c r="GG11" s="568"/>
      <c r="GH11" s="568"/>
      <c r="GI11" s="568"/>
      <c r="GJ11" s="568"/>
      <c r="GK11" s="568"/>
      <c r="GL11" s="568"/>
      <c r="GM11" s="568"/>
      <c r="GN11" s="568"/>
      <c r="GO11" s="568"/>
      <c r="GP11" s="568"/>
      <c r="GQ11" s="568"/>
      <c r="GR11" s="568"/>
      <c r="GS11" s="568"/>
      <c r="GT11" s="568"/>
      <c r="GU11" s="568"/>
      <c r="GV11" s="568"/>
      <c r="GW11" s="568"/>
      <c r="GX11" s="568"/>
      <c r="GY11" s="568"/>
      <c r="GZ11" s="568"/>
      <c r="HA11" s="568"/>
      <c r="HB11" s="568"/>
      <c r="HC11" s="568"/>
      <c r="HD11" s="568"/>
      <c r="HE11" s="568"/>
      <c r="HF11" s="568"/>
      <c r="HG11" s="568"/>
      <c r="HH11" s="568"/>
      <c r="HI11" s="568"/>
      <c r="HJ11" s="568"/>
      <c r="HK11" s="568"/>
      <c r="HL11" s="568"/>
      <c r="HM11" s="568"/>
      <c r="HN11" s="568"/>
      <c r="HO11" s="568"/>
      <c r="HP11" s="568"/>
      <c r="HQ11" s="568"/>
      <c r="HR11" s="568"/>
      <c r="HS11" s="568"/>
      <c r="HT11" s="568"/>
      <c r="HU11" s="568"/>
      <c r="HV11" s="568"/>
      <c r="HW11" s="568"/>
      <c r="HX11" s="568"/>
      <c r="HY11" s="568"/>
      <c r="HZ11" s="568"/>
      <c r="IA11" s="568"/>
      <c r="IB11" s="568"/>
      <c r="IC11" s="568"/>
      <c r="ID11" s="568"/>
      <c r="IE11" s="568"/>
      <c r="IF11" s="568"/>
      <c r="IG11" s="568"/>
      <c r="IH11" s="568"/>
      <c r="II11" s="568"/>
      <c r="IJ11" s="568"/>
      <c r="IK11" s="568"/>
      <c r="IL11" s="568"/>
      <c r="IM11" s="568"/>
      <c r="IN11" s="568"/>
      <c r="IO11" s="568"/>
      <c r="IP11" s="568"/>
      <c r="IQ11" s="568"/>
      <c r="IR11" s="568"/>
      <c r="IS11" s="568"/>
      <c r="IT11" s="568"/>
      <c r="IU11" s="568"/>
    </row>
    <row r="12" spans="1:255" ht="18" customHeight="1">
      <c r="A12" s="566" t="s">
        <v>640</v>
      </c>
      <c r="B12" s="561"/>
      <c r="C12" s="1142">
        <v>62.43521045</v>
      </c>
      <c r="D12" s="1142">
        <v>27.182371710000002</v>
      </c>
      <c r="E12" s="1142">
        <v>53.97053691</v>
      </c>
      <c r="F12" s="1142">
        <v>79.133589970000003</v>
      </c>
      <c r="G12" s="1142">
        <v>101.20494839</v>
      </c>
      <c r="H12" s="1142">
        <v>24.87005568</v>
      </c>
      <c r="I12" s="1142">
        <v>50.858789549999997</v>
      </c>
      <c r="J12" s="1142">
        <v>71.746361150000013</v>
      </c>
      <c r="K12" s="1142">
        <v>0</v>
      </c>
      <c r="L12" s="1142">
        <v>0</v>
      </c>
      <c r="M12" s="561">
        <v>0</v>
      </c>
      <c r="N12" s="561">
        <v>0</v>
      </c>
      <c r="O12"/>
      <c r="P12" s="832" t="s">
        <v>2852</v>
      </c>
      <c r="Q12" s="561"/>
      <c r="R12" s="561"/>
      <c r="S12" s="561"/>
      <c r="T12" s="561"/>
      <c r="U12" s="561"/>
      <c r="V12" s="561"/>
      <c r="W12" s="561"/>
      <c r="X12" s="561"/>
      <c r="Y12" s="561"/>
      <c r="Z12" s="561"/>
      <c r="AA12" s="561"/>
      <c r="AB12" s="561"/>
      <c r="AC12" s="561"/>
      <c r="AD12" s="561"/>
      <c r="AE12" s="561"/>
      <c r="AF12" s="561"/>
      <c r="AG12" s="561"/>
      <c r="AH12" s="567"/>
      <c r="AI12" s="567"/>
      <c r="AJ12" s="567"/>
      <c r="AK12" s="567"/>
      <c r="AL12" s="567"/>
      <c r="AM12" s="567"/>
      <c r="AN12" s="567"/>
      <c r="AO12" s="567"/>
      <c r="AP12" s="567"/>
      <c r="AQ12" s="567"/>
      <c r="AR12" s="567"/>
      <c r="AS12" s="567"/>
      <c r="AT12" s="567"/>
      <c r="AU12" s="567"/>
      <c r="AV12" s="567"/>
      <c r="AW12" s="567"/>
      <c r="AX12" s="567"/>
      <c r="AY12" s="567"/>
      <c r="AZ12" s="567"/>
      <c r="BA12" s="567"/>
      <c r="BB12" s="567"/>
      <c r="BC12" s="567"/>
      <c r="BD12" s="568"/>
      <c r="BE12" s="568"/>
      <c r="BF12" s="568"/>
      <c r="BG12" s="568"/>
      <c r="BH12" s="568"/>
      <c r="BI12" s="568"/>
      <c r="BJ12" s="568"/>
      <c r="BK12" s="568"/>
      <c r="BL12" s="568"/>
      <c r="BM12" s="568"/>
      <c r="BN12" s="568"/>
      <c r="BO12" s="568"/>
      <c r="BP12" s="568"/>
      <c r="BQ12" s="568"/>
      <c r="BR12" s="568"/>
      <c r="BS12" s="568"/>
      <c r="BT12" s="568"/>
      <c r="BU12" s="568"/>
      <c r="BV12" s="568"/>
      <c r="BW12" s="568"/>
      <c r="BX12" s="568"/>
      <c r="BY12" s="568"/>
      <c r="BZ12" s="568"/>
      <c r="CA12" s="568"/>
      <c r="CB12" s="568"/>
      <c r="CC12" s="568"/>
      <c r="CD12" s="568"/>
      <c r="CE12" s="568"/>
      <c r="CF12" s="568"/>
      <c r="CG12" s="568"/>
      <c r="CH12" s="568"/>
      <c r="CI12" s="568"/>
      <c r="CJ12" s="568"/>
      <c r="CK12" s="568"/>
      <c r="CL12" s="568"/>
      <c r="CM12" s="568"/>
      <c r="CN12" s="568"/>
      <c r="CO12" s="568"/>
      <c r="CP12" s="568"/>
      <c r="CQ12" s="568"/>
      <c r="CR12" s="568"/>
      <c r="CS12" s="568"/>
      <c r="CT12" s="568"/>
      <c r="CU12" s="568"/>
      <c r="CV12" s="568"/>
      <c r="CW12" s="568"/>
      <c r="CX12" s="568"/>
      <c r="CY12" s="568"/>
      <c r="CZ12" s="568"/>
      <c r="DA12" s="568"/>
      <c r="DB12" s="568"/>
      <c r="DC12" s="568"/>
      <c r="DD12" s="568"/>
      <c r="DE12" s="568"/>
      <c r="DF12" s="568"/>
      <c r="DG12" s="568"/>
      <c r="DH12" s="568"/>
      <c r="DI12" s="568"/>
      <c r="DJ12" s="568"/>
      <c r="DK12" s="568"/>
      <c r="DL12" s="568"/>
      <c r="DM12" s="568"/>
      <c r="DN12" s="568"/>
      <c r="DO12" s="568"/>
      <c r="DP12" s="568"/>
      <c r="DQ12" s="568"/>
      <c r="DR12" s="568"/>
      <c r="DS12" s="568"/>
      <c r="DT12" s="568"/>
      <c r="DU12" s="568"/>
      <c r="DV12" s="568"/>
      <c r="DW12" s="568"/>
      <c r="DX12" s="568"/>
      <c r="DY12" s="568"/>
      <c r="DZ12" s="568"/>
      <c r="EA12" s="568"/>
      <c r="EB12" s="568"/>
      <c r="EC12" s="568"/>
      <c r="ED12" s="568"/>
      <c r="EE12" s="568"/>
      <c r="EF12" s="568"/>
      <c r="EG12" s="568"/>
      <c r="EH12" s="568"/>
      <c r="EI12" s="568"/>
      <c r="EJ12" s="568"/>
      <c r="EK12" s="568"/>
      <c r="EL12" s="568"/>
      <c r="EM12" s="568"/>
      <c r="EN12" s="568"/>
      <c r="EO12" s="568"/>
      <c r="EP12" s="568"/>
      <c r="EQ12" s="568"/>
      <c r="ER12" s="568"/>
      <c r="ES12" s="568"/>
      <c r="ET12" s="568"/>
      <c r="EU12" s="568"/>
      <c r="EV12" s="568"/>
      <c r="EW12" s="568"/>
      <c r="EX12" s="568"/>
      <c r="EY12" s="568"/>
      <c r="EZ12" s="568"/>
      <c r="FA12" s="568"/>
      <c r="FB12" s="568"/>
      <c r="FC12" s="568"/>
      <c r="FD12" s="568"/>
      <c r="FE12" s="568"/>
      <c r="FF12" s="568"/>
      <c r="FG12" s="568"/>
      <c r="FH12" s="568"/>
      <c r="FI12" s="568"/>
      <c r="FJ12" s="568"/>
      <c r="FK12" s="568"/>
      <c r="FL12" s="568"/>
      <c r="FM12" s="568"/>
      <c r="FN12" s="568"/>
      <c r="FO12" s="568"/>
      <c r="FP12" s="568"/>
      <c r="FQ12" s="568"/>
      <c r="FR12" s="568"/>
      <c r="FS12" s="568"/>
      <c r="FT12" s="568"/>
      <c r="FU12" s="568"/>
      <c r="FV12" s="568"/>
      <c r="FW12" s="568"/>
      <c r="FX12" s="568"/>
      <c r="FY12" s="568"/>
      <c r="FZ12" s="568"/>
      <c r="GA12" s="568"/>
      <c r="GB12" s="568"/>
      <c r="GC12" s="568"/>
      <c r="GD12" s="568"/>
      <c r="GE12" s="568"/>
      <c r="GF12" s="568"/>
      <c r="GG12" s="568"/>
      <c r="GH12" s="568"/>
      <c r="GI12" s="568"/>
      <c r="GJ12" s="568"/>
      <c r="GK12" s="568"/>
      <c r="GL12" s="568"/>
      <c r="GM12" s="568"/>
      <c r="GN12" s="568"/>
      <c r="GO12" s="568"/>
      <c r="GP12" s="568"/>
      <c r="GQ12" s="568"/>
      <c r="GR12" s="568"/>
      <c r="GS12" s="568"/>
      <c r="GT12" s="568"/>
      <c r="GU12" s="568"/>
      <c r="GV12" s="568"/>
      <c r="GW12" s="568"/>
      <c r="GX12" s="568"/>
      <c r="GY12" s="568"/>
      <c r="GZ12" s="568"/>
      <c r="HA12" s="568"/>
      <c r="HB12" s="568"/>
      <c r="HC12" s="568"/>
      <c r="HD12" s="568"/>
      <c r="HE12" s="568"/>
      <c r="HF12" s="568"/>
      <c r="HG12" s="568"/>
      <c r="HH12" s="568"/>
      <c r="HI12" s="568"/>
      <c r="HJ12" s="568"/>
      <c r="HK12" s="568"/>
      <c r="HL12" s="568"/>
      <c r="HM12" s="568"/>
      <c r="HN12" s="568"/>
      <c r="HO12" s="568"/>
      <c r="HP12" s="568"/>
      <c r="HQ12" s="568"/>
      <c r="HR12" s="568"/>
      <c r="HS12" s="568"/>
      <c r="HT12" s="568"/>
      <c r="HU12" s="568"/>
      <c r="HV12" s="568"/>
      <c r="HW12" s="568"/>
      <c r="HX12" s="568"/>
      <c r="HY12" s="568"/>
      <c r="HZ12" s="568"/>
      <c r="IA12" s="568"/>
      <c r="IB12" s="568"/>
      <c r="IC12" s="568"/>
      <c r="ID12" s="568"/>
      <c r="IE12" s="568"/>
      <c r="IF12" s="568"/>
      <c r="IG12" s="568"/>
      <c r="IH12" s="568"/>
      <c r="II12" s="568"/>
      <c r="IJ12" s="568"/>
      <c r="IK12" s="568"/>
      <c r="IL12" s="568"/>
      <c r="IM12" s="568"/>
      <c r="IN12" s="568"/>
      <c r="IO12" s="568"/>
      <c r="IP12" s="568"/>
      <c r="IQ12" s="568"/>
      <c r="IR12" s="568"/>
      <c r="IS12" s="568"/>
      <c r="IT12" s="568"/>
      <c r="IU12" s="568"/>
    </row>
    <row r="13" spans="1:255" ht="18" customHeight="1">
      <c r="A13" s="566" t="s">
        <v>641</v>
      </c>
      <c r="B13" s="561"/>
      <c r="C13" s="1142">
        <v>-24.599974100000001</v>
      </c>
      <c r="D13" s="1142">
        <v>-9.6802282200000001</v>
      </c>
      <c r="E13" s="1142">
        <v>-13.056344810000001</v>
      </c>
      <c r="F13" s="1142">
        <v>-23.13460169</v>
      </c>
      <c r="G13" s="1142">
        <v>-28.396491620000003</v>
      </c>
      <c r="H13" s="1142">
        <v>-7.1963918700000002</v>
      </c>
      <c r="I13" s="1142">
        <v>-13.75541424</v>
      </c>
      <c r="J13" s="1142">
        <v>-22.3893868</v>
      </c>
      <c r="K13" s="1142">
        <v>0</v>
      </c>
      <c r="L13" s="1142">
        <v>0</v>
      </c>
      <c r="M13" s="561">
        <v>0</v>
      </c>
      <c r="N13" s="561">
        <v>0</v>
      </c>
      <c r="O13"/>
      <c r="P13" s="832" t="s">
        <v>2853</v>
      </c>
      <c r="Q13" s="561"/>
      <c r="R13" s="561"/>
      <c r="S13" s="561"/>
      <c r="T13" s="561"/>
      <c r="U13" s="561"/>
      <c r="V13" s="561"/>
      <c r="W13" s="561"/>
      <c r="X13" s="561"/>
      <c r="Y13" s="561"/>
      <c r="Z13" s="561"/>
      <c r="AA13" s="561"/>
      <c r="AB13" s="561"/>
      <c r="AC13" s="561"/>
      <c r="AD13" s="561"/>
      <c r="AE13" s="561"/>
      <c r="AF13" s="561"/>
      <c r="AG13" s="561"/>
      <c r="AH13" s="567"/>
      <c r="AI13" s="567"/>
      <c r="AJ13" s="567"/>
      <c r="AK13" s="567"/>
      <c r="AL13" s="567"/>
      <c r="AM13" s="567"/>
      <c r="AN13" s="567"/>
      <c r="AO13" s="567"/>
      <c r="AP13" s="567"/>
      <c r="AQ13" s="567"/>
      <c r="AR13" s="567"/>
      <c r="AS13" s="567"/>
      <c r="AT13" s="567"/>
      <c r="AU13" s="567"/>
      <c r="AV13" s="567"/>
      <c r="AW13" s="567"/>
      <c r="AX13" s="567"/>
      <c r="AY13" s="567"/>
      <c r="AZ13" s="567"/>
      <c r="BA13" s="567"/>
      <c r="BB13" s="567"/>
      <c r="BC13" s="567"/>
      <c r="BD13" s="568"/>
      <c r="BE13" s="568"/>
      <c r="BF13" s="568"/>
      <c r="BG13" s="568"/>
      <c r="BH13" s="568"/>
      <c r="BI13" s="568"/>
      <c r="BJ13" s="568"/>
      <c r="BK13" s="568"/>
      <c r="BL13" s="568"/>
      <c r="BM13" s="568"/>
      <c r="BN13" s="568"/>
      <c r="BO13" s="568"/>
      <c r="BP13" s="568"/>
      <c r="BQ13" s="568"/>
      <c r="BR13" s="568"/>
      <c r="BS13" s="568"/>
      <c r="BT13" s="568"/>
      <c r="BU13" s="568"/>
      <c r="BV13" s="568"/>
      <c r="BW13" s="568"/>
      <c r="BX13" s="568"/>
      <c r="BY13" s="568"/>
      <c r="BZ13" s="568"/>
      <c r="CA13" s="568"/>
      <c r="CB13" s="568"/>
      <c r="CC13" s="568"/>
      <c r="CD13" s="568"/>
      <c r="CE13" s="568"/>
      <c r="CF13" s="568"/>
      <c r="CG13" s="568"/>
      <c r="CH13" s="568"/>
      <c r="CI13" s="568"/>
      <c r="CJ13" s="568"/>
      <c r="CK13" s="568"/>
      <c r="CL13" s="568"/>
      <c r="CM13" s="568"/>
      <c r="CN13" s="568"/>
      <c r="CO13" s="568"/>
      <c r="CP13" s="568"/>
      <c r="CQ13" s="568"/>
      <c r="CR13" s="568"/>
      <c r="CS13" s="568"/>
      <c r="CT13" s="568"/>
      <c r="CU13" s="568"/>
      <c r="CV13" s="568"/>
      <c r="CW13" s="568"/>
      <c r="CX13" s="568"/>
      <c r="CY13" s="568"/>
      <c r="CZ13" s="568"/>
      <c r="DA13" s="568"/>
      <c r="DB13" s="568"/>
      <c r="DC13" s="568"/>
      <c r="DD13" s="568"/>
      <c r="DE13" s="568"/>
      <c r="DF13" s="568"/>
      <c r="DG13" s="568"/>
      <c r="DH13" s="568"/>
      <c r="DI13" s="568"/>
      <c r="DJ13" s="568"/>
      <c r="DK13" s="568"/>
      <c r="DL13" s="568"/>
      <c r="DM13" s="568"/>
      <c r="DN13" s="568"/>
      <c r="DO13" s="568"/>
      <c r="DP13" s="568"/>
      <c r="DQ13" s="568"/>
      <c r="DR13" s="568"/>
      <c r="DS13" s="568"/>
      <c r="DT13" s="568"/>
      <c r="DU13" s="568"/>
      <c r="DV13" s="568"/>
      <c r="DW13" s="568"/>
      <c r="DX13" s="568"/>
      <c r="DY13" s="568"/>
      <c r="DZ13" s="568"/>
      <c r="EA13" s="568"/>
      <c r="EB13" s="568"/>
      <c r="EC13" s="568"/>
      <c r="ED13" s="568"/>
      <c r="EE13" s="568"/>
      <c r="EF13" s="568"/>
      <c r="EG13" s="568"/>
      <c r="EH13" s="568"/>
      <c r="EI13" s="568"/>
      <c r="EJ13" s="568"/>
      <c r="EK13" s="568"/>
      <c r="EL13" s="568"/>
      <c r="EM13" s="568"/>
      <c r="EN13" s="568"/>
      <c r="EO13" s="568"/>
      <c r="EP13" s="568"/>
      <c r="EQ13" s="568"/>
      <c r="ER13" s="568"/>
      <c r="ES13" s="568"/>
      <c r="ET13" s="568"/>
      <c r="EU13" s="568"/>
      <c r="EV13" s="568"/>
      <c r="EW13" s="568"/>
      <c r="EX13" s="568"/>
      <c r="EY13" s="568"/>
      <c r="EZ13" s="568"/>
      <c r="FA13" s="568"/>
      <c r="FB13" s="568"/>
      <c r="FC13" s="568"/>
      <c r="FD13" s="568"/>
      <c r="FE13" s="568"/>
      <c r="FF13" s="568"/>
      <c r="FG13" s="568"/>
      <c r="FH13" s="568"/>
      <c r="FI13" s="568"/>
      <c r="FJ13" s="568"/>
      <c r="FK13" s="568"/>
      <c r="FL13" s="568"/>
      <c r="FM13" s="568"/>
      <c r="FN13" s="568"/>
      <c r="FO13" s="568"/>
      <c r="FP13" s="568"/>
      <c r="FQ13" s="568"/>
      <c r="FR13" s="568"/>
      <c r="FS13" s="568"/>
      <c r="FT13" s="568"/>
      <c r="FU13" s="568"/>
      <c r="FV13" s="568"/>
      <c r="FW13" s="568"/>
      <c r="FX13" s="568"/>
      <c r="FY13" s="568"/>
      <c r="FZ13" s="568"/>
      <c r="GA13" s="568"/>
      <c r="GB13" s="568"/>
      <c r="GC13" s="568"/>
      <c r="GD13" s="568"/>
      <c r="GE13" s="568"/>
      <c r="GF13" s="568"/>
      <c r="GG13" s="568"/>
      <c r="GH13" s="568"/>
      <c r="GI13" s="568"/>
      <c r="GJ13" s="568"/>
      <c r="GK13" s="568"/>
      <c r="GL13" s="568"/>
      <c r="GM13" s="568"/>
      <c r="GN13" s="568"/>
      <c r="GO13" s="568"/>
      <c r="GP13" s="568"/>
      <c r="GQ13" s="568"/>
      <c r="GR13" s="568"/>
      <c r="GS13" s="568"/>
      <c r="GT13" s="568"/>
      <c r="GU13" s="568"/>
      <c r="GV13" s="568"/>
      <c r="GW13" s="568"/>
      <c r="GX13" s="568"/>
      <c r="GY13" s="568"/>
      <c r="GZ13" s="568"/>
      <c r="HA13" s="568"/>
      <c r="HB13" s="568"/>
      <c r="HC13" s="568"/>
      <c r="HD13" s="568"/>
      <c r="HE13" s="568"/>
      <c r="HF13" s="568"/>
      <c r="HG13" s="568"/>
      <c r="HH13" s="568"/>
      <c r="HI13" s="568"/>
      <c r="HJ13" s="568"/>
      <c r="HK13" s="568"/>
      <c r="HL13" s="568"/>
      <c r="HM13" s="568"/>
      <c r="HN13" s="568"/>
      <c r="HO13" s="568"/>
      <c r="HP13" s="568"/>
      <c r="HQ13" s="568"/>
      <c r="HR13" s="568"/>
      <c r="HS13" s="568"/>
      <c r="HT13" s="568"/>
      <c r="HU13" s="568"/>
      <c r="HV13" s="568"/>
      <c r="HW13" s="568"/>
      <c r="HX13" s="568"/>
      <c r="HY13" s="568"/>
      <c r="HZ13" s="568"/>
      <c r="IA13" s="568"/>
      <c r="IB13" s="568"/>
      <c r="IC13" s="568"/>
      <c r="ID13" s="568"/>
      <c r="IE13" s="568"/>
      <c r="IF13" s="568"/>
      <c r="IG13" s="568"/>
      <c r="IH13" s="568"/>
      <c r="II13" s="568"/>
      <c r="IJ13" s="568"/>
      <c r="IK13" s="568"/>
      <c r="IL13" s="568"/>
      <c r="IM13" s="568"/>
      <c r="IN13" s="568"/>
      <c r="IO13" s="568"/>
      <c r="IP13" s="568"/>
      <c r="IQ13" s="568"/>
      <c r="IR13" s="568"/>
      <c r="IS13" s="568"/>
      <c r="IT13" s="568"/>
      <c r="IU13" s="568"/>
    </row>
    <row r="14" spans="1:255" ht="18" customHeight="1">
      <c r="A14" s="566" t="s">
        <v>642</v>
      </c>
      <c r="B14" s="561"/>
      <c r="C14" s="1142">
        <v>-26.00877388</v>
      </c>
      <c r="D14" s="1142">
        <v>-1.2618519500000001</v>
      </c>
      <c r="E14" s="1142">
        <v>-1.46311266</v>
      </c>
      <c r="F14" s="1142">
        <v>-4.1733673199999997</v>
      </c>
      <c r="G14" s="1142">
        <v>-38.068680430000001</v>
      </c>
      <c r="H14" s="1142">
        <v>-3.6950267999999999</v>
      </c>
      <c r="I14" s="1142">
        <v>-6.0866276100000007</v>
      </c>
      <c r="J14" s="1142">
        <v>-13.16292234</v>
      </c>
      <c r="K14" s="1142">
        <v>0</v>
      </c>
      <c r="L14" s="1142">
        <v>0</v>
      </c>
      <c r="M14" s="561">
        <v>0</v>
      </c>
      <c r="N14" s="561">
        <v>0</v>
      </c>
      <c r="O14"/>
      <c r="P14" s="832" t="s">
        <v>1616</v>
      </c>
      <c r="Q14" s="561"/>
      <c r="R14" s="561"/>
      <c r="S14" s="561"/>
      <c r="T14" s="561"/>
      <c r="U14" s="561"/>
      <c r="V14" s="561"/>
      <c r="W14" s="561"/>
      <c r="X14" s="561"/>
      <c r="Y14" s="561"/>
      <c r="Z14" s="561"/>
      <c r="AA14" s="561"/>
      <c r="AB14" s="561"/>
      <c r="AC14" s="561"/>
      <c r="AD14" s="561"/>
      <c r="AE14" s="561"/>
      <c r="AF14" s="561"/>
      <c r="AG14" s="561"/>
      <c r="AH14" s="567"/>
      <c r="AI14" s="567"/>
      <c r="AJ14" s="567"/>
      <c r="AK14" s="567"/>
      <c r="AL14" s="567"/>
      <c r="AM14" s="567"/>
      <c r="AN14" s="567"/>
      <c r="AO14" s="567"/>
      <c r="AP14" s="567"/>
      <c r="AQ14" s="567"/>
      <c r="AR14" s="567"/>
      <c r="AS14" s="567"/>
      <c r="AT14" s="567"/>
      <c r="AU14" s="567"/>
      <c r="AV14" s="567"/>
      <c r="AW14" s="567"/>
      <c r="AX14" s="567"/>
      <c r="AY14" s="567"/>
      <c r="AZ14" s="567"/>
      <c r="BA14" s="567"/>
      <c r="BB14" s="567"/>
      <c r="BC14" s="567"/>
      <c r="BD14" s="568"/>
      <c r="BE14" s="568"/>
      <c r="BF14" s="568"/>
      <c r="BG14" s="568"/>
      <c r="BH14" s="568"/>
      <c r="BI14" s="568"/>
      <c r="BJ14" s="568"/>
      <c r="BK14" s="568"/>
      <c r="BL14" s="568"/>
      <c r="BM14" s="568"/>
      <c r="BN14" s="568"/>
      <c r="BO14" s="568"/>
      <c r="BP14" s="568"/>
      <c r="BQ14" s="568"/>
      <c r="BR14" s="568"/>
      <c r="BS14" s="568"/>
      <c r="BT14" s="568"/>
      <c r="BU14" s="568"/>
      <c r="BV14" s="568"/>
      <c r="BW14" s="568"/>
      <c r="BX14" s="568"/>
      <c r="BY14" s="568"/>
      <c r="BZ14" s="568"/>
      <c r="CA14" s="568"/>
      <c r="CB14" s="568"/>
      <c r="CC14" s="568"/>
      <c r="CD14" s="568"/>
      <c r="CE14" s="568"/>
      <c r="CF14" s="568"/>
      <c r="CG14" s="568"/>
      <c r="CH14" s="568"/>
      <c r="CI14" s="568"/>
      <c r="CJ14" s="568"/>
      <c r="CK14" s="568"/>
      <c r="CL14" s="568"/>
      <c r="CM14" s="568"/>
      <c r="CN14" s="568"/>
      <c r="CO14" s="568"/>
      <c r="CP14" s="568"/>
      <c r="CQ14" s="568"/>
      <c r="CR14" s="568"/>
      <c r="CS14" s="568"/>
      <c r="CT14" s="568"/>
      <c r="CU14" s="568"/>
      <c r="CV14" s="568"/>
      <c r="CW14" s="568"/>
      <c r="CX14" s="568"/>
      <c r="CY14" s="568"/>
      <c r="CZ14" s="568"/>
      <c r="DA14" s="568"/>
      <c r="DB14" s="568"/>
      <c r="DC14" s="568"/>
      <c r="DD14" s="568"/>
      <c r="DE14" s="568"/>
      <c r="DF14" s="568"/>
      <c r="DG14" s="568"/>
      <c r="DH14" s="568"/>
      <c r="DI14" s="568"/>
      <c r="DJ14" s="568"/>
      <c r="DK14" s="568"/>
      <c r="DL14" s="568"/>
      <c r="DM14" s="568"/>
      <c r="DN14" s="568"/>
      <c r="DO14" s="568"/>
      <c r="DP14" s="568"/>
      <c r="DQ14" s="568"/>
      <c r="DR14" s="568"/>
      <c r="DS14" s="568"/>
      <c r="DT14" s="568"/>
      <c r="DU14" s="568"/>
      <c r="DV14" s="568"/>
      <c r="DW14" s="568"/>
      <c r="DX14" s="568"/>
      <c r="DY14" s="568"/>
      <c r="DZ14" s="568"/>
      <c r="EA14" s="568"/>
      <c r="EB14" s="568"/>
      <c r="EC14" s="568"/>
      <c r="ED14" s="568"/>
      <c r="EE14" s="568"/>
      <c r="EF14" s="568"/>
      <c r="EG14" s="568"/>
      <c r="EH14" s="568"/>
      <c r="EI14" s="568"/>
      <c r="EJ14" s="568"/>
      <c r="EK14" s="568"/>
      <c r="EL14" s="568"/>
      <c r="EM14" s="568"/>
      <c r="EN14" s="568"/>
      <c r="EO14" s="568"/>
      <c r="EP14" s="568"/>
      <c r="EQ14" s="568"/>
      <c r="ER14" s="568"/>
      <c r="ES14" s="568"/>
      <c r="ET14" s="568"/>
      <c r="EU14" s="568"/>
      <c r="EV14" s="568"/>
      <c r="EW14" s="568"/>
      <c r="EX14" s="568"/>
      <c r="EY14" s="568"/>
      <c r="EZ14" s="568"/>
      <c r="FA14" s="568"/>
      <c r="FB14" s="568"/>
      <c r="FC14" s="568"/>
      <c r="FD14" s="568"/>
      <c r="FE14" s="568"/>
      <c r="FF14" s="568"/>
      <c r="FG14" s="568"/>
      <c r="FH14" s="568"/>
      <c r="FI14" s="568"/>
      <c r="FJ14" s="568"/>
      <c r="FK14" s="568"/>
      <c r="FL14" s="568"/>
      <c r="FM14" s="568"/>
      <c r="FN14" s="568"/>
      <c r="FO14" s="568"/>
      <c r="FP14" s="568"/>
      <c r="FQ14" s="568"/>
      <c r="FR14" s="568"/>
      <c r="FS14" s="568"/>
      <c r="FT14" s="568"/>
      <c r="FU14" s="568"/>
      <c r="FV14" s="568"/>
      <c r="FW14" s="568"/>
      <c r="FX14" s="568"/>
      <c r="FY14" s="568"/>
      <c r="FZ14" s="568"/>
      <c r="GA14" s="568"/>
      <c r="GB14" s="568"/>
      <c r="GC14" s="568"/>
      <c r="GD14" s="568"/>
      <c r="GE14" s="568"/>
      <c r="GF14" s="568"/>
      <c r="GG14" s="568"/>
      <c r="GH14" s="568"/>
      <c r="GI14" s="568"/>
      <c r="GJ14" s="568"/>
      <c r="GK14" s="568"/>
      <c r="GL14" s="568"/>
      <c r="GM14" s="568"/>
      <c r="GN14" s="568"/>
      <c r="GO14" s="568"/>
      <c r="GP14" s="568"/>
      <c r="GQ14" s="568"/>
      <c r="GR14" s="568"/>
      <c r="GS14" s="568"/>
      <c r="GT14" s="568"/>
      <c r="GU14" s="568"/>
      <c r="GV14" s="568"/>
      <c r="GW14" s="568"/>
      <c r="GX14" s="568"/>
      <c r="GY14" s="568"/>
      <c r="GZ14" s="568"/>
      <c r="HA14" s="568"/>
      <c r="HB14" s="568"/>
      <c r="HC14" s="568"/>
      <c r="HD14" s="568"/>
      <c r="HE14" s="568"/>
      <c r="HF14" s="568"/>
      <c r="HG14" s="568"/>
      <c r="HH14" s="568"/>
      <c r="HI14" s="568"/>
      <c r="HJ14" s="568"/>
      <c r="HK14" s="568"/>
      <c r="HL14" s="568"/>
      <c r="HM14" s="568"/>
      <c r="HN14" s="568"/>
      <c r="HO14" s="568"/>
      <c r="HP14" s="568"/>
      <c r="HQ14" s="568"/>
      <c r="HR14" s="568"/>
      <c r="HS14" s="568"/>
      <c r="HT14" s="568"/>
      <c r="HU14" s="568"/>
      <c r="HV14" s="568"/>
      <c r="HW14" s="568"/>
      <c r="HX14" s="568"/>
      <c r="HY14" s="568"/>
      <c r="HZ14" s="568"/>
      <c r="IA14" s="568"/>
      <c r="IB14" s="568"/>
      <c r="IC14" s="568"/>
      <c r="ID14" s="568"/>
      <c r="IE14" s="568"/>
      <c r="IF14" s="568"/>
      <c r="IG14" s="568"/>
      <c r="IH14" s="568"/>
      <c r="II14" s="568"/>
      <c r="IJ14" s="568"/>
      <c r="IK14" s="568"/>
      <c r="IL14" s="568"/>
      <c r="IM14" s="568"/>
      <c r="IN14" s="568"/>
      <c r="IO14" s="568"/>
      <c r="IP14" s="568"/>
      <c r="IQ14" s="568"/>
      <c r="IR14" s="568"/>
      <c r="IS14" s="568"/>
      <c r="IT14" s="568"/>
      <c r="IU14" s="568"/>
    </row>
    <row r="15" spans="1:255" ht="18" customHeight="1">
      <c r="A15" s="1132" t="s">
        <v>2775</v>
      </c>
      <c r="B15" s="561"/>
      <c r="C15" s="1142">
        <v>-249.34916158999999</v>
      </c>
      <c r="D15" s="1142">
        <v>-45.305719100000005</v>
      </c>
      <c r="E15" s="1142">
        <v>-99.7625137</v>
      </c>
      <c r="F15" s="1142">
        <v>-100.78228206</v>
      </c>
      <c r="G15" s="1142">
        <v>-223.97339441</v>
      </c>
      <c r="H15" s="1142">
        <v>-31.97831498</v>
      </c>
      <c r="I15" s="1142">
        <v>-155.24193266999998</v>
      </c>
      <c r="J15" s="1142">
        <v>-289.3463332</v>
      </c>
      <c r="K15" s="1142">
        <v>0</v>
      </c>
      <c r="L15" s="1142">
        <v>0</v>
      </c>
      <c r="M15" s="561">
        <v>0</v>
      </c>
      <c r="N15" s="561">
        <v>0</v>
      </c>
      <c r="O15"/>
      <c r="P15" s="832" t="s">
        <v>2851</v>
      </c>
      <c r="Q15" s="561"/>
      <c r="R15" s="561"/>
      <c r="S15" s="561"/>
      <c r="T15" s="561"/>
      <c r="U15" s="561"/>
      <c r="V15" s="561"/>
      <c r="W15" s="561"/>
      <c r="X15" s="561"/>
      <c r="Y15" s="561"/>
      <c r="Z15" s="561"/>
      <c r="AA15" s="561"/>
      <c r="AB15" s="561"/>
      <c r="AC15" s="561"/>
      <c r="AD15" s="561"/>
      <c r="AE15" s="561"/>
      <c r="AF15" s="561"/>
      <c r="AG15" s="561"/>
      <c r="AH15" s="567"/>
      <c r="AI15" s="567"/>
      <c r="AJ15" s="567"/>
      <c r="AK15" s="567"/>
      <c r="AL15" s="567"/>
      <c r="AM15" s="567"/>
      <c r="AN15" s="567"/>
      <c r="AO15" s="567"/>
      <c r="AP15" s="567"/>
      <c r="AQ15" s="567"/>
      <c r="AR15" s="567"/>
      <c r="AS15" s="567"/>
      <c r="AT15" s="567"/>
      <c r="AU15" s="567"/>
      <c r="AV15" s="567"/>
      <c r="AW15" s="567"/>
      <c r="AX15" s="567"/>
      <c r="AY15" s="567"/>
      <c r="AZ15" s="567"/>
      <c r="BA15" s="567"/>
      <c r="BB15" s="567"/>
      <c r="BC15" s="567"/>
      <c r="BD15" s="568"/>
      <c r="BE15" s="568"/>
      <c r="BF15" s="568"/>
      <c r="BG15" s="568"/>
      <c r="BH15" s="568"/>
      <c r="BI15" s="568"/>
      <c r="BJ15" s="568"/>
      <c r="BK15" s="568"/>
      <c r="BL15" s="568"/>
      <c r="BM15" s="568"/>
      <c r="BN15" s="568"/>
      <c r="BO15" s="568"/>
      <c r="BP15" s="568"/>
      <c r="BQ15" s="568"/>
      <c r="BR15" s="568"/>
      <c r="BS15" s="568"/>
      <c r="BT15" s="568"/>
      <c r="BU15" s="568"/>
      <c r="BV15" s="568"/>
      <c r="BW15" s="568"/>
      <c r="BX15" s="568"/>
      <c r="BY15" s="568"/>
      <c r="BZ15" s="568"/>
      <c r="CA15" s="568"/>
      <c r="CB15" s="568"/>
      <c r="CC15" s="568"/>
      <c r="CD15" s="568"/>
      <c r="CE15" s="568"/>
      <c r="CF15" s="568"/>
      <c r="CG15" s="568"/>
      <c r="CH15" s="568"/>
      <c r="CI15" s="568"/>
      <c r="CJ15" s="568"/>
      <c r="CK15" s="568"/>
      <c r="CL15" s="568"/>
      <c r="CM15" s="568"/>
      <c r="CN15" s="568"/>
      <c r="CO15" s="568"/>
      <c r="CP15" s="568"/>
      <c r="CQ15" s="568"/>
      <c r="CR15" s="568"/>
      <c r="CS15" s="568"/>
      <c r="CT15" s="568"/>
      <c r="CU15" s="568"/>
      <c r="CV15" s="568"/>
      <c r="CW15" s="568"/>
      <c r="CX15" s="568"/>
      <c r="CY15" s="568"/>
      <c r="CZ15" s="568"/>
      <c r="DA15" s="568"/>
      <c r="DB15" s="568"/>
      <c r="DC15" s="568"/>
      <c r="DD15" s="568"/>
      <c r="DE15" s="568"/>
      <c r="DF15" s="568"/>
      <c r="DG15" s="568"/>
      <c r="DH15" s="568"/>
      <c r="DI15" s="568"/>
      <c r="DJ15" s="568"/>
      <c r="DK15" s="568"/>
      <c r="DL15" s="568"/>
      <c r="DM15" s="568"/>
      <c r="DN15" s="568"/>
      <c r="DO15" s="568"/>
      <c r="DP15" s="568"/>
      <c r="DQ15" s="568"/>
      <c r="DR15" s="568"/>
      <c r="DS15" s="568"/>
      <c r="DT15" s="568"/>
      <c r="DU15" s="568"/>
      <c r="DV15" s="568"/>
      <c r="DW15" s="568"/>
      <c r="DX15" s="568"/>
      <c r="DY15" s="568"/>
      <c r="DZ15" s="568"/>
      <c r="EA15" s="568"/>
      <c r="EB15" s="568"/>
      <c r="EC15" s="568"/>
      <c r="ED15" s="568"/>
      <c r="EE15" s="568"/>
      <c r="EF15" s="568"/>
      <c r="EG15" s="568"/>
      <c r="EH15" s="568"/>
      <c r="EI15" s="568"/>
      <c r="EJ15" s="568"/>
      <c r="EK15" s="568"/>
      <c r="EL15" s="568"/>
      <c r="EM15" s="568"/>
      <c r="EN15" s="568"/>
      <c r="EO15" s="568"/>
      <c r="EP15" s="568"/>
      <c r="EQ15" s="568"/>
      <c r="ER15" s="568"/>
      <c r="ES15" s="568"/>
      <c r="ET15" s="568"/>
      <c r="EU15" s="568"/>
      <c r="EV15" s="568"/>
      <c r="EW15" s="568"/>
      <c r="EX15" s="568"/>
      <c r="EY15" s="568"/>
      <c r="EZ15" s="568"/>
      <c r="FA15" s="568"/>
      <c r="FB15" s="568"/>
      <c r="FC15" s="568"/>
      <c r="FD15" s="568"/>
      <c r="FE15" s="568"/>
      <c r="FF15" s="568"/>
      <c r="FG15" s="568"/>
      <c r="FH15" s="568"/>
      <c r="FI15" s="568"/>
      <c r="FJ15" s="568"/>
      <c r="FK15" s="568"/>
      <c r="FL15" s="568"/>
      <c r="FM15" s="568"/>
      <c r="FN15" s="568"/>
      <c r="FO15" s="568"/>
      <c r="FP15" s="568"/>
      <c r="FQ15" s="568"/>
      <c r="FR15" s="568"/>
      <c r="FS15" s="568"/>
      <c r="FT15" s="568"/>
      <c r="FU15" s="568"/>
      <c r="FV15" s="568"/>
      <c r="FW15" s="568"/>
      <c r="FX15" s="568"/>
      <c r="FY15" s="568"/>
      <c r="FZ15" s="568"/>
      <c r="GA15" s="568"/>
      <c r="GB15" s="568"/>
      <c r="GC15" s="568"/>
      <c r="GD15" s="568"/>
      <c r="GE15" s="568"/>
      <c r="GF15" s="568"/>
      <c r="GG15" s="568"/>
      <c r="GH15" s="568"/>
      <c r="GI15" s="568"/>
      <c r="GJ15" s="568"/>
      <c r="GK15" s="568"/>
      <c r="GL15" s="568"/>
      <c r="GM15" s="568"/>
      <c r="GN15" s="568"/>
      <c r="GO15" s="568"/>
      <c r="GP15" s="568"/>
      <c r="GQ15" s="568"/>
      <c r="GR15" s="568"/>
      <c r="GS15" s="568"/>
      <c r="GT15" s="568"/>
      <c r="GU15" s="568"/>
      <c r="GV15" s="568"/>
      <c r="GW15" s="568"/>
      <c r="GX15" s="568"/>
      <c r="GY15" s="568"/>
      <c r="GZ15" s="568"/>
      <c r="HA15" s="568"/>
      <c r="HB15" s="568"/>
      <c r="HC15" s="568"/>
      <c r="HD15" s="568"/>
      <c r="HE15" s="568"/>
      <c r="HF15" s="568"/>
      <c r="HG15" s="568"/>
      <c r="HH15" s="568"/>
      <c r="HI15" s="568"/>
      <c r="HJ15" s="568"/>
      <c r="HK15" s="568"/>
      <c r="HL15" s="568"/>
      <c r="HM15" s="568"/>
      <c r="HN15" s="568"/>
      <c r="HO15" s="568"/>
      <c r="HP15" s="568"/>
      <c r="HQ15" s="568"/>
      <c r="HR15" s="568"/>
      <c r="HS15" s="568"/>
      <c r="HT15" s="568"/>
      <c r="HU15" s="568"/>
      <c r="HV15" s="568"/>
      <c r="HW15" s="568"/>
      <c r="HX15" s="568"/>
      <c r="HY15" s="568"/>
      <c r="HZ15" s="568"/>
      <c r="IA15" s="568"/>
      <c r="IB15" s="568"/>
      <c r="IC15" s="568"/>
      <c r="ID15" s="568"/>
      <c r="IE15" s="568"/>
      <c r="IF15" s="568"/>
      <c r="IG15" s="568"/>
      <c r="IH15" s="568"/>
      <c r="II15" s="568"/>
      <c r="IJ15" s="568"/>
      <c r="IK15" s="568"/>
      <c r="IL15" s="568"/>
      <c r="IM15" s="568"/>
      <c r="IN15" s="568"/>
      <c r="IO15" s="568"/>
      <c r="IP15" s="568"/>
      <c r="IQ15" s="568"/>
      <c r="IR15" s="568"/>
      <c r="IS15" s="568"/>
      <c r="IT15" s="568"/>
      <c r="IU15" s="568"/>
    </row>
    <row r="16" spans="1:255" ht="18" customHeight="1">
      <c r="A16" s="566" t="s">
        <v>643</v>
      </c>
      <c r="B16" s="561"/>
      <c r="C16" s="1142">
        <v>8.8465899999999997E-3</v>
      </c>
      <c r="D16" s="1142">
        <v>-0.51993613999999999</v>
      </c>
      <c r="E16" s="1142">
        <v>-0.48346855999999999</v>
      </c>
      <c r="F16" s="1142">
        <v>-0.40282547999999996</v>
      </c>
      <c r="G16" s="1142">
        <v>40.805791849999999</v>
      </c>
      <c r="H16" s="1142">
        <v>0.30406156000000001</v>
      </c>
      <c r="I16" s="1142">
        <v>0.87667286</v>
      </c>
      <c r="J16" s="1142">
        <v>1.2151030700000001</v>
      </c>
      <c r="K16" s="1142">
        <v>0</v>
      </c>
      <c r="L16" s="1142">
        <v>0</v>
      </c>
      <c r="M16" s="561">
        <v>0</v>
      </c>
      <c r="N16" s="561">
        <v>0</v>
      </c>
      <c r="O16"/>
      <c r="P16" s="832" t="s">
        <v>1617</v>
      </c>
      <c r="Q16" s="561"/>
      <c r="R16" s="561"/>
      <c r="S16" s="561"/>
      <c r="T16" s="561"/>
      <c r="U16" s="561"/>
      <c r="V16" s="561"/>
      <c r="W16" s="561"/>
      <c r="X16" s="561"/>
      <c r="Y16" s="561"/>
      <c r="Z16" s="561"/>
      <c r="AA16" s="561"/>
      <c r="AB16" s="561"/>
      <c r="AC16" s="561"/>
      <c r="AD16" s="561"/>
      <c r="AE16" s="561"/>
      <c r="AF16" s="561"/>
      <c r="AG16" s="561"/>
      <c r="AH16" s="567"/>
      <c r="AI16" s="567"/>
      <c r="AJ16" s="567"/>
      <c r="AK16" s="567"/>
      <c r="AL16" s="567"/>
      <c r="AM16" s="567"/>
      <c r="AN16" s="567"/>
      <c r="AO16" s="567"/>
      <c r="AP16" s="567"/>
      <c r="AQ16" s="567"/>
      <c r="AR16" s="567"/>
      <c r="AS16" s="567"/>
      <c r="AT16" s="567"/>
      <c r="AU16" s="567"/>
      <c r="AV16" s="567"/>
      <c r="AW16" s="567"/>
      <c r="AX16" s="567"/>
      <c r="AY16" s="567"/>
      <c r="AZ16" s="567"/>
      <c r="BA16" s="567"/>
      <c r="BB16" s="567"/>
      <c r="BC16" s="567"/>
      <c r="BD16" s="568"/>
      <c r="BE16" s="568"/>
      <c r="BF16" s="568"/>
      <c r="BG16" s="568"/>
      <c r="BH16" s="568"/>
      <c r="BI16" s="568"/>
      <c r="BJ16" s="568"/>
      <c r="BK16" s="568"/>
      <c r="BL16" s="568"/>
      <c r="BM16" s="568"/>
      <c r="BN16" s="568"/>
      <c r="BO16" s="568"/>
      <c r="BP16" s="568"/>
      <c r="BQ16" s="568"/>
      <c r="BR16" s="568"/>
      <c r="BS16" s="568"/>
      <c r="BT16" s="568"/>
      <c r="BU16" s="568"/>
      <c r="BV16" s="568"/>
      <c r="BW16" s="568"/>
      <c r="BX16" s="568"/>
      <c r="BY16" s="568"/>
      <c r="BZ16" s="568"/>
      <c r="CA16" s="568"/>
      <c r="CB16" s="568"/>
      <c r="CC16" s="568"/>
      <c r="CD16" s="568"/>
      <c r="CE16" s="568"/>
      <c r="CF16" s="568"/>
      <c r="CG16" s="568"/>
      <c r="CH16" s="568"/>
      <c r="CI16" s="568"/>
      <c r="CJ16" s="568"/>
      <c r="CK16" s="568"/>
      <c r="CL16" s="568"/>
      <c r="CM16" s="568"/>
      <c r="CN16" s="568"/>
      <c r="CO16" s="568"/>
      <c r="CP16" s="568"/>
      <c r="CQ16" s="568"/>
      <c r="CR16" s="568"/>
      <c r="CS16" s="568"/>
      <c r="CT16" s="568"/>
      <c r="CU16" s="568"/>
      <c r="CV16" s="568"/>
      <c r="CW16" s="568"/>
      <c r="CX16" s="568"/>
      <c r="CY16" s="568"/>
      <c r="CZ16" s="568"/>
      <c r="DA16" s="568"/>
      <c r="DB16" s="568"/>
      <c r="DC16" s="568"/>
      <c r="DD16" s="568"/>
      <c r="DE16" s="568"/>
      <c r="DF16" s="568"/>
      <c r="DG16" s="568"/>
      <c r="DH16" s="568"/>
      <c r="DI16" s="568"/>
      <c r="DJ16" s="568"/>
      <c r="DK16" s="568"/>
      <c r="DL16" s="568"/>
      <c r="DM16" s="568"/>
      <c r="DN16" s="568"/>
      <c r="DO16" s="568"/>
      <c r="DP16" s="568"/>
      <c r="DQ16" s="568"/>
      <c r="DR16" s="568"/>
      <c r="DS16" s="568"/>
      <c r="DT16" s="568"/>
      <c r="DU16" s="568"/>
      <c r="DV16" s="568"/>
      <c r="DW16" s="568"/>
      <c r="DX16" s="568"/>
      <c r="DY16" s="568"/>
      <c r="DZ16" s="568"/>
      <c r="EA16" s="568"/>
      <c r="EB16" s="568"/>
      <c r="EC16" s="568"/>
      <c r="ED16" s="568"/>
      <c r="EE16" s="568"/>
      <c r="EF16" s="568"/>
      <c r="EG16" s="568"/>
      <c r="EH16" s="568"/>
      <c r="EI16" s="568"/>
      <c r="EJ16" s="568"/>
      <c r="EK16" s="568"/>
      <c r="EL16" s="568"/>
      <c r="EM16" s="568"/>
      <c r="EN16" s="568"/>
      <c r="EO16" s="568"/>
      <c r="EP16" s="568"/>
      <c r="EQ16" s="568"/>
      <c r="ER16" s="568"/>
      <c r="ES16" s="568"/>
      <c r="ET16" s="568"/>
      <c r="EU16" s="568"/>
      <c r="EV16" s="568"/>
      <c r="EW16" s="568"/>
      <c r="EX16" s="568"/>
      <c r="EY16" s="568"/>
      <c r="EZ16" s="568"/>
      <c r="FA16" s="568"/>
      <c r="FB16" s="568"/>
      <c r="FC16" s="568"/>
      <c r="FD16" s="568"/>
      <c r="FE16" s="568"/>
      <c r="FF16" s="568"/>
      <c r="FG16" s="568"/>
      <c r="FH16" s="568"/>
      <c r="FI16" s="568"/>
      <c r="FJ16" s="568"/>
      <c r="FK16" s="568"/>
      <c r="FL16" s="568"/>
      <c r="FM16" s="568"/>
      <c r="FN16" s="568"/>
      <c r="FO16" s="568"/>
      <c r="FP16" s="568"/>
      <c r="FQ16" s="568"/>
      <c r="FR16" s="568"/>
      <c r="FS16" s="568"/>
      <c r="FT16" s="568"/>
      <c r="FU16" s="568"/>
      <c r="FV16" s="568"/>
      <c r="FW16" s="568"/>
      <c r="FX16" s="568"/>
      <c r="FY16" s="568"/>
      <c r="FZ16" s="568"/>
      <c r="GA16" s="568"/>
      <c r="GB16" s="568"/>
      <c r="GC16" s="568"/>
      <c r="GD16" s="568"/>
      <c r="GE16" s="568"/>
      <c r="GF16" s="568"/>
      <c r="GG16" s="568"/>
      <c r="GH16" s="568"/>
      <c r="GI16" s="568"/>
      <c r="GJ16" s="568"/>
      <c r="GK16" s="568"/>
      <c r="GL16" s="568"/>
      <c r="GM16" s="568"/>
      <c r="GN16" s="568"/>
      <c r="GO16" s="568"/>
      <c r="GP16" s="568"/>
      <c r="GQ16" s="568"/>
      <c r="GR16" s="568"/>
      <c r="GS16" s="568"/>
      <c r="GT16" s="568"/>
      <c r="GU16" s="568"/>
      <c r="GV16" s="568"/>
      <c r="GW16" s="568"/>
      <c r="GX16" s="568"/>
      <c r="GY16" s="568"/>
      <c r="GZ16" s="568"/>
      <c r="HA16" s="568"/>
      <c r="HB16" s="568"/>
      <c r="HC16" s="568"/>
      <c r="HD16" s="568"/>
      <c r="HE16" s="568"/>
      <c r="HF16" s="568"/>
      <c r="HG16" s="568"/>
      <c r="HH16" s="568"/>
      <c r="HI16" s="568"/>
      <c r="HJ16" s="568"/>
      <c r="HK16" s="568"/>
      <c r="HL16" s="568"/>
      <c r="HM16" s="568"/>
      <c r="HN16" s="568"/>
      <c r="HO16" s="568"/>
      <c r="HP16" s="568"/>
      <c r="HQ16" s="568"/>
      <c r="HR16" s="568"/>
      <c r="HS16" s="568"/>
      <c r="HT16" s="568"/>
      <c r="HU16" s="568"/>
      <c r="HV16" s="568"/>
      <c r="HW16" s="568"/>
      <c r="HX16" s="568"/>
      <c r="HY16" s="568"/>
      <c r="HZ16" s="568"/>
      <c r="IA16" s="568"/>
      <c r="IB16" s="568"/>
      <c r="IC16" s="568"/>
      <c r="ID16" s="568"/>
      <c r="IE16" s="568"/>
      <c r="IF16" s="568"/>
      <c r="IG16" s="568"/>
      <c r="IH16" s="568"/>
      <c r="II16" s="568"/>
      <c r="IJ16" s="568"/>
      <c r="IK16" s="568"/>
      <c r="IL16" s="568"/>
      <c r="IM16" s="568"/>
      <c r="IN16" s="568"/>
      <c r="IO16" s="568"/>
      <c r="IP16" s="568"/>
      <c r="IQ16" s="568"/>
      <c r="IR16" s="568"/>
      <c r="IS16" s="568"/>
      <c r="IT16" s="568"/>
      <c r="IU16" s="568"/>
    </row>
    <row r="17" spans="1:255" ht="18" customHeight="1">
      <c r="A17" s="1132" t="s">
        <v>2715</v>
      </c>
      <c r="B17" s="561"/>
      <c r="C17" s="1142">
        <v>68.307599120000006</v>
      </c>
      <c r="D17" s="1142">
        <v>7.4175640700000001</v>
      </c>
      <c r="E17" s="1142">
        <v>42.537208530000001</v>
      </c>
      <c r="F17" s="1142">
        <v>48.364686450000001</v>
      </c>
      <c r="G17" s="1142">
        <v>53.544000429999997</v>
      </c>
      <c r="H17" s="1142">
        <v>8.100282009999999</v>
      </c>
      <c r="I17" s="1142">
        <v>13.472483519999999</v>
      </c>
      <c r="J17" s="1142">
        <v>65.311564340000004</v>
      </c>
      <c r="K17" s="1142">
        <v>0</v>
      </c>
      <c r="L17" s="1142">
        <v>0</v>
      </c>
      <c r="M17" s="561">
        <v>0</v>
      </c>
      <c r="N17" s="561">
        <v>0</v>
      </c>
      <c r="O17"/>
      <c r="P17" s="832" t="s">
        <v>2729</v>
      </c>
      <c r="Q17" s="561"/>
      <c r="R17" s="561"/>
      <c r="S17" s="561"/>
      <c r="T17" s="561"/>
      <c r="U17" s="561"/>
      <c r="V17" s="561"/>
      <c r="W17" s="561"/>
      <c r="X17" s="561"/>
      <c r="Y17" s="561"/>
      <c r="Z17" s="561"/>
      <c r="AA17" s="561"/>
      <c r="AB17" s="561"/>
      <c r="AC17" s="561"/>
      <c r="AD17" s="561"/>
      <c r="AE17" s="561"/>
      <c r="AF17" s="561"/>
      <c r="AG17" s="561"/>
      <c r="AH17" s="567"/>
      <c r="AI17" s="567"/>
      <c r="AJ17" s="567"/>
      <c r="AK17" s="567"/>
      <c r="AL17" s="567"/>
      <c r="AM17" s="567"/>
      <c r="AN17" s="567"/>
      <c r="AO17" s="567"/>
      <c r="AP17" s="567"/>
      <c r="AQ17" s="567"/>
      <c r="AR17" s="567"/>
      <c r="AS17" s="567"/>
      <c r="AT17" s="567"/>
      <c r="AU17" s="567"/>
      <c r="AV17" s="567"/>
      <c r="AW17" s="567"/>
      <c r="AX17" s="567"/>
      <c r="AY17" s="567"/>
      <c r="AZ17" s="567"/>
      <c r="BA17" s="567"/>
      <c r="BB17" s="567"/>
      <c r="BC17" s="567"/>
      <c r="BD17" s="568"/>
      <c r="BE17" s="568"/>
      <c r="BF17" s="568"/>
      <c r="BG17" s="568"/>
      <c r="BH17" s="568"/>
      <c r="BI17" s="568"/>
      <c r="BJ17" s="568"/>
      <c r="BK17" s="568"/>
      <c r="BL17" s="568"/>
      <c r="BM17" s="568"/>
      <c r="BN17" s="568"/>
      <c r="BO17" s="568"/>
      <c r="BP17" s="568"/>
      <c r="BQ17" s="568"/>
      <c r="BR17" s="568"/>
      <c r="BS17" s="568"/>
      <c r="BT17" s="568"/>
      <c r="BU17" s="568"/>
      <c r="BV17" s="568"/>
      <c r="BW17" s="568"/>
      <c r="BX17" s="568"/>
      <c r="BY17" s="568"/>
      <c r="BZ17" s="568"/>
      <c r="CA17" s="568"/>
      <c r="CB17" s="568"/>
      <c r="CC17" s="568"/>
      <c r="CD17" s="568"/>
      <c r="CE17" s="568"/>
      <c r="CF17" s="568"/>
      <c r="CG17" s="568"/>
      <c r="CH17" s="568"/>
      <c r="CI17" s="568"/>
      <c r="CJ17" s="568"/>
      <c r="CK17" s="568"/>
      <c r="CL17" s="568"/>
      <c r="CM17" s="568"/>
      <c r="CN17" s="568"/>
      <c r="CO17" s="568"/>
      <c r="CP17" s="568"/>
      <c r="CQ17" s="568"/>
      <c r="CR17" s="568"/>
      <c r="CS17" s="568"/>
      <c r="CT17" s="568"/>
      <c r="CU17" s="568"/>
      <c r="CV17" s="568"/>
      <c r="CW17" s="568"/>
      <c r="CX17" s="568"/>
      <c r="CY17" s="568"/>
      <c r="CZ17" s="568"/>
      <c r="DA17" s="568"/>
      <c r="DB17" s="568"/>
      <c r="DC17" s="568"/>
      <c r="DD17" s="568"/>
      <c r="DE17" s="568"/>
      <c r="DF17" s="568"/>
      <c r="DG17" s="568"/>
      <c r="DH17" s="568"/>
      <c r="DI17" s="568"/>
      <c r="DJ17" s="568"/>
      <c r="DK17" s="568"/>
      <c r="DL17" s="568"/>
      <c r="DM17" s="568"/>
      <c r="DN17" s="568"/>
      <c r="DO17" s="568"/>
      <c r="DP17" s="568"/>
      <c r="DQ17" s="568"/>
      <c r="DR17" s="568"/>
      <c r="DS17" s="568"/>
      <c r="DT17" s="568"/>
      <c r="DU17" s="568"/>
      <c r="DV17" s="568"/>
      <c r="DW17" s="568"/>
      <c r="DX17" s="568"/>
      <c r="DY17" s="568"/>
      <c r="DZ17" s="568"/>
      <c r="EA17" s="568"/>
      <c r="EB17" s="568"/>
      <c r="EC17" s="568"/>
      <c r="ED17" s="568"/>
      <c r="EE17" s="568"/>
      <c r="EF17" s="568"/>
      <c r="EG17" s="568"/>
      <c r="EH17" s="568"/>
      <c r="EI17" s="568"/>
      <c r="EJ17" s="568"/>
      <c r="EK17" s="568"/>
      <c r="EL17" s="568"/>
      <c r="EM17" s="568"/>
      <c r="EN17" s="568"/>
      <c r="EO17" s="568"/>
      <c r="EP17" s="568"/>
      <c r="EQ17" s="568"/>
      <c r="ER17" s="568"/>
      <c r="ES17" s="568"/>
      <c r="ET17" s="568"/>
      <c r="EU17" s="568"/>
      <c r="EV17" s="568"/>
      <c r="EW17" s="568"/>
      <c r="EX17" s="568"/>
      <c r="EY17" s="568"/>
      <c r="EZ17" s="568"/>
      <c r="FA17" s="568"/>
      <c r="FB17" s="568"/>
      <c r="FC17" s="568"/>
      <c r="FD17" s="568"/>
      <c r="FE17" s="568"/>
      <c r="FF17" s="568"/>
      <c r="FG17" s="568"/>
      <c r="FH17" s="568"/>
      <c r="FI17" s="568"/>
      <c r="FJ17" s="568"/>
      <c r="FK17" s="568"/>
      <c r="FL17" s="568"/>
      <c r="FM17" s="568"/>
      <c r="FN17" s="568"/>
      <c r="FO17" s="568"/>
      <c r="FP17" s="568"/>
      <c r="FQ17" s="568"/>
      <c r="FR17" s="568"/>
      <c r="FS17" s="568"/>
      <c r="FT17" s="568"/>
      <c r="FU17" s="568"/>
      <c r="FV17" s="568"/>
      <c r="FW17" s="568"/>
      <c r="FX17" s="568"/>
      <c r="FY17" s="568"/>
      <c r="FZ17" s="568"/>
      <c r="GA17" s="568"/>
      <c r="GB17" s="568"/>
      <c r="GC17" s="568"/>
      <c r="GD17" s="568"/>
      <c r="GE17" s="568"/>
      <c r="GF17" s="568"/>
      <c r="GG17" s="568"/>
      <c r="GH17" s="568"/>
      <c r="GI17" s="568"/>
      <c r="GJ17" s="568"/>
      <c r="GK17" s="568"/>
      <c r="GL17" s="568"/>
      <c r="GM17" s="568"/>
      <c r="GN17" s="568"/>
      <c r="GO17" s="568"/>
      <c r="GP17" s="568"/>
      <c r="GQ17" s="568"/>
      <c r="GR17" s="568"/>
      <c r="GS17" s="568"/>
      <c r="GT17" s="568"/>
      <c r="GU17" s="568"/>
      <c r="GV17" s="568"/>
      <c r="GW17" s="568"/>
      <c r="GX17" s="568"/>
      <c r="GY17" s="568"/>
      <c r="GZ17" s="568"/>
      <c r="HA17" s="568"/>
      <c r="HB17" s="568"/>
      <c r="HC17" s="568"/>
      <c r="HD17" s="568"/>
      <c r="HE17" s="568"/>
      <c r="HF17" s="568"/>
      <c r="HG17" s="568"/>
      <c r="HH17" s="568"/>
      <c r="HI17" s="568"/>
      <c r="HJ17" s="568"/>
      <c r="HK17" s="568"/>
      <c r="HL17" s="568"/>
      <c r="HM17" s="568"/>
      <c r="HN17" s="568"/>
      <c r="HO17" s="568"/>
      <c r="HP17" s="568"/>
      <c r="HQ17" s="568"/>
      <c r="HR17" s="568"/>
      <c r="HS17" s="568"/>
      <c r="HT17" s="568"/>
      <c r="HU17" s="568"/>
      <c r="HV17" s="568"/>
      <c r="HW17" s="568"/>
      <c r="HX17" s="568"/>
      <c r="HY17" s="568"/>
      <c r="HZ17" s="568"/>
      <c r="IA17" s="568"/>
      <c r="IB17" s="568"/>
      <c r="IC17" s="568"/>
      <c r="ID17" s="568"/>
      <c r="IE17" s="568"/>
      <c r="IF17" s="568"/>
      <c r="IG17" s="568"/>
      <c r="IH17" s="568"/>
      <c r="II17" s="568"/>
      <c r="IJ17" s="568"/>
      <c r="IK17" s="568"/>
      <c r="IL17" s="568"/>
      <c r="IM17" s="568"/>
      <c r="IN17" s="568"/>
      <c r="IO17" s="568"/>
      <c r="IP17" s="568"/>
      <c r="IQ17" s="568"/>
      <c r="IR17" s="568"/>
      <c r="IS17" s="568"/>
      <c r="IT17" s="568"/>
      <c r="IU17" s="568"/>
    </row>
    <row r="18" spans="1:255" ht="18" customHeight="1">
      <c r="A18" s="566" t="s">
        <v>644</v>
      </c>
      <c r="B18" s="561"/>
      <c r="C18" s="1142">
        <v>-2.9488163599999999</v>
      </c>
      <c r="D18" s="1142">
        <v>2.3677725699999996</v>
      </c>
      <c r="E18" s="1142">
        <v>2.3344990999999999</v>
      </c>
      <c r="F18" s="1142">
        <v>9.6580005900000003</v>
      </c>
      <c r="G18" s="1142">
        <v>3.80244553</v>
      </c>
      <c r="H18" s="1142">
        <v>4.73235983</v>
      </c>
      <c r="I18" s="1142">
        <v>-5.7549050700000004</v>
      </c>
      <c r="J18" s="1142">
        <v>-2.6894558700000002</v>
      </c>
      <c r="K18" s="1142">
        <v>0</v>
      </c>
      <c r="L18" s="1142">
        <v>0</v>
      </c>
      <c r="M18" s="561">
        <v>0</v>
      </c>
      <c r="N18" s="561">
        <v>0</v>
      </c>
      <c r="O18"/>
      <c r="P18" s="832" t="s">
        <v>1618</v>
      </c>
      <c r="Q18" s="561"/>
      <c r="R18" s="561"/>
      <c r="S18" s="561"/>
      <c r="T18" s="561"/>
      <c r="U18" s="561"/>
      <c r="V18" s="561"/>
      <c r="W18" s="561"/>
      <c r="X18" s="561"/>
      <c r="Y18" s="561"/>
      <c r="Z18" s="561"/>
      <c r="AA18" s="561"/>
      <c r="AB18" s="561"/>
      <c r="AC18" s="561"/>
      <c r="AD18" s="561"/>
      <c r="AE18" s="561"/>
      <c r="AF18" s="561"/>
      <c r="AG18" s="561"/>
      <c r="AH18" s="567"/>
      <c r="AI18" s="567"/>
      <c r="AJ18" s="567"/>
      <c r="AK18" s="567"/>
      <c r="AL18" s="567"/>
      <c r="AM18" s="567"/>
      <c r="AN18" s="567"/>
      <c r="AO18" s="567"/>
      <c r="AP18" s="567"/>
      <c r="AQ18" s="567"/>
      <c r="AR18" s="567"/>
      <c r="AS18" s="567"/>
      <c r="AT18" s="567"/>
      <c r="AU18" s="567"/>
      <c r="AV18" s="567"/>
      <c r="AW18" s="567"/>
      <c r="AX18" s="567"/>
      <c r="AY18" s="567"/>
      <c r="AZ18" s="567"/>
      <c r="BA18" s="567"/>
      <c r="BB18" s="567"/>
      <c r="BC18" s="567"/>
      <c r="BD18" s="568"/>
      <c r="BE18" s="568"/>
      <c r="BF18" s="568"/>
      <c r="BG18" s="568"/>
      <c r="BH18" s="568"/>
      <c r="BI18" s="568"/>
      <c r="BJ18" s="568"/>
      <c r="BK18" s="568"/>
      <c r="BL18" s="568"/>
      <c r="BM18" s="568"/>
      <c r="BN18" s="568"/>
      <c r="BO18" s="568"/>
      <c r="BP18" s="568"/>
      <c r="BQ18" s="568"/>
      <c r="BR18" s="568"/>
      <c r="BS18" s="568"/>
      <c r="BT18" s="568"/>
      <c r="BU18" s="568"/>
      <c r="BV18" s="568"/>
      <c r="BW18" s="568"/>
      <c r="BX18" s="568"/>
      <c r="BY18" s="568"/>
      <c r="BZ18" s="568"/>
      <c r="CA18" s="568"/>
      <c r="CB18" s="568"/>
      <c r="CC18" s="568"/>
      <c r="CD18" s="568"/>
      <c r="CE18" s="568"/>
      <c r="CF18" s="568"/>
      <c r="CG18" s="568"/>
      <c r="CH18" s="568"/>
      <c r="CI18" s="568"/>
      <c r="CJ18" s="568"/>
      <c r="CK18" s="568"/>
      <c r="CL18" s="568"/>
      <c r="CM18" s="568"/>
      <c r="CN18" s="568"/>
      <c r="CO18" s="568"/>
      <c r="CP18" s="568"/>
      <c r="CQ18" s="568"/>
      <c r="CR18" s="568"/>
      <c r="CS18" s="568"/>
      <c r="CT18" s="568"/>
      <c r="CU18" s="568"/>
      <c r="CV18" s="568"/>
      <c r="CW18" s="568"/>
      <c r="CX18" s="568"/>
      <c r="CY18" s="568"/>
      <c r="CZ18" s="568"/>
      <c r="DA18" s="568"/>
      <c r="DB18" s="568"/>
      <c r="DC18" s="568"/>
      <c r="DD18" s="568"/>
      <c r="DE18" s="568"/>
      <c r="DF18" s="568"/>
      <c r="DG18" s="568"/>
      <c r="DH18" s="568"/>
      <c r="DI18" s="568"/>
      <c r="DJ18" s="568"/>
      <c r="DK18" s="568"/>
      <c r="DL18" s="568"/>
      <c r="DM18" s="568"/>
      <c r="DN18" s="568"/>
      <c r="DO18" s="568"/>
      <c r="DP18" s="568"/>
      <c r="DQ18" s="568"/>
      <c r="DR18" s="568"/>
      <c r="DS18" s="568"/>
      <c r="DT18" s="568"/>
      <c r="DU18" s="568"/>
      <c r="DV18" s="568"/>
      <c r="DW18" s="568"/>
      <c r="DX18" s="568"/>
      <c r="DY18" s="568"/>
      <c r="DZ18" s="568"/>
      <c r="EA18" s="568"/>
      <c r="EB18" s="568"/>
      <c r="EC18" s="568"/>
      <c r="ED18" s="568"/>
      <c r="EE18" s="568"/>
      <c r="EF18" s="568"/>
      <c r="EG18" s="568"/>
      <c r="EH18" s="568"/>
      <c r="EI18" s="568"/>
      <c r="EJ18" s="568"/>
      <c r="EK18" s="568"/>
      <c r="EL18" s="568"/>
      <c r="EM18" s="568"/>
      <c r="EN18" s="568"/>
      <c r="EO18" s="568"/>
      <c r="EP18" s="568"/>
      <c r="EQ18" s="568"/>
      <c r="ER18" s="568"/>
      <c r="ES18" s="568"/>
      <c r="ET18" s="568"/>
      <c r="EU18" s="568"/>
      <c r="EV18" s="568"/>
      <c r="EW18" s="568"/>
      <c r="EX18" s="568"/>
      <c r="EY18" s="568"/>
      <c r="EZ18" s="568"/>
      <c r="FA18" s="568"/>
      <c r="FB18" s="568"/>
      <c r="FC18" s="568"/>
      <c r="FD18" s="568"/>
      <c r="FE18" s="568"/>
      <c r="FF18" s="568"/>
      <c r="FG18" s="568"/>
      <c r="FH18" s="568"/>
      <c r="FI18" s="568"/>
      <c r="FJ18" s="568"/>
      <c r="FK18" s="568"/>
      <c r="FL18" s="568"/>
      <c r="FM18" s="568"/>
      <c r="FN18" s="568"/>
      <c r="FO18" s="568"/>
      <c r="FP18" s="568"/>
      <c r="FQ18" s="568"/>
      <c r="FR18" s="568"/>
      <c r="FS18" s="568"/>
      <c r="FT18" s="568"/>
      <c r="FU18" s="568"/>
      <c r="FV18" s="568"/>
      <c r="FW18" s="568"/>
      <c r="FX18" s="568"/>
      <c r="FY18" s="568"/>
      <c r="FZ18" s="568"/>
      <c r="GA18" s="568"/>
      <c r="GB18" s="568"/>
      <c r="GC18" s="568"/>
      <c r="GD18" s="568"/>
      <c r="GE18" s="568"/>
      <c r="GF18" s="568"/>
      <c r="GG18" s="568"/>
      <c r="GH18" s="568"/>
      <c r="GI18" s="568"/>
      <c r="GJ18" s="568"/>
      <c r="GK18" s="568"/>
      <c r="GL18" s="568"/>
      <c r="GM18" s="568"/>
      <c r="GN18" s="568"/>
      <c r="GO18" s="568"/>
      <c r="GP18" s="568"/>
      <c r="GQ18" s="568"/>
      <c r="GR18" s="568"/>
      <c r="GS18" s="568"/>
      <c r="GT18" s="568"/>
      <c r="GU18" s="568"/>
      <c r="GV18" s="568"/>
      <c r="GW18" s="568"/>
      <c r="GX18" s="568"/>
      <c r="GY18" s="568"/>
      <c r="GZ18" s="568"/>
      <c r="HA18" s="568"/>
      <c r="HB18" s="568"/>
      <c r="HC18" s="568"/>
      <c r="HD18" s="568"/>
      <c r="HE18" s="568"/>
      <c r="HF18" s="568"/>
      <c r="HG18" s="568"/>
      <c r="HH18" s="568"/>
      <c r="HI18" s="568"/>
      <c r="HJ18" s="568"/>
      <c r="HK18" s="568"/>
      <c r="HL18" s="568"/>
      <c r="HM18" s="568"/>
      <c r="HN18" s="568"/>
      <c r="HO18" s="568"/>
      <c r="HP18" s="568"/>
      <c r="HQ18" s="568"/>
      <c r="HR18" s="568"/>
      <c r="HS18" s="568"/>
      <c r="HT18" s="568"/>
      <c r="HU18" s="568"/>
      <c r="HV18" s="568"/>
      <c r="HW18" s="568"/>
      <c r="HX18" s="568"/>
      <c r="HY18" s="568"/>
      <c r="HZ18" s="568"/>
      <c r="IA18" s="568"/>
      <c r="IB18" s="568"/>
      <c r="IC18" s="568"/>
      <c r="ID18" s="568"/>
      <c r="IE18" s="568"/>
      <c r="IF18" s="568"/>
      <c r="IG18" s="568"/>
      <c r="IH18" s="568"/>
      <c r="II18" s="568"/>
      <c r="IJ18" s="568"/>
      <c r="IK18" s="568"/>
      <c r="IL18" s="568"/>
      <c r="IM18" s="568"/>
      <c r="IN18" s="568"/>
      <c r="IO18" s="568"/>
      <c r="IP18" s="568"/>
      <c r="IQ18" s="568"/>
      <c r="IR18" s="568"/>
      <c r="IS18" s="568"/>
      <c r="IT18" s="568"/>
      <c r="IU18" s="568"/>
    </row>
    <row r="19" spans="1:255" ht="18" customHeight="1">
      <c r="A19" s="566" t="s">
        <v>645</v>
      </c>
      <c r="B19" s="561"/>
      <c r="C19" s="1142">
        <v>-0.5837291899999999</v>
      </c>
      <c r="D19" s="1142">
        <v>-0.47227063000000002</v>
      </c>
      <c r="E19" s="1142">
        <v>-1.1021320700000001</v>
      </c>
      <c r="F19" s="1142">
        <v>-1.88348103</v>
      </c>
      <c r="G19" s="1142">
        <v>-1.17312824</v>
      </c>
      <c r="H19" s="1142">
        <v>-0.52120774000000003</v>
      </c>
      <c r="I19" s="1142">
        <v>-0.88462740000000006</v>
      </c>
      <c r="J19" s="1142">
        <v>-2.64682131</v>
      </c>
      <c r="K19" s="1142">
        <v>0</v>
      </c>
      <c r="L19" s="1142">
        <v>0</v>
      </c>
      <c r="M19" s="561">
        <v>0</v>
      </c>
      <c r="N19" s="561">
        <v>0</v>
      </c>
      <c r="O19"/>
      <c r="P19" s="832" t="s">
        <v>1619</v>
      </c>
      <c r="Q19" s="561"/>
      <c r="R19" s="561"/>
      <c r="S19" s="561"/>
      <c r="T19" s="561"/>
      <c r="U19" s="561"/>
      <c r="V19" s="561"/>
      <c r="W19" s="561"/>
      <c r="X19" s="561"/>
      <c r="Y19" s="561"/>
      <c r="Z19" s="561"/>
      <c r="AA19" s="561"/>
      <c r="AB19" s="561"/>
      <c r="AC19" s="561"/>
      <c r="AD19" s="561"/>
      <c r="AE19" s="561"/>
      <c r="AF19" s="561"/>
      <c r="AG19" s="561"/>
      <c r="AH19" s="567"/>
      <c r="AI19" s="567"/>
      <c r="AJ19" s="567"/>
      <c r="AK19" s="567"/>
      <c r="AL19" s="567"/>
      <c r="AM19" s="567"/>
      <c r="AN19" s="567"/>
      <c r="AO19" s="567"/>
      <c r="AP19" s="567"/>
      <c r="AQ19" s="567"/>
      <c r="AR19" s="567"/>
      <c r="AS19" s="567"/>
      <c r="AT19" s="567"/>
      <c r="AU19" s="567"/>
      <c r="AV19" s="567"/>
      <c r="AW19" s="567"/>
      <c r="AX19" s="567"/>
      <c r="AY19" s="567"/>
      <c r="AZ19" s="567"/>
      <c r="BA19" s="567"/>
      <c r="BB19" s="567"/>
      <c r="BC19" s="567"/>
      <c r="BD19" s="568"/>
      <c r="BE19" s="568"/>
      <c r="BF19" s="568"/>
      <c r="BG19" s="568"/>
      <c r="BH19" s="568"/>
      <c r="BI19" s="568"/>
      <c r="BJ19" s="568"/>
      <c r="BK19" s="568"/>
      <c r="BL19" s="568"/>
      <c r="BM19" s="568"/>
      <c r="BN19" s="568"/>
      <c r="BO19" s="568"/>
      <c r="BP19" s="568"/>
      <c r="BQ19" s="568"/>
      <c r="BR19" s="568"/>
      <c r="BS19" s="568"/>
      <c r="BT19" s="568"/>
      <c r="BU19" s="568"/>
      <c r="BV19" s="568"/>
      <c r="BW19" s="568"/>
      <c r="BX19" s="568"/>
      <c r="BY19" s="568"/>
      <c r="BZ19" s="568"/>
      <c r="CA19" s="568"/>
      <c r="CB19" s="568"/>
      <c r="CC19" s="568"/>
      <c r="CD19" s="568"/>
      <c r="CE19" s="568"/>
      <c r="CF19" s="568"/>
      <c r="CG19" s="568"/>
      <c r="CH19" s="568"/>
      <c r="CI19" s="568"/>
      <c r="CJ19" s="568"/>
      <c r="CK19" s="568"/>
      <c r="CL19" s="568"/>
      <c r="CM19" s="568"/>
      <c r="CN19" s="568"/>
      <c r="CO19" s="568"/>
      <c r="CP19" s="568"/>
      <c r="CQ19" s="568"/>
      <c r="CR19" s="568"/>
      <c r="CS19" s="568"/>
      <c r="CT19" s="568"/>
      <c r="CU19" s="568"/>
      <c r="CV19" s="568"/>
      <c r="CW19" s="568"/>
      <c r="CX19" s="568"/>
      <c r="CY19" s="568"/>
      <c r="CZ19" s="568"/>
      <c r="DA19" s="568"/>
      <c r="DB19" s="568"/>
      <c r="DC19" s="568"/>
      <c r="DD19" s="568"/>
      <c r="DE19" s="568"/>
      <c r="DF19" s="568"/>
      <c r="DG19" s="568"/>
      <c r="DH19" s="568"/>
      <c r="DI19" s="568"/>
      <c r="DJ19" s="568"/>
      <c r="DK19" s="568"/>
      <c r="DL19" s="568"/>
      <c r="DM19" s="568"/>
      <c r="DN19" s="568"/>
      <c r="DO19" s="568"/>
      <c r="DP19" s="568"/>
      <c r="DQ19" s="568"/>
      <c r="DR19" s="568"/>
      <c r="DS19" s="568"/>
      <c r="DT19" s="568"/>
      <c r="DU19" s="568"/>
      <c r="DV19" s="568"/>
      <c r="DW19" s="568"/>
      <c r="DX19" s="568"/>
      <c r="DY19" s="568"/>
      <c r="DZ19" s="568"/>
      <c r="EA19" s="568"/>
      <c r="EB19" s="568"/>
      <c r="EC19" s="568"/>
      <c r="ED19" s="568"/>
      <c r="EE19" s="568"/>
      <c r="EF19" s="568"/>
      <c r="EG19" s="568"/>
      <c r="EH19" s="568"/>
      <c r="EI19" s="568"/>
      <c r="EJ19" s="568"/>
      <c r="EK19" s="568"/>
      <c r="EL19" s="568"/>
      <c r="EM19" s="568"/>
      <c r="EN19" s="568"/>
      <c r="EO19" s="568"/>
      <c r="EP19" s="568"/>
      <c r="EQ19" s="568"/>
      <c r="ER19" s="568"/>
      <c r="ES19" s="568"/>
      <c r="ET19" s="568"/>
      <c r="EU19" s="568"/>
      <c r="EV19" s="568"/>
      <c r="EW19" s="568"/>
      <c r="EX19" s="568"/>
      <c r="EY19" s="568"/>
      <c r="EZ19" s="568"/>
      <c r="FA19" s="568"/>
      <c r="FB19" s="568"/>
      <c r="FC19" s="568"/>
      <c r="FD19" s="568"/>
      <c r="FE19" s="568"/>
      <c r="FF19" s="568"/>
      <c r="FG19" s="568"/>
      <c r="FH19" s="568"/>
      <c r="FI19" s="568"/>
      <c r="FJ19" s="568"/>
      <c r="FK19" s="568"/>
      <c r="FL19" s="568"/>
      <c r="FM19" s="568"/>
      <c r="FN19" s="568"/>
      <c r="FO19" s="568"/>
      <c r="FP19" s="568"/>
      <c r="FQ19" s="568"/>
      <c r="FR19" s="568"/>
      <c r="FS19" s="568"/>
      <c r="FT19" s="568"/>
      <c r="FU19" s="568"/>
      <c r="FV19" s="568"/>
      <c r="FW19" s="568"/>
      <c r="FX19" s="568"/>
      <c r="FY19" s="568"/>
      <c r="FZ19" s="568"/>
      <c r="GA19" s="568"/>
      <c r="GB19" s="568"/>
      <c r="GC19" s="568"/>
      <c r="GD19" s="568"/>
      <c r="GE19" s="568"/>
      <c r="GF19" s="568"/>
      <c r="GG19" s="568"/>
      <c r="GH19" s="568"/>
      <c r="GI19" s="568"/>
      <c r="GJ19" s="568"/>
      <c r="GK19" s="568"/>
      <c r="GL19" s="568"/>
      <c r="GM19" s="568"/>
      <c r="GN19" s="568"/>
      <c r="GO19" s="568"/>
      <c r="GP19" s="568"/>
      <c r="GQ19" s="568"/>
      <c r="GR19" s="568"/>
      <c r="GS19" s="568"/>
      <c r="GT19" s="568"/>
      <c r="GU19" s="568"/>
      <c r="GV19" s="568"/>
      <c r="GW19" s="568"/>
      <c r="GX19" s="568"/>
      <c r="GY19" s="568"/>
      <c r="GZ19" s="568"/>
      <c r="HA19" s="568"/>
      <c r="HB19" s="568"/>
      <c r="HC19" s="568"/>
      <c r="HD19" s="568"/>
      <c r="HE19" s="568"/>
      <c r="HF19" s="568"/>
      <c r="HG19" s="568"/>
      <c r="HH19" s="568"/>
      <c r="HI19" s="568"/>
      <c r="HJ19" s="568"/>
      <c r="HK19" s="568"/>
      <c r="HL19" s="568"/>
      <c r="HM19" s="568"/>
      <c r="HN19" s="568"/>
      <c r="HO19" s="568"/>
      <c r="HP19" s="568"/>
      <c r="HQ19" s="568"/>
      <c r="HR19" s="568"/>
      <c r="HS19" s="568"/>
      <c r="HT19" s="568"/>
      <c r="HU19" s="568"/>
      <c r="HV19" s="568"/>
      <c r="HW19" s="568"/>
      <c r="HX19" s="568"/>
      <c r="HY19" s="568"/>
      <c r="HZ19" s="568"/>
      <c r="IA19" s="568"/>
      <c r="IB19" s="568"/>
      <c r="IC19" s="568"/>
      <c r="ID19" s="568"/>
      <c r="IE19" s="568"/>
      <c r="IF19" s="568"/>
      <c r="IG19" s="568"/>
      <c r="IH19" s="568"/>
      <c r="II19" s="568"/>
      <c r="IJ19" s="568"/>
      <c r="IK19" s="568"/>
      <c r="IL19" s="568"/>
      <c r="IM19" s="568"/>
      <c r="IN19" s="568"/>
      <c r="IO19" s="568"/>
      <c r="IP19" s="568"/>
      <c r="IQ19" s="568"/>
      <c r="IR19" s="568"/>
      <c r="IS19" s="568"/>
      <c r="IT19" s="568"/>
      <c r="IU19" s="568"/>
    </row>
    <row r="20" spans="1:255" ht="18" customHeight="1">
      <c r="A20" s="1132" t="s">
        <v>2716</v>
      </c>
      <c r="B20" s="561"/>
      <c r="C20" s="1142">
        <v>-6.4920323499999997</v>
      </c>
      <c r="D20" s="1142">
        <v>-0.11567701</v>
      </c>
      <c r="E20" s="1142">
        <v>-0.83190691000000005</v>
      </c>
      <c r="F20" s="1142">
        <v>-2.58283204</v>
      </c>
      <c r="G20" s="1142">
        <v>-3.3414100899999997</v>
      </c>
      <c r="H20" s="1142">
        <v>-0.45679430999999998</v>
      </c>
      <c r="I20" s="1142">
        <v>-19.914689120000002</v>
      </c>
      <c r="J20" s="1142">
        <v>-16.847595500000001</v>
      </c>
      <c r="K20" s="1142">
        <v>0</v>
      </c>
      <c r="L20" s="1142">
        <v>0</v>
      </c>
      <c r="M20" s="561">
        <v>0</v>
      </c>
      <c r="N20" s="561">
        <v>0</v>
      </c>
      <c r="O20"/>
      <c r="P20" s="832" t="s">
        <v>2730</v>
      </c>
      <c r="Q20" s="561"/>
      <c r="R20" s="561"/>
      <c r="S20" s="561"/>
      <c r="T20" s="561"/>
      <c r="U20" s="561"/>
      <c r="V20" s="561"/>
      <c r="W20" s="561"/>
      <c r="X20" s="561"/>
      <c r="Y20" s="561"/>
      <c r="Z20" s="561"/>
      <c r="AA20" s="561"/>
      <c r="AB20" s="561"/>
      <c r="AC20" s="561"/>
      <c r="AD20" s="561"/>
      <c r="AE20" s="561"/>
      <c r="AF20" s="561"/>
      <c r="AG20" s="561"/>
      <c r="AH20" s="567"/>
      <c r="AI20" s="567"/>
      <c r="AJ20" s="567"/>
      <c r="AK20" s="567"/>
      <c r="AL20" s="567"/>
      <c r="AM20" s="567"/>
      <c r="AN20" s="567"/>
      <c r="AO20" s="567"/>
      <c r="AP20" s="567"/>
      <c r="AQ20" s="567"/>
      <c r="AR20" s="567"/>
      <c r="AS20" s="567"/>
      <c r="AT20" s="567"/>
      <c r="AU20" s="567"/>
      <c r="AV20" s="567"/>
      <c r="AW20" s="567"/>
      <c r="AX20" s="567"/>
      <c r="AY20" s="567"/>
      <c r="AZ20" s="567"/>
      <c r="BA20" s="567"/>
      <c r="BB20" s="567"/>
      <c r="BC20" s="567"/>
      <c r="BD20" s="568"/>
      <c r="BE20" s="568"/>
      <c r="BF20" s="568"/>
      <c r="BG20" s="568"/>
      <c r="BH20" s="568"/>
      <c r="BI20" s="568"/>
      <c r="BJ20" s="568"/>
      <c r="BK20" s="568"/>
      <c r="BL20" s="568"/>
      <c r="BM20" s="568"/>
      <c r="BN20" s="568"/>
      <c r="BO20" s="568"/>
      <c r="BP20" s="568"/>
      <c r="BQ20" s="568"/>
      <c r="BR20" s="568"/>
      <c r="BS20" s="568"/>
      <c r="BT20" s="568"/>
      <c r="BU20" s="568"/>
      <c r="BV20" s="568"/>
      <c r="BW20" s="568"/>
      <c r="BX20" s="568"/>
      <c r="BY20" s="568"/>
      <c r="BZ20" s="568"/>
      <c r="CA20" s="568"/>
      <c r="CB20" s="568"/>
      <c r="CC20" s="568"/>
      <c r="CD20" s="568"/>
      <c r="CE20" s="568"/>
      <c r="CF20" s="568"/>
      <c r="CG20" s="568"/>
      <c r="CH20" s="568"/>
      <c r="CI20" s="568"/>
      <c r="CJ20" s="568"/>
      <c r="CK20" s="568"/>
      <c r="CL20" s="568"/>
      <c r="CM20" s="568"/>
      <c r="CN20" s="568"/>
      <c r="CO20" s="568"/>
      <c r="CP20" s="568"/>
      <c r="CQ20" s="568"/>
      <c r="CR20" s="568"/>
      <c r="CS20" s="568"/>
      <c r="CT20" s="568"/>
      <c r="CU20" s="568"/>
      <c r="CV20" s="568"/>
      <c r="CW20" s="568"/>
      <c r="CX20" s="568"/>
      <c r="CY20" s="568"/>
      <c r="CZ20" s="568"/>
      <c r="DA20" s="568"/>
      <c r="DB20" s="568"/>
      <c r="DC20" s="568"/>
      <c r="DD20" s="568"/>
      <c r="DE20" s="568"/>
      <c r="DF20" s="568"/>
      <c r="DG20" s="568"/>
      <c r="DH20" s="568"/>
      <c r="DI20" s="568"/>
      <c r="DJ20" s="568"/>
      <c r="DK20" s="568"/>
      <c r="DL20" s="568"/>
      <c r="DM20" s="568"/>
      <c r="DN20" s="568"/>
      <c r="DO20" s="568"/>
      <c r="DP20" s="568"/>
      <c r="DQ20" s="568"/>
      <c r="DR20" s="568"/>
      <c r="DS20" s="568"/>
      <c r="DT20" s="568"/>
      <c r="DU20" s="568"/>
      <c r="DV20" s="568"/>
      <c r="DW20" s="568"/>
      <c r="DX20" s="568"/>
      <c r="DY20" s="568"/>
      <c r="DZ20" s="568"/>
      <c r="EA20" s="568"/>
      <c r="EB20" s="568"/>
      <c r="EC20" s="568"/>
      <c r="ED20" s="568"/>
      <c r="EE20" s="568"/>
      <c r="EF20" s="568"/>
      <c r="EG20" s="568"/>
      <c r="EH20" s="568"/>
      <c r="EI20" s="568"/>
      <c r="EJ20" s="568"/>
      <c r="EK20" s="568"/>
      <c r="EL20" s="568"/>
      <c r="EM20" s="568"/>
      <c r="EN20" s="568"/>
      <c r="EO20" s="568"/>
      <c r="EP20" s="568"/>
      <c r="EQ20" s="568"/>
      <c r="ER20" s="568"/>
      <c r="ES20" s="568"/>
      <c r="ET20" s="568"/>
      <c r="EU20" s="568"/>
      <c r="EV20" s="568"/>
      <c r="EW20" s="568"/>
      <c r="EX20" s="568"/>
      <c r="EY20" s="568"/>
      <c r="EZ20" s="568"/>
      <c r="FA20" s="568"/>
      <c r="FB20" s="568"/>
      <c r="FC20" s="568"/>
      <c r="FD20" s="568"/>
      <c r="FE20" s="568"/>
      <c r="FF20" s="568"/>
      <c r="FG20" s="568"/>
      <c r="FH20" s="568"/>
      <c r="FI20" s="568"/>
      <c r="FJ20" s="568"/>
      <c r="FK20" s="568"/>
      <c r="FL20" s="568"/>
      <c r="FM20" s="568"/>
      <c r="FN20" s="568"/>
      <c r="FO20" s="568"/>
      <c r="FP20" s="568"/>
      <c r="FQ20" s="568"/>
      <c r="FR20" s="568"/>
      <c r="FS20" s="568"/>
      <c r="FT20" s="568"/>
      <c r="FU20" s="568"/>
      <c r="FV20" s="568"/>
      <c r="FW20" s="568"/>
      <c r="FX20" s="568"/>
      <c r="FY20" s="568"/>
      <c r="FZ20" s="568"/>
      <c r="GA20" s="568"/>
      <c r="GB20" s="568"/>
      <c r="GC20" s="568"/>
      <c r="GD20" s="568"/>
      <c r="GE20" s="568"/>
      <c r="GF20" s="568"/>
      <c r="GG20" s="568"/>
      <c r="GH20" s="568"/>
      <c r="GI20" s="568"/>
      <c r="GJ20" s="568"/>
      <c r="GK20" s="568"/>
      <c r="GL20" s="568"/>
      <c r="GM20" s="568"/>
      <c r="GN20" s="568"/>
      <c r="GO20" s="568"/>
      <c r="GP20" s="568"/>
      <c r="GQ20" s="568"/>
      <c r="GR20" s="568"/>
      <c r="GS20" s="568"/>
      <c r="GT20" s="568"/>
      <c r="GU20" s="568"/>
      <c r="GV20" s="568"/>
      <c r="GW20" s="568"/>
      <c r="GX20" s="568"/>
      <c r="GY20" s="568"/>
      <c r="GZ20" s="568"/>
      <c r="HA20" s="568"/>
      <c r="HB20" s="568"/>
      <c r="HC20" s="568"/>
      <c r="HD20" s="568"/>
      <c r="HE20" s="568"/>
      <c r="HF20" s="568"/>
      <c r="HG20" s="568"/>
      <c r="HH20" s="568"/>
      <c r="HI20" s="568"/>
      <c r="HJ20" s="568"/>
      <c r="HK20" s="568"/>
      <c r="HL20" s="568"/>
      <c r="HM20" s="568"/>
      <c r="HN20" s="568"/>
      <c r="HO20" s="568"/>
      <c r="HP20" s="568"/>
      <c r="HQ20" s="568"/>
      <c r="HR20" s="568"/>
      <c r="HS20" s="568"/>
      <c r="HT20" s="568"/>
      <c r="HU20" s="568"/>
      <c r="HV20" s="568"/>
      <c r="HW20" s="568"/>
      <c r="HX20" s="568"/>
      <c r="HY20" s="568"/>
      <c r="HZ20" s="568"/>
      <c r="IA20" s="568"/>
      <c r="IB20" s="568"/>
      <c r="IC20" s="568"/>
      <c r="ID20" s="568"/>
      <c r="IE20" s="568"/>
      <c r="IF20" s="568"/>
      <c r="IG20" s="568"/>
      <c r="IH20" s="568"/>
      <c r="II20" s="568"/>
      <c r="IJ20" s="568"/>
      <c r="IK20" s="568"/>
      <c r="IL20" s="568"/>
      <c r="IM20" s="568"/>
      <c r="IN20" s="568"/>
      <c r="IO20" s="568"/>
      <c r="IP20" s="568"/>
      <c r="IQ20" s="568"/>
      <c r="IR20" s="568"/>
      <c r="IS20" s="568"/>
      <c r="IT20" s="568"/>
      <c r="IU20" s="568"/>
    </row>
    <row r="21" spans="1:255" ht="18" customHeight="1">
      <c r="A21" s="570" t="s">
        <v>646</v>
      </c>
      <c r="B21" s="561"/>
      <c r="C21" s="1142"/>
      <c r="D21" s="1142"/>
      <c r="E21" s="1142"/>
      <c r="F21" s="1142"/>
      <c r="G21" s="1142"/>
      <c r="H21" s="1142"/>
      <c r="I21" s="1142"/>
      <c r="J21" s="1142"/>
      <c r="K21" s="1142"/>
      <c r="L21" s="1142"/>
      <c r="M21" s="561"/>
      <c r="N21" s="561"/>
      <c r="O21"/>
      <c r="P21" s="832"/>
      <c r="Q21" s="561"/>
      <c r="R21" s="561"/>
      <c r="S21" s="561"/>
      <c r="T21" s="561"/>
      <c r="U21" s="561"/>
      <c r="V21" s="561"/>
      <c r="W21" s="561"/>
      <c r="X21" s="561"/>
      <c r="Y21" s="561"/>
      <c r="Z21" s="561"/>
      <c r="AA21" s="561"/>
      <c r="AB21" s="561"/>
      <c r="AC21" s="561"/>
      <c r="AD21" s="561"/>
      <c r="AE21" s="561"/>
      <c r="AF21" s="561"/>
      <c r="AG21" s="561"/>
      <c r="AH21" s="567"/>
      <c r="AI21" s="567"/>
      <c r="AJ21" s="567"/>
      <c r="AK21" s="567"/>
      <c r="AL21" s="567"/>
      <c r="AM21" s="567"/>
      <c r="AN21" s="567"/>
      <c r="AO21" s="567"/>
      <c r="AP21" s="567"/>
      <c r="AQ21" s="567"/>
      <c r="AR21" s="567"/>
      <c r="AS21" s="567"/>
      <c r="AT21" s="567"/>
      <c r="AU21" s="567"/>
      <c r="AV21" s="567"/>
      <c r="AW21" s="567"/>
      <c r="AX21" s="567"/>
      <c r="AY21" s="567"/>
      <c r="AZ21" s="567"/>
      <c r="BA21" s="567"/>
      <c r="BB21" s="567"/>
      <c r="BC21" s="567"/>
      <c r="BD21" s="568"/>
      <c r="BE21" s="568"/>
      <c r="BF21" s="568"/>
      <c r="BG21" s="568"/>
      <c r="BH21" s="568"/>
      <c r="BI21" s="568"/>
      <c r="BJ21" s="568"/>
      <c r="BK21" s="568"/>
      <c r="BL21" s="568"/>
      <c r="BM21" s="568"/>
      <c r="BN21" s="568"/>
      <c r="BO21" s="568"/>
      <c r="BP21" s="568"/>
      <c r="BQ21" s="568"/>
      <c r="BR21" s="568"/>
      <c r="BS21" s="568"/>
      <c r="BT21" s="568"/>
      <c r="BU21" s="568"/>
      <c r="BV21" s="568"/>
      <c r="BW21" s="568"/>
      <c r="BX21" s="568"/>
      <c r="BY21" s="568"/>
      <c r="BZ21" s="568"/>
      <c r="CA21" s="568"/>
      <c r="CB21" s="568"/>
      <c r="CC21" s="568"/>
      <c r="CD21" s="568"/>
      <c r="CE21" s="568"/>
      <c r="CF21" s="568"/>
      <c r="CG21" s="568"/>
      <c r="CH21" s="568"/>
      <c r="CI21" s="568"/>
      <c r="CJ21" s="568"/>
      <c r="CK21" s="568"/>
      <c r="CL21" s="568"/>
      <c r="CM21" s="568"/>
      <c r="CN21" s="568"/>
      <c r="CO21" s="568"/>
      <c r="CP21" s="568"/>
      <c r="CQ21" s="568"/>
      <c r="CR21" s="568"/>
      <c r="CS21" s="568"/>
      <c r="CT21" s="568"/>
      <c r="CU21" s="568"/>
      <c r="CV21" s="568"/>
      <c r="CW21" s="568"/>
      <c r="CX21" s="568"/>
      <c r="CY21" s="568"/>
      <c r="CZ21" s="568"/>
      <c r="DA21" s="568"/>
      <c r="DB21" s="568"/>
      <c r="DC21" s="568"/>
      <c r="DD21" s="568"/>
      <c r="DE21" s="568"/>
      <c r="DF21" s="568"/>
      <c r="DG21" s="568"/>
      <c r="DH21" s="568"/>
      <c r="DI21" s="568"/>
      <c r="DJ21" s="568"/>
      <c r="DK21" s="568"/>
      <c r="DL21" s="568"/>
      <c r="DM21" s="568"/>
      <c r="DN21" s="568"/>
      <c r="DO21" s="568"/>
      <c r="DP21" s="568"/>
      <c r="DQ21" s="568"/>
      <c r="DR21" s="568"/>
      <c r="DS21" s="568"/>
      <c r="DT21" s="568"/>
      <c r="DU21" s="568"/>
      <c r="DV21" s="568"/>
      <c r="DW21" s="568"/>
      <c r="DX21" s="568"/>
      <c r="DY21" s="568"/>
      <c r="DZ21" s="568"/>
      <c r="EA21" s="568"/>
      <c r="EB21" s="568"/>
      <c r="EC21" s="568"/>
      <c r="ED21" s="568"/>
      <c r="EE21" s="568"/>
      <c r="EF21" s="568"/>
      <c r="EG21" s="568"/>
      <c r="EH21" s="568"/>
      <c r="EI21" s="568"/>
      <c r="EJ21" s="568"/>
      <c r="EK21" s="568"/>
      <c r="EL21" s="568"/>
      <c r="EM21" s="568"/>
      <c r="EN21" s="568"/>
      <c r="EO21" s="568"/>
      <c r="EP21" s="568"/>
      <c r="EQ21" s="568"/>
      <c r="ER21" s="568"/>
      <c r="ES21" s="568"/>
      <c r="ET21" s="568"/>
      <c r="EU21" s="568"/>
      <c r="EV21" s="568"/>
      <c r="EW21" s="568"/>
      <c r="EX21" s="568"/>
      <c r="EY21" s="568"/>
      <c r="EZ21" s="568"/>
      <c r="FA21" s="568"/>
      <c r="FB21" s="568"/>
      <c r="FC21" s="568"/>
      <c r="FD21" s="568"/>
      <c r="FE21" s="568"/>
      <c r="FF21" s="568"/>
      <c r="FG21" s="568"/>
      <c r="FH21" s="568"/>
      <c r="FI21" s="568"/>
      <c r="FJ21" s="568"/>
      <c r="FK21" s="568"/>
      <c r="FL21" s="568"/>
      <c r="FM21" s="568"/>
      <c r="FN21" s="568"/>
      <c r="FO21" s="568"/>
      <c r="FP21" s="568"/>
      <c r="FQ21" s="568"/>
      <c r="FR21" s="568"/>
      <c r="FS21" s="568"/>
      <c r="FT21" s="568"/>
      <c r="FU21" s="568"/>
      <c r="FV21" s="568"/>
      <c r="FW21" s="568"/>
      <c r="FX21" s="568"/>
      <c r="FY21" s="568"/>
      <c r="FZ21" s="568"/>
      <c r="GA21" s="568"/>
      <c r="GB21" s="568"/>
      <c r="GC21" s="568"/>
      <c r="GD21" s="568"/>
      <c r="GE21" s="568"/>
      <c r="GF21" s="568"/>
      <c r="GG21" s="568"/>
      <c r="GH21" s="568"/>
      <c r="GI21" s="568"/>
      <c r="GJ21" s="568"/>
      <c r="GK21" s="568"/>
      <c r="GL21" s="568"/>
      <c r="GM21" s="568"/>
      <c r="GN21" s="568"/>
      <c r="GO21" s="568"/>
      <c r="GP21" s="568"/>
      <c r="GQ21" s="568"/>
      <c r="GR21" s="568"/>
      <c r="GS21" s="568"/>
      <c r="GT21" s="568"/>
      <c r="GU21" s="568"/>
      <c r="GV21" s="568"/>
      <c r="GW21" s="568"/>
      <c r="GX21" s="568"/>
      <c r="GY21" s="568"/>
      <c r="GZ21" s="568"/>
      <c r="HA21" s="568"/>
      <c r="HB21" s="568"/>
      <c r="HC21" s="568"/>
      <c r="HD21" s="568"/>
      <c r="HE21" s="568"/>
      <c r="HF21" s="568"/>
      <c r="HG21" s="568"/>
      <c r="HH21" s="568"/>
      <c r="HI21" s="568"/>
      <c r="HJ21" s="568"/>
      <c r="HK21" s="568"/>
      <c r="HL21" s="568"/>
      <c r="HM21" s="568"/>
      <c r="HN21" s="568"/>
      <c r="HO21" s="568"/>
      <c r="HP21" s="568"/>
      <c r="HQ21" s="568"/>
      <c r="HR21" s="568"/>
      <c r="HS21" s="568"/>
      <c r="HT21" s="568"/>
      <c r="HU21" s="568"/>
      <c r="HV21" s="568"/>
      <c r="HW21" s="568"/>
      <c r="HX21" s="568"/>
      <c r="HY21" s="568"/>
      <c r="HZ21" s="568"/>
      <c r="IA21" s="568"/>
      <c r="IB21" s="568"/>
      <c r="IC21" s="568"/>
      <c r="ID21" s="568"/>
      <c r="IE21" s="568"/>
      <c r="IF21" s="568"/>
      <c r="IG21" s="568"/>
      <c r="IH21" s="568"/>
      <c r="II21" s="568"/>
      <c r="IJ21" s="568"/>
      <c r="IK21" s="568"/>
      <c r="IL21" s="568"/>
      <c r="IM21" s="568"/>
      <c r="IN21" s="568"/>
      <c r="IO21" s="568"/>
      <c r="IP21" s="568"/>
      <c r="IQ21" s="568"/>
      <c r="IR21" s="568"/>
      <c r="IS21" s="568"/>
      <c r="IT21" s="568"/>
      <c r="IU21" s="568"/>
    </row>
    <row r="22" spans="1:255" s="689" customFormat="1" ht="18" customHeight="1">
      <c r="A22" s="685" t="s">
        <v>647</v>
      </c>
      <c r="B22" s="686"/>
      <c r="C22" s="1144">
        <v>810.67712725000001</v>
      </c>
      <c r="D22" s="1144">
        <v>116.66871979000001</v>
      </c>
      <c r="E22" s="1144">
        <v>286.35314811000001</v>
      </c>
      <c r="F22" s="1144">
        <v>311.49280799000002</v>
      </c>
      <c r="G22" s="1144">
        <v>191.46961677000002</v>
      </c>
      <c r="H22" s="1144">
        <v>66.969685699999999</v>
      </c>
      <c r="I22" s="1144">
        <v>69.172974830000001</v>
      </c>
      <c r="J22" s="1144">
        <v>60.019558609999997</v>
      </c>
      <c r="K22" s="1144">
        <v>0</v>
      </c>
      <c r="L22" s="1144">
        <v>0</v>
      </c>
      <c r="M22" s="686">
        <v>0</v>
      </c>
      <c r="N22" s="686">
        <v>0</v>
      </c>
      <c r="O22"/>
      <c r="P22" s="832" t="s">
        <v>1621</v>
      </c>
      <c r="Q22" s="686"/>
      <c r="R22" s="686"/>
      <c r="S22" s="686"/>
      <c r="T22" s="686"/>
      <c r="U22" s="686"/>
      <c r="V22" s="686"/>
      <c r="W22" s="686"/>
      <c r="X22" s="686"/>
      <c r="Y22" s="686"/>
      <c r="Z22" s="686"/>
      <c r="AA22" s="686"/>
      <c r="AB22" s="686"/>
      <c r="AC22" s="686"/>
      <c r="AD22" s="686"/>
      <c r="AE22" s="686"/>
      <c r="AF22" s="686"/>
      <c r="AG22" s="686"/>
      <c r="AH22" s="687"/>
      <c r="AI22" s="687"/>
      <c r="AJ22" s="687"/>
      <c r="AK22" s="687"/>
      <c r="AL22" s="687"/>
      <c r="AM22" s="687"/>
      <c r="AN22" s="687"/>
      <c r="AO22" s="687"/>
      <c r="AP22" s="687"/>
      <c r="AQ22" s="687"/>
      <c r="AR22" s="687"/>
      <c r="AS22" s="687"/>
      <c r="AT22" s="687"/>
      <c r="AU22" s="687"/>
      <c r="AV22" s="687"/>
      <c r="AW22" s="687"/>
      <c r="AX22" s="687"/>
      <c r="AY22" s="687"/>
      <c r="AZ22" s="687"/>
      <c r="BA22" s="687"/>
      <c r="BB22" s="687"/>
      <c r="BC22" s="687"/>
      <c r="BD22" s="688"/>
      <c r="BE22" s="688"/>
      <c r="BF22" s="688"/>
      <c r="BG22" s="688"/>
      <c r="BH22" s="688"/>
      <c r="BI22" s="688"/>
      <c r="BJ22" s="688"/>
      <c r="BK22" s="688"/>
      <c r="BL22" s="688"/>
      <c r="BM22" s="688"/>
      <c r="BN22" s="688"/>
      <c r="BO22" s="688"/>
      <c r="BP22" s="688"/>
      <c r="BQ22" s="688"/>
      <c r="BR22" s="688"/>
      <c r="BS22" s="688"/>
      <c r="BT22" s="688"/>
      <c r="BU22" s="688"/>
      <c r="BV22" s="688"/>
      <c r="BW22" s="688"/>
      <c r="BX22" s="688"/>
      <c r="BY22" s="688"/>
      <c r="BZ22" s="688"/>
      <c r="CA22" s="688"/>
      <c r="CB22" s="688"/>
      <c r="CC22" s="688"/>
      <c r="CD22" s="688"/>
      <c r="CE22" s="688"/>
      <c r="CF22" s="688"/>
      <c r="CG22" s="688"/>
      <c r="CH22" s="688"/>
      <c r="CI22" s="688"/>
      <c r="CJ22" s="688"/>
      <c r="CK22" s="688"/>
      <c r="CL22" s="688"/>
      <c r="CM22" s="688"/>
      <c r="CN22" s="688"/>
      <c r="CO22" s="688"/>
      <c r="CP22" s="688"/>
      <c r="CQ22" s="688"/>
      <c r="CR22" s="688"/>
      <c r="CS22" s="688"/>
      <c r="CT22" s="688"/>
      <c r="CU22" s="688"/>
      <c r="CV22" s="688"/>
      <c r="CW22" s="688"/>
      <c r="CX22" s="688"/>
      <c r="CY22" s="688"/>
      <c r="CZ22" s="688"/>
      <c r="DA22" s="688"/>
      <c r="DB22" s="688"/>
      <c r="DC22" s="688"/>
      <c r="DD22" s="688"/>
      <c r="DE22" s="688"/>
      <c r="DF22" s="688"/>
      <c r="DG22" s="688"/>
      <c r="DH22" s="688"/>
      <c r="DI22" s="688"/>
      <c r="DJ22" s="688"/>
      <c r="DK22" s="688"/>
      <c r="DL22" s="688"/>
      <c r="DM22" s="688"/>
      <c r="DN22" s="688"/>
      <c r="DO22" s="688"/>
      <c r="DP22" s="688"/>
      <c r="DQ22" s="688"/>
      <c r="DR22" s="688"/>
      <c r="DS22" s="688"/>
      <c r="DT22" s="688"/>
      <c r="DU22" s="688"/>
      <c r="DV22" s="688"/>
      <c r="DW22" s="688"/>
      <c r="DX22" s="688"/>
      <c r="DY22" s="688"/>
      <c r="DZ22" s="688"/>
      <c r="EA22" s="688"/>
      <c r="EB22" s="688"/>
      <c r="EC22" s="688"/>
      <c r="ED22" s="688"/>
      <c r="EE22" s="688"/>
      <c r="EF22" s="688"/>
      <c r="EG22" s="688"/>
      <c r="EH22" s="688"/>
      <c r="EI22" s="688"/>
      <c r="EJ22" s="688"/>
      <c r="EK22" s="688"/>
      <c r="EL22" s="688"/>
      <c r="EM22" s="688"/>
      <c r="EN22" s="688"/>
      <c r="EO22" s="688"/>
      <c r="EP22" s="688"/>
      <c r="EQ22" s="688"/>
      <c r="ER22" s="688"/>
      <c r="ES22" s="688"/>
      <c r="ET22" s="688"/>
      <c r="EU22" s="688"/>
      <c r="EV22" s="688"/>
      <c r="EW22" s="688"/>
      <c r="EX22" s="688"/>
      <c r="EY22" s="688"/>
      <c r="EZ22" s="688"/>
      <c r="FA22" s="688"/>
      <c r="FB22" s="688"/>
      <c r="FC22" s="688"/>
      <c r="FD22" s="688"/>
      <c r="FE22" s="688"/>
      <c r="FF22" s="688"/>
      <c r="FG22" s="688"/>
      <c r="FH22" s="688"/>
      <c r="FI22" s="688"/>
      <c r="FJ22" s="688"/>
      <c r="FK22" s="688"/>
      <c r="FL22" s="688"/>
      <c r="FM22" s="688"/>
      <c r="FN22" s="688"/>
      <c r="FO22" s="688"/>
      <c r="FP22" s="688"/>
      <c r="FQ22" s="688"/>
      <c r="FR22" s="688"/>
      <c r="FS22" s="688"/>
      <c r="FT22" s="688"/>
      <c r="FU22" s="688"/>
      <c r="FV22" s="688"/>
      <c r="FW22" s="688"/>
      <c r="FX22" s="688"/>
      <c r="FY22" s="688"/>
      <c r="FZ22" s="688"/>
      <c r="GA22" s="688"/>
      <c r="GB22" s="688"/>
      <c r="GC22" s="688"/>
      <c r="GD22" s="688"/>
      <c r="GE22" s="688"/>
      <c r="GF22" s="688"/>
      <c r="GG22" s="688"/>
      <c r="GH22" s="688"/>
      <c r="GI22" s="688"/>
      <c r="GJ22" s="688"/>
      <c r="GK22" s="688"/>
      <c r="GL22" s="688"/>
      <c r="GM22" s="688"/>
      <c r="GN22" s="688"/>
      <c r="GO22" s="688"/>
      <c r="GP22" s="688"/>
      <c r="GQ22" s="688"/>
      <c r="GR22" s="688"/>
      <c r="GS22" s="688"/>
      <c r="GT22" s="688"/>
      <c r="GU22" s="688"/>
      <c r="GV22" s="688"/>
      <c r="GW22" s="688"/>
      <c r="GX22" s="688"/>
      <c r="GY22" s="688"/>
      <c r="GZ22" s="688"/>
      <c r="HA22" s="688"/>
      <c r="HB22" s="688"/>
      <c r="HC22" s="688"/>
      <c r="HD22" s="688"/>
      <c r="HE22" s="688"/>
      <c r="HF22" s="688"/>
      <c r="HG22" s="688"/>
      <c r="HH22" s="688"/>
      <c r="HI22" s="688"/>
      <c r="HJ22" s="688"/>
      <c r="HK22" s="688"/>
      <c r="HL22" s="688"/>
      <c r="HM22" s="688"/>
      <c r="HN22" s="688"/>
      <c r="HO22" s="688"/>
      <c r="HP22" s="688"/>
      <c r="HQ22" s="688"/>
      <c r="HR22" s="688"/>
      <c r="HS22" s="688"/>
      <c r="HT22" s="688"/>
      <c r="HU22" s="688"/>
      <c r="HV22" s="688"/>
      <c r="HW22" s="688"/>
      <c r="HX22" s="688"/>
      <c r="HY22" s="688"/>
      <c r="HZ22" s="688"/>
      <c r="IA22" s="688"/>
      <c r="IB22" s="688"/>
      <c r="IC22" s="688"/>
      <c r="ID22" s="688"/>
      <c r="IE22" s="688"/>
      <c r="IF22" s="688"/>
      <c r="IG22" s="688"/>
      <c r="IH22" s="688"/>
      <c r="II22" s="688"/>
      <c r="IJ22" s="688"/>
      <c r="IK22" s="688"/>
      <c r="IL22" s="688"/>
      <c r="IM22" s="688"/>
      <c r="IN22" s="688"/>
      <c r="IO22" s="688"/>
      <c r="IP22" s="688"/>
      <c r="IQ22" s="688"/>
      <c r="IR22" s="688"/>
      <c r="IS22" s="688"/>
      <c r="IT22" s="688"/>
      <c r="IU22" s="688"/>
    </row>
    <row r="23" spans="1:255" ht="18" customHeight="1">
      <c r="A23" s="566" t="s">
        <v>648</v>
      </c>
      <c r="B23" s="607"/>
      <c r="C23" s="1142">
        <v>12.447954749999999</v>
      </c>
      <c r="D23" s="1142">
        <v>2.0720769400000001</v>
      </c>
      <c r="E23" s="1142">
        <v>3.9298147299999999</v>
      </c>
      <c r="F23" s="1142">
        <v>7.3088349400000006</v>
      </c>
      <c r="G23" s="1142">
        <v>11.99548611</v>
      </c>
      <c r="H23" s="1142">
        <v>1.64452256</v>
      </c>
      <c r="I23" s="1142">
        <v>2.91720377</v>
      </c>
      <c r="J23" s="1143">
        <v>10.582278499999999</v>
      </c>
      <c r="K23" s="1143">
        <v>0</v>
      </c>
      <c r="L23" s="1143">
        <v>0</v>
      </c>
      <c r="M23" s="562">
        <v>0</v>
      </c>
      <c r="N23" s="562">
        <v>0</v>
      </c>
      <c r="O23"/>
      <c r="P23" s="832" t="s">
        <v>1622</v>
      </c>
      <c r="Q23" s="562"/>
      <c r="R23" s="562"/>
      <c r="S23" s="562"/>
      <c r="T23" s="561"/>
      <c r="U23" s="562"/>
      <c r="V23" s="562"/>
      <c r="W23" s="562"/>
      <c r="X23" s="562"/>
      <c r="Y23" s="562"/>
      <c r="Z23" s="562"/>
      <c r="AA23" s="562"/>
      <c r="AB23" s="562"/>
      <c r="AC23" s="562"/>
      <c r="AD23" s="562"/>
      <c r="AE23" s="562"/>
      <c r="AF23" s="562"/>
      <c r="AG23" s="562"/>
      <c r="AH23" s="563"/>
      <c r="AI23" s="563"/>
      <c r="AJ23" s="563"/>
      <c r="AK23" s="563"/>
      <c r="AL23" s="563"/>
      <c r="AM23" s="563"/>
      <c r="AN23" s="563"/>
      <c r="AO23" s="563"/>
      <c r="AP23" s="563"/>
      <c r="AQ23" s="563"/>
      <c r="AR23" s="563"/>
      <c r="AS23" s="563"/>
      <c r="AT23" s="563"/>
      <c r="AU23" s="563"/>
      <c r="AV23" s="563"/>
      <c r="AW23" s="563"/>
      <c r="AX23" s="563"/>
      <c r="AY23" s="563"/>
      <c r="AZ23" s="563"/>
      <c r="BA23" s="563"/>
      <c r="BB23" s="563"/>
      <c r="BC23" s="563"/>
      <c r="BD23" s="564"/>
      <c r="BE23" s="564"/>
      <c r="BF23" s="564"/>
      <c r="BG23" s="564"/>
      <c r="BH23" s="564"/>
      <c r="BI23" s="564"/>
      <c r="BJ23" s="564"/>
      <c r="BK23" s="564"/>
      <c r="BL23" s="564"/>
      <c r="BM23" s="564"/>
      <c r="BN23" s="564"/>
      <c r="BO23" s="564"/>
      <c r="BP23" s="564"/>
      <c r="BQ23" s="564"/>
      <c r="BR23" s="564"/>
      <c r="BS23" s="564"/>
      <c r="BT23" s="564"/>
      <c r="BU23" s="564"/>
      <c r="BV23" s="564"/>
      <c r="BW23" s="564"/>
      <c r="BX23" s="564"/>
    </row>
    <row r="24" spans="1:255" s="568" customFormat="1" ht="18" customHeight="1">
      <c r="A24" s="566" t="s">
        <v>649</v>
      </c>
      <c r="B24" s="561"/>
      <c r="C24" s="1142">
        <v>2.6184784300000001</v>
      </c>
      <c r="D24" s="1142">
        <v>0.33327301000000004</v>
      </c>
      <c r="E24" s="1142">
        <v>0.8166685600000001</v>
      </c>
      <c r="F24" s="1142">
        <v>1.9620239900000001</v>
      </c>
      <c r="G24" s="1142">
        <v>2.8726492100000001</v>
      </c>
      <c r="H24" s="1142">
        <v>0.28132989000000003</v>
      </c>
      <c r="I24" s="1142">
        <v>0.99913755000000004</v>
      </c>
      <c r="J24" s="1142">
        <v>1.4604375900000002</v>
      </c>
      <c r="K24" s="1142">
        <v>0</v>
      </c>
      <c r="L24" s="1142">
        <v>0</v>
      </c>
      <c r="M24" s="561">
        <v>0</v>
      </c>
      <c r="N24" s="561">
        <v>0</v>
      </c>
      <c r="O24"/>
      <c r="P24" s="832" t="s">
        <v>1623</v>
      </c>
      <c r="Q24" s="561"/>
      <c r="R24" s="561"/>
      <c r="S24" s="561"/>
      <c r="T24" s="561"/>
      <c r="U24" s="561"/>
      <c r="V24" s="561"/>
      <c r="W24" s="561"/>
      <c r="X24" s="561"/>
      <c r="Y24" s="561"/>
      <c r="Z24" s="561"/>
      <c r="AA24" s="561"/>
      <c r="AB24" s="561"/>
      <c r="AC24" s="561"/>
      <c r="AD24" s="561"/>
      <c r="AE24" s="561"/>
      <c r="AF24" s="561"/>
      <c r="AG24" s="561"/>
      <c r="AH24" s="567"/>
      <c r="AI24" s="567"/>
      <c r="AJ24" s="567"/>
      <c r="AK24" s="567"/>
      <c r="AL24" s="567"/>
      <c r="AM24" s="567"/>
      <c r="AN24" s="567"/>
      <c r="AO24" s="567"/>
      <c r="AP24" s="567"/>
      <c r="AQ24" s="567"/>
      <c r="AR24" s="567"/>
      <c r="AS24" s="567"/>
      <c r="AT24" s="567"/>
      <c r="AU24" s="567"/>
      <c r="AV24" s="567"/>
      <c r="AW24" s="567"/>
      <c r="AX24" s="567"/>
      <c r="AY24" s="567"/>
      <c r="AZ24" s="567"/>
      <c r="BA24" s="567"/>
      <c r="BB24" s="567"/>
      <c r="BC24" s="567"/>
    </row>
    <row r="25" spans="1:255" ht="18" customHeight="1">
      <c r="A25" s="570" t="s">
        <v>921</v>
      </c>
      <c r="B25" s="561"/>
      <c r="C25" s="1142"/>
      <c r="D25" s="1142"/>
      <c r="E25" s="1142"/>
      <c r="F25" s="1142"/>
      <c r="G25" s="1142"/>
      <c r="H25" s="1142"/>
      <c r="I25" s="1142"/>
      <c r="J25" s="1142"/>
      <c r="K25" s="1142"/>
      <c r="L25" s="1142"/>
      <c r="M25" s="561"/>
      <c r="N25" s="561"/>
      <c r="O25"/>
      <c r="P25" s="832"/>
      <c r="Q25" s="561"/>
      <c r="R25" s="561"/>
      <c r="S25" s="561"/>
      <c r="T25" s="561"/>
      <c r="U25" s="561"/>
      <c r="V25" s="561"/>
      <c r="W25" s="561"/>
      <c r="X25" s="561"/>
      <c r="Y25" s="561"/>
      <c r="Z25" s="561"/>
      <c r="AA25" s="561"/>
      <c r="AB25" s="561"/>
      <c r="AC25" s="561"/>
      <c r="AD25" s="561"/>
      <c r="AE25" s="561"/>
      <c r="AF25" s="561"/>
      <c r="AG25" s="561"/>
      <c r="AH25" s="567"/>
      <c r="AI25" s="567"/>
      <c r="AJ25" s="567"/>
      <c r="AK25" s="567"/>
      <c r="AL25" s="567"/>
      <c r="AM25" s="567"/>
      <c r="AN25" s="567"/>
      <c r="AO25" s="567"/>
      <c r="AP25" s="567"/>
      <c r="AQ25" s="567"/>
      <c r="AR25" s="567"/>
      <c r="AS25" s="567"/>
      <c r="AT25" s="567"/>
      <c r="AU25" s="567"/>
      <c r="AV25" s="567"/>
      <c r="AW25" s="567"/>
      <c r="AX25" s="567"/>
      <c r="AY25" s="567"/>
      <c r="AZ25" s="567"/>
      <c r="BA25" s="567"/>
      <c r="BB25" s="567"/>
      <c r="BC25" s="567"/>
      <c r="BD25" s="568"/>
      <c r="BE25" s="568"/>
      <c r="BF25" s="568"/>
      <c r="BG25" s="568"/>
      <c r="BH25" s="568"/>
      <c r="BI25" s="568"/>
      <c r="BJ25" s="568"/>
      <c r="BK25" s="568"/>
      <c r="BL25" s="568"/>
      <c r="BM25" s="568"/>
      <c r="BN25" s="568"/>
      <c r="BO25" s="568"/>
      <c r="BP25" s="568"/>
      <c r="BQ25" s="568"/>
      <c r="BR25" s="568"/>
      <c r="BS25" s="568"/>
      <c r="BT25" s="568"/>
      <c r="BU25" s="568"/>
      <c r="BV25" s="568"/>
      <c r="BW25" s="568"/>
      <c r="BX25" s="568"/>
      <c r="BY25" s="568"/>
      <c r="BZ25" s="568"/>
      <c r="CA25" s="568"/>
      <c r="CB25" s="568"/>
      <c r="CC25" s="568"/>
      <c r="CD25" s="568"/>
      <c r="CE25" s="568"/>
      <c r="CF25" s="568"/>
      <c r="CG25" s="568"/>
      <c r="CH25" s="568"/>
      <c r="CI25" s="568"/>
      <c r="CJ25" s="568"/>
      <c r="CK25" s="568"/>
      <c r="CL25" s="568"/>
      <c r="CM25" s="568"/>
      <c r="CN25" s="568"/>
      <c r="CO25" s="568"/>
      <c r="CP25" s="568"/>
      <c r="CQ25" s="568"/>
      <c r="CR25" s="568"/>
      <c r="CS25" s="568"/>
      <c r="CT25" s="568"/>
      <c r="CU25" s="568"/>
      <c r="CV25" s="568"/>
      <c r="CW25" s="568"/>
      <c r="CX25" s="568"/>
      <c r="CY25" s="568"/>
      <c r="CZ25" s="568"/>
      <c r="DA25" s="568"/>
      <c r="DB25" s="568"/>
      <c r="DC25" s="568"/>
      <c r="DD25" s="568"/>
      <c r="DE25" s="568"/>
      <c r="DF25" s="568"/>
      <c r="DG25" s="568"/>
      <c r="DH25" s="568"/>
      <c r="DI25" s="568"/>
      <c r="DJ25" s="568"/>
      <c r="DK25" s="568"/>
      <c r="DL25" s="568"/>
      <c r="DM25" s="568"/>
      <c r="DN25" s="568"/>
      <c r="DO25" s="568"/>
      <c r="DP25" s="568"/>
      <c r="DQ25" s="568"/>
      <c r="DR25" s="568"/>
      <c r="DS25" s="568"/>
      <c r="DT25" s="568"/>
      <c r="DU25" s="568"/>
      <c r="DV25" s="568"/>
      <c r="DW25" s="568"/>
      <c r="DX25" s="568"/>
      <c r="DY25" s="568"/>
      <c r="DZ25" s="568"/>
      <c r="EA25" s="568"/>
      <c r="EB25" s="568"/>
      <c r="EC25" s="568"/>
      <c r="ED25" s="568"/>
      <c r="EE25" s="568"/>
      <c r="EF25" s="568"/>
      <c r="EG25" s="568"/>
      <c r="EH25" s="568"/>
      <c r="EI25" s="568"/>
      <c r="EJ25" s="568"/>
      <c r="EK25" s="568"/>
      <c r="EL25" s="568"/>
      <c r="EM25" s="568"/>
      <c r="EN25" s="568"/>
      <c r="EO25" s="568"/>
      <c r="EP25" s="568"/>
      <c r="EQ25" s="568"/>
      <c r="ER25" s="568"/>
      <c r="ES25" s="568"/>
      <c r="ET25" s="568"/>
      <c r="EU25" s="568"/>
      <c r="EV25" s="568"/>
      <c r="EW25" s="568"/>
      <c r="EX25" s="568"/>
      <c r="EY25" s="568"/>
      <c r="EZ25" s="568"/>
      <c r="FA25" s="568"/>
      <c r="FB25" s="568"/>
      <c r="FC25" s="568"/>
      <c r="FD25" s="568"/>
      <c r="FE25" s="568"/>
      <c r="FF25" s="568"/>
      <c r="FG25" s="568"/>
      <c r="FH25" s="568"/>
      <c r="FI25" s="568"/>
      <c r="FJ25" s="568"/>
      <c r="FK25" s="568"/>
      <c r="FL25" s="568"/>
      <c r="FM25" s="568"/>
      <c r="FN25" s="568"/>
      <c r="FO25" s="568"/>
      <c r="FP25" s="568"/>
      <c r="FQ25" s="568"/>
      <c r="FR25" s="568"/>
      <c r="FS25" s="568"/>
      <c r="FT25" s="568"/>
      <c r="FU25" s="568"/>
      <c r="FV25" s="568"/>
      <c r="FW25" s="568"/>
      <c r="FX25" s="568"/>
      <c r="FY25" s="568"/>
      <c r="FZ25" s="568"/>
      <c r="GA25" s="568"/>
      <c r="GB25" s="568"/>
      <c r="GC25" s="568"/>
      <c r="GD25" s="568"/>
      <c r="GE25" s="568"/>
      <c r="GF25" s="568"/>
      <c r="GG25" s="568"/>
      <c r="GH25" s="568"/>
      <c r="GI25" s="568"/>
      <c r="GJ25" s="568"/>
      <c r="GK25" s="568"/>
      <c r="GL25" s="568"/>
      <c r="GM25" s="568"/>
      <c r="GN25" s="568"/>
      <c r="GO25" s="568"/>
      <c r="GP25" s="568"/>
      <c r="GQ25" s="568"/>
      <c r="GR25" s="568"/>
      <c r="GS25" s="568"/>
      <c r="GT25" s="568"/>
      <c r="GU25" s="568"/>
      <c r="GV25" s="568"/>
      <c r="GW25" s="568"/>
      <c r="GX25" s="568"/>
      <c r="GY25" s="568"/>
      <c r="GZ25" s="568"/>
      <c r="HA25" s="568"/>
      <c r="HB25" s="568"/>
      <c r="HC25" s="568"/>
      <c r="HD25" s="568"/>
      <c r="HE25" s="568"/>
      <c r="HF25" s="568"/>
      <c r="HG25" s="568"/>
      <c r="HH25" s="568"/>
      <c r="HI25" s="568"/>
      <c r="HJ25" s="568"/>
      <c r="HK25" s="568"/>
      <c r="HL25" s="568"/>
      <c r="HM25" s="568"/>
      <c r="HN25" s="568"/>
      <c r="HO25" s="568"/>
      <c r="HP25" s="568"/>
      <c r="HQ25" s="568"/>
      <c r="HR25" s="568"/>
      <c r="HS25" s="568"/>
      <c r="HT25" s="568"/>
      <c r="HU25" s="568"/>
      <c r="HV25" s="568"/>
      <c r="HW25" s="568"/>
      <c r="HX25" s="568"/>
      <c r="HY25" s="568"/>
      <c r="HZ25" s="568"/>
      <c r="IA25" s="568"/>
      <c r="IB25" s="568"/>
      <c r="IC25" s="568"/>
      <c r="ID25" s="568"/>
      <c r="IE25" s="568"/>
      <c r="IF25" s="568"/>
      <c r="IG25" s="568"/>
      <c r="IH25" s="568"/>
      <c r="II25" s="568"/>
      <c r="IJ25" s="568"/>
      <c r="IK25" s="568"/>
      <c r="IL25" s="568"/>
      <c r="IM25" s="568"/>
      <c r="IN25" s="568"/>
      <c r="IO25" s="568"/>
      <c r="IP25" s="568"/>
      <c r="IQ25" s="568"/>
      <c r="IR25" s="568"/>
      <c r="IS25" s="568"/>
      <c r="IT25" s="568"/>
      <c r="IU25" s="568"/>
    </row>
    <row r="26" spans="1:255" s="689" customFormat="1" ht="18" customHeight="1">
      <c r="A26" s="685" t="s">
        <v>1366</v>
      </c>
      <c r="B26" s="686"/>
      <c r="C26" s="1144">
        <v>820.50660357000004</v>
      </c>
      <c r="D26" s="1144">
        <v>118.40752372</v>
      </c>
      <c r="E26" s="1144">
        <v>289.46629428</v>
      </c>
      <c r="F26" s="1144">
        <v>316.83961893999998</v>
      </c>
      <c r="G26" s="1144">
        <v>200.59245367</v>
      </c>
      <c r="H26" s="1144">
        <v>68.332878370000003</v>
      </c>
      <c r="I26" s="1144">
        <v>71.091041050000001</v>
      </c>
      <c r="J26" s="1144">
        <v>69.141399519999993</v>
      </c>
      <c r="K26" s="1144">
        <v>0</v>
      </c>
      <c r="L26" s="1144">
        <v>0</v>
      </c>
      <c r="M26" s="686">
        <v>0</v>
      </c>
      <c r="N26" s="686">
        <v>0</v>
      </c>
      <c r="O26"/>
      <c r="P26" s="832" t="s">
        <v>1625</v>
      </c>
      <c r="Q26" s="686"/>
      <c r="R26" s="686"/>
      <c r="S26" s="686"/>
      <c r="T26" s="686"/>
      <c r="U26" s="686"/>
      <c r="V26" s="686"/>
      <c r="W26" s="686"/>
      <c r="X26" s="686"/>
      <c r="Y26" s="686"/>
      <c r="Z26" s="686"/>
      <c r="AA26" s="686"/>
      <c r="AB26" s="686"/>
      <c r="AC26" s="686"/>
      <c r="AD26" s="686"/>
      <c r="AE26" s="686"/>
      <c r="AF26" s="686"/>
      <c r="AG26" s="686"/>
      <c r="AH26" s="687"/>
      <c r="AI26" s="687"/>
      <c r="AJ26" s="687"/>
      <c r="AK26" s="687"/>
      <c r="AL26" s="687"/>
      <c r="AM26" s="687"/>
      <c r="AN26" s="687"/>
      <c r="AO26" s="687"/>
      <c r="AP26" s="687"/>
      <c r="AQ26" s="687"/>
      <c r="AR26" s="687"/>
      <c r="AS26" s="687"/>
      <c r="AT26" s="687"/>
      <c r="AU26" s="687"/>
      <c r="AV26" s="687"/>
      <c r="AW26" s="687"/>
      <c r="AX26" s="687"/>
      <c r="AY26" s="687"/>
      <c r="AZ26" s="687"/>
      <c r="BA26" s="687"/>
      <c r="BB26" s="687"/>
      <c r="BC26" s="687"/>
      <c r="BD26" s="688"/>
      <c r="BE26" s="688"/>
      <c r="BF26" s="688"/>
      <c r="BG26" s="688"/>
      <c r="BH26" s="688"/>
      <c r="BI26" s="688"/>
      <c r="BJ26" s="688"/>
      <c r="BK26" s="688"/>
      <c r="BL26" s="688"/>
      <c r="BM26" s="688"/>
      <c r="BN26" s="688"/>
      <c r="BO26" s="688"/>
      <c r="BP26" s="688"/>
      <c r="BQ26" s="688"/>
      <c r="BR26" s="688"/>
      <c r="BS26" s="688"/>
      <c r="BT26" s="688"/>
      <c r="BU26" s="688"/>
      <c r="BV26" s="688"/>
      <c r="BW26" s="688"/>
      <c r="BX26" s="688"/>
      <c r="BY26" s="688"/>
      <c r="BZ26" s="688"/>
      <c r="CA26" s="688"/>
      <c r="CB26" s="688"/>
      <c r="CC26" s="688"/>
      <c r="CD26" s="688"/>
      <c r="CE26" s="688"/>
      <c r="CF26" s="688"/>
      <c r="CG26" s="688"/>
      <c r="CH26" s="688"/>
      <c r="CI26" s="688"/>
      <c r="CJ26" s="688"/>
      <c r="CK26" s="688"/>
      <c r="CL26" s="688"/>
      <c r="CM26" s="688"/>
      <c r="CN26" s="688"/>
      <c r="CO26" s="688"/>
      <c r="CP26" s="688"/>
      <c r="CQ26" s="688"/>
      <c r="CR26" s="688"/>
      <c r="CS26" s="688"/>
      <c r="CT26" s="688"/>
      <c r="CU26" s="688"/>
      <c r="CV26" s="688"/>
      <c r="CW26" s="688"/>
      <c r="CX26" s="688"/>
      <c r="CY26" s="688"/>
      <c r="CZ26" s="688"/>
      <c r="DA26" s="688"/>
      <c r="DB26" s="688"/>
      <c r="DC26" s="688"/>
      <c r="DD26" s="688"/>
      <c r="DE26" s="688"/>
      <c r="DF26" s="688"/>
      <c r="DG26" s="688"/>
      <c r="DH26" s="688"/>
      <c r="DI26" s="688"/>
      <c r="DJ26" s="688"/>
      <c r="DK26" s="688"/>
      <c r="DL26" s="688"/>
      <c r="DM26" s="688"/>
      <c r="DN26" s="688"/>
      <c r="DO26" s="688"/>
      <c r="DP26" s="688"/>
      <c r="DQ26" s="688"/>
      <c r="DR26" s="688"/>
      <c r="DS26" s="688"/>
      <c r="DT26" s="688"/>
      <c r="DU26" s="688"/>
      <c r="DV26" s="688"/>
      <c r="DW26" s="688"/>
      <c r="DX26" s="688"/>
      <c r="DY26" s="688"/>
      <c r="DZ26" s="688"/>
      <c r="EA26" s="688"/>
      <c r="EB26" s="688"/>
      <c r="EC26" s="688"/>
      <c r="ED26" s="688"/>
      <c r="EE26" s="688"/>
      <c r="EF26" s="688"/>
      <c r="EG26" s="688"/>
      <c r="EH26" s="688"/>
      <c r="EI26" s="688"/>
      <c r="EJ26" s="688"/>
      <c r="EK26" s="688"/>
      <c r="EL26" s="688"/>
      <c r="EM26" s="688"/>
      <c r="EN26" s="688"/>
      <c r="EO26" s="688"/>
      <c r="EP26" s="688"/>
      <c r="EQ26" s="688"/>
      <c r="ER26" s="688"/>
      <c r="ES26" s="688"/>
      <c r="ET26" s="688"/>
      <c r="EU26" s="688"/>
      <c r="EV26" s="688"/>
      <c r="EW26" s="688"/>
      <c r="EX26" s="688"/>
      <c r="EY26" s="688"/>
      <c r="EZ26" s="688"/>
      <c r="FA26" s="688"/>
      <c r="FB26" s="688"/>
      <c r="FC26" s="688"/>
      <c r="FD26" s="688"/>
      <c r="FE26" s="688"/>
      <c r="FF26" s="688"/>
      <c r="FG26" s="688"/>
      <c r="FH26" s="688"/>
      <c r="FI26" s="688"/>
      <c r="FJ26" s="688"/>
      <c r="FK26" s="688"/>
      <c r="FL26" s="688"/>
      <c r="FM26" s="688"/>
      <c r="FN26" s="688"/>
      <c r="FO26" s="688"/>
      <c r="FP26" s="688"/>
      <c r="FQ26" s="688"/>
      <c r="FR26" s="688"/>
      <c r="FS26" s="688"/>
      <c r="FT26" s="688"/>
      <c r="FU26" s="688"/>
      <c r="FV26" s="688"/>
      <c r="FW26" s="688"/>
      <c r="FX26" s="688"/>
      <c r="FY26" s="688"/>
      <c r="FZ26" s="688"/>
      <c r="GA26" s="688"/>
      <c r="GB26" s="688"/>
      <c r="GC26" s="688"/>
      <c r="GD26" s="688"/>
      <c r="GE26" s="688"/>
      <c r="GF26" s="688"/>
      <c r="GG26" s="688"/>
      <c r="GH26" s="688"/>
      <c r="GI26" s="688"/>
      <c r="GJ26" s="688"/>
      <c r="GK26" s="688"/>
      <c r="GL26" s="688"/>
      <c r="GM26" s="688"/>
      <c r="GN26" s="688"/>
      <c r="GO26" s="688"/>
      <c r="GP26" s="688"/>
      <c r="GQ26" s="688"/>
      <c r="GR26" s="688"/>
      <c r="GS26" s="688"/>
      <c r="GT26" s="688"/>
      <c r="GU26" s="688"/>
      <c r="GV26" s="688"/>
      <c r="GW26" s="688"/>
      <c r="GX26" s="688"/>
      <c r="GY26" s="688"/>
      <c r="GZ26" s="688"/>
      <c r="HA26" s="688"/>
      <c r="HB26" s="688"/>
      <c r="HC26" s="688"/>
      <c r="HD26" s="688"/>
      <c r="HE26" s="688"/>
      <c r="HF26" s="688"/>
      <c r="HG26" s="688"/>
      <c r="HH26" s="688"/>
      <c r="HI26" s="688"/>
      <c r="HJ26" s="688"/>
      <c r="HK26" s="688"/>
      <c r="HL26" s="688"/>
      <c r="HM26" s="688"/>
      <c r="HN26" s="688"/>
      <c r="HO26" s="688"/>
      <c r="HP26" s="688"/>
      <c r="HQ26" s="688"/>
      <c r="HR26" s="688"/>
      <c r="HS26" s="688"/>
      <c r="HT26" s="688"/>
      <c r="HU26" s="688"/>
      <c r="HV26" s="688"/>
      <c r="HW26" s="688"/>
      <c r="HX26" s="688"/>
      <c r="HY26" s="688"/>
      <c r="HZ26" s="688"/>
      <c r="IA26" s="688"/>
      <c r="IB26" s="688"/>
      <c r="IC26" s="688"/>
      <c r="ID26" s="688"/>
      <c r="IE26" s="688"/>
      <c r="IF26" s="688"/>
      <c r="IG26" s="688"/>
      <c r="IH26" s="688"/>
      <c r="II26" s="688"/>
      <c r="IJ26" s="688"/>
      <c r="IK26" s="688"/>
      <c r="IL26" s="688"/>
      <c r="IM26" s="688"/>
      <c r="IN26" s="688"/>
      <c r="IO26" s="688"/>
      <c r="IP26" s="688"/>
      <c r="IQ26" s="688"/>
      <c r="IR26" s="688"/>
      <c r="IS26" s="688"/>
      <c r="IT26" s="688"/>
      <c r="IU26" s="688"/>
    </row>
    <row r="27" spans="1:255" ht="18" customHeight="1">
      <c r="A27" s="566" t="s">
        <v>651</v>
      </c>
      <c r="B27" s="561"/>
      <c r="C27" s="1142">
        <v>147.88746504</v>
      </c>
      <c r="D27" s="1142">
        <v>19.358536520000001</v>
      </c>
      <c r="E27" s="1142">
        <v>44.961313579999995</v>
      </c>
      <c r="F27" s="1142">
        <v>48.760545880000002</v>
      </c>
      <c r="G27" s="1142">
        <v>22.677695249999999</v>
      </c>
      <c r="H27" s="1142">
        <v>10.489646619999998</v>
      </c>
      <c r="I27" s="1142">
        <v>10.89336774</v>
      </c>
      <c r="J27" s="1142">
        <v>-10.63401985</v>
      </c>
      <c r="K27" s="1142">
        <v>0</v>
      </c>
      <c r="L27" s="1142">
        <v>0</v>
      </c>
      <c r="M27" s="561">
        <v>0</v>
      </c>
      <c r="N27" s="561">
        <v>0</v>
      </c>
      <c r="O27"/>
      <c r="P27" s="832" t="s">
        <v>1626</v>
      </c>
      <c r="Q27" s="561"/>
      <c r="R27" s="561"/>
      <c r="S27" s="561"/>
      <c r="T27" s="561"/>
      <c r="U27" s="561"/>
      <c r="V27" s="561"/>
      <c r="W27" s="561"/>
      <c r="X27" s="561"/>
      <c r="Y27" s="561"/>
      <c r="Z27" s="561"/>
      <c r="AA27" s="561"/>
      <c r="AB27" s="561"/>
      <c r="AC27" s="561"/>
      <c r="AD27" s="561"/>
      <c r="AE27" s="561"/>
      <c r="AF27" s="561"/>
      <c r="AG27" s="561"/>
      <c r="AH27" s="567"/>
      <c r="AI27" s="567"/>
      <c r="AJ27" s="567"/>
      <c r="AK27" s="567"/>
      <c r="AL27" s="567"/>
      <c r="AM27" s="567"/>
      <c r="AN27" s="567"/>
      <c r="AO27" s="567"/>
      <c r="AP27" s="567"/>
      <c r="AQ27" s="567"/>
      <c r="AR27" s="567"/>
      <c r="AS27" s="567"/>
      <c r="AT27" s="567"/>
      <c r="AU27" s="567"/>
      <c r="AV27" s="567"/>
      <c r="AW27" s="567"/>
      <c r="AX27" s="567"/>
      <c r="AY27" s="567"/>
      <c r="AZ27" s="567"/>
      <c r="BA27" s="567"/>
      <c r="BB27" s="567"/>
      <c r="BC27" s="567"/>
      <c r="BD27" s="568"/>
      <c r="BE27" s="568"/>
      <c r="BF27" s="568"/>
      <c r="BG27" s="568"/>
      <c r="BH27" s="568"/>
      <c r="BI27" s="568"/>
      <c r="BJ27" s="568"/>
      <c r="BK27" s="568"/>
      <c r="BL27" s="568"/>
      <c r="BM27" s="568"/>
      <c r="BN27" s="568"/>
      <c r="BO27" s="568"/>
      <c r="BP27" s="568"/>
      <c r="BQ27" s="568"/>
      <c r="BR27" s="568"/>
      <c r="BS27" s="568"/>
      <c r="BT27" s="568"/>
      <c r="BU27" s="568"/>
      <c r="BV27" s="568"/>
      <c r="BW27" s="568"/>
      <c r="BX27" s="568"/>
      <c r="BY27" s="568"/>
      <c r="BZ27" s="568"/>
      <c r="CA27" s="568"/>
      <c r="CB27" s="568"/>
      <c r="CC27" s="568"/>
      <c r="CD27" s="568"/>
      <c r="CE27" s="568"/>
      <c r="CF27" s="568"/>
      <c r="CG27" s="568"/>
      <c r="CH27" s="568"/>
      <c r="CI27" s="568"/>
      <c r="CJ27" s="568"/>
      <c r="CK27" s="568"/>
      <c r="CL27" s="568"/>
      <c r="CM27" s="568"/>
      <c r="CN27" s="568"/>
      <c r="CO27" s="568"/>
      <c r="CP27" s="568"/>
      <c r="CQ27" s="568"/>
      <c r="CR27" s="568"/>
      <c r="CS27" s="568"/>
      <c r="CT27" s="568"/>
      <c r="CU27" s="568"/>
      <c r="CV27" s="568"/>
      <c r="CW27" s="568"/>
      <c r="CX27" s="568"/>
      <c r="CY27" s="568"/>
      <c r="CZ27" s="568"/>
      <c r="DA27" s="568"/>
      <c r="DB27" s="568"/>
      <c r="DC27" s="568"/>
      <c r="DD27" s="568"/>
      <c r="DE27" s="568"/>
      <c r="DF27" s="568"/>
      <c r="DG27" s="568"/>
      <c r="DH27" s="568"/>
      <c r="DI27" s="568"/>
      <c r="DJ27" s="568"/>
      <c r="DK27" s="568"/>
      <c r="DL27" s="568"/>
      <c r="DM27" s="568"/>
      <c r="DN27" s="568"/>
      <c r="DO27" s="568"/>
      <c r="DP27" s="568"/>
      <c r="DQ27" s="568"/>
      <c r="DR27" s="568"/>
      <c r="DS27" s="568"/>
      <c r="DT27" s="568"/>
      <c r="DU27" s="568"/>
      <c r="DV27" s="568"/>
      <c r="DW27" s="568"/>
      <c r="DX27" s="568"/>
      <c r="DY27" s="568"/>
      <c r="DZ27" s="568"/>
      <c r="EA27" s="568"/>
      <c r="EB27" s="568"/>
      <c r="EC27" s="568"/>
      <c r="ED27" s="568"/>
      <c r="EE27" s="568"/>
      <c r="EF27" s="568"/>
      <c r="EG27" s="568"/>
      <c r="EH27" s="568"/>
      <c r="EI27" s="568"/>
      <c r="EJ27" s="568"/>
      <c r="EK27" s="568"/>
      <c r="EL27" s="568"/>
      <c r="EM27" s="568"/>
      <c r="EN27" s="568"/>
      <c r="EO27" s="568"/>
      <c r="EP27" s="568"/>
      <c r="EQ27" s="568"/>
      <c r="ER27" s="568"/>
      <c r="ES27" s="568"/>
      <c r="ET27" s="568"/>
      <c r="EU27" s="568"/>
      <c r="EV27" s="568"/>
      <c r="EW27" s="568"/>
      <c r="EX27" s="568"/>
      <c r="EY27" s="568"/>
      <c r="EZ27" s="568"/>
      <c r="FA27" s="568"/>
      <c r="FB27" s="568"/>
      <c r="FC27" s="568"/>
      <c r="FD27" s="568"/>
      <c r="FE27" s="568"/>
      <c r="FF27" s="568"/>
      <c r="FG27" s="568"/>
      <c r="FH27" s="568"/>
      <c r="FI27" s="568"/>
      <c r="FJ27" s="568"/>
      <c r="FK27" s="568"/>
      <c r="FL27" s="568"/>
      <c r="FM27" s="568"/>
      <c r="FN27" s="568"/>
      <c r="FO27" s="568"/>
      <c r="FP27" s="568"/>
      <c r="FQ27" s="568"/>
      <c r="FR27" s="568"/>
      <c r="FS27" s="568"/>
      <c r="FT27" s="568"/>
      <c r="FU27" s="568"/>
      <c r="FV27" s="568"/>
      <c r="FW27" s="568"/>
      <c r="FX27" s="568"/>
      <c r="FY27" s="568"/>
      <c r="FZ27" s="568"/>
      <c r="GA27" s="568"/>
      <c r="GB27" s="568"/>
      <c r="GC27" s="568"/>
      <c r="GD27" s="568"/>
      <c r="GE27" s="568"/>
      <c r="GF27" s="568"/>
      <c r="GG27" s="568"/>
      <c r="GH27" s="568"/>
      <c r="GI27" s="568"/>
      <c r="GJ27" s="568"/>
      <c r="GK27" s="568"/>
      <c r="GL27" s="568"/>
      <c r="GM27" s="568"/>
      <c r="GN27" s="568"/>
      <c r="GO27" s="568"/>
      <c r="GP27" s="568"/>
      <c r="GQ27" s="568"/>
      <c r="GR27" s="568"/>
      <c r="GS27" s="568"/>
      <c r="GT27" s="568"/>
      <c r="GU27" s="568"/>
      <c r="GV27" s="568"/>
      <c r="GW27" s="568"/>
      <c r="GX27" s="568"/>
      <c r="GY27" s="568"/>
      <c r="GZ27" s="568"/>
      <c r="HA27" s="568"/>
      <c r="HB27" s="568"/>
      <c r="HC27" s="568"/>
      <c r="HD27" s="568"/>
      <c r="HE27" s="568"/>
      <c r="HF27" s="568"/>
      <c r="HG27" s="568"/>
      <c r="HH27" s="568"/>
      <c r="HI27" s="568"/>
      <c r="HJ27" s="568"/>
      <c r="HK27" s="568"/>
      <c r="HL27" s="568"/>
      <c r="HM27" s="568"/>
      <c r="HN27" s="568"/>
      <c r="HO27" s="568"/>
      <c r="HP27" s="568"/>
      <c r="HQ27" s="568"/>
      <c r="HR27" s="568"/>
      <c r="HS27" s="568"/>
      <c r="HT27" s="568"/>
      <c r="HU27" s="568"/>
      <c r="HV27" s="568"/>
      <c r="HW27" s="568"/>
      <c r="HX27" s="568"/>
      <c r="HY27" s="568"/>
      <c r="HZ27" s="568"/>
      <c r="IA27" s="568"/>
      <c r="IB27" s="568"/>
      <c r="IC27" s="568"/>
      <c r="ID27" s="568"/>
      <c r="IE27" s="568"/>
      <c r="IF27" s="568"/>
      <c r="IG27" s="568"/>
      <c r="IH27" s="568"/>
      <c r="II27" s="568"/>
      <c r="IJ27" s="568"/>
      <c r="IK27" s="568"/>
      <c r="IL27" s="568"/>
      <c r="IM27" s="568"/>
      <c r="IN27" s="568"/>
      <c r="IO27" s="568"/>
      <c r="IP27" s="568"/>
      <c r="IQ27" s="568"/>
      <c r="IR27" s="568"/>
      <c r="IS27" s="568"/>
      <c r="IT27" s="568"/>
      <c r="IU27" s="568"/>
    </row>
    <row r="28" spans="1:255" ht="18" customHeight="1">
      <c r="A28" s="570" t="s">
        <v>922</v>
      </c>
      <c r="B28" s="560"/>
      <c r="C28" s="1142"/>
      <c r="D28" s="1142"/>
      <c r="E28" s="1142"/>
      <c r="F28" s="1142"/>
      <c r="G28" s="1142"/>
      <c r="H28" s="1142"/>
      <c r="I28" s="1142"/>
      <c r="J28" s="1143"/>
      <c r="K28" s="1143"/>
      <c r="L28" s="1143"/>
      <c r="M28" s="562"/>
      <c r="N28" s="562"/>
      <c r="O28"/>
      <c r="P28" s="832"/>
      <c r="Q28" s="562"/>
      <c r="R28" s="562"/>
      <c r="S28" s="562"/>
      <c r="T28" s="561"/>
      <c r="U28" s="562"/>
      <c r="V28" s="562"/>
      <c r="W28" s="562"/>
      <c r="X28" s="562"/>
      <c r="Y28" s="562"/>
      <c r="Z28" s="562"/>
      <c r="AA28" s="562"/>
      <c r="AB28" s="562"/>
      <c r="AC28" s="562"/>
      <c r="AD28" s="562"/>
      <c r="AE28" s="562"/>
      <c r="AF28" s="562"/>
      <c r="AG28" s="562"/>
      <c r="AH28" s="563"/>
      <c r="AI28" s="563"/>
      <c r="AJ28" s="563"/>
      <c r="AK28" s="563"/>
      <c r="AL28" s="563"/>
      <c r="AM28" s="563"/>
      <c r="AN28" s="563"/>
      <c r="AO28" s="563"/>
      <c r="AP28" s="563"/>
      <c r="AQ28" s="563"/>
      <c r="AR28" s="563"/>
      <c r="AS28" s="563"/>
      <c r="AT28" s="563"/>
      <c r="AU28" s="563"/>
      <c r="AV28" s="563"/>
      <c r="AW28" s="563"/>
      <c r="AX28" s="563"/>
      <c r="AY28" s="563"/>
      <c r="AZ28" s="563"/>
      <c r="BA28" s="563"/>
      <c r="BB28" s="563"/>
      <c r="BC28" s="563"/>
      <c r="BD28" s="564"/>
      <c r="BE28" s="564"/>
      <c r="BF28" s="564"/>
      <c r="BG28" s="564"/>
      <c r="BH28" s="564"/>
      <c r="BI28" s="564"/>
      <c r="BJ28" s="564"/>
      <c r="BK28" s="564"/>
      <c r="BL28" s="564"/>
      <c r="BM28" s="564"/>
      <c r="BN28" s="564"/>
      <c r="BO28" s="564"/>
      <c r="BP28" s="564"/>
      <c r="BQ28" s="564"/>
      <c r="BR28" s="564"/>
      <c r="BS28" s="564"/>
      <c r="BT28" s="564"/>
      <c r="BU28" s="564"/>
      <c r="BV28" s="564"/>
      <c r="BW28" s="564"/>
      <c r="BX28" s="564"/>
    </row>
    <row r="29" spans="1:255" s="688" customFormat="1" ht="18" customHeight="1">
      <c r="A29" s="685" t="s">
        <v>1368</v>
      </c>
      <c r="B29" s="686"/>
      <c r="C29" s="1144">
        <v>672.61913852999999</v>
      </c>
      <c r="D29" s="1144">
        <v>99.048987199999999</v>
      </c>
      <c r="E29" s="1144">
        <v>244.50498069999998</v>
      </c>
      <c r="F29" s="1144">
        <v>268.07907305999998</v>
      </c>
      <c r="G29" s="1144">
        <v>177.91475842</v>
      </c>
      <c r="H29" s="1144">
        <v>57.843231750000001</v>
      </c>
      <c r="I29" s="1144">
        <v>60.197673309999999</v>
      </c>
      <c r="J29" s="1144">
        <v>79.775419370000009</v>
      </c>
      <c r="K29" s="1144">
        <v>0</v>
      </c>
      <c r="L29" s="1144">
        <v>0</v>
      </c>
      <c r="M29" s="686">
        <v>0</v>
      </c>
      <c r="N29" s="686">
        <v>0</v>
      </c>
      <c r="O29"/>
      <c r="P29" s="832" t="s">
        <v>1627</v>
      </c>
      <c r="Q29" s="686"/>
      <c r="R29" s="686"/>
      <c r="S29" s="686"/>
      <c r="T29" s="686"/>
      <c r="U29" s="686"/>
      <c r="V29" s="686"/>
      <c r="W29" s="686"/>
      <c r="X29" s="686"/>
      <c r="Y29" s="686"/>
      <c r="Z29" s="686"/>
      <c r="AA29" s="686"/>
      <c r="AB29" s="686"/>
      <c r="AC29" s="686"/>
      <c r="AD29" s="686"/>
      <c r="AE29" s="686"/>
      <c r="AF29" s="686"/>
      <c r="AG29" s="686"/>
      <c r="AH29" s="687"/>
      <c r="AI29" s="687"/>
      <c r="AJ29" s="687"/>
      <c r="AK29" s="687"/>
      <c r="AL29" s="687"/>
      <c r="AM29" s="687"/>
      <c r="AN29" s="687"/>
      <c r="AO29" s="687"/>
      <c r="AP29" s="687"/>
      <c r="AQ29" s="687"/>
      <c r="AR29" s="687"/>
      <c r="AS29" s="687"/>
      <c r="AT29" s="687"/>
      <c r="AU29" s="687"/>
      <c r="AV29" s="687"/>
      <c r="AW29" s="687"/>
      <c r="AX29" s="687"/>
      <c r="AY29" s="687"/>
      <c r="AZ29" s="687"/>
      <c r="BA29" s="687"/>
      <c r="BB29" s="687"/>
      <c r="BC29" s="687"/>
    </row>
    <row r="30" spans="1:255" ht="18" customHeight="1">
      <c r="A30" s="566" t="s">
        <v>652</v>
      </c>
      <c r="B30" s="561"/>
      <c r="C30" s="1142">
        <v>0</v>
      </c>
      <c r="D30" s="1142">
        <v>0</v>
      </c>
      <c r="E30" s="1142">
        <v>6.09087E-3</v>
      </c>
      <c r="F30" s="1142">
        <v>-0.16462739000000001</v>
      </c>
      <c r="G30" s="1142">
        <v>-0.27017777000000004</v>
      </c>
      <c r="H30" s="1142">
        <v>-0.23226943999999999</v>
      </c>
      <c r="I30" s="1142">
        <v>-0.40640386000000001</v>
      </c>
      <c r="J30" s="1142">
        <v>-2.2087360400000002</v>
      </c>
      <c r="K30" s="1142">
        <v>0</v>
      </c>
      <c r="L30" s="1142">
        <v>0</v>
      </c>
      <c r="M30" s="561">
        <v>0</v>
      </c>
      <c r="N30" s="561">
        <v>0</v>
      </c>
      <c r="O30"/>
      <c r="P30" s="832" t="s">
        <v>1628</v>
      </c>
      <c r="Q30" s="561"/>
      <c r="R30" s="561"/>
      <c r="S30" s="561"/>
      <c r="T30" s="561"/>
      <c r="U30" s="561"/>
      <c r="V30" s="561"/>
      <c r="W30" s="561"/>
      <c r="X30" s="561"/>
      <c r="Y30" s="561"/>
      <c r="Z30" s="561"/>
      <c r="AA30" s="561"/>
      <c r="AB30" s="561"/>
      <c r="AC30" s="561"/>
      <c r="AD30" s="561"/>
      <c r="AE30" s="561"/>
      <c r="AF30" s="561"/>
      <c r="AG30" s="561"/>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8"/>
      <c r="BE30" s="568"/>
      <c r="BF30" s="568"/>
      <c r="BG30" s="568"/>
      <c r="BH30" s="568"/>
      <c r="BI30" s="568"/>
      <c r="BJ30" s="568"/>
      <c r="BK30" s="568"/>
      <c r="BL30" s="568"/>
      <c r="BM30" s="568"/>
      <c r="BN30" s="568"/>
      <c r="BO30" s="568"/>
      <c r="BP30" s="568"/>
      <c r="BQ30" s="568"/>
      <c r="BR30" s="568"/>
      <c r="BS30" s="568"/>
      <c r="BT30" s="568"/>
      <c r="BU30" s="568"/>
      <c r="BV30" s="568"/>
      <c r="BW30" s="568"/>
      <c r="BX30" s="568"/>
      <c r="BY30" s="568"/>
      <c r="BZ30" s="568"/>
      <c r="CA30" s="568"/>
      <c r="CB30" s="568"/>
      <c r="CC30" s="568"/>
      <c r="CD30" s="568"/>
      <c r="CE30" s="568"/>
      <c r="CF30" s="568"/>
      <c r="CG30" s="568"/>
      <c r="CH30" s="568"/>
      <c r="CI30" s="568"/>
      <c r="CJ30" s="568"/>
      <c r="CK30" s="568"/>
      <c r="CL30" s="568"/>
      <c r="CM30" s="568"/>
      <c r="CN30" s="568"/>
      <c r="CO30" s="568"/>
      <c r="CP30" s="568"/>
      <c r="CQ30" s="568"/>
      <c r="CR30" s="568"/>
      <c r="CS30" s="568"/>
      <c r="CT30" s="568"/>
      <c r="CU30" s="568"/>
      <c r="CV30" s="568"/>
      <c r="CW30" s="568"/>
      <c r="CX30" s="568"/>
      <c r="CY30" s="568"/>
      <c r="CZ30" s="568"/>
      <c r="DA30" s="568"/>
      <c r="DB30" s="568"/>
      <c r="DC30" s="568"/>
      <c r="DD30" s="568"/>
      <c r="DE30" s="568"/>
      <c r="DF30" s="568"/>
      <c r="DG30" s="568"/>
      <c r="DH30" s="568"/>
      <c r="DI30" s="568"/>
      <c r="DJ30" s="568"/>
      <c r="DK30" s="568"/>
      <c r="DL30" s="568"/>
      <c r="DM30" s="568"/>
      <c r="DN30" s="568"/>
      <c r="DO30" s="568"/>
      <c r="DP30" s="568"/>
      <c r="DQ30" s="568"/>
      <c r="DR30" s="568"/>
      <c r="DS30" s="568"/>
      <c r="DT30" s="568"/>
      <c r="DU30" s="568"/>
      <c r="DV30" s="568"/>
      <c r="DW30" s="568"/>
      <c r="DX30" s="568"/>
      <c r="DY30" s="568"/>
      <c r="DZ30" s="568"/>
      <c r="EA30" s="568"/>
      <c r="EB30" s="568"/>
      <c r="EC30" s="568"/>
      <c r="ED30" s="568"/>
      <c r="EE30" s="568"/>
      <c r="EF30" s="568"/>
      <c r="EG30" s="568"/>
      <c r="EH30" s="568"/>
      <c r="EI30" s="568"/>
      <c r="EJ30" s="568"/>
      <c r="EK30" s="568"/>
      <c r="EL30" s="568"/>
      <c r="EM30" s="568"/>
      <c r="EN30" s="568"/>
      <c r="EO30" s="568"/>
      <c r="EP30" s="568"/>
      <c r="EQ30" s="568"/>
      <c r="ER30" s="568"/>
      <c r="ES30" s="568"/>
      <c r="ET30" s="568"/>
      <c r="EU30" s="568"/>
      <c r="EV30" s="568"/>
      <c r="EW30" s="568"/>
      <c r="EX30" s="568"/>
      <c r="EY30" s="568"/>
      <c r="EZ30" s="568"/>
      <c r="FA30" s="568"/>
      <c r="FB30" s="568"/>
      <c r="FC30" s="568"/>
      <c r="FD30" s="568"/>
      <c r="FE30" s="568"/>
      <c r="FF30" s="568"/>
      <c r="FG30" s="568"/>
      <c r="FH30" s="568"/>
      <c r="FI30" s="568"/>
      <c r="FJ30" s="568"/>
      <c r="FK30" s="568"/>
      <c r="FL30" s="568"/>
      <c r="FM30" s="568"/>
      <c r="FN30" s="568"/>
      <c r="FO30" s="568"/>
      <c r="FP30" s="568"/>
      <c r="FQ30" s="568"/>
      <c r="FR30" s="568"/>
      <c r="FS30" s="568"/>
      <c r="FT30" s="568"/>
      <c r="FU30" s="568"/>
      <c r="FV30" s="568"/>
      <c r="FW30" s="568"/>
      <c r="FX30" s="568"/>
      <c r="FY30" s="568"/>
      <c r="FZ30" s="568"/>
      <c r="GA30" s="568"/>
      <c r="GB30" s="568"/>
      <c r="GC30" s="568"/>
      <c r="GD30" s="568"/>
      <c r="GE30" s="568"/>
      <c r="GF30" s="568"/>
      <c r="GG30" s="568"/>
      <c r="GH30" s="568"/>
      <c r="GI30" s="568"/>
      <c r="GJ30" s="568"/>
      <c r="GK30" s="568"/>
      <c r="GL30" s="568"/>
      <c r="GM30" s="568"/>
      <c r="GN30" s="568"/>
      <c r="GO30" s="568"/>
      <c r="GP30" s="568"/>
      <c r="GQ30" s="568"/>
      <c r="GR30" s="568"/>
      <c r="GS30" s="568"/>
      <c r="GT30" s="568"/>
      <c r="GU30" s="568"/>
      <c r="GV30" s="568"/>
      <c r="GW30" s="568"/>
      <c r="GX30" s="568"/>
      <c r="GY30" s="568"/>
      <c r="GZ30" s="568"/>
      <c r="HA30" s="568"/>
      <c r="HB30" s="568"/>
      <c r="HC30" s="568"/>
      <c r="HD30" s="568"/>
      <c r="HE30" s="568"/>
      <c r="HF30" s="568"/>
      <c r="HG30" s="568"/>
      <c r="HH30" s="568"/>
      <c r="HI30" s="568"/>
      <c r="HJ30" s="568"/>
      <c r="HK30" s="568"/>
      <c r="HL30" s="568"/>
      <c r="HM30" s="568"/>
      <c r="HN30" s="568"/>
      <c r="HO30" s="568"/>
      <c r="HP30" s="568"/>
      <c r="HQ30" s="568"/>
      <c r="HR30" s="568"/>
      <c r="HS30" s="568"/>
      <c r="HT30" s="568"/>
      <c r="HU30" s="568"/>
      <c r="HV30" s="568"/>
      <c r="HW30" s="568"/>
      <c r="HX30" s="568"/>
      <c r="HY30" s="568"/>
      <c r="HZ30" s="568"/>
      <c r="IA30" s="568"/>
      <c r="IB30" s="568"/>
      <c r="IC30" s="568"/>
      <c r="ID30" s="568"/>
      <c r="IE30" s="568"/>
      <c r="IF30" s="568"/>
      <c r="IG30" s="568"/>
      <c r="IH30" s="568"/>
      <c r="II30" s="568"/>
      <c r="IJ30" s="568"/>
      <c r="IK30" s="568"/>
      <c r="IL30" s="568"/>
      <c r="IM30" s="568"/>
      <c r="IN30" s="568"/>
      <c r="IO30" s="568"/>
      <c r="IP30" s="568"/>
      <c r="IQ30" s="568"/>
      <c r="IR30" s="568"/>
      <c r="IS30" s="568"/>
      <c r="IT30" s="568"/>
      <c r="IU30" s="568"/>
    </row>
    <row r="31" spans="1:255" s="689" customFormat="1" ht="18" customHeight="1">
      <c r="A31" s="685" t="s">
        <v>1367</v>
      </c>
      <c r="B31" s="686"/>
      <c r="C31" s="1144">
        <v>672.61913852999999</v>
      </c>
      <c r="D31" s="1144">
        <v>99.048987199999999</v>
      </c>
      <c r="E31" s="1144">
        <v>244.49888983000002</v>
      </c>
      <c r="F31" s="1144">
        <v>268.24370045000001</v>
      </c>
      <c r="G31" s="1144">
        <v>178.18493619</v>
      </c>
      <c r="H31" s="1144">
        <v>58.075501189999997</v>
      </c>
      <c r="I31" s="1144">
        <v>60.604077170000004</v>
      </c>
      <c r="J31" s="1145">
        <v>81.98415541</v>
      </c>
      <c r="K31" s="1145">
        <v>0</v>
      </c>
      <c r="L31" s="1145">
        <v>0</v>
      </c>
      <c r="M31" s="690">
        <v>0</v>
      </c>
      <c r="N31" s="690">
        <v>0</v>
      </c>
      <c r="O31"/>
      <c r="P31" s="832" t="s">
        <v>1629</v>
      </c>
      <c r="Q31" s="690"/>
      <c r="R31" s="690"/>
      <c r="S31" s="690"/>
      <c r="T31" s="686"/>
      <c r="U31" s="690"/>
      <c r="V31" s="690"/>
      <c r="W31" s="690"/>
      <c r="X31" s="690"/>
      <c r="Y31" s="690"/>
      <c r="Z31" s="690"/>
      <c r="AA31" s="690"/>
      <c r="AB31" s="690"/>
      <c r="AC31" s="690"/>
      <c r="AD31" s="690"/>
      <c r="AE31" s="690"/>
      <c r="AF31" s="690"/>
      <c r="AG31" s="690"/>
      <c r="AH31" s="691"/>
      <c r="AI31" s="691"/>
      <c r="AJ31" s="691"/>
      <c r="AK31" s="691"/>
      <c r="AL31" s="691"/>
      <c r="AM31" s="691"/>
      <c r="AN31" s="691"/>
      <c r="AO31" s="691"/>
      <c r="AP31" s="691"/>
      <c r="AQ31" s="691"/>
      <c r="AR31" s="691"/>
      <c r="AS31" s="691"/>
      <c r="AT31" s="691"/>
      <c r="AU31" s="691"/>
      <c r="AV31" s="691"/>
      <c r="AW31" s="691"/>
      <c r="AX31" s="691"/>
      <c r="AY31" s="691"/>
      <c r="AZ31" s="691"/>
      <c r="BA31" s="691"/>
      <c r="BB31" s="691"/>
      <c r="BC31" s="691"/>
      <c r="BD31" s="692"/>
      <c r="BE31" s="692"/>
      <c r="BF31" s="692"/>
      <c r="BG31" s="692"/>
      <c r="BH31" s="692"/>
      <c r="BI31" s="692"/>
      <c r="BJ31" s="692"/>
      <c r="BK31" s="692"/>
      <c r="BL31" s="692"/>
      <c r="BM31" s="692"/>
      <c r="BN31" s="692"/>
      <c r="BO31" s="692"/>
      <c r="BP31" s="692"/>
      <c r="BQ31" s="692"/>
      <c r="BR31" s="692"/>
      <c r="BS31" s="692"/>
      <c r="BT31" s="692"/>
      <c r="BU31" s="692"/>
      <c r="BV31" s="692"/>
      <c r="BW31" s="692"/>
      <c r="BX31" s="692"/>
    </row>
    <row r="32" spans="1:255" s="568" customFormat="1" ht="18" customHeight="1">
      <c r="A32" s="574"/>
      <c r="B32" s="561"/>
      <c r="C32" s="1142"/>
      <c r="D32" s="1142"/>
      <c r="E32" s="1142"/>
      <c r="F32" s="1142"/>
      <c r="G32" s="1142"/>
      <c r="H32" s="1142"/>
      <c r="I32" s="1142"/>
      <c r="J32" s="1142"/>
      <c r="K32" s="1142"/>
      <c r="L32" s="1142"/>
      <c r="M32" s="561"/>
      <c r="N32" s="561"/>
      <c r="O32"/>
      <c r="P32" s="561"/>
      <c r="Q32" s="561"/>
      <c r="R32" s="561"/>
      <c r="S32" s="561"/>
      <c r="T32" s="561"/>
      <c r="U32" s="561"/>
      <c r="V32" s="561"/>
      <c r="W32" s="561"/>
      <c r="X32" s="561"/>
      <c r="Y32" s="561"/>
      <c r="Z32" s="561"/>
      <c r="AA32" s="561"/>
      <c r="AB32" s="561"/>
      <c r="AC32" s="561"/>
      <c r="AD32" s="561"/>
      <c r="AE32" s="561"/>
      <c r="AF32" s="561"/>
      <c r="AG32" s="561"/>
      <c r="AH32" s="567"/>
      <c r="AI32" s="567"/>
      <c r="AJ32" s="567"/>
      <c r="AK32" s="567"/>
      <c r="AL32" s="567"/>
      <c r="AM32" s="567"/>
      <c r="AN32" s="567"/>
      <c r="AO32" s="567"/>
      <c r="AP32" s="567"/>
      <c r="AQ32" s="567"/>
      <c r="AR32" s="567"/>
      <c r="AS32" s="567"/>
      <c r="AT32" s="567"/>
      <c r="AU32" s="567"/>
      <c r="AV32" s="567"/>
      <c r="AW32" s="567"/>
      <c r="AX32" s="567"/>
      <c r="AY32" s="567"/>
      <c r="AZ32" s="567"/>
      <c r="BA32" s="567"/>
      <c r="BB32" s="567"/>
      <c r="BC32" s="567"/>
    </row>
    <row r="33" spans="1:255" ht="18" customHeight="1">
      <c r="A33" s="570" t="s">
        <v>653</v>
      </c>
      <c r="B33" s="561"/>
      <c r="C33" s="1142"/>
      <c r="D33" s="1142"/>
      <c r="E33" s="1142"/>
      <c r="F33" s="1142"/>
      <c r="G33" s="1142"/>
      <c r="H33" s="1142"/>
      <c r="I33" s="1142"/>
      <c r="J33" s="1142"/>
      <c r="K33" s="1142"/>
      <c r="L33" s="1142"/>
      <c r="M33" s="561"/>
      <c r="N33" s="561"/>
      <c r="O33"/>
      <c r="P33" s="561"/>
      <c r="Q33" s="561"/>
      <c r="R33" s="561"/>
      <c r="S33" s="561"/>
      <c r="T33" s="561"/>
      <c r="U33" s="561"/>
      <c r="V33" s="561"/>
      <c r="W33" s="561"/>
      <c r="X33" s="561"/>
      <c r="Y33" s="561"/>
      <c r="Z33" s="561"/>
      <c r="AA33" s="561"/>
      <c r="AB33" s="561"/>
      <c r="AC33" s="561"/>
      <c r="AD33" s="561"/>
      <c r="AE33" s="561"/>
      <c r="AF33" s="561"/>
      <c r="AG33" s="561"/>
      <c r="AH33" s="567"/>
      <c r="AI33" s="567"/>
      <c r="AJ33" s="567"/>
      <c r="AK33" s="567"/>
      <c r="AL33" s="567"/>
      <c r="AM33" s="567"/>
      <c r="AN33" s="567"/>
      <c r="AO33" s="567"/>
      <c r="AP33" s="567"/>
      <c r="AQ33" s="567"/>
      <c r="AR33" s="567"/>
      <c r="AS33" s="567"/>
      <c r="AT33" s="567"/>
      <c r="AU33" s="567"/>
      <c r="AV33" s="567"/>
      <c r="AW33" s="567"/>
      <c r="AX33" s="567"/>
      <c r="AY33" s="567"/>
      <c r="AZ33" s="567"/>
      <c r="BA33" s="567"/>
      <c r="BB33" s="567"/>
      <c r="BC33" s="567"/>
      <c r="BD33" s="568"/>
      <c r="BE33" s="568"/>
      <c r="BF33" s="568"/>
      <c r="BG33" s="568"/>
      <c r="BH33" s="568"/>
      <c r="BI33" s="568"/>
      <c r="BJ33" s="568"/>
      <c r="BK33" s="568"/>
      <c r="BL33" s="568"/>
      <c r="BM33" s="568"/>
      <c r="BN33" s="568"/>
      <c r="BO33" s="568"/>
      <c r="BP33" s="568"/>
      <c r="BQ33" s="568"/>
      <c r="BR33" s="568"/>
      <c r="BS33" s="568"/>
      <c r="BT33" s="568"/>
      <c r="BU33" s="568"/>
      <c r="BV33" s="568"/>
      <c r="BW33" s="568"/>
      <c r="BX33" s="568"/>
      <c r="BY33" s="568"/>
      <c r="BZ33" s="568"/>
      <c r="CA33" s="568"/>
      <c r="CB33" s="568"/>
      <c r="CC33" s="568"/>
      <c r="CD33" s="568"/>
      <c r="CE33" s="568"/>
      <c r="CF33" s="568"/>
      <c r="CG33" s="568"/>
      <c r="CH33" s="568"/>
      <c r="CI33" s="568"/>
      <c r="CJ33" s="568"/>
      <c r="CK33" s="568"/>
      <c r="CL33" s="568"/>
      <c r="CM33" s="568"/>
      <c r="CN33" s="568"/>
      <c r="CO33" s="568"/>
      <c r="CP33" s="568"/>
      <c r="CQ33" s="568"/>
      <c r="CR33" s="568"/>
      <c r="CS33" s="568"/>
      <c r="CT33" s="568"/>
      <c r="CU33" s="568"/>
      <c r="CV33" s="568"/>
      <c r="CW33" s="568"/>
      <c r="CX33" s="568"/>
      <c r="CY33" s="568"/>
      <c r="CZ33" s="568"/>
      <c r="DA33" s="568"/>
      <c r="DB33" s="568"/>
      <c r="DC33" s="568"/>
      <c r="DD33" s="568"/>
      <c r="DE33" s="568"/>
      <c r="DF33" s="568"/>
      <c r="DG33" s="568"/>
      <c r="DH33" s="568"/>
      <c r="DI33" s="568"/>
      <c r="DJ33" s="568"/>
      <c r="DK33" s="568"/>
      <c r="DL33" s="568"/>
      <c r="DM33" s="568"/>
      <c r="DN33" s="568"/>
      <c r="DO33" s="568"/>
      <c r="DP33" s="568"/>
      <c r="DQ33" s="568"/>
      <c r="DR33" s="568"/>
      <c r="DS33" s="568"/>
      <c r="DT33" s="568"/>
      <c r="DU33" s="568"/>
      <c r="DV33" s="568"/>
      <c r="DW33" s="568"/>
      <c r="DX33" s="568"/>
      <c r="DY33" s="568"/>
      <c r="DZ33" s="568"/>
      <c r="EA33" s="568"/>
      <c r="EB33" s="568"/>
      <c r="EC33" s="568"/>
      <c r="ED33" s="568"/>
      <c r="EE33" s="568"/>
      <c r="EF33" s="568"/>
      <c r="EG33" s="568"/>
      <c r="EH33" s="568"/>
      <c r="EI33" s="568"/>
      <c r="EJ33" s="568"/>
      <c r="EK33" s="568"/>
      <c r="EL33" s="568"/>
      <c r="EM33" s="568"/>
      <c r="EN33" s="568"/>
      <c r="EO33" s="568"/>
      <c r="EP33" s="568"/>
      <c r="EQ33" s="568"/>
      <c r="ER33" s="568"/>
      <c r="ES33" s="568"/>
      <c r="ET33" s="568"/>
      <c r="EU33" s="568"/>
      <c r="EV33" s="568"/>
      <c r="EW33" s="568"/>
      <c r="EX33" s="568"/>
      <c r="EY33" s="568"/>
      <c r="EZ33" s="568"/>
      <c r="FA33" s="568"/>
      <c r="FB33" s="568"/>
      <c r="FC33" s="568"/>
      <c r="FD33" s="568"/>
      <c r="FE33" s="568"/>
      <c r="FF33" s="568"/>
      <c r="FG33" s="568"/>
      <c r="FH33" s="568"/>
      <c r="FI33" s="568"/>
      <c r="FJ33" s="568"/>
      <c r="FK33" s="568"/>
      <c r="FL33" s="568"/>
      <c r="FM33" s="568"/>
      <c r="FN33" s="568"/>
      <c r="FO33" s="568"/>
      <c r="FP33" s="568"/>
      <c r="FQ33" s="568"/>
      <c r="FR33" s="568"/>
      <c r="FS33" s="568"/>
      <c r="FT33" s="568"/>
      <c r="FU33" s="568"/>
      <c r="FV33" s="568"/>
      <c r="FW33" s="568"/>
      <c r="FX33" s="568"/>
      <c r="FY33" s="568"/>
      <c r="FZ33" s="568"/>
      <c r="GA33" s="568"/>
      <c r="GB33" s="568"/>
      <c r="GC33" s="568"/>
      <c r="GD33" s="568"/>
      <c r="GE33" s="568"/>
      <c r="GF33" s="568"/>
      <c r="GG33" s="568"/>
      <c r="GH33" s="568"/>
      <c r="GI33" s="568"/>
      <c r="GJ33" s="568"/>
      <c r="GK33" s="568"/>
      <c r="GL33" s="568"/>
      <c r="GM33" s="568"/>
      <c r="GN33" s="568"/>
      <c r="GO33" s="568"/>
      <c r="GP33" s="568"/>
      <c r="GQ33" s="568"/>
      <c r="GR33" s="568"/>
      <c r="GS33" s="568"/>
      <c r="GT33" s="568"/>
      <c r="GU33" s="568"/>
      <c r="GV33" s="568"/>
      <c r="GW33" s="568"/>
      <c r="GX33" s="568"/>
      <c r="GY33" s="568"/>
      <c r="GZ33" s="568"/>
      <c r="HA33" s="568"/>
      <c r="HB33" s="568"/>
      <c r="HC33" s="568"/>
      <c r="HD33" s="568"/>
      <c r="HE33" s="568"/>
      <c r="HF33" s="568"/>
      <c r="HG33" s="568"/>
      <c r="HH33" s="568"/>
      <c r="HI33" s="568"/>
      <c r="HJ33" s="568"/>
      <c r="HK33" s="568"/>
      <c r="HL33" s="568"/>
      <c r="HM33" s="568"/>
      <c r="HN33" s="568"/>
      <c r="HO33" s="568"/>
      <c r="HP33" s="568"/>
      <c r="HQ33" s="568"/>
      <c r="HR33" s="568"/>
      <c r="HS33" s="568"/>
      <c r="HT33" s="568"/>
      <c r="HU33" s="568"/>
      <c r="HV33" s="568"/>
      <c r="HW33" s="568"/>
      <c r="HX33" s="568"/>
      <c r="HY33" s="568"/>
      <c r="HZ33" s="568"/>
      <c r="IA33" s="568"/>
      <c r="IB33" s="568"/>
      <c r="IC33" s="568"/>
      <c r="ID33" s="568"/>
      <c r="IE33" s="568"/>
      <c r="IF33" s="568"/>
      <c r="IG33" s="568"/>
      <c r="IH33" s="568"/>
      <c r="II33" s="568"/>
      <c r="IJ33" s="568"/>
      <c r="IK33" s="568"/>
      <c r="IL33" s="568"/>
      <c r="IM33" s="568"/>
      <c r="IN33" s="568"/>
      <c r="IO33" s="568"/>
      <c r="IP33" s="568"/>
      <c r="IQ33" s="568"/>
      <c r="IR33" s="568"/>
      <c r="IS33" s="568"/>
      <c r="IT33" s="568"/>
      <c r="IU33" s="568"/>
    </row>
    <row r="34" spans="1:255" s="568" customFormat="1" ht="18" customHeight="1">
      <c r="A34" s="566" t="s">
        <v>654</v>
      </c>
      <c r="B34" s="561"/>
      <c r="C34" s="1142">
        <v>0</v>
      </c>
      <c r="D34" s="1142">
        <v>0</v>
      </c>
      <c r="E34" s="1142">
        <v>0</v>
      </c>
      <c r="F34" s="1142">
        <v>0</v>
      </c>
      <c r="G34" s="1142">
        <v>0.05</v>
      </c>
      <c r="H34" s="1142">
        <v>0</v>
      </c>
      <c r="I34" s="1142">
        <v>0</v>
      </c>
      <c r="J34" s="1142">
        <v>0</v>
      </c>
      <c r="K34" s="1142">
        <v>0</v>
      </c>
      <c r="L34" s="1142">
        <v>0</v>
      </c>
      <c r="M34" s="561">
        <v>0</v>
      </c>
      <c r="N34" s="561">
        <v>0</v>
      </c>
      <c r="O34"/>
      <c r="P34" s="832" t="s">
        <v>1864</v>
      </c>
      <c r="Q34" s="561"/>
      <c r="R34" s="561"/>
      <c r="S34" s="561"/>
      <c r="T34" s="561"/>
      <c r="U34" s="561"/>
      <c r="V34" s="561"/>
      <c r="W34" s="561"/>
      <c r="X34" s="561"/>
      <c r="Y34" s="561"/>
      <c r="Z34" s="561"/>
      <c r="AA34" s="561"/>
      <c r="AB34" s="561"/>
      <c r="AC34" s="561"/>
      <c r="AD34" s="561"/>
      <c r="AE34" s="561"/>
      <c r="AF34" s="561"/>
      <c r="AG34" s="561"/>
      <c r="AH34" s="567"/>
      <c r="AI34" s="567"/>
      <c r="AJ34" s="567"/>
      <c r="AK34" s="567"/>
      <c r="AL34" s="567"/>
      <c r="AM34" s="567"/>
      <c r="AN34" s="567"/>
      <c r="AO34" s="567"/>
      <c r="AP34" s="567"/>
      <c r="AQ34" s="567"/>
      <c r="AR34" s="567"/>
      <c r="AS34" s="567"/>
      <c r="AT34" s="567"/>
      <c r="AU34" s="567"/>
      <c r="AV34" s="567"/>
      <c r="AW34" s="567"/>
      <c r="AX34" s="567"/>
      <c r="AY34" s="567"/>
      <c r="AZ34" s="567"/>
      <c r="BA34" s="567"/>
      <c r="BB34" s="567"/>
      <c r="BC34" s="567"/>
    </row>
    <row r="35" spans="1:255" s="577" customFormat="1" ht="18" customHeight="1">
      <c r="A35" s="566" t="s">
        <v>655</v>
      </c>
      <c r="B35" s="561"/>
      <c r="C35" s="1142">
        <v>0</v>
      </c>
      <c r="D35" s="1142">
        <v>0</v>
      </c>
      <c r="E35" s="1142">
        <v>0</v>
      </c>
      <c r="F35" s="1142">
        <v>0</v>
      </c>
      <c r="G35" s="1142">
        <v>0</v>
      </c>
      <c r="H35" s="1142">
        <v>0</v>
      </c>
      <c r="I35" s="1142">
        <v>0</v>
      </c>
      <c r="J35" s="1143">
        <v>0</v>
      </c>
      <c r="K35" s="1143">
        <v>0</v>
      </c>
      <c r="L35" s="1143">
        <v>0</v>
      </c>
      <c r="M35" s="562">
        <v>0</v>
      </c>
      <c r="N35" s="562">
        <v>0</v>
      </c>
      <c r="O35"/>
      <c r="P35" s="832" t="s">
        <v>1865</v>
      </c>
      <c r="Q35" s="562"/>
      <c r="R35" s="562"/>
      <c r="S35" s="562"/>
      <c r="T35" s="561"/>
      <c r="U35" s="562"/>
      <c r="V35" s="562"/>
      <c r="W35" s="562"/>
      <c r="X35" s="562"/>
      <c r="Y35" s="562"/>
      <c r="Z35" s="562"/>
      <c r="AA35" s="562"/>
      <c r="AB35" s="562"/>
      <c r="AC35" s="562"/>
      <c r="AD35" s="562"/>
      <c r="AE35" s="562"/>
      <c r="AF35" s="562"/>
      <c r="AG35" s="562"/>
      <c r="AH35" s="575"/>
      <c r="AI35" s="575"/>
      <c r="AJ35" s="575"/>
      <c r="AK35" s="575"/>
      <c r="AL35" s="575"/>
      <c r="AM35" s="575"/>
      <c r="AN35" s="575"/>
      <c r="AO35" s="575"/>
      <c r="AP35" s="575"/>
      <c r="AQ35" s="575"/>
      <c r="AR35" s="575"/>
      <c r="AS35" s="575"/>
      <c r="AT35" s="575"/>
      <c r="AU35" s="575"/>
      <c r="AV35" s="575"/>
      <c r="AW35" s="575"/>
      <c r="AX35" s="575"/>
      <c r="AY35" s="575"/>
      <c r="AZ35" s="575"/>
      <c r="BA35" s="575"/>
      <c r="BB35" s="575"/>
      <c r="BC35" s="575"/>
      <c r="BD35" s="576"/>
      <c r="BE35" s="576"/>
      <c r="BF35" s="576"/>
      <c r="BG35" s="576"/>
      <c r="BH35" s="576"/>
      <c r="BI35" s="576"/>
      <c r="BJ35" s="576"/>
      <c r="BK35" s="576"/>
      <c r="BL35" s="576"/>
      <c r="BM35" s="576"/>
      <c r="BN35" s="576"/>
      <c r="BO35" s="576"/>
      <c r="BP35" s="576"/>
      <c r="BQ35" s="576"/>
      <c r="BR35" s="576"/>
      <c r="BS35" s="576"/>
      <c r="BT35" s="576"/>
      <c r="BU35" s="576"/>
      <c r="BV35" s="576"/>
      <c r="BW35" s="576"/>
      <c r="BX35" s="576"/>
    </row>
    <row r="36" spans="1:255" ht="18" customHeight="1">
      <c r="A36" s="566" t="s">
        <v>656</v>
      </c>
      <c r="B36" s="561"/>
      <c r="C36" s="1142">
        <v>0</v>
      </c>
      <c r="D36" s="1142">
        <v>0</v>
      </c>
      <c r="E36" s="1142">
        <v>0</v>
      </c>
      <c r="F36" s="1142">
        <v>0</v>
      </c>
      <c r="G36" s="1142">
        <v>0</v>
      </c>
      <c r="H36" s="1142">
        <v>0</v>
      </c>
      <c r="I36" s="1142">
        <v>0</v>
      </c>
      <c r="J36" s="1143">
        <v>0</v>
      </c>
      <c r="K36" s="1143">
        <v>0</v>
      </c>
      <c r="L36" s="1143">
        <v>0</v>
      </c>
      <c r="M36" s="562">
        <v>0</v>
      </c>
      <c r="N36" s="562">
        <v>0</v>
      </c>
      <c r="O36"/>
      <c r="P36" s="832" t="s">
        <v>1866</v>
      </c>
      <c r="Q36" s="562"/>
      <c r="R36" s="562"/>
      <c r="S36" s="562"/>
      <c r="T36" s="561"/>
      <c r="U36" s="562"/>
      <c r="V36" s="562"/>
      <c r="W36" s="562"/>
      <c r="X36" s="562"/>
      <c r="Y36" s="562"/>
      <c r="Z36" s="562"/>
      <c r="AA36" s="562"/>
      <c r="AB36" s="562"/>
      <c r="AC36" s="562"/>
      <c r="AD36" s="562"/>
      <c r="AE36" s="562"/>
      <c r="AF36" s="562"/>
      <c r="AG36" s="562"/>
      <c r="AH36" s="563"/>
      <c r="AI36" s="563"/>
      <c r="AJ36" s="563"/>
      <c r="AK36" s="563"/>
      <c r="AL36" s="563"/>
      <c r="AM36" s="563"/>
      <c r="AN36" s="563"/>
      <c r="AO36" s="563"/>
      <c r="AP36" s="563"/>
      <c r="AQ36" s="563"/>
      <c r="AR36" s="563"/>
      <c r="AS36" s="563"/>
      <c r="AT36" s="563"/>
      <c r="AU36" s="563"/>
      <c r="AV36" s="563"/>
      <c r="AW36" s="563"/>
      <c r="AX36" s="563"/>
      <c r="AY36" s="563"/>
      <c r="AZ36" s="563"/>
      <c r="BA36" s="563"/>
      <c r="BB36" s="563"/>
      <c r="BC36" s="563"/>
      <c r="BD36" s="564"/>
      <c r="BE36" s="564"/>
      <c r="BF36" s="564"/>
      <c r="BG36" s="564"/>
      <c r="BH36" s="564"/>
      <c r="BI36" s="564"/>
      <c r="BJ36" s="564"/>
      <c r="BK36" s="564"/>
      <c r="BL36" s="564"/>
      <c r="BM36" s="564"/>
      <c r="BN36" s="564"/>
      <c r="BO36" s="564"/>
      <c r="BP36" s="564"/>
      <c r="BQ36" s="564"/>
      <c r="BR36" s="564"/>
      <c r="BS36" s="564"/>
      <c r="BT36" s="564"/>
      <c r="BU36" s="564"/>
      <c r="BV36" s="564"/>
      <c r="BW36" s="564"/>
      <c r="BX36" s="564"/>
    </row>
    <row r="37" spans="1:255" ht="18" customHeight="1">
      <c r="A37" s="566"/>
      <c r="B37" s="561"/>
      <c r="C37" s="1142"/>
      <c r="D37" s="1142"/>
      <c r="E37" s="1142"/>
      <c r="F37" s="1142"/>
      <c r="G37" s="1142"/>
      <c r="H37" s="1142"/>
      <c r="I37" s="1142"/>
      <c r="J37" s="1143"/>
      <c r="K37" s="1143"/>
      <c r="L37" s="1143"/>
      <c r="M37" s="562"/>
      <c r="N37" s="562"/>
      <c r="O37"/>
      <c r="P37" s="562"/>
      <c r="Q37" s="562"/>
      <c r="R37" s="562"/>
      <c r="S37" s="562"/>
      <c r="T37" s="561"/>
      <c r="U37" s="562"/>
      <c r="V37" s="562"/>
      <c r="W37" s="562"/>
      <c r="X37" s="562"/>
      <c r="Y37" s="562"/>
      <c r="Z37" s="562"/>
      <c r="AA37" s="562"/>
      <c r="AB37" s="562"/>
      <c r="AC37" s="562"/>
      <c r="AD37" s="562"/>
      <c r="AE37" s="562"/>
      <c r="AF37" s="562"/>
      <c r="AG37" s="562"/>
      <c r="AH37" s="563"/>
      <c r="AI37" s="563"/>
      <c r="AJ37" s="563"/>
      <c r="AK37" s="563"/>
      <c r="AL37" s="563"/>
      <c r="AM37" s="563"/>
      <c r="AN37" s="563"/>
      <c r="AO37" s="563"/>
      <c r="AP37" s="563"/>
      <c r="AQ37" s="563"/>
      <c r="AR37" s="563"/>
      <c r="AS37" s="563"/>
      <c r="AT37" s="563"/>
      <c r="AU37" s="563"/>
      <c r="AV37" s="563"/>
      <c r="AW37" s="563"/>
      <c r="AX37" s="563"/>
      <c r="AY37" s="563"/>
      <c r="AZ37" s="563"/>
      <c r="BA37" s="563"/>
      <c r="BB37" s="563"/>
      <c r="BC37" s="563"/>
      <c r="BD37" s="564"/>
      <c r="BE37" s="564"/>
      <c r="BF37" s="564"/>
      <c r="BG37" s="564"/>
      <c r="BH37" s="564"/>
      <c r="BI37" s="564"/>
      <c r="BJ37" s="564"/>
      <c r="BK37" s="564"/>
      <c r="BL37" s="564"/>
      <c r="BM37" s="564"/>
      <c r="BN37" s="564"/>
      <c r="BO37" s="564"/>
      <c r="BP37" s="564"/>
      <c r="BQ37" s="564"/>
      <c r="BR37" s="564"/>
      <c r="BS37" s="564"/>
      <c r="BT37" s="564"/>
      <c r="BU37" s="564"/>
      <c r="BV37" s="564"/>
      <c r="BW37" s="564"/>
      <c r="BX37" s="564"/>
    </row>
    <row r="38" spans="1:255" ht="18" customHeight="1">
      <c r="A38" s="566"/>
      <c r="B38" s="561"/>
      <c r="C38" s="1142"/>
      <c r="D38" s="1142"/>
      <c r="E38" s="1142"/>
      <c r="F38" s="1142"/>
      <c r="G38" s="1142"/>
      <c r="H38" s="1142"/>
      <c r="I38" s="1142"/>
      <c r="J38" s="1143"/>
      <c r="K38" s="1143"/>
      <c r="L38" s="1143"/>
      <c r="M38" s="562"/>
      <c r="N38" s="562"/>
      <c r="O38"/>
      <c r="P38" s="562"/>
      <c r="Q38" s="562"/>
      <c r="R38" s="562"/>
      <c r="S38" s="562"/>
      <c r="T38" s="561"/>
      <c r="U38" s="562"/>
      <c r="V38" s="562"/>
      <c r="W38" s="562"/>
      <c r="X38" s="562"/>
      <c r="Y38" s="562"/>
      <c r="Z38" s="562"/>
      <c r="AA38" s="562"/>
      <c r="AB38" s="562"/>
      <c r="AC38" s="562"/>
      <c r="AD38" s="562"/>
      <c r="AE38" s="562"/>
      <c r="AF38" s="562"/>
      <c r="AG38" s="562"/>
      <c r="AH38" s="563"/>
      <c r="AI38" s="563"/>
      <c r="AJ38" s="563"/>
      <c r="AK38" s="563"/>
      <c r="AL38" s="563"/>
      <c r="AM38" s="563"/>
      <c r="AN38" s="563"/>
      <c r="AO38" s="563"/>
      <c r="AP38" s="563"/>
      <c r="AQ38" s="563"/>
      <c r="AR38" s="563"/>
      <c r="AS38" s="563"/>
      <c r="AT38" s="563"/>
      <c r="AU38" s="563"/>
      <c r="AV38" s="563"/>
      <c r="AW38" s="563"/>
      <c r="AX38" s="563"/>
      <c r="AY38" s="563"/>
      <c r="AZ38" s="563"/>
      <c r="BA38" s="563"/>
      <c r="BB38" s="563"/>
      <c r="BC38" s="563"/>
      <c r="BD38" s="564"/>
      <c r="BE38" s="564"/>
      <c r="BF38" s="564"/>
      <c r="BG38" s="564"/>
      <c r="BH38" s="564"/>
      <c r="BI38" s="564"/>
      <c r="BJ38" s="564"/>
      <c r="BK38" s="564"/>
      <c r="BL38" s="564"/>
      <c r="BM38" s="564"/>
      <c r="BN38" s="564"/>
      <c r="BO38" s="564"/>
      <c r="BP38" s="564"/>
      <c r="BQ38" s="564"/>
      <c r="BR38" s="564"/>
      <c r="BS38" s="564"/>
      <c r="BT38" s="564"/>
      <c r="BU38" s="564"/>
      <c r="BV38" s="564"/>
      <c r="BW38" s="564"/>
      <c r="BX38" s="564"/>
    </row>
    <row r="39" spans="1:255" ht="18" customHeight="1">
      <c r="A39" s="556" t="s">
        <v>657</v>
      </c>
      <c r="B39" s="561"/>
      <c r="C39" s="1142"/>
      <c r="D39" s="1142"/>
      <c r="E39" s="1142"/>
      <c r="F39" s="1142"/>
      <c r="G39" s="1142"/>
      <c r="H39" s="1142"/>
      <c r="I39" s="1142"/>
      <c r="J39" s="1143"/>
      <c r="K39" s="1143"/>
      <c r="L39" s="1143"/>
      <c r="M39" s="562"/>
      <c r="N39" s="562"/>
      <c r="O39"/>
      <c r="P39" s="562"/>
      <c r="Q39" s="562"/>
      <c r="R39" s="562"/>
      <c r="S39" s="562"/>
      <c r="T39" s="561"/>
      <c r="U39" s="562"/>
      <c r="V39" s="562"/>
      <c r="W39" s="562"/>
      <c r="X39" s="562"/>
      <c r="Y39" s="562"/>
      <c r="Z39" s="562"/>
      <c r="AA39" s="562"/>
      <c r="AB39" s="562"/>
      <c r="AC39" s="562"/>
      <c r="AD39" s="562"/>
      <c r="AE39" s="562"/>
      <c r="AF39" s="562"/>
      <c r="AG39" s="562"/>
      <c r="AH39" s="563"/>
      <c r="AI39" s="563"/>
      <c r="AJ39" s="563"/>
      <c r="AK39" s="563"/>
      <c r="AL39" s="563"/>
      <c r="AM39" s="563"/>
      <c r="AN39" s="563"/>
      <c r="AO39" s="563"/>
      <c r="AP39" s="563"/>
      <c r="AQ39" s="563"/>
      <c r="AR39" s="563"/>
      <c r="AS39" s="563"/>
      <c r="AT39" s="563"/>
      <c r="AU39" s="563"/>
      <c r="AV39" s="563"/>
      <c r="AW39" s="563"/>
      <c r="AX39" s="563"/>
      <c r="AY39" s="563"/>
      <c r="AZ39" s="563"/>
      <c r="BA39" s="563"/>
      <c r="BB39" s="563"/>
      <c r="BC39" s="563"/>
      <c r="BD39" s="564"/>
      <c r="BE39" s="564"/>
      <c r="BF39" s="564"/>
      <c r="BG39" s="564"/>
      <c r="BH39" s="564"/>
      <c r="BI39" s="564"/>
      <c r="BJ39" s="564"/>
      <c r="BK39" s="564"/>
      <c r="BL39" s="564"/>
      <c r="BM39" s="564"/>
      <c r="BN39" s="564"/>
      <c r="BO39" s="564"/>
      <c r="BP39" s="564"/>
      <c r="BQ39" s="564"/>
      <c r="BR39" s="564"/>
      <c r="BS39" s="564"/>
      <c r="BT39" s="564"/>
      <c r="BU39" s="564"/>
      <c r="BV39" s="564"/>
      <c r="BW39" s="564"/>
      <c r="BX39" s="564"/>
    </row>
    <row r="40" spans="1:255" ht="18" customHeight="1">
      <c r="A40" s="570" t="s">
        <v>658</v>
      </c>
      <c r="B40" s="561"/>
      <c r="C40" s="1142"/>
      <c r="D40" s="1142"/>
      <c r="E40" s="1142"/>
      <c r="F40" s="1142"/>
      <c r="G40" s="1142"/>
      <c r="H40" s="1142"/>
      <c r="I40" s="1142"/>
      <c r="J40" s="1143"/>
      <c r="K40" s="1143"/>
      <c r="L40" s="1143"/>
      <c r="M40" s="562"/>
      <c r="N40" s="562"/>
      <c r="O40"/>
      <c r="P40" s="562"/>
      <c r="Q40" s="562"/>
      <c r="R40" s="562"/>
      <c r="S40" s="562"/>
      <c r="T40" s="561"/>
      <c r="U40" s="562"/>
      <c r="V40" s="562"/>
      <c r="W40" s="562"/>
      <c r="X40" s="562"/>
      <c r="Y40" s="562"/>
      <c r="Z40" s="562"/>
      <c r="AA40" s="562"/>
      <c r="AB40" s="562"/>
      <c r="AC40" s="562"/>
      <c r="AD40" s="562"/>
      <c r="AE40" s="562"/>
      <c r="AF40" s="562"/>
      <c r="AG40" s="562"/>
      <c r="AH40" s="563"/>
      <c r="AI40" s="563"/>
      <c r="AJ40" s="563"/>
      <c r="AK40" s="563"/>
      <c r="AL40" s="563"/>
      <c r="AM40" s="563"/>
      <c r="AN40" s="563"/>
      <c r="AO40" s="563"/>
      <c r="AP40" s="563"/>
      <c r="AQ40" s="563"/>
      <c r="AR40" s="563"/>
      <c r="AS40" s="563"/>
      <c r="AT40" s="563"/>
      <c r="AU40" s="563"/>
      <c r="AV40" s="563"/>
      <c r="AW40" s="563"/>
      <c r="AX40" s="563"/>
      <c r="AY40" s="563"/>
      <c r="AZ40" s="563"/>
      <c r="BA40" s="563"/>
      <c r="BB40" s="563"/>
      <c r="BC40" s="563"/>
      <c r="BD40" s="564"/>
      <c r="BE40" s="564"/>
      <c r="BF40" s="564"/>
      <c r="BG40" s="564"/>
      <c r="BH40" s="564"/>
      <c r="BI40" s="564"/>
      <c r="BJ40" s="564"/>
      <c r="BK40" s="564"/>
      <c r="BL40" s="564"/>
      <c r="BM40" s="564"/>
      <c r="BN40" s="564"/>
      <c r="BO40" s="564"/>
      <c r="BP40" s="564"/>
      <c r="BQ40" s="564"/>
      <c r="BR40" s="564"/>
      <c r="BS40" s="564"/>
      <c r="BT40" s="564"/>
      <c r="BU40" s="564"/>
      <c r="BV40" s="564"/>
      <c r="BW40" s="564"/>
      <c r="BX40" s="564"/>
    </row>
    <row r="41" spans="1:255" s="681" customFormat="1" ht="18" customHeight="1">
      <c r="A41" s="677" t="s">
        <v>659</v>
      </c>
      <c r="B41" s="678"/>
      <c r="C41" s="1146">
        <v>2189.35391622</v>
      </c>
      <c r="D41" s="1146">
        <v>1613.2997754200001</v>
      </c>
      <c r="E41" s="1146">
        <v>2007.4516641099999</v>
      </c>
      <c r="F41" s="1146">
        <v>1984.71245196</v>
      </c>
      <c r="G41" s="1146">
        <v>2333.58753101</v>
      </c>
      <c r="H41" s="1146">
        <v>1840.3040249800001</v>
      </c>
      <c r="I41" s="1146">
        <v>1841.75276285</v>
      </c>
      <c r="J41" s="1147">
        <v>2914.2588406599998</v>
      </c>
      <c r="K41" s="1147">
        <v>0</v>
      </c>
      <c r="L41" s="1147">
        <v>0</v>
      </c>
      <c r="M41" s="682">
        <v>0</v>
      </c>
      <c r="N41" s="682">
        <v>0</v>
      </c>
      <c r="O41"/>
      <c r="P41" s="832" t="s">
        <v>1639</v>
      </c>
      <c r="Q41" s="682"/>
      <c r="R41" s="682"/>
      <c r="S41" s="682"/>
      <c r="T41" s="678"/>
      <c r="U41" s="682"/>
      <c r="V41" s="682"/>
      <c r="W41" s="682"/>
      <c r="X41" s="682"/>
      <c r="Y41" s="682"/>
      <c r="Z41" s="682"/>
      <c r="AA41" s="682"/>
      <c r="AB41" s="682"/>
      <c r="AC41" s="682"/>
      <c r="AD41" s="682"/>
      <c r="AE41" s="682"/>
      <c r="AF41" s="682"/>
      <c r="AG41" s="682"/>
      <c r="AH41" s="683"/>
      <c r="AI41" s="683"/>
      <c r="AJ41" s="683"/>
      <c r="AK41" s="683"/>
      <c r="AL41" s="683"/>
      <c r="AM41" s="683"/>
      <c r="AN41" s="683"/>
      <c r="AO41" s="683"/>
      <c r="AP41" s="683"/>
      <c r="AQ41" s="683"/>
      <c r="AR41" s="683"/>
      <c r="AS41" s="683"/>
      <c r="AT41" s="683"/>
      <c r="AU41" s="683"/>
      <c r="AV41" s="683"/>
      <c r="AW41" s="683"/>
      <c r="AX41" s="683"/>
      <c r="AY41" s="683"/>
      <c r="AZ41" s="683"/>
      <c r="BA41" s="683"/>
      <c r="BB41" s="683"/>
      <c r="BC41" s="683"/>
      <c r="BD41" s="684"/>
      <c r="BE41" s="684"/>
      <c r="BF41" s="684"/>
      <c r="BG41" s="684"/>
      <c r="BH41" s="684"/>
      <c r="BI41" s="684"/>
      <c r="BJ41" s="684"/>
      <c r="BK41" s="684"/>
      <c r="BL41" s="684"/>
      <c r="BM41" s="684"/>
      <c r="BN41" s="684"/>
      <c r="BO41" s="684"/>
      <c r="BP41" s="684"/>
      <c r="BQ41" s="684"/>
      <c r="BR41" s="684"/>
      <c r="BS41" s="684"/>
      <c r="BT41" s="684"/>
      <c r="BU41" s="684"/>
      <c r="BV41" s="684"/>
      <c r="BW41" s="684"/>
      <c r="BX41" s="684"/>
    </row>
    <row r="42" spans="1:255" s="681" customFormat="1" ht="18" customHeight="1">
      <c r="A42" s="677" t="s">
        <v>175</v>
      </c>
      <c r="B42" s="678"/>
      <c r="C42" s="1146">
        <v>5.4218209999999996E-2</v>
      </c>
      <c r="D42" s="1146">
        <v>0.81726527000000004</v>
      </c>
      <c r="E42" s="1146">
        <v>0.85373284999999999</v>
      </c>
      <c r="F42" s="1146">
        <v>0.20219069000000001</v>
      </c>
      <c r="G42" s="1146">
        <v>74.012589969999993</v>
      </c>
      <c r="H42" s="1146">
        <v>131.63036844999999</v>
      </c>
      <c r="I42" s="1146">
        <v>91.021919540000013</v>
      </c>
      <c r="J42" s="1147">
        <v>70.591075889999999</v>
      </c>
      <c r="K42" s="1147">
        <v>0</v>
      </c>
      <c r="L42" s="1147">
        <v>0</v>
      </c>
      <c r="M42" s="682">
        <v>0</v>
      </c>
      <c r="N42" s="682">
        <v>0</v>
      </c>
      <c r="O42"/>
      <c r="P42" s="832" t="s">
        <v>1640</v>
      </c>
      <c r="Q42" s="682"/>
      <c r="R42" s="682"/>
      <c r="S42" s="682"/>
      <c r="T42" s="678"/>
      <c r="U42" s="682"/>
      <c r="V42" s="682"/>
      <c r="W42" s="682"/>
      <c r="X42" s="682"/>
      <c r="Y42" s="682"/>
      <c r="Z42" s="682"/>
      <c r="AA42" s="682"/>
      <c r="AB42" s="682"/>
      <c r="AC42" s="682"/>
      <c r="AD42" s="682"/>
      <c r="AE42" s="682"/>
      <c r="AF42" s="682"/>
      <c r="AG42" s="682"/>
      <c r="AH42" s="683"/>
      <c r="AI42" s="683"/>
      <c r="AJ42" s="683"/>
      <c r="AK42" s="683"/>
      <c r="AL42" s="683"/>
      <c r="AM42" s="683"/>
      <c r="AN42" s="683"/>
      <c r="AO42" s="683"/>
      <c r="AP42" s="683"/>
      <c r="AQ42" s="683"/>
      <c r="AR42" s="683"/>
      <c r="AS42" s="683"/>
      <c r="AT42" s="683"/>
      <c r="AU42" s="683"/>
      <c r="AV42" s="683"/>
      <c r="AW42" s="683"/>
      <c r="AX42" s="683"/>
      <c r="AY42" s="683"/>
      <c r="AZ42" s="683"/>
      <c r="BA42" s="683"/>
      <c r="BB42" s="683"/>
      <c r="BC42" s="683"/>
      <c r="BD42" s="684"/>
      <c r="BE42" s="684"/>
      <c r="BF42" s="684"/>
      <c r="BG42" s="684"/>
      <c r="BH42" s="684"/>
      <c r="BI42" s="684"/>
      <c r="BJ42" s="684"/>
      <c r="BK42" s="684"/>
      <c r="BL42" s="684"/>
      <c r="BM42" s="684"/>
      <c r="BN42" s="684"/>
      <c r="BO42" s="684"/>
      <c r="BP42" s="684"/>
      <c r="BQ42" s="684"/>
      <c r="BR42" s="684"/>
      <c r="BS42" s="684"/>
      <c r="BT42" s="684"/>
      <c r="BU42" s="684"/>
      <c r="BV42" s="684"/>
      <c r="BW42" s="684"/>
      <c r="BX42" s="684"/>
    </row>
    <row r="43" spans="1:255" s="681" customFormat="1" ht="18" customHeight="1">
      <c r="A43" s="1132" t="s">
        <v>2785</v>
      </c>
      <c r="B43" s="678"/>
      <c r="C43" s="1146">
        <v>0</v>
      </c>
      <c r="D43" s="1146">
        <v>0</v>
      </c>
      <c r="E43" s="1146">
        <v>0</v>
      </c>
      <c r="F43" s="1146">
        <v>0</v>
      </c>
      <c r="G43" s="1146">
        <v>0</v>
      </c>
      <c r="H43" s="1146">
        <v>0</v>
      </c>
      <c r="I43" s="1146">
        <v>0</v>
      </c>
      <c r="J43" s="1147">
        <v>0</v>
      </c>
      <c r="K43" s="1147">
        <v>0</v>
      </c>
      <c r="L43" s="1147">
        <v>0</v>
      </c>
      <c r="M43" s="682">
        <v>0</v>
      </c>
      <c r="N43" s="682">
        <v>0</v>
      </c>
      <c r="O43"/>
      <c r="P43" s="832" t="s">
        <v>2843</v>
      </c>
      <c r="Q43" s="682"/>
      <c r="R43" s="682"/>
      <c r="S43" s="682"/>
      <c r="T43" s="678"/>
      <c r="U43" s="682"/>
      <c r="V43" s="682"/>
      <c r="W43" s="682"/>
      <c r="X43" s="682"/>
      <c r="Y43" s="682"/>
      <c r="Z43" s="682"/>
      <c r="AA43" s="682"/>
      <c r="AB43" s="682"/>
      <c r="AC43" s="682"/>
      <c r="AD43" s="682"/>
      <c r="AE43" s="682"/>
      <c r="AF43" s="682"/>
      <c r="AG43" s="682"/>
      <c r="AH43" s="683"/>
      <c r="AI43" s="683"/>
      <c r="AJ43" s="683"/>
      <c r="AK43" s="683"/>
      <c r="AL43" s="683"/>
      <c r="AM43" s="683"/>
      <c r="AN43" s="683"/>
      <c r="AO43" s="683"/>
      <c r="AP43" s="683"/>
      <c r="AQ43" s="683"/>
      <c r="AR43" s="683"/>
      <c r="AS43" s="683"/>
      <c r="AT43" s="683"/>
      <c r="AU43" s="683"/>
      <c r="AV43" s="683"/>
      <c r="AW43" s="683"/>
      <c r="AX43" s="683"/>
      <c r="AY43" s="683"/>
      <c r="AZ43" s="683"/>
      <c r="BA43" s="683"/>
      <c r="BB43" s="683"/>
      <c r="BC43" s="683"/>
      <c r="BD43" s="684"/>
      <c r="BE43" s="684"/>
      <c r="BF43" s="684"/>
      <c r="BG43" s="684"/>
      <c r="BH43" s="684"/>
      <c r="BI43" s="684"/>
      <c r="BJ43" s="684"/>
      <c r="BK43" s="684"/>
      <c r="BL43" s="684"/>
      <c r="BM43" s="684"/>
      <c r="BN43" s="684"/>
      <c r="BO43" s="684"/>
      <c r="BP43" s="684"/>
      <c r="BQ43" s="684"/>
      <c r="BR43" s="684"/>
      <c r="BS43" s="684"/>
      <c r="BT43" s="684"/>
      <c r="BU43" s="684"/>
      <c r="BV43" s="684"/>
      <c r="BW43" s="684"/>
      <c r="BX43" s="684"/>
    </row>
    <row r="44" spans="1:255" s="695" customFormat="1" ht="18" customHeight="1">
      <c r="A44" s="1132" t="s">
        <v>2717</v>
      </c>
      <c r="B44" s="678"/>
      <c r="C44" s="1146">
        <v>4103.0949344999999</v>
      </c>
      <c r="D44" s="1146">
        <v>4826.1428176899999</v>
      </c>
      <c r="E44" s="1146">
        <v>5603.1828697399997</v>
      </c>
      <c r="F44" s="1146">
        <v>5680.2729961499999</v>
      </c>
      <c r="G44" s="1146">
        <v>4877.6828907700001</v>
      </c>
      <c r="H44" s="1146">
        <v>5413.06794532</v>
      </c>
      <c r="I44" s="1146">
        <v>5726.5449598999994</v>
      </c>
      <c r="J44" s="1147">
        <v>5369.7559697400002</v>
      </c>
      <c r="K44" s="1147">
        <v>0</v>
      </c>
      <c r="L44" s="1147">
        <v>0</v>
      </c>
      <c r="M44" s="682">
        <v>0</v>
      </c>
      <c r="N44" s="682">
        <v>0</v>
      </c>
      <c r="O44"/>
      <c r="P44" s="832" t="s">
        <v>2734</v>
      </c>
      <c r="Q44" s="678"/>
      <c r="R44" s="693"/>
      <c r="S44" s="693"/>
      <c r="T44" s="678"/>
      <c r="U44" s="693"/>
      <c r="V44" s="693"/>
      <c r="W44" s="693"/>
      <c r="X44" s="693"/>
      <c r="Y44" s="693"/>
      <c r="Z44" s="693"/>
      <c r="AA44" s="693"/>
      <c r="AB44" s="693"/>
      <c r="AC44" s="693"/>
      <c r="AD44" s="693"/>
      <c r="AE44" s="693"/>
      <c r="AF44" s="693"/>
      <c r="AG44" s="693"/>
      <c r="AH44" s="694"/>
      <c r="AI44" s="694"/>
      <c r="AJ44" s="694"/>
      <c r="AK44" s="694"/>
      <c r="AL44" s="694"/>
      <c r="AM44" s="694"/>
      <c r="AN44" s="694"/>
      <c r="AO44" s="694"/>
      <c r="AP44" s="694"/>
      <c r="AQ44" s="694"/>
      <c r="AR44" s="694"/>
      <c r="AS44" s="694"/>
      <c r="AT44" s="694"/>
      <c r="AU44" s="694"/>
      <c r="AV44" s="694"/>
      <c r="AW44" s="694"/>
      <c r="AX44" s="694"/>
      <c r="AY44" s="694"/>
      <c r="AZ44" s="694"/>
      <c r="BA44" s="694"/>
      <c r="BB44" s="694"/>
      <c r="BC44" s="694"/>
      <c r="BD44" s="681"/>
      <c r="BE44" s="681"/>
      <c r="BF44" s="681"/>
      <c r="BG44" s="681"/>
      <c r="BH44" s="681"/>
      <c r="BI44" s="681"/>
      <c r="BJ44" s="681"/>
      <c r="BK44" s="681"/>
      <c r="BL44" s="681"/>
      <c r="BM44" s="681"/>
      <c r="BN44" s="681"/>
      <c r="BO44" s="681"/>
      <c r="BP44" s="681"/>
      <c r="BQ44" s="681"/>
      <c r="BR44" s="681"/>
      <c r="BS44" s="681"/>
      <c r="BT44" s="681"/>
      <c r="BU44" s="681"/>
      <c r="BV44" s="681"/>
      <c r="BW44" s="681"/>
      <c r="BX44" s="681"/>
      <c r="BY44" s="681"/>
      <c r="BZ44" s="681"/>
      <c r="CA44" s="681"/>
      <c r="CB44" s="681"/>
      <c r="CC44" s="681"/>
      <c r="CD44" s="681"/>
      <c r="CE44" s="681"/>
      <c r="CF44" s="681"/>
      <c r="CG44" s="681"/>
      <c r="CH44" s="681"/>
      <c r="CI44" s="681"/>
      <c r="CJ44" s="681"/>
      <c r="CK44" s="681"/>
      <c r="CL44" s="681"/>
      <c r="CM44" s="681"/>
      <c r="CN44" s="681"/>
      <c r="CO44" s="681"/>
      <c r="CP44" s="681"/>
      <c r="CQ44" s="681"/>
      <c r="CR44" s="681"/>
      <c r="CS44" s="681"/>
      <c r="CT44" s="681"/>
      <c r="CU44" s="681"/>
      <c r="CV44" s="681"/>
      <c r="CW44" s="681"/>
      <c r="CX44" s="681"/>
      <c r="CY44" s="681"/>
      <c r="CZ44" s="681"/>
      <c r="DA44" s="681"/>
      <c r="DB44" s="681"/>
      <c r="DC44" s="681"/>
      <c r="DD44" s="681"/>
      <c r="DE44" s="681"/>
      <c r="DF44" s="681"/>
      <c r="DG44" s="681"/>
      <c r="DH44" s="681"/>
      <c r="DI44" s="681"/>
      <c r="DJ44" s="681"/>
      <c r="DK44" s="681"/>
      <c r="DL44" s="681"/>
      <c r="DM44" s="681"/>
      <c r="DN44" s="681"/>
      <c r="DO44" s="681"/>
      <c r="DP44" s="681"/>
      <c r="DQ44" s="681"/>
      <c r="DR44" s="681"/>
      <c r="DS44" s="681"/>
      <c r="DT44" s="681"/>
      <c r="DU44" s="681"/>
      <c r="DV44" s="681"/>
      <c r="DW44" s="681"/>
      <c r="DX44" s="681"/>
      <c r="DY44" s="681"/>
      <c r="DZ44" s="681"/>
      <c r="EA44" s="681"/>
      <c r="EB44" s="681"/>
      <c r="EC44" s="681"/>
      <c r="ED44" s="681"/>
      <c r="EE44" s="681"/>
      <c r="EF44" s="681"/>
      <c r="EG44" s="681"/>
      <c r="EH44" s="681"/>
      <c r="EI44" s="681"/>
      <c r="EJ44" s="681"/>
      <c r="EK44" s="681"/>
      <c r="EL44" s="681"/>
      <c r="EM44" s="681"/>
      <c r="EN44" s="681"/>
      <c r="EO44" s="681"/>
      <c r="EP44" s="681"/>
      <c r="EQ44" s="681"/>
      <c r="ER44" s="681"/>
      <c r="ES44" s="681"/>
      <c r="ET44" s="681"/>
      <c r="EU44" s="681"/>
      <c r="EV44" s="681"/>
      <c r="EW44" s="681"/>
      <c r="EX44" s="681"/>
      <c r="EY44" s="681"/>
      <c r="EZ44" s="681"/>
      <c r="FA44" s="681"/>
      <c r="FB44" s="681"/>
      <c r="FC44" s="681"/>
      <c r="FD44" s="681"/>
      <c r="FE44" s="681"/>
      <c r="FF44" s="681"/>
      <c r="FG44" s="681"/>
      <c r="FH44" s="681"/>
      <c r="FI44" s="681"/>
      <c r="FJ44" s="681"/>
      <c r="FK44" s="681"/>
      <c r="FL44" s="681"/>
      <c r="FM44" s="681"/>
      <c r="FN44" s="681"/>
      <c r="FO44" s="681"/>
      <c r="FP44" s="681"/>
      <c r="FQ44" s="681"/>
      <c r="FR44" s="681"/>
      <c r="FS44" s="681"/>
      <c r="FT44" s="681"/>
      <c r="FU44" s="681"/>
      <c r="FV44" s="681"/>
      <c r="FW44" s="681"/>
      <c r="FX44" s="681"/>
      <c r="FY44" s="681"/>
      <c r="FZ44" s="681"/>
      <c r="GA44" s="681"/>
      <c r="GB44" s="681"/>
      <c r="GC44" s="681"/>
      <c r="GD44" s="681"/>
      <c r="GE44" s="681"/>
      <c r="GF44" s="681"/>
      <c r="GG44" s="681"/>
      <c r="GH44" s="681"/>
      <c r="GI44" s="681"/>
      <c r="GJ44" s="681"/>
      <c r="GK44" s="681"/>
      <c r="GL44" s="681"/>
      <c r="GM44" s="681"/>
      <c r="GN44" s="681"/>
      <c r="GO44" s="681"/>
      <c r="GP44" s="681"/>
      <c r="GQ44" s="681"/>
      <c r="GR44" s="681"/>
      <c r="GS44" s="681"/>
      <c r="GT44" s="681"/>
    </row>
    <row r="45" spans="1:255" s="681" customFormat="1" ht="18" customHeight="1">
      <c r="A45" s="677" t="s">
        <v>660</v>
      </c>
      <c r="B45" s="678"/>
      <c r="C45" s="1146">
        <v>682.40249487000006</v>
      </c>
      <c r="D45" s="1146">
        <v>607.42230359000007</v>
      </c>
      <c r="E45" s="1146">
        <v>504.89177092</v>
      </c>
      <c r="F45" s="1146">
        <v>342.44602447000005</v>
      </c>
      <c r="G45" s="1146">
        <v>209.23874165000001</v>
      </c>
      <c r="H45" s="1146">
        <v>144.35517086000002</v>
      </c>
      <c r="I45" s="1146">
        <v>116.50179036</v>
      </c>
      <c r="J45" s="1146">
        <v>85.980406079999995</v>
      </c>
      <c r="K45" s="1146">
        <v>0</v>
      </c>
      <c r="L45" s="1146">
        <v>0</v>
      </c>
      <c r="M45" s="678">
        <v>0</v>
      </c>
      <c r="N45" s="678">
        <v>0</v>
      </c>
      <c r="O45"/>
      <c r="P45" s="832" t="s">
        <v>1641</v>
      </c>
      <c r="Q45" s="682"/>
      <c r="R45" s="682"/>
      <c r="S45" s="682"/>
      <c r="T45" s="678"/>
      <c r="U45" s="682"/>
      <c r="V45" s="682"/>
      <c r="W45" s="682"/>
      <c r="X45" s="682"/>
      <c r="Y45" s="682"/>
      <c r="Z45" s="682"/>
      <c r="AA45" s="682"/>
      <c r="AB45" s="682"/>
      <c r="AC45" s="682"/>
      <c r="AD45" s="682"/>
      <c r="AE45" s="682"/>
      <c r="AF45" s="682"/>
      <c r="AG45" s="682"/>
      <c r="AH45" s="683"/>
      <c r="AI45" s="683"/>
      <c r="AJ45" s="683"/>
      <c r="AK45" s="683"/>
      <c r="AL45" s="683"/>
      <c r="AM45" s="683"/>
      <c r="AN45" s="683"/>
      <c r="AO45" s="683"/>
      <c r="AP45" s="683"/>
      <c r="AQ45" s="683"/>
      <c r="AR45" s="683"/>
      <c r="AS45" s="683"/>
      <c r="AT45" s="683"/>
      <c r="AU45" s="683"/>
      <c r="AV45" s="683"/>
      <c r="AW45" s="683"/>
      <c r="AX45" s="683"/>
      <c r="AY45" s="683"/>
      <c r="AZ45" s="683"/>
      <c r="BA45" s="683"/>
      <c r="BB45" s="683"/>
      <c r="BC45" s="683"/>
      <c r="BD45" s="684"/>
      <c r="BE45" s="684"/>
      <c r="BF45" s="684"/>
      <c r="BG45" s="684"/>
      <c r="BH45" s="684"/>
      <c r="BI45" s="684"/>
      <c r="BJ45" s="684"/>
      <c r="BK45" s="684"/>
      <c r="BL45" s="684"/>
      <c r="BM45" s="684"/>
      <c r="BN45" s="684"/>
      <c r="BO45" s="684"/>
      <c r="BP45" s="684"/>
      <c r="BQ45" s="684"/>
      <c r="BR45" s="684"/>
      <c r="BS45" s="684"/>
      <c r="BT45" s="684"/>
      <c r="BU45" s="684"/>
      <c r="BV45" s="684"/>
      <c r="BW45" s="684"/>
      <c r="BX45" s="684"/>
    </row>
    <row r="46" spans="1:255" s="680" customFormat="1" ht="18" customHeight="1">
      <c r="A46" s="677" t="s">
        <v>1363</v>
      </c>
      <c r="B46" s="678"/>
      <c r="C46" s="1146">
        <v>0</v>
      </c>
      <c r="D46" s="1146">
        <v>0</v>
      </c>
      <c r="E46" s="1146">
        <v>0</v>
      </c>
      <c r="F46" s="1146">
        <v>0</v>
      </c>
      <c r="G46" s="1146">
        <v>0</v>
      </c>
      <c r="H46" s="1146">
        <v>0</v>
      </c>
      <c r="I46" s="1146">
        <v>0</v>
      </c>
      <c r="J46" s="1147">
        <v>0</v>
      </c>
      <c r="K46" s="1147">
        <v>0</v>
      </c>
      <c r="L46" s="1147">
        <v>0</v>
      </c>
      <c r="M46" s="682">
        <v>0</v>
      </c>
      <c r="N46" s="682">
        <v>0</v>
      </c>
      <c r="O46"/>
      <c r="P46" s="832" t="s">
        <v>1645</v>
      </c>
      <c r="Q46" s="678"/>
      <c r="R46" s="678"/>
      <c r="S46" s="678"/>
      <c r="T46" s="678"/>
      <c r="U46" s="678"/>
      <c r="V46" s="678"/>
      <c r="W46" s="678"/>
      <c r="X46" s="678"/>
      <c r="Y46" s="678"/>
      <c r="Z46" s="678"/>
      <c r="AA46" s="678"/>
      <c r="AB46" s="678"/>
      <c r="AC46" s="678"/>
      <c r="AD46" s="678"/>
      <c r="AE46" s="678"/>
      <c r="AF46" s="678"/>
      <c r="AG46" s="678"/>
      <c r="AH46" s="679"/>
      <c r="AI46" s="679"/>
      <c r="AJ46" s="679"/>
      <c r="AK46" s="679"/>
      <c r="AL46" s="679"/>
      <c r="AM46" s="679"/>
      <c r="AN46" s="679"/>
      <c r="AO46" s="679"/>
      <c r="AP46" s="679"/>
      <c r="AQ46" s="679"/>
      <c r="AR46" s="679"/>
      <c r="AS46" s="679"/>
      <c r="AT46" s="679"/>
      <c r="AU46" s="679"/>
      <c r="AV46" s="679"/>
      <c r="AW46" s="679"/>
      <c r="AX46" s="679"/>
      <c r="AY46" s="679"/>
      <c r="AZ46" s="679"/>
      <c r="BA46" s="679"/>
      <c r="BB46" s="679"/>
      <c r="BC46" s="679"/>
    </row>
    <row r="47" spans="1:255" s="680" customFormat="1" ht="18" customHeight="1">
      <c r="A47" s="677" t="s">
        <v>661</v>
      </c>
      <c r="B47" s="678"/>
      <c r="C47" s="1146">
        <v>0</v>
      </c>
      <c r="D47" s="1146">
        <v>0</v>
      </c>
      <c r="E47" s="1146">
        <v>0</v>
      </c>
      <c r="F47" s="1146">
        <v>0</v>
      </c>
      <c r="G47" s="1146">
        <v>0</v>
      </c>
      <c r="H47" s="1146">
        <v>0</v>
      </c>
      <c r="I47" s="1146">
        <v>0</v>
      </c>
      <c r="J47" s="1146">
        <v>0</v>
      </c>
      <c r="K47" s="1146">
        <v>0</v>
      </c>
      <c r="L47" s="1146">
        <v>0</v>
      </c>
      <c r="M47" s="678">
        <v>0</v>
      </c>
      <c r="N47" s="678">
        <v>0</v>
      </c>
      <c r="O47"/>
      <c r="P47" s="832" t="s">
        <v>1644</v>
      </c>
      <c r="Q47" s="678"/>
      <c r="R47" s="678"/>
      <c r="S47" s="678"/>
      <c r="T47" s="678"/>
      <c r="U47" s="678"/>
      <c r="V47" s="678"/>
      <c r="W47" s="678"/>
      <c r="X47" s="678"/>
      <c r="Y47" s="678"/>
      <c r="Z47" s="678"/>
      <c r="AA47" s="678"/>
      <c r="AB47" s="678"/>
      <c r="AC47" s="678"/>
      <c r="AD47" s="678"/>
      <c r="AE47" s="678"/>
      <c r="AF47" s="678"/>
      <c r="AG47" s="678"/>
      <c r="AH47" s="679"/>
      <c r="AI47" s="679"/>
      <c r="AJ47" s="679"/>
      <c r="AK47" s="679"/>
      <c r="AL47" s="679"/>
      <c r="AM47" s="679"/>
      <c r="AN47" s="679"/>
      <c r="AO47" s="679"/>
      <c r="AP47" s="679"/>
      <c r="AQ47" s="679"/>
      <c r="AR47" s="679"/>
      <c r="AS47" s="679"/>
      <c r="AT47" s="679"/>
      <c r="AU47" s="679"/>
      <c r="AV47" s="679"/>
      <c r="AW47" s="679"/>
      <c r="AX47" s="679"/>
      <c r="AY47" s="679"/>
      <c r="AZ47" s="679"/>
      <c r="BA47" s="679"/>
      <c r="BB47" s="679"/>
      <c r="BC47" s="679"/>
    </row>
    <row r="48" spans="1:255" s="681" customFormat="1" ht="18" customHeight="1">
      <c r="A48" s="677" t="s">
        <v>662</v>
      </c>
      <c r="B48" s="678"/>
      <c r="C48" s="1146">
        <v>3420.6924396300001</v>
      </c>
      <c r="D48" s="1146">
        <v>4218.7205140999995</v>
      </c>
      <c r="E48" s="1146">
        <v>5098.2910988200001</v>
      </c>
      <c r="F48" s="1146">
        <v>5337.8269716800005</v>
      </c>
      <c r="G48" s="1146">
        <v>4668.4441491199996</v>
      </c>
      <c r="H48" s="1146">
        <v>5268.7127744600002</v>
      </c>
      <c r="I48" s="1146">
        <v>5610.0431695400002</v>
      </c>
      <c r="J48" s="1146">
        <v>5283.7755636599995</v>
      </c>
      <c r="K48" s="1146">
        <v>0</v>
      </c>
      <c r="L48" s="1146">
        <v>0</v>
      </c>
      <c r="M48" s="678">
        <v>0</v>
      </c>
      <c r="N48" s="678">
        <v>0</v>
      </c>
      <c r="O48"/>
      <c r="P48" s="832" t="s">
        <v>1642</v>
      </c>
      <c r="Q48" s="678"/>
      <c r="R48" s="678"/>
      <c r="S48" s="678"/>
      <c r="T48" s="678"/>
      <c r="U48" s="678"/>
      <c r="V48" s="678"/>
      <c r="W48" s="678"/>
      <c r="X48" s="678"/>
      <c r="Y48" s="678"/>
      <c r="Z48" s="678"/>
      <c r="AA48" s="678"/>
      <c r="AB48" s="678"/>
      <c r="AC48" s="678"/>
      <c r="AD48" s="678"/>
      <c r="AE48" s="678"/>
      <c r="AF48" s="678"/>
      <c r="AG48" s="678"/>
      <c r="AH48" s="679"/>
      <c r="AI48" s="679"/>
      <c r="AJ48" s="679"/>
      <c r="AK48" s="679"/>
      <c r="AL48" s="679"/>
      <c r="AM48" s="679"/>
      <c r="AN48" s="679"/>
      <c r="AO48" s="679"/>
      <c r="AP48" s="679"/>
      <c r="AQ48" s="679"/>
      <c r="AR48" s="679"/>
      <c r="AS48" s="679"/>
      <c r="AT48" s="679"/>
      <c r="AU48" s="679"/>
      <c r="AV48" s="679"/>
      <c r="AW48" s="679"/>
      <c r="AX48" s="679"/>
      <c r="AY48" s="679"/>
      <c r="AZ48" s="679"/>
      <c r="BA48" s="679"/>
      <c r="BB48" s="679"/>
      <c r="BC48" s="679"/>
      <c r="BD48" s="680"/>
      <c r="BE48" s="680"/>
      <c r="BF48" s="680"/>
      <c r="BG48" s="680"/>
      <c r="BH48" s="680"/>
      <c r="BI48" s="680"/>
      <c r="BJ48" s="680"/>
      <c r="BK48" s="680"/>
      <c r="BL48" s="680"/>
      <c r="BM48" s="680"/>
      <c r="BN48" s="680"/>
      <c r="BO48" s="680"/>
      <c r="BP48" s="680"/>
      <c r="BQ48" s="680"/>
      <c r="BR48" s="680"/>
      <c r="BS48" s="680"/>
      <c r="BT48" s="680"/>
      <c r="BU48" s="680"/>
      <c r="BV48" s="680"/>
      <c r="BW48" s="680"/>
      <c r="BX48" s="680"/>
      <c r="BY48" s="680"/>
      <c r="BZ48" s="680"/>
      <c r="CA48" s="680"/>
      <c r="CB48" s="680"/>
      <c r="CC48" s="680"/>
      <c r="CD48" s="680"/>
      <c r="CE48" s="680"/>
      <c r="CF48" s="680"/>
      <c r="CG48" s="680"/>
      <c r="CH48" s="680"/>
      <c r="CI48" s="680"/>
      <c r="CJ48" s="680"/>
      <c r="CK48" s="680"/>
      <c r="CL48" s="680"/>
      <c r="CM48" s="680"/>
      <c r="CN48" s="680"/>
      <c r="CO48" s="680"/>
      <c r="CP48" s="680"/>
      <c r="CQ48" s="680"/>
      <c r="CR48" s="680"/>
      <c r="CS48" s="680"/>
      <c r="CT48" s="680"/>
      <c r="CU48" s="680"/>
      <c r="CV48" s="680"/>
      <c r="CW48" s="680"/>
      <c r="CX48" s="680"/>
      <c r="CY48" s="680"/>
      <c r="CZ48" s="680"/>
      <c r="DA48" s="680"/>
      <c r="DB48" s="680"/>
      <c r="DC48" s="680"/>
      <c r="DD48" s="680"/>
      <c r="DE48" s="680"/>
      <c r="DF48" s="680"/>
      <c r="DG48" s="680"/>
      <c r="DH48" s="680"/>
      <c r="DI48" s="680"/>
      <c r="DJ48" s="680"/>
      <c r="DK48" s="680"/>
      <c r="DL48" s="680"/>
      <c r="DM48" s="680"/>
      <c r="DN48" s="680"/>
      <c r="DO48" s="680"/>
      <c r="DP48" s="680"/>
      <c r="DQ48" s="680"/>
      <c r="DR48" s="680"/>
      <c r="DS48" s="680"/>
      <c r="DT48" s="680"/>
      <c r="DU48" s="680"/>
      <c r="DV48" s="680"/>
      <c r="DW48" s="680"/>
      <c r="DX48" s="680"/>
      <c r="DY48" s="680"/>
      <c r="DZ48" s="680"/>
      <c r="EA48" s="680"/>
      <c r="EB48" s="680"/>
      <c r="EC48" s="680"/>
      <c r="ED48" s="680"/>
      <c r="EE48" s="680"/>
      <c r="EF48" s="680"/>
      <c r="EG48" s="680"/>
      <c r="EH48" s="680"/>
      <c r="EI48" s="680"/>
      <c r="EJ48" s="680"/>
      <c r="EK48" s="680"/>
      <c r="EL48" s="680"/>
      <c r="EM48" s="680"/>
      <c r="EN48" s="680"/>
      <c r="EO48" s="680"/>
      <c r="EP48" s="680"/>
      <c r="EQ48" s="680"/>
      <c r="ER48" s="680"/>
      <c r="ES48" s="680"/>
      <c r="ET48" s="680"/>
      <c r="EU48" s="680"/>
      <c r="EV48" s="680"/>
      <c r="EW48" s="680"/>
      <c r="EX48" s="680"/>
      <c r="EY48" s="680"/>
      <c r="EZ48" s="680"/>
      <c r="FA48" s="680"/>
      <c r="FB48" s="680"/>
      <c r="FC48" s="680"/>
      <c r="FD48" s="680"/>
      <c r="FE48" s="680"/>
      <c r="FF48" s="680"/>
      <c r="FG48" s="680"/>
      <c r="FH48" s="680"/>
      <c r="FI48" s="680"/>
      <c r="FJ48" s="680"/>
      <c r="FK48" s="680"/>
      <c r="FL48" s="680"/>
      <c r="FM48" s="680"/>
      <c r="FN48" s="680"/>
      <c r="FO48" s="680"/>
      <c r="FP48" s="680"/>
      <c r="FQ48" s="680"/>
      <c r="FR48" s="680"/>
      <c r="FS48" s="680"/>
      <c r="FT48" s="680"/>
      <c r="FU48" s="680"/>
      <c r="FV48" s="680"/>
      <c r="FW48" s="680"/>
      <c r="FX48" s="680"/>
      <c r="FY48" s="680"/>
      <c r="FZ48" s="680"/>
      <c r="GA48" s="680"/>
      <c r="GB48" s="680"/>
      <c r="GC48" s="680"/>
      <c r="GD48" s="680"/>
      <c r="GE48" s="680"/>
      <c r="GF48" s="680"/>
      <c r="GG48" s="680"/>
      <c r="GH48" s="680"/>
      <c r="GI48" s="680"/>
      <c r="GJ48" s="680"/>
      <c r="GK48" s="680"/>
      <c r="GL48" s="680"/>
      <c r="GM48" s="680"/>
      <c r="GN48" s="680"/>
      <c r="GO48" s="680"/>
      <c r="GP48" s="680"/>
      <c r="GQ48" s="680"/>
      <c r="GR48" s="680"/>
      <c r="GS48" s="680"/>
      <c r="GT48" s="680"/>
      <c r="GU48" s="680"/>
      <c r="GV48" s="680"/>
      <c r="GW48" s="680"/>
      <c r="GX48" s="680"/>
      <c r="GY48" s="680"/>
      <c r="GZ48" s="680"/>
      <c r="HA48" s="680"/>
      <c r="HB48" s="680"/>
      <c r="HC48" s="680"/>
      <c r="HD48" s="680"/>
      <c r="HE48" s="680"/>
      <c r="HF48" s="680"/>
      <c r="HG48" s="680"/>
      <c r="HH48" s="680"/>
      <c r="HI48" s="680"/>
      <c r="HJ48" s="680"/>
      <c r="HK48" s="680"/>
      <c r="HL48" s="680"/>
      <c r="HM48" s="680"/>
      <c r="HN48" s="680"/>
      <c r="HO48" s="680"/>
      <c r="HP48" s="680"/>
      <c r="HQ48" s="680"/>
      <c r="HR48" s="680"/>
      <c r="HS48" s="680"/>
      <c r="HT48" s="680"/>
      <c r="HU48" s="680"/>
      <c r="HV48" s="680"/>
      <c r="HW48" s="680"/>
      <c r="HX48" s="680"/>
      <c r="HY48" s="680"/>
      <c r="HZ48" s="680"/>
      <c r="IA48" s="680"/>
      <c r="IB48" s="680"/>
      <c r="IC48" s="680"/>
      <c r="ID48" s="680"/>
      <c r="IE48" s="680"/>
      <c r="IF48" s="680"/>
      <c r="IG48" s="680"/>
      <c r="IH48" s="680"/>
      <c r="II48" s="680"/>
      <c r="IJ48" s="680"/>
      <c r="IK48" s="680"/>
      <c r="IL48" s="680"/>
      <c r="IM48" s="680"/>
      <c r="IN48" s="680"/>
      <c r="IO48" s="680"/>
      <c r="IP48" s="680"/>
      <c r="IQ48" s="680"/>
      <c r="IR48" s="680"/>
      <c r="IS48" s="680"/>
      <c r="IT48" s="680"/>
      <c r="IU48" s="680"/>
    </row>
    <row r="49" spans="1:255" s="681" customFormat="1" ht="18" customHeight="1">
      <c r="A49" s="677" t="s">
        <v>1402</v>
      </c>
      <c r="B49" s="678"/>
      <c r="C49" s="1146">
        <v>279.69450638999996</v>
      </c>
      <c r="D49" s="1146">
        <v>0</v>
      </c>
      <c r="E49" s="1146">
        <v>460.67484525999998</v>
      </c>
      <c r="F49" s="1146">
        <v>0</v>
      </c>
      <c r="G49" s="1146">
        <v>0</v>
      </c>
      <c r="H49" s="1146">
        <v>0</v>
      </c>
      <c r="I49" s="1146">
        <v>376.23780081000001</v>
      </c>
      <c r="J49" s="1146">
        <v>0</v>
      </c>
      <c r="K49" s="1146">
        <v>0</v>
      </c>
      <c r="L49" s="1146">
        <v>0</v>
      </c>
      <c r="M49" s="678">
        <v>0</v>
      </c>
      <c r="N49" s="678">
        <v>0</v>
      </c>
      <c r="O49"/>
      <c r="P49" s="832" t="s">
        <v>1867</v>
      </c>
      <c r="Q49" s="678"/>
      <c r="R49" s="678"/>
      <c r="S49" s="678"/>
      <c r="T49" s="678"/>
      <c r="U49" s="678"/>
      <c r="V49" s="678"/>
      <c r="W49" s="678"/>
      <c r="X49" s="678"/>
      <c r="Y49" s="678"/>
      <c r="Z49" s="678"/>
      <c r="AA49" s="678"/>
      <c r="AB49" s="678"/>
      <c r="AC49" s="678"/>
      <c r="AD49" s="678"/>
      <c r="AE49" s="678"/>
      <c r="AF49" s="678"/>
      <c r="AG49" s="678"/>
      <c r="AH49" s="679"/>
      <c r="AI49" s="679"/>
      <c r="AJ49" s="679"/>
      <c r="AK49" s="679"/>
      <c r="AL49" s="679"/>
      <c r="AM49" s="679"/>
      <c r="AN49" s="679"/>
      <c r="AO49" s="679"/>
      <c r="AP49" s="679"/>
      <c r="AQ49" s="679"/>
      <c r="AR49" s="679"/>
      <c r="AS49" s="679"/>
      <c r="AT49" s="679"/>
      <c r="AU49" s="679"/>
      <c r="AV49" s="679"/>
      <c r="AW49" s="679"/>
      <c r="AX49" s="679"/>
      <c r="AY49" s="679"/>
      <c r="AZ49" s="679"/>
      <c r="BA49" s="679"/>
      <c r="BB49" s="679"/>
      <c r="BC49" s="679"/>
      <c r="BD49" s="680"/>
      <c r="BE49" s="680"/>
      <c r="BF49" s="680"/>
      <c r="BG49" s="680"/>
      <c r="BH49" s="680"/>
      <c r="BI49" s="680"/>
      <c r="BJ49" s="680"/>
      <c r="BK49" s="680"/>
      <c r="BL49" s="680"/>
      <c r="BM49" s="680"/>
      <c r="BN49" s="680"/>
      <c r="BO49" s="680"/>
      <c r="BP49" s="680"/>
      <c r="BQ49" s="680"/>
      <c r="BR49" s="680"/>
      <c r="BS49" s="680"/>
      <c r="BT49" s="680"/>
      <c r="BU49" s="680"/>
      <c r="BV49" s="680"/>
      <c r="BW49" s="680"/>
      <c r="BX49" s="680"/>
      <c r="BY49" s="680"/>
      <c r="BZ49" s="680"/>
      <c r="CA49" s="680"/>
      <c r="CB49" s="680"/>
      <c r="CC49" s="680"/>
      <c r="CD49" s="680"/>
      <c r="CE49" s="680"/>
      <c r="CF49" s="680"/>
      <c r="CG49" s="680"/>
      <c r="CH49" s="680"/>
      <c r="CI49" s="680"/>
      <c r="CJ49" s="680"/>
      <c r="CK49" s="680"/>
      <c r="CL49" s="680"/>
      <c r="CM49" s="680"/>
      <c r="CN49" s="680"/>
      <c r="CO49" s="680"/>
      <c r="CP49" s="680"/>
      <c r="CQ49" s="680"/>
      <c r="CR49" s="680"/>
      <c r="CS49" s="680"/>
      <c r="CT49" s="680"/>
      <c r="CU49" s="680"/>
      <c r="CV49" s="680"/>
      <c r="CW49" s="680"/>
      <c r="CX49" s="680"/>
      <c r="CY49" s="680"/>
      <c r="CZ49" s="680"/>
      <c r="DA49" s="680"/>
      <c r="DB49" s="680"/>
      <c r="DC49" s="680"/>
      <c r="DD49" s="680"/>
      <c r="DE49" s="680"/>
      <c r="DF49" s="680"/>
      <c r="DG49" s="680"/>
      <c r="DH49" s="680"/>
      <c r="DI49" s="680"/>
      <c r="DJ49" s="680"/>
      <c r="DK49" s="680"/>
      <c r="DL49" s="680"/>
      <c r="DM49" s="680"/>
      <c r="DN49" s="680"/>
      <c r="DO49" s="680"/>
      <c r="DP49" s="680"/>
      <c r="DQ49" s="680"/>
      <c r="DR49" s="680"/>
      <c r="DS49" s="680"/>
      <c r="DT49" s="680"/>
      <c r="DU49" s="680"/>
      <c r="DV49" s="680"/>
      <c r="DW49" s="680"/>
      <c r="DX49" s="680"/>
      <c r="DY49" s="680"/>
      <c r="DZ49" s="680"/>
      <c r="EA49" s="680"/>
      <c r="EB49" s="680"/>
      <c r="EC49" s="680"/>
      <c r="ED49" s="680"/>
      <c r="EE49" s="680"/>
      <c r="EF49" s="680"/>
      <c r="EG49" s="680"/>
      <c r="EH49" s="680"/>
      <c r="EI49" s="680"/>
      <c r="EJ49" s="680"/>
      <c r="EK49" s="680"/>
      <c r="EL49" s="680"/>
      <c r="EM49" s="680"/>
      <c r="EN49" s="680"/>
      <c r="EO49" s="680"/>
      <c r="EP49" s="680"/>
      <c r="EQ49" s="680"/>
      <c r="ER49" s="680"/>
      <c r="ES49" s="680"/>
      <c r="ET49" s="680"/>
      <c r="EU49" s="680"/>
      <c r="EV49" s="680"/>
      <c r="EW49" s="680"/>
      <c r="EX49" s="680"/>
      <c r="EY49" s="680"/>
      <c r="EZ49" s="680"/>
      <c r="FA49" s="680"/>
      <c r="FB49" s="680"/>
      <c r="FC49" s="680"/>
      <c r="FD49" s="680"/>
      <c r="FE49" s="680"/>
      <c r="FF49" s="680"/>
      <c r="FG49" s="680"/>
      <c r="FH49" s="680"/>
      <c r="FI49" s="680"/>
      <c r="FJ49" s="680"/>
      <c r="FK49" s="680"/>
      <c r="FL49" s="680"/>
      <c r="FM49" s="680"/>
      <c r="FN49" s="680"/>
      <c r="FO49" s="680"/>
      <c r="FP49" s="680"/>
      <c r="FQ49" s="680"/>
      <c r="FR49" s="680"/>
      <c r="FS49" s="680"/>
      <c r="FT49" s="680"/>
      <c r="FU49" s="680"/>
      <c r="FV49" s="680"/>
      <c r="FW49" s="680"/>
      <c r="FX49" s="680"/>
      <c r="FY49" s="680"/>
      <c r="FZ49" s="680"/>
      <c r="GA49" s="680"/>
      <c r="GB49" s="680"/>
      <c r="GC49" s="680"/>
      <c r="GD49" s="680"/>
      <c r="GE49" s="680"/>
      <c r="GF49" s="680"/>
      <c r="GG49" s="680"/>
      <c r="GH49" s="680"/>
      <c r="GI49" s="680"/>
      <c r="GJ49" s="680"/>
      <c r="GK49" s="680"/>
      <c r="GL49" s="680"/>
      <c r="GM49" s="680"/>
      <c r="GN49" s="680"/>
      <c r="GO49" s="680"/>
      <c r="GP49" s="680"/>
      <c r="GQ49" s="680"/>
      <c r="GR49" s="680"/>
      <c r="GS49" s="680"/>
      <c r="GT49" s="680"/>
      <c r="GU49" s="680"/>
      <c r="GV49" s="680"/>
      <c r="GW49" s="680"/>
      <c r="GX49" s="680"/>
      <c r="GY49" s="680"/>
      <c r="GZ49" s="680"/>
      <c r="HA49" s="680"/>
      <c r="HB49" s="680"/>
      <c r="HC49" s="680"/>
      <c r="HD49" s="680"/>
      <c r="HE49" s="680"/>
      <c r="HF49" s="680"/>
      <c r="HG49" s="680"/>
      <c r="HH49" s="680"/>
      <c r="HI49" s="680"/>
      <c r="HJ49" s="680"/>
      <c r="HK49" s="680"/>
      <c r="HL49" s="680"/>
      <c r="HM49" s="680"/>
      <c r="HN49" s="680"/>
      <c r="HO49" s="680"/>
      <c r="HP49" s="680"/>
      <c r="HQ49" s="680"/>
      <c r="HR49" s="680"/>
      <c r="HS49" s="680"/>
      <c r="HT49" s="680"/>
      <c r="HU49" s="680"/>
      <c r="HV49" s="680"/>
      <c r="HW49" s="680"/>
      <c r="HX49" s="680"/>
      <c r="HY49" s="680"/>
      <c r="HZ49" s="680"/>
      <c r="IA49" s="680"/>
      <c r="IB49" s="680"/>
      <c r="IC49" s="680"/>
      <c r="ID49" s="680"/>
      <c r="IE49" s="680"/>
      <c r="IF49" s="680"/>
      <c r="IG49" s="680"/>
      <c r="IH49" s="680"/>
      <c r="II49" s="680"/>
      <c r="IJ49" s="680"/>
      <c r="IK49" s="680"/>
      <c r="IL49" s="680"/>
      <c r="IM49" s="680"/>
      <c r="IN49" s="680"/>
      <c r="IO49" s="680"/>
      <c r="IP49" s="680"/>
      <c r="IQ49" s="680"/>
      <c r="IR49" s="680"/>
      <c r="IS49" s="680"/>
      <c r="IT49" s="680"/>
      <c r="IU49" s="680"/>
    </row>
    <row r="50" spans="1:255" s="681" customFormat="1" ht="18" customHeight="1">
      <c r="A50" s="1132" t="s">
        <v>2786</v>
      </c>
      <c r="B50" s="678"/>
      <c r="C50" s="1146">
        <v>229.29043228999998</v>
      </c>
      <c r="D50" s="1146">
        <v>437.72768394000002</v>
      </c>
      <c r="E50" s="1146">
        <v>158.01020508000002</v>
      </c>
      <c r="F50" s="1146">
        <v>333.57286245999995</v>
      </c>
      <c r="G50" s="1146">
        <v>319.27647168999999</v>
      </c>
      <c r="H50" s="1146">
        <v>304.09004745999999</v>
      </c>
      <c r="I50" s="1146">
        <v>295.12347426999997</v>
      </c>
      <c r="J50" s="1146">
        <v>247.66326855</v>
      </c>
      <c r="K50" s="1146">
        <v>0</v>
      </c>
      <c r="L50" s="1146">
        <v>0</v>
      </c>
      <c r="M50" s="678">
        <v>0</v>
      </c>
      <c r="N50" s="678">
        <v>0</v>
      </c>
      <c r="O50"/>
      <c r="P50" s="832" t="s">
        <v>2842</v>
      </c>
      <c r="Q50" s="678"/>
      <c r="R50" s="678"/>
      <c r="S50" s="678"/>
      <c r="T50" s="678"/>
      <c r="U50" s="678"/>
      <c r="V50" s="678"/>
      <c r="W50" s="678"/>
      <c r="X50" s="678"/>
      <c r="Y50" s="678"/>
      <c r="Z50" s="678"/>
      <c r="AA50" s="678"/>
      <c r="AB50" s="678"/>
      <c r="AC50" s="678"/>
      <c r="AD50" s="678"/>
      <c r="AE50" s="678"/>
      <c r="AF50" s="678"/>
      <c r="AG50" s="678"/>
      <c r="AH50" s="679"/>
      <c r="AI50" s="679"/>
      <c r="AJ50" s="679"/>
      <c r="AK50" s="679"/>
      <c r="AL50" s="679"/>
      <c r="AM50" s="679"/>
      <c r="AN50" s="679"/>
      <c r="AO50" s="679"/>
      <c r="AP50" s="679"/>
      <c r="AQ50" s="679"/>
      <c r="AR50" s="679"/>
      <c r="AS50" s="679"/>
      <c r="AT50" s="679"/>
      <c r="AU50" s="679"/>
      <c r="AV50" s="679"/>
      <c r="AW50" s="679"/>
      <c r="AX50" s="679"/>
      <c r="AY50" s="679"/>
      <c r="AZ50" s="679"/>
      <c r="BA50" s="679"/>
      <c r="BB50" s="679"/>
      <c r="BC50" s="679"/>
      <c r="BD50" s="680"/>
      <c r="BE50" s="680"/>
      <c r="BF50" s="680"/>
      <c r="BG50" s="680"/>
      <c r="BH50" s="680"/>
      <c r="BI50" s="680"/>
      <c r="BJ50" s="680"/>
      <c r="BK50" s="680"/>
      <c r="BL50" s="680"/>
      <c r="BM50" s="680"/>
      <c r="BN50" s="680"/>
      <c r="BO50" s="680"/>
      <c r="BP50" s="680"/>
      <c r="BQ50" s="680"/>
      <c r="BR50" s="680"/>
      <c r="BS50" s="680"/>
      <c r="BT50" s="680"/>
      <c r="BU50" s="680"/>
      <c r="BV50" s="680"/>
      <c r="BW50" s="680"/>
      <c r="BX50" s="680"/>
      <c r="BY50" s="680"/>
      <c r="BZ50" s="680"/>
      <c r="CA50" s="680"/>
      <c r="CB50" s="680"/>
      <c r="CC50" s="680"/>
      <c r="CD50" s="680"/>
      <c r="CE50" s="680"/>
      <c r="CF50" s="680"/>
      <c r="CG50" s="680"/>
      <c r="CH50" s="680"/>
      <c r="CI50" s="680"/>
      <c r="CJ50" s="680"/>
      <c r="CK50" s="680"/>
      <c r="CL50" s="680"/>
      <c r="CM50" s="680"/>
      <c r="CN50" s="680"/>
      <c r="CO50" s="680"/>
      <c r="CP50" s="680"/>
      <c r="CQ50" s="680"/>
      <c r="CR50" s="680"/>
      <c r="CS50" s="680"/>
      <c r="CT50" s="680"/>
      <c r="CU50" s="680"/>
      <c r="CV50" s="680"/>
      <c r="CW50" s="680"/>
      <c r="CX50" s="680"/>
      <c r="CY50" s="680"/>
      <c r="CZ50" s="680"/>
      <c r="DA50" s="680"/>
      <c r="DB50" s="680"/>
      <c r="DC50" s="680"/>
      <c r="DD50" s="680"/>
      <c r="DE50" s="680"/>
      <c r="DF50" s="680"/>
      <c r="DG50" s="680"/>
      <c r="DH50" s="680"/>
      <c r="DI50" s="680"/>
      <c r="DJ50" s="680"/>
      <c r="DK50" s="680"/>
      <c r="DL50" s="680"/>
      <c r="DM50" s="680"/>
      <c r="DN50" s="680"/>
      <c r="DO50" s="680"/>
      <c r="DP50" s="680"/>
      <c r="DQ50" s="680"/>
      <c r="DR50" s="680"/>
      <c r="DS50" s="680"/>
      <c r="DT50" s="680"/>
      <c r="DU50" s="680"/>
      <c r="DV50" s="680"/>
      <c r="DW50" s="680"/>
      <c r="DX50" s="680"/>
      <c r="DY50" s="680"/>
      <c r="DZ50" s="680"/>
      <c r="EA50" s="680"/>
      <c r="EB50" s="680"/>
      <c r="EC50" s="680"/>
      <c r="ED50" s="680"/>
      <c r="EE50" s="680"/>
      <c r="EF50" s="680"/>
      <c r="EG50" s="680"/>
      <c r="EH50" s="680"/>
      <c r="EI50" s="680"/>
      <c r="EJ50" s="680"/>
      <c r="EK50" s="680"/>
      <c r="EL50" s="680"/>
      <c r="EM50" s="680"/>
      <c r="EN50" s="680"/>
      <c r="EO50" s="680"/>
      <c r="EP50" s="680"/>
      <c r="EQ50" s="680"/>
      <c r="ER50" s="680"/>
      <c r="ES50" s="680"/>
      <c r="ET50" s="680"/>
      <c r="EU50" s="680"/>
      <c r="EV50" s="680"/>
      <c r="EW50" s="680"/>
      <c r="EX50" s="680"/>
      <c r="EY50" s="680"/>
      <c r="EZ50" s="680"/>
      <c r="FA50" s="680"/>
      <c r="FB50" s="680"/>
      <c r="FC50" s="680"/>
      <c r="FD50" s="680"/>
      <c r="FE50" s="680"/>
      <c r="FF50" s="680"/>
      <c r="FG50" s="680"/>
      <c r="FH50" s="680"/>
      <c r="FI50" s="680"/>
      <c r="FJ50" s="680"/>
      <c r="FK50" s="680"/>
      <c r="FL50" s="680"/>
      <c r="FM50" s="680"/>
      <c r="FN50" s="680"/>
      <c r="FO50" s="680"/>
      <c r="FP50" s="680"/>
      <c r="FQ50" s="680"/>
      <c r="FR50" s="680"/>
      <c r="FS50" s="680"/>
      <c r="FT50" s="680"/>
      <c r="FU50" s="680"/>
      <c r="FV50" s="680"/>
      <c r="FW50" s="680"/>
      <c r="FX50" s="680"/>
      <c r="FY50" s="680"/>
      <c r="FZ50" s="680"/>
      <c r="GA50" s="680"/>
      <c r="GB50" s="680"/>
      <c r="GC50" s="680"/>
      <c r="GD50" s="680"/>
      <c r="GE50" s="680"/>
      <c r="GF50" s="680"/>
      <c r="GG50" s="680"/>
      <c r="GH50" s="680"/>
      <c r="GI50" s="680"/>
      <c r="GJ50" s="680"/>
      <c r="GK50" s="680"/>
      <c r="GL50" s="680"/>
      <c r="GM50" s="680"/>
      <c r="GN50" s="680"/>
      <c r="GO50" s="680"/>
      <c r="GP50" s="680"/>
      <c r="GQ50" s="680"/>
      <c r="GR50" s="680"/>
      <c r="GS50" s="680"/>
      <c r="GT50" s="680"/>
      <c r="GU50" s="680"/>
      <c r="GV50" s="680"/>
      <c r="GW50" s="680"/>
      <c r="GX50" s="680"/>
      <c r="GY50" s="680"/>
      <c r="GZ50" s="680"/>
      <c r="HA50" s="680"/>
      <c r="HB50" s="680"/>
      <c r="HC50" s="680"/>
      <c r="HD50" s="680"/>
      <c r="HE50" s="680"/>
      <c r="HF50" s="680"/>
      <c r="HG50" s="680"/>
      <c r="HH50" s="680"/>
      <c r="HI50" s="680"/>
      <c r="HJ50" s="680"/>
      <c r="HK50" s="680"/>
      <c r="HL50" s="680"/>
      <c r="HM50" s="680"/>
      <c r="HN50" s="680"/>
      <c r="HO50" s="680"/>
      <c r="HP50" s="680"/>
      <c r="HQ50" s="680"/>
      <c r="HR50" s="680"/>
      <c r="HS50" s="680"/>
      <c r="HT50" s="680"/>
      <c r="HU50" s="680"/>
      <c r="HV50" s="680"/>
      <c r="HW50" s="680"/>
      <c r="HX50" s="680"/>
      <c r="HY50" s="680"/>
      <c r="HZ50" s="680"/>
      <c r="IA50" s="680"/>
      <c r="IB50" s="680"/>
      <c r="IC50" s="680"/>
      <c r="ID50" s="680"/>
      <c r="IE50" s="680"/>
      <c r="IF50" s="680"/>
      <c r="IG50" s="680"/>
      <c r="IH50" s="680"/>
      <c r="II50" s="680"/>
      <c r="IJ50" s="680"/>
      <c r="IK50" s="680"/>
      <c r="IL50" s="680"/>
      <c r="IM50" s="680"/>
      <c r="IN50" s="680"/>
      <c r="IO50" s="680"/>
      <c r="IP50" s="680"/>
      <c r="IQ50" s="680"/>
      <c r="IR50" s="680"/>
      <c r="IS50" s="680"/>
      <c r="IT50" s="680"/>
      <c r="IU50" s="680"/>
    </row>
    <row r="51" spans="1:255" s="681" customFormat="1" ht="18" customHeight="1">
      <c r="A51" s="1132" t="s">
        <v>2718</v>
      </c>
      <c r="B51" s="678"/>
      <c r="C51" s="1146">
        <v>279.69450638999996</v>
      </c>
      <c r="D51" s="1146">
        <v>429.79896935000005</v>
      </c>
      <c r="E51" s="1146">
        <v>460.67484525999998</v>
      </c>
      <c r="F51" s="1146">
        <v>332.56413283000001</v>
      </c>
      <c r="G51" s="1146">
        <v>286.87363082999997</v>
      </c>
      <c r="H51" s="1146">
        <v>370.16935147000004</v>
      </c>
      <c r="I51" s="1146">
        <v>376.23780081000001</v>
      </c>
      <c r="J51" s="1146">
        <v>459.34909987999998</v>
      </c>
      <c r="K51" s="1146">
        <v>0</v>
      </c>
      <c r="L51" s="1146">
        <v>0</v>
      </c>
      <c r="M51" s="678">
        <v>0</v>
      </c>
      <c r="N51" s="678">
        <v>0</v>
      </c>
      <c r="O51"/>
      <c r="P51" s="832" t="s">
        <v>2735</v>
      </c>
      <c r="Q51" s="678"/>
      <c r="R51" s="678"/>
      <c r="S51" s="678"/>
      <c r="T51" s="678"/>
      <c r="U51" s="678"/>
      <c r="V51" s="678"/>
      <c r="W51" s="678"/>
      <c r="X51" s="678"/>
      <c r="Y51" s="678"/>
      <c r="Z51" s="678"/>
      <c r="AA51" s="678"/>
      <c r="AB51" s="678"/>
      <c r="AC51" s="678"/>
      <c r="AD51" s="678"/>
      <c r="AE51" s="678"/>
      <c r="AF51" s="678"/>
      <c r="AG51" s="678"/>
      <c r="AH51" s="679"/>
      <c r="AI51" s="679"/>
      <c r="AJ51" s="679"/>
      <c r="AK51" s="679"/>
      <c r="AL51" s="679"/>
      <c r="AM51" s="679"/>
      <c r="AN51" s="679"/>
      <c r="AO51" s="679"/>
      <c r="AP51" s="679"/>
      <c r="AQ51" s="679"/>
      <c r="AR51" s="679"/>
      <c r="AS51" s="679"/>
      <c r="AT51" s="679"/>
      <c r="AU51" s="679"/>
      <c r="AV51" s="679"/>
      <c r="AW51" s="679"/>
      <c r="AX51" s="679"/>
      <c r="AY51" s="679"/>
      <c r="AZ51" s="679"/>
      <c r="BA51" s="679"/>
      <c r="BB51" s="679"/>
      <c r="BC51" s="679"/>
      <c r="BD51" s="680"/>
      <c r="BE51" s="680"/>
      <c r="BF51" s="680"/>
      <c r="BG51" s="680"/>
      <c r="BH51" s="680"/>
      <c r="BI51" s="680"/>
      <c r="BJ51" s="680"/>
      <c r="BK51" s="680"/>
      <c r="BL51" s="680"/>
      <c r="BM51" s="680"/>
      <c r="BN51" s="680"/>
      <c r="BO51" s="680"/>
      <c r="BP51" s="680"/>
      <c r="BQ51" s="680"/>
      <c r="BR51" s="680"/>
      <c r="BS51" s="680"/>
      <c r="BT51" s="680"/>
      <c r="BU51" s="680"/>
      <c r="BV51" s="680"/>
      <c r="BW51" s="680"/>
      <c r="BX51" s="680"/>
      <c r="BY51" s="680"/>
      <c r="BZ51" s="680"/>
      <c r="CA51" s="680"/>
      <c r="CB51" s="680"/>
      <c r="CC51" s="680"/>
      <c r="CD51" s="680"/>
      <c r="CE51" s="680"/>
      <c r="CF51" s="680"/>
      <c r="CG51" s="680"/>
      <c r="CH51" s="680"/>
      <c r="CI51" s="680"/>
      <c r="CJ51" s="680"/>
      <c r="CK51" s="680"/>
      <c r="CL51" s="680"/>
      <c r="CM51" s="680"/>
      <c r="CN51" s="680"/>
      <c r="CO51" s="680"/>
      <c r="CP51" s="680"/>
      <c r="CQ51" s="680"/>
      <c r="CR51" s="680"/>
      <c r="CS51" s="680"/>
      <c r="CT51" s="680"/>
      <c r="CU51" s="680"/>
      <c r="CV51" s="680"/>
      <c r="CW51" s="680"/>
      <c r="CX51" s="680"/>
      <c r="CY51" s="680"/>
      <c r="CZ51" s="680"/>
      <c r="DA51" s="680"/>
      <c r="DB51" s="680"/>
      <c r="DC51" s="680"/>
      <c r="DD51" s="680"/>
      <c r="DE51" s="680"/>
      <c r="DF51" s="680"/>
      <c r="DG51" s="680"/>
      <c r="DH51" s="680"/>
      <c r="DI51" s="680"/>
      <c r="DJ51" s="680"/>
      <c r="DK51" s="680"/>
      <c r="DL51" s="680"/>
      <c r="DM51" s="680"/>
      <c r="DN51" s="680"/>
      <c r="DO51" s="680"/>
      <c r="DP51" s="680"/>
      <c r="DQ51" s="680"/>
      <c r="DR51" s="680"/>
      <c r="DS51" s="680"/>
      <c r="DT51" s="680"/>
      <c r="DU51" s="680"/>
      <c r="DV51" s="680"/>
      <c r="DW51" s="680"/>
      <c r="DX51" s="680"/>
      <c r="DY51" s="680"/>
      <c r="DZ51" s="680"/>
      <c r="EA51" s="680"/>
      <c r="EB51" s="680"/>
      <c r="EC51" s="680"/>
      <c r="ED51" s="680"/>
      <c r="EE51" s="680"/>
      <c r="EF51" s="680"/>
      <c r="EG51" s="680"/>
      <c r="EH51" s="680"/>
      <c r="EI51" s="680"/>
      <c r="EJ51" s="680"/>
      <c r="EK51" s="680"/>
      <c r="EL51" s="680"/>
      <c r="EM51" s="680"/>
      <c r="EN51" s="680"/>
      <c r="EO51" s="680"/>
      <c r="EP51" s="680"/>
      <c r="EQ51" s="680"/>
      <c r="ER51" s="680"/>
      <c r="ES51" s="680"/>
      <c r="ET51" s="680"/>
      <c r="EU51" s="680"/>
      <c r="EV51" s="680"/>
      <c r="EW51" s="680"/>
      <c r="EX51" s="680"/>
      <c r="EY51" s="680"/>
      <c r="EZ51" s="680"/>
      <c r="FA51" s="680"/>
      <c r="FB51" s="680"/>
      <c r="FC51" s="680"/>
      <c r="FD51" s="680"/>
      <c r="FE51" s="680"/>
      <c r="FF51" s="680"/>
      <c r="FG51" s="680"/>
      <c r="FH51" s="680"/>
      <c r="FI51" s="680"/>
      <c r="FJ51" s="680"/>
      <c r="FK51" s="680"/>
      <c r="FL51" s="680"/>
      <c r="FM51" s="680"/>
      <c r="FN51" s="680"/>
      <c r="FO51" s="680"/>
      <c r="FP51" s="680"/>
      <c r="FQ51" s="680"/>
      <c r="FR51" s="680"/>
      <c r="FS51" s="680"/>
      <c r="FT51" s="680"/>
      <c r="FU51" s="680"/>
      <c r="FV51" s="680"/>
      <c r="FW51" s="680"/>
      <c r="FX51" s="680"/>
      <c r="FY51" s="680"/>
      <c r="FZ51" s="680"/>
      <c r="GA51" s="680"/>
      <c r="GB51" s="680"/>
      <c r="GC51" s="680"/>
      <c r="GD51" s="680"/>
      <c r="GE51" s="680"/>
      <c r="GF51" s="680"/>
      <c r="GG51" s="680"/>
      <c r="GH51" s="680"/>
      <c r="GI51" s="680"/>
      <c r="GJ51" s="680"/>
      <c r="GK51" s="680"/>
      <c r="GL51" s="680"/>
      <c r="GM51" s="680"/>
      <c r="GN51" s="680"/>
      <c r="GO51" s="680"/>
      <c r="GP51" s="680"/>
      <c r="GQ51" s="680"/>
      <c r="GR51" s="680"/>
      <c r="GS51" s="680"/>
      <c r="GT51" s="680"/>
      <c r="GU51" s="680"/>
      <c r="GV51" s="680"/>
      <c r="GW51" s="680"/>
      <c r="GX51" s="680"/>
      <c r="GY51" s="680"/>
      <c r="GZ51" s="680"/>
      <c r="HA51" s="680"/>
      <c r="HB51" s="680"/>
      <c r="HC51" s="680"/>
      <c r="HD51" s="680"/>
      <c r="HE51" s="680"/>
      <c r="HF51" s="680"/>
      <c r="HG51" s="680"/>
      <c r="HH51" s="680"/>
      <c r="HI51" s="680"/>
      <c r="HJ51" s="680"/>
      <c r="HK51" s="680"/>
      <c r="HL51" s="680"/>
      <c r="HM51" s="680"/>
      <c r="HN51" s="680"/>
      <c r="HO51" s="680"/>
      <c r="HP51" s="680"/>
      <c r="HQ51" s="680"/>
      <c r="HR51" s="680"/>
      <c r="HS51" s="680"/>
      <c r="HT51" s="680"/>
      <c r="HU51" s="680"/>
      <c r="HV51" s="680"/>
      <c r="HW51" s="680"/>
      <c r="HX51" s="680"/>
      <c r="HY51" s="680"/>
      <c r="HZ51" s="680"/>
      <c r="IA51" s="680"/>
      <c r="IB51" s="680"/>
      <c r="IC51" s="680"/>
      <c r="ID51" s="680"/>
      <c r="IE51" s="680"/>
      <c r="IF51" s="680"/>
      <c r="IG51" s="680"/>
      <c r="IH51" s="680"/>
      <c r="II51" s="680"/>
      <c r="IJ51" s="680"/>
      <c r="IK51" s="680"/>
      <c r="IL51" s="680"/>
      <c r="IM51" s="680"/>
      <c r="IN51" s="680"/>
      <c r="IO51" s="680"/>
      <c r="IP51" s="680"/>
      <c r="IQ51" s="680"/>
      <c r="IR51" s="680"/>
      <c r="IS51" s="680"/>
      <c r="IT51" s="680"/>
      <c r="IU51" s="680"/>
    </row>
    <row r="52" spans="1:255" s="681" customFormat="1" ht="18" customHeight="1">
      <c r="A52" s="677" t="s">
        <v>663</v>
      </c>
      <c r="B52" s="678"/>
      <c r="C52" s="1146">
        <v>156.05778677000001</v>
      </c>
      <c r="D52" s="1146">
        <v>210.06163741999998</v>
      </c>
      <c r="E52" s="1146">
        <v>141.81175829</v>
      </c>
      <c r="F52" s="1146">
        <v>111.22452834000001</v>
      </c>
      <c r="G52" s="1146">
        <v>138.46268200999998</v>
      </c>
      <c r="H52" s="1146">
        <v>246.08123499000001</v>
      </c>
      <c r="I52" s="1146">
        <v>180.84024725</v>
      </c>
      <c r="J52" s="1146">
        <v>143.09201315000001</v>
      </c>
      <c r="K52" s="1146">
        <v>0</v>
      </c>
      <c r="L52" s="1146">
        <v>0</v>
      </c>
      <c r="M52" s="678">
        <v>0</v>
      </c>
      <c r="N52" s="678">
        <v>0</v>
      </c>
      <c r="O52"/>
      <c r="P52" s="832" t="s">
        <v>1643</v>
      </c>
      <c r="Q52" s="678"/>
      <c r="R52" s="678"/>
      <c r="S52" s="678"/>
      <c r="T52" s="678"/>
      <c r="U52" s="678"/>
      <c r="V52" s="678"/>
      <c r="W52" s="678"/>
      <c r="X52" s="678"/>
      <c r="Y52" s="678"/>
      <c r="Z52" s="678"/>
      <c r="AA52" s="678"/>
      <c r="AB52" s="678"/>
      <c r="AC52" s="678"/>
      <c r="AD52" s="678"/>
      <c r="AE52" s="678"/>
      <c r="AF52" s="678"/>
      <c r="AG52" s="678"/>
      <c r="AH52" s="679"/>
      <c r="AI52" s="679"/>
      <c r="AJ52" s="679"/>
      <c r="AK52" s="679"/>
      <c r="AL52" s="679"/>
      <c r="AM52" s="679"/>
      <c r="AN52" s="679"/>
      <c r="AO52" s="679"/>
      <c r="AP52" s="679"/>
      <c r="AQ52" s="679"/>
      <c r="AR52" s="679"/>
      <c r="AS52" s="679"/>
      <c r="AT52" s="679"/>
      <c r="AU52" s="679"/>
      <c r="AV52" s="679"/>
      <c r="AW52" s="679"/>
      <c r="AX52" s="679"/>
      <c r="AY52" s="679"/>
      <c r="AZ52" s="679"/>
      <c r="BA52" s="679"/>
      <c r="BB52" s="679"/>
      <c r="BC52" s="679"/>
      <c r="BD52" s="680"/>
      <c r="BE52" s="680"/>
      <c r="BF52" s="680"/>
      <c r="BG52" s="680"/>
      <c r="BH52" s="680"/>
      <c r="BI52" s="680"/>
      <c r="BJ52" s="680"/>
      <c r="BK52" s="680"/>
      <c r="BL52" s="680"/>
      <c r="BM52" s="680"/>
      <c r="BN52" s="680"/>
      <c r="BO52" s="680"/>
      <c r="BP52" s="680"/>
      <c r="BQ52" s="680"/>
      <c r="BR52" s="680"/>
      <c r="BS52" s="680"/>
      <c r="BT52" s="680"/>
      <c r="BU52" s="680"/>
      <c r="BV52" s="680"/>
      <c r="BW52" s="680"/>
      <c r="BX52" s="680"/>
      <c r="BY52" s="680"/>
      <c r="BZ52" s="680"/>
      <c r="CA52" s="680"/>
      <c r="CB52" s="680"/>
      <c r="CC52" s="680"/>
      <c r="CD52" s="680"/>
      <c r="CE52" s="680"/>
      <c r="CF52" s="680"/>
      <c r="CG52" s="680"/>
      <c r="CH52" s="680"/>
      <c r="CI52" s="680"/>
      <c r="CJ52" s="680"/>
      <c r="CK52" s="680"/>
      <c r="CL52" s="680"/>
      <c r="CM52" s="680"/>
      <c r="CN52" s="680"/>
      <c r="CO52" s="680"/>
      <c r="CP52" s="680"/>
      <c r="CQ52" s="680"/>
      <c r="CR52" s="680"/>
      <c r="CS52" s="680"/>
      <c r="CT52" s="680"/>
      <c r="CU52" s="680"/>
      <c r="CV52" s="680"/>
      <c r="CW52" s="680"/>
      <c r="CX52" s="680"/>
      <c r="CY52" s="680"/>
      <c r="CZ52" s="680"/>
      <c r="DA52" s="680"/>
      <c r="DB52" s="680"/>
      <c r="DC52" s="680"/>
      <c r="DD52" s="680"/>
      <c r="DE52" s="680"/>
      <c r="DF52" s="680"/>
      <c r="DG52" s="680"/>
      <c r="DH52" s="680"/>
      <c r="DI52" s="680"/>
      <c r="DJ52" s="680"/>
      <c r="DK52" s="680"/>
      <c r="DL52" s="680"/>
      <c r="DM52" s="680"/>
      <c r="DN52" s="680"/>
      <c r="DO52" s="680"/>
      <c r="DP52" s="680"/>
      <c r="DQ52" s="680"/>
      <c r="DR52" s="680"/>
      <c r="DS52" s="680"/>
      <c r="DT52" s="680"/>
      <c r="DU52" s="680"/>
      <c r="DV52" s="680"/>
      <c r="DW52" s="680"/>
      <c r="DX52" s="680"/>
      <c r="DY52" s="680"/>
      <c r="DZ52" s="680"/>
      <c r="EA52" s="680"/>
      <c r="EB52" s="680"/>
      <c r="EC52" s="680"/>
      <c r="ED52" s="680"/>
      <c r="EE52" s="680"/>
      <c r="EF52" s="680"/>
      <c r="EG52" s="680"/>
      <c r="EH52" s="680"/>
      <c r="EI52" s="680"/>
      <c r="EJ52" s="680"/>
      <c r="EK52" s="680"/>
      <c r="EL52" s="680"/>
      <c r="EM52" s="680"/>
      <c r="EN52" s="680"/>
      <c r="EO52" s="680"/>
      <c r="EP52" s="680"/>
      <c r="EQ52" s="680"/>
      <c r="ER52" s="680"/>
      <c r="ES52" s="680"/>
      <c r="ET52" s="680"/>
      <c r="EU52" s="680"/>
      <c r="EV52" s="680"/>
      <c r="EW52" s="680"/>
      <c r="EX52" s="680"/>
      <c r="EY52" s="680"/>
      <c r="EZ52" s="680"/>
      <c r="FA52" s="680"/>
      <c r="FB52" s="680"/>
      <c r="FC52" s="680"/>
      <c r="FD52" s="680"/>
      <c r="FE52" s="680"/>
      <c r="FF52" s="680"/>
      <c r="FG52" s="680"/>
      <c r="FH52" s="680"/>
      <c r="FI52" s="680"/>
      <c r="FJ52" s="680"/>
      <c r="FK52" s="680"/>
      <c r="FL52" s="680"/>
      <c r="FM52" s="680"/>
      <c r="FN52" s="680"/>
      <c r="FO52" s="680"/>
      <c r="FP52" s="680"/>
      <c r="FQ52" s="680"/>
      <c r="FR52" s="680"/>
      <c r="FS52" s="680"/>
      <c r="FT52" s="680"/>
      <c r="FU52" s="680"/>
      <c r="FV52" s="680"/>
      <c r="FW52" s="680"/>
      <c r="FX52" s="680"/>
      <c r="FY52" s="680"/>
      <c r="FZ52" s="680"/>
      <c r="GA52" s="680"/>
      <c r="GB52" s="680"/>
      <c r="GC52" s="680"/>
      <c r="GD52" s="680"/>
      <c r="GE52" s="680"/>
      <c r="GF52" s="680"/>
      <c r="GG52" s="680"/>
      <c r="GH52" s="680"/>
      <c r="GI52" s="680"/>
      <c r="GJ52" s="680"/>
      <c r="GK52" s="680"/>
      <c r="GL52" s="680"/>
      <c r="GM52" s="680"/>
      <c r="GN52" s="680"/>
      <c r="GO52" s="680"/>
      <c r="GP52" s="680"/>
      <c r="GQ52" s="680"/>
      <c r="GR52" s="680"/>
      <c r="GS52" s="680"/>
      <c r="GT52" s="680"/>
      <c r="GU52" s="680"/>
      <c r="GV52" s="680"/>
      <c r="GW52" s="680"/>
      <c r="GX52" s="680"/>
      <c r="GY52" s="680"/>
      <c r="GZ52" s="680"/>
      <c r="HA52" s="680"/>
      <c r="HB52" s="680"/>
      <c r="HC52" s="680"/>
      <c r="HD52" s="680"/>
      <c r="HE52" s="680"/>
      <c r="HF52" s="680"/>
      <c r="HG52" s="680"/>
      <c r="HH52" s="680"/>
      <c r="HI52" s="680"/>
      <c r="HJ52" s="680"/>
      <c r="HK52" s="680"/>
      <c r="HL52" s="680"/>
      <c r="HM52" s="680"/>
      <c r="HN52" s="680"/>
      <c r="HO52" s="680"/>
      <c r="HP52" s="680"/>
      <c r="HQ52" s="680"/>
      <c r="HR52" s="680"/>
      <c r="HS52" s="680"/>
      <c r="HT52" s="680"/>
      <c r="HU52" s="680"/>
      <c r="HV52" s="680"/>
      <c r="HW52" s="680"/>
      <c r="HX52" s="680"/>
      <c r="HY52" s="680"/>
      <c r="HZ52" s="680"/>
      <c r="IA52" s="680"/>
      <c r="IB52" s="680"/>
      <c r="IC52" s="680"/>
      <c r="ID52" s="680"/>
      <c r="IE52" s="680"/>
      <c r="IF52" s="680"/>
      <c r="IG52" s="680"/>
      <c r="IH52" s="680"/>
      <c r="II52" s="680"/>
      <c r="IJ52" s="680"/>
      <c r="IK52" s="680"/>
      <c r="IL52" s="680"/>
      <c r="IM52" s="680"/>
      <c r="IN52" s="680"/>
      <c r="IO52" s="680"/>
      <c r="IP52" s="680"/>
      <c r="IQ52" s="680"/>
      <c r="IR52" s="680"/>
      <c r="IS52" s="680"/>
      <c r="IT52" s="680"/>
      <c r="IU52" s="680"/>
    </row>
    <row r="53" spans="1:255" s="680" customFormat="1" ht="18" customHeight="1">
      <c r="A53" s="677" t="s">
        <v>664</v>
      </c>
      <c r="B53" s="678"/>
      <c r="C53" s="1146">
        <v>403.83215932000002</v>
      </c>
      <c r="D53" s="1146">
        <v>721.90696095999999</v>
      </c>
      <c r="E53" s="1146">
        <v>662.06418985000005</v>
      </c>
      <c r="F53" s="1146">
        <v>621.70307551999997</v>
      </c>
      <c r="G53" s="1146">
        <v>554.36499835000006</v>
      </c>
      <c r="H53" s="1146">
        <v>630.40358373000004</v>
      </c>
      <c r="I53" s="1146">
        <v>557.71912147</v>
      </c>
      <c r="J53" s="1146">
        <v>525.69374737999999</v>
      </c>
      <c r="K53" s="1146">
        <v>0</v>
      </c>
      <c r="L53" s="1146">
        <v>0</v>
      </c>
      <c r="M53" s="678">
        <v>0</v>
      </c>
      <c r="N53" s="678">
        <v>0</v>
      </c>
      <c r="O53"/>
      <c r="P53" s="832" t="s">
        <v>1868</v>
      </c>
      <c r="Q53" s="678"/>
      <c r="R53" s="678"/>
      <c r="S53" s="678"/>
      <c r="T53" s="678"/>
      <c r="U53" s="678"/>
      <c r="V53" s="678"/>
      <c r="W53" s="678"/>
      <c r="X53" s="678"/>
      <c r="Y53" s="678"/>
      <c r="Z53" s="678"/>
      <c r="AA53" s="678"/>
      <c r="AB53" s="678"/>
      <c r="AC53" s="678"/>
      <c r="AD53" s="678"/>
      <c r="AE53" s="678"/>
      <c r="AF53" s="678"/>
      <c r="AG53" s="678"/>
      <c r="AH53" s="679"/>
      <c r="AI53" s="679"/>
      <c r="AJ53" s="679"/>
      <c r="AK53" s="679"/>
      <c r="AL53" s="679"/>
      <c r="AM53" s="679"/>
      <c r="AN53" s="679"/>
      <c r="AO53" s="679"/>
      <c r="AP53" s="679"/>
      <c r="AQ53" s="679"/>
      <c r="AR53" s="679"/>
      <c r="AS53" s="679"/>
      <c r="AT53" s="679"/>
      <c r="AU53" s="679"/>
      <c r="AV53" s="679"/>
      <c r="AW53" s="679"/>
      <c r="AX53" s="679"/>
      <c r="AY53" s="679"/>
      <c r="AZ53" s="679"/>
      <c r="BA53" s="679"/>
      <c r="BB53" s="679"/>
      <c r="BC53" s="679"/>
    </row>
    <row r="54" spans="1:255" s="680" customFormat="1" ht="18" customHeight="1">
      <c r="A54" s="1132" t="s">
        <v>2776</v>
      </c>
      <c r="B54" s="678"/>
      <c r="C54" s="1146">
        <v>393.26869975</v>
      </c>
      <c r="D54" s="1146">
        <v>337.77350905999998</v>
      </c>
      <c r="E54" s="1146">
        <v>359.25680242999999</v>
      </c>
      <c r="F54" s="1146">
        <v>376.51073607000001</v>
      </c>
      <c r="G54" s="1146">
        <v>409.59265257999999</v>
      </c>
      <c r="H54" s="1146">
        <v>409.57655018999998</v>
      </c>
      <c r="I54" s="1146">
        <v>373.70101923999999</v>
      </c>
      <c r="J54" s="1146">
        <v>368.3265394</v>
      </c>
      <c r="K54" s="1146">
        <v>0</v>
      </c>
      <c r="L54" s="1146">
        <v>0</v>
      </c>
      <c r="M54" s="678">
        <v>0</v>
      </c>
      <c r="N54" s="678">
        <v>0</v>
      </c>
      <c r="O54"/>
      <c r="P54" s="832" t="s">
        <v>2777</v>
      </c>
      <c r="Q54" s="678"/>
      <c r="R54" s="678"/>
      <c r="S54" s="678"/>
      <c r="T54" s="678"/>
      <c r="U54" s="678"/>
      <c r="V54" s="678"/>
      <c r="W54" s="678"/>
      <c r="X54" s="678"/>
      <c r="Y54" s="678"/>
      <c r="Z54" s="678"/>
      <c r="AA54" s="678"/>
      <c r="AB54" s="678"/>
      <c r="AC54" s="678"/>
      <c r="AD54" s="678"/>
      <c r="AE54" s="678"/>
      <c r="AF54" s="678"/>
      <c r="AG54" s="678"/>
      <c r="AH54" s="679"/>
      <c r="AI54" s="679"/>
      <c r="AJ54" s="679"/>
      <c r="AK54" s="679"/>
      <c r="AL54" s="679"/>
      <c r="AM54" s="679"/>
      <c r="AN54" s="679"/>
      <c r="AO54" s="679"/>
      <c r="AP54" s="679"/>
      <c r="AQ54" s="679"/>
      <c r="AR54" s="679"/>
      <c r="AS54" s="679"/>
      <c r="AT54" s="679"/>
      <c r="AU54" s="679"/>
      <c r="AV54" s="679"/>
      <c r="AW54" s="679"/>
      <c r="AX54" s="679"/>
      <c r="AY54" s="679"/>
      <c r="AZ54" s="679"/>
      <c r="BA54" s="679"/>
      <c r="BB54" s="679"/>
      <c r="BC54" s="679"/>
    </row>
    <row r="55" spans="1:255" s="689" customFormat="1" ht="18" customHeight="1">
      <c r="A55" s="1132" t="s">
        <v>2787</v>
      </c>
      <c r="B55" s="678"/>
      <c r="C55" s="1146">
        <v>0</v>
      </c>
      <c r="D55" s="1146">
        <v>0</v>
      </c>
      <c r="E55" s="1146">
        <v>0</v>
      </c>
      <c r="F55" s="1146">
        <v>0</v>
      </c>
      <c r="G55" s="1146">
        <v>0</v>
      </c>
      <c r="H55" s="1146">
        <v>0</v>
      </c>
      <c r="I55" s="1146">
        <v>0</v>
      </c>
      <c r="J55" s="1146">
        <v>0</v>
      </c>
      <c r="K55" s="1146">
        <v>0</v>
      </c>
      <c r="L55" s="1146">
        <v>0</v>
      </c>
      <c r="M55" s="678">
        <v>0</v>
      </c>
      <c r="N55" s="678">
        <v>0</v>
      </c>
      <c r="O55"/>
      <c r="P55" s="832" t="s">
        <v>2805</v>
      </c>
      <c r="Q55" s="686"/>
      <c r="R55" s="686"/>
      <c r="S55" s="686"/>
      <c r="T55" s="686"/>
      <c r="U55" s="686"/>
      <c r="V55" s="686"/>
      <c r="W55" s="686"/>
      <c r="X55" s="686"/>
      <c r="Y55" s="686"/>
      <c r="Z55" s="686"/>
      <c r="AA55" s="686"/>
      <c r="AB55" s="686"/>
      <c r="AC55" s="686"/>
      <c r="AD55" s="686"/>
      <c r="AE55" s="686"/>
      <c r="AF55" s="686"/>
      <c r="AG55" s="686"/>
      <c r="AH55" s="687"/>
      <c r="AI55" s="687"/>
      <c r="AJ55" s="687"/>
      <c r="AK55" s="687"/>
      <c r="AL55" s="687"/>
      <c r="AM55" s="687"/>
      <c r="AN55" s="687"/>
      <c r="AO55" s="687"/>
      <c r="AP55" s="687"/>
      <c r="AQ55" s="687"/>
      <c r="AR55" s="687"/>
      <c r="AS55" s="687"/>
      <c r="AT55" s="687"/>
      <c r="AU55" s="687"/>
      <c r="AV55" s="687"/>
      <c r="AW55" s="687"/>
      <c r="AX55" s="687"/>
      <c r="AY55" s="687"/>
      <c r="AZ55" s="687"/>
      <c r="BA55" s="687"/>
      <c r="BB55" s="687"/>
      <c r="BC55" s="687"/>
      <c r="BD55" s="688"/>
      <c r="BE55" s="688"/>
      <c r="BF55" s="688"/>
      <c r="BG55" s="688"/>
      <c r="BH55" s="688"/>
      <c r="BI55" s="688"/>
      <c r="BJ55" s="688"/>
      <c r="BK55" s="688"/>
      <c r="BL55" s="688"/>
      <c r="BM55" s="688"/>
      <c r="BN55" s="688"/>
      <c r="BO55" s="688"/>
      <c r="BP55" s="688"/>
      <c r="BQ55" s="688"/>
      <c r="BR55" s="688"/>
      <c r="BS55" s="688"/>
      <c r="BT55" s="688"/>
      <c r="BU55" s="688"/>
      <c r="BV55" s="688"/>
      <c r="BW55" s="688"/>
      <c r="BX55" s="688"/>
      <c r="BY55" s="688"/>
      <c r="BZ55" s="688"/>
      <c r="CA55" s="688"/>
      <c r="CB55" s="688"/>
      <c r="CC55" s="688"/>
      <c r="CD55" s="688"/>
      <c r="CE55" s="688"/>
      <c r="CF55" s="688"/>
      <c r="CG55" s="688"/>
      <c r="CH55" s="688"/>
      <c r="CI55" s="688"/>
      <c r="CJ55" s="688"/>
      <c r="CK55" s="688"/>
      <c r="CL55" s="688"/>
      <c r="CM55" s="688"/>
      <c r="CN55" s="688"/>
      <c r="CO55" s="688"/>
      <c r="CP55" s="688"/>
      <c r="CQ55" s="688"/>
      <c r="CR55" s="688"/>
      <c r="CS55" s="688"/>
      <c r="CT55" s="688"/>
      <c r="CU55" s="688"/>
      <c r="CV55" s="688"/>
      <c r="CW55" s="688"/>
      <c r="CX55" s="688"/>
      <c r="CY55" s="688"/>
      <c r="CZ55" s="688"/>
      <c r="DA55" s="688"/>
      <c r="DB55" s="688"/>
      <c r="DC55" s="688"/>
      <c r="DD55" s="688"/>
      <c r="DE55" s="688"/>
      <c r="DF55" s="688"/>
      <c r="DG55" s="688"/>
      <c r="DH55" s="688"/>
      <c r="DI55" s="688"/>
      <c r="DJ55" s="688"/>
      <c r="DK55" s="688"/>
      <c r="DL55" s="688"/>
      <c r="DM55" s="688"/>
      <c r="DN55" s="688"/>
      <c r="DO55" s="688"/>
      <c r="DP55" s="688"/>
      <c r="DQ55" s="688"/>
      <c r="DR55" s="688"/>
      <c r="DS55" s="688"/>
      <c r="DT55" s="688"/>
      <c r="DU55" s="688"/>
      <c r="DV55" s="688"/>
      <c r="DW55" s="688"/>
      <c r="DX55" s="688"/>
      <c r="DY55" s="688"/>
      <c r="DZ55" s="688"/>
      <c r="EA55" s="688"/>
      <c r="EB55" s="688"/>
      <c r="EC55" s="688"/>
      <c r="ED55" s="688"/>
      <c r="EE55" s="688"/>
      <c r="EF55" s="688"/>
      <c r="EG55" s="688"/>
      <c r="EH55" s="688"/>
      <c r="EI55" s="688"/>
      <c r="EJ55" s="688"/>
      <c r="EK55" s="688"/>
      <c r="EL55" s="688"/>
      <c r="EM55" s="688"/>
      <c r="EN55" s="688"/>
      <c r="EO55" s="688"/>
      <c r="EP55" s="688"/>
      <c r="EQ55" s="688"/>
      <c r="ER55" s="688"/>
      <c r="ES55" s="688"/>
      <c r="ET55" s="688"/>
      <c r="EU55" s="688"/>
      <c r="EV55" s="688"/>
      <c r="EW55" s="688"/>
      <c r="EX55" s="688"/>
      <c r="EY55" s="688"/>
      <c r="EZ55" s="688"/>
      <c r="FA55" s="688"/>
      <c r="FB55" s="688"/>
      <c r="FC55" s="688"/>
      <c r="FD55" s="688"/>
      <c r="FE55" s="688"/>
      <c r="FF55" s="688"/>
      <c r="FG55" s="688"/>
      <c r="FH55" s="688"/>
      <c r="FI55" s="688"/>
      <c r="FJ55" s="688"/>
      <c r="FK55" s="688"/>
      <c r="FL55" s="688"/>
      <c r="FM55" s="688"/>
      <c r="FN55" s="688"/>
      <c r="FO55" s="688"/>
      <c r="FP55" s="688"/>
      <c r="FQ55" s="688"/>
      <c r="FR55" s="688"/>
      <c r="FS55" s="688"/>
      <c r="FT55" s="688"/>
      <c r="FU55" s="688"/>
      <c r="FV55" s="688"/>
      <c r="FW55" s="688"/>
      <c r="FX55" s="688"/>
      <c r="FY55" s="688"/>
      <c r="FZ55" s="688"/>
      <c r="GA55" s="688"/>
      <c r="GB55" s="688"/>
      <c r="GC55" s="688"/>
      <c r="GD55" s="688"/>
      <c r="GE55" s="688"/>
      <c r="GF55" s="688"/>
      <c r="GG55" s="688"/>
      <c r="GH55" s="688"/>
      <c r="GI55" s="688"/>
      <c r="GJ55" s="688"/>
      <c r="GK55" s="688"/>
      <c r="GL55" s="688"/>
      <c r="GM55" s="688"/>
      <c r="GN55" s="688"/>
      <c r="GO55" s="688"/>
      <c r="GP55" s="688"/>
      <c r="GQ55" s="688"/>
      <c r="GR55" s="688"/>
      <c r="GS55" s="688"/>
      <c r="GT55" s="688"/>
      <c r="GU55" s="688"/>
      <c r="GV55" s="688"/>
      <c r="GW55" s="688"/>
      <c r="GX55" s="688"/>
      <c r="GY55" s="688"/>
      <c r="GZ55" s="688"/>
      <c r="HA55" s="688"/>
      <c r="HB55" s="688"/>
      <c r="HC55" s="688"/>
      <c r="HD55" s="688"/>
      <c r="HE55" s="688"/>
      <c r="HF55" s="688"/>
      <c r="HG55" s="688"/>
      <c r="HH55" s="688"/>
      <c r="HI55" s="688"/>
      <c r="HJ55" s="688"/>
      <c r="HK55" s="688"/>
      <c r="HL55" s="688"/>
      <c r="HM55" s="688"/>
      <c r="HN55" s="688"/>
      <c r="HO55" s="688"/>
      <c r="HP55" s="688"/>
      <c r="HQ55" s="688"/>
      <c r="HR55" s="688"/>
      <c r="HS55" s="688"/>
      <c r="HT55" s="688"/>
      <c r="HU55" s="688"/>
      <c r="HV55" s="688"/>
      <c r="HW55" s="688"/>
      <c r="HX55" s="688"/>
      <c r="HY55" s="688"/>
      <c r="HZ55" s="688"/>
      <c r="IA55" s="688"/>
      <c r="IB55" s="688"/>
      <c r="IC55" s="688"/>
      <c r="ID55" s="688"/>
      <c r="IE55" s="688"/>
      <c r="IF55" s="688"/>
      <c r="IG55" s="688"/>
      <c r="IH55" s="688"/>
      <c r="II55" s="688"/>
      <c r="IJ55" s="688"/>
      <c r="IK55" s="688"/>
      <c r="IL55" s="688"/>
      <c r="IM55" s="688"/>
      <c r="IN55" s="688"/>
      <c r="IO55" s="688"/>
      <c r="IP55" s="688"/>
      <c r="IQ55" s="688"/>
      <c r="IR55" s="688"/>
      <c r="IS55" s="688"/>
      <c r="IT55" s="688"/>
      <c r="IU55" s="688"/>
    </row>
    <row r="56" spans="1:255" s="572" customFormat="1" ht="18" customHeight="1">
      <c r="A56" s="677" t="s">
        <v>1377</v>
      </c>
      <c r="B56" s="678"/>
      <c r="C56" s="1146">
        <v>0</v>
      </c>
      <c r="D56" s="1146">
        <v>0</v>
      </c>
      <c r="E56" s="1146">
        <v>0</v>
      </c>
      <c r="F56" s="1146">
        <v>0</v>
      </c>
      <c r="G56" s="1146">
        <v>0</v>
      </c>
      <c r="H56" s="1146">
        <v>0</v>
      </c>
      <c r="I56" s="1146">
        <v>0</v>
      </c>
      <c r="J56" s="1146">
        <v>0</v>
      </c>
      <c r="K56" s="1146">
        <v>0</v>
      </c>
      <c r="L56" s="1146">
        <v>0</v>
      </c>
      <c r="M56" s="678">
        <v>0</v>
      </c>
      <c r="N56" s="678">
        <v>0</v>
      </c>
      <c r="O56"/>
      <c r="P56" s="832" t="s">
        <v>1869</v>
      </c>
      <c r="Q56" s="560"/>
      <c r="R56" s="560"/>
      <c r="S56" s="560"/>
      <c r="T56" s="561"/>
      <c r="U56" s="560"/>
      <c r="V56" s="560"/>
      <c r="W56" s="560"/>
      <c r="X56" s="560"/>
      <c r="Y56" s="560"/>
      <c r="Z56" s="560"/>
      <c r="AA56" s="560"/>
      <c r="AB56" s="560"/>
      <c r="AC56" s="560"/>
      <c r="AD56" s="560"/>
      <c r="AE56" s="560"/>
      <c r="AF56" s="560"/>
      <c r="AG56" s="560"/>
      <c r="AH56" s="571"/>
      <c r="AI56" s="571"/>
      <c r="AJ56" s="571"/>
      <c r="AK56" s="571"/>
      <c r="AL56" s="571"/>
      <c r="AM56" s="571"/>
      <c r="AN56" s="571"/>
      <c r="AO56" s="571"/>
      <c r="AP56" s="571"/>
      <c r="AQ56" s="571"/>
      <c r="AR56" s="571"/>
      <c r="AS56" s="571"/>
      <c r="AT56" s="571"/>
      <c r="AU56" s="571"/>
      <c r="AV56" s="571"/>
      <c r="AW56" s="571"/>
      <c r="AX56" s="571"/>
      <c r="AY56" s="571"/>
      <c r="AZ56" s="571"/>
      <c r="BA56" s="571"/>
      <c r="BB56" s="571"/>
      <c r="BC56" s="571"/>
    </row>
    <row r="57" spans="1:255" s="681" customFormat="1" ht="18" customHeight="1">
      <c r="A57" s="677" t="s">
        <v>665</v>
      </c>
      <c r="B57" s="678"/>
      <c r="C57" s="1146">
        <v>478.40061567999999</v>
      </c>
      <c r="D57" s="1146">
        <v>466.24228933000001</v>
      </c>
      <c r="E57" s="1146">
        <v>445.43532541000002</v>
      </c>
      <c r="F57" s="1146">
        <v>472.09137313999997</v>
      </c>
      <c r="G57" s="1146">
        <v>499.32768232999996</v>
      </c>
      <c r="H57" s="1146">
        <v>471.41148055000002</v>
      </c>
      <c r="I57" s="1146">
        <v>472.28243180999999</v>
      </c>
      <c r="J57" s="1146">
        <v>790.88120427000001</v>
      </c>
      <c r="K57" s="1146">
        <v>0</v>
      </c>
      <c r="L57" s="1146">
        <v>0</v>
      </c>
      <c r="M57" s="678">
        <v>0</v>
      </c>
      <c r="N57" s="678">
        <v>0</v>
      </c>
      <c r="O57"/>
      <c r="P57" s="832" t="s">
        <v>1649</v>
      </c>
      <c r="Q57" s="678"/>
      <c r="R57" s="678"/>
      <c r="S57" s="678"/>
      <c r="T57" s="678"/>
      <c r="U57" s="678"/>
      <c r="V57" s="678"/>
      <c r="W57" s="678"/>
      <c r="X57" s="678"/>
      <c r="Y57" s="678"/>
      <c r="Z57" s="678"/>
      <c r="AA57" s="678"/>
      <c r="AB57" s="678"/>
      <c r="AC57" s="678"/>
      <c r="AD57" s="678"/>
      <c r="AE57" s="678"/>
      <c r="AF57" s="678"/>
      <c r="AG57" s="678"/>
      <c r="AH57" s="679"/>
      <c r="AI57" s="679"/>
      <c r="AJ57" s="679"/>
      <c r="AK57" s="679"/>
      <c r="AL57" s="679"/>
      <c r="AM57" s="679"/>
      <c r="AN57" s="679"/>
      <c r="AO57" s="679"/>
      <c r="AP57" s="679"/>
      <c r="AQ57" s="679"/>
      <c r="AR57" s="679"/>
      <c r="AS57" s="679"/>
      <c r="AT57" s="679"/>
      <c r="AU57" s="679"/>
      <c r="AV57" s="679"/>
      <c r="AW57" s="679"/>
      <c r="AX57" s="679"/>
      <c r="AY57" s="679"/>
      <c r="AZ57" s="679"/>
      <c r="BA57" s="679"/>
      <c r="BB57" s="679"/>
      <c r="BC57" s="679"/>
      <c r="BD57" s="680"/>
      <c r="BE57" s="680"/>
      <c r="BF57" s="680"/>
      <c r="BG57" s="680"/>
      <c r="BH57" s="680"/>
      <c r="BI57" s="680"/>
      <c r="BJ57" s="680"/>
      <c r="BK57" s="680"/>
      <c r="BL57" s="680"/>
      <c r="BM57" s="680"/>
      <c r="BN57" s="680"/>
      <c r="BO57" s="680"/>
      <c r="BP57" s="680"/>
      <c r="BQ57" s="680"/>
      <c r="BR57" s="680"/>
      <c r="BS57" s="680"/>
      <c r="BT57" s="680"/>
      <c r="BU57" s="680"/>
      <c r="BV57" s="680"/>
      <c r="BW57" s="680"/>
      <c r="BX57" s="680"/>
      <c r="BY57" s="680"/>
      <c r="BZ57" s="680"/>
      <c r="CA57" s="680"/>
      <c r="CB57" s="680"/>
      <c r="CC57" s="680"/>
      <c r="CD57" s="680"/>
      <c r="CE57" s="680"/>
      <c r="CF57" s="680"/>
      <c r="CG57" s="680"/>
      <c r="CH57" s="680"/>
      <c r="CI57" s="680"/>
      <c r="CJ57" s="680"/>
      <c r="CK57" s="680"/>
      <c r="CL57" s="680"/>
      <c r="CM57" s="680"/>
      <c r="CN57" s="680"/>
      <c r="CO57" s="680"/>
      <c r="CP57" s="680"/>
      <c r="CQ57" s="680"/>
      <c r="CR57" s="680"/>
      <c r="CS57" s="680"/>
      <c r="CT57" s="680"/>
      <c r="CU57" s="680"/>
      <c r="CV57" s="680"/>
      <c r="CW57" s="680"/>
      <c r="CX57" s="680"/>
      <c r="CY57" s="680"/>
      <c r="CZ57" s="680"/>
      <c r="DA57" s="680"/>
      <c r="DB57" s="680"/>
      <c r="DC57" s="680"/>
      <c r="DD57" s="680"/>
      <c r="DE57" s="680"/>
      <c r="DF57" s="680"/>
      <c r="DG57" s="680"/>
      <c r="DH57" s="680"/>
      <c r="DI57" s="680"/>
      <c r="DJ57" s="680"/>
      <c r="DK57" s="680"/>
      <c r="DL57" s="680"/>
      <c r="DM57" s="680"/>
      <c r="DN57" s="680"/>
      <c r="DO57" s="680"/>
      <c r="DP57" s="680"/>
      <c r="DQ57" s="680"/>
      <c r="DR57" s="680"/>
      <c r="DS57" s="680"/>
      <c r="DT57" s="680"/>
      <c r="DU57" s="680"/>
      <c r="DV57" s="680"/>
      <c r="DW57" s="680"/>
      <c r="DX57" s="680"/>
      <c r="DY57" s="680"/>
      <c r="DZ57" s="680"/>
      <c r="EA57" s="680"/>
      <c r="EB57" s="680"/>
      <c r="EC57" s="680"/>
      <c r="ED57" s="680"/>
      <c r="EE57" s="680"/>
      <c r="EF57" s="680"/>
      <c r="EG57" s="680"/>
      <c r="EH57" s="680"/>
      <c r="EI57" s="680"/>
      <c r="EJ57" s="680"/>
      <c r="EK57" s="680"/>
      <c r="EL57" s="680"/>
      <c r="EM57" s="680"/>
      <c r="EN57" s="680"/>
      <c r="EO57" s="680"/>
      <c r="EP57" s="680"/>
      <c r="EQ57" s="680"/>
      <c r="ER57" s="680"/>
      <c r="ES57" s="680"/>
      <c r="ET57" s="680"/>
      <c r="EU57" s="680"/>
      <c r="EV57" s="680"/>
      <c r="EW57" s="680"/>
      <c r="EX57" s="680"/>
      <c r="EY57" s="680"/>
      <c r="EZ57" s="680"/>
      <c r="FA57" s="680"/>
      <c r="FB57" s="680"/>
      <c r="FC57" s="680"/>
      <c r="FD57" s="680"/>
      <c r="FE57" s="680"/>
      <c r="FF57" s="680"/>
      <c r="FG57" s="680"/>
      <c r="FH57" s="680"/>
      <c r="FI57" s="680"/>
      <c r="FJ57" s="680"/>
      <c r="FK57" s="680"/>
      <c r="FL57" s="680"/>
      <c r="FM57" s="680"/>
      <c r="FN57" s="680"/>
      <c r="FO57" s="680"/>
      <c r="FP57" s="680"/>
      <c r="FQ57" s="680"/>
      <c r="FR57" s="680"/>
      <c r="FS57" s="680"/>
      <c r="FT57" s="680"/>
      <c r="FU57" s="680"/>
      <c r="FV57" s="680"/>
      <c r="FW57" s="680"/>
      <c r="FX57" s="680"/>
      <c r="FY57" s="680"/>
      <c r="FZ57" s="680"/>
      <c r="GA57" s="680"/>
      <c r="GB57" s="680"/>
      <c r="GC57" s="680"/>
      <c r="GD57" s="680"/>
      <c r="GE57" s="680"/>
      <c r="GF57" s="680"/>
      <c r="GG57" s="680"/>
      <c r="GH57" s="680"/>
      <c r="GI57" s="680"/>
      <c r="GJ57" s="680"/>
      <c r="GK57" s="680"/>
      <c r="GL57" s="680"/>
      <c r="GM57" s="680"/>
      <c r="GN57" s="680"/>
      <c r="GO57" s="680"/>
      <c r="GP57" s="680"/>
      <c r="GQ57" s="680"/>
      <c r="GR57" s="680"/>
      <c r="GS57" s="680"/>
      <c r="GT57" s="680"/>
      <c r="GU57" s="680"/>
      <c r="GV57" s="680"/>
      <c r="GW57" s="680"/>
      <c r="GX57" s="680"/>
      <c r="GY57" s="680"/>
      <c r="GZ57" s="680"/>
      <c r="HA57" s="680"/>
      <c r="HB57" s="680"/>
      <c r="HC57" s="680"/>
      <c r="HD57" s="680"/>
      <c r="HE57" s="680"/>
      <c r="HF57" s="680"/>
      <c r="HG57" s="680"/>
      <c r="HH57" s="680"/>
      <c r="HI57" s="680"/>
      <c r="HJ57" s="680"/>
      <c r="HK57" s="680"/>
      <c r="HL57" s="680"/>
      <c r="HM57" s="680"/>
      <c r="HN57" s="680"/>
      <c r="HO57" s="680"/>
      <c r="HP57" s="680"/>
      <c r="HQ57" s="680"/>
      <c r="HR57" s="680"/>
      <c r="HS57" s="680"/>
      <c r="HT57" s="680"/>
      <c r="HU57" s="680"/>
      <c r="HV57" s="680"/>
      <c r="HW57" s="680"/>
      <c r="HX57" s="680"/>
      <c r="HY57" s="680"/>
      <c r="HZ57" s="680"/>
      <c r="IA57" s="680"/>
      <c r="IB57" s="680"/>
      <c r="IC57" s="680"/>
      <c r="ID57" s="680"/>
      <c r="IE57" s="680"/>
      <c r="IF57" s="680"/>
      <c r="IG57" s="680"/>
      <c r="IH57" s="680"/>
      <c r="II57" s="680"/>
      <c r="IJ57" s="680"/>
      <c r="IK57" s="680"/>
      <c r="IL57" s="680"/>
      <c r="IM57" s="680"/>
      <c r="IN57" s="680"/>
      <c r="IO57" s="680"/>
      <c r="IP57" s="680"/>
      <c r="IQ57" s="680"/>
      <c r="IR57" s="680"/>
      <c r="IS57" s="680"/>
      <c r="IT57" s="680"/>
      <c r="IU57" s="680"/>
    </row>
    <row r="58" spans="1:255" s="681" customFormat="1" ht="18" customHeight="1">
      <c r="A58" s="685" t="s">
        <v>666</v>
      </c>
      <c r="B58" s="686"/>
      <c r="C58" s="1144">
        <v>8233.0472691300001</v>
      </c>
      <c r="D58" s="1144">
        <v>9043.7709084400012</v>
      </c>
      <c r="E58" s="1144">
        <v>9838.74139302</v>
      </c>
      <c r="F58" s="1144">
        <v>9912.8543471600005</v>
      </c>
      <c r="G58" s="1144">
        <v>9493.1811295400003</v>
      </c>
      <c r="H58" s="1144">
        <v>9816.7345871399993</v>
      </c>
      <c r="I58" s="1144">
        <v>9915.2237371399988</v>
      </c>
      <c r="J58" s="1144">
        <v>10889.61175892</v>
      </c>
      <c r="K58" s="1144">
        <v>0</v>
      </c>
      <c r="L58" s="1144">
        <v>0</v>
      </c>
      <c r="M58" s="686">
        <v>0</v>
      </c>
      <c r="N58" s="686">
        <v>0</v>
      </c>
      <c r="O58"/>
      <c r="P58" s="832" t="s">
        <v>1658</v>
      </c>
      <c r="Q58" s="678"/>
      <c r="R58" s="678"/>
      <c r="S58" s="678"/>
      <c r="T58" s="678"/>
      <c r="U58" s="678"/>
      <c r="V58" s="678"/>
      <c r="W58" s="678"/>
      <c r="X58" s="678"/>
      <c r="Y58" s="678"/>
      <c r="Z58" s="678"/>
      <c r="AA58" s="678"/>
      <c r="AB58" s="678"/>
      <c r="AC58" s="678"/>
      <c r="AD58" s="678"/>
      <c r="AE58" s="678"/>
      <c r="AF58" s="678"/>
      <c r="AG58" s="678"/>
      <c r="AH58" s="679"/>
      <c r="AI58" s="679"/>
      <c r="AJ58" s="679"/>
      <c r="AK58" s="679"/>
      <c r="AL58" s="679"/>
      <c r="AM58" s="679"/>
      <c r="AN58" s="679"/>
      <c r="AO58" s="679"/>
      <c r="AP58" s="679"/>
      <c r="AQ58" s="679"/>
      <c r="AR58" s="679"/>
      <c r="AS58" s="679"/>
      <c r="AT58" s="679"/>
      <c r="AU58" s="679"/>
      <c r="AV58" s="679"/>
      <c r="AW58" s="679"/>
      <c r="AX58" s="679"/>
      <c r="AY58" s="679"/>
      <c r="AZ58" s="679"/>
      <c r="BA58" s="679"/>
      <c r="BB58" s="679"/>
      <c r="BC58" s="679"/>
      <c r="BD58" s="680"/>
      <c r="BE58" s="680"/>
      <c r="BF58" s="680"/>
      <c r="BG58" s="680"/>
      <c r="BH58" s="680"/>
      <c r="BI58" s="680"/>
      <c r="BJ58" s="680"/>
      <c r="BK58" s="680"/>
      <c r="BL58" s="680"/>
      <c r="BM58" s="680"/>
      <c r="BN58" s="680"/>
      <c r="BO58" s="680"/>
      <c r="BP58" s="680"/>
      <c r="BQ58" s="680"/>
      <c r="BR58" s="680"/>
      <c r="BS58" s="680"/>
      <c r="BT58" s="680"/>
      <c r="BU58" s="680"/>
      <c r="BV58" s="680"/>
      <c r="BW58" s="680"/>
      <c r="BX58" s="680"/>
      <c r="BY58" s="680"/>
      <c r="BZ58" s="680"/>
      <c r="CA58" s="680"/>
      <c r="CB58" s="680"/>
      <c r="CC58" s="680"/>
      <c r="CD58" s="680"/>
      <c r="CE58" s="680"/>
      <c r="CF58" s="680"/>
      <c r="CG58" s="680"/>
      <c r="CH58" s="680"/>
      <c r="CI58" s="680"/>
      <c r="CJ58" s="680"/>
      <c r="CK58" s="680"/>
      <c r="CL58" s="680"/>
      <c r="CM58" s="680"/>
      <c r="CN58" s="680"/>
      <c r="CO58" s="680"/>
      <c r="CP58" s="680"/>
      <c r="CQ58" s="680"/>
      <c r="CR58" s="680"/>
      <c r="CS58" s="680"/>
      <c r="CT58" s="680"/>
      <c r="CU58" s="680"/>
      <c r="CV58" s="680"/>
      <c r="CW58" s="680"/>
      <c r="CX58" s="680"/>
      <c r="CY58" s="680"/>
      <c r="CZ58" s="680"/>
      <c r="DA58" s="680"/>
      <c r="DB58" s="680"/>
      <c r="DC58" s="680"/>
      <c r="DD58" s="680"/>
      <c r="DE58" s="680"/>
      <c r="DF58" s="680"/>
      <c r="DG58" s="680"/>
      <c r="DH58" s="680"/>
      <c r="DI58" s="680"/>
      <c r="DJ58" s="680"/>
      <c r="DK58" s="680"/>
      <c r="DL58" s="680"/>
      <c r="DM58" s="680"/>
      <c r="DN58" s="680"/>
      <c r="DO58" s="680"/>
      <c r="DP58" s="680"/>
      <c r="DQ58" s="680"/>
      <c r="DR58" s="680"/>
      <c r="DS58" s="680"/>
      <c r="DT58" s="680"/>
      <c r="DU58" s="680"/>
      <c r="DV58" s="680"/>
      <c r="DW58" s="680"/>
      <c r="DX58" s="680"/>
      <c r="DY58" s="680"/>
      <c r="DZ58" s="680"/>
      <c r="EA58" s="680"/>
      <c r="EB58" s="680"/>
      <c r="EC58" s="680"/>
      <c r="ED58" s="680"/>
      <c r="EE58" s="680"/>
      <c r="EF58" s="680"/>
      <c r="EG58" s="680"/>
      <c r="EH58" s="680"/>
      <c r="EI58" s="680"/>
      <c r="EJ58" s="680"/>
      <c r="EK58" s="680"/>
      <c r="EL58" s="680"/>
      <c r="EM58" s="680"/>
      <c r="EN58" s="680"/>
      <c r="EO58" s="680"/>
      <c r="EP58" s="680"/>
      <c r="EQ58" s="680"/>
      <c r="ER58" s="680"/>
      <c r="ES58" s="680"/>
      <c r="ET58" s="680"/>
      <c r="EU58" s="680"/>
      <c r="EV58" s="680"/>
      <c r="EW58" s="680"/>
      <c r="EX58" s="680"/>
      <c r="EY58" s="680"/>
      <c r="EZ58" s="680"/>
      <c r="FA58" s="680"/>
      <c r="FB58" s="680"/>
      <c r="FC58" s="680"/>
      <c r="FD58" s="680"/>
      <c r="FE58" s="680"/>
      <c r="FF58" s="680"/>
      <c r="FG58" s="680"/>
      <c r="FH58" s="680"/>
      <c r="FI58" s="680"/>
      <c r="FJ58" s="680"/>
      <c r="FK58" s="680"/>
      <c r="FL58" s="680"/>
      <c r="FM58" s="680"/>
      <c r="FN58" s="680"/>
      <c r="FO58" s="680"/>
      <c r="FP58" s="680"/>
      <c r="FQ58" s="680"/>
      <c r="FR58" s="680"/>
      <c r="FS58" s="680"/>
      <c r="FT58" s="680"/>
      <c r="FU58" s="680"/>
      <c r="FV58" s="680"/>
      <c r="FW58" s="680"/>
      <c r="FX58" s="680"/>
      <c r="FY58" s="680"/>
      <c r="FZ58" s="680"/>
      <c r="GA58" s="680"/>
      <c r="GB58" s="680"/>
      <c r="GC58" s="680"/>
      <c r="GD58" s="680"/>
      <c r="GE58" s="680"/>
      <c r="GF58" s="680"/>
      <c r="GG58" s="680"/>
      <c r="GH58" s="680"/>
      <c r="GI58" s="680"/>
      <c r="GJ58" s="680"/>
      <c r="GK58" s="680"/>
      <c r="GL58" s="680"/>
      <c r="GM58" s="680"/>
      <c r="GN58" s="680"/>
      <c r="GO58" s="680"/>
      <c r="GP58" s="680"/>
      <c r="GQ58" s="680"/>
      <c r="GR58" s="680"/>
      <c r="GS58" s="680"/>
      <c r="GT58" s="680"/>
      <c r="GU58" s="680"/>
      <c r="GV58" s="680"/>
      <c r="GW58" s="680"/>
      <c r="GX58" s="680"/>
      <c r="GY58" s="680"/>
      <c r="GZ58" s="680"/>
      <c r="HA58" s="680"/>
      <c r="HB58" s="680"/>
      <c r="HC58" s="680"/>
      <c r="HD58" s="680"/>
      <c r="HE58" s="680"/>
      <c r="HF58" s="680"/>
      <c r="HG58" s="680"/>
      <c r="HH58" s="680"/>
      <c r="HI58" s="680"/>
      <c r="HJ58" s="680"/>
      <c r="HK58" s="680"/>
      <c r="HL58" s="680"/>
      <c r="HM58" s="680"/>
      <c r="HN58" s="680"/>
      <c r="HO58" s="680"/>
      <c r="HP58" s="680"/>
      <c r="HQ58" s="680"/>
      <c r="HR58" s="680"/>
      <c r="HS58" s="680"/>
      <c r="HT58" s="680"/>
      <c r="HU58" s="680"/>
      <c r="HV58" s="680"/>
      <c r="HW58" s="680"/>
      <c r="HX58" s="680"/>
      <c r="HY58" s="680"/>
      <c r="HZ58" s="680"/>
      <c r="IA58" s="680"/>
      <c r="IB58" s="680"/>
      <c r="IC58" s="680"/>
      <c r="ID58" s="680"/>
      <c r="IE58" s="680"/>
      <c r="IF58" s="680"/>
      <c r="IG58" s="680"/>
      <c r="IH58" s="680"/>
      <c r="II58" s="680"/>
      <c r="IJ58" s="680"/>
      <c r="IK58" s="680"/>
      <c r="IL58" s="680"/>
      <c r="IM58" s="680"/>
      <c r="IN58" s="680"/>
      <c r="IO58" s="680"/>
      <c r="IP58" s="680"/>
      <c r="IQ58" s="680"/>
      <c r="IR58" s="680"/>
      <c r="IS58" s="680"/>
      <c r="IT58" s="680"/>
      <c r="IU58" s="680"/>
    </row>
    <row r="59" spans="1:255" s="681" customFormat="1" ht="18" customHeight="1">
      <c r="A59" s="570" t="s">
        <v>667</v>
      </c>
      <c r="B59" s="561"/>
      <c r="C59" s="1142"/>
      <c r="D59" s="1142"/>
      <c r="E59" s="1142"/>
      <c r="F59" s="1142"/>
      <c r="G59" s="1142"/>
      <c r="H59" s="1142"/>
      <c r="I59" s="1142"/>
      <c r="J59" s="1142"/>
      <c r="K59" s="1142"/>
      <c r="L59" s="1142"/>
      <c r="M59" s="561">
        <v>0</v>
      </c>
      <c r="N59" s="561">
        <v>0</v>
      </c>
      <c r="O59"/>
      <c r="P59" s="832"/>
      <c r="Q59" s="678"/>
      <c r="R59" s="678"/>
      <c r="S59" s="678"/>
      <c r="T59" s="678"/>
      <c r="U59" s="678"/>
      <c r="V59" s="678"/>
      <c r="W59" s="678"/>
      <c r="X59" s="678"/>
      <c r="Y59" s="678"/>
      <c r="Z59" s="678"/>
      <c r="AA59" s="678"/>
      <c r="AB59" s="678"/>
      <c r="AC59" s="678"/>
      <c r="AD59" s="678"/>
      <c r="AE59" s="678"/>
      <c r="AF59" s="678"/>
      <c r="AG59" s="678"/>
      <c r="AH59" s="679"/>
      <c r="AI59" s="679"/>
      <c r="AJ59" s="679"/>
      <c r="AK59" s="679"/>
      <c r="AL59" s="679"/>
      <c r="AM59" s="679"/>
      <c r="AN59" s="679"/>
      <c r="AO59" s="679"/>
      <c r="AP59" s="679"/>
      <c r="AQ59" s="679"/>
      <c r="AR59" s="679"/>
      <c r="AS59" s="679"/>
      <c r="AT59" s="679"/>
      <c r="AU59" s="679"/>
      <c r="AV59" s="679"/>
      <c r="AW59" s="679"/>
      <c r="AX59" s="679"/>
      <c r="AY59" s="679"/>
      <c r="AZ59" s="679"/>
      <c r="BA59" s="679"/>
      <c r="BB59" s="679"/>
      <c r="BC59" s="679"/>
      <c r="BD59" s="680"/>
      <c r="BE59" s="680"/>
      <c r="BF59" s="680"/>
      <c r="BG59" s="680"/>
      <c r="BH59" s="680"/>
      <c r="BI59" s="680"/>
      <c r="BJ59" s="680"/>
      <c r="BK59" s="680"/>
      <c r="BL59" s="680"/>
      <c r="BM59" s="680"/>
      <c r="BN59" s="680"/>
      <c r="BO59" s="680"/>
      <c r="BP59" s="680"/>
      <c r="BQ59" s="680"/>
      <c r="BR59" s="680"/>
      <c r="BS59" s="680"/>
      <c r="BT59" s="680"/>
      <c r="BU59" s="680"/>
      <c r="BV59" s="680"/>
      <c r="BW59" s="680"/>
      <c r="BX59" s="680"/>
      <c r="BY59" s="680"/>
      <c r="BZ59" s="680"/>
      <c r="CA59" s="680"/>
      <c r="CB59" s="680"/>
      <c r="CC59" s="680"/>
      <c r="CD59" s="680"/>
      <c r="CE59" s="680"/>
      <c r="CF59" s="680"/>
      <c r="CG59" s="680"/>
      <c r="CH59" s="680"/>
      <c r="CI59" s="680"/>
      <c r="CJ59" s="680"/>
      <c r="CK59" s="680"/>
      <c r="CL59" s="680"/>
      <c r="CM59" s="680"/>
      <c r="CN59" s="680"/>
      <c r="CO59" s="680"/>
      <c r="CP59" s="680"/>
      <c r="CQ59" s="680"/>
      <c r="CR59" s="680"/>
      <c r="CS59" s="680"/>
      <c r="CT59" s="680"/>
      <c r="CU59" s="680"/>
      <c r="CV59" s="680"/>
      <c r="CW59" s="680"/>
      <c r="CX59" s="680"/>
      <c r="CY59" s="680"/>
      <c r="CZ59" s="680"/>
      <c r="DA59" s="680"/>
      <c r="DB59" s="680"/>
      <c r="DC59" s="680"/>
      <c r="DD59" s="680"/>
      <c r="DE59" s="680"/>
      <c r="DF59" s="680"/>
      <c r="DG59" s="680"/>
      <c r="DH59" s="680"/>
      <c r="DI59" s="680"/>
      <c r="DJ59" s="680"/>
      <c r="DK59" s="680"/>
      <c r="DL59" s="680"/>
      <c r="DM59" s="680"/>
      <c r="DN59" s="680"/>
      <c r="DO59" s="680"/>
      <c r="DP59" s="680"/>
      <c r="DQ59" s="680"/>
      <c r="DR59" s="680"/>
      <c r="DS59" s="680"/>
      <c r="DT59" s="680"/>
      <c r="DU59" s="680"/>
      <c r="DV59" s="680"/>
      <c r="DW59" s="680"/>
      <c r="DX59" s="680"/>
      <c r="DY59" s="680"/>
      <c r="DZ59" s="680"/>
      <c r="EA59" s="680"/>
      <c r="EB59" s="680"/>
      <c r="EC59" s="680"/>
      <c r="ED59" s="680"/>
      <c r="EE59" s="680"/>
      <c r="EF59" s="680"/>
      <c r="EG59" s="680"/>
      <c r="EH59" s="680"/>
      <c r="EI59" s="680"/>
      <c r="EJ59" s="680"/>
      <c r="EK59" s="680"/>
      <c r="EL59" s="680"/>
      <c r="EM59" s="680"/>
      <c r="EN59" s="680"/>
      <c r="EO59" s="680"/>
      <c r="EP59" s="680"/>
      <c r="EQ59" s="680"/>
      <c r="ER59" s="680"/>
      <c r="ES59" s="680"/>
      <c r="ET59" s="680"/>
      <c r="EU59" s="680"/>
      <c r="EV59" s="680"/>
      <c r="EW59" s="680"/>
      <c r="EX59" s="680"/>
      <c r="EY59" s="680"/>
      <c r="EZ59" s="680"/>
      <c r="FA59" s="680"/>
      <c r="FB59" s="680"/>
      <c r="FC59" s="680"/>
      <c r="FD59" s="680"/>
      <c r="FE59" s="680"/>
      <c r="FF59" s="680"/>
      <c r="FG59" s="680"/>
      <c r="FH59" s="680"/>
      <c r="FI59" s="680"/>
      <c r="FJ59" s="680"/>
      <c r="FK59" s="680"/>
      <c r="FL59" s="680"/>
      <c r="FM59" s="680"/>
      <c r="FN59" s="680"/>
      <c r="FO59" s="680"/>
      <c r="FP59" s="680"/>
      <c r="FQ59" s="680"/>
      <c r="FR59" s="680"/>
      <c r="FS59" s="680"/>
      <c r="FT59" s="680"/>
      <c r="FU59" s="680"/>
      <c r="FV59" s="680"/>
      <c r="FW59" s="680"/>
      <c r="FX59" s="680"/>
      <c r="FY59" s="680"/>
      <c r="FZ59" s="680"/>
      <c r="GA59" s="680"/>
      <c r="GB59" s="680"/>
      <c r="GC59" s="680"/>
      <c r="GD59" s="680"/>
      <c r="GE59" s="680"/>
      <c r="GF59" s="680"/>
      <c r="GG59" s="680"/>
      <c r="GH59" s="680"/>
      <c r="GI59" s="680"/>
      <c r="GJ59" s="680"/>
      <c r="GK59" s="680"/>
      <c r="GL59" s="680"/>
      <c r="GM59" s="680"/>
      <c r="GN59" s="680"/>
      <c r="GO59" s="680"/>
      <c r="GP59" s="680"/>
      <c r="GQ59" s="680"/>
      <c r="GR59" s="680"/>
      <c r="GS59" s="680"/>
      <c r="GT59" s="680"/>
      <c r="GU59" s="680"/>
      <c r="GV59" s="680"/>
      <c r="GW59" s="680"/>
      <c r="GX59" s="680"/>
      <c r="GY59" s="680"/>
      <c r="GZ59" s="680"/>
      <c r="HA59" s="680"/>
      <c r="HB59" s="680"/>
      <c r="HC59" s="680"/>
      <c r="HD59" s="680"/>
      <c r="HE59" s="680"/>
      <c r="HF59" s="680"/>
      <c r="HG59" s="680"/>
      <c r="HH59" s="680"/>
      <c r="HI59" s="680"/>
      <c r="HJ59" s="680"/>
      <c r="HK59" s="680"/>
      <c r="HL59" s="680"/>
      <c r="HM59" s="680"/>
      <c r="HN59" s="680"/>
      <c r="HO59" s="680"/>
      <c r="HP59" s="680"/>
      <c r="HQ59" s="680"/>
      <c r="HR59" s="680"/>
      <c r="HS59" s="680"/>
      <c r="HT59" s="680"/>
      <c r="HU59" s="680"/>
      <c r="HV59" s="680"/>
      <c r="HW59" s="680"/>
      <c r="HX59" s="680"/>
      <c r="HY59" s="680"/>
      <c r="HZ59" s="680"/>
      <c r="IA59" s="680"/>
      <c r="IB59" s="680"/>
      <c r="IC59" s="680"/>
      <c r="ID59" s="680"/>
      <c r="IE59" s="680"/>
      <c r="IF59" s="680"/>
      <c r="IG59" s="680"/>
      <c r="IH59" s="680"/>
      <c r="II59" s="680"/>
      <c r="IJ59" s="680"/>
      <c r="IK59" s="680"/>
      <c r="IL59" s="680"/>
      <c r="IM59" s="680"/>
      <c r="IN59" s="680"/>
      <c r="IO59" s="680"/>
      <c r="IP59" s="680"/>
      <c r="IQ59" s="680"/>
      <c r="IR59" s="680"/>
      <c r="IS59" s="680"/>
      <c r="IT59" s="680"/>
      <c r="IU59" s="680"/>
    </row>
    <row r="60" spans="1:255" s="680" customFormat="1" ht="18" customHeight="1">
      <c r="A60" s="1132" t="s">
        <v>2788</v>
      </c>
      <c r="B60" s="561"/>
      <c r="C60" s="1142">
        <v>147.13758333999999</v>
      </c>
      <c r="D60" s="1142">
        <v>149.60758333999999</v>
      </c>
      <c r="E60" s="1142">
        <v>140.44919444999999</v>
      </c>
      <c r="F60" s="1142">
        <v>138.89949999999999</v>
      </c>
      <c r="G60" s="1142">
        <v>139.52350000000001</v>
      </c>
      <c r="H60" s="1142">
        <v>139.91505691</v>
      </c>
      <c r="I60" s="1142">
        <v>142.22333544</v>
      </c>
      <c r="J60" s="1142">
        <v>110.55815443</v>
      </c>
      <c r="K60" s="1142">
        <v>0</v>
      </c>
      <c r="L60" s="1142">
        <v>0</v>
      </c>
      <c r="M60" s="561">
        <v>0</v>
      </c>
      <c r="N60" s="561">
        <v>0</v>
      </c>
      <c r="O60"/>
      <c r="P60" s="832" t="s">
        <v>2835</v>
      </c>
      <c r="Q60" s="678"/>
      <c r="R60" s="678"/>
      <c r="S60" s="678"/>
      <c r="T60" s="678"/>
      <c r="U60" s="678"/>
      <c r="V60" s="678"/>
      <c r="W60" s="678"/>
      <c r="X60" s="678"/>
      <c r="Y60" s="678"/>
      <c r="Z60" s="678"/>
      <c r="AA60" s="678"/>
      <c r="AB60" s="678"/>
      <c r="AC60" s="678"/>
      <c r="AD60" s="678"/>
      <c r="AE60" s="678"/>
      <c r="AF60" s="678"/>
      <c r="AG60" s="678"/>
      <c r="AH60" s="679"/>
      <c r="AI60" s="679"/>
      <c r="AJ60" s="679"/>
      <c r="AK60" s="679"/>
      <c r="AL60" s="679"/>
      <c r="AM60" s="679"/>
      <c r="AN60" s="679"/>
      <c r="AO60" s="679"/>
      <c r="AP60" s="679"/>
      <c r="AQ60" s="679"/>
      <c r="AR60" s="679"/>
      <c r="AS60" s="679"/>
      <c r="AT60" s="679"/>
      <c r="AU60" s="679"/>
      <c r="AV60" s="679"/>
      <c r="AW60" s="679"/>
      <c r="AX60" s="679"/>
      <c r="AY60" s="679"/>
      <c r="AZ60" s="679"/>
      <c r="BA60" s="679"/>
      <c r="BB60" s="679"/>
      <c r="BC60" s="679"/>
    </row>
    <row r="61" spans="1:255" s="681" customFormat="1" ht="18" customHeight="1">
      <c r="A61" s="1132" t="s">
        <v>2789</v>
      </c>
      <c r="B61" s="561"/>
      <c r="C61" s="1142">
        <v>0</v>
      </c>
      <c r="D61" s="1142">
        <v>0</v>
      </c>
      <c r="E61" s="1142">
        <v>0</v>
      </c>
      <c r="F61" s="1142">
        <v>0</v>
      </c>
      <c r="G61" s="1142">
        <v>0</v>
      </c>
      <c r="H61" s="1142">
        <v>0</v>
      </c>
      <c r="I61" s="1142">
        <v>0</v>
      </c>
      <c r="J61" s="1142">
        <v>0</v>
      </c>
      <c r="K61" s="1142">
        <v>0</v>
      </c>
      <c r="L61" s="1142">
        <v>0</v>
      </c>
      <c r="M61" s="561">
        <v>0</v>
      </c>
      <c r="N61" s="561">
        <v>0</v>
      </c>
      <c r="O61"/>
      <c r="P61" s="832" t="s">
        <v>2807</v>
      </c>
      <c r="Q61" s="682"/>
      <c r="R61" s="682"/>
      <c r="S61" s="682"/>
      <c r="T61" s="678"/>
      <c r="U61" s="682"/>
      <c r="V61" s="682"/>
      <c r="W61" s="682"/>
      <c r="X61" s="682"/>
      <c r="Y61" s="682"/>
      <c r="Z61" s="682"/>
      <c r="AA61" s="682"/>
      <c r="AB61" s="682"/>
      <c r="AC61" s="682"/>
      <c r="AD61" s="682"/>
      <c r="AE61" s="682"/>
      <c r="AF61" s="682"/>
      <c r="AG61" s="682"/>
      <c r="AH61" s="683"/>
      <c r="AI61" s="683"/>
      <c r="AJ61" s="683"/>
      <c r="AK61" s="683"/>
      <c r="AL61" s="683"/>
      <c r="AM61" s="683"/>
      <c r="AN61" s="683"/>
      <c r="AO61" s="683"/>
      <c r="AP61" s="683"/>
      <c r="AQ61" s="683"/>
      <c r="AR61" s="683"/>
      <c r="AS61" s="683"/>
      <c r="AT61" s="683"/>
      <c r="AU61" s="683"/>
      <c r="AV61" s="683"/>
      <c r="AW61" s="683"/>
      <c r="AX61" s="683"/>
      <c r="AY61" s="683"/>
      <c r="AZ61" s="683"/>
      <c r="BA61" s="683"/>
      <c r="BB61" s="683"/>
      <c r="BC61" s="683"/>
      <c r="BD61" s="684"/>
      <c r="BE61" s="684"/>
      <c r="BF61" s="684"/>
      <c r="BG61" s="684"/>
      <c r="BH61" s="684"/>
      <c r="BI61" s="684"/>
      <c r="BJ61" s="684"/>
      <c r="BK61" s="684"/>
      <c r="BL61" s="684"/>
      <c r="BM61" s="684"/>
      <c r="BN61" s="684"/>
      <c r="BO61" s="684"/>
      <c r="BP61" s="684"/>
      <c r="BQ61" s="684"/>
      <c r="BR61" s="684"/>
      <c r="BS61" s="684"/>
      <c r="BT61" s="684"/>
      <c r="BU61" s="684"/>
      <c r="BV61" s="684"/>
      <c r="BW61" s="684"/>
      <c r="BX61" s="684"/>
    </row>
    <row r="62" spans="1:255" s="680" customFormat="1" ht="18" customHeight="1">
      <c r="A62" s="677" t="s">
        <v>668</v>
      </c>
      <c r="B62" s="678"/>
      <c r="C62" s="1146">
        <v>0</v>
      </c>
      <c r="D62" s="1146">
        <v>0</v>
      </c>
      <c r="E62" s="1146">
        <v>0</v>
      </c>
      <c r="F62" s="1146">
        <v>0</v>
      </c>
      <c r="G62" s="1146">
        <v>0</v>
      </c>
      <c r="H62" s="1146">
        <v>0</v>
      </c>
      <c r="I62" s="1146">
        <v>0</v>
      </c>
      <c r="J62" s="1146">
        <v>0</v>
      </c>
      <c r="K62" s="1146">
        <v>0</v>
      </c>
      <c r="L62" s="1146">
        <v>0</v>
      </c>
      <c r="M62" s="678">
        <v>0</v>
      </c>
      <c r="N62" s="678">
        <v>0</v>
      </c>
      <c r="O62"/>
      <c r="P62" s="832" t="s">
        <v>1660</v>
      </c>
      <c r="Q62" s="678"/>
      <c r="R62" s="678"/>
      <c r="S62" s="678"/>
      <c r="T62" s="678"/>
      <c r="U62" s="678"/>
      <c r="V62" s="678"/>
      <c r="W62" s="678"/>
      <c r="X62" s="678"/>
      <c r="Y62" s="678"/>
      <c r="Z62" s="678"/>
      <c r="AA62" s="678"/>
      <c r="AB62" s="678"/>
      <c r="AC62" s="678"/>
      <c r="AD62" s="678"/>
      <c r="AE62" s="678"/>
      <c r="AF62" s="678"/>
      <c r="AG62" s="678"/>
      <c r="AH62" s="679"/>
      <c r="AI62" s="679"/>
      <c r="AJ62" s="679"/>
      <c r="AK62" s="679"/>
      <c r="AL62" s="679"/>
      <c r="AM62" s="679"/>
      <c r="AN62" s="679"/>
      <c r="AO62" s="679"/>
      <c r="AP62" s="679"/>
      <c r="AQ62" s="679"/>
      <c r="AR62" s="679"/>
      <c r="AS62" s="679"/>
      <c r="AT62" s="679"/>
      <c r="AU62" s="679"/>
      <c r="AV62" s="679"/>
      <c r="AW62" s="679"/>
      <c r="AX62" s="679"/>
      <c r="AY62" s="679"/>
      <c r="AZ62" s="679"/>
      <c r="BA62" s="679"/>
      <c r="BB62" s="679"/>
      <c r="BC62" s="679"/>
    </row>
    <row r="63" spans="1:255" s="680" customFormat="1" ht="18" customHeight="1">
      <c r="A63" s="1132" t="s">
        <v>2791</v>
      </c>
      <c r="B63" s="678"/>
      <c r="C63" s="1146">
        <v>19.609246120000002</v>
      </c>
      <c r="D63" s="1146">
        <v>15.818328749999999</v>
      </c>
      <c r="E63" s="1146">
        <v>15.85995061</v>
      </c>
      <c r="F63" s="1146">
        <v>0</v>
      </c>
      <c r="G63" s="1146">
        <v>0</v>
      </c>
      <c r="H63" s="1146">
        <v>0</v>
      </c>
      <c r="I63" s="1146">
        <v>0</v>
      </c>
      <c r="J63" s="1146">
        <v>0</v>
      </c>
      <c r="K63" s="1146">
        <v>0</v>
      </c>
      <c r="L63" s="1146">
        <v>0</v>
      </c>
      <c r="M63" s="678">
        <v>0</v>
      </c>
      <c r="N63" s="678">
        <v>0</v>
      </c>
      <c r="O63"/>
      <c r="P63" s="832" t="s">
        <v>2844</v>
      </c>
      <c r="Q63" s="678"/>
      <c r="R63" s="678"/>
      <c r="S63" s="678"/>
      <c r="T63" s="678"/>
      <c r="U63" s="678"/>
      <c r="V63" s="678"/>
      <c r="W63" s="678"/>
      <c r="X63" s="678"/>
      <c r="Y63" s="678"/>
      <c r="Z63" s="678"/>
      <c r="AA63" s="678"/>
      <c r="AB63" s="678"/>
      <c r="AC63" s="678"/>
      <c r="AD63" s="678"/>
      <c r="AE63" s="678"/>
      <c r="AF63" s="678"/>
      <c r="AG63" s="678"/>
      <c r="AH63" s="679"/>
      <c r="AI63" s="679"/>
      <c r="AJ63" s="679"/>
      <c r="AK63" s="679"/>
      <c r="AL63" s="679"/>
      <c r="AM63" s="679"/>
      <c r="AN63" s="679"/>
      <c r="AO63" s="679"/>
      <c r="AP63" s="679"/>
      <c r="AQ63" s="679"/>
      <c r="AR63" s="679"/>
      <c r="AS63" s="679"/>
      <c r="AT63" s="679"/>
      <c r="AU63" s="679"/>
      <c r="AV63" s="679"/>
      <c r="AW63" s="679"/>
      <c r="AX63" s="679"/>
      <c r="AY63" s="679"/>
      <c r="AZ63" s="679"/>
      <c r="BA63" s="679"/>
      <c r="BB63" s="679"/>
      <c r="BC63" s="679"/>
    </row>
    <row r="64" spans="1:255" s="680" customFormat="1" ht="18" customHeight="1">
      <c r="A64" s="677" t="s">
        <v>669</v>
      </c>
      <c r="B64" s="678"/>
      <c r="C64" s="1146">
        <v>0</v>
      </c>
      <c r="D64" s="1146">
        <v>0</v>
      </c>
      <c r="E64" s="1146">
        <v>0</v>
      </c>
      <c r="F64" s="1146">
        <v>0</v>
      </c>
      <c r="G64" s="1146">
        <v>0</v>
      </c>
      <c r="H64" s="1146">
        <v>0</v>
      </c>
      <c r="I64" s="1146">
        <v>0</v>
      </c>
      <c r="J64" s="1146">
        <v>0</v>
      </c>
      <c r="K64" s="1146">
        <v>0</v>
      </c>
      <c r="L64" s="1146">
        <v>0</v>
      </c>
      <c r="M64" s="678">
        <v>0</v>
      </c>
      <c r="N64" s="678">
        <v>0</v>
      </c>
      <c r="O64"/>
      <c r="P64" s="832" t="s">
        <v>1661</v>
      </c>
      <c r="Q64" s="678"/>
      <c r="R64" s="678"/>
      <c r="S64" s="678"/>
      <c r="T64" s="678"/>
      <c r="U64" s="678"/>
      <c r="V64" s="678"/>
      <c r="W64" s="678"/>
      <c r="X64" s="678"/>
      <c r="Y64" s="678"/>
      <c r="Z64" s="678"/>
      <c r="AA64" s="678"/>
      <c r="AB64" s="678"/>
      <c r="AC64" s="678"/>
      <c r="AD64" s="678"/>
      <c r="AE64" s="678"/>
      <c r="AF64" s="678"/>
      <c r="AG64" s="678"/>
      <c r="AH64" s="679"/>
      <c r="AI64" s="679"/>
      <c r="AJ64" s="679"/>
      <c r="AK64" s="679"/>
      <c r="AL64" s="679"/>
      <c r="AM64" s="679"/>
      <c r="AN64" s="679"/>
      <c r="AO64" s="679"/>
      <c r="AP64" s="679"/>
      <c r="AQ64" s="679"/>
      <c r="AR64" s="679"/>
      <c r="AS64" s="679"/>
      <c r="AT64" s="679"/>
      <c r="AU64" s="679"/>
      <c r="AV64" s="679"/>
      <c r="AW64" s="679"/>
      <c r="AX64" s="679"/>
      <c r="AY64" s="679"/>
      <c r="AZ64" s="679"/>
      <c r="BA64" s="679"/>
      <c r="BB64" s="679"/>
      <c r="BC64" s="679"/>
    </row>
    <row r="65" spans="1:255" s="680" customFormat="1" ht="18" customHeight="1">
      <c r="A65" s="1132" t="s">
        <v>2792</v>
      </c>
      <c r="B65" s="678"/>
      <c r="C65" s="1146">
        <v>0</v>
      </c>
      <c r="D65" s="1146">
        <v>0</v>
      </c>
      <c r="E65" s="1146">
        <v>0</v>
      </c>
      <c r="F65" s="1146">
        <v>0</v>
      </c>
      <c r="G65" s="1146">
        <v>0</v>
      </c>
      <c r="H65" s="1146">
        <v>0</v>
      </c>
      <c r="I65" s="1146">
        <v>0</v>
      </c>
      <c r="J65" s="1146">
        <v>0</v>
      </c>
      <c r="K65" s="1146">
        <v>0</v>
      </c>
      <c r="L65" s="1146">
        <v>0</v>
      </c>
      <c r="M65" s="678">
        <v>0</v>
      </c>
      <c r="N65" s="678">
        <v>0</v>
      </c>
      <c r="O65"/>
      <c r="P65" s="832" t="s">
        <v>2845</v>
      </c>
      <c r="Q65" s="678"/>
      <c r="R65" s="678"/>
      <c r="S65" s="678"/>
      <c r="T65" s="678"/>
      <c r="U65" s="678"/>
      <c r="V65" s="678"/>
      <c r="W65" s="678"/>
      <c r="X65" s="678"/>
      <c r="Y65" s="678"/>
      <c r="Z65" s="678"/>
      <c r="AA65" s="678"/>
      <c r="AB65" s="678"/>
      <c r="AC65" s="678"/>
      <c r="AD65" s="678"/>
      <c r="AE65" s="678"/>
      <c r="AF65" s="678"/>
      <c r="AG65" s="678"/>
      <c r="AH65" s="679"/>
      <c r="AI65" s="679"/>
      <c r="AJ65" s="679"/>
      <c r="AK65" s="679"/>
      <c r="AL65" s="679"/>
      <c r="AM65" s="679"/>
      <c r="AN65" s="679"/>
      <c r="AO65" s="679"/>
      <c r="AP65" s="679"/>
      <c r="AQ65" s="679"/>
      <c r="AR65" s="679"/>
      <c r="AS65" s="679"/>
      <c r="AT65" s="679"/>
      <c r="AU65" s="679"/>
      <c r="AV65" s="679"/>
      <c r="AW65" s="679"/>
      <c r="AX65" s="679"/>
      <c r="AY65" s="679"/>
      <c r="AZ65" s="679"/>
      <c r="BA65" s="679"/>
      <c r="BB65" s="679"/>
      <c r="BC65" s="679"/>
    </row>
    <row r="66" spans="1:255" s="681" customFormat="1" ht="18" customHeight="1">
      <c r="A66" s="677" t="s">
        <v>670</v>
      </c>
      <c r="B66" s="678"/>
      <c r="C66" s="1146">
        <v>0</v>
      </c>
      <c r="D66" s="1146">
        <v>0</v>
      </c>
      <c r="E66" s="1146">
        <v>0</v>
      </c>
      <c r="F66" s="1146">
        <v>0</v>
      </c>
      <c r="G66" s="1146">
        <v>101.52110451</v>
      </c>
      <c r="H66" s="1146">
        <v>100.30105323000001</v>
      </c>
      <c r="I66" s="1146">
        <v>99.081002130000002</v>
      </c>
      <c r="J66" s="1146">
        <v>97.86095087999999</v>
      </c>
      <c r="K66" s="1146">
        <v>0</v>
      </c>
      <c r="L66" s="1146">
        <v>0</v>
      </c>
      <c r="M66" s="678">
        <v>0</v>
      </c>
      <c r="N66" s="678">
        <v>0</v>
      </c>
      <c r="O66"/>
      <c r="P66" s="832" t="s">
        <v>1664</v>
      </c>
      <c r="Q66" s="678"/>
      <c r="R66" s="678"/>
      <c r="S66" s="678"/>
      <c r="T66" s="678"/>
      <c r="U66" s="678"/>
      <c r="V66" s="678"/>
      <c r="W66" s="678"/>
      <c r="X66" s="678"/>
      <c r="Y66" s="678"/>
      <c r="Z66" s="678"/>
      <c r="AA66" s="678"/>
      <c r="AB66" s="678"/>
      <c r="AC66" s="678"/>
      <c r="AD66" s="678"/>
      <c r="AE66" s="678"/>
      <c r="AF66" s="678"/>
      <c r="AG66" s="678"/>
      <c r="AH66" s="679"/>
      <c r="AI66" s="679"/>
      <c r="AJ66" s="679"/>
      <c r="AK66" s="679"/>
      <c r="AL66" s="679"/>
      <c r="AM66" s="679"/>
      <c r="AN66" s="679"/>
      <c r="AO66" s="679"/>
      <c r="AP66" s="679"/>
      <c r="AQ66" s="679"/>
      <c r="AR66" s="679"/>
      <c r="AS66" s="679"/>
      <c r="AT66" s="679"/>
      <c r="AU66" s="679"/>
      <c r="AV66" s="679"/>
      <c r="AW66" s="679"/>
      <c r="AX66" s="679"/>
      <c r="AY66" s="679"/>
      <c r="AZ66" s="679"/>
      <c r="BA66" s="679"/>
      <c r="BB66" s="679"/>
      <c r="BC66" s="679"/>
      <c r="BD66" s="680"/>
      <c r="BE66" s="680"/>
      <c r="BF66" s="680"/>
      <c r="BG66" s="680"/>
      <c r="BH66" s="680"/>
      <c r="BI66" s="680"/>
      <c r="BJ66" s="680"/>
      <c r="BK66" s="680"/>
      <c r="BL66" s="680"/>
      <c r="BM66" s="680"/>
      <c r="BN66" s="680"/>
      <c r="BO66" s="680"/>
      <c r="BP66" s="680"/>
      <c r="BQ66" s="680"/>
      <c r="BR66" s="680"/>
      <c r="BS66" s="680"/>
      <c r="BT66" s="680"/>
      <c r="BU66" s="680"/>
      <c r="BV66" s="680"/>
      <c r="BW66" s="680"/>
      <c r="BX66" s="680"/>
      <c r="BY66" s="680"/>
      <c r="BZ66" s="680"/>
      <c r="CA66" s="680"/>
      <c r="CB66" s="680"/>
      <c r="CC66" s="680"/>
      <c r="CD66" s="680"/>
      <c r="CE66" s="680"/>
      <c r="CF66" s="680"/>
      <c r="CG66" s="680"/>
      <c r="CH66" s="680"/>
      <c r="CI66" s="680"/>
      <c r="CJ66" s="680"/>
      <c r="CK66" s="680"/>
      <c r="CL66" s="680"/>
      <c r="CM66" s="680"/>
      <c r="CN66" s="680"/>
      <c r="CO66" s="680"/>
      <c r="CP66" s="680"/>
      <c r="CQ66" s="680"/>
      <c r="CR66" s="680"/>
      <c r="CS66" s="680"/>
      <c r="CT66" s="680"/>
      <c r="CU66" s="680"/>
      <c r="CV66" s="680"/>
      <c r="CW66" s="680"/>
      <c r="CX66" s="680"/>
      <c r="CY66" s="680"/>
      <c r="CZ66" s="680"/>
      <c r="DA66" s="680"/>
      <c r="DB66" s="680"/>
      <c r="DC66" s="680"/>
      <c r="DD66" s="680"/>
      <c r="DE66" s="680"/>
      <c r="DF66" s="680"/>
      <c r="DG66" s="680"/>
      <c r="DH66" s="680"/>
      <c r="DI66" s="680"/>
      <c r="DJ66" s="680"/>
      <c r="DK66" s="680"/>
      <c r="DL66" s="680"/>
      <c r="DM66" s="680"/>
      <c r="DN66" s="680"/>
      <c r="DO66" s="680"/>
      <c r="DP66" s="680"/>
      <c r="DQ66" s="680"/>
      <c r="DR66" s="680"/>
      <c r="DS66" s="680"/>
      <c r="DT66" s="680"/>
      <c r="DU66" s="680"/>
      <c r="DV66" s="680"/>
      <c r="DW66" s="680"/>
      <c r="DX66" s="680"/>
      <c r="DY66" s="680"/>
      <c r="DZ66" s="680"/>
      <c r="EA66" s="680"/>
      <c r="EB66" s="680"/>
      <c r="EC66" s="680"/>
      <c r="ED66" s="680"/>
      <c r="EE66" s="680"/>
      <c r="EF66" s="680"/>
      <c r="EG66" s="680"/>
      <c r="EH66" s="680"/>
      <c r="EI66" s="680"/>
      <c r="EJ66" s="680"/>
      <c r="EK66" s="680"/>
      <c r="EL66" s="680"/>
      <c r="EM66" s="680"/>
      <c r="EN66" s="680"/>
      <c r="EO66" s="680"/>
      <c r="EP66" s="680"/>
      <c r="EQ66" s="680"/>
      <c r="ER66" s="680"/>
      <c r="ES66" s="680"/>
      <c r="ET66" s="680"/>
      <c r="EU66" s="680"/>
      <c r="EV66" s="680"/>
      <c r="EW66" s="680"/>
      <c r="EX66" s="680"/>
      <c r="EY66" s="680"/>
      <c r="EZ66" s="680"/>
      <c r="FA66" s="680"/>
      <c r="FB66" s="680"/>
      <c r="FC66" s="680"/>
      <c r="FD66" s="680"/>
      <c r="FE66" s="680"/>
      <c r="FF66" s="680"/>
      <c r="FG66" s="680"/>
      <c r="FH66" s="680"/>
      <c r="FI66" s="680"/>
      <c r="FJ66" s="680"/>
      <c r="FK66" s="680"/>
      <c r="FL66" s="680"/>
      <c r="FM66" s="680"/>
      <c r="FN66" s="680"/>
      <c r="FO66" s="680"/>
      <c r="FP66" s="680"/>
      <c r="FQ66" s="680"/>
      <c r="FR66" s="680"/>
      <c r="FS66" s="680"/>
      <c r="FT66" s="680"/>
      <c r="FU66" s="680"/>
      <c r="FV66" s="680"/>
      <c r="FW66" s="680"/>
      <c r="FX66" s="680"/>
      <c r="FY66" s="680"/>
      <c r="FZ66" s="680"/>
      <c r="GA66" s="680"/>
      <c r="GB66" s="680"/>
      <c r="GC66" s="680"/>
      <c r="GD66" s="680"/>
      <c r="GE66" s="680"/>
      <c r="GF66" s="680"/>
      <c r="GG66" s="680"/>
      <c r="GH66" s="680"/>
      <c r="GI66" s="680"/>
      <c r="GJ66" s="680"/>
      <c r="GK66" s="680"/>
      <c r="GL66" s="680"/>
      <c r="GM66" s="680"/>
      <c r="GN66" s="680"/>
      <c r="GO66" s="680"/>
      <c r="GP66" s="680"/>
      <c r="GQ66" s="680"/>
      <c r="GR66" s="680"/>
      <c r="GS66" s="680"/>
      <c r="GT66" s="680"/>
      <c r="GU66" s="680"/>
      <c r="GV66" s="680"/>
      <c r="GW66" s="680"/>
      <c r="GX66" s="680"/>
      <c r="GY66" s="680"/>
      <c r="GZ66" s="680"/>
      <c r="HA66" s="680"/>
      <c r="HB66" s="680"/>
      <c r="HC66" s="680"/>
      <c r="HD66" s="680"/>
      <c r="HE66" s="680"/>
      <c r="HF66" s="680"/>
      <c r="HG66" s="680"/>
      <c r="HH66" s="680"/>
      <c r="HI66" s="680"/>
      <c r="HJ66" s="680"/>
      <c r="HK66" s="680"/>
      <c r="HL66" s="680"/>
      <c r="HM66" s="680"/>
      <c r="HN66" s="680"/>
      <c r="HO66" s="680"/>
      <c r="HP66" s="680"/>
      <c r="HQ66" s="680"/>
      <c r="HR66" s="680"/>
      <c r="HS66" s="680"/>
      <c r="HT66" s="680"/>
      <c r="HU66" s="680"/>
      <c r="HV66" s="680"/>
      <c r="HW66" s="680"/>
      <c r="HX66" s="680"/>
      <c r="HY66" s="680"/>
      <c r="HZ66" s="680"/>
      <c r="IA66" s="680"/>
      <c r="IB66" s="680"/>
      <c r="IC66" s="680"/>
      <c r="ID66" s="680"/>
      <c r="IE66" s="680"/>
      <c r="IF66" s="680"/>
      <c r="IG66" s="680"/>
      <c r="IH66" s="680"/>
      <c r="II66" s="680"/>
      <c r="IJ66" s="680"/>
      <c r="IK66" s="680"/>
      <c r="IL66" s="680"/>
      <c r="IM66" s="680"/>
      <c r="IN66" s="680"/>
      <c r="IO66" s="680"/>
      <c r="IP66" s="680"/>
      <c r="IQ66" s="680"/>
      <c r="IR66" s="680"/>
      <c r="IS66" s="680"/>
      <c r="IT66" s="680"/>
      <c r="IU66" s="680"/>
    </row>
    <row r="67" spans="1:255" s="681" customFormat="1" ht="18" customHeight="1">
      <c r="A67" s="677" t="s">
        <v>179</v>
      </c>
      <c r="B67" s="678"/>
      <c r="C67" s="1146">
        <v>24.483474050000002</v>
      </c>
      <c r="D67" s="1146">
        <v>33.037368620000002</v>
      </c>
      <c r="E67" s="1146">
        <v>32.427114070000002</v>
      </c>
      <c r="F67" s="1146">
        <v>31.663530170000001</v>
      </c>
      <c r="G67" s="1146">
        <v>32.961611179999998</v>
      </c>
      <c r="H67" s="1146">
        <v>32.876697200000002</v>
      </c>
      <c r="I67" s="1146">
        <v>32.305315559999997</v>
      </c>
      <c r="J67" s="1146">
        <v>31.227834269999999</v>
      </c>
      <c r="K67" s="1146">
        <v>0</v>
      </c>
      <c r="L67" s="1146">
        <v>0</v>
      </c>
      <c r="M67" s="678">
        <v>0</v>
      </c>
      <c r="N67" s="678">
        <v>0</v>
      </c>
      <c r="O67"/>
      <c r="P67" s="832" t="s">
        <v>1663</v>
      </c>
      <c r="Q67" s="678"/>
      <c r="R67" s="678"/>
      <c r="S67" s="678"/>
      <c r="T67" s="678"/>
      <c r="U67" s="678"/>
      <c r="V67" s="678"/>
      <c r="W67" s="678"/>
      <c r="X67" s="678"/>
      <c r="Y67" s="678"/>
      <c r="Z67" s="678"/>
      <c r="AA67" s="678"/>
      <c r="AB67" s="678"/>
      <c r="AC67" s="678"/>
      <c r="AD67" s="678"/>
      <c r="AE67" s="678"/>
      <c r="AF67" s="678"/>
      <c r="AG67" s="678"/>
      <c r="AH67" s="679"/>
      <c r="AI67" s="679"/>
      <c r="AJ67" s="679"/>
      <c r="AK67" s="679"/>
      <c r="AL67" s="679"/>
      <c r="AM67" s="679"/>
      <c r="AN67" s="679"/>
      <c r="AO67" s="679"/>
      <c r="AP67" s="679"/>
      <c r="AQ67" s="679"/>
      <c r="AR67" s="679"/>
      <c r="AS67" s="679"/>
      <c r="AT67" s="679"/>
      <c r="AU67" s="679"/>
      <c r="AV67" s="679"/>
      <c r="AW67" s="679"/>
      <c r="AX67" s="679"/>
      <c r="AY67" s="679"/>
      <c r="AZ67" s="679"/>
      <c r="BA67" s="679"/>
      <c r="BB67" s="679"/>
      <c r="BC67" s="679"/>
      <c r="BD67" s="680"/>
      <c r="BE67" s="680"/>
      <c r="BF67" s="680"/>
      <c r="BG67" s="680"/>
      <c r="BH67" s="680"/>
      <c r="BI67" s="680"/>
      <c r="BJ67" s="680"/>
      <c r="BK67" s="680"/>
      <c r="BL67" s="680"/>
      <c r="BM67" s="680"/>
      <c r="BN67" s="680"/>
      <c r="BO67" s="680"/>
      <c r="BP67" s="680"/>
      <c r="BQ67" s="680"/>
      <c r="BR67" s="680"/>
      <c r="BS67" s="680"/>
      <c r="BT67" s="680"/>
      <c r="BU67" s="680"/>
      <c r="BV67" s="680"/>
      <c r="BW67" s="680"/>
      <c r="BX67" s="680"/>
      <c r="BY67" s="680"/>
      <c r="BZ67" s="680"/>
      <c r="CA67" s="680"/>
      <c r="CB67" s="680"/>
      <c r="CC67" s="680"/>
      <c r="CD67" s="680"/>
      <c r="CE67" s="680"/>
      <c r="CF67" s="680"/>
      <c r="CG67" s="680"/>
      <c r="CH67" s="680"/>
      <c r="CI67" s="680"/>
      <c r="CJ67" s="680"/>
      <c r="CK67" s="680"/>
      <c r="CL67" s="680"/>
      <c r="CM67" s="680"/>
      <c r="CN67" s="680"/>
      <c r="CO67" s="680"/>
      <c r="CP67" s="680"/>
      <c r="CQ67" s="680"/>
      <c r="CR67" s="680"/>
      <c r="CS67" s="680"/>
      <c r="CT67" s="680"/>
      <c r="CU67" s="680"/>
      <c r="CV67" s="680"/>
      <c r="CW67" s="680"/>
      <c r="CX67" s="680"/>
      <c r="CY67" s="680"/>
      <c r="CZ67" s="680"/>
      <c r="DA67" s="680"/>
      <c r="DB67" s="680"/>
      <c r="DC67" s="680"/>
      <c r="DD67" s="680"/>
      <c r="DE67" s="680"/>
      <c r="DF67" s="680"/>
      <c r="DG67" s="680"/>
      <c r="DH67" s="680"/>
      <c r="DI67" s="680"/>
      <c r="DJ67" s="680"/>
      <c r="DK67" s="680"/>
      <c r="DL67" s="680"/>
      <c r="DM67" s="680"/>
      <c r="DN67" s="680"/>
      <c r="DO67" s="680"/>
      <c r="DP67" s="680"/>
      <c r="DQ67" s="680"/>
      <c r="DR67" s="680"/>
      <c r="DS67" s="680"/>
      <c r="DT67" s="680"/>
      <c r="DU67" s="680"/>
      <c r="DV67" s="680"/>
      <c r="DW67" s="680"/>
      <c r="DX67" s="680"/>
      <c r="DY67" s="680"/>
      <c r="DZ67" s="680"/>
      <c r="EA67" s="680"/>
      <c r="EB67" s="680"/>
      <c r="EC67" s="680"/>
      <c r="ED67" s="680"/>
      <c r="EE67" s="680"/>
      <c r="EF67" s="680"/>
      <c r="EG67" s="680"/>
      <c r="EH67" s="680"/>
      <c r="EI67" s="680"/>
      <c r="EJ67" s="680"/>
      <c r="EK67" s="680"/>
      <c r="EL67" s="680"/>
      <c r="EM67" s="680"/>
      <c r="EN67" s="680"/>
      <c r="EO67" s="680"/>
      <c r="EP67" s="680"/>
      <c r="EQ67" s="680"/>
      <c r="ER67" s="680"/>
      <c r="ES67" s="680"/>
      <c r="ET67" s="680"/>
      <c r="EU67" s="680"/>
      <c r="EV67" s="680"/>
      <c r="EW67" s="680"/>
      <c r="EX67" s="680"/>
      <c r="EY67" s="680"/>
      <c r="EZ67" s="680"/>
      <c r="FA67" s="680"/>
      <c r="FB67" s="680"/>
      <c r="FC67" s="680"/>
      <c r="FD67" s="680"/>
      <c r="FE67" s="680"/>
      <c r="FF67" s="680"/>
      <c r="FG67" s="680"/>
      <c r="FH67" s="680"/>
      <c r="FI67" s="680"/>
      <c r="FJ67" s="680"/>
      <c r="FK67" s="680"/>
      <c r="FL67" s="680"/>
      <c r="FM67" s="680"/>
      <c r="FN67" s="680"/>
      <c r="FO67" s="680"/>
      <c r="FP67" s="680"/>
      <c r="FQ67" s="680"/>
      <c r="FR67" s="680"/>
      <c r="FS67" s="680"/>
      <c r="FT67" s="680"/>
      <c r="FU67" s="680"/>
      <c r="FV67" s="680"/>
      <c r="FW67" s="680"/>
      <c r="FX67" s="680"/>
      <c r="FY67" s="680"/>
      <c r="FZ67" s="680"/>
      <c r="GA67" s="680"/>
      <c r="GB67" s="680"/>
      <c r="GC67" s="680"/>
      <c r="GD67" s="680"/>
      <c r="GE67" s="680"/>
      <c r="GF67" s="680"/>
      <c r="GG67" s="680"/>
      <c r="GH67" s="680"/>
      <c r="GI67" s="680"/>
      <c r="GJ67" s="680"/>
      <c r="GK67" s="680"/>
      <c r="GL67" s="680"/>
      <c r="GM67" s="680"/>
      <c r="GN67" s="680"/>
      <c r="GO67" s="680"/>
      <c r="GP67" s="680"/>
      <c r="GQ67" s="680"/>
      <c r="GR67" s="680"/>
      <c r="GS67" s="680"/>
      <c r="GT67" s="680"/>
      <c r="GU67" s="680"/>
      <c r="GV67" s="680"/>
      <c r="GW67" s="680"/>
      <c r="GX67" s="680"/>
      <c r="GY67" s="680"/>
      <c r="GZ67" s="680"/>
      <c r="HA67" s="680"/>
      <c r="HB67" s="680"/>
      <c r="HC67" s="680"/>
      <c r="HD67" s="680"/>
      <c r="HE67" s="680"/>
      <c r="HF67" s="680"/>
      <c r="HG67" s="680"/>
      <c r="HH67" s="680"/>
      <c r="HI67" s="680"/>
      <c r="HJ67" s="680"/>
      <c r="HK67" s="680"/>
      <c r="HL67" s="680"/>
      <c r="HM67" s="680"/>
      <c r="HN67" s="680"/>
      <c r="HO67" s="680"/>
      <c r="HP67" s="680"/>
      <c r="HQ67" s="680"/>
      <c r="HR67" s="680"/>
      <c r="HS67" s="680"/>
      <c r="HT67" s="680"/>
      <c r="HU67" s="680"/>
      <c r="HV67" s="680"/>
      <c r="HW67" s="680"/>
      <c r="HX67" s="680"/>
      <c r="HY67" s="680"/>
      <c r="HZ67" s="680"/>
      <c r="IA67" s="680"/>
      <c r="IB67" s="680"/>
      <c r="IC67" s="680"/>
      <c r="ID67" s="680"/>
      <c r="IE67" s="680"/>
      <c r="IF67" s="680"/>
      <c r="IG67" s="680"/>
      <c r="IH67" s="680"/>
      <c r="II67" s="680"/>
      <c r="IJ67" s="680"/>
      <c r="IK67" s="680"/>
      <c r="IL67" s="680"/>
      <c r="IM67" s="680"/>
      <c r="IN67" s="680"/>
      <c r="IO67" s="680"/>
      <c r="IP67" s="680"/>
      <c r="IQ67" s="680"/>
      <c r="IR67" s="680"/>
      <c r="IS67" s="680"/>
      <c r="IT67" s="680"/>
      <c r="IU67" s="680"/>
    </row>
    <row r="68" spans="1:255" s="680" customFormat="1" ht="18" customHeight="1">
      <c r="A68" s="677" t="s">
        <v>1401</v>
      </c>
      <c r="B68" s="678"/>
      <c r="C68" s="1146">
        <v>1681.3613859899999</v>
      </c>
      <c r="D68" s="1146">
        <v>1775.3430901700001</v>
      </c>
      <c r="E68" s="1146">
        <v>1756.6015350299999</v>
      </c>
      <c r="F68" s="1146">
        <v>1916.1118295000001</v>
      </c>
      <c r="G68" s="1146">
        <v>1953.4169309599999</v>
      </c>
      <c r="H68" s="1146">
        <v>1944.3572417600001</v>
      </c>
      <c r="I68" s="1146">
        <v>2519.2104706300001</v>
      </c>
      <c r="J68" s="1147">
        <v>2346.0207556</v>
      </c>
      <c r="K68" s="1147">
        <v>0</v>
      </c>
      <c r="L68" s="1147">
        <v>0</v>
      </c>
      <c r="M68" s="682">
        <v>0</v>
      </c>
      <c r="N68" s="682">
        <v>0</v>
      </c>
      <c r="O68"/>
      <c r="P68" s="832" t="s">
        <v>1665</v>
      </c>
      <c r="Q68" s="678"/>
      <c r="R68" s="678"/>
      <c r="S68" s="678"/>
      <c r="T68" s="678"/>
      <c r="U68" s="678"/>
      <c r="V68" s="678"/>
      <c r="W68" s="678"/>
      <c r="X68" s="678"/>
      <c r="Y68" s="678"/>
      <c r="Z68" s="678"/>
      <c r="AA68" s="678"/>
      <c r="AB68" s="678"/>
      <c r="AC68" s="678"/>
      <c r="AD68" s="678"/>
      <c r="AE68" s="678"/>
      <c r="AF68" s="678"/>
      <c r="AG68" s="678"/>
      <c r="AH68" s="679"/>
      <c r="AI68" s="679"/>
      <c r="AJ68" s="679"/>
      <c r="AK68" s="679"/>
      <c r="AL68" s="679"/>
      <c r="AM68" s="679"/>
      <c r="AN68" s="679"/>
      <c r="AO68" s="679"/>
      <c r="AP68" s="679"/>
      <c r="AQ68" s="679"/>
      <c r="AR68" s="679"/>
      <c r="AS68" s="679"/>
      <c r="AT68" s="679"/>
      <c r="AU68" s="679"/>
      <c r="AV68" s="679"/>
      <c r="AW68" s="679"/>
      <c r="AX68" s="679"/>
      <c r="AY68" s="679"/>
      <c r="AZ68" s="679"/>
      <c r="BA68" s="679"/>
      <c r="BB68" s="679"/>
      <c r="BC68" s="679"/>
    </row>
    <row r="69" spans="1:255" s="681" customFormat="1" ht="18" customHeight="1">
      <c r="A69" s="677" t="s">
        <v>671</v>
      </c>
      <c r="B69" s="678"/>
      <c r="C69" s="1146">
        <v>0</v>
      </c>
      <c r="D69" s="1146">
        <v>0</v>
      </c>
      <c r="E69" s="1146">
        <v>0</v>
      </c>
      <c r="F69" s="1146">
        <v>0</v>
      </c>
      <c r="G69" s="1146">
        <v>0</v>
      </c>
      <c r="H69" s="1146">
        <v>0</v>
      </c>
      <c r="I69" s="1146">
        <v>0</v>
      </c>
      <c r="J69" s="1146">
        <v>0</v>
      </c>
      <c r="K69" s="1146">
        <v>0</v>
      </c>
      <c r="L69" s="1146">
        <v>0</v>
      </c>
      <c r="M69" s="678">
        <v>0</v>
      </c>
      <c r="N69" s="678">
        <v>0</v>
      </c>
      <c r="O69"/>
      <c r="P69" s="832" t="s">
        <v>1667</v>
      </c>
      <c r="Q69" s="678"/>
      <c r="R69" s="678"/>
      <c r="S69" s="678"/>
      <c r="T69" s="678"/>
      <c r="U69" s="678"/>
      <c r="V69" s="678"/>
      <c r="W69" s="678"/>
      <c r="X69" s="678"/>
      <c r="Y69" s="678"/>
      <c r="Z69" s="678"/>
      <c r="AA69" s="678"/>
      <c r="AB69" s="678"/>
      <c r="AC69" s="678"/>
      <c r="AD69" s="678"/>
      <c r="AE69" s="678"/>
      <c r="AF69" s="678"/>
      <c r="AG69" s="678"/>
      <c r="AH69" s="679"/>
      <c r="AI69" s="679"/>
      <c r="AJ69" s="679"/>
      <c r="AK69" s="679"/>
      <c r="AL69" s="679"/>
      <c r="AM69" s="679"/>
      <c r="AN69" s="679"/>
      <c r="AO69" s="679"/>
      <c r="AP69" s="679"/>
      <c r="AQ69" s="679"/>
      <c r="AR69" s="679"/>
      <c r="AS69" s="679"/>
      <c r="AT69" s="679"/>
      <c r="AU69" s="679"/>
      <c r="AV69" s="679"/>
      <c r="AW69" s="679"/>
      <c r="AX69" s="679"/>
      <c r="AY69" s="679"/>
      <c r="AZ69" s="679"/>
      <c r="BA69" s="679"/>
      <c r="BB69" s="679"/>
      <c r="BC69" s="679"/>
      <c r="BD69" s="680"/>
      <c r="BE69" s="680"/>
      <c r="BF69" s="680"/>
      <c r="BG69" s="680"/>
      <c r="BH69" s="680"/>
      <c r="BI69" s="680"/>
      <c r="BJ69" s="680"/>
      <c r="BK69" s="680"/>
      <c r="BL69" s="680"/>
      <c r="BM69" s="680"/>
      <c r="BN69" s="680"/>
      <c r="BO69" s="680"/>
      <c r="BP69" s="680"/>
      <c r="BQ69" s="680"/>
      <c r="BR69" s="680"/>
      <c r="BS69" s="680"/>
      <c r="BT69" s="680"/>
      <c r="BU69" s="680"/>
      <c r="BV69" s="680"/>
      <c r="BW69" s="680"/>
      <c r="BX69" s="680"/>
      <c r="BY69" s="680"/>
      <c r="BZ69" s="680"/>
      <c r="CA69" s="680"/>
      <c r="CB69" s="680"/>
      <c r="CC69" s="680"/>
      <c r="CD69" s="680"/>
      <c r="CE69" s="680"/>
      <c r="CF69" s="680"/>
      <c r="CG69" s="680"/>
      <c r="CH69" s="680"/>
      <c r="CI69" s="680"/>
      <c r="CJ69" s="680"/>
      <c r="CK69" s="680"/>
      <c r="CL69" s="680"/>
      <c r="CM69" s="680"/>
      <c r="CN69" s="680"/>
      <c r="CO69" s="680"/>
      <c r="CP69" s="680"/>
      <c r="CQ69" s="680"/>
      <c r="CR69" s="680"/>
      <c r="CS69" s="680"/>
      <c r="CT69" s="680"/>
      <c r="CU69" s="680"/>
      <c r="CV69" s="680"/>
      <c r="CW69" s="680"/>
      <c r="CX69" s="680"/>
      <c r="CY69" s="680"/>
      <c r="CZ69" s="680"/>
      <c r="DA69" s="680"/>
      <c r="DB69" s="680"/>
      <c r="DC69" s="680"/>
      <c r="DD69" s="680"/>
      <c r="DE69" s="680"/>
      <c r="DF69" s="680"/>
      <c r="DG69" s="680"/>
      <c r="DH69" s="680"/>
      <c r="DI69" s="680"/>
      <c r="DJ69" s="680"/>
      <c r="DK69" s="680"/>
      <c r="DL69" s="680"/>
      <c r="DM69" s="680"/>
      <c r="DN69" s="680"/>
      <c r="DO69" s="680"/>
      <c r="DP69" s="680"/>
      <c r="DQ69" s="680"/>
      <c r="DR69" s="680"/>
      <c r="DS69" s="680"/>
      <c r="DT69" s="680"/>
      <c r="DU69" s="680"/>
      <c r="DV69" s="680"/>
      <c r="DW69" s="680"/>
      <c r="DX69" s="680"/>
      <c r="DY69" s="680"/>
      <c r="DZ69" s="680"/>
      <c r="EA69" s="680"/>
      <c r="EB69" s="680"/>
      <c r="EC69" s="680"/>
      <c r="ED69" s="680"/>
      <c r="EE69" s="680"/>
      <c r="EF69" s="680"/>
      <c r="EG69" s="680"/>
      <c r="EH69" s="680"/>
      <c r="EI69" s="680"/>
      <c r="EJ69" s="680"/>
      <c r="EK69" s="680"/>
      <c r="EL69" s="680"/>
      <c r="EM69" s="680"/>
      <c r="EN69" s="680"/>
      <c r="EO69" s="680"/>
      <c r="EP69" s="680"/>
      <c r="EQ69" s="680"/>
      <c r="ER69" s="680"/>
      <c r="ES69" s="680"/>
      <c r="ET69" s="680"/>
      <c r="EU69" s="680"/>
      <c r="EV69" s="680"/>
      <c r="EW69" s="680"/>
      <c r="EX69" s="680"/>
      <c r="EY69" s="680"/>
      <c r="EZ69" s="680"/>
      <c r="FA69" s="680"/>
      <c r="FB69" s="680"/>
      <c r="FC69" s="680"/>
      <c r="FD69" s="680"/>
      <c r="FE69" s="680"/>
      <c r="FF69" s="680"/>
      <c r="FG69" s="680"/>
      <c r="FH69" s="680"/>
      <c r="FI69" s="680"/>
      <c r="FJ69" s="680"/>
      <c r="FK69" s="680"/>
      <c r="FL69" s="680"/>
      <c r="FM69" s="680"/>
      <c r="FN69" s="680"/>
      <c r="FO69" s="680"/>
      <c r="FP69" s="680"/>
      <c r="FQ69" s="680"/>
      <c r="FR69" s="680"/>
      <c r="FS69" s="680"/>
      <c r="FT69" s="680"/>
      <c r="FU69" s="680"/>
      <c r="FV69" s="680"/>
      <c r="FW69" s="680"/>
      <c r="FX69" s="680"/>
      <c r="FY69" s="680"/>
      <c r="FZ69" s="680"/>
      <c r="GA69" s="680"/>
      <c r="GB69" s="680"/>
      <c r="GC69" s="680"/>
      <c r="GD69" s="680"/>
      <c r="GE69" s="680"/>
      <c r="GF69" s="680"/>
      <c r="GG69" s="680"/>
      <c r="GH69" s="680"/>
      <c r="GI69" s="680"/>
      <c r="GJ69" s="680"/>
      <c r="GK69" s="680"/>
      <c r="GL69" s="680"/>
      <c r="GM69" s="680"/>
      <c r="GN69" s="680"/>
      <c r="GO69" s="680"/>
      <c r="GP69" s="680"/>
      <c r="GQ69" s="680"/>
      <c r="GR69" s="680"/>
      <c r="GS69" s="680"/>
      <c r="GT69" s="680"/>
      <c r="GU69" s="680"/>
      <c r="GV69" s="680"/>
      <c r="GW69" s="680"/>
      <c r="GX69" s="680"/>
      <c r="GY69" s="680"/>
      <c r="GZ69" s="680"/>
      <c r="HA69" s="680"/>
      <c r="HB69" s="680"/>
      <c r="HC69" s="680"/>
      <c r="HD69" s="680"/>
      <c r="HE69" s="680"/>
      <c r="HF69" s="680"/>
      <c r="HG69" s="680"/>
      <c r="HH69" s="680"/>
      <c r="HI69" s="680"/>
      <c r="HJ69" s="680"/>
      <c r="HK69" s="680"/>
      <c r="HL69" s="680"/>
      <c r="HM69" s="680"/>
      <c r="HN69" s="680"/>
      <c r="HO69" s="680"/>
      <c r="HP69" s="680"/>
      <c r="HQ69" s="680"/>
      <c r="HR69" s="680"/>
      <c r="HS69" s="680"/>
      <c r="HT69" s="680"/>
      <c r="HU69" s="680"/>
      <c r="HV69" s="680"/>
      <c r="HW69" s="680"/>
      <c r="HX69" s="680"/>
      <c r="HY69" s="680"/>
      <c r="HZ69" s="680"/>
      <c r="IA69" s="680"/>
      <c r="IB69" s="680"/>
      <c r="IC69" s="680"/>
      <c r="ID69" s="680"/>
      <c r="IE69" s="680"/>
      <c r="IF69" s="680"/>
      <c r="IG69" s="680"/>
      <c r="IH69" s="680"/>
      <c r="II69" s="680"/>
      <c r="IJ69" s="680"/>
      <c r="IK69" s="680"/>
      <c r="IL69" s="680"/>
      <c r="IM69" s="680"/>
      <c r="IN69" s="680"/>
      <c r="IO69" s="680"/>
      <c r="IP69" s="680"/>
      <c r="IQ69" s="680"/>
      <c r="IR69" s="680"/>
      <c r="IS69" s="680"/>
      <c r="IT69" s="680"/>
      <c r="IU69" s="680"/>
    </row>
    <row r="70" spans="1:255" s="680" customFormat="1" ht="18" customHeight="1">
      <c r="A70" s="677" t="s">
        <v>672</v>
      </c>
      <c r="B70" s="678"/>
      <c r="C70" s="1146">
        <v>266.38864294999996</v>
      </c>
      <c r="D70" s="1146">
        <v>317.58119862000001</v>
      </c>
      <c r="E70" s="1146">
        <v>359.59748772</v>
      </c>
      <c r="F70" s="1146">
        <v>292.76626694999999</v>
      </c>
      <c r="G70" s="1146">
        <v>159.04500887999998</v>
      </c>
      <c r="H70" s="1146">
        <v>166.24134801</v>
      </c>
      <c r="I70" s="1146">
        <v>165.24403422</v>
      </c>
      <c r="J70" s="1146">
        <v>142.94633049000001</v>
      </c>
      <c r="K70" s="1146">
        <v>0</v>
      </c>
      <c r="L70" s="1146">
        <v>0</v>
      </c>
      <c r="M70" s="678">
        <v>0</v>
      </c>
      <c r="N70" s="678">
        <v>0</v>
      </c>
      <c r="O70"/>
      <c r="P70" s="832" t="s">
        <v>1666</v>
      </c>
      <c r="Q70" s="678"/>
      <c r="R70" s="678"/>
      <c r="S70" s="678"/>
      <c r="T70" s="678"/>
      <c r="U70" s="678"/>
      <c r="V70" s="678"/>
      <c r="W70" s="678"/>
      <c r="X70" s="678"/>
      <c r="Y70" s="678"/>
      <c r="Z70" s="678"/>
      <c r="AA70" s="678"/>
      <c r="AB70" s="678"/>
      <c r="AC70" s="678"/>
      <c r="AD70" s="678"/>
      <c r="AE70" s="678"/>
      <c r="AF70" s="678"/>
      <c r="AG70" s="678"/>
      <c r="AH70" s="679"/>
      <c r="AI70" s="679"/>
      <c r="AJ70" s="679"/>
      <c r="AK70" s="679"/>
      <c r="AL70" s="679"/>
      <c r="AM70" s="679"/>
      <c r="AN70" s="679"/>
      <c r="AO70" s="679"/>
      <c r="AP70" s="679"/>
      <c r="AQ70" s="679"/>
      <c r="AR70" s="679"/>
      <c r="AS70" s="679"/>
      <c r="AT70" s="679"/>
      <c r="AU70" s="679"/>
      <c r="AV70" s="679"/>
      <c r="AW70" s="679"/>
      <c r="AX70" s="679"/>
      <c r="AY70" s="679"/>
      <c r="AZ70" s="679"/>
      <c r="BA70" s="679"/>
      <c r="BB70" s="679"/>
      <c r="BC70" s="679"/>
    </row>
    <row r="71" spans="1:255" s="680" customFormat="1" ht="18" customHeight="1">
      <c r="A71" s="1132" t="s">
        <v>2793</v>
      </c>
      <c r="B71" s="678"/>
      <c r="C71" s="1146">
        <v>19.665207809999998</v>
      </c>
      <c r="D71" s="1146">
        <v>48.39064149</v>
      </c>
      <c r="E71" s="1146">
        <v>48.924025090000001</v>
      </c>
      <c r="F71" s="1146">
        <v>47.984053950000003</v>
      </c>
      <c r="G71" s="1146">
        <v>42.679903590000002</v>
      </c>
      <c r="H71" s="1146">
        <v>49.957350670000004</v>
      </c>
      <c r="I71" s="1146">
        <v>59.182727820000004</v>
      </c>
      <c r="J71" s="1146">
        <v>35.727238569999997</v>
      </c>
      <c r="K71" s="1146">
        <v>0</v>
      </c>
      <c r="L71" s="1146">
        <v>0</v>
      </c>
      <c r="M71" s="678">
        <v>0</v>
      </c>
      <c r="N71" s="678">
        <v>0</v>
      </c>
      <c r="O71"/>
      <c r="P71" s="832" t="s">
        <v>2808</v>
      </c>
      <c r="Q71" s="678"/>
      <c r="R71" s="678"/>
      <c r="S71" s="678"/>
      <c r="T71" s="678"/>
      <c r="U71" s="678"/>
      <c r="V71" s="678"/>
      <c r="W71" s="678"/>
      <c r="X71" s="678"/>
      <c r="Y71" s="678"/>
      <c r="Z71" s="678"/>
      <c r="AA71" s="678"/>
      <c r="AB71" s="678"/>
      <c r="AC71" s="678"/>
      <c r="AD71" s="678"/>
      <c r="AE71" s="678"/>
      <c r="AF71" s="678"/>
      <c r="AG71" s="678"/>
      <c r="AH71" s="679"/>
      <c r="AI71" s="679"/>
      <c r="AJ71" s="679"/>
      <c r="AK71" s="679"/>
      <c r="AL71" s="679"/>
      <c r="AM71" s="679"/>
      <c r="AN71" s="679"/>
      <c r="AO71" s="679"/>
      <c r="AP71" s="679"/>
      <c r="AQ71" s="679"/>
      <c r="AR71" s="679"/>
      <c r="AS71" s="679"/>
      <c r="AT71" s="679"/>
      <c r="AU71" s="679"/>
      <c r="AV71" s="679"/>
      <c r="AW71" s="679"/>
      <c r="AX71" s="679"/>
      <c r="AY71" s="679"/>
      <c r="AZ71" s="679"/>
      <c r="BA71" s="679"/>
      <c r="BB71" s="679"/>
      <c r="BC71" s="679"/>
    </row>
    <row r="72" spans="1:255" s="680" customFormat="1" ht="18" customHeight="1">
      <c r="A72" s="677" t="s">
        <v>673</v>
      </c>
      <c r="B72" s="678"/>
      <c r="C72" s="1146">
        <v>0</v>
      </c>
      <c r="D72" s="1146">
        <v>0</v>
      </c>
      <c r="E72" s="1146">
        <v>0</v>
      </c>
      <c r="F72" s="1146">
        <v>0</v>
      </c>
      <c r="G72" s="1146">
        <v>0</v>
      </c>
      <c r="H72" s="1146">
        <v>0</v>
      </c>
      <c r="I72" s="1146">
        <v>0</v>
      </c>
      <c r="J72" s="1146">
        <v>0</v>
      </c>
      <c r="K72" s="1146">
        <v>0</v>
      </c>
      <c r="L72" s="1146">
        <v>0</v>
      </c>
      <c r="M72" s="678">
        <v>0</v>
      </c>
      <c r="N72" s="678">
        <v>0</v>
      </c>
      <c r="O72"/>
      <c r="P72" s="832" t="s">
        <v>1668</v>
      </c>
      <c r="Q72" s="678"/>
      <c r="R72" s="678"/>
      <c r="S72" s="678"/>
      <c r="T72" s="678"/>
      <c r="U72" s="678"/>
      <c r="V72" s="678"/>
      <c r="W72" s="678"/>
      <c r="X72" s="678"/>
      <c r="Y72" s="678"/>
      <c r="Z72" s="678"/>
      <c r="AA72" s="678"/>
      <c r="AB72" s="678"/>
      <c r="AC72" s="678"/>
      <c r="AD72" s="678"/>
      <c r="AE72" s="678"/>
      <c r="AF72" s="678"/>
      <c r="AG72" s="678"/>
      <c r="AH72" s="679"/>
      <c r="AI72" s="679"/>
      <c r="AJ72" s="679"/>
      <c r="AK72" s="679"/>
      <c r="AL72" s="679"/>
      <c r="AM72" s="679"/>
      <c r="AN72" s="679"/>
      <c r="AO72" s="679"/>
      <c r="AP72" s="679"/>
      <c r="AQ72" s="679"/>
      <c r="AR72" s="679"/>
      <c r="AS72" s="679"/>
      <c r="AT72" s="679"/>
      <c r="AU72" s="679"/>
      <c r="AV72" s="679"/>
      <c r="AW72" s="679"/>
      <c r="AX72" s="679"/>
      <c r="AY72" s="679"/>
      <c r="AZ72" s="679"/>
      <c r="BA72" s="679"/>
      <c r="BB72" s="679"/>
      <c r="BC72" s="679"/>
    </row>
    <row r="73" spans="1:255" s="681" customFormat="1" ht="18" customHeight="1">
      <c r="A73" s="677" t="s">
        <v>674</v>
      </c>
      <c r="B73" s="678"/>
      <c r="C73" s="1146">
        <v>0</v>
      </c>
      <c r="D73" s="1146">
        <v>0</v>
      </c>
      <c r="E73" s="1146">
        <v>0</v>
      </c>
      <c r="F73" s="1146">
        <v>0</v>
      </c>
      <c r="G73" s="1146">
        <v>0</v>
      </c>
      <c r="H73" s="1146">
        <v>0</v>
      </c>
      <c r="I73" s="1146">
        <v>0</v>
      </c>
      <c r="J73" s="1146">
        <v>0</v>
      </c>
      <c r="K73" s="1146">
        <v>0</v>
      </c>
      <c r="L73" s="1146">
        <v>0</v>
      </c>
      <c r="M73" s="678">
        <v>0</v>
      </c>
      <c r="N73" s="678">
        <v>0</v>
      </c>
      <c r="O73"/>
      <c r="P73" s="832" t="s">
        <v>1669</v>
      </c>
      <c r="Q73" s="678"/>
      <c r="R73" s="678"/>
      <c r="S73" s="678"/>
      <c r="T73" s="678"/>
      <c r="U73" s="678"/>
      <c r="V73" s="678"/>
      <c r="W73" s="678"/>
      <c r="X73" s="678"/>
      <c r="Y73" s="678"/>
      <c r="Z73" s="678"/>
      <c r="AA73" s="678"/>
      <c r="AB73" s="678"/>
      <c r="AC73" s="678"/>
      <c r="AD73" s="678"/>
      <c r="AE73" s="678"/>
      <c r="AF73" s="678"/>
      <c r="AG73" s="678"/>
      <c r="AH73" s="679"/>
      <c r="AI73" s="679"/>
      <c r="AJ73" s="679"/>
      <c r="AK73" s="679"/>
      <c r="AL73" s="679"/>
      <c r="AM73" s="679"/>
      <c r="AN73" s="679"/>
      <c r="AO73" s="679"/>
      <c r="AP73" s="679"/>
      <c r="AQ73" s="679"/>
      <c r="AR73" s="679"/>
      <c r="AS73" s="679"/>
      <c r="AT73" s="679"/>
      <c r="AU73" s="679"/>
      <c r="AV73" s="679"/>
      <c r="AW73" s="679"/>
      <c r="AX73" s="679"/>
      <c r="AY73" s="679"/>
      <c r="AZ73" s="679"/>
      <c r="BA73" s="679"/>
      <c r="BB73" s="679"/>
      <c r="BC73" s="679"/>
      <c r="BD73" s="680"/>
      <c r="BE73" s="680"/>
      <c r="BF73" s="680"/>
      <c r="BG73" s="680"/>
      <c r="BH73" s="680"/>
      <c r="BI73" s="680"/>
      <c r="BJ73" s="680"/>
      <c r="BK73" s="680"/>
      <c r="BL73" s="680"/>
      <c r="BM73" s="680"/>
      <c r="BN73" s="680"/>
      <c r="BO73" s="680"/>
      <c r="BP73" s="680"/>
      <c r="BQ73" s="680"/>
      <c r="BR73" s="680"/>
      <c r="BS73" s="680"/>
      <c r="BT73" s="680"/>
      <c r="BU73" s="680"/>
      <c r="BV73" s="680"/>
      <c r="BW73" s="680"/>
      <c r="BX73" s="680"/>
      <c r="BY73" s="680"/>
      <c r="BZ73" s="680"/>
      <c r="CA73" s="680"/>
      <c r="CB73" s="680"/>
      <c r="CC73" s="680"/>
      <c r="CD73" s="680"/>
      <c r="CE73" s="680"/>
      <c r="CF73" s="680"/>
      <c r="CG73" s="680"/>
      <c r="CH73" s="680"/>
      <c r="CI73" s="680"/>
      <c r="CJ73" s="680"/>
      <c r="CK73" s="680"/>
      <c r="CL73" s="680"/>
      <c r="CM73" s="680"/>
      <c r="CN73" s="680"/>
      <c r="CO73" s="680"/>
      <c r="CP73" s="680"/>
      <c r="CQ73" s="680"/>
      <c r="CR73" s="680"/>
      <c r="CS73" s="680"/>
      <c r="CT73" s="680"/>
      <c r="CU73" s="680"/>
      <c r="CV73" s="680"/>
      <c r="CW73" s="680"/>
      <c r="CX73" s="680"/>
      <c r="CY73" s="680"/>
      <c r="CZ73" s="680"/>
      <c r="DA73" s="680"/>
      <c r="DB73" s="680"/>
      <c r="DC73" s="680"/>
      <c r="DD73" s="680"/>
      <c r="DE73" s="680"/>
      <c r="DF73" s="680"/>
      <c r="DG73" s="680"/>
      <c r="DH73" s="680"/>
      <c r="DI73" s="680"/>
      <c r="DJ73" s="680"/>
      <c r="DK73" s="680"/>
      <c r="DL73" s="680"/>
      <c r="DM73" s="680"/>
      <c r="DN73" s="680"/>
      <c r="DO73" s="680"/>
      <c r="DP73" s="680"/>
      <c r="DQ73" s="680"/>
      <c r="DR73" s="680"/>
      <c r="DS73" s="680"/>
      <c r="DT73" s="680"/>
      <c r="DU73" s="680"/>
      <c r="DV73" s="680"/>
      <c r="DW73" s="680"/>
      <c r="DX73" s="680"/>
      <c r="DY73" s="680"/>
      <c r="DZ73" s="680"/>
      <c r="EA73" s="680"/>
      <c r="EB73" s="680"/>
      <c r="EC73" s="680"/>
      <c r="ED73" s="680"/>
      <c r="EE73" s="680"/>
      <c r="EF73" s="680"/>
      <c r="EG73" s="680"/>
      <c r="EH73" s="680"/>
      <c r="EI73" s="680"/>
      <c r="EJ73" s="680"/>
      <c r="EK73" s="680"/>
      <c r="EL73" s="680"/>
      <c r="EM73" s="680"/>
      <c r="EN73" s="680"/>
      <c r="EO73" s="680"/>
      <c r="EP73" s="680"/>
      <c r="EQ73" s="680"/>
      <c r="ER73" s="680"/>
      <c r="ES73" s="680"/>
      <c r="ET73" s="680"/>
      <c r="EU73" s="680"/>
      <c r="EV73" s="680"/>
      <c r="EW73" s="680"/>
      <c r="EX73" s="680"/>
      <c r="EY73" s="680"/>
      <c r="EZ73" s="680"/>
      <c r="FA73" s="680"/>
      <c r="FB73" s="680"/>
      <c r="FC73" s="680"/>
      <c r="FD73" s="680"/>
      <c r="FE73" s="680"/>
      <c r="FF73" s="680"/>
      <c r="FG73" s="680"/>
      <c r="FH73" s="680"/>
      <c r="FI73" s="680"/>
      <c r="FJ73" s="680"/>
      <c r="FK73" s="680"/>
      <c r="FL73" s="680"/>
      <c r="FM73" s="680"/>
      <c r="FN73" s="680"/>
      <c r="FO73" s="680"/>
      <c r="FP73" s="680"/>
      <c r="FQ73" s="680"/>
      <c r="FR73" s="680"/>
      <c r="FS73" s="680"/>
      <c r="FT73" s="680"/>
      <c r="FU73" s="680"/>
      <c r="FV73" s="680"/>
      <c r="FW73" s="680"/>
      <c r="FX73" s="680"/>
      <c r="FY73" s="680"/>
      <c r="FZ73" s="680"/>
      <c r="GA73" s="680"/>
      <c r="GB73" s="680"/>
      <c r="GC73" s="680"/>
      <c r="GD73" s="680"/>
      <c r="GE73" s="680"/>
      <c r="GF73" s="680"/>
      <c r="GG73" s="680"/>
      <c r="GH73" s="680"/>
      <c r="GI73" s="680"/>
      <c r="GJ73" s="680"/>
      <c r="GK73" s="680"/>
      <c r="GL73" s="680"/>
      <c r="GM73" s="680"/>
      <c r="GN73" s="680"/>
      <c r="GO73" s="680"/>
      <c r="GP73" s="680"/>
      <c r="GQ73" s="680"/>
      <c r="GR73" s="680"/>
      <c r="GS73" s="680"/>
      <c r="GT73" s="680"/>
      <c r="GU73" s="680"/>
      <c r="GV73" s="680"/>
      <c r="GW73" s="680"/>
      <c r="GX73" s="680"/>
      <c r="GY73" s="680"/>
      <c r="GZ73" s="680"/>
      <c r="HA73" s="680"/>
      <c r="HB73" s="680"/>
      <c r="HC73" s="680"/>
      <c r="HD73" s="680"/>
      <c r="HE73" s="680"/>
      <c r="HF73" s="680"/>
      <c r="HG73" s="680"/>
      <c r="HH73" s="680"/>
      <c r="HI73" s="680"/>
      <c r="HJ73" s="680"/>
      <c r="HK73" s="680"/>
      <c r="HL73" s="680"/>
      <c r="HM73" s="680"/>
      <c r="HN73" s="680"/>
      <c r="HO73" s="680"/>
      <c r="HP73" s="680"/>
      <c r="HQ73" s="680"/>
      <c r="HR73" s="680"/>
      <c r="HS73" s="680"/>
      <c r="HT73" s="680"/>
      <c r="HU73" s="680"/>
      <c r="HV73" s="680"/>
      <c r="HW73" s="680"/>
      <c r="HX73" s="680"/>
      <c r="HY73" s="680"/>
      <c r="HZ73" s="680"/>
      <c r="IA73" s="680"/>
      <c r="IB73" s="680"/>
      <c r="IC73" s="680"/>
      <c r="ID73" s="680"/>
      <c r="IE73" s="680"/>
      <c r="IF73" s="680"/>
      <c r="IG73" s="680"/>
      <c r="IH73" s="680"/>
      <c r="II73" s="680"/>
      <c r="IJ73" s="680"/>
      <c r="IK73" s="680"/>
      <c r="IL73" s="680"/>
      <c r="IM73" s="680"/>
      <c r="IN73" s="680"/>
      <c r="IO73" s="680"/>
      <c r="IP73" s="680"/>
      <c r="IQ73" s="680"/>
      <c r="IR73" s="680"/>
      <c r="IS73" s="680"/>
      <c r="IT73" s="680"/>
      <c r="IU73" s="680"/>
    </row>
    <row r="74" spans="1:255" s="688" customFormat="1" ht="18" customHeight="1">
      <c r="A74" s="677" t="s">
        <v>675</v>
      </c>
      <c r="B74" s="678"/>
      <c r="C74" s="1146">
        <v>0</v>
      </c>
      <c r="D74" s="1146">
        <v>0</v>
      </c>
      <c r="E74" s="1146">
        <v>0</v>
      </c>
      <c r="F74" s="1146">
        <v>0</v>
      </c>
      <c r="G74" s="1146">
        <v>0</v>
      </c>
      <c r="H74" s="1146">
        <v>0</v>
      </c>
      <c r="I74" s="1146">
        <v>0</v>
      </c>
      <c r="J74" s="1146">
        <v>0</v>
      </c>
      <c r="K74" s="1146">
        <v>0</v>
      </c>
      <c r="L74" s="1146">
        <v>0</v>
      </c>
      <c r="M74" s="678">
        <v>0</v>
      </c>
      <c r="N74" s="678">
        <v>0</v>
      </c>
      <c r="O74"/>
      <c r="P74" s="832" t="s">
        <v>1670</v>
      </c>
      <c r="Q74" s="686"/>
      <c r="R74" s="686"/>
      <c r="S74" s="686"/>
      <c r="T74" s="686"/>
      <c r="U74" s="686"/>
      <c r="V74" s="686"/>
      <c r="W74" s="686"/>
      <c r="X74" s="686"/>
      <c r="Y74" s="686"/>
      <c r="Z74" s="686"/>
      <c r="AA74" s="686"/>
      <c r="AB74" s="686"/>
      <c r="AC74" s="686"/>
      <c r="AD74" s="686"/>
      <c r="AE74" s="686"/>
      <c r="AF74" s="686"/>
      <c r="AG74" s="686"/>
      <c r="AH74" s="687"/>
      <c r="AI74" s="687"/>
      <c r="AJ74" s="687"/>
      <c r="AK74" s="687"/>
      <c r="AL74" s="687"/>
      <c r="AM74" s="687"/>
      <c r="AN74" s="687"/>
      <c r="AO74" s="687"/>
      <c r="AP74" s="687"/>
      <c r="AQ74" s="687"/>
      <c r="AR74" s="687"/>
      <c r="AS74" s="687"/>
      <c r="AT74" s="687"/>
      <c r="AU74" s="687"/>
      <c r="AV74" s="687"/>
      <c r="AW74" s="687"/>
      <c r="AX74" s="687"/>
      <c r="AY74" s="687"/>
      <c r="AZ74" s="687"/>
      <c r="BA74" s="687"/>
      <c r="BB74" s="687"/>
      <c r="BC74" s="687"/>
    </row>
    <row r="75" spans="1:255" ht="18" customHeight="1">
      <c r="A75" s="677" t="s">
        <v>676</v>
      </c>
      <c r="B75" s="678"/>
      <c r="C75" s="1146">
        <v>144.34393381999999</v>
      </c>
      <c r="D75" s="1146">
        <v>274.06470745000001</v>
      </c>
      <c r="E75" s="1146">
        <v>272.46212763</v>
      </c>
      <c r="F75" s="1146">
        <v>276.25438370000001</v>
      </c>
      <c r="G75" s="1146">
        <v>288.30196711000002</v>
      </c>
      <c r="H75" s="1146">
        <v>291.37935977999996</v>
      </c>
      <c r="I75" s="1146">
        <v>306.01136407000001</v>
      </c>
      <c r="J75" s="1146">
        <v>183.61676978</v>
      </c>
      <c r="K75" s="1146">
        <v>0</v>
      </c>
      <c r="L75" s="1146">
        <v>0</v>
      </c>
      <c r="M75" s="678">
        <v>0</v>
      </c>
      <c r="N75" s="678">
        <v>0</v>
      </c>
      <c r="O75"/>
      <c r="P75" s="832" t="s">
        <v>1671</v>
      </c>
      <c r="Q75" s="561"/>
      <c r="R75" s="561"/>
      <c r="S75" s="561"/>
      <c r="T75" s="561"/>
      <c r="U75" s="561"/>
      <c r="V75" s="561"/>
      <c r="W75" s="561"/>
      <c r="X75" s="561"/>
      <c r="Y75" s="561"/>
      <c r="Z75" s="561"/>
      <c r="AA75" s="561"/>
      <c r="AB75" s="561"/>
      <c r="AC75" s="561"/>
      <c r="AD75" s="561"/>
      <c r="AE75" s="561"/>
      <c r="AF75" s="561"/>
      <c r="AG75" s="561"/>
      <c r="AH75" s="567"/>
      <c r="AI75" s="567"/>
      <c r="AJ75" s="567"/>
      <c r="AK75" s="567"/>
      <c r="AL75" s="567"/>
      <c r="AM75" s="567"/>
      <c r="AN75" s="567"/>
      <c r="AO75" s="567"/>
      <c r="AP75" s="567"/>
      <c r="AQ75" s="567"/>
      <c r="AR75" s="567"/>
      <c r="AS75" s="567"/>
      <c r="AT75" s="567"/>
      <c r="AU75" s="567"/>
      <c r="AV75" s="567"/>
      <c r="AW75" s="567"/>
      <c r="AX75" s="567"/>
      <c r="AY75" s="567"/>
      <c r="AZ75" s="567"/>
      <c r="BA75" s="567"/>
      <c r="BB75" s="567"/>
      <c r="BC75" s="567"/>
      <c r="BD75" s="568"/>
      <c r="BE75" s="568"/>
      <c r="BF75" s="568"/>
      <c r="BG75" s="568"/>
      <c r="BH75" s="568"/>
      <c r="BI75" s="568"/>
      <c r="BJ75" s="568"/>
      <c r="BK75" s="568"/>
      <c r="BL75" s="568"/>
      <c r="BM75" s="568"/>
      <c r="BN75" s="568"/>
      <c r="BO75" s="568"/>
      <c r="BP75" s="568"/>
      <c r="BQ75" s="568"/>
      <c r="BR75" s="568"/>
      <c r="BS75" s="568"/>
      <c r="BT75" s="568"/>
      <c r="BU75" s="568"/>
      <c r="BV75" s="568"/>
      <c r="BW75" s="568"/>
      <c r="BX75" s="568"/>
      <c r="BY75" s="568"/>
      <c r="BZ75" s="568"/>
      <c r="CA75" s="568"/>
      <c r="CB75" s="568"/>
      <c r="CC75" s="568"/>
      <c r="CD75" s="568"/>
      <c r="CE75" s="568"/>
      <c r="CF75" s="568"/>
      <c r="CG75" s="568"/>
      <c r="CH75" s="568"/>
      <c r="CI75" s="568"/>
      <c r="CJ75" s="568"/>
      <c r="CK75" s="568"/>
      <c r="CL75" s="568"/>
      <c r="CM75" s="568"/>
      <c r="CN75" s="568"/>
      <c r="CO75" s="568"/>
      <c r="CP75" s="568"/>
      <c r="CQ75" s="568"/>
      <c r="CR75" s="568"/>
      <c r="CS75" s="568"/>
      <c r="CT75" s="568"/>
      <c r="CU75" s="568"/>
      <c r="CV75" s="568"/>
      <c r="CW75" s="568"/>
      <c r="CX75" s="568"/>
      <c r="CY75" s="568"/>
      <c r="CZ75" s="568"/>
      <c r="DA75" s="568"/>
      <c r="DB75" s="568"/>
      <c r="DC75" s="568"/>
      <c r="DD75" s="568"/>
      <c r="DE75" s="568"/>
      <c r="DF75" s="568"/>
      <c r="DG75" s="568"/>
      <c r="DH75" s="568"/>
      <c r="DI75" s="568"/>
      <c r="DJ75" s="568"/>
      <c r="DK75" s="568"/>
      <c r="DL75" s="568"/>
      <c r="DM75" s="568"/>
      <c r="DN75" s="568"/>
      <c r="DO75" s="568"/>
      <c r="DP75" s="568"/>
      <c r="DQ75" s="568"/>
      <c r="DR75" s="568"/>
      <c r="DS75" s="568"/>
      <c r="DT75" s="568"/>
      <c r="DU75" s="568"/>
      <c r="DV75" s="568"/>
      <c r="DW75" s="568"/>
      <c r="DX75" s="568"/>
      <c r="DY75" s="568"/>
      <c r="DZ75" s="568"/>
      <c r="EA75" s="568"/>
      <c r="EB75" s="568"/>
      <c r="EC75" s="568"/>
      <c r="ED75" s="568"/>
      <c r="EE75" s="568"/>
      <c r="EF75" s="568"/>
      <c r="EG75" s="568"/>
      <c r="EH75" s="568"/>
      <c r="EI75" s="568"/>
      <c r="EJ75" s="568"/>
      <c r="EK75" s="568"/>
      <c r="EL75" s="568"/>
      <c r="EM75" s="568"/>
      <c r="EN75" s="568"/>
      <c r="EO75" s="568"/>
      <c r="EP75" s="568"/>
      <c r="EQ75" s="568"/>
      <c r="ER75" s="568"/>
      <c r="ES75" s="568"/>
      <c r="ET75" s="568"/>
      <c r="EU75" s="568"/>
      <c r="EV75" s="568"/>
      <c r="EW75" s="568"/>
      <c r="EX75" s="568"/>
      <c r="EY75" s="568"/>
      <c r="EZ75" s="568"/>
      <c r="FA75" s="568"/>
      <c r="FB75" s="568"/>
      <c r="FC75" s="568"/>
      <c r="FD75" s="568"/>
      <c r="FE75" s="568"/>
      <c r="FF75" s="568"/>
      <c r="FG75" s="568"/>
      <c r="FH75" s="568"/>
      <c r="FI75" s="568"/>
      <c r="FJ75" s="568"/>
      <c r="FK75" s="568"/>
      <c r="FL75" s="568"/>
      <c r="FM75" s="568"/>
      <c r="FN75" s="568"/>
      <c r="FO75" s="568"/>
      <c r="FP75" s="568"/>
      <c r="FQ75" s="568"/>
      <c r="FR75" s="568"/>
      <c r="FS75" s="568"/>
      <c r="FT75" s="568"/>
      <c r="FU75" s="568"/>
      <c r="FV75" s="568"/>
      <c r="FW75" s="568"/>
      <c r="FX75" s="568"/>
      <c r="FY75" s="568"/>
      <c r="FZ75" s="568"/>
      <c r="GA75" s="568"/>
      <c r="GB75" s="568"/>
      <c r="GC75" s="568"/>
      <c r="GD75" s="568"/>
      <c r="GE75" s="568"/>
      <c r="GF75" s="568"/>
      <c r="GG75" s="568"/>
      <c r="GH75" s="568"/>
      <c r="GI75" s="568"/>
      <c r="GJ75" s="568"/>
      <c r="GK75" s="568"/>
      <c r="GL75" s="568"/>
      <c r="GM75" s="568"/>
      <c r="GN75" s="568"/>
      <c r="GO75" s="568"/>
      <c r="GP75" s="568"/>
      <c r="GQ75" s="568"/>
      <c r="GR75" s="568"/>
      <c r="GS75" s="568"/>
      <c r="GT75" s="568"/>
      <c r="GU75" s="568"/>
      <c r="GV75" s="568"/>
      <c r="GW75" s="568"/>
      <c r="GX75" s="568"/>
      <c r="GY75" s="568"/>
      <c r="GZ75" s="568"/>
      <c r="HA75" s="568"/>
      <c r="HB75" s="568"/>
      <c r="HC75" s="568"/>
      <c r="HD75" s="568"/>
      <c r="HE75" s="568"/>
      <c r="HF75" s="568"/>
      <c r="HG75" s="568"/>
      <c r="HH75" s="568"/>
      <c r="HI75" s="568"/>
      <c r="HJ75" s="568"/>
      <c r="HK75" s="568"/>
      <c r="HL75" s="568"/>
      <c r="HM75" s="568"/>
      <c r="HN75" s="568"/>
      <c r="HO75" s="568"/>
      <c r="HP75" s="568"/>
      <c r="HQ75" s="568"/>
      <c r="HR75" s="568"/>
      <c r="HS75" s="568"/>
      <c r="HT75" s="568"/>
      <c r="HU75" s="568"/>
      <c r="HV75" s="568"/>
      <c r="HW75" s="568"/>
      <c r="HX75" s="568"/>
      <c r="HY75" s="568"/>
      <c r="HZ75" s="568"/>
      <c r="IA75" s="568"/>
      <c r="IB75" s="568"/>
      <c r="IC75" s="568"/>
      <c r="ID75" s="568"/>
      <c r="IE75" s="568"/>
      <c r="IF75" s="568"/>
      <c r="IG75" s="568"/>
      <c r="IH75" s="568"/>
      <c r="II75" s="568"/>
      <c r="IJ75" s="568"/>
      <c r="IK75" s="568"/>
      <c r="IL75" s="568"/>
      <c r="IM75" s="568"/>
      <c r="IN75" s="568"/>
      <c r="IO75" s="568"/>
      <c r="IP75" s="568"/>
      <c r="IQ75" s="568"/>
      <c r="IR75" s="568"/>
      <c r="IS75" s="568"/>
      <c r="IT75" s="568"/>
      <c r="IU75" s="568"/>
    </row>
    <row r="76" spans="1:255" s="689" customFormat="1" ht="18" customHeight="1">
      <c r="A76" s="677" t="s">
        <v>677</v>
      </c>
      <c r="B76" s="678"/>
      <c r="C76" s="1146">
        <v>0</v>
      </c>
      <c r="D76" s="1146">
        <v>0</v>
      </c>
      <c r="E76" s="1146">
        <v>0</v>
      </c>
      <c r="F76" s="1146">
        <v>0</v>
      </c>
      <c r="G76" s="1146">
        <v>0</v>
      </c>
      <c r="H76" s="1146">
        <v>0</v>
      </c>
      <c r="I76" s="1146">
        <v>0</v>
      </c>
      <c r="J76" s="1146">
        <v>0</v>
      </c>
      <c r="K76" s="1146">
        <v>0</v>
      </c>
      <c r="L76" s="1146">
        <v>0</v>
      </c>
      <c r="M76" s="678">
        <v>0</v>
      </c>
      <c r="N76" s="678">
        <v>0</v>
      </c>
      <c r="O76"/>
      <c r="P76" s="832" t="s">
        <v>1672</v>
      </c>
      <c r="Q76" s="686"/>
      <c r="R76" s="686"/>
      <c r="S76" s="686"/>
      <c r="T76" s="686"/>
      <c r="U76" s="686"/>
      <c r="V76" s="686"/>
      <c r="W76" s="686"/>
      <c r="X76" s="686"/>
      <c r="Y76" s="686"/>
      <c r="Z76" s="686"/>
      <c r="AA76" s="686"/>
      <c r="AB76" s="686"/>
      <c r="AC76" s="686"/>
      <c r="AD76" s="686"/>
      <c r="AE76" s="686"/>
      <c r="AF76" s="686"/>
      <c r="AG76" s="686"/>
      <c r="AH76" s="687"/>
      <c r="AI76" s="687"/>
      <c r="AJ76" s="687"/>
      <c r="AK76" s="687"/>
      <c r="AL76" s="687"/>
      <c r="AM76" s="687"/>
      <c r="AN76" s="687"/>
      <c r="AO76" s="687"/>
      <c r="AP76" s="687"/>
      <c r="AQ76" s="687"/>
      <c r="AR76" s="687"/>
      <c r="AS76" s="687"/>
      <c r="AT76" s="687"/>
      <c r="AU76" s="687"/>
      <c r="AV76" s="687"/>
      <c r="AW76" s="687"/>
      <c r="AX76" s="687"/>
      <c r="AY76" s="687"/>
      <c r="AZ76" s="687"/>
      <c r="BA76" s="687"/>
      <c r="BB76" s="687"/>
      <c r="BC76" s="687"/>
      <c r="BD76" s="688"/>
      <c r="BE76" s="688"/>
      <c r="BF76" s="688"/>
      <c r="BG76" s="688"/>
      <c r="BH76" s="688"/>
      <c r="BI76" s="688"/>
      <c r="BJ76" s="688"/>
      <c r="BK76" s="688"/>
      <c r="BL76" s="688"/>
      <c r="BM76" s="688"/>
      <c r="BN76" s="688"/>
      <c r="BO76" s="688"/>
      <c r="BP76" s="688"/>
      <c r="BQ76" s="688"/>
      <c r="BR76" s="688"/>
      <c r="BS76" s="688"/>
      <c r="BT76" s="688"/>
      <c r="BU76" s="688"/>
      <c r="BV76" s="688"/>
      <c r="BW76" s="688"/>
      <c r="BX76" s="688"/>
      <c r="BY76" s="688"/>
      <c r="BZ76" s="688"/>
      <c r="CA76" s="688"/>
      <c r="CB76" s="688"/>
      <c r="CC76" s="688"/>
      <c r="CD76" s="688"/>
      <c r="CE76" s="688"/>
      <c r="CF76" s="688"/>
      <c r="CG76" s="688"/>
      <c r="CH76" s="688"/>
      <c r="CI76" s="688"/>
      <c r="CJ76" s="688"/>
      <c r="CK76" s="688"/>
      <c r="CL76" s="688"/>
      <c r="CM76" s="688"/>
      <c r="CN76" s="688"/>
      <c r="CO76" s="688"/>
      <c r="CP76" s="688"/>
      <c r="CQ76" s="688"/>
      <c r="CR76" s="688"/>
      <c r="CS76" s="688"/>
      <c r="CT76" s="688"/>
      <c r="CU76" s="688"/>
      <c r="CV76" s="688"/>
      <c r="CW76" s="688"/>
      <c r="CX76" s="688"/>
      <c r="CY76" s="688"/>
      <c r="CZ76" s="688"/>
      <c r="DA76" s="688"/>
      <c r="DB76" s="688"/>
      <c r="DC76" s="688"/>
      <c r="DD76" s="688"/>
      <c r="DE76" s="688"/>
      <c r="DF76" s="688"/>
      <c r="DG76" s="688"/>
      <c r="DH76" s="688"/>
      <c r="DI76" s="688"/>
      <c r="DJ76" s="688"/>
      <c r="DK76" s="688"/>
      <c r="DL76" s="688"/>
      <c r="DM76" s="688"/>
      <c r="DN76" s="688"/>
      <c r="DO76" s="688"/>
      <c r="DP76" s="688"/>
      <c r="DQ76" s="688"/>
      <c r="DR76" s="688"/>
      <c r="DS76" s="688"/>
      <c r="DT76" s="688"/>
      <c r="DU76" s="688"/>
      <c r="DV76" s="688"/>
      <c r="DW76" s="688"/>
      <c r="DX76" s="688"/>
      <c r="DY76" s="688"/>
      <c r="DZ76" s="688"/>
      <c r="EA76" s="688"/>
      <c r="EB76" s="688"/>
      <c r="EC76" s="688"/>
      <c r="ED76" s="688"/>
      <c r="EE76" s="688"/>
      <c r="EF76" s="688"/>
      <c r="EG76" s="688"/>
      <c r="EH76" s="688"/>
      <c r="EI76" s="688"/>
      <c r="EJ76" s="688"/>
      <c r="EK76" s="688"/>
      <c r="EL76" s="688"/>
      <c r="EM76" s="688"/>
      <c r="EN76" s="688"/>
      <c r="EO76" s="688"/>
      <c r="EP76" s="688"/>
      <c r="EQ76" s="688"/>
      <c r="ER76" s="688"/>
      <c r="ES76" s="688"/>
      <c r="ET76" s="688"/>
      <c r="EU76" s="688"/>
      <c r="EV76" s="688"/>
      <c r="EW76" s="688"/>
      <c r="EX76" s="688"/>
      <c r="EY76" s="688"/>
      <c r="EZ76" s="688"/>
      <c r="FA76" s="688"/>
      <c r="FB76" s="688"/>
      <c r="FC76" s="688"/>
      <c r="FD76" s="688"/>
      <c r="FE76" s="688"/>
      <c r="FF76" s="688"/>
      <c r="FG76" s="688"/>
      <c r="FH76" s="688"/>
      <c r="FI76" s="688"/>
      <c r="FJ76" s="688"/>
      <c r="FK76" s="688"/>
      <c r="FL76" s="688"/>
      <c r="FM76" s="688"/>
      <c r="FN76" s="688"/>
      <c r="FO76" s="688"/>
      <c r="FP76" s="688"/>
      <c r="FQ76" s="688"/>
      <c r="FR76" s="688"/>
      <c r="FS76" s="688"/>
      <c r="FT76" s="688"/>
      <c r="FU76" s="688"/>
      <c r="FV76" s="688"/>
      <c r="FW76" s="688"/>
      <c r="FX76" s="688"/>
      <c r="FY76" s="688"/>
      <c r="FZ76" s="688"/>
      <c r="GA76" s="688"/>
      <c r="GB76" s="688"/>
      <c r="GC76" s="688"/>
      <c r="GD76" s="688"/>
      <c r="GE76" s="688"/>
      <c r="GF76" s="688"/>
      <c r="GG76" s="688"/>
      <c r="GH76" s="688"/>
      <c r="GI76" s="688"/>
      <c r="GJ76" s="688"/>
      <c r="GK76" s="688"/>
      <c r="GL76" s="688"/>
      <c r="GM76" s="688"/>
      <c r="GN76" s="688"/>
      <c r="GO76" s="688"/>
      <c r="GP76" s="688"/>
      <c r="GQ76" s="688"/>
      <c r="GR76" s="688"/>
      <c r="GS76" s="688"/>
      <c r="GT76" s="688"/>
      <c r="GU76" s="688"/>
      <c r="GV76" s="688"/>
      <c r="GW76" s="688"/>
      <c r="GX76" s="688"/>
      <c r="GY76" s="688"/>
      <c r="GZ76" s="688"/>
      <c r="HA76" s="688"/>
      <c r="HB76" s="688"/>
      <c r="HC76" s="688"/>
      <c r="HD76" s="688"/>
      <c r="HE76" s="688"/>
      <c r="HF76" s="688"/>
      <c r="HG76" s="688"/>
      <c r="HH76" s="688"/>
      <c r="HI76" s="688"/>
      <c r="HJ76" s="688"/>
      <c r="HK76" s="688"/>
      <c r="HL76" s="688"/>
      <c r="HM76" s="688"/>
      <c r="HN76" s="688"/>
      <c r="HO76" s="688"/>
      <c r="HP76" s="688"/>
      <c r="HQ76" s="688"/>
      <c r="HR76" s="688"/>
      <c r="HS76" s="688"/>
      <c r="HT76" s="688"/>
      <c r="HU76" s="688"/>
      <c r="HV76" s="688"/>
      <c r="HW76" s="688"/>
      <c r="HX76" s="688"/>
      <c r="HY76" s="688"/>
      <c r="HZ76" s="688"/>
      <c r="IA76" s="688"/>
      <c r="IB76" s="688"/>
      <c r="IC76" s="688"/>
      <c r="ID76" s="688"/>
      <c r="IE76" s="688"/>
      <c r="IF76" s="688"/>
      <c r="IG76" s="688"/>
      <c r="IH76" s="688"/>
      <c r="II76" s="688"/>
      <c r="IJ76" s="688"/>
      <c r="IK76" s="688"/>
      <c r="IL76" s="688"/>
      <c r="IM76" s="688"/>
      <c r="IN76" s="688"/>
      <c r="IO76" s="688"/>
      <c r="IP76" s="688"/>
      <c r="IQ76" s="688"/>
      <c r="IR76" s="688"/>
      <c r="IS76" s="688"/>
      <c r="IT76" s="688"/>
      <c r="IU76" s="688"/>
    </row>
    <row r="77" spans="1:255" ht="18" customHeight="1">
      <c r="A77" s="677" t="s">
        <v>678</v>
      </c>
      <c r="B77" s="678"/>
      <c r="C77" s="1146">
        <v>0</v>
      </c>
      <c r="D77" s="1146">
        <v>118.08906126000001</v>
      </c>
      <c r="E77" s="1146">
        <v>118.08906126000001</v>
      </c>
      <c r="F77" s="1146">
        <v>118.08906126000001</v>
      </c>
      <c r="G77" s="1146">
        <v>101.09582881</v>
      </c>
      <c r="H77" s="1146">
        <v>100.95660771</v>
      </c>
      <c r="I77" s="1146">
        <v>116.19705019</v>
      </c>
      <c r="J77" s="1146">
        <v>15.414613640000001</v>
      </c>
      <c r="K77" s="1146">
        <v>0</v>
      </c>
      <c r="L77" s="1146">
        <v>0</v>
      </c>
      <c r="M77" s="678">
        <v>0</v>
      </c>
      <c r="N77" s="678">
        <v>0</v>
      </c>
      <c r="O77"/>
      <c r="P77" s="832" t="s">
        <v>1673</v>
      </c>
      <c r="Q77" s="561"/>
      <c r="R77" s="561"/>
      <c r="S77" s="561"/>
      <c r="T77" s="560"/>
      <c r="U77" s="561"/>
      <c r="V77" s="561"/>
      <c r="W77" s="561"/>
      <c r="X77" s="561"/>
      <c r="Y77" s="561"/>
      <c r="Z77" s="561"/>
      <c r="AA77" s="561"/>
      <c r="AB77" s="561"/>
      <c r="AC77" s="561"/>
      <c r="AD77" s="561"/>
      <c r="AE77" s="561"/>
      <c r="AF77" s="561"/>
      <c r="AG77" s="561"/>
      <c r="AH77" s="567"/>
      <c r="AI77" s="567"/>
      <c r="AJ77" s="567"/>
      <c r="AK77" s="567"/>
      <c r="AL77" s="567"/>
      <c r="AM77" s="567"/>
      <c r="AN77" s="567"/>
      <c r="AO77" s="567"/>
      <c r="AP77" s="567"/>
      <c r="AQ77" s="567"/>
      <c r="AR77" s="567"/>
      <c r="AS77" s="567"/>
      <c r="AT77" s="567"/>
      <c r="AU77" s="567"/>
      <c r="AV77" s="567"/>
      <c r="AW77" s="567"/>
      <c r="AX77" s="567"/>
      <c r="AY77" s="567"/>
      <c r="AZ77" s="567"/>
      <c r="BA77" s="567"/>
      <c r="BB77" s="567"/>
      <c r="BC77" s="567"/>
      <c r="BD77" s="568"/>
      <c r="BE77" s="568"/>
      <c r="BF77" s="568"/>
      <c r="BG77" s="568"/>
      <c r="BH77" s="568"/>
      <c r="BI77" s="568"/>
      <c r="BJ77" s="568"/>
      <c r="BK77" s="568"/>
      <c r="BL77" s="568"/>
      <c r="BM77" s="568"/>
      <c r="BN77" s="568"/>
      <c r="BO77" s="568"/>
      <c r="BP77" s="568"/>
      <c r="BQ77" s="568"/>
      <c r="BR77" s="568"/>
      <c r="BS77" s="568"/>
      <c r="BT77" s="568"/>
      <c r="BU77" s="568"/>
      <c r="BV77" s="568"/>
      <c r="BW77" s="568"/>
      <c r="BX77" s="568"/>
      <c r="BY77" s="568"/>
      <c r="BZ77" s="568"/>
      <c r="CA77" s="568"/>
      <c r="CB77" s="568"/>
      <c r="CC77" s="568"/>
      <c r="CD77" s="568"/>
      <c r="CE77" s="568"/>
      <c r="CF77" s="568"/>
      <c r="CG77" s="568"/>
      <c r="CH77" s="568"/>
      <c r="CI77" s="568"/>
      <c r="CJ77" s="568"/>
      <c r="CK77" s="568"/>
      <c r="CL77" s="568"/>
      <c r="CM77" s="568"/>
      <c r="CN77" s="568"/>
      <c r="CO77" s="568"/>
      <c r="CP77" s="568"/>
      <c r="CQ77" s="568"/>
      <c r="CR77" s="568"/>
      <c r="CS77" s="568"/>
      <c r="CT77" s="568"/>
      <c r="CU77" s="568"/>
      <c r="CV77" s="568"/>
      <c r="CW77" s="568"/>
      <c r="CX77" s="568"/>
      <c r="CY77" s="568"/>
      <c r="CZ77" s="568"/>
      <c r="DA77" s="568"/>
      <c r="DB77" s="568"/>
      <c r="DC77" s="568"/>
      <c r="DD77" s="568"/>
      <c r="DE77" s="568"/>
      <c r="DF77" s="568"/>
      <c r="DG77" s="568"/>
      <c r="DH77" s="568"/>
      <c r="DI77" s="568"/>
      <c r="DJ77" s="568"/>
      <c r="DK77" s="568"/>
      <c r="DL77" s="568"/>
      <c r="DM77" s="568"/>
      <c r="DN77" s="568"/>
      <c r="DO77" s="568"/>
      <c r="DP77" s="568"/>
      <c r="DQ77" s="568"/>
      <c r="DR77" s="568"/>
      <c r="DS77" s="568"/>
      <c r="DT77" s="568"/>
      <c r="DU77" s="568"/>
      <c r="DV77" s="568"/>
      <c r="DW77" s="568"/>
      <c r="DX77" s="568"/>
      <c r="DY77" s="568"/>
      <c r="DZ77" s="568"/>
      <c r="EA77" s="568"/>
      <c r="EB77" s="568"/>
      <c r="EC77" s="568"/>
      <c r="ED77" s="568"/>
      <c r="EE77" s="568"/>
      <c r="EF77" s="568"/>
      <c r="EG77" s="568"/>
      <c r="EH77" s="568"/>
      <c r="EI77" s="568"/>
      <c r="EJ77" s="568"/>
      <c r="EK77" s="568"/>
      <c r="EL77" s="568"/>
      <c r="EM77" s="568"/>
      <c r="EN77" s="568"/>
      <c r="EO77" s="568"/>
      <c r="EP77" s="568"/>
      <c r="EQ77" s="568"/>
      <c r="ER77" s="568"/>
      <c r="ES77" s="568"/>
      <c r="ET77" s="568"/>
      <c r="EU77" s="568"/>
      <c r="EV77" s="568"/>
      <c r="EW77" s="568"/>
      <c r="EX77" s="568"/>
      <c r="EY77" s="568"/>
      <c r="EZ77" s="568"/>
      <c r="FA77" s="568"/>
      <c r="FB77" s="568"/>
      <c r="FC77" s="568"/>
      <c r="FD77" s="568"/>
      <c r="FE77" s="568"/>
      <c r="FF77" s="568"/>
      <c r="FG77" s="568"/>
      <c r="FH77" s="568"/>
      <c r="FI77" s="568"/>
      <c r="FJ77" s="568"/>
      <c r="FK77" s="568"/>
      <c r="FL77" s="568"/>
      <c r="FM77" s="568"/>
      <c r="FN77" s="568"/>
      <c r="FO77" s="568"/>
      <c r="FP77" s="568"/>
      <c r="FQ77" s="568"/>
      <c r="FR77" s="568"/>
      <c r="FS77" s="568"/>
      <c r="FT77" s="568"/>
      <c r="FU77" s="568"/>
      <c r="FV77" s="568"/>
      <c r="FW77" s="568"/>
      <c r="FX77" s="568"/>
      <c r="FY77" s="568"/>
      <c r="FZ77" s="568"/>
      <c r="GA77" s="568"/>
      <c r="GB77" s="568"/>
      <c r="GC77" s="568"/>
      <c r="GD77" s="568"/>
      <c r="GE77" s="568"/>
      <c r="GF77" s="568"/>
      <c r="GG77" s="568"/>
      <c r="GH77" s="568"/>
      <c r="GI77" s="568"/>
      <c r="GJ77" s="568"/>
      <c r="GK77" s="568"/>
      <c r="GL77" s="568"/>
      <c r="GM77" s="568"/>
      <c r="GN77" s="568"/>
      <c r="GO77" s="568"/>
      <c r="GP77" s="568"/>
      <c r="GQ77" s="568"/>
      <c r="GR77" s="568"/>
      <c r="GS77" s="568"/>
      <c r="GT77" s="568"/>
      <c r="GU77" s="568"/>
      <c r="GV77" s="568"/>
      <c r="GW77" s="568"/>
      <c r="GX77" s="568"/>
      <c r="GY77" s="568"/>
      <c r="GZ77" s="568"/>
      <c r="HA77" s="568"/>
      <c r="HB77" s="568"/>
      <c r="HC77" s="568"/>
      <c r="HD77" s="568"/>
      <c r="HE77" s="568"/>
      <c r="HF77" s="568"/>
      <c r="HG77" s="568"/>
      <c r="HH77" s="568"/>
      <c r="HI77" s="568"/>
      <c r="HJ77" s="568"/>
      <c r="HK77" s="568"/>
      <c r="HL77" s="568"/>
      <c r="HM77" s="568"/>
      <c r="HN77" s="568"/>
      <c r="HO77" s="568"/>
      <c r="HP77" s="568"/>
      <c r="HQ77" s="568"/>
      <c r="HR77" s="568"/>
      <c r="HS77" s="568"/>
      <c r="HT77" s="568"/>
      <c r="HU77" s="568"/>
      <c r="HV77" s="568"/>
      <c r="HW77" s="568"/>
      <c r="HX77" s="568"/>
      <c r="HY77" s="568"/>
      <c r="HZ77" s="568"/>
      <c r="IA77" s="568"/>
      <c r="IB77" s="568"/>
      <c r="IC77" s="568"/>
      <c r="ID77" s="568"/>
      <c r="IE77" s="568"/>
      <c r="IF77" s="568"/>
      <c r="IG77" s="568"/>
      <c r="IH77" s="568"/>
      <c r="II77" s="568"/>
      <c r="IJ77" s="568"/>
      <c r="IK77" s="568"/>
      <c r="IL77" s="568"/>
      <c r="IM77" s="568"/>
      <c r="IN77" s="568"/>
      <c r="IO77" s="568"/>
      <c r="IP77" s="568"/>
      <c r="IQ77" s="568"/>
      <c r="IR77" s="568"/>
      <c r="IS77" s="568"/>
      <c r="IT77" s="568"/>
      <c r="IU77" s="568"/>
    </row>
    <row r="78" spans="1:255" s="681" customFormat="1" ht="18" customHeight="1">
      <c r="A78" s="677" t="s">
        <v>679</v>
      </c>
      <c r="B78" s="678"/>
      <c r="C78" s="1146">
        <v>1.7412196100000001</v>
      </c>
      <c r="D78" s="1146">
        <v>2.8810602099999998</v>
      </c>
      <c r="E78" s="1146">
        <v>3.0885364100000001</v>
      </c>
      <c r="F78" s="1146">
        <v>2.9061478199999997</v>
      </c>
      <c r="G78" s="1146">
        <v>2.45744118</v>
      </c>
      <c r="H78" s="1146">
        <v>2.1248548599999997</v>
      </c>
      <c r="I78" s="1146">
        <v>1.8965165800000001</v>
      </c>
      <c r="J78" s="1146">
        <v>0.77610007999999997</v>
      </c>
      <c r="K78" s="1146">
        <v>0</v>
      </c>
      <c r="L78" s="1146">
        <v>0</v>
      </c>
      <c r="M78" s="678">
        <v>0</v>
      </c>
      <c r="N78" s="678">
        <v>0</v>
      </c>
      <c r="O78"/>
      <c r="P78" s="832" t="s">
        <v>1674</v>
      </c>
      <c r="Q78" s="678"/>
      <c r="R78" s="678"/>
      <c r="S78" s="678"/>
      <c r="T78" s="678"/>
      <c r="U78" s="678"/>
      <c r="V78" s="678"/>
      <c r="W78" s="678"/>
      <c r="X78" s="678"/>
      <c r="Y78" s="678"/>
      <c r="Z78" s="678"/>
      <c r="AA78" s="678"/>
      <c r="AB78" s="678"/>
      <c r="AC78" s="678"/>
      <c r="AD78" s="678"/>
      <c r="AE78" s="678"/>
      <c r="AF78" s="678"/>
      <c r="AG78" s="678"/>
      <c r="AH78" s="679"/>
      <c r="AI78" s="679"/>
      <c r="AJ78" s="679"/>
      <c r="AK78" s="679"/>
      <c r="AL78" s="679"/>
      <c r="AM78" s="679"/>
      <c r="AN78" s="679"/>
      <c r="AO78" s="679"/>
      <c r="AP78" s="679"/>
      <c r="AQ78" s="679"/>
      <c r="AR78" s="679"/>
      <c r="AS78" s="679"/>
      <c r="AT78" s="679"/>
      <c r="AU78" s="679"/>
      <c r="AV78" s="679"/>
      <c r="AW78" s="679"/>
      <c r="AX78" s="679"/>
      <c r="AY78" s="679"/>
      <c r="AZ78" s="679"/>
      <c r="BA78" s="679"/>
      <c r="BB78" s="679"/>
      <c r="BC78" s="679"/>
      <c r="BD78" s="680"/>
      <c r="BE78" s="680"/>
      <c r="BF78" s="680"/>
      <c r="BG78" s="680"/>
      <c r="BH78" s="680"/>
      <c r="BI78" s="680"/>
      <c r="BJ78" s="680"/>
      <c r="BK78" s="680"/>
      <c r="BL78" s="680"/>
      <c r="BM78" s="680"/>
      <c r="BN78" s="680"/>
      <c r="BO78" s="680"/>
      <c r="BP78" s="680"/>
      <c r="BQ78" s="680"/>
      <c r="BR78" s="680"/>
      <c r="BS78" s="680"/>
      <c r="BT78" s="680"/>
      <c r="BU78" s="680"/>
      <c r="BV78" s="680"/>
      <c r="BW78" s="680"/>
      <c r="BX78" s="680"/>
      <c r="BY78" s="680"/>
      <c r="BZ78" s="680"/>
      <c r="CA78" s="680"/>
      <c r="CB78" s="680"/>
      <c r="CC78" s="680"/>
      <c r="CD78" s="680"/>
      <c r="CE78" s="680"/>
      <c r="CF78" s="680"/>
      <c r="CG78" s="680"/>
      <c r="CH78" s="680"/>
      <c r="CI78" s="680"/>
      <c r="CJ78" s="680"/>
      <c r="CK78" s="680"/>
      <c r="CL78" s="680"/>
      <c r="CM78" s="680"/>
      <c r="CN78" s="680"/>
      <c r="CO78" s="680"/>
      <c r="CP78" s="680"/>
      <c r="CQ78" s="680"/>
      <c r="CR78" s="680"/>
      <c r="CS78" s="680"/>
      <c r="CT78" s="680"/>
      <c r="CU78" s="680"/>
      <c r="CV78" s="680"/>
      <c r="CW78" s="680"/>
      <c r="CX78" s="680"/>
      <c r="CY78" s="680"/>
      <c r="CZ78" s="680"/>
      <c r="DA78" s="680"/>
      <c r="DB78" s="680"/>
      <c r="DC78" s="680"/>
      <c r="DD78" s="680"/>
      <c r="DE78" s="680"/>
      <c r="DF78" s="680"/>
      <c r="DG78" s="680"/>
      <c r="DH78" s="680"/>
      <c r="DI78" s="680"/>
      <c r="DJ78" s="680"/>
      <c r="DK78" s="680"/>
      <c r="DL78" s="680"/>
      <c r="DM78" s="680"/>
      <c r="DN78" s="680"/>
      <c r="DO78" s="680"/>
      <c r="DP78" s="680"/>
      <c r="DQ78" s="680"/>
      <c r="DR78" s="680"/>
      <c r="DS78" s="680"/>
      <c r="DT78" s="680"/>
      <c r="DU78" s="680"/>
      <c r="DV78" s="680"/>
      <c r="DW78" s="680"/>
      <c r="DX78" s="680"/>
      <c r="DY78" s="680"/>
      <c r="DZ78" s="680"/>
      <c r="EA78" s="680"/>
      <c r="EB78" s="680"/>
      <c r="EC78" s="680"/>
      <c r="ED78" s="680"/>
      <c r="EE78" s="680"/>
      <c r="EF78" s="680"/>
      <c r="EG78" s="680"/>
      <c r="EH78" s="680"/>
      <c r="EI78" s="680"/>
      <c r="EJ78" s="680"/>
      <c r="EK78" s="680"/>
      <c r="EL78" s="680"/>
      <c r="EM78" s="680"/>
      <c r="EN78" s="680"/>
      <c r="EO78" s="680"/>
      <c r="EP78" s="680"/>
      <c r="EQ78" s="680"/>
      <c r="ER78" s="680"/>
      <c r="ES78" s="680"/>
      <c r="ET78" s="680"/>
      <c r="EU78" s="680"/>
      <c r="EV78" s="680"/>
      <c r="EW78" s="680"/>
      <c r="EX78" s="680"/>
      <c r="EY78" s="680"/>
      <c r="EZ78" s="680"/>
      <c r="FA78" s="680"/>
      <c r="FB78" s="680"/>
      <c r="FC78" s="680"/>
      <c r="FD78" s="680"/>
      <c r="FE78" s="680"/>
      <c r="FF78" s="680"/>
      <c r="FG78" s="680"/>
      <c r="FH78" s="680"/>
      <c r="FI78" s="680"/>
      <c r="FJ78" s="680"/>
      <c r="FK78" s="680"/>
      <c r="FL78" s="680"/>
      <c r="FM78" s="680"/>
      <c r="FN78" s="680"/>
      <c r="FO78" s="680"/>
      <c r="FP78" s="680"/>
      <c r="FQ78" s="680"/>
      <c r="FR78" s="680"/>
      <c r="FS78" s="680"/>
      <c r="FT78" s="680"/>
      <c r="FU78" s="680"/>
      <c r="FV78" s="680"/>
      <c r="FW78" s="680"/>
      <c r="FX78" s="680"/>
      <c r="FY78" s="680"/>
      <c r="FZ78" s="680"/>
      <c r="GA78" s="680"/>
      <c r="GB78" s="680"/>
      <c r="GC78" s="680"/>
      <c r="GD78" s="680"/>
      <c r="GE78" s="680"/>
      <c r="GF78" s="680"/>
      <c r="GG78" s="680"/>
      <c r="GH78" s="680"/>
      <c r="GI78" s="680"/>
      <c r="GJ78" s="680"/>
      <c r="GK78" s="680"/>
      <c r="GL78" s="680"/>
      <c r="GM78" s="680"/>
      <c r="GN78" s="680"/>
      <c r="GO78" s="680"/>
      <c r="GP78" s="680"/>
      <c r="GQ78" s="680"/>
      <c r="GR78" s="680"/>
      <c r="GS78" s="680"/>
      <c r="GT78" s="680"/>
      <c r="GU78" s="680"/>
      <c r="GV78" s="680"/>
      <c r="GW78" s="680"/>
      <c r="GX78" s="680"/>
      <c r="GY78" s="680"/>
      <c r="GZ78" s="680"/>
      <c r="HA78" s="680"/>
      <c r="HB78" s="680"/>
      <c r="HC78" s="680"/>
      <c r="HD78" s="680"/>
      <c r="HE78" s="680"/>
      <c r="HF78" s="680"/>
      <c r="HG78" s="680"/>
      <c r="HH78" s="680"/>
      <c r="HI78" s="680"/>
      <c r="HJ78" s="680"/>
      <c r="HK78" s="680"/>
      <c r="HL78" s="680"/>
      <c r="HM78" s="680"/>
      <c r="HN78" s="680"/>
      <c r="HO78" s="680"/>
      <c r="HP78" s="680"/>
      <c r="HQ78" s="680"/>
      <c r="HR78" s="680"/>
      <c r="HS78" s="680"/>
      <c r="HT78" s="680"/>
      <c r="HU78" s="680"/>
      <c r="HV78" s="680"/>
      <c r="HW78" s="680"/>
      <c r="HX78" s="680"/>
      <c r="HY78" s="680"/>
      <c r="HZ78" s="680"/>
      <c r="IA78" s="680"/>
      <c r="IB78" s="680"/>
      <c r="IC78" s="680"/>
      <c r="ID78" s="680"/>
      <c r="IE78" s="680"/>
      <c r="IF78" s="680"/>
      <c r="IG78" s="680"/>
      <c r="IH78" s="680"/>
      <c r="II78" s="680"/>
      <c r="IJ78" s="680"/>
      <c r="IK78" s="680"/>
      <c r="IL78" s="680"/>
      <c r="IM78" s="680"/>
      <c r="IN78" s="680"/>
      <c r="IO78" s="680"/>
      <c r="IP78" s="680"/>
      <c r="IQ78" s="680"/>
      <c r="IR78" s="680"/>
      <c r="IS78" s="680"/>
      <c r="IT78" s="680"/>
      <c r="IU78" s="680"/>
    </row>
    <row r="79" spans="1:255" s="680" customFormat="1" ht="18" customHeight="1">
      <c r="A79" s="677" t="s">
        <v>680</v>
      </c>
      <c r="B79" s="678"/>
      <c r="C79" s="1146">
        <v>0</v>
      </c>
      <c r="D79" s="1146">
        <v>0</v>
      </c>
      <c r="E79" s="1146">
        <v>0</v>
      </c>
      <c r="F79" s="1146">
        <v>0</v>
      </c>
      <c r="G79" s="1146">
        <v>0</v>
      </c>
      <c r="H79" s="1146">
        <v>0</v>
      </c>
      <c r="I79" s="1146">
        <v>0</v>
      </c>
      <c r="J79" s="1146">
        <v>0</v>
      </c>
      <c r="K79" s="1146">
        <v>0</v>
      </c>
      <c r="L79" s="1146">
        <v>0</v>
      </c>
      <c r="M79" s="678">
        <v>0</v>
      </c>
      <c r="N79" s="678">
        <v>0</v>
      </c>
      <c r="O79"/>
      <c r="P79" s="832" t="s">
        <v>1662</v>
      </c>
      <c r="Q79" s="678"/>
      <c r="R79" s="678"/>
      <c r="S79" s="678"/>
      <c r="T79" s="678"/>
      <c r="U79" s="678"/>
      <c r="V79" s="678"/>
      <c r="W79" s="678"/>
      <c r="X79" s="678"/>
      <c r="Y79" s="678"/>
      <c r="Z79" s="678"/>
      <c r="AA79" s="678"/>
      <c r="AB79" s="678"/>
      <c r="AC79" s="678"/>
      <c r="AD79" s="678"/>
      <c r="AE79" s="678"/>
      <c r="AF79" s="678"/>
      <c r="AG79" s="678"/>
      <c r="AH79" s="679"/>
      <c r="AI79" s="679"/>
      <c r="AJ79" s="679"/>
      <c r="AK79" s="679"/>
      <c r="AL79" s="679"/>
      <c r="AM79" s="679"/>
      <c r="AN79" s="679"/>
      <c r="AO79" s="679"/>
      <c r="AP79" s="679"/>
      <c r="AQ79" s="679"/>
      <c r="AR79" s="679"/>
      <c r="AS79" s="679"/>
      <c r="AT79" s="679"/>
      <c r="AU79" s="679"/>
      <c r="AV79" s="679"/>
      <c r="AW79" s="679"/>
      <c r="AX79" s="679"/>
      <c r="AY79" s="679"/>
      <c r="AZ79" s="679"/>
      <c r="BA79" s="679"/>
      <c r="BB79" s="679"/>
      <c r="BC79" s="679"/>
    </row>
    <row r="80" spans="1:255" s="680" customFormat="1" ht="18" customHeight="1">
      <c r="A80" s="677" t="s">
        <v>681</v>
      </c>
      <c r="B80" s="678"/>
      <c r="C80" s="1146">
        <v>175.10562186999999</v>
      </c>
      <c r="D80" s="1146">
        <v>190.94872071</v>
      </c>
      <c r="E80" s="1146">
        <v>191.11757169000001</v>
      </c>
      <c r="F80" s="1146">
        <v>192.66612766999998</v>
      </c>
      <c r="G80" s="1146">
        <v>218.83819929000001</v>
      </c>
      <c r="H80" s="1146">
        <v>231.19595049</v>
      </c>
      <c r="I80" s="1146">
        <v>251.47662155</v>
      </c>
      <c r="J80" s="1146">
        <v>253.55545849000001</v>
      </c>
      <c r="K80" s="1146">
        <v>0</v>
      </c>
      <c r="L80" s="1146">
        <v>0</v>
      </c>
      <c r="M80" s="678">
        <v>0</v>
      </c>
      <c r="N80" s="678">
        <v>0</v>
      </c>
      <c r="O80"/>
      <c r="P80" s="832" t="s">
        <v>1675</v>
      </c>
      <c r="Q80" s="678"/>
      <c r="R80" s="678"/>
      <c r="S80" s="678"/>
      <c r="T80" s="678"/>
      <c r="U80" s="678"/>
      <c r="V80" s="678"/>
      <c r="W80" s="678"/>
      <c r="X80" s="678"/>
      <c r="Y80" s="678"/>
      <c r="Z80" s="678"/>
      <c r="AA80" s="678"/>
      <c r="AB80" s="678"/>
      <c r="AC80" s="678"/>
      <c r="AD80" s="678"/>
      <c r="AE80" s="678"/>
      <c r="AF80" s="678"/>
      <c r="AG80" s="678"/>
      <c r="AH80" s="679"/>
      <c r="AI80" s="679"/>
      <c r="AJ80" s="679"/>
      <c r="AK80" s="679"/>
      <c r="AL80" s="679"/>
      <c r="AM80" s="679"/>
      <c r="AN80" s="679"/>
      <c r="AO80" s="679"/>
      <c r="AP80" s="679"/>
      <c r="AQ80" s="679"/>
      <c r="AR80" s="679"/>
      <c r="AS80" s="679"/>
      <c r="AT80" s="679"/>
      <c r="AU80" s="679"/>
      <c r="AV80" s="679"/>
      <c r="AW80" s="679"/>
      <c r="AX80" s="679"/>
      <c r="AY80" s="679"/>
      <c r="AZ80" s="679"/>
      <c r="BA80" s="679"/>
      <c r="BB80" s="679"/>
      <c r="BC80" s="679"/>
    </row>
    <row r="81" spans="1:255" s="681" customFormat="1" ht="18" customHeight="1">
      <c r="A81" s="677" t="s">
        <v>180</v>
      </c>
      <c r="B81" s="678"/>
      <c r="C81" s="1146">
        <v>76.606523690000003</v>
      </c>
      <c r="D81" s="1146">
        <v>176.11812180000001</v>
      </c>
      <c r="E81" s="1146">
        <v>168.68736909</v>
      </c>
      <c r="F81" s="1146">
        <v>169.79589152</v>
      </c>
      <c r="G81" s="1146">
        <v>106.37376504000001</v>
      </c>
      <c r="H81" s="1146">
        <v>117.23292326000001</v>
      </c>
      <c r="I81" s="1146">
        <v>192.13660974999999</v>
      </c>
      <c r="J81" s="1146">
        <v>691.44423587999995</v>
      </c>
      <c r="K81" s="1146">
        <v>0</v>
      </c>
      <c r="L81" s="1146">
        <v>0</v>
      </c>
      <c r="M81" s="678">
        <v>0</v>
      </c>
      <c r="N81" s="678">
        <v>0</v>
      </c>
      <c r="O81"/>
      <c r="P81" s="832" t="s">
        <v>1676</v>
      </c>
      <c r="Q81" s="682"/>
      <c r="R81" s="682"/>
      <c r="S81" s="682"/>
      <c r="T81" s="678"/>
      <c r="U81" s="682"/>
      <c r="V81" s="682"/>
      <c r="W81" s="682"/>
      <c r="X81" s="682"/>
      <c r="Y81" s="682"/>
      <c r="Z81" s="682"/>
      <c r="AA81" s="682"/>
      <c r="AB81" s="682"/>
      <c r="AC81" s="682"/>
      <c r="AD81" s="682"/>
      <c r="AE81" s="682"/>
      <c r="AF81" s="682"/>
      <c r="AG81" s="682"/>
      <c r="AH81" s="683"/>
      <c r="AI81" s="683"/>
      <c r="AJ81" s="683"/>
      <c r="AK81" s="683"/>
      <c r="AL81" s="683"/>
      <c r="AM81" s="683"/>
      <c r="AN81" s="683"/>
      <c r="AO81" s="683"/>
      <c r="AP81" s="683"/>
      <c r="AQ81" s="683"/>
      <c r="AR81" s="683"/>
      <c r="AS81" s="683"/>
      <c r="AT81" s="683"/>
      <c r="AU81" s="683"/>
      <c r="AV81" s="683"/>
      <c r="AW81" s="683"/>
      <c r="AX81" s="683"/>
      <c r="AY81" s="683"/>
      <c r="AZ81" s="683"/>
      <c r="BA81" s="683"/>
      <c r="BB81" s="683"/>
      <c r="BC81" s="683"/>
      <c r="BD81" s="684"/>
      <c r="BE81" s="684"/>
      <c r="BF81" s="684"/>
      <c r="BG81" s="684"/>
      <c r="BH81" s="684"/>
      <c r="BI81" s="684"/>
      <c r="BJ81" s="684"/>
      <c r="BK81" s="684"/>
      <c r="BL81" s="684"/>
      <c r="BM81" s="684"/>
      <c r="BN81" s="684"/>
      <c r="BO81" s="684"/>
      <c r="BP81" s="684"/>
      <c r="BQ81" s="684"/>
      <c r="BR81" s="684"/>
      <c r="BS81" s="684"/>
      <c r="BT81" s="684"/>
      <c r="BU81" s="684"/>
      <c r="BV81" s="684"/>
      <c r="BW81" s="684"/>
      <c r="BX81" s="684"/>
    </row>
    <row r="82" spans="1:255" s="680" customFormat="1" ht="18" customHeight="1">
      <c r="A82" s="685" t="s">
        <v>682</v>
      </c>
      <c r="B82" s="686"/>
      <c r="C82" s="1144">
        <v>2556.4428392499999</v>
      </c>
      <c r="D82" s="1144">
        <v>3101.8798824200003</v>
      </c>
      <c r="E82" s="1144">
        <v>3107.30397305</v>
      </c>
      <c r="F82" s="1144">
        <v>3187.13679254</v>
      </c>
      <c r="G82" s="1144">
        <v>3146.21526055</v>
      </c>
      <c r="H82" s="1144">
        <v>3176.5384438800002</v>
      </c>
      <c r="I82" s="1144">
        <v>3884.9650479400002</v>
      </c>
      <c r="J82" s="1144">
        <v>3909.1484421100004</v>
      </c>
      <c r="K82" s="1144">
        <v>0</v>
      </c>
      <c r="L82" s="1144">
        <v>0</v>
      </c>
      <c r="M82" s="686">
        <v>0</v>
      </c>
      <c r="N82" s="686">
        <v>0</v>
      </c>
      <c r="O82"/>
      <c r="P82" s="832" t="s">
        <v>1659</v>
      </c>
      <c r="Q82" s="678"/>
      <c r="R82" s="678"/>
      <c r="S82" s="678"/>
      <c r="T82" s="678"/>
      <c r="U82" s="678"/>
      <c r="V82" s="678"/>
      <c r="W82" s="678"/>
      <c r="X82" s="678"/>
      <c r="Y82" s="678"/>
      <c r="Z82" s="678"/>
      <c r="AA82" s="678"/>
      <c r="AB82" s="678"/>
      <c r="AC82" s="678"/>
      <c r="AD82" s="678"/>
      <c r="AE82" s="678"/>
      <c r="AF82" s="678"/>
      <c r="AG82" s="678"/>
      <c r="AH82" s="679"/>
      <c r="AI82" s="679"/>
      <c r="AJ82" s="679"/>
      <c r="AK82" s="679"/>
      <c r="AL82" s="679"/>
      <c r="AM82" s="679"/>
      <c r="AN82" s="679"/>
      <c r="AO82" s="679"/>
      <c r="AP82" s="679"/>
      <c r="AQ82" s="679"/>
      <c r="AR82" s="679"/>
      <c r="AS82" s="679"/>
      <c r="AT82" s="679"/>
      <c r="AU82" s="679"/>
      <c r="AV82" s="679"/>
      <c r="AW82" s="679"/>
      <c r="AX82" s="679"/>
      <c r="AY82" s="679"/>
      <c r="AZ82" s="679"/>
      <c r="BA82" s="679"/>
      <c r="BB82" s="679"/>
      <c r="BC82" s="679"/>
    </row>
    <row r="83" spans="1:255" s="681" customFormat="1" ht="18" customHeight="1">
      <c r="A83" s="579" t="s">
        <v>683</v>
      </c>
      <c r="B83" s="561"/>
      <c r="C83" s="1142"/>
      <c r="D83" s="1142"/>
      <c r="E83" s="1142"/>
      <c r="F83" s="1142"/>
      <c r="G83" s="1142"/>
      <c r="H83" s="1142"/>
      <c r="I83" s="1142"/>
      <c r="J83" s="1142"/>
      <c r="K83" s="1142"/>
      <c r="L83" s="1142"/>
      <c r="M83" s="561">
        <v>0</v>
      </c>
      <c r="N83" s="561">
        <v>0</v>
      </c>
      <c r="O83"/>
      <c r="P83" s="832"/>
      <c r="Q83" s="682"/>
      <c r="R83" s="682"/>
      <c r="S83" s="682"/>
      <c r="T83" s="678"/>
      <c r="U83" s="682"/>
      <c r="V83" s="682"/>
      <c r="W83" s="682"/>
      <c r="X83" s="682"/>
      <c r="Y83" s="682"/>
      <c r="Z83" s="682"/>
      <c r="AA83" s="682"/>
      <c r="AB83" s="682"/>
      <c r="AC83" s="682"/>
      <c r="AD83" s="682"/>
      <c r="AE83" s="682"/>
      <c r="AF83" s="682"/>
      <c r="AG83" s="682"/>
      <c r="AH83" s="683"/>
      <c r="AI83" s="683"/>
      <c r="AJ83" s="683"/>
      <c r="AK83" s="683"/>
      <c r="AL83" s="683"/>
      <c r="AM83" s="683"/>
      <c r="AN83" s="683"/>
      <c r="AO83" s="683"/>
      <c r="AP83" s="683"/>
      <c r="AQ83" s="683"/>
      <c r="AR83" s="683"/>
      <c r="AS83" s="683"/>
      <c r="AT83" s="683"/>
      <c r="AU83" s="683"/>
      <c r="AV83" s="683"/>
      <c r="AW83" s="683"/>
      <c r="AX83" s="683"/>
      <c r="AY83" s="683"/>
      <c r="AZ83" s="683"/>
      <c r="BA83" s="683"/>
      <c r="BB83" s="683"/>
      <c r="BC83" s="683"/>
      <c r="BD83" s="684"/>
      <c r="BE83" s="684"/>
      <c r="BF83" s="684"/>
      <c r="BG83" s="684"/>
      <c r="BH83" s="684"/>
      <c r="BI83" s="684"/>
      <c r="BJ83" s="684"/>
      <c r="BK83" s="684"/>
      <c r="BL83" s="684"/>
      <c r="BM83" s="684"/>
      <c r="BN83" s="684"/>
      <c r="BO83" s="684"/>
      <c r="BP83" s="684"/>
      <c r="BQ83" s="684"/>
      <c r="BR83" s="684"/>
      <c r="BS83" s="684"/>
      <c r="BT83" s="684"/>
      <c r="BU83" s="684"/>
      <c r="BV83" s="684"/>
      <c r="BW83" s="684"/>
      <c r="BX83" s="684"/>
    </row>
    <row r="84" spans="1:255" s="681" customFormat="1" ht="18" customHeight="1">
      <c r="A84" s="685" t="s">
        <v>684</v>
      </c>
      <c r="B84" s="686"/>
      <c r="C84" s="1144">
        <v>10789.49010838</v>
      </c>
      <c r="D84" s="1144">
        <v>12145.650790860002</v>
      </c>
      <c r="E84" s="1144">
        <v>12946.04536607</v>
      </c>
      <c r="F84" s="1144">
        <v>13099.991139700001</v>
      </c>
      <c r="G84" s="1144">
        <v>12639.39639009</v>
      </c>
      <c r="H84" s="1144">
        <v>12993.27303102</v>
      </c>
      <c r="I84" s="1144">
        <v>13800.188785079999</v>
      </c>
      <c r="J84" s="1144">
        <v>14798.760201030002</v>
      </c>
      <c r="K84" s="1144">
        <v>0</v>
      </c>
      <c r="L84" s="1144">
        <v>0</v>
      </c>
      <c r="M84" s="686">
        <v>0</v>
      </c>
      <c r="N84" s="686">
        <v>0</v>
      </c>
      <c r="O84"/>
      <c r="P84" s="832" t="s">
        <v>1678</v>
      </c>
      <c r="Q84" s="678"/>
      <c r="R84" s="678"/>
      <c r="S84" s="678"/>
      <c r="T84" s="678"/>
      <c r="U84" s="678"/>
      <c r="V84" s="678"/>
      <c r="W84" s="678"/>
      <c r="X84" s="678"/>
      <c r="Y84" s="678"/>
      <c r="Z84" s="678"/>
      <c r="AA84" s="678"/>
      <c r="AB84" s="678"/>
      <c r="AC84" s="678"/>
      <c r="AD84" s="678"/>
      <c r="AE84" s="678"/>
      <c r="AF84" s="678"/>
      <c r="AG84" s="678"/>
      <c r="AH84" s="679"/>
      <c r="AI84" s="679"/>
      <c r="AJ84" s="679"/>
      <c r="AK84" s="679"/>
      <c r="AL84" s="679"/>
      <c r="AM84" s="679"/>
      <c r="AN84" s="679"/>
      <c r="AO84" s="679"/>
      <c r="AP84" s="679"/>
      <c r="AQ84" s="679"/>
      <c r="AR84" s="679"/>
      <c r="AS84" s="679"/>
      <c r="AT84" s="679"/>
      <c r="AU84" s="679"/>
      <c r="AV84" s="679"/>
      <c r="AW84" s="679"/>
      <c r="AX84" s="679"/>
      <c r="AY84" s="679"/>
      <c r="AZ84" s="679"/>
      <c r="BA84" s="679"/>
      <c r="BB84" s="679"/>
      <c r="BC84" s="679"/>
      <c r="BD84" s="680"/>
      <c r="BE84" s="680"/>
      <c r="BF84" s="680"/>
      <c r="BG84" s="680"/>
      <c r="BH84" s="680"/>
      <c r="BI84" s="680"/>
      <c r="BJ84" s="680"/>
      <c r="BK84" s="680"/>
      <c r="BL84" s="680"/>
      <c r="BM84" s="680"/>
      <c r="BN84" s="680"/>
      <c r="BO84" s="680"/>
      <c r="BP84" s="680"/>
      <c r="BQ84" s="680"/>
      <c r="BR84" s="680"/>
      <c r="BS84" s="680"/>
      <c r="BT84" s="680"/>
      <c r="BU84" s="680"/>
      <c r="BV84" s="680"/>
      <c r="BW84" s="680"/>
      <c r="BX84" s="680"/>
      <c r="BY84" s="680"/>
      <c r="BZ84" s="680"/>
      <c r="CA84" s="680"/>
      <c r="CB84" s="680"/>
      <c r="CC84" s="680"/>
      <c r="CD84" s="680"/>
      <c r="CE84" s="680"/>
      <c r="CF84" s="680"/>
      <c r="CG84" s="680"/>
      <c r="CH84" s="680"/>
      <c r="CI84" s="680"/>
      <c r="CJ84" s="680"/>
      <c r="CK84" s="680"/>
      <c r="CL84" s="680"/>
      <c r="CM84" s="680"/>
      <c r="CN84" s="680"/>
      <c r="CO84" s="680"/>
      <c r="CP84" s="680"/>
      <c r="CQ84" s="680"/>
      <c r="CR84" s="680"/>
      <c r="CS84" s="680"/>
      <c r="CT84" s="680"/>
      <c r="CU84" s="680"/>
      <c r="CV84" s="680"/>
      <c r="CW84" s="680"/>
      <c r="CX84" s="680"/>
      <c r="CY84" s="680"/>
      <c r="CZ84" s="680"/>
      <c r="DA84" s="680"/>
      <c r="DB84" s="680"/>
      <c r="DC84" s="680"/>
      <c r="DD84" s="680"/>
      <c r="DE84" s="680"/>
      <c r="DF84" s="680"/>
      <c r="DG84" s="680"/>
      <c r="DH84" s="680"/>
      <c r="DI84" s="680"/>
      <c r="DJ84" s="680"/>
      <c r="DK84" s="680"/>
      <c r="DL84" s="680"/>
      <c r="DM84" s="680"/>
      <c r="DN84" s="680"/>
      <c r="DO84" s="680"/>
      <c r="DP84" s="680"/>
      <c r="DQ84" s="680"/>
      <c r="DR84" s="680"/>
      <c r="DS84" s="680"/>
      <c r="DT84" s="680"/>
      <c r="DU84" s="680"/>
      <c r="DV84" s="680"/>
      <c r="DW84" s="680"/>
      <c r="DX84" s="680"/>
      <c r="DY84" s="680"/>
      <c r="DZ84" s="680"/>
      <c r="EA84" s="680"/>
      <c r="EB84" s="680"/>
      <c r="EC84" s="680"/>
      <c r="ED84" s="680"/>
      <c r="EE84" s="680"/>
      <c r="EF84" s="680"/>
      <c r="EG84" s="680"/>
      <c r="EH84" s="680"/>
      <c r="EI84" s="680"/>
      <c r="EJ84" s="680"/>
      <c r="EK84" s="680"/>
      <c r="EL84" s="680"/>
      <c r="EM84" s="680"/>
      <c r="EN84" s="680"/>
      <c r="EO84" s="680"/>
      <c r="EP84" s="680"/>
      <c r="EQ84" s="680"/>
      <c r="ER84" s="680"/>
      <c r="ES84" s="680"/>
      <c r="ET84" s="680"/>
      <c r="EU84" s="680"/>
      <c r="EV84" s="680"/>
      <c r="EW84" s="680"/>
      <c r="EX84" s="680"/>
      <c r="EY84" s="680"/>
      <c r="EZ84" s="680"/>
      <c r="FA84" s="680"/>
      <c r="FB84" s="680"/>
      <c r="FC84" s="680"/>
      <c r="FD84" s="680"/>
      <c r="FE84" s="680"/>
      <c r="FF84" s="680"/>
      <c r="FG84" s="680"/>
      <c r="FH84" s="680"/>
      <c r="FI84" s="680"/>
      <c r="FJ84" s="680"/>
      <c r="FK84" s="680"/>
      <c r="FL84" s="680"/>
      <c r="FM84" s="680"/>
      <c r="FN84" s="680"/>
      <c r="FO84" s="680"/>
      <c r="FP84" s="680"/>
      <c r="FQ84" s="680"/>
      <c r="FR84" s="680"/>
      <c r="FS84" s="680"/>
      <c r="FT84" s="680"/>
      <c r="FU84" s="680"/>
      <c r="FV84" s="680"/>
      <c r="FW84" s="680"/>
      <c r="FX84" s="680"/>
      <c r="FY84" s="680"/>
      <c r="FZ84" s="680"/>
      <c r="GA84" s="680"/>
      <c r="GB84" s="680"/>
      <c r="GC84" s="680"/>
      <c r="GD84" s="680"/>
      <c r="GE84" s="680"/>
      <c r="GF84" s="680"/>
      <c r="GG84" s="680"/>
      <c r="GH84" s="680"/>
      <c r="GI84" s="680"/>
      <c r="GJ84" s="680"/>
      <c r="GK84" s="680"/>
      <c r="GL84" s="680"/>
      <c r="GM84" s="680"/>
      <c r="GN84" s="680"/>
      <c r="GO84" s="680"/>
      <c r="GP84" s="680"/>
      <c r="GQ84" s="680"/>
      <c r="GR84" s="680"/>
      <c r="GS84" s="680"/>
      <c r="GT84" s="680"/>
      <c r="GU84" s="680"/>
      <c r="GV84" s="680"/>
      <c r="GW84" s="680"/>
      <c r="GX84" s="680"/>
      <c r="GY84" s="680"/>
      <c r="GZ84" s="680"/>
      <c r="HA84" s="680"/>
      <c r="HB84" s="680"/>
      <c r="HC84" s="680"/>
      <c r="HD84" s="680"/>
      <c r="HE84" s="680"/>
      <c r="HF84" s="680"/>
      <c r="HG84" s="680"/>
      <c r="HH84" s="680"/>
      <c r="HI84" s="680"/>
      <c r="HJ84" s="680"/>
      <c r="HK84" s="680"/>
      <c r="HL84" s="680"/>
      <c r="HM84" s="680"/>
      <c r="HN84" s="680"/>
      <c r="HO84" s="680"/>
      <c r="HP84" s="680"/>
      <c r="HQ84" s="680"/>
      <c r="HR84" s="680"/>
      <c r="HS84" s="680"/>
      <c r="HT84" s="680"/>
      <c r="HU84" s="680"/>
      <c r="HV84" s="680"/>
      <c r="HW84" s="680"/>
      <c r="HX84" s="680"/>
      <c r="HY84" s="680"/>
      <c r="HZ84" s="680"/>
      <c r="IA84" s="680"/>
      <c r="IB84" s="680"/>
      <c r="IC84" s="680"/>
      <c r="ID84" s="680"/>
      <c r="IE84" s="680"/>
      <c r="IF84" s="680"/>
      <c r="IG84" s="680"/>
      <c r="IH84" s="680"/>
      <c r="II84" s="680"/>
      <c r="IJ84" s="680"/>
      <c r="IK84" s="680"/>
      <c r="IL84" s="680"/>
      <c r="IM84" s="680"/>
      <c r="IN84" s="680"/>
      <c r="IO84" s="680"/>
      <c r="IP84" s="680"/>
      <c r="IQ84" s="680"/>
      <c r="IR84" s="680"/>
      <c r="IS84" s="680"/>
      <c r="IT84" s="680"/>
      <c r="IU84" s="680"/>
    </row>
    <row r="85" spans="1:255" s="681" customFormat="1" ht="18" customHeight="1">
      <c r="A85" s="579" t="s">
        <v>685</v>
      </c>
      <c r="B85" s="561"/>
      <c r="C85" s="1142"/>
      <c r="D85" s="1142"/>
      <c r="E85" s="1142"/>
      <c r="F85" s="1142"/>
      <c r="G85" s="1142"/>
      <c r="H85" s="1142"/>
      <c r="I85" s="1142"/>
      <c r="J85" s="1142"/>
      <c r="K85" s="1142"/>
      <c r="L85" s="1142"/>
      <c r="M85" s="561">
        <v>0</v>
      </c>
      <c r="N85" s="561">
        <v>0</v>
      </c>
      <c r="O85"/>
      <c r="P85" s="832"/>
      <c r="Q85" s="678"/>
      <c r="R85" s="678"/>
      <c r="S85" s="678"/>
      <c r="T85" s="678"/>
      <c r="U85" s="678"/>
      <c r="V85" s="678"/>
      <c r="W85" s="678"/>
      <c r="X85" s="678"/>
      <c r="Y85" s="678"/>
      <c r="Z85" s="678"/>
      <c r="AA85" s="678"/>
      <c r="AB85" s="678"/>
      <c r="AC85" s="678"/>
      <c r="AD85" s="678"/>
      <c r="AE85" s="678"/>
      <c r="AF85" s="678"/>
      <c r="AG85" s="678"/>
      <c r="AH85" s="679"/>
      <c r="AI85" s="679"/>
      <c r="AJ85" s="679"/>
      <c r="AK85" s="679"/>
      <c r="AL85" s="679"/>
      <c r="AM85" s="679"/>
      <c r="AN85" s="679"/>
      <c r="AO85" s="679"/>
      <c r="AP85" s="679"/>
      <c r="AQ85" s="679"/>
      <c r="AR85" s="679"/>
      <c r="AS85" s="679"/>
      <c r="AT85" s="679"/>
      <c r="AU85" s="679"/>
      <c r="AV85" s="679"/>
      <c r="AW85" s="679"/>
      <c r="AX85" s="679"/>
      <c r="AY85" s="679"/>
      <c r="AZ85" s="679"/>
      <c r="BA85" s="679"/>
      <c r="BB85" s="679"/>
      <c r="BC85" s="679"/>
      <c r="BD85" s="680"/>
      <c r="BE85" s="680"/>
      <c r="BF85" s="680"/>
      <c r="BG85" s="680"/>
      <c r="BH85" s="680"/>
      <c r="BI85" s="680"/>
      <c r="BJ85" s="680"/>
      <c r="BK85" s="680"/>
      <c r="BL85" s="680"/>
      <c r="BM85" s="680"/>
      <c r="BN85" s="680"/>
      <c r="BO85" s="680"/>
      <c r="BP85" s="680"/>
      <c r="BQ85" s="680"/>
      <c r="BR85" s="680"/>
      <c r="BS85" s="680"/>
      <c r="BT85" s="680"/>
      <c r="BU85" s="680"/>
      <c r="BV85" s="680"/>
      <c r="BW85" s="680"/>
      <c r="BX85" s="680"/>
      <c r="BY85" s="680"/>
      <c r="BZ85" s="680"/>
      <c r="CA85" s="680"/>
      <c r="CB85" s="680"/>
      <c r="CC85" s="680"/>
      <c r="CD85" s="680"/>
      <c r="CE85" s="680"/>
      <c r="CF85" s="680"/>
      <c r="CG85" s="680"/>
      <c r="CH85" s="680"/>
      <c r="CI85" s="680"/>
      <c r="CJ85" s="680"/>
      <c r="CK85" s="680"/>
      <c r="CL85" s="680"/>
      <c r="CM85" s="680"/>
      <c r="CN85" s="680"/>
      <c r="CO85" s="680"/>
      <c r="CP85" s="680"/>
      <c r="CQ85" s="680"/>
      <c r="CR85" s="680"/>
      <c r="CS85" s="680"/>
      <c r="CT85" s="680"/>
      <c r="CU85" s="680"/>
      <c r="CV85" s="680"/>
      <c r="CW85" s="680"/>
      <c r="CX85" s="680"/>
      <c r="CY85" s="680"/>
      <c r="CZ85" s="680"/>
      <c r="DA85" s="680"/>
      <c r="DB85" s="680"/>
      <c r="DC85" s="680"/>
      <c r="DD85" s="680"/>
      <c r="DE85" s="680"/>
      <c r="DF85" s="680"/>
      <c r="DG85" s="680"/>
      <c r="DH85" s="680"/>
      <c r="DI85" s="680"/>
      <c r="DJ85" s="680"/>
      <c r="DK85" s="680"/>
      <c r="DL85" s="680"/>
      <c r="DM85" s="680"/>
      <c r="DN85" s="680"/>
      <c r="DO85" s="680"/>
      <c r="DP85" s="680"/>
      <c r="DQ85" s="680"/>
      <c r="DR85" s="680"/>
      <c r="DS85" s="680"/>
      <c r="DT85" s="680"/>
      <c r="DU85" s="680"/>
      <c r="DV85" s="680"/>
      <c r="DW85" s="680"/>
      <c r="DX85" s="680"/>
      <c r="DY85" s="680"/>
      <c r="DZ85" s="680"/>
      <c r="EA85" s="680"/>
      <c r="EB85" s="680"/>
      <c r="EC85" s="680"/>
      <c r="ED85" s="680"/>
      <c r="EE85" s="680"/>
      <c r="EF85" s="680"/>
      <c r="EG85" s="680"/>
      <c r="EH85" s="680"/>
      <c r="EI85" s="680"/>
      <c r="EJ85" s="680"/>
      <c r="EK85" s="680"/>
      <c r="EL85" s="680"/>
      <c r="EM85" s="680"/>
      <c r="EN85" s="680"/>
      <c r="EO85" s="680"/>
      <c r="EP85" s="680"/>
      <c r="EQ85" s="680"/>
      <c r="ER85" s="680"/>
      <c r="ES85" s="680"/>
      <c r="ET85" s="680"/>
      <c r="EU85" s="680"/>
      <c r="EV85" s="680"/>
      <c r="EW85" s="680"/>
      <c r="EX85" s="680"/>
      <c r="EY85" s="680"/>
      <c r="EZ85" s="680"/>
      <c r="FA85" s="680"/>
      <c r="FB85" s="680"/>
      <c r="FC85" s="680"/>
      <c r="FD85" s="680"/>
      <c r="FE85" s="680"/>
      <c r="FF85" s="680"/>
      <c r="FG85" s="680"/>
      <c r="FH85" s="680"/>
      <c r="FI85" s="680"/>
      <c r="FJ85" s="680"/>
      <c r="FK85" s="680"/>
      <c r="FL85" s="680"/>
      <c r="FM85" s="680"/>
      <c r="FN85" s="680"/>
      <c r="FO85" s="680"/>
      <c r="FP85" s="680"/>
      <c r="FQ85" s="680"/>
      <c r="FR85" s="680"/>
      <c r="FS85" s="680"/>
      <c r="FT85" s="680"/>
      <c r="FU85" s="680"/>
      <c r="FV85" s="680"/>
      <c r="FW85" s="680"/>
      <c r="FX85" s="680"/>
      <c r="FY85" s="680"/>
      <c r="FZ85" s="680"/>
      <c r="GA85" s="680"/>
      <c r="GB85" s="680"/>
      <c r="GC85" s="680"/>
      <c r="GD85" s="680"/>
      <c r="GE85" s="680"/>
      <c r="GF85" s="680"/>
      <c r="GG85" s="680"/>
      <c r="GH85" s="680"/>
      <c r="GI85" s="680"/>
      <c r="GJ85" s="680"/>
      <c r="GK85" s="680"/>
      <c r="GL85" s="680"/>
      <c r="GM85" s="680"/>
      <c r="GN85" s="680"/>
      <c r="GO85" s="680"/>
      <c r="GP85" s="680"/>
      <c r="GQ85" s="680"/>
      <c r="GR85" s="680"/>
      <c r="GS85" s="680"/>
      <c r="GT85" s="680"/>
      <c r="GU85" s="680"/>
      <c r="GV85" s="680"/>
      <c r="GW85" s="680"/>
      <c r="GX85" s="680"/>
      <c r="GY85" s="680"/>
      <c r="GZ85" s="680"/>
      <c r="HA85" s="680"/>
      <c r="HB85" s="680"/>
      <c r="HC85" s="680"/>
      <c r="HD85" s="680"/>
      <c r="HE85" s="680"/>
      <c r="HF85" s="680"/>
      <c r="HG85" s="680"/>
      <c r="HH85" s="680"/>
      <c r="HI85" s="680"/>
      <c r="HJ85" s="680"/>
      <c r="HK85" s="680"/>
      <c r="HL85" s="680"/>
      <c r="HM85" s="680"/>
      <c r="HN85" s="680"/>
      <c r="HO85" s="680"/>
      <c r="HP85" s="680"/>
      <c r="HQ85" s="680"/>
      <c r="HR85" s="680"/>
      <c r="HS85" s="680"/>
      <c r="HT85" s="680"/>
      <c r="HU85" s="680"/>
      <c r="HV85" s="680"/>
      <c r="HW85" s="680"/>
      <c r="HX85" s="680"/>
      <c r="HY85" s="680"/>
      <c r="HZ85" s="680"/>
      <c r="IA85" s="680"/>
      <c r="IB85" s="680"/>
      <c r="IC85" s="680"/>
      <c r="ID85" s="680"/>
      <c r="IE85" s="680"/>
      <c r="IF85" s="680"/>
      <c r="IG85" s="680"/>
      <c r="IH85" s="680"/>
      <c r="II85" s="680"/>
      <c r="IJ85" s="680"/>
      <c r="IK85" s="680"/>
      <c r="IL85" s="680"/>
      <c r="IM85" s="680"/>
      <c r="IN85" s="680"/>
      <c r="IO85" s="680"/>
      <c r="IP85" s="680"/>
      <c r="IQ85" s="680"/>
      <c r="IR85" s="680"/>
      <c r="IS85" s="680"/>
      <c r="IT85" s="680"/>
      <c r="IU85" s="680"/>
    </row>
    <row r="86" spans="1:255" s="681" customFormat="1" ht="18" customHeight="1">
      <c r="A86" s="677" t="s">
        <v>686</v>
      </c>
      <c r="B86" s="678"/>
      <c r="C86" s="1146">
        <v>595.51845549999996</v>
      </c>
      <c r="D86" s="1146">
        <v>1134.8528355000001</v>
      </c>
      <c r="E86" s="1146">
        <v>953.73062985000001</v>
      </c>
      <c r="F86" s="1146">
        <v>1044.4430847399999</v>
      </c>
      <c r="G86" s="1146">
        <v>1161.9753268099998</v>
      </c>
      <c r="H86" s="1146">
        <v>1188.67313347</v>
      </c>
      <c r="I86" s="1146">
        <v>1912.6298884</v>
      </c>
      <c r="J86" s="1146">
        <v>1550.66794693</v>
      </c>
      <c r="K86" s="1146">
        <v>0</v>
      </c>
      <c r="L86" s="1146">
        <v>0</v>
      </c>
      <c r="M86" s="678">
        <v>0</v>
      </c>
      <c r="N86" s="678">
        <v>0</v>
      </c>
      <c r="O86"/>
      <c r="P86" s="832" t="s">
        <v>1679</v>
      </c>
      <c r="Q86" s="678"/>
      <c r="R86" s="678"/>
      <c r="S86" s="678"/>
      <c r="T86" s="678"/>
      <c r="U86" s="678"/>
      <c r="V86" s="678"/>
      <c r="W86" s="678"/>
      <c r="X86" s="678"/>
      <c r="Y86" s="678"/>
      <c r="Z86" s="678"/>
      <c r="AA86" s="678"/>
      <c r="AB86" s="678"/>
      <c r="AC86" s="678"/>
      <c r="AD86" s="678"/>
      <c r="AE86" s="678"/>
      <c r="AF86" s="678"/>
      <c r="AG86" s="678"/>
      <c r="AH86" s="679"/>
      <c r="AI86" s="679"/>
      <c r="AJ86" s="679"/>
      <c r="AK86" s="679"/>
      <c r="AL86" s="679"/>
      <c r="AM86" s="679"/>
      <c r="AN86" s="679"/>
      <c r="AO86" s="679"/>
      <c r="AP86" s="679"/>
      <c r="AQ86" s="679"/>
      <c r="AR86" s="679"/>
      <c r="AS86" s="679"/>
      <c r="AT86" s="679"/>
      <c r="AU86" s="679"/>
      <c r="AV86" s="679"/>
      <c r="AW86" s="679"/>
      <c r="AX86" s="679"/>
      <c r="AY86" s="679"/>
      <c r="AZ86" s="679"/>
      <c r="BA86" s="679"/>
      <c r="BB86" s="679"/>
      <c r="BC86" s="679"/>
      <c r="BD86" s="680"/>
      <c r="BE86" s="680"/>
      <c r="BF86" s="680"/>
      <c r="BG86" s="680"/>
      <c r="BH86" s="680"/>
      <c r="BI86" s="680"/>
      <c r="BJ86" s="680"/>
      <c r="BK86" s="680"/>
      <c r="BL86" s="680"/>
      <c r="BM86" s="680"/>
      <c r="BN86" s="680"/>
      <c r="BO86" s="680"/>
      <c r="BP86" s="680"/>
      <c r="BQ86" s="680"/>
      <c r="BR86" s="680"/>
      <c r="BS86" s="680"/>
      <c r="BT86" s="680"/>
      <c r="BU86" s="680"/>
      <c r="BV86" s="680"/>
      <c r="BW86" s="680"/>
      <c r="BX86" s="680"/>
      <c r="BY86" s="680"/>
      <c r="BZ86" s="680"/>
      <c r="CA86" s="680"/>
      <c r="CB86" s="680"/>
      <c r="CC86" s="680"/>
      <c r="CD86" s="680"/>
      <c r="CE86" s="680"/>
      <c r="CF86" s="680"/>
      <c r="CG86" s="680"/>
      <c r="CH86" s="680"/>
      <c r="CI86" s="680"/>
      <c r="CJ86" s="680"/>
      <c r="CK86" s="680"/>
      <c r="CL86" s="680"/>
      <c r="CM86" s="680"/>
      <c r="CN86" s="680"/>
      <c r="CO86" s="680"/>
      <c r="CP86" s="680"/>
      <c r="CQ86" s="680"/>
      <c r="CR86" s="680"/>
      <c r="CS86" s="680"/>
      <c r="CT86" s="680"/>
      <c r="CU86" s="680"/>
      <c r="CV86" s="680"/>
      <c r="CW86" s="680"/>
      <c r="CX86" s="680"/>
      <c r="CY86" s="680"/>
      <c r="CZ86" s="680"/>
      <c r="DA86" s="680"/>
      <c r="DB86" s="680"/>
      <c r="DC86" s="680"/>
      <c r="DD86" s="680"/>
      <c r="DE86" s="680"/>
      <c r="DF86" s="680"/>
      <c r="DG86" s="680"/>
      <c r="DH86" s="680"/>
      <c r="DI86" s="680"/>
      <c r="DJ86" s="680"/>
      <c r="DK86" s="680"/>
      <c r="DL86" s="680"/>
      <c r="DM86" s="680"/>
      <c r="DN86" s="680"/>
      <c r="DO86" s="680"/>
      <c r="DP86" s="680"/>
      <c r="DQ86" s="680"/>
      <c r="DR86" s="680"/>
      <c r="DS86" s="680"/>
      <c r="DT86" s="680"/>
      <c r="DU86" s="680"/>
      <c r="DV86" s="680"/>
      <c r="DW86" s="680"/>
      <c r="DX86" s="680"/>
      <c r="DY86" s="680"/>
      <c r="DZ86" s="680"/>
      <c r="EA86" s="680"/>
      <c r="EB86" s="680"/>
      <c r="EC86" s="680"/>
      <c r="ED86" s="680"/>
      <c r="EE86" s="680"/>
      <c r="EF86" s="680"/>
      <c r="EG86" s="680"/>
      <c r="EH86" s="680"/>
      <c r="EI86" s="680"/>
      <c r="EJ86" s="680"/>
      <c r="EK86" s="680"/>
      <c r="EL86" s="680"/>
      <c r="EM86" s="680"/>
      <c r="EN86" s="680"/>
      <c r="EO86" s="680"/>
      <c r="EP86" s="680"/>
      <c r="EQ86" s="680"/>
      <c r="ER86" s="680"/>
      <c r="ES86" s="680"/>
      <c r="ET86" s="680"/>
      <c r="EU86" s="680"/>
      <c r="EV86" s="680"/>
      <c r="EW86" s="680"/>
      <c r="EX86" s="680"/>
      <c r="EY86" s="680"/>
      <c r="EZ86" s="680"/>
      <c r="FA86" s="680"/>
      <c r="FB86" s="680"/>
      <c r="FC86" s="680"/>
      <c r="FD86" s="680"/>
      <c r="FE86" s="680"/>
      <c r="FF86" s="680"/>
      <c r="FG86" s="680"/>
      <c r="FH86" s="680"/>
      <c r="FI86" s="680"/>
      <c r="FJ86" s="680"/>
      <c r="FK86" s="680"/>
      <c r="FL86" s="680"/>
      <c r="FM86" s="680"/>
      <c r="FN86" s="680"/>
      <c r="FO86" s="680"/>
      <c r="FP86" s="680"/>
      <c r="FQ86" s="680"/>
      <c r="FR86" s="680"/>
      <c r="FS86" s="680"/>
      <c r="FT86" s="680"/>
      <c r="FU86" s="680"/>
      <c r="FV86" s="680"/>
      <c r="FW86" s="680"/>
      <c r="FX86" s="680"/>
      <c r="FY86" s="680"/>
      <c r="FZ86" s="680"/>
      <c r="GA86" s="680"/>
      <c r="GB86" s="680"/>
      <c r="GC86" s="680"/>
      <c r="GD86" s="680"/>
      <c r="GE86" s="680"/>
      <c r="GF86" s="680"/>
      <c r="GG86" s="680"/>
      <c r="GH86" s="680"/>
      <c r="GI86" s="680"/>
      <c r="GJ86" s="680"/>
      <c r="GK86" s="680"/>
      <c r="GL86" s="680"/>
      <c r="GM86" s="680"/>
      <c r="GN86" s="680"/>
      <c r="GO86" s="680"/>
      <c r="GP86" s="680"/>
      <c r="GQ86" s="680"/>
      <c r="GR86" s="680"/>
      <c r="GS86" s="680"/>
      <c r="GT86" s="680"/>
      <c r="GU86" s="680"/>
      <c r="GV86" s="680"/>
      <c r="GW86" s="680"/>
      <c r="GX86" s="680"/>
      <c r="GY86" s="680"/>
      <c r="GZ86" s="680"/>
      <c r="HA86" s="680"/>
      <c r="HB86" s="680"/>
      <c r="HC86" s="680"/>
      <c r="HD86" s="680"/>
      <c r="HE86" s="680"/>
      <c r="HF86" s="680"/>
      <c r="HG86" s="680"/>
      <c r="HH86" s="680"/>
      <c r="HI86" s="680"/>
      <c r="HJ86" s="680"/>
      <c r="HK86" s="680"/>
      <c r="HL86" s="680"/>
      <c r="HM86" s="680"/>
      <c r="HN86" s="680"/>
      <c r="HO86" s="680"/>
      <c r="HP86" s="680"/>
      <c r="HQ86" s="680"/>
      <c r="HR86" s="680"/>
      <c r="HS86" s="680"/>
      <c r="HT86" s="680"/>
      <c r="HU86" s="680"/>
      <c r="HV86" s="680"/>
      <c r="HW86" s="680"/>
      <c r="HX86" s="680"/>
      <c r="HY86" s="680"/>
      <c r="HZ86" s="680"/>
      <c r="IA86" s="680"/>
      <c r="IB86" s="680"/>
      <c r="IC86" s="680"/>
      <c r="ID86" s="680"/>
      <c r="IE86" s="680"/>
      <c r="IF86" s="680"/>
      <c r="IG86" s="680"/>
      <c r="IH86" s="680"/>
      <c r="II86" s="680"/>
      <c r="IJ86" s="680"/>
      <c r="IK86" s="680"/>
      <c r="IL86" s="680"/>
      <c r="IM86" s="680"/>
      <c r="IN86" s="680"/>
      <c r="IO86" s="680"/>
      <c r="IP86" s="680"/>
      <c r="IQ86" s="680"/>
      <c r="IR86" s="680"/>
      <c r="IS86" s="680"/>
      <c r="IT86" s="680"/>
      <c r="IU86" s="680"/>
    </row>
    <row r="87" spans="1:255" s="681" customFormat="1" ht="18" customHeight="1">
      <c r="A87" s="677" t="s">
        <v>687</v>
      </c>
      <c r="B87" s="678"/>
      <c r="C87" s="1146">
        <v>0</v>
      </c>
      <c r="D87" s="1146">
        <v>0</v>
      </c>
      <c r="E87" s="1146">
        <v>0</v>
      </c>
      <c r="F87" s="1146">
        <v>0</v>
      </c>
      <c r="G87" s="1146">
        <v>0</v>
      </c>
      <c r="H87" s="1146">
        <v>0</v>
      </c>
      <c r="I87" s="1146">
        <v>0</v>
      </c>
      <c r="J87" s="1146">
        <v>0</v>
      </c>
      <c r="K87" s="1146">
        <v>0</v>
      </c>
      <c r="L87" s="1146">
        <v>0</v>
      </c>
      <c r="M87" s="678">
        <v>0</v>
      </c>
      <c r="N87" s="678">
        <v>0</v>
      </c>
      <c r="O87"/>
      <c r="P87" s="832" t="s">
        <v>2471</v>
      </c>
      <c r="Q87" s="678"/>
      <c r="R87" s="678"/>
      <c r="S87" s="678"/>
      <c r="T87" s="678"/>
      <c r="U87" s="678"/>
      <c r="V87" s="678"/>
      <c r="W87" s="678"/>
      <c r="X87" s="678"/>
      <c r="Y87" s="678"/>
      <c r="Z87" s="678"/>
      <c r="AA87" s="678"/>
      <c r="AB87" s="678"/>
      <c r="AC87" s="678"/>
      <c r="AD87" s="678"/>
      <c r="AE87" s="678"/>
      <c r="AF87" s="678"/>
      <c r="AG87" s="678"/>
      <c r="AH87" s="679"/>
      <c r="AI87" s="679"/>
      <c r="AJ87" s="679"/>
      <c r="AK87" s="679"/>
      <c r="AL87" s="679"/>
      <c r="AM87" s="679"/>
      <c r="AN87" s="679"/>
      <c r="AO87" s="679"/>
      <c r="AP87" s="679"/>
      <c r="AQ87" s="679"/>
      <c r="AR87" s="679"/>
      <c r="AS87" s="679"/>
      <c r="AT87" s="679"/>
      <c r="AU87" s="679"/>
      <c r="AV87" s="679"/>
      <c r="AW87" s="679"/>
      <c r="AX87" s="679"/>
      <c r="AY87" s="679"/>
      <c r="AZ87" s="679"/>
      <c r="BA87" s="679"/>
      <c r="BB87" s="679"/>
      <c r="BC87" s="679"/>
      <c r="BD87" s="680"/>
      <c r="BE87" s="680"/>
      <c r="BF87" s="680"/>
      <c r="BG87" s="680"/>
      <c r="BH87" s="680"/>
      <c r="BI87" s="680"/>
      <c r="BJ87" s="680"/>
      <c r="BK87" s="680"/>
      <c r="BL87" s="680"/>
      <c r="BM87" s="680"/>
      <c r="BN87" s="680"/>
      <c r="BO87" s="680"/>
      <c r="BP87" s="680"/>
      <c r="BQ87" s="680"/>
      <c r="BR87" s="680"/>
      <c r="BS87" s="680"/>
      <c r="BT87" s="680"/>
      <c r="BU87" s="680"/>
      <c r="BV87" s="680"/>
      <c r="BW87" s="680"/>
      <c r="BX87" s="680"/>
      <c r="BY87" s="680"/>
      <c r="BZ87" s="680"/>
      <c r="CA87" s="680"/>
      <c r="CB87" s="680"/>
      <c r="CC87" s="680"/>
      <c r="CD87" s="680"/>
      <c r="CE87" s="680"/>
      <c r="CF87" s="680"/>
      <c r="CG87" s="680"/>
      <c r="CH87" s="680"/>
      <c r="CI87" s="680"/>
      <c r="CJ87" s="680"/>
      <c r="CK87" s="680"/>
      <c r="CL87" s="680"/>
      <c r="CM87" s="680"/>
      <c r="CN87" s="680"/>
      <c r="CO87" s="680"/>
      <c r="CP87" s="680"/>
      <c r="CQ87" s="680"/>
      <c r="CR87" s="680"/>
      <c r="CS87" s="680"/>
      <c r="CT87" s="680"/>
      <c r="CU87" s="680"/>
      <c r="CV87" s="680"/>
      <c r="CW87" s="680"/>
      <c r="CX87" s="680"/>
      <c r="CY87" s="680"/>
      <c r="CZ87" s="680"/>
      <c r="DA87" s="680"/>
      <c r="DB87" s="680"/>
      <c r="DC87" s="680"/>
      <c r="DD87" s="680"/>
      <c r="DE87" s="680"/>
      <c r="DF87" s="680"/>
      <c r="DG87" s="680"/>
      <c r="DH87" s="680"/>
      <c r="DI87" s="680"/>
      <c r="DJ87" s="680"/>
      <c r="DK87" s="680"/>
      <c r="DL87" s="680"/>
      <c r="DM87" s="680"/>
      <c r="DN87" s="680"/>
      <c r="DO87" s="680"/>
      <c r="DP87" s="680"/>
      <c r="DQ87" s="680"/>
      <c r="DR87" s="680"/>
      <c r="DS87" s="680"/>
      <c r="DT87" s="680"/>
      <c r="DU87" s="680"/>
      <c r="DV87" s="680"/>
      <c r="DW87" s="680"/>
      <c r="DX87" s="680"/>
      <c r="DY87" s="680"/>
      <c r="DZ87" s="680"/>
      <c r="EA87" s="680"/>
      <c r="EB87" s="680"/>
      <c r="EC87" s="680"/>
      <c r="ED87" s="680"/>
      <c r="EE87" s="680"/>
      <c r="EF87" s="680"/>
      <c r="EG87" s="680"/>
      <c r="EH87" s="680"/>
      <c r="EI87" s="680"/>
      <c r="EJ87" s="680"/>
      <c r="EK87" s="680"/>
      <c r="EL87" s="680"/>
      <c r="EM87" s="680"/>
      <c r="EN87" s="680"/>
      <c r="EO87" s="680"/>
      <c r="EP87" s="680"/>
      <c r="EQ87" s="680"/>
      <c r="ER87" s="680"/>
      <c r="ES87" s="680"/>
      <c r="ET87" s="680"/>
      <c r="EU87" s="680"/>
      <c r="EV87" s="680"/>
      <c r="EW87" s="680"/>
      <c r="EX87" s="680"/>
      <c r="EY87" s="680"/>
      <c r="EZ87" s="680"/>
      <c r="FA87" s="680"/>
      <c r="FB87" s="680"/>
      <c r="FC87" s="680"/>
      <c r="FD87" s="680"/>
      <c r="FE87" s="680"/>
      <c r="FF87" s="680"/>
      <c r="FG87" s="680"/>
      <c r="FH87" s="680"/>
      <c r="FI87" s="680"/>
      <c r="FJ87" s="680"/>
      <c r="FK87" s="680"/>
      <c r="FL87" s="680"/>
      <c r="FM87" s="680"/>
      <c r="FN87" s="680"/>
      <c r="FO87" s="680"/>
      <c r="FP87" s="680"/>
      <c r="FQ87" s="680"/>
      <c r="FR87" s="680"/>
      <c r="FS87" s="680"/>
      <c r="FT87" s="680"/>
      <c r="FU87" s="680"/>
      <c r="FV87" s="680"/>
      <c r="FW87" s="680"/>
      <c r="FX87" s="680"/>
      <c r="FY87" s="680"/>
      <c r="FZ87" s="680"/>
      <c r="GA87" s="680"/>
      <c r="GB87" s="680"/>
      <c r="GC87" s="680"/>
      <c r="GD87" s="680"/>
      <c r="GE87" s="680"/>
      <c r="GF87" s="680"/>
      <c r="GG87" s="680"/>
      <c r="GH87" s="680"/>
      <c r="GI87" s="680"/>
      <c r="GJ87" s="680"/>
      <c r="GK87" s="680"/>
      <c r="GL87" s="680"/>
      <c r="GM87" s="680"/>
      <c r="GN87" s="680"/>
      <c r="GO87" s="680"/>
      <c r="GP87" s="680"/>
      <c r="GQ87" s="680"/>
      <c r="GR87" s="680"/>
      <c r="GS87" s="680"/>
      <c r="GT87" s="680"/>
      <c r="GU87" s="680"/>
      <c r="GV87" s="680"/>
      <c r="GW87" s="680"/>
      <c r="GX87" s="680"/>
      <c r="GY87" s="680"/>
      <c r="GZ87" s="680"/>
      <c r="HA87" s="680"/>
      <c r="HB87" s="680"/>
      <c r="HC87" s="680"/>
      <c r="HD87" s="680"/>
      <c r="HE87" s="680"/>
      <c r="HF87" s="680"/>
      <c r="HG87" s="680"/>
      <c r="HH87" s="680"/>
      <c r="HI87" s="680"/>
      <c r="HJ87" s="680"/>
      <c r="HK87" s="680"/>
      <c r="HL87" s="680"/>
      <c r="HM87" s="680"/>
      <c r="HN87" s="680"/>
      <c r="HO87" s="680"/>
      <c r="HP87" s="680"/>
      <c r="HQ87" s="680"/>
      <c r="HR87" s="680"/>
      <c r="HS87" s="680"/>
      <c r="HT87" s="680"/>
      <c r="HU87" s="680"/>
      <c r="HV87" s="680"/>
      <c r="HW87" s="680"/>
      <c r="HX87" s="680"/>
      <c r="HY87" s="680"/>
      <c r="HZ87" s="680"/>
      <c r="IA87" s="680"/>
      <c r="IB87" s="680"/>
      <c r="IC87" s="680"/>
      <c r="ID87" s="680"/>
      <c r="IE87" s="680"/>
      <c r="IF87" s="680"/>
      <c r="IG87" s="680"/>
      <c r="IH87" s="680"/>
      <c r="II87" s="680"/>
      <c r="IJ87" s="680"/>
      <c r="IK87" s="680"/>
      <c r="IL87" s="680"/>
      <c r="IM87" s="680"/>
      <c r="IN87" s="680"/>
      <c r="IO87" s="680"/>
      <c r="IP87" s="680"/>
      <c r="IQ87" s="680"/>
      <c r="IR87" s="680"/>
      <c r="IS87" s="680"/>
      <c r="IT87" s="680"/>
      <c r="IU87" s="680"/>
    </row>
    <row r="88" spans="1:255" s="681" customFormat="1" ht="18" customHeight="1">
      <c r="A88" s="1132" t="s">
        <v>2794</v>
      </c>
      <c r="B88" s="678"/>
      <c r="C88" s="1146">
        <v>0</v>
      </c>
      <c r="D88" s="1146">
        <v>0</v>
      </c>
      <c r="E88" s="1146">
        <v>0</v>
      </c>
      <c r="F88" s="1146">
        <v>0</v>
      </c>
      <c r="G88" s="1146">
        <v>0</v>
      </c>
      <c r="H88" s="1146">
        <v>0</v>
      </c>
      <c r="I88" s="1146">
        <v>0</v>
      </c>
      <c r="J88" s="1146">
        <v>0</v>
      </c>
      <c r="K88" s="1146">
        <v>0</v>
      </c>
      <c r="L88" s="1146">
        <v>0</v>
      </c>
      <c r="M88" s="678">
        <v>0</v>
      </c>
      <c r="N88" s="678">
        <v>0</v>
      </c>
      <c r="O88"/>
      <c r="P88" s="832" t="s">
        <v>2846</v>
      </c>
      <c r="Q88" s="678"/>
      <c r="R88" s="678"/>
      <c r="S88" s="678"/>
      <c r="T88" s="678"/>
      <c r="U88" s="678"/>
      <c r="V88" s="678"/>
      <c r="W88" s="678"/>
      <c r="X88" s="678"/>
      <c r="Y88" s="678"/>
      <c r="Z88" s="678"/>
      <c r="AA88" s="678"/>
      <c r="AB88" s="678"/>
      <c r="AC88" s="678"/>
      <c r="AD88" s="678"/>
      <c r="AE88" s="678"/>
      <c r="AF88" s="678"/>
      <c r="AG88" s="678"/>
      <c r="AH88" s="679"/>
      <c r="AI88" s="679"/>
      <c r="AJ88" s="679"/>
      <c r="AK88" s="679"/>
      <c r="AL88" s="679"/>
      <c r="AM88" s="679"/>
      <c r="AN88" s="679"/>
      <c r="AO88" s="679"/>
      <c r="AP88" s="679"/>
      <c r="AQ88" s="679"/>
      <c r="AR88" s="679"/>
      <c r="AS88" s="679"/>
      <c r="AT88" s="679"/>
      <c r="AU88" s="679"/>
      <c r="AV88" s="679"/>
      <c r="AW88" s="679"/>
      <c r="AX88" s="679"/>
      <c r="AY88" s="679"/>
      <c r="AZ88" s="679"/>
      <c r="BA88" s="679"/>
      <c r="BB88" s="679"/>
      <c r="BC88" s="679"/>
      <c r="BD88" s="680"/>
      <c r="BE88" s="680"/>
      <c r="BF88" s="680"/>
      <c r="BG88" s="680"/>
      <c r="BH88" s="680"/>
      <c r="BI88" s="680"/>
      <c r="BJ88" s="680"/>
      <c r="BK88" s="680"/>
      <c r="BL88" s="680"/>
      <c r="BM88" s="680"/>
      <c r="BN88" s="680"/>
      <c r="BO88" s="680"/>
      <c r="BP88" s="680"/>
      <c r="BQ88" s="680"/>
      <c r="BR88" s="680"/>
      <c r="BS88" s="680"/>
      <c r="BT88" s="680"/>
      <c r="BU88" s="680"/>
      <c r="BV88" s="680"/>
      <c r="BW88" s="680"/>
      <c r="BX88" s="680"/>
      <c r="BY88" s="680"/>
      <c r="BZ88" s="680"/>
      <c r="CA88" s="680"/>
      <c r="CB88" s="680"/>
      <c r="CC88" s="680"/>
      <c r="CD88" s="680"/>
      <c r="CE88" s="680"/>
      <c r="CF88" s="680"/>
      <c r="CG88" s="680"/>
      <c r="CH88" s="680"/>
      <c r="CI88" s="680"/>
      <c r="CJ88" s="680"/>
      <c r="CK88" s="680"/>
      <c r="CL88" s="680"/>
      <c r="CM88" s="680"/>
      <c r="CN88" s="680"/>
      <c r="CO88" s="680"/>
      <c r="CP88" s="680"/>
      <c r="CQ88" s="680"/>
      <c r="CR88" s="680"/>
      <c r="CS88" s="680"/>
      <c r="CT88" s="680"/>
      <c r="CU88" s="680"/>
      <c r="CV88" s="680"/>
      <c r="CW88" s="680"/>
      <c r="CX88" s="680"/>
      <c r="CY88" s="680"/>
      <c r="CZ88" s="680"/>
      <c r="DA88" s="680"/>
      <c r="DB88" s="680"/>
      <c r="DC88" s="680"/>
      <c r="DD88" s="680"/>
      <c r="DE88" s="680"/>
      <c r="DF88" s="680"/>
      <c r="DG88" s="680"/>
      <c r="DH88" s="680"/>
      <c r="DI88" s="680"/>
      <c r="DJ88" s="680"/>
      <c r="DK88" s="680"/>
      <c r="DL88" s="680"/>
      <c r="DM88" s="680"/>
      <c r="DN88" s="680"/>
      <c r="DO88" s="680"/>
      <c r="DP88" s="680"/>
      <c r="DQ88" s="680"/>
      <c r="DR88" s="680"/>
      <c r="DS88" s="680"/>
      <c r="DT88" s="680"/>
      <c r="DU88" s="680"/>
      <c r="DV88" s="680"/>
      <c r="DW88" s="680"/>
      <c r="DX88" s="680"/>
      <c r="DY88" s="680"/>
      <c r="DZ88" s="680"/>
      <c r="EA88" s="680"/>
      <c r="EB88" s="680"/>
      <c r="EC88" s="680"/>
      <c r="ED88" s="680"/>
      <c r="EE88" s="680"/>
      <c r="EF88" s="680"/>
      <c r="EG88" s="680"/>
      <c r="EH88" s="680"/>
      <c r="EI88" s="680"/>
      <c r="EJ88" s="680"/>
      <c r="EK88" s="680"/>
      <c r="EL88" s="680"/>
      <c r="EM88" s="680"/>
      <c r="EN88" s="680"/>
      <c r="EO88" s="680"/>
      <c r="EP88" s="680"/>
      <c r="EQ88" s="680"/>
      <c r="ER88" s="680"/>
      <c r="ES88" s="680"/>
      <c r="ET88" s="680"/>
      <c r="EU88" s="680"/>
      <c r="EV88" s="680"/>
      <c r="EW88" s="680"/>
      <c r="EX88" s="680"/>
      <c r="EY88" s="680"/>
      <c r="EZ88" s="680"/>
      <c r="FA88" s="680"/>
      <c r="FB88" s="680"/>
      <c r="FC88" s="680"/>
      <c r="FD88" s="680"/>
      <c r="FE88" s="680"/>
      <c r="FF88" s="680"/>
      <c r="FG88" s="680"/>
      <c r="FH88" s="680"/>
      <c r="FI88" s="680"/>
      <c r="FJ88" s="680"/>
      <c r="FK88" s="680"/>
      <c r="FL88" s="680"/>
      <c r="FM88" s="680"/>
      <c r="FN88" s="680"/>
      <c r="FO88" s="680"/>
      <c r="FP88" s="680"/>
      <c r="FQ88" s="680"/>
      <c r="FR88" s="680"/>
      <c r="FS88" s="680"/>
      <c r="FT88" s="680"/>
      <c r="FU88" s="680"/>
      <c r="FV88" s="680"/>
      <c r="FW88" s="680"/>
      <c r="FX88" s="680"/>
      <c r="FY88" s="680"/>
      <c r="FZ88" s="680"/>
      <c r="GA88" s="680"/>
      <c r="GB88" s="680"/>
      <c r="GC88" s="680"/>
      <c r="GD88" s="680"/>
      <c r="GE88" s="680"/>
      <c r="GF88" s="680"/>
      <c r="GG88" s="680"/>
      <c r="GH88" s="680"/>
      <c r="GI88" s="680"/>
      <c r="GJ88" s="680"/>
      <c r="GK88" s="680"/>
      <c r="GL88" s="680"/>
      <c r="GM88" s="680"/>
      <c r="GN88" s="680"/>
      <c r="GO88" s="680"/>
      <c r="GP88" s="680"/>
      <c r="GQ88" s="680"/>
      <c r="GR88" s="680"/>
      <c r="GS88" s="680"/>
      <c r="GT88" s="680"/>
      <c r="GU88" s="680"/>
      <c r="GV88" s="680"/>
      <c r="GW88" s="680"/>
      <c r="GX88" s="680"/>
      <c r="GY88" s="680"/>
      <c r="GZ88" s="680"/>
      <c r="HA88" s="680"/>
      <c r="HB88" s="680"/>
      <c r="HC88" s="680"/>
      <c r="HD88" s="680"/>
      <c r="HE88" s="680"/>
      <c r="HF88" s="680"/>
      <c r="HG88" s="680"/>
      <c r="HH88" s="680"/>
      <c r="HI88" s="680"/>
      <c r="HJ88" s="680"/>
      <c r="HK88" s="680"/>
      <c r="HL88" s="680"/>
      <c r="HM88" s="680"/>
      <c r="HN88" s="680"/>
      <c r="HO88" s="680"/>
      <c r="HP88" s="680"/>
      <c r="HQ88" s="680"/>
      <c r="HR88" s="680"/>
      <c r="HS88" s="680"/>
      <c r="HT88" s="680"/>
      <c r="HU88" s="680"/>
      <c r="HV88" s="680"/>
      <c r="HW88" s="680"/>
      <c r="HX88" s="680"/>
      <c r="HY88" s="680"/>
      <c r="HZ88" s="680"/>
      <c r="IA88" s="680"/>
      <c r="IB88" s="680"/>
      <c r="IC88" s="680"/>
      <c r="ID88" s="680"/>
      <c r="IE88" s="680"/>
      <c r="IF88" s="680"/>
      <c r="IG88" s="680"/>
      <c r="IH88" s="680"/>
      <c r="II88" s="680"/>
      <c r="IJ88" s="680"/>
      <c r="IK88" s="680"/>
      <c r="IL88" s="680"/>
      <c r="IM88" s="680"/>
      <c r="IN88" s="680"/>
      <c r="IO88" s="680"/>
      <c r="IP88" s="680"/>
      <c r="IQ88" s="680"/>
      <c r="IR88" s="680"/>
      <c r="IS88" s="680"/>
      <c r="IT88" s="680"/>
      <c r="IU88" s="680"/>
    </row>
    <row r="89" spans="1:255" s="681" customFormat="1" ht="18" customHeight="1">
      <c r="A89" s="1132" t="s">
        <v>2719</v>
      </c>
      <c r="B89" s="678"/>
      <c r="C89" s="1146">
        <v>3424.6985691499999</v>
      </c>
      <c r="D89" s="1146">
        <v>3458.0414097600001</v>
      </c>
      <c r="E89" s="1146">
        <v>4265.5534024600001</v>
      </c>
      <c r="F89" s="1146">
        <v>4372.3714852700004</v>
      </c>
      <c r="G89" s="1146">
        <v>3614.6237455300002</v>
      </c>
      <c r="H89" s="1146">
        <v>3721.61350666</v>
      </c>
      <c r="I89" s="1146">
        <v>3823.0603446700002</v>
      </c>
      <c r="J89" s="1146">
        <v>3559.1895737899999</v>
      </c>
      <c r="K89" s="1146">
        <v>0</v>
      </c>
      <c r="L89" s="1146">
        <v>0</v>
      </c>
      <c r="M89" s="678">
        <v>0</v>
      </c>
      <c r="N89" s="678">
        <v>0</v>
      </c>
      <c r="O89"/>
      <c r="P89" s="832" t="s">
        <v>2738</v>
      </c>
      <c r="Q89" s="678"/>
      <c r="R89" s="678"/>
      <c r="S89" s="678"/>
      <c r="T89" s="678"/>
      <c r="U89" s="678"/>
      <c r="V89" s="678"/>
      <c r="W89" s="678"/>
      <c r="X89" s="678"/>
      <c r="Y89" s="678"/>
      <c r="Z89" s="678"/>
      <c r="AA89" s="678"/>
      <c r="AB89" s="678"/>
      <c r="AC89" s="678"/>
      <c r="AD89" s="678"/>
      <c r="AE89" s="678"/>
      <c r="AF89" s="678"/>
      <c r="AG89" s="678"/>
      <c r="AH89" s="679"/>
      <c r="AI89" s="679"/>
      <c r="AJ89" s="679"/>
      <c r="AK89" s="679"/>
      <c r="AL89" s="679"/>
      <c r="AM89" s="679"/>
      <c r="AN89" s="679"/>
      <c r="AO89" s="679"/>
      <c r="AP89" s="679"/>
      <c r="AQ89" s="679"/>
      <c r="AR89" s="679"/>
      <c r="AS89" s="679"/>
      <c r="AT89" s="679"/>
      <c r="AU89" s="679"/>
      <c r="AV89" s="679"/>
      <c r="AW89" s="679"/>
      <c r="AX89" s="679"/>
      <c r="AY89" s="679"/>
      <c r="AZ89" s="679"/>
      <c r="BA89" s="679"/>
      <c r="BB89" s="679"/>
      <c r="BC89" s="679"/>
      <c r="BD89" s="680"/>
      <c r="BE89" s="680"/>
      <c r="BF89" s="680"/>
      <c r="BG89" s="680"/>
      <c r="BH89" s="680"/>
      <c r="BI89" s="680"/>
      <c r="BJ89" s="680"/>
      <c r="BK89" s="680"/>
      <c r="BL89" s="680"/>
      <c r="BM89" s="680"/>
      <c r="BN89" s="680"/>
      <c r="BO89" s="680"/>
      <c r="BP89" s="680"/>
      <c r="BQ89" s="680"/>
      <c r="BR89" s="680"/>
      <c r="BS89" s="680"/>
      <c r="BT89" s="680"/>
      <c r="BU89" s="680"/>
      <c r="BV89" s="680"/>
      <c r="BW89" s="680"/>
      <c r="BX89" s="680"/>
      <c r="BY89" s="680"/>
      <c r="BZ89" s="680"/>
      <c r="CA89" s="680"/>
      <c r="CB89" s="680"/>
      <c r="CC89" s="680"/>
      <c r="CD89" s="680"/>
      <c r="CE89" s="680"/>
      <c r="CF89" s="680"/>
      <c r="CG89" s="680"/>
      <c r="CH89" s="680"/>
      <c r="CI89" s="680"/>
      <c r="CJ89" s="680"/>
      <c r="CK89" s="680"/>
      <c r="CL89" s="680"/>
      <c r="CM89" s="680"/>
      <c r="CN89" s="680"/>
      <c r="CO89" s="680"/>
      <c r="CP89" s="680"/>
      <c r="CQ89" s="680"/>
      <c r="CR89" s="680"/>
      <c r="CS89" s="680"/>
      <c r="CT89" s="680"/>
      <c r="CU89" s="680"/>
      <c r="CV89" s="680"/>
      <c r="CW89" s="680"/>
      <c r="CX89" s="680"/>
      <c r="CY89" s="680"/>
      <c r="CZ89" s="680"/>
      <c r="DA89" s="680"/>
      <c r="DB89" s="680"/>
      <c r="DC89" s="680"/>
      <c r="DD89" s="680"/>
      <c r="DE89" s="680"/>
      <c r="DF89" s="680"/>
      <c r="DG89" s="680"/>
      <c r="DH89" s="680"/>
      <c r="DI89" s="680"/>
      <c r="DJ89" s="680"/>
      <c r="DK89" s="680"/>
      <c r="DL89" s="680"/>
      <c r="DM89" s="680"/>
      <c r="DN89" s="680"/>
      <c r="DO89" s="680"/>
      <c r="DP89" s="680"/>
      <c r="DQ89" s="680"/>
      <c r="DR89" s="680"/>
      <c r="DS89" s="680"/>
      <c r="DT89" s="680"/>
      <c r="DU89" s="680"/>
      <c r="DV89" s="680"/>
      <c r="DW89" s="680"/>
      <c r="DX89" s="680"/>
      <c r="DY89" s="680"/>
      <c r="DZ89" s="680"/>
      <c r="EA89" s="680"/>
      <c r="EB89" s="680"/>
      <c r="EC89" s="680"/>
      <c r="ED89" s="680"/>
      <c r="EE89" s="680"/>
      <c r="EF89" s="680"/>
      <c r="EG89" s="680"/>
      <c r="EH89" s="680"/>
      <c r="EI89" s="680"/>
      <c r="EJ89" s="680"/>
      <c r="EK89" s="680"/>
      <c r="EL89" s="680"/>
      <c r="EM89" s="680"/>
      <c r="EN89" s="680"/>
      <c r="EO89" s="680"/>
      <c r="EP89" s="680"/>
      <c r="EQ89" s="680"/>
      <c r="ER89" s="680"/>
      <c r="ES89" s="680"/>
      <c r="ET89" s="680"/>
      <c r="EU89" s="680"/>
      <c r="EV89" s="680"/>
      <c r="EW89" s="680"/>
      <c r="EX89" s="680"/>
      <c r="EY89" s="680"/>
      <c r="EZ89" s="680"/>
      <c r="FA89" s="680"/>
      <c r="FB89" s="680"/>
      <c r="FC89" s="680"/>
      <c r="FD89" s="680"/>
      <c r="FE89" s="680"/>
      <c r="FF89" s="680"/>
      <c r="FG89" s="680"/>
      <c r="FH89" s="680"/>
      <c r="FI89" s="680"/>
      <c r="FJ89" s="680"/>
      <c r="FK89" s="680"/>
      <c r="FL89" s="680"/>
      <c r="FM89" s="680"/>
      <c r="FN89" s="680"/>
      <c r="FO89" s="680"/>
      <c r="FP89" s="680"/>
      <c r="FQ89" s="680"/>
      <c r="FR89" s="680"/>
      <c r="FS89" s="680"/>
      <c r="FT89" s="680"/>
      <c r="FU89" s="680"/>
      <c r="FV89" s="680"/>
      <c r="FW89" s="680"/>
      <c r="FX89" s="680"/>
      <c r="FY89" s="680"/>
      <c r="FZ89" s="680"/>
      <c r="GA89" s="680"/>
      <c r="GB89" s="680"/>
      <c r="GC89" s="680"/>
      <c r="GD89" s="680"/>
      <c r="GE89" s="680"/>
      <c r="GF89" s="680"/>
      <c r="GG89" s="680"/>
      <c r="GH89" s="680"/>
      <c r="GI89" s="680"/>
      <c r="GJ89" s="680"/>
      <c r="GK89" s="680"/>
      <c r="GL89" s="680"/>
      <c r="GM89" s="680"/>
      <c r="GN89" s="680"/>
      <c r="GO89" s="680"/>
      <c r="GP89" s="680"/>
      <c r="GQ89" s="680"/>
      <c r="GR89" s="680"/>
      <c r="GS89" s="680"/>
      <c r="GT89" s="680"/>
      <c r="GU89" s="680"/>
      <c r="GV89" s="680"/>
      <c r="GW89" s="680"/>
      <c r="GX89" s="680"/>
      <c r="GY89" s="680"/>
      <c r="GZ89" s="680"/>
      <c r="HA89" s="680"/>
      <c r="HB89" s="680"/>
      <c r="HC89" s="680"/>
      <c r="HD89" s="680"/>
      <c r="HE89" s="680"/>
      <c r="HF89" s="680"/>
      <c r="HG89" s="680"/>
      <c r="HH89" s="680"/>
      <c r="HI89" s="680"/>
      <c r="HJ89" s="680"/>
      <c r="HK89" s="680"/>
      <c r="HL89" s="680"/>
      <c r="HM89" s="680"/>
      <c r="HN89" s="680"/>
      <c r="HO89" s="680"/>
      <c r="HP89" s="680"/>
      <c r="HQ89" s="680"/>
      <c r="HR89" s="680"/>
      <c r="HS89" s="680"/>
      <c r="HT89" s="680"/>
      <c r="HU89" s="680"/>
      <c r="HV89" s="680"/>
      <c r="HW89" s="680"/>
      <c r="HX89" s="680"/>
      <c r="HY89" s="680"/>
      <c r="HZ89" s="680"/>
      <c r="IA89" s="680"/>
      <c r="IB89" s="680"/>
      <c r="IC89" s="680"/>
      <c r="ID89" s="680"/>
      <c r="IE89" s="680"/>
      <c r="IF89" s="680"/>
      <c r="IG89" s="680"/>
      <c r="IH89" s="680"/>
      <c r="II89" s="680"/>
      <c r="IJ89" s="680"/>
      <c r="IK89" s="680"/>
      <c r="IL89" s="680"/>
      <c r="IM89" s="680"/>
      <c r="IN89" s="680"/>
      <c r="IO89" s="680"/>
      <c r="IP89" s="680"/>
      <c r="IQ89" s="680"/>
      <c r="IR89" s="680"/>
      <c r="IS89" s="680"/>
      <c r="IT89" s="680"/>
      <c r="IU89" s="680"/>
    </row>
    <row r="90" spans="1:255" s="681" customFormat="1" ht="18" customHeight="1">
      <c r="A90" s="677" t="s">
        <v>688</v>
      </c>
      <c r="B90" s="678"/>
      <c r="C90" s="1146">
        <v>1982.96374745</v>
      </c>
      <c r="D90" s="1146">
        <v>2080.64013548</v>
      </c>
      <c r="E90" s="1146">
        <v>2265.09069331</v>
      </c>
      <c r="F90" s="1146">
        <v>2519.5938716199998</v>
      </c>
      <c r="G90" s="1146">
        <v>1824.1881965</v>
      </c>
      <c r="H90" s="1146">
        <v>1741.92982039</v>
      </c>
      <c r="I90" s="1146">
        <v>1692.1180487399999</v>
      </c>
      <c r="J90" s="1147">
        <v>1689.7515703199999</v>
      </c>
      <c r="K90" s="1147">
        <v>0</v>
      </c>
      <c r="L90" s="1147">
        <v>0</v>
      </c>
      <c r="M90" s="682">
        <v>0</v>
      </c>
      <c r="N90" s="682">
        <v>0</v>
      </c>
      <c r="O90"/>
      <c r="P90" s="832" t="s">
        <v>1681</v>
      </c>
      <c r="Q90" s="678"/>
      <c r="R90" s="678"/>
      <c r="S90" s="678"/>
      <c r="T90" s="678"/>
      <c r="U90" s="678"/>
      <c r="V90" s="678"/>
      <c r="W90" s="678"/>
      <c r="X90" s="678"/>
      <c r="Y90" s="678"/>
      <c r="Z90" s="678"/>
      <c r="AA90" s="678"/>
      <c r="AB90" s="678"/>
      <c r="AC90" s="678"/>
      <c r="AD90" s="678"/>
      <c r="AE90" s="678"/>
      <c r="AF90" s="678"/>
      <c r="AG90" s="678"/>
      <c r="AH90" s="679"/>
      <c r="AI90" s="679"/>
      <c r="AJ90" s="679"/>
      <c r="AK90" s="679"/>
      <c r="AL90" s="679"/>
      <c r="AM90" s="679"/>
      <c r="AN90" s="679"/>
      <c r="AO90" s="679"/>
      <c r="AP90" s="679"/>
      <c r="AQ90" s="679"/>
      <c r="AR90" s="679"/>
      <c r="AS90" s="679"/>
      <c r="AT90" s="679"/>
      <c r="AU90" s="679"/>
      <c r="AV90" s="679"/>
      <c r="AW90" s="679"/>
      <c r="AX90" s="679"/>
      <c r="AY90" s="679"/>
      <c r="AZ90" s="679"/>
      <c r="BA90" s="679"/>
      <c r="BB90" s="679"/>
      <c r="BC90" s="679"/>
      <c r="BD90" s="680"/>
      <c r="BE90" s="680"/>
      <c r="BF90" s="680"/>
      <c r="BG90" s="680"/>
      <c r="BH90" s="680"/>
      <c r="BI90" s="680"/>
      <c r="BJ90" s="680"/>
      <c r="BK90" s="680"/>
      <c r="BL90" s="680"/>
      <c r="BM90" s="680"/>
      <c r="BN90" s="680"/>
      <c r="BO90" s="680"/>
      <c r="BP90" s="680"/>
      <c r="BQ90" s="680"/>
      <c r="BR90" s="680"/>
      <c r="BS90" s="680"/>
      <c r="BT90" s="680"/>
      <c r="BU90" s="680"/>
      <c r="BV90" s="680"/>
      <c r="BW90" s="680"/>
      <c r="BX90" s="680"/>
      <c r="BY90" s="680"/>
      <c r="BZ90" s="680"/>
      <c r="CA90" s="680"/>
      <c r="CB90" s="680"/>
      <c r="CC90" s="680"/>
      <c r="CD90" s="680"/>
      <c r="CE90" s="680"/>
      <c r="CF90" s="680"/>
      <c r="CG90" s="680"/>
      <c r="CH90" s="680"/>
      <c r="CI90" s="680"/>
      <c r="CJ90" s="680"/>
      <c r="CK90" s="680"/>
      <c r="CL90" s="680"/>
      <c r="CM90" s="680"/>
      <c r="CN90" s="680"/>
      <c r="CO90" s="680"/>
      <c r="CP90" s="680"/>
      <c r="CQ90" s="680"/>
      <c r="CR90" s="680"/>
      <c r="CS90" s="680"/>
      <c r="CT90" s="680"/>
      <c r="CU90" s="680"/>
      <c r="CV90" s="680"/>
      <c r="CW90" s="680"/>
      <c r="CX90" s="680"/>
      <c r="CY90" s="680"/>
      <c r="CZ90" s="680"/>
      <c r="DA90" s="680"/>
      <c r="DB90" s="680"/>
      <c r="DC90" s="680"/>
      <c r="DD90" s="680"/>
      <c r="DE90" s="680"/>
      <c r="DF90" s="680"/>
      <c r="DG90" s="680"/>
      <c r="DH90" s="680"/>
      <c r="DI90" s="680"/>
      <c r="DJ90" s="680"/>
      <c r="DK90" s="680"/>
      <c r="DL90" s="680"/>
      <c r="DM90" s="680"/>
      <c r="DN90" s="680"/>
      <c r="DO90" s="680"/>
      <c r="DP90" s="680"/>
      <c r="DQ90" s="680"/>
      <c r="DR90" s="680"/>
      <c r="DS90" s="680"/>
      <c r="DT90" s="680"/>
      <c r="DU90" s="680"/>
      <c r="DV90" s="680"/>
      <c r="DW90" s="680"/>
      <c r="DX90" s="680"/>
      <c r="DY90" s="680"/>
      <c r="DZ90" s="680"/>
      <c r="EA90" s="680"/>
      <c r="EB90" s="680"/>
      <c r="EC90" s="680"/>
      <c r="ED90" s="680"/>
      <c r="EE90" s="680"/>
      <c r="EF90" s="680"/>
      <c r="EG90" s="680"/>
      <c r="EH90" s="680"/>
      <c r="EI90" s="680"/>
      <c r="EJ90" s="680"/>
      <c r="EK90" s="680"/>
      <c r="EL90" s="680"/>
      <c r="EM90" s="680"/>
      <c r="EN90" s="680"/>
      <c r="EO90" s="680"/>
      <c r="EP90" s="680"/>
      <c r="EQ90" s="680"/>
      <c r="ER90" s="680"/>
      <c r="ES90" s="680"/>
      <c r="ET90" s="680"/>
      <c r="EU90" s="680"/>
      <c r="EV90" s="680"/>
      <c r="EW90" s="680"/>
      <c r="EX90" s="680"/>
      <c r="EY90" s="680"/>
      <c r="EZ90" s="680"/>
      <c r="FA90" s="680"/>
      <c r="FB90" s="680"/>
      <c r="FC90" s="680"/>
      <c r="FD90" s="680"/>
      <c r="FE90" s="680"/>
      <c r="FF90" s="680"/>
      <c r="FG90" s="680"/>
      <c r="FH90" s="680"/>
      <c r="FI90" s="680"/>
      <c r="FJ90" s="680"/>
      <c r="FK90" s="680"/>
      <c r="FL90" s="680"/>
      <c r="FM90" s="680"/>
      <c r="FN90" s="680"/>
      <c r="FO90" s="680"/>
      <c r="FP90" s="680"/>
      <c r="FQ90" s="680"/>
      <c r="FR90" s="680"/>
      <c r="FS90" s="680"/>
      <c r="FT90" s="680"/>
      <c r="FU90" s="680"/>
      <c r="FV90" s="680"/>
      <c r="FW90" s="680"/>
      <c r="FX90" s="680"/>
      <c r="FY90" s="680"/>
      <c r="FZ90" s="680"/>
      <c r="GA90" s="680"/>
      <c r="GB90" s="680"/>
      <c r="GC90" s="680"/>
      <c r="GD90" s="680"/>
      <c r="GE90" s="680"/>
      <c r="GF90" s="680"/>
      <c r="GG90" s="680"/>
      <c r="GH90" s="680"/>
      <c r="GI90" s="680"/>
      <c r="GJ90" s="680"/>
      <c r="GK90" s="680"/>
      <c r="GL90" s="680"/>
      <c r="GM90" s="680"/>
      <c r="GN90" s="680"/>
      <c r="GO90" s="680"/>
      <c r="GP90" s="680"/>
      <c r="GQ90" s="680"/>
      <c r="GR90" s="680"/>
      <c r="GS90" s="680"/>
      <c r="GT90" s="680"/>
      <c r="GU90" s="680"/>
      <c r="GV90" s="680"/>
      <c r="GW90" s="680"/>
      <c r="GX90" s="680"/>
      <c r="GY90" s="680"/>
      <c r="GZ90" s="680"/>
      <c r="HA90" s="680"/>
      <c r="HB90" s="680"/>
      <c r="HC90" s="680"/>
      <c r="HD90" s="680"/>
      <c r="HE90" s="680"/>
      <c r="HF90" s="680"/>
      <c r="HG90" s="680"/>
      <c r="HH90" s="680"/>
      <c r="HI90" s="680"/>
      <c r="HJ90" s="680"/>
      <c r="HK90" s="680"/>
      <c r="HL90" s="680"/>
      <c r="HM90" s="680"/>
      <c r="HN90" s="680"/>
      <c r="HO90" s="680"/>
      <c r="HP90" s="680"/>
      <c r="HQ90" s="680"/>
      <c r="HR90" s="680"/>
      <c r="HS90" s="680"/>
      <c r="HT90" s="680"/>
      <c r="HU90" s="680"/>
      <c r="HV90" s="680"/>
      <c r="HW90" s="680"/>
      <c r="HX90" s="680"/>
      <c r="HY90" s="680"/>
      <c r="HZ90" s="680"/>
      <c r="IA90" s="680"/>
      <c r="IB90" s="680"/>
      <c r="IC90" s="680"/>
      <c r="ID90" s="680"/>
      <c r="IE90" s="680"/>
      <c r="IF90" s="680"/>
      <c r="IG90" s="680"/>
      <c r="IH90" s="680"/>
      <c r="II90" s="680"/>
      <c r="IJ90" s="680"/>
      <c r="IK90" s="680"/>
      <c r="IL90" s="680"/>
      <c r="IM90" s="680"/>
      <c r="IN90" s="680"/>
      <c r="IO90" s="680"/>
      <c r="IP90" s="680"/>
      <c r="IQ90" s="680"/>
      <c r="IR90" s="680"/>
      <c r="IS90" s="680"/>
      <c r="IT90" s="680"/>
      <c r="IU90" s="680"/>
    </row>
    <row r="91" spans="1:255" s="681" customFormat="1" ht="18" customHeight="1">
      <c r="A91" s="677" t="s">
        <v>689</v>
      </c>
      <c r="B91" s="678"/>
      <c r="C91" s="1146">
        <v>1441.7348217000001</v>
      </c>
      <c r="D91" s="1146">
        <v>1377.4012742800001</v>
      </c>
      <c r="E91" s="1146">
        <v>2000.4627091500001</v>
      </c>
      <c r="F91" s="1146">
        <v>1852.7776136500001</v>
      </c>
      <c r="G91" s="1146">
        <v>1790.4355490299999</v>
      </c>
      <c r="H91" s="1146">
        <v>1979.68368627</v>
      </c>
      <c r="I91" s="1146">
        <v>2130.94229593</v>
      </c>
      <c r="J91" s="1146">
        <v>1869.43800347</v>
      </c>
      <c r="K91" s="1146">
        <v>0</v>
      </c>
      <c r="L91" s="1146">
        <v>0</v>
      </c>
      <c r="M91" s="678">
        <v>0</v>
      </c>
      <c r="N91" s="678">
        <v>0</v>
      </c>
      <c r="O91"/>
      <c r="P91" s="832" t="s">
        <v>1682</v>
      </c>
      <c r="Q91" s="678"/>
      <c r="R91" s="678"/>
      <c r="S91" s="678"/>
      <c r="T91" s="678"/>
      <c r="U91" s="678"/>
      <c r="V91" s="678"/>
      <c r="W91" s="678"/>
      <c r="X91" s="678"/>
      <c r="Y91" s="678"/>
      <c r="Z91" s="678"/>
      <c r="AA91" s="678"/>
      <c r="AB91" s="678"/>
      <c r="AC91" s="678"/>
      <c r="AD91" s="678"/>
      <c r="AE91" s="678"/>
      <c r="AF91" s="678"/>
      <c r="AG91" s="678"/>
      <c r="AH91" s="679"/>
      <c r="AI91" s="679"/>
      <c r="AJ91" s="679"/>
      <c r="AK91" s="679"/>
      <c r="AL91" s="679"/>
      <c r="AM91" s="679"/>
      <c r="AN91" s="679"/>
      <c r="AO91" s="679"/>
      <c r="AP91" s="679"/>
      <c r="AQ91" s="679"/>
      <c r="AR91" s="679"/>
      <c r="AS91" s="679"/>
      <c r="AT91" s="679"/>
      <c r="AU91" s="679"/>
      <c r="AV91" s="679"/>
      <c r="AW91" s="679"/>
      <c r="AX91" s="679"/>
      <c r="AY91" s="679"/>
      <c r="AZ91" s="679"/>
      <c r="BA91" s="679"/>
      <c r="BB91" s="679"/>
      <c r="BC91" s="679"/>
      <c r="BD91" s="680"/>
      <c r="BE91" s="680"/>
      <c r="BF91" s="680"/>
      <c r="BG91" s="680"/>
      <c r="BH91" s="680"/>
      <c r="BI91" s="680"/>
      <c r="BJ91" s="680"/>
      <c r="BK91" s="680"/>
      <c r="BL91" s="680"/>
      <c r="BM91" s="680"/>
      <c r="BN91" s="680"/>
      <c r="BO91" s="680"/>
      <c r="BP91" s="680"/>
      <c r="BQ91" s="680"/>
      <c r="BR91" s="680"/>
      <c r="BS91" s="680"/>
      <c r="BT91" s="680"/>
      <c r="BU91" s="680"/>
      <c r="BV91" s="680"/>
      <c r="BW91" s="680"/>
      <c r="BX91" s="680"/>
      <c r="BY91" s="680"/>
      <c r="BZ91" s="680"/>
      <c r="CA91" s="680"/>
      <c r="CB91" s="680"/>
      <c r="CC91" s="680"/>
      <c r="CD91" s="680"/>
      <c r="CE91" s="680"/>
      <c r="CF91" s="680"/>
      <c r="CG91" s="680"/>
      <c r="CH91" s="680"/>
      <c r="CI91" s="680"/>
      <c r="CJ91" s="680"/>
      <c r="CK91" s="680"/>
      <c r="CL91" s="680"/>
      <c r="CM91" s="680"/>
      <c r="CN91" s="680"/>
      <c r="CO91" s="680"/>
      <c r="CP91" s="680"/>
      <c r="CQ91" s="680"/>
      <c r="CR91" s="680"/>
      <c r="CS91" s="680"/>
      <c r="CT91" s="680"/>
      <c r="CU91" s="680"/>
      <c r="CV91" s="680"/>
      <c r="CW91" s="680"/>
      <c r="CX91" s="680"/>
      <c r="CY91" s="680"/>
      <c r="CZ91" s="680"/>
      <c r="DA91" s="680"/>
      <c r="DB91" s="680"/>
      <c r="DC91" s="680"/>
      <c r="DD91" s="680"/>
      <c r="DE91" s="680"/>
      <c r="DF91" s="680"/>
      <c r="DG91" s="680"/>
      <c r="DH91" s="680"/>
      <c r="DI91" s="680"/>
      <c r="DJ91" s="680"/>
      <c r="DK91" s="680"/>
      <c r="DL91" s="680"/>
      <c r="DM91" s="680"/>
      <c r="DN91" s="680"/>
      <c r="DO91" s="680"/>
      <c r="DP91" s="680"/>
      <c r="DQ91" s="680"/>
      <c r="DR91" s="680"/>
      <c r="DS91" s="680"/>
      <c r="DT91" s="680"/>
      <c r="DU91" s="680"/>
      <c r="DV91" s="680"/>
      <c r="DW91" s="680"/>
      <c r="DX91" s="680"/>
      <c r="DY91" s="680"/>
      <c r="DZ91" s="680"/>
      <c r="EA91" s="680"/>
      <c r="EB91" s="680"/>
      <c r="EC91" s="680"/>
      <c r="ED91" s="680"/>
      <c r="EE91" s="680"/>
      <c r="EF91" s="680"/>
      <c r="EG91" s="680"/>
      <c r="EH91" s="680"/>
      <c r="EI91" s="680"/>
      <c r="EJ91" s="680"/>
      <c r="EK91" s="680"/>
      <c r="EL91" s="680"/>
      <c r="EM91" s="680"/>
      <c r="EN91" s="680"/>
      <c r="EO91" s="680"/>
      <c r="EP91" s="680"/>
      <c r="EQ91" s="680"/>
      <c r="ER91" s="680"/>
      <c r="ES91" s="680"/>
      <c r="ET91" s="680"/>
      <c r="EU91" s="680"/>
      <c r="EV91" s="680"/>
      <c r="EW91" s="680"/>
      <c r="EX91" s="680"/>
      <c r="EY91" s="680"/>
      <c r="EZ91" s="680"/>
      <c r="FA91" s="680"/>
      <c r="FB91" s="680"/>
      <c r="FC91" s="680"/>
      <c r="FD91" s="680"/>
      <c r="FE91" s="680"/>
      <c r="FF91" s="680"/>
      <c r="FG91" s="680"/>
      <c r="FH91" s="680"/>
      <c r="FI91" s="680"/>
      <c r="FJ91" s="680"/>
      <c r="FK91" s="680"/>
      <c r="FL91" s="680"/>
      <c r="FM91" s="680"/>
      <c r="FN91" s="680"/>
      <c r="FO91" s="680"/>
      <c r="FP91" s="680"/>
      <c r="FQ91" s="680"/>
      <c r="FR91" s="680"/>
      <c r="FS91" s="680"/>
      <c r="FT91" s="680"/>
      <c r="FU91" s="680"/>
      <c r="FV91" s="680"/>
      <c r="FW91" s="680"/>
      <c r="FX91" s="680"/>
      <c r="FY91" s="680"/>
      <c r="FZ91" s="680"/>
      <c r="GA91" s="680"/>
      <c r="GB91" s="680"/>
      <c r="GC91" s="680"/>
      <c r="GD91" s="680"/>
      <c r="GE91" s="680"/>
      <c r="GF91" s="680"/>
      <c r="GG91" s="680"/>
      <c r="GH91" s="680"/>
      <c r="GI91" s="680"/>
      <c r="GJ91" s="680"/>
      <c r="GK91" s="680"/>
      <c r="GL91" s="680"/>
      <c r="GM91" s="680"/>
      <c r="GN91" s="680"/>
      <c r="GO91" s="680"/>
      <c r="GP91" s="680"/>
      <c r="GQ91" s="680"/>
      <c r="GR91" s="680"/>
      <c r="GS91" s="680"/>
      <c r="GT91" s="680"/>
      <c r="GU91" s="680"/>
      <c r="GV91" s="680"/>
      <c r="GW91" s="680"/>
      <c r="GX91" s="680"/>
      <c r="GY91" s="680"/>
      <c r="GZ91" s="680"/>
      <c r="HA91" s="680"/>
      <c r="HB91" s="680"/>
      <c r="HC91" s="680"/>
      <c r="HD91" s="680"/>
      <c r="HE91" s="680"/>
      <c r="HF91" s="680"/>
      <c r="HG91" s="680"/>
      <c r="HH91" s="680"/>
      <c r="HI91" s="680"/>
      <c r="HJ91" s="680"/>
      <c r="HK91" s="680"/>
      <c r="HL91" s="680"/>
      <c r="HM91" s="680"/>
      <c r="HN91" s="680"/>
      <c r="HO91" s="680"/>
      <c r="HP91" s="680"/>
      <c r="HQ91" s="680"/>
      <c r="HR91" s="680"/>
      <c r="HS91" s="680"/>
      <c r="HT91" s="680"/>
      <c r="HU91" s="680"/>
      <c r="HV91" s="680"/>
      <c r="HW91" s="680"/>
      <c r="HX91" s="680"/>
      <c r="HY91" s="680"/>
      <c r="HZ91" s="680"/>
      <c r="IA91" s="680"/>
      <c r="IB91" s="680"/>
      <c r="IC91" s="680"/>
      <c r="ID91" s="680"/>
      <c r="IE91" s="680"/>
      <c r="IF91" s="680"/>
      <c r="IG91" s="680"/>
      <c r="IH91" s="680"/>
      <c r="II91" s="680"/>
      <c r="IJ91" s="680"/>
      <c r="IK91" s="680"/>
      <c r="IL91" s="680"/>
      <c r="IM91" s="680"/>
      <c r="IN91" s="680"/>
      <c r="IO91" s="680"/>
      <c r="IP91" s="680"/>
      <c r="IQ91" s="680"/>
      <c r="IR91" s="680"/>
      <c r="IS91" s="680"/>
      <c r="IT91" s="680"/>
      <c r="IU91" s="680"/>
    </row>
    <row r="92" spans="1:255" s="681" customFormat="1" ht="18" customHeight="1">
      <c r="A92" s="677" t="s">
        <v>690</v>
      </c>
      <c r="B92" s="678"/>
      <c r="C92" s="1146">
        <v>0</v>
      </c>
      <c r="D92" s="1146">
        <v>47.996149000000003</v>
      </c>
      <c r="E92" s="1146">
        <v>47.996149000000003</v>
      </c>
      <c r="F92" s="1146">
        <v>0</v>
      </c>
      <c r="G92" s="1146">
        <v>0</v>
      </c>
      <c r="H92" s="1146">
        <v>0</v>
      </c>
      <c r="I92" s="1146">
        <v>0</v>
      </c>
      <c r="J92" s="1147">
        <v>0</v>
      </c>
      <c r="K92" s="1147">
        <v>0</v>
      </c>
      <c r="L92" s="1147">
        <v>0</v>
      </c>
      <c r="M92" s="682">
        <v>0</v>
      </c>
      <c r="N92" s="682">
        <v>0</v>
      </c>
      <c r="O92"/>
      <c r="P92" s="832" t="s">
        <v>1683</v>
      </c>
      <c r="Q92" s="678"/>
      <c r="R92" s="678"/>
      <c r="S92" s="678"/>
      <c r="T92" s="678"/>
      <c r="U92" s="678"/>
      <c r="V92" s="678"/>
      <c r="W92" s="678"/>
      <c r="X92" s="678"/>
      <c r="Y92" s="678"/>
      <c r="Z92" s="678"/>
      <c r="AA92" s="678"/>
      <c r="AB92" s="678"/>
      <c r="AC92" s="678"/>
      <c r="AD92" s="678"/>
      <c r="AE92" s="678"/>
      <c r="AF92" s="678"/>
      <c r="AG92" s="678"/>
      <c r="AH92" s="679"/>
      <c r="AI92" s="679"/>
      <c r="AJ92" s="679"/>
      <c r="AK92" s="679"/>
      <c r="AL92" s="679"/>
      <c r="AM92" s="679"/>
      <c r="AN92" s="679"/>
      <c r="AO92" s="679"/>
      <c r="AP92" s="679"/>
      <c r="AQ92" s="679"/>
      <c r="AR92" s="679"/>
      <c r="AS92" s="679"/>
      <c r="AT92" s="679"/>
      <c r="AU92" s="679"/>
      <c r="AV92" s="679"/>
      <c r="AW92" s="679"/>
      <c r="AX92" s="679"/>
      <c r="AY92" s="679"/>
      <c r="AZ92" s="679"/>
      <c r="BA92" s="679"/>
      <c r="BB92" s="679"/>
      <c r="BC92" s="679"/>
      <c r="BD92" s="680"/>
      <c r="BE92" s="680"/>
      <c r="BF92" s="680"/>
      <c r="BG92" s="680"/>
      <c r="BH92" s="680"/>
      <c r="BI92" s="680"/>
      <c r="BJ92" s="680"/>
      <c r="BK92" s="680"/>
      <c r="BL92" s="680"/>
      <c r="BM92" s="680"/>
      <c r="BN92" s="680"/>
      <c r="BO92" s="680"/>
      <c r="BP92" s="680"/>
      <c r="BQ92" s="680"/>
      <c r="BR92" s="680"/>
      <c r="BS92" s="680"/>
      <c r="BT92" s="680"/>
      <c r="BU92" s="680"/>
      <c r="BV92" s="680"/>
      <c r="BW92" s="680"/>
      <c r="BX92" s="680"/>
      <c r="BY92" s="680"/>
      <c r="BZ92" s="680"/>
      <c r="CA92" s="680"/>
      <c r="CB92" s="680"/>
      <c r="CC92" s="680"/>
      <c r="CD92" s="680"/>
      <c r="CE92" s="680"/>
      <c r="CF92" s="680"/>
      <c r="CG92" s="680"/>
      <c r="CH92" s="680"/>
      <c r="CI92" s="680"/>
      <c r="CJ92" s="680"/>
      <c r="CK92" s="680"/>
      <c r="CL92" s="680"/>
      <c r="CM92" s="680"/>
      <c r="CN92" s="680"/>
      <c r="CO92" s="680"/>
      <c r="CP92" s="680"/>
      <c r="CQ92" s="680"/>
      <c r="CR92" s="680"/>
      <c r="CS92" s="680"/>
      <c r="CT92" s="680"/>
      <c r="CU92" s="680"/>
      <c r="CV92" s="680"/>
      <c r="CW92" s="680"/>
      <c r="CX92" s="680"/>
      <c r="CY92" s="680"/>
      <c r="CZ92" s="680"/>
      <c r="DA92" s="680"/>
      <c r="DB92" s="680"/>
      <c r="DC92" s="680"/>
      <c r="DD92" s="680"/>
      <c r="DE92" s="680"/>
      <c r="DF92" s="680"/>
      <c r="DG92" s="680"/>
      <c r="DH92" s="680"/>
      <c r="DI92" s="680"/>
      <c r="DJ92" s="680"/>
      <c r="DK92" s="680"/>
      <c r="DL92" s="680"/>
      <c r="DM92" s="680"/>
      <c r="DN92" s="680"/>
      <c r="DO92" s="680"/>
      <c r="DP92" s="680"/>
      <c r="DQ92" s="680"/>
      <c r="DR92" s="680"/>
      <c r="DS92" s="680"/>
      <c r="DT92" s="680"/>
      <c r="DU92" s="680"/>
      <c r="DV92" s="680"/>
      <c r="DW92" s="680"/>
      <c r="DX92" s="680"/>
      <c r="DY92" s="680"/>
      <c r="DZ92" s="680"/>
      <c r="EA92" s="680"/>
      <c r="EB92" s="680"/>
      <c r="EC92" s="680"/>
      <c r="ED92" s="680"/>
      <c r="EE92" s="680"/>
      <c r="EF92" s="680"/>
      <c r="EG92" s="680"/>
      <c r="EH92" s="680"/>
      <c r="EI92" s="680"/>
      <c r="EJ92" s="680"/>
      <c r="EK92" s="680"/>
      <c r="EL92" s="680"/>
      <c r="EM92" s="680"/>
      <c r="EN92" s="680"/>
      <c r="EO92" s="680"/>
      <c r="EP92" s="680"/>
      <c r="EQ92" s="680"/>
      <c r="ER92" s="680"/>
      <c r="ES92" s="680"/>
      <c r="ET92" s="680"/>
      <c r="EU92" s="680"/>
      <c r="EV92" s="680"/>
      <c r="EW92" s="680"/>
      <c r="EX92" s="680"/>
      <c r="EY92" s="680"/>
      <c r="EZ92" s="680"/>
      <c r="FA92" s="680"/>
      <c r="FB92" s="680"/>
      <c r="FC92" s="680"/>
      <c r="FD92" s="680"/>
      <c r="FE92" s="680"/>
      <c r="FF92" s="680"/>
      <c r="FG92" s="680"/>
      <c r="FH92" s="680"/>
      <c r="FI92" s="680"/>
      <c r="FJ92" s="680"/>
      <c r="FK92" s="680"/>
      <c r="FL92" s="680"/>
      <c r="FM92" s="680"/>
      <c r="FN92" s="680"/>
      <c r="FO92" s="680"/>
      <c r="FP92" s="680"/>
      <c r="FQ92" s="680"/>
      <c r="FR92" s="680"/>
      <c r="FS92" s="680"/>
      <c r="FT92" s="680"/>
      <c r="FU92" s="680"/>
      <c r="FV92" s="680"/>
      <c r="FW92" s="680"/>
      <c r="FX92" s="680"/>
      <c r="FY92" s="680"/>
      <c r="FZ92" s="680"/>
      <c r="GA92" s="680"/>
      <c r="GB92" s="680"/>
      <c r="GC92" s="680"/>
      <c r="GD92" s="680"/>
      <c r="GE92" s="680"/>
      <c r="GF92" s="680"/>
      <c r="GG92" s="680"/>
      <c r="GH92" s="680"/>
      <c r="GI92" s="680"/>
      <c r="GJ92" s="680"/>
      <c r="GK92" s="680"/>
      <c r="GL92" s="680"/>
      <c r="GM92" s="680"/>
      <c r="GN92" s="680"/>
      <c r="GO92" s="680"/>
      <c r="GP92" s="680"/>
      <c r="GQ92" s="680"/>
      <c r="GR92" s="680"/>
      <c r="GS92" s="680"/>
      <c r="GT92" s="680"/>
      <c r="GU92" s="680"/>
      <c r="GV92" s="680"/>
      <c r="GW92" s="680"/>
      <c r="GX92" s="680"/>
      <c r="GY92" s="680"/>
      <c r="GZ92" s="680"/>
      <c r="HA92" s="680"/>
      <c r="HB92" s="680"/>
      <c r="HC92" s="680"/>
      <c r="HD92" s="680"/>
      <c r="HE92" s="680"/>
      <c r="HF92" s="680"/>
      <c r="HG92" s="680"/>
      <c r="HH92" s="680"/>
      <c r="HI92" s="680"/>
      <c r="HJ92" s="680"/>
      <c r="HK92" s="680"/>
      <c r="HL92" s="680"/>
      <c r="HM92" s="680"/>
      <c r="HN92" s="680"/>
      <c r="HO92" s="680"/>
      <c r="HP92" s="680"/>
      <c r="HQ92" s="680"/>
      <c r="HR92" s="680"/>
      <c r="HS92" s="680"/>
      <c r="HT92" s="680"/>
      <c r="HU92" s="680"/>
      <c r="HV92" s="680"/>
      <c r="HW92" s="680"/>
      <c r="HX92" s="680"/>
      <c r="HY92" s="680"/>
      <c r="HZ92" s="680"/>
      <c r="IA92" s="680"/>
      <c r="IB92" s="680"/>
      <c r="IC92" s="680"/>
      <c r="ID92" s="680"/>
      <c r="IE92" s="680"/>
      <c r="IF92" s="680"/>
      <c r="IG92" s="680"/>
      <c r="IH92" s="680"/>
      <c r="II92" s="680"/>
      <c r="IJ92" s="680"/>
      <c r="IK92" s="680"/>
      <c r="IL92" s="680"/>
      <c r="IM92" s="680"/>
      <c r="IN92" s="680"/>
      <c r="IO92" s="680"/>
      <c r="IP92" s="680"/>
      <c r="IQ92" s="680"/>
      <c r="IR92" s="680"/>
      <c r="IS92" s="680"/>
      <c r="IT92" s="680"/>
      <c r="IU92" s="680"/>
    </row>
    <row r="93" spans="1:255" s="689" customFormat="1" ht="18" customHeight="1">
      <c r="A93" s="1132" t="s">
        <v>2795</v>
      </c>
      <c r="B93" s="678"/>
      <c r="C93" s="1146">
        <v>342.35697177999998</v>
      </c>
      <c r="D93" s="1146">
        <v>398.60732482999998</v>
      </c>
      <c r="E93" s="1146">
        <v>318.22847135000001</v>
      </c>
      <c r="F93" s="1146">
        <v>250.08003169</v>
      </c>
      <c r="G93" s="1146">
        <v>389.80979294000002</v>
      </c>
      <c r="H93" s="1146">
        <v>399.40844368</v>
      </c>
      <c r="I93" s="1146">
        <v>328.92659122000003</v>
      </c>
      <c r="J93" s="1147">
        <v>307.66499864999997</v>
      </c>
      <c r="K93" s="1147">
        <v>0</v>
      </c>
      <c r="L93" s="1147">
        <v>0</v>
      </c>
      <c r="M93" s="682">
        <v>0</v>
      </c>
      <c r="N93" s="682">
        <v>0</v>
      </c>
      <c r="O93"/>
      <c r="P93" s="832" t="s">
        <v>2847</v>
      </c>
      <c r="Q93" s="686"/>
      <c r="R93" s="686"/>
      <c r="S93" s="686"/>
      <c r="T93" s="686"/>
      <c r="U93" s="686"/>
      <c r="V93" s="686"/>
      <c r="W93" s="686"/>
      <c r="X93" s="686"/>
      <c r="Y93" s="686"/>
      <c r="Z93" s="686"/>
      <c r="AA93" s="686"/>
      <c r="AB93" s="686"/>
      <c r="AC93" s="686"/>
      <c r="AD93" s="686"/>
      <c r="AE93" s="686"/>
      <c r="AF93" s="686"/>
      <c r="AG93" s="686"/>
      <c r="AH93" s="687"/>
      <c r="AI93" s="687"/>
      <c r="AJ93" s="687"/>
      <c r="AK93" s="687"/>
      <c r="AL93" s="687"/>
      <c r="AM93" s="687"/>
      <c r="AN93" s="687"/>
      <c r="AO93" s="687"/>
      <c r="AP93" s="687"/>
      <c r="AQ93" s="687"/>
      <c r="AR93" s="687"/>
      <c r="AS93" s="687"/>
      <c r="AT93" s="687"/>
      <c r="AU93" s="687"/>
      <c r="AV93" s="687"/>
      <c r="AW93" s="687"/>
      <c r="AX93" s="687"/>
      <c r="AY93" s="687"/>
      <c r="AZ93" s="687"/>
      <c r="BA93" s="687"/>
      <c r="BB93" s="687"/>
      <c r="BC93" s="687"/>
      <c r="BD93" s="688"/>
      <c r="BE93" s="688"/>
      <c r="BF93" s="688"/>
      <c r="BG93" s="688"/>
      <c r="BH93" s="688"/>
      <c r="BI93" s="688"/>
      <c r="BJ93" s="688"/>
      <c r="BK93" s="688"/>
      <c r="BL93" s="688"/>
      <c r="BM93" s="688"/>
      <c r="BN93" s="688"/>
      <c r="BO93" s="688"/>
      <c r="BP93" s="688"/>
      <c r="BQ93" s="688"/>
      <c r="BR93" s="688"/>
      <c r="BS93" s="688"/>
      <c r="BT93" s="688"/>
      <c r="BU93" s="688"/>
      <c r="BV93" s="688"/>
      <c r="BW93" s="688"/>
      <c r="BX93" s="688"/>
      <c r="BY93" s="688"/>
      <c r="BZ93" s="688"/>
      <c r="CA93" s="688"/>
      <c r="CB93" s="688"/>
      <c r="CC93" s="688"/>
      <c r="CD93" s="688"/>
      <c r="CE93" s="688"/>
      <c r="CF93" s="688"/>
      <c r="CG93" s="688"/>
      <c r="CH93" s="688"/>
      <c r="CI93" s="688"/>
      <c r="CJ93" s="688"/>
      <c r="CK93" s="688"/>
      <c r="CL93" s="688"/>
      <c r="CM93" s="688"/>
      <c r="CN93" s="688"/>
      <c r="CO93" s="688"/>
      <c r="CP93" s="688"/>
      <c r="CQ93" s="688"/>
      <c r="CR93" s="688"/>
      <c r="CS93" s="688"/>
      <c r="CT93" s="688"/>
      <c r="CU93" s="688"/>
      <c r="CV93" s="688"/>
      <c r="CW93" s="688"/>
      <c r="CX93" s="688"/>
      <c r="CY93" s="688"/>
      <c r="CZ93" s="688"/>
      <c r="DA93" s="688"/>
      <c r="DB93" s="688"/>
      <c r="DC93" s="688"/>
      <c r="DD93" s="688"/>
      <c r="DE93" s="688"/>
      <c r="DF93" s="688"/>
      <c r="DG93" s="688"/>
      <c r="DH93" s="688"/>
      <c r="DI93" s="688"/>
      <c r="DJ93" s="688"/>
      <c r="DK93" s="688"/>
      <c r="DL93" s="688"/>
      <c r="DM93" s="688"/>
      <c r="DN93" s="688"/>
      <c r="DO93" s="688"/>
      <c r="DP93" s="688"/>
      <c r="DQ93" s="688"/>
      <c r="DR93" s="688"/>
      <c r="DS93" s="688"/>
      <c r="DT93" s="688"/>
      <c r="DU93" s="688"/>
      <c r="DV93" s="688"/>
      <c r="DW93" s="688"/>
      <c r="DX93" s="688"/>
      <c r="DY93" s="688"/>
      <c r="DZ93" s="688"/>
      <c r="EA93" s="688"/>
      <c r="EB93" s="688"/>
      <c r="EC93" s="688"/>
      <c r="ED93" s="688"/>
      <c r="EE93" s="688"/>
      <c r="EF93" s="688"/>
      <c r="EG93" s="688"/>
      <c r="EH93" s="688"/>
      <c r="EI93" s="688"/>
      <c r="EJ93" s="688"/>
      <c r="EK93" s="688"/>
      <c r="EL93" s="688"/>
      <c r="EM93" s="688"/>
      <c r="EN93" s="688"/>
      <c r="EO93" s="688"/>
      <c r="EP93" s="688"/>
      <c r="EQ93" s="688"/>
      <c r="ER93" s="688"/>
      <c r="ES93" s="688"/>
      <c r="ET93" s="688"/>
      <c r="EU93" s="688"/>
      <c r="EV93" s="688"/>
      <c r="EW93" s="688"/>
      <c r="EX93" s="688"/>
      <c r="EY93" s="688"/>
      <c r="EZ93" s="688"/>
      <c r="FA93" s="688"/>
      <c r="FB93" s="688"/>
      <c r="FC93" s="688"/>
      <c r="FD93" s="688"/>
      <c r="FE93" s="688"/>
      <c r="FF93" s="688"/>
      <c r="FG93" s="688"/>
      <c r="FH93" s="688"/>
      <c r="FI93" s="688"/>
      <c r="FJ93" s="688"/>
      <c r="FK93" s="688"/>
      <c r="FL93" s="688"/>
      <c r="FM93" s="688"/>
      <c r="FN93" s="688"/>
      <c r="FO93" s="688"/>
      <c r="FP93" s="688"/>
      <c r="FQ93" s="688"/>
      <c r="FR93" s="688"/>
      <c r="FS93" s="688"/>
      <c r="FT93" s="688"/>
      <c r="FU93" s="688"/>
      <c r="FV93" s="688"/>
      <c r="FW93" s="688"/>
      <c r="FX93" s="688"/>
      <c r="FY93" s="688"/>
      <c r="FZ93" s="688"/>
      <c r="GA93" s="688"/>
      <c r="GB93" s="688"/>
      <c r="GC93" s="688"/>
      <c r="GD93" s="688"/>
      <c r="GE93" s="688"/>
      <c r="GF93" s="688"/>
      <c r="GG93" s="688"/>
      <c r="GH93" s="688"/>
      <c r="GI93" s="688"/>
      <c r="GJ93" s="688"/>
      <c r="GK93" s="688"/>
      <c r="GL93" s="688"/>
      <c r="GM93" s="688"/>
      <c r="GN93" s="688"/>
      <c r="GO93" s="688"/>
      <c r="GP93" s="688"/>
      <c r="GQ93" s="688"/>
      <c r="GR93" s="688"/>
      <c r="GS93" s="688"/>
      <c r="GT93" s="688"/>
      <c r="GU93" s="688"/>
      <c r="GV93" s="688"/>
      <c r="GW93" s="688"/>
      <c r="GX93" s="688"/>
      <c r="GY93" s="688"/>
      <c r="GZ93" s="688"/>
      <c r="HA93" s="688"/>
      <c r="HB93" s="688"/>
      <c r="HC93" s="688"/>
      <c r="HD93" s="688"/>
      <c r="HE93" s="688"/>
      <c r="HF93" s="688"/>
      <c r="HG93" s="688"/>
      <c r="HH93" s="688"/>
      <c r="HI93" s="688"/>
      <c r="HJ93" s="688"/>
      <c r="HK93" s="688"/>
      <c r="HL93" s="688"/>
      <c r="HM93" s="688"/>
      <c r="HN93" s="688"/>
      <c r="HO93" s="688"/>
      <c r="HP93" s="688"/>
      <c r="HQ93" s="688"/>
      <c r="HR93" s="688"/>
      <c r="HS93" s="688"/>
      <c r="HT93" s="688"/>
      <c r="HU93" s="688"/>
      <c r="HV93" s="688"/>
      <c r="HW93" s="688"/>
      <c r="HX93" s="688"/>
      <c r="HY93" s="688"/>
      <c r="HZ93" s="688"/>
      <c r="IA93" s="688"/>
      <c r="IB93" s="688"/>
      <c r="IC93" s="688"/>
      <c r="ID93" s="688"/>
      <c r="IE93" s="688"/>
      <c r="IF93" s="688"/>
      <c r="IG93" s="688"/>
      <c r="IH93" s="688"/>
      <c r="II93" s="688"/>
      <c r="IJ93" s="688"/>
      <c r="IK93" s="688"/>
      <c r="IL93" s="688"/>
      <c r="IM93" s="688"/>
      <c r="IN93" s="688"/>
      <c r="IO93" s="688"/>
      <c r="IP93" s="688"/>
      <c r="IQ93" s="688"/>
      <c r="IR93" s="688"/>
      <c r="IS93" s="688"/>
      <c r="IT93" s="688"/>
      <c r="IU93" s="688"/>
    </row>
    <row r="94" spans="1:255" ht="18" customHeight="1">
      <c r="A94" s="677" t="s">
        <v>691</v>
      </c>
      <c r="B94" s="678"/>
      <c r="C94" s="1146">
        <v>131.00957848000002</v>
      </c>
      <c r="D94" s="1146">
        <v>87.099797390000006</v>
      </c>
      <c r="E94" s="1146">
        <v>95.302293290000009</v>
      </c>
      <c r="F94" s="1146">
        <v>99.782576800000001</v>
      </c>
      <c r="G94" s="1146">
        <v>103.80260558000001</v>
      </c>
      <c r="H94" s="1146">
        <v>84.965676189999996</v>
      </c>
      <c r="I94" s="1146">
        <v>103.59357067000001</v>
      </c>
      <c r="J94" s="1146">
        <v>120.01710851999999</v>
      </c>
      <c r="K94" s="1146">
        <v>0</v>
      </c>
      <c r="L94" s="1146">
        <v>0</v>
      </c>
      <c r="M94" s="678">
        <v>0</v>
      </c>
      <c r="N94" s="678">
        <v>0</v>
      </c>
      <c r="O94"/>
      <c r="P94" s="832" t="s">
        <v>1684</v>
      </c>
      <c r="Q94" s="561"/>
      <c r="R94" s="561"/>
      <c r="S94" s="561"/>
      <c r="T94" s="562"/>
      <c r="U94" s="561"/>
      <c r="V94" s="561"/>
      <c r="W94" s="561"/>
      <c r="X94" s="561"/>
      <c r="Y94" s="561"/>
      <c r="Z94" s="561"/>
      <c r="AA94" s="561"/>
      <c r="AB94" s="561"/>
      <c r="AC94" s="561"/>
      <c r="AD94" s="561"/>
      <c r="AE94" s="561"/>
      <c r="AF94" s="561"/>
      <c r="AG94" s="561"/>
      <c r="AH94" s="567"/>
      <c r="AI94" s="567"/>
      <c r="AJ94" s="567"/>
      <c r="AK94" s="567"/>
      <c r="AL94" s="567"/>
      <c r="AM94" s="567"/>
      <c r="AN94" s="567"/>
      <c r="AO94" s="567"/>
      <c r="AP94" s="567"/>
      <c r="AQ94" s="567"/>
      <c r="AR94" s="567"/>
      <c r="AS94" s="567"/>
      <c r="AT94" s="567"/>
      <c r="AU94" s="567"/>
      <c r="AV94" s="567"/>
      <c r="AW94" s="567"/>
      <c r="AX94" s="567"/>
      <c r="AY94" s="567"/>
      <c r="AZ94" s="567"/>
      <c r="BA94" s="567"/>
      <c r="BB94" s="567"/>
      <c r="BC94" s="567"/>
      <c r="BD94" s="568"/>
      <c r="BE94" s="568"/>
      <c r="BF94" s="568"/>
      <c r="BG94" s="568"/>
      <c r="BH94" s="568"/>
      <c r="BI94" s="568"/>
      <c r="BJ94" s="568"/>
      <c r="BK94" s="568"/>
      <c r="BL94" s="568"/>
      <c r="BM94" s="568"/>
      <c r="BN94" s="568"/>
      <c r="BO94" s="568"/>
      <c r="BP94" s="568"/>
      <c r="BQ94" s="568"/>
      <c r="BR94" s="568"/>
      <c r="BS94" s="568"/>
      <c r="BT94" s="568"/>
      <c r="BU94" s="568"/>
      <c r="BV94" s="568"/>
      <c r="BW94" s="568"/>
      <c r="BX94" s="568"/>
      <c r="BY94" s="568"/>
      <c r="BZ94" s="568"/>
      <c r="CA94" s="568"/>
      <c r="CB94" s="568"/>
      <c r="CC94" s="568"/>
      <c r="CD94" s="568"/>
      <c r="CE94" s="568"/>
      <c r="CF94" s="568"/>
      <c r="CG94" s="568"/>
      <c r="CH94" s="568"/>
      <c r="CI94" s="568"/>
      <c r="CJ94" s="568"/>
      <c r="CK94" s="568"/>
      <c r="CL94" s="568"/>
      <c r="CM94" s="568"/>
      <c r="CN94" s="568"/>
      <c r="CO94" s="568"/>
      <c r="CP94" s="568"/>
      <c r="CQ94" s="568"/>
      <c r="CR94" s="568"/>
      <c r="CS94" s="568"/>
      <c r="CT94" s="568"/>
      <c r="CU94" s="568"/>
      <c r="CV94" s="568"/>
      <c r="CW94" s="568"/>
      <c r="CX94" s="568"/>
      <c r="CY94" s="568"/>
      <c r="CZ94" s="568"/>
      <c r="DA94" s="568"/>
      <c r="DB94" s="568"/>
      <c r="DC94" s="568"/>
      <c r="DD94" s="568"/>
      <c r="DE94" s="568"/>
      <c r="DF94" s="568"/>
      <c r="DG94" s="568"/>
      <c r="DH94" s="568"/>
      <c r="DI94" s="568"/>
      <c r="DJ94" s="568"/>
      <c r="DK94" s="568"/>
      <c r="DL94" s="568"/>
      <c r="DM94" s="568"/>
      <c r="DN94" s="568"/>
      <c r="DO94" s="568"/>
      <c r="DP94" s="568"/>
      <c r="DQ94" s="568"/>
      <c r="DR94" s="568"/>
      <c r="DS94" s="568"/>
      <c r="DT94" s="568"/>
      <c r="DU94" s="568"/>
      <c r="DV94" s="568"/>
      <c r="DW94" s="568"/>
      <c r="DX94" s="568"/>
      <c r="DY94" s="568"/>
      <c r="DZ94" s="568"/>
      <c r="EA94" s="568"/>
      <c r="EB94" s="568"/>
      <c r="EC94" s="568"/>
      <c r="ED94" s="568"/>
      <c r="EE94" s="568"/>
      <c r="EF94" s="568"/>
      <c r="EG94" s="568"/>
      <c r="EH94" s="568"/>
      <c r="EI94" s="568"/>
      <c r="EJ94" s="568"/>
      <c r="EK94" s="568"/>
      <c r="EL94" s="568"/>
      <c r="EM94" s="568"/>
      <c r="EN94" s="568"/>
      <c r="EO94" s="568"/>
      <c r="EP94" s="568"/>
      <c r="EQ94" s="568"/>
      <c r="ER94" s="568"/>
      <c r="ES94" s="568"/>
      <c r="ET94" s="568"/>
      <c r="EU94" s="568"/>
      <c r="EV94" s="568"/>
      <c r="EW94" s="568"/>
      <c r="EX94" s="568"/>
      <c r="EY94" s="568"/>
      <c r="EZ94" s="568"/>
      <c r="FA94" s="568"/>
      <c r="FB94" s="568"/>
      <c r="FC94" s="568"/>
      <c r="FD94" s="568"/>
      <c r="FE94" s="568"/>
      <c r="FF94" s="568"/>
      <c r="FG94" s="568"/>
      <c r="FH94" s="568"/>
      <c r="FI94" s="568"/>
      <c r="FJ94" s="568"/>
      <c r="FK94" s="568"/>
      <c r="FL94" s="568"/>
      <c r="FM94" s="568"/>
      <c r="FN94" s="568"/>
      <c r="FO94" s="568"/>
      <c r="FP94" s="568"/>
      <c r="FQ94" s="568"/>
      <c r="FR94" s="568"/>
      <c r="FS94" s="568"/>
      <c r="FT94" s="568"/>
      <c r="FU94" s="568"/>
      <c r="FV94" s="568"/>
      <c r="FW94" s="568"/>
      <c r="FX94" s="568"/>
      <c r="FY94" s="568"/>
      <c r="FZ94" s="568"/>
      <c r="GA94" s="568"/>
      <c r="GB94" s="568"/>
      <c r="GC94" s="568"/>
      <c r="GD94" s="568"/>
      <c r="GE94" s="568"/>
      <c r="GF94" s="568"/>
      <c r="GG94" s="568"/>
      <c r="GH94" s="568"/>
      <c r="GI94" s="568"/>
      <c r="GJ94" s="568"/>
      <c r="GK94" s="568"/>
      <c r="GL94" s="568"/>
      <c r="GM94" s="568"/>
      <c r="GN94" s="568"/>
      <c r="GO94" s="568"/>
      <c r="GP94" s="568"/>
      <c r="GQ94" s="568"/>
      <c r="GR94" s="568"/>
      <c r="GS94" s="568"/>
      <c r="GT94" s="568"/>
      <c r="GU94" s="568"/>
      <c r="GV94" s="568"/>
      <c r="GW94" s="568"/>
      <c r="GX94" s="568"/>
      <c r="GY94" s="568"/>
      <c r="GZ94" s="568"/>
      <c r="HA94" s="568"/>
      <c r="HB94" s="568"/>
      <c r="HC94" s="568"/>
      <c r="HD94" s="568"/>
      <c r="HE94" s="568"/>
      <c r="HF94" s="568"/>
      <c r="HG94" s="568"/>
      <c r="HH94" s="568"/>
      <c r="HI94" s="568"/>
      <c r="HJ94" s="568"/>
      <c r="HK94" s="568"/>
      <c r="HL94" s="568"/>
      <c r="HM94" s="568"/>
      <c r="HN94" s="568"/>
      <c r="HO94" s="568"/>
      <c r="HP94" s="568"/>
      <c r="HQ94" s="568"/>
      <c r="HR94" s="568"/>
      <c r="HS94" s="568"/>
      <c r="HT94" s="568"/>
      <c r="HU94" s="568"/>
      <c r="HV94" s="568"/>
      <c r="HW94" s="568"/>
      <c r="HX94" s="568"/>
      <c r="HY94" s="568"/>
      <c r="HZ94" s="568"/>
      <c r="IA94" s="568"/>
      <c r="IB94" s="568"/>
      <c r="IC94" s="568"/>
      <c r="ID94" s="568"/>
      <c r="IE94" s="568"/>
      <c r="IF94" s="568"/>
      <c r="IG94" s="568"/>
      <c r="IH94" s="568"/>
      <c r="II94" s="568"/>
      <c r="IJ94" s="568"/>
      <c r="IK94" s="568"/>
      <c r="IL94" s="568"/>
      <c r="IM94" s="568"/>
      <c r="IN94" s="568"/>
      <c r="IO94" s="568"/>
      <c r="IP94" s="568"/>
      <c r="IQ94" s="568"/>
      <c r="IR94" s="568"/>
      <c r="IS94" s="568"/>
      <c r="IT94" s="568"/>
      <c r="IU94" s="568"/>
    </row>
    <row r="95" spans="1:255" ht="18" customHeight="1">
      <c r="A95" s="677" t="s">
        <v>692</v>
      </c>
      <c r="B95" s="678"/>
      <c r="C95" s="1146">
        <v>0</v>
      </c>
      <c r="D95" s="1146">
        <v>0</v>
      </c>
      <c r="E95" s="1146">
        <v>0</v>
      </c>
      <c r="F95" s="1146">
        <v>0</v>
      </c>
      <c r="G95" s="1146">
        <v>0</v>
      </c>
      <c r="H95" s="1146">
        <v>0</v>
      </c>
      <c r="I95" s="1146">
        <v>0</v>
      </c>
      <c r="J95" s="1146">
        <v>0</v>
      </c>
      <c r="K95" s="1146">
        <v>0</v>
      </c>
      <c r="L95" s="1146">
        <v>0</v>
      </c>
      <c r="M95" s="678">
        <v>0</v>
      </c>
      <c r="N95" s="678">
        <v>0</v>
      </c>
      <c r="O95"/>
      <c r="P95" s="832" t="s">
        <v>1687</v>
      </c>
      <c r="Q95" s="561"/>
      <c r="R95" s="561"/>
      <c r="S95" s="561"/>
      <c r="T95" s="561"/>
      <c r="U95" s="561"/>
      <c r="V95" s="561"/>
      <c r="W95" s="561"/>
      <c r="X95" s="561"/>
      <c r="Y95" s="561"/>
      <c r="Z95" s="561"/>
      <c r="AA95" s="561"/>
      <c r="AB95" s="561"/>
      <c r="AC95" s="561"/>
      <c r="AD95" s="561"/>
      <c r="AE95" s="561"/>
      <c r="AF95" s="561"/>
      <c r="AG95" s="561"/>
      <c r="AH95" s="567"/>
      <c r="AI95" s="567"/>
      <c r="AJ95" s="567"/>
      <c r="AK95" s="567"/>
      <c r="AL95" s="567"/>
      <c r="AM95" s="567"/>
      <c r="AN95" s="567"/>
      <c r="AO95" s="567"/>
      <c r="AP95" s="567"/>
      <c r="AQ95" s="567"/>
      <c r="AR95" s="567"/>
      <c r="AS95" s="567"/>
      <c r="AT95" s="567"/>
      <c r="AU95" s="567"/>
      <c r="AV95" s="567"/>
      <c r="AW95" s="567"/>
      <c r="AX95" s="567"/>
      <c r="AY95" s="567"/>
      <c r="AZ95" s="567"/>
      <c r="BA95" s="567"/>
      <c r="BB95" s="567"/>
      <c r="BC95" s="567"/>
      <c r="BD95" s="568"/>
      <c r="BE95" s="568"/>
      <c r="BF95" s="568"/>
      <c r="BG95" s="568"/>
      <c r="BH95" s="568"/>
      <c r="BI95" s="568"/>
      <c r="BJ95" s="568"/>
      <c r="BK95" s="568"/>
      <c r="BL95" s="568"/>
      <c r="BM95" s="568"/>
      <c r="BN95" s="568"/>
      <c r="BO95" s="568"/>
      <c r="BP95" s="568"/>
      <c r="BQ95" s="568"/>
      <c r="BR95" s="568"/>
      <c r="BS95" s="568"/>
      <c r="BT95" s="568"/>
      <c r="BU95" s="568"/>
      <c r="BV95" s="568"/>
      <c r="BW95" s="568"/>
      <c r="BX95" s="568"/>
      <c r="BY95" s="568"/>
      <c r="BZ95" s="568"/>
      <c r="CA95" s="568"/>
      <c r="CB95" s="568"/>
      <c r="CC95" s="568"/>
      <c r="CD95" s="568"/>
      <c r="CE95" s="568"/>
      <c r="CF95" s="568"/>
      <c r="CG95" s="568"/>
      <c r="CH95" s="568"/>
      <c r="CI95" s="568"/>
      <c r="CJ95" s="568"/>
      <c r="CK95" s="568"/>
      <c r="CL95" s="568"/>
      <c r="CM95" s="568"/>
      <c r="CN95" s="568"/>
      <c r="CO95" s="568"/>
      <c r="CP95" s="568"/>
      <c r="CQ95" s="568"/>
      <c r="CR95" s="568"/>
      <c r="CS95" s="568"/>
      <c r="CT95" s="568"/>
      <c r="CU95" s="568"/>
      <c r="CV95" s="568"/>
      <c r="CW95" s="568"/>
      <c r="CX95" s="568"/>
      <c r="CY95" s="568"/>
      <c r="CZ95" s="568"/>
      <c r="DA95" s="568"/>
      <c r="DB95" s="568"/>
      <c r="DC95" s="568"/>
      <c r="DD95" s="568"/>
      <c r="DE95" s="568"/>
      <c r="DF95" s="568"/>
      <c r="DG95" s="568"/>
      <c r="DH95" s="568"/>
      <c r="DI95" s="568"/>
      <c r="DJ95" s="568"/>
      <c r="DK95" s="568"/>
      <c r="DL95" s="568"/>
      <c r="DM95" s="568"/>
      <c r="DN95" s="568"/>
      <c r="DO95" s="568"/>
      <c r="DP95" s="568"/>
      <c r="DQ95" s="568"/>
      <c r="DR95" s="568"/>
      <c r="DS95" s="568"/>
      <c r="DT95" s="568"/>
      <c r="DU95" s="568"/>
      <c r="DV95" s="568"/>
      <c r="DW95" s="568"/>
      <c r="DX95" s="568"/>
      <c r="DY95" s="568"/>
      <c r="DZ95" s="568"/>
      <c r="EA95" s="568"/>
      <c r="EB95" s="568"/>
      <c r="EC95" s="568"/>
      <c r="ED95" s="568"/>
      <c r="EE95" s="568"/>
      <c r="EF95" s="568"/>
      <c r="EG95" s="568"/>
      <c r="EH95" s="568"/>
      <c r="EI95" s="568"/>
      <c r="EJ95" s="568"/>
      <c r="EK95" s="568"/>
      <c r="EL95" s="568"/>
      <c r="EM95" s="568"/>
      <c r="EN95" s="568"/>
      <c r="EO95" s="568"/>
      <c r="EP95" s="568"/>
      <c r="EQ95" s="568"/>
      <c r="ER95" s="568"/>
      <c r="ES95" s="568"/>
      <c r="ET95" s="568"/>
      <c r="EU95" s="568"/>
      <c r="EV95" s="568"/>
      <c r="EW95" s="568"/>
      <c r="EX95" s="568"/>
      <c r="EY95" s="568"/>
      <c r="EZ95" s="568"/>
      <c r="FA95" s="568"/>
      <c r="FB95" s="568"/>
      <c r="FC95" s="568"/>
      <c r="FD95" s="568"/>
      <c r="FE95" s="568"/>
      <c r="FF95" s="568"/>
      <c r="FG95" s="568"/>
      <c r="FH95" s="568"/>
      <c r="FI95" s="568"/>
      <c r="FJ95" s="568"/>
      <c r="FK95" s="568"/>
      <c r="FL95" s="568"/>
      <c r="FM95" s="568"/>
      <c r="FN95" s="568"/>
      <c r="FO95" s="568"/>
      <c r="FP95" s="568"/>
      <c r="FQ95" s="568"/>
      <c r="FR95" s="568"/>
      <c r="FS95" s="568"/>
      <c r="FT95" s="568"/>
      <c r="FU95" s="568"/>
      <c r="FV95" s="568"/>
      <c r="FW95" s="568"/>
      <c r="FX95" s="568"/>
      <c r="FY95" s="568"/>
      <c r="FZ95" s="568"/>
      <c r="GA95" s="568"/>
      <c r="GB95" s="568"/>
      <c r="GC95" s="568"/>
      <c r="GD95" s="568"/>
      <c r="GE95" s="568"/>
      <c r="GF95" s="568"/>
      <c r="GG95" s="568"/>
      <c r="GH95" s="568"/>
      <c r="GI95" s="568"/>
      <c r="GJ95" s="568"/>
      <c r="GK95" s="568"/>
      <c r="GL95" s="568"/>
      <c r="GM95" s="568"/>
      <c r="GN95" s="568"/>
      <c r="GO95" s="568"/>
      <c r="GP95" s="568"/>
      <c r="GQ95" s="568"/>
      <c r="GR95" s="568"/>
      <c r="GS95" s="568"/>
      <c r="GT95" s="568"/>
      <c r="GU95" s="568"/>
      <c r="GV95" s="568"/>
      <c r="GW95" s="568"/>
      <c r="GX95" s="568"/>
      <c r="GY95" s="568"/>
      <c r="GZ95" s="568"/>
      <c r="HA95" s="568"/>
      <c r="HB95" s="568"/>
      <c r="HC95" s="568"/>
      <c r="HD95" s="568"/>
      <c r="HE95" s="568"/>
      <c r="HF95" s="568"/>
      <c r="HG95" s="568"/>
      <c r="HH95" s="568"/>
      <c r="HI95" s="568"/>
      <c r="HJ95" s="568"/>
      <c r="HK95" s="568"/>
      <c r="HL95" s="568"/>
      <c r="HM95" s="568"/>
      <c r="HN95" s="568"/>
      <c r="HO95" s="568"/>
      <c r="HP95" s="568"/>
      <c r="HQ95" s="568"/>
      <c r="HR95" s="568"/>
      <c r="HS95" s="568"/>
      <c r="HT95" s="568"/>
      <c r="HU95" s="568"/>
      <c r="HV95" s="568"/>
      <c r="HW95" s="568"/>
      <c r="HX95" s="568"/>
      <c r="HY95" s="568"/>
      <c r="HZ95" s="568"/>
      <c r="IA95" s="568"/>
      <c r="IB95" s="568"/>
      <c r="IC95" s="568"/>
      <c r="ID95" s="568"/>
      <c r="IE95" s="568"/>
      <c r="IF95" s="568"/>
      <c r="IG95" s="568"/>
      <c r="IH95" s="568"/>
      <c r="II95" s="568"/>
      <c r="IJ95" s="568"/>
      <c r="IK95" s="568"/>
      <c r="IL95" s="568"/>
      <c r="IM95" s="568"/>
      <c r="IN95" s="568"/>
      <c r="IO95" s="568"/>
      <c r="IP95" s="568"/>
      <c r="IQ95" s="568"/>
      <c r="IR95" s="568"/>
      <c r="IS95" s="568"/>
      <c r="IT95" s="568"/>
      <c r="IU95" s="568"/>
    </row>
    <row r="96" spans="1:255" ht="18" customHeight="1">
      <c r="A96" s="677" t="s">
        <v>693</v>
      </c>
      <c r="B96" s="678"/>
      <c r="C96" s="1146">
        <v>74.914306089999997</v>
      </c>
      <c r="D96" s="1146">
        <v>99.600320719999999</v>
      </c>
      <c r="E96" s="1146">
        <v>94.71335809</v>
      </c>
      <c r="F96" s="1146">
        <v>72.513922620000002</v>
      </c>
      <c r="G96" s="1146">
        <v>48.82855043</v>
      </c>
      <c r="H96" s="1146">
        <v>73.690239689999999</v>
      </c>
      <c r="I96" s="1146">
        <v>69.325299860000001</v>
      </c>
      <c r="J96" s="1146">
        <v>32.30817201</v>
      </c>
      <c r="K96" s="1146">
        <v>0</v>
      </c>
      <c r="L96" s="1146">
        <v>0</v>
      </c>
      <c r="M96" s="678">
        <v>0</v>
      </c>
      <c r="N96" s="678">
        <v>0</v>
      </c>
      <c r="O96"/>
      <c r="P96" s="832" t="s">
        <v>1685</v>
      </c>
      <c r="Q96" s="561"/>
      <c r="R96" s="561"/>
      <c r="S96" s="561"/>
      <c r="T96" s="562"/>
      <c r="U96" s="561"/>
      <c r="V96" s="561"/>
      <c r="W96" s="561"/>
      <c r="X96" s="561"/>
      <c r="Y96" s="561"/>
      <c r="Z96" s="561"/>
      <c r="AA96" s="561"/>
      <c r="AB96" s="561"/>
      <c r="AC96" s="561"/>
      <c r="AD96" s="561"/>
      <c r="AE96" s="561"/>
      <c r="AF96" s="561"/>
      <c r="AG96" s="561"/>
      <c r="AH96" s="567"/>
      <c r="AI96" s="567"/>
      <c r="AJ96" s="567"/>
      <c r="AK96" s="567"/>
      <c r="AL96" s="567"/>
      <c r="AM96" s="567"/>
      <c r="AN96" s="567"/>
      <c r="AO96" s="567"/>
      <c r="AP96" s="567"/>
      <c r="AQ96" s="567"/>
      <c r="AR96" s="567"/>
      <c r="AS96" s="567"/>
      <c r="AT96" s="567"/>
      <c r="AU96" s="567"/>
      <c r="AV96" s="567"/>
      <c r="AW96" s="567"/>
      <c r="AX96" s="567"/>
      <c r="AY96" s="567"/>
      <c r="AZ96" s="567"/>
      <c r="BA96" s="567"/>
      <c r="BB96" s="567"/>
      <c r="BC96" s="567"/>
      <c r="BD96" s="568"/>
      <c r="BE96" s="568"/>
      <c r="BF96" s="568"/>
      <c r="BG96" s="568"/>
      <c r="BH96" s="568"/>
      <c r="BI96" s="568"/>
      <c r="BJ96" s="568"/>
      <c r="BK96" s="568"/>
      <c r="BL96" s="568"/>
      <c r="BM96" s="568"/>
      <c r="BN96" s="568"/>
      <c r="BO96" s="568"/>
      <c r="BP96" s="568"/>
      <c r="BQ96" s="568"/>
      <c r="BR96" s="568"/>
      <c r="BS96" s="568"/>
      <c r="BT96" s="568"/>
      <c r="BU96" s="568"/>
      <c r="BV96" s="568"/>
      <c r="BW96" s="568"/>
      <c r="BX96" s="568"/>
      <c r="BY96" s="568"/>
      <c r="BZ96" s="568"/>
      <c r="CA96" s="568"/>
      <c r="CB96" s="568"/>
      <c r="CC96" s="568"/>
      <c r="CD96" s="568"/>
      <c r="CE96" s="568"/>
      <c r="CF96" s="568"/>
      <c r="CG96" s="568"/>
      <c r="CH96" s="568"/>
      <c r="CI96" s="568"/>
      <c r="CJ96" s="568"/>
      <c r="CK96" s="568"/>
      <c r="CL96" s="568"/>
      <c r="CM96" s="568"/>
      <c r="CN96" s="568"/>
      <c r="CO96" s="568"/>
      <c r="CP96" s="568"/>
      <c r="CQ96" s="568"/>
      <c r="CR96" s="568"/>
      <c r="CS96" s="568"/>
      <c r="CT96" s="568"/>
      <c r="CU96" s="568"/>
      <c r="CV96" s="568"/>
      <c r="CW96" s="568"/>
      <c r="CX96" s="568"/>
      <c r="CY96" s="568"/>
      <c r="CZ96" s="568"/>
      <c r="DA96" s="568"/>
      <c r="DB96" s="568"/>
      <c r="DC96" s="568"/>
      <c r="DD96" s="568"/>
      <c r="DE96" s="568"/>
      <c r="DF96" s="568"/>
      <c r="DG96" s="568"/>
      <c r="DH96" s="568"/>
      <c r="DI96" s="568"/>
      <c r="DJ96" s="568"/>
      <c r="DK96" s="568"/>
      <c r="DL96" s="568"/>
      <c r="DM96" s="568"/>
      <c r="DN96" s="568"/>
      <c r="DO96" s="568"/>
      <c r="DP96" s="568"/>
      <c r="DQ96" s="568"/>
      <c r="DR96" s="568"/>
      <c r="DS96" s="568"/>
      <c r="DT96" s="568"/>
      <c r="DU96" s="568"/>
      <c r="DV96" s="568"/>
      <c r="DW96" s="568"/>
      <c r="DX96" s="568"/>
      <c r="DY96" s="568"/>
      <c r="DZ96" s="568"/>
      <c r="EA96" s="568"/>
      <c r="EB96" s="568"/>
      <c r="EC96" s="568"/>
      <c r="ED96" s="568"/>
      <c r="EE96" s="568"/>
      <c r="EF96" s="568"/>
      <c r="EG96" s="568"/>
      <c r="EH96" s="568"/>
      <c r="EI96" s="568"/>
      <c r="EJ96" s="568"/>
      <c r="EK96" s="568"/>
      <c r="EL96" s="568"/>
      <c r="EM96" s="568"/>
      <c r="EN96" s="568"/>
      <c r="EO96" s="568"/>
      <c r="EP96" s="568"/>
      <c r="EQ96" s="568"/>
      <c r="ER96" s="568"/>
      <c r="ES96" s="568"/>
      <c r="ET96" s="568"/>
      <c r="EU96" s="568"/>
      <c r="EV96" s="568"/>
      <c r="EW96" s="568"/>
      <c r="EX96" s="568"/>
      <c r="EY96" s="568"/>
      <c r="EZ96" s="568"/>
      <c r="FA96" s="568"/>
      <c r="FB96" s="568"/>
      <c r="FC96" s="568"/>
      <c r="FD96" s="568"/>
      <c r="FE96" s="568"/>
      <c r="FF96" s="568"/>
      <c r="FG96" s="568"/>
      <c r="FH96" s="568"/>
      <c r="FI96" s="568"/>
      <c r="FJ96" s="568"/>
      <c r="FK96" s="568"/>
      <c r="FL96" s="568"/>
      <c r="FM96" s="568"/>
      <c r="FN96" s="568"/>
      <c r="FO96" s="568"/>
      <c r="FP96" s="568"/>
      <c r="FQ96" s="568"/>
      <c r="FR96" s="568"/>
      <c r="FS96" s="568"/>
      <c r="FT96" s="568"/>
      <c r="FU96" s="568"/>
      <c r="FV96" s="568"/>
      <c r="FW96" s="568"/>
      <c r="FX96" s="568"/>
      <c r="FY96" s="568"/>
      <c r="FZ96" s="568"/>
      <c r="GA96" s="568"/>
      <c r="GB96" s="568"/>
      <c r="GC96" s="568"/>
      <c r="GD96" s="568"/>
      <c r="GE96" s="568"/>
      <c r="GF96" s="568"/>
      <c r="GG96" s="568"/>
      <c r="GH96" s="568"/>
      <c r="GI96" s="568"/>
      <c r="GJ96" s="568"/>
      <c r="GK96" s="568"/>
      <c r="GL96" s="568"/>
      <c r="GM96" s="568"/>
      <c r="GN96" s="568"/>
      <c r="GO96" s="568"/>
      <c r="GP96" s="568"/>
      <c r="GQ96" s="568"/>
      <c r="GR96" s="568"/>
      <c r="GS96" s="568"/>
      <c r="GT96" s="568"/>
      <c r="GU96" s="568"/>
      <c r="GV96" s="568"/>
      <c r="GW96" s="568"/>
      <c r="GX96" s="568"/>
      <c r="GY96" s="568"/>
      <c r="GZ96" s="568"/>
      <c r="HA96" s="568"/>
      <c r="HB96" s="568"/>
      <c r="HC96" s="568"/>
      <c r="HD96" s="568"/>
      <c r="HE96" s="568"/>
      <c r="HF96" s="568"/>
      <c r="HG96" s="568"/>
      <c r="HH96" s="568"/>
      <c r="HI96" s="568"/>
      <c r="HJ96" s="568"/>
      <c r="HK96" s="568"/>
      <c r="HL96" s="568"/>
      <c r="HM96" s="568"/>
      <c r="HN96" s="568"/>
      <c r="HO96" s="568"/>
      <c r="HP96" s="568"/>
      <c r="HQ96" s="568"/>
      <c r="HR96" s="568"/>
      <c r="HS96" s="568"/>
      <c r="HT96" s="568"/>
      <c r="HU96" s="568"/>
      <c r="HV96" s="568"/>
      <c r="HW96" s="568"/>
      <c r="HX96" s="568"/>
      <c r="HY96" s="568"/>
      <c r="HZ96" s="568"/>
      <c r="IA96" s="568"/>
      <c r="IB96" s="568"/>
      <c r="IC96" s="568"/>
      <c r="ID96" s="568"/>
      <c r="IE96" s="568"/>
      <c r="IF96" s="568"/>
      <c r="IG96" s="568"/>
      <c r="IH96" s="568"/>
      <c r="II96" s="568"/>
      <c r="IJ96" s="568"/>
      <c r="IK96" s="568"/>
      <c r="IL96" s="568"/>
      <c r="IM96" s="568"/>
      <c r="IN96" s="568"/>
      <c r="IO96" s="568"/>
      <c r="IP96" s="568"/>
      <c r="IQ96" s="568"/>
      <c r="IR96" s="568"/>
      <c r="IS96" s="568"/>
      <c r="IT96" s="568"/>
      <c r="IU96" s="568"/>
    </row>
    <row r="97" spans="1:255" ht="18" customHeight="1">
      <c r="A97" s="677" t="s">
        <v>694</v>
      </c>
      <c r="B97" s="678"/>
      <c r="C97" s="1146">
        <v>0</v>
      </c>
      <c r="D97" s="1146">
        <v>0</v>
      </c>
      <c r="E97" s="1146">
        <v>0</v>
      </c>
      <c r="F97" s="1146">
        <v>0</v>
      </c>
      <c r="G97" s="1146">
        <v>0</v>
      </c>
      <c r="H97" s="1146">
        <v>0</v>
      </c>
      <c r="I97" s="1146">
        <v>0</v>
      </c>
      <c r="J97" s="1146">
        <v>1.099</v>
      </c>
      <c r="K97" s="1146">
        <v>0</v>
      </c>
      <c r="L97" s="1146">
        <v>0</v>
      </c>
      <c r="M97" s="678">
        <v>0</v>
      </c>
      <c r="N97" s="678">
        <v>0</v>
      </c>
      <c r="O97"/>
      <c r="P97" s="832" t="s">
        <v>1686</v>
      </c>
      <c r="Q97" s="561"/>
      <c r="R97" s="561"/>
      <c r="S97" s="561"/>
      <c r="T97" s="561"/>
      <c r="U97" s="561"/>
      <c r="V97" s="561"/>
      <c r="W97" s="561"/>
      <c r="X97" s="561"/>
      <c r="Y97" s="561"/>
      <c r="Z97" s="561"/>
      <c r="AA97" s="561"/>
      <c r="AB97" s="561"/>
      <c r="AC97" s="561"/>
      <c r="AD97" s="561"/>
      <c r="AE97" s="561"/>
      <c r="AF97" s="561"/>
      <c r="AG97" s="561"/>
      <c r="AH97" s="567"/>
      <c r="AI97" s="567"/>
      <c r="AJ97" s="567"/>
      <c r="AK97" s="567"/>
      <c r="AL97" s="567"/>
      <c r="AM97" s="567"/>
      <c r="AN97" s="567"/>
      <c r="AO97" s="567"/>
      <c r="AP97" s="567"/>
      <c r="AQ97" s="567"/>
      <c r="AR97" s="567"/>
      <c r="AS97" s="567"/>
      <c r="AT97" s="567"/>
      <c r="AU97" s="567"/>
      <c r="AV97" s="567"/>
      <c r="AW97" s="567"/>
      <c r="AX97" s="567"/>
      <c r="AY97" s="567"/>
      <c r="AZ97" s="567"/>
      <c r="BA97" s="567"/>
      <c r="BB97" s="567"/>
      <c r="BC97" s="567"/>
      <c r="BD97" s="568"/>
      <c r="BE97" s="568"/>
      <c r="BF97" s="568"/>
      <c r="BG97" s="568"/>
      <c r="BH97" s="568"/>
      <c r="BI97" s="568"/>
      <c r="BJ97" s="568"/>
      <c r="BK97" s="568"/>
      <c r="BL97" s="568"/>
      <c r="BM97" s="568"/>
      <c r="BN97" s="568"/>
      <c r="BO97" s="568"/>
      <c r="BP97" s="568"/>
      <c r="BQ97" s="568"/>
      <c r="BR97" s="568"/>
      <c r="BS97" s="568"/>
      <c r="BT97" s="568"/>
      <c r="BU97" s="568"/>
      <c r="BV97" s="568"/>
      <c r="BW97" s="568"/>
      <c r="BX97" s="568"/>
      <c r="BY97" s="568"/>
      <c r="BZ97" s="568"/>
      <c r="CA97" s="568"/>
      <c r="CB97" s="568"/>
      <c r="CC97" s="568"/>
      <c r="CD97" s="568"/>
      <c r="CE97" s="568"/>
      <c r="CF97" s="568"/>
      <c r="CG97" s="568"/>
      <c r="CH97" s="568"/>
      <c r="CI97" s="568"/>
      <c r="CJ97" s="568"/>
      <c r="CK97" s="568"/>
      <c r="CL97" s="568"/>
      <c r="CM97" s="568"/>
      <c r="CN97" s="568"/>
      <c r="CO97" s="568"/>
      <c r="CP97" s="568"/>
      <c r="CQ97" s="568"/>
      <c r="CR97" s="568"/>
      <c r="CS97" s="568"/>
      <c r="CT97" s="568"/>
      <c r="CU97" s="568"/>
      <c r="CV97" s="568"/>
      <c r="CW97" s="568"/>
      <c r="CX97" s="568"/>
      <c r="CY97" s="568"/>
      <c r="CZ97" s="568"/>
      <c r="DA97" s="568"/>
      <c r="DB97" s="568"/>
      <c r="DC97" s="568"/>
      <c r="DD97" s="568"/>
      <c r="DE97" s="568"/>
      <c r="DF97" s="568"/>
      <c r="DG97" s="568"/>
      <c r="DH97" s="568"/>
      <c r="DI97" s="568"/>
      <c r="DJ97" s="568"/>
      <c r="DK97" s="568"/>
      <c r="DL97" s="568"/>
      <c r="DM97" s="568"/>
      <c r="DN97" s="568"/>
      <c r="DO97" s="568"/>
      <c r="DP97" s="568"/>
      <c r="DQ97" s="568"/>
      <c r="DR97" s="568"/>
      <c r="DS97" s="568"/>
      <c r="DT97" s="568"/>
      <c r="DU97" s="568"/>
      <c r="DV97" s="568"/>
      <c r="DW97" s="568"/>
      <c r="DX97" s="568"/>
      <c r="DY97" s="568"/>
      <c r="DZ97" s="568"/>
      <c r="EA97" s="568"/>
      <c r="EB97" s="568"/>
      <c r="EC97" s="568"/>
      <c r="ED97" s="568"/>
      <c r="EE97" s="568"/>
      <c r="EF97" s="568"/>
      <c r="EG97" s="568"/>
      <c r="EH97" s="568"/>
      <c r="EI97" s="568"/>
      <c r="EJ97" s="568"/>
      <c r="EK97" s="568"/>
      <c r="EL97" s="568"/>
      <c r="EM97" s="568"/>
      <c r="EN97" s="568"/>
      <c r="EO97" s="568"/>
      <c r="EP97" s="568"/>
      <c r="EQ97" s="568"/>
      <c r="ER97" s="568"/>
      <c r="ES97" s="568"/>
      <c r="ET97" s="568"/>
      <c r="EU97" s="568"/>
      <c r="EV97" s="568"/>
      <c r="EW97" s="568"/>
      <c r="EX97" s="568"/>
      <c r="EY97" s="568"/>
      <c r="EZ97" s="568"/>
      <c r="FA97" s="568"/>
      <c r="FB97" s="568"/>
      <c r="FC97" s="568"/>
      <c r="FD97" s="568"/>
      <c r="FE97" s="568"/>
      <c r="FF97" s="568"/>
      <c r="FG97" s="568"/>
      <c r="FH97" s="568"/>
      <c r="FI97" s="568"/>
      <c r="FJ97" s="568"/>
      <c r="FK97" s="568"/>
      <c r="FL97" s="568"/>
      <c r="FM97" s="568"/>
      <c r="FN97" s="568"/>
      <c r="FO97" s="568"/>
      <c r="FP97" s="568"/>
      <c r="FQ97" s="568"/>
      <c r="FR97" s="568"/>
      <c r="FS97" s="568"/>
      <c r="FT97" s="568"/>
      <c r="FU97" s="568"/>
      <c r="FV97" s="568"/>
      <c r="FW97" s="568"/>
      <c r="FX97" s="568"/>
      <c r="FY97" s="568"/>
      <c r="FZ97" s="568"/>
      <c r="GA97" s="568"/>
      <c r="GB97" s="568"/>
      <c r="GC97" s="568"/>
      <c r="GD97" s="568"/>
      <c r="GE97" s="568"/>
      <c r="GF97" s="568"/>
      <c r="GG97" s="568"/>
      <c r="GH97" s="568"/>
      <c r="GI97" s="568"/>
      <c r="GJ97" s="568"/>
      <c r="GK97" s="568"/>
      <c r="GL97" s="568"/>
      <c r="GM97" s="568"/>
      <c r="GN97" s="568"/>
      <c r="GO97" s="568"/>
      <c r="GP97" s="568"/>
      <c r="GQ97" s="568"/>
      <c r="GR97" s="568"/>
      <c r="GS97" s="568"/>
      <c r="GT97" s="568"/>
      <c r="GU97" s="568"/>
      <c r="GV97" s="568"/>
      <c r="GW97" s="568"/>
      <c r="GX97" s="568"/>
      <c r="GY97" s="568"/>
      <c r="GZ97" s="568"/>
      <c r="HA97" s="568"/>
      <c r="HB97" s="568"/>
      <c r="HC97" s="568"/>
      <c r="HD97" s="568"/>
      <c r="HE97" s="568"/>
      <c r="HF97" s="568"/>
      <c r="HG97" s="568"/>
      <c r="HH97" s="568"/>
      <c r="HI97" s="568"/>
      <c r="HJ97" s="568"/>
      <c r="HK97" s="568"/>
      <c r="HL97" s="568"/>
      <c r="HM97" s="568"/>
      <c r="HN97" s="568"/>
      <c r="HO97" s="568"/>
      <c r="HP97" s="568"/>
      <c r="HQ97" s="568"/>
      <c r="HR97" s="568"/>
      <c r="HS97" s="568"/>
      <c r="HT97" s="568"/>
      <c r="HU97" s="568"/>
      <c r="HV97" s="568"/>
      <c r="HW97" s="568"/>
      <c r="HX97" s="568"/>
      <c r="HY97" s="568"/>
      <c r="HZ97" s="568"/>
      <c r="IA97" s="568"/>
      <c r="IB97" s="568"/>
      <c r="IC97" s="568"/>
      <c r="ID97" s="568"/>
      <c r="IE97" s="568"/>
      <c r="IF97" s="568"/>
      <c r="IG97" s="568"/>
      <c r="IH97" s="568"/>
      <c r="II97" s="568"/>
      <c r="IJ97" s="568"/>
      <c r="IK97" s="568"/>
      <c r="IL97" s="568"/>
      <c r="IM97" s="568"/>
      <c r="IN97" s="568"/>
      <c r="IO97" s="568"/>
      <c r="IP97" s="568"/>
      <c r="IQ97" s="568"/>
      <c r="IR97" s="568"/>
      <c r="IS97" s="568"/>
      <c r="IT97" s="568"/>
      <c r="IU97" s="568"/>
    </row>
    <row r="98" spans="1:255" s="568" customFormat="1" ht="18" customHeight="1">
      <c r="A98" s="677" t="s">
        <v>695</v>
      </c>
      <c r="B98" s="678"/>
      <c r="C98" s="1146">
        <v>174.84511971000001</v>
      </c>
      <c r="D98" s="1146">
        <v>0</v>
      </c>
      <c r="E98" s="1146">
        <v>214.36671986000002</v>
      </c>
      <c r="F98" s="1146">
        <v>0</v>
      </c>
      <c r="G98" s="1146">
        <v>0</v>
      </c>
      <c r="H98" s="1146">
        <v>0</v>
      </c>
      <c r="I98" s="1146">
        <v>258.08858172999999</v>
      </c>
      <c r="J98" s="1146">
        <v>0</v>
      </c>
      <c r="K98" s="1146">
        <v>0</v>
      </c>
      <c r="L98" s="1146">
        <v>0</v>
      </c>
      <c r="M98" s="678">
        <v>0</v>
      </c>
      <c r="N98" s="678">
        <v>0</v>
      </c>
      <c r="O98"/>
      <c r="P98" s="832" t="s">
        <v>1688</v>
      </c>
      <c r="Q98" s="561"/>
      <c r="R98" s="561"/>
      <c r="S98" s="561"/>
      <c r="T98" s="561"/>
      <c r="U98" s="561"/>
      <c r="V98" s="561"/>
      <c r="W98" s="561"/>
      <c r="X98" s="561"/>
      <c r="Y98" s="561"/>
      <c r="Z98" s="561"/>
      <c r="AA98" s="561"/>
      <c r="AB98" s="561"/>
      <c r="AC98" s="561"/>
      <c r="AD98" s="561"/>
      <c r="AE98" s="561"/>
      <c r="AF98" s="561"/>
      <c r="AG98" s="561"/>
      <c r="AH98" s="567"/>
      <c r="AI98" s="567"/>
      <c r="AJ98" s="567"/>
      <c r="AK98" s="567"/>
      <c r="AL98" s="567"/>
      <c r="AM98" s="567"/>
      <c r="AN98" s="567"/>
      <c r="AO98" s="567"/>
      <c r="AP98" s="567"/>
      <c r="AQ98" s="567"/>
      <c r="AR98" s="567"/>
      <c r="AS98" s="567"/>
      <c r="AT98" s="567"/>
      <c r="AU98" s="567"/>
      <c r="AV98" s="567"/>
      <c r="AW98" s="567"/>
      <c r="AX98" s="567"/>
      <c r="AY98" s="567"/>
      <c r="AZ98" s="567"/>
      <c r="BA98" s="567"/>
      <c r="BB98" s="567"/>
      <c r="BC98" s="567"/>
    </row>
    <row r="99" spans="1:255" ht="18" customHeight="1">
      <c r="A99" s="1132" t="s">
        <v>2796</v>
      </c>
      <c r="B99" s="678"/>
      <c r="C99" s="1146">
        <v>0</v>
      </c>
      <c r="D99" s="1146">
        <v>0</v>
      </c>
      <c r="E99" s="1146">
        <v>0</v>
      </c>
      <c r="F99" s="1146">
        <v>0</v>
      </c>
      <c r="G99" s="1146">
        <v>0</v>
      </c>
      <c r="H99" s="1146">
        <v>0</v>
      </c>
      <c r="I99" s="1146">
        <v>0</v>
      </c>
      <c r="J99" s="1146">
        <v>0</v>
      </c>
      <c r="K99" s="1146">
        <v>0</v>
      </c>
      <c r="L99" s="1146">
        <v>0</v>
      </c>
      <c r="M99" s="678">
        <v>0</v>
      </c>
      <c r="N99" s="678">
        <v>0</v>
      </c>
      <c r="O99"/>
      <c r="P99" s="832" t="s">
        <v>2809</v>
      </c>
      <c r="Q99" s="562"/>
      <c r="R99" s="562"/>
      <c r="S99" s="562"/>
      <c r="T99" s="561"/>
      <c r="U99" s="562"/>
      <c r="V99" s="562"/>
      <c r="W99" s="562"/>
      <c r="X99" s="562"/>
      <c r="Y99" s="562"/>
      <c r="Z99" s="562"/>
      <c r="AA99" s="562"/>
      <c r="AB99" s="562"/>
      <c r="AC99" s="562"/>
      <c r="AD99" s="562"/>
      <c r="AE99" s="562"/>
      <c r="AF99" s="562"/>
      <c r="AG99" s="562"/>
      <c r="AH99" s="563"/>
      <c r="AI99" s="563"/>
      <c r="AJ99" s="563"/>
      <c r="AK99" s="563"/>
      <c r="AL99" s="563"/>
      <c r="AM99" s="563"/>
      <c r="AN99" s="563"/>
      <c r="AO99" s="563"/>
      <c r="AP99" s="563"/>
      <c r="AQ99" s="563"/>
      <c r="AR99" s="563"/>
      <c r="AS99" s="563"/>
      <c r="AT99" s="563"/>
      <c r="AU99" s="563"/>
      <c r="AV99" s="563"/>
      <c r="AW99" s="563"/>
      <c r="AX99" s="563"/>
      <c r="AY99" s="563"/>
      <c r="AZ99" s="563"/>
      <c r="BA99" s="563"/>
      <c r="BB99" s="563"/>
      <c r="BC99" s="563"/>
      <c r="BD99" s="564"/>
      <c r="BE99" s="564"/>
      <c r="BF99" s="564"/>
      <c r="BG99" s="564"/>
      <c r="BH99" s="564"/>
      <c r="BI99" s="564"/>
      <c r="BJ99" s="564"/>
      <c r="BK99" s="564"/>
      <c r="BL99" s="564"/>
      <c r="BM99" s="564"/>
      <c r="BN99" s="564"/>
      <c r="BO99" s="564"/>
      <c r="BP99" s="564"/>
      <c r="BQ99" s="564"/>
      <c r="BR99" s="564"/>
      <c r="BS99" s="564"/>
      <c r="BT99" s="564"/>
      <c r="BU99" s="564"/>
      <c r="BV99" s="564"/>
      <c r="BW99" s="564"/>
      <c r="BX99" s="564"/>
    </row>
    <row r="100" spans="1:255" ht="18" customHeight="1">
      <c r="A100" s="1132" t="s">
        <v>2720</v>
      </c>
      <c r="B100" s="678"/>
      <c r="C100" s="1146">
        <v>174.84511971000001</v>
      </c>
      <c r="D100" s="1146">
        <v>294.12940780000002</v>
      </c>
      <c r="E100" s="1146">
        <v>214.36671986000002</v>
      </c>
      <c r="F100" s="1146">
        <v>197.77004031999999</v>
      </c>
      <c r="G100" s="1146">
        <v>215.83231194000001</v>
      </c>
      <c r="H100" s="1146">
        <v>252.52895912</v>
      </c>
      <c r="I100" s="1146">
        <v>258.08858172999999</v>
      </c>
      <c r="J100" s="1146">
        <v>242.34851743999999</v>
      </c>
      <c r="K100" s="1146">
        <v>0</v>
      </c>
      <c r="L100" s="1146">
        <v>0</v>
      </c>
      <c r="M100" s="678">
        <v>0</v>
      </c>
      <c r="N100" s="678">
        <v>0</v>
      </c>
      <c r="O100"/>
      <c r="P100" s="832" t="s">
        <v>2739</v>
      </c>
      <c r="Q100" s="561"/>
      <c r="R100" s="561"/>
      <c r="S100" s="561"/>
      <c r="T100" s="561"/>
      <c r="U100" s="561"/>
      <c r="V100" s="561"/>
      <c r="W100" s="561"/>
      <c r="X100" s="561"/>
      <c r="Y100" s="561"/>
      <c r="Z100" s="561"/>
      <c r="AA100" s="561"/>
      <c r="AB100" s="561"/>
      <c r="AC100" s="561"/>
      <c r="AD100" s="561"/>
      <c r="AE100" s="561"/>
      <c r="AF100" s="561"/>
      <c r="AG100" s="561"/>
      <c r="AH100" s="567"/>
      <c r="AI100" s="567"/>
      <c r="AJ100" s="567"/>
      <c r="AK100" s="567"/>
      <c r="AL100" s="567"/>
      <c r="AM100" s="567"/>
      <c r="AN100" s="567"/>
      <c r="AO100" s="567"/>
      <c r="AP100" s="567"/>
      <c r="AQ100" s="567"/>
      <c r="AR100" s="567"/>
      <c r="AS100" s="567"/>
      <c r="AT100" s="567"/>
      <c r="AU100" s="567"/>
      <c r="AV100" s="567"/>
      <c r="AW100" s="567"/>
      <c r="AX100" s="567"/>
      <c r="AY100" s="567"/>
      <c r="AZ100" s="567"/>
      <c r="BA100" s="567"/>
      <c r="BB100" s="567"/>
      <c r="BC100" s="567"/>
      <c r="BD100" s="568"/>
      <c r="BE100" s="568"/>
      <c r="BF100" s="568"/>
      <c r="BG100" s="568"/>
      <c r="BH100" s="568"/>
      <c r="BI100" s="568"/>
      <c r="BJ100" s="568"/>
      <c r="BK100" s="568"/>
      <c r="BL100" s="568"/>
      <c r="BM100" s="568"/>
      <c r="BN100" s="568"/>
      <c r="BO100" s="568"/>
      <c r="BP100" s="568"/>
      <c r="BQ100" s="568"/>
      <c r="BR100" s="568"/>
      <c r="BS100" s="568"/>
      <c r="BT100" s="568"/>
      <c r="BU100" s="568"/>
      <c r="BV100" s="568"/>
      <c r="BW100" s="568"/>
      <c r="BX100" s="568"/>
      <c r="BY100" s="568"/>
      <c r="BZ100" s="568"/>
      <c r="CA100" s="568"/>
      <c r="CB100" s="568"/>
      <c r="CC100" s="568"/>
      <c r="CD100" s="568"/>
      <c r="CE100" s="568"/>
      <c r="CF100" s="568"/>
      <c r="CG100" s="568"/>
      <c r="CH100" s="568"/>
      <c r="CI100" s="568"/>
      <c r="CJ100" s="568"/>
      <c r="CK100" s="568"/>
      <c r="CL100" s="568"/>
      <c r="CM100" s="568"/>
      <c r="CN100" s="568"/>
      <c r="CO100" s="568"/>
      <c r="CP100" s="568"/>
      <c r="CQ100" s="568"/>
      <c r="CR100" s="568"/>
      <c r="CS100" s="568"/>
      <c r="CT100" s="568"/>
      <c r="CU100" s="568"/>
      <c r="CV100" s="568"/>
      <c r="CW100" s="568"/>
      <c r="CX100" s="568"/>
      <c r="CY100" s="568"/>
      <c r="CZ100" s="568"/>
      <c r="DA100" s="568"/>
      <c r="DB100" s="568"/>
      <c r="DC100" s="568"/>
      <c r="DD100" s="568"/>
      <c r="DE100" s="568"/>
      <c r="DF100" s="568"/>
      <c r="DG100" s="568"/>
      <c r="DH100" s="568"/>
      <c r="DI100" s="568"/>
      <c r="DJ100" s="568"/>
      <c r="DK100" s="568"/>
      <c r="DL100" s="568"/>
      <c r="DM100" s="568"/>
      <c r="DN100" s="568"/>
      <c r="DO100" s="568"/>
      <c r="DP100" s="568"/>
      <c r="DQ100" s="568"/>
      <c r="DR100" s="568"/>
      <c r="DS100" s="568"/>
      <c r="DT100" s="568"/>
      <c r="DU100" s="568"/>
      <c r="DV100" s="568"/>
      <c r="DW100" s="568"/>
      <c r="DX100" s="568"/>
      <c r="DY100" s="568"/>
      <c r="DZ100" s="568"/>
      <c r="EA100" s="568"/>
      <c r="EB100" s="568"/>
      <c r="EC100" s="568"/>
      <c r="ED100" s="568"/>
      <c r="EE100" s="568"/>
      <c r="EF100" s="568"/>
      <c r="EG100" s="568"/>
      <c r="EH100" s="568"/>
      <c r="EI100" s="568"/>
      <c r="EJ100" s="568"/>
      <c r="EK100" s="568"/>
      <c r="EL100" s="568"/>
      <c r="EM100" s="568"/>
      <c r="EN100" s="568"/>
      <c r="EO100" s="568"/>
      <c r="EP100" s="568"/>
      <c r="EQ100" s="568"/>
      <c r="ER100" s="568"/>
      <c r="ES100" s="568"/>
      <c r="ET100" s="568"/>
      <c r="EU100" s="568"/>
      <c r="EV100" s="568"/>
      <c r="EW100" s="568"/>
      <c r="EX100" s="568"/>
      <c r="EY100" s="568"/>
      <c r="EZ100" s="568"/>
      <c r="FA100" s="568"/>
      <c r="FB100" s="568"/>
      <c r="FC100" s="568"/>
      <c r="FD100" s="568"/>
      <c r="FE100" s="568"/>
      <c r="FF100" s="568"/>
      <c r="FG100" s="568"/>
      <c r="FH100" s="568"/>
      <c r="FI100" s="568"/>
      <c r="FJ100" s="568"/>
      <c r="FK100" s="568"/>
      <c r="FL100" s="568"/>
      <c r="FM100" s="568"/>
      <c r="FN100" s="568"/>
      <c r="FO100" s="568"/>
      <c r="FP100" s="568"/>
      <c r="FQ100" s="568"/>
      <c r="FR100" s="568"/>
      <c r="FS100" s="568"/>
      <c r="FT100" s="568"/>
      <c r="FU100" s="568"/>
      <c r="FV100" s="568"/>
      <c r="FW100" s="568"/>
      <c r="FX100" s="568"/>
      <c r="FY100" s="568"/>
      <c r="FZ100" s="568"/>
      <c r="GA100" s="568"/>
      <c r="GB100" s="568"/>
      <c r="GC100" s="568"/>
      <c r="GD100" s="568"/>
      <c r="GE100" s="568"/>
      <c r="GF100" s="568"/>
      <c r="GG100" s="568"/>
      <c r="GH100" s="568"/>
      <c r="GI100" s="568"/>
      <c r="GJ100" s="568"/>
      <c r="GK100" s="568"/>
      <c r="GL100" s="568"/>
      <c r="GM100" s="568"/>
      <c r="GN100" s="568"/>
      <c r="GO100" s="568"/>
      <c r="GP100" s="568"/>
      <c r="GQ100" s="568"/>
      <c r="GR100" s="568"/>
      <c r="GS100" s="568"/>
      <c r="GT100" s="568"/>
      <c r="GU100" s="568"/>
      <c r="GV100" s="568"/>
      <c r="GW100" s="568"/>
      <c r="GX100" s="568"/>
      <c r="GY100" s="568"/>
      <c r="GZ100" s="568"/>
      <c r="HA100" s="568"/>
      <c r="HB100" s="568"/>
      <c r="HC100" s="568"/>
      <c r="HD100" s="568"/>
      <c r="HE100" s="568"/>
      <c r="HF100" s="568"/>
      <c r="HG100" s="568"/>
      <c r="HH100" s="568"/>
      <c r="HI100" s="568"/>
      <c r="HJ100" s="568"/>
      <c r="HK100" s="568"/>
      <c r="HL100" s="568"/>
      <c r="HM100" s="568"/>
      <c r="HN100" s="568"/>
      <c r="HO100" s="568"/>
      <c r="HP100" s="568"/>
      <c r="HQ100" s="568"/>
      <c r="HR100" s="568"/>
      <c r="HS100" s="568"/>
      <c r="HT100" s="568"/>
      <c r="HU100" s="568"/>
      <c r="HV100" s="568"/>
      <c r="HW100" s="568"/>
      <c r="HX100" s="568"/>
      <c r="HY100" s="568"/>
      <c r="HZ100" s="568"/>
      <c r="IA100" s="568"/>
      <c r="IB100" s="568"/>
      <c r="IC100" s="568"/>
      <c r="ID100" s="568"/>
      <c r="IE100" s="568"/>
      <c r="IF100" s="568"/>
      <c r="IG100" s="568"/>
      <c r="IH100" s="568"/>
      <c r="II100" s="568"/>
      <c r="IJ100" s="568"/>
      <c r="IK100" s="568"/>
      <c r="IL100" s="568"/>
      <c r="IM100" s="568"/>
      <c r="IN100" s="568"/>
      <c r="IO100" s="568"/>
      <c r="IP100" s="568"/>
      <c r="IQ100" s="568"/>
      <c r="IR100" s="568"/>
      <c r="IS100" s="568"/>
      <c r="IT100" s="568"/>
      <c r="IU100" s="568"/>
    </row>
    <row r="101" spans="1:255" ht="18" customHeight="1">
      <c r="A101" s="677" t="s">
        <v>696</v>
      </c>
      <c r="B101" s="678"/>
      <c r="C101" s="1146">
        <v>31.793796480000001</v>
      </c>
      <c r="D101" s="1146">
        <v>51.42501455</v>
      </c>
      <c r="E101" s="1146">
        <v>52.318475499999998</v>
      </c>
      <c r="F101" s="1146">
        <v>55.710246439999999</v>
      </c>
      <c r="G101" s="1146">
        <v>44.664141139999998</v>
      </c>
      <c r="H101" s="1146">
        <v>43.199903899999995</v>
      </c>
      <c r="I101" s="1146">
        <v>44.422864659999995</v>
      </c>
      <c r="J101" s="1146">
        <v>43.165332799999995</v>
      </c>
      <c r="K101" s="1146">
        <v>0</v>
      </c>
      <c r="L101" s="1146">
        <v>0</v>
      </c>
      <c r="M101" s="678">
        <v>0</v>
      </c>
      <c r="N101" s="678">
        <v>0</v>
      </c>
      <c r="O101"/>
      <c r="P101" s="832" t="s">
        <v>1711</v>
      </c>
      <c r="Q101" s="561"/>
      <c r="R101" s="561"/>
      <c r="S101" s="561"/>
      <c r="T101" s="561"/>
      <c r="U101" s="561"/>
      <c r="V101" s="561"/>
      <c r="W101" s="561"/>
      <c r="X101" s="561"/>
      <c r="Y101" s="561"/>
      <c r="Z101" s="561"/>
      <c r="AA101" s="561"/>
      <c r="AB101" s="561"/>
      <c r="AC101" s="561"/>
      <c r="AD101" s="561"/>
      <c r="AE101" s="561"/>
      <c r="AF101" s="561"/>
      <c r="AG101" s="561"/>
      <c r="AH101" s="567"/>
      <c r="AI101" s="567"/>
      <c r="AJ101" s="567"/>
      <c r="AK101" s="567"/>
      <c r="AL101" s="567"/>
      <c r="AM101" s="567"/>
      <c r="AN101" s="567"/>
      <c r="AO101" s="567"/>
      <c r="AP101" s="567"/>
      <c r="AQ101" s="567"/>
      <c r="AR101" s="567"/>
      <c r="AS101" s="567"/>
      <c r="AT101" s="567"/>
      <c r="AU101" s="567"/>
      <c r="AV101" s="567"/>
      <c r="AW101" s="567"/>
      <c r="AX101" s="567"/>
      <c r="AY101" s="567"/>
      <c r="AZ101" s="567"/>
      <c r="BA101" s="567"/>
      <c r="BB101" s="567"/>
      <c r="BC101" s="567"/>
      <c r="BD101" s="568"/>
      <c r="BE101" s="568"/>
      <c r="BF101" s="568"/>
      <c r="BG101" s="568"/>
      <c r="BH101" s="568"/>
      <c r="BI101" s="568"/>
      <c r="BJ101" s="568"/>
      <c r="BK101" s="568"/>
      <c r="BL101" s="568"/>
      <c r="BM101" s="568"/>
      <c r="BN101" s="568"/>
      <c r="BO101" s="568"/>
      <c r="BP101" s="568"/>
      <c r="BQ101" s="568"/>
      <c r="BR101" s="568"/>
      <c r="BS101" s="568"/>
      <c r="BT101" s="568"/>
      <c r="BU101" s="568"/>
      <c r="BV101" s="568"/>
      <c r="BW101" s="568"/>
      <c r="BX101" s="568"/>
      <c r="BY101" s="568"/>
      <c r="BZ101" s="568"/>
      <c r="CA101" s="568"/>
      <c r="CB101" s="568"/>
      <c r="CC101" s="568"/>
      <c r="CD101" s="568"/>
      <c r="CE101" s="568"/>
      <c r="CF101" s="568"/>
      <c r="CG101" s="568"/>
      <c r="CH101" s="568"/>
      <c r="CI101" s="568"/>
      <c r="CJ101" s="568"/>
      <c r="CK101" s="568"/>
      <c r="CL101" s="568"/>
      <c r="CM101" s="568"/>
      <c r="CN101" s="568"/>
      <c r="CO101" s="568"/>
      <c r="CP101" s="568"/>
      <c r="CQ101" s="568"/>
      <c r="CR101" s="568"/>
      <c r="CS101" s="568"/>
      <c r="CT101" s="568"/>
      <c r="CU101" s="568"/>
      <c r="CV101" s="568"/>
      <c r="CW101" s="568"/>
      <c r="CX101" s="568"/>
      <c r="CY101" s="568"/>
      <c r="CZ101" s="568"/>
      <c r="DA101" s="568"/>
      <c r="DB101" s="568"/>
      <c r="DC101" s="568"/>
      <c r="DD101" s="568"/>
      <c r="DE101" s="568"/>
      <c r="DF101" s="568"/>
      <c r="DG101" s="568"/>
      <c r="DH101" s="568"/>
      <c r="DI101" s="568"/>
      <c r="DJ101" s="568"/>
      <c r="DK101" s="568"/>
      <c r="DL101" s="568"/>
      <c r="DM101" s="568"/>
      <c r="DN101" s="568"/>
      <c r="DO101" s="568"/>
      <c r="DP101" s="568"/>
      <c r="DQ101" s="568"/>
      <c r="DR101" s="568"/>
      <c r="DS101" s="568"/>
      <c r="DT101" s="568"/>
      <c r="DU101" s="568"/>
      <c r="DV101" s="568"/>
      <c r="DW101" s="568"/>
      <c r="DX101" s="568"/>
      <c r="DY101" s="568"/>
      <c r="DZ101" s="568"/>
      <c r="EA101" s="568"/>
      <c r="EB101" s="568"/>
      <c r="EC101" s="568"/>
      <c r="ED101" s="568"/>
      <c r="EE101" s="568"/>
      <c r="EF101" s="568"/>
      <c r="EG101" s="568"/>
      <c r="EH101" s="568"/>
      <c r="EI101" s="568"/>
      <c r="EJ101" s="568"/>
      <c r="EK101" s="568"/>
      <c r="EL101" s="568"/>
      <c r="EM101" s="568"/>
      <c r="EN101" s="568"/>
      <c r="EO101" s="568"/>
      <c r="EP101" s="568"/>
      <c r="EQ101" s="568"/>
      <c r="ER101" s="568"/>
      <c r="ES101" s="568"/>
      <c r="ET101" s="568"/>
      <c r="EU101" s="568"/>
      <c r="EV101" s="568"/>
      <c r="EW101" s="568"/>
      <c r="EX101" s="568"/>
      <c r="EY101" s="568"/>
      <c r="EZ101" s="568"/>
      <c r="FA101" s="568"/>
      <c r="FB101" s="568"/>
      <c r="FC101" s="568"/>
      <c r="FD101" s="568"/>
      <c r="FE101" s="568"/>
      <c r="FF101" s="568"/>
      <c r="FG101" s="568"/>
      <c r="FH101" s="568"/>
      <c r="FI101" s="568"/>
      <c r="FJ101" s="568"/>
      <c r="FK101" s="568"/>
      <c r="FL101" s="568"/>
      <c r="FM101" s="568"/>
      <c r="FN101" s="568"/>
      <c r="FO101" s="568"/>
      <c r="FP101" s="568"/>
      <c r="FQ101" s="568"/>
      <c r="FR101" s="568"/>
      <c r="FS101" s="568"/>
      <c r="FT101" s="568"/>
      <c r="FU101" s="568"/>
      <c r="FV101" s="568"/>
      <c r="FW101" s="568"/>
      <c r="FX101" s="568"/>
      <c r="FY101" s="568"/>
      <c r="FZ101" s="568"/>
      <c r="GA101" s="568"/>
      <c r="GB101" s="568"/>
      <c r="GC101" s="568"/>
      <c r="GD101" s="568"/>
      <c r="GE101" s="568"/>
      <c r="GF101" s="568"/>
      <c r="GG101" s="568"/>
      <c r="GH101" s="568"/>
      <c r="GI101" s="568"/>
      <c r="GJ101" s="568"/>
      <c r="GK101" s="568"/>
      <c r="GL101" s="568"/>
      <c r="GM101" s="568"/>
      <c r="GN101" s="568"/>
      <c r="GO101" s="568"/>
      <c r="GP101" s="568"/>
      <c r="GQ101" s="568"/>
      <c r="GR101" s="568"/>
      <c r="GS101" s="568"/>
      <c r="GT101" s="568"/>
      <c r="GU101" s="568"/>
      <c r="GV101" s="568"/>
      <c r="GW101" s="568"/>
      <c r="GX101" s="568"/>
      <c r="GY101" s="568"/>
      <c r="GZ101" s="568"/>
      <c r="HA101" s="568"/>
      <c r="HB101" s="568"/>
      <c r="HC101" s="568"/>
      <c r="HD101" s="568"/>
      <c r="HE101" s="568"/>
      <c r="HF101" s="568"/>
      <c r="HG101" s="568"/>
      <c r="HH101" s="568"/>
      <c r="HI101" s="568"/>
      <c r="HJ101" s="568"/>
      <c r="HK101" s="568"/>
      <c r="HL101" s="568"/>
      <c r="HM101" s="568"/>
      <c r="HN101" s="568"/>
      <c r="HO101" s="568"/>
      <c r="HP101" s="568"/>
      <c r="HQ101" s="568"/>
      <c r="HR101" s="568"/>
      <c r="HS101" s="568"/>
      <c r="HT101" s="568"/>
      <c r="HU101" s="568"/>
      <c r="HV101" s="568"/>
      <c r="HW101" s="568"/>
      <c r="HX101" s="568"/>
      <c r="HY101" s="568"/>
      <c r="HZ101" s="568"/>
      <c r="IA101" s="568"/>
      <c r="IB101" s="568"/>
      <c r="IC101" s="568"/>
      <c r="ID101" s="568"/>
      <c r="IE101" s="568"/>
      <c r="IF101" s="568"/>
      <c r="IG101" s="568"/>
      <c r="IH101" s="568"/>
      <c r="II101" s="568"/>
      <c r="IJ101" s="568"/>
      <c r="IK101" s="568"/>
      <c r="IL101" s="568"/>
      <c r="IM101" s="568"/>
      <c r="IN101" s="568"/>
      <c r="IO101" s="568"/>
      <c r="IP101" s="568"/>
      <c r="IQ101" s="568"/>
      <c r="IR101" s="568"/>
      <c r="IS101" s="568"/>
      <c r="IT101" s="568"/>
      <c r="IU101" s="568"/>
    </row>
    <row r="102" spans="1:255" s="689" customFormat="1" ht="18" customHeight="1">
      <c r="A102" s="677" t="s">
        <v>1378</v>
      </c>
      <c r="B102" s="678"/>
      <c r="C102" s="1146">
        <v>90.693011680000012</v>
      </c>
      <c r="D102" s="1146">
        <v>134.09225063</v>
      </c>
      <c r="E102" s="1146">
        <v>110.62301468999999</v>
      </c>
      <c r="F102" s="1146">
        <v>261.92672111000002</v>
      </c>
      <c r="G102" s="1146">
        <v>540.9064181</v>
      </c>
      <c r="H102" s="1146">
        <v>577.86978867999994</v>
      </c>
      <c r="I102" s="1146">
        <v>841.50204624000003</v>
      </c>
      <c r="J102" s="1146">
        <v>490.88926016000005</v>
      </c>
      <c r="K102" s="1146">
        <v>0</v>
      </c>
      <c r="L102" s="1146">
        <v>0</v>
      </c>
      <c r="M102" s="678">
        <v>0</v>
      </c>
      <c r="N102" s="678">
        <v>0</v>
      </c>
      <c r="O102"/>
      <c r="P102" s="832" t="s">
        <v>1691</v>
      </c>
      <c r="Q102" s="686"/>
      <c r="R102" s="686"/>
      <c r="S102" s="686"/>
      <c r="T102" s="686"/>
      <c r="U102" s="686"/>
      <c r="V102" s="686"/>
      <c r="W102" s="686"/>
      <c r="X102" s="686"/>
      <c r="Y102" s="686"/>
      <c r="Z102" s="686"/>
      <c r="AA102" s="686"/>
      <c r="AB102" s="686"/>
      <c r="AC102" s="686"/>
      <c r="AD102" s="686"/>
      <c r="AE102" s="686"/>
      <c r="AF102" s="686"/>
      <c r="AG102" s="686"/>
      <c r="AH102" s="687"/>
      <c r="AI102" s="687"/>
      <c r="AJ102" s="687"/>
      <c r="AK102" s="687"/>
      <c r="AL102" s="687"/>
      <c r="AM102" s="687"/>
      <c r="AN102" s="687"/>
      <c r="AO102" s="687"/>
      <c r="AP102" s="687"/>
      <c r="AQ102" s="687"/>
      <c r="AR102" s="687"/>
      <c r="AS102" s="687"/>
      <c r="AT102" s="687"/>
      <c r="AU102" s="687"/>
      <c r="AV102" s="687"/>
      <c r="AW102" s="687"/>
      <c r="AX102" s="687"/>
      <c r="AY102" s="687"/>
      <c r="AZ102" s="687"/>
      <c r="BA102" s="687"/>
      <c r="BB102" s="687"/>
      <c r="BC102" s="687"/>
      <c r="BD102" s="688"/>
      <c r="BE102" s="688"/>
      <c r="BF102" s="688"/>
      <c r="BG102" s="688"/>
      <c r="BH102" s="688"/>
      <c r="BI102" s="688"/>
      <c r="BJ102" s="688"/>
      <c r="BK102" s="688"/>
      <c r="BL102" s="688"/>
      <c r="BM102" s="688"/>
      <c r="BN102" s="688"/>
      <c r="BO102" s="688"/>
      <c r="BP102" s="688"/>
      <c r="BQ102" s="688"/>
      <c r="BR102" s="688"/>
      <c r="BS102" s="688"/>
      <c r="BT102" s="688"/>
      <c r="BU102" s="688"/>
      <c r="BV102" s="688"/>
      <c r="BW102" s="688"/>
      <c r="BX102" s="688"/>
      <c r="BY102" s="688"/>
      <c r="BZ102" s="688"/>
      <c r="CA102" s="688"/>
      <c r="CB102" s="688"/>
      <c r="CC102" s="688"/>
      <c r="CD102" s="688"/>
      <c r="CE102" s="688"/>
      <c r="CF102" s="688"/>
      <c r="CG102" s="688"/>
      <c r="CH102" s="688"/>
      <c r="CI102" s="688"/>
      <c r="CJ102" s="688"/>
      <c r="CK102" s="688"/>
      <c r="CL102" s="688"/>
      <c r="CM102" s="688"/>
      <c r="CN102" s="688"/>
      <c r="CO102" s="688"/>
      <c r="CP102" s="688"/>
      <c r="CQ102" s="688"/>
      <c r="CR102" s="688"/>
      <c r="CS102" s="688"/>
      <c r="CT102" s="688"/>
      <c r="CU102" s="688"/>
      <c r="CV102" s="688"/>
      <c r="CW102" s="688"/>
      <c r="CX102" s="688"/>
      <c r="CY102" s="688"/>
      <c r="CZ102" s="688"/>
      <c r="DA102" s="688"/>
      <c r="DB102" s="688"/>
      <c r="DC102" s="688"/>
      <c r="DD102" s="688"/>
      <c r="DE102" s="688"/>
      <c r="DF102" s="688"/>
      <c r="DG102" s="688"/>
      <c r="DH102" s="688"/>
      <c r="DI102" s="688"/>
      <c r="DJ102" s="688"/>
      <c r="DK102" s="688"/>
      <c r="DL102" s="688"/>
      <c r="DM102" s="688"/>
      <c r="DN102" s="688"/>
      <c r="DO102" s="688"/>
      <c r="DP102" s="688"/>
      <c r="DQ102" s="688"/>
      <c r="DR102" s="688"/>
      <c r="DS102" s="688"/>
      <c r="DT102" s="688"/>
      <c r="DU102" s="688"/>
      <c r="DV102" s="688"/>
      <c r="DW102" s="688"/>
      <c r="DX102" s="688"/>
      <c r="DY102" s="688"/>
      <c r="DZ102" s="688"/>
      <c r="EA102" s="688"/>
      <c r="EB102" s="688"/>
      <c r="EC102" s="688"/>
      <c r="ED102" s="688"/>
      <c r="EE102" s="688"/>
      <c r="EF102" s="688"/>
      <c r="EG102" s="688"/>
      <c r="EH102" s="688"/>
      <c r="EI102" s="688"/>
      <c r="EJ102" s="688"/>
      <c r="EK102" s="688"/>
      <c r="EL102" s="688"/>
      <c r="EM102" s="688"/>
      <c r="EN102" s="688"/>
      <c r="EO102" s="688"/>
      <c r="EP102" s="688"/>
      <c r="EQ102" s="688"/>
      <c r="ER102" s="688"/>
      <c r="ES102" s="688"/>
      <c r="ET102" s="688"/>
      <c r="EU102" s="688"/>
      <c r="EV102" s="688"/>
      <c r="EW102" s="688"/>
      <c r="EX102" s="688"/>
      <c r="EY102" s="688"/>
      <c r="EZ102" s="688"/>
      <c r="FA102" s="688"/>
      <c r="FB102" s="688"/>
      <c r="FC102" s="688"/>
      <c r="FD102" s="688"/>
      <c r="FE102" s="688"/>
      <c r="FF102" s="688"/>
      <c r="FG102" s="688"/>
      <c r="FH102" s="688"/>
      <c r="FI102" s="688"/>
      <c r="FJ102" s="688"/>
      <c r="FK102" s="688"/>
      <c r="FL102" s="688"/>
      <c r="FM102" s="688"/>
      <c r="FN102" s="688"/>
      <c r="FO102" s="688"/>
      <c r="FP102" s="688"/>
      <c r="FQ102" s="688"/>
      <c r="FR102" s="688"/>
      <c r="FS102" s="688"/>
      <c r="FT102" s="688"/>
      <c r="FU102" s="688"/>
      <c r="FV102" s="688"/>
      <c r="FW102" s="688"/>
      <c r="FX102" s="688"/>
      <c r="FY102" s="688"/>
      <c r="FZ102" s="688"/>
      <c r="GA102" s="688"/>
      <c r="GB102" s="688"/>
      <c r="GC102" s="688"/>
      <c r="GD102" s="688"/>
      <c r="GE102" s="688"/>
      <c r="GF102" s="688"/>
      <c r="GG102" s="688"/>
      <c r="GH102" s="688"/>
      <c r="GI102" s="688"/>
      <c r="GJ102" s="688"/>
      <c r="GK102" s="688"/>
      <c r="GL102" s="688"/>
      <c r="GM102" s="688"/>
      <c r="GN102" s="688"/>
      <c r="GO102" s="688"/>
      <c r="GP102" s="688"/>
      <c r="GQ102" s="688"/>
      <c r="GR102" s="688"/>
      <c r="GS102" s="688"/>
      <c r="GT102" s="688"/>
      <c r="GU102" s="688"/>
      <c r="GV102" s="688"/>
      <c r="GW102" s="688"/>
      <c r="GX102" s="688"/>
      <c r="GY102" s="688"/>
      <c r="GZ102" s="688"/>
      <c r="HA102" s="688"/>
      <c r="HB102" s="688"/>
      <c r="HC102" s="688"/>
      <c r="HD102" s="688"/>
      <c r="HE102" s="688"/>
      <c r="HF102" s="688"/>
      <c r="HG102" s="688"/>
      <c r="HH102" s="688"/>
      <c r="HI102" s="688"/>
      <c r="HJ102" s="688"/>
      <c r="HK102" s="688"/>
      <c r="HL102" s="688"/>
      <c r="HM102" s="688"/>
      <c r="HN102" s="688"/>
      <c r="HO102" s="688"/>
      <c r="HP102" s="688"/>
      <c r="HQ102" s="688"/>
      <c r="HR102" s="688"/>
      <c r="HS102" s="688"/>
      <c r="HT102" s="688"/>
      <c r="HU102" s="688"/>
      <c r="HV102" s="688"/>
      <c r="HW102" s="688"/>
      <c r="HX102" s="688"/>
      <c r="HY102" s="688"/>
      <c r="HZ102" s="688"/>
      <c r="IA102" s="688"/>
      <c r="IB102" s="688"/>
      <c r="IC102" s="688"/>
      <c r="ID102" s="688"/>
      <c r="IE102" s="688"/>
      <c r="IF102" s="688"/>
      <c r="IG102" s="688"/>
      <c r="IH102" s="688"/>
      <c r="II102" s="688"/>
      <c r="IJ102" s="688"/>
      <c r="IK102" s="688"/>
      <c r="IL102" s="688"/>
      <c r="IM102" s="688"/>
      <c r="IN102" s="688"/>
      <c r="IO102" s="688"/>
      <c r="IP102" s="688"/>
      <c r="IQ102" s="688"/>
      <c r="IR102" s="688"/>
      <c r="IS102" s="688"/>
      <c r="IT102" s="688"/>
      <c r="IU102" s="688"/>
    </row>
    <row r="103" spans="1:255" ht="18" customHeight="1">
      <c r="A103" s="677" t="s">
        <v>697</v>
      </c>
      <c r="B103" s="678"/>
      <c r="C103" s="1146">
        <v>24.072084589999999</v>
      </c>
      <c r="D103" s="1146">
        <v>34.712165079999998</v>
      </c>
      <c r="E103" s="1146">
        <v>33.954268020000001</v>
      </c>
      <c r="F103" s="1146">
        <v>25.68519689</v>
      </c>
      <c r="G103" s="1146">
        <v>32.731616029999998</v>
      </c>
      <c r="H103" s="1146">
        <v>27.241132559999997</v>
      </c>
      <c r="I103" s="1146">
        <v>19.506154440000003</v>
      </c>
      <c r="J103" s="1146">
        <v>19.123353479999999</v>
      </c>
      <c r="K103" s="1146">
        <v>0</v>
      </c>
      <c r="L103" s="1146">
        <v>0</v>
      </c>
      <c r="M103" s="678">
        <v>0</v>
      </c>
      <c r="N103" s="678">
        <v>0</v>
      </c>
      <c r="O103"/>
      <c r="P103" s="832" t="s">
        <v>1692</v>
      </c>
      <c r="Q103" s="561"/>
      <c r="R103" s="561"/>
      <c r="S103" s="561"/>
      <c r="T103" s="561"/>
      <c r="U103" s="561"/>
      <c r="V103" s="561"/>
      <c r="W103" s="561"/>
      <c r="X103" s="561"/>
      <c r="Y103" s="561"/>
      <c r="Z103" s="561"/>
      <c r="AA103" s="561"/>
      <c r="AB103" s="561"/>
      <c r="AC103" s="561"/>
      <c r="AD103" s="561"/>
      <c r="AE103" s="561"/>
      <c r="AF103" s="561"/>
      <c r="AG103" s="561"/>
      <c r="AH103" s="567"/>
      <c r="AI103" s="567"/>
      <c r="AJ103" s="567"/>
      <c r="AK103" s="567"/>
      <c r="AL103" s="567"/>
      <c r="AM103" s="567"/>
      <c r="AN103" s="567"/>
      <c r="AO103" s="567"/>
      <c r="AP103" s="567"/>
      <c r="AQ103" s="567"/>
      <c r="AR103" s="567"/>
      <c r="AS103" s="567"/>
      <c r="AT103" s="567"/>
      <c r="AU103" s="567"/>
      <c r="AV103" s="567"/>
      <c r="AW103" s="567"/>
      <c r="AX103" s="567"/>
      <c r="AY103" s="567"/>
      <c r="AZ103" s="567"/>
      <c r="BA103" s="567"/>
      <c r="BB103" s="567"/>
      <c r="BC103" s="567"/>
      <c r="BD103" s="568"/>
      <c r="BE103" s="568"/>
      <c r="BF103" s="568"/>
      <c r="BG103" s="568"/>
      <c r="BH103" s="568"/>
      <c r="BI103" s="568"/>
      <c r="BJ103" s="568"/>
      <c r="BK103" s="568"/>
      <c r="BL103" s="568"/>
      <c r="BM103" s="568"/>
      <c r="BN103" s="568"/>
      <c r="BO103" s="568"/>
      <c r="BP103" s="568"/>
      <c r="BQ103" s="568"/>
      <c r="BR103" s="568"/>
      <c r="BS103" s="568"/>
      <c r="BT103" s="568"/>
      <c r="BU103" s="568"/>
      <c r="BV103" s="568"/>
      <c r="BW103" s="568"/>
      <c r="BX103" s="568"/>
      <c r="BY103" s="568"/>
      <c r="BZ103" s="568"/>
      <c r="CA103" s="568"/>
      <c r="CB103" s="568"/>
      <c r="CC103" s="568"/>
      <c r="CD103" s="568"/>
      <c r="CE103" s="568"/>
      <c r="CF103" s="568"/>
      <c r="CG103" s="568"/>
      <c r="CH103" s="568"/>
      <c r="CI103" s="568"/>
      <c r="CJ103" s="568"/>
      <c r="CK103" s="568"/>
      <c r="CL103" s="568"/>
      <c r="CM103" s="568"/>
      <c r="CN103" s="568"/>
      <c r="CO103" s="568"/>
      <c r="CP103" s="568"/>
      <c r="CQ103" s="568"/>
      <c r="CR103" s="568"/>
      <c r="CS103" s="568"/>
      <c r="CT103" s="568"/>
      <c r="CU103" s="568"/>
      <c r="CV103" s="568"/>
      <c r="CW103" s="568"/>
      <c r="CX103" s="568"/>
      <c r="CY103" s="568"/>
      <c r="CZ103" s="568"/>
      <c r="DA103" s="568"/>
      <c r="DB103" s="568"/>
      <c r="DC103" s="568"/>
      <c r="DD103" s="568"/>
      <c r="DE103" s="568"/>
      <c r="DF103" s="568"/>
      <c r="DG103" s="568"/>
      <c r="DH103" s="568"/>
      <c r="DI103" s="568"/>
      <c r="DJ103" s="568"/>
      <c r="DK103" s="568"/>
      <c r="DL103" s="568"/>
      <c r="DM103" s="568"/>
      <c r="DN103" s="568"/>
      <c r="DO103" s="568"/>
      <c r="DP103" s="568"/>
      <c r="DQ103" s="568"/>
      <c r="DR103" s="568"/>
      <c r="DS103" s="568"/>
      <c r="DT103" s="568"/>
      <c r="DU103" s="568"/>
      <c r="DV103" s="568"/>
      <c r="DW103" s="568"/>
      <c r="DX103" s="568"/>
      <c r="DY103" s="568"/>
      <c r="DZ103" s="568"/>
      <c r="EA103" s="568"/>
      <c r="EB103" s="568"/>
      <c r="EC103" s="568"/>
      <c r="ED103" s="568"/>
      <c r="EE103" s="568"/>
      <c r="EF103" s="568"/>
      <c r="EG103" s="568"/>
      <c r="EH103" s="568"/>
      <c r="EI103" s="568"/>
      <c r="EJ103" s="568"/>
      <c r="EK103" s="568"/>
      <c r="EL103" s="568"/>
      <c r="EM103" s="568"/>
      <c r="EN103" s="568"/>
      <c r="EO103" s="568"/>
      <c r="EP103" s="568"/>
      <c r="EQ103" s="568"/>
      <c r="ER103" s="568"/>
      <c r="ES103" s="568"/>
      <c r="ET103" s="568"/>
      <c r="EU103" s="568"/>
      <c r="EV103" s="568"/>
      <c r="EW103" s="568"/>
      <c r="EX103" s="568"/>
      <c r="EY103" s="568"/>
      <c r="EZ103" s="568"/>
      <c r="FA103" s="568"/>
      <c r="FB103" s="568"/>
      <c r="FC103" s="568"/>
      <c r="FD103" s="568"/>
      <c r="FE103" s="568"/>
      <c r="FF103" s="568"/>
      <c r="FG103" s="568"/>
      <c r="FH103" s="568"/>
      <c r="FI103" s="568"/>
      <c r="FJ103" s="568"/>
      <c r="FK103" s="568"/>
      <c r="FL103" s="568"/>
      <c r="FM103" s="568"/>
      <c r="FN103" s="568"/>
      <c r="FO103" s="568"/>
      <c r="FP103" s="568"/>
      <c r="FQ103" s="568"/>
      <c r="FR103" s="568"/>
      <c r="FS103" s="568"/>
      <c r="FT103" s="568"/>
      <c r="FU103" s="568"/>
      <c r="FV103" s="568"/>
      <c r="FW103" s="568"/>
      <c r="FX103" s="568"/>
      <c r="FY103" s="568"/>
      <c r="FZ103" s="568"/>
      <c r="GA103" s="568"/>
      <c r="GB103" s="568"/>
      <c r="GC103" s="568"/>
      <c r="GD103" s="568"/>
      <c r="GE103" s="568"/>
      <c r="GF103" s="568"/>
      <c r="GG103" s="568"/>
      <c r="GH103" s="568"/>
      <c r="GI103" s="568"/>
      <c r="GJ103" s="568"/>
      <c r="GK103" s="568"/>
      <c r="GL103" s="568"/>
      <c r="GM103" s="568"/>
      <c r="GN103" s="568"/>
      <c r="GO103" s="568"/>
      <c r="GP103" s="568"/>
      <c r="GQ103" s="568"/>
      <c r="GR103" s="568"/>
      <c r="GS103" s="568"/>
      <c r="GT103" s="568"/>
      <c r="GU103" s="568"/>
      <c r="GV103" s="568"/>
      <c r="GW103" s="568"/>
      <c r="GX103" s="568"/>
      <c r="GY103" s="568"/>
      <c r="GZ103" s="568"/>
      <c r="HA103" s="568"/>
      <c r="HB103" s="568"/>
      <c r="HC103" s="568"/>
      <c r="HD103" s="568"/>
      <c r="HE103" s="568"/>
      <c r="HF103" s="568"/>
      <c r="HG103" s="568"/>
      <c r="HH103" s="568"/>
      <c r="HI103" s="568"/>
      <c r="HJ103" s="568"/>
      <c r="HK103" s="568"/>
      <c r="HL103" s="568"/>
      <c r="HM103" s="568"/>
      <c r="HN103" s="568"/>
      <c r="HO103" s="568"/>
      <c r="HP103" s="568"/>
      <c r="HQ103" s="568"/>
      <c r="HR103" s="568"/>
      <c r="HS103" s="568"/>
      <c r="HT103" s="568"/>
      <c r="HU103" s="568"/>
      <c r="HV103" s="568"/>
      <c r="HW103" s="568"/>
      <c r="HX103" s="568"/>
      <c r="HY103" s="568"/>
      <c r="HZ103" s="568"/>
      <c r="IA103" s="568"/>
      <c r="IB103" s="568"/>
      <c r="IC103" s="568"/>
      <c r="ID103" s="568"/>
      <c r="IE103" s="568"/>
      <c r="IF103" s="568"/>
      <c r="IG103" s="568"/>
      <c r="IH103" s="568"/>
      <c r="II103" s="568"/>
      <c r="IJ103" s="568"/>
      <c r="IK103" s="568"/>
      <c r="IL103" s="568"/>
      <c r="IM103" s="568"/>
      <c r="IN103" s="568"/>
      <c r="IO103" s="568"/>
      <c r="IP103" s="568"/>
      <c r="IQ103" s="568"/>
      <c r="IR103" s="568"/>
      <c r="IS103" s="568"/>
      <c r="IT103" s="568"/>
      <c r="IU103" s="568"/>
    </row>
    <row r="104" spans="1:255" s="573" customFormat="1" ht="18" customHeight="1">
      <c r="A104" s="685" t="s">
        <v>698</v>
      </c>
      <c r="B104" s="686"/>
      <c r="C104" s="1144">
        <v>4858.1080969799996</v>
      </c>
      <c r="D104" s="1144">
        <v>5689.1316607099998</v>
      </c>
      <c r="E104" s="1144">
        <v>6134.4683066099997</v>
      </c>
      <c r="F104" s="1144">
        <v>6324.5730594399993</v>
      </c>
      <c r="G104" s="1144">
        <v>6108.5103673599997</v>
      </c>
      <c r="H104" s="1144">
        <v>6325.9908800499998</v>
      </c>
      <c r="I104" s="1144">
        <v>7356.6324772299995</v>
      </c>
      <c r="J104" s="1144">
        <v>6322.2089309799994</v>
      </c>
      <c r="K104" s="1144">
        <v>0</v>
      </c>
      <c r="L104" s="1144">
        <v>0</v>
      </c>
      <c r="M104" s="686">
        <v>0</v>
      </c>
      <c r="N104" s="686">
        <v>0</v>
      </c>
      <c r="O104"/>
      <c r="P104" s="832" t="s">
        <v>1704</v>
      </c>
      <c r="Q104" s="560"/>
      <c r="R104" s="560"/>
      <c r="S104" s="560"/>
      <c r="T104" s="561"/>
      <c r="U104" s="560"/>
      <c r="V104" s="560"/>
      <c r="W104" s="560"/>
      <c r="X104" s="560"/>
      <c r="Y104" s="560"/>
      <c r="Z104" s="560"/>
      <c r="AA104" s="560"/>
      <c r="AB104" s="560"/>
      <c r="AC104" s="560"/>
      <c r="AD104" s="560"/>
      <c r="AE104" s="560"/>
      <c r="AF104" s="560"/>
      <c r="AG104" s="560"/>
      <c r="AH104" s="571"/>
      <c r="AI104" s="571"/>
      <c r="AJ104" s="571"/>
      <c r="AK104" s="571"/>
      <c r="AL104" s="571"/>
      <c r="AM104" s="571"/>
      <c r="AN104" s="571"/>
      <c r="AO104" s="571"/>
      <c r="AP104" s="571"/>
      <c r="AQ104" s="571"/>
      <c r="AR104" s="571"/>
      <c r="AS104" s="571"/>
      <c r="AT104" s="571"/>
      <c r="AU104" s="571"/>
      <c r="AV104" s="571"/>
      <c r="AW104" s="571"/>
      <c r="AX104" s="571"/>
      <c r="AY104" s="571"/>
      <c r="AZ104" s="571"/>
      <c r="BA104" s="571"/>
      <c r="BB104" s="571"/>
      <c r="BC104" s="571"/>
      <c r="BD104" s="572"/>
      <c r="BE104" s="572"/>
      <c r="BF104" s="572"/>
      <c r="BG104" s="572"/>
      <c r="BH104" s="572"/>
      <c r="BI104" s="572"/>
      <c r="BJ104" s="572"/>
      <c r="BK104" s="572"/>
      <c r="BL104" s="572"/>
      <c r="BM104" s="572"/>
      <c r="BN104" s="572"/>
      <c r="BO104" s="572"/>
      <c r="BP104" s="572"/>
      <c r="BQ104" s="572"/>
      <c r="BR104" s="572"/>
      <c r="BS104" s="572"/>
      <c r="BT104" s="572"/>
      <c r="BU104" s="572"/>
      <c r="BV104" s="572"/>
      <c r="BW104" s="572"/>
      <c r="BX104" s="572"/>
      <c r="BY104" s="572"/>
      <c r="BZ104" s="572"/>
      <c r="CA104" s="572"/>
      <c r="CB104" s="572"/>
      <c r="CC104" s="572"/>
      <c r="CD104" s="572"/>
      <c r="CE104" s="572"/>
      <c r="CF104" s="572"/>
      <c r="CG104" s="572"/>
      <c r="CH104" s="572"/>
      <c r="CI104" s="572"/>
      <c r="CJ104" s="572"/>
      <c r="CK104" s="572"/>
      <c r="CL104" s="572"/>
      <c r="CM104" s="572"/>
      <c r="CN104" s="572"/>
      <c r="CO104" s="572"/>
      <c r="CP104" s="572"/>
      <c r="CQ104" s="572"/>
      <c r="CR104" s="572"/>
      <c r="CS104" s="572"/>
      <c r="CT104" s="572"/>
      <c r="CU104" s="572"/>
      <c r="CV104" s="572"/>
      <c r="CW104" s="572"/>
      <c r="CX104" s="572"/>
      <c r="CY104" s="572"/>
      <c r="CZ104" s="572"/>
      <c r="DA104" s="572"/>
      <c r="DB104" s="572"/>
      <c r="DC104" s="572"/>
      <c r="DD104" s="572"/>
      <c r="DE104" s="572"/>
      <c r="DF104" s="572"/>
      <c r="DG104" s="572"/>
      <c r="DH104" s="572"/>
      <c r="DI104" s="572"/>
      <c r="DJ104" s="572"/>
      <c r="DK104" s="572"/>
      <c r="DL104" s="572"/>
      <c r="DM104" s="572"/>
      <c r="DN104" s="572"/>
      <c r="DO104" s="572"/>
      <c r="DP104" s="572"/>
      <c r="DQ104" s="572"/>
      <c r="DR104" s="572"/>
      <c r="DS104" s="572"/>
      <c r="DT104" s="572"/>
      <c r="DU104" s="572"/>
      <c r="DV104" s="572"/>
      <c r="DW104" s="572"/>
      <c r="DX104" s="572"/>
      <c r="DY104" s="572"/>
      <c r="DZ104" s="572"/>
      <c r="EA104" s="572"/>
      <c r="EB104" s="572"/>
      <c r="EC104" s="572"/>
      <c r="ED104" s="572"/>
      <c r="EE104" s="572"/>
      <c r="EF104" s="572"/>
      <c r="EG104" s="572"/>
      <c r="EH104" s="572"/>
      <c r="EI104" s="572"/>
      <c r="EJ104" s="572"/>
      <c r="EK104" s="572"/>
      <c r="EL104" s="572"/>
      <c r="EM104" s="572"/>
      <c r="EN104" s="572"/>
      <c r="EO104" s="572"/>
      <c r="EP104" s="572"/>
      <c r="EQ104" s="572"/>
      <c r="ER104" s="572"/>
      <c r="ES104" s="572"/>
      <c r="ET104" s="572"/>
      <c r="EU104" s="572"/>
      <c r="EV104" s="572"/>
      <c r="EW104" s="572"/>
      <c r="EX104" s="572"/>
      <c r="EY104" s="572"/>
      <c r="EZ104" s="572"/>
      <c r="FA104" s="572"/>
      <c r="FB104" s="572"/>
      <c r="FC104" s="572"/>
      <c r="FD104" s="572"/>
      <c r="FE104" s="572"/>
      <c r="FF104" s="572"/>
      <c r="FG104" s="572"/>
      <c r="FH104" s="572"/>
      <c r="FI104" s="572"/>
      <c r="FJ104" s="572"/>
      <c r="FK104" s="572"/>
      <c r="FL104" s="572"/>
      <c r="FM104" s="572"/>
      <c r="FN104" s="572"/>
      <c r="FO104" s="572"/>
      <c r="FP104" s="572"/>
      <c r="FQ104" s="572"/>
      <c r="FR104" s="572"/>
      <c r="FS104" s="572"/>
      <c r="FT104" s="572"/>
      <c r="FU104" s="572"/>
      <c r="FV104" s="572"/>
      <c r="FW104" s="572"/>
      <c r="FX104" s="572"/>
      <c r="FY104" s="572"/>
      <c r="FZ104" s="572"/>
      <c r="GA104" s="572"/>
      <c r="GB104" s="572"/>
      <c r="GC104" s="572"/>
      <c r="GD104" s="572"/>
      <c r="GE104" s="572"/>
      <c r="GF104" s="572"/>
      <c r="GG104" s="572"/>
      <c r="GH104" s="572"/>
      <c r="GI104" s="572"/>
      <c r="GJ104" s="572"/>
      <c r="GK104" s="572"/>
      <c r="GL104" s="572"/>
      <c r="GM104" s="572"/>
      <c r="GN104" s="572"/>
      <c r="GO104" s="572"/>
      <c r="GP104" s="572"/>
      <c r="GQ104" s="572"/>
      <c r="GR104" s="572"/>
      <c r="GS104" s="572"/>
      <c r="GT104" s="572"/>
      <c r="GU104" s="572"/>
      <c r="GV104" s="572"/>
      <c r="GW104" s="572"/>
      <c r="GX104" s="572"/>
      <c r="GY104" s="572"/>
      <c r="GZ104" s="572"/>
      <c r="HA104" s="572"/>
      <c r="HB104" s="572"/>
      <c r="HC104" s="572"/>
      <c r="HD104" s="572"/>
      <c r="HE104" s="572"/>
      <c r="HF104" s="572"/>
      <c r="HG104" s="572"/>
      <c r="HH104" s="572"/>
      <c r="HI104" s="572"/>
      <c r="HJ104" s="572"/>
      <c r="HK104" s="572"/>
      <c r="HL104" s="572"/>
      <c r="HM104" s="572"/>
      <c r="HN104" s="572"/>
      <c r="HO104" s="572"/>
      <c r="HP104" s="572"/>
      <c r="HQ104" s="572"/>
      <c r="HR104" s="572"/>
      <c r="HS104" s="572"/>
      <c r="HT104" s="572"/>
      <c r="HU104" s="572"/>
      <c r="HV104" s="572"/>
      <c r="HW104" s="572"/>
      <c r="HX104" s="572"/>
      <c r="HY104" s="572"/>
      <c r="HZ104" s="572"/>
      <c r="IA104" s="572"/>
      <c r="IB104" s="572"/>
      <c r="IC104" s="572"/>
      <c r="ID104" s="572"/>
      <c r="IE104" s="572"/>
      <c r="IF104" s="572"/>
      <c r="IG104" s="572"/>
      <c r="IH104" s="572"/>
      <c r="II104" s="572"/>
      <c r="IJ104" s="572"/>
      <c r="IK104" s="572"/>
      <c r="IL104" s="572"/>
      <c r="IM104" s="572"/>
      <c r="IN104" s="572"/>
      <c r="IO104" s="572"/>
      <c r="IP104" s="572"/>
      <c r="IQ104" s="572"/>
      <c r="IR104" s="572"/>
      <c r="IS104" s="572"/>
      <c r="IT104" s="572"/>
      <c r="IU104" s="572"/>
    </row>
    <row r="105" spans="1:255" ht="18" customHeight="1">
      <c r="A105" s="570" t="s">
        <v>699</v>
      </c>
      <c r="B105" s="561"/>
      <c r="C105" s="1142"/>
      <c r="D105" s="1142"/>
      <c r="E105" s="1142"/>
      <c r="F105" s="1142"/>
      <c r="G105" s="1142"/>
      <c r="H105" s="1142"/>
      <c r="I105" s="1142"/>
      <c r="J105" s="1142"/>
      <c r="K105" s="1142"/>
      <c r="L105" s="1142"/>
      <c r="M105" s="561">
        <v>0</v>
      </c>
      <c r="N105" s="561">
        <v>0</v>
      </c>
      <c r="O105"/>
      <c r="P105" s="832"/>
      <c r="Q105" s="561"/>
      <c r="R105" s="561"/>
      <c r="S105" s="561"/>
      <c r="T105" s="560"/>
      <c r="U105" s="561"/>
      <c r="V105" s="561"/>
      <c r="W105" s="561"/>
      <c r="X105" s="561"/>
      <c r="Y105" s="561"/>
      <c r="Z105" s="561"/>
      <c r="AA105" s="561"/>
      <c r="AB105" s="561"/>
      <c r="AC105" s="561"/>
      <c r="AD105" s="561"/>
      <c r="AE105" s="561"/>
      <c r="AF105" s="561"/>
      <c r="AG105" s="561"/>
      <c r="AH105" s="567"/>
      <c r="AI105" s="567"/>
      <c r="AJ105" s="567"/>
      <c r="AK105" s="567"/>
      <c r="AL105" s="567"/>
      <c r="AM105" s="567"/>
      <c r="AN105" s="567"/>
      <c r="AO105" s="567"/>
      <c r="AP105" s="567"/>
      <c r="AQ105" s="567"/>
      <c r="AR105" s="567"/>
      <c r="AS105" s="567"/>
      <c r="AT105" s="567"/>
      <c r="AU105" s="567"/>
      <c r="AV105" s="567"/>
      <c r="AW105" s="567"/>
      <c r="AX105" s="567"/>
      <c r="AY105" s="567"/>
      <c r="AZ105" s="567"/>
      <c r="BA105" s="567"/>
      <c r="BB105" s="567"/>
      <c r="BC105" s="567"/>
      <c r="BD105" s="568"/>
      <c r="BE105" s="568"/>
      <c r="BF105" s="568"/>
      <c r="BG105" s="568"/>
      <c r="BH105" s="568"/>
      <c r="BI105" s="568"/>
      <c r="BJ105" s="568"/>
      <c r="BK105" s="568"/>
      <c r="BL105" s="568"/>
      <c r="BM105" s="568"/>
      <c r="BN105" s="568"/>
      <c r="BO105" s="568"/>
      <c r="BP105" s="568"/>
      <c r="BQ105" s="568"/>
      <c r="BR105" s="568"/>
      <c r="BS105" s="568"/>
      <c r="BT105" s="568"/>
      <c r="BU105" s="568"/>
      <c r="BV105" s="568"/>
      <c r="BW105" s="568"/>
      <c r="BX105" s="568"/>
      <c r="BY105" s="568"/>
      <c r="BZ105" s="568"/>
      <c r="CA105" s="568"/>
      <c r="CB105" s="568"/>
      <c r="CC105" s="568"/>
      <c r="CD105" s="568"/>
      <c r="CE105" s="568"/>
      <c r="CF105" s="568"/>
      <c r="CG105" s="568"/>
      <c r="CH105" s="568"/>
      <c r="CI105" s="568"/>
      <c r="CJ105" s="568"/>
      <c r="CK105" s="568"/>
      <c r="CL105" s="568"/>
      <c r="CM105" s="568"/>
      <c r="CN105" s="568"/>
      <c r="CO105" s="568"/>
      <c r="CP105" s="568"/>
      <c r="CQ105" s="568"/>
      <c r="CR105" s="568"/>
      <c r="CS105" s="568"/>
      <c r="CT105" s="568"/>
      <c r="CU105" s="568"/>
      <c r="CV105" s="568"/>
      <c r="CW105" s="568"/>
      <c r="CX105" s="568"/>
      <c r="CY105" s="568"/>
      <c r="CZ105" s="568"/>
      <c r="DA105" s="568"/>
      <c r="DB105" s="568"/>
      <c r="DC105" s="568"/>
      <c r="DD105" s="568"/>
      <c r="DE105" s="568"/>
      <c r="DF105" s="568"/>
      <c r="DG105" s="568"/>
      <c r="DH105" s="568"/>
      <c r="DI105" s="568"/>
      <c r="DJ105" s="568"/>
      <c r="DK105" s="568"/>
      <c r="DL105" s="568"/>
      <c r="DM105" s="568"/>
      <c r="DN105" s="568"/>
      <c r="DO105" s="568"/>
      <c r="DP105" s="568"/>
      <c r="DQ105" s="568"/>
      <c r="DR105" s="568"/>
      <c r="DS105" s="568"/>
      <c r="DT105" s="568"/>
      <c r="DU105" s="568"/>
      <c r="DV105" s="568"/>
      <c r="DW105" s="568"/>
      <c r="DX105" s="568"/>
      <c r="DY105" s="568"/>
      <c r="DZ105" s="568"/>
      <c r="EA105" s="568"/>
      <c r="EB105" s="568"/>
      <c r="EC105" s="568"/>
      <c r="ED105" s="568"/>
      <c r="EE105" s="568"/>
      <c r="EF105" s="568"/>
      <c r="EG105" s="568"/>
      <c r="EH105" s="568"/>
      <c r="EI105" s="568"/>
      <c r="EJ105" s="568"/>
      <c r="EK105" s="568"/>
      <c r="EL105" s="568"/>
      <c r="EM105" s="568"/>
      <c r="EN105" s="568"/>
      <c r="EO105" s="568"/>
      <c r="EP105" s="568"/>
      <c r="EQ105" s="568"/>
      <c r="ER105" s="568"/>
      <c r="ES105" s="568"/>
      <c r="ET105" s="568"/>
      <c r="EU105" s="568"/>
      <c r="EV105" s="568"/>
      <c r="EW105" s="568"/>
      <c r="EX105" s="568"/>
      <c r="EY105" s="568"/>
      <c r="EZ105" s="568"/>
      <c r="FA105" s="568"/>
      <c r="FB105" s="568"/>
      <c r="FC105" s="568"/>
      <c r="FD105" s="568"/>
      <c r="FE105" s="568"/>
      <c r="FF105" s="568"/>
      <c r="FG105" s="568"/>
      <c r="FH105" s="568"/>
      <c r="FI105" s="568"/>
      <c r="FJ105" s="568"/>
      <c r="FK105" s="568"/>
      <c r="FL105" s="568"/>
      <c r="FM105" s="568"/>
      <c r="FN105" s="568"/>
      <c r="FO105" s="568"/>
      <c r="FP105" s="568"/>
      <c r="FQ105" s="568"/>
      <c r="FR105" s="568"/>
      <c r="FS105" s="568"/>
      <c r="FT105" s="568"/>
      <c r="FU105" s="568"/>
      <c r="FV105" s="568"/>
      <c r="FW105" s="568"/>
      <c r="FX105" s="568"/>
      <c r="FY105" s="568"/>
      <c r="FZ105" s="568"/>
      <c r="GA105" s="568"/>
      <c r="GB105" s="568"/>
      <c r="GC105" s="568"/>
      <c r="GD105" s="568"/>
      <c r="GE105" s="568"/>
      <c r="GF105" s="568"/>
      <c r="GG105" s="568"/>
      <c r="GH105" s="568"/>
      <c r="GI105" s="568"/>
      <c r="GJ105" s="568"/>
      <c r="GK105" s="568"/>
      <c r="GL105" s="568"/>
      <c r="GM105" s="568"/>
      <c r="GN105" s="568"/>
      <c r="GO105" s="568"/>
      <c r="GP105" s="568"/>
      <c r="GQ105" s="568"/>
      <c r="GR105" s="568"/>
      <c r="GS105" s="568"/>
      <c r="GT105" s="568"/>
      <c r="GU105" s="568"/>
      <c r="GV105" s="568"/>
      <c r="GW105" s="568"/>
      <c r="GX105" s="568"/>
      <c r="GY105" s="568"/>
      <c r="GZ105" s="568"/>
      <c r="HA105" s="568"/>
      <c r="HB105" s="568"/>
      <c r="HC105" s="568"/>
      <c r="HD105" s="568"/>
      <c r="HE105" s="568"/>
      <c r="HF105" s="568"/>
      <c r="HG105" s="568"/>
      <c r="HH105" s="568"/>
      <c r="HI105" s="568"/>
      <c r="HJ105" s="568"/>
      <c r="HK105" s="568"/>
      <c r="HL105" s="568"/>
      <c r="HM105" s="568"/>
      <c r="HN105" s="568"/>
      <c r="HO105" s="568"/>
      <c r="HP105" s="568"/>
      <c r="HQ105" s="568"/>
      <c r="HR105" s="568"/>
      <c r="HS105" s="568"/>
      <c r="HT105" s="568"/>
      <c r="HU105" s="568"/>
      <c r="HV105" s="568"/>
      <c r="HW105" s="568"/>
      <c r="HX105" s="568"/>
      <c r="HY105" s="568"/>
      <c r="HZ105" s="568"/>
      <c r="IA105" s="568"/>
      <c r="IB105" s="568"/>
      <c r="IC105" s="568"/>
      <c r="ID105" s="568"/>
      <c r="IE105" s="568"/>
      <c r="IF105" s="568"/>
      <c r="IG105" s="568"/>
      <c r="IH105" s="568"/>
      <c r="II105" s="568"/>
      <c r="IJ105" s="568"/>
      <c r="IK105" s="568"/>
      <c r="IL105" s="568"/>
      <c r="IM105" s="568"/>
      <c r="IN105" s="568"/>
      <c r="IO105" s="568"/>
      <c r="IP105" s="568"/>
      <c r="IQ105" s="568"/>
      <c r="IR105" s="568"/>
      <c r="IS105" s="568"/>
      <c r="IT105" s="568"/>
      <c r="IU105" s="568"/>
    </row>
    <row r="106" spans="1:255" ht="18" customHeight="1">
      <c r="A106" s="580" t="s">
        <v>700</v>
      </c>
      <c r="B106" s="561"/>
      <c r="C106" s="1142">
        <v>856.58881897000003</v>
      </c>
      <c r="D106" s="1142">
        <v>838.84947592999993</v>
      </c>
      <c r="E106" s="1142">
        <v>1041.52300853</v>
      </c>
      <c r="F106" s="1142">
        <v>879.34920297000008</v>
      </c>
      <c r="G106" s="1142">
        <v>708.48547254999994</v>
      </c>
      <c r="H106" s="1142">
        <v>840.30660149000005</v>
      </c>
      <c r="I106" s="1142">
        <v>573.63608904</v>
      </c>
      <c r="J106" s="1142">
        <v>405.91677083999997</v>
      </c>
      <c r="K106" s="1142">
        <v>0</v>
      </c>
      <c r="L106" s="1142">
        <v>0</v>
      </c>
      <c r="M106" s="561">
        <v>0</v>
      </c>
      <c r="N106" s="561">
        <v>0</v>
      </c>
      <c r="O106"/>
      <c r="P106" s="832" t="s">
        <v>1705</v>
      </c>
      <c r="Q106" s="561"/>
      <c r="R106" s="561"/>
      <c r="S106" s="561"/>
      <c r="T106" s="561"/>
      <c r="U106" s="561"/>
      <c r="V106" s="561"/>
      <c r="W106" s="561"/>
      <c r="X106" s="561"/>
      <c r="Y106" s="561"/>
      <c r="Z106" s="561"/>
      <c r="AA106" s="561"/>
      <c r="AB106" s="561"/>
      <c r="AC106" s="561"/>
      <c r="AD106" s="561"/>
      <c r="AE106" s="561"/>
      <c r="AF106" s="561"/>
      <c r="AG106" s="561"/>
      <c r="AH106" s="567"/>
      <c r="AI106" s="567"/>
      <c r="AJ106" s="567"/>
      <c r="AK106" s="567"/>
      <c r="AL106" s="567"/>
      <c r="AM106" s="567"/>
      <c r="AN106" s="567"/>
      <c r="AO106" s="567"/>
      <c r="AP106" s="567"/>
      <c r="AQ106" s="567"/>
      <c r="AR106" s="567"/>
      <c r="AS106" s="567"/>
      <c r="AT106" s="567"/>
      <c r="AU106" s="567"/>
      <c r="AV106" s="567"/>
      <c r="AW106" s="567"/>
      <c r="AX106" s="567"/>
      <c r="AY106" s="567"/>
      <c r="AZ106" s="567"/>
      <c r="BA106" s="567"/>
      <c r="BB106" s="567"/>
      <c r="BC106" s="567"/>
      <c r="BD106" s="568"/>
      <c r="BE106" s="568"/>
      <c r="BF106" s="568"/>
      <c r="BG106" s="568"/>
      <c r="BH106" s="568"/>
      <c r="BI106" s="568"/>
      <c r="BJ106" s="568"/>
      <c r="BK106" s="568"/>
      <c r="BL106" s="568"/>
      <c r="BM106" s="568"/>
      <c r="BN106" s="568"/>
      <c r="BO106" s="568"/>
      <c r="BP106" s="568"/>
      <c r="BQ106" s="568"/>
      <c r="BR106" s="568"/>
      <c r="BS106" s="568"/>
      <c r="BT106" s="568"/>
      <c r="BU106" s="568"/>
      <c r="BV106" s="568"/>
      <c r="BW106" s="568"/>
      <c r="BX106" s="568"/>
      <c r="BY106" s="568"/>
      <c r="BZ106" s="568"/>
      <c r="CA106" s="568"/>
      <c r="CB106" s="568"/>
      <c r="CC106" s="568"/>
      <c r="CD106" s="568"/>
      <c r="CE106" s="568"/>
      <c r="CF106" s="568"/>
      <c r="CG106" s="568"/>
      <c r="CH106" s="568"/>
      <c r="CI106" s="568"/>
      <c r="CJ106" s="568"/>
      <c r="CK106" s="568"/>
      <c r="CL106" s="568"/>
      <c r="CM106" s="568"/>
      <c r="CN106" s="568"/>
      <c r="CO106" s="568"/>
      <c r="CP106" s="568"/>
      <c r="CQ106" s="568"/>
      <c r="CR106" s="568"/>
      <c r="CS106" s="568"/>
      <c r="CT106" s="568"/>
      <c r="CU106" s="568"/>
      <c r="CV106" s="568"/>
      <c r="CW106" s="568"/>
      <c r="CX106" s="568"/>
      <c r="CY106" s="568"/>
      <c r="CZ106" s="568"/>
      <c r="DA106" s="568"/>
      <c r="DB106" s="568"/>
      <c r="DC106" s="568"/>
      <c r="DD106" s="568"/>
      <c r="DE106" s="568"/>
      <c r="DF106" s="568"/>
      <c r="DG106" s="568"/>
      <c r="DH106" s="568"/>
      <c r="DI106" s="568"/>
      <c r="DJ106" s="568"/>
      <c r="DK106" s="568"/>
      <c r="DL106" s="568"/>
      <c r="DM106" s="568"/>
      <c r="DN106" s="568"/>
      <c r="DO106" s="568"/>
      <c r="DP106" s="568"/>
      <c r="DQ106" s="568"/>
      <c r="DR106" s="568"/>
      <c r="DS106" s="568"/>
      <c r="DT106" s="568"/>
      <c r="DU106" s="568"/>
      <c r="DV106" s="568"/>
      <c r="DW106" s="568"/>
      <c r="DX106" s="568"/>
      <c r="DY106" s="568"/>
      <c r="DZ106" s="568"/>
      <c r="EA106" s="568"/>
      <c r="EB106" s="568"/>
      <c r="EC106" s="568"/>
      <c r="ED106" s="568"/>
      <c r="EE106" s="568"/>
      <c r="EF106" s="568"/>
      <c r="EG106" s="568"/>
      <c r="EH106" s="568"/>
      <c r="EI106" s="568"/>
      <c r="EJ106" s="568"/>
      <c r="EK106" s="568"/>
      <c r="EL106" s="568"/>
      <c r="EM106" s="568"/>
      <c r="EN106" s="568"/>
      <c r="EO106" s="568"/>
      <c r="EP106" s="568"/>
      <c r="EQ106" s="568"/>
      <c r="ER106" s="568"/>
      <c r="ES106" s="568"/>
      <c r="ET106" s="568"/>
      <c r="EU106" s="568"/>
      <c r="EV106" s="568"/>
      <c r="EW106" s="568"/>
      <c r="EX106" s="568"/>
      <c r="EY106" s="568"/>
      <c r="EZ106" s="568"/>
      <c r="FA106" s="568"/>
      <c r="FB106" s="568"/>
      <c r="FC106" s="568"/>
      <c r="FD106" s="568"/>
      <c r="FE106" s="568"/>
      <c r="FF106" s="568"/>
      <c r="FG106" s="568"/>
      <c r="FH106" s="568"/>
      <c r="FI106" s="568"/>
      <c r="FJ106" s="568"/>
      <c r="FK106" s="568"/>
      <c r="FL106" s="568"/>
      <c r="FM106" s="568"/>
      <c r="FN106" s="568"/>
      <c r="FO106" s="568"/>
      <c r="FP106" s="568"/>
      <c r="FQ106" s="568"/>
      <c r="FR106" s="568"/>
      <c r="FS106" s="568"/>
      <c r="FT106" s="568"/>
      <c r="FU106" s="568"/>
      <c r="FV106" s="568"/>
      <c r="FW106" s="568"/>
      <c r="FX106" s="568"/>
      <c r="FY106" s="568"/>
      <c r="FZ106" s="568"/>
      <c r="GA106" s="568"/>
      <c r="GB106" s="568"/>
      <c r="GC106" s="568"/>
      <c r="GD106" s="568"/>
      <c r="GE106" s="568"/>
      <c r="GF106" s="568"/>
      <c r="GG106" s="568"/>
      <c r="GH106" s="568"/>
      <c r="GI106" s="568"/>
      <c r="GJ106" s="568"/>
      <c r="GK106" s="568"/>
      <c r="GL106" s="568"/>
      <c r="GM106" s="568"/>
      <c r="GN106" s="568"/>
      <c r="GO106" s="568"/>
      <c r="GP106" s="568"/>
      <c r="GQ106" s="568"/>
      <c r="GR106" s="568"/>
      <c r="GS106" s="568"/>
      <c r="GT106" s="568"/>
      <c r="GU106" s="568"/>
      <c r="GV106" s="568"/>
      <c r="GW106" s="568"/>
      <c r="GX106" s="568"/>
      <c r="GY106" s="568"/>
      <c r="GZ106" s="568"/>
      <c r="HA106" s="568"/>
      <c r="HB106" s="568"/>
      <c r="HC106" s="568"/>
      <c r="HD106" s="568"/>
      <c r="HE106" s="568"/>
      <c r="HF106" s="568"/>
      <c r="HG106" s="568"/>
      <c r="HH106" s="568"/>
      <c r="HI106" s="568"/>
      <c r="HJ106" s="568"/>
      <c r="HK106" s="568"/>
      <c r="HL106" s="568"/>
      <c r="HM106" s="568"/>
      <c r="HN106" s="568"/>
      <c r="HO106" s="568"/>
      <c r="HP106" s="568"/>
      <c r="HQ106" s="568"/>
      <c r="HR106" s="568"/>
      <c r="HS106" s="568"/>
      <c r="HT106" s="568"/>
      <c r="HU106" s="568"/>
      <c r="HV106" s="568"/>
      <c r="HW106" s="568"/>
      <c r="HX106" s="568"/>
      <c r="HY106" s="568"/>
      <c r="HZ106" s="568"/>
      <c r="IA106" s="568"/>
      <c r="IB106" s="568"/>
      <c r="IC106" s="568"/>
      <c r="ID106" s="568"/>
      <c r="IE106" s="568"/>
      <c r="IF106" s="568"/>
      <c r="IG106" s="568"/>
      <c r="IH106" s="568"/>
      <c r="II106" s="568"/>
      <c r="IJ106" s="568"/>
      <c r="IK106" s="568"/>
      <c r="IL106" s="568"/>
      <c r="IM106" s="568"/>
      <c r="IN106" s="568"/>
      <c r="IO106" s="568"/>
      <c r="IP106" s="568"/>
      <c r="IQ106" s="568"/>
      <c r="IR106" s="568"/>
      <c r="IS106" s="568"/>
      <c r="IT106" s="568"/>
      <c r="IU106" s="568"/>
    </row>
    <row r="107" spans="1:255" s="568" customFormat="1" ht="18" customHeight="1">
      <c r="A107" s="580" t="s">
        <v>701</v>
      </c>
      <c r="B107" s="561"/>
      <c r="C107" s="1142">
        <v>0</v>
      </c>
      <c r="D107" s="1142">
        <v>0</v>
      </c>
      <c r="E107" s="1142">
        <v>0</v>
      </c>
      <c r="F107" s="1142">
        <v>0</v>
      </c>
      <c r="G107" s="1142">
        <v>0</v>
      </c>
      <c r="H107" s="1142">
        <v>0</v>
      </c>
      <c r="I107" s="1142">
        <v>0</v>
      </c>
      <c r="J107" s="1142">
        <v>2185.4977583099999</v>
      </c>
      <c r="K107" s="1142">
        <v>0</v>
      </c>
      <c r="L107" s="1142">
        <v>0</v>
      </c>
      <c r="M107" s="561">
        <v>0</v>
      </c>
      <c r="N107" s="561">
        <v>0</v>
      </c>
      <c r="O107"/>
      <c r="P107" s="832" t="s">
        <v>1706</v>
      </c>
      <c r="Q107" s="561"/>
      <c r="R107" s="561"/>
      <c r="S107" s="561"/>
      <c r="T107" s="561"/>
      <c r="U107" s="561"/>
      <c r="V107" s="561"/>
      <c r="W107" s="561"/>
      <c r="X107" s="561"/>
      <c r="Y107" s="561"/>
      <c r="Z107" s="561"/>
      <c r="AA107" s="561"/>
      <c r="AB107" s="561"/>
      <c r="AC107" s="561"/>
      <c r="AD107" s="561"/>
      <c r="AE107" s="561"/>
      <c r="AF107" s="561"/>
      <c r="AG107" s="561"/>
      <c r="AH107" s="567"/>
      <c r="AI107" s="567"/>
      <c r="AJ107" s="567"/>
      <c r="AK107" s="567"/>
      <c r="AL107" s="567"/>
      <c r="AM107" s="567"/>
      <c r="AN107" s="567"/>
      <c r="AO107" s="567"/>
      <c r="AP107" s="567"/>
      <c r="AQ107" s="567"/>
      <c r="AR107" s="567"/>
      <c r="AS107" s="567"/>
      <c r="AT107" s="567"/>
      <c r="AU107" s="567"/>
      <c r="AV107" s="567"/>
      <c r="AW107" s="567"/>
      <c r="AX107" s="567"/>
      <c r="AY107" s="567"/>
      <c r="AZ107" s="567"/>
      <c r="BA107" s="567"/>
      <c r="BB107" s="567"/>
      <c r="BC107" s="567"/>
    </row>
    <row r="108" spans="1:255" ht="18" customHeight="1">
      <c r="A108" s="1170" t="s">
        <v>2797</v>
      </c>
      <c r="B108" s="561"/>
      <c r="C108" s="1142">
        <v>10.031441019999999</v>
      </c>
      <c r="D108" s="1142">
        <v>12.784595660000001</v>
      </c>
      <c r="E108" s="1142">
        <v>15.295610640000001</v>
      </c>
      <c r="F108" s="1142">
        <v>16.331879929999999</v>
      </c>
      <c r="G108" s="1142">
        <v>7.97619262</v>
      </c>
      <c r="H108" s="1142">
        <v>14.98598756</v>
      </c>
      <c r="I108" s="1142">
        <v>25.931709100000003</v>
      </c>
      <c r="J108" s="1142">
        <v>24.742533359999999</v>
      </c>
      <c r="K108" s="1142">
        <v>0</v>
      </c>
      <c r="L108" s="1142">
        <v>0</v>
      </c>
      <c r="M108" s="561">
        <v>0</v>
      </c>
      <c r="N108" s="561">
        <v>0</v>
      </c>
      <c r="O108"/>
      <c r="P108" s="832" t="s">
        <v>2848</v>
      </c>
      <c r="Q108" s="562"/>
      <c r="R108" s="562"/>
      <c r="S108" s="562"/>
      <c r="T108" s="561"/>
      <c r="U108" s="562"/>
      <c r="V108" s="562"/>
      <c r="W108" s="562"/>
      <c r="X108" s="562"/>
      <c r="Y108" s="562"/>
      <c r="Z108" s="562"/>
      <c r="AA108" s="562"/>
      <c r="AB108" s="562"/>
      <c r="AC108" s="562"/>
      <c r="AD108" s="562"/>
      <c r="AE108" s="562"/>
      <c r="AF108" s="562"/>
      <c r="AG108" s="562"/>
      <c r="AH108" s="563"/>
      <c r="AI108" s="563"/>
      <c r="AJ108" s="563"/>
      <c r="AK108" s="563"/>
      <c r="AL108" s="563"/>
      <c r="AM108" s="563"/>
      <c r="AN108" s="563"/>
      <c r="AO108" s="563"/>
      <c r="AP108" s="563"/>
      <c r="AQ108" s="563"/>
      <c r="AR108" s="563"/>
      <c r="AS108" s="563"/>
      <c r="AT108" s="563"/>
      <c r="AU108" s="563"/>
      <c r="AV108" s="563"/>
      <c r="AW108" s="563"/>
      <c r="AX108" s="563"/>
      <c r="AY108" s="563"/>
      <c r="AZ108" s="563"/>
      <c r="BA108" s="563"/>
      <c r="BB108" s="563"/>
      <c r="BC108" s="563"/>
      <c r="BD108" s="564"/>
      <c r="BE108" s="564"/>
      <c r="BF108" s="564"/>
      <c r="BG108" s="564"/>
      <c r="BH108" s="564"/>
      <c r="BI108" s="564"/>
      <c r="BJ108" s="564"/>
      <c r="BK108" s="564"/>
      <c r="BL108" s="564"/>
      <c r="BM108" s="564"/>
      <c r="BN108" s="564"/>
      <c r="BO108" s="564"/>
      <c r="BP108" s="564"/>
      <c r="BQ108" s="564"/>
      <c r="BR108" s="564"/>
      <c r="BS108" s="564"/>
      <c r="BT108" s="564"/>
      <c r="BU108" s="564"/>
      <c r="BV108" s="564"/>
      <c r="BW108" s="564"/>
      <c r="BX108" s="564"/>
    </row>
    <row r="109" spans="1:255" s="568" customFormat="1" ht="18" customHeight="1">
      <c r="A109" s="580" t="s">
        <v>702</v>
      </c>
      <c r="B109" s="561"/>
      <c r="C109" s="1142">
        <v>0</v>
      </c>
      <c r="D109" s="1142">
        <v>0</v>
      </c>
      <c r="E109" s="1142">
        <v>0</v>
      </c>
      <c r="F109" s="1142">
        <v>0</v>
      </c>
      <c r="G109" s="1142">
        <v>0</v>
      </c>
      <c r="H109" s="1142">
        <v>0</v>
      </c>
      <c r="I109" s="1142">
        <v>28.709143539999999</v>
      </c>
      <c r="J109" s="1142">
        <v>0</v>
      </c>
      <c r="K109" s="1142">
        <v>0</v>
      </c>
      <c r="L109" s="1142">
        <v>0</v>
      </c>
      <c r="M109" s="561">
        <v>0</v>
      </c>
      <c r="N109" s="561">
        <v>0</v>
      </c>
      <c r="O109"/>
      <c r="P109" s="832" t="s">
        <v>1707</v>
      </c>
      <c r="Q109" s="561"/>
      <c r="R109" s="561"/>
      <c r="S109" s="561"/>
      <c r="T109" s="561"/>
      <c r="U109" s="561"/>
      <c r="V109" s="561"/>
      <c r="W109" s="561"/>
      <c r="X109" s="561"/>
      <c r="Y109" s="561"/>
      <c r="Z109" s="561"/>
      <c r="AA109" s="561"/>
      <c r="AB109" s="561"/>
      <c r="AC109" s="561"/>
      <c r="AD109" s="561"/>
      <c r="AE109" s="561"/>
      <c r="AF109" s="561"/>
      <c r="AG109" s="561"/>
      <c r="AH109" s="567"/>
      <c r="AI109" s="567"/>
      <c r="AJ109" s="567"/>
      <c r="AK109" s="567"/>
      <c r="AL109" s="567"/>
      <c r="AM109" s="567"/>
      <c r="AN109" s="567"/>
      <c r="AO109" s="567"/>
      <c r="AP109" s="567"/>
      <c r="AQ109" s="567"/>
      <c r="AR109" s="567"/>
      <c r="AS109" s="567"/>
      <c r="AT109" s="567"/>
      <c r="AU109" s="567"/>
      <c r="AV109" s="567"/>
      <c r="AW109" s="567"/>
      <c r="AX109" s="567"/>
      <c r="AY109" s="567"/>
      <c r="AZ109" s="567"/>
      <c r="BA109" s="567"/>
      <c r="BB109" s="567"/>
      <c r="BC109" s="567"/>
    </row>
    <row r="110" spans="1:255" ht="18" customHeight="1">
      <c r="A110" s="580" t="s">
        <v>1036</v>
      </c>
      <c r="B110" s="561"/>
      <c r="C110" s="1142">
        <v>0</v>
      </c>
      <c r="D110" s="1142">
        <v>0</v>
      </c>
      <c r="E110" s="1142">
        <v>0</v>
      </c>
      <c r="F110" s="1142">
        <v>0</v>
      </c>
      <c r="G110" s="1142">
        <v>0</v>
      </c>
      <c r="H110" s="1142">
        <v>0</v>
      </c>
      <c r="I110" s="1142">
        <v>0</v>
      </c>
      <c r="J110" s="1142">
        <v>0</v>
      </c>
      <c r="K110" s="1142">
        <v>0</v>
      </c>
      <c r="L110" s="1142">
        <v>0</v>
      </c>
      <c r="M110" s="561">
        <v>0</v>
      </c>
      <c r="N110" s="561">
        <v>0</v>
      </c>
      <c r="O110"/>
      <c r="P110" s="832" t="s">
        <v>1708</v>
      </c>
      <c r="Q110" s="562"/>
      <c r="R110" s="562"/>
      <c r="S110" s="562"/>
      <c r="T110" s="561"/>
      <c r="U110" s="562"/>
      <c r="V110" s="562"/>
      <c r="W110" s="562"/>
      <c r="X110" s="562"/>
      <c r="Y110" s="562"/>
      <c r="Z110" s="562"/>
      <c r="AA110" s="562"/>
      <c r="AB110" s="562"/>
      <c r="AC110" s="562"/>
      <c r="AD110" s="562"/>
      <c r="AE110" s="562"/>
      <c r="AF110" s="562"/>
      <c r="AG110" s="562"/>
      <c r="AH110" s="563"/>
      <c r="AI110" s="563"/>
      <c r="AJ110" s="563"/>
      <c r="AK110" s="563"/>
      <c r="AL110" s="563"/>
      <c r="AM110" s="563"/>
      <c r="AN110" s="563"/>
      <c r="AO110" s="563"/>
      <c r="AP110" s="563"/>
      <c r="AQ110" s="563"/>
      <c r="AR110" s="563"/>
      <c r="AS110" s="563"/>
      <c r="AT110" s="563"/>
      <c r="AU110" s="563"/>
      <c r="AV110" s="563"/>
      <c r="AW110" s="563"/>
      <c r="AX110" s="563"/>
      <c r="AY110" s="563"/>
      <c r="AZ110" s="563"/>
      <c r="BA110" s="563"/>
      <c r="BB110" s="563"/>
      <c r="BC110" s="563"/>
      <c r="BD110" s="564"/>
      <c r="BE110" s="564"/>
      <c r="BF110" s="564"/>
      <c r="BG110" s="564"/>
      <c r="BH110" s="564"/>
      <c r="BI110" s="564"/>
      <c r="BJ110" s="564"/>
      <c r="BK110" s="564"/>
      <c r="BL110" s="564"/>
      <c r="BM110" s="564"/>
      <c r="BN110" s="564"/>
      <c r="BO110" s="564"/>
      <c r="BP110" s="564"/>
      <c r="BQ110" s="564"/>
      <c r="BR110" s="564"/>
      <c r="BS110" s="564"/>
      <c r="BT110" s="564"/>
      <c r="BU110" s="564"/>
      <c r="BV110" s="564"/>
      <c r="BW110" s="564"/>
      <c r="BX110" s="564"/>
    </row>
    <row r="111" spans="1:255" ht="18" customHeight="1">
      <c r="A111" s="580" t="s">
        <v>917</v>
      </c>
      <c r="B111" s="561"/>
      <c r="C111" s="1142">
        <v>65.091196390000007</v>
      </c>
      <c r="D111" s="1142">
        <v>72.916842729999999</v>
      </c>
      <c r="E111" s="1142">
        <v>80.083550119999998</v>
      </c>
      <c r="F111" s="1142">
        <v>83.882403310000001</v>
      </c>
      <c r="G111" s="1142">
        <v>97.583334340000008</v>
      </c>
      <c r="H111" s="1142">
        <v>100.51583871</v>
      </c>
      <c r="I111" s="1142">
        <v>105.36353473</v>
      </c>
      <c r="J111" s="1143">
        <v>126.11800376000001</v>
      </c>
      <c r="K111" s="1143">
        <v>0</v>
      </c>
      <c r="L111" s="1143">
        <v>0</v>
      </c>
      <c r="M111" s="562">
        <v>0</v>
      </c>
      <c r="N111" s="562">
        <v>0</v>
      </c>
      <c r="O111"/>
      <c r="P111" s="832" t="s">
        <v>1709</v>
      </c>
      <c r="Q111" s="561"/>
      <c r="R111" s="561"/>
      <c r="S111" s="561"/>
      <c r="T111" s="562"/>
      <c r="U111" s="561"/>
      <c r="V111" s="561"/>
      <c r="W111" s="561"/>
      <c r="X111" s="561"/>
      <c r="Y111" s="561"/>
      <c r="Z111" s="561"/>
      <c r="AA111" s="561"/>
      <c r="AB111" s="561"/>
      <c r="AC111" s="561"/>
      <c r="AD111" s="561"/>
      <c r="AE111" s="561"/>
      <c r="AF111" s="561"/>
      <c r="AG111" s="561"/>
      <c r="AH111" s="567"/>
      <c r="AI111" s="567"/>
      <c r="AJ111" s="567"/>
      <c r="AK111" s="567"/>
      <c r="AL111" s="567"/>
      <c r="AM111" s="567"/>
      <c r="AN111" s="567"/>
      <c r="AO111" s="567"/>
      <c r="AP111" s="567"/>
      <c r="AQ111" s="567"/>
      <c r="AR111" s="567"/>
      <c r="AS111" s="567"/>
      <c r="AT111" s="567"/>
      <c r="AU111" s="567"/>
      <c r="AV111" s="567"/>
      <c r="AW111" s="567"/>
      <c r="AX111" s="567"/>
      <c r="AY111" s="567"/>
      <c r="AZ111" s="567"/>
      <c r="BA111" s="567"/>
      <c r="BB111" s="567"/>
      <c r="BC111" s="567"/>
      <c r="BD111" s="568"/>
      <c r="BE111" s="568"/>
      <c r="BF111" s="568"/>
      <c r="BG111" s="568"/>
      <c r="BH111" s="568"/>
      <c r="BI111" s="568"/>
      <c r="BJ111" s="568"/>
      <c r="BK111" s="568"/>
      <c r="BL111" s="568"/>
      <c r="BM111" s="568"/>
      <c r="BN111" s="568"/>
      <c r="BO111" s="568"/>
      <c r="BP111" s="568"/>
      <c r="BQ111" s="568"/>
      <c r="BR111" s="568"/>
      <c r="BS111" s="568"/>
      <c r="BT111" s="568"/>
      <c r="BU111" s="568"/>
      <c r="BV111" s="568"/>
      <c r="BW111" s="568"/>
      <c r="BX111" s="568"/>
      <c r="BY111" s="568"/>
      <c r="BZ111" s="568"/>
      <c r="CA111" s="568"/>
      <c r="CB111" s="568"/>
      <c r="CC111" s="568"/>
      <c r="CD111" s="568"/>
      <c r="CE111" s="568"/>
      <c r="CF111" s="568"/>
      <c r="CG111" s="568"/>
      <c r="CH111" s="568"/>
      <c r="CI111" s="568"/>
      <c r="CJ111" s="568"/>
      <c r="CK111" s="568"/>
      <c r="CL111" s="568"/>
      <c r="CM111" s="568"/>
      <c r="CN111" s="568"/>
      <c r="CO111" s="568"/>
      <c r="CP111" s="568"/>
      <c r="CQ111" s="568"/>
      <c r="CR111" s="568"/>
      <c r="CS111" s="568"/>
      <c r="CT111" s="568"/>
      <c r="CU111" s="568"/>
      <c r="CV111" s="568"/>
      <c r="CW111" s="568"/>
      <c r="CX111" s="568"/>
      <c r="CY111" s="568"/>
      <c r="CZ111" s="568"/>
      <c r="DA111" s="568"/>
      <c r="DB111" s="568"/>
      <c r="DC111" s="568"/>
      <c r="DD111" s="568"/>
      <c r="DE111" s="568"/>
      <c r="DF111" s="568"/>
      <c r="DG111" s="568"/>
      <c r="DH111" s="568"/>
      <c r="DI111" s="568"/>
      <c r="DJ111" s="568"/>
      <c r="DK111" s="568"/>
      <c r="DL111" s="568"/>
      <c r="DM111" s="568"/>
      <c r="DN111" s="568"/>
      <c r="DO111" s="568"/>
      <c r="DP111" s="568"/>
      <c r="DQ111" s="568"/>
      <c r="DR111" s="568"/>
      <c r="DS111" s="568"/>
      <c r="DT111" s="568"/>
      <c r="DU111" s="568"/>
      <c r="DV111" s="568"/>
      <c r="DW111" s="568"/>
      <c r="DX111" s="568"/>
      <c r="DY111" s="568"/>
      <c r="DZ111" s="568"/>
      <c r="EA111" s="568"/>
      <c r="EB111" s="568"/>
      <c r="EC111" s="568"/>
      <c r="ED111" s="568"/>
      <c r="EE111" s="568"/>
      <c r="EF111" s="568"/>
      <c r="EG111" s="568"/>
      <c r="EH111" s="568"/>
      <c r="EI111" s="568"/>
      <c r="EJ111" s="568"/>
      <c r="EK111" s="568"/>
      <c r="EL111" s="568"/>
      <c r="EM111" s="568"/>
      <c r="EN111" s="568"/>
      <c r="EO111" s="568"/>
      <c r="EP111" s="568"/>
      <c r="EQ111" s="568"/>
      <c r="ER111" s="568"/>
      <c r="ES111" s="568"/>
      <c r="ET111" s="568"/>
      <c r="EU111" s="568"/>
      <c r="EV111" s="568"/>
      <c r="EW111" s="568"/>
      <c r="EX111" s="568"/>
      <c r="EY111" s="568"/>
      <c r="EZ111" s="568"/>
      <c r="FA111" s="568"/>
      <c r="FB111" s="568"/>
      <c r="FC111" s="568"/>
      <c r="FD111" s="568"/>
      <c r="FE111" s="568"/>
      <c r="FF111" s="568"/>
      <c r="FG111" s="568"/>
      <c r="FH111" s="568"/>
      <c r="FI111" s="568"/>
      <c r="FJ111" s="568"/>
      <c r="FK111" s="568"/>
      <c r="FL111" s="568"/>
      <c r="FM111" s="568"/>
      <c r="FN111" s="568"/>
      <c r="FO111" s="568"/>
      <c r="FP111" s="568"/>
      <c r="FQ111" s="568"/>
      <c r="FR111" s="568"/>
      <c r="FS111" s="568"/>
      <c r="FT111" s="568"/>
      <c r="FU111" s="568"/>
      <c r="FV111" s="568"/>
      <c r="FW111" s="568"/>
      <c r="FX111" s="568"/>
      <c r="FY111" s="568"/>
      <c r="FZ111" s="568"/>
      <c r="GA111" s="568"/>
      <c r="GB111" s="568"/>
      <c r="GC111" s="568"/>
      <c r="GD111" s="568"/>
      <c r="GE111" s="568"/>
      <c r="GF111" s="568"/>
      <c r="GG111" s="568"/>
      <c r="GH111" s="568"/>
      <c r="GI111" s="568"/>
      <c r="GJ111" s="568"/>
      <c r="GK111" s="568"/>
      <c r="GL111" s="568"/>
      <c r="GM111" s="568"/>
      <c r="GN111" s="568"/>
      <c r="GO111" s="568"/>
      <c r="GP111" s="568"/>
      <c r="GQ111" s="568"/>
      <c r="GR111" s="568"/>
      <c r="GS111" s="568"/>
      <c r="GT111" s="568"/>
      <c r="GU111" s="568"/>
      <c r="GV111" s="568"/>
      <c r="GW111" s="568"/>
      <c r="GX111" s="568"/>
      <c r="GY111" s="568"/>
      <c r="GZ111" s="568"/>
      <c r="HA111" s="568"/>
      <c r="HB111" s="568"/>
      <c r="HC111" s="568"/>
      <c r="HD111" s="568"/>
      <c r="HE111" s="568"/>
      <c r="HF111" s="568"/>
      <c r="HG111" s="568"/>
      <c r="HH111" s="568"/>
      <c r="HI111" s="568"/>
      <c r="HJ111" s="568"/>
      <c r="HK111" s="568"/>
      <c r="HL111" s="568"/>
      <c r="HM111" s="568"/>
      <c r="HN111" s="568"/>
      <c r="HO111" s="568"/>
      <c r="HP111" s="568"/>
      <c r="HQ111" s="568"/>
      <c r="HR111" s="568"/>
      <c r="HS111" s="568"/>
      <c r="HT111" s="568"/>
      <c r="HU111" s="568"/>
      <c r="HV111" s="568"/>
      <c r="HW111" s="568"/>
      <c r="HX111" s="568"/>
      <c r="HY111" s="568"/>
      <c r="HZ111" s="568"/>
      <c r="IA111" s="568"/>
      <c r="IB111" s="568"/>
      <c r="IC111" s="568"/>
      <c r="ID111" s="568"/>
      <c r="IE111" s="568"/>
      <c r="IF111" s="568"/>
      <c r="IG111" s="568"/>
      <c r="IH111" s="568"/>
      <c r="II111" s="568"/>
      <c r="IJ111" s="568"/>
      <c r="IK111" s="568"/>
      <c r="IL111" s="568"/>
      <c r="IM111" s="568"/>
      <c r="IN111" s="568"/>
      <c r="IO111" s="568"/>
      <c r="IP111" s="568"/>
      <c r="IQ111" s="568"/>
      <c r="IR111" s="568"/>
      <c r="IS111" s="568"/>
      <c r="IT111" s="568"/>
      <c r="IU111" s="568"/>
    </row>
    <row r="112" spans="1:255" s="689" customFormat="1" ht="18" customHeight="1">
      <c r="A112" s="580" t="s">
        <v>910</v>
      </c>
      <c r="B112" s="561"/>
      <c r="C112" s="1142">
        <v>1.3269900000000001E-3</v>
      </c>
      <c r="D112" s="1142">
        <v>8.2147701299999998</v>
      </c>
      <c r="E112" s="1142">
        <v>8.0403730600000003</v>
      </c>
      <c r="F112" s="1142">
        <v>7.8659759800000009</v>
      </c>
      <c r="G112" s="1142">
        <v>14.9259705</v>
      </c>
      <c r="H112" s="1142">
        <v>14.827814419999999</v>
      </c>
      <c r="I112" s="1142">
        <v>43.954552579999998</v>
      </c>
      <c r="J112" s="1142">
        <v>35.86351329</v>
      </c>
      <c r="K112" s="1142">
        <v>0</v>
      </c>
      <c r="L112" s="1142">
        <v>0</v>
      </c>
      <c r="M112" s="561">
        <v>0</v>
      </c>
      <c r="N112" s="561">
        <v>0</v>
      </c>
      <c r="O112"/>
      <c r="P112" s="832" t="s">
        <v>1710</v>
      </c>
      <c r="Q112" s="686"/>
      <c r="R112" s="686"/>
      <c r="S112" s="686"/>
      <c r="T112" s="686"/>
      <c r="U112" s="686"/>
      <c r="V112" s="686"/>
      <c r="W112" s="686"/>
      <c r="X112" s="686"/>
      <c r="Y112" s="686"/>
      <c r="Z112" s="686"/>
      <c r="AA112" s="686"/>
      <c r="AB112" s="686"/>
      <c r="AC112" s="686"/>
      <c r="AD112" s="686"/>
      <c r="AE112" s="686"/>
      <c r="AF112" s="686"/>
      <c r="AG112" s="686"/>
      <c r="AH112" s="687"/>
      <c r="AI112" s="687"/>
      <c r="AJ112" s="687"/>
      <c r="AK112" s="687"/>
      <c r="AL112" s="687"/>
      <c r="AM112" s="687"/>
      <c r="AN112" s="687"/>
      <c r="AO112" s="687"/>
      <c r="AP112" s="687"/>
      <c r="AQ112" s="687"/>
      <c r="AR112" s="687"/>
      <c r="AS112" s="687"/>
      <c r="AT112" s="687"/>
      <c r="AU112" s="687"/>
      <c r="AV112" s="687"/>
      <c r="AW112" s="687"/>
      <c r="AX112" s="687"/>
      <c r="AY112" s="687"/>
      <c r="AZ112" s="687"/>
      <c r="BA112" s="687"/>
      <c r="BB112" s="687"/>
      <c r="BC112" s="687"/>
      <c r="BD112" s="688"/>
      <c r="BE112" s="688"/>
      <c r="BF112" s="688"/>
      <c r="BG112" s="688"/>
      <c r="BH112" s="688"/>
      <c r="BI112" s="688"/>
      <c r="BJ112" s="688"/>
      <c r="BK112" s="688"/>
      <c r="BL112" s="688"/>
      <c r="BM112" s="688"/>
      <c r="BN112" s="688"/>
      <c r="BO112" s="688"/>
      <c r="BP112" s="688"/>
      <c r="BQ112" s="688"/>
      <c r="BR112" s="688"/>
      <c r="BS112" s="688"/>
      <c r="BT112" s="688"/>
      <c r="BU112" s="688"/>
      <c r="BV112" s="688"/>
      <c r="BW112" s="688"/>
      <c r="BX112" s="688"/>
      <c r="BY112" s="688"/>
      <c r="BZ112" s="688"/>
      <c r="CA112" s="688"/>
      <c r="CB112" s="688"/>
      <c r="CC112" s="688"/>
      <c r="CD112" s="688"/>
      <c r="CE112" s="688"/>
      <c r="CF112" s="688"/>
      <c r="CG112" s="688"/>
      <c r="CH112" s="688"/>
      <c r="CI112" s="688"/>
      <c r="CJ112" s="688"/>
      <c r="CK112" s="688"/>
      <c r="CL112" s="688"/>
      <c r="CM112" s="688"/>
      <c r="CN112" s="688"/>
      <c r="CO112" s="688"/>
      <c r="CP112" s="688"/>
      <c r="CQ112" s="688"/>
      <c r="CR112" s="688"/>
      <c r="CS112" s="688"/>
      <c r="CT112" s="688"/>
      <c r="CU112" s="688"/>
      <c r="CV112" s="688"/>
      <c r="CW112" s="688"/>
      <c r="CX112" s="688"/>
      <c r="CY112" s="688"/>
      <c r="CZ112" s="688"/>
      <c r="DA112" s="688"/>
      <c r="DB112" s="688"/>
      <c r="DC112" s="688"/>
      <c r="DD112" s="688"/>
      <c r="DE112" s="688"/>
      <c r="DF112" s="688"/>
      <c r="DG112" s="688"/>
      <c r="DH112" s="688"/>
      <c r="DI112" s="688"/>
      <c r="DJ112" s="688"/>
      <c r="DK112" s="688"/>
      <c r="DL112" s="688"/>
      <c r="DM112" s="688"/>
      <c r="DN112" s="688"/>
      <c r="DO112" s="688"/>
      <c r="DP112" s="688"/>
      <c r="DQ112" s="688"/>
      <c r="DR112" s="688"/>
      <c r="DS112" s="688"/>
      <c r="DT112" s="688"/>
      <c r="DU112" s="688"/>
      <c r="DV112" s="688"/>
      <c r="DW112" s="688"/>
      <c r="DX112" s="688"/>
      <c r="DY112" s="688"/>
      <c r="DZ112" s="688"/>
      <c r="EA112" s="688"/>
      <c r="EB112" s="688"/>
      <c r="EC112" s="688"/>
      <c r="ED112" s="688"/>
      <c r="EE112" s="688"/>
      <c r="EF112" s="688"/>
      <c r="EG112" s="688"/>
      <c r="EH112" s="688"/>
      <c r="EI112" s="688"/>
      <c r="EJ112" s="688"/>
      <c r="EK112" s="688"/>
      <c r="EL112" s="688"/>
      <c r="EM112" s="688"/>
      <c r="EN112" s="688"/>
      <c r="EO112" s="688"/>
      <c r="EP112" s="688"/>
      <c r="EQ112" s="688"/>
      <c r="ER112" s="688"/>
      <c r="ES112" s="688"/>
      <c r="ET112" s="688"/>
      <c r="EU112" s="688"/>
      <c r="EV112" s="688"/>
      <c r="EW112" s="688"/>
      <c r="EX112" s="688"/>
      <c r="EY112" s="688"/>
      <c r="EZ112" s="688"/>
      <c r="FA112" s="688"/>
      <c r="FB112" s="688"/>
      <c r="FC112" s="688"/>
      <c r="FD112" s="688"/>
      <c r="FE112" s="688"/>
      <c r="FF112" s="688"/>
      <c r="FG112" s="688"/>
      <c r="FH112" s="688"/>
      <c r="FI112" s="688"/>
      <c r="FJ112" s="688"/>
      <c r="FK112" s="688"/>
      <c r="FL112" s="688"/>
      <c r="FM112" s="688"/>
      <c r="FN112" s="688"/>
      <c r="FO112" s="688"/>
      <c r="FP112" s="688"/>
      <c r="FQ112" s="688"/>
      <c r="FR112" s="688"/>
      <c r="FS112" s="688"/>
      <c r="FT112" s="688"/>
      <c r="FU112" s="688"/>
      <c r="FV112" s="688"/>
      <c r="FW112" s="688"/>
      <c r="FX112" s="688"/>
      <c r="FY112" s="688"/>
      <c r="FZ112" s="688"/>
      <c r="GA112" s="688"/>
      <c r="GB112" s="688"/>
      <c r="GC112" s="688"/>
      <c r="GD112" s="688"/>
      <c r="GE112" s="688"/>
      <c r="GF112" s="688"/>
      <c r="GG112" s="688"/>
      <c r="GH112" s="688"/>
      <c r="GI112" s="688"/>
      <c r="GJ112" s="688"/>
      <c r="GK112" s="688"/>
      <c r="GL112" s="688"/>
      <c r="GM112" s="688"/>
      <c r="GN112" s="688"/>
      <c r="GO112" s="688"/>
      <c r="GP112" s="688"/>
      <c r="GQ112" s="688"/>
      <c r="GR112" s="688"/>
      <c r="GS112" s="688"/>
      <c r="GT112" s="688"/>
      <c r="GU112" s="688"/>
      <c r="GV112" s="688"/>
      <c r="GW112" s="688"/>
      <c r="GX112" s="688"/>
      <c r="GY112" s="688"/>
      <c r="GZ112" s="688"/>
      <c r="HA112" s="688"/>
      <c r="HB112" s="688"/>
      <c r="HC112" s="688"/>
      <c r="HD112" s="688"/>
      <c r="HE112" s="688"/>
      <c r="HF112" s="688"/>
      <c r="HG112" s="688"/>
      <c r="HH112" s="688"/>
      <c r="HI112" s="688"/>
      <c r="HJ112" s="688"/>
      <c r="HK112" s="688"/>
      <c r="HL112" s="688"/>
      <c r="HM112" s="688"/>
      <c r="HN112" s="688"/>
      <c r="HO112" s="688"/>
      <c r="HP112" s="688"/>
      <c r="HQ112" s="688"/>
      <c r="HR112" s="688"/>
      <c r="HS112" s="688"/>
      <c r="HT112" s="688"/>
      <c r="HU112" s="688"/>
      <c r="HV112" s="688"/>
      <c r="HW112" s="688"/>
      <c r="HX112" s="688"/>
      <c r="HY112" s="688"/>
      <c r="HZ112" s="688"/>
      <c r="IA112" s="688"/>
      <c r="IB112" s="688"/>
      <c r="IC112" s="688"/>
      <c r="ID112" s="688"/>
      <c r="IE112" s="688"/>
      <c r="IF112" s="688"/>
      <c r="IG112" s="688"/>
      <c r="IH112" s="688"/>
      <c r="II112" s="688"/>
      <c r="IJ112" s="688"/>
      <c r="IK112" s="688"/>
      <c r="IL112" s="688"/>
      <c r="IM112" s="688"/>
      <c r="IN112" s="688"/>
      <c r="IO112" s="688"/>
      <c r="IP112" s="688"/>
      <c r="IQ112" s="688"/>
      <c r="IR112" s="688"/>
      <c r="IS112" s="688"/>
      <c r="IT112" s="688"/>
      <c r="IU112" s="688"/>
    </row>
    <row r="113" spans="1:255" ht="18" customHeight="1">
      <c r="A113" s="580" t="s">
        <v>981</v>
      </c>
      <c r="B113" s="561"/>
      <c r="C113" s="1142">
        <v>0</v>
      </c>
      <c r="D113" s="1142">
        <v>0</v>
      </c>
      <c r="E113" s="1142">
        <v>0</v>
      </c>
      <c r="F113" s="1142">
        <v>0</v>
      </c>
      <c r="G113" s="1142">
        <v>0</v>
      </c>
      <c r="H113" s="1142">
        <v>0</v>
      </c>
      <c r="I113" s="1142">
        <v>0</v>
      </c>
      <c r="J113" s="1142">
        <v>0</v>
      </c>
      <c r="K113" s="1142">
        <v>0</v>
      </c>
      <c r="L113" s="1142">
        <v>0</v>
      </c>
      <c r="M113" s="561">
        <v>0</v>
      </c>
      <c r="N113" s="561">
        <v>0</v>
      </c>
      <c r="O113"/>
      <c r="P113" s="834" t="s">
        <v>1712</v>
      </c>
      <c r="Q113" s="561"/>
      <c r="R113" s="561"/>
      <c r="S113" s="561"/>
      <c r="T113" s="561"/>
      <c r="U113" s="561"/>
      <c r="V113" s="561"/>
      <c r="W113" s="561"/>
      <c r="X113" s="561"/>
      <c r="Y113" s="561"/>
      <c r="Z113" s="561"/>
      <c r="AA113" s="561"/>
      <c r="AB113" s="561"/>
      <c r="AC113" s="561"/>
      <c r="AD113" s="561"/>
      <c r="AE113" s="561"/>
      <c r="AF113" s="561"/>
      <c r="AG113" s="561"/>
      <c r="AH113" s="567"/>
      <c r="AI113" s="567"/>
      <c r="AJ113" s="567"/>
      <c r="AK113" s="567"/>
      <c r="AL113" s="567"/>
      <c r="AM113" s="567"/>
      <c r="AN113" s="567"/>
      <c r="AO113" s="567"/>
      <c r="AP113" s="567"/>
      <c r="AQ113" s="567"/>
      <c r="AR113" s="567"/>
      <c r="AS113" s="567"/>
      <c r="AT113" s="567"/>
      <c r="AU113" s="567"/>
      <c r="AV113" s="567"/>
      <c r="AW113" s="567"/>
      <c r="AX113" s="567"/>
      <c r="AY113" s="567"/>
      <c r="AZ113" s="567"/>
      <c r="BA113" s="567"/>
      <c r="BB113" s="567"/>
      <c r="BC113" s="567"/>
      <c r="BD113" s="568"/>
      <c r="BE113" s="568"/>
      <c r="BF113" s="568"/>
      <c r="BG113" s="568"/>
      <c r="BH113" s="568"/>
      <c r="BI113" s="568"/>
      <c r="BJ113" s="568"/>
      <c r="BK113" s="568"/>
      <c r="BL113" s="568"/>
      <c r="BM113" s="568"/>
      <c r="BN113" s="568"/>
      <c r="BO113" s="568"/>
      <c r="BP113" s="568"/>
      <c r="BQ113" s="568"/>
      <c r="BR113" s="568"/>
      <c r="BS113" s="568"/>
      <c r="BT113" s="568"/>
      <c r="BU113" s="568"/>
      <c r="BV113" s="568"/>
      <c r="BW113" s="568"/>
      <c r="BX113" s="568"/>
      <c r="BY113" s="568"/>
      <c r="BZ113" s="568"/>
      <c r="CA113" s="568"/>
      <c r="CB113" s="568"/>
      <c r="CC113" s="568"/>
      <c r="CD113" s="568"/>
      <c r="CE113" s="568"/>
      <c r="CF113" s="568"/>
      <c r="CG113" s="568"/>
      <c r="CH113" s="568"/>
      <c r="CI113" s="568"/>
      <c r="CJ113" s="568"/>
      <c r="CK113" s="568"/>
      <c r="CL113" s="568"/>
      <c r="CM113" s="568"/>
      <c r="CN113" s="568"/>
      <c r="CO113" s="568"/>
      <c r="CP113" s="568"/>
      <c r="CQ113" s="568"/>
      <c r="CR113" s="568"/>
      <c r="CS113" s="568"/>
      <c r="CT113" s="568"/>
      <c r="CU113" s="568"/>
      <c r="CV113" s="568"/>
      <c r="CW113" s="568"/>
      <c r="CX113" s="568"/>
      <c r="CY113" s="568"/>
      <c r="CZ113" s="568"/>
      <c r="DA113" s="568"/>
      <c r="DB113" s="568"/>
      <c r="DC113" s="568"/>
      <c r="DD113" s="568"/>
      <c r="DE113" s="568"/>
      <c r="DF113" s="568"/>
      <c r="DG113" s="568"/>
      <c r="DH113" s="568"/>
      <c r="DI113" s="568"/>
      <c r="DJ113" s="568"/>
      <c r="DK113" s="568"/>
      <c r="DL113" s="568"/>
      <c r="DM113" s="568"/>
      <c r="DN113" s="568"/>
      <c r="DO113" s="568"/>
      <c r="DP113" s="568"/>
      <c r="DQ113" s="568"/>
      <c r="DR113" s="568"/>
      <c r="DS113" s="568"/>
      <c r="DT113" s="568"/>
      <c r="DU113" s="568"/>
      <c r="DV113" s="568"/>
      <c r="DW113" s="568"/>
      <c r="DX113" s="568"/>
      <c r="DY113" s="568"/>
      <c r="DZ113" s="568"/>
      <c r="EA113" s="568"/>
      <c r="EB113" s="568"/>
      <c r="EC113" s="568"/>
      <c r="ED113" s="568"/>
      <c r="EE113" s="568"/>
      <c r="EF113" s="568"/>
      <c r="EG113" s="568"/>
      <c r="EH113" s="568"/>
      <c r="EI113" s="568"/>
      <c r="EJ113" s="568"/>
      <c r="EK113" s="568"/>
      <c r="EL113" s="568"/>
      <c r="EM113" s="568"/>
      <c r="EN113" s="568"/>
      <c r="EO113" s="568"/>
      <c r="EP113" s="568"/>
      <c r="EQ113" s="568"/>
      <c r="ER113" s="568"/>
      <c r="ES113" s="568"/>
      <c r="ET113" s="568"/>
      <c r="EU113" s="568"/>
      <c r="EV113" s="568"/>
      <c r="EW113" s="568"/>
      <c r="EX113" s="568"/>
      <c r="EY113" s="568"/>
      <c r="EZ113" s="568"/>
      <c r="FA113" s="568"/>
      <c r="FB113" s="568"/>
      <c r="FC113" s="568"/>
      <c r="FD113" s="568"/>
      <c r="FE113" s="568"/>
      <c r="FF113" s="568"/>
      <c r="FG113" s="568"/>
      <c r="FH113" s="568"/>
      <c r="FI113" s="568"/>
      <c r="FJ113" s="568"/>
      <c r="FK113" s="568"/>
      <c r="FL113" s="568"/>
      <c r="FM113" s="568"/>
      <c r="FN113" s="568"/>
      <c r="FO113" s="568"/>
      <c r="FP113" s="568"/>
      <c r="FQ113" s="568"/>
      <c r="FR113" s="568"/>
      <c r="FS113" s="568"/>
      <c r="FT113" s="568"/>
      <c r="FU113" s="568"/>
      <c r="FV113" s="568"/>
      <c r="FW113" s="568"/>
      <c r="FX113" s="568"/>
      <c r="FY113" s="568"/>
      <c r="FZ113" s="568"/>
      <c r="GA113" s="568"/>
      <c r="GB113" s="568"/>
      <c r="GC113" s="568"/>
      <c r="GD113" s="568"/>
      <c r="GE113" s="568"/>
      <c r="GF113" s="568"/>
      <c r="GG113" s="568"/>
      <c r="GH113" s="568"/>
      <c r="GI113" s="568"/>
      <c r="GJ113" s="568"/>
      <c r="GK113" s="568"/>
      <c r="GL113" s="568"/>
      <c r="GM113" s="568"/>
      <c r="GN113" s="568"/>
      <c r="GO113" s="568"/>
      <c r="GP113" s="568"/>
      <c r="GQ113" s="568"/>
      <c r="GR113" s="568"/>
      <c r="GS113" s="568"/>
      <c r="GT113" s="568"/>
      <c r="GU113" s="568"/>
      <c r="GV113" s="568"/>
      <c r="GW113" s="568"/>
      <c r="GX113" s="568"/>
      <c r="GY113" s="568"/>
      <c r="GZ113" s="568"/>
      <c r="HA113" s="568"/>
      <c r="HB113" s="568"/>
      <c r="HC113" s="568"/>
      <c r="HD113" s="568"/>
      <c r="HE113" s="568"/>
      <c r="HF113" s="568"/>
      <c r="HG113" s="568"/>
      <c r="HH113" s="568"/>
      <c r="HI113" s="568"/>
      <c r="HJ113" s="568"/>
      <c r="HK113" s="568"/>
      <c r="HL113" s="568"/>
      <c r="HM113" s="568"/>
      <c r="HN113" s="568"/>
      <c r="HO113" s="568"/>
      <c r="HP113" s="568"/>
      <c r="HQ113" s="568"/>
      <c r="HR113" s="568"/>
      <c r="HS113" s="568"/>
      <c r="HT113" s="568"/>
      <c r="HU113" s="568"/>
      <c r="HV113" s="568"/>
      <c r="HW113" s="568"/>
      <c r="HX113" s="568"/>
      <c r="HY113" s="568"/>
      <c r="HZ113" s="568"/>
      <c r="IA113" s="568"/>
      <c r="IB113" s="568"/>
      <c r="IC113" s="568"/>
      <c r="ID113" s="568"/>
      <c r="IE113" s="568"/>
      <c r="IF113" s="568"/>
      <c r="IG113" s="568"/>
      <c r="IH113" s="568"/>
      <c r="II113" s="568"/>
      <c r="IJ113" s="568"/>
      <c r="IK113" s="568"/>
      <c r="IL113" s="568"/>
      <c r="IM113" s="568"/>
      <c r="IN113" s="568"/>
      <c r="IO113" s="568"/>
      <c r="IP113" s="568"/>
      <c r="IQ113" s="568"/>
      <c r="IR113" s="568"/>
      <c r="IS113" s="568"/>
      <c r="IT113" s="568"/>
      <c r="IU113" s="568"/>
    </row>
    <row r="114" spans="1:255" s="689" customFormat="1" ht="18" customHeight="1">
      <c r="A114" s="685" t="s">
        <v>962</v>
      </c>
      <c r="B114" s="686"/>
      <c r="C114" s="1144">
        <v>963.50657984999998</v>
      </c>
      <c r="D114" s="1144">
        <v>984.190699</v>
      </c>
      <c r="E114" s="1144">
        <v>1197.2610178499999</v>
      </c>
      <c r="F114" s="1144">
        <v>1073.1397086300001</v>
      </c>
      <c r="G114" s="1144">
        <v>913.00746860000004</v>
      </c>
      <c r="H114" s="1144">
        <v>1044.2441722900001</v>
      </c>
      <c r="I114" s="1144">
        <v>822.01789365000002</v>
      </c>
      <c r="J114" s="1144">
        <v>2821.3039123600001</v>
      </c>
      <c r="K114" s="1144">
        <v>0</v>
      </c>
      <c r="L114" s="1144">
        <v>0</v>
      </c>
      <c r="M114" s="686">
        <v>0</v>
      </c>
      <c r="N114" s="686">
        <v>0</v>
      </c>
      <c r="O114"/>
      <c r="P114" s="832" t="s">
        <v>1713</v>
      </c>
      <c r="Q114" s="686"/>
      <c r="R114" s="686"/>
      <c r="S114" s="686"/>
      <c r="T114" s="686"/>
      <c r="U114" s="686"/>
      <c r="V114" s="686"/>
      <c r="W114" s="686"/>
      <c r="X114" s="686"/>
      <c r="Y114" s="686"/>
      <c r="Z114" s="686"/>
      <c r="AA114" s="686"/>
      <c r="AB114" s="686"/>
      <c r="AC114" s="686"/>
      <c r="AD114" s="686"/>
      <c r="AE114" s="686"/>
      <c r="AF114" s="686"/>
      <c r="AG114" s="686"/>
      <c r="AH114" s="687"/>
      <c r="AI114" s="687"/>
      <c r="AJ114" s="687"/>
      <c r="AK114" s="687"/>
      <c r="AL114" s="687"/>
      <c r="AM114" s="687"/>
      <c r="AN114" s="687"/>
      <c r="AO114" s="687"/>
      <c r="AP114" s="687"/>
      <c r="AQ114" s="687"/>
      <c r="AR114" s="687"/>
      <c r="AS114" s="687"/>
      <c r="AT114" s="687"/>
      <c r="AU114" s="687"/>
      <c r="AV114" s="687"/>
      <c r="AW114" s="687"/>
      <c r="AX114" s="687"/>
      <c r="AY114" s="687"/>
      <c r="AZ114" s="687"/>
      <c r="BA114" s="687"/>
      <c r="BB114" s="687"/>
      <c r="BC114" s="687"/>
      <c r="BD114" s="688"/>
      <c r="BE114" s="688"/>
      <c r="BF114" s="688"/>
      <c r="BG114" s="688"/>
      <c r="BH114" s="688"/>
      <c r="BI114" s="688"/>
      <c r="BJ114" s="688"/>
      <c r="BK114" s="688"/>
      <c r="BL114" s="688"/>
      <c r="BM114" s="688"/>
      <c r="BN114" s="688"/>
      <c r="BO114" s="688"/>
      <c r="BP114" s="688"/>
      <c r="BQ114" s="688"/>
      <c r="BR114" s="688"/>
      <c r="BS114" s="688"/>
      <c r="BT114" s="688"/>
      <c r="BU114" s="688"/>
      <c r="BV114" s="688"/>
      <c r="BW114" s="688"/>
      <c r="BX114" s="688"/>
      <c r="BY114" s="688"/>
      <c r="BZ114" s="688"/>
      <c r="CA114" s="688"/>
      <c r="CB114" s="688"/>
      <c r="CC114" s="688"/>
      <c r="CD114" s="688"/>
      <c r="CE114" s="688"/>
      <c r="CF114" s="688"/>
      <c r="CG114" s="688"/>
      <c r="CH114" s="688"/>
      <c r="CI114" s="688"/>
      <c r="CJ114" s="688"/>
      <c r="CK114" s="688"/>
      <c r="CL114" s="688"/>
      <c r="CM114" s="688"/>
      <c r="CN114" s="688"/>
      <c r="CO114" s="688"/>
      <c r="CP114" s="688"/>
      <c r="CQ114" s="688"/>
      <c r="CR114" s="688"/>
      <c r="CS114" s="688"/>
      <c r="CT114" s="688"/>
      <c r="CU114" s="688"/>
      <c r="CV114" s="688"/>
      <c r="CW114" s="688"/>
      <c r="CX114" s="688"/>
      <c r="CY114" s="688"/>
      <c r="CZ114" s="688"/>
      <c r="DA114" s="688"/>
      <c r="DB114" s="688"/>
      <c r="DC114" s="688"/>
      <c r="DD114" s="688"/>
      <c r="DE114" s="688"/>
      <c r="DF114" s="688"/>
      <c r="DG114" s="688"/>
      <c r="DH114" s="688"/>
      <c r="DI114" s="688"/>
      <c r="DJ114" s="688"/>
      <c r="DK114" s="688"/>
      <c r="DL114" s="688"/>
      <c r="DM114" s="688"/>
      <c r="DN114" s="688"/>
      <c r="DO114" s="688"/>
      <c r="DP114" s="688"/>
      <c r="DQ114" s="688"/>
      <c r="DR114" s="688"/>
      <c r="DS114" s="688"/>
      <c r="DT114" s="688"/>
      <c r="DU114" s="688"/>
      <c r="DV114" s="688"/>
      <c r="DW114" s="688"/>
      <c r="DX114" s="688"/>
      <c r="DY114" s="688"/>
      <c r="DZ114" s="688"/>
      <c r="EA114" s="688"/>
      <c r="EB114" s="688"/>
      <c r="EC114" s="688"/>
      <c r="ED114" s="688"/>
      <c r="EE114" s="688"/>
      <c r="EF114" s="688"/>
      <c r="EG114" s="688"/>
      <c r="EH114" s="688"/>
      <c r="EI114" s="688"/>
      <c r="EJ114" s="688"/>
      <c r="EK114" s="688"/>
      <c r="EL114" s="688"/>
      <c r="EM114" s="688"/>
      <c r="EN114" s="688"/>
      <c r="EO114" s="688"/>
      <c r="EP114" s="688"/>
      <c r="EQ114" s="688"/>
      <c r="ER114" s="688"/>
      <c r="ES114" s="688"/>
      <c r="ET114" s="688"/>
      <c r="EU114" s="688"/>
      <c r="EV114" s="688"/>
      <c r="EW114" s="688"/>
      <c r="EX114" s="688"/>
      <c r="EY114" s="688"/>
      <c r="EZ114" s="688"/>
      <c r="FA114" s="688"/>
      <c r="FB114" s="688"/>
      <c r="FC114" s="688"/>
      <c r="FD114" s="688"/>
      <c r="FE114" s="688"/>
      <c r="FF114" s="688"/>
      <c r="FG114" s="688"/>
      <c r="FH114" s="688"/>
      <c r="FI114" s="688"/>
      <c r="FJ114" s="688"/>
      <c r="FK114" s="688"/>
      <c r="FL114" s="688"/>
      <c r="FM114" s="688"/>
      <c r="FN114" s="688"/>
      <c r="FO114" s="688"/>
      <c r="FP114" s="688"/>
      <c r="FQ114" s="688"/>
      <c r="FR114" s="688"/>
      <c r="FS114" s="688"/>
      <c r="FT114" s="688"/>
      <c r="FU114" s="688"/>
      <c r="FV114" s="688"/>
      <c r="FW114" s="688"/>
      <c r="FX114" s="688"/>
      <c r="FY114" s="688"/>
      <c r="FZ114" s="688"/>
      <c r="GA114" s="688"/>
      <c r="GB114" s="688"/>
      <c r="GC114" s="688"/>
      <c r="GD114" s="688"/>
      <c r="GE114" s="688"/>
      <c r="GF114" s="688"/>
      <c r="GG114" s="688"/>
      <c r="GH114" s="688"/>
      <c r="GI114" s="688"/>
      <c r="GJ114" s="688"/>
      <c r="GK114" s="688"/>
      <c r="GL114" s="688"/>
      <c r="GM114" s="688"/>
      <c r="GN114" s="688"/>
      <c r="GO114" s="688"/>
      <c r="GP114" s="688"/>
      <c r="GQ114" s="688"/>
      <c r="GR114" s="688"/>
      <c r="GS114" s="688"/>
      <c r="GT114" s="688"/>
      <c r="GU114" s="688"/>
      <c r="GV114" s="688"/>
      <c r="GW114" s="688"/>
      <c r="GX114" s="688"/>
      <c r="GY114" s="688"/>
      <c r="GZ114" s="688"/>
      <c r="HA114" s="688"/>
      <c r="HB114" s="688"/>
      <c r="HC114" s="688"/>
      <c r="HD114" s="688"/>
      <c r="HE114" s="688"/>
      <c r="HF114" s="688"/>
      <c r="HG114" s="688"/>
      <c r="HH114" s="688"/>
      <c r="HI114" s="688"/>
      <c r="HJ114" s="688"/>
      <c r="HK114" s="688"/>
      <c r="HL114" s="688"/>
      <c r="HM114" s="688"/>
      <c r="HN114" s="688"/>
      <c r="HO114" s="688"/>
      <c r="HP114" s="688"/>
      <c r="HQ114" s="688"/>
      <c r="HR114" s="688"/>
      <c r="HS114" s="688"/>
      <c r="HT114" s="688"/>
      <c r="HU114" s="688"/>
      <c r="HV114" s="688"/>
      <c r="HW114" s="688"/>
      <c r="HX114" s="688"/>
      <c r="HY114" s="688"/>
      <c r="HZ114" s="688"/>
      <c r="IA114" s="688"/>
      <c r="IB114" s="688"/>
      <c r="IC114" s="688"/>
      <c r="ID114" s="688"/>
      <c r="IE114" s="688"/>
      <c r="IF114" s="688"/>
      <c r="IG114" s="688"/>
      <c r="IH114" s="688"/>
      <c r="II114" s="688"/>
      <c r="IJ114" s="688"/>
      <c r="IK114" s="688"/>
      <c r="IL114" s="688"/>
      <c r="IM114" s="688"/>
      <c r="IN114" s="688"/>
      <c r="IO114" s="688"/>
      <c r="IP114" s="688"/>
      <c r="IQ114" s="688"/>
      <c r="IR114" s="688"/>
      <c r="IS114" s="688"/>
      <c r="IT114" s="688"/>
      <c r="IU114" s="688"/>
    </row>
    <row r="115" spans="1:255" ht="18" customHeight="1">
      <c r="A115" s="570" t="s">
        <v>873</v>
      </c>
      <c r="B115" s="561"/>
      <c r="C115" s="1142"/>
      <c r="D115" s="1142"/>
      <c r="E115" s="1142"/>
      <c r="F115" s="1142"/>
      <c r="G115" s="1142"/>
      <c r="H115" s="1142"/>
      <c r="I115" s="1142"/>
      <c r="J115" s="1142"/>
      <c r="K115" s="1142"/>
      <c r="L115" s="1142"/>
      <c r="M115" s="561">
        <v>0</v>
      </c>
      <c r="N115" s="561">
        <v>0</v>
      </c>
      <c r="O115"/>
      <c r="P115" s="832"/>
      <c r="Q115" s="561"/>
      <c r="R115" s="561"/>
      <c r="S115" s="561"/>
      <c r="T115" s="561"/>
      <c r="U115" s="561"/>
      <c r="V115" s="561"/>
      <c r="W115" s="561"/>
      <c r="X115" s="561"/>
      <c r="Y115" s="561"/>
      <c r="Z115" s="561"/>
      <c r="AA115" s="561"/>
      <c r="AB115" s="561"/>
      <c r="AC115" s="561"/>
      <c r="AD115" s="561"/>
      <c r="AE115" s="561"/>
      <c r="AF115" s="561"/>
      <c r="AG115" s="561"/>
      <c r="AH115" s="567"/>
      <c r="AI115" s="567"/>
      <c r="AJ115" s="567"/>
      <c r="AK115" s="567"/>
      <c r="AL115" s="567"/>
      <c r="AM115" s="567"/>
      <c r="AN115" s="567"/>
      <c r="AO115" s="567"/>
      <c r="AP115" s="567"/>
      <c r="AQ115" s="567"/>
      <c r="AR115" s="567"/>
      <c r="AS115" s="567"/>
      <c r="AT115" s="567"/>
      <c r="AU115" s="567"/>
      <c r="AV115" s="567"/>
      <c r="AW115" s="567"/>
      <c r="AX115" s="567"/>
      <c r="AY115" s="567"/>
      <c r="AZ115" s="567"/>
      <c r="BA115" s="567"/>
      <c r="BB115" s="567"/>
      <c r="BC115" s="567"/>
      <c r="BD115" s="568"/>
      <c r="BE115" s="568"/>
      <c r="BF115" s="568"/>
      <c r="BG115" s="568"/>
      <c r="BH115" s="568"/>
      <c r="BI115" s="568"/>
      <c r="BJ115" s="568"/>
      <c r="BK115" s="568"/>
      <c r="BL115" s="568"/>
      <c r="BM115" s="568"/>
      <c r="BN115" s="568"/>
      <c r="BO115" s="568"/>
      <c r="BP115" s="568"/>
      <c r="BQ115" s="568"/>
      <c r="BR115" s="568"/>
      <c r="BS115" s="568"/>
      <c r="BT115" s="568"/>
      <c r="BU115" s="568"/>
      <c r="BV115" s="568"/>
      <c r="BW115" s="568"/>
      <c r="BX115" s="568"/>
      <c r="BY115" s="568"/>
      <c r="BZ115" s="568"/>
      <c r="CA115" s="568"/>
      <c r="CB115" s="568"/>
      <c r="CC115" s="568"/>
      <c r="CD115" s="568"/>
      <c r="CE115" s="568"/>
      <c r="CF115" s="568"/>
      <c r="CG115" s="568"/>
      <c r="CH115" s="568"/>
      <c r="CI115" s="568"/>
      <c r="CJ115" s="568"/>
      <c r="CK115" s="568"/>
      <c r="CL115" s="568"/>
      <c r="CM115" s="568"/>
      <c r="CN115" s="568"/>
      <c r="CO115" s="568"/>
      <c r="CP115" s="568"/>
      <c r="CQ115" s="568"/>
      <c r="CR115" s="568"/>
      <c r="CS115" s="568"/>
      <c r="CT115" s="568"/>
      <c r="CU115" s="568"/>
      <c r="CV115" s="568"/>
      <c r="CW115" s="568"/>
      <c r="CX115" s="568"/>
      <c r="CY115" s="568"/>
      <c r="CZ115" s="568"/>
      <c r="DA115" s="568"/>
      <c r="DB115" s="568"/>
      <c r="DC115" s="568"/>
      <c r="DD115" s="568"/>
      <c r="DE115" s="568"/>
      <c r="DF115" s="568"/>
      <c r="DG115" s="568"/>
      <c r="DH115" s="568"/>
      <c r="DI115" s="568"/>
      <c r="DJ115" s="568"/>
      <c r="DK115" s="568"/>
      <c r="DL115" s="568"/>
      <c r="DM115" s="568"/>
      <c r="DN115" s="568"/>
      <c r="DO115" s="568"/>
      <c r="DP115" s="568"/>
      <c r="DQ115" s="568"/>
      <c r="DR115" s="568"/>
      <c r="DS115" s="568"/>
      <c r="DT115" s="568"/>
      <c r="DU115" s="568"/>
      <c r="DV115" s="568"/>
      <c r="DW115" s="568"/>
      <c r="DX115" s="568"/>
      <c r="DY115" s="568"/>
      <c r="DZ115" s="568"/>
      <c r="EA115" s="568"/>
      <c r="EB115" s="568"/>
      <c r="EC115" s="568"/>
      <c r="ED115" s="568"/>
      <c r="EE115" s="568"/>
      <c r="EF115" s="568"/>
      <c r="EG115" s="568"/>
      <c r="EH115" s="568"/>
      <c r="EI115" s="568"/>
      <c r="EJ115" s="568"/>
      <c r="EK115" s="568"/>
      <c r="EL115" s="568"/>
      <c r="EM115" s="568"/>
      <c r="EN115" s="568"/>
      <c r="EO115" s="568"/>
      <c r="EP115" s="568"/>
      <c r="EQ115" s="568"/>
      <c r="ER115" s="568"/>
      <c r="ES115" s="568"/>
      <c r="ET115" s="568"/>
      <c r="EU115" s="568"/>
      <c r="EV115" s="568"/>
      <c r="EW115" s="568"/>
      <c r="EX115" s="568"/>
      <c r="EY115" s="568"/>
      <c r="EZ115" s="568"/>
      <c r="FA115" s="568"/>
      <c r="FB115" s="568"/>
      <c r="FC115" s="568"/>
      <c r="FD115" s="568"/>
      <c r="FE115" s="568"/>
      <c r="FF115" s="568"/>
      <c r="FG115" s="568"/>
      <c r="FH115" s="568"/>
      <c r="FI115" s="568"/>
      <c r="FJ115" s="568"/>
      <c r="FK115" s="568"/>
      <c r="FL115" s="568"/>
      <c r="FM115" s="568"/>
      <c r="FN115" s="568"/>
      <c r="FO115" s="568"/>
      <c r="FP115" s="568"/>
      <c r="FQ115" s="568"/>
      <c r="FR115" s="568"/>
      <c r="FS115" s="568"/>
      <c r="FT115" s="568"/>
      <c r="FU115" s="568"/>
      <c r="FV115" s="568"/>
      <c r="FW115" s="568"/>
      <c r="FX115" s="568"/>
      <c r="FY115" s="568"/>
      <c r="FZ115" s="568"/>
      <c r="GA115" s="568"/>
      <c r="GB115" s="568"/>
      <c r="GC115" s="568"/>
      <c r="GD115" s="568"/>
      <c r="GE115" s="568"/>
      <c r="GF115" s="568"/>
      <c r="GG115" s="568"/>
      <c r="GH115" s="568"/>
      <c r="GI115" s="568"/>
      <c r="GJ115" s="568"/>
      <c r="GK115" s="568"/>
      <c r="GL115" s="568"/>
      <c r="GM115" s="568"/>
      <c r="GN115" s="568"/>
      <c r="GO115" s="568"/>
      <c r="GP115" s="568"/>
      <c r="GQ115" s="568"/>
      <c r="GR115" s="568"/>
      <c r="GS115" s="568"/>
      <c r="GT115" s="568"/>
      <c r="GU115" s="568"/>
      <c r="GV115" s="568"/>
      <c r="GW115" s="568"/>
      <c r="GX115" s="568"/>
      <c r="GY115" s="568"/>
      <c r="GZ115" s="568"/>
      <c r="HA115" s="568"/>
      <c r="HB115" s="568"/>
      <c r="HC115" s="568"/>
      <c r="HD115" s="568"/>
      <c r="HE115" s="568"/>
      <c r="HF115" s="568"/>
      <c r="HG115" s="568"/>
      <c r="HH115" s="568"/>
      <c r="HI115" s="568"/>
      <c r="HJ115" s="568"/>
      <c r="HK115" s="568"/>
      <c r="HL115" s="568"/>
      <c r="HM115" s="568"/>
      <c r="HN115" s="568"/>
      <c r="HO115" s="568"/>
      <c r="HP115" s="568"/>
      <c r="HQ115" s="568"/>
      <c r="HR115" s="568"/>
      <c r="HS115" s="568"/>
      <c r="HT115" s="568"/>
      <c r="HU115" s="568"/>
      <c r="HV115" s="568"/>
      <c r="HW115" s="568"/>
      <c r="HX115" s="568"/>
      <c r="HY115" s="568"/>
      <c r="HZ115" s="568"/>
      <c r="IA115" s="568"/>
      <c r="IB115" s="568"/>
      <c r="IC115" s="568"/>
      <c r="ID115" s="568"/>
      <c r="IE115" s="568"/>
      <c r="IF115" s="568"/>
      <c r="IG115" s="568"/>
      <c r="IH115" s="568"/>
      <c r="II115" s="568"/>
      <c r="IJ115" s="568"/>
      <c r="IK115" s="568"/>
      <c r="IL115" s="568"/>
      <c r="IM115" s="568"/>
      <c r="IN115" s="568"/>
      <c r="IO115" s="568"/>
      <c r="IP115" s="568"/>
      <c r="IQ115" s="568"/>
      <c r="IR115" s="568"/>
      <c r="IS115" s="568"/>
      <c r="IT115" s="568"/>
      <c r="IU115" s="568"/>
    </row>
    <row r="116" spans="1:255" s="689" customFormat="1" ht="18" customHeight="1">
      <c r="A116" s="570" t="s">
        <v>1295</v>
      </c>
      <c r="B116" s="560"/>
      <c r="C116" s="1148">
        <v>5821.6146768299996</v>
      </c>
      <c r="D116" s="1148">
        <v>6673.3223597100005</v>
      </c>
      <c r="E116" s="1148">
        <v>7331.7293244599996</v>
      </c>
      <c r="F116" s="1148">
        <v>7397.7127680699996</v>
      </c>
      <c r="G116" s="1148">
        <v>7021.5178359600004</v>
      </c>
      <c r="H116" s="1148">
        <v>7370.23505234</v>
      </c>
      <c r="I116" s="1148">
        <v>8178.6503708800001</v>
      </c>
      <c r="J116" s="1148">
        <v>9143.5128433400005</v>
      </c>
      <c r="K116" s="1148">
        <v>0</v>
      </c>
      <c r="L116" s="1148">
        <v>0</v>
      </c>
      <c r="M116" s="560">
        <v>0</v>
      </c>
      <c r="N116" s="560">
        <v>0</v>
      </c>
      <c r="O116"/>
      <c r="P116" s="832" t="s">
        <v>1714</v>
      </c>
      <c r="Q116" s="686"/>
      <c r="R116" s="686"/>
      <c r="S116" s="686"/>
      <c r="T116" s="686"/>
      <c r="U116" s="686"/>
      <c r="V116" s="686"/>
      <c r="W116" s="686"/>
      <c r="X116" s="686"/>
      <c r="Y116" s="686"/>
      <c r="Z116" s="686"/>
      <c r="AA116" s="686"/>
      <c r="AB116" s="686"/>
      <c r="AC116" s="686"/>
      <c r="AD116" s="686"/>
      <c r="AE116" s="686"/>
      <c r="AF116" s="686"/>
      <c r="AG116" s="686"/>
      <c r="AH116" s="687"/>
      <c r="AI116" s="687"/>
      <c r="AJ116" s="687"/>
      <c r="AK116" s="687"/>
      <c r="AL116" s="687"/>
      <c r="AM116" s="687"/>
      <c r="AN116" s="687"/>
      <c r="AO116" s="687"/>
      <c r="AP116" s="687"/>
      <c r="AQ116" s="687"/>
      <c r="AR116" s="687"/>
      <c r="AS116" s="687"/>
      <c r="AT116" s="687"/>
      <c r="AU116" s="687"/>
      <c r="AV116" s="687"/>
      <c r="AW116" s="687"/>
      <c r="AX116" s="687"/>
      <c r="AY116" s="687"/>
      <c r="AZ116" s="687"/>
      <c r="BA116" s="687"/>
      <c r="BB116" s="687"/>
      <c r="BC116" s="687"/>
      <c r="BD116" s="688"/>
      <c r="BE116" s="688"/>
      <c r="BF116" s="688"/>
      <c r="BG116" s="688"/>
      <c r="BH116" s="688"/>
      <c r="BI116" s="688"/>
      <c r="BJ116" s="688"/>
      <c r="BK116" s="688"/>
      <c r="BL116" s="688"/>
      <c r="BM116" s="688"/>
      <c r="BN116" s="688"/>
      <c r="BO116" s="688"/>
      <c r="BP116" s="688"/>
      <c r="BQ116" s="688"/>
      <c r="BR116" s="688"/>
      <c r="BS116" s="688"/>
      <c r="BT116" s="688"/>
      <c r="BU116" s="688"/>
      <c r="BV116" s="688"/>
      <c r="BW116" s="688"/>
      <c r="BX116" s="688"/>
      <c r="BY116" s="688"/>
      <c r="BZ116" s="688"/>
      <c r="CA116" s="688"/>
      <c r="CB116" s="688"/>
      <c r="CC116" s="688"/>
      <c r="CD116" s="688"/>
      <c r="CE116" s="688"/>
      <c r="CF116" s="688"/>
      <c r="CG116" s="688"/>
      <c r="CH116" s="688"/>
      <c r="CI116" s="688"/>
      <c r="CJ116" s="688"/>
      <c r="CK116" s="688"/>
      <c r="CL116" s="688"/>
      <c r="CM116" s="688"/>
      <c r="CN116" s="688"/>
      <c r="CO116" s="688"/>
      <c r="CP116" s="688"/>
      <c r="CQ116" s="688"/>
      <c r="CR116" s="688"/>
      <c r="CS116" s="688"/>
      <c r="CT116" s="688"/>
      <c r="CU116" s="688"/>
      <c r="CV116" s="688"/>
      <c r="CW116" s="688"/>
      <c r="CX116" s="688"/>
      <c r="CY116" s="688"/>
      <c r="CZ116" s="688"/>
      <c r="DA116" s="688"/>
      <c r="DB116" s="688"/>
      <c r="DC116" s="688"/>
      <c r="DD116" s="688"/>
      <c r="DE116" s="688"/>
      <c r="DF116" s="688"/>
      <c r="DG116" s="688"/>
      <c r="DH116" s="688"/>
      <c r="DI116" s="688"/>
      <c r="DJ116" s="688"/>
      <c r="DK116" s="688"/>
      <c r="DL116" s="688"/>
      <c r="DM116" s="688"/>
      <c r="DN116" s="688"/>
      <c r="DO116" s="688"/>
      <c r="DP116" s="688"/>
      <c r="DQ116" s="688"/>
      <c r="DR116" s="688"/>
      <c r="DS116" s="688"/>
      <c r="DT116" s="688"/>
      <c r="DU116" s="688"/>
      <c r="DV116" s="688"/>
      <c r="DW116" s="688"/>
      <c r="DX116" s="688"/>
      <c r="DY116" s="688"/>
      <c r="DZ116" s="688"/>
      <c r="EA116" s="688"/>
      <c r="EB116" s="688"/>
      <c r="EC116" s="688"/>
      <c r="ED116" s="688"/>
      <c r="EE116" s="688"/>
      <c r="EF116" s="688"/>
      <c r="EG116" s="688"/>
      <c r="EH116" s="688"/>
      <c r="EI116" s="688"/>
      <c r="EJ116" s="688"/>
      <c r="EK116" s="688"/>
      <c r="EL116" s="688"/>
      <c r="EM116" s="688"/>
      <c r="EN116" s="688"/>
      <c r="EO116" s="688"/>
      <c r="EP116" s="688"/>
      <c r="EQ116" s="688"/>
      <c r="ER116" s="688"/>
      <c r="ES116" s="688"/>
      <c r="ET116" s="688"/>
      <c r="EU116" s="688"/>
      <c r="EV116" s="688"/>
      <c r="EW116" s="688"/>
      <c r="EX116" s="688"/>
      <c r="EY116" s="688"/>
      <c r="EZ116" s="688"/>
      <c r="FA116" s="688"/>
      <c r="FB116" s="688"/>
      <c r="FC116" s="688"/>
      <c r="FD116" s="688"/>
      <c r="FE116" s="688"/>
      <c r="FF116" s="688"/>
      <c r="FG116" s="688"/>
      <c r="FH116" s="688"/>
      <c r="FI116" s="688"/>
      <c r="FJ116" s="688"/>
      <c r="FK116" s="688"/>
      <c r="FL116" s="688"/>
      <c r="FM116" s="688"/>
      <c r="FN116" s="688"/>
      <c r="FO116" s="688"/>
      <c r="FP116" s="688"/>
      <c r="FQ116" s="688"/>
      <c r="FR116" s="688"/>
      <c r="FS116" s="688"/>
      <c r="FT116" s="688"/>
      <c r="FU116" s="688"/>
      <c r="FV116" s="688"/>
      <c r="FW116" s="688"/>
      <c r="FX116" s="688"/>
      <c r="FY116" s="688"/>
      <c r="FZ116" s="688"/>
      <c r="GA116" s="688"/>
      <c r="GB116" s="688"/>
      <c r="GC116" s="688"/>
      <c r="GD116" s="688"/>
      <c r="GE116" s="688"/>
      <c r="GF116" s="688"/>
      <c r="GG116" s="688"/>
      <c r="GH116" s="688"/>
      <c r="GI116" s="688"/>
      <c r="GJ116" s="688"/>
      <c r="GK116" s="688"/>
      <c r="GL116" s="688"/>
      <c r="GM116" s="688"/>
      <c r="GN116" s="688"/>
      <c r="GO116" s="688"/>
      <c r="GP116" s="688"/>
      <c r="GQ116" s="688"/>
      <c r="GR116" s="688"/>
      <c r="GS116" s="688"/>
      <c r="GT116" s="688"/>
      <c r="GU116" s="688"/>
      <c r="GV116" s="688"/>
      <c r="GW116" s="688"/>
      <c r="GX116" s="688"/>
      <c r="GY116" s="688"/>
      <c r="GZ116" s="688"/>
      <c r="HA116" s="688"/>
      <c r="HB116" s="688"/>
      <c r="HC116" s="688"/>
      <c r="HD116" s="688"/>
      <c r="HE116" s="688"/>
      <c r="HF116" s="688"/>
      <c r="HG116" s="688"/>
      <c r="HH116" s="688"/>
      <c r="HI116" s="688"/>
      <c r="HJ116" s="688"/>
      <c r="HK116" s="688"/>
      <c r="HL116" s="688"/>
      <c r="HM116" s="688"/>
      <c r="HN116" s="688"/>
      <c r="HO116" s="688"/>
      <c r="HP116" s="688"/>
      <c r="HQ116" s="688"/>
      <c r="HR116" s="688"/>
      <c r="HS116" s="688"/>
      <c r="HT116" s="688"/>
      <c r="HU116" s="688"/>
      <c r="HV116" s="688"/>
      <c r="HW116" s="688"/>
      <c r="HX116" s="688"/>
      <c r="HY116" s="688"/>
      <c r="HZ116" s="688"/>
      <c r="IA116" s="688"/>
      <c r="IB116" s="688"/>
      <c r="IC116" s="688"/>
      <c r="ID116" s="688"/>
      <c r="IE116" s="688"/>
      <c r="IF116" s="688"/>
      <c r="IG116" s="688"/>
      <c r="IH116" s="688"/>
      <c r="II116" s="688"/>
      <c r="IJ116" s="688"/>
      <c r="IK116" s="688"/>
      <c r="IL116" s="688"/>
      <c r="IM116" s="688"/>
      <c r="IN116" s="688"/>
      <c r="IO116" s="688"/>
      <c r="IP116" s="688"/>
      <c r="IQ116" s="688"/>
      <c r="IR116" s="688"/>
      <c r="IS116" s="688"/>
      <c r="IT116" s="688"/>
      <c r="IU116" s="688"/>
    </row>
    <row r="117" spans="1:255" ht="18" customHeight="1">
      <c r="A117" s="581" t="s">
        <v>874</v>
      </c>
      <c r="B117" s="561"/>
      <c r="C117" s="1142"/>
      <c r="D117" s="1142"/>
      <c r="E117" s="1142"/>
      <c r="F117" s="1142"/>
      <c r="G117" s="1142"/>
      <c r="H117" s="1142"/>
      <c r="I117" s="1142"/>
      <c r="J117" s="1142"/>
      <c r="K117" s="1142"/>
      <c r="L117" s="1142"/>
      <c r="M117" s="561">
        <v>0</v>
      </c>
      <c r="N117" s="561">
        <v>0</v>
      </c>
      <c r="O117"/>
      <c r="P117" s="832"/>
      <c r="Q117" s="561"/>
      <c r="R117" s="561"/>
      <c r="S117" s="561"/>
      <c r="T117" s="561"/>
      <c r="U117" s="561"/>
      <c r="V117" s="561"/>
      <c r="W117" s="561"/>
      <c r="X117" s="561"/>
      <c r="Y117" s="561"/>
      <c r="Z117" s="561"/>
      <c r="AA117" s="561"/>
      <c r="AB117" s="561"/>
      <c r="AC117" s="561"/>
      <c r="AD117" s="561"/>
      <c r="AE117" s="561"/>
      <c r="AF117" s="561"/>
      <c r="AG117" s="561"/>
      <c r="AH117" s="567"/>
      <c r="AI117" s="567"/>
      <c r="AJ117" s="567"/>
      <c r="AK117" s="567"/>
      <c r="AL117" s="567"/>
      <c r="AM117" s="567"/>
      <c r="AN117" s="567"/>
      <c r="AO117" s="567"/>
      <c r="AP117" s="567"/>
      <c r="AQ117" s="567"/>
      <c r="AR117" s="567"/>
      <c r="AS117" s="567"/>
      <c r="AT117" s="567"/>
      <c r="AU117" s="567"/>
      <c r="AV117" s="567"/>
      <c r="AW117" s="567"/>
      <c r="AX117" s="567"/>
      <c r="AY117" s="567"/>
      <c r="AZ117" s="567"/>
      <c r="BA117" s="567"/>
      <c r="BB117" s="567"/>
      <c r="BC117" s="567"/>
      <c r="BD117" s="568"/>
      <c r="BE117" s="568"/>
      <c r="BF117" s="568"/>
      <c r="BG117" s="568"/>
      <c r="BH117" s="568"/>
      <c r="BI117" s="568"/>
      <c r="BJ117" s="568"/>
      <c r="BK117" s="568"/>
      <c r="BL117" s="568"/>
      <c r="BM117" s="568"/>
      <c r="BN117" s="568"/>
      <c r="BO117" s="568"/>
      <c r="BP117" s="568"/>
      <c r="BQ117" s="568"/>
      <c r="BR117" s="568"/>
      <c r="BS117" s="568"/>
      <c r="BT117" s="568"/>
      <c r="BU117" s="568"/>
      <c r="BV117" s="568"/>
      <c r="BW117" s="568"/>
      <c r="BX117" s="568"/>
      <c r="BY117" s="568"/>
      <c r="BZ117" s="568"/>
      <c r="CA117" s="568"/>
      <c r="CB117" s="568"/>
      <c r="CC117" s="568"/>
      <c r="CD117" s="568"/>
      <c r="CE117" s="568"/>
      <c r="CF117" s="568"/>
      <c r="CG117" s="568"/>
      <c r="CH117" s="568"/>
      <c r="CI117" s="568"/>
      <c r="CJ117" s="568"/>
      <c r="CK117" s="568"/>
      <c r="CL117" s="568"/>
      <c r="CM117" s="568"/>
      <c r="CN117" s="568"/>
      <c r="CO117" s="568"/>
      <c r="CP117" s="568"/>
      <c r="CQ117" s="568"/>
      <c r="CR117" s="568"/>
      <c r="CS117" s="568"/>
      <c r="CT117" s="568"/>
      <c r="CU117" s="568"/>
      <c r="CV117" s="568"/>
      <c r="CW117" s="568"/>
      <c r="CX117" s="568"/>
      <c r="CY117" s="568"/>
      <c r="CZ117" s="568"/>
      <c r="DA117" s="568"/>
      <c r="DB117" s="568"/>
      <c r="DC117" s="568"/>
      <c r="DD117" s="568"/>
      <c r="DE117" s="568"/>
      <c r="DF117" s="568"/>
      <c r="DG117" s="568"/>
      <c r="DH117" s="568"/>
      <c r="DI117" s="568"/>
      <c r="DJ117" s="568"/>
      <c r="DK117" s="568"/>
      <c r="DL117" s="568"/>
      <c r="DM117" s="568"/>
      <c r="DN117" s="568"/>
      <c r="DO117" s="568"/>
      <c r="DP117" s="568"/>
      <c r="DQ117" s="568"/>
      <c r="DR117" s="568"/>
      <c r="DS117" s="568"/>
      <c r="DT117" s="568"/>
      <c r="DU117" s="568"/>
      <c r="DV117" s="568"/>
      <c r="DW117" s="568"/>
      <c r="DX117" s="568"/>
      <c r="DY117" s="568"/>
      <c r="DZ117" s="568"/>
      <c r="EA117" s="568"/>
      <c r="EB117" s="568"/>
      <c r="EC117" s="568"/>
      <c r="ED117" s="568"/>
      <c r="EE117" s="568"/>
      <c r="EF117" s="568"/>
      <c r="EG117" s="568"/>
      <c r="EH117" s="568"/>
      <c r="EI117" s="568"/>
      <c r="EJ117" s="568"/>
      <c r="EK117" s="568"/>
      <c r="EL117" s="568"/>
      <c r="EM117" s="568"/>
      <c r="EN117" s="568"/>
      <c r="EO117" s="568"/>
      <c r="EP117" s="568"/>
      <c r="EQ117" s="568"/>
      <c r="ER117" s="568"/>
      <c r="ES117" s="568"/>
      <c r="ET117" s="568"/>
      <c r="EU117" s="568"/>
      <c r="EV117" s="568"/>
      <c r="EW117" s="568"/>
      <c r="EX117" s="568"/>
      <c r="EY117" s="568"/>
      <c r="EZ117" s="568"/>
      <c r="FA117" s="568"/>
      <c r="FB117" s="568"/>
      <c r="FC117" s="568"/>
      <c r="FD117" s="568"/>
      <c r="FE117" s="568"/>
      <c r="FF117" s="568"/>
      <c r="FG117" s="568"/>
      <c r="FH117" s="568"/>
      <c r="FI117" s="568"/>
      <c r="FJ117" s="568"/>
      <c r="FK117" s="568"/>
      <c r="FL117" s="568"/>
      <c r="FM117" s="568"/>
      <c r="FN117" s="568"/>
      <c r="FO117" s="568"/>
      <c r="FP117" s="568"/>
      <c r="FQ117" s="568"/>
      <c r="FR117" s="568"/>
      <c r="FS117" s="568"/>
      <c r="FT117" s="568"/>
      <c r="FU117" s="568"/>
      <c r="FV117" s="568"/>
      <c r="FW117" s="568"/>
      <c r="FX117" s="568"/>
      <c r="FY117" s="568"/>
      <c r="FZ117" s="568"/>
      <c r="GA117" s="568"/>
      <c r="GB117" s="568"/>
      <c r="GC117" s="568"/>
      <c r="GD117" s="568"/>
      <c r="GE117" s="568"/>
      <c r="GF117" s="568"/>
      <c r="GG117" s="568"/>
      <c r="GH117" s="568"/>
      <c r="GI117" s="568"/>
      <c r="GJ117" s="568"/>
      <c r="GK117" s="568"/>
      <c r="GL117" s="568"/>
      <c r="GM117" s="568"/>
      <c r="GN117" s="568"/>
      <c r="GO117" s="568"/>
      <c r="GP117" s="568"/>
      <c r="GQ117" s="568"/>
      <c r="GR117" s="568"/>
      <c r="GS117" s="568"/>
      <c r="GT117" s="568"/>
      <c r="GU117" s="568"/>
      <c r="GV117" s="568"/>
      <c r="GW117" s="568"/>
      <c r="GX117" s="568"/>
      <c r="GY117" s="568"/>
      <c r="GZ117" s="568"/>
      <c r="HA117" s="568"/>
      <c r="HB117" s="568"/>
      <c r="HC117" s="568"/>
      <c r="HD117" s="568"/>
      <c r="HE117" s="568"/>
      <c r="HF117" s="568"/>
      <c r="HG117" s="568"/>
      <c r="HH117" s="568"/>
      <c r="HI117" s="568"/>
      <c r="HJ117" s="568"/>
      <c r="HK117" s="568"/>
      <c r="HL117" s="568"/>
      <c r="HM117" s="568"/>
      <c r="HN117" s="568"/>
      <c r="HO117" s="568"/>
      <c r="HP117" s="568"/>
      <c r="HQ117" s="568"/>
      <c r="HR117" s="568"/>
      <c r="HS117" s="568"/>
      <c r="HT117" s="568"/>
      <c r="HU117" s="568"/>
      <c r="HV117" s="568"/>
      <c r="HW117" s="568"/>
      <c r="HX117" s="568"/>
      <c r="HY117" s="568"/>
      <c r="HZ117" s="568"/>
      <c r="IA117" s="568"/>
      <c r="IB117" s="568"/>
      <c r="IC117" s="568"/>
      <c r="ID117" s="568"/>
      <c r="IE117" s="568"/>
      <c r="IF117" s="568"/>
      <c r="IG117" s="568"/>
      <c r="IH117" s="568"/>
      <c r="II117" s="568"/>
      <c r="IJ117" s="568"/>
      <c r="IK117" s="568"/>
      <c r="IL117" s="568"/>
      <c r="IM117" s="568"/>
      <c r="IN117" s="568"/>
      <c r="IO117" s="568"/>
      <c r="IP117" s="568"/>
      <c r="IQ117" s="568"/>
      <c r="IR117" s="568"/>
      <c r="IS117" s="568"/>
      <c r="IT117" s="568"/>
      <c r="IU117" s="568"/>
    </row>
    <row r="118" spans="1:255" ht="18" customHeight="1">
      <c r="A118" s="582" t="s">
        <v>633</v>
      </c>
      <c r="B118" s="561"/>
      <c r="C118" s="1142">
        <v>1151.18658</v>
      </c>
      <c r="D118" s="1142">
        <v>1181.575407</v>
      </c>
      <c r="E118" s="1142">
        <v>1180.8786270000001</v>
      </c>
      <c r="F118" s="1142">
        <v>1180.8786270000001</v>
      </c>
      <c r="G118" s="1142">
        <v>1180.8786270000001</v>
      </c>
      <c r="H118" s="1142">
        <v>1180.8786270000001</v>
      </c>
      <c r="I118" s="1142">
        <v>1177.2865629999999</v>
      </c>
      <c r="J118" s="1142">
        <v>1177.2865629999999</v>
      </c>
      <c r="K118" s="1142">
        <v>0</v>
      </c>
      <c r="L118" s="1142">
        <v>0</v>
      </c>
      <c r="M118" s="561">
        <v>0</v>
      </c>
      <c r="N118" s="561">
        <v>0</v>
      </c>
      <c r="O118"/>
      <c r="P118" s="832" t="s">
        <v>1716</v>
      </c>
      <c r="Q118" s="562"/>
      <c r="R118" s="562"/>
      <c r="S118" s="562"/>
      <c r="T118" s="561"/>
      <c r="U118" s="562"/>
      <c r="V118" s="562"/>
      <c r="W118" s="562"/>
      <c r="X118" s="562"/>
      <c r="Y118" s="562"/>
      <c r="Z118" s="562"/>
      <c r="AA118" s="562"/>
      <c r="AB118" s="562"/>
      <c r="AC118" s="562"/>
      <c r="AD118" s="562"/>
      <c r="AE118" s="562"/>
      <c r="AF118" s="562"/>
      <c r="AG118" s="562"/>
      <c r="AH118" s="563"/>
      <c r="AI118" s="563"/>
      <c r="AJ118" s="563"/>
      <c r="AK118" s="563"/>
      <c r="AL118" s="563"/>
      <c r="AM118" s="563"/>
      <c r="AN118" s="563"/>
      <c r="AO118" s="563"/>
      <c r="AP118" s="563"/>
      <c r="AQ118" s="563"/>
      <c r="AR118" s="563"/>
      <c r="AS118" s="563"/>
      <c r="AT118" s="563"/>
      <c r="AU118" s="563"/>
      <c r="AV118" s="563"/>
      <c r="AW118" s="563"/>
      <c r="AX118" s="563"/>
      <c r="AY118" s="563"/>
      <c r="AZ118" s="563"/>
      <c r="BA118" s="563"/>
      <c r="BB118" s="563"/>
      <c r="BC118" s="563"/>
      <c r="BD118" s="564"/>
      <c r="BE118" s="564"/>
      <c r="BF118" s="564"/>
      <c r="BG118" s="564"/>
      <c r="BH118" s="564"/>
      <c r="BI118" s="564"/>
      <c r="BJ118" s="564"/>
      <c r="BK118" s="564"/>
      <c r="BL118" s="564"/>
      <c r="BM118" s="564"/>
      <c r="BN118" s="564"/>
      <c r="BO118" s="564"/>
      <c r="BP118" s="564"/>
      <c r="BQ118" s="564"/>
      <c r="BR118" s="564"/>
      <c r="BS118" s="564"/>
      <c r="BT118" s="564"/>
      <c r="BU118" s="564"/>
      <c r="BV118" s="564"/>
      <c r="BW118" s="564"/>
      <c r="BX118" s="564"/>
    </row>
    <row r="119" spans="1:255" ht="18" customHeight="1">
      <c r="A119" s="1170" t="s">
        <v>2798</v>
      </c>
      <c r="B119" s="561"/>
      <c r="C119" s="1142">
        <v>0</v>
      </c>
      <c r="D119" s="1142">
        <v>0</v>
      </c>
      <c r="E119" s="1142">
        <v>0</v>
      </c>
      <c r="F119" s="1142">
        <v>0</v>
      </c>
      <c r="G119" s="1142">
        <v>0</v>
      </c>
      <c r="H119" s="1142">
        <v>0</v>
      </c>
      <c r="I119" s="1142">
        <v>0</v>
      </c>
      <c r="J119" s="1142">
        <v>7.3980658500000001</v>
      </c>
      <c r="K119" s="1142">
        <v>0</v>
      </c>
      <c r="L119" s="1142">
        <v>0</v>
      </c>
      <c r="M119" s="561">
        <v>0</v>
      </c>
      <c r="N119" s="561">
        <v>0</v>
      </c>
      <c r="O119"/>
      <c r="P119" s="832" t="s">
        <v>2481</v>
      </c>
      <c r="Q119" s="561"/>
      <c r="R119" s="561"/>
      <c r="S119" s="561"/>
      <c r="T119" s="561"/>
      <c r="U119" s="561"/>
      <c r="V119" s="561"/>
      <c r="W119" s="561"/>
      <c r="X119" s="561"/>
      <c r="Y119" s="561"/>
      <c r="Z119" s="561"/>
      <c r="AA119" s="561"/>
      <c r="AB119" s="561"/>
      <c r="AC119" s="561"/>
      <c r="AD119" s="561"/>
      <c r="AE119" s="561"/>
      <c r="AF119" s="561"/>
      <c r="AG119" s="561"/>
      <c r="AH119" s="567"/>
      <c r="AI119" s="567"/>
      <c r="AJ119" s="567"/>
      <c r="AK119" s="567"/>
      <c r="AL119" s="567"/>
      <c r="AM119" s="567"/>
      <c r="AN119" s="567"/>
      <c r="AO119" s="567"/>
      <c r="AP119" s="567"/>
      <c r="AQ119" s="567"/>
      <c r="AR119" s="567"/>
      <c r="AS119" s="567"/>
      <c r="AT119" s="567"/>
      <c r="AU119" s="567"/>
      <c r="AV119" s="567"/>
      <c r="AW119" s="567"/>
      <c r="AX119" s="567"/>
      <c r="AY119" s="567"/>
      <c r="AZ119" s="567"/>
      <c r="BA119" s="567"/>
      <c r="BB119" s="567"/>
      <c r="BC119" s="567"/>
      <c r="BD119" s="568"/>
      <c r="BE119" s="568"/>
      <c r="BF119" s="568"/>
      <c r="BG119" s="568"/>
      <c r="BH119" s="568"/>
      <c r="BI119" s="568"/>
      <c r="BJ119" s="568"/>
      <c r="BK119" s="568"/>
      <c r="BL119" s="568"/>
      <c r="BM119" s="568"/>
      <c r="BN119" s="568"/>
      <c r="BO119" s="568"/>
      <c r="BP119" s="568"/>
      <c r="BQ119" s="568"/>
      <c r="BR119" s="568"/>
      <c r="BS119" s="568"/>
      <c r="BT119" s="568"/>
      <c r="BU119" s="568"/>
      <c r="BV119" s="568"/>
      <c r="BW119" s="568"/>
      <c r="BX119" s="568"/>
      <c r="BY119" s="568"/>
      <c r="BZ119" s="568"/>
      <c r="CA119" s="568"/>
      <c r="CB119" s="568"/>
      <c r="CC119" s="568"/>
      <c r="CD119" s="568"/>
      <c r="CE119" s="568"/>
      <c r="CF119" s="568"/>
      <c r="CG119" s="568"/>
      <c r="CH119" s="568"/>
      <c r="CI119" s="568"/>
      <c r="CJ119" s="568"/>
      <c r="CK119" s="568"/>
      <c r="CL119" s="568"/>
      <c r="CM119" s="568"/>
      <c r="CN119" s="568"/>
      <c r="CO119" s="568"/>
      <c r="CP119" s="568"/>
      <c r="CQ119" s="568"/>
      <c r="CR119" s="568"/>
      <c r="CS119" s="568"/>
      <c r="CT119" s="568"/>
      <c r="CU119" s="568"/>
      <c r="CV119" s="568"/>
      <c r="CW119" s="568"/>
      <c r="CX119" s="568"/>
      <c r="CY119" s="568"/>
      <c r="CZ119" s="568"/>
      <c r="DA119" s="568"/>
      <c r="DB119" s="568"/>
      <c r="DC119" s="568"/>
      <c r="DD119" s="568"/>
      <c r="DE119" s="568"/>
      <c r="DF119" s="568"/>
      <c r="DG119" s="568"/>
      <c r="DH119" s="568"/>
      <c r="DI119" s="568"/>
      <c r="DJ119" s="568"/>
      <c r="DK119" s="568"/>
      <c r="DL119" s="568"/>
      <c r="DM119" s="568"/>
      <c r="DN119" s="568"/>
      <c r="DO119" s="568"/>
      <c r="DP119" s="568"/>
      <c r="DQ119" s="568"/>
      <c r="DR119" s="568"/>
      <c r="DS119" s="568"/>
      <c r="DT119" s="568"/>
      <c r="DU119" s="568"/>
      <c r="DV119" s="568"/>
      <c r="DW119" s="568"/>
      <c r="DX119" s="568"/>
      <c r="DY119" s="568"/>
      <c r="DZ119" s="568"/>
      <c r="EA119" s="568"/>
      <c r="EB119" s="568"/>
      <c r="EC119" s="568"/>
      <c r="ED119" s="568"/>
      <c r="EE119" s="568"/>
      <c r="EF119" s="568"/>
      <c r="EG119" s="568"/>
      <c r="EH119" s="568"/>
      <c r="EI119" s="568"/>
      <c r="EJ119" s="568"/>
      <c r="EK119" s="568"/>
      <c r="EL119" s="568"/>
      <c r="EM119" s="568"/>
      <c r="EN119" s="568"/>
      <c r="EO119" s="568"/>
      <c r="EP119" s="568"/>
      <c r="EQ119" s="568"/>
      <c r="ER119" s="568"/>
      <c r="ES119" s="568"/>
      <c r="ET119" s="568"/>
      <c r="EU119" s="568"/>
      <c r="EV119" s="568"/>
      <c r="EW119" s="568"/>
      <c r="EX119" s="568"/>
      <c r="EY119" s="568"/>
      <c r="EZ119" s="568"/>
      <c r="FA119" s="568"/>
      <c r="FB119" s="568"/>
      <c r="FC119" s="568"/>
      <c r="FD119" s="568"/>
      <c r="FE119" s="568"/>
      <c r="FF119" s="568"/>
      <c r="FG119" s="568"/>
      <c r="FH119" s="568"/>
      <c r="FI119" s="568"/>
      <c r="FJ119" s="568"/>
      <c r="FK119" s="568"/>
      <c r="FL119" s="568"/>
      <c r="FM119" s="568"/>
      <c r="FN119" s="568"/>
      <c r="FO119" s="568"/>
      <c r="FP119" s="568"/>
      <c r="FQ119" s="568"/>
      <c r="FR119" s="568"/>
      <c r="FS119" s="568"/>
      <c r="FT119" s="568"/>
      <c r="FU119" s="568"/>
      <c r="FV119" s="568"/>
      <c r="FW119" s="568"/>
      <c r="FX119" s="568"/>
      <c r="FY119" s="568"/>
      <c r="FZ119" s="568"/>
      <c r="GA119" s="568"/>
      <c r="GB119" s="568"/>
      <c r="GC119" s="568"/>
      <c r="GD119" s="568"/>
      <c r="GE119" s="568"/>
      <c r="GF119" s="568"/>
      <c r="GG119" s="568"/>
      <c r="GH119" s="568"/>
      <c r="GI119" s="568"/>
      <c r="GJ119" s="568"/>
      <c r="GK119" s="568"/>
      <c r="GL119" s="568"/>
      <c r="GM119" s="568"/>
      <c r="GN119" s="568"/>
      <c r="GO119" s="568"/>
      <c r="GP119" s="568"/>
      <c r="GQ119" s="568"/>
      <c r="GR119" s="568"/>
      <c r="GS119" s="568"/>
      <c r="GT119" s="568"/>
      <c r="GU119" s="568"/>
      <c r="GV119" s="568"/>
      <c r="GW119" s="568"/>
      <c r="GX119" s="568"/>
      <c r="GY119" s="568"/>
      <c r="GZ119" s="568"/>
      <c r="HA119" s="568"/>
      <c r="HB119" s="568"/>
      <c r="HC119" s="568"/>
      <c r="HD119" s="568"/>
      <c r="HE119" s="568"/>
      <c r="HF119" s="568"/>
      <c r="HG119" s="568"/>
      <c r="HH119" s="568"/>
      <c r="HI119" s="568"/>
      <c r="HJ119" s="568"/>
      <c r="HK119" s="568"/>
      <c r="HL119" s="568"/>
      <c r="HM119" s="568"/>
      <c r="HN119" s="568"/>
      <c r="HO119" s="568"/>
      <c r="HP119" s="568"/>
      <c r="HQ119" s="568"/>
      <c r="HR119" s="568"/>
      <c r="HS119" s="568"/>
      <c r="HT119" s="568"/>
      <c r="HU119" s="568"/>
      <c r="HV119" s="568"/>
      <c r="HW119" s="568"/>
      <c r="HX119" s="568"/>
      <c r="HY119" s="568"/>
      <c r="HZ119" s="568"/>
      <c r="IA119" s="568"/>
      <c r="IB119" s="568"/>
      <c r="IC119" s="568"/>
      <c r="ID119" s="568"/>
      <c r="IE119" s="568"/>
      <c r="IF119" s="568"/>
      <c r="IG119" s="568"/>
      <c r="IH119" s="568"/>
      <c r="II119" s="568"/>
      <c r="IJ119" s="568"/>
      <c r="IK119" s="568"/>
      <c r="IL119" s="568"/>
      <c r="IM119" s="568"/>
      <c r="IN119" s="568"/>
      <c r="IO119" s="568"/>
      <c r="IP119" s="568"/>
      <c r="IQ119" s="568"/>
      <c r="IR119" s="568"/>
      <c r="IS119" s="568"/>
      <c r="IT119" s="568"/>
      <c r="IU119" s="568"/>
    </row>
    <row r="120" spans="1:255" s="568" customFormat="1" ht="18" customHeight="1">
      <c r="A120" s="1170" t="s">
        <v>2803</v>
      </c>
      <c r="B120" s="561"/>
      <c r="C120" s="1142">
        <v>0</v>
      </c>
      <c r="D120" s="1142">
        <v>0</v>
      </c>
      <c r="E120" s="1142">
        <v>0</v>
      </c>
      <c r="F120" s="1142">
        <v>0</v>
      </c>
      <c r="G120" s="1142">
        <v>0</v>
      </c>
      <c r="H120" s="1142">
        <v>0</v>
      </c>
      <c r="I120" s="1142">
        <v>0</v>
      </c>
      <c r="J120" s="1142">
        <v>0</v>
      </c>
      <c r="K120" s="1142">
        <v>0</v>
      </c>
      <c r="L120" s="1142">
        <v>0</v>
      </c>
      <c r="M120" s="561">
        <v>0</v>
      </c>
      <c r="N120" s="561">
        <v>0</v>
      </c>
      <c r="O120"/>
      <c r="P120" s="832" t="s">
        <v>2482</v>
      </c>
      <c r="Q120" s="561"/>
      <c r="R120" s="561"/>
      <c r="S120" s="561"/>
      <c r="T120" s="562"/>
      <c r="U120" s="561"/>
      <c r="V120" s="561"/>
      <c r="W120" s="561"/>
      <c r="X120" s="561"/>
      <c r="Y120" s="561"/>
      <c r="Z120" s="561"/>
      <c r="AA120" s="561"/>
      <c r="AB120" s="561"/>
      <c r="AC120" s="561"/>
      <c r="AD120" s="561"/>
      <c r="AE120" s="561"/>
      <c r="AF120" s="561"/>
      <c r="AG120" s="561"/>
      <c r="AH120" s="567"/>
      <c r="AI120" s="567"/>
      <c r="AJ120" s="567"/>
      <c r="AK120" s="567"/>
      <c r="AL120" s="567"/>
      <c r="AM120" s="567"/>
      <c r="AN120" s="567"/>
      <c r="AO120" s="567"/>
      <c r="AP120" s="567"/>
      <c r="AQ120" s="567"/>
      <c r="AR120" s="567"/>
      <c r="AS120" s="567"/>
      <c r="AT120" s="567"/>
      <c r="AU120" s="567"/>
      <c r="AV120" s="567"/>
      <c r="AW120" s="567"/>
      <c r="AX120" s="567"/>
      <c r="AY120" s="567"/>
      <c r="AZ120" s="567"/>
      <c r="BA120" s="567"/>
      <c r="BB120" s="567"/>
      <c r="BC120" s="567"/>
    </row>
    <row r="121" spans="1:255" ht="18" customHeight="1">
      <c r="A121" s="1170" t="s">
        <v>2804</v>
      </c>
      <c r="B121" s="561"/>
      <c r="C121" s="1142">
        <v>0</v>
      </c>
      <c r="D121" s="1142">
        <v>0</v>
      </c>
      <c r="E121" s="1142">
        <v>0</v>
      </c>
      <c r="F121" s="1142">
        <v>0</v>
      </c>
      <c r="G121" s="1142">
        <v>0</v>
      </c>
      <c r="H121" s="1142">
        <v>0</v>
      </c>
      <c r="I121" s="1142">
        <v>0</v>
      </c>
      <c r="J121" s="1142">
        <v>0</v>
      </c>
      <c r="K121" s="1142">
        <v>0</v>
      </c>
      <c r="L121" s="1142">
        <v>0</v>
      </c>
      <c r="M121" s="561">
        <v>0</v>
      </c>
      <c r="N121" s="561">
        <v>0</v>
      </c>
      <c r="O121"/>
      <c r="P121" s="832" t="s">
        <v>2483</v>
      </c>
      <c r="Q121" s="562"/>
      <c r="R121" s="562"/>
      <c r="S121" s="562"/>
      <c r="T121" s="561"/>
      <c r="U121" s="562"/>
      <c r="V121" s="562"/>
      <c r="W121" s="562"/>
      <c r="X121" s="562"/>
      <c r="Y121" s="562"/>
      <c r="Z121" s="562"/>
      <c r="AA121" s="562"/>
      <c r="AB121" s="562"/>
      <c r="AC121" s="562"/>
      <c r="AD121" s="562"/>
      <c r="AE121" s="562"/>
      <c r="AF121" s="562"/>
      <c r="AG121" s="562"/>
      <c r="AH121" s="563"/>
      <c r="AI121" s="563"/>
      <c r="AJ121" s="563"/>
      <c r="AK121" s="563"/>
      <c r="AL121" s="563"/>
      <c r="AM121" s="563"/>
      <c r="AN121" s="563"/>
      <c r="AO121" s="563"/>
      <c r="AP121" s="563"/>
      <c r="AQ121" s="563"/>
      <c r="AR121" s="563"/>
      <c r="AS121" s="563"/>
      <c r="AT121" s="563"/>
      <c r="AU121" s="563"/>
      <c r="AV121" s="563"/>
      <c r="AW121" s="563"/>
      <c r="AX121" s="563"/>
      <c r="AY121" s="563"/>
      <c r="AZ121" s="563"/>
      <c r="BA121" s="563"/>
      <c r="BB121" s="563"/>
      <c r="BC121" s="563"/>
      <c r="BD121" s="564"/>
      <c r="BE121" s="564"/>
      <c r="BF121" s="564"/>
      <c r="BG121" s="564"/>
      <c r="BH121" s="564"/>
      <c r="BI121" s="564"/>
      <c r="BJ121" s="564"/>
      <c r="BK121" s="564"/>
      <c r="BL121" s="564"/>
      <c r="BM121" s="564"/>
      <c r="BN121" s="564"/>
      <c r="BO121" s="564"/>
      <c r="BP121" s="564"/>
      <c r="BQ121" s="564"/>
      <c r="BR121" s="564"/>
      <c r="BS121" s="564"/>
      <c r="BT121" s="564"/>
      <c r="BU121" s="564"/>
      <c r="BV121" s="564"/>
      <c r="BW121" s="564"/>
      <c r="BX121" s="564"/>
    </row>
    <row r="122" spans="1:255" s="568" customFormat="1" ht="18" customHeight="1">
      <c r="A122" s="566" t="s">
        <v>1019</v>
      </c>
      <c r="B122" s="561"/>
      <c r="C122" s="1142">
        <v>1680.9903678599999</v>
      </c>
      <c r="D122" s="1142">
        <v>2062.8346703299999</v>
      </c>
      <c r="E122" s="1142">
        <v>2052.68143852</v>
      </c>
      <c r="F122" s="1142">
        <v>2047.3116357399999</v>
      </c>
      <c r="G122" s="1142">
        <v>2072.21509741</v>
      </c>
      <c r="H122" s="1142">
        <v>2082.0042659199999</v>
      </c>
      <c r="I122" s="1142">
        <v>2027.04945527</v>
      </c>
      <c r="J122" s="1142">
        <v>2014.31686588</v>
      </c>
      <c r="K122" s="1142">
        <v>0</v>
      </c>
      <c r="L122" s="1142">
        <v>0</v>
      </c>
      <c r="M122" s="561">
        <v>0</v>
      </c>
      <c r="N122" s="561">
        <v>0</v>
      </c>
      <c r="O122"/>
      <c r="P122" s="832" t="s">
        <v>1717</v>
      </c>
      <c r="Q122" s="561"/>
      <c r="R122" s="561"/>
      <c r="S122" s="561"/>
      <c r="T122" s="562"/>
      <c r="U122" s="561"/>
      <c r="V122" s="561"/>
      <c r="W122" s="561"/>
      <c r="X122" s="561"/>
      <c r="Y122" s="561"/>
      <c r="Z122" s="561"/>
      <c r="AA122" s="561"/>
      <c r="AB122" s="561"/>
      <c r="AC122" s="561"/>
      <c r="AD122" s="561"/>
      <c r="AE122" s="561"/>
      <c r="AF122" s="561"/>
      <c r="AG122" s="561"/>
      <c r="AH122" s="567"/>
      <c r="AI122" s="567"/>
      <c r="AJ122" s="567"/>
      <c r="AK122" s="567"/>
      <c r="AL122" s="567"/>
      <c r="AM122" s="567"/>
      <c r="AN122" s="567"/>
      <c r="AO122" s="567"/>
      <c r="AP122" s="567"/>
      <c r="AQ122" s="567"/>
      <c r="AR122" s="567"/>
      <c r="AS122" s="567"/>
      <c r="AT122" s="567"/>
      <c r="AU122" s="567"/>
      <c r="AV122" s="567"/>
      <c r="AW122" s="567"/>
      <c r="AX122" s="567"/>
      <c r="AY122" s="567"/>
      <c r="AZ122" s="567"/>
      <c r="BA122" s="567"/>
      <c r="BB122" s="567"/>
      <c r="BC122" s="567"/>
    </row>
    <row r="123" spans="1:255" ht="18" customHeight="1">
      <c r="A123" s="566" t="s">
        <v>1020</v>
      </c>
      <c r="B123" s="561"/>
      <c r="C123" s="1142">
        <v>134.45753328000001</v>
      </c>
      <c r="D123" s="1142">
        <v>134.45753328000001</v>
      </c>
      <c r="E123" s="1142">
        <v>132.25381433999999</v>
      </c>
      <c r="F123" s="1142">
        <v>113.37647429</v>
      </c>
      <c r="G123" s="1142">
        <v>133.39915133</v>
      </c>
      <c r="H123" s="1142">
        <v>196.60406922999999</v>
      </c>
      <c r="I123" s="1142">
        <v>194.37037225999998</v>
      </c>
      <c r="J123" s="1143">
        <v>180.86263890999999</v>
      </c>
      <c r="K123" s="1143">
        <v>0</v>
      </c>
      <c r="L123" s="1143">
        <v>0</v>
      </c>
      <c r="M123" s="562">
        <v>0</v>
      </c>
      <c r="N123" s="562">
        <v>0</v>
      </c>
      <c r="O123"/>
      <c r="P123" s="832" t="s">
        <v>1718</v>
      </c>
      <c r="Q123" s="562"/>
      <c r="R123" s="562"/>
      <c r="S123" s="562"/>
      <c r="T123" s="561"/>
      <c r="U123" s="562"/>
      <c r="V123" s="562"/>
      <c r="W123" s="562"/>
      <c r="X123" s="562"/>
      <c r="Y123" s="562"/>
      <c r="Z123" s="562"/>
      <c r="AA123" s="562"/>
      <c r="AB123" s="562"/>
      <c r="AC123" s="562"/>
      <c r="AD123" s="562"/>
      <c r="AE123" s="562"/>
      <c r="AF123" s="562"/>
      <c r="AG123" s="562"/>
      <c r="AH123" s="563"/>
      <c r="AI123" s="563"/>
      <c r="AJ123" s="563"/>
      <c r="AK123" s="563"/>
      <c r="AL123" s="563"/>
      <c r="AM123" s="563"/>
      <c r="AN123" s="563"/>
      <c r="AO123" s="563"/>
      <c r="AP123" s="563"/>
      <c r="AQ123" s="563"/>
      <c r="AR123" s="563"/>
      <c r="AS123" s="563"/>
      <c r="AT123" s="563"/>
      <c r="AU123" s="563"/>
      <c r="AV123" s="563"/>
      <c r="AW123" s="563"/>
      <c r="AX123" s="563"/>
      <c r="AY123" s="563"/>
      <c r="AZ123" s="563"/>
      <c r="BA123" s="563"/>
      <c r="BB123" s="563"/>
      <c r="BC123" s="563"/>
      <c r="BD123" s="564"/>
      <c r="BE123" s="564"/>
      <c r="BF123" s="564"/>
      <c r="BG123" s="564"/>
      <c r="BH123" s="564"/>
      <c r="BI123" s="564"/>
      <c r="BJ123" s="564"/>
      <c r="BK123" s="564"/>
      <c r="BL123" s="564"/>
      <c r="BM123" s="564"/>
      <c r="BN123" s="564"/>
      <c r="BO123" s="564"/>
      <c r="BP123" s="564"/>
      <c r="BQ123" s="564"/>
      <c r="BR123" s="564"/>
      <c r="BS123" s="564"/>
      <c r="BT123" s="564"/>
      <c r="BU123" s="564"/>
      <c r="BV123" s="564"/>
      <c r="BW123" s="564"/>
      <c r="BX123" s="564"/>
    </row>
    <row r="124" spans="1:255" s="554" customFormat="1" ht="18" customHeight="1">
      <c r="A124" s="1132" t="s">
        <v>2801</v>
      </c>
      <c r="B124" s="561"/>
      <c r="C124" s="1142">
        <v>-76.931451840000008</v>
      </c>
      <c r="D124" s="1142">
        <v>-83.999858569999986</v>
      </c>
      <c r="E124" s="1142">
        <v>-79.606636540000011</v>
      </c>
      <c r="F124" s="1142">
        <v>-35.470164539999999</v>
      </c>
      <c r="G124" s="1142">
        <v>-43.28223706</v>
      </c>
      <c r="H124" s="1142">
        <v>-43.26846492</v>
      </c>
      <c r="I124" s="1142">
        <v>-38.65673726</v>
      </c>
      <c r="J124" s="1143">
        <v>-39.334893749999999</v>
      </c>
      <c r="K124" s="1143">
        <v>0</v>
      </c>
      <c r="L124" s="1143">
        <v>0</v>
      </c>
      <c r="M124" s="562">
        <v>0</v>
      </c>
      <c r="N124" s="562">
        <v>0</v>
      </c>
      <c r="O124"/>
      <c r="P124" s="832" t="s">
        <v>2849</v>
      </c>
      <c r="Q124" s="578"/>
      <c r="R124" s="578"/>
      <c r="S124" s="578"/>
      <c r="T124" s="560"/>
      <c r="U124" s="578"/>
      <c r="V124" s="578"/>
      <c r="W124" s="578"/>
      <c r="X124" s="578"/>
      <c r="Y124" s="578"/>
      <c r="Z124" s="578"/>
      <c r="AA124" s="578"/>
      <c r="AB124" s="578"/>
      <c r="AC124" s="578"/>
      <c r="AD124" s="578"/>
      <c r="AE124" s="578"/>
      <c r="AF124" s="578"/>
      <c r="AG124" s="578"/>
      <c r="AH124" s="548"/>
      <c r="AI124" s="548"/>
      <c r="AJ124" s="548"/>
      <c r="AK124" s="548"/>
      <c r="AL124" s="548"/>
      <c r="AM124" s="548"/>
      <c r="AN124" s="548"/>
      <c r="AO124" s="548"/>
      <c r="AP124" s="548"/>
      <c r="AQ124" s="548"/>
      <c r="AR124" s="548"/>
      <c r="AS124" s="548"/>
      <c r="AT124" s="548"/>
      <c r="AU124" s="548"/>
      <c r="AV124" s="548"/>
      <c r="AW124" s="548"/>
      <c r="AX124" s="548"/>
      <c r="AY124" s="548"/>
      <c r="AZ124" s="548"/>
      <c r="BA124" s="548"/>
      <c r="BB124" s="548"/>
      <c r="BC124" s="548"/>
      <c r="BD124" s="569"/>
      <c r="BE124" s="569"/>
      <c r="BF124" s="569"/>
      <c r="BG124" s="569"/>
      <c r="BH124" s="569"/>
      <c r="BI124" s="569"/>
      <c r="BJ124" s="569"/>
      <c r="BK124" s="569"/>
      <c r="BL124" s="569"/>
      <c r="BM124" s="569"/>
      <c r="BN124" s="569"/>
      <c r="BO124" s="569"/>
      <c r="BP124" s="569"/>
      <c r="BQ124" s="569"/>
      <c r="BR124" s="569"/>
      <c r="BS124" s="569"/>
      <c r="BT124" s="569"/>
      <c r="BU124" s="569"/>
      <c r="BV124" s="569"/>
      <c r="BW124" s="569"/>
      <c r="BX124" s="569"/>
      <c r="BY124" s="569"/>
      <c r="BZ124" s="569"/>
      <c r="CA124" s="569"/>
      <c r="CB124" s="569"/>
      <c r="CC124" s="569"/>
      <c r="CD124" s="569"/>
      <c r="CE124" s="569"/>
      <c r="CF124" s="569"/>
      <c r="CG124" s="569"/>
      <c r="CH124" s="569"/>
      <c r="CI124" s="569"/>
      <c r="CJ124" s="569"/>
      <c r="CK124" s="569"/>
      <c r="CL124" s="569"/>
      <c r="CM124" s="569"/>
      <c r="CN124" s="569"/>
      <c r="CO124" s="569"/>
      <c r="CP124" s="569"/>
      <c r="CQ124" s="569"/>
      <c r="CR124" s="569"/>
      <c r="CS124" s="569"/>
      <c r="CT124" s="569"/>
      <c r="CU124" s="569"/>
      <c r="CV124" s="569"/>
      <c r="CW124" s="569"/>
      <c r="CX124" s="569"/>
      <c r="CY124" s="569"/>
      <c r="CZ124" s="569"/>
      <c r="DA124" s="569"/>
      <c r="DB124" s="569"/>
      <c r="DC124" s="569"/>
      <c r="DD124" s="569"/>
      <c r="DE124" s="569"/>
      <c r="DF124" s="569"/>
      <c r="DG124" s="569"/>
      <c r="DH124" s="569"/>
      <c r="DI124" s="569"/>
      <c r="DJ124" s="569"/>
      <c r="DK124" s="569"/>
      <c r="DL124" s="569"/>
      <c r="DM124" s="569"/>
      <c r="DN124" s="569"/>
      <c r="DO124" s="569"/>
      <c r="DP124" s="569"/>
      <c r="DQ124" s="569"/>
      <c r="DR124" s="569"/>
      <c r="DS124" s="569"/>
      <c r="DT124" s="569"/>
      <c r="DU124" s="569"/>
      <c r="DV124" s="569"/>
      <c r="DW124" s="569"/>
      <c r="DX124" s="569"/>
      <c r="DY124" s="569"/>
      <c r="DZ124" s="569"/>
      <c r="EA124" s="569"/>
      <c r="EB124" s="569"/>
      <c r="EC124" s="569"/>
      <c r="ED124" s="569"/>
      <c r="EE124" s="569"/>
      <c r="EF124" s="569"/>
      <c r="EG124" s="569"/>
      <c r="EH124" s="569"/>
      <c r="EI124" s="569"/>
      <c r="EJ124" s="569"/>
      <c r="EK124" s="569"/>
      <c r="EL124" s="569"/>
      <c r="EM124" s="569"/>
      <c r="EN124" s="569"/>
      <c r="EO124" s="569"/>
      <c r="EP124" s="569"/>
      <c r="EQ124" s="569"/>
      <c r="ER124" s="569"/>
      <c r="ES124" s="569"/>
      <c r="ET124" s="569"/>
      <c r="EU124" s="569"/>
      <c r="EV124" s="569"/>
      <c r="EW124" s="569"/>
      <c r="EX124" s="569"/>
      <c r="EY124" s="569"/>
      <c r="EZ124" s="569"/>
      <c r="FA124" s="569"/>
      <c r="FB124" s="569"/>
      <c r="FC124" s="569"/>
      <c r="FD124" s="569"/>
      <c r="FE124" s="569"/>
      <c r="FF124" s="569"/>
      <c r="FG124" s="569"/>
      <c r="FH124" s="569"/>
      <c r="FI124" s="569"/>
      <c r="FJ124" s="569"/>
      <c r="FK124" s="569"/>
      <c r="FL124" s="569"/>
      <c r="FM124" s="569"/>
      <c r="FN124" s="569"/>
      <c r="FO124" s="569"/>
      <c r="FP124" s="569"/>
      <c r="FQ124" s="569"/>
      <c r="FR124" s="569"/>
      <c r="FS124" s="569"/>
      <c r="FT124" s="569"/>
      <c r="FU124" s="569"/>
      <c r="FV124" s="569"/>
      <c r="FW124" s="569"/>
      <c r="FX124" s="569"/>
      <c r="FY124" s="569"/>
      <c r="FZ124" s="569"/>
      <c r="GA124" s="569"/>
      <c r="GB124" s="569"/>
      <c r="GC124" s="569"/>
      <c r="GD124" s="569"/>
      <c r="GE124" s="569"/>
      <c r="GF124" s="569"/>
      <c r="GG124" s="569"/>
      <c r="GH124" s="569"/>
      <c r="GI124" s="569"/>
      <c r="GJ124" s="569"/>
      <c r="GK124" s="569"/>
      <c r="GL124" s="569"/>
      <c r="GM124" s="569"/>
      <c r="GN124" s="569"/>
      <c r="GO124" s="569"/>
      <c r="GP124" s="569"/>
      <c r="GQ124" s="569"/>
      <c r="GR124" s="569"/>
      <c r="GS124" s="569"/>
      <c r="GT124" s="569"/>
    </row>
    <row r="125" spans="1:255" s="584" customFormat="1" ht="18" customHeight="1">
      <c r="A125" s="1132" t="s">
        <v>2802</v>
      </c>
      <c r="B125" s="561"/>
      <c r="C125" s="1142">
        <v>24.925726530000002</v>
      </c>
      <c r="D125" s="1142">
        <v>24.927230649999998</v>
      </c>
      <c r="E125" s="1142">
        <v>25.653178449999999</v>
      </c>
      <c r="F125" s="1142">
        <v>25.653178449999999</v>
      </c>
      <c r="G125" s="1142">
        <v>30.54517002</v>
      </c>
      <c r="H125" s="1142">
        <v>31.263340070000002</v>
      </c>
      <c r="I125" s="1142">
        <v>54.127775579999998</v>
      </c>
      <c r="J125" s="1143">
        <v>61.958790530000002</v>
      </c>
      <c r="K125" s="1143">
        <v>0</v>
      </c>
      <c r="L125" s="1143">
        <v>0</v>
      </c>
      <c r="M125" s="562">
        <v>0</v>
      </c>
      <c r="N125" s="562">
        <v>0</v>
      </c>
      <c r="O125"/>
      <c r="P125" s="832" t="s">
        <v>2850</v>
      </c>
      <c r="Q125" s="562"/>
      <c r="R125" s="562"/>
      <c r="S125" s="562"/>
      <c r="T125" s="561"/>
      <c r="U125" s="562"/>
      <c r="V125" s="562"/>
      <c r="W125" s="562"/>
      <c r="X125" s="562"/>
      <c r="Y125" s="562"/>
      <c r="Z125" s="562"/>
      <c r="AA125" s="562"/>
      <c r="AB125" s="562"/>
      <c r="AC125" s="562"/>
      <c r="AD125" s="562"/>
      <c r="AE125" s="562"/>
      <c r="AF125" s="562"/>
      <c r="AG125" s="562"/>
      <c r="AH125" s="563"/>
      <c r="AI125" s="563"/>
      <c r="AJ125" s="563"/>
      <c r="AK125" s="563"/>
      <c r="AL125" s="563"/>
      <c r="AM125" s="563"/>
      <c r="AN125" s="563"/>
      <c r="AO125" s="563"/>
      <c r="AP125" s="563"/>
      <c r="AQ125" s="563"/>
      <c r="AR125" s="563"/>
      <c r="AS125" s="563"/>
      <c r="AT125" s="563"/>
      <c r="AU125" s="563"/>
      <c r="AV125" s="563"/>
      <c r="AW125" s="563"/>
      <c r="AX125" s="563"/>
      <c r="AY125" s="563"/>
      <c r="AZ125" s="563"/>
      <c r="BA125" s="563"/>
      <c r="BB125" s="563"/>
      <c r="BC125" s="563"/>
      <c r="BD125" s="564"/>
      <c r="BE125" s="564"/>
      <c r="BF125" s="564"/>
      <c r="BG125" s="564"/>
      <c r="BH125" s="564"/>
      <c r="BI125" s="564"/>
      <c r="BJ125" s="564"/>
      <c r="BK125" s="564"/>
      <c r="BL125" s="564"/>
      <c r="BM125" s="564"/>
      <c r="BN125" s="564"/>
      <c r="BO125" s="564"/>
      <c r="BP125" s="564"/>
      <c r="BQ125" s="564"/>
      <c r="BR125" s="564"/>
      <c r="BS125" s="564"/>
      <c r="BT125" s="564"/>
      <c r="BU125" s="564"/>
      <c r="BV125" s="564"/>
      <c r="BW125" s="564"/>
      <c r="BX125" s="564"/>
    </row>
    <row r="126" spans="1:255" ht="18" customHeight="1">
      <c r="A126" s="566" t="s">
        <v>1021</v>
      </c>
      <c r="B126" s="561"/>
      <c r="C126" s="1142">
        <v>188.14980750000001</v>
      </c>
      <c r="D126" s="1142">
        <v>188.14980750000001</v>
      </c>
      <c r="E126" s="1142">
        <v>188.14980750000001</v>
      </c>
      <c r="F126" s="1142">
        <v>188.82423034000001</v>
      </c>
      <c r="G126" s="1142">
        <v>191.48255053</v>
      </c>
      <c r="H126" s="1142">
        <v>191.48255053</v>
      </c>
      <c r="I126" s="1142">
        <v>191.48255053</v>
      </c>
      <c r="J126" s="1142">
        <v>191.48255053</v>
      </c>
      <c r="K126" s="1142">
        <v>0</v>
      </c>
      <c r="L126" s="1142">
        <v>0</v>
      </c>
      <c r="M126" s="561">
        <v>0</v>
      </c>
      <c r="N126" s="561">
        <v>0</v>
      </c>
      <c r="O126"/>
      <c r="P126" s="832" t="s">
        <v>1719</v>
      </c>
      <c r="Q126" s="561"/>
      <c r="R126" s="561"/>
      <c r="S126" s="561"/>
      <c r="T126" s="560"/>
      <c r="U126" s="561"/>
      <c r="V126" s="561"/>
      <c r="W126" s="561"/>
      <c r="X126" s="561"/>
      <c r="Y126" s="561"/>
      <c r="Z126" s="561"/>
      <c r="AA126" s="561"/>
      <c r="AB126" s="561"/>
      <c r="AC126" s="561"/>
      <c r="AD126" s="561"/>
      <c r="AE126" s="561"/>
      <c r="AF126" s="561"/>
      <c r="AG126" s="561"/>
      <c r="AH126" s="567"/>
      <c r="AI126" s="567"/>
      <c r="AJ126" s="567"/>
      <c r="AK126" s="567"/>
      <c r="AL126" s="567"/>
      <c r="AM126" s="567"/>
      <c r="AN126" s="567"/>
      <c r="AO126" s="567"/>
      <c r="AP126" s="567"/>
      <c r="AQ126" s="567"/>
      <c r="AR126" s="567"/>
      <c r="AS126" s="567"/>
      <c r="AT126" s="567"/>
      <c r="AU126" s="567"/>
      <c r="AV126" s="567"/>
      <c r="AW126" s="567"/>
      <c r="AX126" s="567"/>
      <c r="AY126" s="567"/>
      <c r="AZ126" s="567"/>
      <c r="BA126" s="567"/>
      <c r="BB126" s="567"/>
      <c r="BC126" s="567"/>
      <c r="BD126" s="568"/>
      <c r="BE126" s="568"/>
      <c r="BF126" s="568"/>
      <c r="BG126" s="568"/>
      <c r="BH126" s="568"/>
      <c r="BI126" s="568"/>
      <c r="BJ126" s="568"/>
      <c r="BK126" s="568"/>
      <c r="BL126" s="568"/>
      <c r="BM126" s="568"/>
      <c r="BN126" s="568"/>
      <c r="BO126" s="568"/>
      <c r="BP126" s="568"/>
      <c r="BQ126" s="568"/>
      <c r="BR126" s="568"/>
      <c r="BS126" s="568"/>
      <c r="BT126" s="568"/>
      <c r="BU126" s="568"/>
      <c r="BV126" s="568"/>
      <c r="BW126" s="568"/>
      <c r="BX126" s="568"/>
      <c r="BY126" s="568"/>
      <c r="BZ126" s="568"/>
      <c r="CA126" s="568"/>
      <c r="CB126" s="568"/>
      <c r="CC126" s="568"/>
      <c r="CD126" s="568"/>
      <c r="CE126" s="568"/>
      <c r="CF126" s="568"/>
      <c r="CG126" s="568"/>
      <c r="CH126" s="568"/>
      <c r="CI126" s="568"/>
      <c r="CJ126" s="568"/>
      <c r="CK126" s="568"/>
      <c r="CL126" s="568"/>
      <c r="CM126" s="568"/>
      <c r="CN126" s="568"/>
      <c r="CO126" s="568"/>
      <c r="CP126" s="568"/>
      <c r="CQ126" s="568"/>
      <c r="CR126" s="568"/>
      <c r="CS126" s="568"/>
      <c r="CT126" s="568"/>
      <c r="CU126" s="568"/>
      <c r="CV126" s="568"/>
      <c r="CW126" s="568"/>
      <c r="CX126" s="568"/>
      <c r="CY126" s="568"/>
      <c r="CZ126" s="568"/>
      <c r="DA126" s="568"/>
      <c r="DB126" s="568"/>
      <c r="DC126" s="568"/>
      <c r="DD126" s="568"/>
      <c r="DE126" s="568"/>
      <c r="DF126" s="568"/>
      <c r="DG126" s="568"/>
      <c r="DH126" s="568"/>
      <c r="DI126" s="568"/>
      <c r="DJ126" s="568"/>
      <c r="DK126" s="568"/>
      <c r="DL126" s="568"/>
      <c r="DM126" s="568"/>
      <c r="DN126" s="568"/>
      <c r="DO126" s="568"/>
      <c r="DP126" s="568"/>
      <c r="DQ126" s="568"/>
      <c r="DR126" s="568"/>
      <c r="DS126" s="568"/>
      <c r="DT126" s="568"/>
      <c r="DU126" s="568"/>
      <c r="DV126" s="568"/>
      <c r="DW126" s="568"/>
      <c r="DX126" s="568"/>
      <c r="DY126" s="568"/>
      <c r="DZ126" s="568"/>
      <c r="EA126" s="568"/>
      <c r="EB126" s="568"/>
      <c r="EC126" s="568"/>
      <c r="ED126" s="568"/>
      <c r="EE126" s="568"/>
      <c r="EF126" s="568"/>
      <c r="EG126" s="568"/>
      <c r="EH126" s="568"/>
      <c r="EI126" s="568"/>
      <c r="EJ126" s="568"/>
      <c r="EK126" s="568"/>
      <c r="EL126" s="568"/>
      <c r="EM126" s="568"/>
      <c r="EN126" s="568"/>
      <c r="EO126" s="568"/>
      <c r="EP126" s="568"/>
      <c r="EQ126" s="568"/>
      <c r="ER126" s="568"/>
      <c r="ES126" s="568"/>
      <c r="ET126" s="568"/>
      <c r="EU126" s="568"/>
      <c r="EV126" s="568"/>
      <c r="EW126" s="568"/>
      <c r="EX126" s="568"/>
      <c r="EY126" s="568"/>
      <c r="EZ126" s="568"/>
      <c r="FA126" s="568"/>
      <c r="FB126" s="568"/>
      <c r="FC126" s="568"/>
      <c r="FD126" s="568"/>
      <c r="FE126" s="568"/>
      <c r="FF126" s="568"/>
      <c r="FG126" s="568"/>
      <c r="FH126" s="568"/>
      <c r="FI126" s="568"/>
      <c r="FJ126" s="568"/>
      <c r="FK126" s="568"/>
      <c r="FL126" s="568"/>
      <c r="FM126" s="568"/>
      <c r="FN126" s="568"/>
      <c r="FO126" s="568"/>
      <c r="FP126" s="568"/>
      <c r="FQ126" s="568"/>
      <c r="FR126" s="568"/>
      <c r="FS126" s="568"/>
      <c r="FT126" s="568"/>
      <c r="FU126" s="568"/>
      <c r="FV126" s="568"/>
      <c r="FW126" s="568"/>
      <c r="FX126" s="568"/>
      <c r="FY126" s="568"/>
      <c r="FZ126" s="568"/>
      <c r="GA126" s="568"/>
      <c r="GB126" s="568"/>
      <c r="GC126" s="568"/>
      <c r="GD126" s="568"/>
      <c r="GE126" s="568"/>
      <c r="GF126" s="568"/>
      <c r="GG126" s="568"/>
      <c r="GH126" s="568"/>
      <c r="GI126" s="568"/>
      <c r="GJ126" s="568"/>
      <c r="GK126" s="568"/>
      <c r="GL126" s="568"/>
      <c r="GM126" s="568"/>
      <c r="GN126" s="568"/>
      <c r="GO126" s="568"/>
      <c r="GP126" s="568"/>
      <c r="GQ126" s="568"/>
      <c r="GR126" s="568"/>
      <c r="GS126" s="568"/>
      <c r="GT126" s="568"/>
      <c r="GU126" s="568"/>
      <c r="GV126" s="568"/>
      <c r="GW126" s="568"/>
      <c r="GX126" s="568"/>
      <c r="GY126" s="568"/>
      <c r="GZ126" s="568"/>
      <c r="HA126" s="568"/>
      <c r="HB126" s="568"/>
      <c r="HC126" s="568"/>
      <c r="HD126" s="568"/>
      <c r="HE126" s="568"/>
      <c r="HF126" s="568"/>
      <c r="HG126" s="568"/>
      <c r="HH126" s="568"/>
      <c r="HI126" s="568"/>
      <c r="HJ126" s="568"/>
      <c r="HK126" s="568"/>
      <c r="HL126" s="568"/>
      <c r="HM126" s="568"/>
      <c r="HN126" s="568"/>
      <c r="HO126" s="568"/>
      <c r="HP126" s="568"/>
      <c r="HQ126" s="568"/>
      <c r="HR126" s="568"/>
      <c r="HS126" s="568"/>
      <c r="HT126" s="568"/>
      <c r="HU126" s="568"/>
      <c r="HV126" s="568"/>
      <c r="HW126" s="568"/>
      <c r="HX126" s="568"/>
      <c r="HY126" s="568"/>
      <c r="HZ126" s="568"/>
      <c r="IA126" s="568"/>
      <c r="IB126" s="568"/>
      <c r="IC126" s="568"/>
      <c r="ID126" s="568"/>
      <c r="IE126" s="568"/>
      <c r="IF126" s="568"/>
      <c r="IG126" s="568"/>
      <c r="IH126" s="568"/>
      <c r="II126" s="568"/>
      <c r="IJ126" s="568"/>
      <c r="IK126" s="568"/>
      <c r="IL126" s="568"/>
      <c r="IM126" s="568"/>
      <c r="IN126" s="568"/>
      <c r="IO126" s="568"/>
      <c r="IP126" s="568"/>
      <c r="IQ126" s="568"/>
      <c r="IR126" s="568"/>
      <c r="IS126" s="568"/>
      <c r="IT126" s="568"/>
      <c r="IU126" s="568"/>
    </row>
    <row r="127" spans="1:255" ht="18" customHeight="1">
      <c r="A127" s="566" t="s">
        <v>970</v>
      </c>
      <c r="B127" s="561"/>
      <c r="C127" s="1142">
        <v>2133.5219347799998</v>
      </c>
      <c r="D127" s="1142">
        <v>2232.5709219800001</v>
      </c>
      <c r="E127" s="1142">
        <v>2378.5695646100003</v>
      </c>
      <c r="F127" s="1142">
        <v>2408.3841807800004</v>
      </c>
      <c r="G127" s="1142">
        <v>2318.3434342399996</v>
      </c>
      <c r="H127" s="1142">
        <v>2376.4189354299997</v>
      </c>
      <c r="I127" s="1142">
        <v>2321.72115179</v>
      </c>
      <c r="J127" s="1143">
        <v>2341.9259216599999</v>
      </c>
      <c r="K127" s="1143">
        <v>0</v>
      </c>
      <c r="L127" s="1143">
        <v>0</v>
      </c>
      <c r="M127" s="562">
        <v>0</v>
      </c>
      <c r="N127" s="562">
        <v>0</v>
      </c>
      <c r="O127"/>
      <c r="P127" s="832" t="s">
        <v>1720</v>
      </c>
      <c r="Q127" s="561"/>
      <c r="R127" s="561"/>
      <c r="S127" s="561"/>
      <c r="T127" s="561"/>
      <c r="U127" s="561"/>
      <c r="V127" s="561"/>
      <c r="W127" s="561"/>
      <c r="X127" s="561"/>
      <c r="Y127" s="561"/>
      <c r="Z127" s="561"/>
      <c r="AA127" s="561"/>
      <c r="AB127" s="561"/>
      <c r="AC127" s="561"/>
      <c r="AD127" s="561"/>
      <c r="AE127" s="561"/>
      <c r="AF127" s="561"/>
      <c r="AG127" s="561"/>
      <c r="AH127" s="567"/>
      <c r="AI127" s="567"/>
      <c r="AJ127" s="567"/>
      <c r="AK127" s="567"/>
      <c r="AL127" s="567"/>
      <c r="AM127" s="567"/>
      <c r="AN127" s="567"/>
      <c r="AO127" s="567"/>
      <c r="AP127" s="567"/>
      <c r="AQ127" s="567"/>
      <c r="AR127" s="567"/>
      <c r="AS127" s="567"/>
      <c r="AT127" s="567"/>
      <c r="AU127" s="567"/>
      <c r="AV127" s="567"/>
      <c r="AW127" s="567"/>
      <c r="AX127" s="567"/>
      <c r="AY127" s="567"/>
      <c r="AZ127" s="567"/>
      <c r="BA127" s="567"/>
      <c r="BB127" s="567"/>
      <c r="BC127" s="567"/>
      <c r="BD127" s="568"/>
      <c r="BE127" s="568"/>
      <c r="BF127" s="568"/>
      <c r="BG127" s="568"/>
      <c r="BH127" s="568"/>
      <c r="BI127" s="568"/>
      <c r="BJ127" s="568"/>
      <c r="BK127" s="568"/>
      <c r="BL127" s="568"/>
      <c r="BM127" s="568"/>
      <c r="BN127" s="568"/>
      <c r="BO127" s="568"/>
      <c r="BP127" s="568"/>
      <c r="BQ127" s="568"/>
      <c r="BR127" s="568"/>
      <c r="BS127" s="568"/>
      <c r="BT127" s="568"/>
      <c r="BU127" s="568"/>
      <c r="BV127" s="568"/>
      <c r="BW127" s="568"/>
      <c r="BX127" s="568"/>
      <c r="BY127" s="568"/>
      <c r="BZ127" s="568"/>
      <c r="CA127" s="568"/>
      <c r="CB127" s="568"/>
      <c r="CC127" s="568"/>
      <c r="CD127" s="568"/>
      <c r="CE127" s="568"/>
      <c r="CF127" s="568"/>
      <c r="CG127" s="568"/>
      <c r="CH127" s="568"/>
      <c r="CI127" s="568"/>
      <c r="CJ127" s="568"/>
      <c r="CK127" s="568"/>
      <c r="CL127" s="568"/>
      <c r="CM127" s="568"/>
      <c r="CN127" s="568"/>
      <c r="CO127" s="568"/>
      <c r="CP127" s="568"/>
      <c r="CQ127" s="568"/>
      <c r="CR127" s="568"/>
      <c r="CS127" s="568"/>
      <c r="CT127" s="568"/>
      <c r="CU127" s="568"/>
      <c r="CV127" s="568"/>
      <c r="CW127" s="568"/>
      <c r="CX127" s="568"/>
      <c r="CY127" s="568"/>
      <c r="CZ127" s="568"/>
      <c r="DA127" s="568"/>
      <c r="DB127" s="568"/>
      <c r="DC127" s="568"/>
      <c r="DD127" s="568"/>
      <c r="DE127" s="568"/>
      <c r="DF127" s="568"/>
      <c r="DG127" s="568"/>
      <c r="DH127" s="568"/>
      <c r="DI127" s="568"/>
      <c r="DJ127" s="568"/>
      <c r="DK127" s="568"/>
      <c r="DL127" s="568"/>
      <c r="DM127" s="568"/>
      <c r="DN127" s="568"/>
      <c r="DO127" s="568"/>
      <c r="DP127" s="568"/>
      <c r="DQ127" s="568"/>
      <c r="DR127" s="568"/>
      <c r="DS127" s="568"/>
      <c r="DT127" s="568"/>
      <c r="DU127" s="568"/>
      <c r="DV127" s="568"/>
      <c r="DW127" s="568"/>
      <c r="DX127" s="568"/>
      <c r="DY127" s="568"/>
      <c r="DZ127" s="568"/>
      <c r="EA127" s="568"/>
      <c r="EB127" s="568"/>
      <c r="EC127" s="568"/>
      <c r="ED127" s="568"/>
      <c r="EE127" s="568"/>
      <c r="EF127" s="568"/>
      <c r="EG127" s="568"/>
      <c r="EH127" s="568"/>
      <c r="EI127" s="568"/>
      <c r="EJ127" s="568"/>
      <c r="EK127" s="568"/>
      <c r="EL127" s="568"/>
      <c r="EM127" s="568"/>
      <c r="EN127" s="568"/>
      <c r="EO127" s="568"/>
      <c r="EP127" s="568"/>
      <c r="EQ127" s="568"/>
      <c r="ER127" s="568"/>
      <c r="ES127" s="568"/>
      <c r="ET127" s="568"/>
      <c r="EU127" s="568"/>
      <c r="EV127" s="568"/>
      <c r="EW127" s="568"/>
      <c r="EX127" s="568"/>
      <c r="EY127" s="568"/>
      <c r="EZ127" s="568"/>
      <c r="FA127" s="568"/>
      <c r="FB127" s="568"/>
      <c r="FC127" s="568"/>
      <c r="FD127" s="568"/>
      <c r="FE127" s="568"/>
      <c r="FF127" s="568"/>
      <c r="FG127" s="568"/>
      <c r="FH127" s="568"/>
      <c r="FI127" s="568"/>
      <c r="FJ127" s="568"/>
      <c r="FK127" s="568"/>
      <c r="FL127" s="568"/>
      <c r="FM127" s="568"/>
      <c r="FN127" s="568"/>
      <c r="FO127" s="568"/>
      <c r="FP127" s="568"/>
      <c r="FQ127" s="568"/>
      <c r="FR127" s="568"/>
      <c r="FS127" s="568"/>
      <c r="FT127" s="568"/>
      <c r="FU127" s="568"/>
      <c r="FV127" s="568"/>
      <c r="FW127" s="568"/>
      <c r="FX127" s="568"/>
      <c r="FY127" s="568"/>
      <c r="FZ127" s="568"/>
      <c r="GA127" s="568"/>
      <c r="GB127" s="568"/>
      <c r="GC127" s="568"/>
      <c r="GD127" s="568"/>
      <c r="GE127" s="568"/>
      <c r="GF127" s="568"/>
      <c r="GG127" s="568"/>
      <c r="GH127" s="568"/>
      <c r="GI127" s="568"/>
      <c r="GJ127" s="568"/>
      <c r="GK127" s="568"/>
      <c r="GL127" s="568"/>
      <c r="GM127" s="568"/>
      <c r="GN127" s="568"/>
      <c r="GO127" s="568"/>
      <c r="GP127" s="568"/>
      <c r="GQ127" s="568"/>
      <c r="GR127" s="568"/>
      <c r="GS127" s="568"/>
      <c r="GT127" s="568"/>
      <c r="GU127" s="568"/>
      <c r="GV127" s="568"/>
      <c r="GW127" s="568"/>
      <c r="GX127" s="568"/>
      <c r="GY127" s="568"/>
      <c r="GZ127" s="568"/>
      <c r="HA127" s="568"/>
      <c r="HB127" s="568"/>
      <c r="HC127" s="568"/>
      <c r="HD127" s="568"/>
      <c r="HE127" s="568"/>
      <c r="HF127" s="568"/>
      <c r="HG127" s="568"/>
      <c r="HH127" s="568"/>
      <c r="HI127" s="568"/>
      <c r="HJ127" s="568"/>
      <c r="HK127" s="568"/>
      <c r="HL127" s="568"/>
      <c r="HM127" s="568"/>
      <c r="HN127" s="568"/>
      <c r="HO127" s="568"/>
      <c r="HP127" s="568"/>
      <c r="HQ127" s="568"/>
      <c r="HR127" s="568"/>
      <c r="HS127" s="568"/>
      <c r="HT127" s="568"/>
      <c r="HU127" s="568"/>
      <c r="HV127" s="568"/>
      <c r="HW127" s="568"/>
      <c r="HX127" s="568"/>
      <c r="HY127" s="568"/>
      <c r="HZ127" s="568"/>
      <c r="IA127" s="568"/>
      <c r="IB127" s="568"/>
      <c r="IC127" s="568"/>
      <c r="ID127" s="568"/>
      <c r="IE127" s="568"/>
      <c r="IF127" s="568"/>
      <c r="IG127" s="568"/>
      <c r="IH127" s="568"/>
      <c r="II127" s="568"/>
      <c r="IJ127" s="568"/>
      <c r="IK127" s="568"/>
      <c r="IL127" s="568"/>
      <c r="IM127" s="568"/>
      <c r="IN127" s="568"/>
      <c r="IO127" s="568"/>
      <c r="IP127" s="568"/>
      <c r="IQ127" s="568"/>
      <c r="IR127" s="568"/>
      <c r="IS127" s="568"/>
      <c r="IT127" s="568"/>
      <c r="IU127" s="568"/>
    </row>
    <row r="128" spans="1:255" ht="18" customHeight="1">
      <c r="A128" s="566" t="s">
        <v>1292</v>
      </c>
      <c r="B128" s="561"/>
      <c r="C128" s="1142">
        <v>0</v>
      </c>
      <c r="D128" s="1142">
        <v>0</v>
      </c>
      <c r="E128" s="1142">
        <v>0</v>
      </c>
      <c r="F128" s="1142">
        <v>0</v>
      </c>
      <c r="G128" s="1142">
        <v>0</v>
      </c>
      <c r="H128" s="1142">
        <v>0</v>
      </c>
      <c r="I128" s="1142">
        <v>0</v>
      </c>
      <c r="J128" s="1142">
        <v>0</v>
      </c>
      <c r="K128" s="1142">
        <v>0</v>
      </c>
      <c r="L128" s="1142">
        <v>0</v>
      </c>
      <c r="M128" s="561">
        <v>0</v>
      </c>
      <c r="N128" s="561">
        <v>0</v>
      </c>
      <c r="O128"/>
      <c r="P128" s="832" t="s">
        <v>1721</v>
      </c>
      <c r="Q128" s="561"/>
      <c r="R128" s="561"/>
      <c r="S128" s="561"/>
      <c r="T128" s="560"/>
      <c r="U128" s="561"/>
      <c r="V128" s="561"/>
      <c r="W128" s="561"/>
      <c r="X128" s="561"/>
      <c r="Y128" s="561"/>
      <c r="Z128" s="561"/>
      <c r="AA128" s="561"/>
      <c r="AB128" s="561"/>
      <c r="AC128" s="561"/>
      <c r="AD128" s="561"/>
      <c r="AE128" s="561"/>
      <c r="AF128" s="561"/>
      <c r="AG128" s="561"/>
      <c r="AH128" s="567"/>
      <c r="AI128" s="567"/>
      <c r="AJ128" s="567"/>
      <c r="AK128" s="567"/>
      <c r="AL128" s="567"/>
      <c r="AM128" s="567"/>
      <c r="AN128" s="567"/>
      <c r="AO128" s="567"/>
      <c r="AP128" s="567"/>
      <c r="AQ128" s="567"/>
      <c r="AR128" s="567"/>
      <c r="AS128" s="567"/>
      <c r="AT128" s="567"/>
      <c r="AU128" s="567"/>
      <c r="AV128" s="567"/>
      <c r="AW128" s="567"/>
      <c r="AX128" s="567"/>
      <c r="AY128" s="567"/>
      <c r="AZ128" s="567"/>
      <c r="BA128" s="567"/>
      <c r="BB128" s="567"/>
      <c r="BC128" s="567"/>
      <c r="BD128" s="568"/>
      <c r="BE128" s="568"/>
      <c r="BF128" s="568"/>
      <c r="BG128" s="568"/>
      <c r="BH128" s="568"/>
      <c r="BI128" s="568"/>
      <c r="BJ128" s="568"/>
      <c r="BK128" s="568"/>
      <c r="BL128" s="568"/>
      <c r="BM128" s="568"/>
      <c r="BN128" s="568"/>
      <c r="BO128" s="568"/>
      <c r="BP128" s="568"/>
      <c r="BQ128" s="568"/>
      <c r="BR128" s="568"/>
      <c r="BS128" s="568"/>
      <c r="BT128" s="568"/>
      <c r="BU128" s="568"/>
      <c r="BV128" s="568"/>
      <c r="BW128" s="568"/>
      <c r="BX128" s="568"/>
      <c r="BY128" s="568"/>
      <c r="BZ128" s="568"/>
      <c r="CA128" s="568"/>
      <c r="CB128" s="568"/>
      <c r="CC128" s="568"/>
      <c r="CD128" s="568"/>
      <c r="CE128" s="568"/>
      <c r="CF128" s="568"/>
      <c r="CG128" s="568"/>
      <c r="CH128" s="568"/>
      <c r="CI128" s="568"/>
      <c r="CJ128" s="568"/>
      <c r="CK128" s="568"/>
      <c r="CL128" s="568"/>
      <c r="CM128" s="568"/>
      <c r="CN128" s="568"/>
      <c r="CO128" s="568"/>
      <c r="CP128" s="568"/>
      <c r="CQ128" s="568"/>
      <c r="CR128" s="568"/>
      <c r="CS128" s="568"/>
      <c r="CT128" s="568"/>
      <c r="CU128" s="568"/>
      <c r="CV128" s="568"/>
      <c r="CW128" s="568"/>
      <c r="CX128" s="568"/>
      <c r="CY128" s="568"/>
      <c r="CZ128" s="568"/>
      <c r="DA128" s="568"/>
      <c r="DB128" s="568"/>
      <c r="DC128" s="568"/>
      <c r="DD128" s="568"/>
      <c r="DE128" s="568"/>
      <c r="DF128" s="568"/>
      <c r="DG128" s="568"/>
      <c r="DH128" s="568"/>
      <c r="DI128" s="568"/>
      <c r="DJ128" s="568"/>
      <c r="DK128" s="568"/>
      <c r="DL128" s="568"/>
      <c r="DM128" s="568"/>
      <c r="DN128" s="568"/>
      <c r="DO128" s="568"/>
      <c r="DP128" s="568"/>
      <c r="DQ128" s="568"/>
      <c r="DR128" s="568"/>
      <c r="DS128" s="568"/>
      <c r="DT128" s="568"/>
      <c r="DU128" s="568"/>
      <c r="DV128" s="568"/>
      <c r="DW128" s="568"/>
      <c r="DX128" s="568"/>
      <c r="DY128" s="568"/>
      <c r="DZ128" s="568"/>
      <c r="EA128" s="568"/>
      <c r="EB128" s="568"/>
      <c r="EC128" s="568"/>
      <c r="ED128" s="568"/>
      <c r="EE128" s="568"/>
      <c r="EF128" s="568"/>
      <c r="EG128" s="568"/>
      <c r="EH128" s="568"/>
      <c r="EI128" s="568"/>
      <c r="EJ128" s="568"/>
      <c r="EK128" s="568"/>
      <c r="EL128" s="568"/>
      <c r="EM128" s="568"/>
      <c r="EN128" s="568"/>
      <c r="EO128" s="568"/>
      <c r="EP128" s="568"/>
      <c r="EQ128" s="568"/>
      <c r="ER128" s="568"/>
      <c r="ES128" s="568"/>
      <c r="ET128" s="568"/>
      <c r="EU128" s="568"/>
      <c r="EV128" s="568"/>
      <c r="EW128" s="568"/>
      <c r="EX128" s="568"/>
      <c r="EY128" s="568"/>
      <c r="EZ128" s="568"/>
      <c r="FA128" s="568"/>
      <c r="FB128" s="568"/>
      <c r="FC128" s="568"/>
      <c r="FD128" s="568"/>
      <c r="FE128" s="568"/>
      <c r="FF128" s="568"/>
      <c r="FG128" s="568"/>
      <c r="FH128" s="568"/>
      <c r="FI128" s="568"/>
      <c r="FJ128" s="568"/>
      <c r="FK128" s="568"/>
      <c r="FL128" s="568"/>
      <c r="FM128" s="568"/>
      <c r="FN128" s="568"/>
      <c r="FO128" s="568"/>
      <c r="FP128" s="568"/>
      <c r="FQ128" s="568"/>
      <c r="FR128" s="568"/>
      <c r="FS128" s="568"/>
      <c r="FT128" s="568"/>
      <c r="FU128" s="568"/>
      <c r="FV128" s="568"/>
      <c r="FW128" s="568"/>
      <c r="FX128" s="568"/>
      <c r="FY128" s="568"/>
      <c r="FZ128" s="568"/>
      <c r="GA128" s="568"/>
      <c r="GB128" s="568"/>
      <c r="GC128" s="568"/>
      <c r="GD128" s="568"/>
      <c r="GE128" s="568"/>
      <c r="GF128" s="568"/>
      <c r="GG128" s="568"/>
      <c r="GH128" s="568"/>
      <c r="GI128" s="568"/>
      <c r="GJ128" s="568"/>
      <c r="GK128" s="568"/>
      <c r="GL128" s="568"/>
      <c r="GM128" s="568"/>
      <c r="GN128" s="568"/>
      <c r="GO128" s="568"/>
      <c r="GP128" s="568"/>
      <c r="GQ128" s="568"/>
      <c r="GR128" s="568"/>
      <c r="GS128" s="568"/>
      <c r="GT128" s="568"/>
      <c r="GU128" s="568"/>
      <c r="GV128" s="568"/>
      <c r="GW128" s="568"/>
      <c r="GX128" s="568"/>
      <c r="GY128" s="568"/>
      <c r="GZ128" s="568"/>
      <c r="HA128" s="568"/>
      <c r="HB128" s="568"/>
      <c r="HC128" s="568"/>
      <c r="HD128" s="568"/>
      <c r="HE128" s="568"/>
      <c r="HF128" s="568"/>
      <c r="HG128" s="568"/>
      <c r="HH128" s="568"/>
      <c r="HI128" s="568"/>
      <c r="HJ128" s="568"/>
      <c r="HK128" s="568"/>
      <c r="HL128" s="568"/>
      <c r="HM128" s="568"/>
      <c r="HN128" s="568"/>
      <c r="HO128" s="568"/>
      <c r="HP128" s="568"/>
      <c r="HQ128" s="568"/>
      <c r="HR128" s="568"/>
      <c r="HS128" s="568"/>
      <c r="HT128" s="568"/>
      <c r="HU128" s="568"/>
      <c r="HV128" s="568"/>
      <c r="HW128" s="568"/>
      <c r="HX128" s="568"/>
      <c r="HY128" s="568"/>
      <c r="HZ128" s="568"/>
      <c r="IA128" s="568"/>
      <c r="IB128" s="568"/>
      <c r="IC128" s="568"/>
      <c r="ID128" s="568"/>
      <c r="IE128" s="568"/>
      <c r="IF128" s="568"/>
      <c r="IG128" s="568"/>
      <c r="IH128" s="568"/>
      <c r="II128" s="568"/>
      <c r="IJ128" s="568"/>
      <c r="IK128" s="568"/>
      <c r="IL128" s="568"/>
      <c r="IM128" s="568"/>
      <c r="IN128" s="568"/>
      <c r="IO128" s="568"/>
      <c r="IP128" s="568"/>
      <c r="IQ128" s="568"/>
      <c r="IR128" s="568"/>
      <c r="IS128" s="568"/>
      <c r="IT128" s="568"/>
      <c r="IU128" s="568"/>
    </row>
    <row r="129" spans="1:255" s="568" customFormat="1" ht="18" customHeight="1">
      <c r="A129" s="685" t="s">
        <v>875</v>
      </c>
      <c r="B129" s="686"/>
      <c r="C129" s="1144">
        <v>4967.87543155</v>
      </c>
      <c r="D129" s="1144">
        <v>5472.0906456099992</v>
      </c>
      <c r="E129" s="1144">
        <v>5614.0721652000002</v>
      </c>
      <c r="F129" s="1144">
        <v>5702.2052134799997</v>
      </c>
      <c r="G129" s="1144">
        <v>5616.8441891000002</v>
      </c>
      <c r="H129" s="1144">
        <v>5622.2358830900002</v>
      </c>
      <c r="I129" s="1144">
        <v>5538.6408069300005</v>
      </c>
      <c r="J129" s="1144">
        <v>5574.4160947199998</v>
      </c>
      <c r="K129" s="1144">
        <v>0</v>
      </c>
      <c r="L129" s="1144">
        <v>0</v>
      </c>
      <c r="M129" s="686">
        <v>0</v>
      </c>
      <c r="N129" s="686">
        <v>0</v>
      </c>
      <c r="O129"/>
      <c r="P129" s="832" t="s">
        <v>1724</v>
      </c>
      <c r="Q129" s="561"/>
      <c r="R129" s="561"/>
      <c r="S129" s="561"/>
      <c r="T129" s="561"/>
      <c r="U129" s="561"/>
      <c r="V129" s="561"/>
      <c r="W129" s="561"/>
      <c r="X129" s="561"/>
      <c r="Y129" s="561"/>
      <c r="Z129" s="561"/>
      <c r="AA129" s="561"/>
      <c r="AB129" s="561"/>
      <c r="AC129" s="561"/>
      <c r="AD129" s="561"/>
      <c r="AE129" s="561"/>
      <c r="AF129" s="561"/>
      <c r="AG129" s="561"/>
      <c r="AH129" s="567"/>
      <c r="AI129" s="567"/>
      <c r="AJ129" s="567"/>
      <c r="AK129" s="567"/>
      <c r="AL129" s="567"/>
      <c r="AM129" s="567"/>
      <c r="AN129" s="567"/>
      <c r="AO129" s="567"/>
      <c r="AP129" s="567"/>
      <c r="AQ129" s="567"/>
      <c r="AR129" s="567"/>
      <c r="AS129" s="567"/>
      <c r="AT129" s="567"/>
      <c r="AU129" s="567"/>
      <c r="AV129" s="567"/>
      <c r="AW129" s="567"/>
      <c r="AX129" s="567"/>
      <c r="AY129" s="567"/>
      <c r="AZ129" s="567"/>
      <c r="BA129" s="567"/>
      <c r="BB129" s="567"/>
      <c r="BC129" s="567"/>
    </row>
    <row r="130" spans="1:255" ht="18" customHeight="1">
      <c r="A130" s="566" t="s">
        <v>1061</v>
      </c>
      <c r="B130" s="561"/>
      <c r="C130" s="1142">
        <v>0</v>
      </c>
      <c r="D130" s="1142">
        <v>0.23778554000000002</v>
      </c>
      <c r="E130" s="1142">
        <v>0.24387641000000002</v>
      </c>
      <c r="F130" s="1142">
        <v>7.3158149999999991E-2</v>
      </c>
      <c r="G130" s="1142">
        <v>1.03436503</v>
      </c>
      <c r="H130" s="1142">
        <v>0.80209558999999997</v>
      </c>
      <c r="I130" s="1142">
        <v>82.897607269999995</v>
      </c>
      <c r="J130" s="1142">
        <v>80.831262969999997</v>
      </c>
      <c r="K130" s="1142">
        <v>0</v>
      </c>
      <c r="L130" s="1142">
        <v>0</v>
      </c>
      <c r="M130" s="561">
        <v>0</v>
      </c>
      <c r="N130" s="561">
        <v>0</v>
      </c>
      <c r="O130"/>
      <c r="P130" s="832" t="s">
        <v>1725</v>
      </c>
      <c r="Q130" s="561"/>
      <c r="R130" s="561"/>
      <c r="S130" s="561"/>
      <c r="T130" s="562"/>
      <c r="U130" s="561"/>
      <c r="V130" s="561"/>
      <c r="W130" s="561"/>
      <c r="X130" s="561"/>
      <c r="Y130" s="561"/>
      <c r="Z130" s="561"/>
      <c r="AA130" s="561"/>
      <c r="AB130" s="561"/>
      <c r="AC130" s="561"/>
      <c r="AD130" s="561"/>
      <c r="AE130" s="561"/>
      <c r="AF130" s="561"/>
      <c r="AG130" s="561"/>
      <c r="AH130" s="567"/>
      <c r="AI130" s="567"/>
      <c r="AJ130" s="567"/>
      <c r="AK130" s="567"/>
      <c r="AL130" s="567"/>
      <c r="AM130" s="567"/>
      <c r="AN130" s="567"/>
      <c r="AO130" s="567"/>
      <c r="AP130" s="567"/>
      <c r="AQ130" s="567"/>
      <c r="AR130" s="567"/>
      <c r="AS130" s="567"/>
      <c r="AT130" s="567"/>
      <c r="AU130" s="567"/>
      <c r="AV130" s="567"/>
      <c r="AW130" s="567"/>
      <c r="AX130" s="567"/>
      <c r="AY130" s="567"/>
      <c r="AZ130" s="567"/>
      <c r="BA130" s="567"/>
      <c r="BB130" s="567"/>
      <c r="BC130" s="567"/>
      <c r="BD130" s="568"/>
      <c r="BE130" s="568"/>
      <c r="BF130" s="568"/>
      <c r="BG130" s="568"/>
      <c r="BH130" s="568"/>
      <c r="BI130" s="568"/>
      <c r="BJ130" s="568"/>
      <c r="BK130" s="568"/>
      <c r="BL130" s="568"/>
      <c r="BM130" s="568"/>
      <c r="BN130" s="568"/>
      <c r="BO130" s="568"/>
      <c r="BP130" s="568"/>
      <c r="BQ130" s="568"/>
      <c r="BR130" s="568"/>
      <c r="BS130" s="568"/>
      <c r="BT130" s="568"/>
      <c r="BU130" s="568"/>
      <c r="BV130" s="568"/>
      <c r="BW130" s="568"/>
      <c r="BX130" s="568"/>
      <c r="BY130" s="568"/>
      <c r="BZ130" s="568"/>
      <c r="CA130" s="568"/>
      <c r="CB130" s="568"/>
      <c r="CC130" s="568"/>
      <c r="CD130" s="568"/>
      <c r="CE130" s="568"/>
      <c r="CF130" s="568"/>
      <c r="CG130" s="568"/>
      <c r="CH130" s="568"/>
      <c r="CI130" s="568"/>
      <c r="CJ130" s="568"/>
      <c r="CK130" s="568"/>
      <c r="CL130" s="568"/>
      <c r="CM130" s="568"/>
      <c r="CN130" s="568"/>
      <c r="CO130" s="568"/>
      <c r="CP130" s="568"/>
      <c r="CQ130" s="568"/>
      <c r="CR130" s="568"/>
      <c r="CS130" s="568"/>
      <c r="CT130" s="568"/>
      <c r="CU130" s="568"/>
      <c r="CV130" s="568"/>
      <c r="CW130" s="568"/>
      <c r="CX130" s="568"/>
      <c r="CY130" s="568"/>
      <c r="CZ130" s="568"/>
      <c r="DA130" s="568"/>
      <c r="DB130" s="568"/>
      <c r="DC130" s="568"/>
      <c r="DD130" s="568"/>
      <c r="DE130" s="568"/>
      <c r="DF130" s="568"/>
      <c r="DG130" s="568"/>
      <c r="DH130" s="568"/>
      <c r="DI130" s="568"/>
      <c r="DJ130" s="568"/>
      <c r="DK130" s="568"/>
      <c r="DL130" s="568"/>
      <c r="DM130" s="568"/>
      <c r="DN130" s="568"/>
      <c r="DO130" s="568"/>
      <c r="DP130" s="568"/>
      <c r="DQ130" s="568"/>
      <c r="DR130" s="568"/>
      <c r="DS130" s="568"/>
      <c r="DT130" s="568"/>
      <c r="DU130" s="568"/>
      <c r="DV130" s="568"/>
      <c r="DW130" s="568"/>
      <c r="DX130" s="568"/>
      <c r="DY130" s="568"/>
      <c r="DZ130" s="568"/>
      <c r="EA130" s="568"/>
      <c r="EB130" s="568"/>
      <c r="EC130" s="568"/>
      <c r="ED130" s="568"/>
      <c r="EE130" s="568"/>
      <c r="EF130" s="568"/>
      <c r="EG130" s="568"/>
      <c r="EH130" s="568"/>
      <c r="EI130" s="568"/>
      <c r="EJ130" s="568"/>
      <c r="EK130" s="568"/>
      <c r="EL130" s="568"/>
      <c r="EM130" s="568"/>
      <c r="EN130" s="568"/>
      <c r="EO130" s="568"/>
      <c r="EP130" s="568"/>
      <c r="EQ130" s="568"/>
      <c r="ER130" s="568"/>
      <c r="ES130" s="568"/>
      <c r="ET130" s="568"/>
      <c r="EU130" s="568"/>
      <c r="EV130" s="568"/>
      <c r="EW130" s="568"/>
      <c r="EX130" s="568"/>
      <c r="EY130" s="568"/>
      <c r="EZ130" s="568"/>
      <c r="FA130" s="568"/>
      <c r="FB130" s="568"/>
      <c r="FC130" s="568"/>
      <c r="FD130" s="568"/>
      <c r="FE130" s="568"/>
      <c r="FF130" s="568"/>
      <c r="FG130" s="568"/>
      <c r="FH130" s="568"/>
      <c r="FI130" s="568"/>
      <c r="FJ130" s="568"/>
      <c r="FK130" s="568"/>
      <c r="FL130" s="568"/>
      <c r="FM130" s="568"/>
      <c r="FN130" s="568"/>
      <c r="FO130" s="568"/>
      <c r="FP130" s="568"/>
      <c r="FQ130" s="568"/>
      <c r="FR130" s="568"/>
      <c r="FS130" s="568"/>
      <c r="FT130" s="568"/>
      <c r="FU130" s="568"/>
      <c r="FV130" s="568"/>
      <c r="FW130" s="568"/>
      <c r="FX130" s="568"/>
      <c r="FY130" s="568"/>
      <c r="FZ130" s="568"/>
      <c r="GA130" s="568"/>
      <c r="GB130" s="568"/>
      <c r="GC130" s="568"/>
      <c r="GD130" s="568"/>
      <c r="GE130" s="568"/>
      <c r="GF130" s="568"/>
      <c r="GG130" s="568"/>
      <c r="GH130" s="568"/>
      <c r="GI130" s="568"/>
      <c r="GJ130" s="568"/>
      <c r="GK130" s="568"/>
      <c r="GL130" s="568"/>
      <c r="GM130" s="568"/>
      <c r="GN130" s="568"/>
      <c r="GO130" s="568"/>
      <c r="GP130" s="568"/>
      <c r="GQ130" s="568"/>
      <c r="GR130" s="568"/>
      <c r="GS130" s="568"/>
      <c r="GT130" s="568"/>
      <c r="GU130" s="568"/>
      <c r="GV130" s="568"/>
      <c r="GW130" s="568"/>
      <c r="GX130" s="568"/>
      <c r="GY130" s="568"/>
      <c r="GZ130" s="568"/>
      <c r="HA130" s="568"/>
      <c r="HB130" s="568"/>
      <c r="HC130" s="568"/>
      <c r="HD130" s="568"/>
      <c r="HE130" s="568"/>
      <c r="HF130" s="568"/>
      <c r="HG130" s="568"/>
      <c r="HH130" s="568"/>
      <c r="HI130" s="568"/>
      <c r="HJ130" s="568"/>
      <c r="HK130" s="568"/>
      <c r="HL130" s="568"/>
      <c r="HM130" s="568"/>
      <c r="HN130" s="568"/>
      <c r="HO130" s="568"/>
      <c r="HP130" s="568"/>
      <c r="HQ130" s="568"/>
      <c r="HR130" s="568"/>
      <c r="HS130" s="568"/>
      <c r="HT130" s="568"/>
      <c r="HU130" s="568"/>
      <c r="HV130" s="568"/>
      <c r="HW130" s="568"/>
      <c r="HX130" s="568"/>
      <c r="HY130" s="568"/>
      <c r="HZ130" s="568"/>
      <c r="IA130" s="568"/>
      <c r="IB130" s="568"/>
      <c r="IC130" s="568"/>
      <c r="ID130" s="568"/>
      <c r="IE130" s="568"/>
      <c r="IF130" s="568"/>
      <c r="IG130" s="568"/>
      <c r="IH130" s="568"/>
      <c r="II130" s="568"/>
      <c r="IJ130" s="568"/>
      <c r="IK130" s="568"/>
      <c r="IL130" s="568"/>
      <c r="IM130" s="568"/>
      <c r="IN130" s="568"/>
      <c r="IO130" s="568"/>
      <c r="IP130" s="568"/>
      <c r="IQ130" s="568"/>
      <c r="IR130" s="568"/>
      <c r="IS130" s="568"/>
      <c r="IT130" s="568"/>
      <c r="IU130" s="568"/>
    </row>
    <row r="131" spans="1:255" ht="18" customHeight="1">
      <c r="A131" s="685" t="s">
        <v>965</v>
      </c>
      <c r="B131" s="686"/>
      <c r="C131" s="1144">
        <v>4967.87543155</v>
      </c>
      <c r="D131" s="1144">
        <v>5472.3284311499992</v>
      </c>
      <c r="E131" s="1144">
        <v>5614.31604161</v>
      </c>
      <c r="F131" s="1144">
        <v>5702.27837163</v>
      </c>
      <c r="G131" s="1144">
        <v>5617.8785541300003</v>
      </c>
      <c r="H131" s="1144">
        <v>5623.0379786800004</v>
      </c>
      <c r="I131" s="1144">
        <v>5621.5384142000003</v>
      </c>
      <c r="J131" s="1144">
        <v>5655.2473576899993</v>
      </c>
      <c r="K131" s="1144">
        <v>0</v>
      </c>
      <c r="L131" s="1144">
        <v>0</v>
      </c>
      <c r="M131" s="686">
        <v>0</v>
      </c>
      <c r="N131" s="686">
        <v>0</v>
      </c>
      <c r="O131"/>
      <c r="P131" s="832" t="s">
        <v>1715</v>
      </c>
      <c r="Q131" s="561"/>
      <c r="R131" s="561"/>
      <c r="S131" s="561"/>
      <c r="T131" s="561"/>
      <c r="U131" s="561"/>
      <c r="V131" s="561"/>
      <c r="W131" s="561"/>
      <c r="X131" s="561"/>
      <c r="Y131" s="561"/>
      <c r="Z131" s="561"/>
      <c r="AA131" s="561"/>
      <c r="AB131" s="561"/>
      <c r="AC131" s="561"/>
      <c r="AD131" s="561"/>
      <c r="AE131" s="561"/>
      <c r="AF131" s="561"/>
      <c r="AG131" s="561"/>
      <c r="AH131" s="567"/>
      <c r="AI131" s="567"/>
      <c r="AJ131" s="567"/>
      <c r="AK131" s="567"/>
      <c r="AL131" s="567"/>
      <c r="AM131" s="567"/>
      <c r="AN131" s="567"/>
      <c r="AO131" s="567"/>
      <c r="AP131" s="567"/>
      <c r="AQ131" s="567"/>
      <c r="AR131" s="567"/>
      <c r="AS131" s="567"/>
      <c r="AT131" s="567"/>
      <c r="AU131" s="567"/>
      <c r="AV131" s="567"/>
      <c r="AW131" s="567"/>
      <c r="AX131" s="567"/>
      <c r="AY131" s="567"/>
      <c r="AZ131" s="567"/>
      <c r="BA131" s="567"/>
      <c r="BB131" s="567"/>
      <c r="BC131" s="567"/>
      <c r="BD131" s="568"/>
      <c r="BE131" s="568"/>
      <c r="BF131" s="568"/>
      <c r="BG131" s="568"/>
      <c r="BH131" s="568"/>
      <c r="BI131" s="568"/>
      <c r="BJ131" s="568"/>
      <c r="BK131" s="568"/>
      <c r="BL131" s="568"/>
      <c r="BM131" s="568"/>
      <c r="BN131" s="568"/>
      <c r="BO131" s="568"/>
      <c r="BP131" s="568"/>
      <c r="BQ131" s="568"/>
      <c r="BR131" s="568"/>
      <c r="BS131" s="568"/>
      <c r="BT131" s="568"/>
      <c r="BU131" s="568"/>
      <c r="BV131" s="568"/>
      <c r="BW131" s="568"/>
      <c r="BX131" s="568"/>
      <c r="BY131" s="568"/>
      <c r="BZ131" s="568"/>
      <c r="CA131" s="568"/>
      <c r="CB131" s="568"/>
      <c r="CC131" s="568"/>
      <c r="CD131" s="568"/>
      <c r="CE131" s="568"/>
      <c r="CF131" s="568"/>
      <c r="CG131" s="568"/>
      <c r="CH131" s="568"/>
      <c r="CI131" s="568"/>
      <c r="CJ131" s="568"/>
      <c r="CK131" s="568"/>
      <c r="CL131" s="568"/>
      <c r="CM131" s="568"/>
      <c r="CN131" s="568"/>
      <c r="CO131" s="568"/>
      <c r="CP131" s="568"/>
      <c r="CQ131" s="568"/>
      <c r="CR131" s="568"/>
      <c r="CS131" s="568"/>
      <c r="CT131" s="568"/>
      <c r="CU131" s="568"/>
      <c r="CV131" s="568"/>
      <c r="CW131" s="568"/>
      <c r="CX131" s="568"/>
      <c r="CY131" s="568"/>
      <c r="CZ131" s="568"/>
      <c r="DA131" s="568"/>
      <c r="DB131" s="568"/>
      <c r="DC131" s="568"/>
      <c r="DD131" s="568"/>
      <c r="DE131" s="568"/>
      <c r="DF131" s="568"/>
      <c r="DG131" s="568"/>
      <c r="DH131" s="568"/>
      <c r="DI131" s="568"/>
      <c r="DJ131" s="568"/>
      <c r="DK131" s="568"/>
      <c r="DL131" s="568"/>
      <c r="DM131" s="568"/>
      <c r="DN131" s="568"/>
      <c r="DO131" s="568"/>
      <c r="DP131" s="568"/>
      <c r="DQ131" s="568"/>
      <c r="DR131" s="568"/>
      <c r="DS131" s="568"/>
      <c r="DT131" s="568"/>
      <c r="DU131" s="568"/>
      <c r="DV131" s="568"/>
      <c r="DW131" s="568"/>
      <c r="DX131" s="568"/>
      <c r="DY131" s="568"/>
      <c r="DZ131" s="568"/>
      <c r="EA131" s="568"/>
      <c r="EB131" s="568"/>
      <c r="EC131" s="568"/>
      <c r="ED131" s="568"/>
      <c r="EE131" s="568"/>
      <c r="EF131" s="568"/>
      <c r="EG131" s="568"/>
      <c r="EH131" s="568"/>
      <c r="EI131" s="568"/>
      <c r="EJ131" s="568"/>
      <c r="EK131" s="568"/>
      <c r="EL131" s="568"/>
      <c r="EM131" s="568"/>
      <c r="EN131" s="568"/>
      <c r="EO131" s="568"/>
      <c r="EP131" s="568"/>
      <c r="EQ131" s="568"/>
      <c r="ER131" s="568"/>
      <c r="ES131" s="568"/>
      <c r="ET131" s="568"/>
      <c r="EU131" s="568"/>
      <c r="EV131" s="568"/>
      <c r="EW131" s="568"/>
      <c r="EX131" s="568"/>
      <c r="EY131" s="568"/>
      <c r="EZ131" s="568"/>
      <c r="FA131" s="568"/>
      <c r="FB131" s="568"/>
      <c r="FC131" s="568"/>
      <c r="FD131" s="568"/>
      <c r="FE131" s="568"/>
      <c r="FF131" s="568"/>
      <c r="FG131" s="568"/>
      <c r="FH131" s="568"/>
      <c r="FI131" s="568"/>
      <c r="FJ131" s="568"/>
      <c r="FK131" s="568"/>
      <c r="FL131" s="568"/>
      <c r="FM131" s="568"/>
      <c r="FN131" s="568"/>
      <c r="FO131" s="568"/>
      <c r="FP131" s="568"/>
      <c r="FQ131" s="568"/>
      <c r="FR131" s="568"/>
      <c r="FS131" s="568"/>
      <c r="FT131" s="568"/>
      <c r="FU131" s="568"/>
      <c r="FV131" s="568"/>
      <c r="FW131" s="568"/>
      <c r="FX131" s="568"/>
      <c r="FY131" s="568"/>
      <c r="FZ131" s="568"/>
      <c r="GA131" s="568"/>
      <c r="GB131" s="568"/>
      <c r="GC131" s="568"/>
      <c r="GD131" s="568"/>
      <c r="GE131" s="568"/>
      <c r="GF131" s="568"/>
      <c r="GG131" s="568"/>
      <c r="GH131" s="568"/>
      <c r="GI131" s="568"/>
      <c r="GJ131" s="568"/>
      <c r="GK131" s="568"/>
      <c r="GL131" s="568"/>
      <c r="GM131" s="568"/>
      <c r="GN131" s="568"/>
      <c r="GO131" s="568"/>
      <c r="GP131" s="568"/>
      <c r="GQ131" s="568"/>
      <c r="GR131" s="568"/>
      <c r="GS131" s="568"/>
      <c r="GT131" s="568"/>
      <c r="GU131" s="568"/>
      <c r="GV131" s="568"/>
      <c r="GW131" s="568"/>
      <c r="GX131" s="568"/>
      <c r="GY131" s="568"/>
      <c r="GZ131" s="568"/>
      <c r="HA131" s="568"/>
      <c r="HB131" s="568"/>
      <c r="HC131" s="568"/>
      <c r="HD131" s="568"/>
      <c r="HE131" s="568"/>
      <c r="HF131" s="568"/>
      <c r="HG131" s="568"/>
      <c r="HH131" s="568"/>
      <c r="HI131" s="568"/>
      <c r="HJ131" s="568"/>
      <c r="HK131" s="568"/>
      <c r="HL131" s="568"/>
      <c r="HM131" s="568"/>
      <c r="HN131" s="568"/>
      <c r="HO131" s="568"/>
      <c r="HP131" s="568"/>
      <c r="HQ131" s="568"/>
      <c r="HR131" s="568"/>
      <c r="HS131" s="568"/>
      <c r="HT131" s="568"/>
      <c r="HU131" s="568"/>
      <c r="HV131" s="568"/>
      <c r="HW131" s="568"/>
      <c r="HX131" s="568"/>
      <c r="HY131" s="568"/>
      <c r="HZ131" s="568"/>
      <c r="IA131" s="568"/>
      <c r="IB131" s="568"/>
      <c r="IC131" s="568"/>
      <c r="ID131" s="568"/>
      <c r="IE131" s="568"/>
      <c r="IF131" s="568"/>
      <c r="IG131" s="568"/>
      <c r="IH131" s="568"/>
      <c r="II131" s="568"/>
      <c r="IJ131" s="568"/>
      <c r="IK131" s="568"/>
      <c r="IL131" s="568"/>
      <c r="IM131" s="568"/>
      <c r="IN131" s="568"/>
      <c r="IO131" s="568"/>
      <c r="IP131" s="568"/>
      <c r="IQ131" s="568"/>
      <c r="IR131" s="568"/>
      <c r="IS131" s="568"/>
      <c r="IT131" s="568"/>
      <c r="IU131" s="568"/>
    </row>
    <row r="132" spans="1:255" ht="18" customHeight="1">
      <c r="A132" s="570" t="s">
        <v>876</v>
      </c>
      <c r="B132" s="561"/>
      <c r="C132" s="1142"/>
      <c r="D132" s="1142"/>
      <c r="E132" s="1142"/>
      <c r="F132" s="1142"/>
      <c r="G132" s="1142"/>
      <c r="H132" s="1142"/>
      <c r="I132" s="1142"/>
      <c r="J132" s="1142"/>
      <c r="K132" s="1142"/>
      <c r="L132" s="1142"/>
      <c r="M132" s="561">
        <v>0</v>
      </c>
      <c r="N132" s="561">
        <v>0</v>
      </c>
      <c r="O132"/>
      <c r="P132" s="832"/>
      <c r="Q132" s="561"/>
      <c r="R132" s="561"/>
      <c r="S132" s="561"/>
      <c r="T132" s="561"/>
      <c r="U132" s="561"/>
      <c r="V132" s="561"/>
      <c r="W132" s="561"/>
      <c r="X132" s="561"/>
      <c r="Y132" s="561"/>
      <c r="Z132" s="561"/>
      <c r="AA132" s="561"/>
      <c r="AB132" s="561"/>
      <c r="AC132" s="561"/>
      <c r="AD132" s="561"/>
      <c r="AE132" s="561"/>
      <c r="AF132" s="561"/>
      <c r="AG132" s="561"/>
      <c r="AH132" s="567"/>
      <c r="AI132" s="567"/>
      <c r="AJ132" s="567"/>
      <c r="AK132" s="567"/>
      <c r="AL132" s="567"/>
      <c r="AM132" s="567"/>
      <c r="AN132" s="567"/>
      <c r="AO132" s="567"/>
      <c r="AP132" s="567"/>
      <c r="AQ132" s="567"/>
      <c r="AR132" s="567"/>
      <c r="AS132" s="567"/>
      <c r="AT132" s="567"/>
      <c r="AU132" s="567"/>
      <c r="AV132" s="567"/>
      <c r="AW132" s="567"/>
      <c r="AX132" s="567"/>
      <c r="AY132" s="567"/>
      <c r="AZ132" s="567"/>
      <c r="BA132" s="567"/>
      <c r="BB132" s="567"/>
      <c r="BC132" s="567"/>
      <c r="BD132" s="568"/>
      <c r="BE132" s="568"/>
      <c r="BF132" s="568"/>
      <c r="BG132" s="568"/>
      <c r="BH132" s="568"/>
      <c r="BI132" s="568"/>
      <c r="BJ132" s="568"/>
      <c r="BK132" s="568"/>
      <c r="BL132" s="568"/>
      <c r="BM132" s="568"/>
      <c r="BN132" s="568"/>
      <c r="BO132" s="568"/>
      <c r="BP132" s="568"/>
      <c r="BQ132" s="568"/>
      <c r="BR132" s="568"/>
      <c r="BS132" s="568"/>
      <c r="BT132" s="568"/>
      <c r="BU132" s="568"/>
      <c r="BV132" s="568"/>
      <c r="BW132" s="568"/>
      <c r="BX132" s="568"/>
      <c r="BY132" s="568"/>
      <c r="BZ132" s="568"/>
      <c r="CA132" s="568"/>
      <c r="CB132" s="568"/>
      <c r="CC132" s="568"/>
      <c r="CD132" s="568"/>
      <c r="CE132" s="568"/>
      <c r="CF132" s="568"/>
      <c r="CG132" s="568"/>
      <c r="CH132" s="568"/>
      <c r="CI132" s="568"/>
      <c r="CJ132" s="568"/>
      <c r="CK132" s="568"/>
      <c r="CL132" s="568"/>
      <c r="CM132" s="568"/>
      <c r="CN132" s="568"/>
      <c r="CO132" s="568"/>
      <c r="CP132" s="568"/>
      <c r="CQ132" s="568"/>
      <c r="CR132" s="568"/>
      <c r="CS132" s="568"/>
      <c r="CT132" s="568"/>
      <c r="CU132" s="568"/>
      <c r="CV132" s="568"/>
      <c r="CW132" s="568"/>
      <c r="CX132" s="568"/>
      <c r="CY132" s="568"/>
      <c r="CZ132" s="568"/>
      <c r="DA132" s="568"/>
      <c r="DB132" s="568"/>
      <c r="DC132" s="568"/>
      <c r="DD132" s="568"/>
      <c r="DE132" s="568"/>
      <c r="DF132" s="568"/>
      <c r="DG132" s="568"/>
      <c r="DH132" s="568"/>
      <c r="DI132" s="568"/>
      <c r="DJ132" s="568"/>
      <c r="DK132" s="568"/>
      <c r="DL132" s="568"/>
      <c r="DM132" s="568"/>
      <c r="DN132" s="568"/>
      <c r="DO132" s="568"/>
      <c r="DP132" s="568"/>
      <c r="DQ132" s="568"/>
      <c r="DR132" s="568"/>
      <c r="DS132" s="568"/>
      <c r="DT132" s="568"/>
      <c r="DU132" s="568"/>
      <c r="DV132" s="568"/>
      <c r="DW132" s="568"/>
      <c r="DX132" s="568"/>
      <c r="DY132" s="568"/>
      <c r="DZ132" s="568"/>
      <c r="EA132" s="568"/>
      <c r="EB132" s="568"/>
      <c r="EC132" s="568"/>
      <c r="ED132" s="568"/>
      <c r="EE132" s="568"/>
      <c r="EF132" s="568"/>
      <c r="EG132" s="568"/>
      <c r="EH132" s="568"/>
      <c r="EI132" s="568"/>
      <c r="EJ132" s="568"/>
      <c r="EK132" s="568"/>
      <c r="EL132" s="568"/>
      <c r="EM132" s="568"/>
      <c r="EN132" s="568"/>
      <c r="EO132" s="568"/>
      <c r="EP132" s="568"/>
      <c r="EQ132" s="568"/>
      <c r="ER132" s="568"/>
      <c r="ES132" s="568"/>
      <c r="ET132" s="568"/>
      <c r="EU132" s="568"/>
      <c r="EV132" s="568"/>
      <c r="EW132" s="568"/>
      <c r="EX132" s="568"/>
      <c r="EY132" s="568"/>
      <c r="EZ132" s="568"/>
      <c r="FA132" s="568"/>
      <c r="FB132" s="568"/>
      <c r="FC132" s="568"/>
      <c r="FD132" s="568"/>
      <c r="FE132" s="568"/>
      <c r="FF132" s="568"/>
      <c r="FG132" s="568"/>
      <c r="FH132" s="568"/>
      <c r="FI132" s="568"/>
      <c r="FJ132" s="568"/>
      <c r="FK132" s="568"/>
      <c r="FL132" s="568"/>
      <c r="FM132" s="568"/>
      <c r="FN132" s="568"/>
      <c r="FO132" s="568"/>
      <c r="FP132" s="568"/>
      <c r="FQ132" s="568"/>
      <c r="FR132" s="568"/>
      <c r="FS132" s="568"/>
      <c r="FT132" s="568"/>
      <c r="FU132" s="568"/>
      <c r="FV132" s="568"/>
      <c r="FW132" s="568"/>
      <c r="FX132" s="568"/>
      <c r="FY132" s="568"/>
      <c r="FZ132" s="568"/>
      <c r="GA132" s="568"/>
      <c r="GB132" s="568"/>
      <c r="GC132" s="568"/>
      <c r="GD132" s="568"/>
      <c r="GE132" s="568"/>
      <c r="GF132" s="568"/>
      <c r="GG132" s="568"/>
      <c r="GH132" s="568"/>
      <c r="GI132" s="568"/>
      <c r="GJ132" s="568"/>
      <c r="GK132" s="568"/>
      <c r="GL132" s="568"/>
      <c r="GM132" s="568"/>
      <c r="GN132" s="568"/>
      <c r="GO132" s="568"/>
      <c r="GP132" s="568"/>
      <c r="GQ132" s="568"/>
      <c r="GR132" s="568"/>
      <c r="GS132" s="568"/>
      <c r="GT132" s="568"/>
      <c r="GU132" s="568"/>
      <c r="GV132" s="568"/>
      <c r="GW132" s="568"/>
      <c r="GX132" s="568"/>
      <c r="GY132" s="568"/>
      <c r="GZ132" s="568"/>
      <c r="HA132" s="568"/>
      <c r="HB132" s="568"/>
      <c r="HC132" s="568"/>
      <c r="HD132" s="568"/>
      <c r="HE132" s="568"/>
      <c r="HF132" s="568"/>
      <c r="HG132" s="568"/>
      <c r="HH132" s="568"/>
      <c r="HI132" s="568"/>
      <c r="HJ132" s="568"/>
      <c r="HK132" s="568"/>
      <c r="HL132" s="568"/>
      <c r="HM132" s="568"/>
      <c r="HN132" s="568"/>
      <c r="HO132" s="568"/>
      <c r="HP132" s="568"/>
      <c r="HQ132" s="568"/>
      <c r="HR132" s="568"/>
      <c r="HS132" s="568"/>
      <c r="HT132" s="568"/>
      <c r="HU132" s="568"/>
      <c r="HV132" s="568"/>
      <c r="HW132" s="568"/>
      <c r="HX132" s="568"/>
      <c r="HY132" s="568"/>
      <c r="HZ132" s="568"/>
      <c r="IA132" s="568"/>
      <c r="IB132" s="568"/>
      <c r="IC132" s="568"/>
      <c r="ID132" s="568"/>
      <c r="IE132" s="568"/>
      <c r="IF132" s="568"/>
      <c r="IG132" s="568"/>
      <c r="IH132" s="568"/>
      <c r="II132" s="568"/>
      <c r="IJ132" s="568"/>
      <c r="IK132" s="568"/>
      <c r="IL132" s="568"/>
      <c r="IM132" s="568"/>
      <c r="IN132" s="568"/>
      <c r="IO132" s="568"/>
      <c r="IP132" s="568"/>
      <c r="IQ132" s="568"/>
      <c r="IR132" s="568"/>
      <c r="IS132" s="568"/>
      <c r="IT132" s="568"/>
      <c r="IU132" s="568"/>
    </row>
    <row r="133" spans="1:255" ht="18" customHeight="1">
      <c r="A133" s="685" t="s">
        <v>967</v>
      </c>
      <c r="B133" s="686"/>
      <c r="C133" s="1144">
        <v>10789.49010838</v>
      </c>
      <c r="D133" s="1144">
        <v>12145.650790860002</v>
      </c>
      <c r="E133" s="1144">
        <v>12946.04536607</v>
      </c>
      <c r="F133" s="1144">
        <v>13099.991139700001</v>
      </c>
      <c r="G133" s="1144">
        <v>12639.39639009</v>
      </c>
      <c r="H133" s="1144">
        <v>12993.27303102</v>
      </c>
      <c r="I133" s="1144">
        <v>13800.188785079999</v>
      </c>
      <c r="J133" s="1144">
        <v>14798.760201030002</v>
      </c>
      <c r="K133" s="1144">
        <v>0</v>
      </c>
      <c r="L133" s="1144">
        <v>0</v>
      </c>
      <c r="M133" s="686">
        <v>0</v>
      </c>
      <c r="N133" s="686">
        <v>0</v>
      </c>
      <c r="O133"/>
      <c r="P133" s="832" t="s">
        <v>1726</v>
      </c>
      <c r="Q133" s="561"/>
      <c r="R133" s="561"/>
      <c r="S133" s="561"/>
      <c r="T133" s="562"/>
      <c r="U133" s="561"/>
      <c r="V133" s="561"/>
      <c r="W133" s="561"/>
      <c r="X133" s="561"/>
      <c r="Y133" s="561"/>
      <c r="Z133" s="561"/>
      <c r="AA133" s="561"/>
      <c r="AB133" s="561"/>
      <c r="AC133" s="561"/>
      <c r="AD133" s="561"/>
      <c r="AE133" s="561"/>
      <c r="AF133" s="561"/>
      <c r="AG133" s="561"/>
      <c r="AH133" s="567"/>
      <c r="AI133" s="567"/>
      <c r="AJ133" s="567"/>
      <c r="AK133" s="567"/>
      <c r="AL133" s="567"/>
      <c r="AM133" s="567"/>
      <c r="AN133" s="567"/>
      <c r="AO133" s="567"/>
      <c r="AP133" s="567"/>
      <c r="AQ133" s="567"/>
      <c r="AR133" s="567"/>
      <c r="AS133" s="567"/>
      <c r="AT133" s="567"/>
      <c r="AU133" s="567"/>
      <c r="AV133" s="567"/>
      <c r="AW133" s="567"/>
      <c r="AX133" s="567"/>
      <c r="AY133" s="567"/>
      <c r="AZ133" s="567"/>
      <c r="BA133" s="567"/>
      <c r="BB133" s="567"/>
      <c r="BC133" s="567"/>
      <c r="BD133" s="568"/>
      <c r="BE133" s="568"/>
      <c r="BF133" s="568"/>
      <c r="BG133" s="568"/>
      <c r="BH133" s="568"/>
      <c r="BI133" s="568"/>
      <c r="BJ133" s="568"/>
      <c r="BK133" s="568"/>
      <c r="BL133" s="568"/>
      <c r="BM133" s="568"/>
      <c r="BN133" s="568"/>
      <c r="BO133" s="568"/>
      <c r="BP133" s="568"/>
      <c r="BQ133" s="568"/>
      <c r="BR133" s="568"/>
      <c r="BS133" s="568"/>
      <c r="BT133" s="568"/>
      <c r="BU133" s="568"/>
      <c r="BV133" s="568"/>
      <c r="BW133" s="568"/>
      <c r="BX133" s="568"/>
      <c r="BY133" s="568"/>
      <c r="BZ133" s="568"/>
      <c r="CA133" s="568"/>
      <c r="CB133" s="568"/>
      <c r="CC133" s="568"/>
      <c r="CD133" s="568"/>
      <c r="CE133" s="568"/>
      <c r="CF133" s="568"/>
      <c r="CG133" s="568"/>
      <c r="CH133" s="568"/>
      <c r="CI133" s="568"/>
      <c r="CJ133" s="568"/>
      <c r="CK133" s="568"/>
      <c r="CL133" s="568"/>
      <c r="CM133" s="568"/>
      <c r="CN133" s="568"/>
      <c r="CO133" s="568"/>
      <c r="CP133" s="568"/>
      <c r="CQ133" s="568"/>
      <c r="CR133" s="568"/>
      <c r="CS133" s="568"/>
      <c r="CT133" s="568"/>
      <c r="CU133" s="568"/>
      <c r="CV133" s="568"/>
      <c r="CW133" s="568"/>
      <c r="CX133" s="568"/>
      <c r="CY133" s="568"/>
      <c r="CZ133" s="568"/>
      <c r="DA133" s="568"/>
      <c r="DB133" s="568"/>
      <c r="DC133" s="568"/>
      <c r="DD133" s="568"/>
      <c r="DE133" s="568"/>
      <c r="DF133" s="568"/>
      <c r="DG133" s="568"/>
      <c r="DH133" s="568"/>
      <c r="DI133" s="568"/>
      <c r="DJ133" s="568"/>
      <c r="DK133" s="568"/>
      <c r="DL133" s="568"/>
      <c r="DM133" s="568"/>
      <c r="DN133" s="568"/>
      <c r="DO133" s="568"/>
      <c r="DP133" s="568"/>
      <c r="DQ133" s="568"/>
      <c r="DR133" s="568"/>
      <c r="DS133" s="568"/>
      <c r="DT133" s="568"/>
      <c r="DU133" s="568"/>
      <c r="DV133" s="568"/>
      <c r="DW133" s="568"/>
      <c r="DX133" s="568"/>
      <c r="DY133" s="568"/>
      <c r="DZ133" s="568"/>
      <c r="EA133" s="568"/>
      <c r="EB133" s="568"/>
      <c r="EC133" s="568"/>
      <c r="ED133" s="568"/>
      <c r="EE133" s="568"/>
      <c r="EF133" s="568"/>
      <c r="EG133" s="568"/>
      <c r="EH133" s="568"/>
      <c r="EI133" s="568"/>
      <c r="EJ133" s="568"/>
      <c r="EK133" s="568"/>
      <c r="EL133" s="568"/>
      <c r="EM133" s="568"/>
      <c r="EN133" s="568"/>
      <c r="EO133" s="568"/>
      <c r="EP133" s="568"/>
      <c r="EQ133" s="568"/>
      <c r="ER133" s="568"/>
      <c r="ES133" s="568"/>
      <c r="ET133" s="568"/>
      <c r="EU133" s="568"/>
      <c r="EV133" s="568"/>
      <c r="EW133" s="568"/>
      <c r="EX133" s="568"/>
      <c r="EY133" s="568"/>
      <c r="EZ133" s="568"/>
      <c r="FA133" s="568"/>
      <c r="FB133" s="568"/>
      <c r="FC133" s="568"/>
      <c r="FD133" s="568"/>
      <c r="FE133" s="568"/>
      <c r="FF133" s="568"/>
      <c r="FG133" s="568"/>
      <c r="FH133" s="568"/>
      <c r="FI133" s="568"/>
      <c r="FJ133" s="568"/>
      <c r="FK133" s="568"/>
      <c r="FL133" s="568"/>
      <c r="FM133" s="568"/>
      <c r="FN133" s="568"/>
      <c r="FO133" s="568"/>
      <c r="FP133" s="568"/>
      <c r="FQ133" s="568"/>
      <c r="FR133" s="568"/>
      <c r="FS133" s="568"/>
      <c r="FT133" s="568"/>
      <c r="FU133" s="568"/>
      <c r="FV133" s="568"/>
      <c r="FW133" s="568"/>
      <c r="FX133" s="568"/>
      <c r="FY133" s="568"/>
      <c r="FZ133" s="568"/>
      <c r="GA133" s="568"/>
      <c r="GB133" s="568"/>
      <c r="GC133" s="568"/>
      <c r="GD133" s="568"/>
      <c r="GE133" s="568"/>
      <c r="GF133" s="568"/>
      <c r="GG133" s="568"/>
      <c r="GH133" s="568"/>
      <c r="GI133" s="568"/>
      <c r="GJ133" s="568"/>
      <c r="GK133" s="568"/>
      <c r="GL133" s="568"/>
      <c r="GM133" s="568"/>
      <c r="GN133" s="568"/>
      <c r="GO133" s="568"/>
      <c r="GP133" s="568"/>
      <c r="GQ133" s="568"/>
      <c r="GR133" s="568"/>
      <c r="GS133" s="568"/>
      <c r="GT133" s="568"/>
      <c r="GU133" s="568"/>
      <c r="GV133" s="568"/>
      <c r="GW133" s="568"/>
      <c r="GX133" s="568"/>
      <c r="GY133" s="568"/>
      <c r="GZ133" s="568"/>
      <c r="HA133" s="568"/>
      <c r="HB133" s="568"/>
      <c r="HC133" s="568"/>
      <c r="HD133" s="568"/>
      <c r="HE133" s="568"/>
      <c r="HF133" s="568"/>
      <c r="HG133" s="568"/>
      <c r="HH133" s="568"/>
      <c r="HI133" s="568"/>
      <c r="HJ133" s="568"/>
      <c r="HK133" s="568"/>
      <c r="HL133" s="568"/>
      <c r="HM133" s="568"/>
      <c r="HN133" s="568"/>
      <c r="HO133" s="568"/>
      <c r="HP133" s="568"/>
      <c r="HQ133" s="568"/>
      <c r="HR133" s="568"/>
      <c r="HS133" s="568"/>
      <c r="HT133" s="568"/>
      <c r="HU133" s="568"/>
      <c r="HV133" s="568"/>
      <c r="HW133" s="568"/>
      <c r="HX133" s="568"/>
      <c r="HY133" s="568"/>
      <c r="HZ133" s="568"/>
      <c r="IA133" s="568"/>
      <c r="IB133" s="568"/>
      <c r="IC133" s="568"/>
      <c r="ID133" s="568"/>
      <c r="IE133" s="568"/>
      <c r="IF133" s="568"/>
      <c r="IG133" s="568"/>
      <c r="IH133" s="568"/>
      <c r="II133" s="568"/>
      <c r="IJ133" s="568"/>
      <c r="IK133" s="568"/>
      <c r="IL133" s="568"/>
      <c r="IM133" s="568"/>
      <c r="IN133" s="568"/>
      <c r="IO133" s="568"/>
      <c r="IP133" s="568"/>
      <c r="IQ133" s="568"/>
      <c r="IR133" s="568"/>
      <c r="IS133" s="568"/>
      <c r="IT133" s="568"/>
      <c r="IU133" s="568"/>
    </row>
    <row r="134" spans="1:255" s="568" customFormat="1" ht="18" customHeight="1">
      <c r="A134" s="570"/>
      <c r="B134" s="561"/>
      <c r="C134" s="1142"/>
      <c r="D134" s="1142"/>
      <c r="E134" s="1142"/>
      <c r="F134" s="1142"/>
      <c r="G134" s="1142"/>
      <c r="H134" s="1142"/>
      <c r="I134" s="1142"/>
      <c r="J134" s="1142"/>
      <c r="K134" s="1142"/>
      <c r="L134" s="1142"/>
      <c r="M134" s="561"/>
      <c r="N134" s="561"/>
      <c r="O134"/>
      <c r="P134" s="561"/>
      <c r="Q134" s="561"/>
      <c r="R134" s="561"/>
      <c r="S134" s="561"/>
      <c r="T134" s="561"/>
      <c r="U134" s="561"/>
      <c r="V134" s="561"/>
      <c r="W134" s="561"/>
      <c r="X134" s="561"/>
      <c r="Y134" s="561"/>
      <c r="Z134" s="561"/>
      <c r="AA134" s="561"/>
      <c r="AB134" s="561"/>
      <c r="AC134" s="561"/>
      <c r="AD134" s="561"/>
      <c r="AE134" s="561"/>
      <c r="AF134" s="561"/>
      <c r="AG134" s="561"/>
      <c r="AH134" s="567"/>
      <c r="AI134" s="567"/>
      <c r="AJ134" s="567"/>
      <c r="AK134" s="567"/>
      <c r="AL134" s="567"/>
      <c r="AM134" s="567"/>
      <c r="AN134" s="567"/>
      <c r="AO134" s="567"/>
      <c r="AP134" s="567"/>
      <c r="AQ134" s="567"/>
      <c r="AR134" s="567"/>
      <c r="AS134" s="567"/>
      <c r="AT134" s="567"/>
      <c r="AU134" s="567"/>
      <c r="AV134" s="567"/>
      <c r="AW134" s="567"/>
      <c r="AX134" s="567"/>
      <c r="AY134" s="567"/>
      <c r="AZ134" s="567"/>
      <c r="BA134" s="567"/>
      <c r="BB134" s="567"/>
      <c r="BC134" s="567"/>
    </row>
    <row r="135" spans="1:255" s="568" customFormat="1" ht="18" customHeight="1">
      <c r="A135" s="566"/>
      <c r="B135" s="561"/>
      <c r="C135" s="1142"/>
      <c r="D135" s="1142"/>
      <c r="E135" s="1142"/>
      <c r="F135" s="1142"/>
      <c r="G135" s="1142"/>
      <c r="H135" s="1142"/>
      <c r="I135" s="1142"/>
      <c r="J135" s="1143"/>
      <c r="K135" s="1143"/>
      <c r="L135" s="1143"/>
      <c r="M135" s="562"/>
      <c r="N135" s="562"/>
      <c r="O135"/>
      <c r="P135" s="562"/>
      <c r="Q135" s="561"/>
      <c r="R135" s="561"/>
      <c r="S135" s="561"/>
      <c r="T135" s="562"/>
      <c r="U135" s="561"/>
      <c r="V135" s="561"/>
      <c r="W135" s="561"/>
      <c r="X135" s="561"/>
      <c r="Y135" s="561"/>
      <c r="Z135" s="561"/>
      <c r="AA135" s="561"/>
      <c r="AB135" s="561"/>
      <c r="AC135" s="561"/>
      <c r="AD135" s="561"/>
      <c r="AE135" s="561"/>
      <c r="AF135" s="561"/>
      <c r="AG135" s="561"/>
      <c r="AH135" s="567"/>
      <c r="AI135" s="567"/>
      <c r="AJ135" s="567"/>
      <c r="AK135" s="567"/>
      <c r="AL135" s="567"/>
      <c r="AM135" s="567"/>
      <c r="AN135" s="567"/>
      <c r="AO135" s="567"/>
      <c r="AP135" s="567"/>
      <c r="AQ135" s="567"/>
      <c r="AR135" s="567"/>
      <c r="AS135" s="567"/>
      <c r="AT135" s="567"/>
      <c r="AU135" s="567"/>
      <c r="AV135" s="567"/>
      <c r="AW135" s="567"/>
      <c r="AX135" s="567"/>
      <c r="AY135" s="567"/>
      <c r="AZ135" s="567"/>
      <c r="BA135" s="567"/>
      <c r="BB135" s="567"/>
      <c r="BC135" s="567"/>
    </row>
    <row r="136" spans="1:255" s="584" customFormat="1" ht="18" customHeight="1">
      <c r="A136" s="556" t="s">
        <v>639</v>
      </c>
      <c r="B136" s="561"/>
      <c r="C136" s="1142"/>
      <c r="D136" s="1142"/>
      <c r="E136" s="1142"/>
      <c r="F136" s="1142"/>
      <c r="G136" s="1142"/>
      <c r="H136" s="1142"/>
      <c r="I136" s="1142"/>
      <c r="J136" s="1142"/>
      <c r="K136" s="1142"/>
      <c r="L136" s="1142"/>
      <c r="M136" s="561"/>
      <c r="N136" s="561"/>
      <c r="O136"/>
      <c r="P136" s="561"/>
      <c r="Q136" s="562"/>
      <c r="R136" s="562"/>
      <c r="S136" s="562"/>
      <c r="T136" s="578"/>
      <c r="U136" s="562"/>
      <c r="V136" s="562"/>
      <c r="W136" s="562"/>
      <c r="X136" s="562"/>
      <c r="Y136" s="562"/>
      <c r="Z136" s="562"/>
      <c r="AA136" s="562"/>
      <c r="AB136" s="562"/>
      <c r="AC136" s="562"/>
      <c r="AD136" s="562"/>
      <c r="AE136" s="562"/>
      <c r="AF136" s="562"/>
      <c r="AG136" s="562"/>
      <c r="AH136" s="563"/>
      <c r="AI136" s="563"/>
      <c r="AJ136" s="563"/>
      <c r="AK136" s="563"/>
      <c r="AL136" s="563"/>
      <c r="AM136" s="563"/>
      <c r="AN136" s="563"/>
      <c r="AO136" s="563"/>
      <c r="AP136" s="563"/>
      <c r="AQ136" s="563"/>
      <c r="AR136" s="563"/>
      <c r="AS136" s="563"/>
      <c r="AT136" s="563"/>
      <c r="AU136" s="563"/>
      <c r="AV136" s="563"/>
      <c r="AW136" s="563"/>
      <c r="AX136" s="563"/>
      <c r="AY136" s="563"/>
      <c r="AZ136" s="563"/>
      <c r="BA136" s="563"/>
      <c r="BB136" s="563"/>
      <c r="BC136" s="563"/>
      <c r="BD136" s="564"/>
      <c r="BE136" s="564"/>
      <c r="BF136" s="564"/>
      <c r="BG136" s="564"/>
      <c r="BH136" s="564"/>
      <c r="BI136" s="564"/>
      <c r="BJ136" s="564"/>
      <c r="BK136" s="564"/>
      <c r="BL136" s="564"/>
      <c r="BM136" s="564"/>
      <c r="BN136" s="564"/>
      <c r="BO136" s="564"/>
      <c r="BP136" s="564"/>
      <c r="BQ136" s="564"/>
      <c r="BR136" s="564"/>
      <c r="BS136" s="564"/>
      <c r="BT136" s="564"/>
      <c r="BU136" s="564"/>
      <c r="BV136" s="564"/>
      <c r="BW136" s="564"/>
      <c r="BX136" s="564"/>
    </row>
    <row r="137" spans="1:255" ht="18" customHeight="1">
      <c r="A137" s="566" t="s">
        <v>1185</v>
      </c>
      <c r="B137" s="561"/>
      <c r="C137" s="1142">
        <v>148.8681899</v>
      </c>
      <c r="D137" s="1142">
        <v>0</v>
      </c>
      <c r="E137" s="1142">
        <v>92.338321840000006</v>
      </c>
      <c r="F137" s="1142">
        <v>0</v>
      </c>
      <c r="G137" s="1142">
        <v>192.13687737999999</v>
      </c>
      <c r="H137" s="1142">
        <v>0</v>
      </c>
      <c r="I137" s="1142">
        <v>164.40031733000001</v>
      </c>
      <c r="J137" s="1142">
        <v>0</v>
      </c>
      <c r="K137" s="1142">
        <v>0</v>
      </c>
      <c r="L137" s="1142">
        <v>0</v>
      </c>
      <c r="M137" s="561">
        <v>0</v>
      </c>
      <c r="N137" s="561">
        <v>0</v>
      </c>
      <c r="O137"/>
      <c r="P137" s="833" t="s">
        <v>1774</v>
      </c>
      <c r="Q137" s="561"/>
      <c r="R137" s="561"/>
      <c r="S137" s="561"/>
      <c r="T137" s="562"/>
      <c r="U137" s="561"/>
      <c r="V137" s="561"/>
      <c r="W137" s="561"/>
      <c r="X137" s="561"/>
      <c r="Y137" s="561"/>
      <c r="Z137" s="561"/>
      <c r="AA137" s="561"/>
      <c r="AB137" s="561"/>
      <c r="AC137" s="561"/>
      <c r="AD137" s="561"/>
      <c r="AE137" s="561"/>
      <c r="AF137" s="561"/>
      <c r="AG137" s="561"/>
      <c r="AH137" s="567"/>
      <c r="AI137" s="567"/>
      <c r="AJ137" s="567"/>
      <c r="AK137" s="567"/>
      <c r="AL137" s="567"/>
      <c r="AM137" s="567"/>
      <c r="AN137" s="567"/>
      <c r="AO137" s="567"/>
      <c r="AP137" s="567"/>
      <c r="AQ137" s="567"/>
      <c r="AR137" s="567"/>
      <c r="AS137" s="567"/>
      <c r="AT137" s="567"/>
      <c r="AU137" s="567"/>
      <c r="AV137" s="567"/>
      <c r="AW137" s="567"/>
      <c r="AX137" s="567"/>
      <c r="AY137" s="567"/>
      <c r="AZ137" s="567"/>
      <c r="BA137" s="567"/>
      <c r="BB137" s="567"/>
      <c r="BC137" s="567"/>
      <c r="BD137" s="568"/>
      <c r="BE137" s="568"/>
      <c r="BF137" s="568"/>
      <c r="BG137" s="568"/>
      <c r="BH137" s="568"/>
      <c r="BI137" s="568"/>
      <c r="BJ137" s="568"/>
      <c r="BK137" s="568"/>
      <c r="BL137" s="568"/>
      <c r="BM137" s="568"/>
      <c r="BN137" s="568"/>
      <c r="BO137" s="568"/>
      <c r="BP137" s="568"/>
      <c r="BQ137" s="568"/>
      <c r="BR137" s="568"/>
      <c r="BS137" s="568"/>
      <c r="BT137" s="568"/>
      <c r="BU137" s="568"/>
      <c r="BV137" s="568"/>
      <c r="BW137" s="568"/>
      <c r="BX137" s="568"/>
      <c r="BY137" s="568"/>
      <c r="BZ137" s="568"/>
      <c r="CA137" s="568"/>
      <c r="CB137" s="568"/>
      <c r="CC137" s="568"/>
      <c r="CD137" s="568"/>
      <c r="CE137" s="568"/>
      <c r="CF137" s="568"/>
      <c r="CG137" s="568"/>
      <c r="CH137" s="568"/>
      <c r="CI137" s="568"/>
      <c r="CJ137" s="568"/>
      <c r="CK137" s="568"/>
      <c r="CL137" s="568"/>
      <c r="CM137" s="568"/>
      <c r="CN137" s="568"/>
      <c r="CO137" s="568"/>
      <c r="CP137" s="568"/>
      <c r="CQ137" s="568"/>
      <c r="CR137" s="568"/>
      <c r="CS137" s="568"/>
      <c r="CT137" s="568"/>
      <c r="CU137" s="568"/>
      <c r="CV137" s="568"/>
      <c r="CW137" s="568"/>
      <c r="CX137" s="568"/>
      <c r="CY137" s="568"/>
      <c r="CZ137" s="568"/>
      <c r="DA137" s="568"/>
      <c r="DB137" s="568"/>
      <c r="DC137" s="568"/>
      <c r="DD137" s="568"/>
      <c r="DE137" s="568"/>
      <c r="DF137" s="568"/>
      <c r="DG137" s="568"/>
      <c r="DH137" s="568"/>
      <c r="DI137" s="568"/>
      <c r="DJ137" s="568"/>
      <c r="DK137" s="568"/>
      <c r="DL137" s="568"/>
      <c r="DM137" s="568"/>
      <c r="DN137" s="568"/>
      <c r="DO137" s="568"/>
      <c r="DP137" s="568"/>
      <c r="DQ137" s="568"/>
      <c r="DR137" s="568"/>
      <c r="DS137" s="568"/>
      <c r="DT137" s="568"/>
      <c r="DU137" s="568"/>
      <c r="DV137" s="568"/>
      <c r="DW137" s="568"/>
      <c r="DX137" s="568"/>
      <c r="DY137" s="568"/>
      <c r="DZ137" s="568"/>
      <c r="EA137" s="568"/>
      <c r="EB137" s="568"/>
      <c r="EC137" s="568"/>
      <c r="ED137" s="568"/>
      <c r="EE137" s="568"/>
      <c r="EF137" s="568"/>
      <c r="EG137" s="568"/>
      <c r="EH137" s="568"/>
      <c r="EI137" s="568"/>
      <c r="EJ137" s="568"/>
      <c r="EK137" s="568"/>
      <c r="EL137" s="568"/>
      <c r="EM137" s="568"/>
      <c r="EN137" s="568"/>
      <c r="EO137" s="568"/>
      <c r="EP137" s="568"/>
      <c r="EQ137" s="568"/>
      <c r="ER137" s="568"/>
      <c r="ES137" s="568"/>
      <c r="ET137" s="568"/>
      <c r="EU137" s="568"/>
      <c r="EV137" s="568"/>
      <c r="EW137" s="568"/>
      <c r="EX137" s="568"/>
      <c r="EY137" s="568"/>
      <c r="EZ137" s="568"/>
      <c r="FA137" s="568"/>
      <c r="FB137" s="568"/>
      <c r="FC137" s="568"/>
      <c r="FD137" s="568"/>
      <c r="FE137" s="568"/>
      <c r="FF137" s="568"/>
      <c r="FG137" s="568"/>
      <c r="FH137" s="568"/>
      <c r="FI137" s="568"/>
      <c r="FJ137" s="568"/>
      <c r="FK137" s="568"/>
      <c r="FL137" s="568"/>
      <c r="FM137" s="568"/>
      <c r="FN137" s="568"/>
      <c r="FO137" s="568"/>
      <c r="FP137" s="568"/>
      <c r="FQ137" s="568"/>
      <c r="FR137" s="568"/>
      <c r="FS137" s="568"/>
      <c r="FT137" s="568"/>
      <c r="FU137" s="568"/>
      <c r="FV137" s="568"/>
      <c r="FW137" s="568"/>
      <c r="FX137" s="568"/>
      <c r="FY137" s="568"/>
      <c r="FZ137" s="568"/>
      <c r="GA137" s="568"/>
      <c r="GB137" s="568"/>
      <c r="GC137" s="568"/>
      <c r="GD137" s="568"/>
      <c r="GE137" s="568"/>
      <c r="GF137" s="568"/>
      <c r="GG137" s="568"/>
      <c r="GH137" s="568"/>
      <c r="GI137" s="568"/>
      <c r="GJ137" s="568"/>
      <c r="GK137" s="568"/>
      <c r="GL137" s="568"/>
      <c r="GM137" s="568"/>
      <c r="GN137" s="568"/>
      <c r="GO137" s="568"/>
      <c r="GP137" s="568"/>
      <c r="GQ137" s="568"/>
      <c r="GR137" s="568"/>
      <c r="GS137" s="568"/>
      <c r="GT137" s="568"/>
      <c r="GU137" s="568"/>
      <c r="GV137" s="568"/>
      <c r="GW137" s="568"/>
      <c r="GX137" s="568"/>
      <c r="GY137" s="568"/>
      <c r="GZ137" s="568"/>
      <c r="HA137" s="568"/>
      <c r="HB137" s="568"/>
      <c r="HC137" s="568"/>
      <c r="HD137" s="568"/>
      <c r="HE137" s="568"/>
      <c r="HF137" s="568"/>
      <c r="HG137" s="568"/>
      <c r="HH137" s="568"/>
      <c r="HI137" s="568"/>
      <c r="HJ137" s="568"/>
      <c r="HK137" s="568"/>
      <c r="HL137" s="568"/>
      <c r="HM137" s="568"/>
      <c r="HN137" s="568"/>
      <c r="HO137" s="568"/>
      <c r="HP137" s="568"/>
      <c r="HQ137" s="568"/>
      <c r="HR137" s="568"/>
      <c r="HS137" s="568"/>
      <c r="HT137" s="568"/>
      <c r="HU137" s="568"/>
      <c r="HV137" s="568"/>
      <c r="HW137" s="568"/>
      <c r="HX137" s="568"/>
      <c r="HY137" s="568"/>
      <c r="HZ137" s="568"/>
      <c r="IA137" s="568"/>
      <c r="IB137" s="568"/>
      <c r="IC137" s="568"/>
      <c r="ID137" s="568"/>
      <c r="IE137" s="568"/>
      <c r="IF137" s="568"/>
      <c r="IG137" s="568"/>
      <c r="IH137" s="568"/>
      <c r="II137" s="568"/>
      <c r="IJ137" s="568"/>
      <c r="IK137" s="568"/>
      <c r="IL137" s="568"/>
      <c r="IM137" s="568"/>
      <c r="IN137" s="568"/>
      <c r="IO137" s="568"/>
      <c r="IP137" s="568"/>
      <c r="IQ137" s="568"/>
      <c r="IR137" s="568"/>
      <c r="IS137" s="568"/>
      <c r="IT137" s="568"/>
      <c r="IU137" s="568"/>
    </row>
    <row r="138" spans="1:255" ht="18" customHeight="1">
      <c r="A138" s="566" t="s">
        <v>1186</v>
      </c>
      <c r="B138" s="561"/>
      <c r="C138" s="1142">
        <v>4.4624662599999994</v>
      </c>
      <c r="D138" s="1142">
        <v>0</v>
      </c>
      <c r="E138" s="1142">
        <v>3.7349904</v>
      </c>
      <c r="F138" s="1142">
        <v>0</v>
      </c>
      <c r="G138" s="1142">
        <v>9.828755769999999</v>
      </c>
      <c r="H138" s="1142">
        <v>0</v>
      </c>
      <c r="I138" s="1142">
        <v>11.970427900000001</v>
      </c>
      <c r="J138" s="1143">
        <v>0</v>
      </c>
      <c r="K138" s="1143">
        <v>0</v>
      </c>
      <c r="L138" s="1143">
        <v>0</v>
      </c>
      <c r="M138" s="562">
        <v>0</v>
      </c>
      <c r="N138" s="562">
        <v>0</v>
      </c>
      <c r="O138"/>
      <c r="P138" s="833" t="s">
        <v>1775</v>
      </c>
      <c r="Q138" s="561"/>
      <c r="R138" s="561"/>
      <c r="S138" s="561"/>
      <c r="T138" s="561"/>
      <c r="U138" s="561"/>
      <c r="V138" s="561"/>
      <c r="W138" s="561"/>
      <c r="X138" s="561"/>
      <c r="Y138" s="561"/>
      <c r="Z138" s="561"/>
      <c r="AA138" s="561"/>
      <c r="AB138" s="561"/>
      <c r="AC138" s="561"/>
      <c r="AD138" s="561"/>
      <c r="AE138" s="561"/>
      <c r="AF138" s="561"/>
      <c r="AG138" s="561"/>
      <c r="AH138" s="567"/>
      <c r="AI138" s="567"/>
      <c r="AJ138" s="567"/>
      <c r="AK138" s="567"/>
      <c r="AL138" s="567"/>
      <c r="AM138" s="567"/>
      <c r="AN138" s="567"/>
      <c r="AO138" s="567"/>
      <c r="AP138" s="567"/>
      <c r="AQ138" s="567"/>
      <c r="AR138" s="567"/>
      <c r="AS138" s="567"/>
      <c r="AT138" s="567"/>
      <c r="AU138" s="567"/>
      <c r="AV138" s="567"/>
      <c r="AW138" s="567"/>
      <c r="AX138" s="567"/>
      <c r="AY138" s="567"/>
      <c r="AZ138" s="567"/>
      <c r="BA138" s="567"/>
      <c r="BB138" s="567"/>
      <c r="BC138" s="567"/>
      <c r="BD138" s="568"/>
      <c r="BE138" s="568"/>
      <c r="BF138" s="568"/>
      <c r="BG138" s="568"/>
      <c r="BH138" s="568"/>
      <c r="BI138" s="568"/>
      <c r="BJ138" s="568"/>
      <c r="BK138" s="568"/>
      <c r="BL138" s="568"/>
      <c r="BM138" s="568"/>
      <c r="BN138" s="568"/>
      <c r="BO138" s="568"/>
      <c r="BP138" s="568"/>
      <c r="BQ138" s="568"/>
      <c r="BR138" s="568"/>
      <c r="BS138" s="568"/>
      <c r="BT138" s="568"/>
      <c r="BU138" s="568"/>
      <c r="BV138" s="568"/>
      <c r="BW138" s="568"/>
      <c r="BX138" s="568"/>
      <c r="BY138" s="568"/>
      <c r="BZ138" s="568"/>
      <c r="CA138" s="568"/>
      <c r="CB138" s="568"/>
      <c r="CC138" s="568"/>
      <c r="CD138" s="568"/>
      <c r="CE138" s="568"/>
      <c r="CF138" s="568"/>
      <c r="CG138" s="568"/>
      <c r="CH138" s="568"/>
      <c r="CI138" s="568"/>
      <c r="CJ138" s="568"/>
      <c r="CK138" s="568"/>
      <c r="CL138" s="568"/>
      <c r="CM138" s="568"/>
      <c r="CN138" s="568"/>
      <c r="CO138" s="568"/>
      <c r="CP138" s="568"/>
      <c r="CQ138" s="568"/>
      <c r="CR138" s="568"/>
      <c r="CS138" s="568"/>
      <c r="CT138" s="568"/>
      <c r="CU138" s="568"/>
      <c r="CV138" s="568"/>
      <c r="CW138" s="568"/>
      <c r="CX138" s="568"/>
      <c r="CY138" s="568"/>
      <c r="CZ138" s="568"/>
      <c r="DA138" s="568"/>
      <c r="DB138" s="568"/>
      <c r="DC138" s="568"/>
      <c r="DD138" s="568"/>
      <c r="DE138" s="568"/>
      <c r="DF138" s="568"/>
      <c r="DG138" s="568"/>
      <c r="DH138" s="568"/>
      <c r="DI138" s="568"/>
      <c r="DJ138" s="568"/>
      <c r="DK138" s="568"/>
      <c r="DL138" s="568"/>
      <c r="DM138" s="568"/>
      <c r="DN138" s="568"/>
      <c r="DO138" s="568"/>
      <c r="DP138" s="568"/>
      <c r="DQ138" s="568"/>
      <c r="DR138" s="568"/>
      <c r="DS138" s="568"/>
      <c r="DT138" s="568"/>
      <c r="DU138" s="568"/>
      <c r="DV138" s="568"/>
      <c r="DW138" s="568"/>
      <c r="DX138" s="568"/>
      <c r="DY138" s="568"/>
      <c r="DZ138" s="568"/>
      <c r="EA138" s="568"/>
      <c r="EB138" s="568"/>
      <c r="EC138" s="568"/>
      <c r="ED138" s="568"/>
      <c r="EE138" s="568"/>
      <c r="EF138" s="568"/>
      <c r="EG138" s="568"/>
      <c r="EH138" s="568"/>
      <c r="EI138" s="568"/>
      <c r="EJ138" s="568"/>
      <c r="EK138" s="568"/>
      <c r="EL138" s="568"/>
      <c r="EM138" s="568"/>
      <c r="EN138" s="568"/>
      <c r="EO138" s="568"/>
      <c r="EP138" s="568"/>
      <c r="EQ138" s="568"/>
      <c r="ER138" s="568"/>
      <c r="ES138" s="568"/>
      <c r="ET138" s="568"/>
      <c r="EU138" s="568"/>
      <c r="EV138" s="568"/>
      <c r="EW138" s="568"/>
      <c r="EX138" s="568"/>
      <c r="EY138" s="568"/>
      <c r="EZ138" s="568"/>
      <c r="FA138" s="568"/>
      <c r="FB138" s="568"/>
      <c r="FC138" s="568"/>
      <c r="FD138" s="568"/>
      <c r="FE138" s="568"/>
      <c r="FF138" s="568"/>
      <c r="FG138" s="568"/>
      <c r="FH138" s="568"/>
      <c r="FI138" s="568"/>
      <c r="FJ138" s="568"/>
      <c r="FK138" s="568"/>
      <c r="FL138" s="568"/>
      <c r="FM138" s="568"/>
      <c r="FN138" s="568"/>
      <c r="FO138" s="568"/>
      <c r="FP138" s="568"/>
      <c r="FQ138" s="568"/>
      <c r="FR138" s="568"/>
      <c r="FS138" s="568"/>
      <c r="FT138" s="568"/>
      <c r="FU138" s="568"/>
      <c r="FV138" s="568"/>
      <c r="FW138" s="568"/>
      <c r="FX138" s="568"/>
      <c r="FY138" s="568"/>
      <c r="FZ138" s="568"/>
      <c r="GA138" s="568"/>
      <c r="GB138" s="568"/>
      <c r="GC138" s="568"/>
      <c r="GD138" s="568"/>
      <c r="GE138" s="568"/>
      <c r="GF138" s="568"/>
      <c r="GG138" s="568"/>
      <c r="GH138" s="568"/>
      <c r="GI138" s="568"/>
      <c r="GJ138" s="568"/>
      <c r="GK138" s="568"/>
      <c r="GL138" s="568"/>
      <c r="GM138" s="568"/>
      <c r="GN138" s="568"/>
      <c r="GO138" s="568"/>
      <c r="GP138" s="568"/>
      <c r="GQ138" s="568"/>
      <c r="GR138" s="568"/>
      <c r="GS138" s="568"/>
      <c r="GT138" s="568"/>
      <c r="GU138" s="568"/>
      <c r="GV138" s="568"/>
      <c r="GW138" s="568"/>
      <c r="GX138" s="568"/>
      <c r="GY138" s="568"/>
      <c r="GZ138" s="568"/>
      <c r="HA138" s="568"/>
      <c r="HB138" s="568"/>
      <c r="HC138" s="568"/>
      <c r="HD138" s="568"/>
      <c r="HE138" s="568"/>
      <c r="HF138" s="568"/>
      <c r="HG138" s="568"/>
      <c r="HH138" s="568"/>
      <c r="HI138" s="568"/>
      <c r="HJ138" s="568"/>
      <c r="HK138" s="568"/>
      <c r="HL138" s="568"/>
      <c r="HM138" s="568"/>
      <c r="HN138" s="568"/>
      <c r="HO138" s="568"/>
      <c r="HP138" s="568"/>
      <c r="HQ138" s="568"/>
      <c r="HR138" s="568"/>
      <c r="HS138" s="568"/>
      <c r="HT138" s="568"/>
      <c r="HU138" s="568"/>
      <c r="HV138" s="568"/>
      <c r="HW138" s="568"/>
      <c r="HX138" s="568"/>
      <c r="HY138" s="568"/>
      <c r="HZ138" s="568"/>
      <c r="IA138" s="568"/>
      <c r="IB138" s="568"/>
      <c r="IC138" s="568"/>
      <c r="ID138" s="568"/>
      <c r="IE138" s="568"/>
      <c r="IF138" s="568"/>
      <c r="IG138" s="568"/>
      <c r="IH138" s="568"/>
      <c r="II138" s="568"/>
      <c r="IJ138" s="568"/>
      <c r="IK138" s="568"/>
      <c r="IL138" s="568"/>
      <c r="IM138" s="568"/>
      <c r="IN138" s="568"/>
      <c r="IO138" s="568"/>
      <c r="IP138" s="568"/>
      <c r="IQ138" s="568"/>
      <c r="IR138" s="568"/>
      <c r="IS138" s="568"/>
      <c r="IT138" s="568"/>
      <c r="IU138" s="568"/>
    </row>
    <row r="139" spans="1:255" ht="18" customHeight="1">
      <c r="A139" s="566" t="s">
        <v>1187</v>
      </c>
      <c r="B139" s="561"/>
      <c r="C139" s="1142">
        <v>2.27377713</v>
      </c>
      <c r="D139" s="1142">
        <v>0</v>
      </c>
      <c r="E139" s="1142">
        <v>1.4408308600000002</v>
      </c>
      <c r="F139" s="1142">
        <v>0</v>
      </c>
      <c r="G139" s="1142">
        <v>1.5319223700000002</v>
      </c>
      <c r="H139" s="1142">
        <v>0</v>
      </c>
      <c r="I139" s="1142">
        <v>0.5609246</v>
      </c>
      <c r="J139" s="1142">
        <v>0</v>
      </c>
      <c r="K139" s="1142">
        <v>0</v>
      </c>
      <c r="L139" s="1142">
        <v>0</v>
      </c>
      <c r="M139" s="561">
        <v>0</v>
      </c>
      <c r="N139" s="561">
        <v>0</v>
      </c>
      <c r="O139"/>
      <c r="P139" s="833" t="s">
        <v>1776</v>
      </c>
      <c r="Q139" s="561"/>
      <c r="R139" s="561"/>
      <c r="S139" s="561"/>
      <c r="T139" s="561"/>
      <c r="U139" s="561"/>
      <c r="V139" s="561"/>
      <c r="W139" s="561"/>
      <c r="X139" s="561"/>
      <c r="Y139" s="561"/>
      <c r="Z139" s="561"/>
      <c r="AA139" s="561"/>
      <c r="AB139" s="561"/>
      <c r="AC139" s="561"/>
      <c r="AD139" s="561"/>
      <c r="AE139" s="561"/>
      <c r="AF139" s="561"/>
      <c r="AG139" s="561"/>
      <c r="AH139" s="567"/>
      <c r="AI139" s="567"/>
      <c r="AJ139" s="567"/>
      <c r="AK139" s="567"/>
      <c r="AL139" s="567"/>
      <c r="AM139" s="567"/>
      <c r="AN139" s="567"/>
      <c r="AO139" s="567"/>
      <c r="AP139" s="567"/>
      <c r="AQ139" s="567"/>
      <c r="AR139" s="567"/>
      <c r="AS139" s="567"/>
      <c r="AT139" s="567"/>
      <c r="AU139" s="567"/>
      <c r="AV139" s="567"/>
      <c r="AW139" s="567"/>
      <c r="AX139" s="567"/>
      <c r="AY139" s="567"/>
      <c r="AZ139" s="567"/>
      <c r="BA139" s="567"/>
      <c r="BB139" s="567"/>
      <c r="BC139" s="567"/>
      <c r="BD139" s="568"/>
      <c r="BE139" s="568"/>
      <c r="BF139" s="568"/>
      <c r="BG139" s="568"/>
      <c r="BH139" s="568"/>
      <c r="BI139" s="568"/>
      <c r="BJ139" s="568"/>
      <c r="BK139" s="568"/>
      <c r="BL139" s="568"/>
      <c r="BM139" s="568"/>
      <c r="BN139" s="568"/>
      <c r="BO139" s="568"/>
      <c r="BP139" s="568"/>
      <c r="BQ139" s="568"/>
      <c r="BR139" s="568"/>
      <c r="BS139" s="568"/>
      <c r="BT139" s="568"/>
      <c r="BU139" s="568"/>
      <c r="BV139" s="568"/>
      <c r="BW139" s="568"/>
      <c r="BX139" s="568"/>
      <c r="BY139" s="568"/>
      <c r="BZ139" s="568"/>
      <c r="CA139" s="568"/>
      <c r="CB139" s="568"/>
      <c r="CC139" s="568"/>
      <c r="CD139" s="568"/>
      <c r="CE139" s="568"/>
      <c r="CF139" s="568"/>
      <c r="CG139" s="568"/>
      <c r="CH139" s="568"/>
      <c r="CI139" s="568"/>
      <c r="CJ139" s="568"/>
      <c r="CK139" s="568"/>
      <c r="CL139" s="568"/>
      <c r="CM139" s="568"/>
      <c r="CN139" s="568"/>
      <c r="CO139" s="568"/>
      <c r="CP139" s="568"/>
      <c r="CQ139" s="568"/>
      <c r="CR139" s="568"/>
      <c r="CS139" s="568"/>
      <c r="CT139" s="568"/>
      <c r="CU139" s="568"/>
      <c r="CV139" s="568"/>
      <c r="CW139" s="568"/>
      <c r="CX139" s="568"/>
      <c r="CY139" s="568"/>
      <c r="CZ139" s="568"/>
      <c r="DA139" s="568"/>
      <c r="DB139" s="568"/>
      <c r="DC139" s="568"/>
      <c r="DD139" s="568"/>
      <c r="DE139" s="568"/>
      <c r="DF139" s="568"/>
      <c r="DG139" s="568"/>
      <c r="DH139" s="568"/>
      <c r="DI139" s="568"/>
      <c r="DJ139" s="568"/>
      <c r="DK139" s="568"/>
      <c r="DL139" s="568"/>
      <c r="DM139" s="568"/>
      <c r="DN139" s="568"/>
      <c r="DO139" s="568"/>
      <c r="DP139" s="568"/>
      <c r="DQ139" s="568"/>
      <c r="DR139" s="568"/>
      <c r="DS139" s="568"/>
      <c r="DT139" s="568"/>
      <c r="DU139" s="568"/>
      <c r="DV139" s="568"/>
      <c r="DW139" s="568"/>
      <c r="DX139" s="568"/>
      <c r="DY139" s="568"/>
      <c r="DZ139" s="568"/>
      <c r="EA139" s="568"/>
      <c r="EB139" s="568"/>
      <c r="EC139" s="568"/>
      <c r="ED139" s="568"/>
      <c r="EE139" s="568"/>
      <c r="EF139" s="568"/>
      <c r="EG139" s="568"/>
      <c r="EH139" s="568"/>
      <c r="EI139" s="568"/>
      <c r="EJ139" s="568"/>
      <c r="EK139" s="568"/>
      <c r="EL139" s="568"/>
      <c r="EM139" s="568"/>
      <c r="EN139" s="568"/>
      <c r="EO139" s="568"/>
      <c r="EP139" s="568"/>
      <c r="EQ139" s="568"/>
      <c r="ER139" s="568"/>
      <c r="ES139" s="568"/>
      <c r="ET139" s="568"/>
      <c r="EU139" s="568"/>
      <c r="EV139" s="568"/>
      <c r="EW139" s="568"/>
      <c r="EX139" s="568"/>
      <c r="EY139" s="568"/>
      <c r="EZ139" s="568"/>
      <c r="FA139" s="568"/>
      <c r="FB139" s="568"/>
      <c r="FC139" s="568"/>
      <c r="FD139" s="568"/>
      <c r="FE139" s="568"/>
      <c r="FF139" s="568"/>
      <c r="FG139" s="568"/>
      <c r="FH139" s="568"/>
      <c r="FI139" s="568"/>
      <c r="FJ139" s="568"/>
      <c r="FK139" s="568"/>
      <c r="FL139" s="568"/>
      <c r="FM139" s="568"/>
      <c r="FN139" s="568"/>
      <c r="FO139" s="568"/>
      <c r="FP139" s="568"/>
      <c r="FQ139" s="568"/>
      <c r="FR139" s="568"/>
      <c r="FS139" s="568"/>
      <c r="FT139" s="568"/>
      <c r="FU139" s="568"/>
      <c r="FV139" s="568"/>
      <c r="FW139" s="568"/>
      <c r="FX139" s="568"/>
      <c r="FY139" s="568"/>
      <c r="FZ139" s="568"/>
      <c r="GA139" s="568"/>
      <c r="GB139" s="568"/>
      <c r="GC139" s="568"/>
      <c r="GD139" s="568"/>
      <c r="GE139" s="568"/>
      <c r="GF139" s="568"/>
      <c r="GG139" s="568"/>
      <c r="GH139" s="568"/>
      <c r="GI139" s="568"/>
      <c r="GJ139" s="568"/>
      <c r="GK139" s="568"/>
      <c r="GL139" s="568"/>
      <c r="GM139" s="568"/>
      <c r="GN139" s="568"/>
      <c r="GO139" s="568"/>
      <c r="GP139" s="568"/>
      <c r="GQ139" s="568"/>
      <c r="GR139" s="568"/>
      <c r="GS139" s="568"/>
      <c r="GT139" s="568"/>
      <c r="GU139" s="568"/>
      <c r="GV139" s="568"/>
      <c r="GW139" s="568"/>
      <c r="GX139" s="568"/>
      <c r="GY139" s="568"/>
      <c r="GZ139" s="568"/>
      <c r="HA139" s="568"/>
      <c r="HB139" s="568"/>
      <c r="HC139" s="568"/>
      <c r="HD139" s="568"/>
      <c r="HE139" s="568"/>
      <c r="HF139" s="568"/>
      <c r="HG139" s="568"/>
      <c r="HH139" s="568"/>
      <c r="HI139" s="568"/>
      <c r="HJ139" s="568"/>
      <c r="HK139" s="568"/>
      <c r="HL139" s="568"/>
      <c r="HM139" s="568"/>
      <c r="HN139" s="568"/>
      <c r="HO139" s="568"/>
      <c r="HP139" s="568"/>
      <c r="HQ139" s="568"/>
      <c r="HR139" s="568"/>
      <c r="HS139" s="568"/>
      <c r="HT139" s="568"/>
      <c r="HU139" s="568"/>
      <c r="HV139" s="568"/>
      <c r="HW139" s="568"/>
      <c r="HX139" s="568"/>
      <c r="HY139" s="568"/>
      <c r="HZ139" s="568"/>
      <c r="IA139" s="568"/>
      <c r="IB139" s="568"/>
      <c r="IC139" s="568"/>
      <c r="ID139" s="568"/>
      <c r="IE139" s="568"/>
      <c r="IF139" s="568"/>
      <c r="IG139" s="568"/>
      <c r="IH139" s="568"/>
      <c r="II139" s="568"/>
      <c r="IJ139" s="568"/>
      <c r="IK139" s="568"/>
      <c r="IL139" s="568"/>
      <c r="IM139" s="568"/>
      <c r="IN139" s="568"/>
      <c r="IO139" s="568"/>
      <c r="IP139" s="568"/>
      <c r="IQ139" s="568"/>
      <c r="IR139" s="568"/>
      <c r="IS139" s="568"/>
      <c r="IT139" s="568"/>
      <c r="IU139" s="568"/>
    </row>
    <row r="140" spans="1:255" ht="18" customHeight="1">
      <c r="A140" s="566"/>
      <c r="B140" s="561"/>
      <c r="C140" s="1142"/>
      <c r="D140" s="1142"/>
      <c r="E140" s="1142"/>
      <c r="F140" s="1142"/>
      <c r="G140" s="1142"/>
      <c r="H140" s="1142"/>
      <c r="I140" s="1142"/>
      <c r="J140" s="1143"/>
      <c r="K140" s="1143"/>
      <c r="L140" s="1143"/>
      <c r="M140" s="562"/>
      <c r="N140" s="562"/>
      <c r="O140" s="562"/>
      <c r="P140" s="562"/>
      <c r="Q140" s="561"/>
      <c r="R140" s="561"/>
      <c r="S140" s="561"/>
      <c r="T140" s="561"/>
      <c r="U140" s="561"/>
      <c r="V140" s="561"/>
      <c r="W140" s="561"/>
      <c r="X140" s="561"/>
      <c r="Y140" s="561"/>
      <c r="Z140" s="561"/>
      <c r="AA140" s="561"/>
      <c r="AB140" s="561"/>
      <c r="AC140" s="561"/>
      <c r="AD140" s="561"/>
      <c r="AE140" s="561"/>
      <c r="AF140" s="561"/>
      <c r="AG140" s="561"/>
      <c r="AH140" s="567"/>
      <c r="AI140" s="567"/>
      <c r="AJ140" s="567"/>
      <c r="AK140" s="567"/>
      <c r="AL140" s="567"/>
      <c r="AM140" s="567"/>
      <c r="AN140" s="567"/>
      <c r="AO140" s="567"/>
      <c r="AP140" s="567"/>
      <c r="AQ140" s="567"/>
      <c r="AR140" s="567"/>
      <c r="AS140" s="567"/>
      <c r="AT140" s="567"/>
      <c r="AU140" s="567"/>
      <c r="AV140" s="567"/>
      <c r="AW140" s="567"/>
      <c r="AX140" s="567"/>
      <c r="AY140" s="567"/>
      <c r="AZ140" s="567"/>
      <c r="BA140" s="567"/>
      <c r="BB140" s="567"/>
      <c r="BC140" s="567"/>
      <c r="BD140" s="568"/>
      <c r="BE140" s="568"/>
      <c r="BF140" s="568"/>
      <c r="BG140" s="568"/>
      <c r="BH140" s="568"/>
      <c r="BI140" s="568"/>
      <c r="BJ140" s="568"/>
      <c r="BK140" s="568"/>
      <c r="BL140" s="568"/>
      <c r="BM140" s="568"/>
      <c r="BN140" s="568"/>
      <c r="BO140" s="568"/>
      <c r="BP140" s="568"/>
      <c r="BQ140" s="568"/>
      <c r="BR140" s="568"/>
      <c r="BS140" s="568"/>
      <c r="BT140" s="568"/>
      <c r="BU140" s="568"/>
      <c r="BV140" s="568"/>
      <c r="BW140" s="568"/>
      <c r="BX140" s="568"/>
      <c r="BY140" s="568"/>
      <c r="BZ140" s="568"/>
      <c r="CA140" s="568"/>
      <c r="CB140" s="568"/>
      <c r="CC140" s="568"/>
      <c r="CD140" s="568"/>
      <c r="CE140" s="568"/>
      <c r="CF140" s="568"/>
      <c r="CG140" s="568"/>
      <c r="CH140" s="568"/>
      <c r="CI140" s="568"/>
      <c r="CJ140" s="568"/>
      <c r="CK140" s="568"/>
      <c r="CL140" s="568"/>
      <c r="CM140" s="568"/>
      <c r="CN140" s="568"/>
      <c r="CO140" s="568"/>
      <c r="CP140" s="568"/>
      <c r="CQ140" s="568"/>
      <c r="CR140" s="568"/>
      <c r="CS140" s="568"/>
      <c r="CT140" s="568"/>
      <c r="CU140" s="568"/>
      <c r="CV140" s="568"/>
      <c r="CW140" s="568"/>
      <c r="CX140" s="568"/>
      <c r="CY140" s="568"/>
      <c r="CZ140" s="568"/>
      <c r="DA140" s="568"/>
      <c r="DB140" s="568"/>
      <c r="DC140" s="568"/>
      <c r="DD140" s="568"/>
      <c r="DE140" s="568"/>
      <c r="DF140" s="568"/>
      <c r="DG140" s="568"/>
      <c r="DH140" s="568"/>
      <c r="DI140" s="568"/>
      <c r="DJ140" s="568"/>
      <c r="DK140" s="568"/>
      <c r="DL140" s="568"/>
      <c r="DM140" s="568"/>
      <c r="DN140" s="568"/>
      <c r="DO140" s="568"/>
      <c r="DP140" s="568"/>
      <c r="DQ140" s="568"/>
      <c r="DR140" s="568"/>
      <c r="DS140" s="568"/>
      <c r="DT140" s="568"/>
      <c r="DU140" s="568"/>
      <c r="DV140" s="568"/>
      <c r="DW140" s="568"/>
      <c r="DX140" s="568"/>
      <c r="DY140" s="568"/>
      <c r="DZ140" s="568"/>
      <c r="EA140" s="568"/>
      <c r="EB140" s="568"/>
      <c r="EC140" s="568"/>
      <c r="ED140" s="568"/>
      <c r="EE140" s="568"/>
      <c r="EF140" s="568"/>
      <c r="EG140" s="568"/>
      <c r="EH140" s="568"/>
      <c r="EI140" s="568"/>
      <c r="EJ140" s="568"/>
      <c r="EK140" s="568"/>
      <c r="EL140" s="568"/>
      <c r="EM140" s="568"/>
      <c r="EN140" s="568"/>
      <c r="EO140" s="568"/>
      <c r="EP140" s="568"/>
      <c r="EQ140" s="568"/>
      <c r="ER140" s="568"/>
      <c r="ES140" s="568"/>
      <c r="ET140" s="568"/>
      <c r="EU140" s="568"/>
      <c r="EV140" s="568"/>
      <c r="EW140" s="568"/>
      <c r="EX140" s="568"/>
      <c r="EY140" s="568"/>
      <c r="EZ140" s="568"/>
      <c r="FA140" s="568"/>
      <c r="FB140" s="568"/>
      <c r="FC140" s="568"/>
      <c r="FD140" s="568"/>
      <c r="FE140" s="568"/>
      <c r="FF140" s="568"/>
      <c r="FG140" s="568"/>
      <c r="FH140" s="568"/>
      <c r="FI140" s="568"/>
      <c r="FJ140" s="568"/>
      <c r="FK140" s="568"/>
      <c r="FL140" s="568"/>
      <c r="FM140" s="568"/>
      <c r="FN140" s="568"/>
      <c r="FO140" s="568"/>
      <c r="FP140" s="568"/>
      <c r="FQ140" s="568"/>
      <c r="FR140" s="568"/>
      <c r="FS140" s="568"/>
      <c r="FT140" s="568"/>
      <c r="FU140" s="568"/>
      <c r="FV140" s="568"/>
      <c r="FW140" s="568"/>
      <c r="FX140" s="568"/>
      <c r="FY140" s="568"/>
      <c r="FZ140" s="568"/>
      <c r="GA140" s="568"/>
      <c r="GB140" s="568"/>
      <c r="GC140" s="568"/>
      <c r="GD140" s="568"/>
      <c r="GE140" s="568"/>
      <c r="GF140" s="568"/>
      <c r="GG140" s="568"/>
      <c r="GH140" s="568"/>
      <c r="GI140" s="568"/>
      <c r="GJ140" s="568"/>
      <c r="GK140" s="568"/>
      <c r="GL140" s="568"/>
      <c r="GM140" s="568"/>
      <c r="GN140" s="568"/>
      <c r="GO140" s="568"/>
      <c r="GP140" s="568"/>
      <c r="GQ140" s="568"/>
      <c r="GR140" s="568"/>
      <c r="GS140" s="568"/>
      <c r="GT140" s="568"/>
      <c r="GU140" s="568"/>
      <c r="GV140" s="568"/>
      <c r="GW140" s="568"/>
      <c r="GX140" s="568"/>
      <c r="GY140" s="568"/>
      <c r="GZ140" s="568"/>
      <c r="HA140" s="568"/>
      <c r="HB140" s="568"/>
      <c r="HC140" s="568"/>
      <c r="HD140" s="568"/>
      <c r="HE140" s="568"/>
      <c r="HF140" s="568"/>
      <c r="HG140" s="568"/>
      <c r="HH140" s="568"/>
      <c r="HI140" s="568"/>
      <c r="HJ140" s="568"/>
      <c r="HK140" s="568"/>
      <c r="HL140" s="568"/>
      <c r="HM140" s="568"/>
      <c r="HN140" s="568"/>
      <c r="HO140" s="568"/>
      <c r="HP140" s="568"/>
      <c r="HQ140" s="568"/>
      <c r="HR140" s="568"/>
      <c r="HS140" s="568"/>
      <c r="HT140" s="568"/>
      <c r="HU140" s="568"/>
      <c r="HV140" s="568"/>
      <c r="HW140" s="568"/>
      <c r="HX140" s="568"/>
      <c r="HY140" s="568"/>
      <c r="HZ140" s="568"/>
      <c r="IA140" s="568"/>
      <c r="IB140" s="568"/>
      <c r="IC140" s="568"/>
      <c r="ID140" s="568"/>
      <c r="IE140" s="568"/>
      <c r="IF140" s="568"/>
      <c r="IG140" s="568"/>
      <c r="IH140" s="568"/>
      <c r="II140" s="568"/>
      <c r="IJ140" s="568"/>
      <c r="IK140" s="568"/>
      <c r="IL140" s="568"/>
      <c r="IM140" s="568"/>
      <c r="IN140" s="568"/>
      <c r="IO140" s="568"/>
      <c r="IP140" s="568"/>
      <c r="IQ140" s="568"/>
      <c r="IR140" s="568"/>
      <c r="IS140" s="568"/>
      <c r="IT140" s="568"/>
      <c r="IU140" s="568"/>
    </row>
    <row r="141" spans="1:255" ht="18" customHeight="1">
      <c r="A141" s="566"/>
      <c r="B141" s="578"/>
      <c r="C141" s="1149"/>
      <c r="D141" s="1149"/>
      <c r="E141" s="1149"/>
      <c r="F141" s="1149"/>
      <c r="G141" s="1149"/>
      <c r="H141" s="1149"/>
      <c r="I141" s="1149"/>
      <c r="J141" s="1149"/>
      <c r="K141" s="1149"/>
      <c r="L141" s="1149"/>
      <c r="M141" s="578"/>
      <c r="N141" s="578"/>
      <c r="O141" s="578"/>
      <c r="P141" s="578"/>
      <c r="Q141" s="561"/>
      <c r="R141" s="561"/>
      <c r="S141" s="561"/>
      <c r="T141" s="561"/>
      <c r="U141" s="561"/>
      <c r="V141" s="561"/>
      <c r="W141" s="561"/>
      <c r="X141" s="561"/>
      <c r="Y141" s="561"/>
      <c r="Z141" s="561"/>
      <c r="AA141" s="561"/>
      <c r="AB141" s="561"/>
      <c r="AC141" s="561"/>
      <c r="AD141" s="561"/>
      <c r="AE141" s="561"/>
      <c r="AF141" s="561"/>
      <c r="AG141" s="561"/>
      <c r="AH141" s="567"/>
      <c r="AI141" s="567"/>
      <c r="AJ141" s="567"/>
      <c r="AK141" s="567"/>
      <c r="AL141" s="567"/>
      <c r="AM141" s="567"/>
      <c r="AN141" s="567"/>
      <c r="AO141" s="567"/>
      <c r="AP141" s="567"/>
      <c r="AQ141" s="567"/>
      <c r="AR141" s="567"/>
      <c r="AS141" s="567"/>
      <c r="AT141" s="567"/>
      <c r="AU141" s="567"/>
      <c r="AV141" s="567"/>
      <c r="AW141" s="567"/>
      <c r="AX141" s="567"/>
      <c r="AY141" s="567"/>
      <c r="AZ141" s="567"/>
      <c r="BA141" s="567"/>
      <c r="BB141" s="567"/>
      <c r="BC141" s="567"/>
      <c r="BD141" s="568"/>
      <c r="BE141" s="568"/>
      <c r="BF141" s="568"/>
      <c r="BG141" s="568"/>
      <c r="BH141" s="568"/>
      <c r="BI141" s="568"/>
      <c r="BJ141" s="568"/>
      <c r="BK141" s="568"/>
      <c r="BL141" s="568"/>
      <c r="BM141" s="568"/>
      <c r="BN141" s="568"/>
      <c r="BO141" s="568"/>
      <c r="BP141" s="568"/>
      <c r="BQ141" s="568"/>
      <c r="BR141" s="568"/>
      <c r="BS141" s="568"/>
      <c r="BT141" s="568"/>
      <c r="BU141" s="568"/>
      <c r="BV141" s="568"/>
      <c r="BW141" s="568"/>
      <c r="BX141" s="568"/>
      <c r="BY141" s="568"/>
      <c r="BZ141" s="568"/>
      <c r="CA141" s="568"/>
      <c r="CB141" s="568"/>
      <c r="CC141" s="568"/>
      <c r="CD141" s="568"/>
      <c r="CE141" s="568"/>
      <c r="CF141" s="568"/>
      <c r="CG141" s="568"/>
      <c r="CH141" s="568"/>
      <c r="CI141" s="568"/>
      <c r="CJ141" s="568"/>
      <c r="CK141" s="568"/>
      <c r="CL141" s="568"/>
      <c r="CM141" s="568"/>
      <c r="CN141" s="568"/>
      <c r="CO141" s="568"/>
      <c r="CP141" s="568"/>
      <c r="CQ141" s="568"/>
      <c r="CR141" s="568"/>
      <c r="CS141" s="568"/>
      <c r="CT141" s="568"/>
      <c r="CU141" s="568"/>
      <c r="CV141" s="568"/>
      <c r="CW141" s="568"/>
      <c r="CX141" s="568"/>
      <c r="CY141" s="568"/>
      <c r="CZ141" s="568"/>
      <c r="DA141" s="568"/>
      <c r="DB141" s="568"/>
      <c r="DC141" s="568"/>
      <c r="DD141" s="568"/>
      <c r="DE141" s="568"/>
      <c r="DF141" s="568"/>
      <c r="DG141" s="568"/>
      <c r="DH141" s="568"/>
      <c r="DI141" s="568"/>
      <c r="DJ141" s="568"/>
      <c r="DK141" s="568"/>
      <c r="DL141" s="568"/>
      <c r="DM141" s="568"/>
      <c r="DN141" s="568"/>
      <c r="DO141" s="568"/>
      <c r="DP141" s="568"/>
      <c r="DQ141" s="568"/>
      <c r="DR141" s="568"/>
      <c r="DS141" s="568"/>
      <c r="DT141" s="568"/>
      <c r="DU141" s="568"/>
      <c r="DV141" s="568"/>
      <c r="DW141" s="568"/>
      <c r="DX141" s="568"/>
      <c r="DY141" s="568"/>
      <c r="DZ141" s="568"/>
      <c r="EA141" s="568"/>
      <c r="EB141" s="568"/>
      <c r="EC141" s="568"/>
      <c r="ED141" s="568"/>
      <c r="EE141" s="568"/>
      <c r="EF141" s="568"/>
      <c r="EG141" s="568"/>
      <c r="EH141" s="568"/>
      <c r="EI141" s="568"/>
      <c r="EJ141" s="568"/>
      <c r="EK141" s="568"/>
      <c r="EL141" s="568"/>
      <c r="EM141" s="568"/>
      <c r="EN141" s="568"/>
      <c r="EO141" s="568"/>
      <c r="EP141" s="568"/>
      <c r="EQ141" s="568"/>
      <c r="ER141" s="568"/>
      <c r="ES141" s="568"/>
      <c r="ET141" s="568"/>
      <c r="EU141" s="568"/>
      <c r="EV141" s="568"/>
      <c r="EW141" s="568"/>
      <c r="EX141" s="568"/>
      <c r="EY141" s="568"/>
      <c r="EZ141" s="568"/>
      <c r="FA141" s="568"/>
      <c r="FB141" s="568"/>
      <c r="FC141" s="568"/>
      <c r="FD141" s="568"/>
      <c r="FE141" s="568"/>
      <c r="FF141" s="568"/>
      <c r="FG141" s="568"/>
      <c r="FH141" s="568"/>
      <c r="FI141" s="568"/>
      <c r="FJ141" s="568"/>
      <c r="FK141" s="568"/>
      <c r="FL141" s="568"/>
      <c r="FM141" s="568"/>
      <c r="FN141" s="568"/>
      <c r="FO141" s="568"/>
      <c r="FP141" s="568"/>
      <c r="FQ141" s="568"/>
      <c r="FR141" s="568"/>
      <c r="FS141" s="568"/>
      <c r="FT141" s="568"/>
      <c r="FU141" s="568"/>
      <c r="FV141" s="568"/>
      <c r="FW141" s="568"/>
      <c r="FX141" s="568"/>
      <c r="FY141" s="568"/>
      <c r="FZ141" s="568"/>
      <c r="GA141" s="568"/>
      <c r="GB141" s="568"/>
      <c r="GC141" s="568"/>
      <c r="GD141" s="568"/>
      <c r="GE141" s="568"/>
      <c r="GF141" s="568"/>
      <c r="GG141" s="568"/>
      <c r="GH141" s="568"/>
      <c r="GI141" s="568"/>
      <c r="GJ141" s="568"/>
      <c r="GK141" s="568"/>
      <c r="GL141" s="568"/>
      <c r="GM141" s="568"/>
      <c r="GN141" s="568"/>
      <c r="GO141" s="568"/>
      <c r="GP141" s="568"/>
      <c r="GQ141" s="568"/>
      <c r="GR141" s="568"/>
      <c r="GS141" s="568"/>
      <c r="GT141" s="568"/>
      <c r="GU141" s="568"/>
      <c r="GV141" s="568"/>
      <c r="GW141" s="568"/>
      <c r="GX141" s="568"/>
      <c r="GY141" s="568"/>
      <c r="GZ141" s="568"/>
      <c r="HA141" s="568"/>
      <c r="HB141" s="568"/>
      <c r="HC141" s="568"/>
      <c r="HD141" s="568"/>
      <c r="HE141" s="568"/>
      <c r="HF141" s="568"/>
      <c r="HG141" s="568"/>
      <c r="HH141" s="568"/>
      <c r="HI141" s="568"/>
      <c r="HJ141" s="568"/>
      <c r="HK141" s="568"/>
      <c r="HL141" s="568"/>
      <c r="HM141" s="568"/>
      <c r="HN141" s="568"/>
      <c r="HO141" s="568"/>
      <c r="HP141" s="568"/>
      <c r="HQ141" s="568"/>
      <c r="HR141" s="568"/>
      <c r="HS141" s="568"/>
      <c r="HT141" s="568"/>
      <c r="HU141" s="568"/>
      <c r="HV141" s="568"/>
      <c r="HW141" s="568"/>
      <c r="HX141" s="568"/>
      <c r="HY141" s="568"/>
      <c r="HZ141" s="568"/>
      <c r="IA141" s="568"/>
      <c r="IB141" s="568"/>
      <c r="IC141" s="568"/>
      <c r="ID141" s="568"/>
      <c r="IE141" s="568"/>
      <c r="IF141" s="568"/>
      <c r="IG141" s="568"/>
      <c r="IH141" s="568"/>
      <c r="II141" s="568"/>
      <c r="IJ141" s="568"/>
      <c r="IK141" s="568"/>
      <c r="IL141" s="568"/>
      <c r="IM141" s="568"/>
      <c r="IN141" s="568"/>
      <c r="IO141" s="568"/>
      <c r="IP141" s="568"/>
      <c r="IQ141" s="568"/>
      <c r="IR141" s="568"/>
      <c r="IS141" s="568"/>
      <c r="IT141" s="568"/>
      <c r="IU141" s="568"/>
    </row>
    <row r="142" spans="1:255" s="568" customFormat="1" ht="18" customHeight="1">
      <c r="A142" s="566"/>
      <c r="B142" s="562"/>
      <c r="C142" s="1142"/>
      <c r="D142" s="1142"/>
      <c r="E142" s="1142"/>
      <c r="F142" s="1142"/>
      <c r="G142" s="1150"/>
      <c r="H142" s="1150"/>
      <c r="I142" s="1142"/>
      <c r="J142" s="1143"/>
      <c r="K142" s="1143"/>
      <c r="L142" s="1143"/>
      <c r="M142" s="562"/>
      <c r="N142" s="562"/>
      <c r="O142" s="562"/>
      <c r="P142" s="562"/>
      <c r="Q142" s="561"/>
      <c r="R142" s="561"/>
      <c r="S142" s="561"/>
      <c r="T142" s="561"/>
      <c r="U142" s="561"/>
      <c r="V142" s="561"/>
      <c r="W142" s="561"/>
      <c r="X142" s="561"/>
      <c r="Y142" s="561"/>
      <c r="Z142" s="561"/>
      <c r="AA142" s="561"/>
      <c r="AB142" s="561"/>
      <c r="AC142" s="561"/>
      <c r="AD142" s="561"/>
      <c r="AE142" s="561"/>
      <c r="AF142" s="561"/>
      <c r="AG142" s="561"/>
      <c r="AH142" s="567"/>
      <c r="AI142" s="567"/>
      <c r="AJ142" s="567"/>
      <c r="AK142" s="567"/>
      <c r="AL142" s="567"/>
      <c r="AM142" s="567"/>
      <c r="AN142" s="567"/>
      <c r="AO142" s="567"/>
      <c r="AP142" s="567"/>
      <c r="AQ142" s="567"/>
      <c r="AR142" s="567"/>
      <c r="AS142" s="567"/>
      <c r="AT142" s="567"/>
      <c r="AU142" s="567"/>
      <c r="AV142" s="567"/>
      <c r="AW142" s="567"/>
      <c r="AX142" s="567"/>
      <c r="AY142" s="567"/>
      <c r="AZ142" s="567"/>
      <c r="BA142" s="567"/>
      <c r="BB142" s="567"/>
      <c r="BC142" s="567"/>
    </row>
    <row r="143" spans="1:255" ht="18" customHeight="1">
      <c r="A143" s="566"/>
      <c r="B143" s="561"/>
      <c r="C143" s="1142"/>
      <c r="D143" s="1142"/>
      <c r="E143" s="1142"/>
      <c r="F143" s="1142"/>
      <c r="G143" s="1142"/>
      <c r="H143" s="1142"/>
      <c r="I143" s="1142"/>
      <c r="J143" s="1142"/>
      <c r="K143" s="1142"/>
      <c r="L143" s="1142"/>
      <c r="M143" s="561"/>
      <c r="N143" s="561"/>
      <c r="O143" s="561"/>
      <c r="P143" s="561"/>
      <c r="Q143" s="561"/>
      <c r="R143" s="561"/>
      <c r="S143" s="561"/>
      <c r="T143" s="561"/>
      <c r="U143" s="561"/>
      <c r="V143" s="561"/>
      <c r="W143" s="561"/>
      <c r="X143" s="561"/>
      <c r="Y143" s="561"/>
      <c r="Z143" s="561"/>
      <c r="AA143" s="561"/>
      <c r="AB143" s="561"/>
      <c r="AC143" s="561"/>
      <c r="AD143" s="561"/>
      <c r="AE143" s="561"/>
      <c r="AF143" s="561"/>
      <c r="AG143" s="561"/>
      <c r="AH143" s="567"/>
      <c r="AI143" s="567"/>
      <c r="AJ143" s="567"/>
      <c r="AK143" s="567"/>
      <c r="AL143" s="567"/>
      <c r="AM143" s="567"/>
      <c r="AN143" s="567"/>
      <c r="AO143" s="567"/>
      <c r="AP143" s="567"/>
      <c r="AQ143" s="567"/>
      <c r="AR143" s="567"/>
      <c r="AS143" s="567"/>
      <c r="AT143" s="567"/>
      <c r="AU143" s="567"/>
      <c r="AV143" s="567"/>
      <c r="AW143" s="567"/>
      <c r="AX143" s="567"/>
      <c r="AY143" s="567"/>
      <c r="AZ143" s="567"/>
      <c r="BA143" s="567"/>
      <c r="BB143" s="567"/>
      <c r="BC143" s="567"/>
      <c r="BD143" s="568"/>
      <c r="BE143" s="568"/>
      <c r="BF143" s="568"/>
      <c r="BG143" s="568"/>
      <c r="BH143" s="568"/>
      <c r="BI143" s="568"/>
      <c r="BJ143" s="568"/>
      <c r="BK143" s="568"/>
      <c r="BL143" s="568"/>
      <c r="BM143" s="568"/>
      <c r="BN143" s="568"/>
      <c r="BO143" s="568"/>
      <c r="BP143" s="568"/>
      <c r="BQ143" s="568"/>
      <c r="BR143" s="568"/>
      <c r="BS143" s="568"/>
      <c r="BT143" s="568"/>
      <c r="BU143" s="568"/>
      <c r="BV143" s="568"/>
      <c r="BW143" s="568"/>
      <c r="BX143" s="568"/>
      <c r="BY143" s="568"/>
      <c r="BZ143" s="568"/>
      <c r="CA143" s="568"/>
      <c r="CB143" s="568"/>
      <c r="CC143" s="568"/>
      <c r="CD143" s="568"/>
      <c r="CE143" s="568"/>
      <c r="CF143" s="568"/>
      <c r="CG143" s="568"/>
      <c r="CH143" s="568"/>
      <c r="CI143" s="568"/>
      <c r="CJ143" s="568"/>
      <c r="CK143" s="568"/>
      <c r="CL143" s="568"/>
      <c r="CM143" s="568"/>
      <c r="CN143" s="568"/>
      <c r="CO143" s="568"/>
      <c r="CP143" s="568"/>
      <c r="CQ143" s="568"/>
      <c r="CR143" s="568"/>
      <c r="CS143" s="568"/>
      <c r="CT143" s="568"/>
      <c r="CU143" s="568"/>
      <c r="CV143" s="568"/>
      <c r="CW143" s="568"/>
      <c r="CX143" s="568"/>
      <c r="CY143" s="568"/>
      <c r="CZ143" s="568"/>
      <c r="DA143" s="568"/>
      <c r="DB143" s="568"/>
      <c r="DC143" s="568"/>
      <c r="DD143" s="568"/>
      <c r="DE143" s="568"/>
      <c r="DF143" s="568"/>
      <c r="DG143" s="568"/>
      <c r="DH143" s="568"/>
      <c r="DI143" s="568"/>
      <c r="DJ143" s="568"/>
      <c r="DK143" s="568"/>
      <c r="DL143" s="568"/>
      <c r="DM143" s="568"/>
      <c r="DN143" s="568"/>
      <c r="DO143" s="568"/>
      <c r="DP143" s="568"/>
      <c r="DQ143" s="568"/>
      <c r="DR143" s="568"/>
      <c r="DS143" s="568"/>
      <c r="DT143" s="568"/>
      <c r="DU143" s="568"/>
      <c r="DV143" s="568"/>
      <c r="DW143" s="568"/>
      <c r="DX143" s="568"/>
      <c r="DY143" s="568"/>
      <c r="DZ143" s="568"/>
      <c r="EA143" s="568"/>
      <c r="EB143" s="568"/>
      <c r="EC143" s="568"/>
      <c r="ED143" s="568"/>
      <c r="EE143" s="568"/>
      <c r="EF143" s="568"/>
      <c r="EG143" s="568"/>
      <c r="EH143" s="568"/>
      <c r="EI143" s="568"/>
      <c r="EJ143" s="568"/>
      <c r="EK143" s="568"/>
      <c r="EL143" s="568"/>
      <c r="EM143" s="568"/>
      <c r="EN143" s="568"/>
      <c r="EO143" s="568"/>
      <c r="EP143" s="568"/>
      <c r="EQ143" s="568"/>
      <c r="ER143" s="568"/>
      <c r="ES143" s="568"/>
      <c r="ET143" s="568"/>
      <c r="EU143" s="568"/>
      <c r="EV143" s="568"/>
      <c r="EW143" s="568"/>
      <c r="EX143" s="568"/>
      <c r="EY143" s="568"/>
      <c r="EZ143" s="568"/>
      <c r="FA143" s="568"/>
      <c r="FB143" s="568"/>
      <c r="FC143" s="568"/>
      <c r="FD143" s="568"/>
      <c r="FE143" s="568"/>
      <c r="FF143" s="568"/>
      <c r="FG143" s="568"/>
      <c r="FH143" s="568"/>
      <c r="FI143" s="568"/>
      <c r="FJ143" s="568"/>
      <c r="FK143" s="568"/>
      <c r="FL143" s="568"/>
      <c r="FM143" s="568"/>
      <c r="FN143" s="568"/>
      <c r="FO143" s="568"/>
      <c r="FP143" s="568"/>
      <c r="FQ143" s="568"/>
      <c r="FR143" s="568"/>
      <c r="FS143" s="568"/>
      <c r="FT143" s="568"/>
      <c r="FU143" s="568"/>
      <c r="FV143" s="568"/>
      <c r="FW143" s="568"/>
      <c r="FX143" s="568"/>
      <c r="FY143" s="568"/>
      <c r="FZ143" s="568"/>
      <c r="GA143" s="568"/>
      <c r="GB143" s="568"/>
      <c r="GC143" s="568"/>
      <c r="GD143" s="568"/>
      <c r="GE143" s="568"/>
      <c r="GF143" s="568"/>
      <c r="GG143" s="568"/>
      <c r="GH143" s="568"/>
      <c r="GI143" s="568"/>
      <c r="GJ143" s="568"/>
      <c r="GK143" s="568"/>
      <c r="GL143" s="568"/>
      <c r="GM143" s="568"/>
      <c r="GN143" s="568"/>
      <c r="GO143" s="568"/>
      <c r="GP143" s="568"/>
      <c r="GQ143" s="568"/>
      <c r="GR143" s="568"/>
      <c r="GS143" s="568"/>
      <c r="GT143" s="568"/>
      <c r="GU143" s="568"/>
      <c r="GV143" s="568"/>
      <c r="GW143" s="568"/>
      <c r="GX143" s="568"/>
      <c r="GY143" s="568"/>
      <c r="GZ143" s="568"/>
      <c r="HA143" s="568"/>
      <c r="HB143" s="568"/>
      <c r="HC143" s="568"/>
      <c r="HD143" s="568"/>
      <c r="HE143" s="568"/>
      <c r="HF143" s="568"/>
      <c r="HG143" s="568"/>
      <c r="HH143" s="568"/>
      <c r="HI143" s="568"/>
      <c r="HJ143" s="568"/>
      <c r="HK143" s="568"/>
      <c r="HL143" s="568"/>
      <c r="HM143" s="568"/>
      <c r="HN143" s="568"/>
      <c r="HO143" s="568"/>
      <c r="HP143" s="568"/>
      <c r="HQ143" s="568"/>
      <c r="HR143" s="568"/>
      <c r="HS143" s="568"/>
      <c r="HT143" s="568"/>
      <c r="HU143" s="568"/>
      <c r="HV143" s="568"/>
      <c r="HW143" s="568"/>
      <c r="HX143" s="568"/>
      <c r="HY143" s="568"/>
      <c r="HZ143" s="568"/>
      <c r="IA143" s="568"/>
      <c r="IB143" s="568"/>
      <c r="IC143" s="568"/>
      <c r="ID143" s="568"/>
      <c r="IE143" s="568"/>
      <c r="IF143" s="568"/>
      <c r="IG143" s="568"/>
      <c r="IH143" s="568"/>
      <c r="II143" s="568"/>
      <c r="IJ143" s="568"/>
      <c r="IK143" s="568"/>
      <c r="IL143" s="568"/>
      <c r="IM143" s="568"/>
      <c r="IN143" s="568"/>
      <c r="IO143" s="568"/>
      <c r="IP143" s="568"/>
      <c r="IQ143" s="568"/>
      <c r="IR143" s="568"/>
      <c r="IS143" s="568"/>
      <c r="IT143" s="568"/>
      <c r="IU143" s="568"/>
    </row>
    <row r="144" spans="1:255" ht="18" customHeight="1">
      <c r="A144" s="566"/>
      <c r="B144" s="561"/>
      <c r="C144" s="1142"/>
      <c r="D144" s="1142"/>
      <c r="E144" s="1142"/>
      <c r="F144" s="1142"/>
      <c r="G144" s="1142"/>
      <c r="H144" s="1142"/>
      <c r="I144" s="1142"/>
      <c r="J144" s="1142"/>
      <c r="K144" s="1142"/>
      <c r="L144" s="1142"/>
      <c r="M144" s="561"/>
      <c r="N144" s="561"/>
      <c r="O144" s="561"/>
      <c r="P144" s="561"/>
      <c r="Q144" s="561"/>
      <c r="R144" s="561"/>
      <c r="S144" s="561"/>
      <c r="T144" s="561"/>
      <c r="U144" s="561"/>
      <c r="V144" s="561"/>
      <c r="W144" s="561"/>
      <c r="X144" s="561"/>
      <c r="Y144" s="561"/>
      <c r="Z144" s="561"/>
      <c r="AA144" s="561"/>
      <c r="AB144" s="561"/>
      <c r="AC144" s="561"/>
      <c r="AD144" s="561"/>
      <c r="AE144" s="561"/>
      <c r="AF144" s="561"/>
      <c r="AG144" s="561"/>
      <c r="AH144" s="567"/>
      <c r="AI144" s="567"/>
      <c r="AJ144" s="567"/>
      <c r="AK144" s="567"/>
      <c r="AL144" s="567"/>
      <c r="AM144" s="567"/>
      <c r="AN144" s="567"/>
      <c r="AO144" s="567"/>
      <c r="AP144" s="567"/>
      <c r="AQ144" s="567"/>
      <c r="AR144" s="567"/>
      <c r="AS144" s="567"/>
      <c r="AT144" s="567"/>
      <c r="AU144" s="567"/>
      <c r="AV144" s="567"/>
      <c r="AW144" s="567"/>
      <c r="AX144" s="567"/>
      <c r="AY144" s="567"/>
      <c r="AZ144" s="567"/>
      <c r="BA144" s="567"/>
      <c r="BB144" s="567"/>
      <c r="BC144" s="567"/>
      <c r="BD144" s="568"/>
      <c r="BE144" s="568"/>
      <c r="BF144" s="568"/>
      <c r="BG144" s="568"/>
      <c r="BH144" s="568"/>
      <c r="BI144" s="568"/>
      <c r="BJ144" s="568"/>
      <c r="BK144" s="568"/>
      <c r="BL144" s="568"/>
      <c r="BM144" s="568"/>
      <c r="BN144" s="568"/>
      <c r="BO144" s="568"/>
      <c r="BP144" s="568"/>
      <c r="BQ144" s="568"/>
      <c r="BR144" s="568"/>
      <c r="BS144" s="568"/>
      <c r="BT144" s="568"/>
      <c r="BU144" s="568"/>
      <c r="BV144" s="568"/>
      <c r="BW144" s="568"/>
      <c r="BX144" s="568"/>
      <c r="BY144" s="568"/>
      <c r="BZ144" s="568"/>
      <c r="CA144" s="568"/>
      <c r="CB144" s="568"/>
      <c r="CC144" s="568"/>
      <c r="CD144" s="568"/>
      <c r="CE144" s="568"/>
      <c r="CF144" s="568"/>
      <c r="CG144" s="568"/>
      <c r="CH144" s="568"/>
      <c r="CI144" s="568"/>
      <c r="CJ144" s="568"/>
      <c r="CK144" s="568"/>
      <c r="CL144" s="568"/>
      <c r="CM144" s="568"/>
      <c r="CN144" s="568"/>
      <c r="CO144" s="568"/>
      <c r="CP144" s="568"/>
      <c r="CQ144" s="568"/>
      <c r="CR144" s="568"/>
      <c r="CS144" s="568"/>
      <c r="CT144" s="568"/>
      <c r="CU144" s="568"/>
      <c r="CV144" s="568"/>
      <c r="CW144" s="568"/>
      <c r="CX144" s="568"/>
      <c r="CY144" s="568"/>
      <c r="CZ144" s="568"/>
      <c r="DA144" s="568"/>
      <c r="DB144" s="568"/>
      <c r="DC144" s="568"/>
      <c r="DD144" s="568"/>
      <c r="DE144" s="568"/>
      <c r="DF144" s="568"/>
      <c r="DG144" s="568"/>
      <c r="DH144" s="568"/>
      <c r="DI144" s="568"/>
      <c r="DJ144" s="568"/>
      <c r="DK144" s="568"/>
      <c r="DL144" s="568"/>
      <c r="DM144" s="568"/>
      <c r="DN144" s="568"/>
      <c r="DO144" s="568"/>
      <c r="DP144" s="568"/>
      <c r="DQ144" s="568"/>
      <c r="DR144" s="568"/>
      <c r="DS144" s="568"/>
      <c r="DT144" s="568"/>
      <c r="DU144" s="568"/>
      <c r="DV144" s="568"/>
      <c r="DW144" s="568"/>
      <c r="DX144" s="568"/>
      <c r="DY144" s="568"/>
      <c r="DZ144" s="568"/>
      <c r="EA144" s="568"/>
      <c r="EB144" s="568"/>
      <c r="EC144" s="568"/>
      <c r="ED144" s="568"/>
      <c r="EE144" s="568"/>
      <c r="EF144" s="568"/>
      <c r="EG144" s="568"/>
      <c r="EH144" s="568"/>
      <c r="EI144" s="568"/>
      <c r="EJ144" s="568"/>
      <c r="EK144" s="568"/>
      <c r="EL144" s="568"/>
      <c r="EM144" s="568"/>
      <c r="EN144" s="568"/>
      <c r="EO144" s="568"/>
      <c r="EP144" s="568"/>
      <c r="EQ144" s="568"/>
      <c r="ER144" s="568"/>
      <c r="ES144" s="568"/>
      <c r="ET144" s="568"/>
      <c r="EU144" s="568"/>
      <c r="EV144" s="568"/>
      <c r="EW144" s="568"/>
      <c r="EX144" s="568"/>
      <c r="EY144" s="568"/>
      <c r="EZ144" s="568"/>
      <c r="FA144" s="568"/>
      <c r="FB144" s="568"/>
      <c r="FC144" s="568"/>
      <c r="FD144" s="568"/>
      <c r="FE144" s="568"/>
      <c r="FF144" s="568"/>
      <c r="FG144" s="568"/>
      <c r="FH144" s="568"/>
      <c r="FI144" s="568"/>
      <c r="FJ144" s="568"/>
      <c r="FK144" s="568"/>
      <c r="FL144" s="568"/>
      <c r="FM144" s="568"/>
      <c r="FN144" s="568"/>
      <c r="FO144" s="568"/>
      <c r="FP144" s="568"/>
      <c r="FQ144" s="568"/>
      <c r="FR144" s="568"/>
      <c r="FS144" s="568"/>
      <c r="FT144" s="568"/>
      <c r="FU144" s="568"/>
      <c r="FV144" s="568"/>
      <c r="FW144" s="568"/>
      <c r="FX144" s="568"/>
      <c r="FY144" s="568"/>
      <c r="FZ144" s="568"/>
      <c r="GA144" s="568"/>
      <c r="GB144" s="568"/>
      <c r="GC144" s="568"/>
      <c r="GD144" s="568"/>
      <c r="GE144" s="568"/>
      <c r="GF144" s="568"/>
      <c r="GG144" s="568"/>
      <c r="GH144" s="568"/>
      <c r="GI144" s="568"/>
      <c r="GJ144" s="568"/>
      <c r="GK144" s="568"/>
      <c r="GL144" s="568"/>
      <c r="GM144" s="568"/>
      <c r="GN144" s="568"/>
      <c r="GO144" s="568"/>
      <c r="GP144" s="568"/>
      <c r="GQ144" s="568"/>
      <c r="GR144" s="568"/>
      <c r="GS144" s="568"/>
      <c r="GT144" s="568"/>
      <c r="GU144" s="568"/>
      <c r="GV144" s="568"/>
      <c r="GW144" s="568"/>
      <c r="GX144" s="568"/>
      <c r="GY144" s="568"/>
      <c r="GZ144" s="568"/>
      <c r="HA144" s="568"/>
      <c r="HB144" s="568"/>
      <c r="HC144" s="568"/>
      <c r="HD144" s="568"/>
      <c r="HE144" s="568"/>
      <c r="HF144" s="568"/>
      <c r="HG144" s="568"/>
      <c r="HH144" s="568"/>
      <c r="HI144" s="568"/>
      <c r="HJ144" s="568"/>
      <c r="HK144" s="568"/>
      <c r="HL144" s="568"/>
      <c r="HM144" s="568"/>
      <c r="HN144" s="568"/>
      <c r="HO144" s="568"/>
      <c r="HP144" s="568"/>
      <c r="HQ144" s="568"/>
      <c r="HR144" s="568"/>
      <c r="HS144" s="568"/>
      <c r="HT144" s="568"/>
      <c r="HU144" s="568"/>
      <c r="HV144" s="568"/>
      <c r="HW144" s="568"/>
      <c r="HX144" s="568"/>
      <c r="HY144" s="568"/>
      <c r="HZ144" s="568"/>
      <c r="IA144" s="568"/>
      <c r="IB144" s="568"/>
      <c r="IC144" s="568"/>
      <c r="ID144" s="568"/>
      <c r="IE144" s="568"/>
      <c r="IF144" s="568"/>
      <c r="IG144" s="568"/>
      <c r="IH144" s="568"/>
      <c r="II144" s="568"/>
      <c r="IJ144" s="568"/>
      <c r="IK144" s="568"/>
      <c r="IL144" s="568"/>
      <c r="IM144" s="568"/>
      <c r="IN144" s="568"/>
      <c r="IO144" s="568"/>
      <c r="IP144" s="568"/>
      <c r="IQ144" s="568"/>
      <c r="IR144" s="568"/>
      <c r="IS144" s="568"/>
      <c r="IT144" s="568"/>
      <c r="IU144" s="568"/>
    </row>
    <row r="145" spans="1:255" ht="18" customHeight="1">
      <c r="A145" s="566"/>
      <c r="B145" s="561"/>
      <c r="C145" s="1142"/>
      <c r="D145" s="1142"/>
      <c r="E145" s="1142"/>
      <c r="F145" s="1142"/>
      <c r="G145" s="1142"/>
      <c r="H145" s="1142"/>
      <c r="I145" s="1142"/>
      <c r="J145" s="1142"/>
      <c r="K145" s="1142"/>
      <c r="L145" s="1142"/>
      <c r="M145" s="561"/>
      <c r="N145" s="561"/>
      <c r="O145" s="561"/>
      <c r="P145" s="561"/>
      <c r="Q145" s="561"/>
      <c r="R145" s="561"/>
      <c r="S145" s="561"/>
      <c r="T145" s="561"/>
      <c r="U145" s="561"/>
      <c r="V145" s="561"/>
      <c r="W145" s="561"/>
      <c r="X145" s="561"/>
      <c r="Y145" s="561"/>
      <c r="Z145" s="561"/>
      <c r="AA145" s="561"/>
      <c r="AB145" s="561"/>
      <c r="AC145" s="561"/>
      <c r="AD145" s="561"/>
      <c r="AE145" s="561"/>
      <c r="AF145" s="561"/>
      <c r="AG145" s="561"/>
      <c r="AH145" s="567"/>
      <c r="AI145" s="567"/>
      <c r="AJ145" s="567"/>
      <c r="AK145" s="567"/>
      <c r="AL145" s="567"/>
      <c r="AM145" s="567"/>
      <c r="AN145" s="567"/>
      <c r="AO145" s="567"/>
      <c r="AP145" s="567"/>
      <c r="AQ145" s="567"/>
      <c r="AR145" s="567"/>
      <c r="AS145" s="567"/>
      <c r="AT145" s="567"/>
      <c r="AU145" s="567"/>
      <c r="AV145" s="567"/>
      <c r="AW145" s="567"/>
      <c r="AX145" s="567"/>
      <c r="AY145" s="567"/>
      <c r="AZ145" s="567"/>
      <c r="BA145" s="567"/>
      <c r="BB145" s="567"/>
      <c r="BC145" s="567"/>
      <c r="BD145" s="568"/>
      <c r="BE145" s="568"/>
      <c r="BF145" s="568"/>
      <c r="BG145" s="568"/>
      <c r="BH145" s="568"/>
      <c r="BI145" s="568"/>
      <c r="BJ145" s="568"/>
      <c r="BK145" s="568"/>
      <c r="BL145" s="568"/>
      <c r="BM145" s="568"/>
      <c r="BN145" s="568"/>
      <c r="BO145" s="568"/>
      <c r="BP145" s="568"/>
      <c r="BQ145" s="568"/>
      <c r="BR145" s="568"/>
      <c r="BS145" s="568"/>
      <c r="BT145" s="568"/>
      <c r="BU145" s="568"/>
      <c r="BV145" s="568"/>
      <c r="BW145" s="568"/>
      <c r="BX145" s="568"/>
      <c r="BY145" s="568"/>
      <c r="BZ145" s="568"/>
      <c r="CA145" s="568"/>
      <c r="CB145" s="568"/>
      <c r="CC145" s="568"/>
      <c r="CD145" s="568"/>
      <c r="CE145" s="568"/>
      <c r="CF145" s="568"/>
      <c r="CG145" s="568"/>
      <c r="CH145" s="568"/>
      <c r="CI145" s="568"/>
      <c r="CJ145" s="568"/>
      <c r="CK145" s="568"/>
      <c r="CL145" s="568"/>
      <c r="CM145" s="568"/>
      <c r="CN145" s="568"/>
      <c r="CO145" s="568"/>
      <c r="CP145" s="568"/>
      <c r="CQ145" s="568"/>
      <c r="CR145" s="568"/>
      <c r="CS145" s="568"/>
      <c r="CT145" s="568"/>
      <c r="CU145" s="568"/>
      <c r="CV145" s="568"/>
      <c r="CW145" s="568"/>
      <c r="CX145" s="568"/>
      <c r="CY145" s="568"/>
      <c r="CZ145" s="568"/>
      <c r="DA145" s="568"/>
      <c r="DB145" s="568"/>
      <c r="DC145" s="568"/>
      <c r="DD145" s="568"/>
      <c r="DE145" s="568"/>
      <c r="DF145" s="568"/>
      <c r="DG145" s="568"/>
      <c r="DH145" s="568"/>
      <c r="DI145" s="568"/>
      <c r="DJ145" s="568"/>
      <c r="DK145" s="568"/>
      <c r="DL145" s="568"/>
      <c r="DM145" s="568"/>
      <c r="DN145" s="568"/>
      <c r="DO145" s="568"/>
      <c r="DP145" s="568"/>
      <c r="DQ145" s="568"/>
      <c r="DR145" s="568"/>
      <c r="DS145" s="568"/>
      <c r="DT145" s="568"/>
      <c r="DU145" s="568"/>
      <c r="DV145" s="568"/>
      <c r="DW145" s="568"/>
      <c r="DX145" s="568"/>
      <c r="DY145" s="568"/>
      <c r="DZ145" s="568"/>
      <c r="EA145" s="568"/>
      <c r="EB145" s="568"/>
      <c r="EC145" s="568"/>
      <c r="ED145" s="568"/>
      <c r="EE145" s="568"/>
      <c r="EF145" s="568"/>
      <c r="EG145" s="568"/>
      <c r="EH145" s="568"/>
      <c r="EI145" s="568"/>
      <c r="EJ145" s="568"/>
      <c r="EK145" s="568"/>
      <c r="EL145" s="568"/>
      <c r="EM145" s="568"/>
      <c r="EN145" s="568"/>
      <c r="EO145" s="568"/>
      <c r="EP145" s="568"/>
      <c r="EQ145" s="568"/>
      <c r="ER145" s="568"/>
      <c r="ES145" s="568"/>
      <c r="ET145" s="568"/>
      <c r="EU145" s="568"/>
      <c r="EV145" s="568"/>
      <c r="EW145" s="568"/>
      <c r="EX145" s="568"/>
      <c r="EY145" s="568"/>
      <c r="EZ145" s="568"/>
      <c r="FA145" s="568"/>
      <c r="FB145" s="568"/>
      <c r="FC145" s="568"/>
      <c r="FD145" s="568"/>
      <c r="FE145" s="568"/>
      <c r="FF145" s="568"/>
      <c r="FG145" s="568"/>
      <c r="FH145" s="568"/>
      <c r="FI145" s="568"/>
      <c r="FJ145" s="568"/>
      <c r="FK145" s="568"/>
      <c r="FL145" s="568"/>
      <c r="FM145" s="568"/>
      <c r="FN145" s="568"/>
      <c r="FO145" s="568"/>
      <c r="FP145" s="568"/>
      <c r="FQ145" s="568"/>
      <c r="FR145" s="568"/>
      <c r="FS145" s="568"/>
      <c r="FT145" s="568"/>
      <c r="FU145" s="568"/>
      <c r="FV145" s="568"/>
      <c r="FW145" s="568"/>
      <c r="FX145" s="568"/>
      <c r="FY145" s="568"/>
      <c r="FZ145" s="568"/>
      <c r="GA145" s="568"/>
      <c r="GB145" s="568"/>
      <c r="GC145" s="568"/>
      <c r="GD145" s="568"/>
      <c r="GE145" s="568"/>
      <c r="GF145" s="568"/>
      <c r="GG145" s="568"/>
      <c r="GH145" s="568"/>
      <c r="GI145" s="568"/>
      <c r="GJ145" s="568"/>
      <c r="GK145" s="568"/>
      <c r="GL145" s="568"/>
      <c r="GM145" s="568"/>
      <c r="GN145" s="568"/>
      <c r="GO145" s="568"/>
      <c r="GP145" s="568"/>
      <c r="GQ145" s="568"/>
      <c r="GR145" s="568"/>
      <c r="GS145" s="568"/>
      <c r="GT145" s="568"/>
      <c r="GU145" s="568"/>
      <c r="GV145" s="568"/>
      <c r="GW145" s="568"/>
      <c r="GX145" s="568"/>
      <c r="GY145" s="568"/>
      <c r="GZ145" s="568"/>
      <c r="HA145" s="568"/>
      <c r="HB145" s="568"/>
      <c r="HC145" s="568"/>
      <c r="HD145" s="568"/>
      <c r="HE145" s="568"/>
      <c r="HF145" s="568"/>
      <c r="HG145" s="568"/>
      <c r="HH145" s="568"/>
      <c r="HI145" s="568"/>
      <c r="HJ145" s="568"/>
      <c r="HK145" s="568"/>
      <c r="HL145" s="568"/>
      <c r="HM145" s="568"/>
      <c r="HN145" s="568"/>
      <c r="HO145" s="568"/>
      <c r="HP145" s="568"/>
      <c r="HQ145" s="568"/>
      <c r="HR145" s="568"/>
      <c r="HS145" s="568"/>
      <c r="HT145" s="568"/>
      <c r="HU145" s="568"/>
      <c r="HV145" s="568"/>
      <c r="HW145" s="568"/>
      <c r="HX145" s="568"/>
      <c r="HY145" s="568"/>
      <c r="HZ145" s="568"/>
      <c r="IA145" s="568"/>
      <c r="IB145" s="568"/>
      <c r="IC145" s="568"/>
      <c r="ID145" s="568"/>
      <c r="IE145" s="568"/>
      <c r="IF145" s="568"/>
      <c r="IG145" s="568"/>
      <c r="IH145" s="568"/>
      <c r="II145" s="568"/>
      <c r="IJ145" s="568"/>
      <c r="IK145" s="568"/>
      <c r="IL145" s="568"/>
      <c r="IM145" s="568"/>
      <c r="IN145" s="568"/>
      <c r="IO145" s="568"/>
      <c r="IP145" s="568"/>
      <c r="IQ145" s="568"/>
      <c r="IR145" s="568"/>
      <c r="IS145" s="568"/>
      <c r="IT145" s="568"/>
      <c r="IU145" s="568"/>
    </row>
    <row r="146" spans="1:255" ht="18" customHeight="1">
      <c r="A146" s="566"/>
      <c r="B146" s="561"/>
      <c r="C146" s="1142"/>
      <c r="D146" s="1142"/>
      <c r="E146" s="1142"/>
      <c r="F146" s="1142"/>
      <c r="G146" s="1142"/>
      <c r="H146" s="1142"/>
      <c r="I146" s="1142"/>
      <c r="J146" s="1142"/>
      <c r="K146" s="1142"/>
      <c r="L146" s="1142"/>
      <c r="M146" s="561"/>
      <c r="N146" s="561"/>
      <c r="O146" s="561"/>
      <c r="P146" s="561"/>
      <c r="Q146" s="561"/>
      <c r="R146" s="561"/>
      <c r="S146" s="561"/>
      <c r="T146" s="561"/>
      <c r="U146" s="561"/>
      <c r="V146" s="561"/>
      <c r="W146" s="561"/>
      <c r="X146" s="561"/>
      <c r="Y146" s="561"/>
      <c r="Z146" s="561"/>
      <c r="AA146" s="561"/>
      <c r="AB146" s="561"/>
      <c r="AC146" s="561"/>
      <c r="AD146" s="561"/>
      <c r="AE146" s="561"/>
      <c r="AF146" s="561"/>
      <c r="AG146" s="561"/>
      <c r="AH146" s="567"/>
      <c r="AI146" s="567"/>
      <c r="AJ146" s="567"/>
      <c r="AK146" s="567"/>
      <c r="AL146" s="567"/>
      <c r="AM146" s="567"/>
      <c r="AN146" s="567"/>
      <c r="AO146" s="567"/>
      <c r="AP146" s="567"/>
      <c r="AQ146" s="567"/>
      <c r="AR146" s="567"/>
      <c r="AS146" s="567"/>
      <c r="AT146" s="567"/>
      <c r="AU146" s="567"/>
      <c r="AV146" s="567"/>
      <c r="AW146" s="567"/>
      <c r="AX146" s="567"/>
      <c r="AY146" s="567"/>
      <c r="AZ146" s="567"/>
      <c r="BA146" s="567"/>
      <c r="BB146" s="567"/>
      <c r="BC146" s="567"/>
      <c r="BD146" s="568"/>
      <c r="BE146" s="568"/>
      <c r="BF146" s="568"/>
      <c r="BG146" s="568"/>
      <c r="BH146" s="568"/>
      <c r="BI146" s="568"/>
      <c r="BJ146" s="568"/>
      <c r="BK146" s="568"/>
      <c r="BL146" s="568"/>
      <c r="BM146" s="568"/>
      <c r="BN146" s="568"/>
      <c r="BO146" s="568"/>
      <c r="BP146" s="568"/>
      <c r="BQ146" s="568"/>
      <c r="BR146" s="568"/>
      <c r="BS146" s="568"/>
      <c r="BT146" s="568"/>
      <c r="BU146" s="568"/>
      <c r="BV146" s="568"/>
      <c r="BW146" s="568"/>
      <c r="BX146" s="568"/>
      <c r="BY146" s="568"/>
      <c r="BZ146" s="568"/>
      <c r="CA146" s="568"/>
      <c r="CB146" s="568"/>
      <c r="CC146" s="568"/>
      <c r="CD146" s="568"/>
      <c r="CE146" s="568"/>
      <c r="CF146" s="568"/>
      <c r="CG146" s="568"/>
      <c r="CH146" s="568"/>
      <c r="CI146" s="568"/>
      <c r="CJ146" s="568"/>
      <c r="CK146" s="568"/>
      <c r="CL146" s="568"/>
      <c r="CM146" s="568"/>
      <c r="CN146" s="568"/>
      <c r="CO146" s="568"/>
      <c r="CP146" s="568"/>
      <c r="CQ146" s="568"/>
      <c r="CR146" s="568"/>
      <c r="CS146" s="568"/>
      <c r="CT146" s="568"/>
      <c r="CU146" s="568"/>
      <c r="CV146" s="568"/>
      <c r="CW146" s="568"/>
      <c r="CX146" s="568"/>
      <c r="CY146" s="568"/>
      <c r="CZ146" s="568"/>
      <c r="DA146" s="568"/>
      <c r="DB146" s="568"/>
      <c r="DC146" s="568"/>
      <c r="DD146" s="568"/>
      <c r="DE146" s="568"/>
      <c r="DF146" s="568"/>
      <c r="DG146" s="568"/>
      <c r="DH146" s="568"/>
      <c r="DI146" s="568"/>
      <c r="DJ146" s="568"/>
      <c r="DK146" s="568"/>
      <c r="DL146" s="568"/>
      <c r="DM146" s="568"/>
      <c r="DN146" s="568"/>
      <c r="DO146" s="568"/>
      <c r="DP146" s="568"/>
      <c r="DQ146" s="568"/>
      <c r="DR146" s="568"/>
      <c r="DS146" s="568"/>
      <c r="DT146" s="568"/>
      <c r="DU146" s="568"/>
      <c r="DV146" s="568"/>
      <c r="DW146" s="568"/>
      <c r="DX146" s="568"/>
      <c r="DY146" s="568"/>
      <c r="DZ146" s="568"/>
      <c r="EA146" s="568"/>
      <c r="EB146" s="568"/>
      <c r="EC146" s="568"/>
      <c r="ED146" s="568"/>
      <c r="EE146" s="568"/>
      <c r="EF146" s="568"/>
      <c r="EG146" s="568"/>
      <c r="EH146" s="568"/>
      <c r="EI146" s="568"/>
      <c r="EJ146" s="568"/>
      <c r="EK146" s="568"/>
      <c r="EL146" s="568"/>
      <c r="EM146" s="568"/>
      <c r="EN146" s="568"/>
      <c r="EO146" s="568"/>
      <c r="EP146" s="568"/>
      <c r="EQ146" s="568"/>
      <c r="ER146" s="568"/>
      <c r="ES146" s="568"/>
      <c r="ET146" s="568"/>
      <c r="EU146" s="568"/>
      <c r="EV146" s="568"/>
      <c r="EW146" s="568"/>
      <c r="EX146" s="568"/>
      <c r="EY146" s="568"/>
      <c r="EZ146" s="568"/>
      <c r="FA146" s="568"/>
      <c r="FB146" s="568"/>
      <c r="FC146" s="568"/>
      <c r="FD146" s="568"/>
      <c r="FE146" s="568"/>
      <c r="FF146" s="568"/>
      <c r="FG146" s="568"/>
      <c r="FH146" s="568"/>
      <c r="FI146" s="568"/>
      <c r="FJ146" s="568"/>
      <c r="FK146" s="568"/>
      <c r="FL146" s="568"/>
      <c r="FM146" s="568"/>
      <c r="FN146" s="568"/>
      <c r="FO146" s="568"/>
      <c r="FP146" s="568"/>
      <c r="FQ146" s="568"/>
      <c r="FR146" s="568"/>
      <c r="FS146" s="568"/>
      <c r="FT146" s="568"/>
      <c r="FU146" s="568"/>
      <c r="FV146" s="568"/>
      <c r="FW146" s="568"/>
      <c r="FX146" s="568"/>
      <c r="FY146" s="568"/>
      <c r="FZ146" s="568"/>
      <c r="GA146" s="568"/>
      <c r="GB146" s="568"/>
      <c r="GC146" s="568"/>
      <c r="GD146" s="568"/>
      <c r="GE146" s="568"/>
      <c r="GF146" s="568"/>
      <c r="GG146" s="568"/>
      <c r="GH146" s="568"/>
      <c r="GI146" s="568"/>
      <c r="GJ146" s="568"/>
      <c r="GK146" s="568"/>
      <c r="GL146" s="568"/>
      <c r="GM146" s="568"/>
      <c r="GN146" s="568"/>
      <c r="GO146" s="568"/>
      <c r="GP146" s="568"/>
      <c r="GQ146" s="568"/>
      <c r="GR146" s="568"/>
      <c r="GS146" s="568"/>
      <c r="GT146" s="568"/>
      <c r="GU146" s="568"/>
      <c r="GV146" s="568"/>
      <c r="GW146" s="568"/>
      <c r="GX146" s="568"/>
      <c r="GY146" s="568"/>
      <c r="GZ146" s="568"/>
      <c r="HA146" s="568"/>
      <c r="HB146" s="568"/>
      <c r="HC146" s="568"/>
      <c r="HD146" s="568"/>
      <c r="HE146" s="568"/>
      <c r="HF146" s="568"/>
      <c r="HG146" s="568"/>
      <c r="HH146" s="568"/>
      <c r="HI146" s="568"/>
      <c r="HJ146" s="568"/>
      <c r="HK146" s="568"/>
      <c r="HL146" s="568"/>
      <c r="HM146" s="568"/>
      <c r="HN146" s="568"/>
      <c r="HO146" s="568"/>
      <c r="HP146" s="568"/>
      <c r="HQ146" s="568"/>
      <c r="HR146" s="568"/>
      <c r="HS146" s="568"/>
      <c r="HT146" s="568"/>
      <c r="HU146" s="568"/>
      <c r="HV146" s="568"/>
      <c r="HW146" s="568"/>
      <c r="HX146" s="568"/>
      <c r="HY146" s="568"/>
      <c r="HZ146" s="568"/>
      <c r="IA146" s="568"/>
      <c r="IB146" s="568"/>
      <c r="IC146" s="568"/>
      <c r="ID146" s="568"/>
      <c r="IE146" s="568"/>
      <c r="IF146" s="568"/>
      <c r="IG146" s="568"/>
      <c r="IH146" s="568"/>
      <c r="II146" s="568"/>
      <c r="IJ146" s="568"/>
      <c r="IK146" s="568"/>
      <c r="IL146" s="568"/>
      <c r="IM146" s="568"/>
      <c r="IN146" s="568"/>
      <c r="IO146" s="568"/>
      <c r="IP146" s="568"/>
      <c r="IQ146" s="568"/>
      <c r="IR146" s="568"/>
      <c r="IS146" s="568"/>
      <c r="IT146" s="568"/>
      <c r="IU146" s="568"/>
    </row>
    <row r="147" spans="1:255" ht="18" customHeight="1">
      <c r="A147" s="566"/>
      <c r="B147" s="561"/>
      <c r="C147" s="1142"/>
      <c r="D147" s="1142"/>
      <c r="E147" s="1142"/>
      <c r="F147" s="1142"/>
      <c r="G147" s="1142"/>
      <c r="H147" s="1142"/>
      <c r="I147" s="1142"/>
      <c r="J147" s="1142"/>
      <c r="K147" s="1142"/>
      <c r="L147" s="1142"/>
      <c r="M147" s="561"/>
      <c r="N147" s="561"/>
      <c r="O147" s="561"/>
      <c r="P147" s="561"/>
      <c r="Q147" s="561"/>
      <c r="R147" s="561"/>
      <c r="S147" s="561"/>
      <c r="T147" s="561"/>
      <c r="U147" s="561"/>
      <c r="V147" s="561"/>
      <c r="W147" s="561"/>
      <c r="X147" s="561"/>
      <c r="Y147" s="561"/>
      <c r="Z147" s="561"/>
      <c r="AA147" s="561"/>
      <c r="AB147" s="561"/>
      <c r="AC147" s="561"/>
      <c r="AD147" s="561"/>
      <c r="AE147" s="561"/>
      <c r="AF147" s="561"/>
      <c r="AG147" s="561"/>
      <c r="AH147" s="567"/>
      <c r="AI147" s="567"/>
      <c r="AJ147" s="567"/>
      <c r="AK147" s="567"/>
      <c r="AL147" s="567"/>
      <c r="AM147" s="567"/>
      <c r="AN147" s="567"/>
      <c r="AO147" s="567"/>
      <c r="AP147" s="567"/>
      <c r="AQ147" s="567"/>
      <c r="AR147" s="567"/>
      <c r="AS147" s="567"/>
      <c r="AT147" s="567"/>
      <c r="AU147" s="567"/>
      <c r="AV147" s="567"/>
      <c r="AW147" s="567"/>
      <c r="AX147" s="567"/>
      <c r="AY147" s="567"/>
      <c r="AZ147" s="567"/>
      <c r="BA147" s="567"/>
      <c r="BB147" s="567"/>
      <c r="BC147" s="567"/>
      <c r="BD147" s="568"/>
      <c r="BE147" s="568"/>
      <c r="BF147" s="568"/>
      <c r="BG147" s="568"/>
      <c r="BH147" s="568"/>
      <c r="BI147" s="568"/>
      <c r="BJ147" s="568"/>
      <c r="BK147" s="568"/>
      <c r="BL147" s="568"/>
      <c r="BM147" s="568"/>
      <c r="BN147" s="568"/>
      <c r="BO147" s="568"/>
      <c r="BP147" s="568"/>
      <c r="BQ147" s="568"/>
      <c r="BR147" s="568"/>
      <c r="BS147" s="568"/>
      <c r="BT147" s="568"/>
      <c r="BU147" s="568"/>
      <c r="BV147" s="568"/>
      <c r="BW147" s="568"/>
      <c r="BX147" s="568"/>
      <c r="BY147" s="568"/>
      <c r="BZ147" s="568"/>
      <c r="CA147" s="568"/>
      <c r="CB147" s="568"/>
      <c r="CC147" s="568"/>
      <c r="CD147" s="568"/>
      <c r="CE147" s="568"/>
      <c r="CF147" s="568"/>
      <c r="CG147" s="568"/>
      <c r="CH147" s="568"/>
      <c r="CI147" s="568"/>
      <c r="CJ147" s="568"/>
      <c r="CK147" s="568"/>
      <c r="CL147" s="568"/>
      <c r="CM147" s="568"/>
      <c r="CN147" s="568"/>
      <c r="CO147" s="568"/>
      <c r="CP147" s="568"/>
      <c r="CQ147" s="568"/>
      <c r="CR147" s="568"/>
      <c r="CS147" s="568"/>
      <c r="CT147" s="568"/>
      <c r="CU147" s="568"/>
      <c r="CV147" s="568"/>
      <c r="CW147" s="568"/>
      <c r="CX147" s="568"/>
      <c r="CY147" s="568"/>
      <c r="CZ147" s="568"/>
      <c r="DA147" s="568"/>
      <c r="DB147" s="568"/>
      <c r="DC147" s="568"/>
      <c r="DD147" s="568"/>
      <c r="DE147" s="568"/>
      <c r="DF147" s="568"/>
      <c r="DG147" s="568"/>
      <c r="DH147" s="568"/>
      <c r="DI147" s="568"/>
      <c r="DJ147" s="568"/>
      <c r="DK147" s="568"/>
      <c r="DL147" s="568"/>
      <c r="DM147" s="568"/>
      <c r="DN147" s="568"/>
      <c r="DO147" s="568"/>
      <c r="DP147" s="568"/>
      <c r="DQ147" s="568"/>
      <c r="DR147" s="568"/>
      <c r="DS147" s="568"/>
      <c r="DT147" s="568"/>
      <c r="DU147" s="568"/>
      <c r="DV147" s="568"/>
      <c r="DW147" s="568"/>
      <c r="DX147" s="568"/>
      <c r="DY147" s="568"/>
      <c r="DZ147" s="568"/>
      <c r="EA147" s="568"/>
      <c r="EB147" s="568"/>
      <c r="EC147" s="568"/>
      <c r="ED147" s="568"/>
      <c r="EE147" s="568"/>
      <c r="EF147" s="568"/>
      <c r="EG147" s="568"/>
      <c r="EH147" s="568"/>
      <c r="EI147" s="568"/>
      <c r="EJ147" s="568"/>
      <c r="EK147" s="568"/>
      <c r="EL147" s="568"/>
      <c r="EM147" s="568"/>
      <c r="EN147" s="568"/>
      <c r="EO147" s="568"/>
      <c r="EP147" s="568"/>
      <c r="EQ147" s="568"/>
      <c r="ER147" s="568"/>
      <c r="ES147" s="568"/>
      <c r="ET147" s="568"/>
      <c r="EU147" s="568"/>
      <c r="EV147" s="568"/>
      <c r="EW147" s="568"/>
      <c r="EX147" s="568"/>
      <c r="EY147" s="568"/>
      <c r="EZ147" s="568"/>
      <c r="FA147" s="568"/>
      <c r="FB147" s="568"/>
      <c r="FC147" s="568"/>
      <c r="FD147" s="568"/>
      <c r="FE147" s="568"/>
      <c r="FF147" s="568"/>
      <c r="FG147" s="568"/>
      <c r="FH147" s="568"/>
      <c r="FI147" s="568"/>
      <c r="FJ147" s="568"/>
      <c r="FK147" s="568"/>
      <c r="FL147" s="568"/>
      <c r="FM147" s="568"/>
      <c r="FN147" s="568"/>
      <c r="FO147" s="568"/>
      <c r="FP147" s="568"/>
      <c r="FQ147" s="568"/>
      <c r="FR147" s="568"/>
      <c r="FS147" s="568"/>
      <c r="FT147" s="568"/>
      <c r="FU147" s="568"/>
      <c r="FV147" s="568"/>
      <c r="FW147" s="568"/>
      <c r="FX147" s="568"/>
      <c r="FY147" s="568"/>
      <c r="FZ147" s="568"/>
      <c r="GA147" s="568"/>
      <c r="GB147" s="568"/>
      <c r="GC147" s="568"/>
      <c r="GD147" s="568"/>
      <c r="GE147" s="568"/>
      <c r="GF147" s="568"/>
      <c r="GG147" s="568"/>
      <c r="GH147" s="568"/>
      <c r="GI147" s="568"/>
      <c r="GJ147" s="568"/>
      <c r="GK147" s="568"/>
      <c r="GL147" s="568"/>
      <c r="GM147" s="568"/>
      <c r="GN147" s="568"/>
      <c r="GO147" s="568"/>
      <c r="GP147" s="568"/>
      <c r="GQ147" s="568"/>
      <c r="GR147" s="568"/>
      <c r="GS147" s="568"/>
      <c r="GT147" s="568"/>
      <c r="GU147" s="568"/>
      <c r="GV147" s="568"/>
      <c r="GW147" s="568"/>
      <c r="GX147" s="568"/>
      <c r="GY147" s="568"/>
      <c r="GZ147" s="568"/>
      <c r="HA147" s="568"/>
      <c r="HB147" s="568"/>
      <c r="HC147" s="568"/>
      <c r="HD147" s="568"/>
      <c r="HE147" s="568"/>
      <c r="HF147" s="568"/>
      <c r="HG147" s="568"/>
      <c r="HH147" s="568"/>
      <c r="HI147" s="568"/>
      <c r="HJ147" s="568"/>
      <c r="HK147" s="568"/>
      <c r="HL147" s="568"/>
      <c r="HM147" s="568"/>
      <c r="HN147" s="568"/>
      <c r="HO147" s="568"/>
      <c r="HP147" s="568"/>
      <c r="HQ147" s="568"/>
      <c r="HR147" s="568"/>
      <c r="HS147" s="568"/>
      <c r="HT147" s="568"/>
      <c r="HU147" s="568"/>
      <c r="HV147" s="568"/>
      <c r="HW147" s="568"/>
      <c r="HX147" s="568"/>
      <c r="HY147" s="568"/>
      <c r="HZ147" s="568"/>
      <c r="IA147" s="568"/>
      <c r="IB147" s="568"/>
      <c r="IC147" s="568"/>
      <c r="ID147" s="568"/>
      <c r="IE147" s="568"/>
      <c r="IF147" s="568"/>
      <c r="IG147" s="568"/>
      <c r="IH147" s="568"/>
      <c r="II147" s="568"/>
      <c r="IJ147" s="568"/>
      <c r="IK147" s="568"/>
      <c r="IL147" s="568"/>
      <c r="IM147" s="568"/>
      <c r="IN147" s="568"/>
      <c r="IO147" s="568"/>
      <c r="IP147" s="568"/>
      <c r="IQ147" s="568"/>
      <c r="IR147" s="568"/>
      <c r="IS147" s="568"/>
      <c r="IT147" s="568"/>
      <c r="IU147" s="568"/>
    </row>
    <row r="148" spans="1:255" s="568" customFormat="1" ht="18" customHeight="1">
      <c r="A148" s="566"/>
      <c r="B148" s="561"/>
      <c r="C148" s="1142"/>
      <c r="D148" s="1142"/>
      <c r="E148" s="1142"/>
      <c r="F148" s="1142"/>
      <c r="G148" s="1142"/>
      <c r="H148" s="1142"/>
      <c r="I148" s="1142"/>
      <c r="J148" s="1142"/>
      <c r="K148" s="1142"/>
      <c r="L148" s="1142"/>
      <c r="M148" s="561"/>
      <c r="N148" s="561"/>
      <c r="O148" s="561"/>
      <c r="P148" s="561"/>
      <c r="Q148" s="561"/>
      <c r="R148" s="561"/>
      <c r="S148" s="561"/>
      <c r="T148" s="562"/>
      <c r="U148" s="561"/>
      <c r="V148" s="561"/>
      <c r="W148" s="561"/>
      <c r="X148" s="561"/>
      <c r="Y148" s="561"/>
      <c r="Z148" s="561"/>
      <c r="AA148" s="561"/>
      <c r="AB148" s="561"/>
      <c r="AC148" s="561"/>
      <c r="AD148" s="561"/>
      <c r="AE148" s="561"/>
      <c r="AF148" s="561"/>
      <c r="AG148" s="561"/>
      <c r="AH148" s="567"/>
      <c r="AI148" s="567"/>
      <c r="AJ148" s="567"/>
      <c r="AK148" s="567"/>
      <c r="AL148" s="567"/>
      <c r="AM148" s="567"/>
      <c r="AN148" s="567"/>
      <c r="AO148" s="567"/>
      <c r="AP148" s="567"/>
      <c r="AQ148" s="567"/>
      <c r="AR148" s="567"/>
      <c r="AS148" s="567"/>
      <c r="AT148" s="567"/>
      <c r="AU148" s="567"/>
      <c r="AV148" s="567"/>
      <c r="AW148" s="567"/>
      <c r="AX148" s="567"/>
      <c r="AY148" s="567"/>
      <c r="AZ148" s="567"/>
      <c r="BA148" s="567"/>
      <c r="BB148" s="567"/>
      <c r="BC148" s="567"/>
    </row>
    <row r="149" spans="1:255" s="568" customFormat="1" ht="18" customHeight="1">
      <c r="A149" s="566"/>
      <c r="B149" s="561"/>
      <c r="C149" s="1142"/>
      <c r="D149" s="1142"/>
      <c r="E149" s="1142"/>
      <c r="F149" s="1142"/>
      <c r="G149" s="1142"/>
      <c r="H149" s="1142"/>
      <c r="I149" s="1142"/>
      <c r="J149" s="1142"/>
      <c r="K149" s="1142"/>
      <c r="L149" s="1142"/>
      <c r="M149" s="561"/>
      <c r="N149" s="561"/>
      <c r="O149" s="561"/>
      <c r="P149" s="561"/>
      <c r="Q149" s="561"/>
      <c r="R149" s="561"/>
      <c r="S149" s="561"/>
      <c r="T149" s="561"/>
      <c r="U149" s="561"/>
      <c r="V149" s="561"/>
      <c r="W149" s="561"/>
      <c r="X149" s="561"/>
      <c r="Y149" s="561"/>
      <c r="Z149" s="561"/>
      <c r="AA149" s="561"/>
      <c r="AB149" s="561"/>
      <c r="AC149" s="561"/>
      <c r="AD149" s="561"/>
      <c r="AE149" s="561"/>
      <c r="AF149" s="561"/>
      <c r="AG149" s="561"/>
      <c r="AH149" s="567"/>
      <c r="AI149" s="567"/>
      <c r="AJ149" s="567"/>
      <c r="AK149" s="567"/>
      <c r="AL149" s="567"/>
      <c r="AM149" s="567"/>
      <c r="AN149" s="567"/>
      <c r="AO149" s="567"/>
      <c r="AP149" s="567"/>
      <c r="AQ149" s="567"/>
      <c r="AR149" s="567"/>
      <c r="AS149" s="567"/>
      <c r="AT149" s="567"/>
      <c r="AU149" s="567"/>
      <c r="AV149" s="567"/>
      <c r="AW149" s="567"/>
      <c r="AX149" s="567"/>
      <c r="AY149" s="567"/>
      <c r="AZ149" s="567"/>
      <c r="BA149" s="567"/>
      <c r="BB149" s="567"/>
      <c r="BC149" s="567"/>
    </row>
    <row r="150" spans="1:255" s="584" customFormat="1" ht="18" customHeight="1">
      <c r="A150" s="566"/>
      <c r="B150" s="561"/>
      <c r="C150" s="1142"/>
      <c r="D150" s="1142"/>
      <c r="E150" s="1142"/>
      <c r="F150" s="1142"/>
      <c r="G150" s="1142"/>
      <c r="H150" s="1142"/>
      <c r="I150" s="1142"/>
      <c r="J150" s="1142"/>
      <c r="K150" s="1142"/>
      <c r="L150" s="1142"/>
      <c r="M150" s="561"/>
      <c r="N150" s="561"/>
      <c r="O150" s="561"/>
      <c r="P150" s="561"/>
      <c r="Q150" s="562"/>
      <c r="R150" s="562"/>
      <c r="S150" s="562"/>
      <c r="T150" s="561"/>
      <c r="U150" s="562"/>
      <c r="V150" s="562"/>
      <c r="W150" s="562"/>
      <c r="X150" s="562"/>
      <c r="Y150" s="562"/>
      <c r="Z150" s="562"/>
      <c r="AA150" s="562"/>
      <c r="AB150" s="562"/>
      <c r="AC150" s="562"/>
      <c r="AD150" s="562"/>
      <c r="AE150" s="562"/>
      <c r="AF150" s="562"/>
      <c r="AG150" s="562"/>
      <c r="AH150" s="563"/>
      <c r="AI150" s="563"/>
      <c r="AJ150" s="563"/>
      <c r="AK150" s="563"/>
      <c r="AL150" s="563"/>
      <c r="AM150" s="563"/>
      <c r="AN150" s="563"/>
      <c r="AO150" s="563"/>
      <c r="AP150" s="563"/>
      <c r="AQ150" s="563"/>
      <c r="AR150" s="563"/>
      <c r="AS150" s="563"/>
      <c r="AT150" s="563"/>
      <c r="AU150" s="563"/>
      <c r="AV150" s="563"/>
      <c r="AW150" s="563"/>
      <c r="AX150" s="563"/>
      <c r="AY150" s="563"/>
      <c r="AZ150" s="563"/>
      <c r="BA150" s="563"/>
      <c r="BB150" s="563"/>
      <c r="BC150" s="563"/>
      <c r="BD150" s="564"/>
      <c r="BE150" s="564"/>
      <c r="BF150" s="564"/>
      <c r="BG150" s="564"/>
      <c r="BH150" s="564"/>
      <c r="BI150" s="564"/>
      <c r="BJ150" s="564"/>
      <c r="BK150" s="564"/>
      <c r="BL150" s="564"/>
      <c r="BM150" s="564"/>
      <c r="BN150" s="564"/>
      <c r="BO150" s="564"/>
      <c r="BP150" s="564"/>
      <c r="BQ150" s="564"/>
      <c r="BR150" s="564"/>
      <c r="BS150" s="564"/>
      <c r="BT150" s="564"/>
      <c r="BU150" s="564"/>
      <c r="BV150" s="564"/>
      <c r="BW150" s="564"/>
      <c r="BX150" s="564"/>
    </row>
    <row r="151" spans="1:255" ht="18" customHeight="1">
      <c r="A151" s="566"/>
      <c r="B151" s="561"/>
      <c r="C151" s="1142"/>
      <c r="D151" s="1142"/>
      <c r="E151" s="1142"/>
      <c r="F151" s="1142"/>
      <c r="G151" s="1142"/>
      <c r="H151" s="1142"/>
      <c r="I151" s="1142"/>
      <c r="J151" s="1142"/>
      <c r="K151" s="1142"/>
      <c r="L151" s="1142"/>
      <c r="M151" s="561"/>
      <c r="N151" s="561"/>
      <c r="O151" s="561"/>
      <c r="P151" s="561"/>
      <c r="Q151" s="561"/>
      <c r="R151" s="561"/>
      <c r="S151" s="561"/>
      <c r="T151" s="561"/>
      <c r="U151" s="561"/>
      <c r="V151" s="561"/>
      <c r="W151" s="561"/>
      <c r="X151" s="561"/>
      <c r="Y151" s="561"/>
      <c r="Z151" s="561"/>
      <c r="AA151" s="561"/>
      <c r="AB151" s="561"/>
      <c r="AC151" s="561"/>
      <c r="AD151" s="561"/>
      <c r="AE151" s="561"/>
      <c r="AF151" s="561"/>
      <c r="AG151" s="561"/>
      <c r="AH151" s="567"/>
      <c r="AI151" s="567"/>
      <c r="AJ151" s="567"/>
      <c r="AK151" s="567"/>
      <c r="AL151" s="567"/>
      <c r="AM151" s="567"/>
      <c r="AN151" s="567"/>
      <c r="AO151" s="567"/>
      <c r="AP151" s="567"/>
      <c r="AQ151" s="567"/>
      <c r="AR151" s="567"/>
      <c r="AS151" s="567"/>
      <c r="AT151" s="567"/>
      <c r="AU151" s="567"/>
      <c r="AV151" s="567"/>
      <c r="AW151" s="567"/>
      <c r="AX151" s="567"/>
      <c r="AY151" s="567"/>
      <c r="AZ151" s="567"/>
      <c r="BA151" s="567"/>
      <c r="BB151" s="567"/>
      <c r="BC151" s="567"/>
      <c r="BD151" s="568"/>
      <c r="BE151" s="568"/>
      <c r="BF151" s="568"/>
      <c r="BG151" s="568"/>
      <c r="BH151" s="568"/>
      <c r="BI151" s="568"/>
      <c r="BJ151" s="568"/>
      <c r="BK151" s="568"/>
      <c r="BL151" s="568"/>
      <c r="BM151" s="568"/>
      <c r="BN151" s="568"/>
      <c r="BO151" s="568"/>
      <c r="BP151" s="568"/>
      <c r="BQ151" s="568"/>
      <c r="BR151" s="568"/>
      <c r="BS151" s="568"/>
      <c r="BT151" s="568"/>
      <c r="BU151" s="568"/>
      <c r="BV151" s="568"/>
      <c r="BW151" s="568"/>
      <c r="BX151" s="568"/>
      <c r="BY151" s="568"/>
      <c r="BZ151" s="568"/>
      <c r="CA151" s="568"/>
      <c r="CB151" s="568"/>
      <c r="CC151" s="568"/>
      <c r="CD151" s="568"/>
      <c r="CE151" s="568"/>
      <c r="CF151" s="568"/>
      <c r="CG151" s="568"/>
      <c r="CH151" s="568"/>
      <c r="CI151" s="568"/>
      <c r="CJ151" s="568"/>
      <c r="CK151" s="568"/>
      <c r="CL151" s="568"/>
      <c r="CM151" s="568"/>
      <c r="CN151" s="568"/>
      <c r="CO151" s="568"/>
      <c r="CP151" s="568"/>
      <c r="CQ151" s="568"/>
      <c r="CR151" s="568"/>
      <c r="CS151" s="568"/>
      <c r="CT151" s="568"/>
      <c r="CU151" s="568"/>
      <c r="CV151" s="568"/>
      <c r="CW151" s="568"/>
      <c r="CX151" s="568"/>
      <c r="CY151" s="568"/>
      <c r="CZ151" s="568"/>
      <c r="DA151" s="568"/>
      <c r="DB151" s="568"/>
      <c r="DC151" s="568"/>
      <c r="DD151" s="568"/>
      <c r="DE151" s="568"/>
      <c r="DF151" s="568"/>
      <c r="DG151" s="568"/>
      <c r="DH151" s="568"/>
      <c r="DI151" s="568"/>
      <c r="DJ151" s="568"/>
      <c r="DK151" s="568"/>
      <c r="DL151" s="568"/>
      <c r="DM151" s="568"/>
      <c r="DN151" s="568"/>
      <c r="DO151" s="568"/>
      <c r="DP151" s="568"/>
      <c r="DQ151" s="568"/>
      <c r="DR151" s="568"/>
      <c r="DS151" s="568"/>
      <c r="DT151" s="568"/>
      <c r="DU151" s="568"/>
      <c r="DV151" s="568"/>
      <c r="DW151" s="568"/>
      <c r="DX151" s="568"/>
      <c r="DY151" s="568"/>
      <c r="DZ151" s="568"/>
      <c r="EA151" s="568"/>
      <c r="EB151" s="568"/>
      <c r="EC151" s="568"/>
      <c r="ED151" s="568"/>
      <c r="EE151" s="568"/>
      <c r="EF151" s="568"/>
      <c r="EG151" s="568"/>
      <c r="EH151" s="568"/>
      <c r="EI151" s="568"/>
      <c r="EJ151" s="568"/>
      <c r="EK151" s="568"/>
      <c r="EL151" s="568"/>
      <c r="EM151" s="568"/>
      <c r="EN151" s="568"/>
      <c r="EO151" s="568"/>
      <c r="EP151" s="568"/>
      <c r="EQ151" s="568"/>
      <c r="ER151" s="568"/>
      <c r="ES151" s="568"/>
      <c r="ET151" s="568"/>
      <c r="EU151" s="568"/>
      <c r="EV151" s="568"/>
      <c r="EW151" s="568"/>
      <c r="EX151" s="568"/>
      <c r="EY151" s="568"/>
      <c r="EZ151" s="568"/>
      <c r="FA151" s="568"/>
      <c r="FB151" s="568"/>
      <c r="FC151" s="568"/>
      <c r="FD151" s="568"/>
      <c r="FE151" s="568"/>
      <c r="FF151" s="568"/>
      <c r="FG151" s="568"/>
      <c r="FH151" s="568"/>
      <c r="FI151" s="568"/>
      <c r="FJ151" s="568"/>
      <c r="FK151" s="568"/>
      <c r="FL151" s="568"/>
      <c r="FM151" s="568"/>
      <c r="FN151" s="568"/>
      <c r="FO151" s="568"/>
      <c r="FP151" s="568"/>
      <c r="FQ151" s="568"/>
      <c r="FR151" s="568"/>
      <c r="FS151" s="568"/>
      <c r="FT151" s="568"/>
      <c r="FU151" s="568"/>
      <c r="FV151" s="568"/>
      <c r="FW151" s="568"/>
      <c r="FX151" s="568"/>
      <c r="FY151" s="568"/>
      <c r="FZ151" s="568"/>
      <c r="GA151" s="568"/>
      <c r="GB151" s="568"/>
      <c r="GC151" s="568"/>
      <c r="GD151" s="568"/>
      <c r="GE151" s="568"/>
      <c r="GF151" s="568"/>
      <c r="GG151" s="568"/>
      <c r="GH151" s="568"/>
      <c r="GI151" s="568"/>
      <c r="GJ151" s="568"/>
      <c r="GK151" s="568"/>
      <c r="GL151" s="568"/>
      <c r="GM151" s="568"/>
      <c r="GN151" s="568"/>
      <c r="GO151" s="568"/>
      <c r="GP151" s="568"/>
      <c r="GQ151" s="568"/>
      <c r="GR151" s="568"/>
      <c r="GS151" s="568"/>
      <c r="GT151" s="568"/>
      <c r="GU151" s="568"/>
      <c r="GV151" s="568"/>
      <c r="GW151" s="568"/>
      <c r="GX151" s="568"/>
      <c r="GY151" s="568"/>
      <c r="GZ151" s="568"/>
      <c r="HA151" s="568"/>
      <c r="HB151" s="568"/>
      <c r="HC151" s="568"/>
      <c r="HD151" s="568"/>
      <c r="HE151" s="568"/>
      <c r="HF151" s="568"/>
      <c r="HG151" s="568"/>
      <c r="HH151" s="568"/>
      <c r="HI151" s="568"/>
      <c r="HJ151" s="568"/>
      <c r="HK151" s="568"/>
      <c r="HL151" s="568"/>
      <c r="HM151" s="568"/>
      <c r="HN151" s="568"/>
      <c r="HO151" s="568"/>
      <c r="HP151" s="568"/>
      <c r="HQ151" s="568"/>
      <c r="HR151" s="568"/>
      <c r="HS151" s="568"/>
      <c r="HT151" s="568"/>
      <c r="HU151" s="568"/>
      <c r="HV151" s="568"/>
      <c r="HW151" s="568"/>
      <c r="HX151" s="568"/>
      <c r="HY151" s="568"/>
      <c r="HZ151" s="568"/>
      <c r="IA151" s="568"/>
      <c r="IB151" s="568"/>
      <c r="IC151" s="568"/>
      <c r="ID151" s="568"/>
      <c r="IE151" s="568"/>
      <c r="IF151" s="568"/>
      <c r="IG151" s="568"/>
      <c r="IH151" s="568"/>
      <c r="II151" s="568"/>
      <c r="IJ151" s="568"/>
      <c r="IK151" s="568"/>
      <c r="IL151" s="568"/>
      <c r="IM151" s="568"/>
      <c r="IN151" s="568"/>
      <c r="IO151" s="568"/>
      <c r="IP151" s="568"/>
      <c r="IQ151" s="568"/>
      <c r="IR151" s="568"/>
      <c r="IS151" s="568"/>
      <c r="IT151" s="568"/>
      <c r="IU151" s="568"/>
    </row>
    <row r="152" spans="1:255" ht="18" customHeight="1">
      <c r="A152" s="566"/>
      <c r="B152" s="561"/>
      <c r="C152" s="1142"/>
      <c r="D152" s="1142"/>
      <c r="E152" s="1142"/>
      <c r="F152" s="1142"/>
      <c r="G152" s="1142"/>
      <c r="H152" s="1142"/>
      <c r="I152" s="1142"/>
      <c r="J152" s="1142"/>
      <c r="K152" s="1142"/>
      <c r="L152" s="1142"/>
      <c r="M152" s="561"/>
      <c r="N152" s="561"/>
      <c r="O152" s="561"/>
      <c r="P152" s="561"/>
      <c r="Q152" s="561"/>
      <c r="R152" s="561"/>
      <c r="S152" s="561"/>
      <c r="T152" s="561"/>
      <c r="U152" s="561"/>
      <c r="V152" s="561"/>
      <c r="W152" s="561"/>
      <c r="X152" s="561"/>
      <c r="Y152" s="561"/>
      <c r="Z152" s="561"/>
      <c r="AA152" s="561"/>
      <c r="AB152" s="561"/>
      <c r="AC152" s="561"/>
      <c r="AD152" s="561"/>
      <c r="AE152" s="561"/>
      <c r="AF152" s="561"/>
      <c r="AG152" s="561"/>
      <c r="AH152" s="567"/>
      <c r="AI152" s="567"/>
      <c r="AJ152" s="567"/>
      <c r="AK152" s="567"/>
      <c r="AL152" s="567"/>
      <c r="AM152" s="567"/>
      <c r="AN152" s="567"/>
      <c r="AO152" s="567"/>
      <c r="AP152" s="567"/>
      <c r="AQ152" s="567"/>
      <c r="AR152" s="567"/>
      <c r="AS152" s="567"/>
      <c r="AT152" s="567"/>
      <c r="AU152" s="567"/>
      <c r="AV152" s="567"/>
      <c r="AW152" s="567"/>
      <c r="AX152" s="567"/>
      <c r="AY152" s="567"/>
      <c r="AZ152" s="567"/>
      <c r="BA152" s="567"/>
      <c r="BB152" s="567"/>
      <c r="BC152" s="567"/>
      <c r="BD152" s="568"/>
      <c r="BE152" s="568"/>
      <c r="BF152" s="568"/>
      <c r="BG152" s="568"/>
      <c r="BH152" s="568"/>
      <c r="BI152" s="568"/>
      <c r="BJ152" s="568"/>
      <c r="BK152" s="568"/>
      <c r="BL152" s="568"/>
      <c r="BM152" s="568"/>
      <c r="BN152" s="568"/>
      <c r="BO152" s="568"/>
      <c r="BP152" s="568"/>
      <c r="BQ152" s="568"/>
      <c r="BR152" s="568"/>
      <c r="BS152" s="568"/>
      <c r="BT152" s="568"/>
      <c r="BU152" s="568"/>
      <c r="BV152" s="568"/>
      <c r="BW152" s="568"/>
      <c r="BX152" s="568"/>
      <c r="BY152" s="568"/>
      <c r="BZ152" s="568"/>
      <c r="CA152" s="568"/>
      <c r="CB152" s="568"/>
      <c r="CC152" s="568"/>
      <c r="CD152" s="568"/>
      <c r="CE152" s="568"/>
      <c r="CF152" s="568"/>
      <c r="CG152" s="568"/>
      <c r="CH152" s="568"/>
      <c r="CI152" s="568"/>
      <c r="CJ152" s="568"/>
      <c r="CK152" s="568"/>
      <c r="CL152" s="568"/>
      <c r="CM152" s="568"/>
      <c r="CN152" s="568"/>
      <c r="CO152" s="568"/>
      <c r="CP152" s="568"/>
      <c r="CQ152" s="568"/>
      <c r="CR152" s="568"/>
      <c r="CS152" s="568"/>
      <c r="CT152" s="568"/>
      <c r="CU152" s="568"/>
      <c r="CV152" s="568"/>
      <c r="CW152" s="568"/>
      <c r="CX152" s="568"/>
      <c r="CY152" s="568"/>
      <c r="CZ152" s="568"/>
      <c r="DA152" s="568"/>
      <c r="DB152" s="568"/>
      <c r="DC152" s="568"/>
      <c r="DD152" s="568"/>
      <c r="DE152" s="568"/>
      <c r="DF152" s="568"/>
      <c r="DG152" s="568"/>
      <c r="DH152" s="568"/>
      <c r="DI152" s="568"/>
      <c r="DJ152" s="568"/>
      <c r="DK152" s="568"/>
      <c r="DL152" s="568"/>
      <c r="DM152" s="568"/>
      <c r="DN152" s="568"/>
      <c r="DO152" s="568"/>
      <c r="DP152" s="568"/>
      <c r="DQ152" s="568"/>
      <c r="DR152" s="568"/>
      <c r="DS152" s="568"/>
      <c r="DT152" s="568"/>
      <c r="DU152" s="568"/>
      <c r="DV152" s="568"/>
      <c r="DW152" s="568"/>
      <c r="DX152" s="568"/>
      <c r="DY152" s="568"/>
      <c r="DZ152" s="568"/>
      <c r="EA152" s="568"/>
      <c r="EB152" s="568"/>
      <c r="EC152" s="568"/>
      <c r="ED152" s="568"/>
      <c r="EE152" s="568"/>
      <c r="EF152" s="568"/>
      <c r="EG152" s="568"/>
      <c r="EH152" s="568"/>
      <c r="EI152" s="568"/>
      <c r="EJ152" s="568"/>
      <c r="EK152" s="568"/>
      <c r="EL152" s="568"/>
      <c r="EM152" s="568"/>
      <c r="EN152" s="568"/>
      <c r="EO152" s="568"/>
      <c r="EP152" s="568"/>
      <c r="EQ152" s="568"/>
      <c r="ER152" s="568"/>
      <c r="ES152" s="568"/>
      <c r="ET152" s="568"/>
      <c r="EU152" s="568"/>
      <c r="EV152" s="568"/>
      <c r="EW152" s="568"/>
      <c r="EX152" s="568"/>
      <c r="EY152" s="568"/>
      <c r="EZ152" s="568"/>
      <c r="FA152" s="568"/>
      <c r="FB152" s="568"/>
      <c r="FC152" s="568"/>
      <c r="FD152" s="568"/>
      <c r="FE152" s="568"/>
      <c r="FF152" s="568"/>
      <c r="FG152" s="568"/>
      <c r="FH152" s="568"/>
      <c r="FI152" s="568"/>
      <c r="FJ152" s="568"/>
      <c r="FK152" s="568"/>
      <c r="FL152" s="568"/>
      <c r="FM152" s="568"/>
      <c r="FN152" s="568"/>
      <c r="FO152" s="568"/>
      <c r="FP152" s="568"/>
      <c r="FQ152" s="568"/>
      <c r="FR152" s="568"/>
      <c r="FS152" s="568"/>
      <c r="FT152" s="568"/>
      <c r="FU152" s="568"/>
      <c r="FV152" s="568"/>
      <c r="FW152" s="568"/>
      <c r="FX152" s="568"/>
      <c r="FY152" s="568"/>
      <c r="FZ152" s="568"/>
      <c r="GA152" s="568"/>
      <c r="GB152" s="568"/>
      <c r="GC152" s="568"/>
      <c r="GD152" s="568"/>
      <c r="GE152" s="568"/>
      <c r="GF152" s="568"/>
      <c r="GG152" s="568"/>
      <c r="GH152" s="568"/>
      <c r="GI152" s="568"/>
      <c r="GJ152" s="568"/>
      <c r="GK152" s="568"/>
      <c r="GL152" s="568"/>
      <c r="GM152" s="568"/>
      <c r="GN152" s="568"/>
      <c r="GO152" s="568"/>
      <c r="GP152" s="568"/>
      <c r="GQ152" s="568"/>
      <c r="GR152" s="568"/>
      <c r="GS152" s="568"/>
      <c r="GT152" s="568"/>
      <c r="GU152" s="568"/>
      <c r="GV152" s="568"/>
      <c r="GW152" s="568"/>
      <c r="GX152" s="568"/>
      <c r="GY152" s="568"/>
      <c r="GZ152" s="568"/>
      <c r="HA152" s="568"/>
      <c r="HB152" s="568"/>
      <c r="HC152" s="568"/>
      <c r="HD152" s="568"/>
      <c r="HE152" s="568"/>
      <c r="HF152" s="568"/>
      <c r="HG152" s="568"/>
      <c r="HH152" s="568"/>
      <c r="HI152" s="568"/>
      <c r="HJ152" s="568"/>
      <c r="HK152" s="568"/>
      <c r="HL152" s="568"/>
      <c r="HM152" s="568"/>
      <c r="HN152" s="568"/>
      <c r="HO152" s="568"/>
      <c r="HP152" s="568"/>
      <c r="HQ152" s="568"/>
      <c r="HR152" s="568"/>
      <c r="HS152" s="568"/>
      <c r="HT152" s="568"/>
      <c r="HU152" s="568"/>
      <c r="HV152" s="568"/>
      <c r="HW152" s="568"/>
      <c r="HX152" s="568"/>
      <c r="HY152" s="568"/>
      <c r="HZ152" s="568"/>
      <c r="IA152" s="568"/>
      <c r="IB152" s="568"/>
      <c r="IC152" s="568"/>
      <c r="ID152" s="568"/>
      <c r="IE152" s="568"/>
      <c r="IF152" s="568"/>
      <c r="IG152" s="568"/>
      <c r="IH152" s="568"/>
      <c r="II152" s="568"/>
      <c r="IJ152" s="568"/>
      <c r="IK152" s="568"/>
      <c r="IL152" s="568"/>
      <c r="IM152" s="568"/>
      <c r="IN152" s="568"/>
      <c r="IO152" s="568"/>
      <c r="IP152" s="568"/>
      <c r="IQ152" s="568"/>
      <c r="IR152" s="568"/>
      <c r="IS152" s="568"/>
      <c r="IT152" s="568"/>
      <c r="IU152" s="568"/>
    </row>
    <row r="153" spans="1:255" ht="18" customHeight="1">
      <c r="A153" s="566"/>
      <c r="B153" s="585"/>
      <c r="C153" s="1150"/>
      <c r="D153" s="1150"/>
      <c r="E153" s="1150"/>
      <c r="F153" s="1150"/>
      <c r="G153" s="1150"/>
      <c r="H153" s="1150"/>
      <c r="I153" s="1150"/>
      <c r="J153" s="1143"/>
      <c r="K153" s="1143"/>
      <c r="L153" s="1143"/>
      <c r="M153" s="562"/>
      <c r="N153" s="562"/>
      <c r="O153" s="562"/>
      <c r="P153" s="562"/>
      <c r="Q153" s="561"/>
      <c r="R153" s="561"/>
      <c r="S153" s="561"/>
      <c r="T153" s="561"/>
      <c r="U153" s="561"/>
      <c r="V153" s="561"/>
      <c r="W153" s="561"/>
      <c r="X153" s="561"/>
      <c r="Y153" s="561"/>
      <c r="Z153" s="561"/>
      <c r="AA153" s="561"/>
      <c r="AB153" s="561"/>
      <c r="AC153" s="561"/>
      <c r="AD153" s="561"/>
      <c r="AE153" s="561"/>
      <c r="AF153" s="561"/>
      <c r="AG153" s="561"/>
      <c r="AH153" s="567"/>
      <c r="AI153" s="567"/>
      <c r="AJ153" s="567"/>
      <c r="AK153" s="567"/>
      <c r="AL153" s="567"/>
      <c r="AM153" s="567"/>
      <c r="AN153" s="567"/>
      <c r="AO153" s="567"/>
      <c r="AP153" s="567"/>
      <c r="AQ153" s="567"/>
      <c r="AR153" s="567"/>
      <c r="AS153" s="567"/>
      <c r="AT153" s="567"/>
      <c r="AU153" s="567"/>
      <c r="AV153" s="567"/>
      <c r="AW153" s="567"/>
      <c r="AX153" s="567"/>
      <c r="AY153" s="567"/>
      <c r="AZ153" s="567"/>
      <c r="BA153" s="567"/>
      <c r="BB153" s="567"/>
      <c r="BC153" s="567"/>
      <c r="BD153" s="568"/>
      <c r="BE153" s="568"/>
      <c r="BF153" s="568"/>
      <c r="BG153" s="568"/>
      <c r="BH153" s="568"/>
      <c r="BI153" s="568"/>
      <c r="BJ153" s="568"/>
      <c r="BK153" s="568"/>
      <c r="BL153" s="568"/>
      <c r="BM153" s="568"/>
      <c r="BN153" s="568"/>
      <c r="BO153" s="568"/>
      <c r="BP153" s="568"/>
      <c r="BQ153" s="568"/>
      <c r="BR153" s="568"/>
      <c r="BS153" s="568"/>
      <c r="BT153" s="568"/>
      <c r="BU153" s="568"/>
      <c r="BV153" s="568"/>
      <c r="BW153" s="568"/>
      <c r="BX153" s="568"/>
      <c r="BY153" s="568"/>
      <c r="BZ153" s="568"/>
      <c r="CA153" s="568"/>
      <c r="CB153" s="568"/>
      <c r="CC153" s="568"/>
      <c r="CD153" s="568"/>
      <c r="CE153" s="568"/>
      <c r="CF153" s="568"/>
      <c r="CG153" s="568"/>
      <c r="CH153" s="568"/>
      <c r="CI153" s="568"/>
      <c r="CJ153" s="568"/>
      <c r="CK153" s="568"/>
      <c r="CL153" s="568"/>
      <c r="CM153" s="568"/>
      <c r="CN153" s="568"/>
      <c r="CO153" s="568"/>
      <c r="CP153" s="568"/>
      <c r="CQ153" s="568"/>
      <c r="CR153" s="568"/>
      <c r="CS153" s="568"/>
      <c r="CT153" s="568"/>
      <c r="CU153" s="568"/>
      <c r="CV153" s="568"/>
      <c r="CW153" s="568"/>
      <c r="CX153" s="568"/>
      <c r="CY153" s="568"/>
      <c r="CZ153" s="568"/>
      <c r="DA153" s="568"/>
      <c r="DB153" s="568"/>
      <c r="DC153" s="568"/>
      <c r="DD153" s="568"/>
      <c r="DE153" s="568"/>
      <c r="DF153" s="568"/>
      <c r="DG153" s="568"/>
      <c r="DH153" s="568"/>
      <c r="DI153" s="568"/>
      <c r="DJ153" s="568"/>
      <c r="DK153" s="568"/>
      <c r="DL153" s="568"/>
      <c r="DM153" s="568"/>
      <c r="DN153" s="568"/>
      <c r="DO153" s="568"/>
      <c r="DP153" s="568"/>
      <c r="DQ153" s="568"/>
      <c r="DR153" s="568"/>
      <c r="DS153" s="568"/>
      <c r="DT153" s="568"/>
      <c r="DU153" s="568"/>
      <c r="DV153" s="568"/>
      <c r="DW153" s="568"/>
      <c r="DX153" s="568"/>
      <c r="DY153" s="568"/>
      <c r="DZ153" s="568"/>
      <c r="EA153" s="568"/>
      <c r="EB153" s="568"/>
      <c r="EC153" s="568"/>
      <c r="ED153" s="568"/>
      <c r="EE153" s="568"/>
      <c r="EF153" s="568"/>
      <c r="EG153" s="568"/>
      <c r="EH153" s="568"/>
      <c r="EI153" s="568"/>
      <c r="EJ153" s="568"/>
      <c r="EK153" s="568"/>
      <c r="EL153" s="568"/>
      <c r="EM153" s="568"/>
      <c r="EN153" s="568"/>
      <c r="EO153" s="568"/>
      <c r="EP153" s="568"/>
      <c r="EQ153" s="568"/>
      <c r="ER153" s="568"/>
      <c r="ES153" s="568"/>
      <c r="ET153" s="568"/>
      <c r="EU153" s="568"/>
      <c r="EV153" s="568"/>
      <c r="EW153" s="568"/>
      <c r="EX153" s="568"/>
      <c r="EY153" s="568"/>
      <c r="EZ153" s="568"/>
      <c r="FA153" s="568"/>
      <c r="FB153" s="568"/>
      <c r="FC153" s="568"/>
      <c r="FD153" s="568"/>
      <c r="FE153" s="568"/>
      <c r="FF153" s="568"/>
      <c r="FG153" s="568"/>
      <c r="FH153" s="568"/>
      <c r="FI153" s="568"/>
      <c r="FJ153" s="568"/>
      <c r="FK153" s="568"/>
      <c r="FL153" s="568"/>
      <c r="FM153" s="568"/>
      <c r="FN153" s="568"/>
      <c r="FO153" s="568"/>
      <c r="FP153" s="568"/>
      <c r="FQ153" s="568"/>
      <c r="FR153" s="568"/>
      <c r="FS153" s="568"/>
      <c r="FT153" s="568"/>
      <c r="FU153" s="568"/>
      <c r="FV153" s="568"/>
      <c r="FW153" s="568"/>
      <c r="FX153" s="568"/>
      <c r="FY153" s="568"/>
      <c r="FZ153" s="568"/>
      <c r="GA153" s="568"/>
      <c r="GB153" s="568"/>
      <c r="GC153" s="568"/>
      <c r="GD153" s="568"/>
      <c r="GE153" s="568"/>
      <c r="GF153" s="568"/>
      <c r="GG153" s="568"/>
      <c r="GH153" s="568"/>
      <c r="GI153" s="568"/>
      <c r="GJ153" s="568"/>
      <c r="GK153" s="568"/>
      <c r="GL153" s="568"/>
      <c r="GM153" s="568"/>
      <c r="GN153" s="568"/>
      <c r="GO153" s="568"/>
      <c r="GP153" s="568"/>
      <c r="GQ153" s="568"/>
      <c r="GR153" s="568"/>
      <c r="GS153" s="568"/>
      <c r="GT153" s="568"/>
      <c r="GU153" s="568"/>
      <c r="GV153" s="568"/>
      <c r="GW153" s="568"/>
      <c r="GX153" s="568"/>
      <c r="GY153" s="568"/>
      <c r="GZ153" s="568"/>
      <c r="HA153" s="568"/>
      <c r="HB153" s="568"/>
      <c r="HC153" s="568"/>
      <c r="HD153" s="568"/>
      <c r="HE153" s="568"/>
      <c r="HF153" s="568"/>
      <c r="HG153" s="568"/>
      <c r="HH153" s="568"/>
      <c r="HI153" s="568"/>
      <c r="HJ153" s="568"/>
      <c r="HK153" s="568"/>
      <c r="HL153" s="568"/>
      <c r="HM153" s="568"/>
      <c r="HN153" s="568"/>
      <c r="HO153" s="568"/>
      <c r="HP153" s="568"/>
      <c r="HQ153" s="568"/>
      <c r="HR153" s="568"/>
      <c r="HS153" s="568"/>
      <c r="HT153" s="568"/>
      <c r="HU153" s="568"/>
      <c r="HV153" s="568"/>
      <c r="HW153" s="568"/>
      <c r="HX153" s="568"/>
      <c r="HY153" s="568"/>
      <c r="HZ153" s="568"/>
      <c r="IA153" s="568"/>
      <c r="IB153" s="568"/>
      <c r="IC153" s="568"/>
      <c r="ID153" s="568"/>
      <c r="IE153" s="568"/>
      <c r="IF153" s="568"/>
      <c r="IG153" s="568"/>
      <c r="IH153" s="568"/>
      <c r="II153" s="568"/>
      <c r="IJ153" s="568"/>
      <c r="IK153" s="568"/>
      <c r="IL153" s="568"/>
      <c r="IM153" s="568"/>
      <c r="IN153" s="568"/>
      <c r="IO153" s="568"/>
      <c r="IP153" s="568"/>
      <c r="IQ153" s="568"/>
      <c r="IR153" s="568"/>
      <c r="IS153" s="568"/>
      <c r="IT153" s="568"/>
      <c r="IU153" s="568"/>
    </row>
    <row r="154" spans="1:255" ht="18" customHeight="1">
      <c r="A154" s="586"/>
      <c r="B154" s="561"/>
      <c r="C154" s="1142"/>
      <c r="D154" s="1142"/>
      <c r="E154" s="1142"/>
      <c r="F154" s="1142"/>
      <c r="G154" s="1142"/>
      <c r="H154" s="1142"/>
      <c r="I154" s="1142"/>
      <c r="J154" s="1142"/>
      <c r="K154" s="1142"/>
      <c r="L154" s="1142"/>
      <c r="M154" s="561"/>
      <c r="N154" s="561"/>
      <c r="O154" s="561"/>
      <c r="P154" s="561"/>
      <c r="Q154" s="561"/>
      <c r="R154" s="561"/>
      <c r="S154" s="561"/>
      <c r="T154" s="561"/>
      <c r="U154" s="561"/>
      <c r="V154" s="561"/>
      <c r="W154" s="561"/>
      <c r="X154" s="561"/>
      <c r="Y154" s="561"/>
      <c r="Z154" s="561"/>
      <c r="AA154" s="561"/>
      <c r="AB154" s="561"/>
      <c r="AC154" s="561"/>
      <c r="AD154" s="561"/>
      <c r="AE154" s="561"/>
      <c r="AF154" s="561"/>
      <c r="AG154" s="561"/>
      <c r="AH154" s="567"/>
      <c r="AI154" s="567"/>
      <c r="AJ154" s="567"/>
      <c r="AK154" s="567"/>
      <c r="AL154" s="567"/>
      <c r="AM154" s="567"/>
      <c r="AN154" s="567"/>
      <c r="AO154" s="567"/>
      <c r="AP154" s="567"/>
      <c r="AQ154" s="567"/>
      <c r="AR154" s="567"/>
      <c r="AS154" s="567"/>
      <c r="AT154" s="567"/>
      <c r="AU154" s="567"/>
      <c r="AV154" s="567"/>
      <c r="AW154" s="567"/>
      <c r="AX154" s="567"/>
      <c r="AY154" s="567"/>
      <c r="AZ154" s="567"/>
      <c r="BA154" s="567"/>
      <c r="BB154" s="567"/>
      <c r="BC154" s="567"/>
      <c r="BD154" s="568"/>
      <c r="BE154" s="568"/>
      <c r="BF154" s="568"/>
      <c r="BG154" s="568"/>
      <c r="BH154" s="568"/>
      <c r="BI154" s="568"/>
      <c r="BJ154" s="568"/>
      <c r="BK154" s="568"/>
      <c r="BL154" s="568"/>
      <c r="BM154" s="568"/>
      <c r="BN154" s="568"/>
      <c r="BO154" s="568"/>
      <c r="BP154" s="568"/>
      <c r="BQ154" s="568"/>
      <c r="BR154" s="568"/>
      <c r="BS154" s="568"/>
      <c r="BT154" s="568"/>
      <c r="BU154" s="568"/>
      <c r="BV154" s="568"/>
      <c r="BW154" s="568"/>
      <c r="BX154" s="568"/>
      <c r="BY154" s="568"/>
      <c r="BZ154" s="568"/>
      <c r="CA154" s="568"/>
      <c r="CB154" s="568"/>
      <c r="CC154" s="568"/>
      <c r="CD154" s="568"/>
      <c r="CE154" s="568"/>
      <c r="CF154" s="568"/>
      <c r="CG154" s="568"/>
      <c r="CH154" s="568"/>
      <c r="CI154" s="568"/>
      <c r="CJ154" s="568"/>
      <c r="CK154" s="568"/>
      <c r="CL154" s="568"/>
      <c r="CM154" s="568"/>
      <c r="CN154" s="568"/>
      <c r="CO154" s="568"/>
      <c r="CP154" s="568"/>
      <c r="CQ154" s="568"/>
      <c r="CR154" s="568"/>
      <c r="CS154" s="568"/>
      <c r="CT154" s="568"/>
      <c r="CU154" s="568"/>
      <c r="CV154" s="568"/>
      <c r="CW154" s="568"/>
      <c r="CX154" s="568"/>
      <c r="CY154" s="568"/>
      <c r="CZ154" s="568"/>
      <c r="DA154" s="568"/>
      <c r="DB154" s="568"/>
      <c r="DC154" s="568"/>
      <c r="DD154" s="568"/>
      <c r="DE154" s="568"/>
      <c r="DF154" s="568"/>
      <c r="DG154" s="568"/>
      <c r="DH154" s="568"/>
      <c r="DI154" s="568"/>
      <c r="DJ154" s="568"/>
      <c r="DK154" s="568"/>
      <c r="DL154" s="568"/>
      <c r="DM154" s="568"/>
      <c r="DN154" s="568"/>
      <c r="DO154" s="568"/>
      <c r="DP154" s="568"/>
      <c r="DQ154" s="568"/>
      <c r="DR154" s="568"/>
      <c r="DS154" s="568"/>
      <c r="DT154" s="568"/>
      <c r="DU154" s="568"/>
      <c r="DV154" s="568"/>
      <c r="DW154" s="568"/>
      <c r="DX154" s="568"/>
      <c r="DY154" s="568"/>
      <c r="DZ154" s="568"/>
      <c r="EA154" s="568"/>
      <c r="EB154" s="568"/>
      <c r="EC154" s="568"/>
      <c r="ED154" s="568"/>
      <c r="EE154" s="568"/>
      <c r="EF154" s="568"/>
      <c r="EG154" s="568"/>
      <c r="EH154" s="568"/>
      <c r="EI154" s="568"/>
      <c r="EJ154" s="568"/>
      <c r="EK154" s="568"/>
      <c r="EL154" s="568"/>
      <c r="EM154" s="568"/>
      <c r="EN154" s="568"/>
      <c r="EO154" s="568"/>
      <c r="EP154" s="568"/>
      <c r="EQ154" s="568"/>
      <c r="ER154" s="568"/>
      <c r="ES154" s="568"/>
      <c r="ET154" s="568"/>
      <c r="EU154" s="568"/>
      <c r="EV154" s="568"/>
      <c r="EW154" s="568"/>
      <c r="EX154" s="568"/>
      <c r="EY154" s="568"/>
      <c r="EZ154" s="568"/>
      <c r="FA154" s="568"/>
      <c r="FB154" s="568"/>
      <c r="FC154" s="568"/>
      <c r="FD154" s="568"/>
      <c r="FE154" s="568"/>
      <c r="FF154" s="568"/>
      <c r="FG154" s="568"/>
      <c r="FH154" s="568"/>
      <c r="FI154" s="568"/>
      <c r="FJ154" s="568"/>
      <c r="FK154" s="568"/>
      <c r="FL154" s="568"/>
      <c r="FM154" s="568"/>
      <c r="FN154" s="568"/>
      <c r="FO154" s="568"/>
      <c r="FP154" s="568"/>
      <c r="FQ154" s="568"/>
      <c r="FR154" s="568"/>
      <c r="FS154" s="568"/>
      <c r="FT154" s="568"/>
      <c r="FU154" s="568"/>
      <c r="FV154" s="568"/>
      <c r="FW154" s="568"/>
      <c r="FX154" s="568"/>
      <c r="FY154" s="568"/>
      <c r="FZ154" s="568"/>
      <c r="GA154" s="568"/>
      <c r="GB154" s="568"/>
      <c r="GC154" s="568"/>
      <c r="GD154" s="568"/>
      <c r="GE154" s="568"/>
      <c r="GF154" s="568"/>
      <c r="GG154" s="568"/>
      <c r="GH154" s="568"/>
      <c r="GI154" s="568"/>
      <c r="GJ154" s="568"/>
      <c r="GK154" s="568"/>
      <c r="GL154" s="568"/>
      <c r="GM154" s="568"/>
      <c r="GN154" s="568"/>
      <c r="GO154" s="568"/>
      <c r="GP154" s="568"/>
      <c r="GQ154" s="568"/>
      <c r="GR154" s="568"/>
      <c r="GS154" s="568"/>
      <c r="GT154" s="568"/>
      <c r="GU154" s="568"/>
      <c r="GV154" s="568"/>
      <c r="GW154" s="568"/>
      <c r="GX154" s="568"/>
      <c r="GY154" s="568"/>
      <c r="GZ154" s="568"/>
      <c r="HA154" s="568"/>
      <c r="HB154" s="568"/>
      <c r="HC154" s="568"/>
      <c r="HD154" s="568"/>
      <c r="HE154" s="568"/>
      <c r="HF154" s="568"/>
      <c r="HG154" s="568"/>
      <c r="HH154" s="568"/>
      <c r="HI154" s="568"/>
      <c r="HJ154" s="568"/>
      <c r="HK154" s="568"/>
      <c r="HL154" s="568"/>
      <c r="HM154" s="568"/>
      <c r="HN154" s="568"/>
      <c r="HO154" s="568"/>
      <c r="HP154" s="568"/>
      <c r="HQ154" s="568"/>
      <c r="HR154" s="568"/>
      <c r="HS154" s="568"/>
      <c r="HT154" s="568"/>
      <c r="HU154" s="568"/>
      <c r="HV154" s="568"/>
      <c r="HW154" s="568"/>
      <c r="HX154" s="568"/>
      <c r="HY154" s="568"/>
      <c r="HZ154" s="568"/>
      <c r="IA154" s="568"/>
      <c r="IB154" s="568"/>
      <c r="IC154" s="568"/>
      <c r="ID154" s="568"/>
      <c r="IE154" s="568"/>
      <c r="IF154" s="568"/>
      <c r="IG154" s="568"/>
      <c r="IH154" s="568"/>
      <c r="II154" s="568"/>
      <c r="IJ154" s="568"/>
      <c r="IK154" s="568"/>
      <c r="IL154" s="568"/>
      <c r="IM154" s="568"/>
      <c r="IN154" s="568"/>
      <c r="IO154" s="568"/>
      <c r="IP154" s="568"/>
      <c r="IQ154" s="568"/>
      <c r="IR154" s="568"/>
      <c r="IS154" s="568"/>
      <c r="IT154" s="568"/>
      <c r="IU154" s="568"/>
    </row>
    <row r="155" spans="1:255" ht="18" customHeight="1">
      <c r="A155" s="554"/>
      <c r="B155" s="561"/>
      <c r="C155" s="1142"/>
      <c r="D155" s="1142"/>
      <c r="E155" s="1142"/>
      <c r="F155" s="1142"/>
      <c r="G155" s="1142"/>
      <c r="H155" s="1142"/>
      <c r="I155" s="1142"/>
      <c r="J155" s="1142"/>
      <c r="K155" s="1142"/>
      <c r="L155" s="1142"/>
      <c r="M155" s="561"/>
      <c r="N155" s="561"/>
      <c r="O155" s="561"/>
      <c r="P155" s="561"/>
      <c r="Q155" s="561"/>
      <c r="R155" s="561"/>
      <c r="S155" s="561"/>
      <c r="T155" s="561"/>
      <c r="U155" s="561"/>
      <c r="V155" s="561"/>
      <c r="W155" s="561"/>
      <c r="X155" s="561"/>
      <c r="Y155" s="561"/>
      <c r="Z155" s="561"/>
      <c r="AA155" s="561"/>
      <c r="AB155" s="561"/>
      <c r="AC155" s="561"/>
      <c r="AD155" s="561"/>
      <c r="AE155" s="561"/>
      <c r="AF155" s="561"/>
      <c r="AG155" s="561"/>
      <c r="AH155" s="567"/>
      <c r="AI155" s="567"/>
      <c r="AJ155" s="567"/>
      <c r="AK155" s="567"/>
      <c r="AL155" s="567"/>
      <c r="AM155" s="567"/>
      <c r="AN155" s="567"/>
      <c r="AO155" s="567"/>
      <c r="AP155" s="567"/>
      <c r="AQ155" s="567"/>
      <c r="AR155" s="567"/>
      <c r="AS155" s="567"/>
      <c r="AT155" s="567"/>
      <c r="AU155" s="567"/>
      <c r="AV155" s="567"/>
      <c r="AW155" s="567"/>
      <c r="AX155" s="567"/>
      <c r="AY155" s="567"/>
      <c r="AZ155" s="567"/>
      <c r="BA155" s="567"/>
      <c r="BB155" s="567"/>
      <c r="BC155" s="567"/>
      <c r="BD155" s="568"/>
      <c r="BE155" s="568"/>
      <c r="BF155" s="568"/>
      <c r="BG155" s="568"/>
      <c r="BH155" s="568"/>
      <c r="BI155" s="568"/>
      <c r="BJ155" s="568"/>
      <c r="BK155" s="568"/>
      <c r="BL155" s="568"/>
      <c r="BM155" s="568"/>
      <c r="BN155" s="568"/>
      <c r="BO155" s="568"/>
      <c r="BP155" s="568"/>
      <c r="BQ155" s="568"/>
      <c r="BR155" s="568"/>
      <c r="BS155" s="568"/>
      <c r="BT155" s="568"/>
      <c r="BU155" s="568"/>
      <c r="BV155" s="568"/>
      <c r="BW155" s="568"/>
      <c r="BX155" s="568"/>
      <c r="BY155" s="568"/>
      <c r="BZ155" s="568"/>
      <c r="CA155" s="568"/>
      <c r="CB155" s="568"/>
      <c r="CC155" s="568"/>
      <c r="CD155" s="568"/>
      <c r="CE155" s="568"/>
      <c r="CF155" s="568"/>
      <c r="CG155" s="568"/>
      <c r="CH155" s="568"/>
      <c r="CI155" s="568"/>
      <c r="CJ155" s="568"/>
      <c r="CK155" s="568"/>
      <c r="CL155" s="568"/>
      <c r="CM155" s="568"/>
      <c r="CN155" s="568"/>
      <c r="CO155" s="568"/>
      <c r="CP155" s="568"/>
      <c r="CQ155" s="568"/>
      <c r="CR155" s="568"/>
      <c r="CS155" s="568"/>
      <c r="CT155" s="568"/>
      <c r="CU155" s="568"/>
      <c r="CV155" s="568"/>
      <c r="CW155" s="568"/>
      <c r="CX155" s="568"/>
      <c r="CY155" s="568"/>
      <c r="CZ155" s="568"/>
      <c r="DA155" s="568"/>
      <c r="DB155" s="568"/>
      <c r="DC155" s="568"/>
      <c r="DD155" s="568"/>
      <c r="DE155" s="568"/>
      <c r="DF155" s="568"/>
      <c r="DG155" s="568"/>
      <c r="DH155" s="568"/>
      <c r="DI155" s="568"/>
      <c r="DJ155" s="568"/>
      <c r="DK155" s="568"/>
      <c r="DL155" s="568"/>
      <c r="DM155" s="568"/>
      <c r="DN155" s="568"/>
      <c r="DO155" s="568"/>
      <c r="DP155" s="568"/>
      <c r="DQ155" s="568"/>
      <c r="DR155" s="568"/>
      <c r="DS155" s="568"/>
      <c r="DT155" s="568"/>
      <c r="DU155" s="568"/>
      <c r="DV155" s="568"/>
      <c r="DW155" s="568"/>
      <c r="DX155" s="568"/>
      <c r="DY155" s="568"/>
      <c r="DZ155" s="568"/>
      <c r="EA155" s="568"/>
      <c r="EB155" s="568"/>
      <c r="EC155" s="568"/>
      <c r="ED155" s="568"/>
      <c r="EE155" s="568"/>
      <c r="EF155" s="568"/>
      <c r="EG155" s="568"/>
      <c r="EH155" s="568"/>
      <c r="EI155" s="568"/>
      <c r="EJ155" s="568"/>
      <c r="EK155" s="568"/>
      <c r="EL155" s="568"/>
      <c r="EM155" s="568"/>
      <c r="EN155" s="568"/>
      <c r="EO155" s="568"/>
      <c r="EP155" s="568"/>
      <c r="EQ155" s="568"/>
      <c r="ER155" s="568"/>
      <c r="ES155" s="568"/>
      <c r="ET155" s="568"/>
      <c r="EU155" s="568"/>
      <c r="EV155" s="568"/>
      <c r="EW155" s="568"/>
      <c r="EX155" s="568"/>
      <c r="EY155" s="568"/>
      <c r="EZ155" s="568"/>
      <c r="FA155" s="568"/>
      <c r="FB155" s="568"/>
      <c r="FC155" s="568"/>
      <c r="FD155" s="568"/>
      <c r="FE155" s="568"/>
      <c r="FF155" s="568"/>
      <c r="FG155" s="568"/>
      <c r="FH155" s="568"/>
      <c r="FI155" s="568"/>
      <c r="FJ155" s="568"/>
      <c r="FK155" s="568"/>
      <c r="FL155" s="568"/>
      <c r="FM155" s="568"/>
      <c r="FN155" s="568"/>
      <c r="FO155" s="568"/>
      <c r="FP155" s="568"/>
      <c r="FQ155" s="568"/>
      <c r="FR155" s="568"/>
      <c r="FS155" s="568"/>
      <c r="FT155" s="568"/>
      <c r="FU155" s="568"/>
      <c r="FV155" s="568"/>
      <c r="FW155" s="568"/>
      <c r="FX155" s="568"/>
      <c r="FY155" s="568"/>
      <c r="FZ155" s="568"/>
      <c r="GA155" s="568"/>
      <c r="GB155" s="568"/>
      <c r="GC155" s="568"/>
      <c r="GD155" s="568"/>
      <c r="GE155" s="568"/>
      <c r="GF155" s="568"/>
      <c r="GG155" s="568"/>
      <c r="GH155" s="568"/>
      <c r="GI155" s="568"/>
      <c r="GJ155" s="568"/>
      <c r="GK155" s="568"/>
      <c r="GL155" s="568"/>
      <c r="GM155" s="568"/>
      <c r="GN155" s="568"/>
      <c r="GO155" s="568"/>
      <c r="GP155" s="568"/>
      <c r="GQ155" s="568"/>
      <c r="GR155" s="568"/>
      <c r="GS155" s="568"/>
      <c r="GT155" s="568"/>
      <c r="GU155" s="568"/>
      <c r="GV155" s="568"/>
      <c r="GW155" s="568"/>
      <c r="GX155" s="568"/>
      <c r="GY155" s="568"/>
      <c r="GZ155" s="568"/>
      <c r="HA155" s="568"/>
      <c r="HB155" s="568"/>
      <c r="HC155" s="568"/>
      <c r="HD155" s="568"/>
      <c r="HE155" s="568"/>
      <c r="HF155" s="568"/>
      <c r="HG155" s="568"/>
      <c r="HH155" s="568"/>
      <c r="HI155" s="568"/>
      <c r="HJ155" s="568"/>
      <c r="HK155" s="568"/>
      <c r="HL155" s="568"/>
      <c r="HM155" s="568"/>
      <c r="HN155" s="568"/>
      <c r="HO155" s="568"/>
      <c r="HP155" s="568"/>
      <c r="HQ155" s="568"/>
      <c r="HR155" s="568"/>
      <c r="HS155" s="568"/>
      <c r="HT155" s="568"/>
      <c r="HU155" s="568"/>
      <c r="HV155" s="568"/>
      <c r="HW155" s="568"/>
      <c r="HX155" s="568"/>
      <c r="HY155" s="568"/>
      <c r="HZ155" s="568"/>
      <c r="IA155" s="568"/>
      <c r="IB155" s="568"/>
      <c r="IC155" s="568"/>
      <c r="ID155" s="568"/>
      <c r="IE155" s="568"/>
      <c r="IF155" s="568"/>
      <c r="IG155" s="568"/>
      <c r="IH155" s="568"/>
      <c r="II155" s="568"/>
      <c r="IJ155" s="568"/>
      <c r="IK155" s="568"/>
      <c r="IL155" s="568"/>
      <c r="IM155" s="568"/>
      <c r="IN155" s="568"/>
      <c r="IO155" s="568"/>
      <c r="IP155" s="568"/>
      <c r="IQ155" s="568"/>
      <c r="IR155" s="568"/>
      <c r="IS155" s="568"/>
      <c r="IT155" s="568"/>
      <c r="IU155" s="568"/>
    </row>
    <row r="156" spans="1:255" s="568" customFormat="1" ht="18" customHeight="1">
      <c r="A156" s="554"/>
      <c r="B156" s="561"/>
      <c r="C156" s="1142"/>
      <c r="D156" s="1142"/>
      <c r="E156" s="1142"/>
      <c r="F156" s="1142"/>
      <c r="G156" s="1142"/>
      <c r="H156" s="1142"/>
      <c r="I156" s="1142"/>
      <c r="J156" s="1142"/>
      <c r="K156" s="1142"/>
      <c r="L156" s="1142"/>
      <c r="M156" s="561"/>
      <c r="N156" s="561"/>
      <c r="O156" s="561"/>
      <c r="P156" s="561"/>
      <c r="Q156" s="561"/>
      <c r="R156" s="561"/>
      <c r="S156" s="561"/>
      <c r="T156" s="561"/>
      <c r="U156" s="561"/>
      <c r="V156" s="561"/>
      <c r="W156" s="561"/>
      <c r="X156" s="561"/>
      <c r="Y156" s="561"/>
      <c r="Z156" s="561"/>
      <c r="AA156" s="561"/>
      <c r="AB156" s="561"/>
      <c r="AC156" s="561"/>
      <c r="AD156" s="561"/>
      <c r="AE156" s="561"/>
      <c r="AF156" s="561"/>
      <c r="AG156" s="561"/>
      <c r="AH156" s="567"/>
      <c r="AI156" s="567"/>
      <c r="AJ156" s="567"/>
      <c r="AK156" s="567"/>
      <c r="AL156" s="567"/>
      <c r="AM156" s="567"/>
      <c r="AN156" s="567"/>
      <c r="AO156" s="567"/>
      <c r="AP156" s="567"/>
      <c r="AQ156" s="567"/>
      <c r="AR156" s="567"/>
      <c r="AS156" s="567"/>
      <c r="AT156" s="567"/>
      <c r="AU156" s="567"/>
      <c r="AV156" s="567"/>
      <c r="AW156" s="567"/>
      <c r="AX156" s="567"/>
      <c r="AY156" s="567"/>
      <c r="AZ156" s="567"/>
      <c r="BA156" s="567"/>
      <c r="BB156" s="567"/>
      <c r="BC156" s="567"/>
    </row>
    <row r="157" spans="1:255" ht="18" customHeight="1">
      <c r="A157" s="554"/>
      <c r="B157" s="561"/>
      <c r="C157" s="1142"/>
      <c r="D157" s="1142"/>
      <c r="E157" s="1142"/>
      <c r="F157" s="1142"/>
      <c r="G157" s="1142"/>
      <c r="H157" s="1142"/>
      <c r="I157" s="1142"/>
      <c r="J157" s="1142"/>
      <c r="K157" s="1142"/>
      <c r="L157" s="1142"/>
      <c r="M157" s="561"/>
      <c r="N157" s="561"/>
      <c r="O157" s="561"/>
      <c r="P157" s="561"/>
      <c r="Q157" s="561"/>
      <c r="R157" s="561"/>
      <c r="S157" s="561"/>
      <c r="T157" s="561"/>
      <c r="U157" s="561"/>
      <c r="V157" s="561"/>
      <c r="W157" s="561"/>
      <c r="X157" s="561"/>
      <c r="Y157" s="561"/>
      <c r="Z157" s="561"/>
      <c r="AA157" s="561"/>
      <c r="AB157" s="561"/>
      <c r="AC157" s="561"/>
      <c r="AD157" s="561"/>
      <c r="AE157" s="561"/>
      <c r="AF157" s="561"/>
      <c r="AG157" s="561"/>
      <c r="AH157" s="567"/>
      <c r="AI157" s="567"/>
      <c r="AJ157" s="567"/>
      <c r="AK157" s="567"/>
      <c r="AL157" s="567"/>
      <c r="AM157" s="567"/>
      <c r="AN157" s="567"/>
      <c r="AO157" s="567"/>
      <c r="AP157" s="567"/>
      <c r="AQ157" s="567"/>
      <c r="AR157" s="567"/>
      <c r="AS157" s="567"/>
      <c r="AT157" s="567"/>
      <c r="AU157" s="567"/>
      <c r="AV157" s="567"/>
      <c r="AW157" s="567"/>
      <c r="AX157" s="567"/>
      <c r="AY157" s="567"/>
      <c r="AZ157" s="567"/>
      <c r="BA157" s="567"/>
      <c r="BB157" s="567"/>
      <c r="BC157" s="567"/>
      <c r="BD157" s="568"/>
      <c r="BE157" s="568"/>
      <c r="BF157" s="568"/>
      <c r="BG157" s="568"/>
      <c r="BH157" s="568"/>
      <c r="BI157" s="568"/>
      <c r="BJ157" s="568"/>
      <c r="BK157" s="568"/>
      <c r="BL157" s="568"/>
      <c r="BM157" s="568"/>
      <c r="BN157" s="568"/>
      <c r="BO157" s="568"/>
      <c r="BP157" s="568"/>
      <c r="BQ157" s="568"/>
      <c r="BR157" s="568"/>
      <c r="BS157" s="568"/>
      <c r="BT157" s="568"/>
      <c r="BU157" s="568"/>
      <c r="BV157" s="568"/>
      <c r="BW157" s="568"/>
      <c r="BX157" s="568"/>
      <c r="BY157" s="568"/>
      <c r="BZ157" s="568"/>
      <c r="CA157" s="568"/>
      <c r="CB157" s="568"/>
      <c r="CC157" s="568"/>
      <c r="CD157" s="568"/>
      <c r="CE157" s="568"/>
      <c r="CF157" s="568"/>
      <c r="CG157" s="568"/>
      <c r="CH157" s="568"/>
      <c r="CI157" s="568"/>
      <c r="CJ157" s="568"/>
      <c r="CK157" s="568"/>
      <c r="CL157" s="568"/>
      <c r="CM157" s="568"/>
      <c r="CN157" s="568"/>
      <c r="CO157" s="568"/>
      <c r="CP157" s="568"/>
      <c r="CQ157" s="568"/>
      <c r="CR157" s="568"/>
      <c r="CS157" s="568"/>
      <c r="CT157" s="568"/>
      <c r="CU157" s="568"/>
      <c r="CV157" s="568"/>
      <c r="CW157" s="568"/>
      <c r="CX157" s="568"/>
      <c r="CY157" s="568"/>
      <c r="CZ157" s="568"/>
      <c r="DA157" s="568"/>
      <c r="DB157" s="568"/>
      <c r="DC157" s="568"/>
      <c r="DD157" s="568"/>
      <c r="DE157" s="568"/>
      <c r="DF157" s="568"/>
      <c r="DG157" s="568"/>
      <c r="DH157" s="568"/>
      <c r="DI157" s="568"/>
      <c r="DJ157" s="568"/>
      <c r="DK157" s="568"/>
      <c r="DL157" s="568"/>
      <c r="DM157" s="568"/>
      <c r="DN157" s="568"/>
      <c r="DO157" s="568"/>
      <c r="DP157" s="568"/>
      <c r="DQ157" s="568"/>
      <c r="DR157" s="568"/>
      <c r="DS157" s="568"/>
      <c r="DT157" s="568"/>
      <c r="DU157" s="568"/>
      <c r="DV157" s="568"/>
      <c r="DW157" s="568"/>
      <c r="DX157" s="568"/>
      <c r="DY157" s="568"/>
      <c r="DZ157" s="568"/>
      <c r="EA157" s="568"/>
      <c r="EB157" s="568"/>
      <c r="EC157" s="568"/>
      <c r="ED157" s="568"/>
      <c r="EE157" s="568"/>
      <c r="EF157" s="568"/>
      <c r="EG157" s="568"/>
      <c r="EH157" s="568"/>
      <c r="EI157" s="568"/>
      <c r="EJ157" s="568"/>
      <c r="EK157" s="568"/>
      <c r="EL157" s="568"/>
      <c r="EM157" s="568"/>
      <c r="EN157" s="568"/>
      <c r="EO157" s="568"/>
      <c r="EP157" s="568"/>
      <c r="EQ157" s="568"/>
      <c r="ER157" s="568"/>
      <c r="ES157" s="568"/>
      <c r="ET157" s="568"/>
      <c r="EU157" s="568"/>
      <c r="EV157" s="568"/>
      <c r="EW157" s="568"/>
      <c r="EX157" s="568"/>
      <c r="EY157" s="568"/>
      <c r="EZ157" s="568"/>
      <c r="FA157" s="568"/>
      <c r="FB157" s="568"/>
      <c r="FC157" s="568"/>
      <c r="FD157" s="568"/>
      <c r="FE157" s="568"/>
      <c r="FF157" s="568"/>
      <c r="FG157" s="568"/>
      <c r="FH157" s="568"/>
      <c r="FI157" s="568"/>
      <c r="FJ157" s="568"/>
      <c r="FK157" s="568"/>
      <c r="FL157" s="568"/>
      <c r="FM157" s="568"/>
      <c r="FN157" s="568"/>
      <c r="FO157" s="568"/>
      <c r="FP157" s="568"/>
      <c r="FQ157" s="568"/>
      <c r="FR157" s="568"/>
      <c r="FS157" s="568"/>
      <c r="FT157" s="568"/>
      <c r="FU157" s="568"/>
      <c r="FV157" s="568"/>
      <c r="FW157" s="568"/>
      <c r="FX157" s="568"/>
      <c r="FY157" s="568"/>
      <c r="FZ157" s="568"/>
      <c r="GA157" s="568"/>
      <c r="GB157" s="568"/>
      <c r="GC157" s="568"/>
      <c r="GD157" s="568"/>
      <c r="GE157" s="568"/>
      <c r="GF157" s="568"/>
      <c r="GG157" s="568"/>
      <c r="GH157" s="568"/>
      <c r="GI157" s="568"/>
      <c r="GJ157" s="568"/>
      <c r="GK157" s="568"/>
      <c r="GL157" s="568"/>
      <c r="GM157" s="568"/>
      <c r="GN157" s="568"/>
      <c r="GO157" s="568"/>
      <c r="GP157" s="568"/>
      <c r="GQ157" s="568"/>
      <c r="GR157" s="568"/>
      <c r="GS157" s="568"/>
      <c r="GT157" s="568"/>
      <c r="GU157" s="568"/>
      <c r="GV157" s="568"/>
      <c r="GW157" s="568"/>
      <c r="GX157" s="568"/>
      <c r="GY157" s="568"/>
      <c r="GZ157" s="568"/>
      <c r="HA157" s="568"/>
      <c r="HB157" s="568"/>
      <c r="HC157" s="568"/>
      <c r="HD157" s="568"/>
      <c r="HE157" s="568"/>
      <c r="HF157" s="568"/>
      <c r="HG157" s="568"/>
      <c r="HH157" s="568"/>
      <c r="HI157" s="568"/>
      <c r="HJ157" s="568"/>
      <c r="HK157" s="568"/>
      <c r="HL157" s="568"/>
      <c r="HM157" s="568"/>
      <c r="HN157" s="568"/>
      <c r="HO157" s="568"/>
      <c r="HP157" s="568"/>
      <c r="HQ157" s="568"/>
      <c r="HR157" s="568"/>
      <c r="HS157" s="568"/>
      <c r="HT157" s="568"/>
      <c r="HU157" s="568"/>
      <c r="HV157" s="568"/>
      <c r="HW157" s="568"/>
      <c r="HX157" s="568"/>
      <c r="HY157" s="568"/>
      <c r="HZ157" s="568"/>
      <c r="IA157" s="568"/>
      <c r="IB157" s="568"/>
      <c r="IC157" s="568"/>
      <c r="ID157" s="568"/>
      <c r="IE157" s="568"/>
      <c r="IF157" s="568"/>
      <c r="IG157" s="568"/>
      <c r="IH157" s="568"/>
      <c r="II157" s="568"/>
      <c r="IJ157" s="568"/>
      <c r="IK157" s="568"/>
      <c r="IL157" s="568"/>
      <c r="IM157" s="568"/>
      <c r="IN157" s="568"/>
      <c r="IO157" s="568"/>
      <c r="IP157" s="568"/>
      <c r="IQ157" s="568"/>
      <c r="IR157" s="568"/>
      <c r="IS157" s="568"/>
      <c r="IT157" s="568"/>
      <c r="IU157" s="568"/>
    </row>
    <row r="158" spans="1:255" ht="18" customHeight="1">
      <c r="A158" s="554"/>
      <c r="B158" s="561"/>
      <c r="C158" s="1142"/>
      <c r="D158" s="1142"/>
      <c r="E158" s="1142"/>
      <c r="F158" s="1142"/>
      <c r="G158" s="1142"/>
      <c r="H158" s="1142"/>
      <c r="I158" s="1142"/>
      <c r="J158" s="1142"/>
      <c r="K158" s="1142"/>
      <c r="L158" s="1142"/>
      <c r="M158" s="561"/>
      <c r="N158" s="561"/>
      <c r="O158" s="561"/>
      <c r="P158" s="561"/>
      <c r="Q158" s="561"/>
      <c r="R158" s="561"/>
      <c r="S158" s="561"/>
      <c r="T158" s="561"/>
      <c r="U158" s="561"/>
      <c r="V158" s="561"/>
      <c r="W158" s="561"/>
      <c r="X158" s="561"/>
      <c r="Y158" s="561"/>
      <c r="Z158" s="561"/>
      <c r="AA158" s="561"/>
      <c r="AB158" s="561"/>
      <c r="AC158" s="561"/>
      <c r="AD158" s="561"/>
      <c r="AE158" s="561"/>
      <c r="AF158" s="561"/>
      <c r="AG158" s="561"/>
      <c r="AH158" s="567"/>
      <c r="AI158" s="567"/>
      <c r="AJ158" s="567"/>
      <c r="AK158" s="567"/>
      <c r="AL158" s="567"/>
      <c r="AM158" s="567"/>
      <c r="AN158" s="567"/>
      <c r="AO158" s="567"/>
      <c r="AP158" s="567"/>
      <c r="AQ158" s="567"/>
      <c r="AR158" s="567"/>
      <c r="AS158" s="567"/>
      <c r="AT158" s="567"/>
      <c r="AU158" s="567"/>
      <c r="AV158" s="567"/>
      <c r="AW158" s="567"/>
      <c r="AX158" s="567"/>
      <c r="AY158" s="567"/>
      <c r="AZ158" s="567"/>
      <c r="BA158" s="567"/>
      <c r="BB158" s="567"/>
      <c r="BC158" s="567"/>
      <c r="BD158" s="568"/>
      <c r="BE158" s="568"/>
      <c r="BF158" s="568"/>
      <c r="BG158" s="568"/>
      <c r="BH158" s="568"/>
      <c r="BI158" s="568"/>
      <c r="BJ158" s="568"/>
      <c r="BK158" s="568"/>
      <c r="BL158" s="568"/>
      <c r="BM158" s="568"/>
      <c r="BN158" s="568"/>
      <c r="BO158" s="568"/>
      <c r="BP158" s="568"/>
      <c r="BQ158" s="568"/>
      <c r="BR158" s="568"/>
      <c r="BS158" s="568"/>
      <c r="BT158" s="568"/>
      <c r="BU158" s="568"/>
      <c r="BV158" s="568"/>
      <c r="BW158" s="568"/>
      <c r="BX158" s="568"/>
      <c r="BY158" s="568"/>
      <c r="BZ158" s="568"/>
      <c r="CA158" s="568"/>
      <c r="CB158" s="568"/>
      <c r="CC158" s="568"/>
      <c r="CD158" s="568"/>
      <c r="CE158" s="568"/>
      <c r="CF158" s="568"/>
      <c r="CG158" s="568"/>
      <c r="CH158" s="568"/>
      <c r="CI158" s="568"/>
      <c r="CJ158" s="568"/>
      <c r="CK158" s="568"/>
      <c r="CL158" s="568"/>
      <c r="CM158" s="568"/>
      <c r="CN158" s="568"/>
      <c r="CO158" s="568"/>
      <c r="CP158" s="568"/>
      <c r="CQ158" s="568"/>
      <c r="CR158" s="568"/>
      <c r="CS158" s="568"/>
      <c r="CT158" s="568"/>
      <c r="CU158" s="568"/>
      <c r="CV158" s="568"/>
      <c r="CW158" s="568"/>
      <c r="CX158" s="568"/>
      <c r="CY158" s="568"/>
      <c r="CZ158" s="568"/>
      <c r="DA158" s="568"/>
      <c r="DB158" s="568"/>
      <c r="DC158" s="568"/>
      <c r="DD158" s="568"/>
      <c r="DE158" s="568"/>
      <c r="DF158" s="568"/>
      <c r="DG158" s="568"/>
      <c r="DH158" s="568"/>
      <c r="DI158" s="568"/>
      <c r="DJ158" s="568"/>
      <c r="DK158" s="568"/>
      <c r="DL158" s="568"/>
      <c r="DM158" s="568"/>
      <c r="DN158" s="568"/>
      <c r="DO158" s="568"/>
      <c r="DP158" s="568"/>
      <c r="DQ158" s="568"/>
      <c r="DR158" s="568"/>
      <c r="DS158" s="568"/>
      <c r="DT158" s="568"/>
      <c r="DU158" s="568"/>
      <c r="DV158" s="568"/>
      <c r="DW158" s="568"/>
      <c r="DX158" s="568"/>
      <c r="DY158" s="568"/>
      <c r="DZ158" s="568"/>
      <c r="EA158" s="568"/>
      <c r="EB158" s="568"/>
      <c r="EC158" s="568"/>
      <c r="ED158" s="568"/>
      <c r="EE158" s="568"/>
      <c r="EF158" s="568"/>
      <c r="EG158" s="568"/>
      <c r="EH158" s="568"/>
      <c r="EI158" s="568"/>
      <c r="EJ158" s="568"/>
      <c r="EK158" s="568"/>
      <c r="EL158" s="568"/>
      <c r="EM158" s="568"/>
      <c r="EN158" s="568"/>
      <c r="EO158" s="568"/>
      <c r="EP158" s="568"/>
      <c r="EQ158" s="568"/>
      <c r="ER158" s="568"/>
      <c r="ES158" s="568"/>
      <c r="ET158" s="568"/>
      <c r="EU158" s="568"/>
      <c r="EV158" s="568"/>
      <c r="EW158" s="568"/>
      <c r="EX158" s="568"/>
      <c r="EY158" s="568"/>
      <c r="EZ158" s="568"/>
      <c r="FA158" s="568"/>
      <c r="FB158" s="568"/>
      <c r="FC158" s="568"/>
      <c r="FD158" s="568"/>
      <c r="FE158" s="568"/>
      <c r="FF158" s="568"/>
      <c r="FG158" s="568"/>
      <c r="FH158" s="568"/>
      <c r="FI158" s="568"/>
      <c r="FJ158" s="568"/>
      <c r="FK158" s="568"/>
      <c r="FL158" s="568"/>
      <c r="FM158" s="568"/>
      <c r="FN158" s="568"/>
      <c r="FO158" s="568"/>
      <c r="FP158" s="568"/>
      <c r="FQ158" s="568"/>
      <c r="FR158" s="568"/>
      <c r="FS158" s="568"/>
      <c r="FT158" s="568"/>
      <c r="FU158" s="568"/>
      <c r="FV158" s="568"/>
      <c r="FW158" s="568"/>
      <c r="FX158" s="568"/>
      <c r="FY158" s="568"/>
      <c r="FZ158" s="568"/>
      <c r="GA158" s="568"/>
      <c r="GB158" s="568"/>
      <c r="GC158" s="568"/>
      <c r="GD158" s="568"/>
      <c r="GE158" s="568"/>
      <c r="GF158" s="568"/>
      <c r="GG158" s="568"/>
      <c r="GH158" s="568"/>
      <c r="GI158" s="568"/>
      <c r="GJ158" s="568"/>
      <c r="GK158" s="568"/>
      <c r="GL158" s="568"/>
      <c r="GM158" s="568"/>
      <c r="GN158" s="568"/>
      <c r="GO158" s="568"/>
      <c r="GP158" s="568"/>
      <c r="GQ158" s="568"/>
      <c r="GR158" s="568"/>
      <c r="GS158" s="568"/>
      <c r="GT158" s="568"/>
      <c r="GU158" s="568"/>
      <c r="GV158" s="568"/>
      <c r="GW158" s="568"/>
      <c r="GX158" s="568"/>
      <c r="GY158" s="568"/>
      <c r="GZ158" s="568"/>
      <c r="HA158" s="568"/>
      <c r="HB158" s="568"/>
      <c r="HC158" s="568"/>
      <c r="HD158" s="568"/>
      <c r="HE158" s="568"/>
      <c r="HF158" s="568"/>
      <c r="HG158" s="568"/>
      <c r="HH158" s="568"/>
      <c r="HI158" s="568"/>
      <c r="HJ158" s="568"/>
      <c r="HK158" s="568"/>
      <c r="HL158" s="568"/>
      <c r="HM158" s="568"/>
      <c r="HN158" s="568"/>
      <c r="HO158" s="568"/>
      <c r="HP158" s="568"/>
      <c r="HQ158" s="568"/>
      <c r="HR158" s="568"/>
      <c r="HS158" s="568"/>
      <c r="HT158" s="568"/>
      <c r="HU158" s="568"/>
      <c r="HV158" s="568"/>
      <c r="HW158" s="568"/>
      <c r="HX158" s="568"/>
      <c r="HY158" s="568"/>
      <c r="HZ158" s="568"/>
      <c r="IA158" s="568"/>
      <c r="IB158" s="568"/>
      <c r="IC158" s="568"/>
      <c r="ID158" s="568"/>
      <c r="IE158" s="568"/>
      <c r="IF158" s="568"/>
      <c r="IG158" s="568"/>
      <c r="IH158" s="568"/>
      <c r="II158" s="568"/>
      <c r="IJ158" s="568"/>
      <c r="IK158" s="568"/>
      <c r="IL158" s="568"/>
      <c r="IM158" s="568"/>
      <c r="IN158" s="568"/>
      <c r="IO158" s="568"/>
      <c r="IP158" s="568"/>
      <c r="IQ158" s="568"/>
      <c r="IR158" s="568"/>
      <c r="IS158" s="568"/>
      <c r="IT158" s="568"/>
      <c r="IU158" s="568"/>
    </row>
    <row r="159" spans="1:255" ht="18" customHeight="1">
      <c r="A159" s="554"/>
      <c r="B159" s="561"/>
      <c r="C159" s="1142"/>
      <c r="D159" s="1142"/>
      <c r="E159" s="1142"/>
      <c r="F159" s="1142"/>
      <c r="G159" s="1142"/>
      <c r="H159" s="1142"/>
      <c r="I159" s="1142"/>
      <c r="J159" s="1142"/>
      <c r="K159" s="1142"/>
      <c r="L159" s="1142"/>
      <c r="M159" s="561"/>
      <c r="N159" s="561"/>
      <c r="O159" s="561"/>
      <c r="P159" s="561"/>
      <c r="Q159" s="561"/>
      <c r="R159" s="561"/>
      <c r="S159" s="561"/>
      <c r="T159" s="561"/>
      <c r="U159" s="561"/>
      <c r="V159" s="561"/>
      <c r="W159" s="561"/>
      <c r="X159" s="561"/>
      <c r="Y159" s="561"/>
      <c r="Z159" s="561"/>
      <c r="AA159" s="561"/>
      <c r="AB159" s="561"/>
      <c r="AC159" s="561"/>
      <c r="AD159" s="561"/>
      <c r="AE159" s="561"/>
      <c r="AF159" s="561"/>
      <c r="AG159" s="561"/>
      <c r="AH159" s="567"/>
      <c r="AI159" s="567"/>
      <c r="AJ159" s="567"/>
      <c r="AK159" s="567"/>
      <c r="AL159" s="567"/>
      <c r="AM159" s="567"/>
      <c r="AN159" s="567"/>
      <c r="AO159" s="567"/>
      <c r="AP159" s="567"/>
      <c r="AQ159" s="567"/>
      <c r="AR159" s="567"/>
      <c r="AS159" s="567"/>
      <c r="AT159" s="567"/>
      <c r="AU159" s="567"/>
      <c r="AV159" s="567"/>
      <c r="AW159" s="567"/>
      <c r="AX159" s="567"/>
      <c r="AY159" s="567"/>
      <c r="AZ159" s="567"/>
      <c r="BA159" s="567"/>
      <c r="BB159" s="567"/>
      <c r="BC159" s="567"/>
      <c r="BD159" s="568"/>
      <c r="BE159" s="568"/>
      <c r="BF159" s="568"/>
      <c r="BG159" s="568"/>
      <c r="BH159" s="568"/>
      <c r="BI159" s="568"/>
      <c r="BJ159" s="568"/>
      <c r="BK159" s="568"/>
      <c r="BL159" s="568"/>
      <c r="BM159" s="568"/>
      <c r="BN159" s="568"/>
      <c r="BO159" s="568"/>
      <c r="BP159" s="568"/>
      <c r="BQ159" s="568"/>
      <c r="BR159" s="568"/>
      <c r="BS159" s="568"/>
      <c r="BT159" s="568"/>
      <c r="BU159" s="568"/>
      <c r="BV159" s="568"/>
      <c r="BW159" s="568"/>
      <c r="BX159" s="568"/>
      <c r="BY159" s="568"/>
      <c r="BZ159" s="568"/>
      <c r="CA159" s="568"/>
      <c r="CB159" s="568"/>
      <c r="CC159" s="568"/>
      <c r="CD159" s="568"/>
      <c r="CE159" s="568"/>
      <c r="CF159" s="568"/>
      <c r="CG159" s="568"/>
      <c r="CH159" s="568"/>
      <c r="CI159" s="568"/>
      <c r="CJ159" s="568"/>
      <c r="CK159" s="568"/>
      <c r="CL159" s="568"/>
      <c r="CM159" s="568"/>
      <c r="CN159" s="568"/>
      <c r="CO159" s="568"/>
      <c r="CP159" s="568"/>
      <c r="CQ159" s="568"/>
      <c r="CR159" s="568"/>
      <c r="CS159" s="568"/>
      <c r="CT159" s="568"/>
      <c r="CU159" s="568"/>
      <c r="CV159" s="568"/>
      <c r="CW159" s="568"/>
      <c r="CX159" s="568"/>
      <c r="CY159" s="568"/>
      <c r="CZ159" s="568"/>
      <c r="DA159" s="568"/>
      <c r="DB159" s="568"/>
      <c r="DC159" s="568"/>
      <c r="DD159" s="568"/>
      <c r="DE159" s="568"/>
      <c r="DF159" s="568"/>
      <c r="DG159" s="568"/>
      <c r="DH159" s="568"/>
      <c r="DI159" s="568"/>
      <c r="DJ159" s="568"/>
      <c r="DK159" s="568"/>
      <c r="DL159" s="568"/>
      <c r="DM159" s="568"/>
      <c r="DN159" s="568"/>
      <c r="DO159" s="568"/>
      <c r="DP159" s="568"/>
      <c r="DQ159" s="568"/>
      <c r="DR159" s="568"/>
      <c r="DS159" s="568"/>
      <c r="DT159" s="568"/>
      <c r="DU159" s="568"/>
      <c r="DV159" s="568"/>
      <c r="DW159" s="568"/>
      <c r="DX159" s="568"/>
      <c r="DY159" s="568"/>
      <c r="DZ159" s="568"/>
      <c r="EA159" s="568"/>
      <c r="EB159" s="568"/>
      <c r="EC159" s="568"/>
      <c r="ED159" s="568"/>
      <c r="EE159" s="568"/>
      <c r="EF159" s="568"/>
      <c r="EG159" s="568"/>
      <c r="EH159" s="568"/>
      <c r="EI159" s="568"/>
      <c r="EJ159" s="568"/>
      <c r="EK159" s="568"/>
      <c r="EL159" s="568"/>
      <c r="EM159" s="568"/>
      <c r="EN159" s="568"/>
      <c r="EO159" s="568"/>
      <c r="EP159" s="568"/>
      <c r="EQ159" s="568"/>
      <c r="ER159" s="568"/>
      <c r="ES159" s="568"/>
      <c r="ET159" s="568"/>
      <c r="EU159" s="568"/>
      <c r="EV159" s="568"/>
      <c r="EW159" s="568"/>
      <c r="EX159" s="568"/>
      <c r="EY159" s="568"/>
      <c r="EZ159" s="568"/>
      <c r="FA159" s="568"/>
      <c r="FB159" s="568"/>
      <c r="FC159" s="568"/>
      <c r="FD159" s="568"/>
      <c r="FE159" s="568"/>
      <c r="FF159" s="568"/>
      <c r="FG159" s="568"/>
      <c r="FH159" s="568"/>
      <c r="FI159" s="568"/>
      <c r="FJ159" s="568"/>
      <c r="FK159" s="568"/>
      <c r="FL159" s="568"/>
      <c r="FM159" s="568"/>
      <c r="FN159" s="568"/>
      <c r="FO159" s="568"/>
      <c r="FP159" s="568"/>
      <c r="FQ159" s="568"/>
      <c r="FR159" s="568"/>
      <c r="FS159" s="568"/>
      <c r="FT159" s="568"/>
      <c r="FU159" s="568"/>
      <c r="FV159" s="568"/>
      <c r="FW159" s="568"/>
      <c r="FX159" s="568"/>
      <c r="FY159" s="568"/>
      <c r="FZ159" s="568"/>
      <c r="GA159" s="568"/>
      <c r="GB159" s="568"/>
      <c r="GC159" s="568"/>
      <c r="GD159" s="568"/>
      <c r="GE159" s="568"/>
      <c r="GF159" s="568"/>
      <c r="GG159" s="568"/>
      <c r="GH159" s="568"/>
      <c r="GI159" s="568"/>
      <c r="GJ159" s="568"/>
      <c r="GK159" s="568"/>
      <c r="GL159" s="568"/>
      <c r="GM159" s="568"/>
      <c r="GN159" s="568"/>
      <c r="GO159" s="568"/>
      <c r="GP159" s="568"/>
      <c r="GQ159" s="568"/>
      <c r="GR159" s="568"/>
      <c r="GS159" s="568"/>
      <c r="GT159" s="568"/>
      <c r="GU159" s="568"/>
      <c r="GV159" s="568"/>
      <c r="GW159" s="568"/>
      <c r="GX159" s="568"/>
      <c r="GY159" s="568"/>
      <c r="GZ159" s="568"/>
      <c r="HA159" s="568"/>
      <c r="HB159" s="568"/>
      <c r="HC159" s="568"/>
      <c r="HD159" s="568"/>
      <c r="HE159" s="568"/>
      <c r="HF159" s="568"/>
      <c r="HG159" s="568"/>
      <c r="HH159" s="568"/>
      <c r="HI159" s="568"/>
      <c r="HJ159" s="568"/>
      <c r="HK159" s="568"/>
      <c r="HL159" s="568"/>
      <c r="HM159" s="568"/>
      <c r="HN159" s="568"/>
      <c r="HO159" s="568"/>
      <c r="HP159" s="568"/>
      <c r="HQ159" s="568"/>
      <c r="HR159" s="568"/>
      <c r="HS159" s="568"/>
      <c r="HT159" s="568"/>
      <c r="HU159" s="568"/>
      <c r="HV159" s="568"/>
      <c r="HW159" s="568"/>
      <c r="HX159" s="568"/>
      <c r="HY159" s="568"/>
      <c r="HZ159" s="568"/>
      <c r="IA159" s="568"/>
      <c r="IB159" s="568"/>
      <c r="IC159" s="568"/>
      <c r="ID159" s="568"/>
      <c r="IE159" s="568"/>
      <c r="IF159" s="568"/>
      <c r="IG159" s="568"/>
      <c r="IH159" s="568"/>
      <c r="II159" s="568"/>
      <c r="IJ159" s="568"/>
      <c r="IK159" s="568"/>
      <c r="IL159" s="568"/>
      <c r="IM159" s="568"/>
      <c r="IN159" s="568"/>
      <c r="IO159" s="568"/>
      <c r="IP159" s="568"/>
      <c r="IQ159" s="568"/>
      <c r="IR159" s="568"/>
      <c r="IS159" s="568"/>
      <c r="IT159" s="568"/>
      <c r="IU159" s="568"/>
    </row>
    <row r="160" spans="1:255" ht="18" customHeight="1">
      <c r="A160" s="554"/>
      <c r="B160" s="561"/>
      <c r="C160" s="1142"/>
      <c r="D160" s="1142"/>
      <c r="E160" s="1142"/>
      <c r="F160" s="1142"/>
      <c r="G160" s="1142"/>
      <c r="H160" s="1142"/>
      <c r="I160" s="1142"/>
      <c r="J160" s="1142"/>
      <c r="K160" s="1142"/>
      <c r="L160" s="1142"/>
      <c r="M160" s="561"/>
      <c r="N160" s="561"/>
      <c r="O160" s="561"/>
      <c r="P160" s="561"/>
      <c r="Q160" s="561"/>
      <c r="R160" s="561"/>
      <c r="S160" s="561"/>
      <c r="T160" s="561"/>
      <c r="U160" s="561"/>
      <c r="V160" s="561"/>
      <c r="W160" s="561"/>
      <c r="X160" s="561"/>
      <c r="Y160" s="561"/>
      <c r="Z160" s="561"/>
      <c r="AA160" s="561"/>
      <c r="AB160" s="561"/>
      <c r="AC160" s="561"/>
      <c r="AD160" s="561"/>
      <c r="AE160" s="561"/>
      <c r="AF160" s="561"/>
      <c r="AG160" s="561"/>
      <c r="AH160" s="567"/>
      <c r="AI160" s="567"/>
      <c r="AJ160" s="567"/>
      <c r="AK160" s="567"/>
      <c r="AL160" s="567"/>
      <c r="AM160" s="567"/>
      <c r="AN160" s="567"/>
      <c r="AO160" s="567"/>
      <c r="AP160" s="567"/>
      <c r="AQ160" s="567"/>
      <c r="AR160" s="567"/>
      <c r="AS160" s="567"/>
      <c r="AT160" s="567"/>
      <c r="AU160" s="567"/>
      <c r="AV160" s="567"/>
      <c r="AW160" s="567"/>
      <c r="AX160" s="567"/>
      <c r="AY160" s="567"/>
      <c r="AZ160" s="567"/>
      <c r="BA160" s="567"/>
      <c r="BB160" s="567"/>
      <c r="BC160" s="567"/>
      <c r="BD160" s="568"/>
      <c r="BE160" s="568"/>
      <c r="BF160" s="568"/>
      <c r="BG160" s="568"/>
      <c r="BH160" s="568"/>
      <c r="BI160" s="568"/>
      <c r="BJ160" s="568"/>
      <c r="BK160" s="568"/>
      <c r="BL160" s="568"/>
      <c r="BM160" s="568"/>
      <c r="BN160" s="568"/>
      <c r="BO160" s="568"/>
      <c r="BP160" s="568"/>
      <c r="BQ160" s="568"/>
      <c r="BR160" s="568"/>
      <c r="BS160" s="568"/>
      <c r="BT160" s="568"/>
      <c r="BU160" s="568"/>
      <c r="BV160" s="568"/>
      <c r="BW160" s="568"/>
      <c r="BX160" s="568"/>
      <c r="BY160" s="568"/>
      <c r="BZ160" s="568"/>
      <c r="CA160" s="568"/>
      <c r="CB160" s="568"/>
      <c r="CC160" s="568"/>
      <c r="CD160" s="568"/>
      <c r="CE160" s="568"/>
      <c r="CF160" s="568"/>
      <c r="CG160" s="568"/>
      <c r="CH160" s="568"/>
      <c r="CI160" s="568"/>
      <c r="CJ160" s="568"/>
      <c r="CK160" s="568"/>
      <c r="CL160" s="568"/>
      <c r="CM160" s="568"/>
      <c r="CN160" s="568"/>
      <c r="CO160" s="568"/>
      <c r="CP160" s="568"/>
      <c r="CQ160" s="568"/>
      <c r="CR160" s="568"/>
      <c r="CS160" s="568"/>
      <c r="CT160" s="568"/>
      <c r="CU160" s="568"/>
      <c r="CV160" s="568"/>
      <c r="CW160" s="568"/>
      <c r="CX160" s="568"/>
      <c r="CY160" s="568"/>
      <c r="CZ160" s="568"/>
      <c r="DA160" s="568"/>
      <c r="DB160" s="568"/>
      <c r="DC160" s="568"/>
      <c r="DD160" s="568"/>
      <c r="DE160" s="568"/>
      <c r="DF160" s="568"/>
      <c r="DG160" s="568"/>
      <c r="DH160" s="568"/>
      <c r="DI160" s="568"/>
      <c r="DJ160" s="568"/>
      <c r="DK160" s="568"/>
      <c r="DL160" s="568"/>
      <c r="DM160" s="568"/>
      <c r="DN160" s="568"/>
      <c r="DO160" s="568"/>
      <c r="DP160" s="568"/>
      <c r="DQ160" s="568"/>
      <c r="DR160" s="568"/>
      <c r="DS160" s="568"/>
      <c r="DT160" s="568"/>
      <c r="DU160" s="568"/>
      <c r="DV160" s="568"/>
      <c r="DW160" s="568"/>
      <c r="DX160" s="568"/>
      <c r="DY160" s="568"/>
      <c r="DZ160" s="568"/>
      <c r="EA160" s="568"/>
      <c r="EB160" s="568"/>
      <c r="EC160" s="568"/>
      <c r="ED160" s="568"/>
      <c r="EE160" s="568"/>
      <c r="EF160" s="568"/>
      <c r="EG160" s="568"/>
      <c r="EH160" s="568"/>
      <c r="EI160" s="568"/>
      <c r="EJ160" s="568"/>
      <c r="EK160" s="568"/>
      <c r="EL160" s="568"/>
      <c r="EM160" s="568"/>
      <c r="EN160" s="568"/>
      <c r="EO160" s="568"/>
      <c r="EP160" s="568"/>
      <c r="EQ160" s="568"/>
      <c r="ER160" s="568"/>
      <c r="ES160" s="568"/>
      <c r="ET160" s="568"/>
      <c r="EU160" s="568"/>
      <c r="EV160" s="568"/>
      <c r="EW160" s="568"/>
      <c r="EX160" s="568"/>
      <c r="EY160" s="568"/>
      <c r="EZ160" s="568"/>
      <c r="FA160" s="568"/>
      <c r="FB160" s="568"/>
      <c r="FC160" s="568"/>
      <c r="FD160" s="568"/>
      <c r="FE160" s="568"/>
      <c r="FF160" s="568"/>
      <c r="FG160" s="568"/>
      <c r="FH160" s="568"/>
      <c r="FI160" s="568"/>
      <c r="FJ160" s="568"/>
      <c r="FK160" s="568"/>
      <c r="FL160" s="568"/>
      <c r="FM160" s="568"/>
      <c r="FN160" s="568"/>
      <c r="FO160" s="568"/>
      <c r="FP160" s="568"/>
      <c r="FQ160" s="568"/>
      <c r="FR160" s="568"/>
      <c r="FS160" s="568"/>
      <c r="FT160" s="568"/>
      <c r="FU160" s="568"/>
      <c r="FV160" s="568"/>
      <c r="FW160" s="568"/>
      <c r="FX160" s="568"/>
      <c r="FY160" s="568"/>
      <c r="FZ160" s="568"/>
      <c r="GA160" s="568"/>
      <c r="GB160" s="568"/>
      <c r="GC160" s="568"/>
      <c r="GD160" s="568"/>
      <c r="GE160" s="568"/>
      <c r="GF160" s="568"/>
      <c r="GG160" s="568"/>
      <c r="GH160" s="568"/>
      <c r="GI160" s="568"/>
      <c r="GJ160" s="568"/>
      <c r="GK160" s="568"/>
      <c r="GL160" s="568"/>
      <c r="GM160" s="568"/>
      <c r="GN160" s="568"/>
      <c r="GO160" s="568"/>
      <c r="GP160" s="568"/>
      <c r="GQ160" s="568"/>
      <c r="GR160" s="568"/>
      <c r="GS160" s="568"/>
      <c r="GT160" s="568"/>
      <c r="GU160" s="568"/>
      <c r="GV160" s="568"/>
      <c r="GW160" s="568"/>
      <c r="GX160" s="568"/>
      <c r="GY160" s="568"/>
      <c r="GZ160" s="568"/>
      <c r="HA160" s="568"/>
      <c r="HB160" s="568"/>
      <c r="HC160" s="568"/>
      <c r="HD160" s="568"/>
      <c r="HE160" s="568"/>
      <c r="HF160" s="568"/>
      <c r="HG160" s="568"/>
      <c r="HH160" s="568"/>
      <c r="HI160" s="568"/>
      <c r="HJ160" s="568"/>
      <c r="HK160" s="568"/>
      <c r="HL160" s="568"/>
      <c r="HM160" s="568"/>
      <c r="HN160" s="568"/>
      <c r="HO160" s="568"/>
      <c r="HP160" s="568"/>
      <c r="HQ160" s="568"/>
      <c r="HR160" s="568"/>
      <c r="HS160" s="568"/>
      <c r="HT160" s="568"/>
      <c r="HU160" s="568"/>
      <c r="HV160" s="568"/>
      <c r="HW160" s="568"/>
      <c r="HX160" s="568"/>
      <c r="HY160" s="568"/>
      <c r="HZ160" s="568"/>
      <c r="IA160" s="568"/>
      <c r="IB160" s="568"/>
      <c r="IC160" s="568"/>
      <c r="ID160" s="568"/>
      <c r="IE160" s="568"/>
      <c r="IF160" s="568"/>
      <c r="IG160" s="568"/>
      <c r="IH160" s="568"/>
      <c r="II160" s="568"/>
      <c r="IJ160" s="568"/>
      <c r="IK160" s="568"/>
      <c r="IL160" s="568"/>
      <c r="IM160" s="568"/>
      <c r="IN160" s="568"/>
      <c r="IO160" s="568"/>
      <c r="IP160" s="568"/>
      <c r="IQ160" s="568"/>
      <c r="IR160" s="568"/>
      <c r="IS160" s="568"/>
      <c r="IT160" s="568"/>
      <c r="IU160" s="568"/>
    </row>
    <row r="161" spans="1:255" s="568" customFormat="1" ht="18" customHeight="1">
      <c r="A161" s="554"/>
      <c r="B161" s="561"/>
      <c r="C161" s="1142"/>
      <c r="D161" s="1142"/>
      <c r="E161" s="1142"/>
      <c r="F161" s="1142"/>
      <c r="G161" s="1142"/>
      <c r="H161" s="1142"/>
      <c r="I161" s="1142"/>
      <c r="J161" s="1142"/>
      <c r="K161" s="1142"/>
      <c r="L161" s="1142"/>
      <c r="M161" s="561"/>
      <c r="N161" s="561"/>
      <c r="O161" s="561"/>
      <c r="P161" s="561"/>
      <c r="Q161" s="561"/>
      <c r="R161" s="561"/>
      <c r="S161" s="561"/>
      <c r="T161" s="561"/>
      <c r="U161" s="561"/>
      <c r="V161" s="561"/>
      <c r="W161" s="561"/>
      <c r="X161" s="561"/>
      <c r="Y161" s="561"/>
      <c r="Z161" s="561"/>
      <c r="AA161" s="561"/>
      <c r="AB161" s="561"/>
      <c r="AC161" s="561"/>
      <c r="AD161" s="561"/>
      <c r="AE161" s="561"/>
      <c r="AF161" s="561"/>
      <c r="AG161" s="561"/>
      <c r="AH161" s="567"/>
      <c r="AI161" s="567"/>
      <c r="AJ161" s="567"/>
      <c r="AK161" s="567"/>
      <c r="AL161" s="567"/>
      <c r="AM161" s="567"/>
      <c r="AN161" s="567"/>
      <c r="AO161" s="567"/>
      <c r="AP161" s="567"/>
      <c r="AQ161" s="567"/>
      <c r="AR161" s="567"/>
      <c r="AS161" s="567"/>
      <c r="AT161" s="567"/>
      <c r="AU161" s="567"/>
      <c r="AV161" s="567"/>
      <c r="AW161" s="567"/>
      <c r="AX161" s="567"/>
      <c r="AY161" s="567"/>
      <c r="AZ161" s="567"/>
      <c r="BA161" s="567"/>
      <c r="BB161" s="567"/>
      <c r="BC161" s="567"/>
    </row>
    <row r="162" spans="1:255" s="568" customFormat="1" ht="18" customHeight="1">
      <c r="A162" s="554"/>
      <c r="B162" s="561"/>
      <c r="C162" s="1142"/>
      <c r="D162" s="1142"/>
      <c r="E162" s="1142"/>
      <c r="F162" s="1142"/>
      <c r="G162" s="1142"/>
      <c r="H162" s="1142"/>
      <c r="I162" s="1142"/>
      <c r="J162" s="1142"/>
      <c r="K162" s="1142"/>
      <c r="L162" s="1142"/>
      <c r="M162" s="561"/>
      <c r="N162" s="561"/>
      <c r="O162" s="561"/>
      <c r="P162" s="561"/>
      <c r="Q162" s="561"/>
      <c r="R162" s="561"/>
      <c r="S162" s="561"/>
      <c r="T162" s="562"/>
      <c r="U162" s="561"/>
      <c r="V162" s="561"/>
      <c r="W162" s="561"/>
      <c r="X162" s="561"/>
      <c r="Y162" s="561"/>
      <c r="Z162" s="561"/>
      <c r="AA162" s="561"/>
      <c r="AB162" s="561"/>
      <c r="AC162" s="561"/>
      <c r="AD162" s="561"/>
      <c r="AE162" s="561"/>
      <c r="AF162" s="561"/>
      <c r="AG162" s="561"/>
      <c r="AH162" s="567"/>
      <c r="AI162" s="567"/>
      <c r="AJ162" s="567"/>
      <c r="AK162" s="567"/>
      <c r="AL162" s="567"/>
      <c r="AM162" s="567"/>
      <c r="AN162" s="567"/>
      <c r="AO162" s="567"/>
      <c r="AP162" s="567"/>
      <c r="AQ162" s="567"/>
      <c r="AR162" s="567"/>
      <c r="AS162" s="567"/>
      <c r="AT162" s="567"/>
      <c r="AU162" s="567"/>
      <c r="AV162" s="567"/>
      <c r="AW162" s="567"/>
      <c r="AX162" s="567"/>
      <c r="AY162" s="567"/>
      <c r="AZ162" s="567"/>
      <c r="BA162" s="567"/>
      <c r="BB162" s="567"/>
      <c r="BC162" s="567"/>
    </row>
    <row r="163" spans="1:255" ht="18" customHeight="1">
      <c r="A163" s="554"/>
      <c r="B163" s="561"/>
      <c r="C163" s="1142"/>
      <c r="D163" s="1142"/>
      <c r="E163" s="1142"/>
      <c r="F163" s="1142"/>
      <c r="G163" s="1142"/>
      <c r="H163" s="1142"/>
      <c r="I163" s="1142"/>
      <c r="J163" s="1142"/>
      <c r="K163" s="1142"/>
      <c r="L163" s="1142"/>
      <c r="M163" s="561"/>
      <c r="N163" s="561"/>
      <c r="O163" s="561"/>
      <c r="P163" s="561"/>
      <c r="Q163" s="561"/>
      <c r="R163" s="561"/>
      <c r="S163" s="561"/>
      <c r="T163" s="561"/>
      <c r="U163" s="561"/>
      <c r="V163" s="561"/>
      <c r="W163" s="561"/>
      <c r="X163" s="561"/>
      <c r="Y163" s="561"/>
      <c r="Z163" s="561"/>
      <c r="AA163" s="561"/>
      <c r="AB163" s="561"/>
      <c r="AC163" s="561"/>
      <c r="AD163" s="561"/>
      <c r="AE163" s="561"/>
      <c r="AF163" s="561"/>
      <c r="AG163" s="561"/>
      <c r="AH163" s="567"/>
      <c r="AI163" s="567"/>
      <c r="AJ163" s="567"/>
      <c r="AK163" s="567"/>
      <c r="AL163" s="567"/>
      <c r="AM163" s="567"/>
      <c r="AN163" s="567"/>
      <c r="AO163" s="567"/>
      <c r="AP163" s="567"/>
      <c r="AQ163" s="567"/>
      <c r="AR163" s="567"/>
      <c r="AS163" s="567"/>
      <c r="AT163" s="567"/>
      <c r="AU163" s="567"/>
      <c r="AV163" s="567"/>
      <c r="AW163" s="567"/>
      <c r="AX163" s="567"/>
      <c r="AY163" s="567"/>
      <c r="AZ163" s="567"/>
      <c r="BA163" s="567"/>
      <c r="BB163" s="567"/>
      <c r="BC163" s="567"/>
      <c r="BD163" s="568"/>
      <c r="BE163" s="568"/>
      <c r="BF163" s="568"/>
      <c r="BG163" s="568"/>
      <c r="BH163" s="568"/>
      <c r="BI163" s="568"/>
      <c r="BJ163" s="568"/>
      <c r="BK163" s="568"/>
      <c r="BL163" s="568"/>
      <c r="BM163" s="568"/>
      <c r="BN163" s="568"/>
      <c r="BO163" s="568"/>
      <c r="BP163" s="568"/>
      <c r="BQ163" s="568"/>
      <c r="BR163" s="568"/>
      <c r="BS163" s="568"/>
      <c r="BT163" s="568"/>
      <c r="BU163" s="568"/>
      <c r="BV163" s="568"/>
      <c r="BW163" s="568"/>
      <c r="BX163" s="568"/>
      <c r="BY163" s="568"/>
      <c r="BZ163" s="568"/>
      <c r="CA163" s="568"/>
      <c r="CB163" s="568"/>
      <c r="CC163" s="568"/>
      <c r="CD163" s="568"/>
      <c r="CE163" s="568"/>
      <c r="CF163" s="568"/>
      <c r="CG163" s="568"/>
      <c r="CH163" s="568"/>
      <c r="CI163" s="568"/>
      <c r="CJ163" s="568"/>
      <c r="CK163" s="568"/>
      <c r="CL163" s="568"/>
      <c r="CM163" s="568"/>
      <c r="CN163" s="568"/>
      <c r="CO163" s="568"/>
      <c r="CP163" s="568"/>
      <c r="CQ163" s="568"/>
      <c r="CR163" s="568"/>
      <c r="CS163" s="568"/>
      <c r="CT163" s="568"/>
      <c r="CU163" s="568"/>
      <c r="CV163" s="568"/>
      <c r="CW163" s="568"/>
      <c r="CX163" s="568"/>
      <c r="CY163" s="568"/>
      <c r="CZ163" s="568"/>
      <c r="DA163" s="568"/>
      <c r="DB163" s="568"/>
      <c r="DC163" s="568"/>
      <c r="DD163" s="568"/>
      <c r="DE163" s="568"/>
      <c r="DF163" s="568"/>
      <c r="DG163" s="568"/>
      <c r="DH163" s="568"/>
      <c r="DI163" s="568"/>
      <c r="DJ163" s="568"/>
      <c r="DK163" s="568"/>
      <c r="DL163" s="568"/>
      <c r="DM163" s="568"/>
      <c r="DN163" s="568"/>
      <c r="DO163" s="568"/>
      <c r="DP163" s="568"/>
      <c r="DQ163" s="568"/>
      <c r="DR163" s="568"/>
      <c r="DS163" s="568"/>
      <c r="DT163" s="568"/>
      <c r="DU163" s="568"/>
      <c r="DV163" s="568"/>
      <c r="DW163" s="568"/>
      <c r="DX163" s="568"/>
      <c r="DY163" s="568"/>
      <c r="DZ163" s="568"/>
      <c r="EA163" s="568"/>
      <c r="EB163" s="568"/>
      <c r="EC163" s="568"/>
      <c r="ED163" s="568"/>
      <c r="EE163" s="568"/>
      <c r="EF163" s="568"/>
      <c r="EG163" s="568"/>
      <c r="EH163" s="568"/>
      <c r="EI163" s="568"/>
      <c r="EJ163" s="568"/>
      <c r="EK163" s="568"/>
      <c r="EL163" s="568"/>
      <c r="EM163" s="568"/>
      <c r="EN163" s="568"/>
      <c r="EO163" s="568"/>
      <c r="EP163" s="568"/>
      <c r="EQ163" s="568"/>
      <c r="ER163" s="568"/>
      <c r="ES163" s="568"/>
      <c r="ET163" s="568"/>
      <c r="EU163" s="568"/>
      <c r="EV163" s="568"/>
      <c r="EW163" s="568"/>
      <c r="EX163" s="568"/>
      <c r="EY163" s="568"/>
      <c r="EZ163" s="568"/>
      <c r="FA163" s="568"/>
      <c r="FB163" s="568"/>
      <c r="FC163" s="568"/>
      <c r="FD163" s="568"/>
      <c r="FE163" s="568"/>
      <c r="FF163" s="568"/>
      <c r="FG163" s="568"/>
      <c r="FH163" s="568"/>
      <c r="FI163" s="568"/>
      <c r="FJ163" s="568"/>
      <c r="FK163" s="568"/>
      <c r="FL163" s="568"/>
      <c r="FM163" s="568"/>
      <c r="FN163" s="568"/>
      <c r="FO163" s="568"/>
      <c r="FP163" s="568"/>
      <c r="FQ163" s="568"/>
      <c r="FR163" s="568"/>
      <c r="FS163" s="568"/>
      <c r="FT163" s="568"/>
      <c r="FU163" s="568"/>
      <c r="FV163" s="568"/>
      <c r="FW163" s="568"/>
      <c r="FX163" s="568"/>
      <c r="FY163" s="568"/>
      <c r="FZ163" s="568"/>
      <c r="GA163" s="568"/>
      <c r="GB163" s="568"/>
      <c r="GC163" s="568"/>
      <c r="GD163" s="568"/>
      <c r="GE163" s="568"/>
      <c r="GF163" s="568"/>
      <c r="GG163" s="568"/>
      <c r="GH163" s="568"/>
      <c r="GI163" s="568"/>
      <c r="GJ163" s="568"/>
      <c r="GK163" s="568"/>
      <c r="GL163" s="568"/>
      <c r="GM163" s="568"/>
      <c r="GN163" s="568"/>
      <c r="GO163" s="568"/>
      <c r="GP163" s="568"/>
      <c r="GQ163" s="568"/>
      <c r="GR163" s="568"/>
      <c r="GS163" s="568"/>
      <c r="GT163" s="568"/>
      <c r="GU163" s="568"/>
      <c r="GV163" s="568"/>
      <c r="GW163" s="568"/>
      <c r="GX163" s="568"/>
      <c r="GY163" s="568"/>
      <c r="GZ163" s="568"/>
      <c r="HA163" s="568"/>
      <c r="HB163" s="568"/>
      <c r="HC163" s="568"/>
      <c r="HD163" s="568"/>
      <c r="HE163" s="568"/>
      <c r="HF163" s="568"/>
      <c r="HG163" s="568"/>
      <c r="HH163" s="568"/>
      <c r="HI163" s="568"/>
      <c r="HJ163" s="568"/>
      <c r="HK163" s="568"/>
      <c r="HL163" s="568"/>
      <c r="HM163" s="568"/>
      <c r="HN163" s="568"/>
      <c r="HO163" s="568"/>
      <c r="HP163" s="568"/>
      <c r="HQ163" s="568"/>
      <c r="HR163" s="568"/>
      <c r="HS163" s="568"/>
      <c r="HT163" s="568"/>
      <c r="HU163" s="568"/>
      <c r="HV163" s="568"/>
      <c r="HW163" s="568"/>
      <c r="HX163" s="568"/>
      <c r="HY163" s="568"/>
      <c r="HZ163" s="568"/>
      <c r="IA163" s="568"/>
      <c r="IB163" s="568"/>
      <c r="IC163" s="568"/>
      <c r="ID163" s="568"/>
      <c r="IE163" s="568"/>
      <c r="IF163" s="568"/>
      <c r="IG163" s="568"/>
      <c r="IH163" s="568"/>
      <c r="II163" s="568"/>
      <c r="IJ163" s="568"/>
      <c r="IK163" s="568"/>
      <c r="IL163" s="568"/>
      <c r="IM163" s="568"/>
      <c r="IN163" s="568"/>
      <c r="IO163" s="568"/>
      <c r="IP163" s="568"/>
      <c r="IQ163" s="568"/>
      <c r="IR163" s="568"/>
      <c r="IS163" s="568"/>
      <c r="IT163" s="568"/>
      <c r="IU163" s="568"/>
    </row>
    <row r="164" spans="1:255" s="584" customFormat="1" ht="18" customHeight="1">
      <c r="A164" s="554"/>
      <c r="B164" s="561"/>
      <c r="C164" s="1142"/>
      <c r="D164" s="1142"/>
      <c r="E164" s="1142"/>
      <c r="F164" s="1142"/>
      <c r="G164" s="1142"/>
      <c r="H164" s="1142"/>
      <c r="I164" s="1142"/>
      <c r="J164" s="1142"/>
      <c r="K164" s="1142"/>
      <c r="L164" s="1142"/>
      <c r="M164" s="561"/>
      <c r="N164" s="561"/>
      <c r="O164" s="561"/>
      <c r="P164" s="561"/>
      <c r="Q164" s="562"/>
      <c r="R164" s="562"/>
      <c r="S164" s="562"/>
      <c r="T164" s="561"/>
      <c r="U164" s="562"/>
      <c r="V164" s="562"/>
      <c r="W164" s="562"/>
      <c r="X164" s="562"/>
      <c r="Y164" s="562"/>
      <c r="Z164" s="562"/>
      <c r="AA164" s="562"/>
      <c r="AB164" s="562"/>
      <c r="AC164" s="562"/>
      <c r="AD164" s="562"/>
      <c r="AE164" s="562"/>
      <c r="AF164" s="562"/>
      <c r="AG164" s="562"/>
      <c r="AH164" s="563"/>
      <c r="AI164" s="563"/>
      <c r="AJ164" s="563"/>
      <c r="AK164" s="563"/>
      <c r="AL164" s="563"/>
      <c r="AM164" s="563"/>
      <c r="AN164" s="563"/>
      <c r="AO164" s="563"/>
      <c r="AP164" s="563"/>
      <c r="AQ164" s="563"/>
      <c r="AR164" s="563"/>
      <c r="AS164" s="563"/>
      <c r="AT164" s="563"/>
      <c r="AU164" s="563"/>
      <c r="AV164" s="563"/>
      <c r="AW164" s="563"/>
      <c r="AX164" s="563"/>
      <c r="AY164" s="563"/>
      <c r="AZ164" s="563"/>
      <c r="BA164" s="563"/>
      <c r="BB164" s="563"/>
      <c r="BC164" s="563"/>
      <c r="BD164" s="564"/>
      <c r="BE164" s="564"/>
      <c r="BF164" s="564"/>
      <c r="BG164" s="564"/>
      <c r="BH164" s="564"/>
      <c r="BI164" s="564"/>
      <c r="BJ164" s="564"/>
      <c r="BK164" s="564"/>
      <c r="BL164" s="564"/>
      <c r="BM164" s="564"/>
      <c r="BN164" s="564"/>
      <c r="BO164" s="564"/>
      <c r="BP164" s="564"/>
      <c r="BQ164" s="564"/>
      <c r="BR164" s="564"/>
      <c r="BS164" s="564"/>
      <c r="BT164" s="564"/>
      <c r="BU164" s="564"/>
      <c r="BV164" s="564"/>
      <c r="BW164" s="564"/>
      <c r="BX164" s="564"/>
    </row>
    <row r="165" spans="1:255" ht="18" customHeight="1">
      <c r="A165" s="554"/>
      <c r="B165" s="561"/>
      <c r="C165" s="1142"/>
      <c r="D165" s="1142"/>
      <c r="E165" s="1142"/>
      <c r="F165" s="1142"/>
      <c r="G165" s="1142"/>
      <c r="H165" s="1142"/>
      <c r="I165" s="1142"/>
      <c r="J165" s="1142"/>
      <c r="K165" s="1142"/>
      <c r="L165" s="1142"/>
      <c r="M165" s="561"/>
      <c r="N165" s="561"/>
      <c r="O165" s="561"/>
      <c r="P165" s="561"/>
      <c r="Q165" s="561"/>
      <c r="R165" s="561"/>
      <c r="S165" s="561"/>
      <c r="T165" s="561"/>
      <c r="U165" s="561"/>
      <c r="V165" s="561"/>
      <c r="W165" s="561"/>
      <c r="X165" s="561"/>
      <c r="Y165" s="561"/>
      <c r="Z165" s="561"/>
      <c r="AA165" s="561"/>
      <c r="AB165" s="561"/>
      <c r="AC165" s="561"/>
      <c r="AD165" s="561"/>
      <c r="AE165" s="561"/>
      <c r="AF165" s="561"/>
      <c r="AG165" s="561"/>
      <c r="AH165" s="567"/>
      <c r="AI165" s="567"/>
      <c r="AJ165" s="567"/>
      <c r="AK165" s="567"/>
      <c r="AL165" s="567"/>
      <c r="AM165" s="567"/>
      <c r="AN165" s="567"/>
      <c r="AO165" s="567"/>
      <c r="AP165" s="567"/>
      <c r="AQ165" s="567"/>
      <c r="AR165" s="567"/>
      <c r="AS165" s="567"/>
      <c r="AT165" s="567"/>
      <c r="AU165" s="567"/>
      <c r="AV165" s="567"/>
      <c r="AW165" s="567"/>
      <c r="AX165" s="567"/>
      <c r="AY165" s="567"/>
      <c r="AZ165" s="567"/>
      <c r="BA165" s="567"/>
      <c r="BB165" s="567"/>
      <c r="BC165" s="567"/>
      <c r="BD165" s="568"/>
      <c r="BE165" s="568"/>
      <c r="BF165" s="568"/>
      <c r="BG165" s="568"/>
      <c r="BH165" s="568"/>
      <c r="BI165" s="568"/>
      <c r="BJ165" s="568"/>
      <c r="BK165" s="568"/>
      <c r="BL165" s="568"/>
      <c r="BM165" s="568"/>
      <c r="BN165" s="568"/>
      <c r="BO165" s="568"/>
      <c r="BP165" s="568"/>
      <c r="BQ165" s="568"/>
      <c r="BR165" s="568"/>
      <c r="BS165" s="568"/>
      <c r="BT165" s="568"/>
      <c r="BU165" s="568"/>
      <c r="BV165" s="568"/>
      <c r="BW165" s="568"/>
      <c r="BX165" s="568"/>
      <c r="BY165" s="568"/>
      <c r="BZ165" s="568"/>
      <c r="CA165" s="568"/>
      <c r="CB165" s="568"/>
      <c r="CC165" s="568"/>
      <c r="CD165" s="568"/>
      <c r="CE165" s="568"/>
      <c r="CF165" s="568"/>
      <c r="CG165" s="568"/>
      <c r="CH165" s="568"/>
      <c r="CI165" s="568"/>
      <c r="CJ165" s="568"/>
      <c r="CK165" s="568"/>
      <c r="CL165" s="568"/>
      <c r="CM165" s="568"/>
      <c r="CN165" s="568"/>
      <c r="CO165" s="568"/>
      <c r="CP165" s="568"/>
      <c r="CQ165" s="568"/>
      <c r="CR165" s="568"/>
      <c r="CS165" s="568"/>
      <c r="CT165" s="568"/>
      <c r="CU165" s="568"/>
      <c r="CV165" s="568"/>
      <c r="CW165" s="568"/>
      <c r="CX165" s="568"/>
      <c r="CY165" s="568"/>
      <c r="CZ165" s="568"/>
      <c r="DA165" s="568"/>
      <c r="DB165" s="568"/>
      <c r="DC165" s="568"/>
      <c r="DD165" s="568"/>
      <c r="DE165" s="568"/>
      <c r="DF165" s="568"/>
      <c r="DG165" s="568"/>
      <c r="DH165" s="568"/>
      <c r="DI165" s="568"/>
      <c r="DJ165" s="568"/>
      <c r="DK165" s="568"/>
      <c r="DL165" s="568"/>
      <c r="DM165" s="568"/>
      <c r="DN165" s="568"/>
      <c r="DO165" s="568"/>
      <c r="DP165" s="568"/>
      <c r="DQ165" s="568"/>
      <c r="DR165" s="568"/>
      <c r="DS165" s="568"/>
      <c r="DT165" s="568"/>
      <c r="DU165" s="568"/>
      <c r="DV165" s="568"/>
      <c r="DW165" s="568"/>
      <c r="DX165" s="568"/>
      <c r="DY165" s="568"/>
      <c r="DZ165" s="568"/>
      <c r="EA165" s="568"/>
      <c r="EB165" s="568"/>
      <c r="EC165" s="568"/>
      <c r="ED165" s="568"/>
      <c r="EE165" s="568"/>
      <c r="EF165" s="568"/>
      <c r="EG165" s="568"/>
      <c r="EH165" s="568"/>
      <c r="EI165" s="568"/>
      <c r="EJ165" s="568"/>
      <c r="EK165" s="568"/>
      <c r="EL165" s="568"/>
      <c r="EM165" s="568"/>
      <c r="EN165" s="568"/>
      <c r="EO165" s="568"/>
      <c r="EP165" s="568"/>
      <c r="EQ165" s="568"/>
      <c r="ER165" s="568"/>
      <c r="ES165" s="568"/>
      <c r="ET165" s="568"/>
      <c r="EU165" s="568"/>
      <c r="EV165" s="568"/>
      <c r="EW165" s="568"/>
      <c r="EX165" s="568"/>
      <c r="EY165" s="568"/>
      <c r="EZ165" s="568"/>
      <c r="FA165" s="568"/>
      <c r="FB165" s="568"/>
      <c r="FC165" s="568"/>
      <c r="FD165" s="568"/>
      <c r="FE165" s="568"/>
      <c r="FF165" s="568"/>
      <c r="FG165" s="568"/>
      <c r="FH165" s="568"/>
      <c r="FI165" s="568"/>
      <c r="FJ165" s="568"/>
      <c r="FK165" s="568"/>
      <c r="FL165" s="568"/>
      <c r="FM165" s="568"/>
      <c r="FN165" s="568"/>
      <c r="FO165" s="568"/>
      <c r="FP165" s="568"/>
      <c r="FQ165" s="568"/>
      <c r="FR165" s="568"/>
      <c r="FS165" s="568"/>
      <c r="FT165" s="568"/>
      <c r="FU165" s="568"/>
      <c r="FV165" s="568"/>
      <c r="FW165" s="568"/>
      <c r="FX165" s="568"/>
      <c r="FY165" s="568"/>
      <c r="FZ165" s="568"/>
      <c r="GA165" s="568"/>
      <c r="GB165" s="568"/>
      <c r="GC165" s="568"/>
      <c r="GD165" s="568"/>
      <c r="GE165" s="568"/>
      <c r="GF165" s="568"/>
      <c r="GG165" s="568"/>
      <c r="GH165" s="568"/>
      <c r="GI165" s="568"/>
      <c r="GJ165" s="568"/>
      <c r="GK165" s="568"/>
      <c r="GL165" s="568"/>
      <c r="GM165" s="568"/>
      <c r="GN165" s="568"/>
      <c r="GO165" s="568"/>
      <c r="GP165" s="568"/>
      <c r="GQ165" s="568"/>
      <c r="GR165" s="568"/>
      <c r="GS165" s="568"/>
      <c r="GT165" s="568"/>
      <c r="GU165" s="568"/>
      <c r="GV165" s="568"/>
      <c r="GW165" s="568"/>
      <c r="GX165" s="568"/>
      <c r="GY165" s="568"/>
      <c r="GZ165" s="568"/>
      <c r="HA165" s="568"/>
      <c r="HB165" s="568"/>
      <c r="HC165" s="568"/>
      <c r="HD165" s="568"/>
      <c r="HE165" s="568"/>
      <c r="HF165" s="568"/>
      <c r="HG165" s="568"/>
      <c r="HH165" s="568"/>
      <c r="HI165" s="568"/>
      <c r="HJ165" s="568"/>
      <c r="HK165" s="568"/>
      <c r="HL165" s="568"/>
      <c r="HM165" s="568"/>
      <c r="HN165" s="568"/>
      <c r="HO165" s="568"/>
      <c r="HP165" s="568"/>
      <c r="HQ165" s="568"/>
      <c r="HR165" s="568"/>
      <c r="HS165" s="568"/>
      <c r="HT165" s="568"/>
      <c r="HU165" s="568"/>
      <c r="HV165" s="568"/>
      <c r="HW165" s="568"/>
      <c r="HX165" s="568"/>
      <c r="HY165" s="568"/>
      <c r="HZ165" s="568"/>
      <c r="IA165" s="568"/>
      <c r="IB165" s="568"/>
      <c r="IC165" s="568"/>
      <c r="ID165" s="568"/>
      <c r="IE165" s="568"/>
      <c r="IF165" s="568"/>
      <c r="IG165" s="568"/>
      <c r="IH165" s="568"/>
      <c r="II165" s="568"/>
      <c r="IJ165" s="568"/>
      <c r="IK165" s="568"/>
      <c r="IL165" s="568"/>
      <c r="IM165" s="568"/>
      <c r="IN165" s="568"/>
      <c r="IO165" s="568"/>
      <c r="IP165" s="568"/>
      <c r="IQ165" s="568"/>
      <c r="IR165" s="568"/>
      <c r="IS165" s="568"/>
      <c r="IT165" s="568"/>
      <c r="IU165" s="568"/>
    </row>
    <row r="166" spans="1:255" ht="18" customHeight="1">
      <c r="A166" s="554"/>
      <c r="B166" s="561"/>
      <c r="C166" s="1142"/>
      <c r="D166" s="1142"/>
      <c r="E166" s="1142"/>
      <c r="F166" s="1142"/>
      <c r="G166" s="1142"/>
      <c r="H166" s="1142"/>
      <c r="I166" s="1142"/>
      <c r="J166" s="1142"/>
      <c r="K166" s="1142"/>
      <c r="L166" s="1142"/>
      <c r="M166" s="561"/>
      <c r="N166" s="561"/>
      <c r="O166" s="561"/>
      <c r="P166" s="561"/>
      <c r="Q166" s="561"/>
      <c r="R166" s="561"/>
      <c r="S166" s="561"/>
      <c r="T166" s="561"/>
      <c r="U166" s="561"/>
      <c r="V166" s="561"/>
      <c r="W166" s="561"/>
      <c r="X166" s="561"/>
      <c r="Y166" s="561"/>
      <c r="Z166" s="561"/>
      <c r="AA166" s="561"/>
      <c r="AB166" s="561"/>
      <c r="AC166" s="561"/>
      <c r="AD166" s="561"/>
      <c r="AE166" s="561"/>
      <c r="AF166" s="561"/>
      <c r="AG166" s="561"/>
      <c r="AH166" s="567"/>
      <c r="AI166" s="567"/>
      <c r="AJ166" s="567"/>
      <c r="AK166" s="567"/>
      <c r="AL166" s="567"/>
      <c r="AM166" s="567"/>
      <c r="AN166" s="567"/>
      <c r="AO166" s="567"/>
      <c r="AP166" s="567"/>
      <c r="AQ166" s="567"/>
      <c r="AR166" s="567"/>
      <c r="AS166" s="567"/>
      <c r="AT166" s="567"/>
      <c r="AU166" s="567"/>
      <c r="AV166" s="567"/>
      <c r="AW166" s="567"/>
      <c r="AX166" s="567"/>
      <c r="AY166" s="567"/>
      <c r="AZ166" s="567"/>
      <c r="BA166" s="567"/>
      <c r="BB166" s="567"/>
      <c r="BC166" s="567"/>
      <c r="BD166" s="568"/>
      <c r="BE166" s="568"/>
      <c r="BF166" s="568"/>
      <c r="BG166" s="568"/>
      <c r="BH166" s="568"/>
      <c r="BI166" s="568"/>
      <c r="BJ166" s="568"/>
      <c r="BK166" s="568"/>
      <c r="BL166" s="568"/>
      <c r="BM166" s="568"/>
      <c r="BN166" s="568"/>
      <c r="BO166" s="568"/>
      <c r="BP166" s="568"/>
      <c r="BQ166" s="568"/>
      <c r="BR166" s="568"/>
      <c r="BS166" s="568"/>
      <c r="BT166" s="568"/>
      <c r="BU166" s="568"/>
      <c r="BV166" s="568"/>
      <c r="BW166" s="568"/>
      <c r="BX166" s="568"/>
      <c r="BY166" s="568"/>
      <c r="BZ166" s="568"/>
      <c r="CA166" s="568"/>
      <c r="CB166" s="568"/>
      <c r="CC166" s="568"/>
      <c r="CD166" s="568"/>
      <c r="CE166" s="568"/>
      <c r="CF166" s="568"/>
      <c r="CG166" s="568"/>
      <c r="CH166" s="568"/>
      <c r="CI166" s="568"/>
      <c r="CJ166" s="568"/>
      <c r="CK166" s="568"/>
      <c r="CL166" s="568"/>
      <c r="CM166" s="568"/>
      <c r="CN166" s="568"/>
      <c r="CO166" s="568"/>
      <c r="CP166" s="568"/>
      <c r="CQ166" s="568"/>
      <c r="CR166" s="568"/>
      <c r="CS166" s="568"/>
      <c r="CT166" s="568"/>
      <c r="CU166" s="568"/>
      <c r="CV166" s="568"/>
      <c r="CW166" s="568"/>
      <c r="CX166" s="568"/>
      <c r="CY166" s="568"/>
      <c r="CZ166" s="568"/>
      <c r="DA166" s="568"/>
      <c r="DB166" s="568"/>
      <c r="DC166" s="568"/>
      <c r="DD166" s="568"/>
      <c r="DE166" s="568"/>
      <c r="DF166" s="568"/>
      <c r="DG166" s="568"/>
      <c r="DH166" s="568"/>
      <c r="DI166" s="568"/>
      <c r="DJ166" s="568"/>
      <c r="DK166" s="568"/>
      <c r="DL166" s="568"/>
      <c r="DM166" s="568"/>
      <c r="DN166" s="568"/>
      <c r="DO166" s="568"/>
      <c r="DP166" s="568"/>
      <c r="DQ166" s="568"/>
      <c r="DR166" s="568"/>
      <c r="DS166" s="568"/>
      <c r="DT166" s="568"/>
      <c r="DU166" s="568"/>
      <c r="DV166" s="568"/>
      <c r="DW166" s="568"/>
      <c r="DX166" s="568"/>
      <c r="DY166" s="568"/>
      <c r="DZ166" s="568"/>
      <c r="EA166" s="568"/>
      <c r="EB166" s="568"/>
      <c r="EC166" s="568"/>
      <c r="ED166" s="568"/>
      <c r="EE166" s="568"/>
      <c r="EF166" s="568"/>
      <c r="EG166" s="568"/>
      <c r="EH166" s="568"/>
      <c r="EI166" s="568"/>
      <c r="EJ166" s="568"/>
      <c r="EK166" s="568"/>
      <c r="EL166" s="568"/>
      <c r="EM166" s="568"/>
      <c r="EN166" s="568"/>
      <c r="EO166" s="568"/>
      <c r="EP166" s="568"/>
      <c r="EQ166" s="568"/>
      <c r="ER166" s="568"/>
      <c r="ES166" s="568"/>
      <c r="ET166" s="568"/>
      <c r="EU166" s="568"/>
      <c r="EV166" s="568"/>
      <c r="EW166" s="568"/>
      <c r="EX166" s="568"/>
      <c r="EY166" s="568"/>
      <c r="EZ166" s="568"/>
      <c r="FA166" s="568"/>
      <c r="FB166" s="568"/>
      <c r="FC166" s="568"/>
      <c r="FD166" s="568"/>
      <c r="FE166" s="568"/>
      <c r="FF166" s="568"/>
      <c r="FG166" s="568"/>
      <c r="FH166" s="568"/>
      <c r="FI166" s="568"/>
      <c r="FJ166" s="568"/>
      <c r="FK166" s="568"/>
      <c r="FL166" s="568"/>
      <c r="FM166" s="568"/>
      <c r="FN166" s="568"/>
      <c r="FO166" s="568"/>
      <c r="FP166" s="568"/>
      <c r="FQ166" s="568"/>
      <c r="FR166" s="568"/>
      <c r="FS166" s="568"/>
      <c r="FT166" s="568"/>
      <c r="FU166" s="568"/>
      <c r="FV166" s="568"/>
      <c r="FW166" s="568"/>
      <c r="FX166" s="568"/>
      <c r="FY166" s="568"/>
      <c r="FZ166" s="568"/>
      <c r="GA166" s="568"/>
      <c r="GB166" s="568"/>
      <c r="GC166" s="568"/>
      <c r="GD166" s="568"/>
      <c r="GE166" s="568"/>
      <c r="GF166" s="568"/>
      <c r="GG166" s="568"/>
      <c r="GH166" s="568"/>
      <c r="GI166" s="568"/>
      <c r="GJ166" s="568"/>
      <c r="GK166" s="568"/>
      <c r="GL166" s="568"/>
      <c r="GM166" s="568"/>
      <c r="GN166" s="568"/>
      <c r="GO166" s="568"/>
      <c r="GP166" s="568"/>
      <c r="GQ166" s="568"/>
      <c r="GR166" s="568"/>
      <c r="GS166" s="568"/>
      <c r="GT166" s="568"/>
      <c r="GU166" s="568"/>
      <c r="GV166" s="568"/>
      <c r="GW166" s="568"/>
      <c r="GX166" s="568"/>
      <c r="GY166" s="568"/>
      <c r="GZ166" s="568"/>
      <c r="HA166" s="568"/>
      <c r="HB166" s="568"/>
      <c r="HC166" s="568"/>
      <c r="HD166" s="568"/>
      <c r="HE166" s="568"/>
      <c r="HF166" s="568"/>
      <c r="HG166" s="568"/>
      <c r="HH166" s="568"/>
      <c r="HI166" s="568"/>
      <c r="HJ166" s="568"/>
      <c r="HK166" s="568"/>
      <c r="HL166" s="568"/>
      <c r="HM166" s="568"/>
      <c r="HN166" s="568"/>
      <c r="HO166" s="568"/>
      <c r="HP166" s="568"/>
      <c r="HQ166" s="568"/>
      <c r="HR166" s="568"/>
      <c r="HS166" s="568"/>
      <c r="HT166" s="568"/>
      <c r="HU166" s="568"/>
      <c r="HV166" s="568"/>
      <c r="HW166" s="568"/>
      <c r="HX166" s="568"/>
      <c r="HY166" s="568"/>
      <c r="HZ166" s="568"/>
      <c r="IA166" s="568"/>
      <c r="IB166" s="568"/>
      <c r="IC166" s="568"/>
      <c r="ID166" s="568"/>
      <c r="IE166" s="568"/>
      <c r="IF166" s="568"/>
      <c r="IG166" s="568"/>
      <c r="IH166" s="568"/>
      <c r="II166" s="568"/>
      <c r="IJ166" s="568"/>
      <c r="IK166" s="568"/>
      <c r="IL166" s="568"/>
      <c r="IM166" s="568"/>
      <c r="IN166" s="568"/>
      <c r="IO166" s="568"/>
      <c r="IP166" s="568"/>
      <c r="IQ166" s="568"/>
      <c r="IR166" s="568"/>
      <c r="IS166" s="568"/>
      <c r="IT166" s="568"/>
      <c r="IU166" s="568"/>
    </row>
    <row r="167" spans="1:255" ht="18" customHeight="1">
      <c r="A167" s="554"/>
      <c r="B167" s="562"/>
      <c r="C167" s="1150"/>
      <c r="D167" s="1150"/>
      <c r="E167" s="1150"/>
      <c r="F167" s="1150"/>
      <c r="G167" s="1150"/>
      <c r="H167" s="1150"/>
      <c r="I167" s="1150"/>
      <c r="J167" s="1143"/>
      <c r="K167" s="1143"/>
      <c r="L167" s="1143"/>
      <c r="M167" s="562"/>
      <c r="N167" s="562"/>
      <c r="O167" s="562"/>
      <c r="P167" s="562"/>
      <c r="Q167" s="561"/>
      <c r="R167" s="561"/>
      <c r="S167" s="561"/>
      <c r="T167" s="561"/>
      <c r="U167" s="561"/>
      <c r="V167" s="561"/>
      <c r="W167" s="561"/>
      <c r="X167" s="561"/>
      <c r="Y167" s="561"/>
      <c r="Z167" s="561"/>
      <c r="AA167" s="561"/>
      <c r="AB167" s="561"/>
      <c r="AC167" s="561"/>
      <c r="AD167" s="561"/>
      <c r="AE167" s="561"/>
      <c r="AF167" s="561"/>
      <c r="AG167" s="561"/>
      <c r="AH167" s="567"/>
      <c r="AI167" s="567"/>
      <c r="AJ167" s="567"/>
      <c r="AK167" s="567"/>
      <c r="AL167" s="567"/>
      <c r="AM167" s="567"/>
      <c r="AN167" s="567"/>
      <c r="AO167" s="567"/>
      <c r="AP167" s="567"/>
      <c r="AQ167" s="567"/>
      <c r="AR167" s="567"/>
      <c r="AS167" s="567"/>
      <c r="AT167" s="567"/>
      <c r="AU167" s="567"/>
      <c r="AV167" s="567"/>
      <c r="AW167" s="567"/>
      <c r="AX167" s="567"/>
      <c r="AY167" s="567"/>
      <c r="AZ167" s="567"/>
      <c r="BA167" s="567"/>
      <c r="BB167" s="567"/>
      <c r="BC167" s="567"/>
      <c r="BD167" s="568"/>
      <c r="BE167" s="568"/>
      <c r="BF167" s="568"/>
      <c r="BG167" s="568"/>
      <c r="BH167" s="568"/>
      <c r="BI167" s="568"/>
      <c r="BJ167" s="568"/>
      <c r="BK167" s="568"/>
      <c r="BL167" s="568"/>
      <c r="BM167" s="568"/>
      <c r="BN167" s="568"/>
      <c r="BO167" s="568"/>
      <c r="BP167" s="568"/>
      <c r="BQ167" s="568"/>
      <c r="BR167" s="568"/>
      <c r="BS167" s="568"/>
      <c r="BT167" s="568"/>
      <c r="BU167" s="568"/>
      <c r="BV167" s="568"/>
      <c r="BW167" s="568"/>
      <c r="BX167" s="568"/>
      <c r="BY167" s="568"/>
      <c r="BZ167" s="568"/>
      <c r="CA167" s="568"/>
      <c r="CB167" s="568"/>
      <c r="CC167" s="568"/>
      <c r="CD167" s="568"/>
      <c r="CE167" s="568"/>
      <c r="CF167" s="568"/>
      <c r="CG167" s="568"/>
      <c r="CH167" s="568"/>
      <c r="CI167" s="568"/>
      <c r="CJ167" s="568"/>
      <c r="CK167" s="568"/>
      <c r="CL167" s="568"/>
      <c r="CM167" s="568"/>
      <c r="CN167" s="568"/>
      <c r="CO167" s="568"/>
      <c r="CP167" s="568"/>
      <c r="CQ167" s="568"/>
      <c r="CR167" s="568"/>
      <c r="CS167" s="568"/>
      <c r="CT167" s="568"/>
      <c r="CU167" s="568"/>
      <c r="CV167" s="568"/>
      <c r="CW167" s="568"/>
      <c r="CX167" s="568"/>
      <c r="CY167" s="568"/>
      <c r="CZ167" s="568"/>
      <c r="DA167" s="568"/>
      <c r="DB167" s="568"/>
      <c r="DC167" s="568"/>
      <c r="DD167" s="568"/>
      <c r="DE167" s="568"/>
      <c r="DF167" s="568"/>
      <c r="DG167" s="568"/>
      <c r="DH167" s="568"/>
      <c r="DI167" s="568"/>
      <c r="DJ167" s="568"/>
      <c r="DK167" s="568"/>
      <c r="DL167" s="568"/>
      <c r="DM167" s="568"/>
      <c r="DN167" s="568"/>
      <c r="DO167" s="568"/>
      <c r="DP167" s="568"/>
      <c r="DQ167" s="568"/>
      <c r="DR167" s="568"/>
      <c r="DS167" s="568"/>
      <c r="DT167" s="568"/>
      <c r="DU167" s="568"/>
      <c r="DV167" s="568"/>
      <c r="DW167" s="568"/>
      <c r="DX167" s="568"/>
      <c r="DY167" s="568"/>
      <c r="DZ167" s="568"/>
      <c r="EA167" s="568"/>
      <c r="EB167" s="568"/>
      <c r="EC167" s="568"/>
      <c r="ED167" s="568"/>
      <c r="EE167" s="568"/>
      <c r="EF167" s="568"/>
      <c r="EG167" s="568"/>
      <c r="EH167" s="568"/>
      <c r="EI167" s="568"/>
      <c r="EJ167" s="568"/>
      <c r="EK167" s="568"/>
      <c r="EL167" s="568"/>
      <c r="EM167" s="568"/>
      <c r="EN167" s="568"/>
      <c r="EO167" s="568"/>
      <c r="EP167" s="568"/>
      <c r="EQ167" s="568"/>
      <c r="ER167" s="568"/>
      <c r="ES167" s="568"/>
      <c r="ET167" s="568"/>
      <c r="EU167" s="568"/>
      <c r="EV167" s="568"/>
      <c r="EW167" s="568"/>
      <c r="EX167" s="568"/>
      <c r="EY167" s="568"/>
      <c r="EZ167" s="568"/>
      <c r="FA167" s="568"/>
      <c r="FB167" s="568"/>
      <c r="FC167" s="568"/>
      <c r="FD167" s="568"/>
      <c r="FE167" s="568"/>
      <c r="FF167" s="568"/>
      <c r="FG167" s="568"/>
      <c r="FH167" s="568"/>
      <c r="FI167" s="568"/>
      <c r="FJ167" s="568"/>
      <c r="FK167" s="568"/>
      <c r="FL167" s="568"/>
      <c r="FM167" s="568"/>
      <c r="FN167" s="568"/>
      <c r="FO167" s="568"/>
      <c r="FP167" s="568"/>
      <c r="FQ167" s="568"/>
      <c r="FR167" s="568"/>
      <c r="FS167" s="568"/>
      <c r="FT167" s="568"/>
      <c r="FU167" s="568"/>
      <c r="FV167" s="568"/>
      <c r="FW167" s="568"/>
      <c r="FX167" s="568"/>
      <c r="FY167" s="568"/>
      <c r="FZ167" s="568"/>
      <c r="GA167" s="568"/>
      <c r="GB167" s="568"/>
      <c r="GC167" s="568"/>
      <c r="GD167" s="568"/>
      <c r="GE167" s="568"/>
      <c r="GF167" s="568"/>
      <c r="GG167" s="568"/>
      <c r="GH167" s="568"/>
      <c r="GI167" s="568"/>
      <c r="GJ167" s="568"/>
      <c r="GK167" s="568"/>
      <c r="GL167" s="568"/>
      <c r="GM167" s="568"/>
      <c r="GN167" s="568"/>
      <c r="GO167" s="568"/>
      <c r="GP167" s="568"/>
      <c r="GQ167" s="568"/>
      <c r="GR167" s="568"/>
      <c r="GS167" s="568"/>
      <c r="GT167" s="568"/>
      <c r="GU167" s="568"/>
      <c r="GV167" s="568"/>
      <c r="GW167" s="568"/>
      <c r="GX167" s="568"/>
      <c r="GY167" s="568"/>
      <c r="GZ167" s="568"/>
      <c r="HA167" s="568"/>
      <c r="HB167" s="568"/>
      <c r="HC167" s="568"/>
      <c r="HD167" s="568"/>
      <c r="HE167" s="568"/>
      <c r="HF167" s="568"/>
      <c r="HG167" s="568"/>
      <c r="HH167" s="568"/>
      <c r="HI167" s="568"/>
      <c r="HJ167" s="568"/>
      <c r="HK167" s="568"/>
      <c r="HL167" s="568"/>
      <c r="HM167" s="568"/>
      <c r="HN167" s="568"/>
      <c r="HO167" s="568"/>
      <c r="HP167" s="568"/>
      <c r="HQ167" s="568"/>
      <c r="HR167" s="568"/>
      <c r="HS167" s="568"/>
      <c r="HT167" s="568"/>
      <c r="HU167" s="568"/>
      <c r="HV167" s="568"/>
      <c r="HW167" s="568"/>
      <c r="HX167" s="568"/>
      <c r="HY167" s="568"/>
      <c r="HZ167" s="568"/>
      <c r="IA167" s="568"/>
      <c r="IB167" s="568"/>
      <c r="IC167" s="568"/>
      <c r="ID167" s="568"/>
      <c r="IE167" s="568"/>
      <c r="IF167" s="568"/>
      <c r="IG167" s="568"/>
      <c r="IH167" s="568"/>
      <c r="II167" s="568"/>
      <c r="IJ167" s="568"/>
      <c r="IK167" s="568"/>
      <c r="IL167" s="568"/>
      <c r="IM167" s="568"/>
      <c r="IN167" s="568"/>
      <c r="IO167" s="568"/>
      <c r="IP167" s="568"/>
      <c r="IQ167" s="568"/>
      <c r="IR167" s="568"/>
      <c r="IS167" s="568"/>
      <c r="IT167" s="568"/>
      <c r="IU167" s="568"/>
    </row>
    <row r="168" spans="1:255" ht="18" customHeight="1">
      <c r="A168" s="554"/>
      <c r="B168" s="561"/>
      <c r="C168" s="1142"/>
      <c r="D168" s="1142"/>
      <c r="E168" s="1142"/>
      <c r="F168" s="1142"/>
      <c r="G168" s="1142"/>
      <c r="H168" s="1142"/>
      <c r="I168" s="1142"/>
      <c r="J168" s="1142"/>
      <c r="K168" s="1142"/>
      <c r="L168" s="1142"/>
      <c r="M168" s="561"/>
      <c r="N168" s="561"/>
      <c r="O168" s="561"/>
      <c r="P168" s="561"/>
      <c r="Q168" s="561"/>
      <c r="R168" s="561"/>
      <c r="S168" s="561"/>
      <c r="T168" s="561"/>
      <c r="U168" s="561"/>
      <c r="V168" s="561"/>
      <c r="W168" s="561"/>
      <c r="X168" s="561"/>
      <c r="Y168" s="561"/>
      <c r="Z168" s="561"/>
      <c r="AA168" s="561"/>
      <c r="AB168" s="561"/>
      <c r="AC168" s="561"/>
      <c r="AD168" s="561"/>
      <c r="AE168" s="561"/>
      <c r="AF168" s="561"/>
      <c r="AG168" s="561"/>
      <c r="AH168" s="567"/>
      <c r="AI168" s="567"/>
      <c r="AJ168" s="567"/>
      <c r="AK168" s="567"/>
      <c r="AL168" s="567"/>
      <c r="AM168" s="567"/>
      <c r="AN168" s="567"/>
      <c r="AO168" s="567"/>
      <c r="AP168" s="567"/>
      <c r="AQ168" s="567"/>
      <c r="AR168" s="567"/>
      <c r="AS168" s="567"/>
      <c r="AT168" s="567"/>
      <c r="AU168" s="567"/>
      <c r="AV168" s="567"/>
      <c r="AW168" s="567"/>
      <c r="AX168" s="567"/>
      <c r="AY168" s="567"/>
      <c r="AZ168" s="567"/>
      <c r="BA168" s="567"/>
      <c r="BB168" s="567"/>
      <c r="BC168" s="567"/>
      <c r="BD168" s="568"/>
      <c r="BE168" s="568"/>
      <c r="BF168" s="568"/>
      <c r="BG168" s="568"/>
      <c r="BH168" s="568"/>
      <c r="BI168" s="568"/>
      <c r="BJ168" s="568"/>
      <c r="BK168" s="568"/>
      <c r="BL168" s="568"/>
      <c r="BM168" s="568"/>
      <c r="BN168" s="568"/>
      <c r="BO168" s="568"/>
      <c r="BP168" s="568"/>
      <c r="BQ168" s="568"/>
      <c r="BR168" s="568"/>
      <c r="BS168" s="568"/>
      <c r="BT168" s="568"/>
      <c r="BU168" s="568"/>
      <c r="BV168" s="568"/>
      <c r="BW168" s="568"/>
      <c r="BX168" s="568"/>
      <c r="BY168" s="568"/>
      <c r="BZ168" s="568"/>
      <c r="CA168" s="568"/>
      <c r="CB168" s="568"/>
      <c r="CC168" s="568"/>
      <c r="CD168" s="568"/>
      <c r="CE168" s="568"/>
      <c r="CF168" s="568"/>
      <c r="CG168" s="568"/>
      <c r="CH168" s="568"/>
      <c r="CI168" s="568"/>
      <c r="CJ168" s="568"/>
      <c r="CK168" s="568"/>
      <c r="CL168" s="568"/>
      <c r="CM168" s="568"/>
      <c r="CN168" s="568"/>
      <c r="CO168" s="568"/>
      <c r="CP168" s="568"/>
      <c r="CQ168" s="568"/>
      <c r="CR168" s="568"/>
      <c r="CS168" s="568"/>
      <c r="CT168" s="568"/>
      <c r="CU168" s="568"/>
      <c r="CV168" s="568"/>
      <c r="CW168" s="568"/>
      <c r="CX168" s="568"/>
      <c r="CY168" s="568"/>
      <c r="CZ168" s="568"/>
      <c r="DA168" s="568"/>
      <c r="DB168" s="568"/>
      <c r="DC168" s="568"/>
      <c r="DD168" s="568"/>
      <c r="DE168" s="568"/>
      <c r="DF168" s="568"/>
      <c r="DG168" s="568"/>
      <c r="DH168" s="568"/>
      <c r="DI168" s="568"/>
      <c r="DJ168" s="568"/>
      <c r="DK168" s="568"/>
      <c r="DL168" s="568"/>
      <c r="DM168" s="568"/>
      <c r="DN168" s="568"/>
      <c r="DO168" s="568"/>
      <c r="DP168" s="568"/>
      <c r="DQ168" s="568"/>
      <c r="DR168" s="568"/>
      <c r="DS168" s="568"/>
      <c r="DT168" s="568"/>
      <c r="DU168" s="568"/>
      <c r="DV168" s="568"/>
      <c r="DW168" s="568"/>
      <c r="DX168" s="568"/>
      <c r="DY168" s="568"/>
      <c r="DZ168" s="568"/>
      <c r="EA168" s="568"/>
      <c r="EB168" s="568"/>
      <c r="EC168" s="568"/>
      <c r="ED168" s="568"/>
      <c r="EE168" s="568"/>
      <c r="EF168" s="568"/>
      <c r="EG168" s="568"/>
      <c r="EH168" s="568"/>
      <c r="EI168" s="568"/>
      <c r="EJ168" s="568"/>
      <c r="EK168" s="568"/>
      <c r="EL168" s="568"/>
      <c r="EM168" s="568"/>
      <c r="EN168" s="568"/>
      <c r="EO168" s="568"/>
      <c r="EP168" s="568"/>
      <c r="EQ168" s="568"/>
      <c r="ER168" s="568"/>
      <c r="ES168" s="568"/>
      <c r="ET168" s="568"/>
      <c r="EU168" s="568"/>
      <c r="EV168" s="568"/>
      <c r="EW168" s="568"/>
      <c r="EX168" s="568"/>
      <c r="EY168" s="568"/>
      <c r="EZ168" s="568"/>
      <c r="FA168" s="568"/>
      <c r="FB168" s="568"/>
      <c r="FC168" s="568"/>
      <c r="FD168" s="568"/>
      <c r="FE168" s="568"/>
      <c r="FF168" s="568"/>
      <c r="FG168" s="568"/>
      <c r="FH168" s="568"/>
      <c r="FI168" s="568"/>
      <c r="FJ168" s="568"/>
      <c r="FK168" s="568"/>
      <c r="FL168" s="568"/>
      <c r="FM168" s="568"/>
      <c r="FN168" s="568"/>
      <c r="FO168" s="568"/>
      <c r="FP168" s="568"/>
      <c r="FQ168" s="568"/>
      <c r="FR168" s="568"/>
      <c r="FS168" s="568"/>
      <c r="FT168" s="568"/>
      <c r="FU168" s="568"/>
      <c r="FV168" s="568"/>
      <c r="FW168" s="568"/>
      <c r="FX168" s="568"/>
      <c r="FY168" s="568"/>
      <c r="FZ168" s="568"/>
      <c r="GA168" s="568"/>
      <c r="GB168" s="568"/>
      <c r="GC168" s="568"/>
      <c r="GD168" s="568"/>
      <c r="GE168" s="568"/>
      <c r="GF168" s="568"/>
      <c r="GG168" s="568"/>
      <c r="GH168" s="568"/>
      <c r="GI168" s="568"/>
      <c r="GJ168" s="568"/>
      <c r="GK168" s="568"/>
      <c r="GL168" s="568"/>
      <c r="GM168" s="568"/>
      <c r="GN168" s="568"/>
      <c r="GO168" s="568"/>
      <c r="GP168" s="568"/>
      <c r="GQ168" s="568"/>
      <c r="GR168" s="568"/>
      <c r="GS168" s="568"/>
      <c r="GT168" s="568"/>
      <c r="GU168" s="568"/>
      <c r="GV168" s="568"/>
      <c r="GW168" s="568"/>
      <c r="GX168" s="568"/>
      <c r="GY168" s="568"/>
      <c r="GZ168" s="568"/>
      <c r="HA168" s="568"/>
      <c r="HB168" s="568"/>
      <c r="HC168" s="568"/>
      <c r="HD168" s="568"/>
      <c r="HE168" s="568"/>
      <c r="HF168" s="568"/>
      <c r="HG168" s="568"/>
      <c r="HH168" s="568"/>
      <c r="HI168" s="568"/>
      <c r="HJ168" s="568"/>
      <c r="HK168" s="568"/>
      <c r="HL168" s="568"/>
      <c r="HM168" s="568"/>
      <c r="HN168" s="568"/>
      <c r="HO168" s="568"/>
      <c r="HP168" s="568"/>
      <c r="HQ168" s="568"/>
      <c r="HR168" s="568"/>
      <c r="HS168" s="568"/>
      <c r="HT168" s="568"/>
      <c r="HU168" s="568"/>
      <c r="HV168" s="568"/>
      <c r="HW168" s="568"/>
      <c r="HX168" s="568"/>
      <c r="HY168" s="568"/>
      <c r="HZ168" s="568"/>
      <c r="IA168" s="568"/>
      <c r="IB168" s="568"/>
      <c r="IC168" s="568"/>
      <c r="ID168" s="568"/>
      <c r="IE168" s="568"/>
      <c r="IF168" s="568"/>
      <c r="IG168" s="568"/>
      <c r="IH168" s="568"/>
      <c r="II168" s="568"/>
      <c r="IJ168" s="568"/>
      <c r="IK168" s="568"/>
      <c r="IL168" s="568"/>
      <c r="IM168" s="568"/>
      <c r="IN168" s="568"/>
      <c r="IO168" s="568"/>
      <c r="IP168" s="568"/>
      <c r="IQ168" s="568"/>
      <c r="IR168" s="568"/>
      <c r="IS168" s="568"/>
      <c r="IT168" s="568"/>
      <c r="IU168" s="568"/>
    </row>
    <row r="169" spans="1:255" s="589" customFormat="1" ht="18" customHeight="1">
      <c r="A169" s="554"/>
      <c r="B169" s="561"/>
      <c r="C169" s="1142"/>
      <c r="D169" s="1142"/>
      <c r="E169" s="1142"/>
      <c r="F169" s="1142"/>
      <c r="G169" s="1142"/>
      <c r="H169" s="1142"/>
      <c r="I169" s="1142"/>
      <c r="J169" s="1142"/>
      <c r="K169" s="1142"/>
      <c r="L169" s="1142"/>
      <c r="M169" s="561"/>
      <c r="N169" s="561"/>
      <c r="O169" s="561"/>
      <c r="P169" s="561"/>
      <c r="Q169" s="562"/>
      <c r="R169" s="562"/>
      <c r="S169" s="562"/>
      <c r="T169" s="561"/>
      <c r="U169" s="562"/>
      <c r="V169" s="562"/>
      <c r="W169" s="562"/>
      <c r="X169" s="562"/>
      <c r="Y169" s="562"/>
      <c r="Z169" s="562"/>
      <c r="AA169" s="562"/>
      <c r="AB169" s="562"/>
      <c r="AC169" s="562"/>
      <c r="AD169" s="562"/>
      <c r="AE169" s="562"/>
      <c r="AF169" s="562"/>
      <c r="AG169" s="562"/>
      <c r="AH169" s="587"/>
      <c r="AI169" s="587"/>
      <c r="AJ169" s="587"/>
      <c r="AK169" s="587"/>
      <c r="AL169" s="587"/>
      <c r="AM169" s="587"/>
      <c r="AN169" s="587"/>
      <c r="AO169" s="587"/>
      <c r="AP169" s="587"/>
      <c r="AQ169" s="587"/>
      <c r="AR169" s="587"/>
      <c r="AS169" s="587"/>
      <c r="AT169" s="587"/>
      <c r="AU169" s="587"/>
      <c r="AV169" s="587"/>
      <c r="AW169" s="587"/>
      <c r="AX169" s="587"/>
      <c r="AY169" s="587"/>
      <c r="AZ169" s="587"/>
      <c r="BA169" s="587"/>
      <c r="BB169" s="587"/>
      <c r="BC169" s="587"/>
      <c r="BD169" s="588"/>
      <c r="BE169" s="588"/>
      <c r="BF169" s="588"/>
      <c r="BG169" s="588"/>
      <c r="BH169" s="588"/>
      <c r="BI169" s="588"/>
      <c r="BJ169" s="588"/>
      <c r="BK169" s="588"/>
      <c r="BL169" s="588"/>
      <c r="BM169" s="588"/>
      <c r="BN169" s="588"/>
      <c r="BO169" s="588"/>
      <c r="BP169" s="588"/>
      <c r="BQ169" s="588"/>
      <c r="BR169" s="588"/>
      <c r="BS169" s="588"/>
      <c r="BT169" s="588"/>
      <c r="BU169" s="588"/>
      <c r="BV169" s="588"/>
      <c r="BW169" s="588"/>
      <c r="BX169" s="588"/>
    </row>
    <row r="170" spans="1:255" s="584" customFormat="1" ht="18" customHeight="1">
      <c r="A170" s="554"/>
      <c r="B170" s="561"/>
      <c r="C170" s="1142"/>
      <c r="D170" s="1142"/>
      <c r="E170" s="1142"/>
      <c r="F170" s="1142"/>
      <c r="G170" s="1142"/>
      <c r="H170" s="1142"/>
      <c r="I170" s="1142"/>
      <c r="J170" s="1142"/>
      <c r="K170" s="1142"/>
      <c r="L170" s="1142"/>
      <c r="M170" s="561"/>
      <c r="N170" s="561"/>
      <c r="O170" s="561"/>
      <c r="P170" s="561"/>
      <c r="Q170" s="562"/>
      <c r="R170" s="562"/>
      <c r="S170" s="562"/>
      <c r="T170" s="561"/>
      <c r="U170" s="562"/>
      <c r="V170" s="562"/>
      <c r="W170" s="562"/>
      <c r="X170" s="562"/>
      <c r="Y170" s="562"/>
      <c r="Z170" s="562"/>
      <c r="AA170" s="562"/>
      <c r="AB170" s="562"/>
      <c r="AC170" s="562"/>
      <c r="AD170" s="562"/>
      <c r="AE170" s="562"/>
      <c r="AF170" s="562"/>
      <c r="AG170" s="562"/>
      <c r="AH170" s="563"/>
      <c r="AI170" s="563"/>
      <c r="AJ170" s="563"/>
      <c r="AK170" s="563"/>
      <c r="AL170" s="563"/>
      <c r="AM170" s="563"/>
      <c r="AN170" s="563"/>
      <c r="AO170" s="563"/>
      <c r="AP170" s="563"/>
      <c r="AQ170" s="563"/>
      <c r="AR170" s="563"/>
      <c r="AS170" s="563"/>
      <c r="AT170" s="563"/>
      <c r="AU170" s="563"/>
      <c r="AV170" s="563"/>
      <c r="AW170" s="563"/>
      <c r="AX170" s="563"/>
      <c r="AY170" s="563"/>
      <c r="AZ170" s="563"/>
      <c r="BA170" s="563"/>
      <c r="BB170" s="563"/>
      <c r="BC170" s="563"/>
      <c r="BD170" s="564"/>
      <c r="BE170" s="564"/>
      <c r="BF170" s="564"/>
      <c r="BG170" s="564"/>
      <c r="BH170" s="564"/>
      <c r="BI170" s="564"/>
      <c r="BJ170" s="564"/>
      <c r="BK170" s="564"/>
      <c r="BL170" s="564"/>
      <c r="BM170" s="564"/>
      <c r="BN170" s="564"/>
      <c r="BO170" s="564"/>
      <c r="BP170" s="564"/>
      <c r="BQ170" s="564"/>
      <c r="BR170" s="564"/>
      <c r="BS170" s="564"/>
      <c r="BT170" s="564"/>
      <c r="BU170" s="564"/>
      <c r="BV170" s="564"/>
      <c r="BW170" s="564"/>
      <c r="BX170" s="564"/>
    </row>
    <row r="171" spans="1:255" ht="18" customHeight="1">
      <c r="A171" s="554"/>
      <c r="B171" s="561"/>
      <c r="C171" s="1142"/>
      <c r="D171" s="1142"/>
      <c r="E171" s="1142"/>
      <c r="F171" s="1142"/>
      <c r="G171" s="1142"/>
      <c r="H171" s="1142"/>
      <c r="I171" s="1142"/>
      <c r="J171" s="1142"/>
      <c r="K171" s="1142"/>
      <c r="L171" s="1142"/>
      <c r="M171" s="561"/>
      <c r="N171" s="561"/>
      <c r="O171" s="561"/>
      <c r="P171" s="561"/>
      <c r="Q171" s="561"/>
      <c r="R171" s="561"/>
      <c r="S171" s="561"/>
      <c r="T171" s="561"/>
      <c r="U171" s="561"/>
      <c r="V171" s="561"/>
      <c r="W171" s="561"/>
      <c r="X171" s="561"/>
      <c r="Y171" s="561"/>
      <c r="Z171" s="561"/>
      <c r="AA171" s="561"/>
      <c r="AB171" s="561"/>
      <c r="AC171" s="561"/>
      <c r="AD171" s="561"/>
      <c r="AE171" s="561"/>
      <c r="AF171" s="561"/>
      <c r="AG171" s="561"/>
      <c r="AH171" s="567"/>
      <c r="AI171" s="567"/>
      <c r="AJ171" s="567"/>
      <c r="AK171" s="567"/>
      <c r="AL171" s="567"/>
      <c r="AM171" s="567"/>
      <c r="AN171" s="567"/>
      <c r="AO171" s="567"/>
      <c r="AP171" s="567"/>
      <c r="AQ171" s="567"/>
      <c r="AR171" s="567"/>
      <c r="AS171" s="567"/>
      <c r="AT171" s="567"/>
      <c r="AU171" s="567"/>
      <c r="AV171" s="567"/>
      <c r="AW171" s="567"/>
      <c r="AX171" s="567"/>
      <c r="AY171" s="567"/>
      <c r="AZ171" s="567"/>
      <c r="BA171" s="567"/>
      <c r="BB171" s="567"/>
      <c r="BC171" s="567"/>
      <c r="BD171" s="568"/>
      <c r="BE171" s="568"/>
      <c r="BF171" s="568"/>
      <c r="BG171" s="568"/>
      <c r="BH171" s="568"/>
      <c r="BI171" s="568"/>
      <c r="BJ171" s="568"/>
      <c r="BK171" s="568"/>
      <c r="BL171" s="568"/>
      <c r="BM171" s="568"/>
      <c r="BN171" s="568"/>
      <c r="BO171" s="568"/>
      <c r="BP171" s="568"/>
      <c r="BQ171" s="568"/>
      <c r="BR171" s="568"/>
      <c r="BS171" s="568"/>
      <c r="BT171" s="568"/>
      <c r="BU171" s="568"/>
      <c r="BV171" s="568"/>
      <c r="BW171" s="568"/>
      <c r="BX171" s="568"/>
      <c r="BY171" s="568"/>
      <c r="BZ171" s="568"/>
      <c r="CA171" s="568"/>
      <c r="CB171" s="568"/>
      <c r="CC171" s="568"/>
      <c r="CD171" s="568"/>
      <c r="CE171" s="568"/>
      <c r="CF171" s="568"/>
      <c r="CG171" s="568"/>
      <c r="CH171" s="568"/>
      <c r="CI171" s="568"/>
      <c r="CJ171" s="568"/>
      <c r="CK171" s="568"/>
      <c r="CL171" s="568"/>
      <c r="CM171" s="568"/>
      <c r="CN171" s="568"/>
      <c r="CO171" s="568"/>
      <c r="CP171" s="568"/>
      <c r="CQ171" s="568"/>
      <c r="CR171" s="568"/>
      <c r="CS171" s="568"/>
      <c r="CT171" s="568"/>
      <c r="CU171" s="568"/>
      <c r="CV171" s="568"/>
      <c r="CW171" s="568"/>
      <c r="CX171" s="568"/>
      <c r="CY171" s="568"/>
      <c r="CZ171" s="568"/>
      <c r="DA171" s="568"/>
      <c r="DB171" s="568"/>
      <c r="DC171" s="568"/>
      <c r="DD171" s="568"/>
      <c r="DE171" s="568"/>
      <c r="DF171" s="568"/>
      <c r="DG171" s="568"/>
      <c r="DH171" s="568"/>
      <c r="DI171" s="568"/>
      <c r="DJ171" s="568"/>
      <c r="DK171" s="568"/>
      <c r="DL171" s="568"/>
      <c r="DM171" s="568"/>
      <c r="DN171" s="568"/>
      <c r="DO171" s="568"/>
      <c r="DP171" s="568"/>
      <c r="DQ171" s="568"/>
      <c r="DR171" s="568"/>
      <c r="DS171" s="568"/>
      <c r="DT171" s="568"/>
      <c r="DU171" s="568"/>
      <c r="DV171" s="568"/>
      <c r="DW171" s="568"/>
      <c r="DX171" s="568"/>
      <c r="DY171" s="568"/>
      <c r="DZ171" s="568"/>
      <c r="EA171" s="568"/>
      <c r="EB171" s="568"/>
      <c r="EC171" s="568"/>
      <c r="ED171" s="568"/>
      <c r="EE171" s="568"/>
      <c r="EF171" s="568"/>
      <c r="EG171" s="568"/>
      <c r="EH171" s="568"/>
      <c r="EI171" s="568"/>
      <c r="EJ171" s="568"/>
      <c r="EK171" s="568"/>
      <c r="EL171" s="568"/>
      <c r="EM171" s="568"/>
      <c r="EN171" s="568"/>
      <c r="EO171" s="568"/>
      <c r="EP171" s="568"/>
      <c r="EQ171" s="568"/>
      <c r="ER171" s="568"/>
      <c r="ES171" s="568"/>
      <c r="ET171" s="568"/>
      <c r="EU171" s="568"/>
      <c r="EV171" s="568"/>
      <c r="EW171" s="568"/>
      <c r="EX171" s="568"/>
      <c r="EY171" s="568"/>
      <c r="EZ171" s="568"/>
      <c r="FA171" s="568"/>
      <c r="FB171" s="568"/>
      <c r="FC171" s="568"/>
      <c r="FD171" s="568"/>
      <c r="FE171" s="568"/>
      <c r="FF171" s="568"/>
      <c r="FG171" s="568"/>
      <c r="FH171" s="568"/>
      <c r="FI171" s="568"/>
      <c r="FJ171" s="568"/>
      <c r="FK171" s="568"/>
      <c r="FL171" s="568"/>
      <c r="FM171" s="568"/>
      <c r="FN171" s="568"/>
      <c r="FO171" s="568"/>
      <c r="FP171" s="568"/>
      <c r="FQ171" s="568"/>
      <c r="FR171" s="568"/>
      <c r="FS171" s="568"/>
      <c r="FT171" s="568"/>
      <c r="FU171" s="568"/>
      <c r="FV171" s="568"/>
      <c r="FW171" s="568"/>
      <c r="FX171" s="568"/>
      <c r="FY171" s="568"/>
      <c r="FZ171" s="568"/>
      <c r="GA171" s="568"/>
      <c r="GB171" s="568"/>
      <c r="GC171" s="568"/>
      <c r="GD171" s="568"/>
      <c r="GE171" s="568"/>
      <c r="GF171" s="568"/>
      <c r="GG171" s="568"/>
      <c r="GH171" s="568"/>
      <c r="GI171" s="568"/>
      <c r="GJ171" s="568"/>
      <c r="GK171" s="568"/>
      <c r="GL171" s="568"/>
      <c r="GM171" s="568"/>
      <c r="GN171" s="568"/>
      <c r="GO171" s="568"/>
      <c r="GP171" s="568"/>
      <c r="GQ171" s="568"/>
      <c r="GR171" s="568"/>
      <c r="GS171" s="568"/>
      <c r="GT171" s="568"/>
      <c r="GU171" s="568"/>
      <c r="GV171" s="568"/>
      <c r="GW171" s="568"/>
      <c r="GX171" s="568"/>
      <c r="GY171" s="568"/>
      <c r="GZ171" s="568"/>
      <c r="HA171" s="568"/>
      <c r="HB171" s="568"/>
      <c r="HC171" s="568"/>
      <c r="HD171" s="568"/>
      <c r="HE171" s="568"/>
      <c r="HF171" s="568"/>
      <c r="HG171" s="568"/>
      <c r="HH171" s="568"/>
      <c r="HI171" s="568"/>
      <c r="HJ171" s="568"/>
      <c r="HK171" s="568"/>
      <c r="HL171" s="568"/>
      <c r="HM171" s="568"/>
      <c r="HN171" s="568"/>
      <c r="HO171" s="568"/>
      <c r="HP171" s="568"/>
      <c r="HQ171" s="568"/>
      <c r="HR171" s="568"/>
      <c r="HS171" s="568"/>
      <c r="HT171" s="568"/>
      <c r="HU171" s="568"/>
      <c r="HV171" s="568"/>
      <c r="HW171" s="568"/>
      <c r="HX171" s="568"/>
      <c r="HY171" s="568"/>
      <c r="HZ171" s="568"/>
      <c r="IA171" s="568"/>
      <c r="IB171" s="568"/>
      <c r="IC171" s="568"/>
      <c r="ID171" s="568"/>
      <c r="IE171" s="568"/>
      <c r="IF171" s="568"/>
      <c r="IG171" s="568"/>
      <c r="IH171" s="568"/>
      <c r="II171" s="568"/>
      <c r="IJ171" s="568"/>
      <c r="IK171" s="568"/>
      <c r="IL171" s="568"/>
      <c r="IM171" s="568"/>
      <c r="IN171" s="568"/>
      <c r="IO171" s="568"/>
      <c r="IP171" s="568"/>
      <c r="IQ171" s="568"/>
      <c r="IR171" s="568"/>
      <c r="IS171" s="568"/>
      <c r="IT171" s="568"/>
      <c r="IU171" s="568"/>
    </row>
    <row r="172" spans="1:255" ht="18" customHeight="1">
      <c r="A172" s="554"/>
      <c r="B172" s="561"/>
      <c r="C172" s="1142"/>
      <c r="D172" s="1142"/>
      <c r="E172" s="1142"/>
      <c r="F172" s="1142"/>
      <c r="G172" s="1142"/>
      <c r="H172" s="1142"/>
      <c r="I172" s="1142"/>
      <c r="J172" s="1142"/>
      <c r="K172" s="1142"/>
      <c r="L172" s="1142"/>
      <c r="M172" s="561"/>
      <c r="N172" s="561"/>
      <c r="O172" s="561"/>
      <c r="P172" s="561"/>
      <c r="Q172" s="561"/>
      <c r="R172" s="561"/>
      <c r="S172" s="561"/>
      <c r="T172" s="561"/>
      <c r="U172" s="561"/>
      <c r="V172" s="561"/>
      <c r="W172" s="561"/>
      <c r="X172" s="561"/>
      <c r="Y172" s="561"/>
      <c r="Z172" s="561"/>
      <c r="AA172" s="561"/>
      <c r="AB172" s="561"/>
      <c r="AC172" s="561"/>
      <c r="AD172" s="561"/>
      <c r="AE172" s="561"/>
      <c r="AF172" s="561"/>
      <c r="AG172" s="561"/>
      <c r="AH172" s="567"/>
      <c r="AI172" s="567"/>
      <c r="AJ172" s="567"/>
      <c r="AK172" s="567"/>
      <c r="AL172" s="567"/>
      <c r="AM172" s="567"/>
      <c r="AN172" s="567"/>
      <c r="AO172" s="567"/>
      <c r="AP172" s="567"/>
      <c r="AQ172" s="567"/>
      <c r="AR172" s="567"/>
      <c r="AS172" s="567"/>
      <c r="AT172" s="567"/>
      <c r="AU172" s="567"/>
      <c r="AV172" s="567"/>
      <c r="AW172" s="567"/>
      <c r="AX172" s="567"/>
      <c r="AY172" s="567"/>
      <c r="AZ172" s="567"/>
      <c r="BA172" s="567"/>
      <c r="BB172" s="567"/>
      <c r="BC172" s="567"/>
      <c r="BD172" s="568"/>
      <c r="BE172" s="568"/>
      <c r="BF172" s="568"/>
      <c r="BG172" s="568"/>
      <c r="BH172" s="568"/>
      <c r="BI172" s="568"/>
      <c r="BJ172" s="568"/>
      <c r="BK172" s="568"/>
      <c r="BL172" s="568"/>
      <c r="BM172" s="568"/>
      <c r="BN172" s="568"/>
      <c r="BO172" s="568"/>
      <c r="BP172" s="568"/>
      <c r="BQ172" s="568"/>
      <c r="BR172" s="568"/>
      <c r="BS172" s="568"/>
      <c r="BT172" s="568"/>
      <c r="BU172" s="568"/>
      <c r="BV172" s="568"/>
      <c r="BW172" s="568"/>
      <c r="BX172" s="568"/>
      <c r="BY172" s="568"/>
      <c r="BZ172" s="568"/>
      <c r="CA172" s="568"/>
      <c r="CB172" s="568"/>
      <c r="CC172" s="568"/>
      <c r="CD172" s="568"/>
      <c r="CE172" s="568"/>
      <c r="CF172" s="568"/>
      <c r="CG172" s="568"/>
      <c r="CH172" s="568"/>
      <c r="CI172" s="568"/>
      <c r="CJ172" s="568"/>
      <c r="CK172" s="568"/>
      <c r="CL172" s="568"/>
      <c r="CM172" s="568"/>
      <c r="CN172" s="568"/>
      <c r="CO172" s="568"/>
      <c r="CP172" s="568"/>
      <c r="CQ172" s="568"/>
      <c r="CR172" s="568"/>
      <c r="CS172" s="568"/>
      <c r="CT172" s="568"/>
      <c r="CU172" s="568"/>
      <c r="CV172" s="568"/>
      <c r="CW172" s="568"/>
      <c r="CX172" s="568"/>
      <c r="CY172" s="568"/>
      <c r="CZ172" s="568"/>
      <c r="DA172" s="568"/>
      <c r="DB172" s="568"/>
      <c r="DC172" s="568"/>
      <c r="DD172" s="568"/>
      <c r="DE172" s="568"/>
      <c r="DF172" s="568"/>
      <c r="DG172" s="568"/>
      <c r="DH172" s="568"/>
      <c r="DI172" s="568"/>
      <c r="DJ172" s="568"/>
      <c r="DK172" s="568"/>
      <c r="DL172" s="568"/>
      <c r="DM172" s="568"/>
      <c r="DN172" s="568"/>
      <c r="DO172" s="568"/>
      <c r="DP172" s="568"/>
      <c r="DQ172" s="568"/>
      <c r="DR172" s="568"/>
      <c r="DS172" s="568"/>
      <c r="DT172" s="568"/>
      <c r="DU172" s="568"/>
      <c r="DV172" s="568"/>
      <c r="DW172" s="568"/>
      <c r="DX172" s="568"/>
      <c r="DY172" s="568"/>
      <c r="DZ172" s="568"/>
      <c r="EA172" s="568"/>
      <c r="EB172" s="568"/>
      <c r="EC172" s="568"/>
      <c r="ED172" s="568"/>
      <c r="EE172" s="568"/>
      <c r="EF172" s="568"/>
      <c r="EG172" s="568"/>
      <c r="EH172" s="568"/>
      <c r="EI172" s="568"/>
      <c r="EJ172" s="568"/>
      <c r="EK172" s="568"/>
      <c r="EL172" s="568"/>
      <c r="EM172" s="568"/>
      <c r="EN172" s="568"/>
      <c r="EO172" s="568"/>
      <c r="EP172" s="568"/>
      <c r="EQ172" s="568"/>
      <c r="ER172" s="568"/>
      <c r="ES172" s="568"/>
      <c r="ET172" s="568"/>
      <c r="EU172" s="568"/>
      <c r="EV172" s="568"/>
      <c r="EW172" s="568"/>
      <c r="EX172" s="568"/>
      <c r="EY172" s="568"/>
      <c r="EZ172" s="568"/>
      <c r="FA172" s="568"/>
      <c r="FB172" s="568"/>
      <c r="FC172" s="568"/>
      <c r="FD172" s="568"/>
      <c r="FE172" s="568"/>
      <c r="FF172" s="568"/>
      <c r="FG172" s="568"/>
      <c r="FH172" s="568"/>
      <c r="FI172" s="568"/>
      <c r="FJ172" s="568"/>
      <c r="FK172" s="568"/>
      <c r="FL172" s="568"/>
      <c r="FM172" s="568"/>
      <c r="FN172" s="568"/>
      <c r="FO172" s="568"/>
      <c r="FP172" s="568"/>
      <c r="FQ172" s="568"/>
      <c r="FR172" s="568"/>
      <c r="FS172" s="568"/>
      <c r="FT172" s="568"/>
      <c r="FU172" s="568"/>
      <c r="FV172" s="568"/>
      <c r="FW172" s="568"/>
      <c r="FX172" s="568"/>
      <c r="FY172" s="568"/>
      <c r="FZ172" s="568"/>
      <c r="GA172" s="568"/>
      <c r="GB172" s="568"/>
      <c r="GC172" s="568"/>
      <c r="GD172" s="568"/>
      <c r="GE172" s="568"/>
      <c r="GF172" s="568"/>
      <c r="GG172" s="568"/>
      <c r="GH172" s="568"/>
      <c r="GI172" s="568"/>
      <c r="GJ172" s="568"/>
      <c r="GK172" s="568"/>
      <c r="GL172" s="568"/>
      <c r="GM172" s="568"/>
      <c r="GN172" s="568"/>
      <c r="GO172" s="568"/>
      <c r="GP172" s="568"/>
      <c r="GQ172" s="568"/>
      <c r="GR172" s="568"/>
      <c r="GS172" s="568"/>
      <c r="GT172" s="568"/>
      <c r="GU172" s="568"/>
      <c r="GV172" s="568"/>
      <c r="GW172" s="568"/>
      <c r="GX172" s="568"/>
      <c r="GY172" s="568"/>
      <c r="GZ172" s="568"/>
      <c r="HA172" s="568"/>
      <c r="HB172" s="568"/>
      <c r="HC172" s="568"/>
      <c r="HD172" s="568"/>
      <c r="HE172" s="568"/>
      <c r="HF172" s="568"/>
      <c r="HG172" s="568"/>
      <c r="HH172" s="568"/>
      <c r="HI172" s="568"/>
      <c r="HJ172" s="568"/>
      <c r="HK172" s="568"/>
      <c r="HL172" s="568"/>
      <c r="HM172" s="568"/>
      <c r="HN172" s="568"/>
      <c r="HO172" s="568"/>
      <c r="HP172" s="568"/>
      <c r="HQ172" s="568"/>
      <c r="HR172" s="568"/>
      <c r="HS172" s="568"/>
      <c r="HT172" s="568"/>
      <c r="HU172" s="568"/>
      <c r="HV172" s="568"/>
      <c r="HW172" s="568"/>
      <c r="HX172" s="568"/>
      <c r="HY172" s="568"/>
      <c r="HZ172" s="568"/>
      <c r="IA172" s="568"/>
      <c r="IB172" s="568"/>
      <c r="IC172" s="568"/>
      <c r="ID172" s="568"/>
      <c r="IE172" s="568"/>
      <c r="IF172" s="568"/>
      <c r="IG172" s="568"/>
      <c r="IH172" s="568"/>
      <c r="II172" s="568"/>
      <c r="IJ172" s="568"/>
      <c r="IK172" s="568"/>
      <c r="IL172" s="568"/>
      <c r="IM172" s="568"/>
      <c r="IN172" s="568"/>
      <c r="IO172" s="568"/>
      <c r="IP172" s="568"/>
      <c r="IQ172" s="568"/>
      <c r="IR172" s="568"/>
      <c r="IS172" s="568"/>
      <c r="IT172" s="568"/>
      <c r="IU172" s="568"/>
    </row>
    <row r="173" spans="1:255" ht="18" customHeight="1">
      <c r="A173" s="554"/>
      <c r="B173" s="561"/>
      <c r="C173" s="1142"/>
      <c r="D173" s="1142"/>
      <c r="E173" s="1142"/>
      <c r="F173" s="1142"/>
      <c r="G173" s="1142"/>
      <c r="H173" s="1142"/>
      <c r="I173" s="1142"/>
      <c r="J173" s="1142"/>
      <c r="K173" s="1142"/>
      <c r="L173" s="1142"/>
      <c r="M173" s="561"/>
      <c r="N173" s="561"/>
      <c r="O173" s="561"/>
      <c r="P173" s="561"/>
      <c r="Q173" s="561"/>
      <c r="R173" s="561"/>
      <c r="S173" s="561"/>
      <c r="T173" s="561"/>
      <c r="U173" s="561"/>
      <c r="V173" s="561"/>
      <c r="W173" s="561"/>
      <c r="X173" s="561"/>
      <c r="Y173" s="561"/>
      <c r="Z173" s="561"/>
      <c r="AA173" s="561"/>
      <c r="AB173" s="561"/>
      <c r="AC173" s="561"/>
      <c r="AD173" s="561"/>
      <c r="AE173" s="561"/>
      <c r="AF173" s="561"/>
      <c r="AG173" s="561"/>
      <c r="AH173" s="567"/>
      <c r="AI173" s="567"/>
      <c r="AJ173" s="567"/>
      <c r="AK173" s="567"/>
      <c r="AL173" s="567"/>
      <c r="AM173" s="567"/>
      <c r="AN173" s="567"/>
      <c r="AO173" s="567"/>
      <c r="AP173" s="567"/>
      <c r="AQ173" s="567"/>
      <c r="AR173" s="567"/>
      <c r="AS173" s="567"/>
      <c r="AT173" s="567"/>
      <c r="AU173" s="567"/>
      <c r="AV173" s="567"/>
      <c r="AW173" s="567"/>
      <c r="AX173" s="567"/>
      <c r="AY173" s="567"/>
      <c r="AZ173" s="567"/>
      <c r="BA173" s="567"/>
      <c r="BB173" s="567"/>
      <c r="BC173" s="567"/>
      <c r="BD173" s="568"/>
      <c r="BE173" s="568"/>
      <c r="BF173" s="568"/>
      <c r="BG173" s="568"/>
      <c r="BH173" s="568"/>
      <c r="BI173" s="568"/>
      <c r="BJ173" s="568"/>
      <c r="BK173" s="568"/>
      <c r="BL173" s="568"/>
      <c r="BM173" s="568"/>
      <c r="BN173" s="568"/>
      <c r="BO173" s="568"/>
      <c r="BP173" s="568"/>
      <c r="BQ173" s="568"/>
      <c r="BR173" s="568"/>
      <c r="BS173" s="568"/>
      <c r="BT173" s="568"/>
      <c r="BU173" s="568"/>
      <c r="BV173" s="568"/>
      <c r="BW173" s="568"/>
      <c r="BX173" s="568"/>
      <c r="BY173" s="568"/>
      <c r="BZ173" s="568"/>
      <c r="CA173" s="568"/>
      <c r="CB173" s="568"/>
      <c r="CC173" s="568"/>
      <c r="CD173" s="568"/>
      <c r="CE173" s="568"/>
      <c r="CF173" s="568"/>
      <c r="CG173" s="568"/>
      <c r="CH173" s="568"/>
      <c r="CI173" s="568"/>
      <c r="CJ173" s="568"/>
      <c r="CK173" s="568"/>
      <c r="CL173" s="568"/>
      <c r="CM173" s="568"/>
      <c r="CN173" s="568"/>
      <c r="CO173" s="568"/>
      <c r="CP173" s="568"/>
      <c r="CQ173" s="568"/>
      <c r="CR173" s="568"/>
      <c r="CS173" s="568"/>
      <c r="CT173" s="568"/>
      <c r="CU173" s="568"/>
      <c r="CV173" s="568"/>
      <c r="CW173" s="568"/>
      <c r="CX173" s="568"/>
      <c r="CY173" s="568"/>
      <c r="CZ173" s="568"/>
      <c r="DA173" s="568"/>
      <c r="DB173" s="568"/>
      <c r="DC173" s="568"/>
      <c r="DD173" s="568"/>
      <c r="DE173" s="568"/>
      <c r="DF173" s="568"/>
      <c r="DG173" s="568"/>
      <c r="DH173" s="568"/>
      <c r="DI173" s="568"/>
      <c r="DJ173" s="568"/>
      <c r="DK173" s="568"/>
      <c r="DL173" s="568"/>
      <c r="DM173" s="568"/>
      <c r="DN173" s="568"/>
      <c r="DO173" s="568"/>
      <c r="DP173" s="568"/>
      <c r="DQ173" s="568"/>
      <c r="DR173" s="568"/>
      <c r="DS173" s="568"/>
      <c r="DT173" s="568"/>
      <c r="DU173" s="568"/>
      <c r="DV173" s="568"/>
      <c r="DW173" s="568"/>
      <c r="DX173" s="568"/>
      <c r="DY173" s="568"/>
      <c r="DZ173" s="568"/>
      <c r="EA173" s="568"/>
      <c r="EB173" s="568"/>
      <c r="EC173" s="568"/>
      <c r="ED173" s="568"/>
      <c r="EE173" s="568"/>
      <c r="EF173" s="568"/>
      <c r="EG173" s="568"/>
      <c r="EH173" s="568"/>
      <c r="EI173" s="568"/>
      <c r="EJ173" s="568"/>
      <c r="EK173" s="568"/>
      <c r="EL173" s="568"/>
      <c r="EM173" s="568"/>
      <c r="EN173" s="568"/>
      <c r="EO173" s="568"/>
      <c r="EP173" s="568"/>
      <c r="EQ173" s="568"/>
      <c r="ER173" s="568"/>
      <c r="ES173" s="568"/>
      <c r="ET173" s="568"/>
      <c r="EU173" s="568"/>
      <c r="EV173" s="568"/>
      <c r="EW173" s="568"/>
      <c r="EX173" s="568"/>
      <c r="EY173" s="568"/>
      <c r="EZ173" s="568"/>
      <c r="FA173" s="568"/>
      <c r="FB173" s="568"/>
      <c r="FC173" s="568"/>
      <c r="FD173" s="568"/>
      <c r="FE173" s="568"/>
      <c r="FF173" s="568"/>
      <c r="FG173" s="568"/>
      <c r="FH173" s="568"/>
      <c r="FI173" s="568"/>
      <c r="FJ173" s="568"/>
      <c r="FK173" s="568"/>
      <c r="FL173" s="568"/>
      <c r="FM173" s="568"/>
      <c r="FN173" s="568"/>
      <c r="FO173" s="568"/>
      <c r="FP173" s="568"/>
      <c r="FQ173" s="568"/>
      <c r="FR173" s="568"/>
      <c r="FS173" s="568"/>
      <c r="FT173" s="568"/>
      <c r="FU173" s="568"/>
      <c r="FV173" s="568"/>
      <c r="FW173" s="568"/>
      <c r="FX173" s="568"/>
      <c r="FY173" s="568"/>
      <c r="FZ173" s="568"/>
      <c r="GA173" s="568"/>
      <c r="GB173" s="568"/>
      <c r="GC173" s="568"/>
      <c r="GD173" s="568"/>
      <c r="GE173" s="568"/>
      <c r="GF173" s="568"/>
      <c r="GG173" s="568"/>
      <c r="GH173" s="568"/>
      <c r="GI173" s="568"/>
      <c r="GJ173" s="568"/>
      <c r="GK173" s="568"/>
      <c r="GL173" s="568"/>
      <c r="GM173" s="568"/>
      <c r="GN173" s="568"/>
      <c r="GO173" s="568"/>
      <c r="GP173" s="568"/>
      <c r="GQ173" s="568"/>
      <c r="GR173" s="568"/>
      <c r="GS173" s="568"/>
      <c r="GT173" s="568"/>
      <c r="GU173" s="568"/>
      <c r="GV173" s="568"/>
      <c r="GW173" s="568"/>
      <c r="GX173" s="568"/>
      <c r="GY173" s="568"/>
      <c r="GZ173" s="568"/>
      <c r="HA173" s="568"/>
      <c r="HB173" s="568"/>
      <c r="HC173" s="568"/>
      <c r="HD173" s="568"/>
      <c r="HE173" s="568"/>
      <c r="HF173" s="568"/>
      <c r="HG173" s="568"/>
      <c r="HH173" s="568"/>
      <c r="HI173" s="568"/>
      <c r="HJ173" s="568"/>
      <c r="HK173" s="568"/>
      <c r="HL173" s="568"/>
      <c r="HM173" s="568"/>
      <c r="HN173" s="568"/>
      <c r="HO173" s="568"/>
      <c r="HP173" s="568"/>
      <c r="HQ173" s="568"/>
      <c r="HR173" s="568"/>
      <c r="HS173" s="568"/>
      <c r="HT173" s="568"/>
      <c r="HU173" s="568"/>
      <c r="HV173" s="568"/>
      <c r="HW173" s="568"/>
      <c r="HX173" s="568"/>
      <c r="HY173" s="568"/>
      <c r="HZ173" s="568"/>
      <c r="IA173" s="568"/>
      <c r="IB173" s="568"/>
      <c r="IC173" s="568"/>
      <c r="ID173" s="568"/>
      <c r="IE173" s="568"/>
      <c r="IF173" s="568"/>
      <c r="IG173" s="568"/>
      <c r="IH173" s="568"/>
      <c r="II173" s="568"/>
      <c r="IJ173" s="568"/>
      <c r="IK173" s="568"/>
      <c r="IL173" s="568"/>
      <c r="IM173" s="568"/>
      <c r="IN173" s="568"/>
      <c r="IO173" s="568"/>
      <c r="IP173" s="568"/>
      <c r="IQ173" s="568"/>
      <c r="IR173" s="568"/>
      <c r="IS173" s="568"/>
      <c r="IT173" s="568"/>
      <c r="IU173" s="568"/>
    </row>
    <row r="174" spans="1:255" ht="18" customHeight="1">
      <c r="A174" s="554"/>
      <c r="B174" s="561"/>
      <c r="C174" s="1142"/>
      <c r="D174" s="1142"/>
      <c r="E174" s="1142"/>
      <c r="F174" s="1142"/>
      <c r="G174" s="1142"/>
      <c r="H174" s="1142"/>
      <c r="I174" s="1142"/>
      <c r="J174" s="1142"/>
      <c r="K174" s="1142"/>
      <c r="L174" s="1142"/>
      <c r="M174" s="561"/>
      <c r="N174" s="561"/>
      <c r="O174" s="561"/>
      <c r="P174" s="561"/>
      <c r="Q174" s="561"/>
      <c r="R174" s="561"/>
      <c r="S174" s="561"/>
      <c r="T174" s="561"/>
      <c r="U174" s="561"/>
      <c r="V174" s="561"/>
      <c r="W174" s="561"/>
      <c r="X174" s="561"/>
      <c r="Y174" s="561"/>
      <c r="Z174" s="561"/>
      <c r="AA174" s="561"/>
      <c r="AB174" s="561"/>
      <c r="AC174" s="561"/>
      <c r="AD174" s="561"/>
      <c r="AE174" s="561"/>
      <c r="AF174" s="561"/>
      <c r="AG174" s="561"/>
      <c r="AH174" s="567"/>
      <c r="AI174" s="567"/>
      <c r="AJ174" s="567"/>
      <c r="AK174" s="567"/>
      <c r="AL174" s="567"/>
      <c r="AM174" s="567"/>
      <c r="AN174" s="567"/>
      <c r="AO174" s="567"/>
      <c r="AP174" s="567"/>
      <c r="AQ174" s="567"/>
      <c r="AR174" s="567"/>
      <c r="AS174" s="567"/>
      <c r="AT174" s="567"/>
      <c r="AU174" s="567"/>
      <c r="AV174" s="567"/>
      <c r="AW174" s="567"/>
      <c r="AX174" s="567"/>
      <c r="AY174" s="567"/>
      <c r="AZ174" s="567"/>
      <c r="BA174" s="567"/>
      <c r="BB174" s="567"/>
      <c r="BC174" s="567"/>
      <c r="BD174" s="568"/>
      <c r="BE174" s="568"/>
      <c r="BF174" s="568"/>
      <c r="BG174" s="568"/>
      <c r="BH174" s="568"/>
      <c r="BI174" s="568"/>
      <c r="BJ174" s="568"/>
      <c r="BK174" s="568"/>
      <c r="BL174" s="568"/>
      <c r="BM174" s="568"/>
      <c r="BN174" s="568"/>
      <c r="BO174" s="568"/>
      <c r="BP174" s="568"/>
      <c r="BQ174" s="568"/>
      <c r="BR174" s="568"/>
      <c r="BS174" s="568"/>
      <c r="BT174" s="568"/>
      <c r="BU174" s="568"/>
      <c r="BV174" s="568"/>
      <c r="BW174" s="568"/>
      <c r="BX174" s="568"/>
      <c r="BY174" s="568"/>
      <c r="BZ174" s="568"/>
      <c r="CA174" s="568"/>
      <c r="CB174" s="568"/>
      <c r="CC174" s="568"/>
      <c r="CD174" s="568"/>
      <c r="CE174" s="568"/>
      <c r="CF174" s="568"/>
      <c r="CG174" s="568"/>
      <c r="CH174" s="568"/>
      <c r="CI174" s="568"/>
      <c r="CJ174" s="568"/>
      <c r="CK174" s="568"/>
      <c r="CL174" s="568"/>
      <c r="CM174" s="568"/>
      <c r="CN174" s="568"/>
      <c r="CO174" s="568"/>
      <c r="CP174" s="568"/>
      <c r="CQ174" s="568"/>
      <c r="CR174" s="568"/>
      <c r="CS174" s="568"/>
      <c r="CT174" s="568"/>
      <c r="CU174" s="568"/>
      <c r="CV174" s="568"/>
      <c r="CW174" s="568"/>
      <c r="CX174" s="568"/>
      <c r="CY174" s="568"/>
      <c r="CZ174" s="568"/>
      <c r="DA174" s="568"/>
      <c r="DB174" s="568"/>
      <c r="DC174" s="568"/>
      <c r="DD174" s="568"/>
      <c r="DE174" s="568"/>
      <c r="DF174" s="568"/>
      <c r="DG174" s="568"/>
      <c r="DH174" s="568"/>
      <c r="DI174" s="568"/>
      <c r="DJ174" s="568"/>
      <c r="DK174" s="568"/>
      <c r="DL174" s="568"/>
      <c r="DM174" s="568"/>
      <c r="DN174" s="568"/>
      <c r="DO174" s="568"/>
      <c r="DP174" s="568"/>
      <c r="DQ174" s="568"/>
      <c r="DR174" s="568"/>
      <c r="DS174" s="568"/>
      <c r="DT174" s="568"/>
      <c r="DU174" s="568"/>
      <c r="DV174" s="568"/>
      <c r="DW174" s="568"/>
      <c r="DX174" s="568"/>
      <c r="DY174" s="568"/>
      <c r="DZ174" s="568"/>
      <c r="EA174" s="568"/>
      <c r="EB174" s="568"/>
      <c r="EC174" s="568"/>
      <c r="ED174" s="568"/>
      <c r="EE174" s="568"/>
      <c r="EF174" s="568"/>
      <c r="EG174" s="568"/>
      <c r="EH174" s="568"/>
      <c r="EI174" s="568"/>
      <c r="EJ174" s="568"/>
      <c r="EK174" s="568"/>
      <c r="EL174" s="568"/>
      <c r="EM174" s="568"/>
      <c r="EN174" s="568"/>
      <c r="EO174" s="568"/>
      <c r="EP174" s="568"/>
      <c r="EQ174" s="568"/>
      <c r="ER174" s="568"/>
      <c r="ES174" s="568"/>
      <c r="ET174" s="568"/>
      <c r="EU174" s="568"/>
      <c r="EV174" s="568"/>
      <c r="EW174" s="568"/>
      <c r="EX174" s="568"/>
      <c r="EY174" s="568"/>
      <c r="EZ174" s="568"/>
      <c r="FA174" s="568"/>
      <c r="FB174" s="568"/>
      <c r="FC174" s="568"/>
      <c r="FD174" s="568"/>
      <c r="FE174" s="568"/>
      <c r="FF174" s="568"/>
      <c r="FG174" s="568"/>
      <c r="FH174" s="568"/>
      <c r="FI174" s="568"/>
      <c r="FJ174" s="568"/>
      <c r="FK174" s="568"/>
      <c r="FL174" s="568"/>
      <c r="FM174" s="568"/>
      <c r="FN174" s="568"/>
      <c r="FO174" s="568"/>
      <c r="FP174" s="568"/>
      <c r="FQ174" s="568"/>
      <c r="FR174" s="568"/>
      <c r="FS174" s="568"/>
      <c r="FT174" s="568"/>
      <c r="FU174" s="568"/>
      <c r="FV174" s="568"/>
      <c r="FW174" s="568"/>
      <c r="FX174" s="568"/>
      <c r="FY174" s="568"/>
      <c r="FZ174" s="568"/>
      <c r="GA174" s="568"/>
      <c r="GB174" s="568"/>
      <c r="GC174" s="568"/>
      <c r="GD174" s="568"/>
      <c r="GE174" s="568"/>
      <c r="GF174" s="568"/>
      <c r="GG174" s="568"/>
      <c r="GH174" s="568"/>
      <c r="GI174" s="568"/>
      <c r="GJ174" s="568"/>
      <c r="GK174" s="568"/>
      <c r="GL174" s="568"/>
      <c r="GM174" s="568"/>
      <c r="GN174" s="568"/>
      <c r="GO174" s="568"/>
      <c r="GP174" s="568"/>
      <c r="GQ174" s="568"/>
      <c r="GR174" s="568"/>
      <c r="GS174" s="568"/>
      <c r="GT174" s="568"/>
      <c r="GU174" s="568"/>
      <c r="GV174" s="568"/>
      <c r="GW174" s="568"/>
      <c r="GX174" s="568"/>
      <c r="GY174" s="568"/>
      <c r="GZ174" s="568"/>
      <c r="HA174" s="568"/>
      <c r="HB174" s="568"/>
      <c r="HC174" s="568"/>
      <c r="HD174" s="568"/>
      <c r="HE174" s="568"/>
      <c r="HF174" s="568"/>
      <c r="HG174" s="568"/>
      <c r="HH174" s="568"/>
      <c r="HI174" s="568"/>
      <c r="HJ174" s="568"/>
      <c r="HK174" s="568"/>
      <c r="HL174" s="568"/>
      <c r="HM174" s="568"/>
      <c r="HN174" s="568"/>
      <c r="HO174" s="568"/>
      <c r="HP174" s="568"/>
      <c r="HQ174" s="568"/>
      <c r="HR174" s="568"/>
      <c r="HS174" s="568"/>
      <c r="HT174" s="568"/>
      <c r="HU174" s="568"/>
      <c r="HV174" s="568"/>
      <c r="HW174" s="568"/>
      <c r="HX174" s="568"/>
      <c r="HY174" s="568"/>
      <c r="HZ174" s="568"/>
      <c r="IA174" s="568"/>
      <c r="IB174" s="568"/>
      <c r="IC174" s="568"/>
      <c r="ID174" s="568"/>
      <c r="IE174" s="568"/>
      <c r="IF174" s="568"/>
      <c r="IG174" s="568"/>
      <c r="IH174" s="568"/>
      <c r="II174" s="568"/>
      <c r="IJ174" s="568"/>
      <c r="IK174" s="568"/>
      <c r="IL174" s="568"/>
      <c r="IM174" s="568"/>
      <c r="IN174" s="568"/>
      <c r="IO174" s="568"/>
      <c r="IP174" s="568"/>
      <c r="IQ174" s="568"/>
      <c r="IR174" s="568"/>
      <c r="IS174" s="568"/>
      <c r="IT174" s="568"/>
      <c r="IU174" s="568"/>
    </row>
    <row r="175" spans="1:255" ht="18" customHeight="1">
      <c r="A175" s="554"/>
      <c r="B175" s="561"/>
      <c r="C175" s="1142"/>
      <c r="D175" s="1142"/>
      <c r="E175" s="1142"/>
      <c r="F175" s="1142"/>
      <c r="G175" s="1142"/>
      <c r="H175" s="1142"/>
      <c r="I175" s="1142"/>
      <c r="J175" s="1142"/>
      <c r="K175" s="1142"/>
      <c r="L175" s="1142"/>
      <c r="M175" s="561"/>
      <c r="N175" s="561"/>
      <c r="O175" s="561"/>
      <c r="P175" s="561"/>
      <c r="Q175" s="561"/>
      <c r="R175" s="561"/>
      <c r="S175" s="561"/>
      <c r="T175" s="561"/>
      <c r="U175" s="561"/>
      <c r="V175" s="561"/>
      <c r="W175" s="561"/>
      <c r="X175" s="561"/>
      <c r="Y175" s="561"/>
      <c r="Z175" s="561"/>
      <c r="AA175" s="561"/>
      <c r="AB175" s="561"/>
      <c r="AC175" s="561"/>
      <c r="AD175" s="561"/>
      <c r="AE175" s="561"/>
      <c r="AF175" s="561"/>
      <c r="AG175" s="561"/>
      <c r="AH175" s="567"/>
      <c r="AI175" s="567"/>
      <c r="AJ175" s="567"/>
      <c r="AK175" s="567"/>
      <c r="AL175" s="567"/>
      <c r="AM175" s="567"/>
      <c r="AN175" s="567"/>
      <c r="AO175" s="567"/>
      <c r="AP175" s="567"/>
      <c r="AQ175" s="567"/>
      <c r="AR175" s="567"/>
      <c r="AS175" s="567"/>
      <c r="AT175" s="567"/>
      <c r="AU175" s="567"/>
      <c r="AV175" s="567"/>
      <c r="AW175" s="567"/>
      <c r="AX175" s="567"/>
      <c r="AY175" s="567"/>
      <c r="AZ175" s="567"/>
      <c r="BA175" s="567"/>
      <c r="BB175" s="567"/>
      <c r="BC175" s="567"/>
      <c r="BD175" s="568"/>
      <c r="BE175" s="568"/>
      <c r="BF175" s="568"/>
      <c r="BG175" s="568"/>
      <c r="BH175" s="568"/>
      <c r="BI175" s="568"/>
      <c r="BJ175" s="568"/>
      <c r="BK175" s="568"/>
      <c r="BL175" s="568"/>
      <c r="BM175" s="568"/>
      <c r="BN175" s="568"/>
      <c r="BO175" s="568"/>
      <c r="BP175" s="568"/>
      <c r="BQ175" s="568"/>
      <c r="BR175" s="568"/>
      <c r="BS175" s="568"/>
      <c r="BT175" s="568"/>
      <c r="BU175" s="568"/>
      <c r="BV175" s="568"/>
      <c r="BW175" s="568"/>
      <c r="BX175" s="568"/>
      <c r="BY175" s="568"/>
      <c r="BZ175" s="568"/>
      <c r="CA175" s="568"/>
      <c r="CB175" s="568"/>
      <c r="CC175" s="568"/>
      <c r="CD175" s="568"/>
      <c r="CE175" s="568"/>
      <c r="CF175" s="568"/>
      <c r="CG175" s="568"/>
      <c r="CH175" s="568"/>
      <c r="CI175" s="568"/>
      <c r="CJ175" s="568"/>
      <c r="CK175" s="568"/>
      <c r="CL175" s="568"/>
      <c r="CM175" s="568"/>
      <c r="CN175" s="568"/>
      <c r="CO175" s="568"/>
      <c r="CP175" s="568"/>
      <c r="CQ175" s="568"/>
      <c r="CR175" s="568"/>
      <c r="CS175" s="568"/>
      <c r="CT175" s="568"/>
      <c r="CU175" s="568"/>
      <c r="CV175" s="568"/>
      <c r="CW175" s="568"/>
      <c r="CX175" s="568"/>
      <c r="CY175" s="568"/>
      <c r="CZ175" s="568"/>
      <c r="DA175" s="568"/>
      <c r="DB175" s="568"/>
      <c r="DC175" s="568"/>
      <c r="DD175" s="568"/>
      <c r="DE175" s="568"/>
      <c r="DF175" s="568"/>
      <c r="DG175" s="568"/>
      <c r="DH175" s="568"/>
      <c r="DI175" s="568"/>
      <c r="DJ175" s="568"/>
      <c r="DK175" s="568"/>
      <c r="DL175" s="568"/>
      <c r="DM175" s="568"/>
      <c r="DN175" s="568"/>
      <c r="DO175" s="568"/>
      <c r="DP175" s="568"/>
      <c r="DQ175" s="568"/>
      <c r="DR175" s="568"/>
      <c r="DS175" s="568"/>
      <c r="DT175" s="568"/>
      <c r="DU175" s="568"/>
      <c r="DV175" s="568"/>
      <c r="DW175" s="568"/>
      <c r="DX175" s="568"/>
      <c r="DY175" s="568"/>
      <c r="DZ175" s="568"/>
      <c r="EA175" s="568"/>
      <c r="EB175" s="568"/>
      <c r="EC175" s="568"/>
      <c r="ED175" s="568"/>
      <c r="EE175" s="568"/>
      <c r="EF175" s="568"/>
      <c r="EG175" s="568"/>
      <c r="EH175" s="568"/>
      <c r="EI175" s="568"/>
      <c r="EJ175" s="568"/>
      <c r="EK175" s="568"/>
      <c r="EL175" s="568"/>
      <c r="EM175" s="568"/>
      <c r="EN175" s="568"/>
      <c r="EO175" s="568"/>
      <c r="EP175" s="568"/>
      <c r="EQ175" s="568"/>
      <c r="ER175" s="568"/>
      <c r="ES175" s="568"/>
      <c r="ET175" s="568"/>
      <c r="EU175" s="568"/>
      <c r="EV175" s="568"/>
      <c r="EW175" s="568"/>
      <c r="EX175" s="568"/>
      <c r="EY175" s="568"/>
      <c r="EZ175" s="568"/>
      <c r="FA175" s="568"/>
      <c r="FB175" s="568"/>
      <c r="FC175" s="568"/>
      <c r="FD175" s="568"/>
      <c r="FE175" s="568"/>
      <c r="FF175" s="568"/>
      <c r="FG175" s="568"/>
      <c r="FH175" s="568"/>
      <c r="FI175" s="568"/>
      <c r="FJ175" s="568"/>
      <c r="FK175" s="568"/>
      <c r="FL175" s="568"/>
      <c r="FM175" s="568"/>
      <c r="FN175" s="568"/>
      <c r="FO175" s="568"/>
      <c r="FP175" s="568"/>
      <c r="FQ175" s="568"/>
      <c r="FR175" s="568"/>
      <c r="FS175" s="568"/>
      <c r="FT175" s="568"/>
      <c r="FU175" s="568"/>
      <c r="FV175" s="568"/>
      <c r="FW175" s="568"/>
      <c r="FX175" s="568"/>
      <c r="FY175" s="568"/>
      <c r="FZ175" s="568"/>
      <c r="GA175" s="568"/>
      <c r="GB175" s="568"/>
      <c r="GC175" s="568"/>
      <c r="GD175" s="568"/>
      <c r="GE175" s="568"/>
      <c r="GF175" s="568"/>
      <c r="GG175" s="568"/>
      <c r="GH175" s="568"/>
      <c r="GI175" s="568"/>
      <c r="GJ175" s="568"/>
      <c r="GK175" s="568"/>
      <c r="GL175" s="568"/>
      <c r="GM175" s="568"/>
      <c r="GN175" s="568"/>
      <c r="GO175" s="568"/>
      <c r="GP175" s="568"/>
      <c r="GQ175" s="568"/>
      <c r="GR175" s="568"/>
      <c r="GS175" s="568"/>
      <c r="GT175" s="568"/>
      <c r="GU175" s="568"/>
      <c r="GV175" s="568"/>
      <c r="GW175" s="568"/>
      <c r="GX175" s="568"/>
      <c r="GY175" s="568"/>
      <c r="GZ175" s="568"/>
      <c r="HA175" s="568"/>
      <c r="HB175" s="568"/>
      <c r="HC175" s="568"/>
      <c r="HD175" s="568"/>
      <c r="HE175" s="568"/>
      <c r="HF175" s="568"/>
      <c r="HG175" s="568"/>
      <c r="HH175" s="568"/>
      <c r="HI175" s="568"/>
      <c r="HJ175" s="568"/>
      <c r="HK175" s="568"/>
      <c r="HL175" s="568"/>
      <c r="HM175" s="568"/>
      <c r="HN175" s="568"/>
      <c r="HO175" s="568"/>
      <c r="HP175" s="568"/>
      <c r="HQ175" s="568"/>
      <c r="HR175" s="568"/>
      <c r="HS175" s="568"/>
      <c r="HT175" s="568"/>
      <c r="HU175" s="568"/>
      <c r="HV175" s="568"/>
      <c r="HW175" s="568"/>
      <c r="HX175" s="568"/>
      <c r="HY175" s="568"/>
      <c r="HZ175" s="568"/>
      <c r="IA175" s="568"/>
      <c r="IB175" s="568"/>
      <c r="IC175" s="568"/>
      <c r="ID175" s="568"/>
      <c r="IE175" s="568"/>
      <c r="IF175" s="568"/>
      <c r="IG175" s="568"/>
      <c r="IH175" s="568"/>
      <c r="II175" s="568"/>
      <c r="IJ175" s="568"/>
      <c r="IK175" s="568"/>
      <c r="IL175" s="568"/>
      <c r="IM175" s="568"/>
      <c r="IN175" s="568"/>
      <c r="IO175" s="568"/>
      <c r="IP175" s="568"/>
      <c r="IQ175" s="568"/>
      <c r="IR175" s="568"/>
      <c r="IS175" s="568"/>
      <c r="IT175" s="568"/>
      <c r="IU175" s="568"/>
    </row>
    <row r="176" spans="1:255" ht="18" customHeight="1">
      <c r="A176" s="554"/>
      <c r="B176" s="561"/>
      <c r="C176" s="1142"/>
      <c r="D176" s="1142"/>
      <c r="E176" s="1142"/>
      <c r="F176" s="1142"/>
      <c r="G176" s="1142"/>
      <c r="H176" s="1142"/>
      <c r="I176" s="1142"/>
      <c r="J176" s="1142"/>
      <c r="K176" s="1142"/>
      <c r="L176" s="1142"/>
      <c r="M176" s="561"/>
      <c r="N176" s="561"/>
      <c r="O176" s="561"/>
      <c r="P176" s="561"/>
      <c r="Q176" s="561"/>
      <c r="R176" s="561"/>
      <c r="S176" s="561"/>
      <c r="T176" s="562"/>
      <c r="U176" s="561"/>
      <c r="V176" s="561"/>
      <c r="W176" s="561"/>
      <c r="X176" s="561"/>
      <c r="Y176" s="561"/>
      <c r="Z176" s="561"/>
      <c r="AA176" s="561"/>
      <c r="AB176" s="561"/>
      <c r="AC176" s="561"/>
      <c r="AD176" s="561"/>
      <c r="AE176" s="561"/>
      <c r="AF176" s="561"/>
      <c r="AG176" s="561"/>
      <c r="AH176" s="567"/>
      <c r="AI176" s="567"/>
      <c r="AJ176" s="567"/>
      <c r="AK176" s="567"/>
      <c r="AL176" s="567"/>
      <c r="AM176" s="567"/>
      <c r="AN176" s="567"/>
      <c r="AO176" s="567"/>
      <c r="AP176" s="567"/>
      <c r="AQ176" s="567"/>
      <c r="AR176" s="567"/>
      <c r="AS176" s="567"/>
      <c r="AT176" s="567"/>
      <c r="AU176" s="567"/>
      <c r="AV176" s="567"/>
      <c r="AW176" s="567"/>
      <c r="AX176" s="567"/>
      <c r="AY176" s="567"/>
      <c r="AZ176" s="567"/>
      <c r="BA176" s="567"/>
      <c r="BB176" s="567"/>
      <c r="BC176" s="567"/>
      <c r="BD176" s="568"/>
      <c r="BE176" s="568"/>
      <c r="BF176" s="568"/>
      <c r="BG176" s="568"/>
      <c r="BH176" s="568"/>
      <c r="BI176" s="568"/>
      <c r="BJ176" s="568"/>
      <c r="BK176" s="568"/>
      <c r="BL176" s="568"/>
      <c r="BM176" s="568"/>
      <c r="BN176" s="568"/>
      <c r="BO176" s="568"/>
      <c r="BP176" s="568"/>
      <c r="BQ176" s="568"/>
      <c r="BR176" s="568"/>
      <c r="BS176" s="568"/>
      <c r="BT176" s="568"/>
      <c r="BU176" s="568"/>
      <c r="BV176" s="568"/>
      <c r="BW176" s="568"/>
      <c r="BX176" s="568"/>
      <c r="BY176" s="568"/>
      <c r="BZ176" s="568"/>
      <c r="CA176" s="568"/>
      <c r="CB176" s="568"/>
      <c r="CC176" s="568"/>
      <c r="CD176" s="568"/>
      <c r="CE176" s="568"/>
      <c r="CF176" s="568"/>
      <c r="CG176" s="568"/>
      <c r="CH176" s="568"/>
      <c r="CI176" s="568"/>
      <c r="CJ176" s="568"/>
      <c r="CK176" s="568"/>
      <c r="CL176" s="568"/>
      <c r="CM176" s="568"/>
      <c r="CN176" s="568"/>
      <c r="CO176" s="568"/>
      <c r="CP176" s="568"/>
      <c r="CQ176" s="568"/>
      <c r="CR176" s="568"/>
      <c r="CS176" s="568"/>
      <c r="CT176" s="568"/>
      <c r="CU176" s="568"/>
      <c r="CV176" s="568"/>
      <c r="CW176" s="568"/>
      <c r="CX176" s="568"/>
      <c r="CY176" s="568"/>
      <c r="CZ176" s="568"/>
      <c r="DA176" s="568"/>
      <c r="DB176" s="568"/>
      <c r="DC176" s="568"/>
      <c r="DD176" s="568"/>
      <c r="DE176" s="568"/>
      <c r="DF176" s="568"/>
      <c r="DG176" s="568"/>
      <c r="DH176" s="568"/>
      <c r="DI176" s="568"/>
      <c r="DJ176" s="568"/>
      <c r="DK176" s="568"/>
      <c r="DL176" s="568"/>
      <c r="DM176" s="568"/>
      <c r="DN176" s="568"/>
      <c r="DO176" s="568"/>
      <c r="DP176" s="568"/>
      <c r="DQ176" s="568"/>
      <c r="DR176" s="568"/>
      <c r="DS176" s="568"/>
      <c r="DT176" s="568"/>
      <c r="DU176" s="568"/>
      <c r="DV176" s="568"/>
      <c r="DW176" s="568"/>
      <c r="DX176" s="568"/>
      <c r="DY176" s="568"/>
      <c r="DZ176" s="568"/>
      <c r="EA176" s="568"/>
      <c r="EB176" s="568"/>
      <c r="EC176" s="568"/>
      <c r="ED176" s="568"/>
      <c r="EE176" s="568"/>
      <c r="EF176" s="568"/>
      <c r="EG176" s="568"/>
      <c r="EH176" s="568"/>
      <c r="EI176" s="568"/>
      <c r="EJ176" s="568"/>
      <c r="EK176" s="568"/>
      <c r="EL176" s="568"/>
      <c r="EM176" s="568"/>
      <c r="EN176" s="568"/>
      <c r="EO176" s="568"/>
      <c r="EP176" s="568"/>
      <c r="EQ176" s="568"/>
      <c r="ER176" s="568"/>
      <c r="ES176" s="568"/>
      <c r="ET176" s="568"/>
      <c r="EU176" s="568"/>
      <c r="EV176" s="568"/>
      <c r="EW176" s="568"/>
      <c r="EX176" s="568"/>
      <c r="EY176" s="568"/>
      <c r="EZ176" s="568"/>
      <c r="FA176" s="568"/>
      <c r="FB176" s="568"/>
      <c r="FC176" s="568"/>
      <c r="FD176" s="568"/>
      <c r="FE176" s="568"/>
      <c r="FF176" s="568"/>
      <c r="FG176" s="568"/>
      <c r="FH176" s="568"/>
      <c r="FI176" s="568"/>
      <c r="FJ176" s="568"/>
      <c r="FK176" s="568"/>
      <c r="FL176" s="568"/>
      <c r="FM176" s="568"/>
      <c r="FN176" s="568"/>
      <c r="FO176" s="568"/>
      <c r="FP176" s="568"/>
      <c r="FQ176" s="568"/>
      <c r="FR176" s="568"/>
      <c r="FS176" s="568"/>
      <c r="FT176" s="568"/>
      <c r="FU176" s="568"/>
      <c r="FV176" s="568"/>
      <c r="FW176" s="568"/>
      <c r="FX176" s="568"/>
      <c r="FY176" s="568"/>
      <c r="FZ176" s="568"/>
      <c r="GA176" s="568"/>
      <c r="GB176" s="568"/>
      <c r="GC176" s="568"/>
      <c r="GD176" s="568"/>
      <c r="GE176" s="568"/>
      <c r="GF176" s="568"/>
      <c r="GG176" s="568"/>
      <c r="GH176" s="568"/>
      <c r="GI176" s="568"/>
      <c r="GJ176" s="568"/>
      <c r="GK176" s="568"/>
      <c r="GL176" s="568"/>
      <c r="GM176" s="568"/>
      <c r="GN176" s="568"/>
      <c r="GO176" s="568"/>
      <c r="GP176" s="568"/>
      <c r="GQ176" s="568"/>
      <c r="GR176" s="568"/>
      <c r="GS176" s="568"/>
      <c r="GT176" s="568"/>
      <c r="GU176" s="568"/>
      <c r="GV176" s="568"/>
      <c r="GW176" s="568"/>
      <c r="GX176" s="568"/>
      <c r="GY176" s="568"/>
      <c r="GZ176" s="568"/>
      <c r="HA176" s="568"/>
      <c r="HB176" s="568"/>
      <c r="HC176" s="568"/>
      <c r="HD176" s="568"/>
      <c r="HE176" s="568"/>
      <c r="HF176" s="568"/>
      <c r="HG176" s="568"/>
      <c r="HH176" s="568"/>
      <c r="HI176" s="568"/>
      <c r="HJ176" s="568"/>
      <c r="HK176" s="568"/>
      <c r="HL176" s="568"/>
      <c r="HM176" s="568"/>
      <c r="HN176" s="568"/>
      <c r="HO176" s="568"/>
      <c r="HP176" s="568"/>
      <c r="HQ176" s="568"/>
      <c r="HR176" s="568"/>
      <c r="HS176" s="568"/>
      <c r="HT176" s="568"/>
      <c r="HU176" s="568"/>
      <c r="HV176" s="568"/>
      <c r="HW176" s="568"/>
      <c r="HX176" s="568"/>
      <c r="HY176" s="568"/>
      <c r="HZ176" s="568"/>
      <c r="IA176" s="568"/>
      <c r="IB176" s="568"/>
      <c r="IC176" s="568"/>
      <c r="ID176" s="568"/>
      <c r="IE176" s="568"/>
      <c r="IF176" s="568"/>
      <c r="IG176" s="568"/>
      <c r="IH176" s="568"/>
      <c r="II176" s="568"/>
      <c r="IJ176" s="568"/>
      <c r="IK176" s="568"/>
      <c r="IL176" s="568"/>
      <c r="IM176" s="568"/>
      <c r="IN176" s="568"/>
      <c r="IO176" s="568"/>
      <c r="IP176" s="568"/>
      <c r="IQ176" s="568"/>
      <c r="IR176" s="568"/>
      <c r="IS176" s="568"/>
      <c r="IT176" s="568"/>
      <c r="IU176" s="568"/>
    </row>
    <row r="177" spans="1:255" ht="18" customHeight="1">
      <c r="A177" s="554"/>
      <c r="B177" s="561"/>
      <c r="C177" s="1142"/>
      <c r="D177" s="1142"/>
      <c r="E177" s="1142"/>
      <c r="F177" s="1142"/>
      <c r="G177" s="1142"/>
      <c r="H177" s="1142"/>
      <c r="I177" s="1142"/>
      <c r="J177" s="1142"/>
      <c r="K177" s="1142"/>
      <c r="L177" s="1142"/>
      <c r="M177" s="561"/>
      <c r="N177" s="561"/>
      <c r="O177" s="561"/>
      <c r="P177" s="561"/>
      <c r="Q177" s="561"/>
      <c r="R177" s="561"/>
      <c r="S177" s="561"/>
      <c r="T177" s="561"/>
      <c r="U177" s="561"/>
      <c r="V177" s="561"/>
      <c r="W177" s="561"/>
      <c r="X177" s="561"/>
      <c r="Y177" s="561"/>
      <c r="Z177" s="561"/>
      <c r="AA177" s="561"/>
      <c r="AB177" s="561"/>
      <c r="AC177" s="561"/>
      <c r="AD177" s="561"/>
      <c r="AE177" s="561"/>
      <c r="AF177" s="561"/>
      <c r="AG177" s="561"/>
      <c r="AH177" s="567"/>
      <c r="AI177" s="567"/>
      <c r="AJ177" s="567"/>
      <c r="AK177" s="567"/>
      <c r="AL177" s="567"/>
      <c r="AM177" s="567"/>
      <c r="AN177" s="567"/>
      <c r="AO177" s="567"/>
      <c r="AP177" s="567"/>
      <c r="AQ177" s="567"/>
      <c r="AR177" s="567"/>
      <c r="AS177" s="567"/>
      <c r="AT177" s="567"/>
      <c r="AU177" s="567"/>
      <c r="AV177" s="567"/>
      <c r="AW177" s="567"/>
      <c r="AX177" s="567"/>
      <c r="AY177" s="567"/>
      <c r="AZ177" s="567"/>
      <c r="BA177" s="567"/>
      <c r="BB177" s="567"/>
      <c r="BC177" s="567"/>
      <c r="BD177" s="568"/>
      <c r="BE177" s="568"/>
      <c r="BF177" s="568"/>
      <c r="BG177" s="568"/>
      <c r="BH177" s="568"/>
      <c r="BI177" s="568"/>
      <c r="BJ177" s="568"/>
      <c r="BK177" s="568"/>
      <c r="BL177" s="568"/>
      <c r="BM177" s="568"/>
      <c r="BN177" s="568"/>
      <c r="BO177" s="568"/>
      <c r="BP177" s="568"/>
      <c r="BQ177" s="568"/>
      <c r="BR177" s="568"/>
      <c r="BS177" s="568"/>
      <c r="BT177" s="568"/>
      <c r="BU177" s="568"/>
      <c r="BV177" s="568"/>
      <c r="BW177" s="568"/>
      <c r="BX177" s="568"/>
      <c r="BY177" s="568"/>
      <c r="BZ177" s="568"/>
      <c r="CA177" s="568"/>
      <c r="CB177" s="568"/>
      <c r="CC177" s="568"/>
      <c r="CD177" s="568"/>
      <c r="CE177" s="568"/>
      <c r="CF177" s="568"/>
      <c r="CG177" s="568"/>
      <c r="CH177" s="568"/>
      <c r="CI177" s="568"/>
      <c r="CJ177" s="568"/>
      <c r="CK177" s="568"/>
      <c r="CL177" s="568"/>
      <c r="CM177" s="568"/>
      <c r="CN177" s="568"/>
      <c r="CO177" s="568"/>
      <c r="CP177" s="568"/>
      <c r="CQ177" s="568"/>
      <c r="CR177" s="568"/>
      <c r="CS177" s="568"/>
      <c r="CT177" s="568"/>
      <c r="CU177" s="568"/>
      <c r="CV177" s="568"/>
      <c r="CW177" s="568"/>
      <c r="CX177" s="568"/>
      <c r="CY177" s="568"/>
      <c r="CZ177" s="568"/>
      <c r="DA177" s="568"/>
      <c r="DB177" s="568"/>
      <c r="DC177" s="568"/>
      <c r="DD177" s="568"/>
      <c r="DE177" s="568"/>
      <c r="DF177" s="568"/>
      <c r="DG177" s="568"/>
      <c r="DH177" s="568"/>
      <c r="DI177" s="568"/>
      <c r="DJ177" s="568"/>
      <c r="DK177" s="568"/>
      <c r="DL177" s="568"/>
      <c r="DM177" s="568"/>
      <c r="DN177" s="568"/>
      <c r="DO177" s="568"/>
      <c r="DP177" s="568"/>
      <c r="DQ177" s="568"/>
      <c r="DR177" s="568"/>
      <c r="DS177" s="568"/>
      <c r="DT177" s="568"/>
      <c r="DU177" s="568"/>
      <c r="DV177" s="568"/>
      <c r="DW177" s="568"/>
      <c r="DX177" s="568"/>
      <c r="DY177" s="568"/>
      <c r="DZ177" s="568"/>
      <c r="EA177" s="568"/>
      <c r="EB177" s="568"/>
      <c r="EC177" s="568"/>
      <c r="ED177" s="568"/>
      <c r="EE177" s="568"/>
      <c r="EF177" s="568"/>
      <c r="EG177" s="568"/>
      <c r="EH177" s="568"/>
      <c r="EI177" s="568"/>
      <c r="EJ177" s="568"/>
      <c r="EK177" s="568"/>
      <c r="EL177" s="568"/>
      <c r="EM177" s="568"/>
      <c r="EN177" s="568"/>
      <c r="EO177" s="568"/>
      <c r="EP177" s="568"/>
      <c r="EQ177" s="568"/>
      <c r="ER177" s="568"/>
      <c r="ES177" s="568"/>
      <c r="ET177" s="568"/>
      <c r="EU177" s="568"/>
      <c r="EV177" s="568"/>
      <c r="EW177" s="568"/>
      <c r="EX177" s="568"/>
      <c r="EY177" s="568"/>
      <c r="EZ177" s="568"/>
      <c r="FA177" s="568"/>
      <c r="FB177" s="568"/>
      <c r="FC177" s="568"/>
      <c r="FD177" s="568"/>
      <c r="FE177" s="568"/>
      <c r="FF177" s="568"/>
      <c r="FG177" s="568"/>
      <c r="FH177" s="568"/>
      <c r="FI177" s="568"/>
      <c r="FJ177" s="568"/>
      <c r="FK177" s="568"/>
      <c r="FL177" s="568"/>
      <c r="FM177" s="568"/>
      <c r="FN177" s="568"/>
      <c r="FO177" s="568"/>
      <c r="FP177" s="568"/>
      <c r="FQ177" s="568"/>
      <c r="FR177" s="568"/>
      <c r="FS177" s="568"/>
      <c r="FT177" s="568"/>
      <c r="FU177" s="568"/>
      <c r="FV177" s="568"/>
      <c r="FW177" s="568"/>
      <c r="FX177" s="568"/>
      <c r="FY177" s="568"/>
      <c r="FZ177" s="568"/>
      <c r="GA177" s="568"/>
      <c r="GB177" s="568"/>
      <c r="GC177" s="568"/>
      <c r="GD177" s="568"/>
      <c r="GE177" s="568"/>
      <c r="GF177" s="568"/>
      <c r="GG177" s="568"/>
      <c r="GH177" s="568"/>
      <c r="GI177" s="568"/>
      <c r="GJ177" s="568"/>
      <c r="GK177" s="568"/>
      <c r="GL177" s="568"/>
      <c r="GM177" s="568"/>
      <c r="GN177" s="568"/>
      <c r="GO177" s="568"/>
      <c r="GP177" s="568"/>
      <c r="GQ177" s="568"/>
      <c r="GR177" s="568"/>
      <c r="GS177" s="568"/>
      <c r="GT177" s="568"/>
      <c r="GU177" s="568"/>
      <c r="GV177" s="568"/>
      <c r="GW177" s="568"/>
      <c r="GX177" s="568"/>
      <c r="GY177" s="568"/>
      <c r="GZ177" s="568"/>
      <c r="HA177" s="568"/>
      <c r="HB177" s="568"/>
      <c r="HC177" s="568"/>
      <c r="HD177" s="568"/>
      <c r="HE177" s="568"/>
      <c r="HF177" s="568"/>
      <c r="HG177" s="568"/>
      <c r="HH177" s="568"/>
      <c r="HI177" s="568"/>
      <c r="HJ177" s="568"/>
      <c r="HK177" s="568"/>
      <c r="HL177" s="568"/>
      <c r="HM177" s="568"/>
      <c r="HN177" s="568"/>
      <c r="HO177" s="568"/>
      <c r="HP177" s="568"/>
      <c r="HQ177" s="568"/>
      <c r="HR177" s="568"/>
      <c r="HS177" s="568"/>
      <c r="HT177" s="568"/>
      <c r="HU177" s="568"/>
      <c r="HV177" s="568"/>
      <c r="HW177" s="568"/>
      <c r="HX177" s="568"/>
      <c r="HY177" s="568"/>
      <c r="HZ177" s="568"/>
      <c r="IA177" s="568"/>
      <c r="IB177" s="568"/>
      <c r="IC177" s="568"/>
      <c r="ID177" s="568"/>
      <c r="IE177" s="568"/>
      <c r="IF177" s="568"/>
      <c r="IG177" s="568"/>
      <c r="IH177" s="568"/>
      <c r="II177" s="568"/>
      <c r="IJ177" s="568"/>
      <c r="IK177" s="568"/>
      <c r="IL177" s="568"/>
      <c r="IM177" s="568"/>
      <c r="IN177" s="568"/>
      <c r="IO177" s="568"/>
      <c r="IP177" s="568"/>
      <c r="IQ177" s="568"/>
      <c r="IR177" s="568"/>
      <c r="IS177" s="568"/>
      <c r="IT177" s="568"/>
      <c r="IU177" s="568"/>
    </row>
    <row r="178" spans="1:255" ht="18" customHeight="1">
      <c r="A178" s="554"/>
      <c r="B178" s="561"/>
      <c r="C178" s="1142"/>
      <c r="D178" s="1142"/>
      <c r="E178" s="1142"/>
      <c r="F178" s="1142"/>
      <c r="G178" s="1142"/>
      <c r="H178" s="1142"/>
      <c r="I178" s="1142"/>
      <c r="J178" s="1142"/>
      <c r="K178" s="1142"/>
      <c r="L178" s="1142"/>
      <c r="M178" s="561"/>
      <c r="N178" s="561"/>
      <c r="O178" s="561"/>
      <c r="P178" s="561"/>
      <c r="Q178" s="561"/>
      <c r="R178" s="561"/>
      <c r="S178" s="561"/>
      <c r="T178" s="561"/>
      <c r="U178" s="561"/>
      <c r="V178" s="561"/>
      <c r="W178" s="561"/>
      <c r="X178" s="561"/>
      <c r="Y178" s="561"/>
      <c r="Z178" s="561"/>
      <c r="AA178" s="561"/>
      <c r="AB178" s="561"/>
      <c r="AC178" s="561"/>
      <c r="AD178" s="561"/>
      <c r="AE178" s="561"/>
      <c r="AF178" s="561"/>
      <c r="AG178" s="561"/>
      <c r="AH178" s="567"/>
      <c r="AI178" s="567"/>
      <c r="AJ178" s="567"/>
      <c r="AK178" s="567"/>
      <c r="AL178" s="567"/>
      <c r="AM178" s="567"/>
      <c r="AN178" s="567"/>
      <c r="AO178" s="567"/>
      <c r="AP178" s="567"/>
      <c r="AQ178" s="567"/>
      <c r="AR178" s="567"/>
      <c r="AS178" s="567"/>
      <c r="AT178" s="567"/>
      <c r="AU178" s="567"/>
      <c r="AV178" s="567"/>
      <c r="AW178" s="567"/>
      <c r="AX178" s="567"/>
      <c r="AY178" s="567"/>
      <c r="AZ178" s="567"/>
      <c r="BA178" s="567"/>
      <c r="BB178" s="567"/>
      <c r="BC178" s="567"/>
      <c r="BD178" s="568"/>
      <c r="BE178" s="568"/>
      <c r="BF178" s="568"/>
      <c r="BG178" s="568"/>
      <c r="BH178" s="568"/>
      <c r="BI178" s="568"/>
      <c r="BJ178" s="568"/>
      <c r="BK178" s="568"/>
      <c r="BL178" s="568"/>
      <c r="BM178" s="568"/>
      <c r="BN178" s="568"/>
      <c r="BO178" s="568"/>
      <c r="BP178" s="568"/>
      <c r="BQ178" s="568"/>
      <c r="BR178" s="568"/>
      <c r="BS178" s="568"/>
      <c r="BT178" s="568"/>
      <c r="BU178" s="568"/>
      <c r="BV178" s="568"/>
      <c r="BW178" s="568"/>
      <c r="BX178" s="568"/>
      <c r="BY178" s="568"/>
      <c r="BZ178" s="568"/>
      <c r="CA178" s="568"/>
      <c r="CB178" s="568"/>
      <c r="CC178" s="568"/>
      <c r="CD178" s="568"/>
      <c r="CE178" s="568"/>
      <c r="CF178" s="568"/>
      <c r="CG178" s="568"/>
      <c r="CH178" s="568"/>
      <c r="CI178" s="568"/>
      <c r="CJ178" s="568"/>
      <c r="CK178" s="568"/>
      <c r="CL178" s="568"/>
      <c r="CM178" s="568"/>
      <c r="CN178" s="568"/>
      <c r="CO178" s="568"/>
      <c r="CP178" s="568"/>
      <c r="CQ178" s="568"/>
      <c r="CR178" s="568"/>
      <c r="CS178" s="568"/>
      <c r="CT178" s="568"/>
      <c r="CU178" s="568"/>
      <c r="CV178" s="568"/>
      <c r="CW178" s="568"/>
      <c r="CX178" s="568"/>
      <c r="CY178" s="568"/>
      <c r="CZ178" s="568"/>
      <c r="DA178" s="568"/>
      <c r="DB178" s="568"/>
      <c r="DC178" s="568"/>
      <c r="DD178" s="568"/>
      <c r="DE178" s="568"/>
      <c r="DF178" s="568"/>
      <c r="DG178" s="568"/>
      <c r="DH178" s="568"/>
      <c r="DI178" s="568"/>
      <c r="DJ178" s="568"/>
      <c r="DK178" s="568"/>
      <c r="DL178" s="568"/>
      <c r="DM178" s="568"/>
      <c r="DN178" s="568"/>
      <c r="DO178" s="568"/>
      <c r="DP178" s="568"/>
      <c r="DQ178" s="568"/>
      <c r="DR178" s="568"/>
      <c r="DS178" s="568"/>
      <c r="DT178" s="568"/>
      <c r="DU178" s="568"/>
      <c r="DV178" s="568"/>
      <c r="DW178" s="568"/>
      <c r="DX178" s="568"/>
      <c r="DY178" s="568"/>
      <c r="DZ178" s="568"/>
      <c r="EA178" s="568"/>
      <c r="EB178" s="568"/>
      <c r="EC178" s="568"/>
      <c r="ED178" s="568"/>
      <c r="EE178" s="568"/>
      <c r="EF178" s="568"/>
      <c r="EG178" s="568"/>
      <c r="EH178" s="568"/>
      <c r="EI178" s="568"/>
      <c r="EJ178" s="568"/>
      <c r="EK178" s="568"/>
      <c r="EL178" s="568"/>
      <c r="EM178" s="568"/>
      <c r="EN178" s="568"/>
      <c r="EO178" s="568"/>
      <c r="EP178" s="568"/>
      <c r="EQ178" s="568"/>
      <c r="ER178" s="568"/>
      <c r="ES178" s="568"/>
      <c r="ET178" s="568"/>
      <c r="EU178" s="568"/>
      <c r="EV178" s="568"/>
      <c r="EW178" s="568"/>
      <c r="EX178" s="568"/>
      <c r="EY178" s="568"/>
      <c r="EZ178" s="568"/>
      <c r="FA178" s="568"/>
      <c r="FB178" s="568"/>
      <c r="FC178" s="568"/>
      <c r="FD178" s="568"/>
      <c r="FE178" s="568"/>
      <c r="FF178" s="568"/>
      <c r="FG178" s="568"/>
      <c r="FH178" s="568"/>
      <c r="FI178" s="568"/>
      <c r="FJ178" s="568"/>
      <c r="FK178" s="568"/>
      <c r="FL178" s="568"/>
      <c r="FM178" s="568"/>
      <c r="FN178" s="568"/>
      <c r="FO178" s="568"/>
      <c r="FP178" s="568"/>
      <c r="FQ178" s="568"/>
      <c r="FR178" s="568"/>
      <c r="FS178" s="568"/>
      <c r="FT178" s="568"/>
      <c r="FU178" s="568"/>
      <c r="FV178" s="568"/>
      <c r="FW178" s="568"/>
      <c r="FX178" s="568"/>
      <c r="FY178" s="568"/>
      <c r="FZ178" s="568"/>
      <c r="GA178" s="568"/>
      <c r="GB178" s="568"/>
      <c r="GC178" s="568"/>
      <c r="GD178" s="568"/>
      <c r="GE178" s="568"/>
      <c r="GF178" s="568"/>
      <c r="GG178" s="568"/>
      <c r="GH178" s="568"/>
      <c r="GI178" s="568"/>
      <c r="GJ178" s="568"/>
      <c r="GK178" s="568"/>
      <c r="GL178" s="568"/>
      <c r="GM178" s="568"/>
      <c r="GN178" s="568"/>
      <c r="GO178" s="568"/>
      <c r="GP178" s="568"/>
      <c r="GQ178" s="568"/>
      <c r="GR178" s="568"/>
      <c r="GS178" s="568"/>
      <c r="GT178" s="568"/>
      <c r="GU178" s="568"/>
      <c r="GV178" s="568"/>
      <c r="GW178" s="568"/>
      <c r="GX178" s="568"/>
      <c r="GY178" s="568"/>
      <c r="GZ178" s="568"/>
      <c r="HA178" s="568"/>
      <c r="HB178" s="568"/>
      <c r="HC178" s="568"/>
      <c r="HD178" s="568"/>
      <c r="HE178" s="568"/>
      <c r="HF178" s="568"/>
      <c r="HG178" s="568"/>
      <c r="HH178" s="568"/>
      <c r="HI178" s="568"/>
      <c r="HJ178" s="568"/>
      <c r="HK178" s="568"/>
      <c r="HL178" s="568"/>
      <c r="HM178" s="568"/>
      <c r="HN178" s="568"/>
      <c r="HO178" s="568"/>
      <c r="HP178" s="568"/>
      <c r="HQ178" s="568"/>
      <c r="HR178" s="568"/>
      <c r="HS178" s="568"/>
      <c r="HT178" s="568"/>
      <c r="HU178" s="568"/>
      <c r="HV178" s="568"/>
      <c r="HW178" s="568"/>
      <c r="HX178" s="568"/>
      <c r="HY178" s="568"/>
      <c r="HZ178" s="568"/>
      <c r="IA178" s="568"/>
      <c r="IB178" s="568"/>
      <c r="IC178" s="568"/>
      <c r="ID178" s="568"/>
      <c r="IE178" s="568"/>
      <c r="IF178" s="568"/>
      <c r="IG178" s="568"/>
      <c r="IH178" s="568"/>
      <c r="II178" s="568"/>
      <c r="IJ178" s="568"/>
      <c r="IK178" s="568"/>
      <c r="IL178" s="568"/>
      <c r="IM178" s="568"/>
      <c r="IN178" s="568"/>
      <c r="IO178" s="568"/>
      <c r="IP178" s="568"/>
      <c r="IQ178" s="568"/>
      <c r="IR178" s="568"/>
      <c r="IS178" s="568"/>
      <c r="IT178" s="568"/>
      <c r="IU178" s="568"/>
    </row>
    <row r="179" spans="1:255" ht="18" customHeight="1">
      <c r="A179" s="554"/>
      <c r="B179" s="561"/>
      <c r="C179" s="1142"/>
      <c r="D179" s="1142"/>
      <c r="E179" s="1142"/>
      <c r="F179" s="1142"/>
      <c r="G179" s="1142"/>
      <c r="H179" s="1142"/>
      <c r="I179" s="1142"/>
      <c r="J179" s="1142"/>
      <c r="K179" s="1142"/>
      <c r="L179" s="1142"/>
      <c r="M179" s="561"/>
      <c r="N179" s="561"/>
      <c r="O179" s="561"/>
      <c r="P179" s="561"/>
      <c r="Q179" s="561"/>
      <c r="R179" s="561"/>
      <c r="S179" s="561"/>
      <c r="T179" s="561"/>
      <c r="U179" s="561"/>
      <c r="V179" s="561"/>
      <c r="W179" s="561"/>
      <c r="X179" s="561"/>
      <c r="Y179" s="561"/>
      <c r="Z179" s="561"/>
      <c r="AA179" s="561"/>
      <c r="AB179" s="561"/>
      <c r="AC179" s="561"/>
      <c r="AD179" s="561"/>
      <c r="AE179" s="561"/>
      <c r="AF179" s="561"/>
      <c r="AG179" s="561"/>
      <c r="AH179" s="567"/>
      <c r="AI179" s="567"/>
      <c r="AJ179" s="567"/>
      <c r="AK179" s="567"/>
      <c r="AL179" s="567"/>
      <c r="AM179" s="567"/>
      <c r="AN179" s="567"/>
      <c r="AO179" s="567"/>
      <c r="AP179" s="567"/>
      <c r="AQ179" s="567"/>
      <c r="AR179" s="567"/>
      <c r="AS179" s="567"/>
      <c r="AT179" s="567"/>
      <c r="AU179" s="567"/>
      <c r="AV179" s="567"/>
      <c r="AW179" s="567"/>
      <c r="AX179" s="567"/>
      <c r="AY179" s="567"/>
      <c r="AZ179" s="567"/>
      <c r="BA179" s="567"/>
      <c r="BB179" s="567"/>
      <c r="BC179" s="567"/>
      <c r="BD179" s="568"/>
      <c r="BE179" s="568"/>
      <c r="BF179" s="568"/>
      <c r="BG179" s="568"/>
      <c r="BH179" s="568"/>
      <c r="BI179" s="568"/>
      <c r="BJ179" s="568"/>
      <c r="BK179" s="568"/>
      <c r="BL179" s="568"/>
      <c r="BM179" s="568"/>
      <c r="BN179" s="568"/>
      <c r="BO179" s="568"/>
      <c r="BP179" s="568"/>
      <c r="BQ179" s="568"/>
      <c r="BR179" s="568"/>
      <c r="BS179" s="568"/>
      <c r="BT179" s="568"/>
      <c r="BU179" s="568"/>
      <c r="BV179" s="568"/>
      <c r="BW179" s="568"/>
      <c r="BX179" s="568"/>
      <c r="BY179" s="568"/>
      <c r="BZ179" s="568"/>
      <c r="CA179" s="568"/>
      <c r="CB179" s="568"/>
      <c r="CC179" s="568"/>
      <c r="CD179" s="568"/>
      <c r="CE179" s="568"/>
      <c r="CF179" s="568"/>
      <c r="CG179" s="568"/>
      <c r="CH179" s="568"/>
      <c r="CI179" s="568"/>
      <c r="CJ179" s="568"/>
      <c r="CK179" s="568"/>
      <c r="CL179" s="568"/>
      <c r="CM179" s="568"/>
      <c r="CN179" s="568"/>
      <c r="CO179" s="568"/>
      <c r="CP179" s="568"/>
      <c r="CQ179" s="568"/>
      <c r="CR179" s="568"/>
      <c r="CS179" s="568"/>
      <c r="CT179" s="568"/>
      <c r="CU179" s="568"/>
      <c r="CV179" s="568"/>
      <c r="CW179" s="568"/>
      <c r="CX179" s="568"/>
      <c r="CY179" s="568"/>
      <c r="CZ179" s="568"/>
      <c r="DA179" s="568"/>
      <c r="DB179" s="568"/>
      <c r="DC179" s="568"/>
      <c r="DD179" s="568"/>
      <c r="DE179" s="568"/>
      <c r="DF179" s="568"/>
      <c r="DG179" s="568"/>
      <c r="DH179" s="568"/>
      <c r="DI179" s="568"/>
      <c r="DJ179" s="568"/>
      <c r="DK179" s="568"/>
      <c r="DL179" s="568"/>
      <c r="DM179" s="568"/>
      <c r="DN179" s="568"/>
      <c r="DO179" s="568"/>
      <c r="DP179" s="568"/>
      <c r="DQ179" s="568"/>
      <c r="DR179" s="568"/>
      <c r="DS179" s="568"/>
      <c r="DT179" s="568"/>
      <c r="DU179" s="568"/>
      <c r="DV179" s="568"/>
      <c r="DW179" s="568"/>
      <c r="DX179" s="568"/>
      <c r="DY179" s="568"/>
      <c r="DZ179" s="568"/>
      <c r="EA179" s="568"/>
      <c r="EB179" s="568"/>
      <c r="EC179" s="568"/>
      <c r="ED179" s="568"/>
      <c r="EE179" s="568"/>
      <c r="EF179" s="568"/>
      <c r="EG179" s="568"/>
      <c r="EH179" s="568"/>
      <c r="EI179" s="568"/>
      <c r="EJ179" s="568"/>
      <c r="EK179" s="568"/>
      <c r="EL179" s="568"/>
      <c r="EM179" s="568"/>
      <c r="EN179" s="568"/>
      <c r="EO179" s="568"/>
      <c r="EP179" s="568"/>
      <c r="EQ179" s="568"/>
      <c r="ER179" s="568"/>
      <c r="ES179" s="568"/>
      <c r="ET179" s="568"/>
      <c r="EU179" s="568"/>
      <c r="EV179" s="568"/>
      <c r="EW179" s="568"/>
      <c r="EX179" s="568"/>
      <c r="EY179" s="568"/>
      <c r="EZ179" s="568"/>
      <c r="FA179" s="568"/>
      <c r="FB179" s="568"/>
      <c r="FC179" s="568"/>
      <c r="FD179" s="568"/>
      <c r="FE179" s="568"/>
      <c r="FF179" s="568"/>
      <c r="FG179" s="568"/>
      <c r="FH179" s="568"/>
      <c r="FI179" s="568"/>
      <c r="FJ179" s="568"/>
      <c r="FK179" s="568"/>
      <c r="FL179" s="568"/>
      <c r="FM179" s="568"/>
      <c r="FN179" s="568"/>
      <c r="FO179" s="568"/>
      <c r="FP179" s="568"/>
      <c r="FQ179" s="568"/>
      <c r="FR179" s="568"/>
      <c r="FS179" s="568"/>
      <c r="FT179" s="568"/>
      <c r="FU179" s="568"/>
      <c r="FV179" s="568"/>
      <c r="FW179" s="568"/>
      <c r="FX179" s="568"/>
      <c r="FY179" s="568"/>
      <c r="FZ179" s="568"/>
      <c r="GA179" s="568"/>
      <c r="GB179" s="568"/>
      <c r="GC179" s="568"/>
      <c r="GD179" s="568"/>
      <c r="GE179" s="568"/>
      <c r="GF179" s="568"/>
      <c r="GG179" s="568"/>
      <c r="GH179" s="568"/>
      <c r="GI179" s="568"/>
      <c r="GJ179" s="568"/>
      <c r="GK179" s="568"/>
      <c r="GL179" s="568"/>
      <c r="GM179" s="568"/>
      <c r="GN179" s="568"/>
      <c r="GO179" s="568"/>
      <c r="GP179" s="568"/>
      <c r="GQ179" s="568"/>
      <c r="GR179" s="568"/>
      <c r="GS179" s="568"/>
      <c r="GT179" s="568"/>
      <c r="GU179" s="568"/>
      <c r="GV179" s="568"/>
      <c r="GW179" s="568"/>
      <c r="GX179" s="568"/>
      <c r="GY179" s="568"/>
      <c r="GZ179" s="568"/>
      <c r="HA179" s="568"/>
      <c r="HB179" s="568"/>
      <c r="HC179" s="568"/>
      <c r="HD179" s="568"/>
      <c r="HE179" s="568"/>
      <c r="HF179" s="568"/>
      <c r="HG179" s="568"/>
      <c r="HH179" s="568"/>
      <c r="HI179" s="568"/>
      <c r="HJ179" s="568"/>
      <c r="HK179" s="568"/>
      <c r="HL179" s="568"/>
      <c r="HM179" s="568"/>
      <c r="HN179" s="568"/>
      <c r="HO179" s="568"/>
      <c r="HP179" s="568"/>
      <c r="HQ179" s="568"/>
      <c r="HR179" s="568"/>
      <c r="HS179" s="568"/>
      <c r="HT179" s="568"/>
      <c r="HU179" s="568"/>
      <c r="HV179" s="568"/>
      <c r="HW179" s="568"/>
      <c r="HX179" s="568"/>
      <c r="HY179" s="568"/>
      <c r="HZ179" s="568"/>
      <c r="IA179" s="568"/>
      <c r="IB179" s="568"/>
      <c r="IC179" s="568"/>
      <c r="ID179" s="568"/>
      <c r="IE179" s="568"/>
      <c r="IF179" s="568"/>
      <c r="IG179" s="568"/>
      <c r="IH179" s="568"/>
      <c r="II179" s="568"/>
      <c r="IJ179" s="568"/>
      <c r="IK179" s="568"/>
      <c r="IL179" s="568"/>
      <c r="IM179" s="568"/>
      <c r="IN179" s="568"/>
      <c r="IO179" s="568"/>
      <c r="IP179" s="568"/>
      <c r="IQ179" s="568"/>
      <c r="IR179" s="568"/>
      <c r="IS179" s="568"/>
      <c r="IT179" s="568"/>
      <c r="IU179" s="568"/>
    </row>
    <row r="180" spans="1:255" ht="18" customHeight="1">
      <c r="A180" s="554"/>
      <c r="B180" s="561"/>
      <c r="C180" s="1142"/>
      <c r="D180" s="1142"/>
      <c r="E180" s="1142"/>
      <c r="F180" s="1142"/>
      <c r="G180" s="1142"/>
      <c r="H180" s="1142"/>
      <c r="I180" s="1142"/>
      <c r="J180" s="1142"/>
      <c r="K180" s="1142"/>
      <c r="L180" s="1142"/>
      <c r="M180" s="561"/>
      <c r="N180" s="561"/>
      <c r="O180" s="561"/>
      <c r="P180" s="561"/>
      <c r="Q180" s="561"/>
      <c r="R180" s="561"/>
      <c r="S180" s="561"/>
      <c r="T180" s="561"/>
      <c r="U180" s="561"/>
      <c r="V180" s="561"/>
      <c r="W180" s="561"/>
      <c r="X180" s="561"/>
      <c r="Y180" s="561"/>
      <c r="Z180" s="561"/>
      <c r="AA180" s="561"/>
      <c r="AB180" s="561"/>
      <c r="AC180" s="561"/>
      <c r="AD180" s="561"/>
      <c r="AE180" s="561"/>
      <c r="AF180" s="561"/>
      <c r="AG180" s="561"/>
      <c r="AH180" s="567"/>
      <c r="AI180" s="567"/>
      <c r="AJ180" s="567"/>
      <c r="AK180" s="567"/>
      <c r="AL180" s="567"/>
      <c r="AM180" s="567"/>
      <c r="AN180" s="567"/>
      <c r="AO180" s="567"/>
      <c r="AP180" s="567"/>
      <c r="AQ180" s="567"/>
      <c r="AR180" s="567"/>
      <c r="AS180" s="567"/>
      <c r="AT180" s="567"/>
      <c r="AU180" s="567"/>
      <c r="AV180" s="567"/>
      <c r="AW180" s="567"/>
      <c r="AX180" s="567"/>
      <c r="AY180" s="567"/>
      <c r="AZ180" s="567"/>
      <c r="BA180" s="567"/>
      <c r="BB180" s="567"/>
      <c r="BC180" s="567"/>
      <c r="BD180" s="568"/>
      <c r="BE180" s="568"/>
      <c r="BF180" s="568"/>
      <c r="BG180" s="568"/>
      <c r="BH180" s="568"/>
      <c r="BI180" s="568"/>
      <c r="BJ180" s="568"/>
      <c r="BK180" s="568"/>
      <c r="BL180" s="568"/>
      <c r="BM180" s="568"/>
      <c r="BN180" s="568"/>
      <c r="BO180" s="568"/>
      <c r="BP180" s="568"/>
      <c r="BQ180" s="568"/>
      <c r="BR180" s="568"/>
      <c r="BS180" s="568"/>
      <c r="BT180" s="568"/>
      <c r="BU180" s="568"/>
      <c r="BV180" s="568"/>
      <c r="BW180" s="568"/>
      <c r="BX180" s="568"/>
      <c r="BY180" s="568"/>
      <c r="BZ180" s="568"/>
      <c r="CA180" s="568"/>
      <c r="CB180" s="568"/>
      <c r="CC180" s="568"/>
      <c r="CD180" s="568"/>
      <c r="CE180" s="568"/>
      <c r="CF180" s="568"/>
      <c r="CG180" s="568"/>
      <c r="CH180" s="568"/>
      <c r="CI180" s="568"/>
      <c r="CJ180" s="568"/>
      <c r="CK180" s="568"/>
      <c r="CL180" s="568"/>
      <c r="CM180" s="568"/>
      <c r="CN180" s="568"/>
      <c r="CO180" s="568"/>
      <c r="CP180" s="568"/>
      <c r="CQ180" s="568"/>
      <c r="CR180" s="568"/>
      <c r="CS180" s="568"/>
      <c r="CT180" s="568"/>
      <c r="CU180" s="568"/>
      <c r="CV180" s="568"/>
      <c r="CW180" s="568"/>
      <c r="CX180" s="568"/>
      <c r="CY180" s="568"/>
      <c r="CZ180" s="568"/>
      <c r="DA180" s="568"/>
      <c r="DB180" s="568"/>
      <c r="DC180" s="568"/>
      <c r="DD180" s="568"/>
      <c r="DE180" s="568"/>
      <c r="DF180" s="568"/>
      <c r="DG180" s="568"/>
      <c r="DH180" s="568"/>
      <c r="DI180" s="568"/>
      <c r="DJ180" s="568"/>
      <c r="DK180" s="568"/>
      <c r="DL180" s="568"/>
      <c r="DM180" s="568"/>
      <c r="DN180" s="568"/>
      <c r="DO180" s="568"/>
      <c r="DP180" s="568"/>
      <c r="DQ180" s="568"/>
      <c r="DR180" s="568"/>
      <c r="DS180" s="568"/>
      <c r="DT180" s="568"/>
      <c r="DU180" s="568"/>
      <c r="DV180" s="568"/>
      <c r="DW180" s="568"/>
      <c r="DX180" s="568"/>
      <c r="DY180" s="568"/>
      <c r="DZ180" s="568"/>
      <c r="EA180" s="568"/>
      <c r="EB180" s="568"/>
      <c r="EC180" s="568"/>
      <c r="ED180" s="568"/>
      <c r="EE180" s="568"/>
      <c r="EF180" s="568"/>
      <c r="EG180" s="568"/>
      <c r="EH180" s="568"/>
      <c r="EI180" s="568"/>
      <c r="EJ180" s="568"/>
      <c r="EK180" s="568"/>
      <c r="EL180" s="568"/>
      <c r="EM180" s="568"/>
      <c r="EN180" s="568"/>
      <c r="EO180" s="568"/>
      <c r="EP180" s="568"/>
      <c r="EQ180" s="568"/>
      <c r="ER180" s="568"/>
      <c r="ES180" s="568"/>
      <c r="ET180" s="568"/>
      <c r="EU180" s="568"/>
      <c r="EV180" s="568"/>
      <c r="EW180" s="568"/>
      <c r="EX180" s="568"/>
      <c r="EY180" s="568"/>
      <c r="EZ180" s="568"/>
      <c r="FA180" s="568"/>
      <c r="FB180" s="568"/>
      <c r="FC180" s="568"/>
      <c r="FD180" s="568"/>
      <c r="FE180" s="568"/>
      <c r="FF180" s="568"/>
      <c r="FG180" s="568"/>
      <c r="FH180" s="568"/>
      <c r="FI180" s="568"/>
      <c r="FJ180" s="568"/>
      <c r="FK180" s="568"/>
      <c r="FL180" s="568"/>
      <c r="FM180" s="568"/>
      <c r="FN180" s="568"/>
      <c r="FO180" s="568"/>
      <c r="FP180" s="568"/>
      <c r="FQ180" s="568"/>
      <c r="FR180" s="568"/>
      <c r="FS180" s="568"/>
      <c r="FT180" s="568"/>
      <c r="FU180" s="568"/>
      <c r="FV180" s="568"/>
      <c r="FW180" s="568"/>
      <c r="FX180" s="568"/>
      <c r="FY180" s="568"/>
      <c r="FZ180" s="568"/>
      <c r="GA180" s="568"/>
      <c r="GB180" s="568"/>
      <c r="GC180" s="568"/>
      <c r="GD180" s="568"/>
      <c r="GE180" s="568"/>
      <c r="GF180" s="568"/>
      <c r="GG180" s="568"/>
      <c r="GH180" s="568"/>
      <c r="GI180" s="568"/>
      <c r="GJ180" s="568"/>
      <c r="GK180" s="568"/>
      <c r="GL180" s="568"/>
      <c r="GM180" s="568"/>
      <c r="GN180" s="568"/>
      <c r="GO180" s="568"/>
      <c r="GP180" s="568"/>
      <c r="GQ180" s="568"/>
      <c r="GR180" s="568"/>
      <c r="GS180" s="568"/>
      <c r="GT180" s="568"/>
      <c r="GU180" s="568"/>
      <c r="GV180" s="568"/>
      <c r="GW180" s="568"/>
      <c r="GX180" s="568"/>
      <c r="GY180" s="568"/>
      <c r="GZ180" s="568"/>
      <c r="HA180" s="568"/>
      <c r="HB180" s="568"/>
      <c r="HC180" s="568"/>
      <c r="HD180" s="568"/>
      <c r="HE180" s="568"/>
      <c r="HF180" s="568"/>
      <c r="HG180" s="568"/>
      <c r="HH180" s="568"/>
      <c r="HI180" s="568"/>
      <c r="HJ180" s="568"/>
      <c r="HK180" s="568"/>
      <c r="HL180" s="568"/>
      <c r="HM180" s="568"/>
      <c r="HN180" s="568"/>
      <c r="HO180" s="568"/>
      <c r="HP180" s="568"/>
      <c r="HQ180" s="568"/>
      <c r="HR180" s="568"/>
      <c r="HS180" s="568"/>
      <c r="HT180" s="568"/>
      <c r="HU180" s="568"/>
      <c r="HV180" s="568"/>
      <c r="HW180" s="568"/>
      <c r="HX180" s="568"/>
      <c r="HY180" s="568"/>
      <c r="HZ180" s="568"/>
      <c r="IA180" s="568"/>
      <c r="IB180" s="568"/>
      <c r="IC180" s="568"/>
      <c r="ID180" s="568"/>
      <c r="IE180" s="568"/>
      <c r="IF180" s="568"/>
      <c r="IG180" s="568"/>
      <c r="IH180" s="568"/>
      <c r="II180" s="568"/>
      <c r="IJ180" s="568"/>
      <c r="IK180" s="568"/>
      <c r="IL180" s="568"/>
      <c r="IM180" s="568"/>
      <c r="IN180" s="568"/>
      <c r="IO180" s="568"/>
      <c r="IP180" s="568"/>
      <c r="IQ180" s="568"/>
      <c r="IR180" s="568"/>
      <c r="IS180" s="568"/>
      <c r="IT180" s="568"/>
      <c r="IU180" s="568"/>
    </row>
    <row r="181" spans="1:255" ht="18" customHeight="1">
      <c r="A181" s="554"/>
      <c r="B181" s="562"/>
      <c r="C181" s="1150"/>
      <c r="D181" s="1150"/>
      <c r="E181" s="1150"/>
      <c r="F181" s="1150"/>
      <c r="G181" s="1150"/>
      <c r="H181" s="1150"/>
      <c r="I181" s="1150"/>
      <c r="J181" s="1143"/>
      <c r="K181" s="1143"/>
      <c r="L181" s="1143"/>
      <c r="M181" s="562"/>
      <c r="N181" s="562"/>
      <c r="O181" s="562"/>
      <c r="P181" s="562"/>
      <c r="Q181" s="561"/>
      <c r="R181" s="561"/>
      <c r="S181" s="561"/>
      <c r="T181" s="562"/>
      <c r="U181" s="561"/>
      <c r="V181" s="561"/>
      <c r="W181" s="561"/>
      <c r="X181" s="561"/>
      <c r="Y181" s="561"/>
      <c r="Z181" s="561"/>
      <c r="AA181" s="561"/>
      <c r="AB181" s="561"/>
      <c r="AC181" s="561"/>
      <c r="AD181" s="561"/>
      <c r="AE181" s="561"/>
      <c r="AF181" s="561"/>
      <c r="AG181" s="561"/>
      <c r="AH181" s="567"/>
      <c r="AI181" s="567"/>
      <c r="AJ181" s="567"/>
      <c r="AK181" s="567"/>
      <c r="AL181" s="567"/>
      <c r="AM181" s="567"/>
      <c r="AN181" s="567"/>
      <c r="AO181" s="567"/>
      <c r="AP181" s="567"/>
      <c r="AQ181" s="567"/>
      <c r="AR181" s="567"/>
      <c r="AS181" s="567"/>
      <c r="AT181" s="567"/>
      <c r="AU181" s="567"/>
      <c r="AV181" s="567"/>
      <c r="AW181" s="567"/>
      <c r="AX181" s="567"/>
      <c r="AY181" s="567"/>
      <c r="AZ181" s="567"/>
      <c r="BA181" s="567"/>
      <c r="BB181" s="567"/>
      <c r="BC181" s="567"/>
      <c r="BD181" s="568"/>
      <c r="BE181" s="568"/>
      <c r="BF181" s="568"/>
      <c r="BG181" s="568"/>
      <c r="BH181" s="568"/>
      <c r="BI181" s="568"/>
      <c r="BJ181" s="568"/>
      <c r="BK181" s="568"/>
      <c r="BL181" s="568"/>
      <c r="BM181" s="568"/>
      <c r="BN181" s="568"/>
      <c r="BO181" s="568"/>
      <c r="BP181" s="568"/>
      <c r="BQ181" s="568"/>
      <c r="BR181" s="568"/>
      <c r="BS181" s="568"/>
      <c r="BT181" s="568"/>
      <c r="BU181" s="568"/>
      <c r="BV181" s="568"/>
      <c r="BW181" s="568"/>
      <c r="BX181" s="568"/>
      <c r="BY181" s="568"/>
      <c r="BZ181" s="568"/>
      <c r="CA181" s="568"/>
      <c r="CB181" s="568"/>
      <c r="CC181" s="568"/>
      <c r="CD181" s="568"/>
      <c r="CE181" s="568"/>
      <c r="CF181" s="568"/>
      <c r="CG181" s="568"/>
      <c r="CH181" s="568"/>
      <c r="CI181" s="568"/>
      <c r="CJ181" s="568"/>
      <c r="CK181" s="568"/>
      <c r="CL181" s="568"/>
      <c r="CM181" s="568"/>
      <c r="CN181" s="568"/>
      <c r="CO181" s="568"/>
      <c r="CP181" s="568"/>
      <c r="CQ181" s="568"/>
      <c r="CR181" s="568"/>
      <c r="CS181" s="568"/>
      <c r="CT181" s="568"/>
      <c r="CU181" s="568"/>
      <c r="CV181" s="568"/>
      <c r="CW181" s="568"/>
      <c r="CX181" s="568"/>
      <c r="CY181" s="568"/>
      <c r="CZ181" s="568"/>
      <c r="DA181" s="568"/>
      <c r="DB181" s="568"/>
      <c r="DC181" s="568"/>
      <c r="DD181" s="568"/>
      <c r="DE181" s="568"/>
      <c r="DF181" s="568"/>
      <c r="DG181" s="568"/>
      <c r="DH181" s="568"/>
      <c r="DI181" s="568"/>
      <c r="DJ181" s="568"/>
      <c r="DK181" s="568"/>
      <c r="DL181" s="568"/>
      <c r="DM181" s="568"/>
      <c r="DN181" s="568"/>
      <c r="DO181" s="568"/>
      <c r="DP181" s="568"/>
      <c r="DQ181" s="568"/>
      <c r="DR181" s="568"/>
      <c r="DS181" s="568"/>
      <c r="DT181" s="568"/>
      <c r="DU181" s="568"/>
      <c r="DV181" s="568"/>
      <c r="DW181" s="568"/>
      <c r="DX181" s="568"/>
      <c r="DY181" s="568"/>
      <c r="DZ181" s="568"/>
      <c r="EA181" s="568"/>
      <c r="EB181" s="568"/>
      <c r="EC181" s="568"/>
      <c r="ED181" s="568"/>
      <c r="EE181" s="568"/>
      <c r="EF181" s="568"/>
      <c r="EG181" s="568"/>
      <c r="EH181" s="568"/>
      <c r="EI181" s="568"/>
      <c r="EJ181" s="568"/>
      <c r="EK181" s="568"/>
      <c r="EL181" s="568"/>
      <c r="EM181" s="568"/>
      <c r="EN181" s="568"/>
      <c r="EO181" s="568"/>
      <c r="EP181" s="568"/>
      <c r="EQ181" s="568"/>
      <c r="ER181" s="568"/>
      <c r="ES181" s="568"/>
      <c r="ET181" s="568"/>
      <c r="EU181" s="568"/>
      <c r="EV181" s="568"/>
      <c r="EW181" s="568"/>
      <c r="EX181" s="568"/>
      <c r="EY181" s="568"/>
      <c r="EZ181" s="568"/>
      <c r="FA181" s="568"/>
      <c r="FB181" s="568"/>
      <c r="FC181" s="568"/>
      <c r="FD181" s="568"/>
      <c r="FE181" s="568"/>
      <c r="FF181" s="568"/>
      <c r="FG181" s="568"/>
      <c r="FH181" s="568"/>
      <c r="FI181" s="568"/>
      <c r="FJ181" s="568"/>
      <c r="FK181" s="568"/>
      <c r="FL181" s="568"/>
      <c r="FM181" s="568"/>
      <c r="FN181" s="568"/>
      <c r="FO181" s="568"/>
      <c r="FP181" s="568"/>
      <c r="FQ181" s="568"/>
      <c r="FR181" s="568"/>
      <c r="FS181" s="568"/>
      <c r="FT181" s="568"/>
      <c r="FU181" s="568"/>
      <c r="FV181" s="568"/>
      <c r="FW181" s="568"/>
      <c r="FX181" s="568"/>
      <c r="FY181" s="568"/>
      <c r="FZ181" s="568"/>
      <c r="GA181" s="568"/>
      <c r="GB181" s="568"/>
      <c r="GC181" s="568"/>
      <c r="GD181" s="568"/>
      <c r="GE181" s="568"/>
      <c r="GF181" s="568"/>
      <c r="GG181" s="568"/>
      <c r="GH181" s="568"/>
      <c r="GI181" s="568"/>
      <c r="GJ181" s="568"/>
      <c r="GK181" s="568"/>
      <c r="GL181" s="568"/>
      <c r="GM181" s="568"/>
      <c r="GN181" s="568"/>
      <c r="GO181" s="568"/>
      <c r="GP181" s="568"/>
      <c r="GQ181" s="568"/>
      <c r="GR181" s="568"/>
      <c r="GS181" s="568"/>
      <c r="GT181" s="568"/>
      <c r="GU181" s="568"/>
      <c r="GV181" s="568"/>
      <c r="GW181" s="568"/>
      <c r="GX181" s="568"/>
      <c r="GY181" s="568"/>
      <c r="GZ181" s="568"/>
      <c r="HA181" s="568"/>
      <c r="HB181" s="568"/>
      <c r="HC181" s="568"/>
      <c r="HD181" s="568"/>
      <c r="HE181" s="568"/>
      <c r="HF181" s="568"/>
      <c r="HG181" s="568"/>
      <c r="HH181" s="568"/>
      <c r="HI181" s="568"/>
      <c r="HJ181" s="568"/>
      <c r="HK181" s="568"/>
      <c r="HL181" s="568"/>
      <c r="HM181" s="568"/>
      <c r="HN181" s="568"/>
      <c r="HO181" s="568"/>
      <c r="HP181" s="568"/>
      <c r="HQ181" s="568"/>
      <c r="HR181" s="568"/>
      <c r="HS181" s="568"/>
      <c r="HT181" s="568"/>
      <c r="HU181" s="568"/>
      <c r="HV181" s="568"/>
      <c r="HW181" s="568"/>
      <c r="HX181" s="568"/>
      <c r="HY181" s="568"/>
      <c r="HZ181" s="568"/>
      <c r="IA181" s="568"/>
      <c r="IB181" s="568"/>
      <c r="IC181" s="568"/>
      <c r="ID181" s="568"/>
      <c r="IE181" s="568"/>
      <c r="IF181" s="568"/>
      <c r="IG181" s="568"/>
      <c r="IH181" s="568"/>
      <c r="II181" s="568"/>
      <c r="IJ181" s="568"/>
      <c r="IK181" s="568"/>
      <c r="IL181" s="568"/>
      <c r="IM181" s="568"/>
      <c r="IN181" s="568"/>
      <c r="IO181" s="568"/>
      <c r="IP181" s="568"/>
      <c r="IQ181" s="568"/>
      <c r="IR181" s="568"/>
      <c r="IS181" s="568"/>
      <c r="IT181" s="568"/>
      <c r="IU181" s="568"/>
    </row>
    <row r="182" spans="1:255" ht="18" customHeight="1">
      <c r="A182" s="554"/>
      <c r="B182" s="561"/>
      <c r="C182" s="1142"/>
      <c r="D182" s="1142"/>
      <c r="E182" s="1142"/>
      <c r="F182" s="1142"/>
      <c r="G182" s="1142"/>
      <c r="H182" s="1142"/>
      <c r="I182" s="1142"/>
      <c r="J182" s="1142"/>
      <c r="K182" s="1142"/>
      <c r="L182" s="1142"/>
      <c r="M182" s="561"/>
      <c r="N182" s="561"/>
      <c r="O182" s="561"/>
      <c r="P182" s="561"/>
      <c r="Q182" s="561"/>
      <c r="R182" s="561"/>
      <c r="S182" s="561"/>
      <c r="T182" s="562"/>
      <c r="U182" s="561"/>
      <c r="V182" s="561"/>
      <c r="W182" s="561"/>
      <c r="X182" s="561"/>
      <c r="Y182" s="561"/>
      <c r="Z182" s="561"/>
      <c r="AA182" s="561"/>
      <c r="AB182" s="561"/>
      <c r="AC182" s="561"/>
      <c r="AD182" s="561"/>
      <c r="AE182" s="561"/>
      <c r="AF182" s="561"/>
      <c r="AG182" s="561"/>
      <c r="AH182" s="567"/>
      <c r="AI182" s="567"/>
      <c r="AJ182" s="567"/>
      <c r="AK182" s="567"/>
      <c r="AL182" s="567"/>
      <c r="AM182" s="567"/>
      <c r="AN182" s="567"/>
      <c r="AO182" s="567"/>
      <c r="AP182" s="567"/>
      <c r="AQ182" s="567"/>
      <c r="AR182" s="567"/>
      <c r="AS182" s="567"/>
      <c r="AT182" s="567"/>
      <c r="AU182" s="567"/>
      <c r="AV182" s="567"/>
      <c r="AW182" s="567"/>
      <c r="AX182" s="567"/>
      <c r="AY182" s="567"/>
      <c r="AZ182" s="567"/>
      <c r="BA182" s="567"/>
      <c r="BB182" s="567"/>
      <c r="BC182" s="567"/>
      <c r="BD182" s="568"/>
      <c r="BE182" s="568"/>
      <c r="BF182" s="568"/>
      <c r="BG182" s="568"/>
      <c r="BH182" s="568"/>
      <c r="BI182" s="568"/>
      <c r="BJ182" s="568"/>
      <c r="BK182" s="568"/>
      <c r="BL182" s="568"/>
      <c r="BM182" s="568"/>
      <c r="BN182" s="568"/>
      <c r="BO182" s="568"/>
      <c r="BP182" s="568"/>
      <c r="BQ182" s="568"/>
      <c r="BR182" s="568"/>
      <c r="BS182" s="568"/>
      <c r="BT182" s="568"/>
      <c r="BU182" s="568"/>
      <c r="BV182" s="568"/>
      <c r="BW182" s="568"/>
      <c r="BX182" s="568"/>
      <c r="BY182" s="568"/>
      <c r="BZ182" s="568"/>
      <c r="CA182" s="568"/>
      <c r="CB182" s="568"/>
      <c r="CC182" s="568"/>
      <c r="CD182" s="568"/>
      <c r="CE182" s="568"/>
      <c r="CF182" s="568"/>
      <c r="CG182" s="568"/>
      <c r="CH182" s="568"/>
      <c r="CI182" s="568"/>
      <c r="CJ182" s="568"/>
      <c r="CK182" s="568"/>
      <c r="CL182" s="568"/>
      <c r="CM182" s="568"/>
      <c r="CN182" s="568"/>
      <c r="CO182" s="568"/>
      <c r="CP182" s="568"/>
      <c r="CQ182" s="568"/>
      <c r="CR182" s="568"/>
      <c r="CS182" s="568"/>
      <c r="CT182" s="568"/>
      <c r="CU182" s="568"/>
      <c r="CV182" s="568"/>
      <c r="CW182" s="568"/>
      <c r="CX182" s="568"/>
      <c r="CY182" s="568"/>
      <c r="CZ182" s="568"/>
      <c r="DA182" s="568"/>
      <c r="DB182" s="568"/>
      <c r="DC182" s="568"/>
      <c r="DD182" s="568"/>
      <c r="DE182" s="568"/>
      <c r="DF182" s="568"/>
      <c r="DG182" s="568"/>
      <c r="DH182" s="568"/>
      <c r="DI182" s="568"/>
      <c r="DJ182" s="568"/>
      <c r="DK182" s="568"/>
      <c r="DL182" s="568"/>
      <c r="DM182" s="568"/>
      <c r="DN182" s="568"/>
      <c r="DO182" s="568"/>
      <c r="DP182" s="568"/>
      <c r="DQ182" s="568"/>
      <c r="DR182" s="568"/>
      <c r="DS182" s="568"/>
      <c r="DT182" s="568"/>
      <c r="DU182" s="568"/>
      <c r="DV182" s="568"/>
      <c r="DW182" s="568"/>
      <c r="DX182" s="568"/>
      <c r="DY182" s="568"/>
      <c r="DZ182" s="568"/>
      <c r="EA182" s="568"/>
      <c r="EB182" s="568"/>
      <c r="EC182" s="568"/>
      <c r="ED182" s="568"/>
      <c r="EE182" s="568"/>
      <c r="EF182" s="568"/>
      <c r="EG182" s="568"/>
      <c r="EH182" s="568"/>
      <c r="EI182" s="568"/>
      <c r="EJ182" s="568"/>
      <c r="EK182" s="568"/>
      <c r="EL182" s="568"/>
      <c r="EM182" s="568"/>
      <c r="EN182" s="568"/>
      <c r="EO182" s="568"/>
      <c r="EP182" s="568"/>
      <c r="EQ182" s="568"/>
      <c r="ER182" s="568"/>
      <c r="ES182" s="568"/>
      <c r="ET182" s="568"/>
      <c r="EU182" s="568"/>
      <c r="EV182" s="568"/>
      <c r="EW182" s="568"/>
      <c r="EX182" s="568"/>
      <c r="EY182" s="568"/>
      <c r="EZ182" s="568"/>
      <c r="FA182" s="568"/>
      <c r="FB182" s="568"/>
      <c r="FC182" s="568"/>
      <c r="FD182" s="568"/>
      <c r="FE182" s="568"/>
      <c r="FF182" s="568"/>
      <c r="FG182" s="568"/>
      <c r="FH182" s="568"/>
      <c r="FI182" s="568"/>
      <c r="FJ182" s="568"/>
      <c r="FK182" s="568"/>
      <c r="FL182" s="568"/>
      <c r="FM182" s="568"/>
      <c r="FN182" s="568"/>
      <c r="FO182" s="568"/>
      <c r="FP182" s="568"/>
      <c r="FQ182" s="568"/>
      <c r="FR182" s="568"/>
      <c r="FS182" s="568"/>
      <c r="FT182" s="568"/>
      <c r="FU182" s="568"/>
      <c r="FV182" s="568"/>
      <c r="FW182" s="568"/>
      <c r="FX182" s="568"/>
      <c r="FY182" s="568"/>
      <c r="FZ182" s="568"/>
      <c r="GA182" s="568"/>
      <c r="GB182" s="568"/>
      <c r="GC182" s="568"/>
      <c r="GD182" s="568"/>
      <c r="GE182" s="568"/>
      <c r="GF182" s="568"/>
      <c r="GG182" s="568"/>
      <c r="GH182" s="568"/>
      <c r="GI182" s="568"/>
      <c r="GJ182" s="568"/>
      <c r="GK182" s="568"/>
      <c r="GL182" s="568"/>
      <c r="GM182" s="568"/>
      <c r="GN182" s="568"/>
      <c r="GO182" s="568"/>
      <c r="GP182" s="568"/>
      <c r="GQ182" s="568"/>
      <c r="GR182" s="568"/>
      <c r="GS182" s="568"/>
      <c r="GT182" s="568"/>
      <c r="GU182" s="568"/>
      <c r="GV182" s="568"/>
      <c r="GW182" s="568"/>
      <c r="GX182" s="568"/>
      <c r="GY182" s="568"/>
      <c r="GZ182" s="568"/>
      <c r="HA182" s="568"/>
      <c r="HB182" s="568"/>
      <c r="HC182" s="568"/>
      <c r="HD182" s="568"/>
      <c r="HE182" s="568"/>
      <c r="HF182" s="568"/>
      <c r="HG182" s="568"/>
      <c r="HH182" s="568"/>
      <c r="HI182" s="568"/>
      <c r="HJ182" s="568"/>
      <c r="HK182" s="568"/>
      <c r="HL182" s="568"/>
      <c r="HM182" s="568"/>
      <c r="HN182" s="568"/>
      <c r="HO182" s="568"/>
      <c r="HP182" s="568"/>
      <c r="HQ182" s="568"/>
      <c r="HR182" s="568"/>
      <c r="HS182" s="568"/>
      <c r="HT182" s="568"/>
      <c r="HU182" s="568"/>
      <c r="HV182" s="568"/>
      <c r="HW182" s="568"/>
      <c r="HX182" s="568"/>
      <c r="HY182" s="568"/>
      <c r="HZ182" s="568"/>
      <c r="IA182" s="568"/>
      <c r="IB182" s="568"/>
      <c r="IC182" s="568"/>
      <c r="ID182" s="568"/>
      <c r="IE182" s="568"/>
      <c r="IF182" s="568"/>
      <c r="IG182" s="568"/>
      <c r="IH182" s="568"/>
      <c r="II182" s="568"/>
      <c r="IJ182" s="568"/>
      <c r="IK182" s="568"/>
      <c r="IL182" s="568"/>
      <c r="IM182" s="568"/>
      <c r="IN182" s="568"/>
      <c r="IO182" s="568"/>
      <c r="IP182" s="568"/>
      <c r="IQ182" s="568"/>
      <c r="IR182" s="568"/>
      <c r="IS182" s="568"/>
      <c r="IT182" s="568"/>
      <c r="IU182" s="568"/>
    </row>
    <row r="183" spans="1:255" ht="18" customHeight="1">
      <c r="A183" s="554"/>
      <c r="B183" s="561"/>
      <c r="C183" s="1142"/>
      <c r="D183" s="1142"/>
      <c r="E183" s="1142"/>
      <c r="F183" s="1142"/>
      <c r="G183" s="1142"/>
      <c r="H183" s="1142"/>
      <c r="I183" s="1142"/>
      <c r="J183" s="1142"/>
      <c r="K183" s="1142"/>
      <c r="L183" s="1142"/>
      <c r="M183" s="561"/>
      <c r="N183" s="561"/>
      <c r="O183" s="561"/>
      <c r="P183" s="561"/>
      <c r="Q183" s="561"/>
      <c r="R183" s="561"/>
      <c r="S183" s="561"/>
      <c r="T183" s="561"/>
      <c r="U183" s="561"/>
      <c r="V183" s="561"/>
      <c r="W183" s="561"/>
      <c r="X183" s="561"/>
      <c r="Y183" s="561"/>
      <c r="Z183" s="561"/>
      <c r="AA183" s="561"/>
      <c r="AB183" s="561"/>
      <c r="AC183" s="561"/>
      <c r="AD183" s="561"/>
      <c r="AE183" s="561"/>
      <c r="AF183" s="561"/>
      <c r="AG183" s="561"/>
      <c r="AH183" s="567"/>
      <c r="AI183" s="567"/>
      <c r="AJ183" s="567"/>
      <c r="AK183" s="567"/>
      <c r="AL183" s="567"/>
      <c r="AM183" s="567"/>
      <c r="AN183" s="567"/>
      <c r="AO183" s="567"/>
      <c r="AP183" s="567"/>
      <c r="AQ183" s="567"/>
      <c r="AR183" s="567"/>
      <c r="AS183" s="567"/>
      <c r="AT183" s="567"/>
      <c r="AU183" s="567"/>
      <c r="AV183" s="567"/>
      <c r="AW183" s="567"/>
      <c r="AX183" s="567"/>
      <c r="AY183" s="567"/>
      <c r="AZ183" s="567"/>
      <c r="BA183" s="567"/>
      <c r="BB183" s="567"/>
      <c r="BC183" s="567"/>
      <c r="BD183" s="568"/>
      <c r="BE183" s="568"/>
      <c r="BF183" s="568"/>
      <c r="BG183" s="568"/>
      <c r="BH183" s="568"/>
      <c r="BI183" s="568"/>
      <c r="BJ183" s="568"/>
      <c r="BK183" s="568"/>
      <c r="BL183" s="568"/>
      <c r="BM183" s="568"/>
      <c r="BN183" s="568"/>
      <c r="BO183" s="568"/>
      <c r="BP183" s="568"/>
      <c r="BQ183" s="568"/>
      <c r="BR183" s="568"/>
      <c r="BS183" s="568"/>
      <c r="BT183" s="568"/>
      <c r="BU183" s="568"/>
      <c r="BV183" s="568"/>
      <c r="BW183" s="568"/>
      <c r="BX183" s="568"/>
      <c r="BY183" s="568"/>
      <c r="BZ183" s="568"/>
      <c r="CA183" s="568"/>
      <c r="CB183" s="568"/>
      <c r="CC183" s="568"/>
      <c r="CD183" s="568"/>
      <c r="CE183" s="568"/>
      <c r="CF183" s="568"/>
      <c r="CG183" s="568"/>
      <c r="CH183" s="568"/>
      <c r="CI183" s="568"/>
      <c r="CJ183" s="568"/>
      <c r="CK183" s="568"/>
      <c r="CL183" s="568"/>
      <c r="CM183" s="568"/>
      <c r="CN183" s="568"/>
      <c r="CO183" s="568"/>
      <c r="CP183" s="568"/>
      <c r="CQ183" s="568"/>
      <c r="CR183" s="568"/>
      <c r="CS183" s="568"/>
      <c r="CT183" s="568"/>
      <c r="CU183" s="568"/>
      <c r="CV183" s="568"/>
      <c r="CW183" s="568"/>
      <c r="CX183" s="568"/>
      <c r="CY183" s="568"/>
      <c r="CZ183" s="568"/>
      <c r="DA183" s="568"/>
      <c r="DB183" s="568"/>
      <c r="DC183" s="568"/>
      <c r="DD183" s="568"/>
      <c r="DE183" s="568"/>
      <c r="DF183" s="568"/>
      <c r="DG183" s="568"/>
      <c r="DH183" s="568"/>
      <c r="DI183" s="568"/>
      <c r="DJ183" s="568"/>
      <c r="DK183" s="568"/>
      <c r="DL183" s="568"/>
      <c r="DM183" s="568"/>
      <c r="DN183" s="568"/>
      <c r="DO183" s="568"/>
      <c r="DP183" s="568"/>
      <c r="DQ183" s="568"/>
      <c r="DR183" s="568"/>
      <c r="DS183" s="568"/>
      <c r="DT183" s="568"/>
      <c r="DU183" s="568"/>
      <c r="DV183" s="568"/>
      <c r="DW183" s="568"/>
      <c r="DX183" s="568"/>
      <c r="DY183" s="568"/>
      <c r="DZ183" s="568"/>
      <c r="EA183" s="568"/>
      <c r="EB183" s="568"/>
      <c r="EC183" s="568"/>
      <c r="ED183" s="568"/>
      <c r="EE183" s="568"/>
      <c r="EF183" s="568"/>
      <c r="EG183" s="568"/>
      <c r="EH183" s="568"/>
      <c r="EI183" s="568"/>
      <c r="EJ183" s="568"/>
      <c r="EK183" s="568"/>
      <c r="EL183" s="568"/>
      <c r="EM183" s="568"/>
      <c r="EN183" s="568"/>
      <c r="EO183" s="568"/>
      <c r="EP183" s="568"/>
      <c r="EQ183" s="568"/>
      <c r="ER183" s="568"/>
      <c r="ES183" s="568"/>
      <c r="ET183" s="568"/>
      <c r="EU183" s="568"/>
      <c r="EV183" s="568"/>
      <c r="EW183" s="568"/>
      <c r="EX183" s="568"/>
      <c r="EY183" s="568"/>
      <c r="EZ183" s="568"/>
      <c r="FA183" s="568"/>
      <c r="FB183" s="568"/>
      <c r="FC183" s="568"/>
      <c r="FD183" s="568"/>
      <c r="FE183" s="568"/>
      <c r="FF183" s="568"/>
      <c r="FG183" s="568"/>
      <c r="FH183" s="568"/>
      <c r="FI183" s="568"/>
      <c r="FJ183" s="568"/>
      <c r="FK183" s="568"/>
      <c r="FL183" s="568"/>
      <c r="FM183" s="568"/>
      <c r="FN183" s="568"/>
      <c r="FO183" s="568"/>
      <c r="FP183" s="568"/>
      <c r="FQ183" s="568"/>
      <c r="FR183" s="568"/>
      <c r="FS183" s="568"/>
      <c r="FT183" s="568"/>
      <c r="FU183" s="568"/>
      <c r="FV183" s="568"/>
      <c r="FW183" s="568"/>
      <c r="FX183" s="568"/>
      <c r="FY183" s="568"/>
      <c r="FZ183" s="568"/>
      <c r="GA183" s="568"/>
      <c r="GB183" s="568"/>
      <c r="GC183" s="568"/>
      <c r="GD183" s="568"/>
      <c r="GE183" s="568"/>
      <c r="GF183" s="568"/>
      <c r="GG183" s="568"/>
      <c r="GH183" s="568"/>
      <c r="GI183" s="568"/>
      <c r="GJ183" s="568"/>
      <c r="GK183" s="568"/>
      <c r="GL183" s="568"/>
      <c r="GM183" s="568"/>
      <c r="GN183" s="568"/>
      <c r="GO183" s="568"/>
      <c r="GP183" s="568"/>
      <c r="GQ183" s="568"/>
      <c r="GR183" s="568"/>
      <c r="GS183" s="568"/>
      <c r="GT183" s="568"/>
      <c r="GU183" s="568"/>
      <c r="GV183" s="568"/>
      <c r="GW183" s="568"/>
      <c r="GX183" s="568"/>
      <c r="GY183" s="568"/>
      <c r="GZ183" s="568"/>
      <c r="HA183" s="568"/>
      <c r="HB183" s="568"/>
      <c r="HC183" s="568"/>
      <c r="HD183" s="568"/>
      <c r="HE183" s="568"/>
      <c r="HF183" s="568"/>
      <c r="HG183" s="568"/>
      <c r="HH183" s="568"/>
      <c r="HI183" s="568"/>
      <c r="HJ183" s="568"/>
      <c r="HK183" s="568"/>
      <c r="HL183" s="568"/>
      <c r="HM183" s="568"/>
      <c r="HN183" s="568"/>
      <c r="HO183" s="568"/>
      <c r="HP183" s="568"/>
      <c r="HQ183" s="568"/>
      <c r="HR183" s="568"/>
      <c r="HS183" s="568"/>
      <c r="HT183" s="568"/>
      <c r="HU183" s="568"/>
      <c r="HV183" s="568"/>
      <c r="HW183" s="568"/>
      <c r="HX183" s="568"/>
      <c r="HY183" s="568"/>
      <c r="HZ183" s="568"/>
      <c r="IA183" s="568"/>
      <c r="IB183" s="568"/>
      <c r="IC183" s="568"/>
      <c r="ID183" s="568"/>
      <c r="IE183" s="568"/>
      <c r="IF183" s="568"/>
      <c r="IG183" s="568"/>
      <c r="IH183" s="568"/>
      <c r="II183" s="568"/>
      <c r="IJ183" s="568"/>
      <c r="IK183" s="568"/>
      <c r="IL183" s="568"/>
      <c r="IM183" s="568"/>
      <c r="IN183" s="568"/>
      <c r="IO183" s="568"/>
      <c r="IP183" s="568"/>
      <c r="IQ183" s="568"/>
      <c r="IR183" s="568"/>
      <c r="IS183" s="568"/>
      <c r="IT183" s="568"/>
      <c r="IU183" s="568"/>
    </row>
    <row r="184" spans="1:255" ht="18" customHeight="1">
      <c r="A184" s="554"/>
      <c r="B184" s="561"/>
      <c r="C184" s="1142"/>
      <c r="D184" s="1142"/>
      <c r="E184" s="1142"/>
      <c r="F184" s="1142"/>
      <c r="G184" s="1142"/>
      <c r="H184" s="1142"/>
      <c r="I184" s="1142"/>
      <c r="J184" s="1142"/>
      <c r="K184" s="1142"/>
      <c r="L184" s="1142"/>
      <c r="M184" s="561"/>
      <c r="N184" s="561"/>
      <c r="O184" s="561"/>
      <c r="P184" s="561"/>
      <c r="Q184" s="561"/>
      <c r="R184" s="561"/>
      <c r="S184" s="561"/>
      <c r="T184" s="561"/>
      <c r="U184" s="561"/>
      <c r="V184" s="561"/>
      <c r="W184" s="561"/>
      <c r="X184" s="561"/>
      <c r="Y184" s="561"/>
      <c r="Z184" s="561"/>
      <c r="AA184" s="561"/>
      <c r="AB184" s="561"/>
      <c r="AC184" s="561"/>
      <c r="AD184" s="561"/>
      <c r="AE184" s="561"/>
      <c r="AF184" s="561"/>
      <c r="AG184" s="561"/>
      <c r="AH184" s="567"/>
      <c r="AI184" s="567"/>
      <c r="AJ184" s="567"/>
      <c r="AK184" s="567"/>
      <c r="AL184" s="567"/>
      <c r="AM184" s="567"/>
      <c r="AN184" s="567"/>
      <c r="AO184" s="567"/>
      <c r="AP184" s="567"/>
      <c r="AQ184" s="567"/>
      <c r="AR184" s="567"/>
      <c r="AS184" s="567"/>
      <c r="AT184" s="567"/>
      <c r="AU184" s="567"/>
      <c r="AV184" s="567"/>
      <c r="AW184" s="567"/>
      <c r="AX184" s="567"/>
      <c r="AY184" s="567"/>
      <c r="AZ184" s="567"/>
      <c r="BA184" s="567"/>
      <c r="BB184" s="567"/>
      <c r="BC184" s="567"/>
      <c r="BD184" s="568"/>
      <c r="BE184" s="568"/>
      <c r="BF184" s="568"/>
      <c r="BG184" s="568"/>
      <c r="BH184" s="568"/>
      <c r="BI184" s="568"/>
      <c r="BJ184" s="568"/>
      <c r="BK184" s="568"/>
      <c r="BL184" s="568"/>
      <c r="BM184" s="568"/>
      <c r="BN184" s="568"/>
      <c r="BO184" s="568"/>
      <c r="BP184" s="568"/>
      <c r="BQ184" s="568"/>
      <c r="BR184" s="568"/>
      <c r="BS184" s="568"/>
      <c r="BT184" s="568"/>
      <c r="BU184" s="568"/>
      <c r="BV184" s="568"/>
      <c r="BW184" s="568"/>
      <c r="BX184" s="568"/>
      <c r="BY184" s="568"/>
      <c r="BZ184" s="568"/>
      <c r="CA184" s="568"/>
      <c r="CB184" s="568"/>
      <c r="CC184" s="568"/>
      <c r="CD184" s="568"/>
      <c r="CE184" s="568"/>
      <c r="CF184" s="568"/>
      <c r="CG184" s="568"/>
      <c r="CH184" s="568"/>
      <c r="CI184" s="568"/>
      <c r="CJ184" s="568"/>
      <c r="CK184" s="568"/>
      <c r="CL184" s="568"/>
      <c r="CM184" s="568"/>
      <c r="CN184" s="568"/>
      <c r="CO184" s="568"/>
      <c r="CP184" s="568"/>
      <c r="CQ184" s="568"/>
      <c r="CR184" s="568"/>
      <c r="CS184" s="568"/>
      <c r="CT184" s="568"/>
      <c r="CU184" s="568"/>
      <c r="CV184" s="568"/>
      <c r="CW184" s="568"/>
      <c r="CX184" s="568"/>
      <c r="CY184" s="568"/>
      <c r="CZ184" s="568"/>
      <c r="DA184" s="568"/>
      <c r="DB184" s="568"/>
      <c r="DC184" s="568"/>
      <c r="DD184" s="568"/>
      <c r="DE184" s="568"/>
      <c r="DF184" s="568"/>
      <c r="DG184" s="568"/>
      <c r="DH184" s="568"/>
      <c r="DI184" s="568"/>
      <c r="DJ184" s="568"/>
      <c r="DK184" s="568"/>
      <c r="DL184" s="568"/>
      <c r="DM184" s="568"/>
      <c r="DN184" s="568"/>
      <c r="DO184" s="568"/>
      <c r="DP184" s="568"/>
      <c r="DQ184" s="568"/>
      <c r="DR184" s="568"/>
      <c r="DS184" s="568"/>
      <c r="DT184" s="568"/>
      <c r="DU184" s="568"/>
      <c r="DV184" s="568"/>
      <c r="DW184" s="568"/>
      <c r="DX184" s="568"/>
      <c r="DY184" s="568"/>
      <c r="DZ184" s="568"/>
      <c r="EA184" s="568"/>
      <c r="EB184" s="568"/>
      <c r="EC184" s="568"/>
      <c r="ED184" s="568"/>
      <c r="EE184" s="568"/>
      <c r="EF184" s="568"/>
      <c r="EG184" s="568"/>
      <c r="EH184" s="568"/>
      <c r="EI184" s="568"/>
      <c r="EJ184" s="568"/>
      <c r="EK184" s="568"/>
      <c r="EL184" s="568"/>
      <c r="EM184" s="568"/>
      <c r="EN184" s="568"/>
      <c r="EO184" s="568"/>
      <c r="EP184" s="568"/>
      <c r="EQ184" s="568"/>
      <c r="ER184" s="568"/>
      <c r="ES184" s="568"/>
      <c r="ET184" s="568"/>
      <c r="EU184" s="568"/>
      <c r="EV184" s="568"/>
      <c r="EW184" s="568"/>
      <c r="EX184" s="568"/>
      <c r="EY184" s="568"/>
      <c r="EZ184" s="568"/>
      <c r="FA184" s="568"/>
      <c r="FB184" s="568"/>
      <c r="FC184" s="568"/>
      <c r="FD184" s="568"/>
      <c r="FE184" s="568"/>
      <c r="FF184" s="568"/>
      <c r="FG184" s="568"/>
      <c r="FH184" s="568"/>
      <c r="FI184" s="568"/>
      <c r="FJ184" s="568"/>
      <c r="FK184" s="568"/>
      <c r="FL184" s="568"/>
      <c r="FM184" s="568"/>
      <c r="FN184" s="568"/>
      <c r="FO184" s="568"/>
      <c r="FP184" s="568"/>
      <c r="FQ184" s="568"/>
      <c r="FR184" s="568"/>
      <c r="FS184" s="568"/>
      <c r="FT184" s="568"/>
      <c r="FU184" s="568"/>
      <c r="FV184" s="568"/>
      <c r="FW184" s="568"/>
      <c r="FX184" s="568"/>
      <c r="FY184" s="568"/>
      <c r="FZ184" s="568"/>
      <c r="GA184" s="568"/>
      <c r="GB184" s="568"/>
      <c r="GC184" s="568"/>
      <c r="GD184" s="568"/>
      <c r="GE184" s="568"/>
      <c r="GF184" s="568"/>
      <c r="GG184" s="568"/>
      <c r="GH184" s="568"/>
      <c r="GI184" s="568"/>
      <c r="GJ184" s="568"/>
      <c r="GK184" s="568"/>
      <c r="GL184" s="568"/>
      <c r="GM184" s="568"/>
      <c r="GN184" s="568"/>
      <c r="GO184" s="568"/>
      <c r="GP184" s="568"/>
      <c r="GQ184" s="568"/>
      <c r="GR184" s="568"/>
      <c r="GS184" s="568"/>
      <c r="GT184" s="568"/>
      <c r="GU184" s="568"/>
      <c r="GV184" s="568"/>
      <c r="GW184" s="568"/>
      <c r="GX184" s="568"/>
      <c r="GY184" s="568"/>
      <c r="GZ184" s="568"/>
      <c r="HA184" s="568"/>
      <c r="HB184" s="568"/>
      <c r="HC184" s="568"/>
      <c r="HD184" s="568"/>
      <c r="HE184" s="568"/>
      <c r="HF184" s="568"/>
      <c r="HG184" s="568"/>
      <c r="HH184" s="568"/>
      <c r="HI184" s="568"/>
      <c r="HJ184" s="568"/>
      <c r="HK184" s="568"/>
      <c r="HL184" s="568"/>
      <c r="HM184" s="568"/>
      <c r="HN184" s="568"/>
      <c r="HO184" s="568"/>
      <c r="HP184" s="568"/>
      <c r="HQ184" s="568"/>
      <c r="HR184" s="568"/>
      <c r="HS184" s="568"/>
      <c r="HT184" s="568"/>
      <c r="HU184" s="568"/>
      <c r="HV184" s="568"/>
      <c r="HW184" s="568"/>
      <c r="HX184" s="568"/>
      <c r="HY184" s="568"/>
      <c r="HZ184" s="568"/>
      <c r="IA184" s="568"/>
      <c r="IB184" s="568"/>
      <c r="IC184" s="568"/>
      <c r="ID184" s="568"/>
      <c r="IE184" s="568"/>
      <c r="IF184" s="568"/>
      <c r="IG184" s="568"/>
      <c r="IH184" s="568"/>
      <c r="II184" s="568"/>
      <c r="IJ184" s="568"/>
      <c r="IK184" s="568"/>
      <c r="IL184" s="568"/>
      <c r="IM184" s="568"/>
      <c r="IN184" s="568"/>
      <c r="IO184" s="568"/>
      <c r="IP184" s="568"/>
      <c r="IQ184" s="568"/>
      <c r="IR184" s="568"/>
      <c r="IS184" s="568"/>
      <c r="IT184" s="568"/>
      <c r="IU184" s="568"/>
    </row>
    <row r="185" spans="1:255" ht="18" customHeight="1">
      <c r="A185" s="554"/>
      <c r="B185" s="561"/>
      <c r="C185" s="1142"/>
      <c r="D185" s="1142"/>
      <c r="E185" s="1142"/>
      <c r="F185" s="1142"/>
      <c r="G185" s="1142"/>
      <c r="H185" s="1142"/>
      <c r="I185" s="1142"/>
      <c r="J185" s="1142"/>
      <c r="K185" s="1142"/>
      <c r="L185" s="1142"/>
      <c r="M185" s="561"/>
      <c r="N185" s="561"/>
      <c r="O185" s="561"/>
      <c r="P185" s="561"/>
      <c r="Q185" s="561"/>
      <c r="R185" s="561"/>
      <c r="S185" s="561"/>
      <c r="T185" s="561"/>
      <c r="U185" s="561"/>
      <c r="V185" s="561"/>
      <c r="W185" s="561"/>
      <c r="X185" s="561"/>
      <c r="Y185" s="561"/>
      <c r="Z185" s="561"/>
      <c r="AA185" s="561"/>
      <c r="AB185" s="561"/>
      <c r="AC185" s="561"/>
      <c r="AD185" s="561"/>
      <c r="AE185" s="561"/>
      <c r="AF185" s="561"/>
      <c r="AG185" s="561"/>
      <c r="AH185" s="567"/>
      <c r="AI185" s="567"/>
      <c r="AJ185" s="567"/>
      <c r="AK185" s="567"/>
      <c r="AL185" s="567"/>
      <c r="AM185" s="567"/>
      <c r="AN185" s="567"/>
      <c r="AO185" s="567"/>
      <c r="AP185" s="567"/>
      <c r="AQ185" s="567"/>
      <c r="AR185" s="567"/>
      <c r="AS185" s="567"/>
      <c r="AT185" s="567"/>
      <c r="AU185" s="567"/>
      <c r="AV185" s="567"/>
      <c r="AW185" s="567"/>
      <c r="AX185" s="567"/>
      <c r="AY185" s="567"/>
      <c r="AZ185" s="567"/>
      <c r="BA185" s="567"/>
      <c r="BB185" s="567"/>
      <c r="BC185" s="567"/>
      <c r="BD185" s="568"/>
      <c r="BE185" s="568"/>
      <c r="BF185" s="568"/>
      <c r="BG185" s="568"/>
      <c r="BH185" s="568"/>
      <c r="BI185" s="568"/>
      <c r="BJ185" s="568"/>
      <c r="BK185" s="568"/>
      <c r="BL185" s="568"/>
      <c r="BM185" s="568"/>
      <c r="BN185" s="568"/>
      <c r="BO185" s="568"/>
      <c r="BP185" s="568"/>
      <c r="BQ185" s="568"/>
      <c r="BR185" s="568"/>
      <c r="BS185" s="568"/>
      <c r="BT185" s="568"/>
      <c r="BU185" s="568"/>
      <c r="BV185" s="568"/>
      <c r="BW185" s="568"/>
      <c r="BX185" s="568"/>
      <c r="BY185" s="568"/>
      <c r="BZ185" s="568"/>
      <c r="CA185" s="568"/>
      <c r="CB185" s="568"/>
      <c r="CC185" s="568"/>
      <c r="CD185" s="568"/>
      <c r="CE185" s="568"/>
      <c r="CF185" s="568"/>
      <c r="CG185" s="568"/>
      <c r="CH185" s="568"/>
      <c r="CI185" s="568"/>
      <c r="CJ185" s="568"/>
      <c r="CK185" s="568"/>
      <c r="CL185" s="568"/>
      <c r="CM185" s="568"/>
      <c r="CN185" s="568"/>
      <c r="CO185" s="568"/>
      <c r="CP185" s="568"/>
      <c r="CQ185" s="568"/>
      <c r="CR185" s="568"/>
      <c r="CS185" s="568"/>
      <c r="CT185" s="568"/>
      <c r="CU185" s="568"/>
      <c r="CV185" s="568"/>
      <c r="CW185" s="568"/>
      <c r="CX185" s="568"/>
      <c r="CY185" s="568"/>
      <c r="CZ185" s="568"/>
      <c r="DA185" s="568"/>
      <c r="DB185" s="568"/>
      <c r="DC185" s="568"/>
      <c r="DD185" s="568"/>
      <c r="DE185" s="568"/>
      <c r="DF185" s="568"/>
      <c r="DG185" s="568"/>
      <c r="DH185" s="568"/>
      <c r="DI185" s="568"/>
      <c r="DJ185" s="568"/>
      <c r="DK185" s="568"/>
      <c r="DL185" s="568"/>
      <c r="DM185" s="568"/>
      <c r="DN185" s="568"/>
      <c r="DO185" s="568"/>
      <c r="DP185" s="568"/>
      <c r="DQ185" s="568"/>
      <c r="DR185" s="568"/>
      <c r="DS185" s="568"/>
      <c r="DT185" s="568"/>
      <c r="DU185" s="568"/>
      <c r="DV185" s="568"/>
      <c r="DW185" s="568"/>
      <c r="DX185" s="568"/>
      <c r="DY185" s="568"/>
      <c r="DZ185" s="568"/>
      <c r="EA185" s="568"/>
      <c r="EB185" s="568"/>
      <c r="EC185" s="568"/>
      <c r="ED185" s="568"/>
      <c r="EE185" s="568"/>
      <c r="EF185" s="568"/>
      <c r="EG185" s="568"/>
      <c r="EH185" s="568"/>
      <c r="EI185" s="568"/>
      <c r="EJ185" s="568"/>
      <c r="EK185" s="568"/>
      <c r="EL185" s="568"/>
      <c r="EM185" s="568"/>
      <c r="EN185" s="568"/>
      <c r="EO185" s="568"/>
      <c r="EP185" s="568"/>
      <c r="EQ185" s="568"/>
      <c r="ER185" s="568"/>
      <c r="ES185" s="568"/>
      <c r="ET185" s="568"/>
      <c r="EU185" s="568"/>
      <c r="EV185" s="568"/>
      <c r="EW185" s="568"/>
      <c r="EX185" s="568"/>
      <c r="EY185" s="568"/>
      <c r="EZ185" s="568"/>
      <c r="FA185" s="568"/>
      <c r="FB185" s="568"/>
      <c r="FC185" s="568"/>
      <c r="FD185" s="568"/>
      <c r="FE185" s="568"/>
      <c r="FF185" s="568"/>
      <c r="FG185" s="568"/>
      <c r="FH185" s="568"/>
      <c r="FI185" s="568"/>
      <c r="FJ185" s="568"/>
      <c r="FK185" s="568"/>
      <c r="FL185" s="568"/>
      <c r="FM185" s="568"/>
      <c r="FN185" s="568"/>
      <c r="FO185" s="568"/>
      <c r="FP185" s="568"/>
      <c r="FQ185" s="568"/>
      <c r="FR185" s="568"/>
      <c r="FS185" s="568"/>
      <c r="FT185" s="568"/>
      <c r="FU185" s="568"/>
      <c r="FV185" s="568"/>
      <c r="FW185" s="568"/>
      <c r="FX185" s="568"/>
      <c r="FY185" s="568"/>
      <c r="FZ185" s="568"/>
      <c r="GA185" s="568"/>
      <c r="GB185" s="568"/>
      <c r="GC185" s="568"/>
      <c r="GD185" s="568"/>
      <c r="GE185" s="568"/>
      <c r="GF185" s="568"/>
      <c r="GG185" s="568"/>
      <c r="GH185" s="568"/>
      <c r="GI185" s="568"/>
      <c r="GJ185" s="568"/>
      <c r="GK185" s="568"/>
      <c r="GL185" s="568"/>
      <c r="GM185" s="568"/>
      <c r="GN185" s="568"/>
      <c r="GO185" s="568"/>
      <c r="GP185" s="568"/>
      <c r="GQ185" s="568"/>
      <c r="GR185" s="568"/>
      <c r="GS185" s="568"/>
      <c r="GT185" s="568"/>
      <c r="GU185" s="568"/>
      <c r="GV185" s="568"/>
      <c r="GW185" s="568"/>
      <c r="GX185" s="568"/>
      <c r="GY185" s="568"/>
      <c r="GZ185" s="568"/>
      <c r="HA185" s="568"/>
      <c r="HB185" s="568"/>
      <c r="HC185" s="568"/>
      <c r="HD185" s="568"/>
      <c r="HE185" s="568"/>
      <c r="HF185" s="568"/>
      <c r="HG185" s="568"/>
      <c r="HH185" s="568"/>
      <c r="HI185" s="568"/>
      <c r="HJ185" s="568"/>
      <c r="HK185" s="568"/>
      <c r="HL185" s="568"/>
      <c r="HM185" s="568"/>
      <c r="HN185" s="568"/>
      <c r="HO185" s="568"/>
      <c r="HP185" s="568"/>
      <c r="HQ185" s="568"/>
      <c r="HR185" s="568"/>
      <c r="HS185" s="568"/>
      <c r="HT185" s="568"/>
      <c r="HU185" s="568"/>
      <c r="HV185" s="568"/>
      <c r="HW185" s="568"/>
      <c r="HX185" s="568"/>
      <c r="HY185" s="568"/>
      <c r="HZ185" s="568"/>
      <c r="IA185" s="568"/>
      <c r="IB185" s="568"/>
      <c r="IC185" s="568"/>
      <c r="ID185" s="568"/>
      <c r="IE185" s="568"/>
      <c r="IF185" s="568"/>
      <c r="IG185" s="568"/>
      <c r="IH185" s="568"/>
      <c r="II185" s="568"/>
      <c r="IJ185" s="568"/>
      <c r="IK185" s="568"/>
      <c r="IL185" s="568"/>
      <c r="IM185" s="568"/>
      <c r="IN185" s="568"/>
      <c r="IO185" s="568"/>
      <c r="IP185" s="568"/>
      <c r="IQ185" s="568"/>
      <c r="IR185" s="568"/>
      <c r="IS185" s="568"/>
      <c r="IT185" s="568"/>
      <c r="IU185" s="568"/>
    </row>
    <row r="186" spans="1:255" ht="18" customHeight="1">
      <c r="A186" s="554"/>
      <c r="B186" s="562"/>
      <c r="C186" s="1150"/>
      <c r="D186" s="1150"/>
      <c r="E186" s="1150"/>
      <c r="F186" s="1150"/>
      <c r="G186" s="1150"/>
      <c r="H186" s="1150"/>
      <c r="I186" s="1150"/>
      <c r="J186" s="1143"/>
      <c r="K186" s="1143"/>
      <c r="L186" s="1143"/>
      <c r="M186" s="562"/>
      <c r="N186" s="562"/>
      <c r="O186" s="562"/>
      <c r="P186" s="562"/>
      <c r="Q186" s="561"/>
      <c r="R186" s="561"/>
      <c r="S186" s="561"/>
      <c r="T186" s="561"/>
      <c r="U186" s="561"/>
      <c r="V186" s="561"/>
      <c r="W186" s="561"/>
      <c r="X186" s="561"/>
      <c r="Y186" s="561"/>
      <c r="Z186" s="561"/>
      <c r="AA186" s="561"/>
      <c r="AB186" s="561"/>
      <c r="AC186" s="561"/>
      <c r="AD186" s="561"/>
      <c r="AE186" s="561"/>
      <c r="AF186" s="561"/>
      <c r="AG186" s="561"/>
      <c r="AH186" s="567"/>
      <c r="AI186" s="567"/>
      <c r="AJ186" s="567"/>
      <c r="AK186" s="567"/>
      <c r="AL186" s="567"/>
      <c r="AM186" s="567"/>
      <c r="AN186" s="567"/>
      <c r="AO186" s="567"/>
      <c r="AP186" s="567"/>
      <c r="AQ186" s="567"/>
      <c r="AR186" s="567"/>
      <c r="AS186" s="567"/>
      <c r="AT186" s="567"/>
      <c r="AU186" s="567"/>
      <c r="AV186" s="567"/>
      <c r="AW186" s="567"/>
      <c r="AX186" s="567"/>
      <c r="AY186" s="567"/>
      <c r="AZ186" s="567"/>
      <c r="BA186" s="567"/>
      <c r="BB186" s="567"/>
      <c r="BC186" s="567"/>
      <c r="BD186" s="568"/>
      <c r="BE186" s="568"/>
      <c r="BF186" s="568"/>
      <c r="BG186" s="568"/>
      <c r="BH186" s="568"/>
      <c r="BI186" s="568"/>
      <c r="BJ186" s="568"/>
      <c r="BK186" s="568"/>
      <c r="BL186" s="568"/>
      <c r="BM186" s="568"/>
      <c r="BN186" s="568"/>
      <c r="BO186" s="568"/>
      <c r="BP186" s="568"/>
      <c r="BQ186" s="568"/>
      <c r="BR186" s="568"/>
      <c r="BS186" s="568"/>
      <c r="BT186" s="568"/>
      <c r="BU186" s="568"/>
      <c r="BV186" s="568"/>
      <c r="BW186" s="568"/>
      <c r="BX186" s="568"/>
      <c r="BY186" s="568"/>
      <c r="BZ186" s="568"/>
      <c r="CA186" s="568"/>
      <c r="CB186" s="568"/>
      <c r="CC186" s="568"/>
      <c r="CD186" s="568"/>
      <c r="CE186" s="568"/>
      <c r="CF186" s="568"/>
      <c r="CG186" s="568"/>
      <c r="CH186" s="568"/>
      <c r="CI186" s="568"/>
      <c r="CJ186" s="568"/>
      <c r="CK186" s="568"/>
      <c r="CL186" s="568"/>
      <c r="CM186" s="568"/>
      <c r="CN186" s="568"/>
      <c r="CO186" s="568"/>
      <c r="CP186" s="568"/>
      <c r="CQ186" s="568"/>
      <c r="CR186" s="568"/>
      <c r="CS186" s="568"/>
      <c r="CT186" s="568"/>
      <c r="CU186" s="568"/>
      <c r="CV186" s="568"/>
      <c r="CW186" s="568"/>
      <c r="CX186" s="568"/>
      <c r="CY186" s="568"/>
      <c r="CZ186" s="568"/>
      <c r="DA186" s="568"/>
      <c r="DB186" s="568"/>
      <c r="DC186" s="568"/>
      <c r="DD186" s="568"/>
      <c r="DE186" s="568"/>
      <c r="DF186" s="568"/>
      <c r="DG186" s="568"/>
      <c r="DH186" s="568"/>
      <c r="DI186" s="568"/>
      <c r="DJ186" s="568"/>
      <c r="DK186" s="568"/>
      <c r="DL186" s="568"/>
      <c r="DM186" s="568"/>
      <c r="DN186" s="568"/>
      <c r="DO186" s="568"/>
      <c r="DP186" s="568"/>
      <c r="DQ186" s="568"/>
      <c r="DR186" s="568"/>
      <c r="DS186" s="568"/>
      <c r="DT186" s="568"/>
      <c r="DU186" s="568"/>
      <c r="DV186" s="568"/>
      <c r="DW186" s="568"/>
      <c r="DX186" s="568"/>
      <c r="DY186" s="568"/>
      <c r="DZ186" s="568"/>
      <c r="EA186" s="568"/>
      <c r="EB186" s="568"/>
      <c r="EC186" s="568"/>
      <c r="ED186" s="568"/>
      <c r="EE186" s="568"/>
      <c r="EF186" s="568"/>
      <c r="EG186" s="568"/>
      <c r="EH186" s="568"/>
      <c r="EI186" s="568"/>
      <c r="EJ186" s="568"/>
      <c r="EK186" s="568"/>
      <c r="EL186" s="568"/>
      <c r="EM186" s="568"/>
      <c r="EN186" s="568"/>
      <c r="EO186" s="568"/>
      <c r="EP186" s="568"/>
      <c r="EQ186" s="568"/>
      <c r="ER186" s="568"/>
      <c r="ES186" s="568"/>
      <c r="ET186" s="568"/>
      <c r="EU186" s="568"/>
      <c r="EV186" s="568"/>
      <c r="EW186" s="568"/>
      <c r="EX186" s="568"/>
      <c r="EY186" s="568"/>
      <c r="EZ186" s="568"/>
      <c r="FA186" s="568"/>
      <c r="FB186" s="568"/>
      <c r="FC186" s="568"/>
      <c r="FD186" s="568"/>
      <c r="FE186" s="568"/>
      <c r="FF186" s="568"/>
      <c r="FG186" s="568"/>
      <c r="FH186" s="568"/>
      <c r="FI186" s="568"/>
      <c r="FJ186" s="568"/>
      <c r="FK186" s="568"/>
      <c r="FL186" s="568"/>
      <c r="FM186" s="568"/>
      <c r="FN186" s="568"/>
      <c r="FO186" s="568"/>
      <c r="FP186" s="568"/>
      <c r="FQ186" s="568"/>
      <c r="FR186" s="568"/>
      <c r="FS186" s="568"/>
      <c r="FT186" s="568"/>
      <c r="FU186" s="568"/>
      <c r="FV186" s="568"/>
      <c r="FW186" s="568"/>
      <c r="FX186" s="568"/>
      <c r="FY186" s="568"/>
      <c r="FZ186" s="568"/>
      <c r="GA186" s="568"/>
      <c r="GB186" s="568"/>
      <c r="GC186" s="568"/>
      <c r="GD186" s="568"/>
      <c r="GE186" s="568"/>
      <c r="GF186" s="568"/>
      <c r="GG186" s="568"/>
      <c r="GH186" s="568"/>
      <c r="GI186" s="568"/>
      <c r="GJ186" s="568"/>
      <c r="GK186" s="568"/>
      <c r="GL186" s="568"/>
      <c r="GM186" s="568"/>
      <c r="GN186" s="568"/>
      <c r="GO186" s="568"/>
      <c r="GP186" s="568"/>
      <c r="GQ186" s="568"/>
      <c r="GR186" s="568"/>
      <c r="GS186" s="568"/>
      <c r="GT186" s="568"/>
      <c r="GU186" s="568"/>
      <c r="GV186" s="568"/>
      <c r="GW186" s="568"/>
      <c r="GX186" s="568"/>
      <c r="GY186" s="568"/>
      <c r="GZ186" s="568"/>
      <c r="HA186" s="568"/>
      <c r="HB186" s="568"/>
      <c r="HC186" s="568"/>
      <c r="HD186" s="568"/>
      <c r="HE186" s="568"/>
      <c r="HF186" s="568"/>
      <c r="HG186" s="568"/>
      <c r="HH186" s="568"/>
      <c r="HI186" s="568"/>
      <c r="HJ186" s="568"/>
      <c r="HK186" s="568"/>
      <c r="HL186" s="568"/>
      <c r="HM186" s="568"/>
      <c r="HN186" s="568"/>
      <c r="HO186" s="568"/>
      <c r="HP186" s="568"/>
      <c r="HQ186" s="568"/>
      <c r="HR186" s="568"/>
      <c r="HS186" s="568"/>
      <c r="HT186" s="568"/>
      <c r="HU186" s="568"/>
      <c r="HV186" s="568"/>
      <c r="HW186" s="568"/>
      <c r="HX186" s="568"/>
      <c r="HY186" s="568"/>
      <c r="HZ186" s="568"/>
      <c r="IA186" s="568"/>
      <c r="IB186" s="568"/>
      <c r="IC186" s="568"/>
      <c r="ID186" s="568"/>
      <c r="IE186" s="568"/>
      <c r="IF186" s="568"/>
      <c r="IG186" s="568"/>
      <c r="IH186" s="568"/>
      <c r="II186" s="568"/>
      <c r="IJ186" s="568"/>
      <c r="IK186" s="568"/>
      <c r="IL186" s="568"/>
      <c r="IM186" s="568"/>
      <c r="IN186" s="568"/>
      <c r="IO186" s="568"/>
      <c r="IP186" s="568"/>
      <c r="IQ186" s="568"/>
      <c r="IR186" s="568"/>
      <c r="IS186" s="568"/>
      <c r="IT186" s="568"/>
      <c r="IU186" s="568"/>
    </row>
    <row r="187" spans="1:255" ht="18" customHeight="1">
      <c r="A187" s="554"/>
      <c r="B187" s="562"/>
      <c r="C187" s="1150"/>
      <c r="D187" s="1150"/>
      <c r="E187" s="1150"/>
      <c r="F187" s="1150"/>
      <c r="G187" s="1150"/>
      <c r="H187" s="1150"/>
      <c r="I187" s="1150"/>
      <c r="J187" s="1143"/>
      <c r="K187" s="1143"/>
      <c r="L187" s="1143"/>
      <c r="M187" s="562"/>
      <c r="N187" s="562"/>
      <c r="O187" s="562"/>
      <c r="P187" s="562"/>
      <c r="Q187" s="561"/>
      <c r="R187" s="561"/>
      <c r="S187" s="561"/>
      <c r="T187" s="561"/>
      <c r="U187" s="561"/>
      <c r="V187" s="561"/>
      <c r="W187" s="561"/>
      <c r="X187" s="561"/>
      <c r="Y187" s="561"/>
      <c r="Z187" s="561"/>
      <c r="AA187" s="561"/>
      <c r="AB187" s="561"/>
      <c r="AC187" s="561"/>
      <c r="AD187" s="561"/>
      <c r="AE187" s="561"/>
      <c r="AF187" s="561"/>
      <c r="AG187" s="561"/>
      <c r="AH187" s="567"/>
      <c r="AI187" s="567"/>
      <c r="AJ187" s="567"/>
      <c r="AK187" s="567"/>
      <c r="AL187" s="567"/>
      <c r="AM187" s="567"/>
      <c r="AN187" s="567"/>
      <c r="AO187" s="567"/>
      <c r="AP187" s="567"/>
      <c r="AQ187" s="567"/>
      <c r="AR187" s="567"/>
      <c r="AS187" s="567"/>
      <c r="AT187" s="567"/>
      <c r="AU187" s="567"/>
      <c r="AV187" s="567"/>
      <c r="AW187" s="567"/>
      <c r="AX187" s="567"/>
      <c r="AY187" s="567"/>
      <c r="AZ187" s="567"/>
      <c r="BA187" s="567"/>
      <c r="BB187" s="567"/>
      <c r="BC187" s="567"/>
      <c r="BD187" s="568"/>
      <c r="BE187" s="568"/>
      <c r="BF187" s="568"/>
      <c r="BG187" s="568"/>
      <c r="BH187" s="568"/>
      <c r="BI187" s="568"/>
      <c r="BJ187" s="568"/>
      <c r="BK187" s="568"/>
      <c r="BL187" s="568"/>
      <c r="BM187" s="568"/>
      <c r="BN187" s="568"/>
      <c r="BO187" s="568"/>
      <c r="BP187" s="568"/>
      <c r="BQ187" s="568"/>
      <c r="BR187" s="568"/>
      <c r="BS187" s="568"/>
      <c r="BT187" s="568"/>
      <c r="BU187" s="568"/>
      <c r="BV187" s="568"/>
      <c r="BW187" s="568"/>
      <c r="BX187" s="568"/>
      <c r="BY187" s="568"/>
      <c r="BZ187" s="568"/>
      <c r="CA187" s="568"/>
      <c r="CB187" s="568"/>
      <c r="CC187" s="568"/>
      <c r="CD187" s="568"/>
      <c r="CE187" s="568"/>
      <c r="CF187" s="568"/>
      <c r="CG187" s="568"/>
      <c r="CH187" s="568"/>
      <c r="CI187" s="568"/>
      <c r="CJ187" s="568"/>
      <c r="CK187" s="568"/>
      <c r="CL187" s="568"/>
      <c r="CM187" s="568"/>
      <c r="CN187" s="568"/>
      <c r="CO187" s="568"/>
      <c r="CP187" s="568"/>
      <c r="CQ187" s="568"/>
      <c r="CR187" s="568"/>
      <c r="CS187" s="568"/>
      <c r="CT187" s="568"/>
      <c r="CU187" s="568"/>
      <c r="CV187" s="568"/>
      <c r="CW187" s="568"/>
      <c r="CX187" s="568"/>
      <c r="CY187" s="568"/>
      <c r="CZ187" s="568"/>
      <c r="DA187" s="568"/>
      <c r="DB187" s="568"/>
      <c r="DC187" s="568"/>
      <c r="DD187" s="568"/>
      <c r="DE187" s="568"/>
      <c r="DF187" s="568"/>
      <c r="DG187" s="568"/>
      <c r="DH187" s="568"/>
      <c r="DI187" s="568"/>
      <c r="DJ187" s="568"/>
      <c r="DK187" s="568"/>
      <c r="DL187" s="568"/>
      <c r="DM187" s="568"/>
      <c r="DN187" s="568"/>
      <c r="DO187" s="568"/>
      <c r="DP187" s="568"/>
      <c r="DQ187" s="568"/>
      <c r="DR187" s="568"/>
      <c r="DS187" s="568"/>
      <c r="DT187" s="568"/>
      <c r="DU187" s="568"/>
      <c r="DV187" s="568"/>
      <c r="DW187" s="568"/>
      <c r="DX187" s="568"/>
      <c r="DY187" s="568"/>
      <c r="DZ187" s="568"/>
      <c r="EA187" s="568"/>
      <c r="EB187" s="568"/>
      <c r="EC187" s="568"/>
      <c r="ED187" s="568"/>
      <c r="EE187" s="568"/>
      <c r="EF187" s="568"/>
      <c r="EG187" s="568"/>
      <c r="EH187" s="568"/>
      <c r="EI187" s="568"/>
      <c r="EJ187" s="568"/>
      <c r="EK187" s="568"/>
      <c r="EL187" s="568"/>
      <c r="EM187" s="568"/>
      <c r="EN187" s="568"/>
      <c r="EO187" s="568"/>
      <c r="EP187" s="568"/>
      <c r="EQ187" s="568"/>
      <c r="ER187" s="568"/>
      <c r="ES187" s="568"/>
      <c r="ET187" s="568"/>
      <c r="EU187" s="568"/>
      <c r="EV187" s="568"/>
      <c r="EW187" s="568"/>
      <c r="EX187" s="568"/>
      <c r="EY187" s="568"/>
      <c r="EZ187" s="568"/>
      <c r="FA187" s="568"/>
      <c r="FB187" s="568"/>
      <c r="FC187" s="568"/>
      <c r="FD187" s="568"/>
      <c r="FE187" s="568"/>
      <c r="FF187" s="568"/>
      <c r="FG187" s="568"/>
      <c r="FH187" s="568"/>
      <c r="FI187" s="568"/>
      <c r="FJ187" s="568"/>
      <c r="FK187" s="568"/>
      <c r="FL187" s="568"/>
      <c r="FM187" s="568"/>
      <c r="FN187" s="568"/>
      <c r="FO187" s="568"/>
      <c r="FP187" s="568"/>
      <c r="FQ187" s="568"/>
      <c r="FR187" s="568"/>
      <c r="FS187" s="568"/>
      <c r="FT187" s="568"/>
      <c r="FU187" s="568"/>
      <c r="FV187" s="568"/>
      <c r="FW187" s="568"/>
      <c r="FX187" s="568"/>
      <c r="FY187" s="568"/>
      <c r="FZ187" s="568"/>
      <c r="GA187" s="568"/>
      <c r="GB187" s="568"/>
      <c r="GC187" s="568"/>
      <c r="GD187" s="568"/>
      <c r="GE187" s="568"/>
      <c r="GF187" s="568"/>
      <c r="GG187" s="568"/>
      <c r="GH187" s="568"/>
      <c r="GI187" s="568"/>
      <c r="GJ187" s="568"/>
      <c r="GK187" s="568"/>
      <c r="GL187" s="568"/>
      <c r="GM187" s="568"/>
      <c r="GN187" s="568"/>
      <c r="GO187" s="568"/>
      <c r="GP187" s="568"/>
      <c r="GQ187" s="568"/>
      <c r="GR187" s="568"/>
      <c r="GS187" s="568"/>
      <c r="GT187" s="568"/>
      <c r="GU187" s="568"/>
      <c r="GV187" s="568"/>
      <c r="GW187" s="568"/>
      <c r="GX187" s="568"/>
      <c r="GY187" s="568"/>
      <c r="GZ187" s="568"/>
      <c r="HA187" s="568"/>
      <c r="HB187" s="568"/>
      <c r="HC187" s="568"/>
      <c r="HD187" s="568"/>
      <c r="HE187" s="568"/>
      <c r="HF187" s="568"/>
      <c r="HG187" s="568"/>
      <c r="HH187" s="568"/>
      <c r="HI187" s="568"/>
      <c r="HJ187" s="568"/>
      <c r="HK187" s="568"/>
      <c r="HL187" s="568"/>
      <c r="HM187" s="568"/>
      <c r="HN187" s="568"/>
      <c r="HO187" s="568"/>
      <c r="HP187" s="568"/>
      <c r="HQ187" s="568"/>
      <c r="HR187" s="568"/>
      <c r="HS187" s="568"/>
      <c r="HT187" s="568"/>
      <c r="HU187" s="568"/>
      <c r="HV187" s="568"/>
      <c r="HW187" s="568"/>
      <c r="HX187" s="568"/>
      <c r="HY187" s="568"/>
      <c r="HZ187" s="568"/>
      <c r="IA187" s="568"/>
      <c r="IB187" s="568"/>
      <c r="IC187" s="568"/>
      <c r="ID187" s="568"/>
      <c r="IE187" s="568"/>
      <c r="IF187" s="568"/>
      <c r="IG187" s="568"/>
      <c r="IH187" s="568"/>
      <c r="II187" s="568"/>
      <c r="IJ187" s="568"/>
      <c r="IK187" s="568"/>
      <c r="IL187" s="568"/>
      <c r="IM187" s="568"/>
      <c r="IN187" s="568"/>
      <c r="IO187" s="568"/>
      <c r="IP187" s="568"/>
      <c r="IQ187" s="568"/>
      <c r="IR187" s="568"/>
      <c r="IS187" s="568"/>
      <c r="IT187" s="568"/>
      <c r="IU187" s="568"/>
    </row>
    <row r="188" spans="1:255" s="568" customFormat="1" ht="18" customHeight="1">
      <c r="A188" s="554"/>
      <c r="B188" s="561"/>
      <c r="C188" s="1142"/>
      <c r="D188" s="1142"/>
      <c r="E188" s="1142"/>
      <c r="F188" s="1142"/>
      <c r="G188" s="1142"/>
      <c r="H188" s="1142"/>
      <c r="I188" s="1142"/>
      <c r="J188" s="1142"/>
      <c r="K188" s="1142"/>
      <c r="L188" s="1142"/>
      <c r="M188" s="561"/>
      <c r="N188" s="561"/>
      <c r="O188" s="561"/>
      <c r="P188" s="561"/>
      <c r="Q188" s="561"/>
      <c r="R188" s="561"/>
      <c r="S188" s="561"/>
      <c r="T188" s="561"/>
      <c r="U188" s="561"/>
      <c r="V188" s="561"/>
      <c r="W188" s="561"/>
      <c r="X188" s="561"/>
      <c r="Y188" s="561"/>
      <c r="Z188" s="561"/>
      <c r="AA188" s="561"/>
      <c r="AB188" s="561"/>
      <c r="AC188" s="561"/>
      <c r="AD188" s="561"/>
      <c r="AE188" s="561"/>
      <c r="AF188" s="561"/>
      <c r="AG188" s="561"/>
      <c r="AH188" s="567"/>
      <c r="AI188" s="567"/>
      <c r="AJ188" s="567"/>
      <c r="AK188" s="567"/>
      <c r="AL188" s="567"/>
      <c r="AM188" s="567"/>
      <c r="AN188" s="567"/>
      <c r="AO188" s="567"/>
      <c r="AP188" s="567"/>
      <c r="AQ188" s="567"/>
      <c r="AR188" s="567"/>
      <c r="AS188" s="567"/>
      <c r="AT188" s="567"/>
      <c r="AU188" s="567"/>
      <c r="AV188" s="567"/>
      <c r="AW188" s="567"/>
      <c r="AX188" s="567"/>
      <c r="AY188" s="567"/>
      <c r="AZ188" s="567"/>
      <c r="BA188" s="567"/>
      <c r="BB188" s="567"/>
      <c r="BC188" s="567"/>
    </row>
    <row r="189" spans="1:255" s="554" customFormat="1" ht="18" customHeight="1">
      <c r="B189" s="561"/>
      <c r="C189" s="1142"/>
      <c r="D189" s="1142"/>
      <c r="E189" s="1142"/>
      <c r="F189" s="1142"/>
      <c r="G189" s="1142"/>
      <c r="H189" s="1142"/>
      <c r="I189" s="1142"/>
      <c r="J189" s="1142"/>
      <c r="K189" s="1142"/>
      <c r="L189" s="1142"/>
      <c r="M189" s="561"/>
      <c r="N189" s="561"/>
      <c r="O189" s="561"/>
      <c r="P189" s="561"/>
      <c r="Q189" s="578"/>
      <c r="R189" s="578"/>
      <c r="S189" s="578"/>
      <c r="T189" s="561"/>
      <c r="U189" s="578"/>
      <c r="V189" s="578"/>
      <c r="W189" s="578"/>
      <c r="X189" s="578"/>
      <c r="Y189" s="578"/>
      <c r="Z189" s="578"/>
      <c r="AA189" s="578"/>
      <c r="AB189" s="578"/>
      <c r="AC189" s="578"/>
      <c r="AD189" s="578"/>
      <c r="AE189" s="578"/>
      <c r="AF189" s="578"/>
      <c r="AG189" s="578"/>
      <c r="AH189" s="548"/>
      <c r="AI189" s="548"/>
      <c r="AJ189" s="548"/>
      <c r="AK189" s="548"/>
      <c r="AL189" s="548"/>
      <c r="AM189" s="548"/>
      <c r="AN189" s="548"/>
      <c r="AO189" s="548"/>
      <c r="AP189" s="548"/>
      <c r="AQ189" s="548"/>
      <c r="AR189" s="548"/>
      <c r="AS189" s="548"/>
      <c r="AT189" s="548"/>
      <c r="AU189" s="548"/>
      <c r="AV189" s="548"/>
      <c r="AW189" s="548"/>
      <c r="AX189" s="548"/>
      <c r="AY189" s="548"/>
      <c r="AZ189" s="548"/>
      <c r="BA189" s="548"/>
      <c r="BB189" s="548"/>
      <c r="BC189" s="548"/>
      <c r="BD189" s="569"/>
      <c r="BE189" s="569"/>
      <c r="BF189" s="569"/>
      <c r="BG189" s="569"/>
      <c r="BH189" s="569"/>
      <c r="BI189" s="569"/>
      <c r="BJ189" s="569"/>
      <c r="BK189" s="569"/>
      <c r="BL189" s="569"/>
      <c r="BM189" s="569"/>
      <c r="BN189" s="569"/>
      <c r="BO189" s="569"/>
      <c r="BP189" s="569"/>
      <c r="BQ189" s="569"/>
      <c r="BR189" s="569"/>
      <c r="BS189" s="569"/>
      <c r="BT189" s="569"/>
      <c r="BU189" s="569"/>
      <c r="BV189" s="569"/>
      <c r="BW189" s="569"/>
      <c r="BX189" s="569"/>
      <c r="BY189" s="569"/>
      <c r="BZ189" s="569"/>
      <c r="CA189" s="569"/>
      <c r="CB189" s="569"/>
      <c r="CC189" s="569"/>
      <c r="CD189" s="569"/>
      <c r="CE189" s="569"/>
      <c r="CF189" s="569"/>
      <c r="CG189" s="569"/>
      <c r="CH189" s="569"/>
      <c r="CI189" s="569"/>
      <c r="CJ189" s="569"/>
      <c r="CK189" s="569"/>
      <c r="CL189" s="569"/>
      <c r="CM189" s="569"/>
      <c r="CN189" s="569"/>
      <c r="CO189" s="569"/>
      <c r="CP189" s="569"/>
      <c r="CQ189" s="569"/>
      <c r="CR189" s="569"/>
      <c r="CS189" s="569"/>
      <c r="CT189" s="569"/>
      <c r="CU189" s="569"/>
      <c r="CV189" s="569"/>
      <c r="CW189" s="569"/>
      <c r="CX189" s="569"/>
      <c r="CY189" s="569"/>
      <c r="CZ189" s="569"/>
      <c r="DA189" s="569"/>
      <c r="DB189" s="569"/>
      <c r="DC189" s="569"/>
      <c r="DD189" s="569"/>
      <c r="DE189" s="569"/>
      <c r="DF189" s="569"/>
      <c r="DG189" s="569"/>
      <c r="DH189" s="569"/>
      <c r="DI189" s="569"/>
      <c r="DJ189" s="569"/>
      <c r="DK189" s="569"/>
      <c r="DL189" s="569"/>
      <c r="DM189" s="569"/>
      <c r="DN189" s="569"/>
      <c r="DO189" s="569"/>
      <c r="DP189" s="569"/>
      <c r="DQ189" s="569"/>
      <c r="DR189" s="569"/>
      <c r="DS189" s="569"/>
      <c r="DT189" s="569"/>
      <c r="DU189" s="569"/>
      <c r="DV189" s="569"/>
      <c r="DW189" s="569"/>
      <c r="DX189" s="569"/>
      <c r="DY189" s="569"/>
      <c r="DZ189" s="569"/>
      <c r="EA189" s="569"/>
      <c r="EB189" s="569"/>
      <c r="EC189" s="569"/>
      <c r="ED189" s="569"/>
      <c r="EE189" s="569"/>
      <c r="EF189" s="569"/>
      <c r="EG189" s="569"/>
      <c r="EH189" s="569"/>
      <c r="EI189" s="569"/>
      <c r="EJ189" s="569"/>
      <c r="EK189" s="569"/>
      <c r="EL189" s="569"/>
      <c r="EM189" s="569"/>
      <c r="EN189" s="569"/>
      <c r="EO189" s="569"/>
      <c r="EP189" s="569"/>
      <c r="EQ189" s="569"/>
      <c r="ER189" s="569"/>
      <c r="ES189" s="569"/>
      <c r="ET189" s="569"/>
      <c r="EU189" s="569"/>
      <c r="EV189" s="569"/>
      <c r="EW189" s="569"/>
      <c r="EX189" s="569"/>
      <c r="EY189" s="569"/>
      <c r="EZ189" s="569"/>
      <c r="FA189" s="569"/>
      <c r="FB189" s="569"/>
      <c r="FC189" s="569"/>
      <c r="FD189" s="569"/>
      <c r="FE189" s="569"/>
      <c r="FF189" s="569"/>
      <c r="FG189" s="569"/>
      <c r="FH189" s="569"/>
      <c r="FI189" s="569"/>
      <c r="FJ189" s="569"/>
      <c r="FK189" s="569"/>
      <c r="FL189" s="569"/>
      <c r="FM189" s="569"/>
      <c r="FN189" s="569"/>
      <c r="FO189" s="569"/>
      <c r="FP189" s="569"/>
      <c r="FQ189" s="569"/>
      <c r="FR189" s="569"/>
      <c r="FS189" s="569"/>
      <c r="FT189" s="569"/>
      <c r="FU189" s="569"/>
      <c r="FV189" s="569"/>
      <c r="FW189" s="569"/>
      <c r="FX189" s="569"/>
      <c r="FY189" s="569"/>
      <c r="FZ189" s="569"/>
      <c r="GA189" s="569"/>
      <c r="GB189" s="569"/>
      <c r="GC189" s="569"/>
      <c r="GD189" s="569"/>
      <c r="GE189" s="569"/>
      <c r="GF189" s="569"/>
      <c r="GG189" s="569"/>
      <c r="GH189" s="569"/>
      <c r="GI189" s="569"/>
      <c r="GJ189" s="569"/>
      <c r="GK189" s="569"/>
      <c r="GL189" s="569"/>
      <c r="GM189" s="569"/>
      <c r="GN189" s="569"/>
      <c r="GO189" s="569"/>
      <c r="GP189" s="569"/>
      <c r="GQ189" s="569"/>
      <c r="GR189" s="569"/>
      <c r="GS189" s="569"/>
      <c r="GT189" s="569"/>
    </row>
    <row r="190" spans="1:255" s="554" customFormat="1" ht="18" customHeight="1">
      <c r="B190" s="561"/>
      <c r="C190" s="1142"/>
      <c r="D190" s="1142"/>
      <c r="E190" s="1142"/>
      <c r="F190" s="1142"/>
      <c r="G190" s="1142"/>
      <c r="H190" s="1142"/>
      <c r="I190" s="1142"/>
      <c r="J190" s="1142"/>
      <c r="K190" s="1142"/>
      <c r="L190" s="1142"/>
      <c r="M190" s="561"/>
      <c r="N190" s="561"/>
      <c r="O190" s="561"/>
      <c r="P190" s="561"/>
      <c r="Q190" s="578"/>
      <c r="R190" s="578"/>
      <c r="S190" s="578"/>
      <c r="T190" s="561"/>
      <c r="U190" s="578"/>
      <c r="V190" s="578"/>
      <c r="W190" s="578"/>
      <c r="X190" s="578"/>
      <c r="Y190" s="578"/>
      <c r="Z190" s="578"/>
      <c r="AA190" s="578"/>
      <c r="AB190" s="578"/>
      <c r="AC190" s="578"/>
      <c r="AD190" s="578"/>
      <c r="AE190" s="578"/>
      <c r="AF190" s="578"/>
      <c r="AG190" s="578"/>
      <c r="AH190" s="548"/>
      <c r="AI190" s="548"/>
      <c r="AJ190" s="548"/>
      <c r="AK190" s="548"/>
      <c r="AL190" s="548"/>
      <c r="AM190" s="548"/>
      <c r="AN190" s="548"/>
      <c r="AO190" s="548"/>
      <c r="AP190" s="548"/>
      <c r="AQ190" s="548"/>
      <c r="AR190" s="548"/>
      <c r="AS190" s="548"/>
      <c r="AT190" s="548"/>
      <c r="AU190" s="548"/>
      <c r="AV190" s="548"/>
      <c r="AW190" s="548"/>
      <c r="AX190" s="548"/>
      <c r="AY190" s="548"/>
      <c r="AZ190" s="548"/>
      <c r="BA190" s="548"/>
      <c r="BB190" s="548"/>
      <c r="BC190" s="548"/>
      <c r="BD190" s="569"/>
      <c r="BE190" s="569"/>
      <c r="BF190" s="569"/>
      <c r="BG190" s="569"/>
      <c r="BH190" s="569"/>
      <c r="BI190" s="569"/>
      <c r="BJ190" s="569"/>
      <c r="BK190" s="569"/>
      <c r="BL190" s="569"/>
      <c r="BM190" s="569"/>
      <c r="BN190" s="569"/>
      <c r="BO190" s="569"/>
      <c r="BP190" s="569"/>
      <c r="BQ190" s="569"/>
      <c r="BR190" s="569"/>
      <c r="BS190" s="569"/>
      <c r="BT190" s="569"/>
      <c r="BU190" s="569"/>
      <c r="BV190" s="569"/>
      <c r="BW190" s="569"/>
      <c r="BX190" s="569"/>
      <c r="BY190" s="569"/>
      <c r="BZ190" s="569"/>
      <c r="CA190" s="569"/>
      <c r="CB190" s="569"/>
      <c r="CC190" s="569"/>
      <c r="CD190" s="569"/>
      <c r="CE190" s="569"/>
      <c r="CF190" s="569"/>
      <c r="CG190" s="569"/>
      <c r="CH190" s="569"/>
      <c r="CI190" s="569"/>
      <c r="CJ190" s="569"/>
      <c r="CK190" s="569"/>
      <c r="CL190" s="569"/>
      <c r="CM190" s="569"/>
      <c r="CN190" s="569"/>
      <c r="CO190" s="569"/>
      <c r="CP190" s="569"/>
      <c r="CQ190" s="569"/>
      <c r="CR190" s="569"/>
      <c r="CS190" s="569"/>
      <c r="CT190" s="569"/>
      <c r="CU190" s="569"/>
      <c r="CV190" s="569"/>
      <c r="CW190" s="569"/>
      <c r="CX190" s="569"/>
      <c r="CY190" s="569"/>
      <c r="CZ190" s="569"/>
      <c r="DA190" s="569"/>
      <c r="DB190" s="569"/>
      <c r="DC190" s="569"/>
      <c r="DD190" s="569"/>
      <c r="DE190" s="569"/>
      <c r="DF190" s="569"/>
      <c r="DG190" s="569"/>
      <c r="DH190" s="569"/>
      <c r="DI190" s="569"/>
      <c r="DJ190" s="569"/>
      <c r="DK190" s="569"/>
      <c r="DL190" s="569"/>
      <c r="DM190" s="569"/>
      <c r="DN190" s="569"/>
      <c r="DO190" s="569"/>
      <c r="DP190" s="569"/>
      <c r="DQ190" s="569"/>
      <c r="DR190" s="569"/>
      <c r="DS190" s="569"/>
      <c r="DT190" s="569"/>
      <c r="DU190" s="569"/>
      <c r="DV190" s="569"/>
      <c r="DW190" s="569"/>
      <c r="DX190" s="569"/>
      <c r="DY190" s="569"/>
      <c r="DZ190" s="569"/>
      <c r="EA190" s="569"/>
      <c r="EB190" s="569"/>
      <c r="EC190" s="569"/>
      <c r="ED190" s="569"/>
      <c r="EE190" s="569"/>
      <c r="EF190" s="569"/>
      <c r="EG190" s="569"/>
      <c r="EH190" s="569"/>
      <c r="EI190" s="569"/>
      <c r="EJ190" s="569"/>
      <c r="EK190" s="569"/>
      <c r="EL190" s="569"/>
      <c r="EM190" s="569"/>
      <c r="EN190" s="569"/>
      <c r="EO190" s="569"/>
      <c r="EP190" s="569"/>
      <c r="EQ190" s="569"/>
      <c r="ER190" s="569"/>
      <c r="ES190" s="569"/>
      <c r="ET190" s="569"/>
      <c r="EU190" s="569"/>
      <c r="EV190" s="569"/>
      <c r="EW190" s="569"/>
      <c r="EX190" s="569"/>
      <c r="EY190" s="569"/>
      <c r="EZ190" s="569"/>
      <c r="FA190" s="569"/>
      <c r="FB190" s="569"/>
      <c r="FC190" s="569"/>
      <c r="FD190" s="569"/>
      <c r="FE190" s="569"/>
      <c r="FF190" s="569"/>
      <c r="FG190" s="569"/>
      <c r="FH190" s="569"/>
      <c r="FI190" s="569"/>
      <c r="FJ190" s="569"/>
      <c r="FK190" s="569"/>
      <c r="FL190" s="569"/>
      <c r="FM190" s="569"/>
      <c r="FN190" s="569"/>
      <c r="FO190" s="569"/>
      <c r="FP190" s="569"/>
      <c r="FQ190" s="569"/>
      <c r="FR190" s="569"/>
      <c r="FS190" s="569"/>
      <c r="FT190" s="569"/>
      <c r="FU190" s="569"/>
      <c r="FV190" s="569"/>
      <c r="FW190" s="569"/>
      <c r="FX190" s="569"/>
      <c r="FY190" s="569"/>
      <c r="FZ190" s="569"/>
      <c r="GA190" s="569"/>
      <c r="GB190" s="569"/>
      <c r="GC190" s="569"/>
      <c r="GD190" s="569"/>
      <c r="GE190" s="569"/>
      <c r="GF190" s="569"/>
      <c r="GG190" s="569"/>
      <c r="GH190" s="569"/>
      <c r="GI190" s="569"/>
      <c r="GJ190" s="569"/>
      <c r="GK190" s="569"/>
      <c r="GL190" s="569"/>
      <c r="GM190" s="569"/>
      <c r="GN190" s="569"/>
      <c r="GO190" s="569"/>
      <c r="GP190" s="569"/>
      <c r="GQ190" s="569"/>
      <c r="GR190" s="569"/>
      <c r="GS190" s="569"/>
      <c r="GT190" s="569"/>
    </row>
    <row r="191" spans="1:255" s="554" customFormat="1" ht="18" customHeight="1">
      <c r="B191" s="561"/>
      <c r="C191" s="1142"/>
      <c r="D191" s="1142"/>
      <c r="E191" s="1142"/>
      <c r="F191" s="1142"/>
      <c r="G191" s="1142"/>
      <c r="H191" s="1142"/>
      <c r="I191" s="1142"/>
      <c r="J191" s="1142"/>
      <c r="K191" s="1142"/>
      <c r="L191" s="1142"/>
      <c r="M191" s="561"/>
      <c r="N191" s="561"/>
      <c r="O191" s="561"/>
      <c r="P191" s="561"/>
      <c r="Q191" s="578"/>
      <c r="R191" s="578"/>
      <c r="S191" s="578"/>
      <c r="T191" s="561"/>
      <c r="U191" s="578"/>
      <c r="V191" s="578"/>
      <c r="W191" s="578"/>
      <c r="X191" s="578"/>
      <c r="Y191" s="578"/>
      <c r="Z191" s="578"/>
      <c r="AA191" s="578"/>
      <c r="AB191" s="578"/>
      <c r="AC191" s="578"/>
      <c r="AD191" s="578"/>
      <c r="AE191" s="578"/>
      <c r="AF191" s="578"/>
      <c r="AG191" s="578"/>
      <c r="AH191" s="548"/>
      <c r="AI191" s="548"/>
      <c r="AJ191" s="548"/>
      <c r="AK191" s="548"/>
      <c r="AL191" s="548"/>
      <c r="AM191" s="548"/>
      <c r="AN191" s="548"/>
      <c r="AO191" s="548"/>
      <c r="AP191" s="548"/>
      <c r="AQ191" s="548"/>
      <c r="AR191" s="548"/>
      <c r="AS191" s="548"/>
      <c r="AT191" s="548"/>
      <c r="AU191" s="548"/>
      <c r="AV191" s="548"/>
      <c r="AW191" s="548"/>
      <c r="AX191" s="548"/>
      <c r="AY191" s="548"/>
      <c r="AZ191" s="548"/>
      <c r="BA191" s="548"/>
      <c r="BB191" s="548"/>
      <c r="BC191" s="548"/>
      <c r="BD191" s="569"/>
      <c r="BE191" s="569"/>
      <c r="BF191" s="569"/>
      <c r="BG191" s="569"/>
      <c r="BH191" s="569"/>
      <c r="BI191" s="569"/>
      <c r="BJ191" s="569"/>
      <c r="BK191" s="569"/>
      <c r="BL191" s="569"/>
      <c r="BM191" s="569"/>
      <c r="BN191" s="569"/>
      <c r="BO191" s="569"/>
      <c r="BP191" s="569"/>
      <c r="BQ191" s="569"/>
      <c r="BR191" s="569"/>
      <c r="BS191" s="569"/>
      <c r="BT191" s="569"/>
      <c r="BU191" s="569"/>
      <c r="BV191" s="569"/>
      <c r="BW191" s="569"/>
      <c r="BX191" s="569"/>
      <c r="BY191" s="569"/>
      <c r="BZ191" s="569"/>
      <c r="CA191" s="569"/>
      <c r="CB191" s="569"/>
      <c r="CC191" s="569"/>
      <c r="CD191" s="569"/>
      <c r="CE191" s="569"/>
      <c r="CF191" s="569"/>
      <c r="CG191" s="569"/>
      <c r="CH191" s="569"/>
      <c r="CI191" s="569"/>
      <c r="CJ191" s="569"/>
      <c r="CK191" s="569"/>
      <c r="CL191" s="569"/>
      <c r="CM191" s="569"/>
      <c r="CN191" s="569"/>
      <c r="CO191" s="569"/>
      <c r="CP191" s="569"/>
      <c r="CQ191" s="569"/>
      <c r="CR191" s="569"/>
      <c r="CS191" s="569"/>
      <c r="CT191" s="569"/>
      <c r="CU191" s="569"/>
      <c r="CV191" s="569"/>
      <c r="CW191" s="569"/>
      <c r="CX191" s="569"/>
      <c r="CY191" s="569"/>
      <c r="CZ191" s="569"/>
      <c r="DA191" s="569"/>
      <c r="DB191" s="569"/>
      <c r="DC191" s="569"/>
      <c r="DD191" s="569"/>
      <c r="DE191" s="569"/>
      <c r="DF191" s="569"/>
      <c r="DG191" s="569"/>
      <c r="DH191" s="569"/>
      <c r="DI191" s="569"/>
      <c r="DJ191" s="569"/>
      <c r="DK191" s="569"/>
      <c r="DL191" s="569"/>
      <c r="DM191" s="569"/>
      <c r="DN191" s="569"/>
      <c r="DO191" s="569"/>
      <c r="DP191" s="569"/>
      <c r="DQ191" s="569"/>
      <c r="DR191" s="569"/>
      <c r="DS191" s="569"/>
      <c r="DT191" s="569"/>
      <c r="DU191" s="569"/>
      <c r="DV191" s="569"/>
      <c r="DW191" s="569"/>
      <c r="DX191" s="569"/>
      <c r="DY191" s="569"/>
      <c r="DZ191" s="569"/>
      <c r="EA191" s="569"/>
      <c r="EB191" s="569"/>
      <c r="EC191" s="569"/>
      <c r="ED191" s="569"/>
      <c r="EE191" s="569"/>
      <c r="EF191" s="569"/>
      <c r="EG191" s="569"/>
      <c r="EH191" s="569"/>
      <c r="EI191" s="569"/>
      <c r="EJ191" s="569"/>
      <c r="EK191" s="569"/>
      <c r="EL191" s="569"/>
      <c r="EM191" s="569"/>
      <c r="EN191" s="569"/>
      <c r="EO191" s="569"/>
      <c r="EP191" s="569"/>
      <c r="EQ191" s="569"/>
      <c r="ER191" s="569"/>
      <c r="ES191" s="569"/>
      <c r="ET191" s="569"/>
      <c r="EU191" s="569"/>
      <c r="EV191" s="569"/>
      <c r="EW191" s="569"/>
      <c r="EX191" s="569"/>
      <c r="EY191" s="569"/>
      <c r="EZ191" s="569"/>
      <c r="FA191" s="569"/>
      <c r="FB191" s="569"/>
      <c r="FC191" s="569"/>
      <c r="FD191" s="569"/>
      <c r="FE191" s="569"/>
      <c r="FF191" s="569"/>
      <c r="FG191" s="569"/>
      <c r="FH191" s="569"/>
      <c r="FI191" s="569"/>
      <c r="FJ191" s="569"/>
      <c r="FK191" s="569"/>
      <c r="FL191" s="569"/>
      <c r="FM191" s="569"/>
      <c r="FN191" s="569"/>
      <c r="FO191" s="569"/>
      <c r="FP191" s="569"/>
      <c r="FQ191" s="569"/>
      <c r="FR191" s="569"/>
      <c r="FS191" s="569"/>
      <c r="FT191" s="569"/>
      <c r="FU191" s="569"/>
      <c r="FV191" s="569"/>
      <c r="FW191" s="569"/>
      <c r="FX191" s="569"/>
      <c r="FY191" s="569"/>
      <c r="FZ191" s="569"/>
      <c r="GA191" s="569"/>
      <c r="GB191" s="569"/>
      <c r="GC191" s="569"/>
      <c r="GD191" s="569"/>
      <c r="GE191" s="569"/>
      <c r="GF191" s="569"/>
      <c r="GG191" s="569"/>
      <c r="GH191" s="569"/>
      <c r="GI191" s="569"/>
      <c r="GJ191" s="569"/>
      <c r="GK191" s="569"/>
      <c r="GL191" s="569"/>
      <c r="GM191" s="569"/>
      <c r="GN191" s="569"/>
      <c r="GO191" s="569"/>
      <c r="GP191" s="569"/>
      <c r="GQ191" s="569"/>
      <c r="GR191" s="569"/>
      <c r="GS191" s="569"/>
      <c r="GT191" s="569"/>
    </row>
    <row r="192" spans="1:255" s="554" customFormat="1" ht="18" customHeight="1">
      <c r="B192" s="561"/>
      <c r="C192" s="1142"/>
      <c r="D192" s="1142"/>
      <c r="E192" s="1142"/>
      <c r="F192" s="1142"/>
      <c r="G192" s="1142"/>
      <c r="H192" s="1142"/>
      <c r="I192" s="1142"/>
      <c r="J192" s="1142"/>
      <c r="K192" s="1142"/>
      <c r="L192" s="1142"/>
      <c r="M192" s="561"/>
      <c r="N192" s="561"/>
      <c r="O192" s="561"/>
      <c r="P192" s="561"/>
      <c r="Q192" s="578"/>
      <c r="R192" s="578"/>
      <c r="S192" s="578"/>
      <c r="T192" s="561"/>
      <c r="U192" s="578"/>
      <c r="V192" s="578"/>
      <c r="W192" s="578"/>
      <c r="X192" s="578"/>
      <c r="Y192" s="578"/>
      <c r="Z192" s="578"/>
      <c r="AA192" s="578"/>
      <c r="AB192" s="578"/>
      <c r="AC192" s="578"/>
      <c r="AD192" s="578"/>
      <c r="AE192" s="578"/>
      <c r="AF192" s="578"/>
      <c r="AG192" s="578"/>
      <c r="AH192" s="548"/>
      <c r="AI192" s="548"/>
      <c r="AJ192" s="548"/>
      <c r="AK192" s="548"/>
      <c r="AL192" s="548"/>
      <c r="AM192" s="548"/>
      <c r="AN192" s="548"/>
      <c r="AO192" s="548"/>
      <c r="AP192" s="548"/>
      <c r="AQ192" s="548"/>
      <c r="AR192" s="548"/>
      <c r="AS192" s="548"/>
      <c r="AT192" s="548"/>
      <c r="AU192" s="548"/>
      <c r="AV192" s="548"/>
      <c r="AW192" s="548"/>
      <c r="AX192" s="548"/>
      <c r="AY192" s="548"/>
      <c r="AZ192" s="548"/>
      <c r="BA192" s="548"/>
      <c r="BB192" s="548"/>
      <c r="BC192" s="548"/>
      <c r="BD192" s="569"/>
      <c r="BE192" s="569"/>
      <c r="BF192" s="569"/>
      <c r="BG192" s="569"/>
      <c r="BH192" s="569"/>
      <c r="BI192" s="569"/>
      <c r="BJ192" s="569"/>
      <c r="BK192" s="569"/>
      <c r="BL192" s="569"/>
      <c r="BM192" s="569"/>
      <c r="BN192" s="569"/>
      <c r="BO192" s="569"/>
      <c r="BP192" s="569"/>
      <c r="BQ192" s="569"/>
      <c r="BR192" s="569"/>
      <c r="BS192" s="569"/>
      <c r="BT192" s="569"/>
      <c r="BU192" s="569"/>
      <c r="BV192" s="569"/>
      <c r="BW192" s="569"/>
      <c r="BX192" s="569"/>
      <c r="BY192" s="569"/>
      <c r="BZ192" s="569"/>
      <c r="CA192" s="569"/>
      <c r="CB192" s="569"/>
      <c r="CC192" s="569"/>
      <c r="CD192" s="569"/>
      <c r="CE192" s="569"/>
      <c r="CF192" s="569"/>
      <c r="CG192" s="569"/>
      <c r="CH192" s="569"/>
      <c r="CI192" s="569"/>
      <c r="CJ192" s="569"/>
      <c r="CK192" s="569"/>
      <c r="CL192" s="569"/>
      <c r="CM192" s="569"/>
      <c r="CN192" s="569"/>
      <c r="CO192" s="569"/>
      <c r="CP192" s="569"/>
      <c r="CQ192" s="569"/>
      <c r="CR192" s="569"/>
      <c r="CS192" s="569"/>
      <c r="CT192" s="569"/>
      <c r="CU192" s="569"/>
      <c r="CV192" s="569"/>
      <c r="CW192" s="569"/>
      <c r="CX192" s="569"/>
      <c r="CY192" s="569"/>
      <c r="CZ192" s="569"/>
      <c r="DA192" s="569"/>
      <c r="DB192" s="569"/>
      <c r="DC192" s="569"/>
      <c r="DD192" s="569"/>
      <c r="DE192" s="569"/>
      <c r="DF192" s="569"/>
      <c r="DG192" s="569"/>
      <c r="DH192" s="569"/>
      <c r="DI192" s="569"/>
      <c r="DJ192" s="569"/>
      <c r="DK192" s="569"/>
      <c r="DL192" s="569"/>
      <c r="DM192" s="569"/>
      <c r="DN192" s="569"/>
      <c r="DO192" s="569"/>
      <c r="DP192" s="569"/>
      <c r="DQ192" s="569"/>
      <c r="DR192" s="569"/>
      <c r="DS192" s="569"/>
      <c r="DT192" s="569"/>
      <c r="DU192" s="569"/>
      <c r="DV192" s="569"/>
      <c r="DW192" s="569"/>
      <c r="DX192" s="569"/>
      <c r="DY192" s="569"/>
      <c r="DZ192" s="569"/>
      <c r="EA192" s="569"/>
      <c r="EB192" s="569"/>
      <c r="EC192" s="569"/>
      <c r="ED192" s="569"/>
      <c r="EE192" s="569"/>
      <c r="EF192" s="569"/>
      <c r="EG192" s="569"/>
      <c r="EH192" s="569"/>
      <c r="EI192" s="569"/>
      <c r="EJ192" s="569"/>
      <c r="EK192" s="569"/>
      <c r="EL192" s="569"/>
      <c r="EM192" s="569"/>
      <c r="EN192" s="569"/>
      <c r="EO192" s="569"/>
      <c r="EP192" s="569"/>
      <c r="EQ192" s="569"/>
      <c r="ER192" s="569"/>
      <c r="ES192" s="569"/>
      <c r="ET192" s="569"/>
      <c r="EU192" s="569"/>
      <c r="EV192" s="569"/>
      <c r="EW192" s="569"/>
      <c r="EX192" s="569"/>
      <c r="EY192" s="569"/>
      <c r="EZ192" s="569"/>
      <c r="FA192" s="569"/>
      <c r="FB192" s="569"/>
      <c r="FC192" s="569"/>
      <c r="FD192" s="569"/>
      <c r="FE192" s="569"/>
      <c r="FF192" s="569"/>
      <c r="FG192" s="569"/>
      <c r="FH192" s="569"/>
      <c r="FI192" s="569"/>
      <c r="FJ192" s="569"/>
      <c r="FK192" s="569"/>
      <c r="FL192" s="569"/>
      <c r="FM192" s="569"/>
      <c r="FN192" s="569"/>
      <c r="FO192" s="569"/>
      <c r="FP192" s="569"/>
      <c r="FQ192" s="569"/>
      <c r="FR192" s="569"/>
      <c r="FS192" s="569"/>
      <c r="FT192" s="569"/>
      <c r="FU192" s="569"/>
      <c r="FV192" s="569"/>
      <c r="FW192" s="569"/>
      <c r="FX192" s="569"/>
      <c r="FY192" s="569"/>
      <c r="FZ192" s="569"/>
      <c r="GA192" s="569"/>
      <c r="GB192" s="569"/>
      <c r="GC192" s="569"/>
      <c r="GD192" s="569"/>
      <c r="GE192" s="569"/>
      <c r="GF192" s="569"/>
      <c r="GG192" s="569"/>
      <c r="GH192" s="569"/>
      <c r="GI192" s="569"/>
      <c r="GJ192" s="569"/>
      <c r="GK192" s="569"/>
      <c r="GL192" s="569"/>
      <c r="GM192" s="569"/>
      <c r="GN192" s="569"/>
      <c r="GO192" s="569"/>
      <c r="GP192" s="569"/>
      <c r="GQ192" s="569"/>
      <c r="GR192" s="569"/>
      <c r="GS192" s="569"/>
      <c r="GT192" s="569"/>
    </row>
    <row r="193" spans="2:202" s="554" customFormat="1" ht="18" customHeight="1">
      <c r="B193" s="561"/>
      <c r="C193" s="1142"/>
      <c r="D193" s="1142"/>
      <c r="E193" s="1142"/>
      <c r="F193" s="1142"/>
      <c r="G193" s="1142"/>
      <c r="H193" s="1142"/>
      <c r="I193" s="1142"/>
      <c r="J193" s="1142"/>
      <c r="K193" s="1142"/>
      <c r="L193" s="1142"/>
      <c r="M193" s="561"/>
      <c r="N193" s="561"/>
      <c r="O193" s="561"/>
      <c r="P193" s="561"/>
      <c r="Q193" s="578"/>
      <c r="R193" s="578"/>
      <c r="S193" s="578"/>
      <c r="T193" s="561"/>
      <c r="U193" s="578"/>
      <c r="V193" s="578"/>
      <c r="W193" s="578"/>
      <c r="X193" s="578"/>
      <c r="Y193" s="578"/>
      <c r="Z193" s="578"/>
      <c r="AA193" s="578"/>
      <c r="AB193" s="578"/>
      <c r="AC193" s="578"/>
      <c r="AD193" s="578"/>
      <c r="AE193" s="578"/>
      <c r="AF193" s="578"/>
      <c r="AG193" s="578"/>
      <c r="AH193" s="548"/>
      <c r="AI193" s="548"/>
      <c r="AJ193" s="548"/>
      <c r="AK193" s="548"/>
      <c r="AL193" s="548"/>
      <c r="AM193" s="548"/>
      <c r="AN193" s="548"/>
      <c r="AO193" s="548"/>
      <c r="AP193" s="548"/>
      <c r="AQ193" s="548"/>
      <c r="AR193" s="548"/>
      <c r="AS193" s="548"/>
      <c r="AT193" s="548"/>
      <c r="AU193" s="548"/>
      <c r="AV193" s="548"/>
      <c r="AW193" s="548"/>
      <c r="AX193" s="548"/>
      <c r="AY193" s="548"/>
      <c r="AZ193" s="548"/>
      <c r="BA193" s="548"/>
      <c r="BB193" s="548"/>
      <c r="BC193" s="548"/>
      <c r="BD193" s="569"/>
      <c r="BE193" s="569"/>
      <c r="BF193" s="569"/>
      <c r="BG193" s="569"/>
      <c r="BH193" s="569"/>
      <c r="BI193" s="569"/>
      <c r="BJ193" s="569"/>
      <c r="BK193" s="569"/>
      <c r="BL193" s="569"/>
      <c r="BM193" s="569"/>
      <c r="BN193" s="569"/>
      <c r="BO193" s="569"/>
      <c r="BP193" s="569"/>
      <c r="BQ193" s="569"/>
      <c r="BR193" s="569"/>
      <c r="BS193" s="569"/>
      <c r="BT193" s="569"/>
      <c r="BU193" s="569"/>
      <c r="BV193" s="569"/>
      <c r="BW193" s="569"/>
      <c r="BX193" s="569"/>
      <c r="BY193" s="569"/>
      <c r="BZ193" s="569"/>
      <c r="CA193" s="569"/>
      <c r="CB193" s="569"/>
      <c r="CC193" s="569"/>
      <c r="CD193" s="569"/>
      <c r="CE193" s="569"/>
      <c r="CF193" s="569"/>
      <c r="CG193" s="569"/>
      <c r="CH193" s="569"/>
      <c r="CI193" s="569"/>
      <c r="CJ193" s="569"/>
      <c r="CK193" s="569"/>
      <c r="CL193" s="569"/>
      <c r="CM193" s="569"/>
      <c r="CN193" s="569"/>
      <c r="CO193" s="569"/>
      <c r="CP193" s="569"/>
      <c r="CQ193" s="569"/>
      <c r="CR193" s="569"/>
      <c r="CS193" s="569"/>
      <c r="CT193" s="569"/>
      <c r="CU193" s="569"/>
      <c r="CV193" s="569"/>
      <c r="CW193" s="569"/>
      <c r="CX193" s="569"/>
      <c r="CY193" s="569"/>
      <c r="CZ193" s="569"/>
      <c r="DA193" s="569"/>
      <c r="DB193" s="569"/>
      <c r="DC193" s="569"/>
      <c r="DD193" s="569"/>
      <c r="DE193" s="569"/>
      <c r="DF193" s="569"/>
      <c r="DG193" s="569"/>
      <c r="DH193" s="569"/>
      <c r="DI193" s="569"/>
      <c r="DJ193" s="569"/>
      <c r="DK193" s="569"/>
      <c r="DL193" s="569"/>
      <c r="DM193" s="569"/>
      <c r="DN193" s="569"/>
      <c r="DO193" s="569"/>
      <c r="DP193" s="569"/>
      <c r="DQ193" s="569"/>
      <c r="DR193" s="569"/>
      <c r="DS193" s="569"/>
      <c r="DT193" s="569"/>
      <c r="DU193" s="569"/>
      <c r="DV193" s="569"/>
      <c r="DW193" s="569"/>
      <c r="DX193" s="569"/>
      <c r="DY193" s="569"/>
      <c r="DZ193" s="569"/>
      <c r="EA193" s="569"/>
      <c r="EB193" s="569"/>
      <c r="EC193" s="569"/>
      <c r="ED193" s="569"/>
      <c r="EE193" s="569"/>
      <c r="EF193" s="569"/>
      <c r="EG193" s="569"/>
      <c r="EH193" s="569"/>
      <c r="EI193" s="569"/>
      <c r="EJ193" s="569"/>
      <c r="EK193" s="569"/>
      <c r="EL193" s="569"/>
      <c r="EM193" s="569"/>
      <c r="EN193" s="569"/>
      <c r="EO193" s="569"/>
      <c r="EP193" s="569"/>
      <c r="EQ193" s="569"/>
      <c r="ER193" s="569"/>
      <c r="ES193" s="569"/>
      <c r="ET193" s="569"/>
      <c r="EU193" s="569"/>
      <c r="EV193" s="569"/>
      <c r="EW193" s="569"/>
      <c r="EX193" s="569"/>
      <c r="EY193" s="569"/>
      <c r="EZ193" s="569"/>
      <c r="FA193" s="569"/>
      <c r="FB193" s="569"/>
      <c r="FC193" s="569"/>
      <c r="FD193" s="569"/>
      <c r="FE193" s="569"/>
      <c r="FF193" s="569"/>
      <c r="FG193" s="569"/>
      <c r="FH193" s="569"/>
      <c r="FI193" s="569"/>
      <c r="FJ193" s="569"/>
      <c r="FK193" s="569"/>
      <c r="FL193" s="569"/>
      <c r="FM193" s="569"/>
      <c r="FN193" s="569"/>
      <c r="FO193" s="569"/>
      <c r="FP193" s="569"/>
      <c r="FQ193" s="569"/>
      <c r="FR193" s="569"/>
      <c r="FS193" s="569"/>
      <c r="FT193" s="569"/>
      <c r="FU193" s="569"/>
      <c r="FV193" s="569"/>
      <c r="FW193" s="569"/>
      <c r="FX193" s="569"/>
      <c r="FY193" s="569"/>
      <c r="FZ193" s="569"/>
      <c r="GA193" s="569"/>
      <c r="GB193" s="569"/>
      <c r="GC193" s="569"/>
      <c r="GD193" s="569"/>
      <c r="GE193" s="569"/>
      <c r="GF193" s="569"/>
      <c r="GG193" s="569"/>
      <c r="GH193" s="569"/>
      <c r="GI193" s="569"/>
      <c r="GJ193" s="569"/>
      <c r="GK193" s="569"/>
      <c r="GL193" s="569"/>
      <c r="GM193" s="569"/>
      <c r="GN193" s="569"/>
      <c r="GO193" s="569"/>
      <c r="GP193" s="569"/>
      <c r="GQ193" s="569"/>
      <c r="GR193" s="569"/>
      <c r="GS193" s="569"/>
      <c r="GT193" s="569"/>
    </row>
    <row r="194" spans="2:202" s="554" customFormat="1" ht="18" customHeight="1">
      <c r="B194" s="561"/>
      <c r="C194" s="1142"/>
      <c r="D194" s="1142"/>
      <c r="E194" s="1142"/>
      <c r="F194" s="1142"/>
      <c r="G194" s="1142"/>
      <c r="H194" s="1142"/>
      <c r="I194" s="1142"/>
      <c r="J194" s="1142"/>
      <c r="K194" s="1142"/>
      <c r="L194" s="1142"/>
      <c r="M194" s="561"/>
      <c r="N194" s="561"/>
      <c r="O194" s="561"/>
      <c r="P194" s="561"/>
      <c r="Q194" s="578"/>
      <c r="R194" s="578"/>
      <c r="S194" s="578"/>
      <c r="T194" s="561"/>
      <c r="U194" s="578"/>
      <c r="V194" s="578"/>
      <c r="W194" s="578"/>
      <c r="X194" s="578"/>
      <c r="Y194" s="578"/>
      <c r="Z194" s="578"/>
      <c r="AA194" s="578"/>
      <c r="AB194" s="578"/>
      <c r="AC194" s="578"/>
      <c r="AD194" s="578"/>
      <c r="AE194" s="578"/>
      <c r="AF194" s="578"/>
      <c r="AG194" s="578"/>
      <c r="AH194" s="548"/>
      <c r="AI194" s="548"/>
      <c r="AJ194" s="548"/>
      <c r="AK194" s="548"/>
      <c r="AL194" s="548"/>
      <c r="AM194" s="548"/>
      <c r="AN194" s="548"/>
      <c r="AO194" s="548"/>
      <c r="AP194" s="548"/>
      <c r="AQ194" s="548"/>
      <c r="AR194" s="548"/>
      <c r="AS194" s="548"/>
      <c r="AT194" s="548"/>
      <c r="AU194" s="548"/>
      <c r="AV194" s="548"/>
      <c r="AW194" s="548"/>
      <c r="AX194" s="548"/>
      <c r="AY194" s="548"/>
      <c r="AZ194" s="548"/>
      <c r="BA194" s="548"/>
      <c r="BB194" s="548"/>
      <c r="BC194" s="548"/>
      <c r="BD194" s="569"/>
      <c r="BE194" s="569"/>
      <c r="BF194" s="569"/>
      <c r="BG194" s="569"/>
      <c r="BH194" s="569"/>
      <c r="BI194" s="569"/>
      <c r="BJ194" s="569"/>
      <c r="BK194" s="569"/>
      <c r="BL194" s="569"/>
      <c r="BM194" s="569"/>
      <c r="BN194" s="569"/>
      <c r="BO194" s="569"/>
      <c r="BP194" s="569"/>
      <c r="BQ194" s="569"/>
      <c r="BR194" s="569"/>
      <c r="BS194" s="569"/>
      <c r="BT194" s="569"/>
      <c r="BU194" s="569"/>
      <c r="BV194" s="569"/>
      <c r="BW194" s="569"/>
      <c r="BX194" s="569"/>
      <c r="BY194" s="569"/>
      <c r="BZ194" s="569"/>
      <c r="CA194" s="569"/>
      <c r="CB194" s="569"/>
      <c r="CC194" s="569"/>
      <c r="CD194" s="569"/>
      <c r="CE194" s="569"/>
      <c r="CF194" s="569"/>
      <c r="CG194" s="569"/>
      <c r="CH194" s="569"/>
      <c r="CI194" s="569"/>
      <c r="CJ194" s="569"/>
      <c r="CK194" s="569"/>
      <c r="CL194" s="569"/>
      <c r="CM194" s="569"/>
      <c r="CN194" s="569"/>
      <c r="CO194" s="569"/>
      <c r="CP194" s="569"/>
      <c r="CQ194" s="569"/>
      <c r="CR194" s="569"/>
      <c r="CS194" s="569"/>
      <c r="CT194" s="569"/>
      <c r="CU194" s="569"/>
      <c r="CV194" s="569"/>
      <c r="CW194" s="569"/>
      <c r="CX194" s="569"/>
      <c r="CY194" s="569"/>
      <c r="CZ194" s="569"/>
      <c r="DA194" s="569"/>
      <c r="DB194" s="569"/>
      <c r="DC194" s="569"/>
      <c r="DD194" s="569"/>
      <c r="DE194" s="569"/>
      <c r="DF194" s="569"/>
      <c r="DG194" s="569"/>
      <c r="DH194" s="569"/>
      <c r="DI194" s="569"/>
      <c r="DJ194" s="569"/>
      <c r="DK194" s="569"/>
      <c r="DL194" s="569"/>
      <c r="DM194" s="569"/>
      <c r="DN194" s="569"/>
      <c r="DO194" s="569"/>
      <c r="DP194" s="569"/>
      <c r="DQ194" s="569"/>
      <c r="DR194" s="569"/>
      <c r="DS194" s="569"/>
      <c r="DT194" s="569"/>
      <c r="DU194" s="569"/>
      <c r="DV194" s="569"/>
      <c r="DW194" s="569"/>
      <c r="DX194" s="569"/>
      <c r="DY194" s="569"/>
      <c r="DZ194" s="569"/>
      <c r="EA194" s="569"/>
      <c r="EB194" s="569"/>
      <c r="EC194" s="569"/>
      <c r="ED194" s="569"/>
      <c r="EE194" s="569"/>
      <c r="EF194" s="569"/>
      <c r="EG194" s="569"/>
      <c r="EH194" s="569"/>
      <c r="EI194" s="569"/>
      <c r="EJ194" s="569"/>
      <c r="EK194" s="569"/>
      <c r="EL194" s="569"/>
      <c r="EM194" s="569"/>
      <c r="EN194" s="569"/>
      <c r="EO194" s="569"/>
      <c r="EP194" s="569"/>
      <c r="EQ194" s="569"/>
      <c r="ER194" s="569"/>
      <c r="ES194" s="569"/>
      <c r="ET194" s="569"/>
      <c r="EU194" s="569"/>
      <c r="EV194" s="569"/>
      <c r="EW194" s="569"/>
      <c r="EX194" s="569"/>
      <c r="EY194" s="569"/>
      <c r="EZ194" s="569"/>
      <c r="FA194" s="569"/>
      <c r="FB194" s="569"/>
      <c r="FC194" s="569"/>
      <c r="FD194" s="569"/>
      <c r="FE194" s="569"/>
      <c r="FF194" s="569"/>
      <c r="FG194" s="569"/>
      <c r="FH194" s="569"/>
      <c r="FI194" s="569"/>
      <c r="FJ194" s="569"/>
      <c r="FK194" s="569"/>
      <c r="FL194" s="569"/>
      <c r="FM194" s="569"/>
      <c r="FN194" s="569"/>
      <c r="FO194" s="569"/>
      <c r="FP194" s="569"/>
      <c r="FQ194" s="569"/>
      <c r="FR194" s="569"/>
      <c r="FS194" s="569"/>
      <c r="FT194" s="569"/>
      <c r="FU194" s="569"/>
      <c r="FV194" s="569"/>
      <c r="FW194" s="569"/>
      <c r="FX194" s="569"/>
      <c r="FY194" s="569"/>
      <c r="FZ194" s="569"/>
      <c r="GA194" s="569"/>
      <c r="GB194" s="569"/>
      <c r="GC194" s="569"/>
      <c r="GD194" s="569"/>
      <c r="GE194" s="569"/>
      <c r="GF194" s="569"/>
      <c r="GG194" s="569"/>
      <c r="GH194" s="569"/>
      <c r="GI194" s="569"/>
      <c r="GJ194" s="569"/>
      <c r="GK194" s="569"/>
      <c r="GL194" s="569"/>
      <c r="GM194" s="569"/>
      <c r="GN194" s="569"/>
      <c r="GO194" s="569"/>
      <c r="GP194" s="569"/>
      <c r="GQ194" s="569"/>
      <c r="GR194" s="569"/>
      <c r="GS194" s="569"/>
      <c r="GT194" s="569"/>
    </row>
    <row r="195" spans="2:202" s="554" customFormat="1" ht="18" customHeight="1">
      <c r="B195" s="561"/>
      <c r="C195" s="1142"/>
      <c r="D195" s="1142"/>
      <c r="E195" s="1142"/>
      <c r="F195" s="1142"/>
      <c r="G195" s="1142"/>
      <c r="H195" s="1142"/>
      <c r="I195" s="1142"/>
      <c r="J195" s="1142"/>
      <c r="K195" s="1142"/>
      <c r="L195" s="1142"/>
      <c r="M195" s="561"/>
      <c r="N195" s="561"/>
      <c r="O195" s="561"/>
      <c r="P195" s="561"/>
      <c r="Q195" s="578"/>
      <c r="R195" s="578"/>
      <c r="S195" s="578"/>
      <c r="T195" s="561"/>
      <c r="U195" s="578"/>
      <c r="V195" s="578"/>
      <c r="W195" s="578"/>
      <c r="X195" s="578"/>
      <c r="Y195" s="578"/>
      <c r="Z195" s="578"/>
      <c r="AA195" s="578"/>
      <c r="AB195" s="578"/>
      <c r="AC195" s="578"/>
      <c r="AD195" s="578"/>
      <c r="AE195" s="578"/>
      <c r="AF195" s="578"/>
      <c r="AG195" s="578"/>
      <c r="AH195" s="548"/>
      <c r="AI195" s="548"/>
      <c r="AJ195" s="548"/>
      <c r="AK195" s="548"/>
      <c r="AL195" s="548"/>
      <c r="AM195" s="548"/>
      <c r="AN195" s="548"/>
      <c r="AO195" s="548"/>
      <c r="AP195" s="548"/>
      <c r="AQ195" s="548"/>
      <c r="AR195" s="548"/>
      <c r="AS195" s="548"/>
      <c r="AT195" s="548"/>
      <c r="AU195" s="548"/>
      <c r="AV195" s="548"/>
      <c r="AW195" s="548"/>
      <c r="AX195" s="548"/>
      <c r="AY195" s="548"/>
      <c r="AZ195" s="548"/>
      <c r="BA195" s="548"/>
      <c r="BB195" s="548"/>
      <c r="BC195" s="548"/>
      <c r="BD195" s="569"/>
      <c r="BE195" s="569"/>
      <c r="BF195" s="569"/>
      <c r="BG195" s="569"/>
      <c r="BH195" s="569"/>
      <c r="BI195" s="569"/>
      <c r="BJ195" s="569"/>
      <c r="BK195" s="569"/>
      <c r="BL195" s="569"/>
      <c r="BM195" s="569"/>
      <c r="BN195" s="569"/>
      <c r="BO195" s="569"/>
      <c r="BP195" s="569"/>
      <c r="BQ195" s="569"/>
      <c r="BR195" s="569"/>
      <c r="BS195" s="569"/>
      <c r="BT195" s="569"/>
      <c r="BU195" s="569"/>
      <c r="BV195" s="569"/>
      <c r="BW195" s="569"/>
      <c r="BX195" s="569"/>
      <c r="BY195" s="569"/>
      <c r="BZ195" s="569"/>
      <c r="CA195" s="569"/>
      <c r="CB195" s="569"/>
      <c r="CC195" s="569"/>
      <c r="CD195" s="569"/>
      <c r="CE195" s="569"/>
      <c r="CF195" s="569"/>
      <c r="CG195" s="569"/>
      <c r="CH195" s="569"/>
      <c r="CI195" s="569"/>
      <c r="CJ195" s="569"/>
      <c r="CK195" s="569"/>
      <c r="CL195" s="569"/>
      <c r="CM195" s="569"/>
      <c r="CN195" s="569"/>
      <c r="CO195" s="569"/>
      <c r="CP195" s="569"/>
      <c r="CQ195" s="569"/>
      <c r="CR195" s="569"/>
      <c r="CS195" s="569"/>
      <c r="CT195" s="569"/>
      <c r="CU195" s="569"/>
      <c r="CV195" s="569"/>
      <c r="CW195" s="569"/>
      <c r="CX195" s="569"/>
      <c r="CY195" s="569"/>
      <c r="CZ195" s="569"/>
      <c r="DA195" s="569"/>
      <c r="DB195" s="569"/>
      <c r="DC195" s="569"/>
      <c r="DD195" s="569"/>
      <c r="DE195" s="569"/>
      <c r="DF195" s="569"/>
      <c r="DG195" s="569"/>
      <c r="DH195" s="569"/>
      <c r="DI195" s="569"/>
      <c r="DJ195" s="569"/>
      <c r="DK195" s="569"/>
      <c r="DL195" s="569"/>
      <c r="DM195" s="569"/>
      <c r="DN195" s="569"/>
      <c r="DO195" s="569"/>
      <c r="DP195" s="569"/>
      <c r="DQ195" s="569"/>
      <c r="DR195" s="569"/>
      <c r="DS195" s="569"/>
      <c r="DT195" s="569"/>
      <c r="DU195" s="569"/>
      <c r="DV195" s="569"/>
      <c r="DW195" s="569"/>
      <c r="DX195" s="569"/>
      <c r="DY195" s="569"/>
      <c r="DZ195" s="569"/>
      <c r="EA195" s="569"/>
      <c r="EB195" s="569"/>
      <c r="EC195" s="569"/>
      <c r="ED195" s="569"/>
      <c r="EE195" s="569"/>
      <c r="EF195" s="569"/>
      <c r="EG195" s="569"/>
      <c r="EH195" s="569"/>
      <c r="EI195" s="569"/>
      <c r="EJ195" s="569"/>
      <c r="EK195" s="569"/>
      <c r="EL195" s="569"/>
      <c r="EM195" s="569"/>
      <c r="EN195" s="569"/>
      <c r="EO195" s="569"/>
      <c r="EP195" s="569"/>
      <c r="EQ195" s="569"/>
      <c r="ER195" s="569"/>
      <c r="ES195" s="569"/>
      <c r="ET195" s="569"/>
      <c r="EU195" s="569"/>
      <c r="EV195" s="569"/>
      <c r="EW195" s="569"/>
      <c r="EX195" s="569"/>
      <c r="EY195" s="569"/>
      <c r="EZ195" s="569"/>
      <c r="FA195" s="569"/>
      <c r="FB195" s="569"/>
      <c r="FC195" s="569"/>
      <c r="FD195" s="569"/>
      <c r="FE195" s="569"/>
      <c r="FF195" s="569"/>
      <c r="FG195" s="569"/>
      <c r="FH195" s="569"/>
      <c r="FI195" s="569"/>
      <c r="FJ195" s="569"/>
      <c r="FK195" s="569"/>
      <c r="FL195" s="569"/>
      <c r="FM195" s="569"/>
      <c r="FN195" s="569"/>
      <c r="FO195" s="569"/>
      <c r="FP195" s="569"/>
      <c r="FQ195" s="569"/>
      <c r="FR195" s="569"/>
      <c r="FS195" s="569"/>
      <c r="FT195" s="569"/>
      <c r="FU195" s="569"/>
      <c r="FV195" s="569"/>
      <c r="FW195" s="569"/>
      <c r="FX195" s="569"/>
      <c r="FY195" s="569"/>
      <c r="FZ195" s="569"/>
      <c r="GA195" s="569"/>
      <c r="GB195" s="569"/>
      <c r="GC195" s="569"/>
      <c r="GD195" s="569"/>
      <c r="GE195" s="569"/>
      <c r="GF195" s="569"/>
      <c r="GG195" s="569"/>
      <c r="GH195" s="569"/>
      <c r="GI195" s="569"/>
      <c r="GJ195" s="569"/>
      <c r="GK195" s="569"/>
      <c r="GL195" s="569"/>
      <c r="GM195" s="569"/>
      <c r="GN195" s="569"/>
      <c r="GO195" s="569"/>
      <c r="GP195" s="569"/>
      <c r="GQ195" s="569"/>
      <c r="GR195" s="569"/>
      <c r="GS195" s="569"/>
      <c r="GT195" s="569"/>
    </row>
    <row r="196" spans="2:202" s="554" customFormat="1" ht="18" customHeight="1">
      <c r="B196" s="561"/>
      <c r="C196" s="1142"/>
      <c r="D196" s="1142"/>
      <c r="E196" s="1142"/>
      <c r="F196" s="1142"/>
      <c r="G196" s="1142"/>
      <c r="H196" s="1142"/>
      <c r="I196" s="1142"/>
      <c r="J196" s="1142"/>
      <c r="K196" s="1142"/>
      <c r="L196" s="1142"/>
      <c r="M196" s="561"/>
      <c r="N196" s="561"/>
      <c r="O196" s="561"/>
      <c r="P196" s="561"/>
      <c r="Q196" s="578"/>
      <c r="R196" s="578"/>
      <c r="S196" s="578"/>
      <c r="T196" s="561"/>
      <c r="U196" s="578"/>
      <c r="V196" s="578"/>
      <c r="W196" s="578"/>
      <c r="X196" s="578"/>
      <c r="Y196" s="578"/>
      <c r="Z196" s="578"/>
      <c r="AA196" s="578"/>
      <c r="AB196" s="578"/>
      <c r="AC196" s="578"/>
      <c r="AD196" s="578"/>
      <c r="AE196" s="578"/>
      <c r="AF196" s="578"/>
      <c r="AG196" s="578"/>
      <c r="AH196" s="548"/>
      <c r="AI196" s="548"/>
      <c r="AJ196" s="548"/>
      <c r="AK196" s="548"/>
      <c r="AL196" s="548"/>
      <c r="AM196" s="548"/>
      <c r="AN196" s="548"/>
      <c r="AO196" s="548"/>
      <c r="AP196" s="548"/>
      <c r="AQ196" s="548"/>
      <c r="AR196" s="548"/>
      <c r="AS196" s="548"/>
      <c r="AT196" s="548"/>
      <c r="AU196" s="548"/>
      <c r="AV196" s="548"/>
      <c r="AW196" s="548"/>
      <c r="AX196" s="548"/>
      <c r="AY196" s="548"/>
      <c r="AZ196" s="548"/>
      <c r="BA196" s="548"/>
      <c r="BB196" s="548"/>
      <c r="BC196" s="548"/>
      <c r="BD196" s="569"/>
      <c r="BE196" s="569"/>
      <c r="BF196" s="569"/>
      <c r="BG196" s="569"/>
      <c r="BH196" s="569"/>
      <c r="BI196" s="569"/>
      <c r="BJ196" s="569"/>
      <c r="BK196" s="569"/>
      <c r="BL196" s="569"/>
      <c r="BM196" s="569"/>
      <c r="BN196" s="569"/>
      <c r="BO196" s="569"/>
      <c r="BP196" s="569"/>
      <c r="BQ196" s="569"/>
      <c r="BR196" s="569"/>
      <c r="BS196" s="569"/>
      <c r="BT196" s="569"/>
      <c r="BU196" s="569"/>
      <c r="BV196" s="569"/>
      <c r="BW196" s="569"/>
      <c r="BX196" s="569"/>
      <c r="BY196" s="569"/>
      <c r="BZ196" s="569"/>
      <c r="CA196" s="569"/>
      <c r="CB196" s="569"/>
      <c r="CC196" s="569"/>
      <c r="CD196" s="569"/>
      <c r="CE196" s="569"/>
      <c r="CF196" s="569"/>
      <c r="CG196" s="569"/>
      <c r="CH196" s="569"/>
      <c r="CI196" s="569"/>
      <c r="CJ196" s="569"/>
      <c r="CK196" s="569"/>
      <c r="CL196" s="569"/>
      <c r="CM196" s="569"/>
      <c r="CN196" s="569"/>
      <c r="CO196" s="569"/>
      <c r="CP196" s="569"/>
      <c r="CQ196" s="569"/>
      <c r="CR196" s="569"/>
      <c r="CS196" s="569"/>
      <c r="CT196" s="569"/>
      <c r="CU196" s="569"/>
      <c r="CV196" s="569"/>
      <c r="CW196" s="569"/>
      <c r="CX196" s="569"/>
      <c r="CY196" s="569"/>
      <c r="CZ196" s="569"/>
      <c r="DA196" s="569"/>
      <c r="DB196" s="569"/>
      <c r="DC196" s="569"/>
      <c r="DD196" s="569"/>
      <c r="DE196" s="569"/>
      <c r="DF196" s="569"/>
      <c r="DG196" s="569"/>
      <c r="DH196" s="569"/>
      <c r="DI196" s="569"/>
      <c r="DJ196" s="569"/>
      <c r="DK196" s="569"/>
      <c r="DL196" s="569"/>
      <c r="DM196" s="569"/>
      <c r="DN196" s="569"/>
      <c r="DO196" s="569"/>
      <c r="DP196" s="569"/>
      <c r="DQ196" s="569"/>
      <c r="DR196" s="569"/>
      <c r="DS196" s="569"/>
      <c r="DT196" s="569"/>
      <c r="DU196" s="569"/>
      <c r="DV196" s="569"/>
      <c r="DW196" s="569"/>
      <c r="DX196" s="569"/>
      <c r="DY196" s="569"/>
      <c r="DZ196" s="569"/>
      <c r="EA196" s="569"/>
      <c r="EB196" s="569"/>
      <c r="EC196" s="569"/>
      <c r="ED196" s="569"/>
      <c r="EE196" s="569"/>
      <c r="EF196" s="569"/>
      <c r="EG196" s="569"/>
      <c r="EH196" s="569"/>
      <c r="EI196" s="569"/>
      <c r="EJ196" s="569"/>
      <c r="EK196" s="569"/>
      <c r="EL196" s="569"/>
      <c r="EM196" s="569"/>
      <c r="EN196" s="569"/>
      <c r="EO196" s="569"/>
      <c r="EP196" s="569"/>
      <c r="EQ196" s="569"/>
      <c r="ER196" s="569"/>
      <c r="ES196" s="569"/>
      <c r="ET196" s="569"/>
      <c r="EU196" s="569"/>
      <c r="EV196" s="569"/>
      <c r="EW196" s="569"/>
      <c r="EX196" s="569"/>
      <c r="EY196" s="569"/>
      <c r="EZ196" s="569"/>
      <c r="FA196" s="569"/>
      <c r="FB196" s="569"/>
      <c r="FC196" s="569"/>
      <c r="FD196" s="569"/>
      <c r="FE196" s="569"/>
      <c r="FF196" s="569"/>
      <c r="FG196" s="569"/>
      <c r="FH196" s="569"/>
      <c r="FI196" s="569"/>
      <c r="FJ196" s="569"/>
      <c r="FK196" s="569"/>
      <c r="FL196" s="569"/>
      <c r="FM196" s="569"/>
      <c r="FN196" s="569"/>
      <c r="FO196" s="569"/>
      <c r="FP196" s="569"/>
      <c r="FQ196" s="569"/>
      <c r="FR196" s="569"/>
      <c r="FS196" s="569"/>
      <c r="FT196" s="569"/>
      <c r="FU196" s="569"/>
      <c r="FV196" s="569"/>
      <c r="FW196" s="569"/>
      <c r="FX196" s="569"/>
      <c r="FY196" s="569"/>
      <c r="FZ196" s="569"/>
      <c r="GA196" s="569"/>
      <c r="GB196" s="569"/>
      <c r="GC196" s="569"/>
      <c r="GD196" s="569"/>
      <c r="GE196" s="569"/>
      <c r="GF196" s="569"/>
      <c r="GG196" s="569"/>
      <c r="GH196" s="569"/>
      <c r="GI196" s="569"/>
      <c r="GJ196" s="569"/>
      <c r="GK196" s="569"/>
      <c r="GL196" s="569"/>
      <c r="GM196" s="569"/>
      <c r="GN196" s="569"/>
      <c r="GO196" s="569"/>
      <c r="GP196" s="569"/>
      <c r="GQ196" s="569"/>
      <c r="GR196" s="569"/>
      <c r="GS196" s="569"/>
      <c r="GT196" s="569"/>
    </row>
    <row r="197" spans="2:202" s="554" customFormat="1" ht="18" customHeight="1">
      <c r="B197" s="561"/>
      <c r="C197" s="1142"/>
      <c r="D197" s="1142"/>
      <c r="E197" s="1142"/>
      <c r="F197" s="1142"/>
      <c r="G197" s="1142"/>
      <c r="H197" s="1142"/>
      <c r="I197" s="1142"/>
      <c r="J197" s="1142"/>
      <c r="K197" s="1142"/>
      <c r="L197" s="1142"/>
      <c r="M197" s="561"/>
      <c r="N197" s="561"/>
      <c r="O197" s="561"/>
      <c r="P197" s="561"/>
      <c r="Q197" s="578"/>
      <c r="R197" s="578"/>
      <c r="S197" s="578"/>
      <c r="T197" s="561"/>
      <c r="U197" s="578"/>
      <c r="V197" s="578"/>
      <c r="W197" s="578"/>
      <c r="X197" s="578"/>
      <c r="Y197" s="578"/>
      <c r="Z197" s="578"/>
      <c r="AA197" s="578"/>
      <c r="AB197" s="578"/>
      <c r="AC197" s="578"/>
      <c r="AD197" s="578"/>
      <c r="AE197" s="578"/>
      <c r="AF197" s="578"/>
      <c r="AG197" s="578"/>
      <c r="AH197" s="548"/>
      <c r="AI197" s="548"/>
      <c r="AJ197" s="548"/>
      <c r="AK197" s="548"/>
      <c r="AL197" s="548"/>
      <c r="AM197" s="548"/>
      <c r="AN197" s="548"/>
      <c r="AO197" s="548"/>
      <c r="AP197" s="548"/>
      <c r="AQ197" s="548"/>
      <c r="AR197" s="548"/>
      <c r="AS197" s="548"/>
      <c r="AT197" s="548"/>
      <c r="AU197" s="548"/>
      <c r="AV197" s="548"/>
      <c r="AW197" s="548"/>
      <c r="AX197" s="548"/>
      <c r="AY197" s="548"/>
      <c r="AZ197" s="548"/>
      <c r="BA197" s="548"/>
      <c r="BB197" s="548"/>
      <c r="BC197" s="548"/>
      <c r="BD197" s="569"/>
      <c r="BE197" s="569"/>
      <c r="BF197" s="569"/>
      <c r="BG197" s="569"/>
      <c r="BH197" s="569"/>
      <c r="BI197" s="569"/>
      <c r="BJ197" s="569"/>
      <c r="BK197" s="569"/>
      <c r="BL197" s="569"/>
      <c r="BM197" s="569"/>
      <c r="BN197" s="569"/>
      <c r="BO197" s="569"/>
      <c r="BP197" s="569"/>
      <c r="BQ197" s="569"/>
      <c r="BR197" s="569"/>
      <c r="BS197" s="569"/>
      <c r="BT197" s="569"/>
      <c r="BU197" s="569"/>
      <c r="BV197" s="569"/>
      <c r="BW197" s="569"/>
      <c r="BX197" s="569"/>
      <c r="BY197" s="569"/>
      <c r="BZ197" s="569"/>
      <c r="CA197" s="569"/>
      <c r="CB197" s="569"/>
      <c r="CC197" s="569"/>
      <c r="CD197" s="569"/>
      <c r="CE197" s="569"/>
      <c r="CF197" s="569"/>
      <c r="CG197" s="569"/>
      <c r="CH197" s="569"/>
      <c r="CI197" s="569"/>
      <c r="CJ197" s="569"/>
      <c r="CK197" s="569"/>
      <c r="CL197" s="569"/>
      <c r="CM197" s="569"/>
      <c r="CN197" s="569"/>
      <c r="CO197" s="569"/>
      <c r="CP197" s="569"/>
      <c r="CQ197" s="569"/>
      <c r="CR197" s="569"/>
      <c r="CS197" s="569"/>
      <c r="CT197" s="569"/>
      <c r="CU197" s="569"/>
      <c r="CV197" s="569"/>
      <c r="CW197" s="569"/>
      <c r="CX197" s="569"/>
      <c r="CY197" s="569"/>
      <c r="CZ197" s="569"/>
      <c r="DA197" s="569"/>
      <c r="DB197" s="569"/>
      <c r="DC197" s="569"/>
      <c r="DD197" s="569"/>
      <c r="DE197" s="569"/>
      <c r="DF197" s="569"/>
      <c r="DG197" s="569"/>
      <c r="DH197" s="569"/>
      <c r="DI197" s="569"/>
      <c r="DJ197" s="569"/>
      <c r="DK197" s="569"/>
      <c r="DL197" s="569"/>
      <c r="DM197" s="569"/>
      <c r="DN197" s="569"/>
      <c r="DO197" s="569"/>
      <c r="DP197" s="569"/>
      <c r="DQ197" s="569"/>
      <c r="DR197" s="569"/>
      <c r="DS197" s="569"/>
      <c r="DT197" s="569"/>
      <c r="DU197" s="569"/>
      <c r="DV197" s="569"/>
      <c r="DW197" s="569"/>
      <c r="DX197" s="569"/>
      <c r="DY197" s="569"/>
      <c r="DZ197" s="569"/>
      <c r="EA197" s="569"/>
      <c r="EB197" s="569"/>
      <c r="EC197" s="569"/>
      <c r="ED197" s="569"/>
      <c r="EE197" s="569"/>
      <c r="EF197" s="569"/>
      <c r="EG197" s="569"/>
      <c r="EH197" s="569"/>
      <c r="EI197" s="569"/>
      <c r="EJ197" s="569"/>
      <c r="EK197" s="569"/>
      <c r="EL197" s="569"/>
      <c r="EM197" s="569"/>
      <c r="EN197" s="569"/>
      <c r="EO197" s="569"/>
      <c r="EP197" s="569"/>
      <c r="EQ197" s="569"/>
      <c r="ER197" s="569"/>
      <c r="ES197" s="569"/>
      <c r="ET197" s="569"/>
      <c r="EU197" s="569"/>
      <c r="EV197" s="569"/>
      <c r="EW197" s="569"/>
      <c r="EX197" s="569"/>
      <c r="EY197" s="569"/>
      <c r="EZ197" s="569"/>
      <c r="FA197" s="569"/>
      <c r="FB197" s="569"/>
      <c r="FC197" s="569"/>
      <c r="FD197" s="569"/>
      <c r="FE197" s="569"/>
      <c r="FF197" s="569"/>
      <c r="FG197" s="569"/>
      <c r="FH197" s="569"/>
      <c r="FI197" s="569"/>
      <c r="FJ197" s="569"/>
      <c r="FK197" s="569"/>
      <c r="FL197" s="569"/>
      <c r="FM197" s="569"/>
      <c r="FN197" s="569"/>
      <c r="FO197" s="569"/>
      <c r="FP197" s="569"/>
      <c r="FQ197" s="569"/>
      <c r="FR197" s="569"/>
      <c r="FS197" s="569"/>
      <c r="FT197" s="569"/>
      <c r="FU197" s="569"/>
      <c r="FV197" s="569"/>
      <c r="FW197" s="569"/>
      <c r="FX197" s="569"/>
      <c r="FY197" s="569"/>
      <c r="FZ197" s="569"/>
      <c r="GA197" s="569"/>
      <c r="GB197" s="569"/>
      <c r="GC197" s="569"/>
      <c r="GD197" s="569"/>
      <c r="GE197" s="569"/>
      <c r="GF197" s="569"/>
      <c r="GG197" s="569"/>
      <c r="GH197" s="569"/>
      <c r="GI197" s="569"/>
      <c r="GJ197" s="569"/>
      <c r="GK197" s="569"/>
      <c r="GL197" s="569"/>
      <c r="GM197" s="569"/>
      <c r="GN197" s="569"/>
      <c r="GO197" s="569"/>
      <c r="GP197" s="569"/>
      <c r="GQ197" s="569"/>
      <c r="GR197" s="569"/>
      <c r="GS197" s="569"/>
      <c r="GT197" s="569"/>
    </row>
    <row r="198" spans="2:202" s="554" customFormat="1" ht="18" customHeight="1">
      <c r="B198" s="561"/>
      <c r="C198" s="1142"/>
      <c r="D198" s="1142"/>
      <c r="E198" s="1142"/>
      <c r="F198" s="1142"/>
      <c r="G198" s="1142"/>
      <c r="H198" s="1142"/>
      <c r="I198" s="1142"/>
      <c r="J198" s="1142"/>
      <c r="K198" s="1142"/>
      <c r="L198" s="1142"/>
      <c r="M198" s="561"/>
      <c r="N198" s="561"/>
      <c r="O198" s="561"/>
      <c r="P198" s="561"/>
      <c r="Q198" s="578"/>
      <c r="R198" s="578"/>
      <c r="S198" s="578"/>
      <c r="T198" s="561"/>
      <c r="U198" s="578"/>
      <c r="V198" s="578"/>
      <c r="W198" s="578"/>
      <c r="X198" s="578"/>
      <c r="Y198" s="578"/>
      <c r="Z198" s="578"/>
      <c r="AA198" s="578"/>
      <c r="AB198" s="578"/>
      <c r="AC198" s="578"/>
      <c r="AD198" s="578"/>
      <c r="AE198" s="578"/>
      <c r="AF198" s="578"/>
      <c r="AG198" s="578"/>
      <c r="AH198" s="548"/>
      <c r="AI198" s="548"/>
      <c r="AJ198" s="548"/>
      <c r="AK198" s="548"/>
      <c r="AL198" s="548"/>
      <c r="AM198" s="548"/>
      <c r="AN198" s="548"/>
      <c r="AO198" s="548"/>
      <c r="AP198" s="548"/>
      <c r="AQ198" s="548"/>
      <c r="AR198" s="548"/>
      <c r="AS198" s="548"/>
      <c r="AT198" s="548"/>
      <c r="AU198" s="548"/>
      <c r="AV198" s="548"/>
      <c r="AW198" s="548"/>
      <c r="AX198" s="548"/>
      <c r="AY198" s="548"/>
      <c r="AZ198" s="548"/>
      <c r="BA198" s="548"/>
      <c r="BB198" s="548"/>
      <c r="BC198" s="548"/>
      <c r="BD198" s="569"/>
      <c r="BE198" s="569"/>
      <c r="BF198" s="569"/>
      <c r="BG198" s="569"/>
      <c r="BH198" s="569"/>
      <c r="BI198" s="569"/>
      <c r="BJ198" s="569"/>
      <c r="BK198" s="569"/>
      <c r="BL198" s="569"/>
      <c r="BM198" s="569"/>
      <c r="BN198" s="569"/>
      <c r="BO198" s="569"/>
      <c r="BP198" s="569"/>
      <c r="BQ198" s="569"/>
      <c r="BR198" s="569"/>
      <c r="BS198" s="569"/>
      <c r="BT198" s="569"/>
      <c r="BU198" s="569"/>
      <c r="BV198" s="569"/>
      <c r="BW198" s="569"/>
      <c r="BX198" s="569"/>
      <c r="BY198" s="569"/>
      <c r="BZ198" s="569"/>
      <c r="CA198" s="569"/>
      <c r="CB198" s="569"/>
      <c r="CC198" s="569"/>
      <c r="CD198" s="569"/>
      <c r="CE198" s="569"/>
      <c r="CF198" s="569"/>
      <c r="CG198" s="569"/>
      <c r="CH198" s="569"/>
      <c r="CI198" s="569"/>
      <c r="CJ198" s="569"/>
      <c r="CK198" s="569"/>
      <c r="CL198" s="569"/>
      <c r="CM198" s="569"/>
      <c r="CN198" s="569"/>
      <c r="CO198" s="569"/>
      <c r="CP198" s="569"/>
      <c r="CQ198" s="569"/>
      <c r="CR198" s="569"/>
      <c r="CS198" s="569"/>
      <c r="CT198" s="569"/>
      <c r="CU198" s="569"/>
      <c r="CV198" s="569"/>
      <c r="CW198" s="569"/>
      <c r="CX198" s="569"/>
      <c r="CY198" s="569"/>
      <c r="CZ198" s="569"/>
      <c r="DA198" s="569"/>
      <c r="DB198" s="569"/>
      <c r="DC198" s="569"/>
      <c r="DD198" s="569"/>
      <c r="DE198" s="569"/>
      <c r="DF198" s="569"/>
      <c r="DG198" s="569"/>
      <c r="DH198" s="569"/>
      <c r="DI198" s="569"/>
      <c r="DJ198" s="569"/>
      <c r="DK198" s="569"/>
      <c r="DL198" s="569"/>
      <c r="DM198" s="569"/>
      <c r="DN198" s="569"/>
      <c r="DO198" s="569"/>
      <c r="DP198" s="569"/>
      <c r="DQ198" s="569"/>
      <c r="DR198" s="569"/>
      <c r="DS198" s="569"/>
      <c r="DT198" s="569"/>
      <c r="DU198" s="569"/>
      <c r="DV198" s="569"/>
      <c r="DW198" s="569"/>
      <c r="DX198" s="569"/>
      <c r="DY198" s="569"/>
      <c r="DZ198" s="569"/>
      <c r="EA198" s="569"/>
      <c r="EB198" s="569"/>
      <c r="EC198" s="569"/>
      <c r="ED198" s="569"/>
      <c r="EE198" s="569"/>
      <c r="EF198" s="569"/>
      <c r="EG198" s="569"/>
      <c r="EH198" s="569"/>
      <c r="EI198" s="569"/>
      <c r="EJ198" s="569"/>
      <c r="EK198" s="569"/>
      <c r="EL198" s="569"/>
      <c r="EM198" s="569"/>
      <c r="EN198" s="569"/>
      <c r="EO198" s="569"/>
      <c r="EP198" s="569"/>
      <c r="EQ198" s="569"/>
      <c r="ER198" s="569"/>
      <c r="ES198" s="569"/>
      <c r="ET198" s="569"/>
      <c r="EU198" s="569"/>
      <c r="EV198" s="569"/>
      <c r="EW198" s="569"/>
      <c r="EX198" s="569"/>
      <c r="EY198" s="569"/>
      <c r="EZ198" s="569"/>
      <c r="FA198" s="569"/>
      <c r="FB198" s="569"/>
      <c r="FC198" s="569"/>
      <c r="FD198" s="569"/>
      <c r="FE198" s="569"/>
      <c r="FF198" s="569"/>
      <c r="FG198" s="569"/>
      <c r="FH198" s="569"/>
      <c r="FI198" s="569"/>
      <c r="FJ198" s="569"/>
      <c r="FK198" s="569"/>
      <c r="FL198" s="569"/>
      <c r="FM198" s="569"/>
      <c r="FN198" s="569"/>
      <c r="FO198" s="569"/>
      <c r="FP198" s="569"/>
      <c r="FQ198" s="569"/>
      <c r="FR198" s="569"/>
      <c r="FS198" s="569"/>
      <c r="FT198" s="569"/>
      <c r="FU198" s="569"/>
      <c r="FV198" s="569"/>
      <c r="FW198" s="569"/>
      <c r="FX198" s="569"/>
      <c r="FY198" s="569"/>
      <c r="FZ198" s="569"/>
      <c r="GA198" s="569"/>
      <c r="GB198" s="569"/>
      <c r="GC198" s="569"/>
      <c r="GD198" s="569"/>
      <c r="GE198" s="569"/>
      <c r="GF198" s="569"/>
      <c r="GG198" s="569"/>
      <c r="GH198" s="569"/>
      <c r="GI198" s="569"/>
      <c r="GJ198" s="569"/>
      <c r="GK198" s="569"/>
      <c r="GL198" s="569"/>
      <c r="GM198" s="569"/>
      <c r="GN198" s="569"/>
      <c r="GO198" s="569"/>
      <c r="GP198" s="569"/>
      <c r="GQ198" s="569"/>
      <c r="GR198" s="569"/>
      <c r="GS198" s="569"/>
      <c r="GT198" s="569"/>
    </row>
    <row r="199" spans="2:202" s="554" customFormat="1" ht="18" customHeight="1">
      <c r="B199" s="561"/>
      <c r="C199" s="1142"/>
      <c r="D199" s="1142"/>
      <c r="E199" s="1142"/>
      <c r="F199" s="1142"/>
      <c r="G199" s="1142"/>
      <c r="H199" s="1142"/>
      <c r="I199" s="1142"/>
      <c r="J199" s="1142"/>
      <c r="K199" s="1142"/>
      <c r="L199" s="1142"/>
      <c r="M199" s="561"/>
      <c r="N199" s="561"/>
      <c r="O199" s="561"/>
      <c r="P199" s="561"/>
      <c r="Q199" s="578"/>
      <c r="R199" s="578"/>
      <c r="S199" s="578"/>
      <c r="T199" s="561"/>
      <c r="U199" s="578"/>
      <c r="V199" s="578"/>
      <c r="W199" s="578"/>
      <c r="X199" s="578"/>
      <c r="Y199" s="578"/>
      <c r="Z199" s="578"/>
      <c r="AA199" s="578"/>
      <c r="AB199" s="578"/>
      <c r="AC199" s="578"/>
      <c r="AD199" s="578"/>
      <c r="AE199" s="578"/>
      <c r="AF199" s="578"/>
      <c r="AG199" s="578"/>
      <c r="AH199" s="548"/>
      <c r="AI199" s="548"/>
      <c r="AJ199" s="548"/>
      <c r="AK199" s="548"/>
      <c r="AL199" s="548"/>
      <c r="AM199" s="548"/>
      <c r="AN199" s="548"/>
      <c r="AO199" s="548"/>
      <c r="AP199" s="548"/>
      <c r="AQ199" s="548"/>
      <c r="AR199" s="548"/>
      <c r="AS199" s="548"/>
      <c r="AT199" s="548"/>
      <c r="AU199" s="548"/>
      <c r="AV199" s="548"/>
      <c r="AW199" s="548"/>
      <c r="AX199" s="548"/>
      <c r="AY199" s="548"/>
      <c r="AZ199" s="548"/>
      <c r="BA199" s="548"/>
      <c r="BB199" s="548"/>
      <c r="BC199" s="548"/>
      <c r="BD199" s="569"/>
      <c r="BE199" s="569"/>
      <c r="BF199" s="569"/>
      <c r="BG199" s="569"/>
      <c r="BH199" s="569"/>
      <c r="BI199" s="569"/>
      <c r="BJ199" s="569"/>
      <c r="BK199" s="569"/>
      <c r="BL199" s="569"/>
      <c r="BM199" s="569"/>
      <c r="BN199" s="569"/>
      <c r="BO199" s="569"/>
      <c r="BP199" s="569"/>
      <c r="BQ199" s="569"/>
      <c r="BR199" s="569"/>
      <c r="BS199" s="569"/>
      <c r="BT199" s="569"/>
      <c r="BU199" s="569"/>
      <c r="BV199" s="569"/>
      <c r="BW199" s="569"/>
      <c r="BX199" s="569"/>
      <c r="BY199" s="569"/>
      <c r="BZ199" s="569"/>
      <c r="CA199" s="569"/>
      <c r="CB199" s="569"/>
      <c r="CC199" s="569"/>
      <c r="CD199" s="569"/>
      <c r="CE199" s="569"/>
      <c r="CF199" s="569"/>
      <c r="CG199" s="569"/>
      <c r="CH199" s="569"/>
      <c r="CI199" s="569"/>
      <c r="CJ199" s="569"/>
      <c r="CK199" s="569"/>
      <c r="CL199" s="569"/>
      <c r="CM199" s="569"/>
      <c r="CN199" s="569"/>
      <c r="CO199" s="569"/>
      <c r="CP199" s="569"/>
      <c r="CQ199" s="569"/>
      <c r="CR199" s="569"/>
      <c r="CS199" s="569"/>
      <c r="CT199" s="569"/>
      <c r="CU199" s="569"/>
      <c r="CV199" s="569"/>
      <c r="CW199" s="569"/>
      <c r="CX199" s="569"/>
      <c r="CY199" s="569"/>
      <c r="CZ199" s="569"/>
      <c r="DA199" s="569"/>
      <c r="DB199" s="569"/>
      <c r="DC199" s="569"/>
      <c r="DD199" s="569"/>
      <c r="DE199" s="569"/>
      <c r="DF199" s="569"/>
      <c r="DG199" s="569"/>
      <c r="DH199" s="569"/>
      <c r="DI199" s="569"/>
      <c r="DJ199" s="569"/>
      <c r="DK199" s="569"/>
      <c r="DL199" s="569"/>
      <c r="DM199" s="569"/>
      <c r="DN199" s="569"/>
      <c r="DO199" s="569"/>
      <c r="DP199" s="569"/>
      <c r="DQ199" s="569"/>
      <c r="DR199" s="569"/>
      <c r="DS199" s="569"/>
      <c r="DT199" s="569"/>
      <c r="DU199" s="569"/>
      <c r="DV199" s="569"/>
      <c r="DW199" s="569"/>
      <c r="DX199" s="569"/>
      <c r="DY199" s="569"/>
      <c r="DZ199" s="569"/>
      <c r="EA199" s="569"/>
      <c r="EB199" s="569"/>
      <c r="EC199" s="569"/>
      <c r="ED199" s="569"/>
      <c r="EE199" s="569"/>
      <c r="EF199" s="569"/>
      <c r="EG199" s="569"/>
      <c r="EH199" s="569"/>
      <c r="EI199" s="569"/>
      <c r="EJ199" s="569"/>
      <c r="EK199" s="569"/>
      <c r="EL199" s="569"/>
      <c r="EM199" s="569"/>
      <c r="EN199" s="569"/>
      <c r="EO199" s="569"/>
      <c r="EP199" s="569"/>
      <c r="EQ199" s="569"/>
      <c r="ER199" s="569"/>
      <c r="ES199" s="569"/>
      <c r="ET199" s="569"/>
      <c r="EU199" s="569"/>
      <c r="EV199" s="569"/>
      <c r="EW199" s="569"/>
      <c r="EX199" s="569"/>
      <c r="EY199" s="569"/>
      <c r="EZ199" s="569"/>
      <c r="FA199" s="569"/>
      <c r="FB199" s="569"/>
      <c r="FC199" s="569"/>
      <c r="FD199" s="569"/>
      <c r="FE199" s="569"/>
      <c r="FF199" s="569"/>
      <c r="FG199" s="569"/>
      <c r="FH199" s="569"/>
      <c r="FI199" s="569"/>
      <c r="FJ199" s="569"/>
      <c r="FK199" s="569"/>
      <c r="FL199" s="569"/>
      <c r="FM199" s="569"/>
      <c r="FN199" s="569"/>
      <c r="FO199" s="569"/>
      <c r="FP199" s="569"/>
      <c r="FQ199" s="569"/>
      <c r="FR199" s="569"/>
      <c r="FS199" s="569"/>
      <c r="FT199" s="569"/>
      <c r="FU199" s="569"/>
      <c r="FV199" s="569"/>
      <c r="FW199" s="569"/>
      <c r="FX199" s="569"/>
      <c r="FY199" s="569"/>
      <c r="FZ199" s="569"/>
      <c r="GA199" s="569"/>
      <c r="GB199" s="569"/>
      <c r="GC199" s="569"/>
      <c r="GD199" s="569"/>
      <c r="GE199" s="569"/>
      <c r="GF199" s="569"/>
      <c r="GG199" s="569"/>
      <c r="GH199" s="569"/>
      <c r="GI199" s="569"/>
      <c r="GJ199" s="569"/>
      <c r="GK199" s="569"/>
      <c r="GL199" s="569"/>
      <c r="GM199" s="569"/>
      <c r="GN199" s="569"/>
      <c r="GO199" s="569"/>
      <c r="GP199" s="569"/>
      <c r="GQ199" s="569"/>
      <c r="GR199" s="569"/>
      <c r="GS199" s="569"/>
      <c r="GT199" s="569"/>
    </row>
    <row r="200" spans="2:202" s="554" customFormat="1" ht="18" customHeight="1">
      <c r="B200" s="561"/>
      <c r="C200" s="1142"/>
      <c r="D200" s="1142"/>
      <c r="E200" s="1142"/>
      <c r="F200" s="1142"/>
      <c r="G200" s="1142"/>
      <c r="H200" s="1142"/>
      <c r="I200" s="1142"/>
      <c r="J200" s="1142"/>
      <c r="K200" s="1142"/>
      <c r="L200" s="1142"/>
      <c r="M200" s="561"/>
      <c r="N200" s="561"/>
      <c r="O200" s="561"/>
      <c r="P200" s="561"/>
      <c r="Q200" s="578"/>
      <c r="R200" s="578"/>
      <c r="S200" s="578"/>
      <c r="T200" s="561"/>
      <c r="U200" s="578"/>
      <c r="V200" s="578"/>
      <c r="W200" s="578"/>
      <c r="X200" s="578"/>
      <c r="Y200" s="578"/>
      <c r="Z200" s="578"/>
      <c r="AA200" s="578"/>
      <c r="AB200" s="578"/>
      <c r="AC200" s="578"/>
      <c r="AD200" s="578"/>
      <c r="AE200" s="578"/>
      <c r="AF200" s="578"/>
      <c r="AG200" s="578"/>
      <c r="AH200" s="548"/>
      <c r="AI200" s="548"/>
      <c r="AJ200" s="548"/>
      <c r="AK200" s="548"/>
      <c r="AL200" s="548"/>
      <c r="AM200" s="548"/>
      <c r="AN200" s="548"/>
      <c r="AO200" s="548"/>
      <c r="AP200" s="548"/>
      <c r="AQ200" s="548"/>
      <c r="AR200" s="548"/>
      <c r="AS200" s="548"/>
      <c r="AT200" s="548"/>
      <c r="AU200" s="548"/>
      <c r="AV200" s="548"/>
      <c r="AW200" s="548"/>
      <c r="AX200" s="548"/>
      <c r="AY200" s="548"/>
      <c r="AZ200" s="548"/>
      <c r="BA200" s="548"/>
      <c r="BB200" s="548"/>
      <c r="BC200" s="548"/>
      <c r="BD200" s="569"/>
      <c r="BE200" s="569"/>
      <c r="BF200" s="569"/>
      <c r="BG200" s="569"/>
      <c r="BH200" s="569"/>
      <c r="BI200" s="569"/>
      <c r="BJ200" s="569"/>
      <c r="BK200" s="569"/>
      <c r="BL200" s="569"/>
      <c r="BM200" s="569"/>
      <c r="BN200" s="569"/>
      <c r="BO200" s="569"/>
      <c r="BP200" s="569"/>
      <c r="BQ200" s="569"/>
      <c r="BR200" s="569"/>
      <c r="BS200" s="569"/>
      <c r="BT200" s="569"/>
      <c r="BU200" s="569"/>
      <c r="BV200" s="569"/>
      <c r="BW200" s="569"/>
      <c r="BX200" s="569"/>
      <c r="BY200" s="569"/>
      <c r="BZ200" s="569"/>
      <c r="CA200" s="569"/>
      <c r="CB200" s="569"/>
      <c r="CC200" s="569"/>
      <c r="CD200" s="569"/>
      <c r="CE200" s="569"/>
      <c r="CF200" s="569"/>
      <c r="CG200" s="569"/>
      <c r="CH200" s="569"/>
      <c r="CI200" s="569"/>
      <c r="CJ200" s="569"/>
      <c r="CK200" s="569"/>
      <c r="CL200" s="569"/>
      <c r="CM200" s="569"/>
      <c r="CN200" s="569"/>
      <c r="CO200" s="569"/>
      <c r="CP200" s="569"/>
      <c r="CQ200" s="569"/>
      <c r="CR200" s="569"/>
      <c r="CS200" s="569"/>
      <c r="CT200" s="569"/>
      <c r="CU200" s="569"/>
      <c r="CV200" s="569"/>
      <c r="CW200" s="569"/>
      <c r="CX200" s="569"/>
      <c r="CY200" s="569"/>
      <c r="CZ200" s="569"/>
      <c r="DA200" s="569"/>
      <c r="DB200" s="569"/>
      <c r="DC200" s="569"/>
      <c r="DD200" s="569"/>
      <c r="DE200" s="569"/>
      <c r="DF200" s="569"/>
      <c r="DG200" s="569"/>
      <c r="DH200" s="569"/>
      <c r="DI200" s="569"/>
      <c r="DJ200" s="569"/>
      <c r="DK200" s="569"/>
      <c r="DL200" s="569"/>
      <c r="DM200" s="569"/>
      <c r="DN200" s="569"/>
      <c r="DO200" s="569"/>
      <c r="DP200" s="569"/>
      <c r="DQ200" s="569"/>
      <c r="DR200" s="569"/>
      <c r="DS200" s="569"/>
      <c r="DT200" s="569"/>
      <c r="DU200" s="569"/>
      <c r="DV200" s="569"/>
      <c r="DW200" s="569"/>
      <c r="DX200" s="569"/>
      <c r="DY200" s="569"/>
      <c r="DZ200" s="569"/>
      <c r="EA200" s="569"/>
      <c r="EB200" s="569"/>
      <c r="EC200" s="569"/>
      <c r="ED200" s="569"/>
      <c r="EE200" s="569"/>
      <c r="EF200" s="569"/>
      <c r="EG200" s="569"/>
      <c r="EH200" s="569"/>
      <c r="EI200" s="569"/>
      <c r="EJ200" s="569"/>
      <c r="EK200" s="569"/>
      <c r="EL200" s="569"/>
      <c r="EM200" s="569"/>
      <c r="EN200" s="569"/>
      <c r="EO200" s="569"/>
      <c r="EP200" s="569"/>
      <c r="EQ200" s="569"/>
      <c r="ER200" s="569"/>
      <c r="ES200" s="569"/>
      <c r="ET200" s="569"/>
      <c r="EU200" s="569"/>
      <c r="EV200" s="569"/>
      <c r="EW200" s="569"/>
      <c r="EX200" s="569"/>
      <c r="EY200" s="569"/>
      <c r="EZ200" s="569"/>
      <c r="FA200" s="569"/>
      <c r="FB200" s="569"/>
      <c r="FC200" s="569"/>
      <c r="FD200" s="569"/>
      <c r="FE200" s="569"/>
      <c r="FF200" s="569"/>
      <c r="FG200" s="569"/>
      <c r="FH200" s="569"/>
      <c r="FI200" s="569"/>
      <c r="FJ200" s="569"/>
      <c r="FK200" s="569"/>
      <c r="FL200" s="569"/>
      <c r="FM200" s="569"/>
      <c r="FN200" s="569"/>
      <c r="FO200" s="569"/>
      <c r="FP200" s="569"/>
      <c r="FQ200" s="569"/>
      <c r="FR200" s="569"/>
      <c r="FS200" s="569"/>
      <c r="FT200" s="569"/>
      <c r="FU200" s="569"/>
      <c r="FV200" s="569"/>
      <c r="FW200" s="569"/>
      <c r="FX200" s="569"/>
      <c r="FY200" s="569"/>
      <c r="FZ200" s="569"/>
      <c r="GA200" s="569"/>
      <c r="GB200" s="569"/>
      <c r="GC200" s="569"/>
      <c r="GD200" s="569"/>
      <c r="GE200" s="569"/>
      <c r="GF200" s="569"/>
      <c r="GG200" s="569"/>
      <c r="GH200" s="569"/>
      <c r="GI200" s="569"/>
      <c r="GJ200" s="569"/>
      <c r="GK200" s="569"/>
      <c r="GL200" s="569"/>
      <c r="GM200" s="569"/>
      <c r="GN200" s="569"/>
      <c r="GO200" s="569"/>
      <c r="GP200" s="569"/>
      <c r="GQ200" s="569"/>
      <c r="GR200" s="569"/>
      <c r="GS200" s="569"/>
      <c r="GT200" s="569"/>
    </row>
    <row r="201" spans="2:202" s="554" customFormat="1" ht="18" customHeight="1">
      <c r="B201" s="561"/>
      <c r="C201" s="1142"/>
      <c r="D201" s="1142"/>
      <c r="E201" s="1142"/>
      <c r="F201" s="1142"/>
      <c r="G201" s="1142"/>
      <c r="H201" s="1142"/>
      <c r="I201" s="1142"/>
      <c r="J201" s="1142"/>
      <c r="K201" s="1142"/>
      <c r="L201" s="1142"/>
      <c r="M201" s="561"/>
      <c r="N201" s="561"/>
      <c r="O201" s="561"/>
      <c r="P201" s="561"/>
      <c r="Q201" s="578"/>
      <c r="R201" s="578"/>
      <c r="S201" s="578"/>
      <c r="T201" s="578"/>
      <c r="U201" s="578"/>
      <c r="V201" s="578"/>
      <c r="W201" s="578"/>
      <c r="X201" s="578"/>
      <c r="Y201" s="578"/>
      <c r="Z201" s="578"/>
      <c r="AA201" s="578"/>
      <c r="AB201" s="578"/>
      <c r="AC201" s="578"/>
      <c r="AD201" s="578"/>
      <c r="AE201" s="578"/>
      <c r="AF201" s="578"/>
      <c r="AG201" s="578"/>
      <c r="AH201" s="548"/>
      <c r="AI201" s="548"/>
      <c r="AJ201" s="548"/>
      <c r="AK201" s="548"/>
      <c r="AL201" s="548"/>
      <c r="AM201" s="548"/>
      <c r="AN201" s="548"/>
      <c r="AO201" s="548"/>
      <c r="AP201" s="548"/>
      <c r="AQ201" s="548"/>
      <c r="AR201" s="548"/>
      <c r="AS201" s="548"/>
      <c r="AT201" s="548"/>
      <c r="AU201" s="548"/>
      <c r="AV201" s="548"/>
      <c r="AW201" s="548"/>
      <c r="AX201" s="548"/>
      <c r="AY201" s="548"/>
      <c r="AZ201" s="548"/>
      <c r="BA201" s="548"/>
      <c r="BB201" s="548"/>
      <c r="BC201" s="548"/>
      <c r="BD201" s="569"/>
      <c r="BE201" s="569"/>
      <c r="BF201" s="569"/>
      <c r="BG201" s="569"/>
      <c r="BH201" s="569"/>
      <c r="BI201" s="569"/>
      <c r="BJ201" s="569"/>
      <c r="BK201" s="569"/>
      <c r="BL201" s="569"/>
      <c r="BM201" s="569"/>
      <c r="BN201" s="569"/>
      <c r="BO201" s="569"/>
      <c r="BP201" s="569"/>
      <c r="BQ201" s="569"/>
      <c r="BR201" s="569"/>
      <c r="BS201" s="569"/>
      <c r="BT201" s="569"/>
      <c r="BU201" s="569"/>
      <c r="BV201" s="569"/>
      <c r="BW201" s="569"/>
      <c r="BX201" s="569"/>
      <c r="BY201" s="569"/>
      <c r="BZ201" s="569"/>
      <c r="CA201" s="569"/>
      <c r="CB201" s="569"/>
      <c r="CC201" s="569"/>
      <c r="CD201" s="569"/>
      <c r="CE201" s="569"/>
      <c r="CF201" s="569"/>
      <c r="CG201" s="569"/>
      <c r="CH201" s="569"/>
      <c r="CI201" s="569"/>
      <c r="CJ201" s="569"/>
      <c r="CK201" s="569"/>
      <c r="CL201" s="569"/>
      <c r="CM201" s="569"/>
      <c r="CN201" s="569"/>
      <c r="CO201" s="569"/>
      <c r="CP201" s="569"/>
      <c r="CQ201" s="569"/>
      <c r="CR201" s="569"/>
      <c r="CS201" s="569"/>
      <c r="CT201" s="569"/>
      <c r="CU201" s="569"/>
      <c r="CV201" s="569"/>
      <c r="CW201" s="569"/>
      <c r="CX201" s="569"/>
      <c r="CY201" s="569"/>
      <c r="CZ201" s="569"/>
      <c r="DA201" s="569"/>
      <c r="DB201" s="569"/>
      <c r="DC201" s="569"/>
      <c r="DD201" s="569"/>
      <c r="DE201" s="569"/>
      <c r="DF201" s="569"/>
      <c r="DG201" s="569"/>
      <c r="DH201" s="569"/>
      <c r="DI201" s="569"/>
      <c r="DJ201" s="569"/>
      <c r="DK201" s="569"/>
      <c r="DL201" s="569"/>
      <c r="DM201" s="569"/>
      <c r="DN201" s="569"/>
      <c r="DO201" s="569"/>
      <c r="DP201" s="569"/>
      <c r="DQ201" s="569"/>
      <c r="DR201" s="569"/>
      <c r="DS201" s="569"/>
      <c r="DT201" s="569"/>
      <c r="DU201" s="569"/>
      <c r="DV201" s="569"/>
      <c r="DW201" s="569"/>
      <c r="DX201" s="569"/>
      <c r="DY201" s="569"/>
      <c r="DZ201" s="569"/>
      <c r="EA201" s="569"/>
      <c r="EB201" s="569"/>
      <c r="EC201" s="569"/>
      <c r="ED201" s="569"/>
      <c r="EE201" s="569"/>
      <c r="EF201" s="569"/>
      <c r="EG201" s="569"/>
      <c r="EH201" s="569"/>
      <c r="EI201" s="569"/>
      <c r="EJ201" s="569"/>
      <c r="EK201" s="569"/>
      <c r="EL201" s="569"/>
      <c r="EM201" s="569"/>
      <c r="EN201" s="569"/>
      <c r="EO201" s="569"/>
      <c r="EP201" s="569"/>
      <c r="EQ201" s="569"/>
      <c r="ER201" s="569"/>
      <c r="ES201" s="569"/>
      <c r="ET201" s="569"/>
      <c r="EU201" s="569"/>
      <c r="EV201" s="569"/>
      <c r="EW201" s="569"/>
      <c r="EX201" s="569"/>
      <c r="EY201" s="569"/>
      <c r="EZ201" s="569"/>
      <c r="FA201" s="569"/>
      <c r="FB201" s="569"/>
      <c r="FC201" s="569"/>
      <c r="FD201" s="569"/>
      <c r="FE201" s="569"/>
      <c r="FF201" s="569"/>
      <c r="FG201" s="569"/>
      <c r="FH201" s="569"/>
      <c r="FI201" s="569"/>
      <c r="FJ201" s="569"/>
      <c r="FK201" s="569"/>
      <c r="FL201" s="569"/>
      <c r="FM201" s="569"/>
      <c r="FN201" s="569"/>
      <c r="FO201" s="569"/>
      <c r="FP201" s="569"/>
      <c r="FQ201" s="569"/>
      <c r="FR201" s="569"/>
      <c r="FS201" s="569"/>
      <c r="FT201" s="569"/>
      <c r="FU201" s="569"/>
      <c r="FV201" s="569"/>
      <c r="FW201" s="569"/>
      <c r="FX201" s="569"/>
      <c r="FY201" s="569"/>
      <c r="FZ201" s="569"/>
      <c r="GA201" s="569"/>
      <c r="GB201" s="569"/>
      <c r="GC201" s="569"/>
      <c r="GD201" s="569"/>
      <c r="GE201" s="569"/>
      <c r="GF201" s="569"/>
      <c r="GG201" s="569"/>
      <c r="GH201" s="569"/>
      <c r="GI201" s="569"/>
      <c r="GJ201" s="569"/>
      <c r="GK201" s="569"/>
      <c r="GL201" s="569"/>
      <c r="GM201" s="569"/>
      <c r="GN201" s="569"/>
      <c r="GO201" s="569"/>
      <c r="GP201" s="569"/>
      <c r="GQ201" s="569"/>
      <c r="GR201" s="569"/>
      <c r="GS201" s="569"/>
      <c r="GT201" s="569"/>
    </row>
    <row r="202" spans="2:202" s="554" customFormat="1" ht="18" customHeight="1">
      <c r="B202" s="561"/>
      <c r="C202" s="1142"/>
      <c r="D202" s="1142"/>
      <c r="E202" s="1142"/>
      <c r="F202" s="1142"/>
      <c r="G202" s="1142"/>
      <c r="H202" s="1142"/>
      <c r="I202" s="1142"/>
      <c r="J202" s="1142"/>
      <c r="K202" s="1142"/>
      <c r="L202" s="1142"/>
      <c r="M202" s="561"/>
      <c r="N202" s="561"/>
      <c r="O202" s="561"/>
      <c r="P202" s="561"/>
      <c r="Q202" s="578"/>
      <c r="R202" s="578"/>
      <c r="S202" s="578"/>
      <c r="T202" s="578"/>
      <c r="U202" s="578"/>
      <c r="V202" s="578"/>
      <c r="W202" s="578"/>
      <c r="X202" s="578"/>
      <c r="Y202" s="578"/>
      <c r="Z202" s="578"/>
      <c r="AA202" s="578"/>
      <c r="AB202" s="578"/>
      <c r="AC202" s="578"/>
      <c r="AD202" s="578"/>
      <c r="AE202" s="578"/>
      <c r="AF202" s="578"/>
      <c r="AG202" s="578"/>
      <c r="AH202" s="548"/>
      <c r="AI202" s="548"/>
      <c r="AJ202" s="548"/>
      <c r="AK202" s="548"/>
      <c r="AL202" s="548"/>
      <c r="AM202" s="548"/>
      <c r="AN202" s="548"/>
      <c r="AO202" s="548"/>
      <c r="AP202" s="548"/>
      <c r="AQ202" s="548"/>
      <c r="AR202" s="548"/>
      <c r="AS202" s="548"/>
      <c r="AT202" s="548"/>
      <c r="AU202" s="548"/>
      <c r="AV202" s="548"/>
      <c r="AW202" s="548"/>
      <c r="AX202" s="548"/>
      <c r="AY202" s="548"/>
      <c r="AZ202" s="548"/>
      <c r="BA202" s="548"/>
      <c r="BB202" s="548"/>
      <c r="BC202" s="548"/>
      <c r="BD202" s="569"/>
      <c r="BE202" s="569"/>
      <c r="BF202" s="569"/>
      <c r="BG202" s="569"/>
      <c r="BH202" s="569"/>
      <c r="BI202" s="569"/>
      <c r="BJ202" s="569"/>
      <c r="BK202" s="569"/>
      <c r="BL202" s="569"/>
      <c r="BM202" s="569"/>
      <c r="BN202" s="569"/>
      <c r="BO202" s="569"/>
      <c r="BP202" s="569"/>
      <c r="BQ202" s="569"/>
      <c r="BR202" s="569"/>
      <c r="BS202" s="569"/>
      <c r="BT202" s="569"/>
      <c r="BU202" s="569"/>
      <c r="BV202" s="569"/>
      <c r="BW202" s="569"/>
      <c r="BX202" s="569"/>
      <c r="BY202" s="569"/>
      <c r="BZ202" s="569"/>
      <c r="CA202" s="569"/>
      <c r="CB202" s="569"/>
      <c r="CC202" s="569"/>
      <c r="CD202" s="569"/>
      <c r="CE202" s="569"/>
      <c r="CF202" s="569"/>
      <c r="CG202" s="569"/>
      <c r="CH202" s="569"/>
      <c r="CI202" s="569"/>
      <c r="CJ202" s="569"/>
      <c r="CK202" s="569"/>
      <c r="CL202" s="569"/>
      <c r="CM202" s="569"/>
      <c r="CN202" s="569"/>
      <c r="CO202" s="569"/>
      <c r="CP202" s="569"/>
      <c r="CQ202" s="569"/>
      <c r="CR202" s="569"/>
      <c r="CS202" s="569"/>
      <c r="CT202" s="569"/>
      <c r="CU202" s="569"/>
      <c r="CV202" s="569"/>
      <c r="CW202" s="569"/>
      <c r="CX202" s="569"/>
      <c r="CY202" s="569"/>
      <c r="CZ202" s="569"/>
      <c r="DA202" s="569"/>
      <c r="DB202" s="569"/>
      <c r="DC202" s="569"/>
      <c r="DD202" s="569"/>
      <c r="DE202" s="569"/>
      <c r="DF202" s="569"/>
      <c r="DG202" s="569"/>
      <c r="DH202" s="569"/>
      <c r="DI202" s="569"/>
      <c r="DJ202" s="569"/>
      <c r="DK202" s="569"/>
      <c r="DL202" s="569"/>
      <c r="DM202" s="569"/>
      <c r="DN202" s="569"/>
      <c r="DO202" s="569"/>
      <c r="DP202" s="569"/>
      <c r="DQ202" s="569"/>
      <c r="DR202" s="569"/>
      <c r="DS202" s="569"/>
      <c r="DT202" s="569"/>
      <c r="DU202" s="569"/>
      <c r="DV202" s="569"/>
      <c r="DW202" s="569"/>
      <c r="DX202" s="569"/>
      <c r="DY202" s="569"/>
      <c r="DZ202" s="569"/>
      <c r="EA202" s="569"/>
      <c r="EB202" s="569"/>
      <c r="EC202" s="569"/>
      <c r="ED202" s="569"/>
      <c r="EE202" s="569"/>
      <c r="EF202" s="569"/>
      <c r="EG202" s="569"/>
      <c r="EH202" s="569"/>
      <c r="EI202" s="569"/>
      <c r="EJ202" s="569"/>
      <c r="EK202" s="569"/>
      <c r="EL202" s="569"/>
      <c r="EM202" s="569"/>
      <c r="EN202" s="569"/>
      <c r="EO202" s="569"/>
      <c r="EP202" s="569"/>
      <c r="EQ202" s="569"/>
      <c r="ER202" s="569"/>
      <c r="ES202" s="569"/>
      <c r="ET202" s="569"/>
      <c r="EU202" s="569"/>
      <c r="EV202" s="569"/>
      <c r="EW202" s="569"/>
      <c r="EX202" s="569"/>
      <c r="EY202" s="569"/>
      <c r="EZ202" s="569"/>
      <c r="FA202" s="569"/>
      <c r="FB202" s="569"/>
      <c r="FC202" s="569"/>
      <c r="FD202" s="569"/>
      <c r="FE202" s="569"/>
      <c r="FF202" s="569"/>
      <c r="FG202" s="569"/>
      <c r="FH202" s="569"/>
      <c r="FI202" s="569"/>
      <c r="FJ202" s="569"/>
      <c r="FK202" s="569"/>
      <c r="FL202" s="569"/>
      <c r="FM202" s="569"/>
      <c r="FN202" s="569"/>
      <c r="FO202" s="569"/>
      <c r="FP202" s="569"/>
      <c r="FQ202" s="569"/>
      <c r="FR202" s="569"/>
      <c r="FS202" s="569"/>
      <c r="FT202" s="569"/>
      <c r="FU202" s="569"/>
      <c r="FV202" s="569"/>
      <c r="FW202" s="569"/>
      <c r="FX202" s="569"/>
      <c r="FY202" s="569"/>
      <c r="FZ202" s="569"/>
      <c r="GA202" s="569"/>
      <c r="GB202" s="569"/>
      <c r="GC202" s="569"/>
      <c r="GD202" s="569"/>
      <c r="GE202" s="569"/>
      <c r="GF202" s="569"/>
      <c r="GG202" s="569"/>
      <c r="GH202" s="569"/>
      <c r="GI202" s="569"/>
      <c r="GJ202" s="569"/>
      <c r="GK202" s="569"/>
      <c r="GL202" s="569"/>
      <c r="GM202" s="569"/>
      <c r="GN202" s="569"/>
      <c r="GO202" s="569"/>
      <c r="GP202" s="569"/>
      <c r="GQ202" s="569"/>
      <c r="GR202" s="569"/>
      <c r="GS202" s="569"/>
      <c r="GT202" s="569"/>
    </row>
    <row r="203" spans="2:202" s="554" customFormat="1" ht="18" customHeight="1">
      <c r="B203" s="561"/>
      <c r="C203" s="1142"/>
      <c r="D203" s="1142"/>
      <c r="E203" s="1142"/>
      <c r="F203" s="1142"/>
      <c r="G203" s="1142"/>
      <c r="H203" s="1142"/>
      <c r="I203" s="1142"/>
      <c r="J203" s="1142"/>
      <c r="K203" s="1142"/>
      <c r="L203" s="1142"/>
      <c r="M203" s="561"/>
      <c r="N203" s="561"/>
      <c r="O203" s="561"/>
      <c r="P203" s="561"/>
      <c r="Q203" s="578"/>
      <c r="R203" s="578"/>
      <c r="S203" s="578"/>
      <c r="T203" s="578"/>
      <c r="U203" s="578"/>
      <c r="V203" s="578"/>
      <c r="W203" s="578"/>
      <c r="X203" s="578"/>
      <c r="Y203" s="578"/>
      <c r="Z203" s="578"/>
      <c r="AA203" s="578"/>
      <c r="AB203" s="578"/>
      <c r="AC203" s="578"/>
      <c r="AD203" s="578"/>
      <c r="AE203" s="578"/>
      <c r="AF203" s="578"/>
      <c r="AG203" s="578"/>
      <c r="AH203" s="548"/>
      <c r="AI203" s="548"/>
      <c r="AJ203" s="548"/>
      <c r="AK203" s="548"/>
      <c r="AL203" s="548"/>
      <c r="AM203" s="548"/>
      <c r="AN203" s="548"/>
      <c r="AO203" s="548"/>
      <c r="AP203" s="548"/>
      <c r="AQ203" s="548"/>
      <c r="AR203" s="548"/>
      <c r="AS203" s="548"/>
      <c r="AT203" s="548"/>
      <c r="AU203" s="548"/>
      <c r="AV203" s="548"/>
      <c r="AW203" s="548"/>
      <c r="AX203" s="548"/>
      <c r="AY203" s="548"/>
      <c r="AZ203" s="548"/>
      <c r="BA203" s="548"/>
      <c r="BB203" s="548"/>
      <c r="BC203" s="548"/>
      <c r="BD203" s="569"/>
      <c r="BE203" s="569"/>
      <c r="BF203" s="569"/>
      <c r="BG203" s="569"/>
      <c r="BH203" s="569"/>
      <c r="BI203" s="569"/>
      <c r="BJ203" s="569"/>
      <c r="BK203" s="569"/>
      <c r="BL203" s="569"/>
      <c r="BM203" s="569"/>
      <c r="BN203" s="569"/>
      <c r="BO203" s="569"/>
      <c r="BP203" s="569"/>
      <c r="BQ203" s="569"/>
      <c r="BR203" s="569"/>
      <c r="BS203" s="569"/>
      <c r="BT203" s="569"/>
      <c r="BU203" s="569"/>
      <c r="BV203" s="569"/>
      <c r="BW203" s="569"/>
      <c r="BX203" s="569"/>
      <c r="BY203" s="569"/>
      <c r="BZ203" s="569"/>
      <c r="CA203" s="569"/>
      <c r="CB203" s="569"/>
      <c r="CC203" s="569"/>
      <c r="CD203" s="569"/>
      <c r="CE203" s="569"/>
      <c r="CF203" s="569"/>
      <c r="CG203" s="569"/>
      <c r="CH203" s="569"/>
      <c r="CI203" s="569"/>
      <c r="CJ203" s="569"/>
      <c r="CK203" s="569"/>
      <c r="CL203" s="569"/>
      <c r="CM203" s="569"/>
      <c r="CN203" s="569"/>
      <c r="CO203" s="569"/>
      <c r="CP203" s="569"/>
      <c r="CQ203" s="569"/>
      <c r="CR203" s="569"/>
      <c r="CS203" s="569"/>
      <c r="CT203" s="569"/>
      <c r="CU203" s="569"/>
      <c r="CV203" s="569"/>
      <c r="CW203" s="569"/>
      <c r="CX203" s="569"/>
      <c r="CY203" s="569"/>
      <c r="CZ203" s="569"/>
      <c r="DA203" s="569"/>
      <c r="DB203" s="569"/>
      <c r="DC203" s="569"/>
      <c r="DD203" s="569"/>
      <c r="DE203" s="569"/>
      <c r="DF203" s="569"/>
      <c r="DG203" s="569"/>
      <c r="DH203" s="569"/>
      <c r="DI203" s="569"/>
      <c r="DJ203" s="569"/>
      <c r="DK203" s="569"/>
      <c r="DL203" s="569"/>
      <c r="DM203" s="569"/>
      <c r="DN203" s="569"/>
      <c r="DO203" s="569"/>
      <c r="DP203" s="569"/>
      <c r="DQ203" s="569"/>
      <c r="DR203" s="569"/>
      <c r="DS203" s="569"/>
      <c r="DT203" s="569"/>
      <c r="DU203" s="569"/>
      <c r="DV203" s="569"/>
      <c r="DW203" s="569"/>
      <c r="DX203" s="569"/>
      <c r="DY203" s="569"/>
      <c r="DZ203" s="569"/>
      <c r="EA203" s="569"/>
      <c r="EB203" s="569"/>
      <c r="EC203" s="569"/>
      <c r="ED203" s="569"/>
      <c r="EE203" s="569"/>
      <c r="EF203" s="569"/>
      <c r="EG203" s="569"/>
      <c r="EH203" s="569"/>
      <c r="EI203" s="569"/>
      <c r="EJ203" s="569"/>
      <c r="EK203" s="569"/>
      <c r="EL203" s="569"/>
      <c r="EM203" s="569"/>
      <c r="EN203" s="569"/>
      <c r="EO203" s="569"/>
      <c r="EP203" s="569"/>
      <c r="EQ203" s="569"/>
      <c r="ER203" s="569"/>
      <c r="ES203" s="569"/>
      <c r="ET203" s="569"/>
      <c r="EU203" s="569"/>
      <c r="EV203" s="569"/>
      <c r="EW203" s="569"/>
      <c r="EX203" s="569"/>
      <c r="EY203" s="569"/>
      <c r="EZ203" s="569"/>
      <c r="FA203" s="569"/>
      <c r="FB203" s="569"/>
      <c r="FC203" s="569"/>
      <c r="FD203" s="569"/>
      <c r="FE203" s="569"/>
      <c r="FF203" s="569"/>
      <c r="FG203" s="569"/>
      <c r="FH203" s="569"/>
      <c r="FI203" s="569"/>
      <c r="FJ203" s="569"/>
      <c r="FK203" s="569"/>
      <c r="FL203" s="569"/>
      <c r="FM203" s="569"/>
      <c r="FN203" s="569"/>
      <c r="FO203" s="569"/>
      <c r="FP203" s="569"/>
      <c r="FQ203" s="569"/>
      <c r="FR203" s="569"/>
      <c r="FS203" s="569"/>
      <c r="FT203" s="569"/>
      <c r="FU203" s="569"/>
      <c r="FV203" s="569"/>
      <c r="FW203" s="569"/>
      <c r="FX203" s="569"/>
      <c r="FY203" s="569"/>
      <c r="FZ203" s="569"/>
      <c r="GA203" s="569"/>
      <c r="GB203" s="569"/>
      <c r="GC203" s="569"/>
      <c r="GD203" s="569"/>
      <c r="GE203" s="569"/>
      <c r="GF203" s="569"/>
      <c r="GG203" s="569"/>
      <c r="GH203" s="569"/>
      <c r="GI203" s="569"/>
      <c r="GJ203" s="569"/>
      <c r="GK203" s="569"/>
      <c r="GL203" s="569"/>
      <c r="GM203" s="569"/>
      <c r="GN203" s="569"/>
      <c r="GO203" s="569"/>
      <c r="GP203" s="569"/>
      <c r="GQ203" s="569"/>
      <c r="GR203" s="569"/>
      <c r="GS203" s="569"/>
      <c r="GT203" s="569"/>
    </row>
    <row r="204" spans="2:202" s="554" customFormat="1" ht="18" customHeight="1">
      <c r="B204" s="561"/>
      <c r="C204" s="1142"/>
      <c r="D204" s="1142"/>
      <c r="E204" s="1142"/>
      <c r="F204" s="1142"/>
      <c r="G204" s="1142"/>
      <c r="H204" s="1142"/>
      <c r="I204" s="1142"/>
      <c r="J204" s="1142"/>
      <c r="K204" s="1142"/>
      <c r="L204" s="1142"/>
      <c r="M204" s="561"/>
      <c r="N204" s="561"/>
      <c r="O204" s="561"/>
      <c r="P204" s="561"/>
      <c r="Q204" s="578"/>
      <c r="R204" s="578"/>
      <c r="S204" s="578"/>
      <c r="T204" s="578"/>
      <c r="U204" s="578"/>
      <c r="V204" s="578"/>
      <c r="W204" s="578"/>
      <c r="X204" s="578"/>
      <c r="Y204" s="578"/>
      <c r="Z204" s="578"/>
      <c r="AA204" s="578"/>
      <c r="AB204" s="578"/>
      <c r="AC204" s="578"/>
      <c r="AD204" s="578"/>
      <c r="AE204" s="578"/>
      <c r="AF204" s="578"/>
      <c r="AG204" s="578"/>
      <c r="AH204" s="548"/>
      <c r="AI204" s="548"/>
      <c r="AJ204" s="548"/>
      <c r="AK204" s="548"/>
      <c r="AL204" s="548"/>
      <c r="AM204" s="548"/>
      <c r="AN204" s="548"/>
      <c r="AO204" s="548"/>
      <c r="AP204" s="548"/>
      <c r="AQ204" s="548"/>
      <c r="AR204" s="548"/>
      <c r="AS204" s="548"/>
      <c r="AT204" s="548"/>
      <c r="AU204" s="548"/>
      <c r="AV204" s="548"/>
      <c r="AW204" s="548"/>
      <c r="AX204" s="548"/>
      <c r="AY204" s="548"/>
      <c r="AZ204" s="548"/>
      <c r="BA204" s="548"/>
      <c r="BB204" s="548"/>
      <c r="BC204" s="548"/>
      <c r="BD204" s="569"/>
      <c r="BE204" s="569"/>
      <c r="BF204" s="569"/>
      <c r="BG204" s="569"/>
      <c r="BH204" s="569"/>
      <c r="BI204" s="569"/>
      <c r="BJ204" s="569"/>
      <c r="BK204" s="569"/>
      <c r="BL204" s="569"/>
      <c r="BM204" s="569"/>
      <c r="BN204" s="569"/>
      <c r="BO204" s="569"/>
      <c r="BP204" s="569"/>
      <c r="BQ204" s="569"/>
      <c r="BR204" s="569"/>
      <c r="BS204" s="569"/>
      <c r="BT204" s="569"/>
      <c r="BU204" s="569"/>
      <c r="BV204" s="569"/>
      <c r="BW204" s="569"/>
      <c r="BX204" s="569"/>
      <c r="BY204" s="569"/>
      <c r="BZ204" s="569"/>
      <c r="CA204" s="569"/>
      <c r="CB204" s="569"/>
      <c r="CC204" s="569"/>
      <c r="CD204" s="569"/>
      <c r="CE204" s="569"/>
      <c r="CF204" s="569"/>
      <c r="CG204" s="569"/>
      <c r="CH204" s="569"/>
      <c r="CI204" s="569"/>
      <c r="CJ204" s="569"/>
      <c r="CK204" s="569"/>
      <c r="CL204" s="569"/>
      <c r="CM204" s="569"/>
      <c r="CN204" s="569"/>
      <c r="CO204" s="569"/>
      <c r="CP204" s="569"/>
      <c r="CQ204" s="569"/>
      <c r="CR204" s="569"/>
      <c r="CS204" s="569"/>
      <c r="CT204" s="569"/>
      <c r="CU204" s="569"/>
      <c r="CV204" s="569"/>
      <c r="CW204" s="569"/>
      <c r="CX204" s="569"/>
      <c r="CY204" s="569"/>
      <c r="CZ204" s="569"/>
      <c r="DA204" s="569"/>
      <c r="DB204" s="569"/>
      <c r="DC204" s="569"/>
      <c r="DD204" s="569"/>
      <c r="DE204" s="569"/>
      <c r="DF204" s="569"/>
      <c r="DG204" s="569"/>
      <c r="DH204" s="569"/>
      <c r="DI204" s="569"/>
      <c r="DJ204" s="569"/>
      <c r="DK204" s="569"/>
      <c r="DL204" s="569"/>
      <c r="DM204" s="569"/>
      <c r="DN204" s="569"/>
      <c r="DO204" s="569"/>
      <c r="DP204" s="569"/>
      <c r="DQ204" s="569"/>
      <c r="DR204" s="569"/>
      <c r="DS204" s="569"/>
      <c r="DT204" s="569"/>
      <c r="DU204" s="569"/>
      <c r="DV204" s="569"/>
      <c r="DW204" s="569"/>
      <c r="DX204" s="569"/>
      <c r="DY204" s="569"/>
      <c r="DZ204" s="569"/>
      <c r="EA204" s="569"/>
      <c r="EB204" s="569"/>
      <c r="EC204" s="569"/>
      <c r="ED204" s="569"/>
      <c r="EE204" s="569"/>
      <c r="EF204" s="569"/>
      <c r="EG204" s="569"/>
      <c r="EH204" s="569"/>
      <c r="EI204" s="569"/>
      <c r="EJ204" s="569"/>
      <c r="EK204" s="569"/>
      <c r="EL204" s="569"/>
      <c r="EM204" s="569"/>
      <c r="EN204" s="569"/>
      <c r="EO204" s="569"/>
      <c r="EP204" s="569"/>
      <c r="EQ204" s="569"/>
      <c r="ER204" s="569"/>
      <c r="ES204" s="569"/>
      <c r="ET204" s="569"/>
      <c r="EU204" s="569"/>
      <c r="EV204" s="569"/>
      <c r="EW204" s="569"/>
      <c r="EX204" s="569"/>
      <c r="EY204" s="569"/>
      <c r="EZ204" s="569"/>
      <c r="FA204" s="569"/>
      <c r="FB204" s="569"/>
      <c r="FC204" s="569"/>
      <c r="FD204" s="569"/>
      <c r="FE204" s="569"/>
      <c r="FF204" s="569"/>
      <c r="FG204" s="569"/>
      <c r="FH204" s="569"/>
      <c r="FI204" s="569"/>
      <c r="FJ204" s="569"/>
      <c r="FK204" s="569"/>
      <c r="FL204" s="569"/>
      <c r="FM204" s="569"/>
      <c r="FN204" s="569"/>
      <c r="FO204" s="569"/>
      <c r="FP204" s="569"/>
      <c r="FQ204" s="569"/>
      <c r="FR204" s="569"/>
      <c r="FS204" s="569"/>
      <c r="FT204" s="569"/>
      <c r="FU204" s="569"/>
      <c r="FV204" s="569"/>
      <c r="FW204" s="569"/>
      <c r="FX204" s="569"/>
      <c r="FY204" s="569"/>
      <c r="FZ204" s="569"/>
      <c r="GA204" s="569"/>
      <c r="GB204" s="569"/>
      <c r="GC204" s="569"/>
      <c r="GD204" s="569"/>
      <c r="GE204" s="569"/>
      <c r="GF204" s="569"/>
      <c r="GG204" s="569"/>
      <c r="GH204" s="569"/>
      <c r="GI204" s="569"/>
      <c r="GJ204" s="569"/>
      <c r="GK204" s="569"/>
      <c r="GL204" s="569"/>
      <c r="GM204" s="569"/>
      <c r="GN204" s="569"/>
      <c r="GO204" s="569"/>
      <c r="GP204" s="569"/>
      <c r="GQ204" s="569"/>
      <c r="GR204" s="569"/>
      <c r="GS204" s="569"/>
      <c r="GT204" s="569"/>
    </row>
    <row r="205" spans="2:202" s="554" customFormat="1" ht="18" customHeight="1">
      <c r="B205" s="561"/>
      <c r="C205" s="1142"/>
      <c r="D205" s="1142"/>
      <c r="E205" s="1142"/>
      <c r="F205" s="1142"/>
      <c r="G205" s="1142"/>
      <c r="H205" s="1142"/>
      <c r="I205" s="1142"/>
      <c r="J205" s="1142"/>
      <c r="K205" s="1142"/>
      <c r="L205" s="1142"/>
      <c r="M205" s="561"/>
      <c r="N205" s="561"/>
      <c r="O205" s="561"/>
      <c r="P205" s="561"/>
      <c r="Q205" s="578"/>
      <c r="R205" s="578"/>
      <c r="S205" s="578"/>
      <c r="T205" s="578"/>
      <c r="U205" s="578"/>
      <c r="V205" s="578"/>
      <c r="W205" s="578"/>
      <c r="X205" s="578"/>
      <c r="Y205" s="578"/>
      <c r="Z205" s="578"/>
      <c r="AA205" s="578"/>
      <c r="AB205" s="578"/>
      <c r="AC205" s="578"/>
      <c r="AD205" s="578"/>
      <c r="AE205" s="578"/>
      <c r="AF205" s="578"/>
      <c r="AG205" s="578"/>
      <c r="AH205" s="548"/>
      <c r="AI205" s="548"/>
      <c r="AJ205" s="548"/>
      <c r="AK205" s="548"/>
      <c r="AL205" s="548"/>
      <c r="AM205" s="548"/>
      <c r="AN205" s="548"/>
      <c r="AO205" s="548"/>
      <c r="AP205" s="548"/>
      <c r="AQ205" s="548"/>
      <c r="AR205" s="548"/>
      <c r="AS205" s="548"/>
      <c r="AT205" s="548"/>
      <c r="AU205" s="548"/>
      <c r="AV205" s="548"/>
      <c r="AW205" s="548"/>
      <c r="AX205" s="548"/>
      <c r="AY205" s="548"/>
      <c r="AZ205" s="548"/>
      <c r="BA205" s="548"/>
      <c r="BB205" s="548"/>
      <c r="BC205" s="548"/>
      <c r="BD205" s="569"/>
      <c r="BE205" s="569"/>
      <c r="BF205" s="569"/>
      <c r="BG205" s="569"/>
      <c r="BH205" s="569"/>
      <c r="BI205" s="569"/>
      <c r="BJ205" s="569"/>
      <c r="BK205" s="569"/>
      <c r="BL205" s="569"/>
      <c r="BM205" s="569"/>
      <c r="BN205" s="569"/>
      <c r="BO205" s="569"/>
      <c r="BP205" s="569"/>
      <c r="BQ205" s="569"/>
      <c r="BR205" s="569"/>
      <c r="BS205" s="569"/>
      <c r="BT205" s="569"/>
      <c r="BU205" s="569"/>
      <c r="BV205" s="569"/>
      <c r="BW205" s="569"/>
      <c r="BX205" s="569"/>
      <c r="BY205" s="569"/>
      <c r="BZ205" s="569"/>
      <c r="CA205" s="569"/>
      <c r="CB205" s="569"/>
      <c r="CC205" s="569"/>
      <c r="CD205" s="569"/>
      <c r="CE205" s="569"/>
      <c r="CF205" s="569"/>
      <c r="CG205" s="569"/>
      <c r="CH205" s="569"/>
      <c r="CI205" s="569"/>
      <c r="CJ205" s="569"/>
      <c r="CK205" s="569"/>
      <c r="CL205" s="569"/>
      <c r="CM205" s="569"/>
      <c r="CN205" s="569"/>
      <c r="CO205" s="569"/>
      <c r="CP205" s="569"/>
      <c r="CQ205" s="569"/>
      <c r="CR205" s="569"/>
      <c r="CS205" s="569"/>
      <c r="CT205" s="569"/>
      <c r="CU205" s="569"/>
      <c r="CV205" s="569"/>
      <c r="CW205" s="569"/>
      <c r="CX205" s="569"/>
      <c r="CY205" s="569"/>
      <c r="CZ205" s="569"/>
      <c r="DA205" s="569"/>
      <c r="DB205" s="569"/>
      <c r="DC205" s="569"/>
      <c r="DD205" s="569"/>
      <c r="DE205" s="569"/>
      <c r="DF205" s="569"/>
      <c r="DG205" s="569"/>
      <c r="DH205" s="569"/>
      <c r="DI205" s="569"/>
      <c r="DJ205" s="569"/>
      <c r="DK205" s="569"/>
      <c r="DL205" s="569"/>
      <c r="DM205" s="569"/>
      <c r="DN205" s="569"/>
      <c r="DO205" s="569"/>
      <c r="DP205" s="569"/>
      <c r="DQ205" s="569"/>
      <c r="DR205" s="569"/>
      <c r="DS205" s="569"/>
      <c r="DT205" s="569"/>
      <c r="DU205" s="569"/>
      <c r="DV205" s="569"/>
      <c r="DW205" s="569"/>
      <c r="DX205" s="569"/>
      <c r="DY205" s="569"/>
      <c r="DZ205" s="569"/>
      <c r="EA205" s="569"/>
      <c r="EB205" s="569"/>
      <c r="EC205" s="569"/>
      <c r="ED205" s="569"/>
      <c r="EE205" s="569"/>
      <c r="EF205" s="569"/>
      <c r="EG205" s="569"/>
      <c r="EH205" s="569"/>
      <c r="EI205" s="569"/>
      <c r="EJ205" s="569"/>
      <c r="EK205" s="569"/>
      <c r="EL205" s="569"/>
      <c r="EM205" s="569"/>
      <c r="EN205" s="569"/>
      <c r="EO205" s="569"/>
      <c r="EP205" s="569"/>
      <c r="EQ205" s="569"/>
      <c r="ER205" s="569"/>
      <c r="ES205" s="569"/>
      <c r="ET205" s="569"/>
      <c r="EU205" s="569"/>
      <c r="EV205" s="569"/>
      <c r="EW205" s="569"/>
      <c r="EX205" s="569"/>
      <c r="EY205" s="569"/>
      <c r="EZ205" s="569"/>
      <c r="FA205" s="569"/>
      <c r="FB205" s="569"/>
      <c r="FC205" s="569"/>
      <c r="FD205" s="569"/>
      <c r="FE205" s="569"/>
      <c r="FF205" s="569"/>
      <c r="FG205" s="569"/>
      <c r="FH205" s="569"/>
      <c r="FI205" s="569"/>
      <c r="FJ205" s="569"/>
      <c r="FK205" s="569"/>
      <c r="FL205" s="569"/>
      <c r="FM205" s="569"/>
      <c r="FN205" s="569"/>
      <c r="FO205" s="569"/>
      <c r="FP205" s="569"/>
      <c r="FQ205" s="569"/>
      <c r="FR205" s="569"/>
      <c r="FS205" s="569"/>
      <c r="FT205" s="569"/>
      <c r="FU205" s="569"/>
      <c r="FV205" s="569"/>
      <c r="FW205" s="569"/>
      <c r="FX205" s="569"/>
      <c r="FY205" s="569"/>
      <c r="FZ205" s="569"/>
      <c r="GA205" s="569"/>
      <c r="GB205" s="569"/>
      <c r="GC205" s="569"/>
      <c r="GD205" s="569"/>
      <c r="GE205" s="569"/>
      <c r="GF205" s="569"/>
      <c r="GG205" s="569"/>
      <c r="GH205" s="569"/>
      <c r="GI205" s="569"/>
      <c r="GJ205" s="569"/>
      <c r="GK205" s="569"/>
      <c r="GL205" s="569"/>
      <c r="GM205" s="569"/>
      <c r="GN205" s="569"/>
      <c r="GO205" s="569"/>
      <c r="GP205" s="569"/>
      <c r="GQ205" s="569"/>
      <c r="GR205" s="569"/>
      <c r="GS205" s="569"/>
      <c r="GT205" s="569"/>
    </row>
    <row r="206" spans="2:202" s="554" customFormat="1" ht="18" customHeight="1">
      <c r="B206" s="578"/>
      <c r="C206" s="1149"/>
      <c r="D206" s="1149"/>
      <c r="E206" s="1149"/>
      <c r="F206" s="1149"/>
      <c r="G206" s="1149"/>
      <c r="H206" s="1149"/>
      <c r="I206" s="1149"/>
      <c r="J206" s="1149"/>
      <c r="K206" s="1149"/>
      <c r="L206" s="1149"/>
      <c r="M206" s="578"/>
      <c r="N206" s="578"/>
      <c r="O206" s="578"/>
      <c r="P206" s="578"/>
      <c r="Q206" s="578"/>
      <c r="R206" s="578"/>
      <c r="S206" s="578"/>
      <c r="T206" s="578"/>
      <c r="U206" s="578"/>
      <c r="V206" s="578"/>
      <c r="W206" s="578"/>
      <c r="X206" s="578"/>
      <c r="Y206" s="578"/>
      <c r="Z206" s="578"/>
      <c r="AA206" s="578"/>
      <c r="AB206" s="578"/>
      <c r="AC206" s="578"/>
      <c r="AD206" s="578"/>
      <c r="AE206" s="578"/>
      <c r="AF206" s="578"/>
      <c r="AG206" s="578"/>
      <c r="AH206" s="548"/>
      <c r="AI206" s="548"/>
      <c r="AJ206" s="548"/>
      <c r="AK206" s="548"/>
      <c r="AL206" s="548"/>
      <c r="AM206" s="548"/>
      <c r="AN206" s="548"/>
      <c r="AO206" s="548"/>
      <c r="AP206" s="548"/>
      <c r="AQ206" s="548"/>
      <c r="AR206" s="548"/>
      <c r="AS206" s="548"/>
      <c r="AT206" s="548"/>
      <c r="AU206" s="548"/>
      <c r="AV206" s="548"/>
      <c r="AW206" s="548"/>
      <c r="AX206" s="548"/>
      <c r="AY206" s="548"/>
      <c r="AZ206" s="548"/>
      <c r="BA206" s="548"/>
      <c r="BB206" s="548"/>
      <c r="BC206" s="548"/>
      <c r="BD206" s="569"/>
      <c r="BE206" s="569"/>
      <c r="BF206" s="569"/>
      <c r="BG206" s="569"/>
      <c r="BH206" s="569"/>
      <c r="BI206" s="569"/>
      <c r="BJ206" s="569"/>
      <c r="BK206" s="569"/>
      <c r="BL206" s="569"/>
      <c r="BM206" s="569"/>
      <c r="BN206" s="569"/>
      <c r="BO206" s="569"/>
      <c r="BP206" s="569"/>
      <c r="BQ206" s="569"/>
      <c r="BR206" s="569"/>
      <c r="BS206" s="569"/>
      <c r="BT206" s="569"/>
      <c r="BU206" s="569"/>
      <c r="BV206" s="569"/>
      <c r="BW206" s="569"/>
      <c r="BX206" s="569"/>
      <c r="BY206" s="569"/>
      <c r="BZ206" s="569"/>
      <c r="CA206" s="569"/>
      <c r="CB206" s="569"/>
      <c r="CC206" s="569"/>
      <c r="CD206" s="569"/>
      <c r="CE206" s="569"/>
      <c r="CF206" s="569"/>
      <c r="CG206" s="569"/>
      <c r="CH206" s="569"/>
      <c r="CI206" s="569"/>
      <c r="CJ206" s="569"/>
      <c r="CK206" s="569"/>
      <c r="CL206" s="569"/>
      <c r="CM206" s="569"/>
      <c r="CN206" s="569"/>
      <c r="CO206" s="569"/>
      <c r="CP206" s="569"/>
      <c r="CQ206" s="569"/>
      <c r="CR206" s="569"/>
      <c r="CS206" s="569"/>
      <c r="CT206" s="569"/>
      <c r="CU206" s="569"/>
      <c r="CV206" s="569"/>
      <c r="CW206" s="569"/>
      <c r="CX206" s="569"/>
      <c r="CY206" s="569"/>
      <c r="CZ206" s="569"/>
      <c r="DA206" s="569"/>
      <c r="DB206" s="569"/>
      <c r="DC206" s="569"/>
      <c r="DD206" s="569"/>
      <c r="DE206" s="569"/>
      <c r="DF206" s="569"/>
      <c r="DG206" s="569"/>
      <c r="DH206" s="569"/>
      <c r="DI206" s="569"/>
      <c r="DJ206" s="569"/>
      <c r="DK206" s="569"/>
      <c r="DL206" s="569"/>
      <c r="DM206" s="569"/>
      <c r="DN206" s="569"/>
      <c r="DO206" s="569"/>
      <c r="DP206" s="569"/>
      <c r="DQ206" s="569"/>
      <c r="DR206" s="569"/>
      <c r="DS206" s="569"/>
      <c r="DT206" s="569"/>
      <c r="DU206" s="569"/>
      <c r="DV206" s="569"/>
      <c r="DW206" s="569"/>
      <c r="DX206" s="569"/>
      <c r="DY206" s="569"/>
      <c r="DZ206" s="569"/>
      <c r="EA206" s="569"/>
      <c r="EB206" s="569"/>
      <c r="EC206" s="569"/>
      <c r="ED206" s="569"/>
      <c r="EE206" s="569"/>
      <c r="EF206" s="569"/>
      <c r="EG206" s="569"/>
      <c r="EH206" s="569"/>
      <c r="EI206" s="569"/>
      <c r="EJ206" s="569"/>
      <c r="EK206" s="569"/>
      <c r="EL206" s="569"/>
      <c r="EM206" s="569"/>
      <c r="EN206" s="569"/>
      <c r="EO206" s="569"/>
      <c r="EP206" s="569"/>
      <c r="EQ206" s="569"/>
      <c r="ER206" s="569"/>
      <c r="ES206" s="569"/>
      <c r="ET206" s="569"/>
      <c r="EU206" s="569"/>
      <c r="EV206" s="569"/>
      <c r="EW206" s="569"/>
      <c r="EX206" s="569"/>
      <c r="EY206" s="569"/>
      <c r="EZ206" s="569"/>
      <c r="FA206" s="569"/>
      <c r="FB206" s="569"/>
      <c r="FC206" s="569"/>
      <c r="FD206" s="569"/>
      <c r="FE206" s="569"/>
      <c r="FF206" s="569"/>
      <c r="FG206" s="569"/>
      <c r="FH206" s="569"/>
      <c r="FI206" s="569"/>
      <c r="FJ206" s="569"/>
      <c r="FK206" s="569"/>
      <c r="FL206" s="569"/>
      <c r="FM206" s="569"/>
      <c r="FN206" s="569"/>
      <c r="FO206" s="569"/>
      <c r="FP206" s="569"/>
      <c r="FQ206" s="569"/>
      <c r="FR206" s="569"/>
      <c r="FS206" s="569"/>
      <c r="FT206" s="569"/>
      <c r="FU206" s="569"/>
      <c r="FV206" s="569"/>
      <c r="FW206" s="569"/>
      <c r="FX206" s="569"/>
      <c r="FY206" s="569"/>
      <c r="FZ206" s="569"/>
      <c r="GA206" s="569"/>
      <c r="GB206" s="569"/>
      <c r="GC206" s="569"/>
      <c r="GD206" s="569"/>
      <c r="GE206" s="569"/>
      <c r="GF206" s="569"/>
      <c r="GG206" s="569"/>
      <c r="GH206" s="569"/>
      <c r="GI206" s="569"/>
      <c r="GJ206" s="569"/>
      <c r="GK206" s="569"/>
      <c r="GL206" s="569"/>
      <c r="GM206" s="569"/>
      <c r="GN206" s="569"/>
      <c r="GO206" s="569"/>
      <c r="GP206" s="569"/>
      <c r="GQ206" s="569"/>
      <c r="GR206" s="569"/>
      <c r="GS206" s="569"/>
      <c r="GT206" s="569"/>
    </row>
    <row r="207" spans="2:202" s="554" customFormat="1" ht="18" customHeight="1">
      <c r="B207" s="578"/>
      <c r="C207" s="1149"/>
      <c r="D207" s="1149"/>
      <c r="E207" s="1149"/>
      <c r="F207" s="1149"/>
      <c r="G207" s="1149"/>
      <c r="H207" s="1149"/>
      <c r="I207" s="1149"/>
      <c r="J207" s="1149"/>
      <c r="K207" s="1149"/>
      <c r="L207" s="1149"/>
      <c r="M207" s="578"/>
      <c r="N207" s="578"/>
      <c r="O207" s="578"/>
      <c r="P207" s="578"/>
      <c r="Q207" s="578"/>
      <c r="R207" s="578"/>
      <c r="S207" s="578"/>
      <c r="T207" s="578"/>
      <c r="U207" s="578"/>
      <c r="V207" s="578"/>
      <c r="W207" s="578"/>
      <c r="X207" s="578"/>
      <c r="Y207" s="578"/>
      <c r="Z207" s="578"/>
      <c r="AA207" s="578"/>
      <c r="AB207" s="578"/>
      <c r="AC207" s="578"/>
      <c r="AD207" s="578"/>
      <c r="AE207" s="578"/>
      <c r="AF207" s="578"/>
      <c r="AG207" s="578"/>
      <c r="AH207" s="548"/>
      <c r="AI207" s="548"/>
      <c r="AJ207" s="548"/>
      <c r="AK207" s="548"/>
      <c r="AL207" s="548"/>
      <c r="AM207" s="548"/>
      <c r="AN207" s="548"/>
      <c r="AO207" s="548"/>
      <c r="AP207" s="548"/>
      <c r="AQ207" s="548"/>
      <c r="AR207" s="548"/>
      <c r="AS207" s="548"/>
      <c r="AT207" s="548"/>
      <c r="AU207" s="548"/>
      <c r="AV207" s="548"/>
      <c r="AW207" s="548"/>
      <c r="AX207" s="548"/>
      <c r="AY207" s="548"/>
      <c r="AZ207" s="548"/>
      <c r="BA207" s="548"/>
      <c r="BB207" s="548"/>
      <c r="BC207" s="548"/>
      <c r="BD207" s="569"/>
      <c r="BE207" s="569"/>
      <c r="BF207" s="569"/>
      <c r="BG207" s="569"/>
      <c r="BH207" s="569"/>
      <c r="BI207" s="569"/>
      <c r="BJ207" s="569"/>
      <c r="BK207" s="569"/>
      <c r="BL207" s="569"/>
      <c r="BM207" s="569"/>
      <c r="BN207" s="569"/>
      <c r="BO207" s="569"/>
      <c r="BP207" s="569"/>
      <c r="BQ207" s="569"/>
      <c r="BR207" s="569"/>
      <c r="BS207" s="569"/>
      <c r="BT207" s="569"/>
      <c r="BU207" s="569"/>
      <c r="BV207" s="569"/>
      <c r="BW207" s="569"/>
      <c r="BX207" s="569"/>
      <c r="BY207" s="569"/>
      <c r="BZ207" s="569"/>
      <c r="CA207" s="569"/>
      <c r="CB207" s="569"/>
      <c r="CC207" s="569"/>
      <c r="CD207" s="569"/>
      <c r="CE207" s="569"/>
      <c r="CF207" s="569"/>
      <c r="CG207" s="569"/>
      <c r="CH207" s="569"/>
      <c r="CI207" s="569"/>
      <c r="CJ207" s="569"/>
      <c r="CK207" s="569"/>
      <c r="CL207" s="569"/>
      <c r="CM207" s="569"/>
      <c r="CN207" s="569"/>
      <c r="CO207" s="569"/>
      <c r="CP207" s="569"/>
      <c r="CQ207" s="569"/>
      <c r="CR207" s="569"/>
      <c r="CS207" s="569"/>
      <c r="CT207" s="569"/>
      <c r="CU207" s="569"/>
      <c r="CV207" s="569"/>
      <c r="CW207" s="569"/>
      <c r="CX207" s="569"/>
      <c r="CY207" s="569"/>
      <c r="CZ207" s="569"/>
      <c r="DA207" s="569"/>
      <c r="DB207" s="569"/>
      <c r="DC207" s="569"/>
      <c r="DD207" s="569"/>
      <c r="DE207" s="569"/>
      <c r="DF207" s="569"/>
      <c r="DG207" s="569"/>
      <c r="DH207" s="569"/>
      <c r="DI207" s="569"/>
      <c r="DJ207" s="569"/>
      <c r="DK207" s="569"/>
      <c r="DL207" s="569"/>
      <c r="DM207" s="569"/>
      <c r="DN207" s="569"/>
      <c r="DO207" s="569"/>
      <c r="DP207" s="569"/>
      <c r="DQ207" s="569"/>
      <c r="DR207" s="569"/>
      <c r="DS207" s="569"/>
      <c r="DT207" s="569"/>
      <c r="DU207" s="569"/>
      <c r="DV207" s="569"/>
      <c r="DW207" s="569"/>
      <c r="DX207" s="569"/>
      <c r="DY207" s="569"/>
      <c r="DZ207" s="569"/>
      <c r="EA207" s="569"/>
      <c r="EB207" s="569"/>
      <c r="EC207" s="569"/>
      <c r="ED207" s="569"/>
      <c r="EE207" s="569"/>
      <c r="EF207" s="569"/>
      <c r="EG207" s="569"/>
      <c r="EH207" s="569"/>
      <c r="EI207" s="569"/>
      <c r="EJ207" s="569"/>
      <c r="EK207" s="569"/>
      <c r="EL207" s="569"/>
      <c r="EM207" s="569"/>
      <c r="EN207" s="569"/>
      <c r="EO207" s="569"/>
      <c r="EP207" s="569"/>
      <c r="EQ207" s="569"/>
      <c r="ER207" s="569"/>
      <c r="ES207" s="569"/>
      <c r="ET207" s="569"/>
      <c r="EU207" s="569"/>
      <c r="EV207" s="569"/>
      <c r="EW207" s="569"/>
      <c r="EX207" s="569"/>
      <c r="EY207" s="569"/>
      <c r="EZ207" s="569"/>
      <c r="FA207" s="569"/>
      <c r="FB207" s="569"/>
      <c r="FC207" s="569"/>
      <c r="FD207" s="569"/>
      <c r="FE207" s="569"/>
      <c r="FF207" s="569"/>
      <c r="FG207" s="569"/>
      <c r="FH207" s="569"/>
      <c r="FI207" s="569"/>
      <c r="FJ207" s="569"/>
      <c r="FK207" s="569"/>
      <c r="FL207" s="569"/>
      <c r="FM207" s="569"/>
      <c r="FN207" s="569"/>
      <c r="FO207" s="569"/>
      <c r="FP207" s="569"/>
      <c r="FQ207" s="569"/>
      <c r="FR207" s="569"/>
      <c r="FS207" s="569"/>
      <c r="FT207" s="569"/>
      <c r="FU207" s="569"/>
      <c r="FV207" s="569"/>
      <c r="FW207" s="569"/>
      <c r="FX207" s="569"/>
      <c r="FY207" s="569"/>
      <c r="FZ207" s="569"/>
      <c r="GA207" s="569"/>
      <c r="GB207" s="569"/>
      <c r="GC207" s="569"/>
      <c r="GD207" s="569"/>
      <c r="GE207" s="569"/>
      <c r="GF207" s="569"/>
      <c r="GG207" s="569"/>
      <c r="GH207" s="569"/>
      <c r="GI207" s="569"/>
      <c r="GJ207" s="569"/>
      <c r="GK207" s="569"/>
      <c r="GL207" s="569"/>
      <c r="GM207" s="569"/>
      <c r="GN207" s="569"/>
      <c r="GO207" s="569"/>
      <c r="GP207" s="569"/>
      <c r="GQ207" s="569"/>
      <c r="GR207" s="569"/>
      <c r="GS207" s="569"/>
      <c r="GT207" s="569"/>
    </row>
    <row r="208" spans="2:202" s="554" customFormat="1" ht="18" customHeight="1">
      <c r="B208" s="578"/>
      <c r="C208" s="1149"/>
      <c r="D208" s="1149"/>
      <c r="E208" s="1149"/>
      <c r="F208" s="1149"/>
      <c r="G208" s="1149"/>
      <c r="H208" s="1149"/>
      <c r="I208" s="1149"/>
      <c r="J208" s="1149"/>
      <c r="K208" s="1149"/>
      <c r="L208" s="1149"/>
      <c r="M208" s="578"/>
      <c r="N208" s="578"/>
      <c r="O208" s="578"/>
      <c r="P208" s="578"/>
      <c r="Q208" s="578"/>
      <c r="R208" s="578"/>
      <c r="S208" s="578"/>
      <c r="T208" s="578"/>
      <c r="U208" s="578"/>
      <c r="V208" s="578"/>
      <c r="W208" s="578"/>
      <c r="X208" s="578"/>
      <c r="Y208" s="578"/>
      <c r="Z208" s="578"/>
      <c r="AA208" s="578"/>
      <c r="AB208" s="578"/>
      <c r="AC208" s="578"/>
      <c r="AD208" s="578"/>
      <c r="AE208" s="578"/>
      <c r="AF208" s="578"/>
      <c r="AG208" s="578"/>
      <c r="AH208" s="548"/>
      <c r="AI208" s="548"/>
      <c r="AJ208" s="548"/>
      <c r="AK208" s="548"/>
      <c r="AL208" s="548"/>
      <c r="AM208" s="548"/>
      <c r="AN208" s="548"/>
      <c r="AO208" s="548"/>
      <c r="AP208" s="548"/>
      <c r="AQ208" s="548"/>
      <c r="AR208" s="548"/>
      <c r="AS208" s="548"/>
      <c r="AT208" s="548"/>
      <c r="AU208" s="548"/>
      <c r="AV208" s="548"/>
      <c r="AW208" s="548"/>
      <c r="AX208" s="548"/>
      <c r="AY208" s="548"/>
      <c r="AZ208" s="548"/>
      <c r="BA208" s="548"/>
      <c r="BB208" s="548"/>
      <c r="BC208" s="548"/>
      <c r="BD208" s="569"/>
      <c r="BE208" s="569"/>
      <c r="BF208" s="569"/>
      <c r="BG208" s="569"/>
      <c r="BH208" s="569"/>
      <c r="BI208" s="569"/>
      <c r="BJ208" s="569"/>
      <c r="BK208" s="569"/>
      <c r="BL208" s="569"/>
      <c r="BM208" s="569"/>
      <c r="BN208" s="569"/>
      <c r="BO208" s="569"/>
      <c r="BP208" s="569"/>
      <c r="BQ208" s="569"/>
      <c r="BR208" s="569"/>
      <c r="BS208" s="569"/>
      <c r="BT208" s="569"/>
      <c r="BU208" s="569"/>
      <c r="BV208" s="569"/>
      <c r="BW208" s="569"/>
      <c r="BX208" s="569"/>
      <c r="BY208" s="569"/>
      <c r="BZ208" s="569"/>
      <c r="CA208" s="569"/>
      <c r="CB208" s="569"/>
      <c r="CC208" s="569"/>
      <c r="CD208" s="569"/>
      <c r="CE208" s="569"/>
      <c r="CF208" s="569"/>
      <c r="CG208" s="569"/>
      <c r="CH208" s="569"/>
      <c r="CI208" s="569"/>
      <c r="CJ208" s="569"/>
      <c r="CK208" s="569"/>
      <c r="CL208" s="569"/>
      <c r="CM208" s="569"/>
      <c r="CN208" s="569"/>
      <c r="CO208" s="569"/>
      <c r="CP208" s="569"/>
      <c r="CQ208" s="569"/>
      <c r="CR208" s="569"/>
      <c r="CS208" s="569"/>
      <c r="CT208" s="569"/>
      <c r="CU208" s="569"/>
      <c r="CV208" s="569"/>
      <c r="CW208" s="569"/>
      <c r="CX208" s="569"/>
      <c r="CY208" s="569"/>
      <c r="CZ208" s="569"/>
      <c r="DA208" s="569"/>
      <c r="DB208" s="569"/>
      <c r="DC208" s="569"/>
      <c r="DD208" s="569"/>
      <c r="DE208" s="569"/>
      <c r="DF208" s="569"/>
      <c r="DG208" s="569"/>
      <c r="DH208" s="569"/>
      <c r="DI208" s="569"/>
      <c r="DJ208" s="569"/>
      <c r="DK208" s="569"/>
      <c r="DL208" s="569"/>
      <c r="DM208" s="569"/>
      <c r="DN208" s="569"/>
      <c r="DO208" s="569"/>
      <c r="DP208" s="569"/>
      <c r="DQ208" s="569"/>
      <c r="DR208" s="569"/>
      <c r="DS208" s="569"/>
      <c r="DT208" s="569"/>
      <c r="DU208" s="569"/>
      <c r="DV208" s="569"/>
      <c r="DW208" s="569"/>
      <c r="DX208" s="569"/>
      <c r="DY208" s="569"/>
      <c r="DZ208" s="569"/>
      <c r="EA208" s="569"/>
      <c r="EB208" s="569"/>
      <c r="EC208" s="569"/>
      <c r="ED208" s="569"/>
      <c r="EE208" s="569"/>
      <c r="EF208" s="569"/>
      <c r="EG208" s="569"/>
      <c r="EH208" s="569"/>
      <c r="EI208" s="569"/>
      <c r="EJ208" s="569"/>
      <c r="EK208" s="569"/>
      <c r="EL208" s="569"/>
      <c r="EM208" s="569"/>
      <c r="EN208" s="569"/>
      <c r="EO208" s="569"/>
      <c r="EP208" s="569"/>
      <c r="EQ208" s="569"/>
      <c r="ER208" s="569"/>
      <c r="ES208" s="569"/>
      <c r="ET208" s="569"/>
      <c r="EU208" s="569"/>
      <c r="EV208" s="569"/>
      <c r="EW208" s="569"/>
      <c r="EX208" s="569"/>
      <c r="EY208" s="569"/>
      <c r="EZ208" s="569"/>
      <c r="FA208" s="569"/>
      <c r="FB208" s="569"/>
      <c r="FC208" s="569"/>
      <c r="FD208" s="569"/>
      <c r="FE208" s="569"/>
      <c r="FF208" s="569"/>
      <c r="FG208" s="569"/>
      <c r="FH208" s="569"/>
      <c r="FI208" s="569"/>
      <c r="FJ208" s="569"/>
      <c r="FK208" s="569"/>
      <c r="FL208" s="569"/>
      <c r="FM208" s="569"/>
      <c r="FN208" s="569"/>
      <c r="FO208" s="569"/>
      <c r="FP208" s="569"/>
      <c r="FQ208" s="569"/>
      <c r="FR208" s="569"/>
      <c r="FS208" s="569"/>
      <c r="FT208" s="569"/>
      <c r="FU208" s="569"/>
      <c r="FV208" s="569"/>
      <c r="FW208" s="569"/>
      <c r="FX208" s="569"/>
      <c r="FY208" s="569"/>
      <c r="FZ208" s="569"/>
      <c r="GA208" s="569"/>
      <c r="GB208" s="569"/>
      <c r="GC208" s="569"/>
      <c r="GD208" s="569"/>
      <c r="GE208" s="569"/>
      <c r="GF208" s="569"/>
      <c r="GG208" s="569"/>
      <c r="GH208" s="569"/>
      <c r="GI208" s="569"/>
      <c r="GJ208" s="569"/>
      <c r="GK208" s="569"/>
      <c r="GL208" s="569"/>
      <c r="GM208" s="569"/>
      <c r="GN208" s="569"/>
      <c r="GO208" s="569"/>
      <c r="GP208" s="569"/>
      <c r="GQ208" s="569"/>
      <c r="GR208" s="569"/>
      <c r="GS208" s="569"/>
      <c r="GT208" s="569"/>
    </row>
    <row r="209" spans="2:202" s="554" customFormat="1" ht="18" customHeight="1">
      <c r="B209" s="578"/>
      <c r="C209" s="1149"/>
      <c r="D209" s="1149"/>
      <c r="E209" s="1149"/>
      <c r="F209" s="1149"/>
      <c r="G209" s="1149"/>
      <c r="H209" s="1149"/>
      <c r="I209" s="1149"/>
      <c r="J209" s="1149"/>
      <c r="K209" s="1149"/>
      <c r="L209" s="1149"/>
      <c r="M209" s="578"/>
      <c r="N209" s="578"/>
      <c r="O209" s="578"/>
      <c r="P209" s="578"/>
      <c r="Q209" s="578"/>
      <c r="R209" s="578"/>
      <c r="S209" s="578"/>
      <c r="T209" s="578"/>
      <c r="U209" s="578"/>
      <c r="V209" s="578"/>
      <c r="W209" s="578"/>
      <c r="X209" s="578"/>
      <c r="Y209" s="578"/>
      <c r="Z209" s="578"/>
      <c r="AA209" s="578"/>
      <c r="AB209" s="578"/>
      <c r="AC209" s="578"/>
      <c r="AD209" s="578"/>
      <c r="AE209" s="578"/>
      <c r="AF209" s="578"/>
      <c r="AG209" s="578"/>
      <c r="AH209" s="548"/>
      <c r="AI209" s="548"/>
      <c r="AJ209" s="548"/>
      <c r="AK209" s="548"/>
      <c r="AL209" s="548"/>
      <c r="AM209" s="548"/>
      <c r="AN209" s="548"/>
      <c r="AO209" s="548"/>
      <c r="AP209" s="548"/>
      <c r="AQ209" s="548"/>
      <c r="AR209" s="548"/>
      <c r="AS209" s="548"/>
      <c r="AT209" s="548"/>
      <c r="AU209" s="548"/>
      <c r="AV209" s="548"/>
      <c r="AW209" s="548"/>
      <c r="AX209" s="548"/>
      <c r="AY209" s="548"/>
      <c r="AZ209" s="548"/>
      <c r="BA209" s="548"/>
      <c r="BB209" s="548"/>
      <c r="BC209" s="548"/>
      <c r="BD209" s="569"/>
      <c r="BE209" s="569"/>
      <c r="BF209" s="569"/>
      <c r="BG209" s="569"/>
      <c r="BH209" s="569"/>
      <c r="BI209" s="569"/>
      <c r="BJ209" s="569"/>
      <c r="BK209" s="569"/>
      <c r="BL209" s="569"/>
      <c r="BM209" s="569"/>
      <c r="BN209" s="569"/>
      <c r="BO209" s="569"/>
      <c r="BP209" s="569"/>
      <c r="BQ209" s="569"/>
      <c r="BR209" s="569"/>
      <c r="BS209" s="569"/>
      <c r="BT209" s="569"/>
      <c r="BU209" s="569"/>
      <c r="BV209" s="569"/>
      <c r="BW209" s="569"/>
      <c r="BX209" s="569"/>
      <c r="BY209" s="569"/>
      <c r="BZ209" s="569"/>
      <c r="CA209" s="569"/>
      <c r="CB209" s="569"/>
      <c r="CC209" s="569"/>
      <c r="CD209" s="569"/>
      <c r="CE209" s="569"/>
      <c r="CF209" s="569"/>
      <c r="CG209" s="569"/>
      <c r="CH209" s="569"/>
      <c r="CI209" s="569"/>
      <c r="CJ209" s="569"/>
      <c r="CK209" s="569"/>
      <c r="CL209" s="569"/>
      <c r="CM209" s="569"/>
      <c r="CN209" s="569"/>
      <c r="CO209" s="569"/>
      <c r="CP209" s="569"/>
      <c r="CQ209" s="569"/>
      <c r="CR209" s="569"/>
      <c r="CS209" s="569"/>
      <c r="CT209" s="569"/>
      <c r="CU209" s="569"/>
      <c r="CV209" s="569"/>
      <c r="CW209" s="569"/>
      <c r="CX209" s="569"/>
      <c r="CY209" s="569"/>
      <c r="CZ209" s="569"/>
      <c r="DA209" s="569"/>
      <c r="DB209" s="569"/>
      <c r="DC209" s="569"/>
      <c r="DD209" s="569"/>
      <c r="DE209" s="569"/>
      <c r="DF209" s="569"/>
      <c r="DG209" s="569"/>
      <c r="DH209" s="569"/>
      <c r="DI209" s="569"/>
      <c r="DJ209" s="569"/>
      <c r="DK209" s="569"/>
      <c r="DL209" s="569"/>
      <c r="DM209" s="569"/>
      <c r="DN209" s="569"/>
      <c r="DO209" s="569"/>
      <c r="DP209" s="569"/>
      <c r="DQ209" s="569"/>
      <c r="DR209" s="569"/>
      <c r="DS209" s="569"/>
      <c r="DT209" s="569"/>
      <c r="DU209" s="569"/>
      <c r="DV209" s="569"/>
      <c r="DW209" s="569"/>
      <c r="DX209" s="569"/>
      <c r="DY209" s="569"/>
      <c r="DZ209" s="569"/>
      <c r="EA209" s="569"/>
      <c r="EB209" s="569"/>
      <c r="EC209" s="569"/>
      <c r="ED209" s="569"/>
      <c r="EE209" s="569"/>
      <c r="EF209" s="569"/>
      <c r="EG209" s="569"/>
      <c r="EH209" s="569"/>
      <c r="EI209" s="569"/>
      <c r="EJ209" s="569"/>
      <c r="EK209" s="569"/>
      <c r="EL209" s="569"/>
      <c r="EM209" s="569"/>
      <c r="EN209" s="569"/>
      <c r="EO209" s="569"/>
      <c r="EP209" s="569"/>
      <c r="EQ209" s="569"/>
      <c r="ER209" s="569"/>
      <c r="ES209" s="569"/>
      <c r="ET209" s="569"/>
      <c r="EU209" s="569"/>
      <c r="EV209" s="569"/>
      <c r="EW209" s="569"/>
      <c r="EX209" s="569"/>
      <c r="EY209" s="569"/>
      <c r="EZ209" s="569"/>
      <c r="FA209" s="569"/>
      <c r="FB209" s="569"/>
      <c r="FC209" s="569"/>
      <c r="FD209" s="569"/>
      <c r="FE209" s="569"/>
      <c r="FF209" s="569"/>
      <c r="FG209" s="569"/>
      <c r="FH209" s="569"/>
      <c r="FI209" s="569"/>
      <c r="FJ209" s="569"/>
      <c r="FK209" s="569"/>
      <c r="FL209" s="569"/>
      <c r="FM209" s="569"/>
      <c r="FN209" s="569"/>
      <c r="FO209" s="569"/>
      <c r="FP209" s="569"/>
      <c r="FQ209" s="569"/>
      <c r="FR209" s="569"/>
      <c r="FS209" s="569"/>
      <c r="FT209" s="569"/>
      <c r="FU209" s="569"/>
      <c r="FV209" s="569"/>
      <c r="FW209" s="569"/>
      <c r="FX209" s="569"/>
      <c r="FY209" s="569"/>
      <c r="FZ209" s="569"/>
      <c r="GA209" s="569"/>
      <c r="GB209" s="569"/>
      <c r="GC209" s="569"/>
      <c r="GD209" s="569"/>
      <c r="GE209" s="569"/>
      <c r="GF209" s="569"/>
      <c r="GG209" s="569"/>
      <c r="GH209" s="569"/>
      <c r="GI209" s="569"/>
      <c r="GJ209" s="569"/>
      <c r="GK209" s="569"/>
      <c r="GL209" s="569"/>
      <c r="GM209" s="569"/>
      <c r="GN209" s="569"/>
      <c r="GO209" s="569"/>
      <c r="GP209" s="569"/>
      <c r="GQ209" s="569"/>
      <c r="GR209" s="569"/>
      <c r="GS209" s="569"/>
      <c r="GT209" s="569"/>
    </row>
    <row r="210" spans="2:202" s="554" customFormat="1" ht="18" customHeight="1">
      <c r="B210" s="578"/>
      <c r="C210" s="1149"/>
      <c r="D210" s="1149"/>
      <c r="E210" s="1149"/>
      <c r="F210" s="1149"/>
      <c r="G210" s="1149"/>
      <c r="H210" s="1149"/>
      <c r="I210" s="1149"/>
      <c r="J210" s="1149"/>
      <c r="K210" s="1149"/>
      <c r="L210" s="1149"/>
      <c r="M210" s="578"/>
      <c r="N210" s="578"/>
      <c r="O210" s="578"/>
      <c r="P210" s="578"/>
      <c r="Q210" s="578"/>
      <c r="R210" s="578"/>
      <c r="S210" s="578"/>
      <c r="T210" s="578"/>
      <c r="U210" s="578"/>
      <c r="V210" s="578"/>
      <c r="W210" s="578"/>
      <c r="X210" s="578"/>
      <c r="Y210" s="578"/>
      <c r="Z210" s="578"/>
      <c r="AA210" s="578"/>
      <c r="AB210" s="578"/>
      <c r="AC210" s="578"/>
      <c r="AD210" s="578"/>
      <c r="AE210" s="578"/>
      <c r="AF210" s="578"/>
      <c r="AG210" s="578"/>
      <c r="AH210" s="548"/>
      <c r="AI210" s="548"/>
      <c r="AJ210" s="548"/>
      <c r="AK210" s="548"/>
      <c r="AL210" s="548"/>
      <c r="AM210" s="548"/>
      <c r="AN210" s="548"/>
      <c r="AO210" s="548"/>
      <c r="AP210" s="548"/>
      <c r="AQ210" s="548"/>
      <c r="AR210" s="548"/>
      <c r="AS210" s="548"/>
      <c r="AT210" s="548"/>
      <c r="AU210" s="548"/>
      <c r="AV210" s="548"/>
      <c r="AW210" s="548"/>
      <c r="AX210" s="548"/>
      <c r="AY210" s="548"/>
      <c r="AZ210" s="548"/>
      <c r="BA210" s="548"/>
      <c r="BB210" s="548"/>
      <c r="BC210" s="548"/>
      <c r="BD210" s="569"/>
      <c r="BE210" s="569"/>
      <c r="BF210" s="569"/>
      <c r="BG210" s="569"/>
      <c r="BH210" s="569"/>
      <c r="BI210" s="569"/>
      <c r="BJ210" s="569"/>
      <c r="BK210" s="569"/>
      <c r="BL210" s="569"/>
      <c r="BM210" s="569"/>
      <c r="BN210" s="569"/>
      <c r="BO210" s="569"/>
      <c r="BP210" s="569"/>
      <c r="BQ210" s="569"/>
      <c r="BR210" s="569"/>
      <c r="BS210" s="569"/>
      <c r="BT210" s="569"/>
      <c r="BU210" s="569"/>
      <c r="BV210" s="569"/>
      <c r="BW210" s="569"/>
      <c r="BX210" s="569"/>
      <c r="BY210" s="569"/>
      <c r="BZ210" s="569"/>
      <c r="CA210" s="569"/>
      <c r="CB210" s="569"/>
      <c r="CC210" s="569"/>
      <c r="CD210" s="569"/>
      <c r="CE210" s="569"/>
      <c r="CF210" s="569"/>
      <c r="CG210" s="569"/>
      <c r="CH210" s="569"/>
      <c r="CI210" s="569"/>
      <c r="CJ210" s="569"/>
      <c r="CK210" s="569"/>
      <c r="CL210" s="569"/>
      <c r="CM210" s="569"/>
      <c r="CN210" s="569"/>
      <c r="CO210" s="569"/>
      <c r="CP210" s="569"/>
      <c r="CQ210" s="569"/>
      <c r="CR210" s="569"/>
      <c r="CS210" s="569"/>
      <c r="CT210" s="569"/>
      <c r="CU210" s="569"/>
      <c r="CV210" s="569"/>
      <c r="CW210" s="569"/>
      <c r="CX210" s="569"/>
      <c r="CY210" s="569"/>
      <c r="CZ210" s="569"/>
      <c r="DA210" s="569"/>
      <c r="DB210" s="569"/>
      <c r="DC210" s="569"/>
      <c r="DD210" s="569"/>
      <c r="DE210" s="569"/>
      <c r="DF210" s="569"/>
      <c r="DG210" s="569"/>
      <c r="DH210" s="569"/>
      <c r="DI210" s="569"/>
      <c r="DJ210" s="569"/>
      <c r="DK210" s="569"/>
      <c r="DL210" s="569"/>
      <c r="DM210" s="569"/>
      <c r="DN210" s="569"/>
      <c r="DO210" s="569"/>
      <c r="DP210" s="569"/>
      <c r="DQ210" s="569"/>
      <c r="DR210" s="569"/>
      <c r="DS210" s="569"/>
      <c r="DT210" s="569"/>
      <c r="DU210" s="569"/>
      <c r="DV210" s="569"/>
      <c r="DW210" s="569"/>
      <c r="DX210" s="569"/>
      <c r="DY210" s="569"/>
      <c r="DZ210" s="569"/>
      <c r="EA210" s="569"/>
      <c r="EB210" s="569"/>
      <c r="EC210" s="569"/>
      <c r="ED210" s="569"/>
      <c r="EE210" s="569"/>
      <c r="EF210" s="569"/>
      <c r="EG210" s="569"/>
      <c r="EH210" s="569"/>
      <c r="EI210" s="569"/>
      <c r="EJ210" s="569"/>
      <c r="EK210" s="569"/>
      <c r="EL210" s="569"/>
      <c r="EM210" s="569"/>
      <c r="EN210" s="569"/>
      <c r="EO210" s="569"/>
      <c r="EP210" s="569"/>
      <c r="EQ210" s="569"/>
      <c r="ER210" s="569"/>
      <c r="ES210" s="569"/>
      <c r="ET210" s="569"/>
      <c r="EU210" s="569"/>
      <c r="EV210" s="569"/>
      <c r="EW210" s="569"/>
      <c r="EX210" s="569"/>
      <c r="EY210" s="569"/>
      <c r="EZ210" s="569"/>
      <c r="FA210" s="569"/>
      <c r="FB210" s="569"/>
      <c r="FC210" s="569"/>
      <c r="FD210" s="569"/>
      <c r="FE210" s="569"/>
      <c r="FF210" s="569"/>
      <c r="FG210" s="569"/>
      <c r="FH210" s="569"/>
      <c r="FI210" s="569"/>
      <c r="FJ210" s="569"/>
      <c r="FK210" s="569"/>
      <c r="FL210" s="569"/>
      <c r="FM210" s="569"/>
      <c r="FN210" s="569"/>
      <c r="FO210" s="569"/>
      <c r="FP210" s="569"/>
      <c r="FQ210" s="569"/>
      <c r="FR210" s="569"/>
      <c r="FS210" s="569"/>
      <c r="FT210" s="569"/>
      <c r="FU210" s="569"/>
      <c r="FV210" s="569"/>
      <c r="FW210" s="569"/>
      <c r="FX210" s="569"/>
      <c r="FY210" s="569"/>
      <c r="FZ210" s="569"/>
      <c r="GA210" s="569"/>
      <c r="GB210" s="569"/>
      <c r="GC210" s="569"/>
      <c r="GD210" s="569"/>
      <c r="GE210" s="569"/>
      <c r="GF210" s="569"/>
      <c r="GG210" s="569"/>
      <c r="GH210" s="569"/>
      <c r="GI210" s="569"/>
      <c r="GJ210" s="569"/>
      <c r="GK210" s="569"/>
      <c r="GL210" s="569"/>
      <c r="GM210" s="569"/>
      <c r="GN210" s="569"/>
      <c r="GO210" s="569"/>
      <c r="GP210" s="569"/>
      <c r="GQ210" s="569"/>
      <c r="GR210" s="569"/>
      <c r="GS210" s="569"/>
      <c r="GT210" s="569"/>
    </row>
    <row r="211" spans="2:202" s="554" customFormat="1" ht="18" customHeight="1">
      <c r="B211" s="578"/>
      <c r="C211" s="1149"/>
      <c r="D211" s="1149"/>
      <c r="E211" s="1149"/>
      <c r="F211" s="1149"/>
      <c r="G211" s="1149"/>
      <c r="H211" s="1149"/>
      <c r="I211" s="1149"/>
      <c r="J211" s="1149"/>
      <c r="K211" s="1149"/>
      <c r="L211" s="1149"/>
      <c r="M211" s="578"/>
      <c r="N211" s="578"/>
      <c r="O211" s="578"/>
      <c r="P211" s="578"/>
      <c r="Q211" s="578"/>
      <c r="R211" s="578"/>
      <c r="S211" s="578"/>
      <c r="T211" s="578"/>
      <c r="U211" s="578"/>
      <c r="V211" s="578"/>
      <c r="W211" s="578"/>
      <c r="X211" s="578"/>
      <c r="Y211" s="578"/>
      <c r="Z211" s="578"/>
      <c r="AA211" s="578"/>
      <c r="AB211" s="578"/>
      <c r="AC211" s="578"/>
      <c r="AD211" s="578"/>
      <c r="AE211" s="578"/>
      <c r="AF211" s="578"/>
      <c r="AG211" s="578"/>
      <c r="AH211" s="548"/>
      <c r="AI211" s="548"/>
      <c r="AJ211" s="548"/>
      <c r="AK211" s="548"/>
      <c r="AL211" s="548"/>
      <c r="AM211" s="548"/>
      <c r="AN211" s="548"/>
      <c r="AO211" s="548"/>
      <c r="AP211" s="548"/>
      <c r="AQ211" s="548"/>
      <c r="AR211" s="548"/>
      <c r="AS211" s="548"/>
      <c r="AT211" s="548"/>
      <c r="AU211" s="548"/>
      <c r="AV211" s="548"/>
      <c r="AW211" s="548"/>
      <c r="AX211" s="548"/>
      <c r="AY211" s="548"/>
      <c r="AZ211" s="548"/>
      <c r="BA211" s="548"/>
      <c r="BB211" s="548"/>
      <c r="BC211" s="548"/>
      <c r="BD211" s="569"/>
      <c r="BE211" s="569"/>
      <c r="BF211" s="569"/>
      <c r="BG211" s="569"/>
      <c r="BH211" s="569"/>
      <c r="BI211" s="569"/>
      <c r="BJ211" s="569"/>
      <c r="BK211" s="569"/>
      <c r="BL211" s="569"/>
      <c r="BM211" s="569"/>
      <c r="BN211" s="569"/>
      <c r="BO211" s="569"/>
      <c r="BP211" s="569"/>
      <c r="BQ211" s="569"/>
      <c r="BR211" s="569"/>
      <c r="BS211" s="569"/>
      <c r="BT211" s="569"/>
      <c r="BU211" s="569"/>
      <c r="BV211" s="569"/>
      <c r="BW211" s="569"/>
      <c r="BX211" s="569"/>
      <c r="BY211" s="569"/>
      <c r="BZ211" s="569"/>
      <c r="CA211" s="569"/>
      <c r="CB211" s="569"/>
      <c r="CC211" s="569"/>
      <c r="CD211" s="569"/>
      <c r="CE211" s="569"/>
      <c r="CF211" s="569"/>
      <c r="CG211" s="569"/>
      <c r="CH211" s="569"/>
      <c r="CI211" s="569"/>
      <c r="CJ211" s="569"/>
      <c r="CK211" s="569"/>
      <c r="CL211" s="569"/>
      <c r="CM211" s="569"/>
      <c r="CN211" s="569"/>
      <c r="CO211" s="569"/>
      <c r="CP211" s="569"/>
      <c r="CQ211" s="569"/>
      <c r="CR211" s="569"/>
      <c r="CS211" s="569"/>
      <c r="CT211" s="569"/>
      <c r="CU211" s="569"/>
      <c r="CV211" s="569"/>
      <c r="CW211" s="569"/>
      <c r="CX211" s="569"/>
      <c r="CY211" s="569"/>
      <c r="CZ211" s="569"/>
      <c r="DA211" s="569"/>
      <c r="DB211" s="569"/>
      <c r="DC211" s="569"/>
      <c r="DD211" s="569"/>
      <c r="DE211" s="569"/>
      <c r="DF211" s="569"/>
      <c r="DG211" s="569"/>
      <c r="DH211" s="569"/>
      <c r="DI211" s="569"/>
      <c r="DJ211" s="569"/>
      <c r="DK211" s="569"/>
      <c r="DL211" s="569"/>
      <c r="DM211" s="569"/>
      <c r="DN211" s="569"/>
      <c r="DO211" s="569"/>
      <c r="DP211" s="569"/>
      <c r="DQ211" s="569"/>
      <c r="DR211" s="569"/>
      <c r="DS211" s="569"/>
      <c r="DT211" s="569"/>
      <c r="DU211" s="569"/>
      <c r="DV211" s="569"/>
      <c r="DW211" s="569"/>
      <c r="DX211" s="569"/>
      <c r="DY211" s="569"/>
      <c r="DZ211" s="569"/>
      <c r="EA211" s="569"/>
      <c r="EB211" s="569"/>
      <c r="EC211" s="569"/>
      <c r="ED211" s="569"/>
      <c r="EE211" s="569"/>
      <c r="EF211" s="569"/>
      <c r="EG211" s="569"/>
      <c r="EH211" s="569"/>
      <c r="EI211" s="569"/>
      <c r="EJ211" s="569"/>
      <c r="EK211" s="569"/>
      <c r="EL211" s="569"/>
      <c r="EM211" s="569"/>
      <c r="EN211" s="569"/>
      <c r="EO211" s="569"/>
      <c r="EP211" s="569"/>
      <c r="EQ211" s="569"/>
      <c r="ER211" s="569"/>
      <c r="ES211" s="569"/>
      <c r="ET211" s="569"/>
      <c r="EU211" s="569"/>
      <c r="EV211" s="569"/>
      <c r="EW211" s="569"/>
      <c r="EX211" s="569"/>
      <c r="EY211" s="569"/>
      <c r="EZ211" s="569"/>
      <c r="FA211" s="569"/>
      <c r="FB211" s="569"/>
      <c r="FC211" s="569"/>
      <c r="FD211" s="569"/>
      <c r="FE211" s="569"/>
      <c r="FF211" s="569"/>
      <c r="FG211" s="569"/>
      <c r="FH211" s="569"/>
      <c r="FI211" s="569"/>
      <c r="FJ211" s="569"/>
      <c r="FK211" s="569"/>
      <c r="FL211" s="569"/>
      <c r="FM211" s="569"/>
      <c r="FN211" s="569"/>
      <c r="FO211" s="569"/>
      <c r="FP211" s="569"/>
      <c r="FQ211" s="569"/>
      <c r="FR211" s="569"/>
      <c r="FS211" s="569"/>
      <c r="FT211" s="569"/>
      <c r="FU211" s="569"/>
      <c r="FV211" s="569"/>
      <c r="FW211" s="569"/>
      <c r="FX211" s="569"/>
      <c r="FY211" s="569"/>
      <c r="FZ211" s="569"/>
      <c r="GA211" s="569"/>
      <c r="GB211" s="569"/>
      <c r="GC211" s="569"/>
      <c r="GD211" s="569"/>
      <c r="GE211" s="569"/>
      <c r="GF211" s="569"/>
      <c r="GG211" s="569"/>
      <c r="GH211" s="569"/>
      <c r="GI211" s="569"/>
      <c r="GJ211" s="569"/>
      <c r="GK211" s="569"/>
      <c r="GL211" s="569"/>
      <c r="GM211" s="569"/>
      <c r="GN211" s="569"/>
      <c r="GO211" s="569"/>
      <c r="GP211" s="569"/>
      <c r="GQ211" s="569"/>
      <c r="GR211" s="569"/>
      <c r="GS211" s="569"/>
      <c r="GT211" s="569"/>
    </row>
    <row r="212" spans="2:202" s="554" customFormat="1" ht="18" customHeight="1">
      <c r="B212" s="578"/>
      <c r="C212" s="1149"/>
      <c r="D212" s="1149"/>
      <c r="E212" s="1149"/>
      <c r="F212" s="1149"/>
      <c r="G212" s="1149"/>
      <c r="H212" s="1149"/>
      <c r="I212" s="1149"/>
      <c r="J212" s="1149"/>
      <c r="K212" s="1149"/>
      <c r="L212" s="1149"/>
      <c r="M212" s="578"/>
      <c r="N212" s="578"/>
      <c r="O212" s="578"/>
      <c r="P212" s="578"/>
      <c r="Q212" s="578"/>
      <c r="R212" s="578"/>
      <c r="S212" s="578"/>
      <c r="T212" s="578"/>
      <c r="U212" s="578"/>
      <c r="V212" s="578"/>
      <c r="W212" s="578"/>
      <c r="X212" s="578"/>
      <c r="Y212" s="578"/>
      <c r="Z212" s="578"/>
      <c r="AA212" s="578"/>
      <c r="AB212" s="578"/>
      <c r="AC212" s="578"/>
      <c r="AD212" s="578"/>
      <c r="AE212" s="578"/>
      <c r="AF212" s="578"/>
      <c r="AG212" s="578"/>
      <c r="AH212" s="548"/>
      <c r="AI212" s="548"/>
      <c r="AJ212" s="548"/>
      <c r="AK212" s="548"/>
      <c r="AL212" s="548"/>
      <c r="AM212" s="548"/>
      <c r="AN212" s="548"/>
      <c r="AO212" s="548"/>
      <c r="AP212" s="548"/>
      <c r="AQ212" s="548"/>
      <c r="AR212" s="548"/>
      <c r="AS212" s="548"/>
      <c r="AT212" s="548"/>
      <c r="AU212" s="548"/>
      <c r="AV212" s="548"/>
      <c r="AW212" s="548"/>
      <c r="AX212" s="548"/>
      <c r="AY212" s="548"/>
      <c r="AZ212" s="548"/>
      <c r="BA212" s="548"/>
      <c r="BB212" s="548"/>
      <c r="BC212" s="548"/>
      <c r="BD212" s="569"/>
      <c r="BE212" s="569"/>
      <c r="BF212" s="569"/>
      <c r="BG212" s="569"/>
      <c r="BH212" s="569"/>
      <c r="BI212" s="569"/>
      <c r="BJ212" s="569"/>
      <c r="BK212" s="569"/>
      <c r="BL212" s="569"/>
      <c r="BM212" s="569"/>
      <c r="BN212" s="569"/>
      <c r="BO212" s="569"/>
      <c r="BP212" s="569"/>
      <c r="BQ212" s="569"/>
      <c r="BR212" s="569"/>
      <c r="BS212" s="569"/>
      <c r="BT212" s="569"/>
      <c r="BU212" s="569"/>
      <c r="BV212" s="569"/>
      <c r="BW212" s="569"/>
      <c r="BX212" s="569"/>
      <c r="BY212" s="569"/>
      <c r="BZ212" s="569"/>
      <c r="CA212" s="569"/>
      <c r="CB212" s="569"/>
      <c r="CC212" s="569"/>
      <c r="CD212" s="569"/>
      <c r="CE212" s="569"/>
      <c r="CF212" s="569"/>
      <c r="CG212" s="569"/>
      <c r="CH212" s="569"/>
      <c r="CI212" s="569"/>
      <c r="CJ212" s="569"/>
      <c r="CK212" s="569"/>
      <c r="CL212" s="569"/>
      <c r="CM212" s="569"/>
      <c r="CN212" s="569"/>
      <c r="CO212" s="569"/>
      <c r="CP212" s="569"/>
      <c r="CQ212" s="569"/>
      <c r="CR212" s="569"/>
      <c r="CS212" s="569"/>
      <c r="CT212" s="569"/>
      <c r="CU212" s="569"/>
      <c r="CV212" s="569"/>
      <c r="CW212" s="569"/>
      <c r="CX212" s="569"/>
      <c r="CY212" s="569"/>
      <c r="CZ212" s="569"/>
      <c r="DA212" s="569"/>
      <c r="DB212" s="569"/>
      <c r="DC212" s="569"/>
      <c r="DD212" s="569"/>
      <c r="DE212" s="569"/>
      <c r="DF212" s="569"/>
      <c r="DG212" s="569"/>
      <c r="DH212" s="569"/>
      <c r="DI212" s="569"/>
      <c r="DJ212" s="569"/>
      <c r="DK212" s="569"/>
      <c r="DL212" s="569"/>
      <c r="DM212" s="569"/>
      <c r="DN212" s="569"/>
      <c r="DO212" s="569"/>
      <c r="DP212" s="569"/>
      <c r="DQ212" s="569"/>
      <c r="DR212" s="569"/>
      <c r="DS212" s="569"/>
      <c r="DT212" s="569"/>
      <c r="DU212" s="569"/>
      <c r="DV212" s="569"/>
      <c r="DW212" s="569"/>
      <c r="DX212" s="569"/>
      <c r="DY212" s="569"/>
      <c r="DZ212" s="569"/>
      <c r="EA212" s="569"/>
      <c r="EB212" s="569"/>
      <c r="EC212" s="569"/>
      <c r="ED212" s="569"/>
      <c r="EE212" s="569"/>
      <c r="EF212" s="569"/>
      <c r="EG212" s="569"/>
      <c r="EH212" s="569"/>
      <c r="EI212" s="569"/>
      <c r="EJ212" s="569"/>
      <c r="EK212" s="569"/>
      <c r="EL212" s="569"/>
      <c r="EM212" s="569"/>
      <c r="EN212" s="569"/>
      <c r="EO212" s="569"/>
      <c r="EP212" s="569"/>
      <c r="EQ212" s="569"/>
      <c r="ER212" s="569"/>
      <c r="ES212" s="569"/>
      <c r="ET212" s="569"/>
      <c r="EU212" s="569"/>
      <c r="EV212" s="569"/>
      <c r="EW212" s="569"/>
      <c r="EX212" s="569"/>
      <c r="EY212" s="569"/>
      <c r="EZ212" s="569"/>
      <c r="FA212" s="569"/>
      <c r="FB212" s="569"/>
      <c r="FC212" s="569"/>
      <c r="FD212" s="569"/>
      <c r="FE212" s="569"/>
      <c r="FF212" s="569"/>
      <c r="FG212" s="569"/>
      <c r="FH212" s="569"/>
      <c r="FI212" s="569"/>
      <c r="FJ212" s="569"/>
      <c r="FK212" s="569"/>
      <c r="FL212" s="569"/>
      <c r="FM212" s="569"/>
      <c r="FN212" s="569"/>
      <c r="FO212" s="569"/>
      <c r="FP212" s="569"/>
      <c r="FQ212" s="569"/>
      <c r="FR212" s="569"/>
      <c r="FS212" s="569"/>
      <c r="FT212" s="569"/>
      <c r="FU212" s="569"/>
      <c r="FV212" s="569"/>
      <c r="FW212" s="569"/>
      <c r="FX212" s="569"/>
      <c r="FY212" s="569"/>
      <c r="FZ212" s="569"/>
      <c r="GA212" s="569"/>
      <c r="GB212" s="569"/>
      <c r="GC212" s="569"/>
      <c r="GD212" s="569"/>
      <c r="GE212" s="569"/>
      <c r="GF212" s="569"/>
      <c r="GG212" s="569"/>
      <c r="GH212" s="569"/>
      <c r="GI212" s="569"/>
      <c r="GJ212" s="569"/>
      <c r="GK212" s="569"/>
      <c r="GL212" s="569"/>
      <c r="GM212" s="569"/>
      <c r="GN212" s="569"/>
      <c r="GO212" s="569"/>
      <c r="GP212" s="569"/>
      <c r="GQ212" s="569"/>
      <c r="GR212" s="569"/>
      <c r="GS212" s="569"/>
      <c r="GT212" s="569"/>
    </row>
    <row r="213" spans="2:202" s="554" customFormat="1" ht="18" customHeight="1">
      <c r="B213" s="578"/>
      <c r="C213" s="1149"/>
      <c r="D213" s="1149"/>
      <c r="E213" s="1149"/>
      <c r="F213" s="1149"/>
      <c r="G213" s="1149"/>
      <c r="H213" s="1149"/>
      <c r="I213" s="1149"/>
      <c r="J213" s="1149"/>
      <c r="K213" s="1149"/>
      <c r="L213" s="1149"/>
      <c r="M213" s="578"/>
      <c r="N213" s="578"/>
      <c r="O213" s="578"/>
      <c r="P213" s="578"/>
      <c r="Q213" s="578"/>
      <c r="R213" s="578"/>
      <c r="S213" s="578"/>
      <c r="T213" s="578"/>
      <c r="U213" s="578"/>
      <c r="V213" s="578"/>
      <c r="W213" s="578"/>
      <c r="X213" s="578"/>
      <c r="Y213" s="578"/>
      <c r="Z213" s="578"/>
      <c r="AA213" s="578"/>
      <c r="AB213" s="578"/>
      <c r="AC213" s="578"/>
      <c r="AD213" s="578"/>
      <c r="AE213" s="578"/>
      <c r="AF213" s="578"/>
      <c r="AG213" s="578"/>
      <c r="AH213" s="548"/>
      <c r="AI213" s="548"/>
      <c r="AJ213" s="548"/>
      <c r="AK213" s="548"/>
      <c r="AL213" s="548"/>
      <c r="AM213" s="548"/>
      <c r="AN213" s="548"/>
      <c r="AO213" s="548"/>
      <c r="AP213" s="548"/>
      <c r="AQ213" s="548"/>
      <c r="AR213" s="548"/>
      <c r="AS213" s="548"/>
      <c r="AT213" s="548"/>
      <c r="AU213" s="548"/>
      <c r="AV213" s="548"/>
      <c r="AW213" s="548"/>
      <c r="AX213" s="548"/>
      <c r="AY213" s="548"/>
      <c r="AZ213" s="548"/>
      <c r="BA213" s="548"/>
      <c r="BB213" s="548"/>
      <c r="BC213" s="548"/>
      <c r="BD213" s="569"/>
      <c r="BE213" s="569"/>
      <c r="BF213" s="569"/>
      <c r="BG213" s="569"/>
      <c r="BH213" s="569"/>
      <c r="BI213" s="569"/>
      <c r="BJ213" s="569"/>
      <c r="BK213" s="569"/>
      <c r="BL213" s="569"/>
      <c r="BM213" s="569"/>
      <c r="BN213" s="569"/>
      <c r="BO213" s="569"/>
      <c r="BP213" s="569"/>
      <c r="BQ213" s="569"/>
      <c r="BR213" s="569"/>
      <c r="BS213" s="569"/>
      <c r="BT213" s="569"/>
      <c r="BU213" s="569"/>
      <c r="BV213" s="569"/>
      <c r="BW213" s="569"/>
      <c r="BX213" s="569"/>
      <c r="BY213" s="569"/>
      <c r="BZ213" s="569"/>
      <c r="CA213" s="569"/>
      <c r="CB213" s="569"/>
      <c r="CC213" s="569"/>
      <c r="CD213" s="569"/>
      <c r="CE213" s="569"/>
      <c r="CF213" s="569"/>
      <c r="CG213" s="569"/>
      <c r="CH213" s="569"/>
      <c r="CI213" s="569"/>
      <c r="CJ213" s="569"/>
      <c r="CK213" s="569"/>
      <c r="CL213" s="569"/>
      <c r="CM213" s="569"/>
      <c r="CN213" s="569"/>
      <c r="CO213" s="569"/>
      <c r="CP213" s="569"/>
      <c r="CQ213" s="569"/>
      <c r="CR213" s="569"/>
      <c r="CS213" s="569"/>
      <c r="CT213" s="569"/>
      <c r="CU213" s="569"/>
      <c r="CV213" s="569"/>
      <c r="CW213" s="569"/>
      <c r="CX213" s="569"/>
      <c r="CY213" s="569"/>
      <c r="CZ213" s="569"/>
      <c r="DA213" s="569"/>
      <c r="DB213" s="569"/>
      <c r="DC213" s="569"/>
      <c r="DD213" s="569"/>
      <c r="DE213" s="569"/>
      <c r="DF213" s="569"/>
      <c r="DG213" s="569"/>
      <c r="DH213" s="569"/>
      <c r="DI213" s="569"/>
      <c r="DJ213" s="569"/>
      <c r="DK213" s="569"/>
      <c r="DL213" s="569"/>
      <c r="DM213" s="569"/>
      <c r="DN213" s="569"/>
      <c r="DO213" s="569"/>
      <c r="DP213" s="569"/>
      <c r="DQ213" s="569"/>
      <c r="DR213" s="569"/>
      <c r="DS213" s="569"/>
      <c r="DT213" s="569"/>
      <c r="DU213" s="569"/>
      <c r="DV213" s="569"/>
      <c r="DW213" s="569"/>
      <c r="DX213" s="569"/>
      <c r="DY213" s="569"/>
      <c r="DZ213" s="569"/>
      <c r="EA213" s="569"/>
      <c r="EB213" s="569"/>
      <c r="EC213" s="569"/>
      <c r="ED213" s="569"/>
      <c r="EE213" s="569"/>
      <c r="EF213" s="569"/>
      <c r="EG213" s="569"/>
      <c r="EH213" s="569"/>
      <c r="EI213" s="569"/>
      <c r="EJ213" s="569"/>
      <c r="EK213" s="569"/>
      <c r="EL213" s="569"/>
      <c r="EM213" s="569"/>
      <c r="EN213" s="569"/>
      <c r="EO213" s="569"/>
      <c r="EP213" s="569"/>
      <c r="EQ213" s="569"/>
      <c r="ER213" s="569"/>
      <c r="ES213" s="569"/>
      <c r="ET213" s="569"/>
      <c r="EU213" s="569"/>
      <c r="EV213" s="569"/>
      <c r="EW213" s="569"/>
      <c r="EX213" s="569"/>
      <c r="EY213" s="569"/>
      <c r="EZ213" s="569"/>
      <c r="FA213" s="569"/>
      <c r="FB213" s="569"/>
      <c r="FC213" s="569"/>
      <c r="FD213" s="569"/>
      <c r="FE213" s="569"/>
      <c r="FF213" s="569"/>
      <c r="FG213" s="569"/>
      <c r="FH213" s="569"/>
      <c r="FI213" s="569"/>
      <c r="FJ213" s="569"/>
      <c r="FK213" s="569"/>
      <c r="FL213" s="569"/>
      <c r="FM213" s="569"/>
      <c r="FN213" s="569"/>
      <c r="FO213" s="569"/>
      <c r="FP213" s="569"/>
      <c r="FQ213" s="569"/>
      <c r="FR213" s="569"/>
      <c r="FS213" s="569"/>
      <c r="FT213" s="569"/>
      <c r="FU213" s="569"/>
      <c r="FV213" s="569"/>
      <c r="FW213" s="569"/>
      <c r="FX213" s="569"/>
      <c r="FY213" s="569"/>
      <c r="FZ213" s="569"/>
      <c r="GA213" s="569"/>
      <c r="GB213" s="569"/>
      <c r="GC213" s="569"/>
      <c r="GD213" s="569"/>
      <c r="GE213" s="569"/>
      <c r="GF213" s="569"/>
      <c r="GG213" s="569"/>
      <c r="GH213" s="569"/>
      <c r="GI213" s="569"/>
      <c r="GJ213" s="569"/>
      <c r="GK213" s="569"/>
      <c r="GL213" s="569"/>
      <c r="GM213" s="569"/>
      <c r="GN213" s="569"/>
      <c r="GO213" s="569"/>
      <c r="GP213" s="569"/>
      <c r="GQ213" s="569"/>
      <c r="GR213" s="569"/>
      <c r="GS213" s="569"/>
      <c r="GT213" s="569"/>
    </row>
    <row r="214" spans="2:202" s="554" customFormat="1" ht="18" customHeight="1">
      <c r="B214" s="578"/>
      <c r="C214" s="1149"/>
      <c r="D214" s="1149"/>
      <c r="E214" s="1149"/>
      <c r="F214" s="1149"/>
      <c r="G214" s="1149"/>
      <c r="H214" s="1149"/>
      <c r="I214" s="1149"/>
      <c r="J214" s="1149"/>
      <c r="K214" s="1149"/>
      <c r="L214" s="1149"/>
      <c r="M214" s="578"/>
      <c r="N214" s="578"/>
      <c r="O214" s="578"/>
      <c r="P214" s="578"/>
      <c r="Q214" s="578"/>
      <c r="R214" s="578"/>
      <c r="S214" s="578"/>
      <c r="T214" s="578"/>
      <c r="U214" s="578"/>
      <c r="V214" s="578"/>
      <c r="W214" s="578"/>
      <c r="X214" s="578"/>
      <c r="Y214" s="578"/>
      <c r="Z214" s="578"/>
      <c r="AA214" s="578"/>
      <c r="AB214" s="578"/>
      <c r="AC214" s="578"/>
      <c r="AD214" s="578"/>
      <c r="AE214" s="578"/>
      <c r="AF214" s="578"/>
      <c r="AG214" s="578"/>
      <c r="AH214" s="548"/>
      <c r="AI214" s="548"/>
      <c r="AJ214" s="548"/>
      <c r="AK214" s="548"/>
      <c r="AL214" s="548"/>
      <c r="AM214" s="548"/>
      <c r="AN214" s="548"/>
      <c r="AO214" s="548"/>
      <c r="AP214" s="548"/>
      <c r="AQ214" s="548"/>
      <c r="AR214" s="548"/>
      <c r="AS214" s="548"/>
      <c r="AT214" s="548"/>
      <c r="AU214" s="548"/>
      <c r="AV214" s="548"/>
      <c r="AW214" s="548"/>
      <c r="AX214" s="548"/>
      <c r="AY214" s="548"/>
      <c r="AZ214" s="548"/>
      <c r="BA214" s="548"/>
      <c r="BB214" s="548"/>
      <c r="BC214" s="548"/>
      <c r="BD214" s="569"/>
      <c r="BE214" s="569"/>
      <c r="BF214" s="569"/>
      <c r="BG214" s="569"/>
      <c r="BH214" s="569"/>
      <c r="BI214" s="569"/>
      <c r="BJ214" s="569"/>
      <c r="BK214" s="569"/>
      <c r="BL214" s="569"/>
      <c r="BM214" s="569"/>
      <c r="BN214" s="569"/>
      <c r="BO214" s="569"/>
      <c r="BP214" s="569"/>
      <c r="BQ214" s="569"/>
      <c r="BR214" s="569"/>
      <c r="BS214" s="569"/>
      <c r="BT214" s="569"/>
      <c r="BU214" s="569"/>
      <c r="BV214" s="569"/>
      <c r="BW214" s="569"/>
      <c r="BX214" s="569"/>
      <c r="BY214" s="569"/>
      <c r="BZ214" s="569"/>
      <c r="CA214" s="569"/>
      <c r="CB214" s="569"/>
      <c r="CC214" s="569"/>
      <c r="CD214" s="569"/>
      <c r="CE214" s="569"/>
      <c r="CF214" s="569"/>
      <c r="CG214" s="569"/>
      <c r="CH214" s="569"/>
      <c r="CI214" s="569"/>
      <c r="CJ214" s="569"/>
      <c r="CK214" s="569"/>
      <c r="CL214" s="569"/>
      <c r="CM214" s="569"/>
      <c r="CN214" s="569"/>
      <c r="CO214" s="569"/>
      <c r="CP214" s="569"/>
      <c r="CQ214" s="569"/>
      <c r="CR214" s="569"/>
      <c r="CS214" s="569"/>
      <c r="CT214" s="569"/>
      <c r="CU214" s="569"/>
      <c r="CV214" s="569"/>
      <c r="CW214" s="569"/>
      <c r="CX214" s="569"/>
      <c r="CY214" s="569"/>
      <c r="CZ214" s="569"/>
      <c r="DA214" s="569"/>
      <c r="DB214" s="569"/>
      <c r="DC214" s="569"/>
      <c r="DD214" s="569"/>
      <c r="DE214" s="569"/>
      <c r="DF214" s="569"/>
      <c r="DG214" s="569"/>
      <c r="DH214" s="569"/>
      <c r="DI214" s="569"/>
      <c r="DJ214" s="569"/>
      <c r="DK214" s="569"/>
      <c r="DL214" s="569"/>
      <c r="DM214" s="569"/>
      <c r="DN214" s="569"/>
      <c r="DO214" s="569"/>
      <c r="DP214" s="569"/>
      <c r="DQ214" s="569"/>
      <c r="DR214" s="569"/>
      <c r="DS214" s="569"/>
      <c r="DT214" s="569"/>
      <c r="DU214" s="569"/>
      <c r="DV214" s="569"/>
      <c r="DW214" s="569"/>
      <c r="DX214" s="569"/>
      <c r="DY214" s="569"/>
      <c r="DZ214" s="569"/>
      <c r="EA214" s="569"/>
      <c r="EB214" s="569"/>
      <c r="EC214" s="569"/>
      <c r="ED214" s="569"/>
      <c r="EE214" s="569"/>
      <c r="EF214" s="569"/>
      <c r="EG214" s="569"/>
      <c r="EH214" s="569"/>
      <c r="EI214" s="569"/>
      <c r="EJ214" s="569"/>
      <c r="EK214" s="569"/>
      <c r="EL214" s="569"/>
      <c r="EM214" s="569"/>
      <c r="EN214" s="569"/>
      <c r="EO214" s="569"/>
      <c r="EP214" s="569"/>
      <c r="EQ214" s="569"/>
      <c r="ER214" s="569"/>
      <c r="ES214" s="569"/>
      <c r="ET214" s="569"/>
      <c r="EU214" s="569"/>
      <c r="EV214" s="569"/>
      <c r="EW214" s="569"/>
      <c r="EX214" s="569"/>
      <c r="EY214" s="569"/>
      <c r="EZ214" s="569"/>
      <c r="FA214" s="569"/>
      <c r="FB214" s="569"/>
      <c r="FC214" s="569"/>
      <c r="FD214" s="569"/>
      <c r="FE214" s="569"/>
      <c r="FF214" s="569"/>
      <c r="FG214" s="569"/>
      <c r="FH214" s="569"/>
      <c r="FI214" s="569"/>
      <c r="FJ214" s="569"/>
      <c r="FK214" s="569"/>
      <c r="FL214" s="569"/>
      <c r="FM214" s="569"/>
      <c r="FN214" s="569"/>
      <c r="FO214" s="569"/>
      <c r="FP214" s="569"/>
      <c r="FQ214" s="569"/>
      <c r="FR214" s="569"/>
      <c r="FS214" s="569"/>
      <c r="FT214" s="569"/>
      <c r="FU214" s="569"/>
      <c r="FV214" s="569"/>
      <c r="FW214" s="569"/>
      <c r="FX214" s="569"/>
      <c r="FY214" s="569"/>
      <c r="FZ214" s="569"/>
      <c r="GA214" s="569"/>
      <c r="GB214" s="569"/>
      <c r="GC214" s="569"/>
      <c r="GD214" s="569"/>
      <c r="GE214" s="569"/>
      <c r="GF214" s="569"/>
      <c r="GG214" s="569"/>
      <c r="GH214" s="569"/>
      <c r="GI214" s="569"/>
      <c r="GJ214" s="569"/>
      <c r="GK214" s="569"/>
      <c r="GL214" s="569"/>
      <c r="GM214" s="569"/>
      <c r="GN214" s="569"/>
      <c r="GO214" s="569"/>
      <c r="GP214" s="569"/>
      <c r="GQ214" s="569"/>
      <c r="GR214" s="569"/>
      <c r="GS214" s="569"/>
      <c r="GT214" s="569"/>
    </row>
    <row r="215" spans="2:202" s="554" customFormat="1" ht="18" customHeight="1">
      <c r="B215" s="578"/>
      <c r="C215" s="1149"/>
      <c r="D215" s="1149"/>
      <c r="E215" s="1149"/>
      <c r="F215" s="1149"/>
      <c r="G215" s="1149"/>
      <c r="H215" s="1149"/>
      <c r="I215" s="1149"/>
      <c r="J215" s="1149"/>
      <c r="K215" s="1149"/>
      <c r="L215" s="1149"/>
      <c r="M215" s="578"/>
      <c r="N215" s="578"/>
      <c r="O215" s="578"/>
      <c r="P215" s="578"/>
      <c r="Q215" s="578"/>
      <c r="R215" s="578"/>
      <c r="S215" s="578"/>
      <c r="T215" s="578"/>
      <c r="U215" s="578"/>
      <c r="V215" s="578"/>
      <c r="W215" s="578"/>
      <c r="X215" s="578"/>
      <c r="Y215" s="578"/>
      <c r="Z215" s="578"/>
      <c r="AA215" s="578"/>
      <c r="AB215" s="578"/>
      <c r="AC215" s="578"/>
      <c r="AD215" s="578"/>
      <c r="AE215" s="578"/>
      <c r="AF215" s="578"/>
      <c r="AG215" s="578"/>
      <c r="AH215" s="548"/>
      <c r="AI215" s="548"/>
      <c r="AJ215" s="548"/>
      <c r="AK215" s="548"/>
      <c r="AL215" s="548"/>
      <c r="AM215" s="548"/>
      <c r="AN215" s="548"/>
      <c r="AO215" s="548"/>
      <c r="AP215" s="548"/>
      <c r="AQ215" s="548"/>
      <c r="AR215" s="548"/>
      <c r="AS215" s="548"/>
      <c r="AT215" s="548"/>
      <c r="AU215" s="548"/>
      <c r="AV215" s="548"/>
      <c r="AW215" s="548"/>
      <c r="AX215" s="548"/>
      <c r="AY215" s="548"/>
      <c r="AZ215" s="548"/>
      <c r="BA215" s="548"/>
      <c r="BB215" s="548"/>
      <c r="BC215" s="548"/>
      <c r="BD215" s="569"/>
      <c r="BE215" s="569"/>
      <c r="BF215" s="569"/>
      <c r="BG215" s="569"/>
      <c r="BH215" s="569"/>
      <c r="BI215" s="569"/>
      <c r="BJ215" s="569"/>
      <c r="BK215" s="569"/>
      <c r="BL215" s="569"/>
      <c r="BM215" s="569"/>
      <c r="BN215" s="569"/>
      <c r="BO215" s="569"/>
      <c r="BP215" s="569"/>
      <c r="BQ215" s="569"/>
      <c r="BR215" s="569"/>
      <c r="BS215" s="569"/>
      <c r="BT215" s="569"/>
      <c r="BU215" s="569"/>
      <c r="BV215" s="569"/>
      <c r="BW215" s="569"/>
      <c r="BX215" s="569"/>
      <c r="BY215" s="569"/>
      <c r="BZ215" s="569"/>
      <c r="CA215" s="569"/>
      <c r="CB215" s="569"/>
      <c r="CC215" s="569"/>
      <c r="CD215" s="569"/>
      <c r="CE215" s="569"/>
      <c r="CF215" s="569"/>
      <c r="CG215" s="569"/>
      <c r="CH215" s="569"/>
      <c r="CI215" s="569"/>
      <c r="CJ215" s="569"/>
      <c r="CK215" s="569"/>
      <c r="CL215" s="569"/>
      <c r="CM215" s="569"/>
      <c r="CN215" s="569"/>
      <c r="CO215" s="569"/>
      <c r="CP215" s="569"/>
      <c r="CQ215" s="569"/>
      <c r="CR215" s="569"/>
      <c r="CS215" s="569"/>
      <c r="CT215" s="569"/>
      <c r="CU215" s="569"/>
      <c r="CV215" s="569"/>
      <c r="CW215" s="569"/>
      <c r="CX215" s="569"/>
      <c r="CY215" s="569"/>
      <c r="CZ215" s="569"/>
      <c r="DA215" s="569"/>
      <c r="DB215" s="569"/>
      <c r="DC215" s="569"/>
      <c r="DD215" s="569"/>
      <c r="DE215" s="569"/>
      <c r="DF215" s="569"/>
      <c r="DG215" s="569"/>
      <c r="DH215" s="569"/>
      <c r="DI215" s="569"/>
      <c r="DJ215" s="569"/>
      <c r="DK215" s="569"/>
      <c r="DL215" s="569"/>
      <c r="DM215" s="569"/>
      <c r="DN215" s="569"/>
      <c r="DO215" s="569"/>
      <c r="DP215" s="569"/>
      <c r="DQ215" s="569"/>
      <c r="DR215" s="569"/>
      <c r="DS215" s="569"/>
      <c r="DT215" s="569"/>
      <c r="DU215" s="569"/>
      <c r="DV215" s="569"/>
      <c r="DW215" s="569"/>
      <c r="DX215" s="569"/>
      <c r="DY215" s="569"/>
      <c r="DZ215" s="569"/>
      <c r="EA215" s="569"/>
      <c r="EB215" s="569"/>
      <c r="EC215" s="569"/>
      <c r="ED215" s="569"/>
      <c r="EE215" s="569"/>
      <c r="EF215" s="569"/>
      <c r="EG215" s="569"/>
      <c r="EH215" s="569"/>
      <c r="EI215" s="569"/>
      <c r="EJ215" s="569"/>
      <c r="EK215" s="569"/>
      <c r="EL215" s="569"/>
      <c r="EM215" s="569"/>
      <c r="EN215" s="569"/>
      <c r="EO215" s="569"/>
      <c r="EP215" s="569"/>
      <c r="EQ215" s="569"/>
      <c r="ER215" s="569"/>
      <c r="ES215" s="569"/>
      <c r="ET215" s="569"/>
      <c r="EU215" s="569"/>
      <c r="EV215" s="569"/>
      <c r="EW215" s="569"/>
      <c r="EX215" s="569"/>
      <c r="EY215" s="569"/>
      <c r="EZ215" s="569"/>
      <c r="FA215" s="569"/>
      <c r="FB215" s="569"/>
      <c r="FC215" s="569"/>
      <c r="FD215" s="569"/>
      <c r="FE215" s="569"/>
      <c r="FF215" s="569"/>
      <c r="FG215" s="569"/>
      <c r="FH215" s="569"/>
      <c r="FI215" s="569"/>
      <c r="FJ215" s="569"/>
      <c r="FK215" s="569"/>
      <c r="FL215" s="569"/>
      <c r="FM215" s="569"/>
      <c r="FN215" s="569"/>
      <c r="FO215" s="569"/>
      <c r="FP215" s="569"/>
      <c r="FQ215" s="569"/>
      <c r="FR215" s="569"/>
      <c r="FS215" s="569"/>
      <c r="FT215" s="569"/>
      <c r="FU215" s="569"/>
      <c r="FV215" s="569"/>
      <c r="FW215" s="569"/>
      <c r="FX215" s="569"/>
      <c r="FY215" s="569"/>
      <c r="FZ215" s="569"/>
      <c r="GA215" s="569"/>
      <c r="GB215" s="569"/>
      <c r="GC215" s="569"/>
      <c r="GD215" s="569"/>
      <c r="GE215" s="569"/>
      <c r="GF215" s="569"/>
      <c r="GG215" s="569"/>
      <c r="GH215" s="569"/>
      <c r="GI215" s="569"/>
      <c r="GJ215" s="569"/>
      <c r="GK215" s="569"/>
      <c r="GL215" s="569"/>
      <c r="GM215" s="569"/>
      <c r="GN215" s="569"/>
      <c r="GO215" s="569"/>
      <c r="GP215" s="569"/>
      <c r="GQ215" s="569"/>
      <c r="GR215" s="569"/>
      <c r="GS215" s="569"/>
      <c r="GT215" s="569"/>
    </row>
    <row r="216" spans="2:202" s="554" customFormat="1" ht="18" customHeight="1">
      <c r="B216" s="578"/>
      <c r="C216" s="1149"/>
      <c r="D216" s="1149"/>
      <c r="E216" s="1149"/>
      <c r="F216" s="1149"/>
      <c r="G216" s="1149"/>
      <c r="H216" s="1149"/>
      <c r="I216" s="1149"/>
      <c r="J216" s="1149"/>
      <c r="K216" s="1149"/>
      <c r="L216" s="1149"/>
      <c r="M216" s="578"/>
      <c r="N216" s="578"/>
      <c r="O216" s="578"/>
      <c r="P216" s="578"/>
      <c r="Q216" s="578"/>
      <c r="R216" s="578"/>
      <c r="S216" s="578"/>
      <c r="T216" s="578"/>
      <c r="U216" s="578"/>
      <c r="V216" s="578"/>
      <c r="W216" s="578"/>
      <c r="X216" s="578"/>
      <c r="Y216" s="578"/>
      <c r="Z216" s="578"/>
      <c r="AA216" s="578"/>
      <c r="AB216" s="578"/>
      <c r="AC216" s="578"/>
      <c r="AD216" s="578"/>
      <c r="AE216" s="578"/>
      <c r="AF216" s="578"/>
      <c r="AG216" s="578"/>
      <c r="AH216" s="548"/>
      <c r="AI216" s="548"/>
      <c r="AJ216" s="548"/>
      <c r="AK216" s="548"/>
      <c r="AL216" s="548"/>
      <c r="AM216" s="548"/>
      <c r="AN216" s="548"/>
      <c r="AO216" s="548"/>
      <c r="AP216" s="548"/>
      <c r="AQ216" s="548"/>
      <c r="AR216" s="548"/>
      <c r="AS216" s="548"/>
      <c r="AT216" s="548"/>
      <c r="AU216" s="548"/>
      <c r="AV216" s="548"/>
      <c r="AW216" s="548"/>
      <c r="AX216" s="548"/>
      <c r="AY216" s="548"/>
      <c r="AZ216" s="548"/>
      <c r="BA216" s="548"/>
      <c r="BB216" s="548"/>
      <c r="BC216" s="548"/>
      <c r="BD216" s="569"/>
      <c r="BE216" s="569"/>
      <c r="BF216" s="569"/>
      <c r="BG216" s="569"/>
      <c r="BH216" s="569"/>
      <c r="BI216" s="569"/>
      <c r="BJ216" s="569"/>
      <c r="BK216" s="569"/>
      <c r="BL216" s="569"/>
      <c r="BM216" s="569"/>
      <c r="BN216" s="569"/>
      <c r="BO216" s="569"/>
      <c r="BP216" s="569"/>
      <c r="BQ216" s="569"/>
      <c r="BR216" s="569"/>
      <c r="BS216" s="569"/>
      <c r="BT216" s="569"/>
      <c r="BU216" s="569"/>
      <c r="BV216" s="569"/>
      <c r="BW216" s="569"/>
      <c r="BX216" s="569"/>
      <c r="BY216" s="569"/>
      <c r="BZ216" s="569"/>
      <c r="CA216" s="569"/>
      <c r="CB216" s="569"/>
      <c r="CC216" s="569"/>
      <c r="CD216" s="569"/>
      <c r="CE216" s="569"/>
      <c r="CF216" s="569"/>
      <c r="CG216" s="569"/>
      <c r="CH216" s="569"/>
      <c r="CI216" s="569"/>
      <c r="CJ216" s="569"/>
      <c r="CK216" s="569"/>
      <c r="CL216" s="569"/>
      <c r="CM216" s="569"/>
      <c r="CN216" s="569"/>
      <c r="CO216" s="569"/>
      <c r="CP216" s="569"/>
      <c r="CQ216" s="569"/>
      <c r="CR216" s="569"/>
      <c r="CS216" s="569"/>
      <c r="CT216" s="569"/>
      <c r="CU216" s="569"/>
      <c r="CV216" s="569"/>
      <c r="CW216" s="569"/>
      <c r="CX216" s="569"/>
      <c r="CY216" s="569"/>
      <c r="CZ216" s="569"/>
      <c r="DA216" s="569"/>
      <c r="DB216" s="569"/>
      <c r="DC216" s="569"/>
      <c r="DD216" s="569"/>
      <c r="DE216" s="569"/>
      <c r="DF216" s="569"/>
      <c r="DG216" s="569"/>
      <c r="DH216" s="569"/>
      <c r="DI216" s="569"/>
      <c r="DJ216" s="569"/>
      <c r="DK216" s="569"/>
      <c r="DL216" s="569"/>
      <c r="DM216" s="569"/>
      <c r="DN216" s="569"/>
      <c r="DO216" s="569"/>
      <c r="DP216" s="569"/>
      <c r="DQ216" s="569"/>
      <c r="DR216" s="569"/>
      <c r="DS216" s="569"/>
      <c r="DT216" s="569"/>
      <c r="DU216" s="569"/>
      <c r="DV216" s="569"/>
      <c r="DW216" s="569"/>
      <c r="DX216" s="569"/>
      <c r="DY216" s="569"/>
      <c r="DZ216" s="569"/>
      <c r="EA216" s="569"/>
      <c r="EB216" s="569"/>
      <c r="EC216" s="569"/>
      <c r="ED216" s="569"/>
      <c r="EE216" s="569"/>
      <c r="EF216" s="569"/>
      <c r="EG216" s="569"/>
      <c r="EH216" s="569"/>
      <c r="EI216" s="569"/>
      <c r="EJ216" s="569"/>
      <c r="EK216" s="569"/>
      <c r="EL216" s="569"/>
      <c r="EM216" s="569"/>
      <c r="EN216" s="569"/>
      <c r="EO216" s="569"/>
      <c r="EP216" s="569"/>
      <c r="EQ216" s="569"/>
      <c r="ER216" s="569"/>
      <c r="ES216" s="569"/>
      <c r="ET216" s="569"/>
      <c r="EU216" s="569"/>
      <c r="EV216" s="569"/>
      <c r="EW216" s="569"/>
      <c r="EX216" s="569"/>
      <c r="EY216" s="569"/>
      <c r="EZ216" s="569"/>
      <c r="FA216" s="569"/>
      <c r="FB216" s="569"/>
      <c r="FC216" s="569"/>
      <c r="FD216" s="569"/>
      <c r="FE216" s="569"/>
      <c r="FF216" s="569"/>
      <c r="FG216" s="569"/>
      <c r="FH216" s="569"/>
      <c r="FI216" s="569"/>
      <c r="FJ216" s="569"/>
      <c r="FK216" s="569"/>
      <c r="FL216" s="569"/>
      <c r="FM216" s="569"/>
      <c r="FN216" s="569"/>
      <c r="FO216" s="569"/>
      <c r="FP216" s="569"/>
      <c r="FQ216" s="569"/>
      <c r="FR216" s="569"/>
      <c r="FS216" s="569"/>
      <c r="FT216" s="569"/>
      <c r="FU216" s="569"/>
      <c r="FV216" s="569"/>
      <c r="FW216" s="569"/>
      <c r="FX216" s="569"/>
      <c r="FY216" s="569"/>
      <c r="FZ216" s="569"/>
      <c r="GA216" s="569"/>
      <c r="GB216" s="569"/>
      <c r="GC216" s="569"/>
      <c r="GD216" s="569"/>
      <c r="GE216" s="569"/>
      <c r="GF216" s="569"/>
      <c r="GG216" s="569"/>
      <c r="GH216" s="569"/>
      <c r="GI216" s="569"/>
      <c r="GJ216" s="569"/>
      <c r="GK216" s="569"/>
      <c r="GL216" s="569"/>
      <c r="GM216" s="569"/>
      <c r="GN216" s="569"/>
      <c r="GO216" s="569"/>
      <c r="GP216" s="569"/>
      <c r="GQ216" s="569"/>
      <c r="GR216" s="569"/>
      <c r="GS216" s="569"/>
      <c r="GT216" s="569"/>
    </row>
    <row r="217" spans="2:202" s="554" customFormat="1" ht="18" customHeight="1">
      <c r="B217" s="578"/>
      <c r="C217" s="1149"/>
      <c r="D217" s="1149"/>
      <c r="E217" s="1149"/>
      <c r="F217" s="1149"/>
      <c r="G217" s="1149"/>
      <c r="H217" s="1149"/>
      <c r="I217" s="1149"/>
      <c r="J217" s="1149"/>
      <c r="K217" s="1149"/>
      <c r="L217" s="1149"/>
      <c r="M217" s="578"/>
      <c r="N217" s="578"/>
      <c r="O217" s="578"/>
      <c r="P217" s="578"/>
      <c r="Q217" s="578"/>
      <c r="R217" s="578"/>
      <c r="S217" s="578"/>
      <c r="T217" s="578"/>
      <c r="U217" s="578"/>
      <c r="V217" s="578"/>
      <c r="W217" s="578"/>
      <c r="X217" s="578"/>
      <c r="Y217" s="578"/>
      <c r="Z217" s="578"/>
      <c r="AA217" s="578"/>
      <c r="AB217" s="578"/>
      <c r="AC217" s="578"/>
      <c r="AD217" s="578"/>
      <c r="AE217" s="578"/>
      <c r="AF217" s="578"/>
      <c r="AG217" s="578"/>
      <c r="AH217" s="548"/>
      <c r="AI217" s="548"/>
      <c r="AJ217" s="548"/>
      <c r="AK217" s="548"/>
      <c r="AL217" s="548"/>
      <c r="AM217" s="548"/>
      <c r="AN217" s="548"/>
      <c r="AO217" s="548"/>
      <c r="AP217" s="548"/>
      <c r="AQ217" s="548"/>
      <c r="AR217" s="548"/>
      <c r="AS217" s="548"/>
      <c r="AT217" s="548"/>
      <c r="AU217" s="548"/>
      <c r="AV217" s="548"/>
      <c r="AW217" s="548"/>
      <c r="AX217" s="548"/>
      <c r="AY217" s="548"/>
      <c r="AZ217" s="548"/>
      <c r="BA217" s="548"/>
      <c r="BB217" s="548"/>
      <c r="BC217" s="548"/>
      <c r="BD217" s="569"/>
      <c r="BE217" s="569"/>
      <c r="BF217" s="569"/>
      <c r="BG217" s="569"/>
      <c r="BH217" s="569"/>
      <c r="BI217" s="569"/>
      <c r="BJ217" s="569"/>
      <c r="BK217" s="569"/>
      <c r="BL217" s="569"/>
      <c r="BM217" s="569"/>
      <c r="BN217" s="569"/>
      <c r="BO217" s="569"/>
      <c r="BP217" s="569"/>
      <c r="BQ217" s="569"/>
      <c r="BR217" s="569"/>
      <c r="BS217" s="569"/>
      <c r="BT217" s="569"/>
      <c r="BU217" s="569"/>
      <c r="BV217" s="569"/>
      <c r="BW217" s="569"/>
      <c r="BX217" s="569"/>
      <c r="BY217" s="569"/>
      <c r="BZ217" s="569"/>
      <c r="CA217" s="569"/>
      <c r="CB217" s="569"/>
      <c r="CC217" s="569"/>
      <c r="CD217" s="569"/>
      <c r="CE217" s="569"/>
      <c r="CF217" s="569"/>
      <c r="CG217" s="569"/>
      <c r="CH217" s="569"/>
      <c r="CI217" s="569"/>
      <c r="CJ217" s="569"/>
      <c r="CK217" s="569"/>
      <c r="CL217" s="569"/>
      <c r="CM217" s="569"/>
      <c r="CN217" s="569"/>
      <c r="CO217" s="569"/>
      <c r="CP217" s="569"/>
      <c r="CQ217" s="569"/>
      <c r="CR217" s="569"/>
      <c r="CS217" s="569"/>
      <c r="CT217" s="569"/>
      <c r="CU217" s="569"/>
      <c r="CV217" s="569"/>
      <c r="CW217" s="569"/>
      <c r="CX217" s="569"/>
      <c r="CY217" s="569"/>
      <c r="CZ217" s="569"/>
      <c r="DA217" s="569"/>
      <c r="DB217" s="569"/>
      <c r="DC217" s="569"/>
      <c r="DD217" s="569"/>
      <c r="DE217" s="569"/>
      <c r="DF217" s="569"/>
      <c r="DG217" s="569"/>
      <c r="DH217" s="569"/>
      <c r="DI217" s="569"/>
      <c r="DJ217" s="569"/>
      <c r="DK217" s="569"/>
      <c r="DL217" s="569"/>
      <c r="DM217" s="569"/>
      <c r="DN217" s="569"/>
      <c r="DO217" s="569"/>
      <c r="DP217" s="569"/>
      <c r="DQ217" s="569"/>
      <c r="DR217" s="569"/>
      <c r="DS217" s="569"/>
      <c r="DT217" s="569"/>
      <c r="DU217" s="569"/>
      <c r="DV217" s="569"/>
      <c r="DW217" s="569"/>
      <c r="DX217" s="569"/>
      <c r="DY217" s="569"/>
      <c r="DZ217" s="569"/>
      <c r="EA217" s="569"/>
      <c r="EB217" s="569"/>
      <c r="EC217" s="569"/>
      <c r="ED217" s="569"/>
      <c r="EE217" s="569"/>
      <c r="EF217" s="569"/>
      <c r="EG217" s="569"/>
      <c r="EH217" s="569"/>
      <c r="EI217" s="569"/>
      <c r="EJ217" s="569"/>
      <c r="EK217" s="569"/>
      <c r="EL217" s="569"/>
      <c r="EM217" s="569"/>
      <c r="EN217" s="569"/>
      <c r="EO217" s="569"/>
      <c r="EP217" s="569"/>
      <c r="EQ217" s="569"/>
      <c r="ER217" s="569"/>
      <c r="ES217" s="569"/>
      <c r="ET217" s="569"/>
      <c r="EU217" s="569"/>
      <c r="EV217" s="569"/>
      <c r="EW217" s="569"/>
      <c r="EX217" s="569"/>
      <c r="EY217" s="569"/>
      <c r="EZ217" s="569"/>
      <c r="FA217" s="569"/>
      <c r="FB217" s="569"/>
      <c r="FC217" s="569"/>
      <c r="FD217" s="569"/>
      <c r="FE217" s="569"/>
      <c r="FF217" s="569"/>
      <c r="FG217" s="569"/>
      <c r="FH217" s="569"/>
      <c r="FI217" s="569"/>
      <c r="FJ217" s="569"/>
      <c r="FK217" s="569"/>
      <c r="FL217" s="569"/>
      <c r="FM217" s="569"/>
      <c r="FN217" s="569"/>
      <c r="FO217" s="569"/>
      <c r="FP217" s="569"/>
      <c r="FQ217" s="569"/>
      <c r="FR217" s="569"/>
      <c r="FS217" s="569"/>
      <c r="FT217" s="569"/>
      <c r="FU217" s="569"/>
      <c r="FV217" s="569"/>
      <c r="FW217" s="569"/>
      <c r="FX217" s="569"/>
      <c r="FY217" s="569"/>
      <c r="FZ217" s="569"/>
      <c r="GA217" s="569"/>
      <c r="GB217" s="569"/>
      <c r="GC217" s="569"/>
      <c r="GD217" s="569"/>
      <c r="GE217" s="569"/>
      <c r="GF217" s="569"/>
      <c r="GG217" s="569"/>
      <c r="GH217" s="569"/>
      <c r="GI217" s="569"/>
      <c r="GJ217" s="569"/>
      <c r="GK217" s="569"/>
      <c r="GL217" s="569"/>
      <c r="GM217" s="569"/>
      <c r="GN217" s="569"/>
      <c r="GO217" s="569"/>
      <c r="GP217" s="569"/>
      <c r="GQ217" s="569"/>
      <c r="GR217" s="569"/>
      <c r="GS217" s="569"/>
      <c r="GT217" s="569"/>
    </row>
    <row r="218" spans="2:202" s="554" customFormat="1" ht="18" customHeight="1">
      <c r="B218" s="578"/>
      <c r="C218" s="1149"/>
      <c r="D218" s="1149"/>
      <c r="E218" s="1149"/>
      <c r="F218" s="1149"/>
      <c r="G218" s="1149"/>
      <c r="H218" s="1149"/>
      <c r="I218" s="1149"/>
      <c r="J218" s="1149"/>
      <c r="K218" s="1149"/>
      <c r="L218" s="1149"/>
      <c r="M218" s="578"/>
      <c r="N218" s="578"/>
      <c r="O218" s="578"/>
      <c r="P218" s="578"/>
      <c r="Q218" s="578"/>
      <c r="R218" s="578"/>
      <c r="S218" s="578"/>
      <c r="T218" s="578"/>
      <c r="U218" s="578"/>
      <c r="V218" s="578"/>
      <c r="W218" s="578"/>
      <c r="X218" s="578"/>
      <c r="Y218" s="578"/>
      <c r="Z218" s="578"/>
      <c r="AA218" s="578"/>
      <c r="AB218" s="578"/>
      <c r="AC218" s="578"/>
      <c r="AD218" s="578"/>
      <c r="AE218" s="578"/>
      <c r="AF218" s="578"/>
      <c r="AG218" s="578"/>
      <c r="AH218" s="548"/>
      <c r="AI218" s="548"/>
      <c r="AJ218" s="548"/>
      <c r="AK218" s="548"/>
      <c r="AL218" s="548"/>
      <c r="AM218" s="548"/>
      <c r="AN218" s="548"/>
      <c r="AO218" s="548"/>
      <c r="AP218" s="548"/>
      <c r="AQ218" s="548"/>
      <c r="AR218" s="548"/>
      <c r="AS218" s="548"/>
      <c r="AT218" s="548"/>
      <c r="AU218" s="548"/>
      <c r="AV218" s="548"/>
      <c r="AW218" s="548"/>
      <c r="AX218" s="548"/>
      <c r="AY218" s="548"/>
      <c r="AZ218" s="548"/>
      <c r="BA218" s="548"/>
      <c r="BB218" s="548"/>
      <c r="BC218" s="548"/>
      <c r="BD218" s="569"/>
      <c r="BE218" s="569"/>
      <c r="BF218" s="569"/>
      <c r="BG218" s="569"/>
      <c r="BH218" s="569"/>
      <c r="BI218" s="569"/>
      <c r="BJ218" s="569"/>
      <c r="BK218" s="569"/>
      <c r="BL218" s="569"/>
      <c r="BM218" s="569"/>
      <c r="BN218" s="569"/>
      <c r="BO218" s="569"/>
      <c r="BP218" s="569"/>
      <c r="BQ218" s="569"/>
      <c r="BR218" s="569"/>
      <c r="BS218" s="569"/>
      <c r="BT218" s="569"/>
      <c r="BU218" s="569"/>
      <c r="BV218" s="569"/>
      <c r="BW218" s="569"/>
      <c r="BX218" s="569"/>
      <c r="BY218" s="569"/>
      <c r="BZ218" s="569"/>
      <c r="CA218" s="569"/>
      <c r="CB218" s="569"/>
      <c r="CC218" s="569"/>
      <c r="CD218" s="569"/>
      <c r="CE218" s="569"/>
      <c r="CF218" s="569"/>
      <c r="CG218" s="569"/>
      <c r="CH218" s="569"/>
      <c r="CI218" s="569"/>
      <c r="CJ218" s="569"/>
      <c r="CK218" s="569"/>
      <c r="CL218" s="569"/>
      <c r="CM218" s="569"/>
      <c r="CN218" s="569"/>
      <c r="CO218" s="569"/>
      <c r="CP218" s="569"/>
      <c r="CQ218" s="569"/>
      <c r="CR218" s="569"/>
      <c r="CS218" s="569"/>
      <c r="CT218" s="569"/>
      <c r="CU218" s="569"/>
      <c r="CV218" s="569"/>
      <c r="CW218" s="569"/>
      <c r="CX218" s="569"/>
      <c r="CY218" s="569"/>
      <c r="CZ218" s="569"/>
      <c r="DA218" s="569"/>
      <c r="DB218" s="569"/>
      <c r="DC218" s="569"/>
      <c r="DD218" s="569"/>
      <c r="DE218" s="569"/>
      <c r="DF218" s="569"/>
      <c r="DG218" s="569"/>
      <c r="DH218" s="569"/>
      <c r="DI218" s="569"/>
      <c r="DJ218" s="569"/>
      <c r="DK218" s="569"/>
      <c r="DL218" s="569"/>
      <c r="DM218" s="569"/>
      <c r="DN218" s="569"/>
      <c r="DO218" s="569"/>
      <c r="DP218" s="569"/>
      <c r="DQ218" s="569"/>
      <c r="DR218" s="569"/>
      <c r="DS218" s="569"/>
      <c r="DT218" s="569"/>
      <c r="DU218" s="569"/>
      <c r="DV218" s="569"/>
      <c r="DW218" s="569"/>
      <c r="DX218" s="569"/>
      <c r="DY218" s="569"/>
      <c r="DZ218" s="569"/>
      <c r="EA218" s="569"/>
      <c r="EB218" s="569"/>
      <c r="EC218" s="569"/>
      <c r="ED218" s="569"/>
      <c r="EE218" s="569"/>
      <c r="EF218" s="569"/>
      <c r="EG218" s="569"/>
      <c r="EH218" s="569"/>
      <c r="EI218" s="569"/>
      <c r="EJ218" s="569"/>
      <c r="EK218" s="569"/>
      <c r="EL218" s="569"/>
      <c r="EM218" s="569"/>
      <c r="EN218" s="569"/>
      <c r="EO218" s="569"/>
      <c r="EP218" s="569"/>
      <c r="EQ218" s="569"/>
      <c r="ER218" s="569"/>
      <c r="ES218" s="569"/>
      <c r="ET218" s="569"/>
      <c r="EU218" s="569"/>
      <c r="EV218" s="569"/>
      <c r="EW218" s="569"/>
      <c r="EX218" s="569"/>
      <c r="EY218" s="569"/>
      <c r="EZ218" s="569"/>
      <c r="FA218" s="569"/>
      <c r="FB218" s="569"/>
      <c r="FC218" s="569"/>
      <c r="FD218" s="569"/>
      <c r="FE218" s="569"/>
      <c r="FF218" s="569"/>
      <c r="FG218" s="569"/>
      <c r="FH218" s="569"/>
      <c r="FI218" s="569"/>
      <c r="FJ218" s="569"/>
      <c r="FK218" s="569"/>
      <c r="FL218" s="569"/>
      <c r="FM218" s="569"/>
      <c r="FN218" s="569"/>
      <c r="FO218" s="569"/>
      <c r="FP218" s="569"/>
      <c r="FQ218" s="569"/>
      <c r="FR218" s="569"/>
      <c r="FS218" s="569"/>
      <c r="FT218" s="569"/>
      <c r="FU218" s="569"/>
      <c r="FV218" s="569"/>
      <c r="FW218" s="569"/>
      <c r="FX218" s="569"/>
      <c r="FY218" s="569"/>
      <c r="FZ218" s="569"/>
      <c r="GA218" s="569"/>
      <c r="GB218" s="569"/>
      <c r="GC218" s="569"/>
      <c r="GD218" s="569"/>
      <c r="GE218" s="569"/>
      <c r="GF218" s="569"/>
      <c r="GG218" s="569"/>
      <c r="GH218" s="569"/>
      <c r="GI218" s="569"/>
      <c r="GJ218" s="569"/>
      <c r="GK218" s="569"/>
      <c r="GL218" s="569"/>
      <c r="GM218" s="569"/>
      <c r="GN218" s="569"/>
      <c r="GO218" s="569"/>
      <c r="GP218" s="569"/>
      <c r="GQ218" s="569"/>
      <c r="GR218" s="569"/>
      <c r="GS218" s="569"/>
      <c r="GT218" s="569"/>
    </row>
    <row r="219" spans="2:202" s="554" customFormat="1" ht="18" customHeight="1">
      <c r="B219" s="578"/>
      <c r="C219" s="1149"/>
      <c r="D219" s="1149"/>
      <c r="E219" s="1149"/>
      <c r="F219" s="1149"/>
      <c r="G219" s="1149"/>
      <c r="H219" s="1149"/>
      <c r="I219" s="1149"/>
      <c r="J219" s="1149"/>
      <c r="K219" s="1149"/>
      <c r="L219" s="1149"/>
      <c r="M219" s="578"/>
      <c r="N219" s="578"/>
      <c r="O219" s="578"/>
      <c r="P219" s="578"/>
      <c r="Q219" s="578"/>
      <c r="R219" s="578"/>
      <c r="S219" s="578"/>
      <c r="T219" s="578"/>
      <c r="U219" s="578"/>
      <c r="V219" s="578"/>
      <c r="W219" s="578"/>
      <c r="X219" s="578"/>
      <c r="Y219" s="578"/>
      <c r="Z219" s="578"/>
      <c r="AA219" s="578"/>
      <c r="AB219" s="578"/>
      <c r="AC219" s="578"/>
      <c r="AD219" s="578"/>
      <c r="AE219" s="578"/>
      <c r="AF219" s="578"/>
      <c r="AG219" s="578"/>
      <c r="AH219" s="548"/>
      <c r="AI219" s="548"/>
      <c r="AJ219" s="548"/>
      <c r="AK219" s="548"/>
      <c r="AL219" s="548"/>
      <c r="AM219" s="548"/>
      <c r="AN219" s="548"/>
      <c r="AO219" s="548"/>
      <c r="AP219" s="548"/>
      <c r="AQ219" s="548"/>
      <c r="AR219" s="548"/>
      <c r="AS219" s="548"/>
      <c r="AT219" s="548"/>
      <c r="AU219" s="548"/>
      <c r="AV219" s="548"/>
      <c r="AW219" s="548"/>
      <c r="AX219" s="548"/>
      <c r="AY219" s="548"/>
      <c r="AZ219" s="548"/>
      <c r="BA219" s="548"/>
      <c r="BB219" s="548"/>
      <c r="BC219" s="548"/>
      <c r="BD219" s="569"/>
      <c r="BE219" s="569"/>
      <c r="BF219" s="569"/>
      <c r="BG219" s="569"/>
      <c r="BH219" s="569"/>
      <c r="BI219" s="569"/>
      <c r="BJ219" s="569"/>
      <c r="BK219" s="569"/>
      <c r="BL219" s="569"/>
      <c r="BM219" s="569"/>
      <c r="BN219" s="569"/>
      <c r="BO219" s="569"/>
      <c r="BP219" s="569"/>
      <c r="BQ219" s="569"/>
      <c r="BR219" s="569"/>
      <c r="BS219" s="569"/>
      <c r="BT219" s="569"/>
      <c r="BU219" s="569"/>
      <c r="BV219" s="569"/>
      <c r="BW219" s="569"/>
      <c r="BX219" s="569"/>
      <c r="BY219" s="569"/>
      <c r="BZ219" s="569"/>
      <c r="CA219" s="569"/>
      <c r="CB219" s="569"/>
      <c r="CC219" s="569"/>
      <c r="CD219" s="569"/>
      <c r="CE219" s="569"/>
      <c r="CF219" s="569"/>
      <c r="CG219" s="569"/>
      <c r="CH219" s="569"/>
      <c r="CI219" s="569"/>
      <c r="CJ219" s="569"/>
      <c r="CK219" s="569"/>
      <c r="CL219" s="569"/>
      <c r="CM219" s="569"/>
      <c r="CN219" s="569"/>
      <c r="CO219" s="569"/>
      <c r="CP219" s="569"/>
      <c r="CQ219" s="569"/>
      <c r="CR219" s="569"/>
      <c r="CS219" s="569"/>
      <c r="CT219" s="569"/>
      <c r="CU219" s="569"/>
      <c r="CV219" s="569"/>
      <c r="CW219" s="569"/>
      <c r="CX219" s="569"/>
      <c r="CY219" s="569"/>
      <c r="CZ219" s="569"/>
      <c r="DA219" s="569"/>
      <c r="DB219" s="569"/>
      <c r="DC219" s="569"/>
      <c r="DD219" s="569"/>
      <c r="DE219" s="569"/>
      <c r="DF219" s="569"/>
      <c r="DG219" s="569"/>
      <c r="DH219" s="569"/>
      <c r="DI219" s="569"/>
      <c r="DJ219" s="569"/>
      <c r="DK219" s="569"/>
      <c r="DL219" s="569"/>
      <c r="DM219" s="569"/>
      <c r="DN219" s="569"/>
      <c r="DO219" s="569"/>
      <c r="DP219" s="569"/>
      <c r="DQ219" s="569"/>
      <c r="DR219" s="569"/>
      <c r="DS219" s="569"/>
      <c r="DT219" s="569"/>
      <c r="DU219" s="569"/>
      <c r="DV219" s="569"/>
      <c r="DW219" s="569"/>
      <c r="DX219" s="569"/>
      <c r="DY219" s="569"/>
      <c r="DZ219" s="569"/>
      <c r="EA219" s="569"/>
      <c r="EB219" s="569"/>
      <c r="EC219" s="569"/>
      <c r="ED219" s="569"/>
      <c r="EE219" s="569"/>
      <c r="EF219" s="569"/>
      <c r="EG219" s="569"/>
      <c r="EH219" s="569"/>
      <c r="EI219" s="569"/>
      <c r="EJ219" s="569"/>
      <c r="EK219" s="569"/>
      <c r="EL219" s="569"/>
      <c r="EM219" s="569"/>
      <c r="EN219" s="569"/>
      <c r="EO219" s="569"/>
      <c r="EP219" s="569"/>
      <c r="EQ219" s="569"/>
      <c r="ER219" s="569"/>
      <c r="ES219" s="569"/>
      <c r="ET219" s="569"/>
      <c r="EU219" s="569"/>
      <c r="EV219" s="569"/>
      <c r="EW219" s="569"/>
      <c r="EX219" s="569"/>
      <c r="EY219" s="569"/>
      <c r="EZ219" s="569"/>
      <c r="FA219" s="569"/>
      <c r="FB219" s="569"/>
      <c r="FC219" s="569"/>
      <c r="FD219" s="569"/>
      <c r="FE219" s="569"/>
      <c r="FF219" s="569"/>
      <c r="FG219" s="569"/>
      <c r="FH219" s="569"/>
      <c r="FI219" s="569"/>
      <c r="FJ219" s="569"/>
      <c r="FK219" s="569"/>
      <c r="FL219" s="569"/>
      <c r="FM219" s="569"/>
      <c r="FN219" s="569"/>
      <c r="FO219" s="569"/>
      <c r="FP219" s="569"/>
      <c r="FQ219" s="569"/>
      <c r="FR219" s="569"/>
      <c r="FS219" s="569"/>
      <c r="FT219" s="569"/>
      <c r="FU219" s="569"/>
      <c r="FV219" s="569"/>
      <c r="FW219" s="569"/>
      <c r="FX219" s="569"/>
      <c r="FY219" s="569"/>
      <c r="FZ219" s="569"/>
      <c r="GA219" s="569"/>
      <c r="GB219" s="569"/>
      <c r="GC219" s="569"/>
      <c r="GD219" s="569"/>
      <c r="GE219" s="569"/>
      <c r="GF219" s="569"/>
      <c r="GG219" s="569"/>
      <c r="GH219" s="569"/>
      <c r="GI219" s="569"/>
      <c r="GJ219" s="569"/>
      <c r="GK219" s="569"/>
      <c r="GL219" s="569"/>
      <c r="GM219" s="569"/>
      <c r="GN219" s="569"/>
      <c r="GO219" s="569"/>
      <c r="GP219" s="569"/>
      <c r="GQ219" s="569"/>
      <c r="GR219" s="569"/>
      <c r="GS219" s="569"/>
      <c r="GT219" s="569"/>
    </row>
    <row r="220" spans="2:202" s="554" customFormat="1" ht="18" customHeight="1">
      <c r="B220" s="578"/>
      <c r="C220" s="1149"/>
      <c r="D220" s="1149"/>
      <c r="E220" s="1149"/>
      <c r="F220" s="1149"/>
      <c r="G220" s="1149"/>
      <c r="H220" s="1149"/>
      <c r="I220" s="1149"/>
      <c r="J220" s="1149"/>
      <c r="K220" s="1149"/>
      <c r="L220" s="1149"/>
      <c r="M220" s="578"/>
      <c r="N220" s="578"/>
      <c r="O220" s="578"/>
      <c r="P220" s="578"/>
      <c r="Q220" s="578"/>
      <c r="R220" s="578"/>
      <c r="S220" s="578"/>
      <c r="T220" s="578"/>
      <c r="U220" s="578"/>
      <c r="V220" s="578"/>
      <c r="W220" s="578"/>
      <c r="X220" s="578"/>
      <c r="Y220" s="578"/>
      <c r="Z220" s="578"/>
      <c r="AA220" s="578"/>
      <c r="AB220" s="578"/>
      <c r="AC220" s="578"/>
      <c r="AD220" s="578"/>
      <c r="AE220" s="578"/>
      <c r="AF220" s="578"/>
      <c r="AG220" s="578"/>
      <c r="AH220" s="548"/>
      <c r="AI220" s="548"/>
      <c r="AJ220" s="548"/>
      <c r="AK220" s="548"/>
      <c r="AL220" s="548"/>
      <c r="AM220" s="548"/>
      <c r="AN220" s="548"/>
      <c r="AO220" s="548"/>
      <c r="AP220" s="548"/>
      <c r="AQ220" s="548"/>
      <c r="AR220" s="548"/>
      <c r="AS220" s="548"/>
      <c r="AT220" s="548"/>
      <c r="AU220" s="548"/>
      <c r="AV220" s="548"/>
      <c r="AW220" s="548"/>
      <c r="AX220" s="548"/>
      <c r="AY220" s="548"/>
      <c r="AZ220" s="548"/>
      <c r="BA220" s="548"/>
      <c r="BB220" s="548"/>
      <c r="BC220" s="548"/>
      <c r="BD220" s="569"/>
      <c r="BE220" s="569"/>
      <c r="BF220" s="569"/>
      <c r="BG220" s="569"/>
      <c r="BH220" s="569"/>
      <c r="BI220" s="569"/>
      <c r="BJ220" s="569"/>
      <c r="BK220" s="569"/>
      <c r="BL220" s="569"/>
      <c r="BM220" s="569"/>
      <c r="BN220" s="569"/>
      <c r="BO220" s="569"/>
      <c r="BP220" s="569"/>
      <c r="BQ220" s="569"/>
      <c r="BR220" s="569"/>
      <c r="BS220" s="569"/>
      <c r="BT220" s="569"/>
      <c r="BU220" s="569"/>
      <c r="BV220" s="569"/>
      <c r="BW220" s="569"/>
      <c r="BX220" s="569"/>
      <c r="BY220" s="569"/>
      <c r="BZ220" s="569"/>
      <c r="CA220" s="569"/>
      <c r="CB220" s="569"/>
      <c r="CC220" s="569"/>
      <c r="CD220" s="569"/>
      <c r="CE220" s="569"/>
      <c r="CF220" s="569"/>
      <c r="CG220" s="569"/>
      <c r="CH220" s="569"/>
      <c r="CI220" s="569"/>
      <c r="CJ220" s="569"/>
      <c r="CK220" s="569"/>
      <c r="CL220" s="569"/>
      <c r="CM220" s="569"/>
      <c r="CN220" s="569"/>
      <c r="CO220" s="569"/>
      <c r="CP220" s="569"/>
      <c r="CQ220" s="569"/>
      <c r="CR220" s="569"/>
      <c r="CS220" s="569"/>
      <c r="CT220" s="569"/>
      <c r="CU220" s="569"/>
      <c r="CV220" s="569"/>
      <c r="CW220" s="569"/>
      <c r="CX220" s="569"/>
      <c r="CY220" s="569"/>
      <c r="CZ220" s="569"/>
      <c r="DA220" s="569"/>
      <c r="DB220" s="569"/>
      <c r="DC220" s="569"/>
      <c r="DD220" s="569"/>
      <c r="DE220" s="569"/>
      <c r="DF220" s="569"/>
      <c r="DG220" s="569"/>
      <c r="DH220" s="569"/>
      <c r="DI220" s="569"/>
      <c r="DJ220" s="569"/>
      <c r="DK220" s="569"/>
      <c r="DL220" s="569"/>
      <c r="DM220" s="569"/>
      <c r="DN220" s="569"/>
      <c r="DO220" s="569"/>
      <c r="DP220" s="569"/>
      <c r="DQ220" s="569"/>
      <c r="DR220" s="569"/>
      <c r="DS220" s="569"/>
      <c r="DT220" s="569"/>
      <c r="DU220" s="569"/>
      <c r="DV220" s="569"/>
      <c r="DW220" s="569"/>
      <c r="DX220" s="569"/>
      <c r="DY220" s="569"/>
      <c r="DZ220" s="569"/>
      <c r="EA220" s="569"/>
      <c r="EB220" s="569"/>
      <c r="EC220" s="569"/>
      <c r="ED220" s="569"/>
      <c r="EE220" s="569"/>
      <c r="EF220" s="569"/>
      <c r="EG220" s="569"/>
      <c r="EH220" s="569"/>
      <c r="EI220" s="569"/>
      <c r="EJ220" s="569"/>
      <c r="EK220" s="569"/>
      <c r="EL220" s="569"/>
      <c r="EM220" s="569"/>
      <c r="EN220" s="569"/>
      <c r="EO220" s="569"/>
      <c r="EP220" s="569"/>
      <c r="EQ220" s="569"/>
      <c r="ER220" s="569"/>
      <c r="ES220" s="569"/>
      <c r="ET220" s="569"/>
      <c r="EU220" s="569"/>
      <c r="EV220" s="569"/>
      <c r="EW220" s="569"/>
      <c r="EX220" s="569"/>
      <c r="EY220" s="569"/>
      <c r="EZ220" s="569"/>
      <c r="FA220" s="569"/>
      <c r="FB220" s="569"/>
      <c r="FC220" s="569"/>
      <c r="FD220" s="569"/>
      <c r="FE220" s="569"/>
      <c r="FF220" s="569"/>
      <c r="FG220" s="569"/>
      <c r="FH220" s="569"/>
      <c r="FI220" s="569"/>
      <c r="FJ220" s="569"/>
      <c r="FK220" s="569"/>
      <c r="FL220" s="569"/>
      <c r="FM220" s="569"/>
      <c r="FN220" s="569"/>
      <c r="FO220" s="569"/>
      <c r="FP220" s="569"/>
      <c r="FQ220" s="569"/>
      <c r="FR220" s="569"/>
      <c r="FS220" s="569"/>
      <c r="FT220" s="569"/>
      <c r="FU220" s="569"/>
      <c r="FV220" s="569"/>
      <c r="FW220" s="569"/>
      <c r="FX220" s="569"/>
      <c r="FY220" s="569"/>
      <c r="FZ220" s="569"/>
      <c r="GA220" s="569"/>
      <c r="GB220" s="569"/>
      <c r="GC220" s="569"/>
      <c r="GD220" s="569"/>
      <c r="GE220" s="569"/>
      <c r="GF220" s="569"/>
      <c r="GG220" s="569"/>
      <c r="GH220" s="569"/>
      <c r="GI220" s="569"/>
      <c r="GJ220" s="569"/>
      <c r="GK220" s="569"/>
      <c r="GL220" s="569"/>
      <c r="GM220" s="569"/>
      <c r="GN220" s="569"/>
      <c r="GO220" s="569"/>
      <c r="GP220" s="569"/>
      <c r="GQ220" s="569"/>
      <c r="GR220" s="569"/>
      <c r="GS220" s="569"/>
      <c r="GT220" s="569"/>
    </row>
    <row r="221" spans="2:202" s="554" customFormat="1" ht="18" customHeight="1">
      <c r="B221" s="578"/>
      <c r="C221" s="1149"/>
      <c r="D221" s="1149"/>
      <c r="E221" s="1149"/>
      <c r="F221" s="1149"/>
      <c r="G221" s="1149"/>
      <c r="H221" s="1149"/>
      <c r="I221" s="1149"/>
      <c r="J221" s="1149"/>
      <c r="K221" s="1149"/>
      <c r="L221" s="1149"/>
      <c r="M221" s="578"/>
      <c r="N221" s="578"/>
      <c r="O221" s="578"/>
      <c r="P221" s="578"/>
      <c r="Q221" s="578"/>
      <c r="R221" s="578"/>
      <c r="S221" s="578"/>
      <c r="T221" s="578"/>
      <c r="U221" s="578"/>
      <c r="V221" s="578"/>
      <c r="W221" s="578"/>
      <c r="X221" s="578"/>
      <c r="Y221" s="578"/>
      <c r="Z221" s="578"/>
      <c r="AA221" s="578"/>
      <c r="AB221" s="578"/>
      <c r="AC221" s="578"/>
      <c r="AD221" s="578"/>
      <c r="AE221" s="578"/>
      <c r="AF221" s="578"/>
      <c r="AG221" s="578"/>
      <c r="AH221" s="548"/>
      <c r="AI221" s="548"/>
      <c r="AJ221" s="548"/>
      <c r="AK221" s="548"/>
      <c r="AL221" s="548"/>
      <c r="AM221" s="548"/>
      <c r="AN221" s="548"/>
      <c r="AO221" s="548"/>
      <c r="AP221" s="548"/>
      <c r="AQ221" s="548"/>
      <c r="AR221" s="548"/>
      <c r="AS221" s="548"/>
      <c r="AT221" s="548"/>
      <c r="AU221" s="548"/>
      <c r="AV221" s="548"/>
      <c r="AW221" s="548"/>
      <c r="AX221" s="548"/>
      <c r="AY221" s="548"/>
      <c r="AZ221" s="548"/>
      <c r="BA221" s="548"/>
      <c r="BB221" s="548"/>
      <c r="BC221" s="548"/>
      <c r="BD221" s="569"/>
      <c r="BE221" s="569"/>
      <c r="BF221" s="569"/>
      <c r="BG221" s="569"/>
      <c r="BH221" s="569"/>
      <c r="BI221" s="569"/>
      <c r="BJ221" s="569"/>
      <c r="BK221" s="569"/>
      <c r="BL221" s="569"/>
      <c r="BM221" s="569"/>
      <c r="BN221" s="569"/>
      <c r="BO221" s="569"/>
      <c r="BP221" s="569"/>
      <c r="BQ221" s="569"/>
      <c r="BR221" s="569"/>
      <c r="BS221" s="569"/>
      <c r="BT221" s="569"/>
      <c r="BU221" s="569"/>
      <c r="BV221" s="569"/>
      <c r="BW221" s="569"/>
      <c r="BX221" s="569"/>
      <c r="BY221" s="569"/>
      <c r="BZ221" s="569"/>
      <c r="CA221" s="569"/>
      <c r="CB221" s="569"/>
      <c r="CC221" s="569"/>
      <c r="CD221" s="569"/>
      <c r="CE221" s="569"/>
      <c r="CF221" s="569"/>
      <c r="CG221" s="569"/>
      <c r="CH221" s="569"/>
      <c r="CI221" s="569"/>
      <c r="CJ221" s="569"/>
      <c r="CK221" s="569"/>
      <c r="CL221" s="569"/>
      <c r="CM221" s="569"/>
      <c r="CN221" s="569"/>
      <c r="CO221" s="569"/>
      <c r="CP221" s="569"/>
      <c r="CQ221" s="569"/>
      <c r="CR221" s="569"/>
      <c r="CS221" s="569"/>
      <c r="CT221" s="569"/>
      <c r="CU221" s="569"/>
      <c r="CV221" s="569"/>
      <c r="CW221" s="569"/>
      <c r="CX221" s="569"/>
      <c r="CY221" s="569"/>
      <c r="CZ221" s="569"/>
      <c r="DA221" s="569"/>
      <c r="DB221" s="569"/>
      <c r="DC221" s="569"/>
      <c r="DD221" s="569"/>
      <c r="DE221" s="569"/>
      <c r="DF221" s="569"/>
      <c r="DG221" s="569"/>
      <c r="DH221" s="569"/>
      <c r="DI221" s="569"/>
      <c r="DJ221" s="569"/>
      <c r="DK221" s="569"/>
      <c r="DL221" s="569"/>
      <c r="DM221" s="569"/>
      <c r="DN221" s="569"/>
      <c r="DO221" s="569"/>
      <c r="DP221" s="569"/>
      <c r="DQ221" s="569"/>
      <c r="DR221" s="569"/>
      <c r="DS221" s="569"/>
      <c r="DT221" s="569"/>
      <c r="DU221" s="569"/>
      <c r="DV221" s="569"/>
      <c r="DW221" s="569"/>
      <c r="DX221" s="569"/>
      <c r="DY221" s="569"/>
      <c r="DZ221" s="569"/>
      <c r="EA221" s="569"/>
      <c r="EB221" s="569"/>
      <c r="EC221" s="569"/>
      <c r="ED221" s="569"/>
      <c r="EE221" s="569"/>
      <c r="EF221" s="569"/>
      <c r="EG221" s="569"/>
      <c r="EH221" s="569"/>
      <c r="EI221" s="569"/>
      <c r="EJ221" s="569"/>
      <c r="EK221" s="569"/>
      <c r="EL221" s="569"/>
      <c r="EM221" s="569"/>
      <c r="EN221" s="569"/>
      <c r="EO221" s="569"/>
      <c r="EP221" s="569"/>
      <c r="EQ221" s="569"/>
      <c r="ER221" s="569"/>
      <c r="ES221" s="569"/>
      <c r="ET221" s="569"/>
      <c r="EU221" s="569"/>
      <c r="EV221" s="569"/>
      <c r="EW221" s="569"/>
      <c r="EX221" s="569"/>
      <c r="EY221" s="569"/>
      <c r="EZ221" s="569"/>
      <c r="FA221" s="569"/>
      <c r="FB221" s="569"/>
      <c r="FC221" s="569"/>
      <c r="FD221" s="569"/>
      <c r="FE221" s="569"/>
      <c r="FF221" s="569"/>
      <c r="FG221" s="569"/>
      <c r="FH221" s="569"/>
      <c r="FI221" s="569"/>
      <c r="FJ221" s="569"/>
      <c r="FK221" s="569"/>
      <c r="FL221" s="569"/>
      <c r="FM221" s="569"/>
      <c r="FN221" s="569"/>
      <c r="FO221" s="569"/>
      <c r="FP221" s="569"/>
      <c r="FQ221" s="569"/>
      <c r="FR221" s="569"/>
      <c r="FS221" s="569"/>
      <c r="FT221" s="569"/>
      <c r="FU221" s="569"/>
      <c r="FV221" s="569"/>
      <c r="FW221" s="569"/>
      <c r="FX221" s="569"/>
      <c r="FY221" s="569"/>
      <c r="FZ221" s="569"/>
      <c r="GA221" s="569"/>
      <c r="GB221" s="569"/>
      <c r="GC221" s="569"/>
      <c r="GD221" s="569"/>
      <c r="GE221" s="569"/>
      <c r="GF221" s="569"/>
      <c r="GG221" s="569"/>
      <c r="GH221" s="569"/>
      <c r="GI221" s="569"/>
      <c r="GJ221" s="569"/>
      <c r="GK221" s="569"/>
      <c r="GL221" s="569"/>
      <c r="GM221" s="569"/>
      <c r="GN221" s="569"/>
      <c r="GO221" s="569"/>
      <c r="GP221" s="569"/>
      <c r="GQ221" s="569"/>
      <c r="GR221" s="569"/>
      <c r="GS221" s="569"/>
      <c r="GT221" s="569"/>
    </row>
    <row r="222" spans="2:202" s="554" customFormat="1" ht="18" customHeight="1">
      <c r="B222" s="578"/>
      <c r="C222" s="1149"/>
      <c r="D222" s="1149"/>
      <c r="E222" s="1149"/>
      <c r="F222" s="1149"/>
      <c r="G222" s="1149"/>
      <c r="H222" s="1149"/>
      <c r="I222" s="1149"/>
      <c r="J222" s="1149"/>
      <c r="K222" s="1149"/>
      <c r="L222" s="1149"/>
      <c r="M222" s="578"/>
      <c r="N222" s="578"/>
      <c r="O222" s="578"/>
      <c r="P222" s="578"/>
      <c r="Q222" s="578"/>
      <c r="R222" s="578"/>
      <c r="S222" s="578"/>
      <c r="T222" s="578"/>
      <c r="U222" s="578"/>
      <c r="V222" s="578"/>
      <c r="W222" s="578"/>
      <c r="X222" s="578"/>
      <c r="Y222" s="578"/>
      <c r="Z222" s="578"/>
      <c r="AA222" s="578"/>
      <c r="AB222" s="578"/>
      <c r="AC222" s="578"/>
      <c r="AD222" s="578"/>
      <c r="AE222" s="578"/>
      <c r="AF222" s="578"/>
      <c r="AG222" s="578"/>
      <c r="AH222" s="548"/>
      <c r="AI222" s="548"/>
      <c r="AJ222" s="548"/>
      <c r="AK222" s="548"/>
      <c r="AL222" s="548"/>
      <c r="AM222" s="548"/>
      <c r="AN222" s="548"/>
      <c r="AO222" s="548"/>
      <c r="AP222" s="548"/>
      <c r="AQ222" s="548"/>
      <c r="AR222" s="548"/>
      <c r="AS222" s="548"/>
      <c r="AT222" s="548"/>
      <c r="AU222" s="548"/>
      <c r="AV222" s="548"/>
      <c r="AW222" s="548"/>
      <c r="AX222" s="548"/>
      <c r="AY222" s="548"/>
      <c r="AZ222" s="548"/>
      <c r="BA222" s="548"/>
      <c r="BB222" s="548"/>
      <c r="BC222" s="548"/>
      <c r="BD222" s="569"/>
      <c r="BE222" s="569"/>
      <c r="BF222" s="569"/>
      <c r="BG222" s="569"/>
      <c r="BH222" s="569"/>
      <c r="BI222" s="569"/>
      <c r="BJ222" s="569"/>
      <c r="BK222" s="569"/>
      <c r="BL222" s="569"/>
      <c r="BM222" s="569"/>
      <c r="BN222" s="569"/>
      <c r="BO222" s="569"/>
      <c r="BP222" s="569"/>
      <c r="BQ222" s="569"/>
      <c r="BR222" s="569"/>
      <c r="BS222" s="569"/>
      <c r="BT222" s="569"/>
      <c r="BU222" s="569"/>
      <c r="BV222" s="569"/>
      <c r="BW222" s="569"/>
      <c r="BX222" s="569"/>
      <c r="BY222" s="569"/>
      <c r="BZ222" s="569"/>
      <c r="CA222" s="569"/>
      <c r="CB222" s="569"/>
      <c r="CC222" s="569"/>
      <c r="CD222" s="569"/>
      <c r="CE222" s="569"/>
      <c r="CF222" s="569"/>
      <c r="CG222" s="569"/>
      <c r="CH222" s="569"/>
      <c r="CI222" s="569"/>
      <c r="CJ222" s="569"/>
      <c r="CK222" s="569"/>
      <c r="CL222" s="569"/>
      <c r="CM222" s="569"/>
      <c r="CN222" s="569"/>
      <c r="CO222" s="569"/>
      <c r="CP222" s="569"/>
      <c r="CQ222" s="569"/>
      <c r="CR222" s="569"/>
      <c r="CS222" s="569"/>
      <c r="CT222" s="569"/>
      <c r="CU222" s="569"/>
      <c r="CV222" s="569"/>
      <c r="CW222" s="569"/>
      <c r="CX222" s="569"/>
      <c r="CY222" s="569"/>
      <c r="CZ222" s="569"/>
      <c r="DA222" s="569"/>
      <c r="DB222" s="569"/>
      <c r="DC222" s="569"/>
      <c r="DD222" s="569"/>
      <c r="DE222" s="569"/>
      <c r="DF222" s="569"/>
      <c r="DG222" s="569"/>
      <c r="DH222" s="569"/>
      <c r="DI222" s="569"/>
      <c r="DJ222" s="569"/>
      <c r="DK222" s="569"/>
      <c r="DL222" s="569"/>
      <c r="DM222" s="569"/>
      <c r="DN222" s="569"/>
      <c r="DO222" s="569"/>
      <c r="DP222" s="569"/>
      <c r="DQ222" s="569"/>
      <c r="DR222" s="569"/>
      <c r="DS222" s="569"/>
      <c r="DT222" s="569"/>
      <c r="DU222" s="569"/>
      <c r="DV222" s="569"/>
      <c r="DW222" s="569"/>
      <c r="DX222" s="569"/>
      <c r="DY222" s="569"/>
      <c r="DZ222" s="569"/>
      <c r="EA222" s="569"/>
      <c r="EB222" s="569"/>
      <c r="EC222" s="569"/>
      <c r="ED222" s="569"/>
      <c r="EE222" s="569"/>
      <c r="EF222" s="569"/>
      <c r="EG222" s="569"/>
      <c r="EH222" s="569"/>
      <c r="EI222" s="569"/>
      <c r="EJ222" s="569"/>
      <c r="EK222" s="569"/>
      <c r="EL222" s="569"/>
      <c r="EM222" s="569"/>
      <c r="EN222" s="569"/>
      <c r="EO222" s="569"/>
      <c r="EP222" s="569"/>
      <c r="EQ222" s="569"/>
      <c r="ER222" s="569"/>
      <c r="ES222" s="569"/>
      <c r="ET222" s="569"/>
      <c r="EU222" s="569"/>
      <c r="EV222" s="569"/>
      <c r="EW222" s="569"/>
      <c r="EX222" s="569"/>
      <c r="EY222" s="569"/>
      <c r="EZ222" s="569"/>
      <c r="FA222" s="569"/>
      <c r="FB222" s="569"/>
      <c r="FC222" s="569"/>
      <c r="FD222" s="569"/>
      <c r="FE222" s="569"/>
      <c r="FF222" s="569"/>
      <c r="FG222" s="569"/>
      <c r="FH222" s="569"/>
      <c r="FI222" s="569"/>
      <c r="FJ222" s="569"/>
      <c r="FK222" s="569"/>
      <c r="FL222" s="569"/>
      <c r="FM222" s="569"/>
      <c r="FN222" s="569"/>
      <c r="FO222" s="569"/>
      <c r="FP222" s="569"/>
      <c r="FQ222" s="569"/>
      <c r="FR222" s="569"/>
      <c r="FS222" s="569"/>
      <c r="FT222" s="569"/>
      <c r="FU222" s="569"/>
      <c r="FV222" s="569"/>
      <c r="FW222" s="569"/>
      <c r="FX222" s="569"/>
      <c r="FY222" s="569"/>
      <c r="FZ222" s="569"/>
      <c r="GA222" s="569"/>
      <c r="GB222" s="569"/>
      <c r="GC222" s="569"/>
      <c r="GD222" s="569"/>
      <c r="GE222" s="569"/>
      <c r="GF222" s="569"/>
      <c r="GG222" s="569"/>
      <c r="GH222" s="569"/>
      <c r="GI222" s="569"/>
      <c r="GJ222" s="569"/>
      <c r="GK222" s="569"/>
      <c r="GL222" s="569"/>
      <c r="GM222" s="569"/>
      <c r="GN222" s="569"/>
      <c r="GO222" s="569"/>
      <c r="GP222" s="569"/>
      <c r="GQ222" s="569"/>
      <c r="GR222" s="569"/>
      <c r="GS222" s="569"/>
      <c r="GT222" s="569"/>
    </row>
    <row r="223" spans="2:202" s="554" customFormat="1" ht="18" customHeight="1">
      <c r="B223" s="578"/>
      <c r="C223" s="1149"/>
      <c r="D223" s="1149"/>
      <c r="E223" s="1149"/>
      <c r="F223" s="1149"/>
      <c r="G223" s="1149"/>
      <c r="H223" s="1149"/>
      <c r="I223" s="1149"/>
      <c r="J223" s="1149"/>
      <c r="K223" s="1149"/>
      <c r="L223" s="1149"/>
      <c r="M223" s="578"/>
      <c r="N223" s="578"/>
      <c r="O223" s="578"/>
      <c r="P223" s="578"/>
      <c r="Q223" s="578"/>
      <c r="R223" s="578"/>
      <c r="S223" s="578"/>
      <c r="T223" s="578"/>
      <c r="U223" s="578"/>
      <c r="V223" s="578"/>
      <c r="W223" s="578"/>
      <c r="X223" s="578"/>
      <c r="Y223" s="578"/>
      <c r="Z223" s="578"/>
      <c r="AA223" s="578"/>
      <c r="AB223" s="578"/>
      <c r="AC223" s="578"/>
      <c r="AD223" s="578"/>
      <c r="AE223" s="578"/>
      <c r="AF223" s="578"/>
      <c r="AG223" s="578"/>
      <c r="AH223" s="548"/>
      <c r="AI223" s="548"/>
      <c r="AJ223" s="548"/>
      <c r="AK223" s="548"/>
      <c r="AL223" s="548"/>
      <c r="AM223" s="548"/>
      <c r="AN223" s="548"/>
      <c r="AO223" s="548"/>
      <c r="AP223" s="548"/>
      <c r="AQ223" s="548"/>
      <c r="AR223" s="548"/>
      <c r="AS223" s="548"/>
      <c r="AT223" s="548"/>
      <c r="AU223" s="548"/>
      <c r="AV223" s="548"/>
      <c r="AW223" s="548"/>
      <c r="AX223" s="548"/>
      <c r="AY223" s="548"/>
      <c r="AZ223" s="548"/>
      <c r="BA223" s="548"/>
      <c r="BB223" s="548"/>
      <c r="BC223" s="548"/>
      <c r="BD223" s="569"/>
      <c r="BE223" s="569"/>
      <c r="BF223" s="569"/>
      <c r="BG223" s="569"/>
      <c r="BH223" s="569"/>
      <c r="BI223" s="569"/>
      <c r="BJ223" s="569"/>
      <c r="BK223" s="569"/>
      <c r="BL223" s="569"/>
      <c r="BM223" s="569"/>
      <c r="BN223" s="569"/>
      <c r="BO223" s="569"/>
      <c r="BP223" s="569"/>
      <c r="BQ223" s="569"/>
      <c r="BR223" s="569"/>
      <c r="BS223" s="569"/>
      <c r="BT223" s="569"/>
      <c r="BU223" s="569"/>
      <c r="BV223" s="569"/>
      <c r="BW223" s="569"/>
      <c r="BX223" s="569"/>
      <c r="BY223" s="569"/>
      <c r="BZ223" s="569"/>
      <c r="CA223" s="569"/>
      <c r="CB223" s="569"/>
      <c r="CC223" s="569"/>
      <c r="CD223" s="569"/>
      <c r="CE223" s="569"/>
      <c r="CF223" s="569"/>
      <c r="CG223" s="569"/>
      <c r="CH223" s="569"/>
      <c r="CI223" s="569"/>
      <c r="CJ223" s="569"/>
      <c r="CK223" s="569"/>
      <c r="CL223" s="569"/>
      <c r="CM223" s="569"/>
      <c r="CN223" s="569"/>
      <c r="CO223" s="569"/>
      <c r="CP223" s="569"/>
      <c r="CQ223" s="569"/>
      <c r="CR223" s="569"/>
      <c r="CS223" s="569"/>
      <c r="CT223" s="569"/>
      <c r="CU223" s="569"/>
      <c r="CV223" s="569"/>
      <c r="CW223" s="569"/>
      <c r="CX223" s="569"/>
      <c r="CY223" s="569"/>
      <c r="CZ223" s="569"/>
      <c r="DA223" s="569"/>
      <c r="DB223" s="569"/>
      <c r="DC223" s="569"/>
      <c r="DD223" s="569"/>
      <c r="DE223" s="569"/>
      <c r="DF223" s="569"/>
      <c r="DG223" s="569"/>
      <c r="DH223" s="569"/>
      <c r="DI223" s="569"/>
      <c r="DJ223" s="569"/>
      <c r="DK223" s="569"/>
      <c r="DL223" s="569"/>
      <c r="DM223" s="569"/>
      <c r="DN223" s="569"/>
      <c r="DO223" s="569"/>
      <c r="DP223" s="569"/>
      <c r="DQ223" s="569"/>
      <c r="DR223" s="569"/>
      <c r="DS223" s="569"/>
      <c r="DT223" s="569"/>
      <c r="DU223" s="569"/>
      <c r="DV223" s="569"/>
      <c r="DW223" s="569"/>
      <c r="DX223" s="569"/>
      <c r="DY223" s="569"/>
      <c r="DZ223" s="569"/>
      <c r="EA223" s="569"/>
      <c r="EB223" s="569"/>
      <c r="EC223" s="569"/>
      <c r="ED223" s="569"/>
      <c r="EE223" s="569"/>
      <c r="EF223" s="569"/>
      <c r="EG223" s="569"/>
      <c r="EH223" s="569"/>
      <c r="EI223" s="569"/>
      <c r="EJ223" s="569"/>
      <c r="EK223" s="569"/>
      <c r="EL223" s="569"/>
      <c r="EM223" s="569"/>
      <c r="EN223" s="569"/>
      <c r="EO223" s="569"/>
      <c r="EP223" s="569"/>
      <c r="EQ223" s="569"/>
      <c r="ER223" s="569"/>
      <c r="ES223" s="569"/>
      <c r="ET223" s="569"/>
      <c r="EU223" s="569"/>
      <c r="EV223" s="569"/>
      <c r="EW223" s="569"/>
      <c r="EX223" s="569"/>
      <c r="EY223" s="569"/>
      <c r="EZ223" s="569"/>
      <c r="FA223" s="569"/>
      <c r="FB223" s="569"/>
      <c r="FC223" s="569"/>
      <c r="FD223" s="569"/>
      <c r="FE223" s="569"/>
      <c r="FF223" s="569"/>
      <c r="FG223" s="569"/>
      <c r="FH223" s="569"/>
      <c r="FI223" s="569"/>
      <c r="FJ223" s="569"/>
      <c r="FK223" s="569"/>
      <c r="FL223" s="569"/>
      <c r="FM223" s="569"/>
      <c r="FN223" s="569"/>
      <c r="FO223" s="569"/>
      <c r="FP223" s="569"/>
      <c r="FQ223" s="569"/>
      <c r="FR223" s="569"/>
      <c r="FS223" s="569"/>
      <c r="FT223" s="569"/>
      <c r="FU223" s="569"/>
      <c r="FV223" s="569"/>
      <c r="FW223" s="569"/>
      <c r="FX223" s="569"/>
      <c r="FY223" s="569"/>
      <c r="FZ223" s="569"/>
      <c r="GA223" s="569"/>
      <c r="GB223" s="569"/>
      <c r="GC223" s="569"/>
      <c r="GD223" s="569"/>
      <c r="GE223" s="569"/>
      <c r="GF223" s="569"/>
      <c r="GG223" s="569"/>
      <c r="GH223" s="569"/>
      <c r="GI223" s="569"/>
      <c r="GJ223" s="569"/>
      <c r="GK223" s="569"/>
      <c r="GL223" s="569"/>
      <c r="GM223" s="569"/>
      <c r="GN223" s="569"/>
      <c r="GO223" s="569"/>
      <c r="GP223" s="569"/>
      <c r="GQ223" s="569"/>
      <c r="GR223" s="569"/>
      <c r="GS223" s="569"/>
      <c r="GT223" s="569"/>
    </row>
    <row r="224" spans="2:202" s="554" customFormat="1" ht="18" customHeight="1">
      <c r="B224" s="578"/>
      <c r="C224" s="1149"/>
      <c r="D224" s="1149"/>
      <c r="E224" s="1149"/>
      <c r="F224" s="1149"/>
      <c r="G224" s="1149"/>
      <c r="H224" s="1149"/>
      <c r="I224" s="1149"/>
      <c r="J224" s="1149"/>
      <c r="K224" s="1149"/>
      <c r="L224" s="1149"/>
      <c r="M224" s="578"/>
      <c r="N224" s="578"/>
      <c r="O224" s="578"/>
      <c r="P224" s="578"/>
      <c r="Q224" s="578"/>
      <c r="R224" s="578"/>
      <c r="S224" s="578"/>
      <c r="T224" s="578"/>
      <c r="U224" s="578"/>
      <c r="V224" s="578"/>
      <c r="W224" s="578"/>
      <c r="X224" s="578"/>
      <c r="Y224" s="578"/>
      <c r="Z224" s="578"/>
      <c r="AA224" s="578"/>
      <c r="AB224" s="578"/>
      <c r="AC224" s="578"/>
      <c r="AD224" s="578"/>
      <c r="AE224" s="578"/>
      <c r="AF224" s="578"/>
      <c r="AG224" s="578"/>
      <c r="AH224" s="548"/>
      <c r="AI224" s="548"/>
      <c r="AJ224" s="548"/>
      <c r="AK224" s="548"/>
      <c r="AL224" s="548"/>
      <c r="AM224" s="548"/>
      <c r="AN224" s="548"/>
      <c r="AO224" s="548"/>
      <c r="AP224" s="548"/>
      <c r="AQ224" s="548"/>
      <c r="AR224" s="548"/>
      <c r="AS224" s="548"/>
      <c r="AT224" s="548"/>
      <c r="AU224" s="548"/>
      <c r="AV224" s="548"/>
      <c r="AW224" s="548"/>
      <c r="AX224" s="548"/>
      <c r="AY224" s="548"/>
      <c r="AZ224" s="548"/>
      <c r="BA224" s="548"/>
      <c r="BB224" s="548"/>
      <c r="BC224" s="548"/>
      <c r="BD224" s="569"/>
      <c r="BE224" s="569"/>
      <c r="BF224" s="569"/>
      <c r="BG224" s="569"/>
      <c r="BH224" s="569"/>
      <c r="BI224" s="569"/>
      <c r="BJ224" s="569"/>
      <c r="BK224" s="569"/>
      <c r="BL224" s="569"/>
      <c r="BM224" s="569"/>
      <c r="BN224" s="569"/>
      <c r="BO224" s="569"/>
      <c r="BP224" s="569"/>
      <c r="BQ224" s="569"/>
      <c r="BR224" s="569"/>
      <c r="BS224" s="569"/>
      <c r="BT224" s="569"/>
      <c r="BU224" s="569"/>
      <c r="BV224" s="569"/>
      <c r="BW224" s="569"/>
      <c r="BX224" s="569"/>
      <c r="BY224" s="569"/>
      <c r="BZ224" s="569"/>
      <c r="CA224" s="569"/>
      <c r="CB224" s="569"/>
      <c r="CC224" s="569"/>
      <c r="CD224" s="569"/>
      <c r="CE224" s="569"/>
      <c r="CF224" s="569"/>
      <c r="CG224" s="569"/>
      <c r="CH224" s="569"/>
      <c r="CI224" s="569"/>
      <c r="CJ224" s="569"/>
      <c r="CK224" s="569"/>
      <c r="CL224" s="569"/>
      <c r="CM224" s="569"/>
      <c r="CN224" s="569"/>
      <c r="CO224" s="569"/>
      <c r="CP224" s="569"/>
      <c r="CQ224" s="569"/>
      <c r="CR224" s="569"/>
      <c r="CS224" s="569"/>
      <c r="CT224" s="569"/>
      <c r="CU224" s="569"/>
      <c r="CV224" s="569"/>
      <c r="CW224" s="569"/>
      <c r="CX224" s="569"/>
      <c r="CY224" s="569"/>
      <c r="CZ224" s="569"/>
      <c r="DA224" s="569"/>
      <c r="DB224" s="569"/>
      <c r="DC224" s="569"/>
      <c r="DD224" s="569"/>
      <c r="DE224" s="569"/>
      <c r="DF224" s="569"/>
      <c r="DG224" s="569"/>
      <c r="DH224" s="569"/>
      <c r="DI224" s="569"/>
      <c r="DJ224" s="569"/>
      <c r="DK224" s="569"/>
      <c r="DL224" s="569"/>
      <c r="DM224" s="569"/>
      <c r="DN224" s="569"/>
      <c r="DO224" s="569"/>
      <c r="DP224" s="569"/>
      <c r="DQ224" s="569"/>
      <c r="DR224" s="569"/>
      <c r="DS224" s="569"/>
      <c r="DT224" s="569"/>
      <c r="DU224" s="569"/>
      <c r="DV224" s="569"/>
      <c r="DW224" s="569"/>
      <c r="DX224" s="569"/>
      <c r="DY224" s="569"/>
      <c r="DZ224" s="569"/>
      <c r="EA224" s="569"/>
      <c r="EB224" s="569"/>
      <c r="EC224" s="569"/>
      <c r="ED224" s="569"/>
      <c r="EE224" s="569"/>
      <c r="EF224" s="569"/>
      <c r="EG224" s="569"/>
      <c r="EH224" s="569"/>
      <c r="EI224" s="569"/>
      <c r="EJ224" s="569"/>
      <c r="EK224" s="569"/>
      <c r="EL224" s="569"/>
      <c r="EM224" s="569"/>
      <c r="EN224" s="569"/>
      <c r="EO224" s="569"/>
      <c r="EP224" s="569"/>
      <c r="EQ224" s="569"/>
      <c r="ER224" s="569"/>
      <c r="ES224" s="569"/>
      <c r="ET224" s="569"/>
      <c r="EU224" s="569"/>
      <c r="EV224" s="569"/>
      <c r="EW224" s="569"/>
      <c r="EX224" s="569"/>
      <c r="EY224" s="569"/>
      <c r="EZ224" s="569"/>
      <c r="FA224" s="569"/>
      <c r="FB224" s="569"/>
      <c r="FC224" s="569"/>
      <c r="FD224" s="569"/>
      <c r="FE224" s="569"/>
      <c r="FF224" s="569"/>
      <c r="FG224" s="569"/>
      <c r="FH224" s="569"/>
      <c r="FI224" s="569"/>
      <c r="FJ224" s="569"/>
      <c r="FK224" s="569"/>
      <c r="FL224" s="569"/>
      <c r="FM224" s="569"/>
      <c r="FN224" s="569"/>
      <c r="FO224" s="569"/>
      <c r="FP224" s="569"/>
      <c r="FQ224" s="569"/>
      <c r="FR224" s="569"/>
      <c r="FS224" s="569"/>
      <c r="FT224" s="569"/>
      <c r="FU224" s="569"/>
      <c r="FV224" s="569"/>
      <c r="FW224" s="569"/>
      <c r="FX224" s="569"/>
      <c r="FY224" s="569"/>
      <c r="FZ224" s="569"/>
      <c r="GA224" s="569"/>
      <c r="GB224" s="569"/>
      <c r="GC224" s="569"/>
      <c r="GD224" s="569"/>
      <c r="GE224" s="569"/>
      <c r="GF224" s="569"/>
      <c r="GG224" s="569"/>
      <c r="GH224" s="569"/>
      <c r="GI224" s="569"/>
      <c r="GJ224" s="569"/>
      <c r="GK224" s="569"/>
      <c r="GL224" s="569"/>
      <c r="GM224" s="569"/>
      <c r="GN224" s="569"/>
      <c r="GO224" s="569"/>
      <c r="GP224" s="569"/>
      <c r="GQ224" s="569"/>
      <c r="GR224" s="569"/>
      <c r="GS224" s="569"/>
      <c r="GT224" s="569"/>
    </row>
    <row r="225" spans="2:202" s="554" customFormat="1" ht="18" customHeight="1">
      <c r="B225" s="578"/>
      <c r="C225" s="1149"/>
      <c r="D225" s="1149"/>
      <c r="E225" s="1149"/>
      <c r="F225" s="1149"/>
      <c r="G225" s="1149"/>
      <c r="H225" s="1149"/>
      <c r="I225" s="1149"/>
      <c r="J225" s="1149"/>
      <c r="K225" s="1149"/>
      <c r="L225" s="1149"/>
      <c r="M225" s="578"/>
      <c r="N225" s="578"/>
      <c r="O225" s="578"/>
      <c r="P225" s="578"/>
      <c r="Q225" s="578"/>
      <c r="R225" s="578"/>
      <c r="S225" s="578"/>
      <c r="T225" s="578"/>
      <c r="U225" s="578"/>
      <c r="V225" s="578"/>
      <c r="W225" s="578"/>
      <c r="X225" s="578"/>
      <c r="Y225" s="578"/>
      <c r="Z225" s="578"/>
      <c r="AA225" s="578"/>
      <c r="AB225" s="578"/>
      <c r="AC225" s="578"/>
      <c r="AD225" s="578"/>
      <c r="AE225" s="578"/>
      <c r="AF225" s="578"/>
      <c r="AG225" s="578"/>
      <c r="AH225" s="548"/>
      <c r="AI225" s="548"/>
      <c r="AJ225" s="548"/>
      <c r="AK225" s="548"/>
      <c r="AL225" s="548"/>
      <c r="AM225" s="548"/>
      <c r="AN225" s="548"/>
      <c r="AO225" s="548"/>
      <c r="AP225" s="548"/>
      <c r="AQ225" s="548"/>
      <c r="AR225" s="548"/>
      <c r="AS225" s="548"/>
      <c r="AT225" s="548"/>
      <c r="AU225" s="548"/>
      <c r="AV225" s="548"/>
      <c r="AW225" s="548"/>
      <c r="AX225" s="548"/>
      <c r="AY225" s="548"/>
      <c r="AZ225" s="548"/>
      <c r="BA225" s="548"/>
      <c r="BB225" s="548"/>
      <c r="BC225" s="548"/>
      <c r="BD225" s="569"/>
      <c r="BE225" s="569"/>
      <c r="BF225" s="569"/>
      <c r="BG225" s="569"/>
      <c r="BH225" s="569"/>
      <c r="BI225" s="569"/>
      <c r="BJ225" s="569"/>
      <c r="BK225" s="569"/>
      <c r="BL225" s="569"/>
      <c r="BM225" s="569"/>
      <c r="BN225" s="569"/>
      <c r="BO225" s="569"/>
      <c r="BP225" s="569"/>
      <c r="BQ225" s="569"/>
      <c r="BR225" s="569"/>
      <c r="BS225" s="569"/>
      <c r="BT225" s="569"/>
      <c r="BU225" s="569"/>
      <c r="BV225" s="569"/>
      <c r="BW225" s="569"/>
      <c r="BX225" s="569"/>
      <c r="BY225" s="569"/>
      <c r="BZ225" s="569"/>
      <c r="CA225" s="569"/>
      <c r="CB225" s="569"/>
      <c r="CC225" s="569"/>
      <c r="CD225" s="569"/>
      <c r="CE225" s="569"/>
      <c r="CF225" s="569"/>
      <c r="CG225" s="569"/>
      <c r="CH225" s="569"/>
      <c r="CI225" s="569"/>
      <c r="CJ225" s="569"/>
      <c r="CK225" s="569"/>
      <c r="CL225" s="569"/>
      <c r="CM225" s="569"/>
      <c r="CN225" s="569"/>
      <c r="CO225" s="569"/>
      <c r="CP225" s="569"/>
      <c r="CQ225" s="569"/>
      <c r="CR225" s="569"/>
      <c r="CS225" s="569"/>
      <c r="CT225" s="569"/>
      <c r="CU225" s="569"/>
      <c r="CV225" s="569"/>
      <c r="CW225" s="569"/>
      <c r="CX225" s="569"/>
      <c r="CY225" s="569"/>
      <c r="CZ225" s="569"/>
      <c r="DA225" s="569"/>
      <c r="DB225" s="569"/>
      <c r="DC225" s="569"/>
      <c r="DD225" s="569"/>
      <c r="DE225" s="569"/>
      <c r="DF225" s="569"/>
      <c r="DG225" s="569"/>
      <c r="DH225" s="569"/>
      <c r="DI225" s="569"/>
      <c r="DJ225" s="569"/>
      <c r="DK225" s="569"/>
      <c r="DL225" s="569"/>
      <c r="DM225" s="569"/>
      <c r="DN225" s="569"/>
      <c r="DO225" s="569"/>
      <c r="DP225" s="569"/>
      <c r="DQ225" s="569"/>
      <c r="DR225" s="569"/>
      <c r="DS225" s="569"/>
      <c r="DT225" s="569"/>
      <c r="DU225" s="569"/>
      <c r="DV225" s="569"/>
      <c r="DW225" s="569"/>
      <c r="DX225" s="569"/>
      <c r="DY225" s="569"/>
      <c r="DZ225" s="569"/>
      <c r="EA225" s="569"/>
      <c r="EB225" s="569"/>
      <c r="EC225" s="569"/>
      <c r="ED225" s="569"/>
      <c r="EE225" s="569"/>
      <c r="EF225" s="569"/>
      <c r="EG225" s="569"/>
      <c r="EH225" s="569"/>
      <c r="EI225" s="569"/>
      <c r="EJ225" s="569"/>
      <c r="EK225" s="569"/>
      <c r="EL225" s="569"/>
      <c r="EM225" s="569"/>
      <c r="EN225" s="569"/>
      <c r="EO225" s="569"/>
      <c r="EP225" s="569"/>
      <c r="EQ225" s="569"/>
      <c r="ER225" s="569"/>
      <c r="ES225" s="569"/>
      <c r="ET225" s="569"/>
      <c r="EU225" s="569"/>
      <c r="EV225" s="569"/>
      <c r="EW225" s="569"/>
      <c r="EX225" s="569"/>
      <c r="EY225" s="569"/>
      <c r="EZ225" s="569"/>
      <c r="FA225" s="569"/>
      <c r="FB225" s="569"/>
      <c r="FC225" s="569"/>
      <c r="FD225" s="569"/>
      <c r="FE225" s="569"/>
      <c r="FF225" s="569"/>
      <c r="FG225" s="569"/>
      <c r="FH225" s="569"/>
      <c r="FI225" s="569"/>
      <c r="FJ225" s="569"/>
      <c r="FK225" s="569"/>
      <c r="FL225" s="569"/>
      <c r="FM225" s="569"/>
      <c r="FN225" s="569"/>
      <c r="FO225" s="569"/>
      <c r="FP225" s="569"/>
      <c r="FQ225" s="569"/>
      <c r="FR225" s="569"/>
      <c r="FS225" s="569"/>
      <c r="FT225" s="569"/>
      <c r="FU225" s="569"/>
      <c r="FV225" s="569"/>
      <c r="FW225" s="569"/>
      <c r="FX225" s="569"/>
      <c r="FY225" s="569"/>
      <c r="FZ225" s="569"/>
      <c r="GA225" s="569"/>
      <c r="GB225" s="569"/>
      <c r="GC225" s="569"/>
      <c r="GD225" s="569"/>
      <c r="GE225" s="569"/>
      <c r="GF225" s="569"/>
      <c r="GG225" s="569"/>
      <c r="GH225" s="569"/>
      <c r="GI225" s="569"/>
      <c r="GJ225" s="569"/>
      <c r="GK225" s="569"/>
      <c r="GL225" s="569"/>
      <c r="GM225" s="569"/>
      <c r="GN225" s="569"/>
      <c r="GO225" s="569"/>
      <c r="GP225" s="569"/>
      <c r="GQ225" s="569"/>
      <c r="GR225" s="569"/>
      <c r="GS225" s="569"/>
      <c r="GT225" s="569"/>
    </row>
    <row r="226" spans="2:202" s="554" customFormat="1" ht="18" customHeight="1">
      <c r="B226" s="578"/>
      <c r="C226" s="1149"/>
      <c r="D226" s="1149"/>
      <c r="E226" s="1149"/>
      <c r="F226" s="1149"/>
      <c r="G226" s="1149"/>
      <c r="H226" s="1149"/>
      <c r="I226" s="1149"/>
      <c r="J226" s="1149"/>
      <c r="K226" s="1149"/>
      <c r="L226" s="1149"/>
      <c r="M226" s="578"/>
      <c r="N226" s="578"/>
      <c r="O226" s="578"/>
      <c r="P226" s="578"/>
      <c r="Q226" s="578"/>
      <c r="R226" s="578"/>
      <c r="S226" s="578"/>
      <c r="T226" s="578"/>
      <c r="U226" s="578"/>
      <c r="V226" s="578"/>
      <c r="W226" s="578"/>
      <c r="X226" s="578"/>
      <c r="Y226" s="578"/>
      <c r="Z226" s="578"/>
      <c r="AA226" s="578"/>
      <c r="AB226" s="578"/>
      <c r="AC226" s="578"/>
      <c r="AD226" s="578"/>
      <c r="AE226" s="578"/>
      <c r="AF226" s="578"/>
      <c r="AG226" s="578"/>
      <c r="AH226" s="548"/>
      <c r="AI226" s="548"/>
      <c r="AJ226" s="548"/>
      <c r="AK226" s="548"/>
      <c r="AL226" s="548"/>
      <c r="AM226" s="548"/>
      <c r="AN226" s="548"/>
      <c r="AO226" s="548"/>
      <c r="AP226" s="548"/>
      <c r="AQ226" s="548"/>
      <c r="AR226" s="548"/>
      <c r="AS226" s="548"/>
      <c r="AT226" s="548"/>
      <c r="AU226" s="548"/>
      <c r="AV226" s="548"/>
      <c r="AW226" s="548"/>
      <c r="AX226" s="548"/>
      <c r="AY226" s="548"/>
      <c r="AZ226" s="548"/>
      <c r="BA226" s="548"/>
      <c r="BB226" s="548"/>
      <c r="BC226" s="548"/>
      <c r="BD226" s="569"/>
      <c r="BE226" s="569"/>
      <c r="BF226" s="569"/>
      <c r="BG226" s="569"/>
      <c r="BH226" s="569"/>
      <c r="BI226" s="569"/>
      <c r="BJ226" s="569"/>
      <c r="BK226" s="569"/>
      <c r="BL226" s="569"/>
      <c r="BM226" s="569"/>
      <c r="BN226" s="569"/>
      <c r="BO226" s="569"/>
      <c r="BP226" s="569"/>
      <c r="BQ226" s="569"/>
      <c r="BR226" s="569"/>
      <c r="BS226" s="569"/>
      <c r="BT226" s="569"/>
      <c r="BU226" s="569"/>
      <c r="BV226" s="569"/>
      <c r="BW226" s="569"/>
      <c r="BX226" s="569"/>
      <c r="BY226" s="569"/>
      <c r="BZ226" s="569"/>
      <c r="CA226" s="569"/>
      <c r="CB226" s="569"/>
      <c r="CC226" s="569"/>
      <c r="CD226" s="569"/>
      <c r="CE226" s="569"/>
      <c r="CF226" s="569"/>
      <c r="CG226" s="569"/>
      <c r="CH226" s="569"/>
      <c r="CI226" s="569"/>
      <c r="CJ226" s="569"/>
      <c r="CK226" s="569"/>
      <c r="CL226" s="569"/>
      <c r="CM226" s="569"/>
      <c r="CN226" s="569"/>
      <c r="CO226" s="569"/>
      <c r="CP226" s="569"/>
      <c r="CQ226" s="569"/>
      <c r="CR226" s="569"/>
      <c r="CS226" s="569"/>
      <c r="CT226" s="569"/>
      <c r="CU226" s="569"/>
      <c r="CV226" s="569"/>
      <c r="CW226" s="569"/>
      <c r="CX226" s="569"/>
      <c r="CY226" s="569"/>
      <c r="CZ226" s="569"/>
      <c r="DA226" s="569"/>
      <c r="DB226" s="569"/>
      <c r="DC226" s="569"/>
      <c r="DD226" s="569"/>
      <c r="DE226" s="569"/>
      <c r="DF226" s="569"/>
      <c r="DG226" s="569"/>
      <c r="DH226" s="569"/>
      <c r="DI226" s="569"/>
      <c r="DJ226" s="569"/>
      <c r="DK226" s="569"/>
      <c r="DL226" s="569"/>
      <c r="DM226" s="569"/>
      <c r="DN226" s="569"/>
      <c r="DO226" s="569"/>
      <c r="DP226" s="569"/>
      <c r="DQ226" s="569"/>
      <c r="DR226" s="569"/>
      <c r="DS226" s="569"/>
      <c r="DT226" s="569"/>
      <c r="DU226" s="569"/>
      <c r="DV226" s="569"/>
      <c r="DW226" s="569"/>
      <c r="DX226" s="569"/>
      <c r="DY226" s="569"/>
      <c r="DZ226" s="569"/>
      <c r="EA226" s="569"/>
      <c r="EB226" s="569"/>
      <c r="EC226" s="569"/>
      <c r="ED226" s="569"/>
      <c r="EE226" s="569"/>
      <c r="EF226" s="569"/>
      <c r="EG226" s="569"/>
      <c r="EH226" s="569"/>
      <c r="EI226" s="569"/>
      <c r="EJ226" s="569"/>
      <c r="EK226" s="569"/>
      <c r="EL226" s="569"/>
      <c r="EM226" s="569"/>
      <c r="EN226" s="569"/>
      <c r="EO226" s="569"/>
      <c r="EP226" s="569"/>
      <c r="EQ226" s="569"/>
      <c r="ER226" s="569"/>
      <c r="ES226" s="569"/>
      <c r="ET226" s="569"/>
      <c r="EU226" s="569"/>
      <c r="EV226" s="569"/>
      <c r="EW226" s="569"/>
      <c r="EX226" s="569"/>
      <c r="EY226" s="569"/>
      <c r="EZ226" s="569"/>
      <c r="FA226" s="569"/>
      <c r="FB226" s="569"/>
      <c r="FC226" s="569"/>
      <c r="FD226" s="569"/>
      <c r="FE226" s="569"/>
      <c r="FF226" s="569"/>
      <c r="FG226" s="569"/>
      <c r="FH226" s="569"/>
      <c r="FI226" s="569"/>
      <c r="FJ226" s="569"/>
      <c r="FK226" s="569"/>
      <c r="FL226" s="569"/>
      <c r="FM226" s="569"/>
      <c r="FN226" s="569"/>
      <c r="FO226" s="569"/>
      <c r="FP226" s="569"/>
      <c r="FQ226" s="569"/>
      <c r="FR226" s="569"/>
      <c r="FS226" s="569"/>
      <c r="FT226" s="569"/>
      <c r="FU226" s="569"/>
      <c r="FV226" s="569"/>
      <c r="FW226" s="569"/>
      <c r="FX226" s="569"/>
      <c r="FY226" s="569"/>
      <c r="FZ226" s="569"/>
      <c r="GA226" s="569"/>
      <c r="GB226" s="569"/>
      <c r="GC226" s="569"/>
      <c r="GD226" s="569"/>
      <c r="GE226" s="569"/>
      <c r="GF226" s="569"/>
      <c r="GG226" s="569"/>
      <c r="GH226" s="569"/>
      <c r="GI226" s="569"/>
      <c r="GJ226" s="569"/>
      <c r="GK226" s="569"/>
      <c r="GL226" s="569"/>
      <c r="GM226" s="569"/>
      <c r="GN226" s="569"/>
      <c r="GO226" s="569"/>
      <c r="GP226" s="569"/>
      <c r="GQ226" s="569"/>
      <c r="GR226" s="569"/>
      <c r="GS226" s="569"/>
      <c r="GT226" s="569"/>
    </row>
    <row r="227" spans="2:202" s="554" customFormat="1" ht="18" customHeight="1">
      <c r="B227" s="578"/>
      <c r="C227" s="1149"/>
      <c r="D227" s="1149"/>
      <c r="E227" s="1149"/>
      <c r="F227" s="1149"/>
      <c r="G227" s="1149"/>
      <c r="H227" s="1149"/>
      <c r="I227" s="1149"/>
      <c r="J227" s="1149"/>
      <c r="K227" s="1149"/>
      <c r="L227" s="1149"/>
      <c r="M227" s="578"/>
      <c r="N227" s="578"/>
      <c r="O227" s="578"/>
      <c r="P227" s="578"/>
      <c r="Q227" s="578"/>
      <c r="R227" s="578"/>
      <c r="S227" s="578"/>
      <c r="T227" s="578"/>
      <c r="U227" s="578"/>
      <c r="V227" s="578"/>
      <c r="W227" s="578"/>
      <c r="X227" s="578"/>
      <c r="Y227" s="578"/>
      <c r="Z227" s="578"/>
      <c r="AA227" s="578"/>
      <c r="AB227" s="578"/>
      <c r="AC227" s="578"/>
      <c r="AD227" s="578"/>
      <c r="AE227" s="578"/>
      <c r="AF227" s="578"/>
      <c r="AG227" s="578"/>
      <c r="AH227" s="548"/>
      <c r="AI227" s="548"/>
      <c r="AJ227" s="548"/>
      <c r="AK227" s="548"/>
      <c r="AL227" s="548"/>
      <c r="AM227" s="548"/>
      <c r="AN227" s="548"/>
      <c r="AO227" s="548"/>
      <c r="AP227" s="548"/>
      <c r="AQ227" s="548"/>
      <c r="AR227" s="548"/>
      <c r="AS227" s="548"/>
      <c r="AT227" s="548"/>
      <c r="AU227" s="548"/>
      <c r="AV227" s="548"/>
      <c r="AW227" s="548"/>
      <c r="AX227" s="548"/>
      <c r="AY227" s="548"/>
      <c r="AZ227" s="548"/>
      <c r="BA227" s="548"/>
      <c r="BB227" s="548"/>
      <c r="BC227" s="548"/>
      <c r="BD227" s="569"/>
      <c r="BE227" s="569"/>
      <c r="BF227" s="569"/>
      <c r="BG227" s="569"/>
      <c r="BH227" s="569"/>
      <c r="BI227" s="569"/>
      <c r="BJ227" s="569"/>
      <c r="BK227" s="569"/>
      <c r="BL227" s="569"/>
      <c r="BM227" s="569"/>
      <c r="BN227" s="569"/>
      <c r="BO227" s="569"/>
      <c r="BP227" s="569"/>
      <c r="BQ227" s="569"/>
      <c r="BR227" s="569"/>
      <c r="BS227" s="569"/>
      <c r="BT227" s="569"/>
      <c r="BU227" s="569"/>
      <c r="BV227" s="569"/>
      <c r="BW227" s="569"/>
      <c r="BX227" s="569"/>
      <c r="BY227" s="569"/>
      <c r="BZ227" s="569"/>
      <c r="CA227" s="569"/>
      <c r="CB227" s="569"/>
      <c r="CC227" s="569"/>
      <c r="CD227" s="569"/>
      <c r="CE227" s="569"/>
      <c r="CF227" s="569"/>
      <c r="CG227" s="569"/>
      <c r="CH227" s="569"/>
      <c r="CI227" s="569"/>
      <c r="CJ227" s="569"/>
      <c r="CK227" s="569"/>
      <c r="CL227" s="569"/>
      <c r="CM227" s="569"/>
      <c r="CN227" s="569"/>
      <c r="CO227" s="569"/>
      <c r="CP227" s="569"/>
      <c r="CQ227" s="569"/>
      <c r="CR227" s="569"/>
      <c r="CS227" s="569"/>
      <c r="CT227" s="569"/>
      <c r="CU227" s="569"/>
      <c r="CV227" s="569"/>
      <c r="CW227" s="569"/>
      <c r="CX227" s="569"/>
      <c r="CY227" s="569"/>
      <c r="CZ227" s="569"/>
      <c r="DA227" s="569"/>
      <c r="DB227" s="569"/>
      <c r="DC227" s="569"/>
      <c r="DD227" s="569"/>
      <c r="DE227" s="569"/>
      <c r="DF227" s="569"/>
      <c r="DG227" s="569"/>
      <c r="DH227" s="569"/>
      <c r="DI227" s="569"/>
      <c r="DJ227" s="569"/>
      <c r="DK227" s="569"/>
      <c r="DL227" s="569"/>
      <c r="DM227" s="569"/>
      <c r="DN227" s="569"/>
      <c r="DO227" s="569"/>
      <c r="DP227" s="569"/>
      <c r="DQ227" s="569"/>
      <c r="DR227" s="569"/>
      <c r="DS227" s="569"/>
      <c r="DT227" s="569"/>
      <c r="DU227" s="569"/>
      <c r="DV227" s="569"/>
      <c r="DW227" s="569"/>
      <c r="DX227" s="569"/>
      <c r="DY227" s="569"/>
      <c r="DZ227" s="569"/>
      <c r="EA227" s="569"/>
      <c r="EB227" s="569"/>
      <c r="EC227" s="569"/>
      <c r="ED227" s="569"/>
      <c r="EE227" s="569"/>
      <c r="EF227" s="569"/>
      <c r="EG227" s="569"/>
      <c r="EH227" s="569"/>
      <c r="EI227" s="569"/>
      <c r="EJ227" s="569"/>
      <c r="EK227" s="569"/>
      <c r="EL227" s="569"/>
      <c r="EM227" s="569"/>
      <c r="EN227" s="569"/>
      <c r="EO227" s="569"/>
      <c r="EP227" s="569"/>
      <c r="EQ227" s="569"/>
      <c r="ER227" s="569"/>
      <c r="ES227" s="569"/>
      <c r="ET227" s="569"/>
      <c r="EU227" s="569"/>
      <c r="EV227" s="569"/>
      <c r="EW227" s="569"/>
      <c r="EX227" s="569"/>
      <c r="EY227" s="569"/>
      <c r="EZ227" s="569"/>
      <c r="FA227" s="569"/>
      <c r="FB227" s="569"/>
      <c r="FC227" s="569"/>
      <c r="FD227" s="569"/>
      <c r="FE227" s="569"/>
      <c r="FF227" s="569"/>
      <c r="FG227" s="569"/>
      <c r="FH227" s="569"/>
      <c r="FI227" s="569"/>
      <c r="FJ227" s="569"/>
      <c r="FK227" s="569"/>
      <c r="FL227" s="569"/>
      <c r="FM227" s="569"/>
      <c r="FN227" s="569"/>
      <c r="FO227" s="569"/>
      <c r="FP227" s="569"/>
      <c r="FQ227" s="569"/>
      <c r="FR227" s="569"/>
      <c r="FS227" s="569"/>
      <c r="FT227" s="569"/>
      <c r="FU227" s="569"/>
      <c r="FV227" s="569"/>
      <c r="FW227" s="569"/>
      <c r="FX227" s="569"/>
      <c r="FY227" s="569"/>
      <c r="FZ227" s="569"/>
      <c r="GA227" s="569"/>
      <c r="GB227" s="569"/>
      <c r="GC227" s="569"/>
      <c r="GD227" s="569"/>
      <c r="GE227" s="569"/>
      <c r="GF227" s="569"/>
      <c r="GG227" s="569"/>
      <c r="GH227" s="569"/>
      <c r="GI227" s="569"/>
      <c r="GJ227" s="569"/>
      <c r="GK227" s="569"/>
      <c r="GL227" s="569"/>
      <c r="GM227" s="569"/>
      <c r="GN227" s="569"/>
      <c r="GO227" s="569"/>
      <c r="GP227" s="569"/>
      <c r="GQ227" s="569"/>
      <c r="GR227" s="569"/>
      <c r="GS227" s="569"/>
      <c r="GT227" s="569"/>
    </row>
    <row r="228" spans="2:202" s="554" customFormat="1" ht="18" customHeight="1">
      <c r="B228" s="578"/>
      <c r="C228" s="1149"/>
      <c r="D228" s="1149"/>
      <c r="E228" s="1149"/>
      <c r="F228" s="1149"/>
      <c r="G228" s="1149"/>
      <c r="H228" s="1149"/>
      <c r="I228" s="1149"/>
      <c r="J228" s="1149"/>
      <c r="K228" s="1149"/>
      <c r="L228" s="1149"/>
      <c r="M228" s="578"/>
      <c r="N228" s="578"/>
      <c r="O228" s="578"/>
      <c r="P228" s="578"/>
      <c r="Q228" s="578"/>
      <c r="R228" s="578"/>
      <c r="S228" s="578"/>
      <c r="T228" s="578"/>
      <c r="U228" s="578"/>
      <c r="V228" s="578"/>
      <c r="W228" s="578"/>
      <c r="X228" s="578"/>
      <c r="Y228" s="578"/>
      <c r="Z228" s="578"/>
      <c r="AA228" s="578"/>
      <c r="AB228" s="578"/>
      <c r="AC228" s="578"/>
      <c r="AD228" s="578"/>
      <c r="AE228" s="578"/>
      <c r="AF228" s="578"/>
      <c r="AG228" s="578"/>
      <c r="AH228" s="548"/>
      <c r="AI228" s="548"/>
      <c r="AJ228" s="548"/>
      <c r="AK228" s="548"/>
      <c r="AL228" s="548"/>
      <c r="AM228" s="548"/>
      <c r="AN228" s="548"/>
      <c r="AO228" s="548"/>
      <c r="AP228" s="548"/>
      <c r="AQ228" s="548"/>
      <c r="AR228" s="548"/>
      <c r="AS228" s="548"/>
      <c r="AT228" s="548"/>
      <c r="AU228" s="548"/>
      <c r="AV228" s="548"/>
      <c r="AW228" s="548"/>
      <c r="AX228" s="548"/>
      <c r="AY228" s="548"/>
      <c r="AZ228" s="548"/>
      <c r="BA228" s="548"/>
      <c r="BB228" s="548"/>
      <c r="BC228" s="548"/>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s="569"/>
      <c r="DD228" s="569"/>
      <c r="DE228" s="569"/>
      <c r="DF228" s="569"/>
      <c r="DG228" s="569"/>
      <c r="DH228" s="569"/>
      <c r="DI228" s="569"/>
      <c r="DJ228" s="569"/>
      <c r="DK228" s="569"/>
      <c r="DL228" s="569"/>
      <c r="DM228" s="569"/>
      <c r="DN228" s="569"/>
      <c r="DO228" s="569"/>
      <c r="DP228" s="569"/>
      <c r="DQ228" s="569"/>
      <c r="DR228" s="569"/>
      <c r="DS228" s="569"/>
      <c r="DT228" s="569"/>
      <c r="DU228" s="569"/>
      <c r="DV228" s="569"/>
      <c r="DW228" s="569"/>
      <c r="DX228" s="569"/>
      <c r="DY228" s="569"/>
      <c r="DZ228" s="569"/>
      <c r="EA228" s="569"/>
      <c r="EB228" s="569"/>
      <c r="EC228" s="569"/>
      <c r="ED228" s="569"/>
      <c r="EE228" s="569"/>
      <c r="EF228" s="569"/>
      <c r="EG228" s="569"/>
      <c r="EH228" s="569"/>
      <c r="EI228" s="569"/>
      <c r="EJ228" s="569"/>
      <c r="EK228" s="569"/>
      <c r="EL228" s="569"/>
      <c r="EM228" s="569"/>
      <c r="EN228" s="569"/>
      <c r="EO228" s="569"/>
      <c r="EP228" s="569"/>
      <c r="EQ228" s="569"/>
      <c r="ER228" s="569"/>
      <c r="ES228" s="569"/>
      <c r="ET228" s="569"/>
      <c r="EU228" s="569"/>
      <c r="EV228" s="569"/>
      <c r="EW228" s="569"/>
      <c r="EX228" s="569"/>
      <c r="EY228" s="569"/>
      <c r="EZ228" s="569"/>
      <c r="FA228" s="569"/>
      <c r="FB228" s="569"/>
      <c r="FC228" s="569"/>
      <c r="FD228" s="569"/>
      <c r="FE228" s="569"/>
      <c r="FF228" s="569"/>
      <c r="FG228" s="569"/>
      <c r="FH228" s="569"/>
      <c r="FI228" s="569"/>
      <c r="FJ228" s="569"/>
      <c r="FK228" s="569"/>
      <c r="FL228" s="569"/>
      <c r="FM228" s="569"/>
      <c r="FN228" s="569"/>
      <c r="FO228" s="569"/>
      <c r="FP228" s="569"/>
      <c r="FQ228" s="569"/>
      <c r="FR228" s="569"/>
      <c r="FS228" s="569"/>
      <c r="FT228" s="569"/>
      <c r="FU228" s="569"/>
      <c r="FV228" s="569"/>
      <c r="FW228" s="569"/>
      <c r="FX228" s="569"/>
      <c r="FY228" s="569"/>
      <c r="FZ228" s="569"/>
      <c r="GA228" s="569"/>
      <c r="GB228" s="569"/>
      <c r="GC228" s="569"/>
      <c r="GD228" s="569"/>
      <c r="GE228" s="569"/>
      <c r="GF228" s="569"/>
      <c r="GG228" s="569"/>
      <c r="GH228" s="569"/>
      <c r="GI228" s="569"/>
      <c r="GJ228" s="569"/>
      <c r="GK228" s="569"/>
      <c r="GL228" s="569"/>
      <c r="GM228" s="569"/>
      <c r="GN228" s="569"/>
      <c r="GO228" s="569"/>
      <c r="GP228" s="569"/>
      <c r="GQ228" s="569"/>
      <c r="GR228" s="569"/>
      <c r="GS228" s="569"/>
      <c r="GT228" s="569"/>
    </row>
    <row r="229" spans="2:202" s="554" customFormat="1" ht="18" customHeight="1">
      <c r="B229" s="578"/>
      <c r="C229" s="1149"/>
      <c r="D229" s="1149"/>
      <c r="E229" s="1149"/>
      <c r="F229" s="1149"/>
      <c r="G229" s="1149"/>
      <c r="H229" s="1149"/>
      <c r="I229" s="1149"/>
      <c r="J229" s="1149"/>
      <c r="K229" s="1149"/>
      <c r="L229" s="1149"/>
      <c r="M229" s="578"/>
      <c r="N229" s="578"/>
      <c r="O229" s="578"/>
      <c r="P229" s="578"/>
      <c r="Q229" s="578"/>
      <c r="R229" s="578"/>
      <c r="S229" s="578"/>
      <c r="T229" s="578"/>
      <c r="U229" s="578"/>
      <c r="V229" s="578"/>
      <c r="W229" s="578"/>
      <c r="X229" s="578"/>
      <c r="Y229" s="578"/>
      <c r="Z229" s="578"/>
      <c r="AA229" s="578"/>
      <c r="AB229" s="578"/>
      <c r="AC229" s="578"/>
      <c r="AD229" s="578"/>
      <c r="AE229" s="578"/>
      <c r="AF229" s="578"/>
      <c r="AG229" s="578"/>
      <c r="AH229" s="548"/>
      <c r="AI229" s="548"/>
      <c r="AJ229" s="548"/>
      <c r="AK229" s="548"/>
      <c r="AL229" s="548"/>
      <c r="AM229" s="548"/>
      <c r="AN229" s="548"/>
      <c r="AO229" s="548"/>
      <c r="AP229" s="548"/>
      <c r="AQ229" s="548"/>
      <c r="AR229" s="548"/>
      <c r="AS229" s="548"/>
      <c r="AT229" s="548"/>
      <c r="AU229" s="548"/>
      <c r="AV229" s="548"/>
      <c r="AW229" s="548"/>
      <c r="AX229" s="548"/>
      <c r="AY229" s="548"/>
      <c r="AZ229" s="548"/>
      <c r="BA229" s="548"/>
      <c r="BB229" s="548"/>
      <c r="BC229" s="548"/>
      <c r="BD229" s="569"/>
      <c r="BE229" s="569"/>
      <c r="BF229" s="569"/>
      <c r="BG229" s="569"/>
      <c r="BH229" s="569"/>
      <c r="BI229" s="569"/>
      <c r="BJ229" s="569"/>
      <c r="BK229" s="569"/>
      <c r="BL229" s="569"/>
      <c r="BM229" s="569"/>
      <c r="BN229" s="569"/>
      <c r="BO229" s="569"/>
      <c r="BP229" s="569"/>
      <c r="BQ229" s="569"/>
      <c r="BR229" s="569"/>
      <c r="BS229" s="569"/>
      <c r="BT229" s="569"/>
      <c r="BU229" s="569"/>
      <c r="BV229" s="569"/>
      <c r="BW229" s="569"/>
      <c r="BX229" s="569"/>
      <c r="BY229" s="569"/>
      <c r="BZ229" s="569"/>
      <c r="CA229" s="569"/>
      <c r="CB229" s="569"/>
      <c r="CC229" s="569"/>
      <c r="CD229" s="569"/>
      <c r="CE229" s="569"/>
      <c r="CF229" s="569"/>
      <c r="CG229" s="569"/>
      <c r="CH229" s="569"/>
      <c r="CI229" s="569"/>
      <c r="CJ229" s="569"/>
      <c r="CK229" s="569"/>
      <c r="CL229" s="569"/>
      <c r="CM229" s="569"/>
      <c r="CN229" s="569"/>
      <c r="CO229" s="569"/>
      <c r="CP229" s="569"/>
      <c r="CQ229" s="569"/>
      <c r="CR229" s="569"/>
      <c r="CS229" s="569"/>
      <c r="CT229" s="569"/>
      <c r="CU229" s="569"/>
      <c r="CV229" s="569"/>
      <c r="CW229" s="569"/>
      <c r="CX229" s="569"/>
      <c r="CY229" s="569"/>
      <c r="CZ229" s="569"/>
      <c r="DA229" s="569"/>
      <c r="DB229" s="569"/>
      <c r="DC229" s="569"/>
      <c r="DD229" s="569"/>
      <c r="DE229" s="569"/>
      <c r="DF229" s="569"/>
      <c r="DG229" s="569"/>
      <c r="DH229" s="569"/>
      <c r="DI229" s="569"/>
      <c r="DJ229" s="569"/>
      <c r="DK229" s="569"/>
      <c r="DL229" s="569"/>
      <c r="DM229" s="569"/>
      <c r="DN229" s="569"/>
      <c r="DO229" s="569"/>
      <c r="DP229" s="569"/>
      <c r="DQ229" s="569"/>
      <c r="DR229" s="569"/>
      <c r="DS229" s="569"/>
      <c r="DT229" s="569"/>
      <c r="DU229" s="569"/>
      <c r="DV229" s="569"/>
      <c r="DW229" s="569"/>
      <c r="DX229" s="569"/>
      <c r="DY229" s="569"/>
      <c r="DZ229" s="569"/>
      <c r="EA229" s="569"/>
      <c r="EB229" s="569"/>
      <c r="EC229" s="569"/>
      <c r="ED229" s="569"/>
      <c r="EE229" s="569"/>
      <c r="EF229" s="569"/>
      <c r="EG229" s="569"/>
      <c r="EH229" s="569"/>
      <c r="EI229" s="569"/>
      <c r="EJ229" s="569"/>
      <c r="EK229" s="569"/>
      <c r="EL229" s="569"/>
      <c r="EM229" s="569"/>
      <c r="EN229" s="569"/>
      <c r="EO229" s="569"/>
      <c r="EP229" s="569"/>
      <c r="EQ229" s="569"/>
      <c r="ER229" s="569"/>
      <c r="ES229" s="569"/>
      <c r="ET229" s="569"/>
      <c r="EU229" s="569"/>
      <c r="EV229" s="569"/>
      <c r="EW229" s="569"/>
      <c r="EX229" s="569"/>
      <c r="EY229" s="569"/>
      <c r="EZ229" s="569"/>
      <c r="FA229" s="569"/>
      <c r="FB229" s="569"/>
      <c r="FC229" s="569"/>
      <c r="FD229" s="569"/>
      <c r="FE229" s="569"/>
      <c r="FF229" s="569"/>
      <c r="FG229" s="569"/>
      <c r="FH229" s="569"/>
      <c r="FI229" s="569"/>
      <c r="FJ229" s="569"/>
      <c r="FK229" s="569"/>
      <c r="FL229" s="569"/>
      <c r="FM229" s="569"/>
      <c r="FN229" s="569"/>
      <c r="FO229" s="569"/>
      <c r="FP229" s="569"/>
      <c r="FQ229" s="569"/>
      <c r="FR229" s="569"/>
      <c r="FS229" s="569"/>
      <c r="FT229" s="569"/>
      <c r="FU229" s="569"/>
      <c r="FV229" s="569"/>
      <c r="FW229" s="569"/>
      <c r="FX229" s="569"/>
      <c r="FY229" s="569"/>
      <c r="FZ229" s="569"/>
      <c r="GA229" s="569"/>
      <c r="GB229" s="569"/>
      <c r="GC229" s="569"/>
      <c r="GD229" s="569"/>
      <c r="GE229" s="569"/>
      <c r="GF229" s="569"/>
      <c r="GG229" s="569"/>
      <c r="GH229" s="569"/>
      <c r="GI229" s="569"/>
      <c r="GJ229" s="569"/>
      <c r="GK229" s="569"/>
      <c r="GL229" s="569"/>
      <c r="GM229" s="569"/>
      <c r="GN229" s="569"/>
      <c r="GO229" s="569"/>
      <c r="GP229" s="569"/>
      <c r="GQ229" s="569"/>
      <c r="GR229" s="569"/>
      <c r="GS229" s="569"/>
      <c r="GT229" s="569"/>
    </row>
    <row r="230" spans="2:202" s="554" customFormat="1" ht="18" customHeight="1">
      <c r="B230" s="578"/>
      <c r="C230" s="1149"/>
      <c r="D230" s="1149"/>
      <c r="E230" s="1149"/>
      <c r="F230" s="1149"/>
      <c r="G230" s="1149"/>
      <c r="H230" s="1149"/>
      <c r="I230" s="1149"/>
      <c r="J230" s="1149"/>
      <c r="K230" s="1149"/>
      <c r="L230" s="1149"/>
      <c r="M230" s="578"/>
      <c r="N230" s="578"/>
      <c r="O230" s="578"/>
      <c r="P230" s="578"/>
      <c r="Q230" s="578"/>
      <c r="R230" s="578"/>
      <c r="S230" s="578"/>
      <c r="T230" s="578"/>
      <c r="U230" s="578"/>
      <c r="V230" s="578"/>
      <c r="W230" s="578"/>
      <c r="X230" s="578"/>
      <c r="Y230" s="578"/>
      <c r="Z230" s="578"/>
      <c r="AA230" s="578"/>
      <c r="AB230" s="578"/>
      <c r="AC230" s="578"/>
      <c r="AD230" s="578"/>
      <c r="AE230" s="578"/>
      <c r="AF230" s="578"/>
      <c r="AG230" s="578"/>
      <c r="AH230" s="548"/>
      <c r="AI230" s="548"/>
      <c r="AJ230" s="548"/>
      <c r="AK230" s="548"/>
      <c r="AL230" s="548"/>
      <c r="AM230" s="548"/>
      <c r="AN230" s="548"/>
      <c r="AO230" s="548"/>
      <c r="AP230" s="548"/>
      <c r="AQ230" s="548"/>
      <c r="AR230" s="548"/>
      <c r="AS230" s="548"/>
      <c r="AT230" s="548"/>
      <c r="AU230" s="548"/>
      <c r="AV230" s="548"/>
      <c r="AW230" s="548"/>
      <c r="AX230" s="548"/>
      <c r="AY230" s="548"/>
      <c r="AZ230" s="548"/>
      <c r="BA230" s="548"/>
      <c r="BB230" s="548"/>
      <c r="BC230" s="548"/>
      <c r="BD230" s="569"/>
      <c r="BE230" s="569"/>
      <c r="BF230" s="569"/>
      <c r="BG230" s="569"/>
      <c r="BH230" s="569"/>
      <c r="BI230" s="569"/>
      <c r="BJ230" s="569"/>
      <c r="BK230" s="569"/>
      <c r="BL230" s="569"/>
      <c r="BM230" s="569"/>
      <c r="BN230" s="569"/>
      <c r="BO230" s="569"/>
      <c r="BP230" s="569"/>
      <c r="BQ230" s="569"/>
      <c r="BR230" s="569"/>
      <c r="BS230" s="569"/>
      <c r="BT230" s="569"/>
      <c r="BU230" s="569"/>
      <c r="BV230" s="569"/>
      <c r="BW230" s="569"/>
      <c r="BX230" s="569"/>
      <c r="BY230" s="569"/>
      <c r="BZ230" s="569"/>
      <c r="CA230" s="569"/>
      <c r="CB230" s="569"/>
      <c r="CC230" s="569"/>
      <c r="CD230" s="569"/>
      <c r="CE230" s="569"/>
      <c r="CF230" s="569"/>
      <c r="CG230" s="569"/>
      <c r="CH230" s="569"/>
      <c r="CI230" s="569"/>
      <c r="CJ230" s="569"/>
      <c r="CK230" s="569"/>
      <c r="CL230" s="569"/>
      <c r="CM230" s="569"/>
      <c r="CN230" s="569"/>
      <c r="CO230" s="569"/>
      <c r="CP230" s="569"/>
      <c r="CQ230" s="569"/>
      <c r="CR230" s="569"/>
      <c r="CS230" s="569"/>
      <c r="CT230" s="569"/>
      <c r="CU230" s="569"/>
      <c r="CV230" s="569"/>
      <c r="CW230" s="569"/>
      <c r="CX230" s="569"/>
      <c r="CY230" s="569"/>
      <c r="CZ230" s="569"/>
      <c r="DA230" s="569"/>
      <c r="DB230" s="569"/>
      <c r="DC230" s="569"/>
      <c r="DD230" s="569"/>
      <c r="DE230" s="569"/>
      <c r="DF230" s="569"/>
      <c r="DG230" s="569"/>
      <c r="DH230" s="569"/>
      <c r="DI230" s="569"/>
      <c r="DJ230" s="569"/>
      <c r="DK230" s="569"/>
      <c r="DL230" s="569"/>
      <c r="DM230" s="569"/>
      <c r="DN230" s="569"/>
      <c r="DO230" s="569"/>
      <c r="DP230" s="569"/>
      <c r="DQ230" s="569"/>
      <c r="DR230" s="569"/>
      <c r="DS230" s="569"/>
      <c r="DT230" s="569"/>
      <c r="DU230" s="569"/>
      <c r="DV230" s="569"/>
      <c r="DW230" s="569"/>
      <c r="DX230" s="569"/>
      <c r="DY230" s="569"/>
      <c r="DZ230" s="569"/>
      <c r="EA230" s="569"/>
      <c r="EB230" s="569"/>
      <c r="EC230" s="569"/>
      <c r="ED230" s="569"/>
      <c r="EE230" s="569"/>
      <c r="EF230" s="569"/>
      <c r="EG230" s="569"/>
      <c r="EH230" s="569"/>
      <c r="EI230" s="569"/>
      <c r="EJ230" s="569"/>
      <c r="EK230" s="569"/>
      <c r="EL230" s="569"/>
      <c r="EM230" s="569"/>
      <c r="EN230" s="569"/>
      <c r="EO230" s="569"/>
      <c r="EP230" s="569"/>
      <c r="EQ230" s="569"/>
      <c r="ER230" s="569"/>
      <c r="ES230" s="569"/>
      <c r="ET230" s="569"/>
      <c r="EU230" s="569"/>
      <c r="EV230" s="569"/>
      <c r="EW230" s="569"/>
      <c r="EX230" s="569"/>
      <c r="EY230" s="569"/>
      <c r="EZ230" s="569"/>
      <c r="FA230" s="569"/>
      <c r="FB230" s="569"/>
      <c r="FC230" s="569"/>
      <c r="FD230" s="569"/>
      <c r="FE230" s="569"/>
      <c r="FF230" s="569"/>
      <c r="FG230" s="569"/>
      <c r="FH230" s="569"/>
      <c r="FI230" s="569"/>
      <c r="FJ230" s="569"/>
      <c r="FK230" s="569"/>
      <c r="FL230" s="569"/>
      <c r="FM230" s="569"/>
      <c r="FN230" s="569"/>
      <c r="FO230" s="569"/>
      <c r="FP230" s="569"/>
      <c r="FQ230" s="569"/>
      <c r="FR230" s="569"/>
      <c r="FS230" s="569"/>
      <c r="FT230" s="569"/>
      <c r="FU230" s="569"/>
      <c r="FV230" s="569"/>
      <c r="FW230" s="569"/>
      <c r="FX230" s="569"/>
      <c r="FY230" s="569"/>
      <c r="FZ230" s="569"/>
      <c r="GA230" s="569"/>
      <c r="GB230" s="569"/>
      <c r="GC230" s="569"/>
      <c r="GD230" s="569"/>
      <c r="GE230" s="569"/>
      <c r="GF230" s="569"/>
      <c r="GG230" s="569"/>
      <c r="GH230" s="569"/>
      <c r="GI230" s="569"/>
      <c r="GJ230" s="569"/>
      <c r="GK230" s="569"/>
      <c r="GL230" s="569"/>
      <c r="GM230" s="569"/>
      <c r="GN230" s="569"/>
      <c r="GO230" s="569"/>
      <c r="GP230" s="569"/>
      <c r="GQ230" s="569"/>
      <c r="GR230" s="569"/>
      <c r="GS230" s="569"/>
      <c r="GT230" s="569"/>
    </row>
    <row r="231" spans="2:202" s="554" customFormat="1" ht="18" customHeight="1">
      <c r="B231" s="578"/>
      <c r="C231" s="1149"/>
      <c r="D231" s="1149"/>
      <c r="E231" s="1149"/>
      <c r="F231" s="1149"/>
      <c r="G231" s="1149"/>
      <c r="H231" s="1149"/>
      <c r="I231" s="1149"/>
      <c r="J231" s="1149"/>
      <c r="K231" s="1149"/>
      <c r="L231" s="1149"/>
      <c r="M231" s="578"/>
      <c r="N231" s="578"/>
      <c r="O231" s="578"/>
      <c r="P231" s="578"/>
      <c r="Q231" s="578"/>
      <c r="R231" s="578"/>
      <c r="S231" s="578"/>
      <c r="T231" s="578"/>
      <c r="U231" s="578"/>
      <c r="V231" s="578"/>
      <c r="W231" s="578"/>
      <c r="X231" s="578"/>
      <c r="Y231" s="578"/>
      <c r="Z231" s="578"/>
      <c r="AA231" s="578"/>
      <c r="AB231" s="578"/>
      <c r="AC231" s="578"/>
      <c r="AD231" s="578"/>
      <c r="AE231" s="578"/>
      <c r="AF231" s="578"/>
      <c r="AG231" s="578"/>
      <c r="AH231" s="548"/>
      <c r="AI231" s="548"/>
      <c r="AJ231" s="548"/>
      <c r="AK231" s="548"/>
      <c r="AL231" s="548"/>
      <c r="AM231" s="548"/>
      <c r="AN231" s="548"/>
      <c r="AO231" s="548"/>
      <c r="AP231" s="548"/>
      <c r="AQ231" s="548"/>
      <c r="AR231" s="548"/>
      <c r="AS231" s="548"/>
      <c r="AT231" s="548"/>
      <c r="AU231" s="548"/>
      <c r="AV231" s="548"/>
      <c r="AW231" s="548"/>
      <c r="AX231" s="548"/>
      <c r="AY231" s="548"/>
      <c r="AZ231" s="548"/>
      <c r="BA231" s="548"/>
      <c r="BB231" s="548"/>
      <c r="BC231" s="548"/>
      <c r="BD231" s="569"/>
      <c r="BE231" s="569"/>
      <c r="BF231" s="569"/>
      <c r="BG231" s="569"/>
      <c r="BH231" s="569"/>
      <c r="BI231" s="569"/>
      <c r="BJ231" s="569"/>
      <c r="BK231" s="569"/>
      <c r="BL231" s="569"/>
      <c r="BM231" s="569"/>
      <c r="BN231" s="569"/>
      <c r="BO231" s="569"/>
      <c r="BP231" s="569"/>
      <c r="BQ231" s="569"/>
      <c r="BR231" s="569"/>
      <c r="BS231" s="569"/>
      <c r="BT231" s="569"/>
      <c r="BU231" s="569"/>
      <c r="BV231" s="569"/>
      <c r="BW231" s="569"/>
      <c r="BX231" s="569"/>
      <c r="BY231" s="569"/>
      <c r="BZ231" s="569"/>
      <c r="CA231" s="569"/>
      <c r="CB231" s="569"/>
      <c r="CC231" s="569"/>
      <c r="CD231" s="569"/>
      <c r="CE231" s="569"/>
      <c r="CF231" s="569"/>
      <c r="CG231" s="569"/>
      <c r="CH231" s="569"/>
      <c r="CI231" s="569"/>
      <c r="CJ231" s="569"/>
      <c r="CK231" s="569"/>
      <c r="CL231" s="569"/>
      <c r="CM231" s="569"/>
      <c r="CN231" s="569"/>
      <c r="CO231" s="569"/>
      <c r="CP231" s="569"/>
      <c r="CQ231" s="569"/>
      <c r="CR231" s="569"/>
      <c r="CS231" s="569"/>
      <c r="CT231" s="569"/>
      <c r="CU231" s="569"/>
      <c r="CV231" s="569"/>
      <c r="CW231" s="569"/>
      <c r="CX231" s="569"/>
      <c r="CY231" s="569"/>
      <c r="CZ231" s="569"/>
      <c r="DA231" s="569"/>
      <c r="DB231" s="569"/>
      <c r="DC231" s="569"/>
      <c r="DD231" s="569"/>
      <c r="DE231" s="569"/>
      <c r="DF231" s="569"/>
      <c r="DG231" s="569"/>
      <c r="DH231" s="569"/>
      <c r="DI231" s="569"/>
      <c r="DJ231" s="569"/>
      <c r="DK231" s="569"/>
      <c r="DL231" s="569"/>
      <c r="DM231" s="569"/>
      <c r="DN231" s="569"/>
      <c r="DO231" s="569"/>
      <c r="DP231" s="569"/>
      <c r="DQ231" s="569"/>
      <c r="DR231" s="569"/>
      <c r="DS231" s="569"/>
      <c r="DT231" s="569"/>
      <c r="DU231" s="569"/>
      <c r="DV231" s="569"/>
      <c r="DW231" s="569"/>
      <c r="DX231" s="569"/>
      <c r="DY231" s="569"/>
      <c r="DZ231" s="569"/>
      <c r="EA231" s="569"/>
      <c r="EB231" s="569"/>
      <c r="EC231" s="569"/>
      <c r="ED231" s="569"/>
      <c r="EE231" s="569"/>
      <c r="EF231" s="569"/>
      <c r="EG231" s="569"/>
      <c r="EH231" s="569"/>
      <c r="EI231" s="569"/>
      <c r="EJ231" s="569"/>
      <c r="EK231" s="569"/>
      <c r="EL231" s="569"/>
      <c r="EM231" s="569"/>
      <c r="EN231" s="569"/>
      <c r="EO231" s="569"/>
      <c r="EP231" s="569"/>
      <c r="EQ231" s="569"/>
      <c r="ER231" s="569"/>
      <c r="ES231" s="569"/>
      <c r="ET231" s="569"/>
      <c r="EU231" s="569"/>
      <c r="EV231" s="569"/>
      <c r="EW231" s="569"/>
      <c r="EX231" s="569"/>
      <c r="EY231" s="569"/>
      <c r="EZ231" s="569"/>
      <c r="FA231" s="569"/>
      <c r="FB231" s="569"/>
      <c r="FC231" s="569"/>
      <c r="FD231" s="569"/>
      <c r="FE231" s="569"/>
      <c r="FF231" s="569"/>
      <c r="FG231" s="569"/>
      <c r="FH231" s="569"/>
      <c r="FI231" s="569"/>
      <c r="FJ231" s="569"/>
      <c r="FK231" s="569"/>
      <c r="FL231" s="569"/>
      <c r="FM231" s="569"/>
      <c r="FN231" s="569"/>
      <c r="FO231" s="569"/>
      <c r="FP231" s="569"/>
      <c r="FQ231" s="569"/>
      <c r="FR231" s="569"/>
      <c r="FS231" s="569"/>
      <c r="FT231" s="569"/>
      <c r="FU231" s="569"/>
      <c r="FV231" s="569"/>
      <c r="FW231" s="569"/>
      <c r="FX231" s="569"/>
      <c r="FY231" s="569"/>
      <c r="FZ231" s="569"/>
      <c r="GA231" s="569"/>
      <c r="GB231" s="569"/>
      <c r="GC231" s="569"/>
      <c r="GD231" s="569"/>
      <c r="GE231" s="569"/>
      <c r="GF231" s="569"/>
      <c r="GG231" s="569"/>
      <c r="GH231" s="569"/>
      <c r="GI231" s="569"/>
      <c r="GJ231" s="569"/>
      <c r="GK231" s="569"/>
      <c r="GL231" s="569"/>
      <c r="GM231" s="569"/>
      <c r="GN231" s="569"/>
      <c r="GO231" s="569"/>
      <c r="GP231" s="569"/>
      <c r="GQ231" s="569"/>
      <c r="GR231" s="569"/>
      <c r="GS231" s="569"/>
      <c r="GT231" s="569"/>
    </row>
    <row r="232" spans="2:202" s="554" customFormat="1" ht="18" customHeight="1">
      <c r="B232" s="578"/>
      <c r="C232" s="1149"/>
      <c r="D232" s="1149"/>
      <c r="E232" s="1149"/>
      <c r="F232" s="1149"/>
      <c r="G232" s="1149"/>
      <c r="H232" s="1149"/>
      <c r="I232" s="1149"/>
      <c r="J232" s="1149"/>
      <c r="K232" s="1149"/>
      <c r="L232" s="1149"/>
      <c r="M232" s="578"/>
      <c r="N232" s="578"/>
      <c r="O232" s="578"/>
      <c r="P232" s="578"/>
      <c r="Q232" s="578"/>
      <c r="R232" s="578"/>
      <c r="S232" s="578"/>
      <c r="T232" s="578"/>
      <c r="U232" s="578"/>
      <c r="V232" s="578"/>
      <c r="W232" s="578"/>
      <c r="X232" s="578"/>
      <c r="Y232" s="578"/>
      <c r="Z232" s="578"/>
      <c r="AA232" s="578"/>
      <c r="AB232" s="578"/>
      <c r="AC232" s="578"/>
      <c r="AD232" s="578"/>
      <c r="AE232" s="578"/>
      <c r="AF232" s="578"/>
      <c r="AG232" s="578"/>
      <c r="AH232" s="548"/>
      <c r="AI232" s="548"/>
      <c r="AJ232" s="548"/>
      <c r="AK232" s="548"/>
      <c r="AL232" s="548"/>
      <c r="AM232" s="548"/>
      <c r="AN232" s="548"/>
      <c r="AO232" s="548"/>
      <c r="AP232" s="548"/>
      <c r="AQ232" s="548"/>
      <c r="AR232" s="548"/>
      <c r="AS232" s="548"/>
      <c r="AT232" s="548"/>
      <c r="AU232" s="548"/>
      <c r="AV232" s="548"/>
      <c r="AW232" s="548"/>
      <c r="AX232" s="548"/>
      <c r="AY232" s="548"/>
      <c r="AZ232" s="548"/>
      <c r="BA232" s="548"/>
      <c r="BB232" s="548"/>
      <c r="BC232" s="548"/>
      <c r="BD232" s="569"/>
      <c r="BE232" s="569"/>
      <c r="BF232" s="569"/>
      <c r="BG232" s="569"/>
      <c r="BH232" s="569"/>
      <c r="BI232" s="569"/>
      <c r="BJ232" s="569"/>
      <c r="BK232" s="569"/>
      <c r="BL232" s="569"/>
      <c r="BM232" s="569"/>
      <c r="BN232" s="569"/>
      <c r="BO232" s="569"/>
      <c r="BP232" s="569"/>
      <c r="BQ232" s="569"/>
      <c r="BR232" s="569"/>
      <c r="BS232" s="569"/>
      <c r="BT232" s="569"/>
      <c r="BU232" s="569"/>
      <c r="BV232" s="569"/>
      <c r="BW232" s="569"/>
      <c r="BX232" s="569"/>
      <c r="BY232" s="569"/>
      <c r="BZ232" s="569"/>
      <c r="CA232" s="569"/>
      <c r="CB232" s="569"/>
      <c r="CC232" s="569"/>
      <c r="CD232" s="569"/>
      <c r="CE232" s="569"/>
      <c r="CF232" s="569"/>
      <c r="CG232" s="569"/>
      <c r="CH232" s="569"/>
      <c r="CI232" s="569"/>
      <c r="CJ232" s="569"/>
      <c r="CK232" s="569"/>
      <c r="CL232" s="569"/>
      <c r="CM232" s="569"/>
      <c r="CN232" s="569"/>
      <c r="CO232" s="569"/>
      <c r="CP232" s="569"/>
      <c r="CQ232" s="569"/>
      <c r="CR232" s="569"/>
      <c r="CS232" s="569"/>
      <c r="CT232" s="569"/>
      <c r="CU232" s="569"/>
      <c r="CV232" s="569"/>
      <c r="CW232" s="569"/>
      <c r="CX232" s="569"/>
      <c r="CY232" s="569"/>
      <c r="CZ232" s="569"/>
      <c r="DA232" s="569"/>
      <c r="DB232" s="569"/>
      <c r="DC232" s="569"/>
      <c r="DD232" s="569"/>
      <c r="DE232" s="569"/>
      <c r="DF232" s="569"/>
      <c r="DG232" s="569"/>
      <c r="DH232" s="569"/>
      <c r="DI232" s="569"/>
      <c r="DJ232" s="569"/>
      <c r="DK232" s="569"/>
      <c r="DL232" s="569"/>
      <c r="DM232" s="569"/>
      <c r="DN232" s="569"/>
      <c r="DO232" s="569"/>
      <c r="DP232" s="569"/>
      <c r="DQ232" s="569"/>
      <c r="DR232" s="569"/>
      <c r="DS232" s="569"/>
      <c r="DT232" s="569"/>
      <c r="DU232" s="569"/>
      <c r="DV232" s="569"/>
      <c r="DW232" s="569"/>
      <c r="DX232" s="569"/>
      <c r="DY232" s="569"/>
      <c r="DZ232" s="569"/>
      <c r="EA232" s="569"/>
      <c r="EB232" s="569"/>
      <c r="EC232" s="569"/>
      <c r="ED232" s="569"/>
      <c r="EE232" s="569"/>
      <c r="EF232" s="569"/>
      <c r="EG232" s="569"/>
      <c r="EH232" s="569"/>
      <c r="EI232" s="569"/>
      <c r="EJ232" s="569"/>
      <c r="EK232" s="569"/>
      <c r="EL232" s="569"/>
      <c r="EM232" s="569"/>
      <c r="EN232" s="569"/>
      <c r="EO232" s="569"/>
      <c r="EP232" s="569"/>
      <c r="EQ232" s="569"/>
      <c r="ER232" s="569"/>
      <c r="ES232" s="569"/>
      <c r="ET232" s="569"/>
      <c r="EU232" s="569"/>
      <c r="EV232" s="569"/>
      <c r="EW232" s="569"/>
      <c r="EX232" s="569"/>
      <c r="EY232" s="569"/>
      <c r="EZ232" s="569"/>
      <c r="FA232" s="569"/>
      <c r="FB232" s="569"/>
      <c r="FC232" s="569"/>
      <c r="FD232" s="569"/>
      <c r="FE232" s="569"/>
      <c r="FF232" s="569"/>
      <c r="FG232" s="569"/>
      <c r="FH232" s="569"/>
      <c r="FI232" s="569"/>
      <c r="FJ232" s="569"/>
      <c r="FK232" s="569"/>
      <c r="FL232" s="569"/>
      <c r="FM232" s="569"/>
      <c r="FN232" s="569"/>
      <c r="FO232" s="569"/>
      <c r="FP232" s="569"/>
      <c r="FQ232" s="569"/>
      <c r="FR232" s="569"/>
      <c r="FS232" s="569"/>
      <c r="FT232" s="569"/>
      <c r="FU232" s="569"/>
      <c r="FV232" s="569"/>
      <c r="FW232" s="569"/>
      <c r="FX232" s="569"/>
      <c r="FY232" s="569"/>
      <c r="FZ232" s="569"/>
      <c r="GA232" s="569"/>
      <c r="GB232" s="569"/>
      <c r="GC232" s="569"/>
      <c r="GD232" s="569"/>
      <c r="GE232" s="569"/>
      <c r="GF232" s="569"/>
      <c r="GG232" s="569"/>
      <c r="GH232" s="569"/>
      <c r="GI232" s="569"/>
      <c r="GJ232" s="569"/>
      <c r="GK232" s="569"/>
      <c r="GL232" s="569"/>
      <c r="GM232" s="569"/>
      <c r="GN232" s="569"/>
      <c r="GO232" s="569"/>
      <c r="GP232" s="569"/>
      <c r="GQ232" s="569"/>
      <c r="GR232" s="569"/>
      <c r="GS232" s="569"/>
      <c r="GT232" s="569"/>
    </row>
    <row r="233" spans="2:202" s="554" customFormat="1" ht="18" customHeight="1">
      <c r="B233" s="578"/>
      <c r="C233" s="1149"/>
      <c r="D233" s="1149"/>
      <c r="E233" s="1149"/>
      <c r="F233" s="1149"/>
      <c r="G233" s="1149"/>
      <c r="H233" s="1149"/>
      <c r="I233" s="1149"/>
      <c r="J233" s="1149"/>
      <c r="K233" s="1149"/>
      <c r="L233" s="1149"/>
      <c r="M233" s="578"/>
      <c r="N233" s="578"/>
      <c r="O233" s="578"/>
      <c r="P233" s="578"/>
      <c r="Q233" s="578"/>
      <c r="R233" s="578"/>
      <c r="S233" s="578"/>
      <c r="T233" s="578"/>
      <c r="U233" s="578"/>
      <c r="V233" s="578"/>
      <c r="W233" s="578"/>
      <c r="X233" s="578"/>
      <c r="Y233" s="578"/>
      <c r="Z233" s="578"/>
      <c r="AA233" s="578"/>
      <c r="AB233" s="578"/>
      <c r="AC233" s="578"/>
      <c r="AD233" s="578"/>
      <c r="AE233" s="578"/>
      <c r="AF233" s="578"/>
      <c r="AG233" s="578"/>
      <c r="AH233" s="548"/>
      <c r="AI233" s="548"/>
      <c r="AJ233" s="548"/>
      <c r="AK233" s="548"/>
      <c r="AL233" s="548"/>
      <c r="AM233" s="548"/>
      <c r="AN233" s="548"/>
      <c r="AO233" s="548"/>
      <c r="AP233" s="548"/>
      <c r="AQ233" s="548"/>
      <c r="AR233" s="548"/>
      <c r="AS233" s="548"/>
      <c r="AT233" s="548"/>
      <c r="AU233" s="548"/>
      <c r="AV233" s="548"/>
      <c r="AW233" s="548"/>
      <c r="AX233" s="548"/>
      <c r="AY233" s="548"/>
      <c r="AZ233" s="548"/>
      <c r="BA233" s="548"/>
      <c r="BB233" s="548"/>
      <c r="BC233" s="548"/>
      <c r="BD233" s="569"/>
      <c r="BE233" s="569"/>
      <c r="BF233" s="569"/>
      <c r="BG233" s="569"/>
      <c r="BH233" s="569"/>
      <c r="BI233" s="569"/>
      <c r="BJ233" s="569"/>
      <c r="BK233" s="569"/>
      <c r="BL233" s="569"/>
      <c r="BM233" s="569"/>
      <c r="BN233" s="569"/>
      <c r="BO233" s="569"/>
      <c r="BP233" s="569"/>
      <c r="BQ233" s="569"/>
      <c r="BR233" s="569"/>
      <c r="BS233" s="569"/>
      <c r="BT233" s="569"/>
      <c r="BU233" s="569"/>
      <c r="BV233" s="569"/>
      <c r="BW233" s="569"/>
      <c r="BX233" s="569"/>
      <c r="BY233" s="569"/>
      <c r="BZ233" s="569"/>
      <c r="CA233" s="569"/>
      <c r="CB233" s="569"/>
      <c r="CC233" s="569"/>
      <c r="CD233" s="569"/>
      <c r="CE233" s="569"/>
      <c r="CF233" s="569"/>
      <c r="CG233" s="569"/>
      <c r="CH233" s="569"/>
      <c r="CI233" s="569"/>
      <c r="CJ233" s="569"/>
      <c r="CK233" s="569"/>
      <c r="CL233" s="569"/>
      <c r="CM233" s="569"/>
      <c r="CN233" s="569"/>
      <c r="CO233" s="569"/>
      <c r="CP233" s="569"/>
      <c r="CQ233" s="569"/>
      <c r="CR233" s="569"/>
      <c r="CS233" s="569"/>
      <c r="CT233" s="569"/>
      <c r="CU233" s="569"/>
      <c r="CV233" s="569"/>
      <c r="CW233" s="569"/>
      <c r="CX233" s="569"/>
      <c r="CY233" s="569"/>
      <c r="CZ233" s="569"/>
      <c r="DA233" s="569"/>
      <c r="DB233" s="569"/>
      <c r="DC233" s="569"/>
      <c r="DD233" s="569"/>
      <c r="DE233" s="569"/>
      <c r="DF233" s="569"/>
      <c r="DG233" s="569"/>
      <c r="DH233" s="569"/>
      <c r="DI233" s="569"/>
      <c r="DJ233" s="569"/>
      <c r="DK233" s="569"/>
      <c r="DL233" s="569"/>
      <c r="DM233" s="569"/>
      <c r="DN233" s="569"/>
      <c r="DO233" s="569"/>
      <c r="DP233" s="569"/>
      <c r="DQ233" s="569"/>
      <c r="DR233" s="569"/>
      <c r="DS233" s="569"/>
      <c r="DT233" s="569"/>
      <c r="DU233" s="569"/>
      <c r="DV233" s="569"/>
      <c r="DW233" s="569"/>
      <c r="DX233" s="569"/>
      <c r="DY233" s="569"/>
      <c r="DZ233" s="569"/>
      <c r="EA233" s="569"/>
      <c r="EB233" s="569"/>
      <c r="EC233" s="569"/>
      <c r="ED233" s="569"/>
      <c r="EE233" s="569"/>
      <c r="EF233" s="569"/>
      <c r="EG233" s="569"/>
      <c r="EH233" s="569"/>
      <c r="EI233" s="569"/>
      <c r="EJ233" s="569"/>
      <c r="EK233" s="569"/>
      <c r="EL233" s="569"/>
      <c r="EM233" s="569"/>
      <c r="EN233" s="569"/>
      <c r="EO233" s="569"/>
      <c r="EP233" s="569"/>
      <c r="EQ233" s="569"/>
      <c r="ER233" s="569"/>
      <c r="ES233" s="569"/>
      <c r="ET233" s="569"/>
      <c r="EU233" s="569"/>
      <c r="EV233" s="569"/>
      <c r="EW233" s="569"/>
      <c r="EX233" s="569"/>
      <c r="EY233" s="569"/>
      <c r="EZ233" s="569"/>
      <c r="FA233" s="569"/>
      <c r="FB233" s="569"/>
      <c r="FC233" s="569"/>
      <c r="FD233" s="569"/>
      <c r="FE233" s="569"/>
      <c r="FF233" s="569"/>
      <c r="FG233" s="569"/>
      <c r="FH233" s="569"/>
      <c r="FI233" s="569"/>
      <c r="FJ233" s="569"/>
      <c r="FK233" s="569"/>
      <c r="FL233" s="569"/>
      <c r="FM233" s="569"/>
      <c r="FN233" s="569"/>
      <c r="FO233" s="569"/>
      <c r="FP233" s="569"/>
      <c r="FQ233" s="569"/>
      <c r="FR233" s="569"/>
      <c r="FS233" s="569"/>
      <c r="FT233" s="569"/>
      <c r="FU233" s="569"/>
      <c r="FV233" s="569"/>
      <c r="FW233" s="569"/>
      <c r="FX233" s="569"/>
      <c r="FY233" s="569"/>
      <c r="FZ233" s="569"/>
      <c r="GA233" s="569"/>
      <c r="GB233" s="569"/>
      <c r="GC233" s="569"/>
      <c r="GD233" s="569"/>
      <c r="GE233" s="569"/>
      <c r="GF233" s="569"/>
      <c r="GG233" s="569"/>
      <c r="GH233" s="569"/>
      <c r="GI233" s="569"/>
      <c r="GJ233" s="569"/>
      <c r="GK233" s="569"/>
      <c r="GL233" s="569"/>
      <c r="GM233" s="569"/>
      <c r="GN233" s="569"/>
      <c r="GO233" s="569"/>
      <c r="GP233" s="569"/>
      <c r="GQ233" s="569"/>
      <c r="GR233" s="569"/>
      <c r="GS233" s="569"/>
      <c r="GT233" s="569"/>
    </row>
    <row r="234" spans="2:202" s="554" customFormat="1" ht="18" customHeight="1">
      <c r="B234" s="578"/>
      <c r="C234" s="1149"/>
      <c r="D234" s="1149"/>
      <c r="E234" s="1149"/>
      <c r="F234" s="1149"/>
      <c r="G234" s="1149"/>
      <c r="H234" s="1149"/>
      <c r="I234" s="1149"/>
      <c r="J234" s="1149"/>
      <c r="K234" s="1149"/>
      <c r="L234" s="1149"/>
      <c r="M234" s="578"/>
      <c r="N234" s="578"/>
      <c r="O234" s="578"/>
      <c r="P234" s="578"/>
      <c r="Q234" s="578"/>
      <c r="R234" s="578"/>
      <c r="S234" s="578"/>
      <c r="T234" s="578"/>
      <c r="U234" s="578"/>
      <c r="V234" s="578"/>
      <c r="W234" s="578"/>
      <c r="X234" s="578"/>
      <c r="Y234" s="578"/>
      <c r="Z234" s="578"/>
      <c r="AA234" s="578"/>
      <c r="AB234" s="578"/>
      <c r="AC234" s="578"/>
      <c r="AD234" s="578"/>
      <c r="AE234" s="578"/>
      <c r="AF234" s="578"/>
      <c r="AG234" s="578"/>
      <c r="AH234" s="548"/>
      <c r="AI234" s="548"/>
      <c r="AJ234" s="548"/>
      <c r="AK234" s="548"/>
      <c r="AL234" s="548"/>
      <c r="AM234" s="548"/>
      <c r="AN234" s="548"/>
      <c r="AO234" s="548"/>
      <c r="AP234" s="548"/>
      <c r="AQ234" s="548"/>
      <c r="AR234" s="548"/>
      <c r="AS234" s="548"/>
      <c r="AT234" s="548"/>
      <c r="AU234" s="548"/>
      <c r="AV234" s="548"/>
      <c r="AW234" s="548"/>
      <c r="AX234" s="548"/>
      <c r="AY234" s="548"/>
      <c r="AZ234" s="548"/>
      <c r="BA234" s="548"/>
      <c r="BB234" s="548"/>
      <c r="BC234" s="548"/>
      <c r="BD234" s="569"/>
      <c r="BE234" s="569"/>
      <c r="BF234" s="569"/>
      <c r="BG234" s="569"/>
      <c r="BH234" s="569"/>
      <c r="BI234" s="569"/>
      <c r="BJ234" s="569"/>
      <c r="BK234" s="569"/>
      <c r="BL234" s="569"/>
      <c r="BM234" s="569"/>
      <c r="BN234" s="569"/>
      <c r="BO234" s="569"/>
      <c r="BP234" s="569"/>
      <c r="BQ234" s="569"/>
      <c r="BR234" s="569"/>
      <c r="BS234" s="569"/>
      <c r="BT234" s="569"/>
      <c r="BU234" s="569"/>
      <c r="BV234" s="569"/>
      <c r="BW234" s="569"/>
      <c r="BX234" s="569"/>
      <c r="BY234" s="569"/>
      <c r="BZ234" s="569"/>
      <c r="CA234" s="569"/>
      <c r="CB234" s="569"/>
      <c r="CC234" s="569"/>
      <c r="CD234" s="569"/>
      <c r="CE234" s="569"/>
      <c r="CF234" s="569"/>
      <c r="CG234" s="569"/>
      <c r="CH234" s="569"/>
      <c r="CI234" s="569"/>
      <c r="CJ234" s="569"/>
      <c r="CK234" s="569"/>
      <c r="CL234" s="569"/>
      <c r="CM234" s="569"/>
      <c r="CN234" s="569"/>
      <c r="CO234" s="569"/>
      <c r="CP234" s="569"/>
      <c r="CQ234" s="569"/>
      <c r="CR234" s="569"/>
      <c r="CS234" s="569"/>
      <c r="CT234" s="569"/>
      <c r="CU234" s="569"/>
      <c r="CV234" s="569"/>
      <c r="CW234" s="569"/>
      <c r="CX234" s="569"/>
      <c r="CY234" s="569"/>
      <c r="CZ234" s="569"/>
      <c r="DA234" s="569"/>
      <c r="DB234" s="569"/>
      <c r="DC234" s="569"/>
      <c r="DD234" s="569"/>
      <c r="DE234" s="569"/>
      <c r="DF234" s="569"/>
      <c r="DG234" s="569"/>
      <c r="DH234" s="569"/>
      <c r="DI234" s="569"/>
      <c r="DJ234" s="569"/>
      <c r="DK234" s="569"/>
      <c r="DL234" s="569"/>
      <c r="DM234" s="569"/>
      <c r="DN234" s="569"/>
      <c r="DO234" s="569"/>
      <c r="DP234" s="569"/>
      <c r="DQ234" s="569"/>
      <c r="DR234" s="569"/>
      <c r="DS234" s="569"/>
      <c r="DT234" s="569"/>
      <c r="DU234" s="569"/>
      <c r="DV234" s="569"/>
      <c r="DW234" s="569"/>
      <c r="DX234" s="569"/>
      <c r="DY234" s="569"/>
      <c r="DZ234" s="569"/>
      <c r="EA234" s="569"/>
      <c r="EB234" s="569"/>
      <c r="EC234" s="569"/>
      <c r="ED234" s="569"/>
      <c r="EE234" s="569"/>
      <c r="EF234" s="569"/>
      <c r="EG234" s="569"/>
      <c r="EH234" s="569"/>
      <c r="EI234" s="569"/>
      <c r="EJ234" s="569"/>
      <c r="EK234" s="569"/>
      <c r="EL234" s="569"/>
      <c r="EM234" s="569"/>
      <c r="EN234" s="569"/>
      <c r="EO234" s="569"/>
      <c r="EP234" s="569"/>
      <c r="EQ234" s="569"/>
      <c r="ER234" s="569"/>
      <c r="ES234" s="569"/>
      <c r="ET234" s="569"/>
      <c r="EU234" s="569"/>
      <c r="EV234" s="569"/>
      <c r="EW234" s="569"/>
      <c r="EX234" s="569"/>
      <c r="EY234" s="569"/>
      <c r="EZ234" s="569"/>
      <c r="FA234" s="569"/>
      <c r="FB234" s="569"/>
      <c r="FC234" s="569"/>
      <c r="FD234" s="569"/>
      <c r="FE234" s="569"/>
      <c r="FF234" s="569"/>
      <c r="FG234" s="569"/>
      <c r="FH234" s="569"/>
      <c r="FI234" s="569"/>
      <c r="FJ234" s="569"/>
      <c r="FK234" s="569"/>
      <c r="FL234" s="569"/>
      <c r="FM234" s="569"/>
      <c r="FN234" s="569"/>
      <c r="FO234" s="569"/>
      <c r="FP234" s="569"/>
      <c r="FQ234" s="569"/>
      <c r="FR234" s="569"/>
      <c r="FS234" s="569"/>
      <c r="FT234" s="569"/>
      <c r="FU234" s="569"/>
      <c r="FV234" s="569"/>
      <c r="FW234" s="569"/>
      <c r="FX234" s="569"/>
      <c r="FY234" s="569"/>
      <c r="FZ234" s="569"/>
      <c r="GA234" s="569"/>
      <c r="GB234" s="569"/>
      <c r="GC234" s="569"/>
      <c r="GD234" s="569"/>
      <c r="GE234" s="569"/>
      <c r="GF234" s="569"/>
      <c r="GG234" s="569"/>
      <c r="GH234" s="569"/>
      <c r="GI234" s="569"/>
      <c r="GJ234" s="569"/>
      <c r="GK234" s="569"/>
      <c r="GL234" s="569"/>
      <c r="GM234" s="569"/>
      <c r="GN234" s="569"/>
      <c r="GO234" s="569"/>
      <c r="GP234" s="569"/>
      <c r="GQ234" s="569"/>
      <c r="GR234" s="569"/>
      <c r="GS234" s="569"/>
      <c r="GT234" s="569"/>
    </row>
    <row r="235" spans="2:202" s="554" customFormat="1" ht="18" customHeight="1">
      <c r="B235" s="578"/>
      <c r="C235" s="1149"/>
      <c r="D235" s="1149"/>
      <c r="E235" s="1149"/>
      <c r="F235" s="1149"/>
      <c r="G235" s="1149"/>
      <c r="H235" s="1149"/>
      <c r="I235" s="1149"/>
      <c r="J235" s="1149"/>
      <c r="K235" s="1149"/>
      <c r="L235" s="1149"/>
      <c r="M235" s="578"/>
      <c r="N235" s="578"/>
      <c r="O235" s="578"/>
      <c r="P235" s="578"/>
      <c r="Q235" s="578"/>
      <c r="R235" s="578"/>
      <c r="S235" s="578"/>
      <c r="T235" s="578"/>
      <c r="U235" s="578"/>
      <c r="V235" s="578"/>
      <c r="W235" s="578"/>
      <c r="X235" s="578"/>
      <c r="Y235" s="578"/>
      <c r="Z235" s="578"/>
      <c r="AA235" s="578"/>
      <c r="AB235" s="578"/>
      <c r="AC235" s="578"/>
      <c r="AD235" s="578"/>
      <c r="AE235" s="578"/>
      <c r="AF235" s="578"/>
      <c r="AG235" s="578"/>
      <c r="AH235" s="548"/>
      <c r="AI235" s="548"/>
      <c r="AJ235" s="548"/>
      <c r="AK235" s="548"/>
      <c r="AL235" s="548"/>
      <c r="AM235" s="548"/>
      <c r="AN235" s="548"/>
      <c r="AO235" s="548"/>
      <c r="AP235" s="548"/>
      <c r="AQ235" s="548"/>
      <c r="AR235" s="548"/>
      <c r="AS235" s="548"/>
      <c r="AT235" s="548"/>
      <c r="AU235" s="548"/>
      <c r="AV235" s="548"/>
      <c r="AW235" s="548"/>
      <c r="AX235" s="548"/>
      <c r="AY235" s="548"/>
      <c r="AZ235" s="548"/>
      <c r="BA235" s="548"/>
      <c r="BB235" s="548"/>
      <c r="BC235" s="548"/>
      <c r="BD235" s="569"/>
      <c r="BE235" s="569"/>
      <c r="BF235" s="569"/>
      <c r="BG235" s="569"/>
      <c r="BH235" s="569"/>
      <c r="BI235" s="569"/>
      <c r="BJ235" s="569"/>
      <c r="BK235" s="569"/>
      <c r="BL235" s="569"/>
      <c r="BM235" s="569"/>
      <c r="BN235" s="569"/>
      <c r="BO235" s="569"/>
      <c r="BP235" s="569"/>
      <c r="BQ235" s="569"/>
      <c r="BR235" s="569"/>
      <c r="BS235" s="569"/>
      <c r="BT235" s="569"/>
      <c r="BU235" s="569"/>
      <c r="BV235" s="569"/>
      <c r="BW235" s="569"/>
      <c r="BX235" s="569"/>
      <c r="BY235" s="569"/>
      <c r="BZ235" s="569"/>
      <c r="CA235" s="569"/>
      <c r="CB235" s="569"/>
      <c r="CC235" s="569"/>
      <c r="CD235" s="569"/>
      <c r="CE235" s="569"/>
      <c r="CF235" s="569"/>
      <c r="CG235" s="569"/>
      <c r="CH235" s="569"/>
      <c r="CI235" s="569"/>
      <c r="CJ235" s="569"/>
      <c r="CK235" s="569"/>
      <c r="CL235" s="569"/>
      <c r="CM235" s="569"/>
      <c r="CN235" s="569"/>
      <c r="CO235" s="569"/>
      <c r="CP235" s="569"/>
      <c r="CQ235" s="569"/>
      <c r="CR235" s="569"/>
      <c r="CS235" s="569"/>
      <c r="CT235" s="569"/>
      <c r="CU235" s="569"/>
      <c r="CV235" s="569"/>
      <c r="CW235" s="569"/>
      <c r="CX235" s="569"/>
      <c r="CY235" s="569"/>
      <c r="CZ235" s="569"/>
      <c r="DA235" s="569"/>
      <c r="DB235" s="569"/>
      <c r="DC235" s="569"/>
      <c r="DD235" s="569"/>
      <c r="DE235" s="569"/>
      <c r="DF235" s="569"/>
      <c r="DG235" s="569"/>
      <c r="DH235" s="569"/>
      <c r="DI235" s="569"/>
      <c r="DJ235" s="569"/>
      <c r="DK235" s="569"/>
      <c r="DL235" s="569"/>
      <c r="DM235" s="569"/>
      <c r="DN235" s="569"/>
      <c r="DO235" s="569"/>
      <c r="DP235" s="569"/>
      <c r="DQ235" s="569"/>
      <c r="DR235" s="569"/>
      <c r="DS235" s="569"/>
      <c r="DT235" s="569"/>
      <c r="DU235" s="569"/>
      <c r="DV235" s="569"/>
      <c r="DW235" s="569"/>
      <c r="DX235" s="569"/>
      <c r="DY235" s="569"/>
      <c r="DZ235" s="569"/>
      <c r="EA235" s="569"/>
      <c r="EB235" s="569"/>
      <c r="EC235" s="569"/>
      <c r="ED235" s="569"/>
      <c r="EE235" s="569"/>
      <c r="EF235" s="569"/>
      <c r="EG235" s="569"/>
      <c r="EH235" s="569"/>
      <c r="EI235" s="569"/>
      <c r="EJ235" s="569"/>
      <c r="EK235" s="569"/>
      <c r="EL235" s="569"/>
      <c r="EM235" s="569"/>
      <c r="EN235" s="569"/>
      <c r="EO235" s="569"/>
      <c r="EP235" s="569"/>
      <c r="EQ235" s="569"/>
      <c r="ER235" s="569"/>
      <c r="ES235" s="569"/>
      <c r="ET235" s="569"/>
      <c r="EU235" s="569"/>
      <c r="EV235" s="569"/>
      <c r="EW235" s="569"/>
      <c r="EX235" s="569"/>
      <c r="EY235" s="569"/>
      <c r="EZ235" s="569"/>
      <c r="FA235" s="569"/>
      <c r="FB235" s="569"/>
      <c r="FC235" s="569"/>
      <c r="FD235" s="569"/>
      <c r="FE235" s="569"/>
      <c r="FF235" s="569"/>
      <c r="FG235" s="569"/>
      <c r="FH235" s="569"/>
      <c r="FI235" s="569"/>
      <c r="FJ235" s="569"/>
      <c r="FK235" s="569"/>
      <c r="FL235" s="569"/>
      <c r="FM235" s="569"/>
      <c r="FN235" s="569"/>
      <c r="FO235" s="569"/>
      <c r="FP235" s="569"/>
      <c r="FQ235" s="569"/>
      <c r="FR235" s="569"/>
      <c r="FS235" s="569"/>
      <c r="FT235" s="569"/>
      <c r="FU235" s="569"/>
      <c r="FV235" s="569"/>
      <c r="FW235" s="569"/>
      <c r="FX235" s="569"/>
      <c r="FY235" s="569"/>
      <c r="FZ235" s="569"/>
      <c r="GA235" s="569"/>
      <c r="GB235" s="569"/>
      <c r="GC235" s="569"/>
      <c r="GD235" s="569"/>
      <c r="GE235" s="569"/>
      <c r="GF235" s="569"/>
      <c r="GG235" s="569"/>
      <c r="GH235" s="569"/>
      <c r="GI235" s="569"/>
      <c r="GJ235" s="569"/>
      <c r="GK235" s="569"/>
      <c r="GL235" s="569"/>
      <c r="GM235" s="569"/>
      <c r="GN235" s="569"/>
      <c r="GO235" s="569"/>
      <c r="GP235" s="569"/>
      <c r="GQ235" s="569"/>
      <c r="GR235" s="569"/>
      <c r="GS235" s="569"/>
      <c r="GT235" s="569"/>
    </row>
    <row r="236" spans="2:202" s="554" customFormat="1" ht="18" customHeight="1">
      <c r="B236" s="578"/>
      <c r="C236" s="1149"/>
      <c r="D236" s="1149"/>
      <c r="E236" s="1149"/>
      <c r="F236" s="1149"/>
      <c r="G236" s="1149"/>
      <c r="H236" s="1149"/>
      <c r="I236" s="1149"/>
      <c r="J236" s="1149"/>
      <c r="K236" s="1149"/>
      <c r="L236" s="1149"/>
      <c r="M236" s="578"/>
      <c r="N236" s="578"/>
      <c r="O236" s="578"/>
      <c r="P236" s="578"/>
      <c r="Q236" s="578"/>
      <c r="R236" s="578"/>
      <c r="S236" s="578"/>
      <c r="T236" s="578"/>
      <c r="U236" s="578"/>
      <c r="V236" s="578"/>
      <c r="W236" s="578"/>
      <c r="X236" s="578"/>
      <c r="Y236" s="578"/>
      <c r="Z236" s="578"/>
      <c r="AA236" s="578"/>
      <c r="AB236" s="578"/>
      <c r="AC236" s="578"/>
      <c r="AD236" s="578"/>
      <c r="AE236" s="578"/>
      <c r="AF236" s="578"/>
      <c r="AG236" s="578"/>
      <c r="AH236" s="548"/>
      <c r="AI236" s="548"/>
      <c r="AJ236" s="548"/>
      <c r="AK236" s="548"/>
      <c r="AL236" s="548"/>
      <c r="AM236" s="548"/>
      <c r="AN236" s="548"/>
      <c r="AO236" s="548"/>
      <c r="AP236" s="548"/>
      <c r="AQ236" s="548"/>
      <c r="AR236" s="548"/>
      <c r="AS236" s="548"/>
      <c r="AT236" s="548"/>
      <c r="AU236" s="548"/>
      <c r="AV236" s="548"/>
      <c r="AW236" s="548"/>
      <c r="AX236" s="548"/>
      <c r="AY236" s="548"/>
      <c r="AZ236" s="548"/>
      <c r="BA236" s="548"/>
      <c r="BB236" s="548"/>
      <c r="BC236" s="548"/>
      <c r="BD236" s="569"/>
      <c r="BE236" s="569"/>
      <c r="BF236" s="569"/>
      <c r="BG236" s="569"/>
      <c r="BH236" s="569"/>
      <c r="BI236" s="569"/>
      <c r="BJ236" s="569"/>
      <c r="BK236" s="569"/>
      <c r="BL236" s="569"/>
      <c r="BM236" s="569"/>
      <c r="BN236" s="569"/>
      <c r="BO236" s="569"/>
      <c r="BP236" s="569"/>
      <c r="BQ236" s="569"/>
      <c r="BR236" s="569"/>
      <c r="BS236" s="569"/>
      <c r="BT236" s="569"/>
      <c r="BU236" s="569"/>
      <c r="BV236" s="569"/>
      <c r="BW236" s="569"/>
      <c r="BX236" s="569"/>
      <c r="BY236" s="569"/>
      <c r="BZ236" s="569"/>
      <c r="CA236" s="569"/>
      <c r="CB236" s="569"/>
      <c r="CC236" s="569"/>
      <c r="CD236" s="569"/>
      <c r="CE236" s="569"/>
      <c r="CF236" s="569"/>
      <c r="CG236" s="569"/>
      <c r="CH236" s="569"/>
      <c r="CI236" s="569"/>
      <c r="CJ236" s="569"/>
      <c r="CK236" s="569"/>
      <c r="CL236" s="569"/>
      <c r="CM236" s="569"/>
      <c r="CN236" s="569"/>
      <c r="CO236" s="569"/>
      <c r="CP236" s="569"/>
      <c r="CQ236" s="569"/>
      <c r="CR236" s="569"/>
      <c r="CS236" s="569"/>
      <c r="CT236" s="569"/>
      <c r="CU236" s="569"/>
      <c r="CV236" s="569"/>
      <c r="CW236" s="569"/>
      <c r="CX236" s="569"/>
      <c r="CY236" s="569"/>
      <c r="CZ236" s="569"/>
      <c r="DA236" s="569"/>
      <c r="DB236" s="569"/>
      <c r="DC236" s="569"/>
      <c r="DD236" s="569"/>
      <c r="DE236" s="569"/>
      <c r="DF236" s="569"/>
      <c r="DG236" s="569"/>
      <c r="DH236" s="569"/>
      <c r="DI236" s="569"/>
      <c r="DJ236" s="569"/>
      <c r="DK236" s="569"/>
      <c r="DL236" s="569"/>
      <c r="DM236" s="569"/>
      <c r="DN236" s="569"/>
      <c r="DO236" s="569"/>
      <c r="DP236" s="569"/>
      <c r="DQ236" s="569"/>
      <c r="DR236" s="569"/>
      <c r="DS236" s="569"/>
      <c r="DT236" s="569"/>
      <c r="DU236" s="569"/>
      <c r="DV236" s="569"/>
      <c r="DW236" s="569"/>
      <c r="DX236" s="569"/>
      <c r="DY236" s="569"/>
      <c r="DZ236" s="569"/>
      <c r="EA236" s="569"/>
      <c r="EB236" s="569"/>
      <c r="EC236" s="569"/>
      <c r="ED236" s="569"/>
      <c r="EE236" s="569"/>
      <c r="EF236" s="569"/>
      <c r="EG236" s="569"/>
      <c r="EH236" s="569"/>
      <c r="EI236" s="569"/>
      <c r="EJ236" s="569"/>
      <c r="EK236" s="569"/>
      <c r="EL236" s="569"/>
      <c r="EM236" s="569"/>
      <c r="EN236" s="569"/>
      <c r="EO236" s="569"/>
      <c r="EP236" s="569"/>
      <c r="EQ236" s="569"/>
      <c r="ER236" s="569"/>
      <c r="ES236" s="569"/>
      <c r="ET236" s="569"/>
      <c r="EU236" s="569"/>
      <c r="EV236" s="569"/>
      <c r="EW236" s="569"/>
      <c r="EX236" s="569"/>
      <c r="EY236" s="569"/>
      <c r="EZ236" s="569"/>
      <c r="FA236" s="569"/>
      <c r="FB236" s="569"/>
      <c r="FC236" s="569"/>
      <c r="FD236" s="569"/>
      <c r="FE236" s="569"/>
      <c r="FF236" s="569"/>
      <c r="FG236" s="569"/>
      <c r="FH236" s="569"/>
      <c r="FI236" s="569"/>
      <c r="FJ236" s="569"/>
      <c r="FK236" s="569"/>
      <c r="FL236" s="569"/>
      <c r="FM236" s="569"/>
      <c r="FN236" s="569"/>
      <c r="FO236" s="569"/>
      <c r="FP236" s="569"/>
      <c r="FQ236" s="569"/>
      <c r="FR236" s="569"/>
      <c r="FS236" s="569"/>
      <c r="FT236" s="569"/>
      <c r="FU236" s="569"/>
      <c r="FV236" s="569"/>
      <c r="FW236" s="569"/>
      <c r="FX236" s="569"/>
      <c r="FY236" s="569"/>
      <c r="FZ236" s="569"/>
      <c r="GA236" s="569"/>
      <c r="GB236" s="569"/>
      <c r="GC236" s="569"/>
      <c r="GD236" s="569"/>
      <c r="GE236" s="569"/>
      <c r="GF236" s="569"/>
      <c r="GG236" s="569"/>
      <c r="GH236" s="569"/>
      <c r="GI236" s="569"/>
      <c r="GJ236" s="569"/>
      <c r="GK236" s="569"/>
      <c r="GL236" s="569"/>
      <c r="GM236" s="569"/>
      <c r="GN236" s="569"/>
      <c r="GO236" s="569"/>
      <c r="GP236" s="569"/>
      <c r="GQ236" s="569"/>
      <c r="GR236" s="569"/>
      <c r="GS236" s="569"/>
      <c r="GT236" s="569"/>
    </row>
    <row r="237" spans="2:202" s="554" customFormat="1" ht="18" customHeight="1">
      <c r="B237" s="578"/>
      <c r="C237" s="1149"/>
      <c r="D237" s="1149"/>
      <c r="E237" s="1149"/>
      <c r="F237" s="1149"/>
      <c r="G237" s="1149"/>
      <c r="H237" s="1149"/>
      <c r="I237" s="1149"/>
      <c r="J237" s="1149"/>
      <c r="K237" s="1149"/>
      <c r="L237" s="1149"/>
      <c r="M237" s="578"/>
      <c r="N237" s="578"/>
      <c r="O237" s="578"/>
      <c r="P237" s="578"/>
      <c r="Q237" s="578"/>
      <c r="R237" s="578"/>
      <c r="S237" s="578"/>
      <c r="T237" s="578"/>
      <c r="U237" s="578"/>
      <c r="V237" s="578"/>
      <c r="W237" s="578"/>
      <c r="X237" s="578"/>
      <c r="Y237" s="578"/>
      <c r="Z237" s="578"/>
      <c r="AA237" s="578"/>
      <c r="AB237" s="578"/>
      <c r="AC237" s="578"/>
      <c r="AD237" s="578"/>
      <c r="AE237" s="578"/>
      <c r="AF237" s="578"/>
      <c r="AG237" s="578"/>
      <c r="AH237" s="548"/>
      <c r="AI237" s="548"/>
      <c r="AJ237" s="548"/>
      <c r="AK237" s="548"/>
      <c r="AL237" s="548"/>
      <c r="AM237" s="548"/>
      <c r="AN237" s="548"/>
      <c r="AO237" s="548"/>
      <c r="AP237" s="548"/>
      <c r="AQ237" s="548"/>
      <c r="AR237" s="548"/>
      <c r="AS237" s="548"/>
      <c r="AT237" s="548"/>
      <c r="AU237" s="548"/>
      <c r="AV237" s="548"/>
      <c r="AW237" s="548"/>
      <c r="AX237" s="548"/>
      <c r="AY237" s="548"/>
      <c r="AZ237" s="548"/>
      <c r="BA237" s="548"/>
      <c r="BB237" s="548"/>
      <c r="BC237" s="548"/>
      <c r="BD237" s="569"/>
      <c r="BE237" s="569"/>
      <c r="BF237" s="569"/>
      <c r="BG237" s="569"/>
      <c r="BH237" s="569"/>
      <c r="BI237" s="569"/>
      <c r="BJ237" s="569"/>
      <c r="BK237" s="569"/>
      <c r="BL237" s="569"/>
      <c r="BM237" s="569"/>
      <c r="BN237" s="569"/>
      <c r="BO237" s="569"/>
      <c r="BP237" s="569"/>
      <c r="BQ237" s="569"/>
      <c r="BR237" s="569"/>
      <c r="BS237" s="569"/>
      <c r="BT237" s="569"/>
      <c r="BU237" s="569"/>
      <c r="BV237" s="569"/>
      <c r="BW237" s="569"/>
      <c r="BX237" s="569"/>
      <c r="BY237" s="569"/>
      <c r="BZ237" s="569"/>
      <c r="CA237" s="569"/>
      <c r="CB237" s="569"/>
      <c r="CC237" s="569"/>
      <c r="CD237" s="569"/>
      <c r="CE237" s="569"/>
      <c r="CF237" s="569"/>
      <c r="CG237" s="569"/>
      <c r="CH237" s="569"/>
      <c r="CI237" s="569"/>
      <c r="CJ237" s="569"/>
      <c r="CK237" s="569"/>
      <c r="CL237" s="569"/>
      <c r="CM237" s="569"/>
      <c r="CN237" s="569"/>
      <c r="CO237" s="569"/>
      <c r="CP237" s="569"/>
      <c r="CQ237" s="569"/>
      <c r="CR237" s="569"/>
      <c r="CS237" s="569"/>
      <c r="CT237" s="569"/>
      <c r="CU237" s="569"/>
      <c r="CV237" s="569"/>
      <c r="CW237" s="569"/>
      <c r="CX237" s="569"/>
      <c r="CY237" s="569"/>
      <c r="CZ237" s="569"/>
      <c r="DA237" s="569"/>
      <c r="DB237" s="569"/>
      <c r="DC237" s="569"/>
      <c r="DD237" s="569"/>
      <c r="DE237" s="569"/>
      <c r="DF237" s="569"/>
      <c r="DG237" s="569"/>
      <c r="DH237" s="569"/>
      <c r="DI237" s="569"/>
      <c r="DJ237" s="569"/>
      <c r="DK237" s="569"/>
      <c r="DL237" s="569"/>
      <c r="DM237" s="569"/>
      <c r="DN237" s="569"/>
      <c r="DO237" s="569"/>
      <c r="DP237" s="569"/>
      <c r="DQ237" s="569"/>
      <c r="DR237" s="569"/>
      <c r="DS237" s="569"/>
      <c r="DT237" s="569"/>
      <c r="DU237" s="569"/>
      <c r="DV237" s="569"/>
      <c r="DW237" s="569"/>
      <c r="DX237" s="569"/>
      <c r="DY237" s="569"/>
      <c r="DZ237" s="569"/>
      <c r="EA237" s="569"/>
      <c r="EB237" s="569"/>
      <c r="EC237" s="569"/>
      <c r="ED237" s="569"/>
      <c r="EE237" s="569"/>
      <c r="EF237" s="569"/>
      <c r="EG237" s="569"/>
      <c r="EH237" s="569"/>
      <c r="EI237" s="569"/>
      <c r="EJ237" s="569"/>
      <c r="EK237" s="569"/>
      <c r="EL237" s="569"/>
      <c r="EM237" s="569"/>
      <c r="EN237" s="569"/>
      <c r="EO237" s="569"/>
      <c r="EP237" s="569"/>
      <c r="EQ237" s="569"/>
      <c r="ER237" s="569"/>
      <c r="ES237" s="569"/>
      <c r="ET237" s="569"/>
      <c r="EU237" s="569"/>
      <c r="EV237" s="569"/>
      <c r="EW237" s="569"/>
      <c r="EX237" s="569"/>
      <c r="EY237" s="569"/>
      <c r="EZ237" s="569"/>
      <c r="FA237" s="569"/>
      <c r="FB237" s="569"/>
      <c r="FC237" s="569"/>
      <c r="FD237" s="569"/>
      <c r="FE237" s="569"/>
      <c r="FF237" s="569"/>
      <c r="FG237" s="569"/>
      <c r="FH237" s="569"/>
      <c r="FI237" s="569"/>
      <c r="FJ237" s="569"/>
      <c r="FK237" s="569"/>
      <c r="FL237" s="569"/>
      <c r="FM237" s="569"/>
      <c r="FN237" s="569"/>
      <c r="FO237" s="569"/>
      <c r="FP237" s="569"/>
      <c r="FQ237" s="569"/>
      <c r="FR237" s="569"/>
      <c r="FS237" s="569"/>
      <c r="FT237" s="569"/>
      <c r="FU237" s="569"/>
      <c r="FV237" s="569"/>
      <c r="FW237" s="569"/>
      <c r="FX237" s="569"/>
      <c r="FY237" s="569"/>
      <c r="FZ237" s="569"/>
      <c r="GA237" s="569"/>
      <c r="GB237" s="569"/>
      <c r="GC237" s="569"/>
      <c r="GD237" s="569"/>
      <c r="GE237" s="569"/>
      <c r="GF237" s="569"/>
      <c r="GG237" s="569"/>
      <c r="GH237" s="569"/>
      <c r="GI237" s="569"/>
      <c r="GJ237" s="569"/>
      <c r="GK237" s="569"/>
      <c r="GL237" s="569"/>
      <c r="GM237" s="569"/>
      <c r="GN237" s="569"/>
      <c r="GO237" s="569"/>
      <c r="GP237" s="569"/>
      <c r="GQ237" s="569"/>
      <c r="GR237" s="569"/>
      <c r="GS237" s="569"/>
      <c r="GT237" s="569"/>
    </row>
    <row r="238" spans="2:202" s="554" customFormat="1" ht="18" customHeight="1">
      <c r="B238" s="578"/>
      <c r="C238" s="1149"/>
      <c r="D238" s="1149"/>
      <c r="E238" s="1149"/>
      <c r="F238" s="1149"/>
      <c r="G238" s="1149"/>
      <c r="H238" s="1149"/>
      <c r="I238" s="1149"/>
      <c r="J238" s="1149"/>
      <c r="K238" s="1149"/>
      <c r="L238" s="1149"/>
      <c r="M238" s="578"/>
      <c r="N238" s="578"/>
      <c r="O238" s="578"/>
      <c r="P238" s="578"/>
      <c r="Q238" s="578"/>
      <c r="R238" s="578"/>
      <c r="S238" s="578"/>
      <c r="T238" s="578"/>
      <c r="U238" s="578"/>
      <c r="V238" s="578"/>
      <c r="W238" s="578"/>
      <c r="X238" s="578"/>
      <c r="Y238" s="578"/>
      <c r="Z238" s="578"/>
      <c r="AA238" s="578"/>
      <c r="AB238" s="578"/>
      <c r="AC238" s="578"/>
      <c r="AD238" s="578"/>
      <c r="AE238" s="578"/>
      <c r="AF238" s="578"/>
      <c r="AG238" s="578"/>
      <c r="AH238" s="548"/>
      <c r="AI238" s="548"/>
      <c r="AJ238" s="548"/>
      <c r="AK238" s="548"/>
      <c r="AL238" s="548"/>
      <c r="AM238" s="548"/>
      <c r="AN238" s="548"/>
      <c r="AO238" s="548"/>
      <c r="AP238" s="548"/>
      <c r="AQ238" s="548"/>
      <c r="AR238" s="548"/>
      <c r="AS238" s="548"/>
      <c r="AT238" s="548"/>
      <c r="AU238" s="548"/>
      <c r="AV238" s="548"/>
      <c r="AW238" s="548"/>
      <c r="AX238" s="548"/>
      <c r="AY238" s="548"/>
      <c r="AZ238" s="548"/>
      <c r="BA238" s="548"/>
      <c r="BB238" s="548"/>
      <c r="BC238" s="548"/>
      <c r="BD238" s="569"/>
      <c r="BE238" s="569"/>
      <c r="BF238" s="569"/>
      <c r="BG238" s="569"/>
      <c r="BH238" s="569"/>
      <c r="BI238" s="569"/>
      <c r="BJ238" s="569"/>
      <c r="BK238" s="569"/>
      <c r="BL238" s="569"/>
      <c r="BM238" s="569"/>
      <c r="BN238" s="569"/>
      <c r="BO238" s="569"/>
      <c r="BP238" s="569"/>
      <c r="BQ238" s="569"/>
      <c r="BR238" s="569"/>
      <c r="BS238" s="569"/>
      <c r="BT238" s="569"/>
      <c r="BU238" s="569"/>
      <c r="BV238" s="569"/>
      <c r="BW238" s="569"/>
      <c r="BX238" s="569"/>
      <c r="BY238" s="569"/>
      <c r="BZ238" s="569"/>
      <c r="CA238" s="569"/>
      <c r="CB238" s="569"/>
      <c r="CC238" s="569"/>
      <c r="CD238" s="569"/>
      <c r="CE238" s="569"/>
      <c r="CF238" s="569"/>
      <c r="CG238" s="569"/>
      <c r="CH238" s="569"/>
      <c r="CI238" s="569"/>
      <c r="CJ238" s="569"/>
      <c r="CK238" s="569"/>
      <c r="CL238" s="569"/>
      <c r="CM238" s="569"/>
      <c r="CN238" s="569"/>
      <c r="CO238" s="569"/>
      <c r="CP238" s="569"/>
      <c r="CQ238" s="569"/>
      <c r="CR238" s="569"/>
      <c r="CS238" s="569"/>
      <c r="CT238" s="569"/>
      <c r="CU238" s="569"/>
      <c r="CV238" s="569"/>
      <c r="CW238" s="569"/>
      <c r="CX238" s="569"/>
      <c r="CY238" s="569"/>
      <c r="CZ238" s="569"/>
      <c r="DA238" s="569"/>
      <c r="DB238" s="569"/>
      <c r="DC238" s="569"/>
      <c r="DD238" s="569"/>
      <c r="DE238" s="569"/>
      <c r="DF238" s="569"/>
      <c r="DG238" s="569"/>
      <c r="DH238" s="569"/>
      <c r="DI238" s="569"/>
      <c r="DJ238" s="569"/>
      <c r="DK238" s="569"/>
      <c r="DL238" s="569"/>
      <c r="DM238" s="569"/>
      <c r="DN238" s="569"/>
      <c r="DO238" s="569"/>
      <c r="DP238" s="569"/>
      <c r="DQ238" s="569"/>
      <c r="DR238" s="569"/>
      <c r="DS238" s="569"/>
      <c r="DT238" s="569"/>
      <c r="DU238" s="569"/>
      <c r="DV238" s="569"/>
      <c r="DW238" s="569"/>
      <c r="DX238" s="569"/>
      <c r="DY238" s="569"/>
      <c r="DZ238" s="569"/>
      <c r="EA238" s="569"/>
      <c r="EB238" s="569"/>
      <c r="EC238" s="569"/>
      <c r="ED238" s="569"/>
      <c r="EE238" s="569"/>
      <c r="EF238" s="569"/>
      <c r="EG238" s="569"/>
      <c r="EH238" s="569"/>
      <c r="EI238" s="569"/>
      <c r="EJ238" s="569"/>
      <c r="EK238" s="569"/>
      <c r="EL238" s="569"/>
      <c r="EM238" s="569"/>
      <c r="EN238" s="569"/>
      <c r="EO238" s="569"/>
      <c r="EP238" s="569"/>
      <c r="EQ238" s="569"/>
      <c r="ER238" s="569"/>
      <c r="ES238" s="569"/>
      <c r="ET238" s="569"/>
      <c r="EU238" s="569"/>
      <c r="EV238" s="569"/>
      <c r="EW238" s="569"/>
      <c r="EX238" s="569"/>
      <c r="EY238" s="569"/>
      <c r="EZ238" s="569"/>
      <c r="FA238" s="569"/>
      <c r="FB238" s="569"/>
      <c r="FC238" s="569"/>
      <c r="FD238" s="569"/>
      <c r="FE238" s="569"/>
      <c r="FF238" s="569"/>
      <c r="FG238" s="569"/>
      <c r="FH238" s="569"/>
      <c r="FI238" s="569"/>
      <c r="FJ238" s="569"/>
      <c r="FK238" s="569"/>
      <c r="FL238" s="569"/>
      <c r="FM238" s="569"/>
      <c r="FN238" s="569"/>
      <c r="FO238" s="569"/>
      <c r="FP238" s="569"/>
      <c r="FQ238" s="569"/>
      <c r="FR238" s="569"/>
      <c r="FS238" s="569"/>
      <c r="FT238" s="569"/>
      <c r="FU238" s="569"/>
      <c r="FV238" s="569"/>
      <c r="FW238" s="569"/>
      <c r="FX238" s="569"/>
      <c r="FY238" s="569"/>
      <c r="FZ238" s="569"/>
      <c r="GA238" s="569"/>
      <c r="GB238" s="569"/>
      <c r="GC238" s="569"/>
      <c r="GD238" s="569"/>
      <c r="GE238" s="569"/>
      <c r="GF238" s="569"/>
      <c r="GG238" s="569"/>
      <c r="GH238" s="569"/>
      <c r="GI238" s="569"/>
      <c r="GJ238" s="569"/>
      <c r="GK238" s="569"/>
      <c r="GL238" s="569"/>
      <c r="GM238" s="569"/>
      <c r="GN238" s="569"/>
      <c r="GO238" s="569"/>
      <c r="GP238" s="569"/>
      <c r="GQ238" s="569"/>
      <c r="GR238" s="569"/>
      <c r="GS238" s="569"/>
      <c r="GT238" s="569"/>
    </row>
    <row r="239" spans="2:202" s="554" customFormat="1" ht="18" customHeight="1">
      <c r="B239" s="578"/>
      <c r="C239" s="1149"/>
      <c r="D239" s="1149"/>
      <c r="E239" s="1149"/>
      <c r="F239" s="1149"/>
      <c r="G239" s="1149"/>
      <c r="H239" s="1149"/>
      <c r="I239" s="1149"/>
      <c r="J239" s="1149"/>
      <c r="K239" s="1149"/>
      <c r="L239" s="1149"/>
      <c r="M239" s="578"/>
      <c r="N239" s="578"/>
      <c r="O239" s="578"/>
      <c r="P239" s="578"/>
      <c r="Q239" s="578"/>
      <c r="R239" s="578"/>
      <c r="S239" s="578"/>
      <c r="T239" s="578"/>
      <c r="U239" s="578"/>
      <c r="V239" s="578"/>
      <c r="W239" s="578"/>
      <c r="X239" s="578"/>
      <c r="Y239" s="578"/>
      <c r="Z239" s="578"/>
      <c r="AA239" s="578"/>
      <c r="AB239" s="578"/>
      <c r="AC239" s="578"/>
      <c r="AD239" s="578"/>
      <c r="AE239" s="578"/>
      <c r="AF239" s="578"/>
      <c r="AG239" s="578"/>
      <c r="AH239" s="548"/>
      <c r="AI239" s="548"/>
      <c r="AJ239" s="548"/>
      <c r="AK239" s="548"/>
      <c r="AL239" s="548"/>
      <c r="AM239" s="548"/>
      <c r="AN239" s="548"/>
      <c r="AO239" s="548"/>
      <c r="AP239" s="548"/>
      <c r="AQ239" s="548"/>
      <c r="AR239" s="548"/>
      <c r="AS239" s="548"/>
      <c r="AT239" s="548"/>
      <c r="AU239" s="548"/>
      <c r="AV239" s="548"/>
      <c r="AW239" s="548"/>
      <c r="AX239" s="548"/>
      <c r="AY239" s="548"/>
      <c r="AZ239" s="548"/>
      <c r="BA239" s="548"/>
      <c r="BB239" s="548"/>
      <c r="BC239" s="548"/>
      <c r="BD239" s="569"/>
      <c r="BE239" s="569"/>
      <c r="BF239" s="569"/>
      <c r="BG239" s="569"/>
      <c r="BH239" s="569"/>
      <c r="BI239" s="569"/>
      <c r="BJ239" s="569"/>
      <c r="BK239" s="569"/>
      <c r="BL239" s="569"/>
      <c r="BM239" s="569"/>
      <c r="BN239" s="569"/>
      <c r="BO239" s="569"/>
      <c r="BP239" s="569"/>
      <c r="BQ239" s="569"/>
      <c r="BR239" s="569"/>
      <c r="BS239" s="569"/>
      <c r="BT239" s="569"/>
      <c r="BU239" s="569"/>
      <c r="BV239" s="569"/>
      <c r="BW239" s="569"/>
      <c r="BX239" s="569"/>
      <c r="BY239" s="569"/>
      <c r="BZ239" s="569"/>
      <c r="CA239" s="569"/>
      <c r="CB239" s="569"/>
      <c r="CC239" s="569"/>
      <c r="CD239" s="569"/>
      <c r="CE239" s="569"/>
      <c r="CF239" s="569"/>
      <c r="CG239" s="569"/>
      <c r="CH239" s="569"/>
      <c r="CI239" s="569"/>
      <c r="CJ239" s="569"/>
      <c r="CK239" s="569"/>
      <c r="CL239" s="569"/>
      <c r="CM239" s="569"/>
      <c r="CN239" s="569"/>
      <c r="CO239" s="569"/>
      <c r="CP239" s="569"/>
      <c r="CQ239" s="569"/>
      <c r="CR239" s="569"/>
      <c r="CS239" s="569"/>
      <c r="CT239" s="569"/>
      <c r="CU239" s="569"/>
      <c r="CV239" s="569"/>
      <c r="CW239" s="569"/>
      <c r="CX239" s="569"/>
      <c r="CY239" s="569"/>
      <c r="CZ239" s="569"/>
      <c r="DA239" s="569"/>
      <c r="DB239" s="569"/>
      <c r="DC239" s="569"/>
      <c r="DD239" s="569"/>
      <c r="DE239" s="569"/>
      <c r="DF239" s="569"/>
      <c r="DG239" s="569"/>
      <c r="DH239" s="569"/>
      <c r="DI239" s="569"/>
      <c r="DJ239" s="569"/>
      <c r="DK239" s="569"/>
      <c r="DL239" s="569"/>
      <c r="DM239" s="569"/>
      <c r="DN239" s="569"/>
      <c r="DO239" s="569"/>
      <c r="DP239" s="569"/>
      <c r="DQ239" s="569"/>
      <c r="DR239" s="569"/>
      <c r="DS239" s="569"/>
      <c r="DT239" s="569"/>
      <c r="DU239" s="569"/>
      <c r="DV239" s="569"/>
      <c r="DW239" s="569"/>
      <c r="DX239" s="569"/>
      <c r="DY239" s="569"/>
      <c r="DZ239" s="569"/>
      <c r="EA239" s="569"/>
      <c r="EB239" s="569"/>
      <c r="EC239" s="569"/>
      <c r="ED239" s="569"/>
      <c r="EE239" s="569"/>
      <c r="EF239" s="569"/>
      <c r="EG239" s="569"/>
      <c r="EH239" s="569"/>
      <c r="EI239" s="569"/>
      <c r="EJ239" s="569"/>
      <c r="EK239" s="569"/>
      <c r="EL239" s="569"/>
      <c r="EM239" s="569"/>
      <c r="EN239" s="569"/>
      <c r="EO239" s="569"/>
      <c r="EP239" s="569"/>
      <c r="EQ239" s="569"/>
      <c r="ER239" s="569"/>
      <c r="ES239" s="569"/>
      <c r="ET239" s="569"/>
      <c r="EU239" s="569"/>
      <c r="EV239" s="569"/>
      <c r="EW239" s="569"/>
      <c r="EX239" s="569"/>
      <c r="EY239" s="569"/>
      <c r="EZ239" s="569"/>
      <c r="FA239" s="569"/>
      <c r="FB239" s="569"/>
      <c r="FC239" s="569"/>
      <c r="FD239" s="569"/>
      <c r="FE239" s="569"/>
      <c r="FF239" s="569"/>
      <c r="FG239" s="569"/>
      <c r="FH239" s="569"/>
      <c r="FI239" s="569"/>
      <c r="FJ239" s="569"/>
      <c r="FK239" s="569"/>
      <c r="FL239" s="569"/>
      <c r="FM239" s="569"/>
      <c r="FN239" s="569"/>
      <c r="FO239" s="569"/>
      <c r="FP239" s="569"/>
      <c r="FQ239" s="569"/>
      <c r="FR239" s="569"/>
      <c r="FS239" s="569"/>
      <c r="FT239" s="569"/>
      <c r="FU239" s="569"/>
      <c r="FV239" s="569"/>
      <c r="FW239" s="569"/>
      <c r="FX239" s="569"/>
      <c r="FY239" s="569"/>
      <c r="FZ239" s="569"/>
      <c r="GA239" s="569"/>
      <c r="GB239" s="569"/>
      <c r="GC239" s="569"/>
      <c r="GD239" s="569"/>
      <c r="GE239" s="569"/>
      <c r="GF239" s="569"/>
      <c r="GG239" s="569"/>
      <c r="GH239" s="569"/>
      <c r="GI239" s="569"/>
      <c r="GJ239" s="569"/>
      <c r="GK239" s="569"/>
      <c r="GL239" s="569"/>
      <c r="GM239" s="569"/>
      <c r="GN239" s="569"/>
      <c r="GO239" s="569"/>
      <c r="GP239" s="569"/>
      <c r="GQ239" s="569"/>
      <c r="GR239" s="569"/>
      <c r="GS239" s="569"/>
      <c r="GT239" s="569"/>
    </row>
    <row r="240" spans="2:202" s="554" customFormat="1" ht="18" customHeight="1">
      <c r="B240" s="578"/>
      <c r="C240" s="1149"/>
      <c r="D240" s="1149"/>
      <c r="E240" s="1149"/>
      <c r="F240" s="1149"/>
      <c r="G240" s="1149"/>
      <c r="H240" s="1149"/>
      <c r="I240" s="1149"/>
      <c r="J240" s="1149"/>
      <c r="K240" s="1149"/>
      <c r="L240" s="1149"/>
      <c r="M240" s="578"/>
      <c r="N240" s="578"/>
      <c r="O240" s="578"/>
      <c r="P240" s="578"/>
      <c r="Q240" s="578"/>
      <c r="R240" s="578"/>
      <c r="S240" s="578"/>
      <c r="T240" s="578"/>
      <c r="U240" s="578"/>
      <c r="V240" s="578"/>
      <c r="W240" s="578"/>
      <c r="X240" s="578"/>
      <c r="Y240" s="578"/>
      <c r="Z240" s="578"/>
      <c r="AA240" s="578"/>
      <c r="AB240" s="578"/>
      <c r="AC240" s="578"/>
      <c r="AD240" s="578"/>
      <c r="AE240" s="578"/>
      <c r="AF240" s="578"/>
      <c r="AG240" s="578"/>
      <c r="AH240" s="548"/>
      <c r="AI240" s="548"/>
      <c r="AJ240" s="548"/>
      <c r="AK240" s="548"/>
      <c r="AL240" s="548"/>
      <c r="AM240" s="548"/>
      <c r="AN240" s="548"/>
      <c r="AO240" s="548"/>
      <c r="AP240" s="548"/>
      <c r="AQ240" s="548"/>
      <c r="AR240" s="548"/>
      <c r="AS240" s="548"/>
      <c r="AT240" s="548"/>
      <c r="AU240" s="548"/>
      <c r="AV240" s="548"/>
      <c r="AW240" s="548"/>
      <c r="AX240" s="548"/>
      <c r="AY240" s="548"/>
      <c r="AZ240" s="548"/>
      <c r="BA240" s="548"/>
      <c r="BB240" s="548"/>
      <c r="BC240" s="548"/>
      <c r="BD240" s="569"/>
      <c r="BE240" s="569"/>
      <c r="BF240" s="569"/>
      <c r="BG240" s="569"/>
      <c r="BH240" s="569"/>
      <c r="BI240" s="569"/>
      <c r="BJ240" s="569"/>
      <c r="BK240" s="569"/>
      <c r="BL240" s="569"/>
      <c r="BM240" s="569"/>
      <c r="BN240" s="569"/>
      <c r="BO240" s="569"/>
      <c r="BP240" s="569"/>
      <c r="BQ240" s="569"/>
      <c r="BR240" s="569"/>
      <c r="BS240" s="569"/>
      <c r="BT240" s="569"/>
      <c r="BU240" s="569"/>
      <c r="BV240" s="569"/>
      <c r="BW240" s="569"/>
      <c r="BX240" s="569"/>
      <c r="BY240" s="569"/>
      <c r="BZ240" s="569"/>
      <c r="CA240" s="569"/>
      <c r="CB240" s="569"/>
      <c r="CC240" s="569"/>
      <c r="CD240" s="569"/>
      <c r="CE240" s="569"/>
      <c r="CF240" s="569"/>
      <c r="CG240" s="569"/>
      <c r="CH240" s="569"/>
      <c r="CI240" s="569"/>
      <c r="CJ240" s="569"/>
      <c r="CK240" s="569"/>
      <c r="CL240" s="569"/>
      <c r="CM240" s="569"/>
      <c r="CN240" s="569"/>
      <c r="CO240" s="569"/>
      <c r="CP240" s="569"/>
      <c r="CQ240" s="569"/>
      <c r="CR240" s="569"/>
      <c r="CS240" s="569"/>
      <c r="CT240" s="569"/>
      <c r="CU240" s="569"/>
      <c r="CV240" s="569"/>
      <c r="CW240" s="569"/>
      <c r="CX240" s="569"/>
      <c r="CY240" s="569"/>
      <c r="CZ240" s="569"/>
      <c r="DA240" s="569"/>
      <c r="DB240" s="569"/>
      <c r="DC240" s="569"/>
      <c r="DD240" s="569"/>
      <c r="DE240" s="569"/>
      <c r="DF240" s="569"/>
      <c r="DG240" s="569"/>
      <c r="DH240" s="569"/>
      <c r="DI240" s="569"/>
      <c r="DJ240" s="569"/>
      <c r="DK240" s="569"/>
      <c r="DL240" s="569"/>
      <c r="DM240" s="569"/>
      <c r="DN240" s="569"/>
      <c r="DO240" s="569"/>
      <c r="DP240" s="569"/>
      <c r="DQ240" s="569"/>
      <c r="DR240" s="569"/>
      <c r="DS240" s="569"/>
      <c r="DT240" s="569"/>
      <c r="DU240" s="569"/>
      <c r="DV240" s="569"/>
      <c r="DW240" s="569"/>
      <c r="DX240" s="569"/>
      <c r="DY240" s="569"/>
      <c r="DZ240" s="569"/>
      <c r="EA240" s="569"/>
      <c r="EB240" s="569"/>
      <c r="EC240" s="569"/>
      <c r="ED240" s="569"/>
      <c r="EE240" s="569"/>
      <c r="EF240" s="569"/>
      <c r="EG240" s="569"/>
      <c r="EH240" s="569"/>
      <c r="EI240" s="569"/>
      <c r="EJ240" s="569"/>
      <c r="EK240" s="569"/>
      <c r="EL240" s="569"/>
      <c r="EM240" s="569"/>
      <c r="EN240" s="569"/>
      <c r="EO240" s="569"/>
      <c r="EP240" s="569"/>
      <c r="EQ240" s="569"/>
      <c r="ER240" s="569"/>
      <c r="ES240" s="569"/>
      <c r="ET240" s="569"/>
      <c r="EU240" s="569"/>
      <c r="EV240" s="569"/>
      <c r="EW240" s="569"/>
      <c r="EX240" s="569"/>
      <c r="EY240" s="569"/>
      <c r="EZ240" s="569"/>
      <c r="FA240" s="569"/>
      <c r="FB240" s="569"/>
      <c r="FC240" s="569"/>
      <c r="FD240" s="569"/>
      <c r="FE240" s="569"/>
      <c r="FF240" s="569"/>
      <c r="FG240" s="569"/>
      <c r="FH240" s="569"/>
      <c r="FI240" s="569"/>
      <c r="FJ240" s="569"/>
      <c r="FK240" s="569"/>
      <c r="FL240" s="569"/>
      <c r="FM240" s="569"/>
      <c r="FN240" s="569"/>
      <c r="FO240" s="569"/>
      <c r="FP240" s="569"/>
      <c r="FQ240" s="569"/>
      <c r="FR240" s="569"/>
      <c r="FS240" s="569"/>
      <c r="FT240" s="569"/>
      <c r="FU240" s="569"/>
      <c r="FV240" s="569"/>
      <c r="FW240" s="569"/>
      <c r="FX240" s="569"/>
      <c r="FY240" s="569"/>
      <c r="FZ240" s="569"/>
      <c r="GA240" s="569"/>
      <c r="GB240" s="569"/>
      <c r="GC240" s="569"/>
      <c r="GD240" s="569"/>
      <c r="GE240" s="569"/>
      <c r="GF240" s="569"/>
      <c r="GG240" s="569"/>
      <c r="GH240" s="569"/>
      <c r="GI240" s="569"/>
      <c r="GJ240" s="569"/>
      <c r="GK240" s="569"/>
      <c r="GL240" s="569"/>
      <c r="GM240" s="569"/>
      <c r="GN240" s="569"/>
      <c r="GO240" s="569"/>
      <c r="GP240" s="569"/>
      <c r="GQ240" s="569"/>
      <c r="GR240" s="569"/>
      <c r="GS240" s="569"/>
      <c r="GT240" s="569"/>
    </row>
    <row r="241" spans="2:202" s="554" customFormat="1" ht="18" customHeight="1">
      <c r="B241" s="578"/>
      <c r="C241" s="1149"/>
      <c r="D241" s="1149"/>
      <c r="E241" s="1149"/>
      <c r="F241" s="1149"/>
      <c r="G241" s="1149"/>
      <c r="H241" s="1149"/>
      <c r="I241" s="1149"/>
      <c r="J241" s="1149"/>
      <c r="K241" s="1149"/>
      <c r="L241" s="1149"/>
      <c r="M241" s="578"/>
      <c r="N241" s="578"/>
      <c r="O241" s="578"/>
      <c r="P241" s="578"/>
      <c r="Q241" s="578"/>
      <c r="R241" s="578"/>
      <c r="S241" s="578"/>
      <c r="T241" s="578"/>
      <c r="U241" s="578"/>
      <c r="V241" s="578"/>
      <c r="W241" s="578"/>
      <c r="X241" s="578"/>
      <c r="Y241" s="578"/>
      <c r="Z241" s="578"/>
      <c r="AA241" s="578"/>
      <c r="AB241" s="578"/>
      <c r="AC241" s="578"/>
      <c r="AD241" s="578"/>
      <c r="AE241" s="578"/>
      <c r="AF241" s="578"/>
      <c r="AG241" s="578"/>
      <c r="AH241" s="548"/>
      <c r="AI241" s="548"/>
      <c r="AJ241" s="548"/>
      <c r="AK241" s="548"/>
      <c r="AL241" s="548"/>
      <c r="AM241" s="548"/>
      <c r="AN241" s="548"/>
      <c r="AO241" s="548"/>
      <c r="AP241" s="548"/>
      <c r="AQ241" s="548"/>
      <c r="AR241" s="548"/>
      <c r="AS241" s="548"/>
      <c r="AT241" s="548"/>
      <c r="AU241" s="548"/>
      <c r="AV241" s="548"/>
      <c r="AW241" s="548"/>
      <c r="AX241" s="548"/>
      <c r="AY241" s="548"/>
      <c r="AZ241" s="548"/>
      <c r="BA241" s="548"/>
      <c r="BB241" s="548"/>
      <c r="BC241" s="548"/>
      <c r="BD241" s="569"/>
      <c r="BE241" s="569"/>
      <c r="BF241" s="569"/>
      <c r="BG241" s="569"/>
      <c r="BH241" s="569"/>
      <c r="BI241" s="569"/>
      <c r="BJ241" s="569"/>
      <c r="BK241" s="569"/>
      <c r="BL241" s="569"/>
      <c r="BM241" s="569"/>
      <c r="BN241" s="569"/>
      <c r="BO241" s="569"/>
      <c r="BP241" s="569"/>
      <c r="BQ241" s="569"/>
      <c r="BR241" s="569"/>
      <c r="BS241" s="569"/>
      <c r="BT241" s="569"/>
      <c r="BU241" s="569"/>
      <c r="BV241" s="569"/>
      <c r="BW241" s="569"/>
      <c r="BX241" s="569"/>
      <c r="BY241" s="569"/>
      <c r="BZ241" s="569"/>
      <c r="CA241" s="569"/>
      <c r="CB241" s="569"/>
      <c r="CC241" s="569"/>
      <c r="CD241" s="569"/>
      <c r="CE241" s="569"/>
      <c r="CF241" s="569"/>
      <c r="CG241" s="569"/>
      <c r="CH241" s="569"/>
      <c r="CI241" s="569"/>
      <c r="CJ241" s="569"/>
      <c r="CK241" s="569"/>
      <c r="CL241" s="569"/>
      <c r="CM241" s="569"/>
      <c r="CN241" s="569"/>
      <c r="CO241" s="569"/>
      <c r="CP241" s="569"/>
      <c r="CQ241" s="569"/>
      <c r="CR241" s="569"/>
      <c r="CS241" s="569"/>
      <c r="CT241" s="569"/>
      <c r="CU241" s="569"/>
      <c r="CV241" s="569"/>
      <c r="CW241" s="569"/>
      <c r="CX241" s="569"/>
      <c r="CY241" s="569"/>
      <c r="CZ241" s="569"/>
      <c r="DA241" s="569"/>
      <c r="DB241" s="569"/>
      <c r="DC241" s="569"/>
      <c r="DD241" s="569"/>
      <c r="DE241" s="569"/>
      <c r="DF241" s="569"/>
      <c r="DG241" s="569"/>
      <c r="DH241" s="569"/>
      <c r="DI241" s="569"/>
      <c r="DJ241" s="569"/>
      <c r="DK241" s="569"/>
      <c r="DL241" s="569"/>
      <c r="DM241" s="569"/>
      <c r="DN241" s="569"/>
      <c r="DO241" s="569"/>
      <c r="DP241" s="569"/>
      <c r="DQ241" s="569"/>
      <c r="DR241" s="569"/>
      <c r="DS241" s="569"/>
      <c r="DT241" s="569"/>
      <c r="DU241" s="569"/>
      <c r="DV241" s="569"/>
      <c r="DW241" s="569"/>
      <c r="DX241" s="569"/>
      <c r="DY241" s="569"/>
      <c r="DZ241" s="569"/>
      <c r="EA241" s="569"/>
      <c r="EB241" s="569"/>
      <c r="EC241" s="569"/>
      <c r="ED241" s="569"/>
      <c r="EE241" s="569"/>
      <c r="EF241" s="569"/>
      <c r="EG241" s="569"/>
      <c r="EH241" s="569"/>
      <c r="EI241" s="569"/>
      <c r="EJ241" s="569"/>
      <c r="EK241" s="569"/>
      <c r="EL241" s="569"/>
      <c r="EM241" s="569"/>
      <c r="EN241" s="569"/>
      <c r="EO241" s="569"/>
      <c r="EP241" s="569"/>
      <c r="EQ241" s="569"/>
      <c r="ER241" s="569"/>
      <c r="ES241" s="569"/>
      <c r="ET241" s="569"/>
      <c r="EU241" s="569"/>
      <c r="EV241" s="569"/>
      <c r="EW241" s="569"/>
      <c r="EX241" s="569"/>
      <c r="EY241" s="569"/>
      <c r="EZ241" s="569"/>
      <c r="FA241" s="569"/>
      <c r="FB241" s="569"/>
      <c r="FC241" s="569"/>
      <c r="FD241" s="569"/>
      <c r="FE241" s="569"/>
      <c r="FF241" s="569"/>
      <c r="FG241" s="569"/>
      <c r="FH241" s="569"/>
      <c r="FI241" s="569"/>
      <c r="FJ241" s="569"/>
      <c r="FK241" s="569"/>
      <c r="FL241" s="569"/>
      <c r="FM241" s="569"/>
      <c r="FN241" s="569"/>
      <c r="FO241" s="569"/>
      <c r="FP241" s="569"/>
      <c r="FQ241" s="569"/>
      <c r="FR241" s="569"/>
      <c r="FS241" s="569"/>
      <c r="FT241" s="569"/>
      <c r="FU241" s="569"/>
      <c r="FV241" s="569"/>
      <c r="FW241" s="569"/>
      <c r="FX241" s="569"/>
      <c r="FY241" s="569"/>
      <c r="FZ241" s="569"/>
      <c r="GA241" s="569"/>
      <c r="GB241" s="569"/>
      <c r="GC241" s="569"/>
      <c r="GD241" s="569"/>
      <c r="GE241" s="569"/>
      <c r="GF241" s="569"/>
      <c r="GG241" s="569"/>
      <c r="GH241" s="569"/>
      <c r="GI241" s="569"/>
      <c r="GJ241" s="569"/>
      <c r="GK241" s="569"/>
      <c r="GL241" s="569"/>
      <c r="GM241" s="569"/>
      <c r="GN241" s="569"/>
      <c r="GO241" s="569"/>
      <c r="GP241" s="569"/>
      <c r="GQ241" s="569"/>
      <c r="GR241" s="569"/>
      <c r="GS241" s="569"/>
      <c r="GT241" s="569"/>
    </row>
    <row r="242" spans="2:202" s="554" customFormat="1" ht="18" customHeight="1">
      <c r="B242" s="578"/>
      <c r="C242" s="1149"/>
      <c r="D242" s="1149"/>
      <c r="E242" s="1149"/>
      <c r="F242" s="1149"/>
      <c r="G242" s="1149"/>
      <c r="H242" s="1149"/>
      <c r="I242" s="1149"/>
      <c r="J242" s="1149"/>
      <c r="K242" s="1149"/>
      <c r="L242" s="1149"/>
      <c r="M242" s="578"/>
      <c r="N242" s="578"/>
      <c r="O242" s="578"/>
      <c r="P242" s="578"/>
      <c r="Q242" s="578"/>
      <c r="R242" s="578"/>
      <c r="S242" s="578"/>
      <c r="T242" s="578"/>
      <c r="U242" s="578"/>
      <c r="V242" s="578"/>
      <c r="W242" s="578"/>
      <c r="X242" s="578"/>
      <c r="Y242" s="578"/>
      <c r="Z242" s="578"/>
      <c r="AA242" s="578"/>
      <c r="AB242" s="578"/>
      <c r="AC242" s="578"/>
      <c r="AD242" s="578"/>
      <c r="AE242" s="578"/>
      <c r="AF242" s="578"/>
      <c r="AG242" s="578"/>
      <c r="AH242" s="548"/>
      <c r="AI242" s="548"/>
      <c r="AJ242" s="548"/>
      <c r="AK242" s="548"/>
      <c r="AL242" s="548"/>
      <c r="AM242" s="548"/>
      <c r="AN242" s="548"/>
      <c r="AO242" s="548"/>
      <c r="AP242" s="548"/>
      <c r="AQ242" s="548"/>
      <c r="AR242" s="548"/>
      <c r="AS242" s="548"/>
      <c r="AT242" s="548"/>
      <c r="AU242" s="548"/>
      <c r="AV242" s="548"/>
      <c r="AW242" s="548"/>
      <c r="AX242" s="548"/>
      <c r="AY242" s="548"/>
      <c r="AZ242" s="548"/>
      <c r="BA242" s="548"/>
      <c r="BB242" s="548"/>
      <c r="BC242" s="548"/>
      <c r="BD242" s="569"/>
      <c r="BE242" s="569"/>
      <c r="BF242" s="569"/>
      <c r="BG242" s="569"/>
      <c r="BH242" s="569"/>
      <c r="BI242" s="569"/>
      <c r="BJ242" s="569"/>
      <c r="BK242" s="569"/>
      <c r="BL242" s="569"/>
      <c r="BM242" s="569"/>
      <c r="BN242" s="569"/>
      <c r="BO242" s="569"/>
      <c r="BP242" s="569"/>
      <c r="BQ242" s="569"/>
      <c r="BR242" s="569"/>
      <c r="BS242" s="569"/>
      <c r="BT242" s="569"/>
      <c r="BU242" s="569"/>
      <c r="BV242" s="569"/>
      <c r="BW242" s="569"/>
      <c r="BX242" s="569"/>
      <c r="BY242" s="569"/>
      <c r="BZ242" s="569"/>
      <c r="CA242" s="569"/>
      <c r="CB242" s="569"/>
      <c r="CC242" s="569"/>
      <c r="CD242" s="569"/>
      <c r="CE242" s="569"/>
      <c r="CF242" s="569"/>
      <c r="CG242" s="569"/>
      <c r="CH242" s="569"/>
      <c r="CI242" s="569"/>
      <c r="CJ242" s="569"/>
      <c r="CK242" s="569"/>
      <c r="CL242" s="569"/>
      <c r="CM242" s="569"/>
      <c r="CN242" s="569"/>
      <c r="CO242" s="569"/>
      <c r="CP242" s="569"/>
      <c r="CQ242" s="569"/>
      <c r="CR242" s="569"/>
      <c r="CS242" s="569"/>
      <c r="CT242" s="569"/>
      <c r="CU242" s="569"/>
      <c r="CV242" s="569"/>
      <c r="CW242" s="569"/>
      <c r="CX242" s="569"/>
      <c r="CY242" s="569"/>
      <c r="CZ242" s="569"/>
      <c r="DA242" s="569"/>
      <c r="DB242" s="569"/>
      <c r="DC242" s="569"/>
      <c r="DD242" s="569"/>
      <c r="DE242" s="569"/>
      <c r="DF242" s="569"/>
      <c r="DG242" s="569"/>
      <c r="DH242" s="569"/>
      <c r="DI242" s="569"/>
      <c r="DJ242" s="569"/>
      <c r="DK242" s="569"/>
      <c r="DL242" s="569"/>
      <c r="DM242" s="569"/>
      <c r="DN242" s="569"/>
      <c r="DO242" s="569"/>
      <c r="DP242" s="569"/>
      <c r="DQ242" s="569"/>
      <c r="DR242" s="569"/>
      <c r="DS242" s="569"/>
      <c r="DT242" s="569"/>
      <c r="DU242" s="569"/>
      <c r="DV242" s="569"/>
      <c r="DW242" s="569"/>
      <c r="DX242" s="569"/>
      <c r="DY242" s="569"/>
      <c r="DZ242" s="569"/>
      <c r="EA242" s="569"/>
      <c r="EB242" s="569"/>
      <c r="EC242" s="569"/>
      <c r="ED242" s="569"/>
      <c r="EE242" s="569"/>
      <c r="EF242" s="569"/>
      <c r="EG242" s="569"/>
      <c r="EH242" s="569"/>
      <c r="EI242" s="569"/>
      <c r="EJ242" s="569"/>
      <c r="EK242" s="569"/>
      <c r="EL242" s="569"/>
      <c r="EM242" s="569"/>
      <c r="EN242" s="569"/>
      <c r="EO242" s="569"/>
      <c r="EP242" s="569"/>
      <c r="EQ242" s="569"/>
      <c r="ER242" s="569"/>
      <c r="ES242" s="569"/>
      <c r="ET242" s="569"/>
      <c r="EU242" s="569"/>
      <c r="EV242" s="569"/>
      <c r="EW242" s="569"/>
      <c r="EX242" s="569"/>
      <c r="EY242" s="569"/>
      <c r="EZ242" s="569"/>
      <c r="FA242" s="569"/>
      <c r="FB242" s="569"/>
      <c r="FC242" s="569"/>
      <c r="FD242" s="569"/>
      <c r="FE242" s="569"/>
      <c r="FF242" s="569"/>
      <c r="FG242" s="569"/>
      <c r="FH242" s="569"/>
      <c r="FI242" s="569"/>
      <c r="FJ242" s="569"/>
      <c r="FK242" s="569"/>
      <c r="FL242" s="569"/>
      <c r="FM242" s="569"/>
      <c r="FN242" s="569"/>
      <c r="FO242" s="569"/>
      <c r="FP242" s="569"/>
      <c r="FQ242" s="569"/>
      <c r="FR242" s="569"/>
      <c r="FS242" s="569"/>
      <c r="FT242" s="569"/>
      <c r="FU242" s="569"/>
      <c r="FV242" s="569"/>
      <c r="FW242" s="569"/>
      <c r="FX242" s="569"/>
      <c r="FY242" s="569"/>
      <c r="FZ242" s="569"/>
      <c r="GA242" s="569"/>
      <c r="GB242" s="569"/>
      <c r="GC242" s="569"/>
      <c r="GD242" s="569"/>
      <c r="GE242" s="569"/>
      <c r="GF242" s="569"/>
      <c r="GG242" s="569"/>
      <c r="GH242" s="569"/>
      <c r="GI242" s="569"/>
      <c r="GJ242" s="569"/>
      <c r="GK242" s="569"/>
      <c r="GL242" s="569"/>
      <c r="GM242" s="569"/>
      <c r="GN242" s="569"/>
      <c r="GO242" s="569"/>
      <c r="GP242" s="569"/>
      <c r="GQ242" s="569"/>
      <c r="GR242" s="569"/>
      <c r="GS242" s="569"/>
      <c r="GT242" s="569"/>
    </row>
    <row r="243" spans="2:202" s="554" customFormat="1" ht="18" customHeight="1">
      <c r="B243" s="578"/>
      <c r="C243" s="1149"/>
      <c r="D243" s="1149"/>
      <c r="E243" s="1149"/>
      <c r="F243" s="1149"/>
      <c r="G243" s="1149"/>
      <c r="H243" s="1149"/>
      <c r="I243" s="1149"/>
      <c r="J243" s="1149"/>
      <c r="K243" s="1149"/>
      <c r="L243" s="1149"/>
      <c r="M243" s="578"/>
      <c r="N243" s="578"/>
      <c r="O243" s="578"/>
      <c r="P243" s="578"/>
      <c r="Q243" s="578"/>
      <c r="R243" s="578"/>
      <c r="S243" s="578"/>
      <c r="T243" s="578"/>
      <c r="U243" s="578"/>
      <c r="V243" s="578"/>
      <c r="W243" s="578"/>
      <c r="X243" s="578"/>
      <c r="Y243" s="578"/>
      <c r="Z243" s="578"/>
      <c r="AA243" s="578"/>
      <c r="AB243" s="578"/>
      <c r="AC243" s="578"/>
      <c r="AD243" s="578"/>
      <c r="AE243" s="578"/>
      <c r="AF243" s="578"/>
      <c r="AG243" s="578"/>
      <c r="AH243" s="548"/>
      <c r="AI243" s="548"/>
      <c r="AJ243" s="548"/>
      <c r="AK243" s="548"/>
      <c r="AL243" s="548"/>
      <c r="AM243" s="548"/>
      <c r="AN243" s="548"/>
      <c r="AO243" s="548"/>
      <c r="AP243" s="548"/>
      <c r="AQ243" s="548"/>
      <c r="AR243" s="548"/>
      <c r="AS243" s="548"/>
      <c r="AT243" s="548"/>
      <c r="AU243" s="548"/>
      <c r="AV243" s="548"/>
      <c r="AW243" s="548"/>
      <c r="AX243" s="548"/>
      <c r="AY243" s="548"/>
      <c r="AZ243" s="548"/>
      <c r="BA243" s="548"/>
      <c r="BB243" s="548"/>
      <c r="BC243" s="548"/>
      <c r="BD243" s="569"/>
      <c r="BE243" s="569"/>
      <c r="BF243" s="569"/>
      <c r="BG243" s="569"/>
      <c r="BH243" s="569"/>
      <c r="BI243" s="569"/>
      <c r="BJ243" s="569"/>
      <c r="BK243" s="569"/>
      <c r="BL243" s="569"/>
      <c r="BM243" s="569"/>
      <c r="BN243" s="569"/>
      <c r="BO243" s="569"/>
      <c r="BP243" s="569"/>
      <c r="BQ243" s="569"/>
      <c r="BR243" s="569"/>
      <c r="BS243" s="569"/>
      <c r="BT243" s="569"/>
      <c r="BU243" s="569"/>
      <c r="BV243" s="569"/>
      <c r="BW243" s="569"/>
      <c r="BX243" s="569"/>
      <c r="BY243" s="569"/>
      <c r="BZ243" s="569"/>
      <c r="CA243" s="569"/>
      <c r="CB243" s="569"/>
      <c r="CC243" s="569"/>
      <c r="CD243" s="569"/>
      <c r="CE243" s="569"/>
      <c r="CF243" s="569"/>
      <c r="CG243" s="569"/>
      <c r="CH243" s="569"/>
      <c r="CI243" s="569"/>
      <c r="CJ243" s="569"/>
      <c r="CK243" s="569"/>
      <c r="CL243" s="569"/>
      <c r="CM243" s="569"/>
      <c r="CN243" s="569"/>
      <c r="CO243" s="569"/>
      <c r="CP243" s="569"/>
      <c r="CQ243" s="569"/>
      <c r="CR243" s="569"/>
      <c r="CS243" s="569"/>
      <c r="CT243" s="569"/>
      <c r="CU243" s="569"/>
      <c r="CV243" s="569"/>
      <c r="CW243" s="569"/>
      <c r="CX243" s="569"/>
      <c r="CY243" s="569"/>
      <c r="CZ243" s="569"/>
      <c r="DA243" s="569"/>
      <c r="DB243" s="569"/>
      <c r="DC243" s="569"/>
      <c r="DD243" s="569"/>
      <c r="DE243" s="569"/>
      <c r="DF243" s="569"/>
      <c r="DG243" s="569"/>
      <c r="DH243" s="569"/>
      <c r="DI243" s="569"/>
      <c r="DJ243" s="569"/>
      <c r="DK243" s="569"/>
      <c r="DL243" s="569"/>
      <c r="DM243" s="569"/>
      <c r="DN243" s="569"/>
      <c r="DO243" s="569"/>
      <c r="DP243" s="569"/>
      <c r="DQ243" s="569"/>
      <c r="DR243" s="569"/>
      <c r="DS243" s="569"/>
      <c r="DT243" s="569"/>
      <c r="DU243" s="569"/>
      <c r="DV243" s="569"/>
      <c r="DW243" s="569"/>
      <c r="DX243" s="569"/>
      <c r="DY243" s="569"/>
      <c r="DZ243" s="569"/>
      <c r="EA243" s="569"/>
      <c r="EB243" s="569"/>
      <c r="EC243" s="569"/>
      <c r="ED243" s="569"/>
      <c r="EE243" s="569"/>
      <c r="EF243" s="569"/>
      <c r="EG243" s="569"/>
      <c r="EH243" s="569"/>
      <c r="EI243" s="569"/>
      <c r="EJ243" s="569"/>
      <c r="EK243" s="569"/>
      <c r="EL243" s="569"/>
      <c r="EM243" s="569"/>
      <c r="EN243" s="569"/>
      <c r="EO243" s="569"/>
      <c r="EP243" s="569"/>
      <c r="EQ243" s="569"/>
      <c r="ER243" s="569"/>
      <c r="ES243" s="569"/>
      <c r="ET243" s="569"/>
      <c r="EU243" s="569"/>
      <c r="EV243" s="569"/>
      <c r="EW243" s="569"/>
      <c r="EX243" s="569"/>
      <c r="EY243" s="569"/>
      <c r="EZ243" s="569"/>
      <c r="FA243" s="569"/>
      <c r="FB243" s="569"/>
      <c r="FC243" s="569"/>
      <c r="FD243" s="569"/>
      <c r="FE243" s="569"/>
      <c r="FF243" s="569"/>
      <c r="FG243" s="569"/>
      <c r="FH243" s="569"/>
      <c r="FI243" s="569"/>
      <c r="FJ243" s="569"/>
      <c r="FK243" s="569"/>
      <c r="FL243" s="569"/>
      <c r="FM243" s="569"/>
      <c r="FN243" s="569"/>
      <c r="FO243" s="569"/>
      <c r="FP243" s="569"/>
      <c r="FQ243" s="569"/>
      <c r="FR243" s="569"/>
      <c r="FS243" s="569"/>
      <c r="FT243" s="569"/>
      <c r="FU243" s="569"/>
      <c r="FV243" s="569"/>
      <c r="FW243" s="569"/>
      <c r="FX243" s="569"/>
      <c r="FY243" s="569"/>
      <c r="FZ243" s="569"/>
      <c r="GA243" s="569"/>
      <c r="GB243" s="569"/>
      <c r="GC243" s="569"/>
      <c r="GD243" s="569"/>
      <c r="GE243" s="569"/>
      <c r="GF243" s="569"/>
      <c r="GG243" s="569"/>
      <c r="GH243" s="569"/>
      <c r="GI243" s="569"/>
      <c r="GJ243" s="569"/>
      <c r="GK243" s="569"/>
      <c r="GL243" s="569"/>
      <c r="GM243" s="569"/>
      <c r="GN243" s="569"/>
      <c r="GO243" s="569"/>
      <c r="GP243" s="569"/>
      <c r="GQ243" s="569"/>
      <c r="GR243" s="569"/>
      <c r="GS243" s="569"/>
      <c r="GT243" s="569"/>
    </row>
    <row r="244" spans="2:202" s="554" customFormat="1" ht="18" customHeight="1">
      <c r="B244" s="578"/>
      <c r="C244" s="1149"/>
      <c r="D244" s="1149"/>
      <c r="E244" s="1149"/>
      <c r="F244" s="1149"/>
      <c r="G244" s="1149"/>
      <c r="H244" s="1149"/>
      <c r="I244" s="1149"/>
      <c r="J244" s="1149"/>
      <c r="K244" s="1149"/>
      <c r="L244" s="1149"/>
      <c r="M244" s="578"/>
      <c r="N244" s="578"/>
      <c r="O244" s="578"/>
      <c r="P244" s="578"/>
      <c r="Q244" s="578"/>
      <c r="R244" s="578"/>
      <c r="S244" s="578"/>
      <c r="T244" s="578"/>
      <c r="U244" s="578"/>
      <c r="V244" s="578"/>
      <c r="W244" s="578"/>
      <c r="X244" s="578"/>
      <c r="Y244" s="578"/>
      <c r="Z244" s="578"/>
      <c r="AA244" s="578"/>
      <c r="AB244" s="578"/>
      <c r="AC244" s="578"/>
      <c r="AD244" s="578"/>
      <c r="AE244" s="578"/>
      <c r="AF244" s="578"/>
      <c r="AG244" s="578"/>
      <c r="AH244" s="548"/>
      <c r="AI244" s="548"/>
      <c r="AJ244" s="548"/>
      <c r="AK244" s="548"/>
      <c r="AL244" s="548"/>
      <c r="AM244" s="548"/>
      <c r="AN244" s="548"/>
      <c r="AO244" s="548"/>
      <c r="AP244" s="548"/>
      <c r="AQ244" s="548"/>
      <c r="AR244" s="548"/>
      <c r="AS244" s="548"/>
      <c r="AT244" s="548"/>
      <c r="AU244" s="548"/>
      <c r="AV244" s="548"/>
      <c r="AW244" s="548"/>
      <c r="AX244" s="548"/>
      <c r="AY244" s="548"/>
      <c r="AZ244" s="548"/>
      <c r="BA244" s="548"/>
      <c r="BB244" s="548"/>
      <c r="BC244" s="548"/>
      <c r="BD244" s="569"/>
      <c r="BE244" s="569"/>
      <c r="BF244" s="569"/>
      <c r="BG244" s="569"/>
      <c r="BH244" s="569"/>
      <c r="BI244" s="569"/>
      <c r="BJ244" s="569"/>
      <c r="BK244" s="569"/>
      <c r="BL244" s="569"/>
      <c r="BM244" s="569"/>
      <c r="BN244" s="569"/>
      <c r="BO244" s="569"/>
      <c r="BP244" s="569"/>
      <c r="BQ244" s="569"/>
      <c r="BR244" s="569"/>
      <c r="BS244" s="569"/>
      <c r="BT244" s="569"/>
      <c r="BU244" s="569"/>
      <c r="BV244" s="569"/>
      <c r="BW244" s="569"/>
      <c r="BX244" s="569"/>
      <c r="BY244" s="569"/>
      <c r="BZ244" s="569"/>
      <c r="CA244" s="569"/>
      <c r="CB244" s="569"/>
      <c r="CC244" s="569"/>
      <c r="CD244" s="569"/>
      <c r="CE244" s="569"/>
      <c r="CF244" s="569"/>
      <c r="CG244" s="569"/>
      <c r="CH244" s="569"/>
      <c r="CI244" s="569"/>
      <c r="CJ244" s="569"/>
      <c r="CK244" s="569"/>
      <c r="CL244" s="569"/>
      <c r="CM244" s="569"/>
      <c r="CN244" s="569"/>
      <c r="CO244" s="569"/>
      <c r="CP244" s="569"/>
      <c r="CQ244" s="569"/>
      <c r="CR244" s="569"/>
      <c r="CS244" s="569"/>
      <c r="CT244" s="569"/>
      <c r="CU244" s="569"/>
      <c r="CV244" s="569"/>
      <c r="CW244" s="569"/>
      <c r="CX244" s="569"/>
      <c r="CY244" s="569"/>
      <c r="CZ244" s="569"/>
      <c r="DA244" s="569"/>
      <c r="DB244" s="569"/>
      <c r="DC244" s="569"/>
      <c r="DD244" s="569"/>
      <c r="DE244" s="569"/>
      <c r="DF244" s="569"/>
      <c r="DG244" s="569"/>
      <c r="DH244" s="569"/>
      <c r="DI244" s="569"/>
      <c r="DJ244" s="569"/>
      <c r="DK244" s="569"/>
      <c r="DL244" s="569"/>
      <c r="DM244" s="569"/>
      <c r="DN244" s="569"/>
      <c r="DO244" s="569"/>
      <c r="DP244" s="569"/>
      <c r="DQ244" s="569"/>
      <c r="DR244" s="569"/>
      <c r="DS244" s="569"/>
      <c r="DT244" s="569"/>
      <c r="DU244" s="569"/>
      <c r="DV244" s="569"/>
      <c r="DW244" s="569"/>
      <c r="DX244" s="569"/>
      <c r="DY244" s="569"/>
      <c r="DZ244" s="569"/>
      <c r="EA244" s="569"/>
      <c r="EB244" s="569"/>
      <c r="EC244" s="569"/>
      <c r="ED244" s="569"/>
      <c r="EE244" s="569"/>
      <c r="EF244" s="569"/>
      <c r="EG244" s="569"/>
      <c r="EH244" s="569"/>
      <c r="EI244" s="569"/>
      <c r="EJ244" s="569"/>
      <c r="EK244" s="569"/>
      <c r="EL244" s="569"/>
      <c r="EM244" s="569"/>
      <c r="EN244" s="569"/>
      <c r="EO244" s="569"/>
      <c r="EP244" s="569"/>
      <c r="EQ244" s="569"/>
      <c r="ER244" s="569"/>
      <c r="ES244" s="569"/>
      <c r="ET244" s="569"/>
      <c r="EU244" s="569"/>
      <c r="EV244" s="569"/>
      <c r="EW244" s="569"/>
      <c r="EX244" s="569"/>
      <c r="EY244" s="569"/>
      <c r="EZ244" s="569"/>
      <c r="FA244" s="569"/>
      <c r="FB244" s="569"/>
      <c r="FC244" s="569"/>
      <c r="FD244" s="569"/>
      <c r="FE244" s="569"/>
      <c r="FF244" s="569"/>
      <c r="FG244" s="569"/>
      <c r="FH244" s="569"/>
      <c r="FI244" s="569"/>
      <c r="FJ244" s="569"/>
      <c r="FK244" s="569"/>
      <c r="FL244" s="569"/>
      <c r="FM244" s="569"/>
      <c r="FN244" s="569"/>
      <c r="FO244" s="569"/>
      <c r="FP244" s="569"/>
      <c r="FQ244" s="569"/>
      <c r="FR244" s="569"/>
      <c r="FS244" s="569"/>
      <c r="FT244" s="569"/>
      <c r="FU244" s="569"/>
      <c r="FV244" s="569"/>
      <c r="FW244" s="569"/>
      <c r="FX244" s="569"/>
      <c r="FY244" s="569"/>
      <c r="FZ244" s="569"/>
      <c r="GA244" s="569"/>
      <c r="GB244" s="569"/>
      <c r="GC244" s="569"/>
      <c r="GD244" s="569"/>
      <c r="GE244" s="569"/>
      <c r="GF244" s="569"/>
      <c r="GG244" s="569"/>
      <c r="GH244" s="569"/>
      <c r="GI244" s="569"/>
      <c r="GJ244" s="569"/>
      <c r="GK244" s="569"/>
      <c r="GL244" s="569"/>
      <c r="GM244" s="569"/>
      <c r="GN244" s="569"/>
      <c r="GO244" s="569"/>
      <c r="GP244" s="569"/>
      <c r="GQ244" s="569"/>
      <c r="GR244" s="569"/>
      <c r="GS244" s="569"/>
      <c r="GT244" s="569"/>
    </row>
    <row r="245" spans="2:202" s="554" customFormat="1" ht="18" customHeight="1">
      <c r="B245" s="578"/>
      <c r="C245" s="1149"/>
      <c r="D245" s="1149"/>
      <c r="E245" s="1149"/>
      <c r="F245" s="1149"/>
      <c r="G245" s="1149"/>
      <c r="H245" s="1149"/>
      <c r="I245" s="1149"/>
      <c r="J245" s="1149"/>
      <c r="K245" s="1149"/>
      <c r="L245" s="1149"/>
      <c r="M245" s="578"/>
      <c r="N245" s="578"/>
      <c r="O245" s="578"/>
      <c r="P245" s="578"/>
      <c r="Q245" s="578"/>
      <c r="R245" s="578"/>
      <c r="S245" s="578"/>
      <c r="T245" s="578"/>
      <c r="U245" s="578"/>
      <c r="V245" s="578"/>
      <c r="W245" s="578"/>
      <c r="X245" s="578"/>
      <c r="Y245" s="578"/>
      <c r="Z245" s="578"/>
      <c r="AA245" s="578"/>
      <c r="AB245" s="578"/>
      <c r="AC245" s="578"/>
      <c r="AD245" s="578"/>
      <c r="AE245" s="578"/>
      <c r="AF245" s="578"/>
      <c r="AG245" s="578"/>
      <c r="AH245" s="548"/>
      <c r="AI245" s="548"/>
      <c r="AJ245" s="548"/>
      <c r="AK245" s="548"/>
      <c r="AL245" s="548"/>
      <c r="AM245" s="548"/>
      <c r="AN245" s="548"/>
      <c r="AO245" s="548"/>
      <c r="AP245" s="548"/>
      <c r="AQ245" s="548"/>
      <c r="AR245" s="548"/>
      <c r="AS245" s="548"/>
      <c r="AT245" s="548"/>
      <c r="AU245" s="548"/>
      <c r="AV245" s="548"/>
      <c r="AW245" s="548"/>
      <c r="AX245" s="548"/>
      <c r="AY245" s="548"/>
      <c r="AZ245" s="548"/>
      <c r="BA245" s="548"/>
      <c r="BB245" s="548"/>
      <c r="BC245" s="548"/>
      <c r="BD245" s="569"/>
      <c r="BE245" s="569"/>
      <c r="BF245" s="569"/>
      <c r="BG245" s="569"/>
      <c r="BH245" s="569"/>
      <c r="BI245" s="569"/>
      <c r="BJ245" s="569"/>
      <c r="BK245" s="569"/>
      <c r="BL245" s="569"/>
      <c r="BM245" s="569"/>
      <c r="BN245" s="569"/>
      <c r="BO245" s="569"/>
      <c r="BP245" s="569"/>
      <c r="BQ245" s="569"/>
      <c r="BR245" s="569"/>
      <c r="BS245" s="569"/>
      <c r="BT245" s="569"/>
      <c r="BU245" s="569"/>
      <c r="BV245" s="569"/>
      <c r="BW245" s="569"/>
      <c r="BX245" s="569"/>
      <c r="BY245" s="569"/>
      <c r="BZ245" s="569"/>
      <c r="CA245" s="569"/>
      <c r="CB245" s="569"/>
      <c r="CC245" s="569"/>
      <c r="CD245" s="569"/>
      <c r="CE245" s="569"/>
      <c r="CF245" s="569"/>
      <c r="CG245" s="569"/>
      <c r="CH245" s="569"/>
      <c r="CI245" s="569"/>
      <c r="CJ245" s="569"/>
      <c r="CK245" s="569"/>
      <c r="CL245" s="569"/>
      <c r="CM245" s="569"/>
      <c r="CN245" s="569"/>
      <c r="CO245" s="569"/>
      <c r="CP245" s="569"/>
      <c r="CQ245" s="569"/>
      <c r="CR245" s="569"/>
      <c r="CS245" s="569"/>
      <c r="CT245" s="569"/>
      <c r="CU245" s="569"/>
      <c r="CV245" s="569"/>
      <c r="CW245" s="569"/>
      <c r="CX245" s="569"/>
      <c r="CY245" s="569"/>
      <c r="CZ245" s="569"/>
      <c r="DA245" s="569"/>
      <c r="DB245" s="569"/>
      <c r="DC245" s="569"/>
      <c r="DD245" s="569"/>
      <c r="DE245" s="569"/>
      <c r="DF245" s="569"/>
      <c r="DG245" s="569"/>
      <c r="DH245" s="569"/>
      <c r="DI245" s="569"/>
      <c r="DJ245" s="569"/>
      <c r="DK245" s="569"/>
      <c r="DL245" s="569"/>
      <c r="DM245" s="569"/>
      <c r="DN245" s="569"/>
      <c r="DO245" s="569"/>
      <c r="DP245" s="569"/>
      <c r="DQ245" s="569"/>
      <c r="DR245" s="569"/>
      <c r="DS245" s="569"/>
      <c r="DT245" s="569"/>
      <c r="DU245" s="569"/>
      <c r="DV245" s="569"/>
      <c r="DW245" s="569"/>
      <c r="DX245" s="569"/>
      <c r="DY245" s="569"/>
      <c r="DZ245" s="569"/>
      <c r="EA245" s="569"/>
      <c r="EB245" s="569"/>
      <c r="EC245" s="569"/>
      <c r="ED245" s="569"/>
      <c r="EE245" s="569"/>
      <c r="EF245" s="569"/>
      <c r="EG245" s="569"/>
      <c r="EH245" s="569"/>
      <c r="EI245" s="569"/>
      <c r="EJ245" s="569"/>
      <c r="EK245" s="569"/>
      <c r="EL245" s="569"/>
      <c r="EM245" s="569"/>
      <c r="EN245" s="569"/>
      <c r="EO245" s="569"/>
      <c r="EP245" s="569"/>
      <c r="EQ245" s="569"/>
      <c r="ER245" s="569"/>
      <c r="ES245" s="569"/>
      <c r="ET245" s="569"/>
      <c r="EU245" s="569"/>
      <c r="EV245" s="569"/>
      <c r="EW245" s="569"/>
      <c r="EX245" s="569"/>
      <c r="EY245" s="569"/>
      <c r="EZ245" s="569"/>
      <c r="FA245" s="569"/>
      <c r="FB245" s="569"/>
      <c r="FC245" s="569"/>
      <c r="FD245" s="569"/>
      <c r="FE245" s="569"/>
      <c r="FF245" s="569"/>
      <c r="FG245" s="569"/>
      <c r="FH245" s="569"/>
      <c r="FI245" s="569"/>
      <c r="FJ245" s="569"/>
      <c r="FK245" s="569"/>
      <c r="FL245" s="569"/>
      <c r="FM245" s="569"/>
      <c r="FN245" s="569"/>
      <c r="FO245" s="569"/>
      <c r="FP245" s="569"/>
      <c r="FQ245" s="569"/>
      <c r="FR245" s="569"/>
      <c r="FS245" s="569"/>
      <c r="FT245" s="569"/>
      <c r="FU245" s="569"/>
      <c r="FV245" s="569"/>
      <c r="FW245" s="569"/>
      <c r="FX245" s="569"/>
      <c r="FY245" s="569"/>
      <c r="FZ245" s="569"/>
      <c r="GA245" s="569"/>
      <c r="GB245" s="569"/>
      <c r="GC245" s="569"/>
      <c r="GD245" s="569"/>
      <c r="GE245" s="569"/>
      <c r="GF245" s="569"/>
      <c r="GG245" s="569"/>
      <c r="GH245" s="569"/>
      <c r="GI245" s="569"/>
      <c r="GJ245" s="569"/>
      <c r="GK245" s="569"/>
      <c r="GL245" s="569"/>
      <c r="GM245" s="569"/>
      <c r="GN245" s="569"/>
      <c r="GO245" s="569"/>
      <c r="GP245" s="569"/>
      <c r="GQ245" s="569"/>
      <c r="GR245" s="569"/>
      <c r="GS245" s="569"/>
      <c r="GT245" s="569"/>
    </row>
    <row r="246" spans="2:202" s="554" customFormat="1" ht="18" customHeight="1">
      <c r="B246" s="578"/>
      <c r="C246" s="1149"/>
      <c r="D246" s="1149"/>
      <c r="E246" s="1149"/>
      <c r="F246" s="1149"/>
      <c r="G246" s="1149"/>
      <c r="H246" s="1149"/>
      <c r="I246" s="1149"/>
      <c r="J246" s="1149"/>
      <c r="K246" s="1149"/>
      <c r="L246" s="1149"/>
      <c r="M246" s="578"/>
      <c r="N246" s="578"/>
      <c r="O246" s="578"/>
      <c r="P246" s="578"/>
      <c r="Q246" s="578"/>
      <c r="R246" s="578"/>
      <c r="S246" s="578"/>
      <c r="T246" s="578"/>
      <c r="U246" s="578"/>
      <c r="V246" s="578"/>
      <c r="W246" s="578"/>
      <c r="X246" s="578"/>
      <c r="Y246" s="578"/>
      <c r="Z246" s="578"/>
      <c r="AA246" s="578"/>
      <c r="AB246" s="578"/>
      <c r="AC246" s="578"/>
      <c r="AD246" s="578"/>
      <c r="AE246" s="578"/>
      <c r="AF246" s="578"/>
      <c r="AG246" s="578"/>
      <c r="AH246" s="548"/>
      <c r="AI246" s="548"/>
      <c r="AJ246" s="548"/>
      <c r="AK246" s="548"/>
      <c r="AL246" s="548"/>
      <c r="AM246" s="548"/>
      <c r="AN246" s="548"/>
      <c r="AO246" s="548"/>
      <c r="AP246" s="548"/>
      <c r="AQ246" s="548"/>
      <c r="AR246" s="548"/>
      <c r="AS246" s="548"/>
      <c r="AT246" s="548"/>
      <c r="AU246" s="548"/>
      <c r="AV246" s="548"/>
      <c r="AW246" s="548"/>
      <c r="AX246" s="548"/>
      <c r="AY246" s="548"/>
      <c r="AZ246" s="548"/>
      <c r="BA246" s="548"/>
      <c r="BB246" s="548"/>
      <c r="BC246" s="548"/>
      <c r="BD246" s="569"/>
      <c r="BE246" s="569"/>
      <c r="BF246" s="569"/>
      <c r="BG246" s="569"/>
      <c r="BH246" s="569"/>
      <c r="BI246" s="569"/>
      <c r="BJ246" s="569"/>
      <c r="BK246" s="569"/>
      <c r="BL246" s="569"/>
      <c r="BM246" s="569"/>
      <c r="BN246" s="569"/>
      <c r="BO246" s="569"/>
      <c r="BP246" s="569"/>
      <c r="BQ246" s="569"/>
      <c r="BR246" s="569"/>
      <c r="BS246" s="569"/>
      <c r="BT246" s="569"/>
      <c r="BU246" s="569"/>
      <c r="BV246" s="569"/>
      <c r="BW246" s="569"/>
      <c r="BX246" s="569"/>
      <c r="BY246" s="569"/>
      <c r="BZ246" s="569"/>
      <c r="CA246" s="569"/>
      <c r="CB246" s="569"/>
      <c r="CC246" s="569"/>
      <c r="CD246" s="569"/>
      <c r="CE246" s="569"/>
      <c r="CF246" s="569"/>
      <c r="CG246" s="569"/>
      <c r="CH246" s="569"/>
      <c r="CI246" s="569"/>
      <c r="CJ246" s="569"/>
      <c r="CK246" s="569"/>
      <c r="CL246" s="569"/>
      <c r="CM246" s="569"/>
      <c r="CN246" s="569"/>
      <c r="CO246" s="569"/>
      <c r="CP246" s="569"/>
      <c r="CQ246" s="569"/>
      <c r="CR246" s="569"/>
      <c r="CS246" s="569"/>
      <c r="CT246" s="569"/>
      <c r="CU246" s="569"/>
      <c r="CV246" s="569"/>
      <c r="CW246" s="569"/>
      <c r="CX246" s="569"/>
      <c r="CY246" s="569"/>
      <c r="CZ246" s="569"/>
      <c r="DA246" s="569"/>
      <c r="DB246" s="569"/>
      <c r="DC246" s="569"/>
      <c r="DD246" s="569"/>
      <c r="DE246" s="569"/>
      <c r="DF246" s="569"/>
      <c r="DG246" s="569"/>
      <c r="DH246" s="569"/>
      <c r="DI246" s="569"/>
      <c r="DJ246" s="569"/>
      <c r="DK246" s="569"/>
      <c r="DL246" s="569"/>
      <c r="DM246" s="569"/>
      <c r="DN246" s="569"/>
      <c r="DO246" s="569"/>
      <c r="DP246" s="569"/>
      <c r="DQ246" s="569"/>
      <c r="DR246" s="569"/>
      <c r="DS246" s="569"/>
      <c r="DT246" s="569"/>
      <c r="DU246" s="569"/>
      <c r="DV246" s="569"/>
      <c r="DW246" s="569"/>
      <c r="DX246" s="569"/>
      <c r="DY246" s="569"/>
      <c r="DZ246" s="569"/>
      <c r="EA246" s="569"/>
      <c r="EB246" s="569"/>
      <c r="EC246" s="569"/>
      <c r="ED246" s="569"/>
      <c r="EE246" s="569"/>
      <c r="EF246" s="569"/>
      <c r="EG246" s="569"/>
      <c r="EH246" s="569"/>
      <c r="EI246" s="569"/>
      <c r="EJ246" s="569"/>
      <c r="EK246" s="569"/>
      <c r="EL246" s="569"/>
      <c r="EM246" s="569"/>
      <c r="EN246" s="569"/>
      <c r="EO246" s="569"/>
      <c r="EP246" s="569"/>
      <c r="EQ246" s="569"/>
      <c r="ER246" s="569"/>
      <c r="ES246" s="569"/>
      <c r="ET246" s="569"/>
      <c r="EU246" s="569"/>
      <c r="EV246" s="569"/>
      <c r="EW246" s="569"/>
      <c r="EX246" s="569"/>
      <c r="EY246" s="569"/>
      <c r="EZ246" s="569"/>
      <c r="FA246" s="569"/>
      <c r="FB246" s="569"/>
      <c r="FC246" s="569"/>
      <c r="FD246" s="569"/>
      <c r="FE246" s="569"/>
      <c r="FF246" s="569"/>
      <c r="FG246" s="569"/>
      <c r="FH246" s="569"/>
      <c r="FI246" s="569"/>
      <c r="FJ246" s="569"/>
      <c r="FK246" s="569"/>
      <c r="FL246" s="569"/>
      <c r="FM246" s="569"/>
      <c r="FN246" s="569"/>
      <c r="FO246" s="569"/>
      <c r="FP246" s="569"/>
      <c r="FQ246" s="569"/>
      <c r="FR246" s="569"/>
      <c r="FS246" s="569"/>
      <c r="FT246" s="569"/>
      <c r="FU246" s="569"/>
      <c r="FV246" s="569"/>
      <c r="FW246" s="569"/>
      <c r="FX246" s="569"/>
      <c r="FY246" s="569"/>
      <c r="FZ246" s="569"/>
      <c r="GA246" s="569"/>
      <c r="GB246" s="569"/>
      <c r="GC246" s="569"/>
      <c r="GD246" s="569"/>
      <c r="GE246" s="569"/>
      <c r="GF246" s="569"/>
      <c r="GG246" s="569"/>
      <c r="GH246" s="569"/>
      <c r="GI246" s="569"/>
      <c r="GJ246" s="569"/>
      <c r="GK246" s="569"/>
      <c r="GL246" s="569"/>
      <c r="GM246" s="569"/>
      <c r="GN246" s="569"/>
      <c r="GO246" s="569"/>
      <c r="GP246" s="569"/>
      <c r="GQ246" s="569"/>
      <c r="GR246" s="569"/>
      <c r="GS246" s="569"/>
      <c r="GT246" s="569"/>
    </row>
    <row r="247" spans="2:202" s="554" customFormat="1" ht="18" customHeight="1">
      <c r="B247" s="578"/>
      <c r="C247" s="1149"/>
      <c r="D247" s="1149"/>
      <c r="E247" s="1149"/>
      <c r="F247" s="1149"/>
      <c r="G247" s="1149"/>
      <c r="H247" s="1149"/>
      <c r="I247" s="1149"/>
      <c r="J247" s="1149"/>
      <c r="K247" s="1149"/>
      <c r="L247" s="1149"/>
      <c r="M247" s="578"/>
      <c r="N247" s="578"/>
      <c r="O247" s="578"/>
      <c r="P247" s="578"/>
      <c r="Q247" s="578"/>
      <c r="R247" s="578"/>
      <c r="S247" s="578"/>
      <c r="T247" s="578"/>
      <c r="U247" s="578"/>
      <c r="V247" s="578"/>
      <c r="W247" s="578"/>
      <c r="X247" s="578"/>
      <c r="Y247" s="578"/>
      <c r="Z247" s="578"/>
      <c r="AA247" s="578"/>
      <c r="AB247" s="578"/>
      <c r="AC247" s="578"/>
      <c r="AD247" s="578"/>
      <c r="AE247" s="578"/>
      <c r="AF247" s="578"/>
      <c r="AG247" s="578"/>
      <c r="AH247" s="548"/>
      <c r="AI247" s="548"/>
      <c r="AJ247" s="548"/>
      <c r="AK247" s="548"/>
      <c r="AL247" s="548"/>
      <c r="AM247" s="548"/>
      <c r="AN247" s="548"/>
      <c r="AO247" s="548"/>
      <c r="AP247" s="548"/>
      <c r="AQ247" s="548"/>
      <c r="AR247" s="548"/>
      <c r="AS247" s="548"/>
      <c r="AT247" s="548"/>
      <c r="AU247" s="548"/>
      <c r="AV247" s="548"/>
      <c r="AW247" s="548"/>
      <c r="AX247" s="548"/>
      <c r="AY247" s="548"/>
      <c r="AZ247" s="548"/>
      <c r="BA247" s="548"/>
      <c r="BB247" s="548"/>
      <c r="BC247" s="548"/>
      <c r="BD247" s="569"/>
      <c r="BE247" s="569"/>
      <c r="BF247" s="569"/>
      <c r="BG247" s="569"/>
      <c r="BH247" s="569"/>
      <c r="BI247" s="569"/>
      <c r="BJ247" s="569"/>
      <c r="BK247" s="569"/>
      <c r="BL247" s="569"/>
      <c r="BM247" s="569"/>
      <c r="BN247" s="569"/>
      <c r="BO247" s="569"/>
      <c r="BP247" s="569"/>
      <c r="BQ247" s="569"/>
      <c r="BR247" s="569"/>
      <c r="BS247" s="569"/>
      <c r="BT247" s="569"/>
      <c r="BU247" s="569"/>
      <c r="BV247" s="569"/>
      <c r="BW247" s="569"/>
      <c r="BX247" s="569"/>
      <c r="BY247" s="569"/>
      <c r="BZ247" s="569"/>
      <c r="CA247" s="569"/>
      <c r="CB247" s="569"/>
      <c r="CC247" s="569"/>
      <c r="CD247" s="569"/>
      <c r="CE247" s="569"/>
      <c r="CF247" s="569"/>
      <c r="CG247" s="569"/>
      <c r="CH247" s="569"/>
      <c r="CI247" s="569"/>
      <c r="CJ247" s="569"/>
      <c r="CK247" s="569"/>
      <c r="CL247" s="569"/>
      <c r="CM247" s="569"/>
      <c r="CN247" s="569"/>
      <c r="CO247" s="569"/>
      <c r="CP247" s="569"/>
      <c r="CQ247" s="569"/>
      <c r="CR247" s="569"/>
      <c r="CS247" s="569"/>
      <c r="CT247" s="569"/>
      <c r="CU247" s="569"/>
      <c r="CV247" s="569"/>
      <c r="CW247" s="569"/>
      <c r="CX247" s="569"/>
      <c r="CY247" s="569"/>
      <c r="CZ247" s="569"/>
      <c r="DA247" s="569"/>
      <c r="DB247" s="569"/>
      <c r="DC247" s="569"/>
      <c r="DD247" s="569"/>
      <c r="DE247" s="569"/>
      <c r="DF247" s="569"/>
      <c r="DG247" s="569"/>
      <c r="DH247" s="569"/>
      <c r="DI247" s="569"/>
      <c r="DJ247" s="569"/>
      <c r="DK247" s="569"/>
      <c r="DL247" s="569"/>
      <c r="DM247" s="569"/>
      <c r="DN247" s="569"/>
      <c r="DO247" s="569"/>
      <c r="DP247" s="569"/>
      <c r="DQ247" s="569"/>
      <c r="DR247" s="569"/>
      <c r="DS247" s="569"/>
      <c r="DT247" s="569"/>
      <c r="DU247" s="569"/>
      <c r="DV247" s="569"/>
      <c r="DW247" s="569"/>
      <c r="DX247" s="569"/>
      <c r="DY247" s="569"/>
      <c r="DZ247" s="569"/>
      <c r="EA247" s="569"/>
      <c r="EB247" s="569"/>
      <c r="EC247" s="569"/>
      <c r="ED247" s="569"/>
      <c r="EE247" s="569"/>
      <c r="EF247" s="569"/>
      <c r="EG247" s="569"/>
      <c r="EH247" s="569"/>
      <c r="EI247" s="569"/>
      <c r="EJ247" s="569"/>
      <c r="EK247" s="569"/>
      <c r="EL247" s="569"/>
      <c r="EM247" s="569"/>
      <c r="EN247" s="569"/>
      <c r="EO247" s="569"/>
      <c r="EP247" s="569"/>
      <c r="EQ247" s="569"/>
      <c r="ER247" s="569"/>
      <c r="ES247" s="569"/>
      <c r="ET247" s="569"/>
      <c r="EU247" s="569"/>
      <c r="EV247" s="569"/>
      <c r="EW247" s="569"/>
      <c r="EX247" s="569"/>
      <c r="EY247" s="569"/>
      <c r="EZ247" s="569"/>
      <c r="FA247" s="569"/>
      <c r="FB247" s="569"/>
      <c r="FC247" s="569"/>
      <c r="FD247" s="569"/>
      <c r="FE247" s="569"/>
      <c r="FF247" s="569"/>
      <c r="FG247" s="569"/>
      <c r="FH247" s="569"/>
      <c r="FI247" s="569"/>
      <c r="FJ247" s="569"/>
      <c r="FK247" s="569"/>
      <c r="FL247" s="569"/>
      <c r="FM247" s="569"/>
      <c r="FN247" s="569"/>
      <c r="FO247" s="569"/>
      <c r="FP247" s="569"/>
      <c r="FQ247" s="569"/>
      <c r="FR247" s="569"/>
      <c r="FS247" s="569"/>
      <c r="FT247" s="569"/>
      <c r="FU247" s="569"/>
      <c r="FV247" s="569"/>
      <c r="FW247" s="569"/>
      <c r="FX247" s="569"/>
      <c r="FY247" s="569"/>
      <c r="FZ247" s="569"/>
      <c r="GA247" s="569"/>
      <c r="GB247" s="569"/>
      <c r="GC247" s="569"/>
      <c r="GD247" s="569"/>
      <c r="GE247" s="569"/>
      <c r="GF247" s="569"/>
      <c r="GG247" s="569"/>
      <c r="GH247" s="569"/>
      <c r="GI247" s="569"/>
      <c r="GJ247" s="569"/>
      <c r="GK247" s="569"/>
      <c r="GL247" s="569"/>
      <c r="GM247" s="569"/>
      <c r="GN247" s="569"/>
      <c r="GO247" s="569"/>
      <c r="GP247" s="569"/>
      <c r="GQ247" s="569"/>
      <c r="GR247" s="569"/>
      <c r="GS247" s="569"/>
      <c r="GT247" s="569"/>
    </row>
    <row r="248" spans="2:202" s="554" customFormat="1" ht="18" customHeight="1">
      <c r="B248" s="578"/>
      <c r="C248" s="1149"/>
      <c r="D248" s="1149"/>
      <c r="E248" s="1149"/>
      <c r="F248" s="1149"/>
      <c r="G248" s="1149"/>
      <c r="H248" s="1149"/>
      <c r="I248" s="1149"/>
      <c r="J248" s="1149"/>
      <c r="K248" s="1149"/>
      <c r="L248" s="1149"/>
      <c r="M248" s="578"/>
      <c r="N248" s="578"/>
      <c r="O248" s="578"/>
      <c r="P248" s="578"/>
      <c r="Q248" s="578"/>
      <c r="R248" s="578"/>
      <c r="S248" s="578"/>
      <c r="T248" s="578"/>
      <c r="U248" s="578"/>
      <c r="V248" s="578"/>
      <c r="W248" s="578"/>
      <c r="X248" s="578"/>
      <c r="Y248" s="578"/>
      <c r="Z248" s="578"/>
      <c r="AA248" s="578"/>
      <c r="AB248" s="578"/>
      <c r="AC248" s="578"/>
      <c r="AD248" s="578"/>
      <c r="AE248" s="578"/>
      <c r="AF248" s="578"/>
      <c r="AG248" s="578"/>
      <c r="AH248" s="548"/>
      <c r="AI248" s="548"/>
      <c r="AJ248" s="548"/>
      <c r="AK248" s="548"/>
      <c r="AL248" s="548"/>
      <c r="AM248" s="548"/>
      <c r="AN248" s="548"/>
      <c r="AO248" s="548"/>
      <c r="AP248" s="548"/>
      <c r="AQ248" s="548"/>
      <c r="AR248" s="548"/>
      <c r="AS248" s="548"/>
      <c r="AT248" s="548"/>
      <c r="AU248" s="548"/>
      <c r="AV248" s="548"/>
      <c r="AW248" s="548"/>
      <c r="AX248" s="548"/>
      <c r="AY248" s="548"/>
      <c r="AZ248" s="548"/>
      <c r="BA248" s="548"/>
      <c r="BB248" s="548"/>
      <c r="BC248" s="548"/>
      <c r="BD248" s="569"/>
      <c r="BE248" s="569"/>
      <c r="BF248" s="569"/>
      <c r="BG248" s="569"/>
      <c r="BH248" s="569"/>
      <c r="BI248" s="569"/>
      <c r="BJ248" s="569"/>
      <c r="BK248" s="569"/>
      <c r="BL248" s="569"/>
      <c r="BM248" s="569"/>
      <c r="BN248" s="569"/>
      <c r="BO248" s="569"/>
      <c r="BP248" s="569"/>
      <c r="BQ248" s="569"/>
      <c r="BR248" s="569"/>
      <c r="BS248" s="569"/>
      <c r="BT248" s="569"/>
      <c r="BU248" s="569"/>
      <c r="BV248" s="569"/>
      <c r="BW248" s="569"/>
      <c r="BX248" s="569"/>
      <c r="BY248" s="569"/>
      <c r="BZ248" s="569"/>
      <c r="CA248" s="569"/>
      <c r="CB248" s="569"/>
      <c r="CC248" s="569"/>
      <c r="CD248" s="569"/>
      <c r="CE248" s="569"/>
      <c r="CF248" s="569"/>
      <c r="CG248" s="569"/>
      <c r="CH248" s="569"/>
      <c r="CI248" s="569"/>
      <c r="CJ248" s="569"/>
      <c r="CK248" s="569"/>
      <c r="CL248" s="569"/>
      <c r="CM248" s="569"/>
      <c r="CN248" s="569"/>
      <c r="CO248" s="569"/>
      <c r="CP248" s="569"/>
      <c r="CQ248" s="569"/>
      <c r="CR248" s="569"/>
      <c r="CS248" s="569"/>
      <c r="CT248" s="569"/>
      <c r="CU248" s="569"/>
      <c r="CV248" s="569"/>
      <c r="CW248" s="569"/>
      <c r="CX248" s="569"/>
      <c r="CY248" s="569"/>
      <c r="CZ248" s="569"/>
      <c r="DA248" s="569"/>
      <c r="DB248" s="569"/>
      <c r="DC248" s="569"/>
      <c r="DD248" s="569"/>
      <c r="DE248" s="569"/>
      <c r="DF248" s="569"/>
      <c r="DG248" s="569"/>
      <c r="DH248" s="569"/>
      <c r="DI248" s="569"/>
      <c r="DJ248" s="569"/>
      <c r="DK248" s="569"/>
      <c r="DL248" s="569"/>
      <c r="DM248" s="569"/>
      <c r="DN248" s="569"/>
      <c r="DO248" s="569"/>
      <c r="DP248" s="569"/>
      <c r="DQ248" s="569"/>
      <c r="DR248" s="569"/>
      <c r="DS248" s="569"/>
      <c r="DT248" s="569"/>
      <c r="DU248" s="569"/>
      <c r="DV248" s="569"/>
      <c r="DW248" s="569"/>
      <c r="DX248" s="569"/>
      <c r="DY248" s="569"/>
      <c r="DZ248" s="569"/>
      <c r="EA248" s="569"/>
      <c r="EB248" s="569"/>
      <c r="EC248" s="569"/>
      <c r="ED248" s="569"/>
      <c r="EE248" s="569"/>
      <c r="EF248" s="569"/>
      <c r="EG248" s="569"/>
      <c r="EH248" s="569"/>
      <c r="EI248" s="569"/>
      <c r="EJ248" s="569"/>
      <c r="EK248" s="569"/>
      <c r="EL248" s="569"/>
      <c r="EM248" s="569"/>
      <c r="EN248" s="569"/>
      <c r="EO248" s="569"/>
      <c r="EP248" s="569"/>
      <c r="EQ248" s="569"/>
      <c r="ER248" s="569"/>
      <c r="ES248" s="569"/>
      <c r="ET248" s="569"/>
      <c r="EU248" s="569"/>
      <c r="EV248" s="569"/>
      <c r="EW248" s="569"/>
      <c r="EX248" s="569"/>
      <c r="EY248" s="569"/>
      <c r="EZ248" s="569"/>
      <c r="FA248" s="569"/>
      <c r="FB248" s="569"/>
      <c r="FC248" s="569"/>
      <c r="FD248" s="569"/>
      <c r="FE248" s="569"/>
      <c r="FF248" s="569"/>
      <c r="FG248" s="569"/>
      <c r="FH248" s="569"/>
      <c r="FI248" s="569"/>
      <c r="FJ248" s="569"/>
      <c r="FK248" s="569"/>
      <c r="FL248" s="569"/>
      <c r="FM248" s="569"/>
      <c r="FN248" s="569"/>
      <c r="FO248" s="569"/>
      <c r="FP248" s="569"/>
      <c r="FQ248" s="569"/>
      <c r="FR248" s="569"/>
      <c r="FS248" s="569"/>
      <c r="FT248" s="569"/>
      <c r="FU248" s="569"/>
      <c r="FV248" s="569"/>
      <c r="FW248" s="569"/>
      <c r="FX248" s="569"/>
      <c r="FY248" s="569"/>
      <c r="FZ248" s="569"/>
      <c r="GA248" s="569"/>
      <c r="GB248" s="569"/>
      <c r="GC248" s="569"/>
      <c r="GD248" s="569"/>
      <c r="GE248" s="569"/>
      <c r="GF248" s="569"/>
      <c r="GG248" s="569"/>
      <c r="GH248" s="569"/>
      <c r="GI248" s="569"/>
      <c r="GJ248" s="569"/>
      <c r="GK248" s="569"/>
      <c r="GL248" s="569"/>
      <c r="GM248" s="569"/>
      <c r="GN248" s="569"/>
      <c r="GO248" s="569"/>
      <c r="GP248" s="569"/>
      <c r="GQ248" s="569"/>
      <c r="GR248" s="569"/>
      <c r="GS248" s="569"/>
      <c r="GT248" s="569"/>
    </row>
    <row r="249" spans="2:202" s="554" customFormat="1" ht="18" customHeight="1">
      <c r="B249" s="578"/>
      <c r="C249" s="1149"/>
      <c r="D249" s="1149"/>
      <c r="E249" s="1149"/>
      <c r="F249" s="1149"/>
      <c r="G249" s="1149"/>
      <c r="H249" s="1149"/>
      <c r="I249" s="1149"/>
      <c r="J249" s="1149"/>
      <c r="K249" s="1149"/>
      <c r="L249" s="1149"/>
      <c r="M249" s="578"/>
      <c r="N249" s="578"/>
      <c r="O249" s="578"/>
      <c r="P249" s="578"/>
      <c r="Q249" s="578"/>
      <c r="R249" s="578"/>
      <c r="S249" s="578"/>
      <c r="T249" s="578"/>
      <c r="U249" s="578"/>
      <c r="V249" s="578"/>
      <c r="W249" s="578"/>
      <c r="X249" s="578"/>
      <c r="Y249" s="578"/>
      <c r="Z249" s="578"/>
      <c r="AA249" s="578"/>
      <c r="AB249" s="578"/>
      <c r="AC249" s="578"/>
      <c r="AD249" s="578"/>
      <c r="AE249" s="578"/>
      <c r="AF249" s="578"/>
      <c r="AG249" s="578"/>
      <c r="AH249" s="548"/>
      <c r="AI249" s="548"/>
      <c r="AJ249" s="548"/>
      <c r="AK249" s="548"/>
      <c r="AL249" s="548"/>
      <c r="AM249" s="548"/>
      <c r="AN249" s="548"/>
      <c r="AO249" s="548"/>
      <c r="AP249" s="548"/>
      <c r="AQ249" s="548"/>
      <c r="AR249" s="548"/>
      <c r="AS249" s="548"/>
      <c r="AT249" s="548"/>
      <c r="AU249" s="548"/>
      <c r="AV249" s="548"/>
      <c r="AW249" s="548"/>
      <c r="AX249" s="548"/>
      <c r="AY249" s="548"/>
      <c r="AZ249" s="548"/>
      <c r="BA249" s="548"/>
      <c r="BB249" s="548"/>
      <c r="BC249" s="548"/>
      <c r="BD249" s="569"/>
      <c r="BE249" s="569"/>
      <c r="BF249" s="569"/>
      <c r="BG249" s="569"/>
      <c r="BH249" s="569"/>
      <c r="BI249" s="569"/>
      <c r="BJ249" s="569"/>
      <c r="BK249" s="569"/>
      <c r="BL249" s="569"/>
      <c r="BM249" s="569"/>
      <c r="BN249" s="569"/>
      <c r="BO249" s="569"/>
      <c r="BP249" s="569"/>
      <c r="BQ249" s="569"/>
      <c r="BR249" s="569"/>
      <c r="BS249" s="569"/>
      <c r="BT249" s="569"/>
      <c r="BU249" s="569"/>
      <c r="BV249" s="569"/>
      <c r="BW249" s="569"/>
      <c r="BX249" s="569"/>
      <c r="BY249" s="569"/>
      <c r="BZ249" s="569"/>
      <c r="CA249" s="569"/>
      <c r="CB249" s="569"/>
      <c r="CC249" s="569"/>
      <c r="CD249" s="569"/>
      <c r="CE249" s="569"/>
      <c r="CF249" s="569"/>
      <c r="CG249" s="569"/>
      <c r="CH249" s="569"/>
      <c r="CI249" s="569"/>
      <c r="CJ249" s="569"/>
      <c r="CK249" s="569"/>
      <c r="CL249" s="569"/>
      <c r="CM249" s="569"/>
      <c r="CN249" s="569"/>
      <c r="CO249" s="569"/>
      <c r="CP249" s="569"/>
      <c r="CQ249" s="569"/>
      <c r="CR249" s="569"/>
      <c r="CS249" s="569"/>
      <c r="CT249" s="569"/>
      <c r="CU249" s="569"/>
      <c r="CV249" s="569"/>
      <c r="CW249" s="569"/>
      <c r="CX249" s="569"/>
      <c r="CY249" s="569"/>
      <c r="CZ249" s="569"/>
      <c r="DA249" s="569"/>
      <c r="DB249" s="569"/>
      <c r="DC249" s="569"/>
      <c r="DD249" s="569"/>
      <c r="DE249" s="569"/>
      <c r="DF249" s="569"/>
      <c r="DG249" s="569"/>
      <c r="DH249" s="569"/>
      <c r="DI249" s="569"/>
      <c r="DJ249" s="569"/>
      <c r="DK249" s="569"/>
      <c r="DL249" s="569"/>
      <c r="DM249" s="569"/>
      <c r="DN249" s="569"/>
      <c r="DO249" s="569"/>
      <c r="DP249" s="569"/>
      <c r="DQ249" s="569"/>
      <c r="DR249" s="569"/>
      <c r="DS249" s="569"/>
      <c r="DT249" s="569"/>
      <c r="DU249" s="569"/>
      <c r="DV249" s="569"/>
      <c r="DW249" s="569"/>
      <c r="DX249" s="569"/>
      <c r="DY249" s="569"/>
      <c r="DZ249" s="569"/>
      <c r="EA249" s="569"/>
      <c r="EB249" s="569"/>
      <c r="EC249" s="569"/>
      <c r="ED249" s="569"/>
      <c r="EE249" s="569"/>
      <c r="EF249" s="569"/>
      <c r="EG249" s="569"/>
      <c r="EH249" s="569"/>
      <c r="EI249" s="569"/>
      <c r="EJ249" s="569"/>
      <c r="EK249" s="569"/>
      <c r="EL249" s="569"/>
      <c r="EM249" s="569"/>
      <c r="EN249" s="569"/>
      <c r="EO249" s="569"/>
      <c r="EP249" s="569"/>
      <c r="EQ249" s="569"/>
      <c r="ER249" s="569"/>
      <c r="ES249" s="569"/>
      <c r="ET249" s="569"/>
      <c r="EU249" s="569"/>
      <c r="EV249" s="569"/>
      <c r="EW249" s="569"/>
      <c r="EX249" s="569"/>
      <c r="EY249" s="569"/>
      <c r="EZ249" s="569"/>
      <c r="FA249" s="569"/>
      <c r="FB249" s="569"/>
      <c r="FC249" s="569"/>
      <c r="FD249" s="569"/>
      <c r="FE249" s="569"/>
      <c r="FF249" s="569"/>
      <c r="FG249" s="569"/>
      <c r="FH249" s="569"/>
      <c r="FI249" s="569"/>
      <c r="FJ249" s="569"/>
      <c r="FK249" s="569"/>
      <c r="FL249" s="569"/>
      <c r="FM249" s="569"/>
      <c r="FN249" s="569"/>
      <c r="FO249" s="569"/>
      <c r="FP249" s="569"/>
      <c r="FQ249" s="569"/>
      <c r="FR249" s="569"/>
      <c r="FS249" s="569"/>
      <c r="FT249" s="569"/>
      <c r="FU249" s="569"/>
      <c r="FV249" s="569"/>
      <c r="FW249" s="569"/>
      <c r="FX249" s="569"/>
      <c r="FY249" s="569"/>
      <c r="FZ249" s="569"/>
      <c r="GA249" s="569"/>
      <c r="GB249" s="569"/>
      <c r="GC249" s="569"/>
      <c r="GD249" s="569"/>
      <c r="GE249" s="569"/>
      <c r="GF249" s="569"/>
      <c r="GG249" s="569"/>
      <c r="GH249" s="569"/>
      <c r="GI249" s="569"/>
      <c r="GJ249" s="569"/>
      <c r="GK249" s="569"/>
      <c r="GL249" s="569"/>
      <c r="GM249" s="569"/>
      <c r="GN249" s="569"/>
      <c r="GO249" s="569"/>
      <c r="GP249" s="569"/>
      <c r="GQ249" s="569"/>
      <c r="GR249" s="569"/>
      <c r="GS249" s="569"/>
      <c r="GT249" s="569"/>
    </row>
    <row r="250" spans="2:202" s="554" customFormat="1" ht="18" customHeight="1">
      <c r="B250" s="578"/>
      <c r="C250" s="1149"/>
      <c r="D250" s="1149"/>
      <c r="E250" s="1149"/>
      <c r="F250" s="1149"/>
      <c r="G250" s="1149"/>
      <c r="H250" s="1149"/>
      <c r="I250" s="1149"/>
      <c r="J250" s="1149"/>
      <c r="K250" s="1149"/>
      <c r="L250" s="1149"/>
      <c r="M250" s="578"/>
      <c r="N250" s="578"/>
      <c r="O250" s="578"/>
      <c r="P250" s="578"/>
      <c r="Q250" s="578"/>
      <c r="R250" s="578"/>
      <c r="S250" s="578"/>
      <c r="T250" s="578"/>
      <c r="U250" s="578"/>
      <c r="V250" s="578"/>
      <c r="W250" s="578"/>
      <c r="X250" s="578"/>
      <c r="Y250" s="578"/>
      <c r="Z250" s="578"/>
      <c r="AA250" s="578"/>
      <c r="AB250" s="578"/>
      <c r="AC250" s="578"/>
      <c r="AD250" s="578"/>
      <c r="AE250" s="578"/>
      <c r="AF250" s="578"/>
      <c r="AG250" s="578"/>
      <c r="AH250" s="548"/>
      <c r="AI250" s="548"/>
      <c r="AJ250" s="548"/>
      <c r="AK250" s="548"/>
      <c r="AL250" s="548"/>
      <c r="AM250" s="548"/>
      <c r="AN250" s="548"/>
      <c r="AO250" s="548"/>
      <c r="AP250" s="548"/>
      <c r="AQ250" s="548"/>
      <c r="AR250" s="548"/>
      <c r="AS250" s="548"/>
      <c r="AT250" s="548"/>
      <c r="AU250" s="548"/>
      <c r="AV250" s="548"/>
      <c r="AW250" s="548"/>
      <c r="AX250" s="548"/>
      <c r="AY250" s="548"/>
      <c r="AZ250" s="548"/>
      <c r="BA250" s="548"/>
      <c r="BB250" s="548"/>
      <c r="BC250" s="548"/>
      <c r="BD250" s="569"/>
      <c r="BE250" s="569"/>
      <c r="BF250" s="569"/>
      <c r="BG250" s="569"/>
      <c r="BH250" s="569"/>
      <c r="BI250" s="569"/>
      <c r="BJ250" s="569"/>
      <c r="BK250" s="569"/>
      <c r="BL250" s="569"/>
      <c r="BM250" s="569"/>
      <c r="BN250" s="569"/>
      <c r="BO250" s="569"/>
      <c r="BP250" s="569"/>
      <c r="BQ250" s="569"/>
      <c r="BR250" s="569"/>
      <c r="BS250" s="569"/>
      <c r="BT250" s="569"/>
      <c r="BU250" s="569"/>
      <c r="BV250" s="569"/>
      <c r="BW250" s="569"/>
      <c r="BX250" s="569"/>
      <c r="BY250" s="569"/>
      <c r="BZ250" s="569"/>
      <c r="CA250" s="569"/>
      <c r="CB250" s="569"/>
      <c r="CC250" s="569"/>
      <c r="CD250" s="569"/>
      <c r="CE250" s="569"/>
      <c r="CF250" s="569"/>
      <c r="CG250" s="569"/>
      <c r="CH250" s="569"/>
      <c r="CI250" s="569"/>
      <c r="CJ250" s="569"/>
      <c r="CK250" s="569"/>
      <c r="CL250" s="569"/>
      <c r="CM250" s="569"/>
      <c r="CN250" s="569"/>
      <c r="CO250" s="569"/>
      <c r="CP250" s="569"/>
      <c r="CQ250" s="569"/>
      <c r="CR250" s="569"/>
      <c r="CS250" s="569"/>
      <c r="CT250" s="569"/>
      <c r="CU250" s="569"/>
      <c r="CV250" s="569"/>
      <c r="CW250" s="569"/>
      <c r="CX250" s="569"/>
      <c r="CY250" s="569"/>
      <c r="CZ250" s="569"/>
      <c r="DA250" s="569"/>
      <c r="DB250" s="569"/>
      <c r="DC250" s="569"/>
      <c r="DD250" s="569"/>
      <c r="DE250" s="569"/>
      <c r="DF250" s="569"/>
      <c r="DG250" s="569"/>
      <c r="DH250" s="569"/>
      <c r="DI250" s="569"/>
      <c r="DJ250" s="569"/>
      <c r="DK250" s="569"/>
      <c r="DL250" s="569"/>
      <c r="DM250" s="569"/>
      <c r="DN250" s="569"/>
      <c r="DO250" s="569"/>
      <c r="DP250" s="569"/>
      <c r="DQ250" s="569"/>
      <c r="DR250" s="569"/>
      <c r="DS250" s="569"/>
      <c r="DT250" s="569"/>
      <c r="DU250" s="569"/>
      <c r="DV250" s="569"/>
      <c r="DW250" s="569"/>
      <c r="DX250" s="569"/>
      <c r="DY250" s="569"/>
      <c r="DZ250" s="569"/>
      <c r="EA250" s="569"/>
      <c r="EB250" s="569"/>
      <c r="EC250" s="569"/>
      <c r="ED250" s="569"/>
      <c r="EE250" s="569"/>
      <c r="EF250" s="569"/>
      <c r="EG250" s="569"/>
      <c r="EH250" s="569"/>
      <c r="EI250" s="569"/>
      <c r="EJ250" s="569"/>
      <c r="EK250" s="569"/>
      <c r="EL250" s="569"/>
      <c r="EM250" s="569"/>
      <c r="EN250" s="569"/>
      <c r="EO250" s="569"/>
      <c r="EP250" s="569"/>
      <c r="EQ250" s="569"/>
      <c r="ER250" s="569"/>
      <c r="ES250" s="569"/>
      <c r="ET250" s="569"/>
      <c r="EU250" s="569"/>
      <c r="EV250" s="569"/>
      <c r="EW250" s="569"/>
      <c r="EX250" s="569"/>
      <c r="EY250" s="569"/>
      <c r="EZ250" s="569"/>
      <c r="FA250" s="569"/>
      <c r="FB250" s="569"/>
      <c r="FC250" s="569"/>
      <c r="FD250" s="569"/>
      <c r="FE250" s="569"/>
      <c r="FF250" s="569"/>
      <c r="FG250" s="569"/>
      <c r="FH250" s="569"/>
      <c r="FI250" s="569"/>
      <c r="FJ250" s="569"/>
      <c r="FK250" s="569"/>
      <c r="FL250" s="569"/>
      <c r="FM250" s="569"/>
      <c r="FN250" s="569"/>
      <c r="FO250" s="569"/>
      <c r="FP250" s="569"/>
      <c r="FQ250" s="569"/>
      <c r="FR250" s="569"/>
      <c r="FS250" s="569"/>
      <c r="FT250" s="569"/>
      <c r="FU250" s="569"/>
      <c r="FV250" s="569"/>
      <c r="FW250" s="569"/>
      <c r="FX250" s="569"/>
      <c r="FY250" s="569"/>
      <c r="FZ250" s="569"/>
      <c r="GA250" s="569"/>
      <c r="GB250" s="569"/>
      <c r="GC250" s="569"/>
      <c r="GD250" s="569"/>
      <c r="GE250" s="569"/>
      <c r="GF250" s="569"/>
      <c r="GG250" s="569"/>
      <c r="GH250" s="569"/>
      <c r="GI250" s="569"/>
      <c r="GJ250" s="569"/>
      <c r="GK250" s="569"/>
      <c r="GL250" s="569"/>
      <c r="GM250" s="569"/>
      <c r="GN250" s="569"/>
      <c r="GO250" s="569"/>
      <c r="GP250" s="569"/>
      <c r="GQ250" s="569"/>
      <c r="GR250" s="569"/>
      <c r="GS250" s="569"/>
      <c r="GT250" s="569"/>
    </row>
    <row r="251" spans="2:202" s="554" customFormat="1" ht="18" customHeight="1">
      <c r="B251" s="578"/>
      <c r="C251" s="1149"/>
      <c r="D251" s="1149"/>
      <c r="E251" s="1149"/>
      <c r="F251" s="1149"/>
      <c r="G251" s="1149"/>
      <c r="H251" s="1149"/>
      <c r="I251" s="1149"/>
      <c r="J251" s="1149"/>
      <c r="K251" s="1149"/>
      <c r="L251" s="1149"/>
      <c r="M251" s="578"/>
      <c r="N251" s="578"/>
      <c r="O251" s="578"/>
      <c r="P251" s="578"/>
      <c r="Q251" s="578"/>
      <c r="R251" s="578"/>
      <c r="S251" s="578"/>
      <c r="T251" s="578"/>
      <c r="U251" s="578"/>
      <c r="V251" s="578"/>
      <c r="W251" s="578"/>
      <c r="X251" s="578"/>
      <c r="Y251" s="578"/>
      <c r="Z251" s="578"/>
      <c r="AA251" s="578"/>
      <c r="AB251" s="578"/>
      <c r="AC251" s="578"/>
      <c r="AD251" s="578"/>
      <c r="AE251" s="578"/>
      <c r="AF251" s="578"/>
      <c r="AG251" s="578"/>
      <c r="AH251" s="548"/>
      <c r="AI251" s="548"/>
      <c r="AJ251" s="548"/>
      <c r="AK251" s="548"/>
      <c r="AL251" s="548"/>
      <c r="AM251" s="548"/>
      <c r="AN251" s="548"/>
      <c r="AO251" s="548"/>
      <c r="AP251" s="548"/>
      <c r="AQ251" s="548"/>
      <c r="AR251" s="548"/>
      <c r="AS251" s="548"/>
      <c r="AT251" s="548"/>
      <c r="AU251" s="548"/>
      <c r="AV251" s="548"/>
      <c r="AW251" s="548"/>
      <c r="AX251" s="548"/>
      <c r="AY251" s="548"/>
      <c r="AZ251" s="548"/>
      <c r="BA251" s="548"/>
      <c r="BB251" s="548"/>
      <c r="BC251" s="548"/>
      <c r="BD251" s="569"/>
      <c r="BE251" s="569"/>
      <c r="BF251" s="569"/>
      <c r="BG251" s="569"/>
      <c r="BH251" s="569"/>
      <c r="BI251" s="569"/>
      <c r="BJ251" s="569"/>
      <c r="BK251" s="569"/>
      <c r="BL251" s="569"/>
      <c r="BM251" s="569"/>
      <c r="BN251" s="569"/>
      <c r="BO251" s="569"/>
      <c r="BP251" s="569"/>
      <c r="BQ251" s="569"/>
      <c r="BR251" s="569"/>
      <c r="BS251" s="569"/>
      <c r="BT251" s="569"/>
      <c r="BU251" s="569"/>
      <c r="BV251" s="569"/>
      <c r="BW251" s="569"/>
      <c r="BX251" s="569"/>
      <c r="BY251" s="569"/>
      <c r="BZ251" s="569"/>
      <c r="CA251" s="569"/>
      <c r="CB251" s="569"/>
      <c r="CC251" s="569"/>
      <c r="CD251" s="569"/>
      <c r="CE251" s="569"/>
      <c r="CF251" s="569"/>
      <c r="CG251" s="569"/>
      <c r="CH251" s="569"/>
      <c r="CI251" s="569"/>
      <c r="CJ251" s="569"/>
      <c r="CK251" s="569"/>
      <c r="CL251" s="569"/>
      <c r="CM251" s="569"/>
      <c r="CN251" s="569"/>
      <c r="CO251" s="569"/>
      <c r="CP251" s="569"/>
      <c r="CQ251" s="569"/>
      <c r="CR251" s="569"/>
      <c r="CS251" s="569"/>
      <c r="CT251" s="569"/>
      <c r="CU251" s="569"/>
      <c r="CV251" s="569"/>
      <c r="CW251" s="569"/>
      <c r="CX251" s="569"/>
      <c r="CY251" s="569"/>
      <c r="CZ251" s="569"/>
      <c r="DA251" s="569"/>
      <c r="DB251" s="569"/>
      <c r="DC251" s="569"/>
      <c r="DD251" s="569"/>
      <c r="DE251" s="569"/>
      <c r="DF251" s="569"/>
      <c r="DG251" s="569"/>
      <c r="DH251" s="569"/>
      <c r="DI251" s="569"/>
      <c r="DJ251" s="569"/>
      <c r="DK251" s="569"/>
      <c r="DL251" s="569"/>
      <c r="DM251" s="569"/>
      <c r="DN251" s="569"/>
      <c r="DO251" s="569"/>
      <c r="DP251" s="569"/>
      <c r="DQ251" s="569"/>
      <c r="DR251" s="569"/>
      <c r="DS251" s="569"/>
      <c r="DT251" s="569"/>
      <c r="DU251" s="569"/>
      <c r="DV251" s="569"/>
      <c r="DW251" s="569"/>
      <c r="DX251" s="569"/>
      <c r="DY251" s="569"/>
      <c r="DZ251" s="569"/>
      <c r="EA251" s="569"/>
      <c r="EB251" s="569"/>
      <c r="EC251" s="569"/>
      <c r="ED251" s="569"/>
      <c r="EE251" s="569"/>
      <c r="EF251" s="569"/>
      <c r="EG251" s="569"/>
      <c r="EH251" s="569"/>
      <c r="EI251" s="569"/>
      <c r="EJ251" s="569"/>
      <c r="EK251" s="569"/>
      <c r="EL251" s="569"/>
      <c r="EM251" s="569"/>
      <c r="EN251" s="569"/>
      <c r="EO251" s="569"/>
      <c r="EP251" s="569"/>
      <c r="EQ251" s="569"/>
      <c r="ER251" s="569"/>
      <c r="ES251" s="569"/>
      <c r="ET251" s="569"/>
      <c r="EU251" s="569"/>
      <c r="EV251" s="569"/>
      <c r="EW251" s="569"/>
      <c r="EX251" s="569"/>
      <c r="EY251" s="569"/>
      <c r="EZ251" s="569"/>
      <c r="FA251" s="569"/>
      <c r="FB251" s="569"/>
      <c r="FC251" s="569"/>
      <c r="FD251" s="569"/>
      <c r="FE251" s="569"/>
      <c r="FF251" s="569"/>
      <c r="FG251" s="569"/>
      <c r="FH251" s="569"/>
      <c r="FI251" s="569"/>
      <c r="FJ251" s="569"/>
      <c r="FK251" s="569"/>
      <c r="FL251" s="569"/>
      <c r="FM251" s="569"/>
      <c r="FN251" s="569"/>
      <c r="FO251" s="569"/>
      <c r="FP251" s="569"/>
      <c r="FQ251" s="569"/>
      <c r="FR251" s="569"/>
      <c r="FS251" s="569"/>
      <c r="FT251" s="569"/>
      <c r="FU251" s="569"/>
      <c r="FV251" s="569"/>
      <c r="FW251" s="569"/>
      <c r="FX251" s="569"/>
      <c r="FY251" s="569"/>
      <c r="FZ251" s="569"/>
      <c r="GA251" s="569"/>
      <c r="GB251" s="569"/>
      <c r="GC251" s="569"/>
      <c r="GD251" s="569"/>
      <c r="GE251" s="569"/>
      <c r="GF251" s="569"/>
      <c r="GG251" s="569"/>
      <c r="GH251" s="569"/>
      <c r="GI251" s="569"/>
      <c r="GJ251" s="569"/>
      <c r="GK251" s="569"/>
      <c r="GL251" s="569"/>
      <c r="GM251" s="569"/>
      <c r="GN251" s="569"/>
      <c r="GO251" s="569"/>
      <c r="GP251" s="569"/>
      <c r="GQ251" s="569"/>
      <c r="GR251" s="569"/>
      <c r="GS251" s="569"/>
      <c r="GT251" s="569"/>
    </row>
    <row r="252" spans="2:202" s="554" customFormat="1" ht="18" customHeight="1">
      <c r="B252" s="578"/>
      <c r="C252" s="1149"/>
      <c r="D252" s="1149"/>
      <c r="E252" s="1149"/>
      <c r="F252" s="1149"/>
      <c r="G252" s="1149"/>
      <c r="H252" s="1149"/>
      <c r="I252" s="1149"/>
      <c r="J252" s="1149"/>
      <c r="K252" s="1149"/>
      <c r="L252" s="1149"/>
      <c r="M252" s="578"/>
      <c r="N252" s="578"/>
      <c r="O252" s="578"/>
      <c r="P252" s="578"/>
      <c r="Q252" s="578"/>
      <c r="R252" s="578"/>
      <c r="S252" s="578"/>
      <c r="T252" s="578"/>
      <c r="U252" s="578"/>
      <c r="V252" s="578"/>
      <c r="W252" s="578"/>
      <c r="X252" s="578"/>
      <c r="Y252" s="578"/>
      <c r="Z252" s="578"/>
      <c r="AA252" s="578"/>
      <c r="AB252" s="578"/>
      <c r="AC252" s="578"/>
      <c r="AD252" s="578"/>
      <c r="AE252" s="578"/>
      <c r="AF252" s="578"/>
      <c r="AG252" s="578"/>
      <c r="AH252" s="548"/>
      <c r="AI252" s="548"/>
      <c r="AJ252" s="548"/>
      <c r="AK252" s="548"/>
      <c r="AL252" s="548"/>
      <c r="AM252" s="548"/>
      <c r="AN252" s="548"/>
      <c r="AO252" s="548"/>
      <c r="AP252" s="548"/>
      <c r="AQ252" s="548"/>
      <c r="AR252" s="548"/>
      <c r="AS252" s="548"/>
      <c r="AT252" s="548"/>
      <c r="AU252" s="548"/>
      <c r="AV252" s="548"/>
      <c r="AW252" s="548"/>
      <c r="AX252" s="548"/>
      <c r="AY252" s="548"/>
      <c r="AZ252" s="548"/>
      <c r="BA252" s="548"/>
      <c r="BB252" s="548"/>
      <c r="BC252" s="548"/>
      <c r="BD252" s="569"/>
      <c r="BE252" s="569"/>
      <c r="BF252" s="569"/>
      <c r="BG252" s="569"/>
      <c r="BH252" s="569"/>
      <c r="BI252" s="569"/>
      <c r="BJ252" s="569"/>
      <c r="BK252" s="569"/>
      <c r="BL252" s="569"/>
      <c r="BM252" s="569"/>
      <c r="BN252" s="569"/>
      <c r="BO252" s="569"/>
      <c r="BP252" s="569"/>
      <c r="BQ252" s="569"/>
      <c r="BR252" s="569"/>
      <c r="BS252" s="569"/>
      <c r="BT252" s="569"/>
      <c r="BU252" s="569"/>
      <c r="BV252" s="569"/>
      <c r="BW252" s="569"/>
      <c r="BX252" s="569"/>
      <c r="BY252" s="569"/>
      <c r="BZ252" s="569"/>
      <c r="CA252" s="569"/>
      <c r="CB252" s="569"/>
      <c r="CC252" s="569"/>
      <c r="CD252" s="569"/>
      <c r="CE252" s="569"/>
      <c r="CF252" s="569"/>
      <c r="CG252" s="569"/>
      <c r="CH252" s="569"/>
      <c r="CI252" s="569"/>
      <c r="CJ252" s="569"/>
      <c r="CK252" s="569"/>
      <c r="CL252" s="569"/>
      <c r="CM252" s="569"/>
      <c r="CN252" s="569"/>
      <c r="CO252" s="569"/>
      <c r="CP252" s="569"/>
      <c r="CQ252" s="569"/>
      <c r="CR252" s="569"/>
      <c r="CS252" s="569"/>
      <c r="CT252" s="569"/>
      <c r="CU252" s="569"/>
      <c r="CV252" s="569"/>
      <c r="CW252" s="569"/>
      <c r="CX252" s="569"/>
      <c r="CY252" s="569"/>
      <c r="CZ252" s="569"/>
      <c r="DA252" s="569"/>
      <c r="DB252" s="569"/>
      <c r="DC252" s="569"/>
      <c r="DD252" s="569"/>
      <c r="DE252" s="569"/>
      <c r="DF252" s="569"/>
      <c r="DG252" s="569"/>
      <c r="DH252" s="569"/>
      <c r="DI252" s="569"/>
      <c r="DJ252" s="569"/>
      <c r="DK252" s="569"/>
      <c r="DL252" s="569"/>
      <c r="DM252" s="569"/>
      <c r="DN252" s="569"/>
      <c r="DO252" s="569"/>
      <c r="DP252" s="569"/>
      <c r="DQ252" s="569"/>
      <c r="DR252" s="569"/>
      <c r="DS252" s="569"/>
      <c r="DT252" s="569"/>
      <c r="DU252" s="569"/>
      <c r="DV252" s="569"/>
      <c r="DW252" s="569"/>
      <c r="DX252" s="569"/>
      <c r="DY252" s="569"/>
      <c r="DZ252" s="569"/>
      <c r="EA252" s="569"/>
      <c r="EB252" s="569"/>
      <c r="EC252" s="569"/>
      <c r="ED252" s="569"/>
      <c r="EE252" s="569"/>
      <c r="EF252" s="569"/>
      <c r="EG252" s="569"/>
      <c r="EH252" s="569"/>
      <c r="EI252" s="569"/>
      <c r="EJ252" s="569"/>
      <c r="EK252" s="569"/>
      <c r="EL252" s="569"/>
      <c r="EM252" s="569"/>
      <c r="EN252" s="569"/>
      <c r="EO252" s="569"/>
      <c r="EP252" s="569"/>
      <c r="EQ252" s="569"/>
      <c r="ER252" s="569"/>
      <c r="ES252" s="569"/>
      <c r="ET252" s="569"/>
      <c r="EU252" s="569"/>
      <c r="EV252" s="569"/>
      <c r="EW252" s="569"/>
      <c r="EX252" s="569"/>
      <c r="EY252" s="569"/>
      <c r="EZ252" s="569"/>
      <c r="FA252" s="569"/>
      <c r="FB252" s="569"/>
      <c r="FC252" s="569"/>
      <c r="FD252" s="569"/>
      <c r="FE252" s="569"/>
      <c r="FF252" s="569"/>
      <c r="FG252" s="569"/>
      <c r="FH252" s="569"/>
      <c r="FI252" s="569"/>
      <c r="FJ252" s="569"/>
      <c r="FK252" s="569"/>
      <c r="FL252" s="569"/>
      <c r="FM252" s="569"/>
      <c r="FN252" s="569"/>
      <c r="FO252" s="569"/>
      <c r="FP252" s="569"/>
      <c r="FQ252" s="569"/>
      <c r="FR252" s="569"/>
      <c r="FS252" s="569"/>
      <c r="FT252" s="569"/>
      <c r="FU252" s="569"/>
      <c r="FV252" s="569"/>
      <c r="FW252" s="569"/>
      <c r="FX252" s="569"/>
      <c r="FY252" s="569"/>
      <c r="FZ252" s="569"/>
      <c r="GA252" s="569"/>
      <c r="GB252" s="569"/>
      <c r="GC252" s="569"/>
      <c r="GD252" s="569"/>
      <c r="GE252" s="569"/>
      <c r="GF252" s="569"/>
      <c r="GG252" s="569"/>
      <c r="GH252" s="569"/>
      <c r="GI252" s="569"/>
      <c r="GJ252" s="569"/>
      <c r="GK252" s="569"/>
      <c r="GL252" s="569"/>
      <c r="GM252" s="569"/>
      <c r="GN252" s="569"/>
      <c r="GO252" s="569"/>
      <c r="GP252" s="569"/>
      <c r="GQ252" s="569"/>
      <c r="GR252" s="569"/>
      <c r="GS252" s="569"/>
      <c r="GT252" s="569"/>
    </row>
    <row r="253" spans="2:202" s="554" customFormat="1" ht="18" customHeight="1">
      <c r="B253" s="578"/>
      <c r="C253" s="1149"/>
      <c r="D253" s="1149"/>
      <c r="E253" s="1149"/>
      <c r="F253" s="1149"/>
      <c r="G253" s="1149"/>
      <c r="H253" s="1149"/>
      <c r="I253" s="1149"/>
      <c r="J253" s="1149"/>
      <c r="K253" s="1149"/>
      <c r="L253" s="1149"/>
      <c r="M253" s="578"/>
      <c r="N253" s="578"/>
      <c r="O253" s="578"/>
      <c r="P253" s="578"/>
      <c r="Q253" s="578"/>
      <c r="R253" s="578"/>
      <c r="S253" s="578"/>
      <c r="T253" s="578"/>
      <c r="U253" s="578"/>
      <c r="V253" s="578"/>
      <c r="W253" s="578"/>
      <c r="X253" s="578"/>
      <c r="Y253" s="578"/>
      <c r="Z253" s="578"/>
      <c r="AA253" s="578"/>
      <c r="AB253" s="578"/>
      <c r="AC253" s="578"/>
      <c r="AD253" s="578"/>
      <c r="AE253" s="578"/>
      <c r="AF253" s="578"/>
      <c r="AG253" s="578"/>
      <c r="AH253" s="548"/>
      <c r="AI253" s="548"/>
      <c r="AJ253" s="548"/>
      <c r="AK253" s="548"/>
      <c r="AL253" s="548"/>
      <c r="AM253" s="548"/>
      <c r="AN253" s="548"/>
      <c r="AO253" s="548"/>
      <c r="AP253" s="548"/>
      <c r="AQ253" s="548"/>
      <c r="AR253" s="548"/>
      <c r="AS253" s="548"/>
      <c r="AT253" s="548"/>
      <c r="AU253" s="548"/>
      <c r="AV253" s="548"/>
      <c r="AW253" s="548"/>
      <c r="AX253" s="548"/>
      <c r="AY253" s="548"/>
      <c r="AZ253" s="548"/>
      <c r="BA253" s="548"/>
      <c r="BB253" s="548"/>
      <c r="BC253" s="548"/>
      <c r="BD253" s="569"/>
      <c r="BE253" s="569"/>
      <c r="BF253" s="569"/>
      <c r="BG253" s="569"/>
      <c r="BH253" s="569"/>
      <c r="BI253" s="569"/>
      <c r="BJ253" s="569"/>
      <c r="BK253" s="569"/>
      <c r="BL253" s="569"/>
      <c r="BM253" s="569"/>
      <c r="BN253" s="569"/>
      <c r="BO253" s="569"/>
      <c r="BP253" s="569"/>
      <c r="BQ253" s="569"/>
      <c r="BR253" s="569"/>
      <c r="BS253" s="569"/>
      <c r="BT253" s="569"/>
      <c r="BU253" s="569"/>
      <c r="BV253" s="569"/>
      <c r="BW253" s="569"/>
      <c r="BX253" s="569"/>
      <c r="BY253" s="569"/>
      <c r="BZ253" s="569"/>
      <c r="CA253" s="569"/>
      <c r="CB253" s="569"/>
      <c r="CC253" s="569"/>
      <c r="CD253" s="569"/>
      <c r="CE253" s="569"/>
      <c r="CF253" s="569"/>
      <c r="CG253" s="569"/>
      <c r="CH253" s="569"/>
      <c r="CI253" s="569"/>
      <c r="CJ253" s="569"/>
      <c r="CK253" s="569"/>
      <c r="CL253" s="569"/>
      <c r="CM253" s="569"/>
      <c r="CN253" s="569"/>
      <c r="CO253" s="569"/>
      <c r="CP253" s="569"/>
      <c r="CQ253" s="569"/>
      <c r="CR253" s="569"/>
      <c r="CS253" s="569"/>
      <c r="CT253" s="569"/>
      <c r="CU253" s="569"/>
      <c r="CV253" s="569"/>
      <c r="CW253" s="569"/>
      <c r="CX253" s="569"/>
      <c r="CY253" s="569"/>
      <c r="CZ253" s="569"/>
      <c r="DA253" s="569"/>
      <c r="DB253" s="569"/>
      <c r="DC253" s="569"/>
      <c r="DD253" s="569"/>
      <c r="DE253" s="569"/>
      <c r="DF253" s="569"/>
      <c r="DG253" s="569"/>
      <c r="DH253" s="569"/>
      <c r="DI253" s="569"/>
      <c r="DJ253" s="569"/>
      <c r="DK253" s="569"/>
      <c r="DL253" s="569"/>
      <c r="DM253" s="569"/>
      <c r="DN253" s="569"/>
      <c r="DO253" s="569"/>
      <c r="DP253" s="569"/>
      <c r="DQ253" s="569"/>
      <c r="DR253" s="569"/>
      <c r="DS253" s="569"/>
      <c r="DT253" s="569"/>
      <c r="DU253" s="569"/>
      <c r="DV253" s="569"/>
      <c r="DW253" s="569"/>
      <c r="DX253" s="569"/>
      <c r="DY253" s="569"/>
      <c r="DZ253" s="569"/>
      <c r="EA253" s="569"/>
      <c r="EB253" s="569"/>
      <c r="EC253" s="569"/>
      <c r="ED253" s="569"/>
      <c r="EE253" s="569"/>
      <c r="EF253" s="569"/>
      <c r="EG253" s="569"/>
      <c r="EH253" s="569"/>
      <c r="EI253" s="569"/>
      <c r="EJ253" s="569"/>
      <c r="EK253" s="569"/>
      <c r="EL253" s="569"/>
      <c r="EM253" s="569"/>
      <c r="EN253" s="569"/>
      <c r="EO253" s="569"/>
      <c r="EP253" s="569"/>
      <c r="EQ253" s="569"/>
      <c r="ER253" s="569"/>
      <c r="ES253" s="569"/>
      <c r="ET253" s="569"/>
      <c r="EU253" s="569"/>
      <c r="EV253" s="569"/>
      <c r="EW253" s="569"/>
      <c r="EX253" s="569"/>
      <c r="EY253" s="569"/>
      <c r="EZ253" s="569"/>
      <c r="FA253" s="569"/>
      <c r="FB253" s="569"/>
      <c r="FC253" s="569"/>
      <c r="FD253" s="569"/>
      <c r="FE253" s="569"/>
      <c r="FF253" s="569"/>
      <c r="FG253" s="569"/>
      <c r="FH253" s="569"/>
      <c r="FI253" s="569"/>
      <c r="FJ253" s="569"/>
      <c r="FK253" s="569"/>
      <c r="FL253" s="569"/>
      <c r="FM253" s="569"/>
      <c r="FN253" s="569"/>
      <c r="FO253" s="569"/>
      <c r="FP253" s="569"/>
      <c r="FQ253" s="569"/>
      <c r="FR253" s="569"/>
      <c r="FS253" s="569"/>
      <c r="FT253" s="569"/>
      <c r="FU253" s="569"/>
      <c r="FV253" s="569"/>
      <c r="FW253" s="569"/>
      <c r="FX253" s="569"/>
      <c r="FY253" s="569"/>
      <c r="FZ253" s="569"/>
      <c r="GA253" s="569"/>
      <c r="GB253" s="569"/>
      <c r="GC253" s="569"/>
      <c r="GD253" s="569"/>
      <c r="GE253" s="569"/>
      <c r="GF253" s="569"/>
      <c r="GG253" s="569"/>
      <c r="GH253" s="569"/>
      <c r="GI253" s="569"/>
      <c r="GJ253" s="569"/>
      <c r="GK253" s="569"/>
      <c r="GL253" s="569"/>
      <c r="GM253" s="569"/>
      <c r="GN253" s="569"/>
      <c r="GO253" s="569"/>
      <c r="GP253" s="569"/>
      <c r="GQ253" s="569"/>
      <c r="GR253" s="569"/>
      <c r="GS253" s="569"/>
      <c r="GT253" s="569"/>
    </row>
    <row r="254" spans="2:202" s="554" customFormat="1" ht="18" customHeight="1">
      <c r="B254" s="578"/>
      <c r="C254" s="1149"/>
      <c r="D254" s="1149"/>
      <c r="E254" s="1149"/>
      <c r="F254" s="1149"/>
      <c r="G254" s="1149"/>
      <c r="H254" s="1149"/>
      <c r="I254" s="1149"/>
      <c r="J254" s="1149"/>
      <c r="K254" s="1149"/>
      <c r="L254" s="1149"/>
      <c r="M254" s="578"/>
      <c r="N254" s="578"/>
      <c r="O254" s="578"/>
      <c r="P254" s="578"/>
      <c r="Q254" s="578"/>
      <c r="R254" s="578"/>
      <c r="S254" s="578"/>
      <c r="T254" s="578"/>
      <c r="U254" s="578"/>
      <c r="V254" s="578"/>
      <c r="W254" s="578"/>
      <c r="X254" s="578"/>
      <c r="Y254" s="578"/>
      <c r="Z254" s="578"/>
      <c r="AA254" s="578"/>
      <c r="AB254" s="578"/>
      <c r="AC254" s="578"/>
      <c r="AD254" s="578"/>
      <c r="AE254" s="578"/>
      <c r="AF254" s="578"/>
      <c r="AG254" s="578"/>
      <c r="AH254" s="548"/>
      <c r="AI254" s="548"/>
      <c r="AJ254" s="548"/>
      <c r="AK254" s="548"/>
      <c r="AL254" s="548"/>
      <c r="AM254" s="548"/>
      <c r="AN254" s="548"/>
      <c r="AO254" s="548"/>
      <c r="AP254" s="548"/>
      <c r="AQ254" s="548"/>
      <c r="AR254" s="548"/>
      <c r="AS254" s="548"/>
      <c r="AT254" s="548"/>
      <c r="AU254" s="548"/>
      <c r="AV254" s="548"/>
      <c r="AW254" s="548"/>
      <c r="AX254" s="548"/>
      <c r="AY254" s="548"/>
      <c r="AZ254" s="548"/>
      <c r="BA254" s="548"/>
      <c r="BB254" s="548"/>
      <c r="BC254" s="548"/>
      <c r="BD254" s="569"/>
      <c r="BE254" s="569"/>
      <c r="BF254" s="569"/>
      <c r="BG254" s="569"/>
      <c r="BH254" s="569"/>
      <c r="BI254" s="569"/>
      <c r="BJ254" s="569"/>
      <c r="BK254" s="569"/>
      <c r="BL254" s="569"/>
      <c r="BM254" s="569"/>
      <c r="BN254" s="569"/>
      <c r="BO254" s="569"/>
      <c r="BP254" s="569"/>
      <c r="BQ254" s="569"/>
      <c r="BR254" s="569"/>
      <c r="BS254" s="569"/>
      <c r="BT254" s="569"/>
      <c r="BU254" s="569"/>
      <c r="BV254" s="569"/>
      <c r="BW254" s="569"/>
      <c r="BX254" s="569"/>
      <c r="BY254" s="569"/>
      <c r="BZ254" s="569"/>
      <c r="CA254" s="569"/>
      <c r="CB254" s="569"/>
      <c r="CC254" s="569"/>
      <c r="CD254" s="569"/>
      <c r="CE254" s="569"/>
      <c r="CF254" s="569"/>
      <c r="CG254" s="569"/>
      <c r="CH254" s="569"/>
      <c r="CI254" s="569"/>
      <c r="CJ254" s="569"/>
      <c r="CK254" s="569"/>
      <c r="CL254" s="569"/>
      <c r="CM254" s="569"/>
      <c r="CN254" s="569"/>
      <c r="CO254" s="569"/>
      <c r="CP254" s="569"/>
      <c r="CQ254" s="569"/>
      <c r="CR254" s="569"/>
      <c r="CS254" s="569"/>
      <c r="CT254" s="569"/>
      <c r="CU254" s="569"/>
      <c r="CV254" s="569"/>
      <c r="CW254" s="569"/>
      <c r="CX254" s="569"/>
      <c r="CY254" s="569"/>
      <c r="CZ254" s="569"/>
      <c r="DA254" s="569"/>
      <c r="DB254" s="569"/>
      <c r="DC254" s="569"/>
      <c r="DD254" s="569"/>
      <c r="DE254" s="569"/>
      <c r="DF254" s="569"/>
      <c r="DG254" s="569"/>
      <c r="DH254" s="569"/>
      <c r="DI254" s="569"/>
      <c r="DJ254" s="569"/>
      <c r="DK254" s="569"/>
      <c r="DL254" s="569"/>
      <c r="DM254" s="569"/>
      <c r="DN254" s="569"/>
      <c r="DO254" s="569"/>
      <c r="DP254" s="569"/>
      <c r="DQ254" s="569"/>
      <c r="DR254" s="569"/>
      <c r="DS254" s="569"/>
      <c r="DT254" s="569"/>
      <c r="DU254" s="569"/>
      <c r="DV254" s="569"/>
      <c r="DW254" s="569"/>
      <c r="DX254" s="569"/>
      <c r="DY254" s="569"/>
      <c r="DZ254" s="569"/>
      <c r="EA254" s="569"/>
      <c r="EB254" s="569"/>
      <c r="EC254" s="569"/>
      <c r="ED254" s="569"/>
      <c r="EE254" s="569"/>
      <c r="EF254" s="569"/>
      <c r="EG254" s="569"/>
      <c r="EH254" s="569"/>
      <c r="EI254" s="569"/>
      <c r="EJ254" s="569"/>
      <c r="EK254" s="569"/>
      <c r="EL254" s="569"/>
      <c r="EM254" s="569"/>
      <c r="EN254" s="569"/>
      <c r="EO254" s="569"/>
      <c r="EP254" s="569"/>
      <c r="EQ254" s="569"/>
      <c r="ER254" s="569"/>
      <c r="ES254" s="569"/>
      <c r="ET254" s="569"/>
      <c r="EU254" s="569"/>
      <c r="EV254" s="569"/>
      <c r="EW254" s="569"/>
      <c r="EX254" s="569"/>
      <c r="EY254" s="569"/>
      <c r="EZ254" s="569"/>
      <c r="FA254" s="569"/>
      <c r="FB254" s="569"/>
      <c r="FC254" s="569"/>
      <c r="FD254" s="569"/>
      <c r="FE254" s="569"/>
      <c r="FF254" s="569"/>
      <c r="FG254" s="569"/>
      <c r="FH254" s="569"/>
      <c r="FI254" s="569"/>
      <c r="FJ254" s="569"/>
      <c r="FK254" s="569"/>
      <c r="FL254" s="569"/>
      <c r="FM254" s="569"/>
      <c r="FN254" s="569"/>
      <c r="FO254" s="569"/>
      <c r="FP254" s="569"/>
      <c r="FQ254" s="569"/>
      <c r="FR254" s="569"/>
      <c r="FS254" s="569"/>
      <c r="FT254" s="569"/>
      <c r="FU254" s="569"/>
      <c r="FV254" s="569"/>
      <c r="FW254" s="569"/>
      <c r="FX254" s="569"/>
      <c r="FY254" s="569"/>
      <c r="FZ254" s="569"/>
      <c r="GA254" s="569"/>
      <c r="GB254" s="569"/>
      <c r="GC254" s="569"/>
      <c r="GD254" s="569"/>
      <c r="GE254" s="569"/>
      <c r="GF254" s="569"/>
      <c r="GG254" s="569"/>
      <c r="GH254" s="569"/>
      <c r="GI254" s="569"/>
      <c r="GJ254" s="569"/>
      <c r="GK254" s="569"/>
      <c r="GL254" s="569"/>
      <c r="GM254" s="569"/>
      <c r="GN254" s="569"/>
      <c r="GO254" s="569"/>
      <c r="GP254" s="569"/>
      <c r="GQ254" s="569"/>
      <c r="GR254" s="569"/>
      <c r="GS254" s="569"/>
      <c r="GT254" s="569"/>
    </row>
    <row r="255" spans="2:202" s="554" customFormat="1" ht="18" customHeight="1">
      <c r="B255" s="578"/>
      <c r="C255" s="1149"/>
      <c r="D255" s="1149"/>
      <c r="E255" s="1149"/>
      <c r="F255" s="1149"/>
      <c r="G255" s="1149"/>
      <c r="H255" s="1149"/>
      <c r="I255" s="1149"/>
      <c r="J255" s="1149"/>
      <c r="K255" s="1149"/>
      <c r="L255" s="1149"/>
      <c r="M255" s="578"/>
      <c r="N255" s="578"/>
      <c r="O255" s="578"/>
      <c r="P255" s="578"/>
      <c r="Q255" s="578"/>
      <c r="R255" s="578"/>
      <c r="S255" s="578"/>
      <c r="T255" s="578"/>
      <c r="U255" s="578"/>
      <c r="V255" s="578"/>
      <c r="W255" s="578"/>
      <c r="X255" s="578"/>
      <c r="Y255" s="578"/>
      <c r="Z255" s="578"/>
      <c r="AA255" s="578"/>
      <c r="AB255" s="578"/>
      <c r="AC255" s="578"/>
      <c r="AD255" s="578"/>
      <c r="AE255" s="578"/>
      <c r="AF255" s="578"/>
      <c r="AG255" s="578"/>
      <c r="AH255" s="548"/>
      <c r="AI255" s="548"/>
      <c r="AJ255" s="548"/>
      <c r="AK255" s="548"/>
      <c r="AL255" s="548"/>
      <c r="AM255" s="548"/>
      <c r="AN255" s="548"/>
      <c r="AO255" s="548"/>
      <c r="AP255" s="548"/>
      <c r="AQ255" s="548"/>
      <c r="AR255" s="548"/>
      <c r="AS255" s="548"/>
      <c r="AT255" s="548"/>
      <c r="AU255" s="548"/>
      <c r="AV255" s="548"/>
      <c r="AW255" s="548"/>
      <c r="AX255" s="548"/>
      <c r="AY255" s="548"/>
      <c r="AZ255" s="548"/>
      <c r="BA255" s="548"/>
      <c r="BB255" s="548"/>
      <c r="BC255" s="548"/>
      <c r="BD255" s="569"/>
      <c r="BE255" s="569"/>
      <c r="BF255" s="569"/>
      <c r="BG255" s="569"/>
      <c r="BH255" s="569"/>
      <c r="BI255" s="569"/>
      <c r="BJ255" s="569"/>
      <c r="BK255" s="569"/>
      <c r="BL255" s="569"/>
      <c r="BM255" s="569"/>
      <c r="BN255" s="569"/>
      <c r="BO255" s="569"/>
      <c r="BP255" s="569"/>
      <c r="BQ255" s="569"/>
      <c r="BR255" s="569"/>
      <c r="BS255" s="569"/>
      <c r="BT255" s="569"/>
      <c r="BU255" s="569"/>
      <c r="BV255" s="569"/>
      <c r="BW255" s="569"/>
      <c r="BX255" s="569"/>
      <c r="BY255" s="569"/>
      <c r="BZ255" s="569"/>
      <c r="CA255" s="569"/>
      <c r="CB255" s="569"/>
      <c r="CC255" s="569"/>
      <c r="CD255" s="569"/>
      <c r="CE255" s="569"/>
      <c r="CF255" s="569"/>
      <c r="CG255" s="569"/>
      <c r="CH255" s="569"/>
      <c r="CI255" s="569"/>
      <c r="CJ255" s="569"/>
      <c r="CK255" s="569"/>
      <c r="CL255" s="569"/>
      <c r="CM255" s="569"/>
      <c r="CN255" s="569"/>
      <c r="CO255" s="569"/>
      <c r="CP255" s="569"/>
      <c r="CQ255" s="569"/>
      <c r="CR255" s="569"/>
      <c r="CS255" s="569"/>
      <c r="CT255" s="569"/>
      <c r="CU255" s="569"/>
      <c r="CV255" s="569"/>
      <c r="CW255" s="569"/>
      <c r="CX255" s="569"/>
      <c r="CY255" s="569"/>
      <c r="CZ255" s="569"/>
      <c r="DA255" s="569"/>
      <c r="DB255" s="569"/>
      <c r="DC255" s="569"/>
      <c r="DD255" s="569"/>
      <c r="DE255" s="569"/>
      <c r="DF255" s="569"/>
      <c r="DG255" s="569"/>
      <c r="DH255" s="569"/>
      <c r="DI255" s="569"/>
      <c r="DJ255" s="569"/>
      <c r="DK255" s="569"/>
      <c r="DL255" s="569"/>
      <c r="DM255" s="569"/>
      <c r="DN255" s="569"/>
      <c r="DO255" s="569"/>
      <c r="DP255" s="569"/>
      <c r="DQ255" s="569"/>
      <c r="DR255" s="569"/>
      <c r="DS255" s="569"/>
      <c r="DT255" s="569"/>
      <c r="DU255" s="569"/>
      <c r="DV255" s="569"/>
      <c r="DW255" s="569"/>
      <c r="DX255" s="569"/>
      <c r="DY255" s="569"/>
      <c r="DZ255" s="569"/>
      <c r="EA255" s="569"/>
      <c r="EB255" s="569"/>
      <c r="EC255" s="569"/>
      <c r="ED255" s="569"/>
      <c r="EE255" s="569"/>
      <c r="EF255" s="569"/>
      <c r="EG255" s="569"/>
      <c r="EH255" s="569"/>
      <c r="EI255" s="569"/>
      <c r="EJ255" s="569"/>
      <c r="EK255" s="569"/>
      <c r="EL255" s="569"/>
      <c r="EM255" s="569"/>
      <c r="EN255" s="569"/>
      <c r="EO255" s="569"/>
      <c r="EP255" s="569"/>
      <c r="EQ255" s="569"/>
      <c r="ER255" s="569"/>
      <c r="ES255" s="569"/>
      <c r="ET255" s="569"/>
      <c r="EU255" s="569"/>
      <c r="EV255" s="569"/>
      <c r="EW255" s="569"/>
      <c r="EX255" s="569"/>
      <c r="EY255" s="569"/>
      <c r="EZ255" s="569"/>
      <c r="FA255" s="569"/>
      <c r="FB255" s="569"/>
      <c r="FC255" s="569"/>
      <c r="FD255" s="569"/>
      <c r="FE255" s="569"/>
      <c r="FF255" s="569"/>
      <c r="FG255" s="569"/>
      <c r="FH255" s="569"/>
      <c r="FI255" s="569"/>
      <c r="FJ255" s="569"/>
      <c r="FK255" s="569"/>
      <c r="FL255" s="569"/>
      <c r="FM255" s="569"/>
      <c r="FN255" s="569"/>
      <c r="FO255" s="569"/>
      <c r="FP255" s="569"/>
      <c r="FQ255" s="569"/>
      <c r="FR255" s="569"/>
      <c r="FS255" s="569"/>
      <c r="FT255" s="569"/>
      <c r="FU255" s="569"/>
      <c r="FV255" s="569"/>
      <c r="FW255" s="569"/>
      <c r="FX255" s="569"/>
      <c r="FY255" s="569"/>
      <c r="FZ255" s="569"/>
      <c r="GA255" s="569"/>
      <c r="GB255" s="569"/>
      <c r="GC255" s="569"/>
      <c r="GD255" s="569"/>
      <c r="GE255" s="569"/>
      <c r="GF255" s="569"/>
      <c r="GG255" s="569"/>
      <c r="GH255" s="569"/>
      <c r="GI255" s="569"/>
      <c r="GJ255" s="569"/>
      <c r="GK255" s="569"/>
      <c r="GL255" s="569"/>
      <c r="GM255" s="569"/>
      <c r="GN255" s="569"/>
      <c r="GO255" s="569"/>
      <c r="GP255" s="569"/>
      <c r="GQ255" s="569"/>
      <c r="GR255" s="569"/>
      <c r="GS255" s="569"/>
      <c r="GT255" s="569"/>
    </row>
    <row r="256" spans="2:202" s="554" customFormat="1" ht="18" customHeight="1">
      <c r="B256" s="578"/>
      <c r="C256" s="1149"/>
      <c r="D256" s="1149"/>
      <c r="E256" s="1149"/>
      <c r="F256" s="1149"/>
      <c r="G256" s="1149"/>
      <c r="H256" s="1149"/>
      <c r="I256" s="1149"/>
      <c r="J256" s="1149"/>
      <c r="K256" s="1149"/>
      <c r="L256" s="1149"/>
      <c r="M256" s="578"/>
      <c r="N256" s="578"/>
      <c r="O256" s="578"/>
      <c r="P256" s="578"/>
      <c r="Q256" s="578"/>
      <c r="R256" s="578"/>
      <c r="S256" s="578"/>
      <c r="T256" s="578"/>
      <c r="U256" s="578"/>
      <c r="V256" s="578"/>
      <c r="W256" s="578"/>
      <c r="X256" s="578"/>
      <c r="Y256" s="578"/>
      <c r="Z256" s="578"/>
      <c r="AA256" s="578"/>
      <c r="AB256" s="578"/>
      <c r="AC256" s="578"/>
      <c r="AD256" s="578"/>
      <c r="AE256" s="578"/>
      <c r="AF256" s="578"/>
      <c r="AG256" s="578"/>
      <c r="AH256" s="548"/>
      <c r="AI256" s="548"/>
      <c r="AJ256" s="548"/>
      <c r="AK256" s="548"/>
      <c r="AL256" s="548"/>
      <c r="AM256" s="548"/>
      <c r="AN256" s="548"/>
      <c r="AO256" s="548"/>
      <c r="AP256" s="548"/>
      <c r="AQ256" s="548"/>
      <c r="AR256" s="548"/>
      <c r="AS256" s="548"/>
      <c r="AT256" s="548"/>
      <c r="AU256" s="548"/>
      <c r="AV256" s="548"/>
      <c r="AW256" s="548"/>
      <c r="AX256" s="548"/>
      <c r="AY256" s="548"/>
      <c r="AZ256" s="548"/>
      <c r="BA256" s="548"/>
      <c r="BB256" s="548"/>
      <c r="BC256" s="548"/>
      <c r="BD256" s="569"/>
      <c r="BE256" s="569"/>
      <c r="BF256" s="569"/>
      <c r="BG256" s="569"/>
      <c r="BH256" s="569"/>
      <c r="BI256" s="569"/>
      <c r="BJ256" s="569"/>
      <c r="BK256" s="569"/>
      <c r="BL256" s="569"/>
      <c r="BM256" s="569"/>
      <c r="BN256" s="569"/>
      <c r="BO256" s="569"/>
      <c r="BP256" s="569"/>
      <c r="BQ256" s="569"/>
      <c r="BR256" s="569"/>
      <c r="BS256" s="569"/>
      <c r="BT256" s="569"/>
      <c r="BU256" s="569"/>
      <c r="BV256" s="569"/>
      <c r="BW256" s="569"/>
      <c r="BX256" s="569"/>
      <c r="BY256" s="569"/>
      <c r="BZ256" s="569"/>
      <c r="CA256" s="569"/>
      <c r="CB256" s="569"/>
      <c r="CC256" s="569"/>
      <c r="CD256" s="569"/>
      <c r="CE256" s="569"/>
      <c r="CF256" s="569"/>
      <c r="CG256" s="569"/>
      <c r="CH256" s="569"/>
      <c r="CI256" s="569"/>
      <c r="CJ256" s="569"/>
      <c r="CK256" s="569"/>
      <c r="CL256" s="569"/>
      <c r="CM256" s="569"/>
      <c r="CN256" s="569"/>
      <c r="CO256" s="569"/>
      <c r="CP256" s="569"/>
      <c r="CQ256" s="569"/>
      <c r="CR256" s="569"/>
      <c r="CS256" s="569"/>
      <c r="CT256" s="569"/>
      <c r="CU256" s="569"/>
      <c r="CV256" s="569"/>
      <c r="CW256" s="569"/>
      <c r="CX256" s="569"/>
      <c r="CY256" s="569"/>
      <c r="CZ256" s="569"/>
      <c r="DA256" s="569"/>
      <c r="DB256" s="569"/>
      <c r="DC256" s="569"/>
      <c r="DD256" s="569"/>
      <c r="DE256" s="569"/>
      <c r="DF256" s="569"/>
      <c r="DG256" s="569"/>
      <c r="DH256" s="569"/>
      <c r="DI256" s="569"/>
      <c r="DJ256" s="569"/>
      <c r="DK256" s="569"/>
      <c r="DL256" s="569"/>
      <c r="DM256" s="569"/>
      <c r="DN256" s="569"/>
      <c r="DO256" s="569"/>
      <c r="DP256" s="569"/>
      <c r="DQ256" s="569"/>
      <c r="DR256" s="569"/>
      <c r="DS256" s="569"/>
      <c r="DT256" s="569"/>
      <c r="DU256" s="569"/>
      <c r="DV256" s="569"/>
      <c r="DW256" s="569"/>
      <c r="DX256" s="569"/>
      <c r="DY256" s="569"/>
      <c r="DZ256" s="569"/>
      <c r="EA256" s="569"/>
      <c r="EB256" s="569"/>
      <c r="EC256" s="569"/>
      <c r="ED256" s="569"/>
      <c r="EE256" s="569"/>
      <c r="EF256" s="569"/>
      <c r="EG256" s="569"/>
      <c r="EH256" s="569"/>
      <c r="EI256" s="569"/>
      <c r="EJ256" s="569"/>
      <c r="EK256" s="569"/>
      <c r="EL256" s="569"/>
      <c r="EM256" s="569"/>
      <c r="EN256" s="569"/>
      <c r="EO256" s="569"/>
      <c r="EP256" s="569"/>
      <c r="EQ256" s="569"/>
      <c r="ER256" s="569"/>
      <c r="ES256" s="569"/>
      <c r="ET256" s="569"/>
      <c r="EU256" s="569"/>
      <c r="EV256" s="569"/>
      <c r="EW256" s="569"/>
      <c r="EX256" s="569"/>
      <c r="EY256" s="569"/>
      <c r="EZ256" s="569"/>
      <c r="FA256" s="569"/>
      <c r="FB256" s="569"/>
      <c r="FC256" s="569"/>
      <c r="FD256" s="569"/>
      <c r="FE256" s="569"/>
      <c r="FF256" s="569"/>
      <c r="FG256" s="569"/>
      <c r="FH256" s="569"/>
      <c r="FI256" s="569"/>
      <c r="FJ256" s="569"/>
      <c r="FK256" s="569"/>
      <c r="FL256" s="569"/>
      <c r="FM256" s="569"/>
      <c r="FN256" s="569"/>
      <c r="FO256" s="569"/>
      <c r="FP256" s="569"/>
      <c r="FQ256" s="569"/>
      <c r="FR256" s="569"/>
      <c r="FS256" s="569"/>
      <c r="FT256" s="569"/>
      <c r="FU256" s="569"/>
      <c r="FV256" s="569"/>
      <c r="FW256" s="569"/>
      <c r="FX256" s="569"/>
      <c r="FY256" s="569"/>
      <c r="FZ256" s="569"/>
      <c r="GA256" s="569"/>
      <c r="GB256" s="569"/>
      <c r="GC256" s="569"/>
      <c r="GD256" s="569"/>
      <c r="GE256" s="569"/>
      <c r="GF256" s="569"/>
      <c r="GG256" s="569"/>
      <c r="GH256" s="569"/>
      <c r="GI256" s="569"/>
      <c r="GJ256" s="569"/>
      <c r="GK256" s="569"/>
      <c r="GL256" s="569"/>
      <c r="GM256" s="569"/>
      <c r="GN256" s="569"/>
      <c r="GO256" s="569"/>
      <c r="GP256" s="569"/>
      <c r="GQ256" s="569"/>
      <c r="GR256" s="569"/>
      <c r="GS256" s="569"/>
      <c r="GT256" s="569"/>
    </row>
    <row r="257" spans="2:202" s="554" customFormat="1" ht="18" customHeight="1">
      <c r="B257" s="578"/>
      <c r="C257" s="1149"/>
      <c r="D257" s="1149"/>
      <c r="E257" s="1149"/>
      <c r="F257" s="1149"/>
      <c r="G257" s="1149"/>
      <c r="H257" s="1149"/>
      <c r="I257" s="1149"/>
      <c r="J257" s="1149"/>
      <c r="K257" s="1149"/>
      <c r="L257" s="1149"/>
      <c r="M257" s="578"/>
      <c r="N257" s="578"/>
      <c r="O257" s="578"/>
      <c r="P257" s="578"/>
      <c r="Q257" s="578"/>
      <c r="R257" s="578"/>
      <c r="S257" s="578"/>
      <c r="T257" s="578"/>
      <c r="U257" s="578"/>
      <c r="V257" s="578"/>
      <c r="W257" s="578"/>
      <c r="X257" s="578"/>
      <c r="Y257" s="578"/>
      <c r="Z257" s="578"/>
      <c r="AA257" s="578"/>
      <c r="AB257" s="578"/>
      <c r="AC257" s="578"/>
      <c r="AD257" s="578"/>
      <c r="AE257" s="578"/>
      <c r="AF257" s="578"/>
      <c r="AG257" s="578"/>
      <c r="AH257" s="548"/>
      <c r="AI257" s="548"/>
      <c r="AJ257" s="548"/>
      <c r="AK257" s="548"/>
      <c r="AL257" s="548"/>
      <c r="AM257" s="548"/>
      <c r="AN257" s="548"/>
      <c r="AO257" s="548"/>
      <c r="AP257" s="548"/>
      <c r="AQ257" s="548"/>
      <c r="AR257" s="548"/>
      <c r="AS257" s="548"/>
      <c r="AT257" s="548"/>
      <c r="AU257" s="548"/>
      <c r="AV257" s="548"/>
      <c r="AW257" s="548"/>
      <c r="AX257" s="548"/>
      <c r="AY257" s="548"/>
      <c r="AZ257" s="548"/>
      <c r="BA257" s="548"/>
      <c r="BB257" s="548"/>
      <c r="BC257" s="548"/>
      <c r="BD257" s="569"/>
      <c r="BE257" s="569"/>
      <c r="BF257" s="569"/>
      <c r="BG257" s="569"/>
      <c r="BH257" s="569"/>
      <c r="BI257" s="569"/>
      <c r="BJ257" s="569"/>
      <c r="BK257" s="569"/>
      <c r="BL257" s="569"/>
      <c r="BM257" s="569"/>
      <c r="BN257" s="569"/>
      <c r="BO257" s="569"/>
      <c r="BP257" s="569"/>
      <c r="BQ257" s="569"/>
      <c r="BR257" s="569"/>
      <c r="BS257" s="569"/>
      <c r="BT257" s="569"/>
      <c r="BU257" s="569"/>
      <c r="BV257" s="569"/>
      <c r="BW257" s="569"/>
      <c r="BX257" s="569"/>
      <c r="BY257" s="569"/>
      <c r="BZ257" s="569"/>
      <c r="CA257" s="569"/>
      <c r="CB257" s="569"/>
      <c r="CC257" s="569"/>
      <c r="CD257" s="569"/>
      <c r="CE257" s="569"/>
      <c r="CF257" s="569"/>
      <c r="CG257" s="569"/>
      <c r="CH257" s="569"/>
      <c r="CI257" s="569"/>
      <c r="CJ257" s="569"/>
      <c r="CK257" s="569"/>
      <c r="CL257" s="569"/>
      <c r="CM257" s="569"/>
      <c r="CN257" s="569"/>
      <c r="CO257" s="569"/>
      <c r="CP257" s="569"/>
      <c r="CQ257" s="569"/>
      <c r="CR257" s="569"/>
      <c r="CS257" s="569"/>
      <c r="CT257" s="569"/>
      <c r="CU257" s="569"/>
      <c r="CV257" s="569"/>
      <c r="CW257" s="569"/>
      <c r="CX257" s="569"/>
      <c r="CY257" s="569"/>
      <c r="CZ257" s="569"/>
      <c r="DA257" s="569"/>
      <c r="DB257" s="569"/>
      <c r="DC257" s="569"/>
      <c r="DD257" s="569"/>
      <c r="DE257" s="569"/>
      <c r="DF257" s="569"/>
      <c r="DG257" s="569"/>
      <c r="DH257" s="569"/>
      <c r="DI257" s="569"/>
      <c r="DJ257" s="569"/>
      <c r="DK257" s="569"/>
      <c r="DL257" s="569"/>
      <c r="DM257" s="569"/>
      <c r="DN257" s="569"/>
      <c r="DO257" s="569"/>
      <c r="DP257" s="569"/>
      <c r="DQ257" s="569"/>
      <c r="DR257" s="569"/>
      <c r="DS257" s="569"/>
      <c r="DT257" s="569"/>
      <c r="DU257" s="569"/>
      <c r="DV257" s="569"/>
      <c r="DW257" s="569"/>
      <c r="DX257" s="569"/>
      <c r="DY257" s="569"/>
      <c r="DZ257" s="569"/>
      <c r="EA257" s="569"/>
      <c r="EB257" s="569"/>
      <c r="EC257" s="569"/>
      <c r="ED257" s="569"/>
      <c r="EE257" s="569"/>
      <c r="EF257" s="569"/>
      <c r="EG257" s="569"/>
      <c r="EH257" s="569"/>
      <c r="EI257" s="569"/>
      <c r="EJ257" s="569"/>
      <c r="EK257" s="569"/>
      <c r="EL257" s="569"/>
      <c r="EM257" s="569"/>
      <c r="EN257" s="569"/>
      <c r="EO257" s="569"/>
      <c r="EP257" s="569"/>
      <c r="EQ257" s="569"/>
      <c r="ER257" s="569"/>
      <c r="ES257" s="569"/>
      <c r="ET257" s="569"/>
      <c r="EU257" s="569"/>
      <c r="EV257" s="569"/>
      <c r="EW257" s="569"/>
      <c r="EX257" s="569"/>
      <c r="EY257" s="569"/>
      <c r="EZ257" s="569"/>
      <c r="FA257" s="569"/>
      <c r="FB257" s="569"/>
      <c r="FC257" s="569"/>
      <c r="FD257" s="569"/>
      <c r="FE257" s="569"/>
      <c r="FF257" s="569"/>
      <c r="FG257" s="569"/>
      <c r="FH257" s="569"/>
      <c r="FI257" s="569"/>
      <c r="FJ257" s="569"/>
      <c r="FK257" s="569"/>
      <c r="FL257" s="569"/>
      <c r="FM257" s="569"/>
      <c r="FN257" s="569"/>
      <c r="FO257" s="569"/>
      <c r="FP257" s="569"/>
      <c r="FQ257" s="569"/>
      <c r="FR257" s="569"/>
      <c r="FS257" s="569"/>
      <c r="FT257" s="569"/>
      <c r="FU257" s="569"/>
      <c r="FV257" s="569"/>
      <c r="FW257" s="569"/>
      <c r="FX257" s="569"/>
      <c r="FY257" s="569"/>
      <c r="FZ257" s="569"/>
      <c r="GA257" s="569"/>
      <c r="GB257" s="569"/>
      <c r="GC257" s="569"/>
      <c r="GD257" s="569"/>
      <c r="GE257" s="569"/>
      <c r="GF257" s="569"/>
      <c r="GG257" s="569"/>
      <c r="GH257" s="569"/>
      <c r="GI257" s="569"/>
      <c r="GJ257" s="569"/>
      <c r="GK257" s="569"/>
      <c r="GL257" s="569"/>
      <c r="GM257" s="569"/>
      <c r="GN257" s="569"/>
      <c r="GO257" s="569"/>
      <c r="GP257" s="569"/>
      <c r="GQ257" s="569"/>
      <c r="GR257" s="569"/>
      <c r="GS257" s="569"/>
      <c r="GT257" s="569"/>
    </row>
    <row r="258" spans="2:202" s="554" customFormat="1" ht="18" customHeight="1">
      <c r="B258" s="578"/>
      <c r="C258" s="1149"/>
      <c r="D258" s="1149"/>
      <c r="E258" s="1149"/>
      <c r="F258" s="1149"/>
      <c r="G258" s="1149"/>
      <c r="H258" s="1149"/>
      <c r="I258" s="1149"/>
      <c r="J258" s="1149"/>
      <c r="K258" s="1149"/>
      <c r="L258" s="1149"/>
      <c r="M258" s="578"/>
      <c r="N258" s="578"/>
      <c r="O258" s="578"/>
      <c r="P258" s="578"/>
      <c r="Q258" s="578"/>
      <c r="R258" s="578"/>
      <c r="S258" s="578"/>
      <c r="T258" s="578"/>
      <c r="U258" s="578"/>
      <c r="V258" s="578"/>
      <c r="W258" s="578"/>
      <c r="X258" s="578"/>
      <c r="Y258" s="578"/>
      <c r="Z258" s="578"/>
      <c r="AA258" s="578"/>
      <c r="AB258" s="578"/>
      <c r="AC258" s="578"/>
      <c r="AD258" s="578"/>
      <c r="AE258" s="578"/>
      <c r="AF258" s="578"/>
      <c r="AG258" s="578"/>
      <c r="AH258" s="548"/>
      <c r="AI258" s="548"/>
      <c r="AJ258" s="548"/>
      <c r="AK258" s="548"/>
      <c r="AL258" s="548"/>
      <c r="AM258" s="548"/>
      <c r="AN258" s="548"/>
      <c r="AO258" s="548"/>
      <c r="AP258" s="548"/>
      <c r="AQ258" s="548"/>
      <c r="AR258" s="548"/>
      <c r="AS258" s="548"/>
      <c r="AT258" s="548"/>
      <c r="AU258" s="548"/>
      <c r="AV258" s="548"/>
      <c r="AW258" s="548"/>
      <c r="AX258" s="548"/>
      <c r="AY258" s="548"/>
      <c r="AZ258" s="548"/>
      <c r="BA258" s="548"/>
      <c r="BB258" s="548"/>
      <c r="BC258" s="548"/>
      <c r="BD258" s="569"/>
      <c r="BE258" s="569"/>
      <c r="BF258" s="569"/>
      <c r="BG258" s="569"/>
      <c r="BH258" s="569"/>
      <c r="BI258" s="569"/>
      <c r="BJ258" s="569"/>
      <c r="BK258" s="569"/>
      <c r="BL258" s="569"/>
      <c r="BM258" s="569"/>
      <c r="BN258" s="569"/>
      <c r="BO258" s="569"/>
      <c r="BP258" s="569"/>
      <c r="BQ258" s="569"/>
      <c r="BR258" s="569"/>
      <c r="BS258" s="569"/>
      <c r="BT258" s="569"/>
      <c r="BU258" s="569"/>
      <c r="BV258" s="569"/>
      <c r="BW258" s="569"/>
      <c r="BX258" s="569"/>
      <c r="BY258" s="569"/>
      <c r="BZ258" s="569"/>
      <c r="CA258" s="569"/>
      <c r="CB258" s="569"/>
      <c r="CC258" s="569"/>
      <c r="CD258" s="569"/>
      <c r="CE258" s="569"/>
      <c r="CF258" s="569"/>
      <c r="CG258" s="569"/>
      <c r="CH258" s="569"/>
      <c r="CI258" s="569"/>
      <c r="CJ258" s="569"/>
      <c r="CK258" s="569"/>
      <c r="CL258" s="569"/>
      <c r="CM258" s="569"/>
      <c r="CN258" s="569"/>
      <c r="CO258" s="569"/>
      <c r="CP258" s="569"/>
      <c r="CQ258" s="569"/>
      <c r="CR258" s="569"/>
      <c r="CS258" s="569"/>
      <c r="CT258" s="569"/>
      <c r="CU258" s="569"/>
      <c r="CV258" s="569"/>
      <c r="CW258" s="569"/>
      <c r="CX258" s="569"/>
      <c r="CY258" s="569"/>
      <c r="CZ258" s="569"/>
      <c r="DA258" s="569"/>
      <c r="DB258" s="569"/>
      <c r="DC258" s="569"/>
      <c r="DD258" s="569"/>
      <c r="DE258" s="569"/>
      <c r="DF258" s="569"/>
      <c r="DG258" s="569"/>
      <c r="DH258" s="569"/>
      <c r="DI258" s="569"/>
      <c r="DJ258" s="569"/>
      <c r="DK258" s="569"/>
      <c r="DL258" s="569"/>
      <c r="DM258" s="569"/>
      <c r="DN258" s="569"/>
      <c r="DO258" s="569"/>
      <c r="DP258" s="569"/>
      <c r="DQ258" s="569"/>
      <c r="DR258" s="569"/>
      <c r="DS258" s="569"/>
      <c r="DT258" s="569"/>
      <c r="DU258" s="569"/>
      <c r="DV258" s="569"/>
      <c r="DW258" s="569"/>
      <c r="DX258" s="569"/>
      <c r="DY258" s="569"/>
      <c r="DZ258" s="569"/>
      <c r="EA258" s="569"/>
      <c r="EB258" s="569"/>
      <c r="EC258" s="569"/>
      <c r="ED258" s="569"/>
      <c r="EE258" s="569"/>
      <c r="EF258" s="569"/>
      <c r="EG258" s="569"/>
      <c r="EH258" s="569"/>
      <c r="EI258" s="569"/>
      <c r="EJ258" s="569"/>
      <c r="EK258" s="569"/>
      <c r="EL258" s="569"/>
      <c r="EM258" s="569"/>
      <c r="EN258" s="569"/>
      <c r="EO258" s="569"/>
      <c r="EP258" s="569"/>
      <c r="EQ258" s="569"/>
      <c r="ER258" s="569"/>
      <c r="ES258" s="569"/>
      <c r="ET258" s="569"/>
      <c r="EU258" s="569"/>
      <c r="EV258" s="569"/>
      <c r="EW258" s="569"/>
      <c r="EX258" s="569"/>
      <c r="EY258" s="569"/>
      <c r="EZ258" s="569"/>
      <c r="FA258" s="569"/>
      <c r="FB258" s="569"/>
      <c r="FC258" s="569"/>
      <c r="FD258" s="569"/>
      <c r="FE258" s="569"/>
      <c r="FF258" s="569"/>
      <c r="FG258" s="569"/>
      <c r="FH258" s="569"/>
      <c r="FI258" s="569"/>
      <c r="FJ258" s="569"/>
      <c r="FK258" s="569"/>
      <c r="FL258" s="569"/>
      <c r="FM258" s="569"/>
      <c r="FN258" s="569"/>
      <c r="FO258" s="569"/>
      <c r="FP258" s="569"/>
      <c r="FQ258" s="569"/>
      <c r="FR258" s="569"/>
      <c r="FS258" s="569"/>
      <c r="FT258" s="569"/>
      <c r="FU258" s="569"/>
      <c r="FV258" s="569"/>
      <c r="FW258" s="569"/>
      <c r="FX258" s="569"/>
      <c r="FY258" s="569"/>
      <c r="FZ258" s="569"/>
      <c r="GA258" s="569"/>
      <c r="GB258" s="569"/>
      <c r="GC258" s="569"/>
      <c r="GD258" s="569"/>
      <c r="GE258" s="569"/>
      <c r="GF258" s="569"/>
      <c r="GG258" s="569"/>
      <c r="GH258" s="569"/>
      <c r="GI258" s="569"/>
      <c r="GJ258" s="569"/>
      <c r="GK258" s="569"/>
      <c r="GL258" s="569"/>
      <c r="GM258" s="569"/>
      <c r="GN258" s="569"/>
      <c r="GO258" s="569"/>
      <c r="GP258" s="569"/>
      <c r="GQ258" s="569"/>
      <c r="GR258" s="569"/>
      <c r="GS258" s="569"/>
      <c r="GT258" s="569"/>
    </row>
    <row r="259" spans="2:202" s="554" customFormat="1" ht="18" customHeight="1">
      <c r="B259" s="578"/>
      <c r="C259" s="1149"/>
      <c r="D259" s="1149"/>
      <c r="E259" s="1149"/>
      <c r="F259" s="1149"/>
      <c r="G259" s="1149"/>
      <c r="H259" s="1149"/>
      <c r="I259" s="1149"/>
      <c r="J259" s="1149"/>
      <c r="K259" s="1149"/>
      <c r="L259" s="1149"/>
      <c r="M259" s="578"/>
      <c r="N259" s="578"/>
      <c r="O259" s="578"/>
      <c r="P259" s="578"/>
      <c r="Q259" s="578"/>
      <c r="R259" s="578"/>
      <c r="S259" s="578"/>
      <c r="T259" s="578"/>
      <c r="U259" s="578"/>
      <c r="V259" s="578"/>
      <c r="W259" s="578"/>
      <c r="X259" s="578"/>
      <c r="Y259" s="578"/>
      <c r="Z259" s="578"/>
      <c r="AA259" s="578"/>
      <c r="AB259" s="578"/>
      <c r="AC259" s="578"/>
      <c r="AD259" s="578"/>
      <c r="AE259" s="578"/>
      <c r="AF259" s="578"/>
      <c r="AG259" s="578"/>
      <c r="AH259" s="548"/>
      <c r="AI259" s="548"/>
      <c r="AJ259" s="548"/>
      <c r="AK259" s="548"/>
      <c r="AL259" s="548"/>
      <c r="AM259" s="548"/>
      <c r="AN259" s="548"/>
      <c r="AO259" s="548"/>
      <c r="AP259" s="548"/>
      <c r="AQ259" s="548"/>
      <c r="AR259" s="548"/>
      <c r="AS259" s="548"/>
      <c r="AT259" s="548"/>
      <c r="AU259" s="548"/>
      <c r="AV259" s="548"/>
      <c r="AW259" s="548"/>
      <c r="AX259" s="548"/>
      <c r="AY259" s="548"/>
      <c r="AZ259" s="548"/>
      <c r="BA259" s="548"/>
      <c r="BB259" s="548"/>
      <c r="BC259" s="548"/>
      <c r="BD259" s="569"/>
      <c r="BE259" s="569"/>
      <c r="BF259" s="569"/>
      <c r="BG259" s="569"/>
      <c r="BH259" s="569"/>
      <c r="BI259" s="569"/>
      <c r="BJ259" s="569"/>
      <c r="BK259" s="569"/>
      <c r="BL259" s="569"/>
      <c r="BM259" s="569"/>
      <c r="BN259" s="569"/>
      <c r="BO259" s="569"/>
      <c r="BP259" s="569"/>
      <c r="BQ259" s="569"/>
      <c r="BR259" s="569"/>
      <c r="BS259" s="569"/>
      <c r="BT259" s="569"/>
      <c r="BU259" s="569"/>
      <c r="BV259" s="569"/>
      <c r="BW259" s="569"/>
      <c r="BX259" s="569"/>
      <c r="BY259" s="569"/>
      <c r="BZ259" s="569"/>
      <c r="CA259" s="569"/>
      <c r="CB259" s="569"/>
      <c r="CC259" s="569"/>
      <c r="CD259" s="569"/>
      <c r="CE259" s="569"/>
      <c r="CF259" s="569"/>
      <c r="CG259" s="569"/>
      <c r="CH259" s="569"/>
      <c r="CI259" s="569"/>
      <c r="CJ259" s="569"/>
      <c r="CK259" s="569"/>
      <c r="CL259" s="569"/>
      <c r="CM259" s="569"/>
      <c r="CN259" s="569"/>
      <c r="CO259" s="569"/>
      <c r="CP259" s="569"/>
      <c r="CQ259" s="569"/>
      <c r="CR259" s="569"/>
      <c r="CS259" s="569"/>
      <c r="CT259" s="569"/>
      <c r="CU259" s="569"/>
      <c r="CV259" s="569"/>
      <c r="CW259" s="569"/>
      <c r="CX259" s="569"/>
      <c r="CY259" s="569"/>
      <c r="CZ259" s="569"/>
      <c r="DA259" s="569"/>
      <c r="DB259" s="569"/>
      <c r="DC259" s="569"/>
      <c r="DD259" s="569"/>
      <c r="DE259" s="569"/>
      <c r="DF259" s="569"/>
      <c r="DG259" s="569"/>
      <c r="DH259" s="569"/>
      <c r="DI259" s="569"/>
      <c r="DJ259" s="569"/>
      <c r="DK259" s="569"/>
      <c r="DL259" s="569"/>
      <c r="DM259" s="569"/>
      <c r="DN259" s="569"/>
      <c r="DO259" s="569"/>
      <c r="DP259" s="569"/>
      <c r="DQ259" s="569"/>
      <c r="DR259" s="569"/>
      <c r="DS259" s="569"/>
      <c r="DT259" s="569"/>
      <c r="DU259" s="569"/>
      <c r="DV259" s="569"/>
      <c r="DW259" s="569"/>
      <c r="DX259" s="569"/>
      <c r="DY259" s="569"/>
      <c r="DZ259" s="569"/>
      <c r="EA259" s="569"/>
      <c r="EB259" s="569"/>
      <c r="EC259" s="569"/>
      <c r="ED259" s="569"/>
      <c r="EE259" s="569"/>
      <c r="EF259" s="569"/>
      <c r="EG259" s="569"/>
      <c r="EH259" s="569"/>
      <c r="EI259" s="569"/>
      <c r="EJ259" s="569"/>
      <c r="EK259" s="569"/>
      <c r="EL259" s="569"/>
      <c r="EM259" s="569"/>
      <c r="EN259" s="569"/>
      <c r="EO259" s="569"/>
      <c r="EP259" s="569"/>
      <c r="EQ259" s="569"/>
      <c r="ER259" s="569"/>
      <c r="ES259" s="569"/>
      <c r="ET259" s="569"/>
      <c r="EU259" s="569"/>
      <c r="EV259" s="569"/>
      <c r="EW259" s="569"/>
      <c r="EX259" s="569"/>
      <c r="EY259" s="569"/>
      <c r="EZ259" s="569"/>
      <c r="FA259" s="569"/>
      <c r="FB259" s="569"/>
      <c r="FC259" s="569"/>
      <c r="FD259" s="569"/>
      <c r="FE259" s="569"/>
      <c r="FF259" s="569"/>
      <c r="FG259" s="569"/>
      <c r="FH259" s="569"/>
      <c r="FI259" s="569"/>
      <c r="FJ259" s="569"/>
      <c r="FK259" s="569"/>
      <c r="FL259" s="569"/>
      <c r="FM259" s="569"/>
      <c r="FN259" s="569"/>
      <c r="FO259" s="569"/>
      <c r="FP259" s="569"/>
      <c r="FQ259" s="569"/>
      <c r="FR259" s="569"/>
      <c r="FS259" s="569"/>
      <c r="FT259" s="569"/>
      <c r="FU259" s="569"/>
      <c r="FV259" s="569"/>
      <c r="FW259" s="569"/>
      <c r="FX259" s="569"/>
      <c r="FY259" s="569"/>
      <c r="FZ259" s="569"/>
      <c r="GA259" s="569"/>
      <c r="GB259" s="569"/>
      <c r="GC259" s="569"/>
      <c r="GD259" s="569"/>
      <c r="GE259" s="569"/>
      <c r="GF259" s="569"/>
      <c r="GG259" s="569"/>
      <c r="GH259" s="569"/>
      <c r="GI259" s="569"/>
      <c r="GJ259" s="569"/>
      <c r="GK259" s="569"/>
      <c r="GL259" s="569"/>
      <c r="GM259" s="569"/>
      <c r="GN259" s="569"/>
      <c r="GO259" s="569"/>
      <c r="GP259" s="569"/>
      <c r="GQ259" s="569"/>
      <c r="GR259" s="569"/>
      <c r="GS259" s="569"/>
      <c r="GT259" s="569"/>
    </row>
    <row r="260" spans="2:202" s="554" customFormat="1" ht="18" customHeight="1">
      <c r="B260" s="578"/>
      <c r="C260" s="1149"/>
      <c r="D260" s="1149"/>
      <c r="E260" s="1149"/>
      <c r="F260" s="1149"/>
      <c r="G260" s="1149"/>
      <c r="H260" s="1149"/>
      <c r="I260" s="1149"/>
      <c r="J260" s="1149"/>
      <c r="K260" s="1149"/>
      <c r="L260" s="1149"/>
      <c r="M260" s="578"/>
      <c r="N260" s="578"/>
      <c r="O260" s="578"/>
      <c r="P260" s="578"/>
      <c r="Q260" s="578"/>
      <c r="R260" s="578"/>
      <c r="S260" s="578"/>
      <c r="T260" s="578"/>
      <c r="U260" s="578"/>
      <c r="V260" s="578"/>
      <c r="W260" s="578"/>
      <c r="X260" s="578"/>
      <c r="Y260" s="578"/>
      <c r="Z260" s="578"/>
      <c r="AA260" s="578"/>
      <c r="AB260" s="578"/>
      <c r="AC260" s="578"/>
      <c r="AD260" s="578"/>
      <c r="AE260" s="578"/>
      <c r="AF260" s="578"/>
      <c r="AG260" s="578"/>
      <c r="AH260" s="548"/>
      <c r="AI260" s="548"/>
      <c r="AJ260" s="548"/>
      <c r="AK260" s="548"/>
      <c r="AL260" s="548"/>
      <c r="AM260" s="548"/>
      <c r="AN260" s="548"/>
      <c r="AO260" s="548"/>
      <c r="AP260" s="548"/>
      <c r="AQ260" s="548"/>
      <c r="AR260" s="548"/>
      <c r="AS260" s="548"/>
      <c r="AT260" s="548"/>
      <c r="AU260" s="548"/>
      <c r="AV260" s="548"/>
      <c r="AW260" s="548"/>
      <c r="AX260" s="548"/>
      <c r="AY260" s="548"/>
      <c r="AZ260" s="548"/>
      <c r="BA260" s="548"/>
      <c r="BB260" s="548"/>
      <c r="BC260" s="548"/>
      <c r="BD260" s="569"/>
      <c r="BE260" s="569"/>
      <c r="BF260" s="569"/>
      <c r="BG260" s="569"/>
      <c r="BH260" s="569"/>
      <c r="BI260" s="569"/>
      <c r="BJ260" s="569"/>
      <c r="BK260" s="569"/>
      <c r="BL260" s="569"/>
      <c r="BM260" s="569"/>
      <c r="BN260" s="569"/>
      <c r="BO260" s="569"/>
      <c r="BP260" s="569"/>
      <c r="BQ260" s="569"/>
      <c r="BR260" s="569"/>
      <c r="BS260" s="569"/>
      <c r="BT260" s="569"/>
      <c r="BU260" s="569"/>
      <c r="BV260" s="569"/>
      <c r="BW260" s="569"/>
      <c r="BX260" s="569"/>
      <c r="BY260" s="569"/>
      <c r="BZ260" s="569"/>
      <c r="CA260" s="569"/>
      <c r="CB260" s="569"/>
      <c r="CC260" s="569"/>
      <c r="CD260" s="569"/>
      <c r="CE260" s="569"/>
      <c r="CF260" s="569"/>
      <c r="CG260" s="569"/>
      <c r="CH260" s="569"/>
      <c r="CI260" s="569"/>
      <c r="CJ260" s="569"/>
      <c r="CK260" s="569"/>
      <c r="CL260" s="569"/>
      <c r="CM260" s="569"/>
      <c r="CN260" s="569"/>
      <c r="CO260" s="569"/>
      <c r="CP260" s="569"/>
      <c r="CQ260" s="569"/>
      <c r="CR260" s="569"/>
      <c r="CS260" s="569"/>
      <c r="CT260" s="569"/>
      <c r="CU260" s="569"/>
      <c r="CV260" s="569"/>
      <c r="CW260" s="569"/>
      <c r="CX260" s="569"/>
      <c r="CY260" s="569"/>
      <c r="CZ260" s="569"/>
      <c r="DA260" s="569"/>
      <c r="DB260" s="569"/>
      <c r="DC260" s="569"/>
      <c r="DD260" s="569"/>
      <c r="DE260" s="569"/>
      <c r="DF260" s="569"/>
      <c r="DG260" s="569"/>
      <c r="DH260" s="569"/>
      <c r="DI260" s="569"/>
      <c r="DJ260" s="569"/>
      <c r="DK260" s="569"/>
      <c r="DL260" s="569"/>
      <c r="DM260" s="569"/>
      <c r="DN260" s="569"/>
      <c r="DO260" s="569"/>
      <c r="DP260" s="569"/>
      <c r="DQ260" s="569"/>
      <c r="DR260" s="569"/>
      <c r="DS260" s="569"/>
      <c r="DT260" s="569"/>
      <c r="DU260" s="569"/>
      <c r="DV260" s="569"/>
      <c r="DW260" s="569"/>
      <c r="DX260" s="569"/>
      <c r="DY260" s="569"/>
      <c r="DZ260" s="569"/>
      <c r="EA260" s="569"/>
      <c r="EB260" s="569"/>
      <c r="EC260" s="569"/>
      <c r="ED260" s="569"/>
      <c r="EE260" s="569"/>
      <c r="EF260" s="569"/>
      <c r="EG260" s="569"/>
      <c r="EH260" s="569"/>
      <c r="EI260" s="569"/>
      <c r="EJ260" s="569"/>
      <c r="EK260" s="569"/>
      <c r="EL260" s="569"/>
      <c r="EM260" s="569"/>
      <c r="EN260" s="569"/>
      <c r="EO260" s="569"/>
      <c r="EP260" s="569"/>
      <c r="EQ260" s="569"/>
      <c r="ER260" s="569"/>
      <c r="ES260" s="569"/>
      <c r="ET260" s="569"/>
      <c r="EU260" s="569"/>
      <c r="EV260" s="569"/>
      <c r="EW260" s="569"/>
      <c r="EX260" s="569"/>
      <c r="EY260" s="569"/>
      <c r="EZ260" s="569"/>
      <c r="FA260" s="569"/>
      <c r="FB260" s="569"/>
      <c r="FC260" s="569"/>
      <c r="FD260" s="569"/>
      <c r="FE260" s="569"/>
      <c r="FF260" s="569"/>
      <c r="FG260" s="569"/>
      <c r="FH260" s="569"/>
      <c r="FI260" s="569"/>
      <c r="FJ260" s="569"/>
      <c r="FK260" s="569"/>
      <c r="FL260" s="569"/>
      <c r="FM260" s="569"/>
      <c r="FN260" s="569"/>
      <c r="FO260" s="569"/>
      <c r="FP260" s="569"/>
      <c r="FQ260" s="569"/>
      <c r="FR260" s="569"/>
      <c r="FS260" s="569"/>
      <c r="FT260" s="569"/>
      <c r="FU260" s="569"/>
      <c r="FV260" s="569"/>
      <c r="FW260" s="569"/>
      <c r="FX260" s="569"/>
      <c r="FY260" s="569"/>
      <c r="FZ260" s="569"/>
      <c r="GA260" s="569"/>
      <c r="GB260" s="569"/>
      <c r="GC260" s="569"/>
      <c r="GD260" s="569"/>
      <c r="GE260" s="569"/>
      <c r="GF260" s="569"/>
      <c r="GG260" s="569"/>
      <c r="GH260" s="569"/>
      <c r="GI260" s="569"/>
      <c r="GJ260" s="569"/>
      <c r="GK260" s="569"/>
      <c r="GL260" s="569"/>
      <c r="GM260" s="569"/>
      <c r="GN260" s="569"/>
      <c r="GO260" s="569"/>
      <c r="GP260" s="569"/>
      <c r="GQ260" s="569"/>
      <c r="GR260" s="569"/>
      <c r="GS260" s="569"/>
      <c r="GT260" s="569"/>
    </row>
    <row r="261" spans="2:202" s="554" customFormat="1" ht="18" customHeight="1">
      <c r="B261" s="578"/>
      <c r="C261" s="1149"/>
      <c r="D261" s="1149"/>
      <c r="E261" s="1149"/>
      <c r="F261" s="1149"/>
      <c r="G261" s="1149"/>
      <c r="H261" s="1149"/>
      <c r="I261" s="1149"/>
      <c r="J261" s="1149"/>
      <c r="K261" s="1149"/>
      <c r="L261" s="1149"/>
      <c r="M261" s="578"/>
      <c r="N261" s="578"/>
      <c r="O261" s="578"/>
      <c r="P261" s="578"/>
      <c r="Q261" s="578"/>
      <c r="R261" s="578"/>
      <c r="S261" s="578"/>
      <c r="T261" s="578"/>
      <c r="U261" s="578"/>
      <c r="V261" s="578"/>
      <c r="W261" s="578"/>
      <c r="X261" s="578"/>
      <c r="Y261" s="578"/>
      <c r="Z261" s="578"/>
      <c r="AA261" s="578"/>
      <c r="AB261" s="578"/>
      <c r="AC261" s="578"/>
      <c r="AD261" s="578"/>
      <c r="AE261" s="578"/>
      <c r="AF261" s="578"/>
      <c r="AG261" s="578"/>
      <c r="AH261" s="548"/>
      <c r="AI261" s="548"/>
      <c r="AJ261" s="548"/>
      <c r="AK261" s="548"/>
      <c r="AL261" s="548"/>
      <c r="AM261" s="548"/>
      <c r="AN261" s="548"/>
      <c r="AO261" s="548"/>
      <c r="AP261" s="548"/>
      <c r="AQ261" s="548"/>
      <c r="AR261" s="548"/>
      <c r="AS261" s="548"/>
      <c r="AT261" s="548"/>
      <c r="AU261" s="548"/>
      <c r="AV261" s="548"/>
      <c r="AW261" s="548"/>
      <c r="AX261" s="548"/>
      <c r="AY261" s="548"/>
      <c r="AZ261" s="548"/>
      <c r="BA261" s="548"/>
      <c r="BB261" s="548"/>
      <c r="BC261" s="548"/>
      <c r="BD261" s="569"/>
      <c r="BE261" s="569"/>
      <c r="BF261" s="569"/>
      <c r="BG261" s="569"/>
      <c r="BH261" s="569"/>
      <c r="BI261" s="569"/>
      <c r="BJ261" s="569"/>
      <c r="BK261" s="569"/>
      <c r="BL261" s="569"/>
      <c r="BM261" s="569"/>
      <c r="BN261" s="569"/>
      <c r="BO261" s="569"/>
      <c r="BP261" s="569"/>
      <c r="BQ261" s="569"/>
      <c r="BR261" s="569"/>
      <c r="BS261" s="569"/>
      <c r="BT261" s="569"/>
      <c r="BU261" s="569"/>
      <c r="BV261" s="569"/>
      <c r="BW261" s="569"/>
      <c r="BX261" s="569"/>
      <c r="BY261" s="569"/>
      <c r="BZ261" s="569"/>
      <c r="CA261" s="569"/>
      <c r="CB261" s="569"/>
      <c r="CC261" s="569"/>
      <c r="CD261" s="569"/>
      <c r="CE261" s="569"/>
      <c r="CF261" s="569"/>
      <c r="CG261" s="569"/>
      <c r="CH261" s="569"/>
      <c r="CI261" s="569"/>
      <c r="CJ261" s="569"/>
      <c r="CK261" s="569"/>
      <c r="CL261" s="569"/>
      <c r="CM261" s="569"/>
      <c r="CN261" s="569"/>
      <c r="CO261" s="569"/>
      <c r="CP261" s="569"/>
      <c r="CQ261" s="569"/>
      <c r="CR261" s="569"/>
      <c r="CS261" s="569"/>
      <c r="CT261" s="569"/>
      <c r="CU261" s="569"/>
      <c r="CV261" s="569"/>
      <c r="CW261" s="569"/>
      <c r="CX261" s="569"/>
      <c r="CY261" s="569"/>
      <c r="CZ261" s="569"/>
      <c r="DA261" s="569"/>
      <c r="DB261" s="569"/>
      <c r="DC261" s="569"/>
      <c r="DD261" s="569"/>
      <c r="DE261" s="569"/>
      <c r="DF261" s="569"/>
      <c r="DG261" s="569"/>
      <c r="DH261" s="569"/>
      <c r="DI261" s="569"/>
      <c r="DJ261" s="569"/>
      <c r="DK261" s="569"/>
      <c r="DL261" s="569"/>
      <c r="DM261" s="569"/>
      <c r="DN261" s="569"/>
      <c r="DO261" s="569"/>
      <c r="DP261" s="569"/>
      <c r="DQ261" s="569"/>
      <c r="DR261" s="569"/>
      <c r="DS261" s="569"/>
      <c r="DT261" s="569"/>
      <c r="DU261" s="569"/>
      <c r="DV261" s="569"/>
      <c r="DW261" s="569"/>
      <c r="DX261" s="569"/>
      <c r="DY261" s="569"/>
      <c r="DZ261" s="569"/>
      <c r="EA261" s="569"/>
      <c r="EB261" s="569"/>
      <c r="EC261" s="569"/>
      <c r="ED261" s="569"/>
      <c r="EE261" s="569"/>
      <c r="EF261" s="569"/>
      <c r="EG261" s="569"/>
      <c r="EH261" s="569"/>
      <c r="EI261" s="569"/>
      <c r="EJ261" s="569"/>
      <c r="EK261" s="569"/>
      <c r="EL261" s="569"/>
      <c r="EM261" s="569"/>
      <c r="EN261" s="569"/>
      <c r="EO261" s="569"/>
      <c r="EP261" s="569"/>
      <c r="EQ261" s="569"/>
      <c r="ER261" s="569"/>
      <c r="ES261" s="569"/>
      <c r="ET261" s="569"/>
      <c r="EU261" s="569"/>
      <c r="EV261" s="569"/>
      <c r="EW261" s="569"/>
      <c r="EX261" s="569"/>
      <c r="EY261" s="569"/>
      <c r="EZ261" s="569"/>
      <c r="FA261" s="569"/>
      <c r="FB261" s="569"/>
      <c r="FC261" s="569"/>
      <c r="FD261" s="569"/>
      <c r="FE261" s="569"/>
      <c r="FF261" s="569"/>
      <c r="FG261" s="569"/>
      <c r="FH261" s="569"/>
      <c r="FI261" s="569"/>
      <c r="FJ261" s="569"/>
      <c r="FK261" s="569"/>
      <c r="FL261" s="569"/>
      <c r="FM261" s="569"/>
      <c r="FN261" s="569"/>
      <c r="FO261" s="569"/>
      <c r="FP261" s="569"/>
      <c r="FQ261" s="569"/>
      <c r="FR261" s="569"/>
      <c r="FS261" s="569"/>
      <c r="FT261" s="569"/>
      <c r="FU261" s="569"/>
      <c r="FV261" s="569"/>
      <c r="FW261" s="569"/>
      <c r="FX261" s="569"/>
      <c r="FY261" s="569"/>
      <c r="FZ261" s="569"/>
      <c r="GA261" s="569"/>
      <c r="GB261" s="569"/>
      <c r="GC261" s="569"/>
      <c r="GD261" s="569"/>
      <c r="GE261" s="569"/>
      <c r="GF261" s="569"/>
      <c r="GG261" s="569"/>
      <c r="GH261" s="569"/>
      <c r="GI261" s="569"/>
      <c r="GJ261" s="569"/>
      <c r="GK261" s="569"/>
      <c r="GL261" s="569"/>
      <c r="GM261" s="569"/>
      <c r="GN261" s="569"/>
      <c r="GO261" s="569"/>
      <c r="GP261" s="569"/>
      <c r="GQ261" s="569"/>
      <c r="GR261" s="569"/>
      <c r="GS261" s="569"/>
      <c r="GT261" s="569"/>
    </row>
    <row r="262" spans="2:202" s="554" customFormat="1" ht="18" customHeight="1">
      <c r="B262" s="578"/>
      <c r="C262" s="1149"/>
      <c r="D262" s="1149"/>
      <c r="E262" s="1149"/>
      <c r="F262" s="1149"/>
      <c r="G262" s="1149"/>
      <c r="H262" s="1149"/>
      <c r="I262" s="1149"/>
      <c r="J262" s="1149"/>
      <c r="K262" s="1149"/>
      <c r="L262" s="1149"/>
      <c r="M262" s="578"/>
      <c r="N262" s="578"/>
      <c r="O262" s="578"/>
      <c r="P262" s="578"/>
      <c r="Q262" s="590"/>
      <c r="R262" s="590"/>
      <c r="S262" s="590"/>
      <c r="T262" s="578"/>
      <c r="U262" s="590"/>
      <c r="V262" s="590"/>
      <c r="W262" s="590"/>
      <c r="X262" s="590"/>
      <c r="Y262" s="590"/>
      <c r="Z262" s="590"/>
      <c r="AA262" s="590"/>
      <c r="AB262" s="590"/>
      <c r="AC262" s="590"/>
      <c r="AD262" s="590"/>
      <c r="AE262" s="590"/>
      <c r="AF262" s="590"/>
      <c r="AG262" s="590"/>
      <c r="AH262" s="569"/>
      <c r="AI262" s="569"/>
      <c r="AJ262" s="569"/>
      <c r="AK262" s="569"/>
      <c r="AL262" s="569"/>
      <c r="AM262" s="569"/>
      <c r="AN262" s="569"/>
      <c r="AO262" s="569"/>
      <c r="AP262" s="569"/>
      <c r="AQ262" s="569"/>
      <c r="AR262" s="569"/>
      <c r="AS262" s="569"/>
      <c r="AT262" s="569"/>
      <c r="AU262" s="569"/>
      <c r="AV262" s="569"/>
      <c r="AW262" s="569"/>
      <c r="AX262" s="569"/>
      <c r="AY262" s="569"/>
      <c r="AZ262" s="569"/>
      <c r="BA262" s="569"/>
      <c r="BB262" s="569"/>
      <c r="BC262" s="569"/>
      <c r="BD262" s="569"/>
      <c r="BE262" s="569"/>
      <c r="BF262" s="569"/>
      <c r="BG262" s="569"/>
      <c r="BH262" s="569"/>
      <c r="BI262" s="569"/>
      <c r="BJ262" s="569"/>
      <c r="BK262" s="569"/>
      <c r="BL262" s="569"/>
      <c r="BM262" s="569"/>
      <c r="BN262" s="569"/>
      <c r="BO262" s="569"/>
      <c r="BP262" s="569"/>
      <c r="BQ262" s="569"/>
      <c r="BR262" s="569"/>
      <c r="BS262" s="569"/>
      <c r="BT262" s="569"/>
      <c r="BU262" s="569"/>
      <c r="BV262" s="569"/>
      <c r="BW262" s="569"/>
      <c r="BX262" s="569"/>
      <c r="BY262" s="569"/>
      <c r="BZ262" s="569"/>
      <c r="CA262" s="569"/>
      <c r="CB262" s="569"/>
      <c r="CC262" s="569"/>
      <c r="CD262" s="569"/>
      <c r="CE262" s="569"/>
      <c r="CF262" s="569"/>
      <c r="CG262" s="569"/>
      <c r="CH262" s="569"/>
      <c r="CI262" s="569"/>
      <c r="CJ262" s="569"/>
      <c r="CK262" s="569"/>
      <c r="CL262" s="569"/>
      <c r="CM262" s="569"/>
      <c r="CN262" s="569"/>
      <c r="CO262" s="569"/>
      <c r="CP262" s="569"/>
      <c r="CQ262" s="569"/>
      <c r="CR262" s="569"/>
      <c r="CS262" s="569"/>
      <c r="CT262" s="569"/>
      <c r="CU262" s="569"/>
      <c r="CV262" s="569"/>
      <c r="CW262" s="569"/>
      <c r="CX262" s="569"/>
      <c r="CY262" s="569"/>
      <c r="CZ262" s="569"/>
      <c r="DA262" s="569"/>
      <c r="DB262" s="569"/>
      <c r="DC262" s="569"/>
      <c r="DD262" s="569"/>
      <c r="DE262" s="569"/>
      <c r="DF262" s="569"/>
      <c r="DG262" s="569"/>
      <c r="DH262" s="569"/>
      <c r="DI262" s="569"/>
      <c r="DJ262" s="569"/>
      <c r="DK262" s="569"/>
      <c r="DL262" s="569"/>
      <c r="DM262" s="569"/>
      <c r="DN262" s="569"/>
      <c r="DO262" s="569"/>
      <c r="DP262" s="569"/>
      <c r="DQ262" s="569"/>
      <c r="DR262" s="569"/>
      <c r="DS262" s="569"/>
      <c r="DT262" s="569"/>
      <c r="DU262" s="569"/>
      <c r="DV262" s="569"/>
      <c r="DW262" s="569"/>
      <c r="DX262" s="569"/>
      <c r="DY262" s="569"/>
      <c r="DZ262" s="569"/>
      <c r="EA262" s="569"/>
      <c r="EB262" s="569"/>
      <c r="EC262" s="569"/>
      <c r="ED262" s="569"/>
      <c r="EE262" s="569"/>
      <c r="EF262" s="569"/>
      <c r="EG262" s="569"/>
      <c r="EH262" s="569"/>
      <c r="EI262" s="569"/>
      <c r="EJ262" s="569"/>
      <c r="EK262" s="569"/>
      <c r="EL262" s="569"/>
      <c r="EM262" s="569"/>
      <c r="EN262" s="569"/>
      <c r="EO262" s="569"/>
      <c r="EP262" s="569"/>
      <c r="EQ262" s="569"/>
      <c r="ER262" s="569"/>
      <c r="ES262" s="569"/>
      <c r="ET262" s="569"/>
      <c r="EU262" s="569"/>
      <c r="EV262" s="569"/>
      <c r="EW262" s="569"/>
      <c r="EX262" s="569"/>
      <c r="EY262" s="569"/>
      <c r="EZ262" s="569"/>
      <c r="FA262" s="569"/>
      <c r="FB262" s="569"/>
      <c r="FC262" s="569"/>
      <c r="FD262" s="569"/>
      <c r="FE262" s="569"/>
      <c r="FF262" s="569"/>
      <c r="FG262" s="569"/>
      <c r="FH262" s="569"/>
      <c r="FI262" s="569"/>
      <c r="FJ262" s="569"/>
      <c r="FK262" s="569"/>
      <c r="FL262" s="569"/>
      <c r="FM262" s="569"/>
      <c r="FN262" s="569"/>
      <c r="FO262" s="569"/>
      <c r="FP262" s="569"/>
      <c r="FQ262" s="569"/>
      <c r="FR262" s="569"/>
      <c r="FS262" s="569"/>
      <c r="FT262" s="569"/>
      <c r="FU262" s="569"/>
      <c r="FV262" s="569"/>
      <c r="FW262" s="569"/>
      <c r="FX262" s="569"/>
      <c r="FY262" s="569"/>
      <c r="FZ262" s="569"/>
      <c r="GA262" s="569"/>
      <c r="GB262" s="569"/>
      <c r="GC262" s="569"/>
      <c r="GD262" s="569"/>
      <c r="GE262" s="569"/>
      <c r="GF262" s="569"/>
      <c r="GG262" s="569"/>
      <c r="GH262" s="569"/>
      <c r="GI262" s="569"/>
      <c r="GJ262" s="569"/>
      <c r="GK262" s="569"/>
      <c r="GL262" s="569"/>
      <c r="GM262" s="569"/>
      <c r="GN262" s="569"/>
      <c r="GO262" s="569"/>
      <c r="GP262" s="569"/>
      <c r="GQ262" s="569"/>
      <c r="GR262" s="569"/>
      <c r="GS262" s="569"/>
      <c r="GT262" s="569"/>
    </row>
    <row r="263" spans="2:202" s="554" customFormat="1" ht="18" customHeight="1">
      <c r="B263" s="578"/>
      <c r="C263" s="1149"/>
      <c r="D263" s="1149"/>
      <c r="E263" s="1149"/>
      <c r="F263" s="1149"/>
      <c r="G263" s="1149"/>
      <c r="H263" s="1149"/>
      <c r="I263" s="1149"/>
      <c r="J263" s="1149"/>
      <c r="K263" s="1149"/>
      <c r="L263" s="1149"/>
      <c r="M263" s="578"/>
      <c r="N263" s="578"/>
      <c r="O263" s="578"/>
      <c r="P263" s="578"/>
      <c r="Q263" s="590"/>
      <c r="R263" s="590"/>
      <c r="S263" s="590"/>
      <c r="T263" s="578"/>
      <c r="U263" s="590"/>
      <c r="V263" s="590"/>
      <c r="W263" s="590"/>
      <c r="X263" s="590"/>
      <c r="Y263" s="590"/>
      <c r="Z263" s="590"/>
      <c r="AA263" s="590"/>
      <c r="AB263" s="590"/>
      <c r="AC263" s="590"/>
      <c r="AD263" s="590"/>
      <c r="AE263" s="590"/>
      <c r="AF263" s="590"/>
      <c r="AG263" s="590"/>
      <c r="AH263" s="569"/>
      <c r="AI263" s="569"/>
      <c r="AJ263" s="569"/>
      <c r="AK263" s="569"/>
      <c r="AL263" s="569"/>
      <c r="AM263" s="569"/>
      <c r="AN263" s="569"/>
      <c r="AO263" s="569"/>
      <c r="AP263" s="569"/>
      <c r="AQ263" s="569"/>
      <c r="AR263" s="569"/>
      <c r="AS263" s="569"/>
      <c r="AT263" s="569"/>
      <c r="AU263" s="569"/>
      <c r="AV263" s="569"/>
      <c r="AW263" s="569"/>
      <c r="AX263" s="569"/>
      <c r="AY263" s="569"/>
      <c r="AZ263" s="569"/>
      <c r="BA263" s="569"/>
      <c r="BB263" s="569"/>
      <c r="BC263" s="569"/>
      <c r="BD263" s="569"/>
      <c r="BE263" s="569"/>
      <c r="BF263" s="569"/>
      <c r="BG263" s="569"/>
      <c r="BH263" s="569"/>
      <c r="BI263" s="569"/>
      <c r="BJ263" s="569"/>
      <c r="BK263" s="569"/>
      <c r="BL263" s="569"/>
      <c r="BM263" s="569"/>
      <c r="BN263" s="569"/>
      <c r="BO263" s="569"/>
      <c r="BP263" s="569"/>
      <c r="BQ263" s="569"/>
      <c r="BR263" s="569"/>
      <c r="BS263" s="569"/>
      <c r="BT263" s="569"/>
      <c r="BU263" s="569"/>
      <c r="BV263" s="569"/>
      <c r="BW263" s="569"/>
      <c r="BX263" s="569"/>
      <c r="BY263" s="569"/>
      <c r="BZ263" s="569"/>
      <c r="CA263" s="569"/>
      <c r="CB263" s="569"/>
      <c r="CC263" s="569"/>
      <c r="CD263" s="569"/>
      <c r="CE263" s="569"/>
      <c r="CF263" s="569"/>
      <c r="CG263" s="569"/>
      <c r="CH263" s="569"/>
      <c r="CI263" s="569"/>
      <c r="CJ263" s="569"/>
      <c r="CK263" s="569"/>
      <c r="CL263" s="569"/>
      <c r="CM263" s="569"/>
      <c r="CN263" s="569"/>
      <c r="CO263" s="569"/>
      <c r="CP263" s="569"/>
      <c r="CQ263" s="569"/>
      <c r="CR263" s="569"/>
      <c r="CS263" s="569"/>
      <c r="CT263" s="569"/>
      <c r="CU263" s="569"/>
      <c r="CV263" s="569"/>
      <c r="CW263" s="569"/>
      <c r="CX263" s="569"/>
      <c r="CY263" s="569"/>
      <c r="CZ263" s="569"/>
      <c r="DA263" s="569"/>
      <c r="DB263" s="569"/>
      <c r="DC263" s="569"/>
      <c r="DD263" s="569"/>
      <c r="DE263" s="569"/>
      <c r="DF263" s="569"/>
      <c r="DG263" s="569"/>
      <c r="DH263" s="569"/>
      <c r="DI263" s="569"/>
      <c r="DJ263" s="569"/>
      <c r="DK263" s="569"/>
      <c r="DL263" s="569"/>
      <c r="DM263" s="569"/>
      <c r="DN263" s="569"/>
      <c r="DO263" s="569"/>
      <c r="DP263" s="569"/>
      <c r="DQ263" s="569"/>
      <c r="DR263" s="569"/>
      <c r="DS263" s="569"/>
      <c r="DT263" s="569"/>
      <c r="DU263" s="569"/>
      <c r="DV263" s="569"/>
      <c r="DW263" s="569"/>
      <c r="DX263" s="569"/>
      <c r="DY263" s="569"/>
      <c r="DZ263" s="569"/>
      <c r="EA263" s="569"/>
      <c r="EB263" s="569"/>
      <c r="EC263" s="569"/>
      <c r="ED263" s="569"/>
      <c r="EE263" s="569"/>
      <c r="EF263" s="569"/>
      <c r="EG263" s="569"/>
      <c r="EH263" s="569"/>
      <c r="EI263" s="569"/>
      <c r="EJ263" s="569"/>
      <c r="EK263" s="569"/>
      <c r="EL263" s="569"/>
      <c r="EM263" s="569"/>
      <c r="EN263" s="569"/>
      <c r="EO263" s="569"/>
      <c r="EP263" s="569"/>
      <c r="EQ263" s="569"/>
      <c r="ER263" s="569"/>
      <c r="ES263" s="569"/>
      <c r="ET263" s="569"/>
      <c r="EU263" s="569"/>
      <c r="EV263" s="569"/>
      <c r="EW263" s="569"/>
      <c r="EX263" s="569"/>
      <c r="EY263" s="569"/>
      <c r="EZ263" s="569"/>
      <c r="FA263" s="569"/>
      <c r="FB263" s="569"/>
      <c r="FC263" s="569"/>
      <c r="FD263" s="569"/>
      <c r="FE263" s="569"/>
      <c r="FF263" s="569"/>
      <c r="FG263" s="569"/>
      <c r="FH263" s="569"/>
      <c r="FI263" s="569"/>
      <c r="FJ263" s="569"/>
      <c r="FK263" s="569"/>
      <c r="FL263" s="569"/>
      <c r="FM263" s="569"/>
      <c r="FN263" s="569"/>
      <c r="FO263" s="569"/>
      <c r="FP263" s="569"/>
      <c r="FQ263" s="569"/>
      <c r="FR263" s="569"/>
      <c r="FS263" s="569"/>
      <c r="FT263" s="569"/>
      <c r="FU263" s="569"/>
      <c r="FV263" s="569"/>
      <c r="FW263" s="569"/>
      <c r="FX263" s="569"/>
      <c r="FY263" s="569"/>
      <c r="FZ263" s="569"/>
      <c r="GA263" s="569"/>
      <c r="GB263" s="569"/>
      <c r="GC263" s="569"/>
      <c r="GD263" s="569"/>
      <c r="GE263" s="569"/>
      <c r="GF263" s="569"/>
      <c r="GG263" s="569"/>
      <c r="GH263" s="569"/>
      <c r="GI263" s="569"/>
      <c r="GJ263" s="569"/>
      <c r="GK263" s="569"/>
      <c r="GL263" s="569"/>
      <c r="GM263" s="569"/>
      <c r="GN263" s="569"/>
      <c r="GO263" s="569"/>
      <c r="GP263" s="569"/>
      <c r="GQ263" s="569"/>
      <c r="GR263" s="569"/>
      <c r="GS263" s="569"/>
      <c r="GT263" s="569"/>
    </row>
    <row r="264" spans="2:202" s="554" customFormat="1" ht="18" customHeight="1">
      <c r="B264" s="578"/>
      <c r="C264" s="1149"/>
      <c r="D264" s="1149"/>
      <c r="E264" s="1149"/>
      <c r="F264" s="1149"/>
      <c r="G264" s="1149"/>
      <c r="H264" s="1149"/>
      <c r="I264" s="1149"/>
      <c r="J264" s="1149"/>
      <c r="K264" s="1149"/>
      <c r="L264" s="1149"/>
      <c r="M264" s="578"/>
      <c r="N264" s="578"/>
      <c r="O264" s="578"/>
      <c r="P264" s="578"/>
      <c r="Q264" s="590"/>
      <c r="R264" s="590"/>
      <c r="S264" s="590"/>
      <c r="T264" s="578"/>
      <c r="U264" s="590"/>
      <c r="V264" s="590"/>
      <c r="W264" s="590"/>
      <c r="X264" s="590"/>
      <c r="Y264" s="590"/>
      <c r="Z264" s="590"/>
      <c r="AA264" s="590"/>
      <c r="AB264" s="590"/>
      <c r="AC264" s="590"/>
      <c r="AD264" s="590"/>
      <c r="AE264" s="590"/>
      <c r="AF264" s="590"/>
      <c r="AG264" s="590"/>
      <c r="AH264" s="569"/>
      <c r="AI264" s="569"/>
      <c r="AJ264" s="569"/>
      <c r="AK264" s="569"/>
      <c r="AL264" s="569"/>
      <c r="AM264" s="569"/>
      <c r="AN264" s="569"/>
      <c r="AO264" s="569"/>
      <c r="AP264" s="569"/>
      <c r="AQ264" s="569"/>
      <c r="AR264" s="569"/>
      <c r="AS264" s="569"/>
      <c r="AT264" s="569"/>
      <c r="AU264" s="569"/>
      <c r="AV264" s="569"/>
      <c r="AW264" s="569"/>
      <c r="AX264" s="569"/>
      <c r="AY264" s="569"/>
      <c r="AZ264" s="569"/>
      <c r="BA264" s="569"/>
      <c r="BB264" s="569"/>
      <c r="BC264" s="569"/>
      <c r="BD264" s="569"/>
      <c r="BE264" s="569"/>
      <c r="BF264" s="569"/>
      <c r="BG264" s="569"/>
      <c r="BH264" s="569"/>
      <c r="BI264" s="569"/>
      <c r="BJ264" s="569"/>
      <c r="BK264" s="569"/>
      <c r="BL264" s="569"/>
      <c r="BM264" s="569"/>
      <c r="BN264" s="569"/>
      <c r="BO264" s="569"/>
      <c r="BP264" s="569"/>
      <c r="BQ264" s="569"/>
      <c r="BR264" s="569"/>
      <c r="BS264" s="569"/>
      <c r="BT264" s="569"/>
      <c r="BU264" s="569"/>
      <c r="BV264" s="569"/>
      <c r="BW264" s="569"/>
      <c r="BX264" s="569"/>
      <c r="BY264" s="569"/>
      <c r="BZ264" s="569"/>
      <c r="CA264" s="569"/>
      <c r="CB264" s="569"/>
      <c r="CC264" s="569"/>
      <c r="CD264" s="569"/>
      <c r="CE264" s="569"/>
      <c r="CF264" s="569"/>
      <c r="CG264" s="569"/>
      <c r="CH264" s="569"/>
      <c r="CI264" s="569"/>
      <c r="CJ264" s="569"/>
      <c r="CK264" s="569"/>
      <c r="CL264" s="569"/>
      <c r="CM264" s="569"/>
      <c r="CN264" s="569"/>
      <c r="CO264" s="569"/>
      <c r="CP264" s="569"/>
      <c r="CQ264" s="569"/>
      <c r="CR264" s="569"/>
      <c r="CS264" s="569"/>
      <c r="CT264" s="569"/>
      <c r="CU264" s="569"/>
      <c r="CV264" s="569"/>
      <c r="CW264" s="569"/>
      <c r="CX264" s="569"/>
      <c r="CY264" s="569"/>
      <c r="CZ264" s="569"/>
      <c r="DA264" s="569"/>
      <c r="DB264" s="569"/>
      <c r="DC264" s="569"/>
      <c r="DD264" s="569"/>
      <c r="DE264" s="569"/>
      <c r="DF264" s="569"/>
      <c r="DG264" s="569"/>
      <c r="DH264" s="569"/>
      <c r="DI264" s="569"/>
      <c r="DJ264" s="569"/>
      <c r="DK264" s="569"/>
      <c r="DL264" s="569"/>
      <c r="DM264" s="569"/>
      <c r="DN264" s="569"/>
      <c r="DO264" s="569"/>
      <c r="DP264" s="569"/>
      <c r="DQ264" s="569"/>
      <c r="DR264" s="569"/>
      <c r="DS264" s="569"/>
      <c r="DT264" s="569"/>
      <c r="DU264" s="569"/>
      <c r="DV264" s="569"/>
      <c r="DW264" s="569"/>
      <c r="DX264" s="569"/>
      <c r="DY264" s="569"/>
      <c r="DZ264" s="569"/>
      <c r="EA264" s="569"/>
      <c r="EB264" s="569"/>
      <c r="EC264" s="569"/>
      <c r="ED264" s="569"/>
      <c r="EE264" s="569"/>
      <c r="EF264" s="569"/>
      <c r="EG264" s="569"/>
      <c r="EH264" s="569"/>
      <c r="EI264" s="569"/>
      <c r="EJ264" s="569"/>
      <c r="EK264" s="569"/>
      <c r="EL264" s="569"/>
      <c r="EM264" s="569"/>
      <c r="EN264" s="569"/>
      <c r="EO264" s="569"/>
      <c r="EP264" s="569"/>
      <c r="EQ264" s="569"/>
      <c r="ER264" s="569"/>
      <c r="ES264" s="569"/>
      <c r="ET264" s="569"/>
      <c r="EU264" s="569"/>
      <c r="EV264" s="569"/>
      <c r="EW264" s="569"/>
      <c r="EX264" s="569"/>
      <c r="EY264" s="569"/>
      <c r="EZ264" s="569"/>
      <c r="FA264" s="569"/>
      <c r="FB264" s="569"/>
      <c r="FC264" s="569"/>
      <c r="FD264" s="569"/>
      <c r="FE264" s="569"/>
      <c r="FF264" s="569"/>
      <c r="FG264" s="569"/>
      <c r="FH264" s="569"/>
      <c r="FI264" s="569"/>
      <c r="FJ264" s="569"/>
      <c r="FK264" s="569"/>
      <c r="FL264" s="569"/>
      <c r="FM264" s="569"/>
      <c r="FN264" s="569"/>
      <c r="FO264" s="569"/>
      <c r="FP264" s="569"/>
      <c r="FQ264" s="569"/>
      <c r="FR264" s="569"/>
      <c r="FS264" s="569"/>
      <c r="FT264" s="569"/>
      <c r="FU264" s="569"/>
      <c r="FV264" s="569"/>
      <c r="FW264" s="569"/>
      <c r="FX264" s="569"/>
      <c r="FY264" s="569"/>
      <c r="FZ264" s="569"/>
      <c r="GA264" s="569"/>
      <c r="GB264" s="569"/>
      <c r="GC264" s="569"/>
      <c r="GD264" s="569"/>
      <c r="GE264" s="569"/>
      <c r="GF264" s="569"/>
      <c r="GG264" s="569"/>
      <c r="GH264" s="569"/>
      <c r="GI264" s="569"/>
      <c r="GJ264" s="569"/>
      <c r="GK264" s="569"/>
      <c r="GL264" s="569"/>
      <c r="GM264" s="569"/>
      <c r="GN264" s="569"/>
      <c r="GO264" s="569"/>
      <c r="GP264" s="569"/>
      <c r="GQ264" s="569"/>
      <c r="GR264" s="569"/>
      <c r="GS264" s="569"/>
      <c r="GT264" s="569"/>
    </row>
    <row r="265" spans="2:202" s="554" customFormat="1" ht="18" customHeight="1">
      <c r="B265" s="578"/>
      <c r="C265" s="1149"/>
      <c r="D265" s="1149"/>
      <c r="E265" s="1149"/>
      <c r="F265" s="1149"/>
      <c r="G265" s="1149"/>
      <c r="H265" s="1149"/>
      <c r="I265" s="1149"/>
      <c r="J265" s="1149"/>
      <c r="K265" s="1149"/>
      <c r="L265" s="1149"/>
      <c r="M265" s="578"/>
      <c r="N265" s="578"/>
      <c r="O265" s="578"/>
      <c r="P265" s="578"/>
      <c r="Q265" s="590"/>
      <c r="R265" s="590"/>
      <c r="S265" s="590"/>
      <c r="T265" s="578"/>
      <c r="U265" s="590"/>
      <c r="V265" s="590"/>
      <c r="W265" s="590"/>
      <c r="X265" s="590"/>
      <c r="Y265" s="590"/>
      <c r="Z265" s="590"/>
      <c r="AA265" s="590"/>
      <c r="AB265" s="590"/>
      <c r="AC265" s="590"/>
      <c r="AD265" s="590"/>
      <c r="AE265" s="590"/>
      <c r="AF265" s="590"/>
      <c r="AG265" s="590"/>
      <c r="AH265" s="569"/>
      <c r="AI265" s="569"/>
      <c r="AJ265" s="569"/>
      <c r="AK265" s="569"/>
      <c r="AL265" s="569"/>
      <c r="AM265" s="569"/>
      <c r="AN265" s="569"/>
      <c r="AO265" s="569"/>
      <c r="AP265" s="569"/>
      <c r="AQ265" s="569"/>
      <c r="AR265" s="569"/>
      <c r="AS265" s="569"/>
      <c r="AT265" s="569"/>
      <c r="AU265" s="569"/>
      <c r="AV265" s="569"/>
      <c r="AW265" s="569"/>
      <c r="AX265" s="569"/>
      <c r="AY265" s="569"/>
      <c r="AZ265" s="569"/>
      <c r="BA265" s="569"/>
      <c r="BB265" s="569"/>
      <c r="BC265" s="569"/>
      <c r="BD265" s="569"/>
      <c r="BE265" s="569"/>
      <c r="BF265" s="569"/>
      <c r="BG265" s="569"/>
      <c r="BH265" s="569"/>
      <c r="BI265" s="569"/>
      <c r="BJ265" s="569"/>
      <c r="BK265" s="569"/>
      <c r="BL265" s="569"/>
      <c r="BM265" s="569"/>
      <c r="BN265" s="569"/>
      <c r="BO265" s="569"/>
      <c r="BP265" s="569"/>
      <c r="BQ265" s="569"/>
      <c r="BR265" s="569"/>
      <c r="BS265" s="569"/>
      <c r="BT265" s="569"/>
      <c r="BU265" s="569"/>
      <c r="BV265" s="569"/>
      <c r="BW265" s="569"/>
      <c r="BX265" s="569"/>
      <c r="BY265" s="569"/>
      <c r="BZ265" s="569"/>
      <c r="CA265" s="569"/>
      <c r="CB265" s="569"/>
      <c r="CC265" s="569"/>
      <c r="CD265" s="569"/>
      <c r="CE265" s="569"/>
      <c r="CF265" s="569"/>
      <c r="CG265" s="569"/>
      <c r="CH265" s="569"/>
      <c r="CI265" s="569"/>
      <c r="CJ265" s="569"/>
      <c r="CK265" s="569"/>
      <c r="CL265" s="569"/>
      <c r="CM265" s="569"/>
      <c r="CN265" s="569"/>
      <c r="CO265" s="569"/>
      <c r="CP265" s="569"/>
      <c r="CQ265" s="569"/>
      <c r="CR265" s="569"/>
      <c r="CS265" s="569"/>
      <c r="CT265" s="569"/>
      <c r="CU265" s="569"/>
      <c r="CV265" s="569"/>
      <c r="CW265" s="569"/>
      <c r="CX265" s="569"/>
      <c r="CY265" s="569"/>
      <c r="CZ265" s="569"/>
      <c r="DA265" s="569"/>
      <c r="DB265" s="569"/>
      <c r="DC265" s="569"/>
      <c r="DD265" s="569"/>
      <c r="DE265" s="569"/>
      <c r="DF265" s="569"/>
      <c r="DG265" s="569"/>
      <c r="DH265" s="569"/>
      <c r="DI265" s="569"/>
      <c r="DJ265" s="569"/>
      <c r="DK265" s="569"/>
      <c r="DL265" s="569"/>
      <c r="DM265" s="569"/>
      <c r="DN265" s="569"/>
      <c r="DO265" s="569"/>
      <c r="DP265" s="569"/>
      <c r="DQ265" s="569"/>
      <c r="DR265" s="569"/>
      <c r="DS265" s="569"/>
      <c r="DT265" s="569"/>
      <c r="DU265" s="569"/>
      <c r="DV265" s="569"/>
      <c r="DW265" s="569"/>
      <c r="DX265" s="569"/>
      <c r="DY265" s="569"/>
      <c r="DZ265" s="569"/>
      <c r="EA265" s="569"/>
      <c r="EB265" s="569"/>
      <c r="EC265" s="569"/>
      <c r="ED265" s="569"/>
      <c r="EE265" s="569"/>
      <c r="EF265" s="569"/>
      <c r="EG265" s="569"/>
      <c r="EH265" s="569"/>
      <c r="EI265" s="569"/>
      <c r="EJ265" s="569"/>
      <c r="EK265" s="569"/>
      <c r="EL265" s="569"/>
      <c r="EM265" s="569"/>
      <c r="EN265" s="569"/>
      <c r="EO265" s="569"/>
      <c r="EP265" s="569"/>
      <c r="EQ265" s="569"/>
      <c r="ER265" s="569"/>
      <c r="ES265" s="569"/>
      <c r="ET265" s="569"/>
      <c r="EU265" s="569"/>
      <c r="EV265" s="569"/>
      <c r="EW265" s="569"/>
      <c r="EX265" s="569"/>
      <c r="EY265" s="569"/>
      <c r="EZ265" s="569"/>
      <c r="FA265" s="569"/>
      <c r="FB265" s="569"/>
      <c r="FC265" s="569"/>
      <c r="FD265" s="569"/>
      <c r="FE265" s="569"/>
      <c r="FF265" s="569"/>
      <c r="FG265" s="569"/>
      <c r="FH265" s="569"/>
      <c r="FI265" s="569"/>
      <c r="FJ265" s="569"/>
      <c r="FK265" s="569"/>
      <c r="FL265" s="569"/>
      <c r="FM265" s="569"/>
      <c r="FN265" s="569"/>
      <c r="FO265" s="569"/>
      <c r="FP265" s="569"/>
      <c r="FQ265" s="569"/>
      <c r="FR265" s="569"/>
      <c r="FS265" s="569"/>
      <c r="FT265" s="569"/>
      <c r="FU265" s="569"/>
      <c r="FV265" s="569"/>
      <c r="FW265" s="569"/>
      <c r="FX265" s="569"/>
      <c r="FY265" s="569"/>
      <c r="FZ265" s="569"/>
      <c r="GA265" s="569"/>
      <c r="GB265" s="569"/>
      <c r="GC265" s="569"/>
      <c r="GD265" s="569"/>
      <c r="GE265" s="569"/>
      <c r="GF265" s="569"/>
      <c r="GG265" s="569"/>
      <c r="GH265" s="569"/>
      <c r="GI265" s="569"/>
      <c r="GJ265" s="569"/>
      <c r="GK265" s="569"/>
      <c r="GL265" s="569"/>
      <c r="GM265" s="569"/>
      <c r="GN265" s="569"/>
      <c r="GO265" s="569"/>
      <c r="GP265" s="569"/>
      <c r="GQ265" s="569"/>
      <c r="GR265" s="569"/>
      <c r="GS265" s="569"/>
      <c r="GT265" s="569"/>
    </row>
    <row r="266" spans="2:202" s="554" customFormat="1" ht="18" customHeight="1">
      <c r="B266" s="578"/>
      <c r="C266" s="1149"/>
      <c r="D266" s="1149"/>
      <c r="E266" s="1149"/>
      <c r="F266" s="1149"/>
      <c r="G266" s="1149"/>
      <c r="H266" s="1149"/>
      <c r="I266" s="1149"/>
      <c r="J266" s="1149"/>
      <c r="K266" s="1149"/>
      <c r="L266" s="1149"/>
      <c r="M266" s="578"/>
      <c r="N266" s="578"/>
      <c r="O266" s="578"/>
      <c r="P266" s="578"/>
      <c r="Q266" s="590"/>
      <c r="R266" s="590"/>
      <c r="S266" s="590"/>
      <c r="T266" s="578"/>
      <c r="U266" s="590"/>
      <c r="V266" s="590"/>
      <c r="W266" s="590"/>
      <c r="X266" s="590"/>
      <c r="Y266" s="590"/>
      <c r="Z266" s="590"/>
      <c r="AA266" s="590"/>
      <c r="AB266" s="590"/>
      <c r="AC266" s="590"/>
      <c r="AD266" s="590"/>
      <c r="AE266" s="590"/>
      <c r="AF266" s="590"/>
      <c r="AG266" s="590"/>
      <c r="AH266" s="569"/>
      <c r="AI266" s="569"/>
      <c r="AJ266" s="569"/>
      <c r="AK266" s="569"/>
      <c r="AL266" s="569"/>
      <c r="AM266" s="569"/>
      <c r="AN266" s="569"/>
      <c r="AO266" s="569"/>
      <c r="AP266" s="569"/>
      <c r="AQ266" s="569"/>
      <c r="AR266" s="569"/>
      <c r="AS266" s="569"/>
      <c r="AT266" s="569"/>
      <c r="AU266" s="569"/>
      <c r="AV266" s="569"/>
      <c r="AW266" s="569"/>
      <c r="AX266" s="569"/>
      <c r="AY266" s="569"/>
      <c r="AZ266" s="569"/>
      <c r="BA266" s="569"/>
      <c r="BB266" s="569"/>
      <c r="BC266" s="569"/>
      <c r="BD266" s="569"/>
      <c r="BE266" s="569"/>
      <c r="BF266" s="569"/>
      <c r="BG266" s="569"/>
      <c r="BH266" s="569"/>
      <c r="BI266" s="569"/>
      <c r="BJ266" s="569"/>
      <c r="BK266" s="569"/>
      <c r="BL266" s="569"/>
      <c r="BM266" s="569"/>
      <c r="BN266" s="569"/>
      <c r="BO266" s="569"/>
      <c r="BP266" s="569"/>
      <c r="BQ266" s="569"/>
      <c r="BR266" s="569"/>
      <c r="BS266" s="569"/>
      <c r="BT266" s="569"/>
      <c r="BU266" s="569"/>
      <c r="BV266" s="569"/>
      <c r="BW266" s="569"/>
      <c r="BX266" s="569"/>
      <c r="BY266" s="569"/>
      <c r="BZ266" s="569"/>
      <c r="CA266" s="569"/>
      <c r="CB266" s="569"/>
      <c r="CC266" s="569"/>
      <c r="CD266" s="569"/>
      <c r="CE266" s="569"/>
      <c r="CF266" s="569"/>
      <c r="CG266" s="569"/>
      <c r="CH266" s="569"/>
      <c r="CI266" s="569"/>
      <c r="CJ266" s="569"/>
      <c r="CK266" s="569"/>
      <c r="CL266" s="569"/>
      <c r="CM266" s="569"/>
      <c r="CN266" s="569"/>
      <c r="CO266" s="569"/>
      <c r="CP266" s="569"/>
      <c r="CQ266" s="569"/>
      <c r="CR266" s="569"/>
      <c r="CS266" s="569"/>
      <c r="CT266" s="569"/>
      <c r="CU266" s="569"/>
      <c r="CV266" s="569"/>
      <c r="CW266" s="569"/>
      <c r="CX266" s="569"/>
      <c r="CY266" s="569"/>
      <c r="CZ266" s="569"/>
      <c r="DA266" s="569"/>
      <c r="DB266" s="569"/>
      <c r="DC266" s="569"/>
      <c r="DD266" s="569"/>
      <c r="DE266" s="569"/>
      <c r="DF266" s="569"/>
      <c r="DG266" s="569"/>
      <c r="DH266" s="569"/>
      <c r="DI266" s="569"/>
      <c r="DJ266" s="569"/>
      <c r="DK266" s="569"/>
      <c r="DL266" s="569"/>
      <c r="DM266" s="569"/>
      <c r="DN266" s="569"/>
      <c r="DO266" s="569"/>
      <c r="DP266" s="569"/>
      <c r="DQ266" s="569"/>
      <c r="DR266" s="569"/>
      <c r="DS266" s="569"/>
      <c r="DT266" s="569"/>
      <c r="DU266" s="569"/>
      <c r="DV266" s="569"/>
      <c r="DW266" s="569"/>
      <c r="DX266" s="569"/>
      <c r="DY266" s="569"/>
      <c r="DZ266" s="569"/>
      <c r="EA266" s="569"/>
      <c r="EB266" s="569"/>
      <c r="EC266" s="569"/>
      <c r="ED266" s="569"/>
      <c r="EE266" s="569"/>
      <c r="EF266" s="569"/>
      <c r="EG266" s="569"/>
      <c r="EH266" s="569"/>
      <c r="EI266" s="569"/>
      <c r="EJ266" s="569"/>
      <c r="EK266" s="569"/>
      <c r="EL266" s="569"/>
      <c r="EM266" s="569"/>
      <c r="EN266" s="569"/>
      <c r="EO266" s="569"/>
      <c r="EP266" s="569"/>
      <c r="EQ266" s="569"/>
      <c r="ER266" s="569"/>
      <c r="ES266" s="569"/>
      <c r="ET266" s="569"/>
      <c r="EU266" s="569"/>
      <c r="EV266" s="569"/>
      <c r="EW266" s="569"/>
      <c r="EX266" s="569"/>
      <c r="EY266" s="569"/>
      <c r="EZ266" s="569"/>
      <c r="FA266" s="569"/>
      <c r="FB266" s="569"/>
      <c r="FC266" s="569"/>
      <c r="FD266" s="569"/>
      <c r="FE266" s="569"/>
      <c r="FF266" s="569"/>
      <c r="FG266" s="569"/>
      <c r="FH266" s="569"/>
      <c r="FI266" s="569"/>
      <c r="FJ266" s="569"/>
      <c r="FK266" s="569"/>
      <c r="FL266" s="569"/>
      <c r="FM266" s="569"/>
      <c r="FN266" s="569"/>
      <c r="FO266" s="569"/>
      <c r="FP266" s="569"/>
      <c r="FQ266" s="569"/>
      <c r="FR266" s="569"/>
      <c r="FS266" s="569"/>
      <c r="FT266" s="569"/>
      <c r="FU266" s="569"/>
      <c r="FV266" s="569"/>
      <c r="FW266" s="569"/>
      <c r="FX266" s="569"/>
      <c r="FY266" s="569"/>
      <c r="FZ266" s="569"/>
      <c r="GA266" s="569"/>
      <c r="GB266" s="569"/>
      <c r="GC266" s="569"/>
      <c r="GD266" s="569"/>
      <c r="GE266" s="569"/>
      <c r="GF266" s="569"/>
      <c r="GG266" s="569"/>
      <c r="GH266" s="569"/>
      <c r="GI266" s="569"/>
      <c r="GJ266" s="569"/>
      <c r="GK266" s="569"/>
      <c r="GL266" s="569"/>
      <c r="GM266" s="569"/>
      <c r="GN266" s="569"/>
      <c r="GO266" s="569"/>
      <c r="GP266" s="569"/>
      <c r="GQ266" s="569"/>
      <c r="GR266" s="569"/>
      <c r="GS266" s="569"/>
      <c r="GT266" s="569"/>
    </row>
    <row r="267" spans="2:202" s="554" customFormat="1" ht="18" customHeight="1">
      <c r="B267" s="578"/>
      <c r="C267" s="1149"/>
      <c r="D267" s="1149"/>
      <c r="E267" s="1149"/>
      <c r="F267" s="1149"/>
      <c r="G267" s="1149"/>
      <c r="H267" s="1149"/>
      <c r="I267" s="1149"/>
      <c r="J267" s="1149"/>
      <c r="K267" s="1149"/>
      <c r="L267" s="1149"/>
      <c r="M267" s="578"/>
      <c r="N267" s="578"/>
      <c r="O267" s="578"/>
      <c r="P267" s="578"/>
      <c r="Q267" s="590"/>
      <c r="R267" s="590"/>
      <c r="S267" s="590"/>
      <c r="T267" s="578"/>
      <c r="U267" s="590"/>
      <c r="V267" s="590"/>
      <c r="W267" s="590"/>
      <c r="X267" s="590"/>
      <c r="Y267" s="590"/>
      <c r="Z267" s="590"/>
      <c r="AA267" s="590"/>
      <c r="AB267" s="590"/>
      <c r="AC267" s="590"/>
      <c r="AD267" s="590"/>
      <c r="AE267" s="590"/>
      <c r="AF267" s="590"/>
      <c r="AG267" s="590"/>
      <c r="AH267" s="569"/>
      <c r="AI267" s="569"/>
      <c r="AJ267" s="569"/>
      <c r="AK267" s="569"/>
      <c r="AL267" s="569"/>
      <c r="AM267" s="569"/>
      <c r="AN267" s="569"/>
      <c r="AO267" s="569"/>
      <c r="AP267" s="569"/>
      <c r="AQ267" s="569"/>
      <c r="AR267" s="569"/>
      <c r="AS267" s="569"/>
      <c r="AT267" s="569"/>
      <c r="AU267" s="569"/>
      <c r="AV267" s="569"/>
      <c r="AW267" s="569"/>
      <c r="AX267" s="569"/>
      <c r="AY267" s="569"/>
      <c r="AZ267" s="569"/>
      <c r="BA267" s="569"/>
      <c r="BB267" s="569"/>
      <c r="BC267" s="569"/>
      <c r="BD267" s="569"/>
      <c r="BE267" s="569"/>
      <c r="BF267" s="569"/>
      <c r="BG267" s="569"/>
      <c r="BH267" s="569"/>
      <c r="BI267" s="569"/>
      <c r="BJ267" s="569"/>
      <c r="BK267" s="569"/>
      <c r="BL267" s="569"/>
      <c r="BM267" s="569"/>
      <c r="BN267" s="569"/>
      <c r="BO267" s="569"/>
      <c r="BP267" s="569"/>
      <c r="BQ267" s="569"/>
      <c r="BR267" s="569"/>
      <c r="BS267" s="569"/>
      <c r="BT267" s="569"/>
      <c r="BU267" s="569"/>
      <c r="BV267" s="569"/>
      <c r="BW267" s="569"/>
      <c r="BX267" s="569"/>
      <c r="BY267" s="569"/>
      <c r="BZ267" s="569"/>
      <c r="CA267" s="569"/>
      <c r="CB267" s="569"/>
      <c r="CC267" s="569"/>
      <c r="CD267" s="569"/>
      <c r="CE267" s="569"/>
      <c r="CF267" s="569"/>
      <c r="CG267" s="569"/>
      <c r="CH267" s="569"/>
      <c r="CI267" s="569"/>
      <c r="CJ267" s="569"/>
      <c r="CK267" s="569"/>
      <c r="CL267" s="569"/>
      <c r="CM267" s="569"/>
      <c r="CN267" s="569"/>
      <c r="CO267" s="569"/>
      <c r="CP267" s="569"/>
      <c r="CQ267" s="569"/>
      <c r="CR267" s="569"/>
      <c r="CS267" s="569"/>
      <c r="CT267" s="569"/>
      <c r="CU267" s="569"/>
      <c r="CV267" s="569"/>
      <c r="CW267" s="569"/>
      <c r="CX267" s="569"/>
      <c r="CY267" s="569"/>
      <c r="CZ267" s="569"/>
      <c r="DA267" s="569"/>
      <c r="DB267" s="569"/>
      <c r="DC267" s="569"/>
      <c r="DD267" s="569"/>
      <c r="DE267" s="569"/>
      <c r="DF267" s="569"/>
      <c r="DG267" s="569"/>
      <c r="DH267" s="569"/>
      <c r="DI267" s="569"/>
      <c r="DJ267" s="569"/>
      <c r="DK267" s="569"/>
      <c r="DL267" s="569"/>
      <c r="DM267" s="569"/>
      <c r="DN267" s="569"/>
      <c r="DO267" s="569"/>
      <c r="DP267" s="569"/>
      <c r="DQ267" s="569"/>
      <c r="DR267" s="569"/>
      <c r="DS267" s="569"/>
      <c r="DT267" s="569"/>
      <c r="DU267" s="569"/>
      <c r="DV267" s="569"/>
      <c r="DW267" s="569"/>
      <c r="DX267" s="569"/>
      <c r="DY267" s="569"/>
      <c r="DZ267" s="569"/>
      <c r="EA267" s="569"/>
      <c r="EB267" s="569"/>
      <c r="EC267" s="569"/>
      <c r="ED267" s="569"/>
      <c r="EE267" s="569"/>
      <c r="EF267" s="569"/>
      <c r="EG267" s="569"/>
      <c r="EH267" s="569"/>
      <c r="EI267" s="569"/>
      <c r="EJ267" s="569"/>
      <c r="EK267" s="569"/>
      <c r="EL267" s="569"/>
      <c r="EM267" s="569"/>
      <c r="EN267" s="569"/>
      <c r="EO267" s="569"/>
      <c r="EP267" s="569"/>
      <c r="EQ267" s="569"/>
      <c r="ER267" s="569"/>
      <c r="ES267" s="569"/>
      <c r="ET267" s="569"/>
      <c r="EU267" s="569"/>
      <c r="EV267" s="569"/>
      <c r="EW267" s="569"/>
      <c r="EX267" s="569"/>
      <c r="EY267" s="569"/>
      <c r="EZ267" s="569"/>
      <c r="FA267" s="569"/>
      <c r="FB267" s="569"/>
      <c r="FC267" s="569"/>
      <c r="FD267" s="569"/>
      <c r="FE267" s="569"/>
      <c r="FF267" s="569"/>
      <c r="FG267" s="569"/>
      <c r="FH267" s="569"/>
      <c r="FI267" s="569"/>
      <c r="FJ267" s="569"/>
      <c r="FK267" s="569"/>
      <c r="FL267" s="569"/>
      <c r="FM267" s="569"/>
      <c r="FN267" s="569"/>
      <c r="FO267" s="569"/>
      <c r="FP267" s="569"/>
      <c r="FQ267" s="569"/>
      <c r="FR267" s="569"/>
      <c r="FS267" s="569"/>
      <c r="FT267" s="569"/>
      <c r="FU267" s="569"/>
      <c r="FV267" s="569"/>
      <c r="FW267" s="569"/>
      <c r="FX267" s="569"/>
      <c r="FY267" s="569"/>
      <c r="FZ267" s="569"/>
      <c r="GA267" s="569"/>
      <c r="GB267" s="569"/>
      <c r="GC267" s="569"/>
      <c r="GD267" s="569"/>
      <c r="GE267" s="569"/>
      <c r="GF267" s="569"/>
      <c r="GG267" s="569"/>
      <c r="GH267" s="569"/>
      <c r="GI267" s="569"/>
      <c r="GJ267" s="569"/>
      <c r="GK267" s="569"/>
      <c r="GL267" s="569"/>
      <c r="GM267" s="569"/>
      <c r="GN267" s="569"/>
      <c r="GO267" s="569"/>
      <c r="GP267" s="569"/>
      <c r="GQ267" s="569"/>
      <c r="GR267" s="569"/>
      <c r="GS267" s="569"/>
      <c r="GT267" s="569"/>
    </row>
    <row r="268" spans="2:202" s="554" customFormat="1" ht="18" customHeight="1">
      <c r="B268" s="578"/>
      <c r="C268" s="1149"/>
      <c r="D268" s="1149"/>
      <c r="E268" s="1149"/>
      <c r="F268" s="1149"/>
      <c r="G268" s="1149"/>
      <c r="H268" s="1149"/>
      <c r="I268" s="1149"/>
      <c r="J268" s="1149"/>
      <c r="K268" s="1149"/>
      <c r="L268" s="1149"/>
      <c r="M268" s="578"/>
      <c r="N268" s="578"/>
      <c r="O268" s="578"/>
      <c r="P268" s="578"/>
      <c r="Q268" s="590"/>
      <c r="R268" s="590"/>
      <c r="S268" s="590"/>
      <c r="T268" s="578"/>
      <c r="U268" s="590"/>
      <c r="V268" s="590"/>
      <c r="W268" s="590"/>
      <c r="X268" s="590"/>
      <c r="Y268" s="590"/>
      <c r="Z268" s="590"/>
      <c r="AA268" s="590"/>
      <c r="AB268" s="590"/>
      <c r="AC268" s="590"/>
      <c r="AD268" s="590"/>
      <c r="AE268" s="590"/>
      <c r="AF268" s="590"/>
      <c r="AG268" s="590"/>
      <c r="AH268" s="569"/>
      <c r="AI268" s="569"/>
      <c r="AJ268" s="569"/>
      <c r="AK268" s="569"/>
      <c r="AL268" s="569"/>
      <c r="AM268" s="569"/>
      <c r="AN268" s="569"/>
      <c r="AO268" s="569"/>
      <c r="AP268" s="569"/>
      <c r="AQ268" s="569"/>
      <c r="AR268" s="569"/>
      <c r="AS268" s="569"/>
      <c r="AT268" s="569"/>
      <c r="AU268" s="569"/>
      <c r="AV268" s="569"/>
      <c r="AW268" s="569"/>
      <c r="AX268" s="569"/>
      <c r="AY268" s="569"/>
      <c r="AZ268" s="569"/>
      <c r="BA268" s="569"/>
      <c r="BB268" s="569"/>
      <c r="BC268" s="569"/>
      <c r="BD268" s="569"/>
      <c r="BE268" s="569"/>
      <c r="BF268" s="569"/>
      <c r="BG268" s="569"/>
      <c r="BH268" s="569"/>
      <c r="BI268" s="569"/>
      <c r="BJ268" s="569"/>
      <c r="BK268" s="569"/>
      <c r="BL268" s="569"/>
      <c r="BM268" s="569"/>
      <c r="BN268" s="569"/>
      <c r="BO268" s="569"/>
      <c r="BP268" s="569"/>
      <c r="BQ268" s="569"/>
      <c r="BR268" s="569"/>
      <c r="BS268" s="569"/>
      <c r="BT268" s="569"/>
      <c r="BU268" s="569"/>
      <c r="BV268" s="569"/>
      <c r="BW268" s="569"/>
      <c r="BX268" s="569"/>
      <c r="BY268" s="569"/>
      <c r="BZ268" s="569"/>
      <c r="CA268" s="569"/>
      <c r="CB268" s="569"/>
      <c r="CC268" s="569"/>
      <c r="CD268" s="569"/>
      <c r="CE268" s="569"/>
      <c r="CF268" s="569"/>
      <c r="CG268" s="569"/>
      <c r="CH268" s="569"/>
      <c r="CI268" s="569"/>
      <c r="CJ268" s="569"/>
      <c r="CK268" s="569"/>
      <c r="CL268" s="569"/>
      <c r="CM268" s="569"/>
      <c r="CN268" s="569"/>
      <c r="CO268" s="569"/>
      <c r="CP268" s="569"/>
      <c r="CQ268" s="569"/>
      <c r="CR268" s="569"/>
      <c r="CS268" s="569"/>
      <c r="CT268" s="569"/>
      <c r="CU268" s="569"/>
      <c r="CV268" s="569"/>
      <c r="CW268" s="569"/>
      <c r="CX268" s="569"/>
      <c r="CY268" s="569"/>
      <c r="CZ268" s="569"/>
      <c r="DA268" s="569"/>
      <c r="DB268" s="569"/>
      <c r="DC268" s="569"/>
      <c r="DD268" s="569"/>
      <c r="DE268" s="569"/>
      <c r="DF268" s="569"/>
      <c r="DG268" s="569"/>
      <c r="DH268" s="569"/>
      <c r="DI268" s="569"/>
      <c r="DJ268" s="569"/>
      <c r="DK268" s="569"/>
      <c r="DL268" s="569"/>
      <c r="DM268" s="569"/>
      <c r="DN268" s="569"/>
      <c r="DO268" s="569"/>
      <c r="DP268" s="569"/>
      <c r="DQ268" s="569"/>
      <c r="DR268" s="569"/>
      <c r="DS268" s="569"/>
      <c r="DT268" s="569"/>
      <c r="DU268" s="569"/>
      <c r="DV268" s="569"/>
      <c r="DW268" s="569"/>
      <c r="DX268" s="569"/>
      <c r="DY268" s="569"/>
      <c r="DZ268" s="569"/>
      <c r="EA268" s="569"/>
      <c r="EB268" s="569"/>
      <c r="EC268" s="569"/>
      <c r="ED268" s="569"/>
      <c r="EE268" s="569"/>
      <c r="EF268" s="569"/>
      <c r="EG268" s="569"/>
      <c r="EH268" s="569"/>
      <c r="EI268" s="569"/>
      <c r="EJ268" s="569"/>
      <c r="EK268" s="569"/>
      <c r="EL268" s="569"/>
      <c r="EM268" s="569"/>
      <c r="EN268" s="569"/>
      <c r="EO268" s="569"/>
      <c r="EP268" s="569"/>
      <c r="EQ268" s="569"/>
      <c r="ER268" s="569"/>
      <c r="ES268" s="569"/>
      <c r="ET268" s="569"/>
      <c r="EU268" s="569"/>
      <c r="EV268" s="569"/>
      <c r="EW268" s="569"/>
      <c r="EX268" s="569"/>
      <c r="EY268" s="569"/>
      <c r="EZ268" s="569"/>
      <c r="FA268" s="569"/>
      <c r="FB268" s="569"/>
      <c r="FC268" s="569"/>
      <c r="FD268" s="569"/>
      <c r="FE268" s="569"/>
      <c r="FF268" s="569"/>
      <c r="FG268" s="569"/>
      <c r="FH268" s="569"/>
      <c r="FI268" s="569"/>
      <c r="FJ268" s="569"/>
      <c r="FK268" s="569"/>
      <c r="FL268" s="569"/>
      <c r="FM268" s="569"/>
      <c r="FN268" s="569"/>
      <c r="FO268" s="569"/>
      <c r="FP268" s="569"/>
      <c r="FQ268" s="569"/>
      <c r="FR268" s="569"/>
      <c r="FS268" s="569"/>
      <c r="FT268" s="569"/>
      <c r="FU268" s="569"/>
      <c r="FV268" s="569"/>
      <c r="FW268" s="569"/>
      <c r="FX268" s="569"/>
      <c r="FY268" s="569"/>
      <c r="FZ268" s="569"/>
      <c r="GA268" s="569"/>
      <c r="GB268" s="569"/>
      <c r="GC268" s="569"/>
      <c r="GD268" s="569"/>
      <c r="GE268" s="569"/>
      <c r="GF268" s="569"/>
      <c r="GG268" s="569"/>
      <c r="GH268" s="569"/>
      <c r="GI268" s="569"/>
      <c r="GJ268" s="569"/>
      <c r="GK268" s="569"/>
      <c r="GL268" s="569"/>
      <c r="GM268" s="569"/>
      <c r="GN268" s="569"/>
      <c r="GO268" s="569"/>
      <c r="GP268" s="569"/>
      <c r="GQ268" s="569"/>
      <c r="GR268" s="569"/>
      <c r="GS268" s="569"/>
      <c r="GT268" s="569"/>
    </row>
    <row r="269" spans="2:202" s="554" customFormat="1" ht="18" customHeight="1">
      <c r="B269" s="578"/>
      <c r="C269" s="1149"/>
      <c r="D269" s="1149"/>
      <c r="E269" s="1149"/>
      <c r="F269" s="1149"/>
      <c r="G269" s="1149"/>
      <c r="H269" s="1149"/>
      <c r="I269" s="1149"/>
      <c r="J269" s="1149"/>
      <c r="K269" s="1149"/>
      <c r="L269" s="1149"/>
      <c r="M269" s="578"/>
      <c r="N269" s="578"/>
      <c r="O269" s="578"/>
      <c r="P269" s="578"/>
      <c r="Q269" s="590"/>
      <c r="R269" s="590"/>
      <c r="S269" s="590"/>
      <c r="T269" s="578"/>
      <c r="U269" s="590"/>
      <c r="V269" s="590"/>
      <c r="W269" s="590"/>
      <c r="X269" s="590"/>
      <c r="Y269" s="590"/>
      <c r="Z269" s="590"/>
      <c r="AA269" s="590"/>
      <c r="AB269" s="590"/>
      <c r="AC269" s="590"/>
      <c r="AD269" s="590"/>
      <c r="AE269" s="590"/>
      <c r="AF269" s="590"/>
      <c r="AG269" s="590"/>
      <c r="AH269" s="569"/>
      <c r="AI269" s="569"/>
      <c r="AJ269" s="569"/>
      <c r="AK269" s="569"/>
      <c r="AL269" s="569"/>
      <c r="AM269" s="569"/>
      <c r="AN269" s="569"/>
      <c r="AO269" s="569"/>
      <c r="AP269" s="569"/>
      <c r="AQ269" s="569"/>
      <c r="AR269" s="569"/>
      <c r="AS269" s="569"/>
      <c r="AT269" s="569"/>
      <c r="AU269" s="569"/>
      <c r="AV269" s="569"/>
      <c r="AW269" s="569"/>
      <c r="AX269" s="569"/>
      <c r="AY269" s="569"/>
      <c r="AZ269" s="569"/>
      <c r="BA269" s="569"/>
      <c r="BB269" s="569"/>
      <c r="BC269" s="569"/>
      <c r="BD269" s="569"/>
      <c r="BE269" s="569"/>
      <c r="BF269" s="569"/>
      <c r="BG269" s="569"/>
      <c r="BH269" s="569"/>
      <c r="BI269" s="569"/>
      <c r="BJ269" s="569"/>
      <c r="BK269" s="569"/>
      <c r="BL269" s="569"/>
      <c r="BM269" s="569"/>
      <c r="BN269" s="569"/>
      <c r="BO269" s="569"/>
      <c r="BP269" s="569"/>
      <c r="BQ269" s="569"/>
      <c r="BR269" s="569"/>
      <c r="BS269" s="569"/>
      <c r="BT269" s="569"/>
      <c r="BU269" s="569"/>
      <c r="BV269" s="569"/>
      <c r="BW269" s="569"/>
      <c r="BX269" s="569"/>
      <c r="BY269" s="569"/>
      <c r="BZ269" s="569"/>
      <c r="CA269" s="569"/>
      <c r="CB269" s="569"/>
      <c r="CC269" s="569"/>
      <c r="CD269" s="569"/>
      <c r="CE269" s="569"/>
      <c r="CF269" s="569"/>
      <c r="CG269" s="569"/>
      <c r="CH269" s="569"/>
      <c r="CI269" s="569"/>
      <c r="CJ269" s="569"/>
      <c r="CK269" s="569"/>
      <c r="CL269" s="569"/>
      <c r="CM269" s="569"/>
      <c r="CN269" s="569"/>
      <c r="CO269" s="569"/>
      <c r="CP269" s="569"/>
      <c r="CQ269" s="569"/>
      <c r="CR269" s="569"/>
      <c r="CS269" s="569"/>
      <c r="CT269" s="569"/>
      <c r="CU269" s="569"/>
      <c r="CV269" s="569"/>
      <c r="CW269" s="569"/>
      <c r="CX269" s="569"/>
      <c r="CY269" s="569"/>
      <c r="CZ269" s="569"/>
      <c r="DA269" s="569"/>
      <c r="DB269" s="569"/>
      <c r="DC269" s="569"/>
      <c r="DD269" s="569"/>
      <c r="DE269" s="569"/>
      <c r="DF269" s="569"/>
      <c r="DG269" s="569"/>
      <c r="DH269" s="569"/>
      <c r="DI269" s="569"/>
      <c r="DJ269" s="569"/>
      <c r="DK269" s="569"/>
      <c r="DL269" s="569"/>
      <c r="DM269" s="569"/>
      <c r="DN269" s="569"/>
      <c r="DO269" s="569"/>
      <c r="DP269" s="569"/>
      <c r="DQ269" s="569"/>
      <c r="DR269" s="569"/>
      <c r="DS269" s="569"/>
      <c r="DT269" s="569"/>
      <c r="DU269" s="569"/>
      <c r="DV269" s="569"/>
      <c r="DW269" s="569"/>
      <c r="DX269" s="569"/>
      <c r="DY269" s="569"/>
      <c r="DZ269" s="569"/>
      <c r="EA269" s="569"/>
      <c r="EB269" s="569"/>
      <c r="EC269" s="569"/>
      <c r="ED269" s="569"/>
      <c r="EE269" s="569"/>
      <c r="EF269" s="569"/>
      <c r="EG269" s="569"/>
      <c r="EH269" s="569"/>
      <c r="EI269" s="569"/>
      <c r="EJ269" s="569"/>
      <c r="EK269" s="569"/>
      <c r="EL269" s="569"/>
      <c r="EM269" s="569"/>
      <c r="EN269" s="569"/>
      <c r="EO269" s="569"/>
      <c r="EP269" s="569"/>
      <c r="EQ269" s="569"/>
      <c r="ER269" s="569"/>
      <c r="ES269" s="569"/>
      <c r="ET269" s="569"/>
      <c r="EU269" s="569"/>
      <c r="EV269" s="569"/>
      <c r="EW269" s="569"/>
      <c r="EX269" s="569"/>
      <c r="EY269" s="569"/>
      <c r="EZ269" s="569"/>
      <c r="FA269" s="569"/>
      <c r="FB269" s="569"/>
      <c r="FC269" s="569"/>
      <c r="FD269" s="569"/>
      <c r="FE269" s="569"/>
      <c r="FF269" s="569"/>
      <c r="FG269" s="569"/>
      <c r="FH269" s="569"/>
      <c r="FI269" s="569"/>
      <c r="FJ269" s="569"/>
      <c r="FK269" s="569"/>
      <c r="FL269" s="569"/>
      <c r="FM269" s="569"/>
      <c r="FN269" s="569"/>
      <c r="FO269" s="569"/>
      <c r="FP269" s="569"/>
      <c r="FQ269" s="569"/>
      <c r="FR269" s="569"/>
      <c r="FS269" s="569"/>
      <c r="FT269" s="569"/>
      <c r="FU269" s="569"/>
      <c r="FV269" s="569"/>
      <c r="FW269" s="569"/>
      <c r="FX269" s="569"/>
      <c r="FY269" s="569"/>
      <c r="FZ269" s="569"/>
      <c r="GA269" s="569"/>
      <c r="GB269" s="569"/>
      <c r="GC269" s="569"/>
      <c r="GD269" s="569"/>
      <c r="GE269" s="569"/>
      <c r="GF269" s="569"/>
      <c r="GG269" s="569"/>
      <c r="GH269" s="569"/>
      <c r="GI269" s="569"/>
      <c r="GJ269" s="569"/>
      <c r="GK269" s="569"/>
      <c r="GL269" s="569"/>
      <c r="GM269" s="569"/>
      <c r="GN269" s="569"/>
      <c r="GO269" s="569"/>
      <c r="GP269" s="569"/>
      <c r="GQ269" s="569"/>
      <c r="GR269" s="569"/>
      <c r="GS269" s="569"/>
      <c r="GT269" s="569"/>
    </row>
    <row r="270" spans="2:202" s="554" customFormat="1" ht="18" customHeight="1">
      <c r="B270" s="578"/>
      <c r="C270" s="1149"/>
      <c r="D270" s="1149"/>
      <c r="E270" s="1149"/>
      <c r="F270" s="1149"/>
      <c r="G270" s="1149"/>
      <c r="H270" s="1149"/>
      <c r="I270" s="1149"/>
      <c r="J270" s="1149"/>
      <c r="K270" s="1149"/>
      <c r="L270" s="1149"/>
      <c r="M270" s="578"/>
      <c r="N270" s="578"/>
      <c r="O270" s="578"/>
      <c r="P270" s="578"/>
      <c r="Q270" s="590"/>
      <c r="R270" s="590"/>
      <c r="S270" s="590"/>
      <c r="T270" s="578"/>
      <c r="U270" s="590"/>
      <c r="V270" s="590"/>
      <c r="W270" s="590"/>
      <c r="X270" s="590"/>
      <c r="Y270" s="590"/>
      <c r="Z270" s="590"/>
      <c r="AA270" s="590"/>
      <c r="AB270" s="590"/>
      <c r="AC270" s="590"/>
      <c r="AD270" s="590"/>
      <c r="AE270" s="590"/>
      <c r="AF270" s="590"/>
      <c r="AG270" s="590"/>
      <c r="AH270" s="569"/>
      <c r="AI270" s="569"/>
      <c r="AJ270" s="569"/>
      <c r="AK270" s="569"/>
      <c r="AL270" s="569"/>
      <c r="AM270" s="569"/>
      <c r="AN270" s="569"/>
      <c r="AO270" s="569"/>
      <c r="AP270" s="569"/>
      <c r="AQ270" s="569"/>
      <c r="AR270" s="569"/>
      <c r="AS270" s="569"/>
      <c r="AT270" s="569"/>
      <c r="AU270" s="569"/>
      <c r="AV270" s="569"/>
      <c r="AW270" s="569"/>
      <c r="AX270" s="569"/>
      <c r="AY270" s="569"/>
      <c r="AZ270" s="569"/>
      <c r="BA270" s="569"/>
      <c r="BB270" s="569"/>
      <c r="BC270" s="569"/>
      <c r="BD270" s="569"/>
      <c r="BE270" s="569"/>
      <c r="BF270" s="569"/>
      <c r="BG270" s="569"/>
      <c r="BH270" s="569"/>
      <c r="BI270" s="569"/>
      <c r="BJ270" s="569"/>
      <c r="BK270" s="569"/>
      <c r="BL270" s="569"/>
      <c r="BM270" s="569"/>
      <c r="BN270" s="569"/>
      <c r="BO270" s="569"/>
      <c r="BP270" s="569"/>
      <c r="BQ270" s="569"/>
      <c r="BR270" s="569"/>
      <c r="BS270" s="569"/>
      <c r="BT270" s="569"/>
      <c r="BU270" s="569"/>
      <c r="BV270" s="569"/>
      <c r="BW270" s="569"/>
      <c r="BX270" s="569"/>
      <c r="BY270" s="569"/>
      <c r="BZ270" s="569"/>
      <c r="CA270" s="569"/>
      <c r="CB270" s="569"/>
      <c r="CC270" s="569"/>
      <c r="CD270" s="569"/>
      <c r="CE270" s="569"/>
      <c r="CF270" s="569"/>
      <c r="CG270" s="569"/>
      <c r="CH270" s="569"/>
      <c r="CI270" s="569"/>
      <c r="CJ270" s="569"/>
      <c r="CK270" s="569"/>
      <c r="CL270" s="569"/>
      <c r="CM270" s="569"/>
      <c r="CN270" s="569"/>
      <c r="CO270" s="569"/>
      <c r="CP270" s="569"/>
      <c r="CQ270" s="569"/>
      <c r="CR270" s="569"/>
      <c r="CS270" s="569"/>
      <c r="CT270" s="569"/>
      <c r="CU270" s="569"/>
      <c r="CV270" s="569"/>
      <c r="CW270" s="569"/>
      <c r="CX270" s="569"/>
      <c r="CY270" s="569"/>
      <c r="CZ270" s="569"/>
      <c r="DA270" s="569"/>
      <c r="DB270" s="569"/>
      <c r="DC270" s="569"/>
      <c r="DD270" s="569"/>
      <c r="DE270" s="569"/>
      <c r="DF270" s="569"/>
      <c r="DG270" s="569"/>
      <c r="DH270" s="569"/>
      <c r="DI270" s="569"/>
      <c r="DJ270" s="569"/>
      <c r="DK270" s="569"/>
      <c r="DL270" s="569"/>
      <c r="DM270" s="569"/>
      <c r="DN270" s="569"/>
      <c r="DO270" s="569"/>
      <c r="DP270" s="569"/>
      <c r="DQ270" s="569"/>
      <c r="DR270" s="569"/>
      <c r="DS270" s="569"/>
      <c r="DT270" s="569"/>
      <c r="DU270" s="569"/>
      <c r="DV270" s="569"/>
      <c r="DW270" s="569"/>
      <c r="DX270" s="569"/>
      <c r="DY270" s="569"/>
      <c r="DZ270" s="569"/>
      <c r="EA270" s="569"/>
      <c r="EB270" s="569"/>
      <c r="EC270" s="569"/>
      <c r="ED270" s="569"/>
      <c r="EE270" s="569"/>
      <c r="EF270" s="569"/>
      <c r="EG270" s="569"/>
      <c r="EH270" s="569"/>
      <c r="EI270" s="569"/>
      <c r="EJ270" s="569"/>
      <c r="EK270" s="569"/>
      <c r="EL270" s="569"/>
      <c r="EM270" s="569"/>
      <c r="EN270" s="569"/>
      <c r="EO270" s="569"/>
      <c r="EP270" s="569"/>
      <c r="EQ270" s="569"/>
      <c r="ER270" s="569"/>
      <c r="ES270" s="569"/>
      <c r="ET270" s="569"/>
      <c r="EU270" s="569"/>
      <c r="EV270" s="569"/>
      <c r="EW270" s="569"/>
      <c r="EX270" s="569"/>
      <c r="EY270" s="569"/>
      <c r="EZ270" s="569"/>
      <c r="FA270" s="569"/>
      <c r="FB270" s="569"/>
      <c r="FC270" s="569"/>
      <c r="FD270" s="569"/>
      <c r="FE270" s="569"/>
      <c r="FF270" s="569"/>
      <c r="FG270" s="569"/>
      <c r="FH270" s="569"/>
      <c r="FI270" s="569"/>
      <c r="FJ270" s="569"/>
      <c r="FK270" s="569"/>
      <c r="FL270" s="569"/>
      <c r="FM270" s="569"/>
      <c r="FN270" s="569"/>
      <c r="FO270" s="569"/>
      <c r="FP270" s="569"/>
      <c r="FQ270" s="569"/>
      <c r="FR270" s="569"/>
      <c r="FS270" s="569"/>
      <c r="FT270" s="569"/>
      <c r="FU270" s="569"/>
      <c r="FV270" s="569"/>
      <c r="FW270" s="569"/>
      <c r="FX270" s="569"/>
      <c r="FY270" s="569"/>
      <c r="FZ270" s="569"/>
      <c r="GA270" s="569"/>
      <c r="GB270" s="569"/>
      <c r="GC270" s="569"/>
      <c r="GD270" s="569"/>
      <c r="GE270" s="569"/>
      <c r="GF270" s="569"/>
      <c r="GG270" s="569"/>
      <c r="GH270" s="569"/>
      <c r="GI270" s="569"/>
      <c r="GJ270" s="569"/>
      <c r="GK270" s="569"/>
      <c r="GL270" s="569"/>
      <c r="GM270" s="569"/>
      <c r="GN270" s="569"/>
      <c r="GO270" s="569"/>
      <c r="GP270" s="569"/>
      <c r="GQ270" s="569"/>
      <c r="GR270" s="569"/>
      <c r="GS270" s="569"/>
      <c r="GT270" s="569"/>
    </row>
    <row r="271" spans="2:202" s="554" customFormat="1" ht="18" customHeight="1">
      <c r="B271" s="578"/>
      <c r="C271" s="1149"/>
      <c r="D271" s="1149"/>
      <c r="E271" s="1149"/>
      <c r="F271" s="1149"/>
      <c r="G271" s="1149"/>
      <c r="H271" s="1149"/>
      <c r="I271" s="1149"/>
      <c r="J271" s="1149"/>
      <c r="K271" s="1149"/>
      <c r="L271" s="1149"/>
      <c r="M271" s="578"/>
      <c r="N271" s="578"/>
      <c r="O271" s="578"/>
      <c r="P271" s="578"/>
      <c r="Q271" s="590"/>
      <c r="R271" s="590"/>
      <c r="S271" s="590"/>
      <c r="T271" s="578"/>
      <c r="U271" s="590"/>
      <c r="V271" s="590"/>
      <c r="W271" s="590"/>
      <c r="X271" s="590"/>
      <c r="Y271" s="590"/>
      <c r="Z271" s="590"/>
      <c r="AA271" s="590"/>
      <c r="AB271" s="590"/>
      <c r="AC271" s="590"/>
      <c r="AD271" s="590"/>
      <c r="AE271" s="590"/>
      <c r="AF271" s="590"/>
      <c r="AG271" s="590"/>
      <c r="AH271" s="569"/>
      <c r="AI271" s="569"/>
      <c r="AJ271" s="569"/>
      <c r="AK271" s="569"/>
      <c r="AL271" s="569"/>
      <c r="AM271" s="569"/>
      <c r="AN271" s="569"/>
      <c r="AO271" s="569"/>
      <c r="AP271" s="569"/>
      <c r="AQ271" s="569"/>
      <c r="AR271" s="569"/>
      <c r="AS271" s="569"/>
      <c r="AT271" s="569"/>
      <c r="AU271" s="569"/>
      <c r="AV271" s="569"/>
      <c r="AW271" s="569"/>
      <c r="AX271" s="569"/>
      <c r="AY271" s="569"/>
      <c r="AZ271" s="569"/>
      <c r="BA271" s="569"/>
      <c r="BB271" s="569"/>
      <c r="BC271" s="569"/>
      <c r="BD271" s="569"/>
      <c r="BE271" s="569"/>
      <c r="BF271" s="569"/>
      <c r="BG271" s="569"/>
      <c r="BH271" s="569"/>
      <c r="BI271" s="569"/>
      <c r="BJ271" s="569"/>
      <c r="BK271" s="569"/>
      <c r="BL271" s="569"/>
      <c r="BM271" s="569"/>
      <c r="BN271" s="569"/>
      <c r="BO271" s="569"/>
      <c r="BP271" s="569"/>
      <c r="BQ271" s="569"/>
      <c r="BR271" s="569"/>
      <c r="BS271" s="569"/>
      <c r="BT271" s="569"/>
      <c r="BU271" s="569"/>
      <c r="BV271" s="569"/>
      <c r="BW271" s="569"/>
      <c r="BX271" s="569"/>
      <c r="BY271" s="569"/>
      <c r="BZ271" s="569"/>
      <c r="CA271" s="569"/>
      <c r="CB271" s="569"/>
      <c r="CC271" s="569"/>
      <c r="CD271" s="569"/>
      <c r="CE271" s="569"/>
      <c r="CF271" s="569"/>
      <c r="CG271" s="569"/>
      <c r="CH271" s="569"/>
      <c r="CI271" s="569"/>
      <c r="CJ271" s="569"/>
      <c r="CK271" s="569"/>
      <c r="CL271" s="569"/>
      <c r="CM271" s="569"/>
      <c r="CN271" s="569"/>
      <c r="CO271" s="569"/>
      <c r="CP271" s="569"/>
      <c r="CQ271" s="569"/>
      <c r="CR271" s="569"/>
      <c r="CS271" s="569"/>
      <c r="CT271" s="569"/>
      <c r="CU271" s="569"/>
      <c r="CV271" s="569"/>
      <c r="CW271" s="569"/>
      <c r="CX271" s="569"/>
      <c r="CY271" s="569"/>
      <c r="CZ271" s="569"/>
      <c r="DA271" s="569"/>
      <c r="DB271" s="569"/>
      <c r="DC271" s="569"/>
      <c r="DD271" s="569"/>
      <c r="DE271" s="569"/>
      <c r="DF271" s="569"/>
      <c r="DG271" s="569"/>
      <c r="DH271" s="569"/>
      <c r="DI271" s="569"/>
      <c r="DJ271" s="569"/>
      <c r="DK271" s="569"/>
      <c r="DL271" s="569"/>
      <c r="DM271" s="569"/>
      <c r="DN271" s="569"/>
      <c r="DO271" s="569"/>
      <c r="DP271" s="569"/>
      <c r="DQ271" s="569"/>
      <c r="DR271" s="569"/>
      <c r="DS271" s="569"/>
      <c r="DT271" s="569"/>
      <c r="DU271" s="569"/>
      <c r="DV271" s="569"/>
      <c r="DW271" s="569"/>
      <c r="DX271" s="569"/>
      <c r="DY271" s="569"/>
      <c r="DZ271" s="569"/>
      <c r="EA271" s="569"/>
      <c r="EB271" s="569"/>
      <c r="EC271" s="569"/>
      <c r="ED271" s="569"/>
      <c r="EE271" s="569"/>
      <c r="EF271" s="569"/>
      <c r="EG271" s="569"/>
      <c r="EH271" s="569"/>
      <c r="EI271" s="569"/>
      <c r="EJ271" s="569"/>
      <c r="EK271" s="569"/>
      <c r="EL271" s="569"/>
      <c r="EM271" s="569"/>
      <c r="EN271" s="569"/>
      <c r="EO271" s="569"/>
      <c r="EP271" s="569"/>
      <c r="EQ271" s="569"/>
      <c r="ER271" s="569"/>
      <c r="ES271" s="569"/>
      <c r="ET271" s="569"/>
      <c r="EU271" s="569"/>
      <c r="EV271" s="569"/>
      <c r="EW271" s="569"/>
      <c r="EX271" s="569"/>
      <c r="EY271" s="569"/>
      <c r="EZ271" s="569"/>
      <c r="FA271" s="569"/>
      <c r="FB271" s="569"/>
      <c r="FC271" s="569"/>
      <c r="FD271" s="569"/>
      <c r="FE271" s="569"/>
      <c r="FF271" s="569"/>
      <c r="FG271" s="569"/>
      <c r="FH271" s="569"/>
      <c r="FI271" s="569"/>
      <c r="FJ271" s="569"/>
      <c r="FK271" s="569"/>
      <c r="FL271" s="569"/>
      <c r="FM271" s="569"/>
      <c r="FN271" s="569"/>
      <c r="FO271" s="569"/>
      <c r="FP271" s="569"/>
      <c r="FQ271" s="569"/>
      <c r="FR271" s="569"/>
      <c r="FS271" s="569"/>
      <c r="FT271" s="569"/>
      <c r="FU271" s="569"/>
      <c r="FV271" s="569"/>
      <c r="FW271" s="569"/>
      <c r="FX271" s="569"/>
      <c r="FY271" s="569"/>
      <c r="FZ271" s="569"/>
      <c r="GA271" s="569"/>
      <c r="GB271" s="569"/>
      <c r="GC271" s="569"/>
      <c r="GD271" s="569"/>
      <c r="GE271" s="569"/>
      <c r="GF271" s="569"/>
      <c r="GG271" s="569"/>
      <c r="GH271" s="569"/>
      <c r="GI271" s="569"/>
      <c r="GJ271" s="569"/>
      <c r="GK271" s="569"/>
      <c r="GL271" s="569"/>
      <c r="GM271" s="569"/>
      <c r="GN271" s="569"/>
      <c r="GO271" s="569"/>
      <c r="GP271" s="569"/>
      <c r="GQ271" s="569"/>
      <c r="GR271" s="569"/>
      <c r="GS271" s="569"/>
      <c r="GT271" s="569"/>
    </row>
    <row r="272" spans="2:202" s="554" customFormat="1" ht="18" customHeight="1">
      <c r="B272" s="578"/>
      <c r="C272" s="1149"/>
      <c r="D272" s="1149"/>
      <c r="E272" s="1149"/>
      <c r="F272" s="1149"/>
      <c r="G272" s="1149"/>
      <c r="H272" s="1149"/>
      <c r="I272" s="1149"/>
      <c r="J272" s="1149"/>
      <c r="K272" s="1149"/>
      <c r="L272" s="1149"/>
      <c r="M272" s="578"/>
      <c r="N272" s="578"/>
      <c r="O272" s="578"/>
      <c r="P272" s="578"/>
      <c r="Q272" s="590"/>
      <c r="R272" s="590"/>
      <c r="S272" s="590"/>
      <c r="T272" s="578"/>
      <c r="U272" s="590"/>
      <c r="V272" s="590"/>
      <c r="W272" s="590"/>
      <c r="X272" s="590"/>
      <c r="Y272" s="590"/>
      <c r="Z272" s="590"/>
      <c r="AA272" s="590"/>
      <c r="AB272" s="590"/>
      <c r="AC272" s="590"/>
      <c r="AD272" s="590"/>
      <c r="AE272" s="590"/>
      <c r="AF272" s="590"/>
      <c r="AG272" s="590"/>
      <c r="AH272" s="569"/>
      <c r="AI272" s="569"/>
      <c r="AJ272" s="569"/>
      <c r="AK272" s="569"/>
      <c r="AL272" s="569"/>
      <c r="AM272" s="569"/>
      <c r="AN272" s="569"/>
      <c r="AO272" s="569"/>
      <c r="AP272" s="569"/>
      <c r="AQ272" s="569"/>
      <c r="AR272" s="569"/>
      <c r="AS272" s="569"/>
      <c r="AT272" s="569"/>
      <c r="AU272" s="569"/>
      <c r="AV272" s="569"/>
      <c r="AW272" s="569"/>
      <c r="AX272" s="569"/>
      <c r="AY272" s="569"/>
      <c r="AZ272" s="569"/>
      <c r="BA272" s="569"/>
      <c r="BB272" s="569"/>
      <c r="BC272" s="569"/>
      <c r="BD272" s="569"/>
      <c r="BE272" s="569"/>
      <c r="BF272" s="569"/>
      <c r="BG272" s="569"/>
      <c r="BH272" s="569"/>
      <c r="BI272" s="569"/>
      <c r="BJ272" s="569"/>
      <c r="BK272" s="569"/>
      <c r="BL272" s="569"/>
      <c r="BM272" s="569"/>
      <c r="BN272" s="569"/>
      <c r="BO272" s="569"/>
      <c r="BP272" s="569"/>
      <c r="BQ272" s="569"/>
      <c r="BR272" s="569"/>
      <c r="BS272" s="569"/>
      <c r="BT272" s="569"/>
      <c r="BU272" s="569"/>
      <c r="BV272" s="569"/>
      <c r="BW272" s="569"/>
      <c r="BX272" s="569"/>
      <c r="BY272" s="569"/>
      <c r="BZ272" s="569"/>
      <c r="CA272" s="569"/>
      <c r="CB272" s="569"/>
      <c r="CC272" s="569"/>
      <c r="CD272" s="569"/>
      <c r="CE272" s="569"/>
      <c r="CF272" s="569"/>
      <c r="CG272" s="569"/>
      <c r="CH272" s="569"/>
      <c r="CI272" s="569"/>
      <c r="CJ272" s="569"/>
      <c r="CK272" s="569"/>
      <c r="CL272" s="569"/>
      <c r="CM272" s="569"/>
      <c r="CN272" s="569"/>
      <c r="CO272" s="569"/>
      <c r="CP272" s="569"/>
      <c r="CQ272" s="569"/>
      <c r="CR272" s="569"/>
      <c r="CS272" s="569"/>
      <c r="CT272" s="569"/>
      <c r="CU272" s="569"/>
      <c r="CV272" s="569"/>
      <c r="CW272" s="569"/>
      <c r="CX272" s="569"/>
      <c r="CY272" s="569"/>
      <c r="CZ272" s="569"/>
      <c r="DA272" s="569"/>
      <c r="DB272" s="569"/>
      <c r="DC272" s="569"/>
      <c r="DD272" s="569"/>
      <c r="DE272" s="569"/>
      <c r="DF272" s="569"/>
      <c r="DG272" s="569"/>
      <c r="DH272" s="569"/>
      <c r="DI272" s="569"/>
      <c r="DJ272" s="569"/>
      <c r="DK272" s="569"/>
      <c r="DL272" s="569"/>
      <c r="DM272" s="569"/>
      <c r="DN272" s="569"/>
      <c r="DO272" s="569"/>
      <c r="DP272" s="569"/>
      <c r="DQ272" s="569"/>
      <c r="DR272" s="569"/>
      <c r="DS272" s="569"/>
      <c r="DT272" s="569"/>
      <c r="DU272" s="569"/>
      <c r="DV272" s="569"/>
      <c r="DW272" s="569"/>
      <c r="DX272" s="569"/>
      <c r="DY272" s="569"/>
      <c r="DZ272" s="569"/>
      <c r="EA272" s="569"/>
      <c r="EB272" s="569"/>
      <c r="EC272" s="569"/>
      <c r="ED272" s="569"/>
      <c r="EE272" s="569"/>
      <c r="EF272" s="569"/>
      <c r="EG272" s="569"/>
      <c r="EH272" s="569"/>
      <c r="EI272" s="569"/>
      <c r="EJ272" s="569"/>
      <c r="EK272" s="569"/>
      <c r="EL272" s="569"/>
      <c r="EM272" s="569"/>
      <c r="EN272" s="569"/>
      <c r="EO272" s="569"/>
      <c r="EP272" s="569"/>
      <c r="EQ272" s="569"/>
      <c r="ER272" s="569"/>
      <c r="ES272" s="569"/>
      <c r="ET272" s="569"/>
      <c r="EU272" s="569"/>
      <c r="EV272" s="569"/>
      <c r="EW272" s="569"/>
      <c r="EX272" s="569"/>
      <c r="EY272" s="569"/>
      <c r="EZ272" s="569"/>
      <c r="FA272" s="569"/>
      <c r="FB272" s="569"/>
      <c r="FC272" s="569"/>
      <c r="FD272" s="569"/>
      <c r="FE272" s="569"/>
      <c r="FF272" s="569"/>
      <c r="FG272" s="569"/>
      <c r="FH272" s="569"/>
      <c r="FI272" s="569"/>
      <c r="FJ272" s="569"/>
      <c r="FK272" s="569"/>
      <c r="FL272" s="569"/>
      <c r="FM272" s="569"/>
      <c r="FN272" s="569"/>
      <c r="FO272" s="569"/>
      <c r="FP272" s="569"/>
      <c r="FQ272" s="569"/>
      <c r="FR272" s="569"/>
      <c r="FS272" s="569"/>
      <c r="FT272" s="569"/>
      <c r="FU272" s="569"/>
      <c r="FV272" s="569"/>
      <c r="FW272" s="569"/>
      <c r="FX272" s="569"/>
      <c r="FY272" s="569"/>
      <c r="FZ272" s="569"/>
      <c r="GA272" s="569"/>
      <c r="GB272" s="569"/>
      <c r="GC272" s="569"/>
      <c r="GD272" s="569"/>
      <c r="GE272" s="569"/>
      <c r="GF272" s="569"/>
      <c r="GG272" s="569"/>
      <c r="GH272" s="569"/>
      <c r="GI272" s="569"/>
      <c r="GJ272" s="569"/>
      <c r="GK272" s="569"/>
      <c r="GL272" s="569"/>
      <c r="GM272" s="569"/>
      <c r="GN272" s="569"/>
      <c r="GO272" s="569"/>
      <c r="GP272" s="569"/>
      <c r="GQ272" s="569"/>
      <c r="GR272" s="569"/>
      <c r="GS272" s="569"/>
      <c r="GT272" s="569"/>
    </row>
    <row r="273" spans="2:202" s="554" customFormat="1" ht="18" customHeight="1">
      <c r="B273" s="578"/>
      <c r="C273" s="1149"/>
      <c r="D273" s="1149"/>
      <c r="E273" s="1149"/>
      <c r="F273" s="1149"/>
      <c r="G273" s="1149"/>
      <c r="H273" s="1149"/>
      <c r="I273" s="1149"/>
      <c r="J273" s="1149"/>
      <c r="K273" s="1149"/>
      <c r="L273" s="1149"/>
      <c r="M273" s="578"/>
      <c r="N273" s="578"/>
      <c r="O273" s="578"/>
      <c r="P273" s="578"/>
      <c r="Q273" s="590"/>
      <c r="R273" s="590"/>
      <c r="S273" s="590"/>
      <c r="T273" s="578"/>
      <c r="U273" s="590"/>
      <c r="V273" s="590"/>
      <c r="W273" s="590"/>
      <c r="X273" s="590"/>
      <c r="Y273" s="590"/>
      <c r="Z273" s="590"/>
      <c r="AA273" s="590"/>
      <c r="AB273" s="590"/>
      <c r="AC273" s="590"/>
      <c r="AD273" s="590"/>
      <c r="AE273" s="590"/>
      <c r="AF273" s="590"/>
      <c r="AG273" s="590"/>
      <c r="AH273" s="569"/>
      <c r="AI273" s="569"/>
      <c r="AJ273" s="569"/>
      <c r="AK273" s="569"/>
      <c r="AL273" s="569"/>
      <c r="AM273" s="569"/>
      <c r="AN273" s="569"/>
      <c r="AO273" s="569"/>
      <c r="AP273" s="569"/>
      <c r="AQ273" s="569"/>
      <c r="AR273" s="569"/>
      <c r="AS273" s="569"/>
      <c r="AT273" s="569"/>
      <c r="AU273" s="569"/>
      <c r="AV273" s="569"/>
      <c r="AW273" s="569"/>
      <c r="AX273" s="569"/>
      <c r="AY273" s="569"/>
      <c r="AZ273" s="569"/>
      <c r="BA273" s="569"/>
      <c r="BB273" s="569"/>
      <c r="BC273" s="569"/>
      <c r="BD273" s="569"/>
      <c r="BE273" s="569"/>
      <c r="BF273" s="569"/>
      <c r="BG273" s="569"/>
      <c r="BH273" s="569"/>
      <c r="BI273" s="569"/>
      <c r="BJ273" s="569"/>
      <c r="BK273" s="569"/>
      <c r="BL273" s="569"/>
      <c r="BM273" s="569"/>
      <c r="BN273" s="569"/>
      <c r="BO273" s="569"/>
      <c r="BP273" s="569"/>
      <c r="BQ273" s="569"/>
      <c r="BR273" s="569"/>
      <c r="BS273" s="569"/>
      <c r="BT273" s="569"/>
      <c r="BU273" s="569"/>
      <c r="BV273" s="569"/>
      <c r="BW273" s="569"/>
      <c r="BX273" s="569"/>
      <c r="BY273" s="569"/>
      <c r="BZ273" s="569"/>
      <c r="CA273" s="569"/>
      <c r="CB273" s="569"/>
      <c r="CC273" s="569"/>
      <c r="CD273" s="569"/>
      <c r="CE273" s="569"/>
      <c r="CF273" s="569"/>
      <c r="CG273" s="569"/>
      <c r="CH273" s="569"/>
      <c r="CI273" s="569"/>
      <c r="CJ273" s="569"/>
      <c r="CK273" s="569"/>
      <c r="CL273" s="569"/>
      <c r="CM273" s="569"/>
      <c r="CN273" s="569"/>
      <c r="CO273" s="569"/>
      <c r="CP273" s="569"/>
      <c r="CQ273" s="569"/>
      <c r="CR273" s="569"/>
      <c r="CS273" s="569"/>
      <c r="CT273" s="569"/>
      <c r="CU273" s="569"/>
      <c r="CV273" s="569"/>
      <c r="CW273" s="569"/>
      <c r="CX273" s="569"/>
      <c r="CY273" s="569"/>
      <c r="CZ273" s="569"/>
      <c r="DA273" s="569"/>
      <c r="DB273" s="569"/>
      <c r="DC273" s="569"/>
      <c r="DD273" s="569"/>
      <c r="DE273" s="569"/>
      <c r="DF273" s="569"/>
      <c r="DG273" s="569"/>
      <c r="DH273" s="569"/>
      <c r="DI273" s="569"/>
      <c r="DJ273" s="569"/>
      <c r="DK273" s="569"/>
      <c r="DL273" s="569"/>
      <c r="DM273" s="569"/>
      <c r="DN273" s="569"/>
      <c r="DO273" s="569"/>
      <c r="DP273" s="569"/>
      <c r="DQ273" s="569"/>
      <c r="DR273" s="569"/>
      <c r="DS273" s="569"/>
      <c r="DT273" s="569"/>
      <c r="DU273" s="569"/>
      <c r="DV273" s="569"/>
      <c r="DW273" s="569"/>
      <c r="DX273" s="569"/>
      <c r="DY273" s="569"/>
      <c r="DZ273" s="569"/>
      <c r="EA273" s="569"/>
      <c r="EB273" s="569"/>
      <c r="EC273" s="569"/>
      <c r="ED273" s="569"/>
      <c r="EE273" s="569"/>
      <c r="EF273" s="569"/>
      <c r="EG273" s="569"/>
      <c r="EH273" s="569"/>
      <c r="EI273" s="569"/>
      <c r="EJ273" s="569"/>
      <c r="EK273" s="569"/>
      <c r="EL273" s="569"/>
      <c r="EM273" s="569"/>
      <c r="EN273" s="569"/>
      <c r="EO273" s="569"/>
      <c r="EP273" s="569"/>
      <c r="EQ273" s="569"/>
      <c r="ER273" s="569"/>
      <c r="ES273" s="569"/>
      <c r="ET273" s="569"/>
      <c r="EU273" s="569"/>
      <c r="EV273" s="569"/>
      <c r="EW273" s="569"/>
      <c r="EX273" s="569"/>
      <c r="EY273" s="569"/>
      <c r="EZ273" s="569"/>
      <c r="FA273" s="569"/>
      <c r="FB273" s="569"/>
      <c r="FC273" s="569"/>
      <c r="FD273" s="569"/>
      <c r="FE273" s="569"/>
      <c r="FF273" s="569"/>
      <c r="FG273" s="569"/>
      <c r="FH273" s="569"/>
      <c r="FI273" s="569"/>
      <c r="FJ273" s="569"/>
      <c r="FK273" s="569"/>
      <c r="FL273" s="569"/>
      <c r="FM273" s="569"/>
      <c r="FN273" s="569"/>
      <c r="FO273" s="569"/>
      <c r="FP273" s="569"/>
      <c r="FQ273" s="569"/>
      <c r="FR273" s="569"/>
      <c r="FS273" s="569"/>
      <c r="FT273" s="569"/>
      <c r="FU273" s="569"/>
      <c r="FV273" s="569"/>
      <c r="FW273" s="569"/>
      <c r="FX273" s="569"/>
      <c r="FY273" s="569"/>
      <c r="FZ273" s="569"/>
      <c r="GA273" s="569"/>
      <c r="GB273" s="569"/>
      <c r="GC273" s="569"/>
      <c r="GD273" s="569"/>
      <c r="GE273" s="569"/>
      <c r="GF273" s="569"/>
      <c r="GG273" s="569"/>
      <c r="GH273" s="569"/>
      <c r="GI273" s="569"/>
      <c r="GJ273" s="569"/>
      <c r="GK273" s="569"/>
      <c r="GL273" s="569"/>
      <c r="GM273" s="569"/>
      <c r="GN273" s="569"/>
      <c r="GO273" s="569"/>
      <c r="GP273" s="569"/>
      <c r="GQ273" s="569"/>
      <c r="GR273" s="569"/>
      <c r="GS273" s="569"/>
      <c r="GT273" s="569"/>
    </row>
    <row r="274" spans="2:202" s="554" customFormat="1" ht="18" customHeight="1">
      <c r="B274" s="578"/>
      <c r="C274" s="1149"/>
      <c r="D274" s="1149"/>
      <c r="E274" s="1149"/>
      <c r="F274" s="1149"/>
      <c r="G274" s="1149"/>
      <c r="H274" s="1149"/>
      <c r="I274" s="1149"/>
      <c r="J274" s="1149"/>
      <c r="K274" s="1149"/>
      <c r="L274" s="1149"/>
      <c r="M274" s="578"/>
      <c r="N274" s="578"/>
      <c r="O274" s="578"/>
      <c r="P274" s="578"/>
      <c r="Q274" s="590"/>
      <c r="R274" s="590"/>
      <c r="S274" s="590"/>
      <c r="T274" s="590"/>
      <c r="U274" s="590"/>
      <c r="V274" s="590"/>
      <c r="W274" s="590"/>
      <c r="X274" s="590"/>
      <c r="Y274" s="590"/>
      <c r="Z274" s="590"/>
      <c r="AA274" s="590"/>
      <c r="AB274" s="590"/>
      <c r="AC274" s="590"/>
      <c r="AD274" s="590"/>
      <c r="AE274" s="590"/>
      <c r="AF274" s="590"/>
      <c r="AG274" s="590"/>
      <c r="AH274" s="569"/>
      <c r="AI274" s="569"/>
      <c r="AJ274" s="569"/>
      <c r="AK274" s="569"/>
      <c r="AL274" s="569"/>
      <c r="AM274" s="569"/>
      <c r="AN274" s="569"/>
      <c r="AO274" s="569"/>
      <c r="AP274" s="569"/>
      <c r="AQ274" s="569"/>
      <c r="AR274" s="569"/>
      <c r="AS274" s="569"/>
      <c r="AT274" s="569"/>
      <c r="AU274" s="569"/>
      <c r="AV274" s="569"/>
      <c r="AW274" s="569"/>
      <c r="AX274" s="569"/>
      <c r="AY274" s="569"/>
      <c r="AZ274" s="569"/>
      <c r="BA274" s="569"/>
      <c r="BB274" s="569"/>
      <c r="BC274" s="569"/>
      <c r="BD274" s="569"/>
      <c r="BE274" s="569"/>
      <c r="BF274" s="569"/>
      <c r="BG274" s="569"/>
      <c r="BH274" s="569"/>
      <c r="BI274" s="569"/>
      <c r="BJ274" s="569"/>
      <c r="BK274" s="569"/>
      <c r="BL274" s="569"/>
      <c r="BM274" s="569"/>
      <c r="BN274" s="569"/>
      <c r="BO274" s="569"/>
      <c r="BP274" s="569"/>
      <c r="BQ274" s="569"/>
      <c r="BR274" s="569"/>
      <c r="BS274" s="569"/>
      <c r="BT274" s="569"/>
      <c r="BU274" s="569"/>
      <c r="BV274" s="569"/>
      <c r="BW274" s="569"/>
      <c r="BX274" s="569"/>
      <c r="BY274" s="569"/>
      <c r="BZ274" s="569"/>
      <c r="CA274" s="569"/>
      <c r="CB274" s="569"/>
      <c r="CC274" s="569"/>
      <c r="CD274" s="569"/>
      <c r="CE274" s="569"/>
      <c r="CF274" s="569"/>
      <c r="CG274" s="569"/>
      <c r="CH274" s="569"/>
      <c r="CI274" s="569"/>
      <c r="CJ274" s="569"/>
      <c r="CK274" s="569"/>
      <c r="CL274" s="569"/>
      <c r="CM274" s="569"/>
      <c r="CN274" s="569"/>
      <c r="CO274" s="569"/>
      <c r="CP274" s="569"/>
      <c r="CQ274" s="569"/>
      <c r="CR274" s="569"/>
      <c r="CS274" s="569"/>
      <c r="CT274" s="569"/>
      <c r="CU274" s="569"/>
      <c r="CV274" s="569"/>
      <c r="CW274" s="569"/>
      <c r="CX274" s="569"/>
      <c r="CY274" s="569"/>
      <c r="CZ274" s="569"/>
      <c r="DA274" s="569"/>
      <c r="DB274" s="569"/>
      <c r="DC274" s="569"/>
      <c r="DD274" s="569"/>
      <c r="DE274" s="569"/>
      <c r="DF274" s="569"/>
      <c r="DG274" s="569"/>
      <c r="DH274" s="569"/>
      <c r="DI274" s="569"/>
      <c r="DJ274" s="569"/>
      <c r="DK274" s="569"/>
      <c r="DL274" s="569"/>
      <c r="DM274" s="569"/>
      <c r="DN274" s="569"/>
      <c r="DO274" s="569"/>
      <c r="DP274" s="569"/>
      <c r="DQ274" s="569"/>
      <c r="DR274" s="569"/>
      <c r="DS274" s="569"/>
      <c r="DT274" s="569"/>
      <c r="DU274" s="569"/>
      <c r="DV274" s="569"/>
      <c r="DW274" s="569"/>
      <c r="DX274" s="569"/>
      <c r="DY274" s="569"/>
      <c r="DZ274" s="569"/>
      <c r="EA274" s="569"/>
      <c r="EB274" s="569"/>
      <c r="EC274" s="569"/>
      <c r="ED274" s="569"/>
      <c r="EE274" s="569"/>
      <c r="EF274" s="569"/>
      <c r="EG274" s="569"/>
      <c r="EH274" s="569"/>
      <c r="EI274" s="569"/>
      <c r="EJ274" s="569"/>
      <c r="EK274" s="569"/>
      <c r="EL274" s="569"/>
      <c r="EM274" s="569"/>
      <c r="EN274" s="569"/>
      <c r="EO274" s="569"/>
      <c r="EP274" s="569"/>
      <c r="EQ274" s="569"/>
      <c r="ER274" s="569"/>
      <c r="ES274" s="569"/>
      <c r="ET274" s="569"/>
      <c r="EU274" s="569"/>
      <c r="EV274" s="569"/>
      <c r="EW274" s="569"/>
      <c r="EX274" s="569"/>
      <c r="EY274" s="569"/>
      <c r="EZ274" s="569"/>
      <c r="FA274" s="569"/>
      <c r="FB274" s="569"/>
      <c r="FC274" s="569"/>
      <c r="FD274" s="569"/>
      <c r="FE274" s="569"/>
      <c r="FF274" s="569"/>
      <c r="FG274" s="569"/>
      <c r="FH274" s="569"/>
      <c r="FI274" s="569"/>
      <c r="FJ274" s="569"/>
      <c r="FK274" s="569"/>
      <c r="FL274" s="569"/>
      <c r="FM274" s="569"/>
      <c r="FN274" s="569"/>
      <c r="FO274" s="569"/>
      <c r="FP274" s="569"/>
      <c r="FQ274" s="569"/>
      <c r="FR274" s="569"/>
      <c r="FS274" s="569"/>
      <c r="FT274" s="569"/>
      <c r="FU274" s="569"/>
      <c r="FV274" s="569"/>
      <c r="FW274" s="569"/>
      <c r="FX274" s="569"/>
      <c r="FY274" s="569"/>
      <c r="FZ274" s="569"/>
      <c r="GA274" s="569"/>
      <c r="GB274" s="569"/>
      <c r="GC274" s="569"/>
      <c r="GD274" s="569"/>
      <c r="GE274" s="569"/>
      <c r="GF274" s="569"/>
      <c r="GG274" s="569"/>
      <c r="GH274" s="569"/>
      <c r="GI274" s="569"/>
      <c r="GJ274" s="569"/>
      <c r="GK274" s="569"/>
      <c r="GL274" s="569"/>
      <c r="GM274" s="569"/>
      <c r="GN274" s="569"/>
      <c r="GO274" s="569"/>
      <c r="GP274" s="569"/>
      <c r="GQ274" s="569"/>
      <c r="GR274" s="569"/>
      <c r="GS274" s="569"/>
      <c r="GT274" s="569"/>
    </row>
    <row r="275" spans="2:202" s="554" customFormat="1" ht="18" customHeight="1">
      <c r="B275" s="578"/>
      <c r="C275" s="1149"/>
      <c r="D275" s="1149"/>
      <c r="E275" s="1149"/>
      <c r="F275" s="1149"/>
      <c r="G275" s="1149"/>
      <c r="H275" s="1149"/>
      <c r="I275" s="1149"/>
      <c r="J275" s="1149"/>
      <c r="K275" s="1149"/>
      <c r="L275" s="1149"/>
      <c r="M275" s="578"/>
      <c r="N275" s="578"/>
      <c r="O275" s="578"/>
      <c r="P275" s="578"/>
      <c r="Q275" s="590"/>
      <c r="R275" s="590"/>
      <c r="S275" s="590"/>
      <c r="T275" s="590"/>
      <c r="U275" s="590"/>
      <c r="V275" s="590"/>
      <c r="W275" s="590"/>
      <c r="X275" s="590"/>
      <c r="Y275" s="590"/>
      <c r="Z275" s="590"/>
      <c r="AA275" s="590"/>
      <c r="AB275" s="590"/>
      <c r="AC275" s="590"/>
      <c r="AD275" s="590"/>
      <c r="AE275" s="590"/>
      <c r="AF275" s="590"/>
      <c r="AG275" s="590"/>
      <c r="AH275" s="569"/>
      <c r="AI275" s="569"/>
      <c r="AJ275" s="569"/>
      <c r="AK275" s="569"/>
      <c r="AL275" s="569"/>
      <c r="AM275" s="569"/>
      <c r="AN275" s="569"/>
      <c r="AO275" s="569"/>
      <c r="AP275" s="569"/>
      <c r="AQ275" s="569"/>
      <c r="AR275" s="569"/>
      <c r="AS275" s="569"/>
      <c r="AT275" s="569"/>
      <c r="AU275" s="569"/>
      <c r="AV275" s="569"/>
      <c r="AW275" s="569"/>
      <c r="AX275" s="569"/>
      <c r="AY275" s="569"/>
      <c r="AZ275" s="569"/>
      <c r="BA275" s="569"/>
      <c r="BB275" s="569"/>
      <c r="BC275" s="569"/>
      <c r="BD275" s="569"/>
      <c r="BE275" s="569"/>
      <c r="BF275" s="569"/>
      <c r="BG275" s="569"/>
      <c r="BH275" s="569"/>
      <c r="BI275" s="569"/>
      <c r="BJ275" s="569"/>
      <c r="BK275" s="569"/>
      <c r="BL275" s="569"/>
      <c r="BM275" s="569"/>
      <c r="BN275" s="569"/>
      <c r="BO275" s="569"/>
      <c r="BP275" s="569"/>
      <c r="BQ275" s="569"/>
      <c r="BR275" s="569"/>
      <c r="BS275" s="569"/>
      <c r="BT275" s="569"/>
      <c r="BU275" s="569"/>
      <c r="BV275" s="569"/>
      <c r="BW275" s="569"/>
      <c r="BX275" s="569"/>
      <c r="BY275" s="569"/>
      <c r="BZ275" s="569"/>
      <c r="CA275" s="569"/>
      <c r="CB275" s="569"/>
      <c r="CC275" s="569"/>
      <c r="CD275" s="569"/>
      <c r="CE275" s="569"/>
      <c r="CF275" s="569"/>
      <c r="CG275" s="569"/>
      <c r="CH275" s="569"/>
      <c r="CI275" s="569"/>
      <c r="CJ275" s="569"/>
      <c r="CK275" s="569"/>
      <c r="CL275" s="569"/>
      <c r="CM275" s="569"/>
      <c r="CN275" s="569"/>
      <c r="CO275" s="569"/>
      <c r="CP275" s="569"/>
      <c r="CQ275" s="569"/>
      <c r="CR275" s="569"/>
      <c r="CS275" s="569"/>
      <c r="CT275" s="569"/>
      <c r="CU275" s="569"/>
      <c r="CV275" s="569"/>
      <c r="CW275" s="569"/>
      <c r="CX275" s="569"/>
      <c r="CY275" s="569"/>
      <c r="CZ275" s="569"/>
      <c r="DA275" s="569"/>
      <c r="DB275" s="569"/>
      <c r="DC275" s="569"/>
      <c r="DD275" s="569"/>
      <c r="DE275" s="569"/>
      <c r="DF275" s="569"/>
      <c r="DG275" s="569"/>
      <c r="DH275" s="569"/>
      <c r="DI275" s="569"/>
      <c r="DJ275" s="569"/>
      <c r="DK275" s="569"/>
      <c r="DL275" s="569"/>
      <c r="DM275" s="569"/>
      <c r="DN275" s="569"/>
      <c r="DO275" s="569"/>
      <c r="DP275" s="569"/>
      <c r="DQ275" s="569"/>
      <c r="DR275" s="569"/>
      <c r="DS275" s="569"/>
      <c r="DT275" s="569"/>
      <c r="DU275" s="569"/>
      <c r="DV275" s="569"/>
      <c r="DW275" s="569"/>
      <c r="DX275" s="569"/>
      <c r="DY275" s="569"/>
      <c r="DZ275" s="569"/>
      <c r="EA275" s="569"/>
      <c r="EB275" s="569"/>
      <c r="EC275" s="569"/>
      <c r="ED275" s="569"/>
      <c r="EE275" s="569"/>
      <c r="EF275" s="569"/>
      <c r="EG275" s="569"/>
      <c r="EH275" s="569"/>
      <c r="EI275" s="569"/>
      <c r="EJ275" s="569"/>
      <c r="EK275" s="569"/>
      <c r="EL275" s="569"/>
      <c r="EM275" s="569"/>
      <c r="EN275" s="569"/>
      <c r="EO275" s="569"/>
      <c r="EP275" s="569"/>
      <c r="EQ275" s="569"/>
      <c r="ER275" s="569"/>
      <c r="ES275" s="569"/>
      <c r="ET275" s="569"/>
      <c r="EU275" s="569"/>
      <c r="EV275" s="569"/>
      <c r="EW275" s="569"/>
      <c r="EX275" s="569"/>
      <c r="EY275" s="569"/>
      <c r="EZ275" s="569"/>
      <c r="FA275" s="569"/>
      <c r="FB275" s="569"/>
      <c r="FC275" s="569"/>
      <c r="FD275" s="569"/>
      <c r="FE275" s="569"/>
      <c r="FF275" s="569"/>
      <c r="FG275" s="569"/>
      <c r="FH275" s="569"/>
      <c r="FI275" s="569"/>
      <c r="FJ275" s="569"/>
      <c r="FK275" s="569"/>
      <c r="FL275" s="569"/>
      <c r="FM275" s="569"/>
      <c r="FN275" s="569"/>
      <c r="FO275" s="569"/>
      <c r="FP275" s="569"/>
      <c r="FQ275" s="569"/>
      <c r="FR275" s="569"/>
      <c r="FS275" s="569"/>
      <c r="FT275" s="569"/>
      <c r="FU275" s="569"/>
      <c r="FV275" s="569"/>
      <c r="FW275" s="569"/>
      <c r="FX275" s="569"/>
      <c r="FY275" s="569"/>
      <c r="FZ275" s="569"/>
      <c r="GA275" s="569"/>
      <c r="GB275" s="569"/>
      <c r="GC275" s="569"/>
      <c r="GD275" s="569"/>
      <c r="GE275" s="569"/>
      <c r="GF275" s="569"/>
      <c r="GG275" s="569"/>
      <c r="GH275" s="569"/>
      <c r="GI275" s="569"/>
      <c r="GJ275" s="569"/>
      <c r="GK275" s="569"/>
      <c r="GL275" s="569"/>
      <c r="GM275" s="569"/>
      <c r="GN275" s="569"/>
      <c r="GO275" s="569"/>
      <c r="GP275" s="569"/>
      <c r="GQ275" s="569"/>
      <c r="GR275" s="569"/>
      <c r="GS275" s="569"/>
      <c r="GT275" s="569"/>
    </row>
    <row r="276" spans="2:202" s="554" customFormat="1" ht="18" customHeight="1">
      <c r="B276" s="578"/>
      <c r="C276" s="1149"/>
      <c r="D276" s="1149"/>
      <c r="E276" s="1149"/>
      <c r="F276" s="1149"/>
      <c r="G276" s="1149"/>
      <c r="H276" s="1149"/>
      <c r="I276" s="1149"/>
      <c r="J276" s="1149"/>
      <c r="K276" s="1149"/>
      <c r="L276" s="1149"/>
      <c r="M276" s="578"/>
      <c r="N276" s="578"/>
      <c r="O276" s="578"/>
      <c r="P276" s="578"/>
      <c r="Q276" s="590"/>
      <c r="R276" s="590"/>
      <c r="S276" s="590"/>
      <c r="T276" s="590"/>
      <c r="U276" s="590"/>
      <c r="V276" s="590"/>
      <c r="W276" s="590"/>
      <c r="X276" s="590"/>
      <c r="Y276" s="590"/>
      <c r="Z276" s="590"/>
      <c r="AA276" s="590"/>
      <c r="AB276" s="590"/>
      <c r="AC276" s="590"/>
      <c r="AD276" s="590"/>
      <c r="AE276" s="590"/>
      <c r="AF276" s="590"/>
      <c r="AG276" s="590"/>
      <c r="AH276" s="569"/>
      <c r="AI276" s="569"/>
      <c r="AJ276" s="569"/>
      <c r="AK276" s="569"/>
      <c r="AL276" s="569"/>
      <c r="AM276" s="569"/>
      <c r="AN276" s="569"/>
      <c r="AO276" s="569"/>
      <c r="AP276" s="569"/>
      <c r="AQ276" s="569"/>
      <c r="AR276" s="569"/>
      <c r="AS276" s="569"/>
      <c r="AT276" s="569"/>
      <c r="AU276" s="569"/>
      <c r="AV276" s="569"/>
      <c r="AW276" s="569"/>
      <c r="AX276" s="569"/>
      <c r="AY276" s="569"/>
      <c r="AZ276" s="569"/>
      <c r="BA276" s="569"/>
      <c r="BB276" s="569"/>
      <c r="BC276" s="569"/>
      <c r="BD276" s="569"/>
      <c r="BE276" s="569"/>
      <c r="BF276" s="569"/>
      <c r="BG276" s="569"/>
      <c r="BH276" s="569"/>
      <c r="BI276" s="569"/>
      <c r="BJ276" s="569"/>
      <c r="BK276" s="569"/>
      <c r="BL276" s="569"/>
      <c r="BM276" s="569"/>
      <c r="BN276" s="569"/>
      <c r="BO276" s="569"/>
      <c r="BP276" s="569"/>
      <c r="BQ276" s="569"/>
      <c r="BR276" s="569"/>
      <c r="BS276" s="569"/>
      <c r="BT276" s="569"/>
      <c r="BU276" s="569"/>
      <c r="BV276" s="569"/>
      <c r="BW276" s="569"/>
      <c r="BX276" s="569"/>
      <c r="BY276" s="569"/>
      <c r="BZ276" s="569"/>
      <c r="CA276" s="569"/>
      <c r="CB276" s="569"/>
      <c r="CC276" s="569"/>
      <c r="CD276" s="569"/>
      <c r="CE276" s="569"/>
      <c r="CF276" s="569"/>
      <c r="CG276" s="569"/>
      <c r="CH276" s="569"/>
      <c r="CI276" s="569"/>
      <c r="CJ276" s="569"/>
      <c r="CK276" s="569"/>
      <c r="CL276" s="569"/>
      <c r="CM276" s="569"/>
      <c r="CN276" s="569"/>
      <c r="CO276" s="569"/>
      <c r="CP276" s="569"/>
      <c r="CQ276" s="569"/>
      <c r="CR276" s="569"/>
      <c r="CS276" s="569"/>
      <c r="CT276" s="569"/>
      <c r="CU276" s="569"/>
      <c r="CV276" s="569"/>
      <c r="CW276" s="569"/>
      <c r="CX276" s="569"/>
      <c r="CY276" s="569"/>
      <c r="CZ276" s="569"/>
      <c r="DA276" s="569"/>
      <c r="DB276" s="569"/>
      <c r="DC276" s="569"/>
      <c r="DD276" s="569"/>
      <c r="DE276" s="569"/>
      <c r="DF276" s="569"/>
      <c r="DG276" s="569"/>
      <c r="DH276" s="569"/>
      <c r="DI276" s="569"/>
      <c r="DJ276" s="569"/>
      <c r="DK276" s="569"/>
      <c r="DL276" s="569"/>
      <c r="DM276" s="569"/>
      <c r="DN276" s="569"/>
      <c r="DO276" s="569"/>
      <c r="DP276" s="569"/>
      <c r="DQ276" s="569"/>
      <c r="DR276" s="569"/>
      <c r="DS276" s="569"/>
      <c r="DT276" s="569"/>
      <c r="DU276" s="569"/>
      <c r="DV276" s="569"/>
      <c r="DW276" s="569"/>
      <c r="DX276" s="569"/>
      <c r="DY276" s="569"/>
      <c r="DZ276" s="569"/>
      <c r="EA276" s="569"/>
      <c r="EB276" s="569"/>
      <c r="EC276" s="569"/>
      <c r="ED276" s="569"/>
      <c r="EE276" s="569"/>
      <c r="EF276" s="569"/>
      <c r="EG276" s="569"/>
      <c r="EH276" s="569"/>
      <c r="EI276" s="569"/>
      <c r="EJ276" s="569"/>
      <c r="EK276" s="569"/>
      <c r="EL276" s="569"/>
      <c r="EM276" s="569"/>
      <c r="EN276" s="569"/>
      <c r="EO276" s="569"/>
      <c r="EP276" s="569"/>
      <c r="EQ276" s="569"/>
      <c r="ER276" s="569"/>
      <c r="ES276" s="569"/>
      <c r="ET276" s="569"/>
      <c r="EU276" s="569"/>
      <c r="EV276" s="569"/>
      <c r="EW276" s="569"/>
      <c r="EX276" s="569"/>
      <c r="EY276" s="569"/>
      <c r="EZ276" s="569"/>
      <c r="FA276" s="569"/>
      <c r="FB276" s="569"/>
      <c r="FC276" s="569"/>
      <c r="FD276" s="569"/>
      <c r="FE276" s="569"/>
      <c r="FF276" s="569"/>
      <c r="FG276" s="569"/>
      <c r="FH276" s="569"/>
      <c r="FI276" s="569"/>
      <c r="FJ276" s="569"/>
      <c r="FK276" s="569"/>
      <c r="FL276" s="569"/>
      <c r="FM276" s="569"/>
      <c r="FN276" s="569"/>
      <c r="FO276" s="569"/>
      <c r="FP276" s="569"/>
      <c r="FQ276" s="569"/>
      <c r="FR276" s="569"/>
      <c r="FS276" s="569"/>
      <c r="FT276" s="569"/>
      <c r="FU276" s="569"/>
      <c r="FV276" s="569"/>
      <c r="FW276" s="569"/>
      <c r="FX276" s="569"/>
      <c r="FY276" s="569"/>
      <c r="FZ276" s="569"/>
      <c r="GA276" s="569"/>
      <c r="GB276" s="569"/>
      <c r="GC276" s="569"/>
      <c r="GD276" s="569"/>
      <c r="GE276" s="569"/>
      <c r="GF276" s="569"/>
      <c r="GG276" s="569"/>
      <c r="GH276" s="569"/>
      <c r="GI276" s="569"/>
      <c r="GJ276" s="569"/>
      <c r="GK276" s="569"/>
      <c r="GL276" s="569"/>
      <c r="GM276" s="569"/>
      <c r="GN276" s="569"/>
      <c r="GO276" s="569"/>
      <c r="GP276" s="569"/>
      <c r="GQ276" s="569"/>
      <c r="GR276" s="569"/>
      <c r="GS276" s="569"/>
      <c r="GT276" s="569"/>
    </row>
    <row r="277" spans="2:202" s="554" customFormat="1" ht="18" customHeight="1">
      <c r="B277" s="578"/>
      <c r="C277" s="1149"/>
      <c r="D277" s="1149"/>
      <c r="E277" s="1149"/>
      <c r="F277" s="1149"/>
      <c r="G277" s="1149"/>
      <c r="H277" s="1149"/>
      <c r="I277" s="1149"/>
      <c r="J277" s="1149"/>
      <c r="K277" s="1149"/>
      <c r="L277" s="1149"/>
      <c r="M277" s="578"/>
      <c r="N277" s="578"/>
      <c r="O277" s="578"/>
      <c r="P277" s="578"/>
      <c r="Q277" s="590"/>
      <c r="R277" s="590"/>
      <c r="S277" s="590"/>
      <c r="T277" s="590"/>
      <c r="U277" s="590"/>
      <c r="V277" s="590"/>
      <c r="W277" s="590"/>
      <c r="X277" s="590"/>
      <c r="Y277" s="590"/>
      <c r="Z277" s="590"/>
      <c r="AA277" s="590"/>
      <c r="AB277" s="590"/>
      <c r="AC277" s="590"/>
      <c r="AD277" s="590"/>
      <c r="AE277" s="590"/>
      <c r="AF277" s="590"/>
      <c r="AG277" s="590"/>
      <c r="AH277" s="569"/>
      <c r="AI277" s="569"/>
      <c r="AJ277" s="569"/>
      <c r="AK277" s="569"/>
      <c r="AL277" s="569"/>
      <c r="AM277" s="569"/>
      <c r="AN277" s="569"/>
      <c r="AO277" s="569"/>
      <c r="AP277" s="569"/>
      <c r="AQ277" s="569"/>
      <c r="AR277" s="569"/>
      <c r="AS277" s="569"/>
      <c r="AT277" s="569"/>
      <c r="AU277" s="569"/>
      <c r="AV277" s="569"/>
      <c r="AW277" s="569"/>
      <c r="AX277" s="569"/>
      <c r="AY277" s="569"/>
      <c r="AZ277" s="569"/>
      <c r="BA277" s="569"/>
      <c r="BB277" s="569"/>
      <c r="BC277" s="569"/>
      <c r="BD277" s="569"/>
      <c r="BE277" s="569"/>
      <c r="BF277" s="569"/>
      <c r="BG277" s="569"/>
      <c r="BH277" s="569"/>
      <c r="BI277" s="569"/>
      <c r="BJ277" s="569"/>
      <c r="BK277" s="569"/>
      <c r="BL277" s="569"/>
      <c r="BM277" s="569"/>
      <c r="BN277" s="569"/>
      <c r="BO277" s="569"/>
      <c r="BP277" s="569"/>
      <c r="BQ277" s="569"/>
      <c r="BR277" s="569"/>
      <c r="BS277" s="569"/>
      <c r="BT277" s="569"/>
      <c r="BU277" s="569"/>
      <c r="BV277" s="569"/>
      <c r="BW277" s="569"/>
      <c r="BX277" s="569"/>
      <c r="BY277" s="569"/>
      <c r="BZ277" s="569"/>
      <c r="CA277" s="569"/>
      <c r="CB277" s="569"/>
      <c r="CC277" s="569"/>
      <c r="CD277" s="569"/>
      <c r="CE277" s="569"/>
      <c r="CF277" s="569"/>
      <c r="CG277" s="569"/>
      <c r="CH277" s="569"/>
      <c r="CI277" s="569"/>
      <c r="CJ277" s="569"/>
      <c r="CK277" s="569"/>
      <c r="CL277" s="569"/>
      <c r="CM277" s="569"/>
      <c r="CN277" s="569"/>
      <c r="CO277" s="569"/>
      <c r="CP277" s="569"/>
      <c r="CQ277" s="569"/>
      <c r="CR277" s="569"/>
      <c r="CS277" s="569"/>
      <c r="CT277" s="569"/>
      <c r="CU277" s="569"/>
      <c r="CV277" s="569"/>
      <c r="CW277" s="569"/>
      <c r="CX277" s="569"/>
      <c r="CY277" s="569"/>
      <c r="CZ277" s="569"/>
      <c r="DA277" s="569"/>
      <c r="DB277" s="569"/>
      <c r="DC277" s="569"/>
      <c r="DD277" s="569"/>
      <c r="DE277" s="569"/>
      <c r="DF277" s="569"/>
      <c r="DG277" s="569"/>
      <c r="DH277" s="569"/>
      <c r="DI277" s="569"/>
      <c r="DJ277" s="569"/>
      <c r="DK277" s="569"/>
      <c r="DL277" s="569"/>
      <c r="DM277" s="569"/>
      <c r="DN277" s="569"/>
      <c r="DO277" s="569"/>
      <c r="DP277" s="569"/>
      <c r="DQ277" s="569"/>
      <c r="DR277" s="569"/>
      <c r="DS277" s="569"/>
      <c r="DT277" s="569"/>
      <c r="DU277" s="569"/>
      <c r="DV277" s="569"/>
      <c r="DW277" s="569"/>
      <c r="DX277" s="569"/>
      <c r="DY277" s="569"/>
      <c r="DZ277" s="569"/>
      <c r="EA277" s="569"/>
      <c r="EB277" s="569"/>
      <c r="EC277" s="569"/>
      <c r="ED277" s="569"/>
      <c r="EE277" s="569"/>
      <c r="EF277" s="569"/>
      <c r="EG277" s="569"/>
      <c r="EH277" s="569"/>
      <c r="EI277" s="569"/>
      <c r="EJ277" s="569"/>
      <c r="EK277" s="569"/>
      <c r="EL277" s="569"/>
      <c r="EM277" s="569"/>
      <c r="EN277" s="569"/>
      <c r="EO277" s="569"/>
      <c r="EP277" s="569"/>
      <c r="EQ277" s="569"/>
      <c r="ER277" s="569"/>
      <c r="ES277" s="569"/>
      <c r="ET277" s="569"/>
      <c r="EU277" s="569"/>
      <c r="EV277" s="569"/>
      <c r="EW277" s="569"/>
      <c r="EX277" s="569"/>
      <c r="EY277" s="569"/>
      <c r="EZ277" s="569"/>
      <c r="FA277" s="569"/>
      <c r="FB277" s="569"/>
      <c r="FC277" s="569"/>
      <c r="FD277" s="569"/>
      <c r="FE277" s="569"/>
      <c r="FF277" s="569"/>
      <c r="FG277" s="569"/>
      <c r="FH277" s="569"/>
      <c r="FI277" s="569"/>
      <c r="FJ277" s="569"/>
      <c r="FK277" s="569"/>
      <c r="FL277" s="569"/>
      <c r="FM277" s="569"/>
      <c r="FN277" s="569"/>
      <c r="FO277" s="569"/>
      <c r="FP277" s="569"/>
      <c r="FQ277" s="569"/>
      <c r="FR277" s="569"/>
      <c r="FS277" s="569"/>
      <c r="FT277" s="569"/>
      <c r="FU277" s="569"/>
      <c r="FV277" s="569"/>
      <c r="FW277" s="569"/>
      <c r="FX277" s="569"/>
      <c r="FY277" s="569"/>
      <c r="FZ277" s="569"/>
      <c r="GA277" s="569"/>
      <c r="GB277" s="569"/>
      <c r="GC277" s="569"/>
      <c r="GD277" s="569"/>
      <c r="GE277" s="569"/>
      <c r="GF277" s="569"/>
      <c r="GG277" s="569"/>
      <c r="GH277" s="569"/>
      <c r="GI277" s="569"/>
      <c r="GJ277" s="569"/>
      <c r="GK277" s="569"/>
      <c r="GL277" s="569"/>
      <c r="GM277" s="569"/>
      <c r="GN277" s="569"/>
      <c r="GO277" s="569"/>
      <c r="GP277" s="569"/>
      <c r="GQ277" s="569"/>
      <c r="GR277" s="569"/>
      <c r="GS277" s="569"/>
      <c r="GT277" s="569"/>
    </row>
    <row r="278" spans="2:202" s="554" customFormat="1" ht="18" customHeight="1">
      <c r="B278" s="578"/>
      <c r="C278" s="1149"/>
      <c r="D278" s="1149"/>
      <c r="E278" s="1149"/>
      <c r="F278" s="1149"/>
      <c r="G278" s="1149"/>
      <c r="H278" s="1149"/>
      <c r="I278" s="1149"/>
      <c r="J278" s="1149"/>
      <c r="K278" s="1149"/>
      <c r="L278" s="1149"/>
      <c r="M278" s="578"/>
      <c r="N278" s="578"/>
      <c r="O278" s="578"/>
      <c r="P278" s="578"/>
      <c r="Q278" s="590"/>
      <c r="R278" s="590"/>
      <c r="S278" s="590"/>
      <c r="T278" s="590"/>
      <c r="U278" s="590"/>
      <c r="V278" s="590"/>
      <c r="W278" s="590"/>
      <c r="X278" s="590"/>
      <c r="Y278" s="590"/>
      <c r="Z278" s="590"/>
      <c r="AA278" s="590"/>
      <c r="AB278" s="590"/>
      <c r="AC278" s="590"/>
      <c r="AD278" s="590"/>
      <c r="AE278" s="590"/>
      <c r="AF278" s="590"/>
      <c r="AG278" s="590"/>
      <c r="AH278" s="569"/>
      <c r="AI278" s="569"/>
      <c r="AJ278" s="569"/>
      <c r="AK278" s="569"/>
      <c r="AL278" s="569"/>
      <c r="AM278" s="569"/>
      <c r="AN278" s="569"/>
      <c r="AO278" s="569"/>
      <c r="AP278" s="569"/>
      <c r="AQ278" s="569"/>
      <c r="AR278" s="569"/>
      <c r="AS278" s="569"/>
      <c r="AT278" s="569"/>
      <c r="AU278" s="569"/>
      <c r="AV278" s="569"/>
      <c r="AW278" s="569"/>
      <c r="AX278" s="569"/>
      <c r="AY278" s="569"/>
      <c r="AZ278" s="569"/>
      <c r="BA278" s="569"/>
      <c r="BB278" s="569"/>
      <c r="BC278" s="569"/>
      <c r="BD278" s="569"/>
      <c r="BE278" s="569"/>
      <c r="BF278" s="569"/>
      <c r="BG278" s="569"/>
      <c r="BH278" s="569"/>
      <c r="BI278" s="569"/>
      <c r="BJ278" s="569"/>
      <c r="BK278" s="569"/>
      <c r="BL278" s="569"/>
      <c r="BM278" s="569"/>
      <c r="BN278" s="569"/>
      <c r="BO278" s="569"/>
      <c r="BP278" s="569"/>
      <c r="BQ278" s="569"/>
      <c r="BR278" s="569"/>
      <c r="BS278" s="569"/>
      <c r="BT278" s="569"/>
      <c r="BU278" s="569"/>
      <c r="BV278" s="569"/>
      <c r="BW278" s="569"/>
      <c r="BX278" s="569"/>
      <c r="BY278" s="569"/>
      <c r="BZ278" s="569"/>
      <c r="CA278" s="569"/>
      <c r="CB278" s="569"/>
      <c r="CC278" s="569"/>
      <c r="CD278" s="569"/>
      <c r="CE278" s="569"/>
      <c r="CF278" s="569"/>
      <c r="CG278" s="569"/>
      <c r="CH278" s="569"/>
      <c r="CI278" s="569"/>
      <c r="CJ278" s="569"/>
      <c r="CK278" s="569"/>
      <c r="CL278" s="569"/>
      <c r="CM278" s="569"/>
      <c r="CN278" s="569"/>
      <c r="CO278" s="569"/>
      <c r="CP278" s="569"/>
      <c r="CQ278" s="569"/>
      <c r="CR278" s="569"/>
      <c r="CS278" s="569"/>
      <c r="CT278" s="569"/>
      <c r="CU278" s="569"/>
      <c r="CV278" s="569"/>
      <c r="CW278" s="569"/>
      <c r="CX278" s="569"/>
      <c r="CY278" s="569"/>
      <c r="CZ278" s="569"/>
      <c r="DA278" s="569"/>
      <c r="DB278" s="569"/>
      <c r="DC278" s="569"/>
      <c r="DD278" s="569"/>
      <c r="DE278" s="569"/>
      <c r="DF278" s="569"/>
      <c r="DG278" s="569"/>
      <c r="DH278" s="569"/>
      <c r="DI278" s="569"/>
      <c r="DJ278" s="569"/>
      <c r="DK278" s="569"/>
      <c r="DL278" s="569"/>
      <c r="DM278" s="569"/>
      <c r="DN278" s="569"/>
      <c r="DO278" s="569"/>
      <c r="DP278" s="569"/>
      <c r="DQ278" s="569"/>
      <c r="DR278" s="569"/>
      <c r="DS278" s="569"/>
      <c r="DT278" s="569"/>
      <c r="DU278" s="569"/>
      <c r="DV278" s="569"/>
      <c r="DW278" s="569"/>
      <c r="DX278" s="569"/>
      <c r="DY278" s="569"/>
      <c r="DZ278" s="569"/>
      <c r="EA278" s="569"/>
      <c r="EB278" s="569"/>
      <c r="EC278" s="569"/>
      <c r="ED278" s="569"/>
      <c r="EE278" s="569"/>
      <c r="EF278" s="569"/>
      <c r="EG278" s="569"/>
      <c r="EH278" s="569"/>
      <c r="EI278" s="569"/>
      <c r="EJ278" s="569"/>
      <c r="EK278" s="569"/>
      <c r="EL278" s="569"/>
      <c r="EM278" s="569"/>
      <c r="EN278" s="569"/>
      <c r="EO278" s="569"/>
      <c r="EP278" s="569"/>
      <c r="EQ278" s="569"/>
      <c r="ER278" s="569"/>
      <c r="ES278" s="569"/>
      <c r="ET278" s="569"/>
      <c r="EU278" s="569"/>
      <c r="EV278" s="569"/>
      <c r="EW278" s="569"/>
      <c r="EX278" s="569"/>
      <c r="EY278" s="569"/>
      <c r="EZ278" s="569"/>
      <c r="FA278" s="569"/>
      <c r="FB278" s="569"/>
      <c r="FC278" s="569"/>
      <c r="FD278" s="569"/>
      <c r="FE278" s="569"/>
      <c r="FF278" s="569"/>
      <c r="FG278" s="569"/>
      <c r="FH278" s="569"/>
      <c r="FI278" s="569"/>
      <c r="FJ278" s="569"/>
      <c r="FK278" s="569"/>
      <c r="FL278" s="569"/>
      <c r="FM278" s="569"/>
      <c r="FN278" s="569"/>
      <c r="FO278" s="569"/>
      <c r="FP278" s="569"/>
      <c r="FQ278" s="569"/>
      <c r="FR278" s="569"/>
      <c r="FS278" s="569"/>
      <c r="FT278" s="569"/>
      <c r="FU278" s="569"/>
      <c r="FV278" s="569"/>
      <c r="FW278" s="569"/>
      <c r="FX278" s="569"/>
      <c r="FY278" s="569"/>
      <c r="FZ278" s="569"/>
      <c r="GA278" s="569"/>
      <c r="GB278" s="569"/>
      <c r="GC278" s="569"/>
      <c r="GD278" s="569"/>
      <c r="GE278" s="569"/>
      <c r="GF278" s="569"/>
      <c r="GG278" s="569"/>
      <c r="GH278" s="569"/>
      <c r="GI278" s="569"/>
      <c r="GJ278" s="569"/>
      <c r="GK278" s="569"/>
      <c r="GL278" s="569"/>
      <c r="GM278" s="569"/>
      <c r="GN278" s="569"/>
      <c r="GO278" s="569"/>
      <c r="GP278" s="569"/>
      <c r="GQ278" s="569"/>
      <c r="GR278" s="569"/>
      <c r="GS278" s="569"/>
      <c r="GT278" s="569"/>
    </row>
    <row r="279" spans="2:202" s="554" customFormat="1" ht="18" customHeight="1">
      <c r="B279" s="590"/>
      <c r="C279" s="1151"/>
      <c r="D279" s="1151"/>
      <c r="E279" s="1151"/>
      <c r="F279" s="1151"/>
      <c r="G279" s="1151"/>
      <c r="H279" s="1151"/>
      <c r="I279" s="1151"/>
      <c r="J279" s="1151"/>
      <c r="K279" s="1151"/>
      <c r="L279" s="1151"/>
      <c r="M279" s="590"/>
      <c r="N279" s="590"/>
      <c r="O279" s="590"/>
      <c r="P279" s="590"/>
      <c r="Q279" s="590"/>
      <c r="R279" s="590"/>
      <c r="S279" s="590"/>
      <c r="T279" s="590"/>
      <c r="U279" s="590"/>
      <c r="V279" s="590"/>
      <c r="W279" s="590"/>
      <c r="X279" s="590"/>
      <c r="Y279" s="590"/>
      <c r="Z279" s="590"/>
      <c r="AA279" s="590"/>
      <c r="AB279" s="590"/>
      <c r="AC279" s="590"/>
      <c r="AD279" s="590"/>
      <c r="AE279" s="590"/>
      <c r="AF279" s="590"/>
      <c r="AG279" s="590"/>
      <c r="AH279" s="569"/>
      <c r="AI279" s="569"/>
      <c r="AJ279" s="569"/>
      <c r="AK279" s="569"/>
      <c r="AL279" s="569"/>
      <c r="AM279" s="569"/>
      <c r="AN279" s="569"/>
      <c r="AO279" s="569"/>
      <c r="AP279" s="569"/>
      <c r="AQ279" s="569"/>
      <c r="AR279" s="569"/>
      <c r="AS279" s="569"/>
      <c r="AT279" s="569"/>
      <c r="AU279" s="569"/>
      <c r="AV279" s="569"/>
      <c r="AW279" s="569"/>
      <c r="AX279" s="569"/>
      <c r="AY279" s="569"/>
      <c r="AZ279" s="569"/>
      <c r="BA279" s="569"/>
      <c r="BB279" s="569"/>
      <c r="BC279" s="569"/>
      <c r="BD279" s="569"/>
      <c r="BE279" s="569"/>
      <c r="BF279" s="569"/>
      <c r="BG279" s="569"/>
      <c r="BH279" s="569"/>
      <c r="BI279" s="569"/>
      <c r="BJ279" s="569"/>
      <c r="BK279" s="569"/>
      <c r="BL279" s="569"/>
      <c r="BM279" s="569"/>
      <c r="BN279" s="569"/>
      <c r="BO279" s="569"/>
      <c r="BP279" s="569"/>
      <c r="BQ279" s="569"/>
      <c r="BR279" s="569"/>
      <c r="BS279" s="569"/>
      <c r="BT279" s="569"/>
      <c r="BU279" s="569"/>
      <c r="BV279" s="569"/>
      <c r="BW279" s="569"/>
      <c r="BX279" s="569"/>
      <c r="BY279" s="569"/>
      <c r="BZ279" s="569"/>
      <c r="CA279" s="569"/>
      <c r="CB279" s="569"/>
      <c r="CC279" s="569"/>
      <c r="CD279" s="569"/>
      <c r="CE279" s="569"/>
      <c r="CF279" s="569"/>
      <c r="CG279" s="569"/>
      <c r="CH279" s="569"/>
      <c r="CI279" s="569"/>
      <c r="CJ279" s="569"/>
      <c r="CK279" s="569"/>
      <c r="CL279" s="569"/>
      <c r="CM279" s="569"/>
      <c r="CN279" s="569"/>
      <c r="CO279" s="569"/>
      <c r="CP279" s="569"/>
      <c r="CQ279" s="569"/>
      <c r="CR279" s="569"/>
      <c r="CS279" s="569"/>
      <c r="CT279" s="569"/>
      <c r="CU279" s="569"/>
      <c r="CV279" s="569"/>
      <c r="CW279" s="569"/>
      <c r="CX279" s="569"/>
      <c r="CY279" s="569"/>
      <c r="CZ279" s="569"/>
      <c r="DA279" s="569"/>
      <c r="DB279" s="569"/>
      <c r="DC279" s="569"/>
      <c r="DD279" s="569"/>
      <c r="DE279" s="569"/>
      <c r="DF279" s="569"/>
      <c r="DG279" s="569"/>
      <c r="DH279" s="569"/>
      <c r="DI279" s="569"/>
      <c r="DJ279" s="569"/>
      <c r="DK279" s="569"/>
      <c r="DL279" s="569"/>
      <c r="DM279" s="569"/>
      <c r="DN279" s="569"/>
      <c r="DO279" s="569"/>
      <c r="DP279" s="569"/>
      <c r="DQ279" s="569"/>
      <c r="DR279" s="569"/>
      <c r="DS279" s="569"/>
      <c r="DT279" s="569"/>
      <c r="DU279" s="569"/>
      <c r="DV279" s="569"/>
      <c r="DW279" s="569"/>
      <c r="DX279" s="569"/>
      <c r="DY279" s="569"/>
      <c r="DZ279" s="569"/>
      <c r="EA279" s="569"/>
      <c r="EB279" s="569"/>
      <c r="EC279" s="569"/>
      <c r="ED279" s="569"/>
      <c r="EE279" s="569"/>
      <c r="EF279" s="569"/>
      <c r="EG279" s="569"/>
      <c r="EH279" s="569"/>
      <c r="EI279" s="569"/>
      <c r="EJ279" s="569"/>
      <c r="EK279" s="569"/>
      <c r="EL279" s="569"/>
      <c r="EM279" s="569"/>
      <c r="EN279" s="569"/>
      <c r="EO279" s="569"/>
      <c r="EP279" s="569"/>
      <c r="EQ279" s="569"/>
      <c r="ER279" s="569"/>
      <c r="ES279" s="569"/>
      <c r="ET279" s="569"/>
      <c r="EU279" s="569"/>
      <c r="EV279" s="569"/>
      <c r="EW279" s="569"/>
      <c r="EX279" s="569"/>
      <c r="EY279" s="569"/>
      <c r="EZ279" s="569"/>
      <c r="FA279" s="569"/>
      <c r="FB279" s="569"/>
      <c r="FC279" s="569"/>
      <c r="FD279" s="569"/>
      <c r="FE279" s="569"/>
      <c r="FF279" s="569"/>
      <c r="FG279" s="569"/>
      <c r="FH279" s="569"/>
      <c r="FI279" s="569"/>
      <c r="FJ279" s="569"/>
      <c r="FK279" s="569"/>
      <c r="FL279" s="569"/>
      <c r="FM279" s="569"/>
      <c r="FN279" s="569"/>
      <c r="FO279" s="569"/>
      <c r="FP279" s="569"/>
      <c r="FQ279" s="569"/>
      <c r="FR279" s="569"/>
      <c r="FS279" s="569"/>
      <c r="FT279" s="569"/>
      <c r="FU279" s="569"/>
      <c r="FV279" s="569"/>
      <c r="FW279" s="569"/>
      <c r="FX279" s="569"/>
      <c r="FY279" s="569"/>
      <c r="FZ279" s="569"/>
      <c r="GA279" s="569"/>
      <c r="GB279" s="569"/>
      <c r="GC279" s="569"/>
      <c r="GD279" s="569"/>
      <c r="GE279" s="569"/>
      <c r="GF279" s="569"/>
      <c r="GG279" s="569"/>
      <c r="GH279" s="569"/>
      <c r="GI279" s="569"/>
      <c r="GJ279" s="569"/>
      <c r="GK279" s="569"/>
      <c r="GL279" s="569"/>
      <c r="GM279" s="569"/>
      <c r="GN279" s="569"/>
      <c r="GO279" s="569"/>
      <c r="GP279" s="569"/>
      <c r="GQ279" s="569"/>
      <c r="GR279" s="569"/>
      <c r="GS279" s="569"/>
      <c r="GT279" s="569"/>
    </row>
    <row r="280" spans="2:202" s="554" customFormat="1" ht="18" customHeight="1">
      <c r="B280" s="590"/>
      <c r="C280" s="1151"/>
      <c r="D280" s="1151"/>
      <c r="E280" s="1151"/>
      <c r="F280" s="1151"/>
      <c r="G280" s="1151"/>
      <c r="H280" s="1151"/>
      <c r="I280" s="1151"/>
      <c r="J280" s="1151"/>
      <c r="K280" s="1151"/>
      <c r="L280" s="1151"/>
      <c r="M280" s="590"/>
      <c r="N280" s="590"/>
      <c r="O280" s="590"/>
      <c r="P280" s="590"/>
      <c r="Q280" s="590"/>
      <c r="R280" s="590"/>
      <c r="S280" s="590"/>
      <c r="T280" s="590"/>
      <c r="U280" s="590"/>
      <c r="V280" s="590"/>
      <c r="W280" s="590"/>
      <c r="X280" s="590"/>
      <c r="Y280" s="590"/>
      <c r="Z280" s="590"/>
      <c r="AA280" s="590"/>
      <c r="AB280" s="590"/>
      <c r="AC280" s="590"/>
      <c r="AD280" s="590"/>
      <c r="AE280" s="590"/>
      <c r="AF280" s="590"/>
      <c r="AG280" s="590"/>
      <c r="AH280" s="569"/>
      <c r="AI280" s="569"/>
      <c r="AJ280" s="569"/>
      <c r="AK280" s="569"/>
      <c r="AL280" s="569"/>
      <c r="AM280" s="569"/>
      <c r="AN280" s="569"/>
      <c r="AO280" s="569"/>
      <c r="AP280" s="569"/>
      <c r="AQ280" s="569"/>
      <c r="AR280" s="569"/>
      <c r="AS280" s="569"/>
      <c r="AT280" s="569"/>
      <c r="AU280" s="569"/>
      <c r="AV280" s="569"/>
      <c r="AW280" s="569"/>
      <c r="AX280" s="569"/>
      <c r="AY280" s="569"/>
      <c r="AZ280" s="569"/>
      <c r="BA280" s="569"/>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s="569"/>
      <c r="DD280" s="569"/>
      <c r="DE280" s="569"/>
      <c r="DF280" s="569"/>
      <c r="DG280" s="569"/>
      <c r="DH280" s="569"/>
      <c r="DI280" s="569"/>
      <c r="DJ280" s="569"/>
      <c r="DK280" s="569"/>
      <c r="DL280" s="569"/>
      <c r="DM280" s="569"/>
      <c r="DN280" s="569"/>
      <c r="DO280" s="569"/>
      <c r="DP280" s="569"/>
      <c r="DQ280" s="569"/>
      <c r="DR280" s="569"/>
      <c r="DS280" s="569"/>
      <c r="DT280" s="569"/>
      <c r="DU280" s="569"/>
      <c r="DV280" s="569"/>
      <c r="DW280" s="569"/>
      <c r="DX280" s="569"/>
      <c r="DY280" s="569"/>
      <c r="DZ280" s="569"/>
      <c r="EA280" s="569"/>
      <c r="EB280" s="569"/>
      <c r="EC280" s="569"/>
      <c r="ED280" s="569"/>
      <c r="EE280" s="569"/>
      <c r="EF280" s="569"/>
      <c r="EG280" s="569"/>
      <c r="EH280" s="569"/>
      <c r="EI280" s="569"/>
      <c r="EJ280" s="569"/>
      <c r="EK280" s="569"/>
      <c r="EL280" s="569"/>
      <c r="EM280" s="569"/>
      <c r="EN280" s="569"/>
      <c r="EO280" s="569"/>
      <c r="EP280" s="569"/>
      <c r="EQ280" s="569"/>
      <c r="ER280" s="569"/>
      <c r="ES280" s="569"/>
      <c r="ET280" s="569"/>
      <c r="EU280" s="569"/>
      <c r="EV280" s="569"/>
      <c r="EW280" s="569"/>
      <c r="EX280" s="569"/>
      <c r="EY280" s="569"/>
      <c r="EZ280" s="569"/>
      <c r="FA280" s="569"/>
      <c r="FB280" s="569"/>
      <c r="FC280" s="569"/>
      <c r="FD280" s="569"/>
      <c r="FE280" s="569"/>
      <c r="FF280" s="569"/>
      <c r="FG280" s="569"/>
      <c r="FH280" s="569"/>
      <c r="FI280" s="569"/>
      <c r="FJ280" s="569"/>
      <c r="FK280" s="569"/>
      <c r="FL280" s="569"/>
      <c r="FM280" s="569"/>
      <c r="FN280" s="569"/>
      <c r="FO280" s="569"/>
      <c r="FP280" s="569"/>
      <c r="FQ280" s="569"/>
      <c r="FR280" s="569"/>
      <c r="FS280" s="569"/>
      <c r="FT280" s="569"/>
      <c r="FU280" s="569"/>
      <c r="FV280" s="569"/>
      <c r="FW280" s="569"/>
      <c r="FX280" s="569"/>
      <c r="FY280" s="569"/>
      <c r="FZ280" s="569"/>
      <c r="GA280" s="569"/>
      <c r="GB280" s="569"/>
      <c r="GC280" s="569"/>
      <c r="GD280" s="569"/>
      <c r="GE280" s="569"/>
      <c r="GF280" s="569"/>
      <c r="GG280" s="569"/>
      <c r="GH280" s="569"/>
      <c r="GI280" s="569"/>
      <c r="GJ280" s="569"/>
      <c r="GK280" s="569"/>
      <c r="GL280" s="569"/>
      <c r="GM280" s="569"/>
      <c r="GN280" s="569"/>
      <c r="GO280" s="569"/>
      <c r="GP280" s="569"/>
      <c r="GQ280" s="569"/>
      <c r="GR280" s="569"/>
      <c r="GS280" s="569"/>
      <c r="GT280" s="569"/>
    </row>
    <row r="281" spans="2:202" s="554" customFormat="1" ht="18" customHeight="1">
      <c r="B281" s="590"/>
      <c r="C281" s="1151"/>
      <c r="D281" s="1151"/>
      <c r="E281" s="1151"/>
      <c r="F281" s="1151"/>
      <c r="G281" s="1151"/>
      <c r="H281" s="1151"/>
      <c r="I281" s="1151"/>
      <c r="J281" s="1151"/>
      <c r="K281" s="1151"/>
      <c r="L281" s="1151"/>
      <c r="M281" s="590"/>
      <c r="N281" s="590"/>
      <c r="O281" s="590"/>
      <c r="P281" s="590"/>
      <c r="Q281" s="590"/>
      <c r="R281" s="590"/>
      <c r="S281" s="590"/>
      <c r="T281" s="590"/>
      <c r="U281" s="590"/>
      <c r="V281" s="590"/>
      <c r="W281" s="590"/>
      <c r="X281" s="590"/>
      <c r="Y281" s="590"/>
      <c r="Z281" s="590"/>
      <c r="AA281" s="590"/>
      <c r="AB281" s="590"/>
      <c r="AC281" s="590"/>
      <c r="AD281" s="590"/>
      <c r="AE281" s="590"/>
      <c r="AF281" s="590"/>
      <c r="AG281" s="590"/>
      <c r="AH281" s="569"/>
      <c r="AI281" s="569"/>
      <c r="AJ281" s="569"/>
      <c r="AK281" s="569"/>
      <c r="AL281" s="569"/>
      <c r="AM281" s="569"/>
      <c r="AN281" s="569"/>
      <c r="AO281" s="569"/>
      <c r="AP281" s="569"/>
      <c r="AQ281" s="569"/>
      <c r="AR281" s="569"/>
      <c r="AS281" s="569"/>
      <c r="AT281" s="569"/>
      <c r="AU281" s="569"/>
      <c r="AV281" s="569"/>
      <c r="AW281" s="569"/>
      <c r="AX281" s="569"/>
      <c r="AY281" s="569"/>
      <c r="AZ281" s="569"/>
      <c r="BA281" s="569"/>
      <c r="BB281" s="569"/>
      <c r="BC281" s="569"/>
      <c r="BD281" s="569"/>
      <c r="BE281" s="569"/>
      <c r="BF281" s="569"/>
      <c r="BG281" s="569"/>
      <c r="BH281" s="569"/>
      <c r="BI281" s="569"/>
      <c r="BJ281" s="569"/>
      <c r="BK281" s="569"/>
      <c r="BL281" s="569"/>
      <c r="BM281" s="569"/>
      <c r="BN281" s="569"/>
      <c r="BO281" s="569"/>
      <c r="BP281" s="569"/>
      <c r="BQ281" s="569"/>
      <c r="BR281" s="569"/>
      <c r="BS281" s="569"/>
      <c r="BT281" s="569"/>
      <c r="BU281" s="569"/>
      <c r="BV281" s="569"/>
      <c r="BW281" s="569"/>
      <c r="BX281" s="569"/>
      <c r="BY281" s="569"/>
      <c r="BZ281" s="569"/>
      <c r="CA281" s="569"/>
      <c r="CB281" s="569"/>
      <c r="CC281" s="569"/>
      <c r="CD281" s="569"/>
      <c r="CE281" s="569"/>
      <c r="CF281" s="569"/>
      <c r="CG281" s="569"/>
      <c r="CH281" s="569"/>
      <c r="CI281" s="569"/>
      <c r="CJ281" s="569"/>
      <c r="CK281" s="569"/>
      <c r="CL281" s="569"/>
      <c r="CM281" s="569"/>
      <c r="CN281" s="569"/>
      <c r="CO281" s="569"/>
      <c r="CP281" s="569"/>
      <c r="CQ281" s="569"/>
      <c r="CR281" s="569"/>
      <c r="CS281" s="569"/>
      <c r="CT281" s="569"/>
      <c r="CU281" s="569"/>
      <c r="CV281" s="569"/>
      <c r="CW281" s="569"/>
      <c r="CX281" s="569"/>
      <c r="CY281" s="569"/>
      <c r="CZ281" s="569"/>
      <c r="DA281" s="569"/>
      <c r="DB281" s="569"/>
      <c r="DC281" s="569"/>
      <c r="DD281" s="569"/>
      <c r="DE281" s="569"/>
      <c r="DF281" s="569"/>
      <c r="DG281" s="569"/>
      <c r="DH281" s="569"/>
      <c r="DI281" s="569"/>
      <c r="DJ281" s="569"/>
      <c r="DK281" s="569"/>
      <c r="DL281" s="569"/>
      <c r="DM281" s="569"/>
      <c r="DN281" s="569"/>
      <c r="DO281" s="569"/>
      <c r="DP281" s="569"/>
      <c r="DQ281" s="569"/>
      <c r="DR281" s="569"/>
      <c r="DS281" s="569"/>
      <c r="DT281" s="569"/>
      <c r="DU281" s="569"/>
      <c r="DV281" s="569"/>
      <c r="DW281" s="569"/>
      <c r="DX281" s="569"/>
      <c r="DY281" s="569"/>
      <c r="DZ281" s="569"/>
      <c r="EA281" s="569"/>
      <c r="EB281" s="569"/>
      <c r="EC281" s="569"/>
      <c r="ED281" s="569"/>
      <c r="EE281" s="569"/>
      <c r="EF281" s="569"/>
      <c r="EG281" s="569"/>
      <c r="EH281" s="569"/>
      <c r="EI281" s="569"/>
      <c r="EJ281" s="569"/>
      <c r="EK281" s="569"/>
      <c r="EL281" s="569"/>
      <c r="EM281" s="569"/>
      <c r="EN281" s="569"/>
      <c r="EO281" s="569"/>
      <c r="EP281" s="569"/>
      <c r="EQ281" s="569"/>
      <c r="ER281" s="569"/>
      <c r="ES281" s="569"/>
      <c r="ET281" s="569"/>
      <c r="EU281" s="569"/>
      <c r="EV281" s="569"/>
      <c r="EW281" s="569"/>
      <c r="EX281" s="569"/>
      <c r="EY281" s="569"/>
      <c r="EZ281" s="569"/>
      <c r="FA281" s="569"/>
      <c r="FB281" s="569"/>
      <c r="FC281" s="569"/>
      <c r="FD281" s="569"/>
      <c r="FE281" s="569"/>
      <c r="FF281" s="569"/>
      <c r="FG281" s="569"/>
      <c r="FH281" s="569"/>
      <c r="FI281" s="569"/>
      <c r="FJ281" s="569"/>
      <c r="FK281" s="569"/>
      <c r="FL281" s="569"/>
      <c r="FM281" s="569"/>
      <c r="FN281" s="569"/>
      <c r="FO281" s="569"/>
      <c r="FP281" s="569"/>
      <c r="FQ281" s="569"/>
      <c r="FR281" s="569"/>
      <c r="FS281" s="569"/>
      <c r="FT281" s="569"/>
      <c r="FU281" s="569"/>
      <c r="FV281" s="569"/>
      <c r="FW281" s="569"/>
      <c r="FX281" s="569"/>
      <c r="FY281" s="569"/>
      <c r="FZ281" s="569"/>
      <c r="GA281" s="569"/>
      <c r="GB281" s="569"/>
      <c r="GC281" s="569"/>
      <c r="GD281" s="569"/>
      <c r="GE281" s="569"/>
      <c r="GF281" s="569"/>
      <c r="GG281" s="569"/>
      <c r="GH281" s="569"/>
      <c r="GI281" s="569"/>
      <c r="GJ281" s="569"/>
      <c r="GK281" s="569"/>
      <c r="GL281" s="569"/>
      <c r="GM281" s="569"/>
      <c r="GN281" s="569"/>
      <c r="GO281" s="569"/>
      <c r="GP281" s="569"/>
      <c r="GQ281" s="569"/>
      <c r="GR281" s="569"/>
      <c r="GS281" s="569"/>
      <c r="GT281" s="569"/>
    </row>
    <row r="282" spans="2:202" s="554" customFormat="1" ht="18" customHeight="1">
      <c r="B282" s="590"/>
      <c r="C282" s="1151"/>
      <c r="D282" s="1151"/>
      <c r="E282" s="1151"/>
      <c r="F282" s="1151"/>
      <c r="G282" s="1151"/>
      <c r="H282" s="1151"/>
      <c r="I282" s="1151"/>
      <c r="J282" s="1151"/>
      <c r="K282" s="1151"/>
      <c r="L282" s="1151"/>
      <c r="M282" s="590"/>
      <c r="N282" s="590"/>
      <c r="O282" s="590"/>
      <c r="P282" s="590"/>
      <c r="Q282" s="590"/>
      <c r="R282" s="590"/>
      <c r="S282" s="590"/>
      <c r="T282" s="590"/>
      <c r="U282" s="590"/>
      <c r="V282" s="590"/>
      <c r="W282" s="590"/>
      <c r="X282" s="590"/>
      <c r="Y282" s="590"/>
      <c r="Z282" s="590"/>
      <c r="AA282" s="590"/>
      <c r="AB282" s="590"/>
      <c r="AC282" s="590"/>
      <c r="AD282" s="590"/>
      <c r="AE282" s="590"/>
      <c r="AF282" s="590"/>
      <c r="AG282" s="590"/>
      <c r="AH282" s="569"/>
      <c r="AI282" s="569"/>
      <c r="AJ282" s="569"/>
      <c r="AK282" s="569"/>
      <c r="AL282" s="569"/>
      <c r="AM282" s="569"/>
      <c r="AN282" s="569"/>
      <c r="AO282" s="569"/>
      <c r="AP282" s="569"/>
      <c r="AQ282" s="569"/>
      <c r="AR282" s="569"/>
      <c r="AS282" s="569"/>
      <c r="AT282" s="569"/>
      <c r="AU282" s="569"/>
      <c r="AV282" s="569"/>
      <c r="AW282" s="569"/>
      <c r="AX282" s="569"/>
      <c r="AY282" s="569"/>
      <c r="AZ282" s="569"/>
      <c r="BA282" s="569"/>
      <c r="BB282" s="569"/>
      <c r="BC282" s="569"/>
      <c r="BD282" s="569"/>
      <c r="BE282" s="569"/>
      <c r="BF282" s="569"/>
      <c r="BG282" s="569"/>
      <c r="BH282" s="569"/>
      <c r="BI282" s="569"/>
      <c r="BJ282" s="569"/>
      <c r="BK282" s="569"/>
      <c r="BL282" s="569"/>
      <c r="BM282" s="569"/>
      <c r="BN282" s="569"/>
      <c r="BO282" s="569"/>
      <c r="BP282" s="569"/>
      <c r="BQ282" s="569"/>
      <c r="BR282" s="569"/>
      <c r="BS282" s="569"/>
      <c r="BT282" s="569"/>
      <c r="BU282" s="569"/>
      <c r="BV282" s="569"/>
      <c r="BW282" s="569"/>
      <c r="BX282" s="569"/>
      <c r="BY282" s="569"/>
      <c r="BZ282" s="569"/>
      <c r="CA282" s="569"/>
      <c r="CB282" s="569"/>
      <c r="CC282" s="569"/>
      <c r="CD282" s="569"/>
      <c r="CE282" s="569"/>
      <c r="CF282" s="569"/>
      <c r="CG282" s="569"/>
      <c r="CH282" s="569"/>
      <c r="CI282" s="569"/>
      <c r="CJ282" s="569"/>
      <c r="CK282" s="569"/>
      <c r="CL282" s="569"/>
      <c r="CM282" s="569"/>
      <c r="CN282" s="569"/>
      <c r="CO282" s="569"/>
      <c r="CP282" s="569"/>
      <c r="CQ282" s="569"/>
      <c r="CR282" s="569"/>
      <c r="CS282" s="569"/>
      <c r="CT282" s="569"/>
      <c r="CU282" s="569"/>
      <c r="CV282" s="569"/>
      <c r="CW282" s="569"/>
      <c r="CX282" s="569"/>
      <c r="CY282" s="569"/>
      <c r="CZ282" s="569"/>
      <c r="DA282" s="569"/>
      <c r="DB282" s="569"/>
      <c r="DC282" s="569"/>
      <c r="DD282" s="569"/>
      <c r="DE282" s="569"/>
      <c r="DF282" s="569"/>
      <c r="DG282" s="569"/>
      <c r="DH282" s="569"/>
      <c r="DI282" s="569"/>
      <c r="DJ282" s="569"/>
      <c r="DK282" s="569"/>
      <c r="DL282" s="569"/>
      <c r="DM282" s="569"/>
      <c r="DN282" s="569"/>
      <c r="DO282" s="569"/>
      <c r="DP282" s="569"/>
      <c r="DQ282" s="569"/>
      <c r="DR282" s="569"/>
      <c r="DS282" s="569"/>
      <c r="DT282" s="569"/>
      <c r="DU282" s="569"/>
      <c r="DV282" s="569"/>
      <c r="DW282" s="569"/>
      <c r="DX282" s="569"/>
      <c r="DY282" s="569"/>
      <c r="DZ282" s="569"/>
      <c r="EA282" s="569"/>
      <c r="EB282" s="569"/>
      <c r="EC282" s="569"/>
      <c r="ED282" s="569"/>
      <c r="EE282" s="569"/>
      <c r="EF282" s="569"/>
      <c r="EG282" s="569"/>
      <c r="EH282" s="569"/>
      <c r="EI282" s="569"/>
      <c r="EJ282" s="569"/>
      <c r="EK282" s="569"/>
      <c r="EL282" s="569"/>
      <c r="EM282" s="569"/>
      <c r="EN282" s="569"/>
      <c r="EO282" s="569"/>
      <c r="EP282" s="569"/>
      <c r="EQ282" s="569"/>
      <c r="ER282" s="569"/>
      <c r="ES282" s="569"/>
      <c r="ET282" s="569"/>
      <c r="EU282" s="569"/>
      <c r="EV282" s="569"/>
      <c r="EW282" s="569"/>
      <c r="EX282" s="569"/>
      <c r="EY282" s="569"/>
      <c r="EZ282" s="569"/>
      <c r="FA282" s="569"/>
      <c r="FB282" s="569"/>
      <c r="FC282" s="569"/>
      <c r="FD282" s="569"/>
      <c r="FE282" s="569"/>
      <c r="FF282" s="569"/>
      <c r="FG282" s="569"/>
      <c r="FH282" s="569"/>
      <c r="FI282" s="569"/>
      <c r="FJ282" s="569"/>
      <c r="FK282" s="569"/>
      <c r="FL282" s="569"/>
      <c r="FM282" s="569"/>
      <c r="FN282" s="569"/>
      <c r="FO282" s="569"/>
      <c r="FP282" s="569"/>
      <c r="FQ282" s="569"/>
      <c r="FR282" s="569"/>
      <c r="FS282" s="569"/>
      <c r="FT282" s="569"/>
      <c r="FU282" s="569"/>
      <c r="FV282" s="569"/>
      <c r="FW282" s="569"/>
      <c r="FX282" s="569"/>
      <c r="FY282" s="569"/>
      <c r="FZ282" s="569"/>
      <c r="GA282" s="569"/>
      <c r="GB282" s="569"/>
      <c r="GC282" s="569"/>
      <c r="GD282" s="569"/>
      <c r="GE282" s="569"/>
      <c r="GF282" s="569"/>
      <c r="GG282" s="569"/>
      <c r="GH282" s="569"/>
      <c r="GI282" s="569"/>
      <c r="GJ282" s="569"/>
      <c r="GK282" s="569"/>
      <c r="GL282" s="569"/>
      <c r="GM282" s="569"/>
      <c r="GN282" s="569"/>
      <c r="GO282" s="569"/>
      <c r="GP282" s="569"/>
      <c r="GQ282" s="569"/>
      <c r="GR282" s="569"/>
      <c r="GS282" s="569"/>
      <c r="GT282" s="569"/>
    </row>
    <row r="283" spans="2:202" s="554" customFormat="1" ht="18" customHeight="1">
      <c r="B283" s="590"/>
      <c r="C283" s="1151"/>
      <c r="D283" s="1151"/>
      <c r="E283" s="1151"/>
      <c r="F283" s="1151"/>
      <c r="G283" s="1151"/>
      <c r="H283" s="1151"/>
      <c r="I283" s="1151"/>
      <c r="J283" s="1151"/>
      <c r="K283" s="1151"/>
      <c r="L283" s="1151"/>
      <c r="M283" s="590"/>
      <c r="N283" s="590"/>
      <c r="O283" s="590"/>
      <c r="P283" s="590"/>
      <c r="Q283" s="590"/>
      <c r="R283" s="590"/>
      <c r="S283" s="590"/>
      <c r="T283" s="590"/>
      <c r="U283" s="590"/>
      <c r="V283" s="590"/>
      <c r="W283" s="590"/>
      <c r="X283" s="590"/>
      <c r="Y283" s="590"/>
      <c r="Z283" s="590"/>
      <c r="AA283" s="590"/>
      <c r="AB283" s="590"/>
      <c r="AC283" s="590"/>
      <c r="AD283" s="590"/>
      <c r="AE283" s="590"/>
      <c r="AF283" s="590"/>
      <c r="AG283" s="590"/>
      <c r="AH283" s="569"/>
      <c r="AI283" s="569"/>
      <c r="AJ283" s="569"/>
      <c r="AK283" s="569"/>
      <c r="AL283" s="569"/>
      <c r="AM283" s="569"/>
      <c r="AN283" s="569"/>
      <c r="AO283" s="569"/>
      <c r="AP283" s="569"/>
      <c r="AQ283" s="569"/>
      <c r="AR283" s="569"/>
      <c r="AS283" s="569"/>
      <c r="AT283" s="569"/>
      <c r="AU283" s="569"/>
      <c r="AV283" s="569"/>
      <c r="AW283" s="569"/>
      <c r="AX283" s="569"/>
      <c r="AY283" s="569"/>
      <c r="AZ283" s="569"/>
      <c r="BA283" s="569"/>
      <c r="BB283" s="569"/>
      <c r="BC283" s="569"/>
      <c r="BD283" s="569"/>
      <c r="BE283" s="569"/>
      <c r="BF283" s="569"/>
      <c r="BG283" s="569"/>
      <c r="BH283" s="569"/>
      <c r="BI283" s="569"/>
      <c r="BJ283" s="569"/>
      <c r="BK283" s="569"/>
      <c r="BL283" s="569"/>
      <c r="BM283" s="569"/>
      <c r="BN283" s="569"/>
      <c r="BO283" s="569"/>
      <c r="BP283" s="569"/>
      <c r="BQ283" s="569"/>
      <c r="BR283" s="569"/>
      <c r="BS283" s="569"/>
      <c r="BT283" s="569"/>
      <c r="BU283" s="569"/>
      <c r="BV283" s="569"/>
      <c r="BW283" s="569"/>
      <c r="BX283" s="569"/>
      <c r="BY283" s="569"/>
      <c r="BZ283" s="569"/>
      <c r="CA283" s="569"/>
      <c r="CB283" s="569"/>
      <c r="CC283" s="569"/>
      <c r="CD283" s="569"/>
      <c r="CE283" s="569"/>
      <c r="CF283" s="569"/>
      <c r="CG283" s="569"/>
      <c r="CH283" s="569"/>
      <c r="CI283" s="569"/>
      <c r="CJ283" s="569"/>
      <c r="CK283" s="569"/>
      <c r="CL283" s="569"/>
      <c r="CM283" s="569"/>
      <c r="CN283" s="569"/>
      <c r="CO283" s="569"/>
      <c r="CP283" s="569"/>
      <c r="CQ283" s="569"/>
      <c r="CR283" s="569"/>
      <c r="CS283" s="569"/>
      <c r="CT283" s="569"/>
      <c r="CU283" s="569"/>
      <c r="CV283" s="569"/>
      <c r="CW283" s="569"/>
      <c r="CX283" s="569"/>
      <c r="CY283" s="569"/>
      <c r="CZ283" s="569"/>
      <c r="DA283" s="569"/>
      <c r="DB283" s="569"/>
      <c r="DC283" s="569"/>
      <c r="DD283" s="569"/>
      <c r="DE283" s="569"/>
      <c r="DF283" s="569"/>
      <c r="DG283" s="569"/>
      <c r="DH283" s="569"/>
      <c r="DI283" s="569"/>
      <c r="DJ283" s="569"/>
      <c r="DK283" s="569"/>
      <c r="DL283" s="569"/>
      <c r="DM283" s="569"/>
      <c r="DN283" s="569"/>
      <c r="DO283" s="569"/>
      <c r="DP283" s="569"/>
      <c r="DQ283" s="569"/>
      <c r="DR283" s="569"/>
      <c r="DS283" s="569"/>
      <c r="DT283" s="569"/>
      <c r="DU283" s="569"/>
      <c r="DV283" s="569"/>
      <c r="DW283" s="569"/>
      <c r="DX283" s="569"/>
      <c r="DY283" s="569"/>
      <c r="DZ283" s="569"/>
      <c r="EA283" s="569"/>
      <c r="EB283" s="569"/>
      <c r="EC283" s="569"/>
      <c r="ED283" s="569"/>
      <c r="EE283" s="569"/>
      <c r="EF283" s="569"/>
      <c r="EG283" s="569"/>
      <c r="EH283" s="569"/>
      <c r="EI283" s="569"/>
      <c r="EJ283" s="569"/>
      <c r="EK283" s="569"/>
      <c r="EL283" s="569"/>
      <c r="EM283" s="569"/>
      <c r="EN283" s="569"/>
      <c r="EO283" s="569"/>
      <c r="EP283" s="569"/>
      <c r="EQ283" s="569"/>
      <c r="ER283" s="569"/>
      <c r="ES283" s="569"/>
      <c r="ET283" s="569"/>
      <c r="EU283" s="569"/>
      <c r="EV283" s="569"/>
      <c r="EW283" s="569"/>
      <c r="EX283" s="569"/>
      <c r="EY283" s="569"/>
      <c r="EZ283" s="569"/>
      <c r="FA283" s="569"/>
      <c r="FB283" s="569"/>
      <c r="FC283" s="569"/>
      <c r="FD283" s="569"/>
      <c r="FE283" s="569"/>
      <c r="FF283" s="569"/>
      <c r="FG283" s="569"/>
      <c r="FH283" s="569"/>
      <c r="FI283" s="569"/>
      <c r="FJ283" s="569"/>
      <c r="FK283" s="569"/>
      <c r="FL283" s="569"/>
      <c r="FM283" s="569"/>
      <c r="FN283" s="569"/>
      <c r="FO283" s="569"/>
      <c r="FP283" s="569"/>
      <c r="FQ283" s="569"/>
      <c r="FR283" s="569"/>
      <c r="FS283" s="569"/>
      <c r="FT283" s="569"/>
      <c r="FU283" s="569"/>
      <c r="FV283" s="569"/>
      <c r="FW283" s="569"/>
      <c r="FX283" s="569"/>
      <c r="FY283" s="569"/>
      <c r="FZ283" s="569"/>
      <c r="GA283" s="569"/>
      <c r="GB283" s="569"/>
      <c r="GC283" s="569"/>
      <c r="GD283" s="569"/>
      <c r="GE283" s="569"/>
      <c r="GF283" s="569"/>
      <c r="GG283" s="569"/>
      <c r="GH283" s="569"/>
      <c r="GI283" s="569"/>
      <c r="GJ283" s="569"/>
      <c r="GK283" s="569"/>
      <c r="GL283" s="569"/>
      <c r="GM283" s="569"/>
      <c r="GN283" s="569"/>
      <c r="GO283" s="569"/>
      <c r="GP283" s="569"/>
      <c r="GQ283" s="569"/>
      <c r="GR283" s="569"/>
      <c r="GS283" s="569"/>
      <c r="GT283" s="569"/>
    </row>
    <row r="284" spans="2:202" s="554" customFormat="1" ht="18" customHeight="1">
      <c r="B284" s="590"/>
      <c r="C284" s="1151"/>
      <c r="D284" s="1151"/>
      <c r="E284" s="1151"/>
      <c r="F284" s="1151"/>
      <c r="G284" s="1151"/>
      <c r="H284" s="1151"/>
      <c r="I284" s="1151"/>
      <c r="J284" s="1151"/>
      <c r="K284" s="1151"/>
      <c r="L284" s="1151"/>
      <c r="M284" s="590"/>
      <c r="N284" s="590"/>
      <c r="O284" s="590"/>
      <c r="P284" s="590"/>
      <c r="Q284" s="590"/>
      <c r="R284" s="590"/>
      <c r="S284" s="590"/>
      <c r="T284" s="590"/>
      <c r="U284" s="590"/>
      <c r="V284" s="590"/>
      <c r="W284" s="590"/>
      <c r="X284" s="590"/>
      <c r="Y284" s="590"/>
      <c r="Z284" s="590"/>
      <c r="AA284" s="590"/>
      <c r="AB284" s="590"/>
      <c r="AC284" s="590"/>
      <c r="AD284" s="590"/>
      <c r="AE284" s="590"/>
      <c r="AF284" s="590"/>
      <c r="AG284" s="590"/>
      <c r="AH284" s="569"/>
      <c r="AI284" s="569"/>
      <c r="AJ284" s="569"/>
      <c r="AK284" s="569"/>
      <c r="AL284" s="569"/>
      <c r="AM284" s="569"/>
      <c r="AN284" s="569"/>
      <c r="AO284" s="569"/>
      <c r="AP284" s="569"/>
      <c r="AQ284" s="569"/>
      <c r="AR284" s="569"/>
      <c r="AS284" s="569"/>
      <c r="AT284" s="569"/>
      <c r="AU284" s="569"/>
      <c r="AV284" s="569"/>
      <c r="AW284" s="569"/>
      <c r="AX284" s="569"/>
      <c r="AY284" s="569"/>
      <c r="AZ284" s="569"/>
      <c r="BA284" s="569"/>
      <c r="BB284" s="569"/>
      <c r="BC284" s="569"/>
      <c r="BD284" s="569"/>
      <c r="BE284" s="569"/>
      <c r="BF284" s="569"/>
      <c r="BG284" s="569"/>
      <c r="BH284" s="569"/>
      <c r="BI284" s="569"/>
      <c r="BJ284" s="569"/>
      <c r="BK284" s="569"/>
      <c r="BL284" s="569"/>
      <c r="BM284" s="569"/>
      <c r="BN284" s="569"/>
      <c r="BO284" s="569"/>
      <c r="BP284" s="569"/>
      <c r="BQ284" s="569"/>
      <c r="BR284" s="569"/>
      <c r="BS284" s="569"/>
      <c r="BT284" s="569"/>
      <c r="BU284" s="569"/>
      <c r="BV284" s="569"/>
      <c r="BW284" s="569"/>
      <c r="BX284" s="569"/>
      <c r="BY284" s="569"/>
      <c r="BZ284" s="569"/>
      <c r="CA284" s="569"/>
      <c r="CB284" s="569"/>
      <c r="CC284" s="569"/>
      <c r="CD284" s="569"/>
      <c r="CE284" s="569"/>
      <c r="CF284" s="569"/>
      <c r="CG284" s="569"/>
      <c r="CH284" s="569"/>
      <c r="CI284" s="569"/>
      <c r="CJ284" s="569"/>
      <c r="CK284" s="569"/>
      <c r="CL284" s="569"/>
      <c r="CM284" s="569"/>
      <c r="CN284" s="569"/>
      <c r="CO284" s="569"/>
      <c r="CP284" s="569"/>
      <c r="CQ284" s="569"/>
      <c r="CR284" s="569"/>
      <c r="CS284" s="569"/>
      <c r="CT284" s="569"/>
      <c r="CU284" s="569"/>
      <c r="CV284" s="569"/>
      <c r="CW284" s="569"/>
      <c r="CX284" s="569"/>
      <c r="CY284" s="569"/>
      <c r="CZ284" s="569"/>
      <c r="DA284" s="569"/>
      <c r="DB284" s="569"/>
      <c r="DC284" s="569"/>
      <c r="DD284" s="569"/>
      <c r="DE284" s="569"/>
      <c r="DF284" s="569"/>
      <c r="DG284" s="569"/>
      <c r="DH284" s="569"/>
      <c r="DI284" s="569"/>
      <c r="DJ284" s="569"/>
      <c r="DK284" s="569"/>
      <c r="DL284" s="569"/>
      <c r="DM284" s="569"/>
      <c r="DN284" s="569"/>
      <c r="DO284" s="569"/>
      <c r="DP284" s="569"/>
      <c r="DQ284" s="569"/>
      <c r="DR284" s="569"/>
      <c r="DS284" s="569"/>
      <c r="DT284" s="569"/>
      <c r="DU284" s="569"/>
      <c r="DV284" s="569"/>
      <c r="DW284" s="569"/>
      <c r="DX284" s="569"/>
      <c r="DY284" s="569"/>
      <c r="DZ284" s="569"/>
      <c r="EA284" s="569"/>
      <c r="EB284" s="569"/>
      <c r="EC284" s="569"/>
      <c r="ED284" s="569"/>
      <c r="EE284" s="569"/>
      <c r="EF284" s="569"/>
      <c r="EG284" s="569"/>
      <c r="EH284" s="569"/>
      <c r="EI284" s="569"/>
      <c r="EJ284" s="569"/>
      <c r="EK284" s="569"/>
      <c r="EL284" s="569"/>
      <c r="EM284" s="569"/>
      <c r="EN284" s="569"/>
      <c r="EO284" s="569"/>
      <c r="EP284" s="569"/>
      <c r="EQ284" s="569"/>
      <c r="ER284" s="569"/>
      <c r="ES284" s="569"/>
      <c r="ET284" s="569"/>
      <c r="EU284" s="569"/>
      <c r="EV284" s="569"/>
      <c r="EW284" s="569"/>
      <c r="EX284" s="569"/>
      <c r="EY284" s="569"/>
      <c r="EZ284" s="569"/>
      <c r="FA284" s="569"/>
      <c r="FB284" s="569"/>
      <c r="FC284" s="569"/>
      <c r="FD284" s="569"/>
      <c r="FE284" s="569"/>
      <c r="FF284" s="569"/>
      <c r="FG284" s="569"/>
      <c r="FH284" s="569"/>
      <c r="FI284" s="569"/>
      <c r="FJ284" s="569"/>
      <c r="FK284" s="569"/>
      <c r="FL284" s="569"/>
      <c r="FM284" s="569"/>
      <c r="FN284" s="569"/>
      <c r="FO284" s="569"/>
      <c r="FP284" s="569"/>
      <c r="FQ284" s="569"/>
      <c r="FR284" s="569"/>
      <c r="FS284" s="569"/>
      <c r="FT284" s="569"/>
      <c r="FU284" s="569"/>
      <c r="FV284" s="569"/>
      <c r="FW284" s="569"/>
      <c r="FX284" s="569"/>
      <c r="FY284" s="569"/>
      <c r="FZ284" s="569"/>
      <c r="GA284" s="569"/>
      <c r="GB284" s="569"/>
      <c r="GC284" s="569"/>
      <c r="GD284" s="569"/>
      <c r="GE284" s="569"/>
      <c r="GF284" s="569"/>
      <c r="GG284" s="569"/>
      <c r="GH284" s="569"/>
      <c r="GI284" s="569"/>
      <c r="GJ284" s="569"/>
      <c r="GK284" s="569"/>
      <c r="GL284" s="569"/>
      <c r="GM284" s="569"/>
      <c r="GN284" s="569"/>
      <c r="GO284" s="569"/>
      <c r="GP284" s="569"/>
      <c r="GQ284" s="569"/>
      <c r="GR284" s="569"/>
      <c r="GS284" s="569"/>
      <c r="GT284" s="569"/>
    </row>
    <row r="285" spans="2:202" s="554" customFormat="1" ht="18" customHeight="1">
      <c r="B285" s="590"/>
      <c r="C285" s="1151"/>
      <c r="D285" s="1151"/>
      <c r="E285" s="1151"/>
      <c r="F285" s="1151"/>
      <c r="G285" s="1151"/>
      <c r="H285" s="1151"/>
      <c r="I285" s="1151"/>
      <c r="J285" s="1151"/>
      <c r="K285" s="1151"/>
      <c r="L285" s="1151"/>
      <c r="M285" s="590"/>
      <c r="N285" s="590"/>
      <c r="O285" s="590"/>
      <c r="P285" s="590"/>
      <c r="Q285" s="590"/>
      <c r="R285" s="590"/>
      <c r="S285" s="590"/>
      <c r="T285" s="590"/>
      <c r="U285" s="590"/>
      <c r="V285" s="590"/>
      <c r="W285" s="590"/>
      <c r="X285" s="590"/>
      <c r="Y285" s="590"/>
      <c r="Z285" s="590"/>
      <c r="AA285" s="590"/>
      <c r="AB285" s="590"/>
      <c r="AC285" s="590"/>
      <c r="AD285" s="590"/>
      <c r="AE285" s="590"/>
      <c r="AF285" s="590"/>
      <c r="AG285" s="590"/>
      <c r="AH285" s="569"/>
      <c r="AI285" s="569"/>
      <c r="AJ285" s="569"/>
      <c r="AK285" s="569"/>
      <c r="AL285" s="569"/>
      <c r="AM285" s="569"/>
      <c r="AN285" s="569"/>
      <c r="AO285" s="569"/>
      <c r="AP285" s="569"/>
      <c r="AQ285" s="569"/>
      <c r="AR285" s="569"/>
      <c r="AS285" s="569"/>
      <c r="AT285" s="569"/>
      <c r="AU285" s="569"/>
      <c r="AV285" s="569"/>
      <c r="AW285" s="569"/>
      <c r="AX285" s="569"/>
      <c r="AY285" s="569"/>
      <c r="AZ285" s="569"/>
      <c r="BA285" s="569"/>
      <c r="BB285" s="569"/>
      <c r="BC285" s="569"/>
      <c r="BD285" s="569"/>
      <c r="BE285" s="569"/>
      <c r="BF285" s="569"/>
      <c r="BG285" s="569"/>
      <c r="BH285" s="569"/>
      <c r="BI285" s="569"/>
      <c r="BJ285" s="569"/>
      <c r="BK285" s="569"/>
      <c r="BL285" s="569"/>
      <c r="BM285" s="569"/>
      <c r="BN285" s="569"/>
      <c r="BO285" s="569"/>
      <c r="BP285" s="569"/>
      <c r="BQ285" s="569"/>
      <c r="BR285" s="569"/>
      <c r="BS285" s="569"/>
      <c r="BT285" s="569"/>
      <c r="BU285" s="569"/>
      <c r="BV285" s="569"/>
      <c r="BW285" s="569"/>
      <c r="BX285" s="569"/>
      <c r="BY285" s="569"/>
      <c r="BZ285" s="569"/>
      <c r="CA285" s="569"/>
      <c r="CB285" s="569"/>
      <c r="CC285" s="569"/>
      <c r="CD285" s="569"/>
      <c r="CE285" s="569"/>
      <c r="CF285" s="569"/>
      <c r="CG285" s="569"/>
      <c r="CH285" s="569"/>
      <c r="CI285" s="569"/>
      <c r="CJ285" s="569"/>
      <c r="CK285" s="569"/>
      <c r="CL285" s="569"/>
      <c r="CM285" s="569"/>
      <c r="CN285" s="569"/>
      <c r="CO285" s="569"/>
      <c r="CP285" s="569"/>
      <c r="CQ285" s="569"/>
      <c r="CR285" s="569"/>
      <c r="CS285" s="569"/>
      <c r="CT285" s="569"/>
      <c r="CU285" s="569"/>
      <c r="CV285" s="569"/>
      <c r="CW285" s="569"/>
      <c r="CX285" s="569"/>
      <c r="CY285" s="569"/>
      <c r="CZ285" s="569"/>
      <c r="DA285" s="569"/>
      <c r="DB285" s="569"/>
      <c r="DC285" s="569"/>
      <c r="DD285" s="569"/>
      <c r="DE285" s="569"/>
      <c r="DF285" s="569"/>
      <c r="DG285" s="569"/>
      <c r="DH285" s="569"/>
      <c r="DI285" s="569"/>
      <c r="DJ285" s="569"/>
      <c r="DK285" s="569"/>
      <c r="DL285" s="569"/>
      <c r="DM285" s="569"/>
      <c r="DN285" s="569"/>
      <c r="DO285" s="569"/>
      <c r="DP285" s="569"/>
      <c r="DQ285" s="569"/>
      <c r="DR285" s="569"/>
      <c r="DS285" s="569"/>
      <c r="DT285" s="569"/>
      <c r="DU285" s="569"/>
      <c r="DV285" s="569"/>
      <c r="DW285" s="569"/>
      <c r="DX285" s="569"/>
      <c r="DY285" s="569"/>
      <c r="DZ285" s="569"/>
      <c r="EA285" s="569"/>
      <c r="EB285" s="569"/>
      <c r="EC285" s="569"/>
      <c r="ED285" s="569"/>
      <c r="EE285" s="569"/>
      <c r="EF285" s="569"/>
      <c r="EG285" s="569"/>
      <c r="EH285" s="569"/>
      <c r="EI285" s="569"/>
      <c r="EJ285" s="569"/>
      <c r="EK285" s="569"/>
      <c r="EL285" s="569"/>
      <c r="EM285" s="569"/>
      <c r="EN285" s="569"/>
      <c r="EO285" s="569"/>
      <c r="EP285" s="569"/>
      <c r="EQ285" s="569"/>
      <c r="ER285" s="569"/>
      <c r="ES285" s="569"/>
      <c r="ET285" s="569"/>
      <c r="EU285" s="569"/>
      <c r="EV285" s="569"/>
      <c r="EW285" s="569"/>
      <c r="EX285" s="569"/>
      <c r="EY285" s="569"/>
      <c r="EZ285" s="569"/>
      <c r="FA285" s="569"/>
      <c r="FB285" s="569"/>
      <c r="FC285" s="569"/>
      <c r="FD285" s="569"/>
      <c r="FE285" s="569"/>
      <c r="FF285" s="569"/>
      <c r="FG285" s="569"/>
      <c r="FH285" s="569"/>
      <c r="FI285" s="569"/>
      <c r="FJ285" s="569"/>
      <c r="FK285" s="569"/>
      <c r="FL285" s="569"/>
      <c r="FM285" s="569"/>
      <c r="FN285" s="569"/>
      <c r="FO285" s="569"/>
      <c r="FP285" s="569"/>
      <c r="FQ285" s="569"/>
      <c r="FR285" s="569"/>
      <c r="FS285" s="569"/>
      <c r="FT285" s="569"/>
      <c r="FU285" s="569"/>
      <c r="FV285" s="569"/>
      <c r="FW285" s="569"/>
      <c r="FX285" s="569"/>
      <c r="FY285" s="569"/>
      <c r="FZ285" s="569"/>
      <c r="GA285" s="569"/>
      <c r="GB285" s="569"/>
      <c r="GC285" s="569"/>
      <c r="GD285" s="569"/>
      <c r="GE285" s="569"/>
      <c r="GF285" s="569"/>
      <c r="GG285" s="569"/>
      <c r="GH285" s="569"/>
      <c r="GI285" s="569"/>
      <c r="GJ285" s="569"/>
      <c r="GK285" s="569"/>
      <c r="GL285" s="569"/>
      <c r="GM285" s="569"/>
      <c r="GN285" s="569"/>
      <c r="GO285" s="569"/>
      <c r="GP285" s="569"/>
      <c r="GQ285" s="569"/>
      <c r="GR285" s="569"/>
      <c r="GS285" s="569"/>
      <c r="GT285" s="569"/>
    </row>
    <row r="286" spans="2:202" s="554" customFormat="1" ht="18" customHeight="1">
      <c r="B286" s="590"/>
      <c r="C286" s="1151"/>
      <c r="D286" s="1151"/>
      <c r="E286" s="1151"/>
      <c r="F286" s="1151"/>
      <c r="G286" s="1151"/>
      <c r="H286" s="1151"/>
      <c r="I286" s="1151"/>
      <c r="J286" s="1151"/>
      <c r="K286" s="1151"/>
      <c r="L286" s="1151"/>
      <c r="M286" s="590"/>
      <c r="N286" s="590"/>
      <c r="O286" s="590"/>
      <c r="P286" s="590"/>
      <c r="Q286" s="590"/>
      <c r="R286" s="590"/>
      <c r="S286" s="590"/>
      <c r="T286" s="590"/>
      <c r="U286" s="590"/>
      <c r="V286" s="590"/>
      <c r="W286" s="590"/>
      <c r="X286" s="590"/>
      <c r="Y286" s="590"/>
      <c r="Z286" s="590"/>
      <c r="AA286" s="590"/>
      <c r="AB286" s="590"/>
      <c r="AC286" s="590"/>
      <c r="AD286" s="590"/>
      <c r="AE286" s="590"/>
      <c r="AF286" s="590"/>
      <c r="AG286" s="590"/>
      <c r="AH286" s="569"/>
      <c r="AI286" s="569"/>
      <c r="AJ286" s="569"/>
      <c r="AK286" s="569"/>
      <c r="AL286" s="569"/>
      <c r="AM286" s="569"/>
      <c r="AN286" s="569"/>
      <c r="AO286" s="569"/>
      <c r="AP286" s="569"/>
      <c r="AQ286" s="569"/>
      <c r="AR286" s="569"/>
      <c r="AS286" s="569"/>
      <c r="AT286" s="569"/>
      <c r="AU286" s="569"/>
      <c r="AV286" s="569"/>
      <c r="AW286" s="569"/>
      <c r="AX286" s="569"/>
      <c r="AY286" s="569"/>
      <c r="AZ286" s="569"/>
      <c r="BA286" s="569"/>
      <c r="BB286" s="569"/>
      <c r="BC286" s="569"/>
      <c r="BD286" s="569"/>
      <c r="BE286" s="569"/>
      <c r="BF286" s="569"/>
      <c r="BG286" s="569"/>
      <c r="BH286" s="569"/>
      <c r="BI286" s="569"/>
      <c r="BJ286" s="569"/>
      <c r="BK286" s="569"/>
      <c r="BL286" s="569"/>
      <c r="BM286" s="569"/>
      <c r="BN286" s="569"/>
      <c r="BO286" s="569"/>
      <c r="BP286" s="569"/>
      <c r="BQ286" s="569"/>
      <c r="BR286" s="569"/>
      <c r="BS286" s="569"/>
      <c r="BT286" s="569"/>
      <c r="BU286" s="569"/>
      <c r="BV286" s="569"/>
      <c r="BW286" s="569"/>
      <c r="BX286" s="569"/>
      <c r="BY286" s="569"/>
      <c r="BZ286" s="569"/>
      <c r="CA286" s="569"/>
      <c r="CB286" s="569"/>
      <c r="CC286" s="569"/>
      <c r="CD286" s="569"/>
      <c r="CE286" s="569"/>
      <c r="CF286" s="569"/>
      <c r="CG286" s="569"/>
      <c r="CH286" s="569"/>
      <c r="CI286" s="569"/>
      <c r="CJ286" s="569"/>
      <c r="CK286" s="569"/>
      <c r="CL286" s="569"/>
      <c r="CM286" s="569"/>
      <c r="CN286" s="569"/>
      <c r="CO286" s="569"/>
      <c r="CP286" s="569"/>
      <c r="CQ286" s="569"/>
      <c r="CR286" s="569"/>
      <c r="CS286" s="569"/>
      <c r="CT286" s="569"/>
      <c r="CU286" s="569"/>
      <c r="CV286" s="569"/>
      <c r="CW286" s="569"/>
      <c r="CX286" s="569"/>
      <c r="CY286" s="569"/>
      <c r="CZ286" s="569"/>
      <c r="DA286" s="569"/>
      <c r="DB286" s="569"/>
      <c r="DC286" s="569"/>
      <c r="DD286" s="569"/>
      <c r="DE286" s="569"/>
      <c r="DF286" s="569"/>
      <c r="DG286" s="569"/>
      <c r="DH286" s="569"/>
      <c r="DI286" s="569"/>
      <c r="DJ286" s="569"/>
      <c r="DK286" s="569"/>
      <c r="DL286" s="569"/>
      <c r="DM286" s="569"/>
      <c r="DN286" s="569"/>
      <c r="DO286" s="569"/>
      <c r="DP286" s="569"/>
      <c r="DQ286" s="569"/>
      <c r="DR286" s="569"/>
      <c r="DS286" s="569"/>
      <c r="DT286" s="569"/>
      <c r="DU286" s="569"/>
      <c r="DV286" s="569"/>
      <c r="DW286" s="569"/>
      <c r="DX286" s="569"/>
      <c r="DY286" s="569"/>
      <c r="DZ286" s="569"/>
      <c r="EA286" s="569"/>
      <c r="EB286" s="569"/>
      <c r="EC286" s="569"/>
      <c r="ED286" s="569"/>
      <c r="EE286" s="569"/>
      <c r="EF286" s="569"/>
      <c r="EG286" s="569"/>
      <c r="EH286" s="569"/>
      <c r="EI286" s="569"/>
      <c r="EJ286" s="569"/>
      <c r="EK286" s="569"/>
      <c r="EL286" s="569"/>
      <c r="EM286" s="569"/>
      <c r="EN286" s="569"/>
      <c r="EO286" s="569"/>
      <c r="EP286" s="569"/>
      <c r="EQ286" s="569"/>
      <c r="ER286" s="569"/>
      <c r="ES286" s="569"/>
      <c r="ET286" s="569"/>
      <c r="EU286" s="569"/>
      <c r="EV286" s="569"/>
      <c r="EW286" s="569"/>
      <c r="EX286" s="569"/>
      <c r="EY286" s="569"/>
      <c r="EZ286" s="569"/>
      <c r="FA286" s="569"/>
      <c r="FB286" s="569"/>
      <c r="FC286" s="569"/>
      <c r="FD286" s="569"/>
      <c r="FE286" s="569"/>
      <c r="FF286" s="569"/>
      <c r="FG286" s="569"/>
      <c r="FH286" s="569"/>
      <c r="FI286" s="569"/>
      <c r="FJ286" s="569"/>
      <c r="FK286" s="569"/>
      <c r="FL286" s="569"/>
      <c r="FM286" s="569"/>
      <c r="FN286" s="569"/>
      <c r="FO286" s="569"/>
      <c r="FP286" s="569"/>
      <c r="FQ286" s="569"/>
      <c r="FR286" s="569"/>
      <c r="FS286" s="569"/>
      <c r="FT286" s="569"/>
      <c r="FU286" s="569"/>
      <c r="FV286" s="569"/>
      <c r="FW286" s="569"/>
      <c r="FX286" s="569"/>
      <c r="FY286" s="569"/>
      <c r="FZ286" s="569"/>
      <c r="GA286" s="569"/>
      <c r="GB286" s="569"/>
      <c r="GC286" s="569"/>
      <c r="GD286" s="569"/>
      <c r="GE286" s="569"/>
      <c r="GF286" s="569"/>
      <c r="GG286" s="569"/>
      <c r="GH286" s="569"/>
      <c r="GI286" s="569"/>
      <c r="GJ286" s="569"/>
      <c r="GK286" s="569"/>
      <c r="GL286" s="569"/>
      <c r="GM286" s="569"/>
      <c r="GN286" s="569"/>
      <c r="GO286" s="569"/>
      <c r="GP286" s="569"/>
      <c r="GQ286" s="569"/>
      <c r="GR286" s="569"/>
      <c r="GS286" s="569"/>
      <c r="GT286" s="569"/>
    </row>
    <row r="287" spans="2:202" s="554" customFormat="1" ht="18" customHeight="1">
      <c r="B287" s="590"/>
      <c r="C287" s="1151"/>
      <c r="D287" s="1151"/>
      <c r="E287" s="1151"/>
      <c r="F287" s="1151"/>
      <c r="G287" s="1151"/>
      <c r="H287" s="1151"/>
      <c r="I287" s="1151"/>
      <c r="J287" s="1151"/>
      <c r="K287" s="1151"/>
      <c r="L287" s="1151"/>
      <c r="M287" s="590"/>
      <c r="N287" s="590"/>
      <c r="O287" s="590"/>
      <c r="P287" s="590"/>
      <c r="Q287" s="590"/>
      <c r="R287" s="590"/>
      <c r="S287" s="590"/>
      <c r="T287" s="590"/>
      <c r="U287" s="590"/>
      <c r="V287" s="590"/>
      <c r="W287" s="590"/>
      <c r="X287" s="590"/>
      <c r="Y287" s="590"/>
      <c r="Z287" s="590"/>
      <c r="AA287" s="590"/>
      <c r="AB287" s="590"/>
      <c r="AC287" s="590"/>
      <c r="AD287" s="590"/>
      <c r="AE287" s="590"/>
      <c r="AF287" s="590"/>
      <c r="AG287" s="590"/>
      <c r="AH287" s="569"/>
      <c r="AI287" s="569"/>
      <c r="AJ287" s="569"/>
      <c r="AK287" s="569"/>
      <c r="AL287" s="569"/>
      <c r="AM287" s="569"/>
      <c r="AN287" s="569"/>
      <c r="AO287" s="569"/>
      <c r="AP287" s="569"/>
      <c r="AQ287" s="569"/>
      <c r="AR287" s="569"/>
      <c r="AS287" s="569"/>
      <c r="AT287" s="569"/>
      <c r="AU287" s="569"/>
      <c r="AV287" s="569"/>
      <c r="AW287" s="569"/>
      <c r="AX287" s="569"/>
      <c r="AY287" s="569"/>
      <c r="AZ287" s="569"/>
      <c r="BA287" s="569"/>
      <c r="BB287" s="569"/>
      <c r="BC287" s="569"/>
      <c r="BD287" s="569"/>
      <c r="BE287" s="569"/>
      <c r="BF287" s="569"/>
      <c r="BG287" s="569"/>
      <c r="BH287" s="569"/>
      <c r="BI287" s="569"/>
      <c r="BJ287" s="569"/>
      <c r="BK287" s="569"/>
      <c r="BL287" s="569"/>
      <c r="BM287" s="569"/>
      <c r="BN287" s="569"/>
      <c r="BO287" s="569"/>
      <c r="BP287" s="569"/>
      <c r="BQ287" s="569"/>
      <c r="BR287" s="569"/>
      <c r="BS287" s="569"/>
      <c r="BT287" s="569"/>
      <c r="BU287" s="569"/>
      <c r="BV287" s="569"/>
      <c r="BW287" s="569"/>
      <c r="BX287" s="569"/>
      <c r="BY287" s="569"/>
      <c r="BZ287" s="569"/>
      <c r="CA287" s="569"/>
      <c r="CB287" s="569"/>
      <c r="CC287" s="569"/>
      <c r="CD287" s="569"/>
      <c r="CE287" s="569"/>
      <c r="CF287" s="569"/>
      <c r="CG287" s="569"/>
      <c r="CH287" s="569"/>
      <c r="CI287" s="569"/>
      <c r="CJ287" s="569"/>
      <c r="CK287" s="569"/>
      <c r="CL287" s="569"/>
      <c r="CM287" s="569"/>
      <c r="CN287" s="569"/>
      <c r="CO287" s="569"/>
      <c r="CP287" s="569"/>
      <c r="CQ287" s="569"/>
      <c r="CR287" s="569"/>
      <c r="CS287" s="569"/>
      <c r="CT287" s="569"/>
      <c r="CU287" s="569"/>
      <c r="CV287" s="569"/>
      <c r="CW287" s="569"/>
      <c r="CX287" s="569"/>
      <c r="CY287" s="569"/>
      <c r="CZ287" s="569"/>
      <c r="DA287" s="569"/>
      <c r="DB287" s="569"/>
      <c r="DC287" s="569"/>
      <c r="DD287" s="569"/>
      <c r="DE287" s="569"/>
      <c r="DF287" s="569"/>
      <c r="DG287" s="569"/>
      <c r="DH287" s="569"/>
      <c r="DI287" s="569"/>
      <c r="DJ287" s="569"/>
      <c r="DK287" s="569"/>
      <c r="DL287" s="569"/>
      <c r="DM287" s="569"/>
      <c r="DN287" s="569"/>
      <c r="DO287" s="569"/>
      <c r="DP287" s="569"/>
      <c r="DQ287" s="569"/>
      <c r="DR287" s="569"/>
      <c r="DS287" s="569"/>
      <c r="DT287" s="569"/>
      <c r="DU287" s="569"/>
      <c r="DV287" s="569"/>
      <c r="DW287" s="569"/>
      <c r="DX287" s="569"/>
      <c r="DY287" s="569"/>
      <c r="DZ287" s="569"/>
      <c r="EA287" s="569"/>
      <c r="EB287" s="569"/>
      <c r="EC287" s="569"/>
      <c r="ED287" s="569"/>
      <c r="EE287" s="569"/>
      <c r="EF287" s="569"/>
      <c r="EG287" s="569"/>
      <c r="EH287" s="569"/>
      <c r="EI287" s="569"/>
      <c r="EJ287" s="569"/>
      <c r="EK287" s="569"/>
      <c r="EL287" s="569"/>
      <c r="EM287" s="569"/>
      <c r="EN287" s="569"/>
      <c r="EO287" s="569"/>
      <c r="EP287" s="569"/>
      <c r="EQ287" s="569"/>
      <c r="ER287" s="569"/>
      <c r="ES287" s="569"/>
      <c r="ET287" s="569"/>
      <c r="EU287" s="569"/>
      <c r="EV287" s="569"/>
      <c r="EW287" s="569"/>
      <c r="EX287" s="569"/>
      <c r="EY287" s="569"/>
      <c r="EZ287" s="569"/>
      <c r="FA287" s="569"/>
      <c r="FB287" s="569"/>
      <c r="FC287" s="569"/>
      <c r="FD287" s="569"/>
      <c r="FE287" s="569"/>
      <c r="FF287" s="569"/>
      <c r="FG287" s="569"/>
      <c r="FH287" s="569"/>
      <c r="FI287" s="569"/>
      <c r="FJ287" s="569"/>
      <c r="FK287" s="569"/>
      <c r="FL287" s="569"/>
      <c r="FM287" s="569"/>
      <c r="FN287" s="569"/>
      <c r="FO287" s="569"/>
      <c r="FP287" s="569"/>
      <c r="FQ287" s="569"/>
      <c r="FR287" s="569"/>
      <c r="FS287" s="569"/>
      <c r="FT287" s="569"/>
      <c r="FU287" s="569"/>
      <c r="FV287" s="569"/>
      <c r="FW287" s="569"/>
      <c r="FX287" s="569"/>
      <c r="FY287" s="569"/>
      <c r="FZ287" s="569"/>
      <c r="GA287" s="569"/>
      <c r="GB287" s="569"/>
      <c r="GC287" s="569"/>
      <c r="GD287" s="569"/>
      <c r="GE287" s="569"/>
      <c r="GF287" s="569"/>
      <c r="GG287" s="569"/>
      <c r="GH287" s="569"/>
      <c r="GI287" s="569"/>
      <c r="GJ287" s="569"/>
      <c r="GK287" s="569"/>
      <c r="GL287" s="569"/>
      <c r="GM287" s="569"/>
      <c r="GN287" s="569"/>
      <c r="GO287" s="569"/>
      <c r="GP287" s="569"/>
      <c r="GQ287" s="569"/>
      <c r="GR287" s="569"/>
      <c r="GS287" s="569"/>
      <c r="GT287" s="569"/>
    </row>
    <row r="288" spans="2:202" s="554" customFormat="1" ht="18" customHeight="1">
      <c r="B288" s="590"/>
      <c r="C288" s="1151"/>
      <c r="D288" s="1151"/>
      <c r="E288" s="1151"/>
      <c r="F288" s="1151"/>
      <c r="G288" s="1151"/>
      <c r="H288" s="1151"/>
      <c r="I288" s="1151"/>
      <c r="J288" s="1151"/>
      <c r="K288" s="1151"/>
      <c r="L288" s="1151"/>
      <c r="M288" s="590"/>
      <c r="N288" s="590"/>
      <c r="O288" s="590"/>
      <c r="P288" s="590"/>
      <c r="Q288" s="590"/>
      <c r="R288" s="590"/>
      <c r="S288" s="590"/>
      <c r="T288" s="590"/>
      <c r="U288" s="590"/>
      <c r="V288" s="590"/>
      <c r="W288" s="590"/>
      <c r="X288" s="590"/>
      <c r="Y288" s="590"/>
      <c r="Z288" s="590"/>
      <c r="AA288" s="590"/>
      <c r="AB288" s="590"/>
      <c r="AC288" s="590"/>
      <c r="AD288" s="590"/>
      <c r="AE288" s="590"/>
      <c r="AF288" s="590"/>
      <c r="AG288" s="590"/>
      <c r="AH288" s="569"/>
      <c r="AI288" s="569"/>
      <c r="AJ288" s="569"/>
      <c r="AK288" s="569"/>
      <c r="AL288" s="569"/>
      <c r="AM288" s="569"/>
      <c r="AN288" s="569"/>
      <c r="AO288" s="569"/>
      <c r="AP288" s="569"/>
      <c r="AQ288" s="569"/>
      <c r="AR288" s="569"/>
      <c r="AS288" s="569"/>
      <c r="AT288" s="569"/>
      <c r="AU288" s="569"/>
      <c r="AV288" s="569"/>
      <c r="AW288" s="569"/>
      <c r="AX288" s="569"/>
      <c r="AY288" s="569"/>
      <c r="AZ288" s="569"/>
      <c r="BA288" s="569"/>
      <c r="BB288" s="569"/>
      <c r="BC288" s="569"/>
      <c r="BD288" s="569"/>
      <c r="BE288" s="569"/>
      <c r="BF288" s="569"/>
      <c r="BG288" s="569"/>
      <c r="BH288" s="569"/>
      <c r="BI288" s="569"/>
      <c r="BJ288" s="569"/>
      <c r="BK288" s="569"/>
      <c r="BL288" s="569"/>
      <c r="BM288" s="569"/>
      <c r="BN288" s="569"/>
      <c r="BO288" s="569"/>
      <c r="BP288" s="569"/>
      <c r="BQ288" s="569"/>
      <c r="BR288" s="569"/>
      <c r="BS288" s="569"/>
      <c r="BT288" s="569"/>
      <c r="BU288" s="569"/>
      <c r="BV288" s="569"/>
      <c r="BW288" s="569"/>
      <c r="BX288" s="569"/>
      <c r="BY288" s="569"/>
      <c r="BZ288" s="569"/>
      <c r="CA288" s="569"/>
      <c r="CB288" s="569"/>
      <c r="CC288" s="569"/>
      <c r="CD288" s="569"/>
      <c r="CE288" s="569"/>
      <c r="CF288" s="569"/>
      <c r="CG288" s="569"/>
      <c r="CH288" s="569"/>
      <c r="CI288" s="569"/>
      <c r="CJ288" s="569"/>
      <c r="CK288" s="569"/>
      <c r="CL288" s="569"/>
      <c r="CM288" s="569"/>
      <c r="CN288" s="569"/>
      <c r="CO288" s="569"/>
      <c r="CP288" s="569"/>
      <c r="CQ288" s="569"/>
      <c r="CR288" s="569"/>
      <c r="CS288" s="569"/>
      <c r="CT288" s="569"/>
      <c r="CU288" s="569"/>
      <c r="CV288" s="569"/>
      <c r="CW288" s="569"/>
      <c r="CX288" s="569"/>
      <c r="CY288" s="569"/>
      <c r="CZ288" s="569"/>
      <c r="DA288" s="569"/>
      <c r="DB288" s="569"/>
      <c r="DC288" s="569"/>
      <c r="DD288" s="569"/>
      <c r="DE288" s="569"/>
      <c r="DF288" s="569"/>
      <c r="DG288" s="569"/>
      <c r="DH288" s="569"/>
      <c r="DI288" s="569"/>
      <c r="DJ288" s="569"/>
      <c r="DK288" s="569"/>
      <c r="DL288" s="569"/>
      <c r="DM288" s="569"/>
      <c r="DN288" s="569"/>
      <c r="DO288" s="569"/>
      <c r="DP288" s="569"/>
      <c r="DQ288" s="569"/>
      <c r="DR288" s="569"/>
      <c r="DS288" s="569"/>
      <c r="DT288" s="569"/>
      <c r="DU288" s="569"/>
      <c r="DV288" s="569"/>
      <c r="DW288" s="569"/>
      <c r="DX288" s="569"/>
      <c r="DY288" s="569"/>
      <c r="DZ288" s="569"/>
      <c r="EA288" s="569"/>
      <c r="EB288" s="569"/>
      <c r="EC288" s="569"/>
      <c r="ED288" s="569"/>
      <c r="EE288" s="569"/>
      <c r="EF288" s="569"/>
      <c r="EG288" s="569"/>
      <c r="EH288" s="569"/>
      <c r="EI288" s="569"/>
      <c r="EJ288" s="569"/>
      <c r="EK288" s="569"/>
      <c r="EL288" s="569"/>
      <c r="EM288" s="569"/>
      <c r="EN288" s="569"/>
      <c r="EO288" s="569"/>
      <c r="EP288" s="569"/>
      <c r="EQ288" s="569"/>
      <c r="ER288" s="569"/>
      <c r="ES288" s="569"/>
      <c r="ET288" s="569"/>
      <c r="EU288" s="569"/>
      <c r="EV288" s="569"/>
      <c r="EW288" s="569"/>
      <c r="EX288" s="569"/>
      <c r="EY288" s="569"/>
      <c r="EZ288" s="569"/>
      <c r="FA288" s="569"/>
      <c r="FB288" s="569"/>
      <c r="FC288" s="569"/>
      <c r="FD288" s="569"/>
      <c r="FE288" s="569"/>
      <c r="FF288" s="569"/>
      <c r="FG288" s="569"/>
      <c r="FH288" s="569"/>
      <c r="FI288" s="569"/>
      <c r="FJ288" s="569"/>
      <c r="FK288" s="569"/>
      <c r="FL288" s="569"/>
      <c r="FM288" s="569"/>
      <c r="FN288" s="569"/>
      <c r="FO288" s="569"/>
      <c r="FP288" s="569"/>
      <c r="FQ288" s="569"/>
      <c r="FR288" s="569"/>
      <c r="FS288" s="569"/>
      <c r="FT288" s="569"/>
      <c r="FU288" s="569"/>
      <c r="FV288" s="569"/>
      <c r="FW288" s="569"/>
      <c r="FX288" s="569"/>
      <c r="FY288" s="569"/>
      <c r="FZ288" s="569"/>
      <c r="GA288" s="569"/>
      <c r="GB288" s="569"/>
      <c r="GC288" s="569"/>
      <c r="GD288" s="569"/>
      <c r="GE288" s="569"/>
      <c r="GF288" s="569"/>
      <c r="GG288" s="569"/>
      <c r="GH288" s="569"/>
      <c r="GI288" s="569"/>
      <c r="GJ288" s="569"/>
      <c r="GK288" s="569"/>
      <c r="GL288" s="569"/>
      <c r="GM288" s="569"/>
      <c r="GN288" s="569"/>
      <c r="GO288" s="569"/>
      <c r="GP288" s="569"/>
      <c r="GQ288" s="569"/>
      <c r="GR288" s="569"/>
      <c r="GS288" s="569"/>
      <c r="GT288" s="569"/>
    </row>
    <row r="289" spans="2:202" s="554" customFormat="1" ht="18" customHeight="1">
      <c r="B289" s="590"/>
      <c r="C289" s="1151"/>
      <c r="D289" s="1151"/>
      <c r="E289" s="1151"/>
      <c r="F289" s="1151"/>
      <c r="G289" s="1151"/>
      <c r="H289" s="1151"/>
      <c r="I289" s="1151"/>
      <c r="J289" s="1151"/>
      <c r="K289" s="1151"/>
      <c r="L289" s="1151"/>
      <c r="M289" s="590"/>
      <c r="N289" s="590"/>
      <c r="O289" s="590"/>
      <c r="P289" s="590"/>
      <c r="Q289" s="590"/>
      <c r="R289" s="590"/>
      <c r="S289" s="590"/>
      <c r="T289" s="590"/>
      <c r="U289" s="590"/>
      <c r="V289" s="590"/>
      <c r="W289" s="590"/>
      <c r="X289" s="590"/>
      <c r="Y289" s="590"/>
      <c r="Z289" s="590"/>
      <c r="AA289" s="590"/>
      <c r="AB289" s="590"/>
      <c r="AC289" s="590"/>
      <c r="AD289" s="590"/>
      <c r="AE289" s="590"/>
      <c r="AF289" s="590"/>
      <c r="AG289" s="590"/>
      <c r="AH289" s="569"/>
      <c r="AI289" s="569"/>
      <c r="AJ289" s="569"/>
      <c r="AK289" s="569"/>
      <c r="AL289" s="569"/>
      <c r="AM289" s="569"/>
      <c r="AN289" s="569"/>
      <c r="AO289" s="569"/>
      <c r="AP289" s="569"/>
      <c r="AQ289" s="569"/>
      <c r="AR289" s="569"/>
      <c r="AS289" s="569"/>
      <c r="AT289" s="569"/>
      <c r="AU289" s="569"/>
      <c r="AV289" s="569"/>
      <c r="AW289" s="569"/>
      <c r="AX289" s="569"/>
      <c r="AY289" s="569"/>
      <c r="AZ289" s="569"/>
      <c r="BA289" s="569"/>
      <c r="BB289" s="569"/>
      <c r="BC289" s="569"/>
      <c r="BD289" s="569"/>
      <c r="BE289" s="569"/>
      <c r="BF289" s="569"/>
      <c r="BG289" s="569"/>
      <c r="BH289" s="569"/>
      <c r="BI289" s="569"/>
      <c r="BJ289" s="569"/>
      <c r="BK289" s="569"/>
      <c r="BL289" s="569"/>
      <c r="BM289" s="569"/>
      <c r="BN289" s="569"/>
      <c r="BO289" s="569"/>
      <c r="BP289" s="569"/>
      <c r="BQ289" s="569"/>
      <c r="BR289" s="569"/>
      <c r="BS289" s="569"/>
      <c r="BT289" s="569"/>
      <c r="BU289" s="569"/>
      <c r="BV289" s="569"/>
      <c r="BW289" s="569"/>
      <c r="BX289" s="569"/>
      <c r="BY289" s="569"/>
      <c r="BZ289" s="569"/>
      <c r="CA289" s="569"/>
      <c r="CB289" s="569"/>
      <c r="CC289" s="569"/>
      <c r="CD289" s="569"/>
      <c r="CE289" s="569"/>
      <c r="CF289" s="569"/>
      <c r="CG289" s="569"/>
      <c r="CH289" s="569"/>
      <c r="CI289" s="569"/>
      <c r="CJ289" s="569"/>
      <c r="CK289" s="569"/>
      <c r="CL289" s="569"/>
      <c r="CM289" s="569"/>
      <c r="CN289" s="569"/>
      <c r="CO289" s="569"/>
      <c r="CP289" s="569"/>
      <c r="CQ289" s="569"/>
      <c r="CR289" s="569"/>
      <c r="CS289" s="569"/>
      <c r="CT289" s="569"/>
      <c r="CU289" s="569"/>
      <c r="CV289" s="569"/>
      <c r="CW289" s="569"/>
      <c r="CX289" s="569"/>
      <c r="CY289" s="569"/>
      <c r="CZ289" s="569"/>
      <c r="DA289" s="569"/>
      <c r="DB289" s="569"/>
      <c r="DC289" s="569"/>
      <c r="DD289" s="569"/>
      <c r="DE289" s="569"/>
      <c r="DF289" s="569"/>
      <c r="DG289" s="569"/>
      <c r="DH289" s="569"/>
      <c r="DI289" s="569"/>
      <c r="DJ289" s="569"/>
      <c r="DK289" s="569"/>
      <c r="DL289" s="569"/>
      <c r="DM289" s="569"/>
      <c r="DN289" s="569"/>
      <c r="DO289" s="569"/>
      <c r="DP289" s="569"/>
      <c r="DQ289" s="569"/>
      <c r="DR289" s="569"/>
      <c r="DS289" s="569"/>
      <c r="DT289" s="569"/>
      <c r="DU289" s="569"/>
      <c r="DV289" s="569"/>
      <c r="DW289" s="569"/>
      <c r="DX289" s="569"/>
      <c r="DY289" s="569"/>
      <c r="DZ289" s="569"/>
      <c r="EA289" s="569"/>
      <c r="EB289" s="569"/>
      <c r="EC289" s="569"/>
      <c r="ED289" s="569"/>
      <c r="EE289" s="569"/>
      <c r="EF289" s="569"/>
      <c r="EG289" s="569"/>
      <c r="EH289" s="569"/>
      <c r="EI289" s="569"/>
      <c r="EJ289" s="569"/>
      <c r="EK289" s="569"/>
      <c r="EL289" s="569"/>
      <c r="EM289" s="569"/>
      <c r="EN289" s="569"/>
      <c r="EO289" s="569"/>
      <c r="EP289" s="569"/>
      <c r="EQ289" s="569"/>
      <c r="ER289" s="569"/>
      <c r="ES289" s="569"/>
      <c r="ET289" s="569"/>
      <c r="EU289" s="569"/>
      <c r="EV289" s="569"/>
      <c r="EW289" s="569"/>
      <c r="EX289" s="569"/>
      <c r="EY289" s="569"/>
      <c r="EZ289" s="569"/>
      <c r="FA289" s="569"/>
      <c r="FB289" s="569"/>
      <c r="FC289" s="569"/>
      <c r="FD289" s="569"/>
      <c r="FE289" s="569"/>
      <c r="FF289" s="569"/>
      <c r="FG289" s="569"/>
      <c r="FH289" s="569"/>
      <c r="FI289" s="569"/>
      <c r="FJ289" s="569"/>
      <c r="FK289" s="569"/>
      <c r="FL289" s="569"/>
      <c r="FM289" s="569"/>
      <c r="FN289" s="569"/>
      <c r="FO289" s="569"/>
      <c r="FP289" s="569"/>
      <c r="FQ289" s="569"/>
      <c r="FR289" s="569"/>
      <c r="FS289" s="569"/>
      <c r="FT289" s="569"/>
      <c r="FU289" s="569"/>
      <c r="FV289" s="569"/>
      <c r="FW289" s="569"/>
      <c r="FX289" s="569"/>
      <c r="FY289" s="569"/>
      <c r="FZ289" s="569"/>
      <c r="GA289" s="569"/>
      <c r="GB289" s="569"/>
      <c r="GC289" s="569"/>
      <c r="GD289" s="569"/>
      <c r="GE289" s="569"/>
      <c r="GF289" s="569"/>
      <c r="GG289" s="569"/>
      <c r="GH289" s="569"/>
      <c r="GI289" s="569"/>
      <c r="GJ289" s="569"/>
      <c r="GK289" s="569"/>
      <c r="GL289" s="569"/>
      <c r="GM289" s="569"/>
      <c r="GN289" s="569"/>
      <c r="GO289" s="569"/>
      <c r="GP289" s="569"/>
      <c r="GQ289" s="569"/>
      <c r="GR289" s="569"/>
      <c r="GS289" s="569"/>
      <c r="GT289" s="569"/>
    </row>
    <row r="290" spans="2:202" s="554" customFormat="1" ht="18" customHeight="1">
      <c r="B290" s="590"/>
      <c r="C290" s="1151"/>
      <c r="D290" s="1151"/>
      <c r="E290" s="1151"/>
      <c r="F290" s="1151"/>
      <c r="G290" s="1151"/>
      <c r="H290" s="1151"/>
      <c r="I290" s="1151"/>
      <c r="J290" s="1151"/>
      <c r="K290" s="1151"/>
      <c r="L290" s="1151"/>
      <c r="M290" s="590"/>
      <c r="N290" s="590"/>
      <c r="O290" s="590"/>
      <c r="P290" s="590"/>
      <c r="Q290" s="590"/>
      <c r="R290" s="590"/>
      <c r="S290" s="590"/>
      <c r="T290" s="590"/>
      <c r="U290" s="590"/>
      <c r="V290" s="590"/>
      <c r="W290" s="590"/>
      <c r="X290" s="590"/>
      <c r="Y290" s="590"/>
      <c r="Z290" s="590"/>
      <c r="AA290" s="590"/>
      <c r="AB290" s="590"/>
      <c r="AC290" s="590"/>
      <c r="AD290" s="590"/>
      <c r="AE290" s="590"/>
      <c r="AF290" s="590"/>
      <c r="AG290" s="590"/>
      <c r="AH290" s="569"/>
      <c r="AI290" s="569"/>
      <c r="AJ290" s="569"/>
      <c r="AK290" s="569"/>
      <c r="AL290" s="569"/>
      <c r="AM290" s="569"/>
      <c r="AN290" s="569"/>
      <c r="AO290" s="569"/>
      <c r="AP290" s="569"/>
      <c r="AQ290" s="569"/>
      <c r="AR290" s="569"/>
      <c r="AS290" s="569"/>
      <c r="AT290" s="569"/>
      <c r="AU290" s="569"/>
      <c r="AV290" s="569"/>
      <c r="AW290" s="569"/>
      <c r="AX290" s="569"/>
      <c r="AY290" s="569"/>
      <c r="AZ290" s="569"/>
      <c r="BA290" s="569"/>
      <c r="BB290" s="569"/>
      <c r="BC290" s="569"/>
      <c r="BD290" s="569"/>
      <c r="BE290" s="569"/>
      <c r="BF290" s="569"/>
      <c r="BG290" s="569"/>
      <c r="BH290" s="569"/>
      <c r="BI290" s="569"/>
      <c r="BJ290" s="569"/>
      <c r="BK290" s="569"/>
      <c r="BL290" s="569"/>
      <c r="BM290" s="569"/>
      <c r="BN290" s="569"/>
      <c r="BO290" s="569"/>
      <c r="BP290" s="569"/>
      <c r="BQ290" s="569"/>
      <c r="BR290" s="569"/>
      <c r="BS290" s="569"/>
      <c r="BT290" s="569"/>
      <c r="BU290" s="569"/>
      <c r="BV290" s="569"/>
      <c r="BW290" s="569"/>
      <c r="BX290" s="569"/>
      <c r="BY290" s="569"/>
      <c r="BZ290" s="569"/>
      <c r="CA290" s="569"/>
      <c r="CB290" s="569"/>
      <c r="CC290" s="569"/>
      <c r="CD290" s="569"/>
      <c r="CE290" s="569"/>
      <c r="CF290" s="569"/>
      <c r="CG290" s="569"/>
      <c r="CH290" s="569"/>
      <c r="CI290" s="569"/>
      <c r="CJ290" s="569"/>
      <c r="CK290" s="569"/>
      <c r="CL290" s="569"/>
      <c r="CM290" s="569"/>
      <c r="CN290" s="569"/>
      <c r="CO290" s="569"/>
      <c r="CP290" s="569"/>
      <c r="CQ290" s="569"/>
      <c r="CR290" s="569"/>
      <c r="CS290" s="569"/>
      <c r="CT290" s="569"/>
      <c r="CU290" s="569"/>
      <c r="CV290" s="569"/>
      <c r="CW290" s="569"/>
      <c r="CX290" s="569"/>
      <c r="CY290" s="569"/>
      <c r="CZ290" s="569"/>
      <c r="DA290" s="569"/>
      <c r="DB290" s="569"/>
      <c r="DC290" s="569"/>
      <c r="DD290" s="569"/>
      <c r="DE290" s="569"/>
      <c r="DF290" s="569"/>
      <c r="DG290" s="569"/>
      <c r="DH290" s="569"/>
      <c r="DI290" s="569"/>
      <c r="DJ290" s="569"/>
      <c r="DK290" s="569"/>
      <c r="DL290" s="569"/>
      <c r="DM290" s="569"/>
      <c r="DN290" s="569"/>
      <c r="DO290" s="569"/>
      <c r="DP290" s="569"/>
      <c r="DQ290" s="569"/>
      <c r="DR290" s="569"/>
      <c r="DS290" s="569"/>
      <c r="DT290" s="569"/>
      <c r="DU290" s="569"/>
      <c r="DV290" s="569"/>
      <c r="DW290" s="569"/>
      <c r="DX290" s="569"/>
      <c r="DY290" s="569"/>
      <c r="DZ290" s="569"/>
      <c r="EA290" s="569"/>
      <c r="EB290" s="569"/>
      <c r="EC290" s="569"/>
      <c r="ED290" s="569"/>
      <c r="EE290" s="569"/>
      <c r="EF290" s="569"/>
      <c r="EG290" s="569"/>
      <c r="EH290" s="569"/>
      <c r="EI290" s="569"/>
      <c r="EJ290" s="569"/>
      <c r="EK290" s="569"/>
      <c r="EL290" s="569"/>
      <c r="EM290" s="569"/>
      <c r="EN290" s="569"/>
      <c r="EO290" s="569"/>
      <c r="EP290" s="569"/>
      <c r="EQ290" s="569"/>
      <c r="ER290" s="569"/>
      <c r="ES290" s="569"/>
      <c r="ET290" s="569"/>
      <c r="EU290" s="569"/>
      <c r="EV290" s="569"/>
      <c r="EW290" s="569"/>
      <c r="EX290" s="569"/>
      <c r="EY290" s="569"/>
      <c r="EZ290" s="569"/>
      <c r="FA290" s="569"/>
      <c r="FB290" s="569"/>
      <c r="FC290" s="569"/>
      <c r="FD290" s="569"/>
      <c r="FE290" s="569"/>
      <c r="FF290" s="569"/>
      <c r="FG290" s="569"/>
      <c r="FH290" s="569"/>
      <c r="FI290" s="569"/>
      <c r="FJ290" s="569"/>
      <c r="FK290" s="569"/>
      <c r="FL290" s="569"/>
      <c r="FM290" s="569"/>
      <c r="FN290" s="569"/>
      <c r="FO290" s="569"/>
      <c r="FP290" s="569"/>
      <c r="FQ290" s="569"/>
      <c r="FR290" s="569"/>
      <c r="FS290" s="569"/>
      <c r="FT290" s="569"/>
      <c r="FU290" s="569"/>
      <c r="FV290" s="569"/>
      <c r="FW290" s="569"/>
      <c r="FX290" s="569"/>
      <c r="FY290" s="569"/>
      <c r="FZ290" s="569"/>
      <c r="GA290" s="569"/>
      <c r="GB290" s="569"/>
      <c r="GC290" s="569"/>
      <c r="GD290" s="569"/>
      <c r="GE290" s="569"/>
      <c r="GF290" s="569"/>
      <c r="GG290" s="569"/>
      <c r="GH290" s="569"/>
      <c r="GI290" s="569"/>
      <c r="GJ290" s="569"/>
      <c r="GK290" s="569"/>
      <c r="GL290" s="569"/>
      <c r="GM290" s="569"/>
      <c r="GN290" s="569"/>
      <c r="GO290" s="569"/>
      <c r="GP290" s="569"/>
      <c r="GQ290" s="569"/>
      <c r="GR290" s="569"/>
      <c r="GS290" s="569"/>
      <c r="GT290" s="569"/>
    </row>
    <row r="291" spans="2:202" s="554" customFormat="1" ht="18" customHeight="1">
      <c r="B291" s="590"/>
      <c r="C291" s="1151"/>
      <c r="D291" s="1151"/>
      <c r="E291" s="1151"/>
      <c r="F291" s="1151"/>
      <c r="G291" s="1151"/>
      <c r="H291" s="1151"/>
      <c r="I291" s="1151"/>
      <c r="J291" s="1151"/>
      <c r="K291" s="1151"/>
      <c r="L291" s="1151"/>
      <c r="M291" s="590"/>
      <c r="N291" s="590"/>
      <c r="O291" s="590"/>
      <c r="P291" s="590"/>
      <c r="Q291" s="590"/>
      <c r="R291" s="590"/>
      <c r="S291" s="590"/>
      <c r="T291" s="590"/>
      <c r="U291" s="590"/>
      <c r="V291" s="590"/>
      <c r="W291" s="590"/>
      <c r="X291" s="590"/>
      <c r="Y291" s="590"/>
      <c r="Z291" s="590"/>
      <c r="AA291" s="590"/>
      <c r="AB291" s="590"/>
      <c r="AC291" s="590"/>
      <c r="AD291" s="590"/>
      <c r="AE291" s="590"/>
      <c r="AF291" s="590"/>
      <c r="AG291" s="590"/>
      <c r="AH291" s="569"/>
      <c r="AI291" s="569"/>
      <c r="AJ291" s="569"/>
      <c r="AK291" s="569"/>
      <c r="AL291" s="569"/>
      <c r="AM291" s="569"/>
      <c r="AN291" s="569"/>
      <c r="AO291" s="569"/>
      <c r="AP291" s="569"/>
      <c r="AQ291" s="569"/>
      <c r="AR291" s="569"/>
      <c r="AS291" s="569"/>
      <c r="AT291" s="569"/>
      <c r="AU291" s="569"/>
      <c r="AV291" s="569"/>
      <c r="AW291" s="569"/>
      <c r="AX291" s="569"/>
      <c r="AY291" s="569"/>
      <c r="AZ291" s="569"/>
      <c r="BA291" s="569"/>
      <c r="BB291" s="569"/>
      <c r="BC291" s="569"/>
      <c r="BD291" s="569"/>
      <c r="BE291" s="569"/>
      <c r="BF291" s="569"/>
      <c r="BG291" s="569"/>
      <c r="BH291" s="569"/>
      <c r="BI291" s="569"/>
      <c r="BJ291" s="569"/>
      <c r="BK291" s="569"/>
      <c r="BL291" s="569"/>
      <c r="BM291" s="569"/>
      <c r="BN291" s="569"/>
      <c r="BO291" s="569"/>
      <c r="BP291" s="569"/>
      <c r="BQ291" s="569"/>
      <c r="BR291" s="569"/>
      <c r="BS291" s="569"/>
      <c r="BT291" s="569"/>
      <c r="BU291" s="569"/>
      <c r="BV291" s="569"/>
      <c r="BW291" s="569"/>
      <c r="BX291" s="569"/>
      <c r="BY291" s="569"/>
      <c r="BZ291" s="569"/>
      <c r="CA291" s="569"/>
      <c r="CB291" s="569"/>
      <c r="CC291" s="569"/>
      <c r="CD291" s="569"/>
      <c r="CE291" s="569"/>
      <c r="CF291" s="569"/>
      <c r="CG291" s="569"/>
      <c r="CH291" s="569"/>
      <c r="CI291" s="569"/>
      <c r="CJ291" s="569"/>
      <c r="CK291" s="569"/>
      <c r="CL291" s="569"/>
      <c r="CM291" s="569"/>
      <c r="CN291" s="569"/>
      <c r="CO291" s="569"/>
      <c r="CP291" s="569"/>
      <c r="CQ291" s="569"/>
      <c r="CR291" s="569"/>
      <c r="CS291" s="569"/>
      <c r="CT291" s="569"/>
      <c r="CU291" s="569"/>
      <c r="CV291" s="569"/>
      <c r="CW291" s="569"/>
      <c r="CX291" s="569"/>
      <c r="CY291" s="569"/>
      <c r="CZ291" s="569"/>
      <c r="DA291" s="569"/>
      <c r="DB291" s="569"/>
      <c r="DC291" s="569"/>
      <c r="DD291" s="569"/>
      <c r="DE291" s="569"/>
      <c r="DF291" s="569"/>
      <c r="DG291" s="569"/>
      <c r="DH291" s="569"/>
      <c r="DI291" s="569"/>
      <c r="DJ291" s="569"/>
      <c r="DK291" s="569"/>
      <c r="DL291" s="569"/>
      <c r="DM291" s="569"/>
      <c r="DN291" s="569"/>
      <c r="DO291" s="569"/>
      <c r="DP291" s="569"/>
      <c r="DQ291" s="569"/>
      <c r="DR291" s="569"/>
      <c r="DS291" s="569"/>
      <c r="DT291" s="569"/>
      <c r="DU291" s="569"/>
      <c r="DV291" s="569"/>
      <c r="DW291" s="569"/>
      <c r="DX291" s="569"/>
      <c r="DY291" s="569"/>
      <c r="DZ291" s="569"/>
      <c r="EA291" s="569"/>
      <c r="EB291" s="569"/>
      <c r="EC291" s="569"/>
      <c r="ED291" s="569"/>
      <c r="EE291" s="569"/>
      <c r="EF291" s="569"/>
      <c r="EG291" s="569"/>
      <c r="EH291" s="569"/>
      <c r="EI291" s="569"/>
      <c r="EJ291" s="569"/>
      <c r="EK291" s="569"/>
      <c r="EL291" s="569"/>
      <c r="EM291" s="569"/>
      <c r="EN291" s="569"/>
      <c r="EO291" s="569"/>
      <c r="EP291" s="569"/>
      <c r="EQ291" s="569"/>
      <c r="ER291" s="569"/>
      <c r="ES291" s="569"/>
      <c r="ET291" s="569"/>
      <c r="EU291" s="569"/>
      <c r="EV291" s="569"/>
      <c r="EW291" s="569"/>
      <c r="EX291" s="569"/>
      <c r="EY291" s="569"/>
      <c r="EZ291" s="569"/>
      <c r="FA291" s="569"/>
      <c r="FB291" s="569"/>
      <c r="FC291" s="569"/>
      <c r="FD291" s="569"/>
      <c r="FE291" s="569"/>
      <c r="FF291" s="569"/>
      <c r="FG291" s="569"/>
      <c r="FH291" s="569"/>
      <c r="FI291" s="569"/>
      <c r="FJ291" s="569"/>
      <c r="FK291" s="569"/>
      <c r="FL291" s="569"/>
      <c r="FM291" s="569"/>
      <c r="FN291" s="569"/>
      <c r="FO291" s="569"/>
      <c r="FP291" s="569"/>
      <c r="FQ291" s="569"/>
      <c r="FR291" s="569"/>
      <c r="FS291" s="569"/>
      <c r="FT291" s="569"/>
      <c r="FU291" s="569"/>
      <c r="FV291" s="569"/>
      <c r="FW291" s="569"/>
      <c r="FX291" s="569"/>
      <c r="FY291" s="569"/>
      <c r="FZ291" s="569"/>
      <c r="GA291" s="569"/>
      <c r="GB291" s="569"/>
      <c r="GC291" s="569"/>
      <c r="GD291" s="569"/>
      <c r="GE291" s="569"/>
      <c r="GF291" s="569"/>
      <c r="GG291" s="569"/>
      <c r="GH291" s="569"/>
      <c r="GI291" s="569"/>
      <c r="GJ291" s="569"/>
      <c r="GK291" s="569"/>
      <c r="GL291" s="569"/>
      <c r="GM291" s="569"/>
      <c r="GN291" s="569"/>
      <c r="GO291" s="569"/>
      <c r="GP291" s="569"/>
      <c r="GQ291" s="569"/>
      <c r="GR291" s="569"/>
      <c r="GS291" s="569"/>
      <c r="GT291" s="569"/>
    </row>
    <row r="292" spans="2:202" s="554" customFormat="1" ht="18" customHeight="1">
      <c r="B292" s="590"/>
      <c r="C292" s="1151"/>
      <c r="D292" s="1151"/>
      <c r="E292" s="1151"/>
      <c r="F292" s="1151"/>
      <c r="G292" s="1151"/>
      <c r="H292" s="1151"/>
      <c r="I292" s="1151"/>
      <c r="J292" s="1151"/>
      <c r="K292" s="1151"/>
      <c r="L292" s="1151"/>
      <c r="M292" s="590"/>
      <c r="N292" s="590"/>
      <c r="O292" s="590"/>
      <c r="P292" s="590"/>
      <c r="Q292" s="590"/>
      <c r="R292" s="590"/>
      <c r="S292" s="590"/>
      <c r="T292" s="590"/>
      <c r="U292" s="590"/>
      <c r="V292" s="590"/>
      <c r="W292" s="590"/>
      <c r="X292" s="590"/>
      <c r="Y292" s="590"/>
      <c r="Z292" s="590"/>
      <c r="AA292" s="590"/>
      <c r="AB292" s="590"/>
      <c r="AC292" s="590"/>
      <c r="AD292" s="590"/>
      <c r="AE292" s="590"/>
      <c r="AF292" s="590"/>
      <c r="AG292" s="590"/>
      <c r="AH292" s="569"/>
      <c r="AI292" s="569"/>
      <c r="AJ292" s="569"/>
      <c r="AK292" s="569"/>
      <c r="AL292" s="569"/>
      <c r="AM292" s="569"/>
      <c r="AN292" s="569"/>
      <c r="AO292" s="569"/>
      <c r="AP292" s="569"/>
      <c r="AQ292" s="569"/>
      <c r="AR292" s="569"/>
      <c r="AS292" s="569"/>
      <c r="AT292" s="569"/>
      <c r="AU292" s="569"/>
      <c r="AV292" s="569"/>
      <c r="AW292" s="569"/>
      <c r="AX292" s="569"/>
      <c r="AY292" s="569"/>
      <c r="AZ292" s="569"/>
      <c r="BA292" s="569"/>
      <c r="BB292" s="569"/>
      <c r="BC292" s="569"/>
      <c r="BD292" s="569"/>
      <c r="BE292" s="569"/>
      <c r="BF292" s="569"/>
      <c r="BG292" s="569"/>
      <c r="BH292" s="569"/>
      <c r="BI292" s="569"/>
      <c r="BJ292" s="569"/>
      <c r="BK292" s="569"/>
      <c r="BL292" s="569"/>
      <c r="BM292" s="569"/>
      <c r="BN292" s="569"/>
      <c r="BO292" s="569"/>
      <c r="BP292" s="569"/>
      <c r="BQ292" s="569"/>
      <c r="BR292" s="569"/>
      <c r="BS292" s="569"/>
      <c r="BT292" s="569"/>
      <c r="BU292" s="569"/>
      <c r="BV292" s="569"/>
      <c r="BW292" s="569"/>
      <c r="BX292" s="569"/>
      <c r="BY292" s="569"/>
      <c r="BZ292" s="569"/>
      <c r="CA292" s="569"/>
      <c r="CB292" s="569"/>
      <c r="CC292" s="569"/>
      <c r="CD292" s="569"/>
      <c r="CE292" s="569"/>
      <c r="CF292" s="569"/>
      <c r="CG292" s="569"/>
      <c r="CH292" s="569"/>
      <c r="CI292" s="569"/>
      <c r="CJ292" s="569"/>
      <c r="CK292" s="569"/>
      <c r="CL292" s="569"/>
      <c r="CM292" s="569"/>
      <c r="CN292" s="569"/>
      <c r="CO292" s="569"/>
      <c r="CP292" s="569"/>
      <c r="CQ292" s="569"/>
      <c r="CR292" s="569"/>
      <c r="CS292" s="569"/>
      <c r="CT292" s="569"/>
      <c r="CU292" s="569"/>
      <c r="CV292" s="569"/>
      <c r="CW292" s="569"/>
      <c r="CX292" s="569"/>
      <c r="CY292" s="569"/>
      <c r="CZ292" s="569"/>
      <c r="DA292" s="569"/>
      <c r="DB292" s="569"/>
      <c r="DC292" s="569"/>
      <c r="DD292" s="569"/>
      <c r="DE292" s="569"/>
      <c r="DF292" s="569"/>
      <c r="DG292" s="569"/>
      <c r="DH292" s="569"/>
      <c r="DI292" s="569"/>
      <c r="DJ292" s="569"/>
      <c r="DK292" s="569"/>
      <c r="DL292" s="569"/>
      <c r="DM292" s="569"/>
      <c r="DN292" s="569"/>
      <c r="DO292" s="569"/>
      <c r="DP292" s="569"/>
      <c r="DQ292" s="569"/>
      <c r="DR292" s="569"/>
      <c r="DS292" s="569"/>
      <c r="DT292" s="569"/>
      <c r="DU292" s="569"/>
      <c r="DV292" s="569"/>
      <c r="DW292" s="569"/>
      <c r="DX292" s="569"/>
      <c r="DY292" s="569"/>
      <c r="DZ292" s="569"/>
      <c r="EA292" s="569"/>
      <c r="EB292" s="569"/>
      <c r="EC292" s="569"/>
      <c r="ED292" s="569"/>
      <c r="EE292" s="569"/>
      <c r="EF292" s="569"/>
      <c r="EG292" s="569"/>
      <c r="EH292" s="569"/>
      <c r="EI292" s="569"/>
      <c r="EJ292" s="569"/>
      <c r="EK292" s="569"/>
      <c r="EL292" s="569"/>
      <c r="EM292" s="569"/>
      <c r="EN292" s="569"/>
      <c r="EO292" s="569"/>
      <c r="EP292" s="569"/>
      <c r="EQ292" s="569"/>
      <c r="ER292" s="569"/>
      <c r="ES292" s="569"/>
      <c r="ET292" s="569"/>
      <c r="EU292" s="569"/>
      <c r="EV292" s="569"/>
      <c r="EW292" s="569"/>
      <c r="EX292" s="569"/>
      <c r="EY292" s="569"/>
      <c r="EZ292" s="569"/>
      <c r="FA292" s="569"/>
      <c r="FB292" s="569"/>
      <c r="FC292" s="569"/>
      <c r="FD292" s="569"/>
      <c r="FE292" s="569"/>
      <c r="FF292" s="569"/>
      <c r="FG292" s="569"/>
      <c r="FH292" s="569"/>
      <c r="FI292" s="569"/>
      <c r="FJ292" s="569"/>
      <c r="FK292" s="569"/>
      <c r="FL292" s="569"/>
      <c r="FM292" s="569"/>
      <c r="FN292" s="569"/>
      <c r="FO292" s="569"/>
      <c r="FP292" s="569"/>
      <c r="FQ292" s="569"/>
      <c r="FR292" s="569"/>
      <c r="FS292" s="569"/>
      <c r="FT292" s="569"/>
      <c r="FU292" s="569"/>
      <c r="FV292" s="569"/>
      <c r="FW292" s="569"/>
      <c r="FX292" s="569"/>
      <c r="FY292" s="569"/>
      <c r="FZ292" s="569"/>
      <c r="GA292" s="569"/>
      <c r="GB292" s="569"/>
      <c r="GC292" s="569"/>
      <c r="GD292" s="569"/>
      <c r="GE292" s="569"/>
      <c r="GF292" s="569"/>
      <c r="GG292" s="569"/>
      <c r="GH292" s="569"/>
      <c r="GI292" s="569"/>
      <c r="GJ292" s="569"/>
      <c r="GK292" s="569"/>
      <c r="GL292" s="569"/>
      <c r="GM292" s="569"/>
      <c r="GN292" s="569"/>
      <c r="GO292" s="569"/>
      <c r="GP292" s="569"/>
      <c r="GQ292" s="569"/>
      <c r="GR292" s="569"/>
      <c r="GS292" s="569"/>
      <c r="GT292" s="569"/>
    </row>
    <row r="293" spans="2:202" s="554" customFormat="1" ht="18" customHeight="1">
      <c r="B293" s="590"/>
      <c r="C293" s="1151"/>
      <c r="D293" s="1151"/>
      <c r="E293" s="1151"/>
      <c r="F293" s="1151"/>
      <c r="G293" s="1151"/>
      <c r="H293" s="1151"/>
      <c r="I293" s="1151"/>
      <c r="J293" s="1151"/>
      <c r="K293" s="1151"/>
      <c r="L293" s="1151"/>
      <c r="M293" s="590"/>
      <c r="N293" s="590"/>
      <c r="O293" s="590"/>
      <c r="P293" s="590"/>
      <c r="Q293" s="590"/>
      <c r="R293" s="590"/>
      <c r="S293" s="590"/>
      <c r="T293" s="590"/>
      <c r="U293" s="590"/>
      <c r="V293" s="590"/>
      <c r="W293" s="590"/>
      <c r="X293" s="590"/>
      <c r="Y293" s="590"/>
      <c r="Z293" s="590"/>
      <c r="AA293" s="590"/>
      <c r="AB293" s="590"/>
      <c r="AC293" s="590"/>
      <c r="AD293" s="590"/>
      <c r="AE293" s="590"/>
      <c r="AF293" s="590"/>
      <c r="AG293" s="590"/>
      <c r="AH293" s="569"/>
      <c r="AI293" s="569"/>
      <c r="AJ293" s="569"/>
      <c r="AK293" s="569"/>
      <c r="AL293" s="569"/>
      <c r="AM293" s="569"/>
      <c r="AN293" s="569"/>
      <c r="AO293" s="569"/>
      <c r="AP293" s="569"/>
      <c r="AQ293" s="569"/>
      <c r="AR293" s="569"/>
      <c r="AS293" s="569"/>
      <c r="AT293" s="569"/>
      <c r="AU293" s="569"/>
      <c r="AV293" s="569"/>
      <c r="AW293" s="569"/>
      <c r="AX293" s="569"/>
      <c r="AY293" s="569"/>
      <c r="AZ293" s="569"/>
      <c r="BA293" s="569"/>
      <c r="BB293" s="569"/>
      <c r="BC293" s="569"/>
      <c r="BD293" s="569"/>
      <c r="BE293" s="569"/>
      <c r="BF293" s="569"/>
      <c r="BG293" s="569"/>
      <c r="BH293" s="569"/>
      <c r="BI293" s="569"/>
      <c r="BJ293" s="569"/>
      <c r="BK293" s="569"/>
      <c r="BL293" s="569"/>
      <c r="BM293" s="569"/>
      <c r="BN293" s="569"/>
      <c r="BO293" s="569"/>
      <c r="BP293" s="569"/>
      <c r="BQ293" s="569"/>
      <c r="BR293" s="569"/>
      <c r="BS293" s="569"/>
      <c r="BT293" s="569"/>
      <c r="BU293" s="569"/>
      <c r="BV293" s="569"/>
      <c r="BW293" s="569"/>
      <c r="BX293" s="569"/>
      <c r="BY293" s="569"/>
      <c r="BZ293" s="569"/>
      <c r="CA293" s="569"/>
      <c r="CB293" s="569"/>
      <c r="CC293" s="569"/>
      <c r="CD293" s="569"/>
      <c r="CE293" s="569"/>
      <c r="CF293" s="569"/>
      <c r="CG293" s="569"/>
      <c r="CH293" s="569"/>
      <c r="CI293" s="569"/>
      <c r="CJ293" s="569"/>
      <c r="CK293" s="569"/>
      <c r="CL293" s="569"/>
      <c r="CM293" s="569"/>
      <c r="CN293" s="569"/>
      <c r="CO293" s="569"/>
      <c r="CP293" s="569"/>
      <c r="CQ293" s="569"/>
      <c r="CR293" s="569"/>
      <c r="CS293" s="569"/>
      <c r="CT293" s="569"/>
      <c r="CU293" s="569"/>
      <c r="CV293" s="569"/>
      <c r="CW293" s="569"/>
      <c r="CX293" s="569"/>
      <c r="CY293" s="569"/>
      <c r="CZ293" s="569"/>
      <c r="DA293" s="569"/>
      <c r="DB293" s="569"/>
      <c r="DC293" s="569"/>
      <c r="DD293" s="569"/>
      <c r="DE293" s="569"/>
      <c r="DF293" s="569"/>
      <c r="DG293" s="569"/>
      <c r="DH293" s="569"/>
      <c r="DI293" s="569"/>
      <c r="DJ293" s="569"/>
      <c r="DK293" s="569"/>
      <c r="DL293" s="569"/>
      <c r="DM293" s="569"/>
      <c r="DN293" s="569"/>
      <c r="DO293" s="569"/>
      <c r="DP293" s="569"/>
      <c r="DQ293" s="569"/>
      <c r="DR293" s="569"/>
      <c r="DS293" s="569"/>
      <c r="DT293" s="569"/>
      <c r="DU293" s="569"/>
      <c r="DV293" s="569"/>
      <c r="DW293" s="569"/>
      <c r="DX293" s="569"/>
      <c r="DY293" s="569"/>
      <c r="DZ293" s="569"/>
      <c r="EA293" s="569"/>
      <c r="EB293" s="569"/>
      <c r="EC293" s="569"/>
      <c r="ED293" s="569"/>
      <c r="EE293" s="569"/>
      <c r="EF293" s="569"/>
      <c r="EG293" s="569"/>
      <c r="EH293" s="569"/>
      <c r="EI293" s="569"/>
      <c r="EJ293" s="569"/>
      <c r="EK293" s="569"/>
      <c r="EL293" s="569"/>
      <c r="EM293" s="569"/>
      <c r="EN293" s="569"/>
      <c r="EO293" s="569"/>
      <c r="EP293" s="569"/>
      <c r="EQ293" s="569"/>
      <c r="ER293" s="569"/>
      <c r="ES293" s="569"/>
      <c r="ET293" s="569"/>
      <c r="EU293" s="569"/>
      <c r="EV293" s="569"/>
      <c r="EW293" s="569"/>
      <c r="EX293" s="569"/>
      <c r="EY293" s="569"/>
      <c r="EZ293" s="569"/>
      <c r="FA293" s="569"/>
      <c r="FB293" s="569"/>
      <c r="FC293" s="569"/>
      <c r="FD293" s="569"/>
      <c r="FE293" s="569"/>
      <c r="FF293" s="569"/>
      <c r="FG293" s="569"/>
      <c r="FH293" s="569"/>
      <c r="FI293" s="569"/>
      <c r="FJ293" s="569"/>
      <c r="FK293" s="569"/>
      <c r="FL293" s="569"/>
      <c r="FM293" s="569"/>
      <c r="FN293" s="569"/>
      <c r="FO293" s="569"/>
      <c r="FP293" s="569"/>
      <c r="FQ293" s="569"/>
      <c r="FR293" s="569"/>
      <c r="FS293" s="569"/>
      <c r="FT293" s="569"/>
      <c r="FU293" s="569"/>
      <c r="FV293" s="569"/>
      <c r="FW293" s="569"/>
      <c r="FX293" s="569"/>
      <c r="FY293" s="569"/>
      <c r="FZ293" s="569"/>
      <c r="GA293" s="569"/>
      <c r="GB293" s="569"/>
      <c r="GC293" s="569"/>
      <c r="GD293" s="569"/>
      <c r="GE293" s="569"/>
      <c r="GF293" s="569"/>
      <c r="GG293" s="569"/>
      <c r="GH293" s="569"/>
      <c r="GI293" s="569"/>
      <c r="GJ293" s="569"/>
      <c r="GK293" s="569"/>
      <c r="GL293" s="569"/>
      <c r="GM293" s="569"/>
      <c r="GN293" s="569"/>
      <c r="GO293" s="569"/>
      <c r="GP293" s="569"/>
      <c r="GQ293" s="569"/>
      <c r="GR293" s="569"/>
      <c r="GS293" s="569"/>
      <c r="GT293" s="569"/>
    </row>
    <row r="294" spans="2:202" s="554" customFormat="1" ht="18" customHeight="1">
      <c r="B294" s="590"/>
      <c r="C294" s="1151"/>
      <c r="D294" s="1151"/>
      <c r="E294" s="1151"/>
      <c r="F294" s="1151"/>
      <c r="G294" s="1151"/>
      <c r="H294" s="1151"/>
      <c r="I294" s="1151"/>
      <c r="J294" s="1151"/>
      <c r="K294" s="1151"/>
      <c r="L294" s="1151"/>
      <c r="M294" s="590"/>
      <c r="N294" s="590"/>
      <c r="O294" s="590"/>
      <c r="P294" s="590"/>
      <c r="Q294" s="590"/>
      <c r="R294" s="590"/>
      <c r="S294" s="590"/>
      <c r="T294" s="590"/>
      <c r="U294" s="590"/>
      <c r="V294" s="590"/>
      <c r="W294" s="590"/>
      <c r="X294" s="590"/>
      <c r="Y294" s="590"/>
      <c r="Z294" s="590"/>
      <c r="AA294" s="590"/>
      <c r="AB294" s="590"/>
      <c r="AC294" s="590"/>
      <c r="AD294" s="590"/>
      <c r="AE294" s="590"/>
      <c r="AF294" s="590"/>
      <c r="AG294" s="590"/>
      <c r="AH294" s="569"/>
      <c r="AI294" s="569"/>
      <c r="AJ294" s="569"/>
      <c r="AK294" s="569"/>
      <c r="AL294" s="569"/>
      <c r="AM294" s="569"/>
      <c r="AN294" s="569"/>
      <c r="AO294" s="569"/>
      <c r="AP294" s="569"/>
      <c r="AQ294" s="569"/>
      <c r="AR294" s="569"/>
      <c r="AS294" s="569"/>
      <c r="AT294" s="569"/>
      <c r="AU294" s="569"/>
      <c r="AV294" s="569"/>
      <c r="AW294" s="569"/>
      <c r="AX294" s="569"/>
      <c r="AY294" s="569"/>
      <c r="AZ294" s="569"/>
      <c r="BA294" s="569"/>
      <c r="BB294" s="569"/>
      <c r="BC294" s="569"/>
      <c r="BD294" s="569"/>
      <c r="BE294" s="569"/>
      <c r="BF294" s="569"/>
      <c r="BG294" s="569"/>
      <c r="BH294" s="569"/>
      <c r="BI294" s="569"/>
      <c r="BJ294" s="569"/>
      <c r="BK294" s="569"/>
      <c r="BL294" s="569"/>
      <c r="BM294" s="569"/>
      <c r="BN294" s="569"/>
      <c r="BO294" s="569"/>
      <c r="BP294" s="569"/>
      <c r="BQ294" s="569"/>
      <c r="BR294" s="569"/>
      <c r="BS294" s="569"/>
      <c r="BT294" s="569"/>
      <c r="BU294" s="569"/>
      <c r="BV294" s="569"/>
      <c r="BW294" s="569"/>
      <c r="BX294" s="569"/>
      <c r="BY294" s="569"/>
      <c r="BZ294" s="569"/>
      <c r="CA294" s="569"/>
      <c r="CB294" s="569"/>
      <c r="CC294" s="569"/>
      <c r="CD294" s="569"/>
      <c r="CE294" s="569"/>
      <c r="CF294" s="569"/>
      <c r="CG294" s="569"/>
      <c r="CH294" s="569"/>
      <c r="CI294" s="569"/>
      <c r="CJ294" s="569"/>
      <c r="CK294" s="569"/>
      <c r="CL294" s="569"/>
      <c r="CM294" s="569"/>
      <c r="CN294" s="569"/>
      <c r="CO294" s="569"/>
      <c r="CP294" s="569"/>
      <c r="CQ294" s="569"/>
      <c r="CR294" s="569"/>
      <c r="CS294" s="569"/>
      <c r="CT294" s="569"/>
      <c r="CU294" s="569"/>
      <c r="CV294" s="569"/>
      <c r="CW294" s="569"/>
      <c r="CX294" s="569"/>
      <c r="CY294" s="569"/>
      <c r="CZ294" s="569"/>
      <c r="DA294" s="569"/>
      <c r="DB294" s="569"/>
      <c r="DC294" s="569"/>
      <c r="DD294" s="569"/>
      <c r="DE294" s="569"/>
      <c r="DF294" s="569"/>
      <c r="DG294" s="569"/>
      <c r="DH294" s="569"/>
      <c r="DI294" s="569"/>
      <c r="DJ294" s="569"/>
      <c r="DK294" s="569"/>
      <c r="DL294" s="569"/>
      <c r="DM294" s="569"/>
      <c r="DN294" s="569"/>
      <c r="DO294" s="569"/>
      <c r="DP294" s="569"/>
      <c r="DQ294" s="569"/>
      <c r="DR294" s="569"/>
      <c r="DS294" s="569"/>
      <c r="DT294" s="569"/>
      <c r="DU294" s="569"/>
      <c r="DV294" s="569"/>
      <c r="DW294" s="569"/>
      <c r="DX294" s="569"/>
      <c r="DY294" s="569"/>
      <c r="DZ294" s="569"/>
      <c r="EA294" s="569"/>
      <c r="EB294" s="569"/>
      <c r="EC294" s="569"/>
      <c r="ED294" s="569"/>
      <c r="EE294" s="569"/>
      <c r="EF294" s="569"/>
      <c r="EG294" s="569"/>
      <c r="EH294" s="569"/>
      <c r="EI294" s="569"/>
      <c r="EJ294" s="569"/>
      <c r="EK294" s="569"/>
      <c r="EL294" s="569"/>
      <c r="EM294" s="569"/>
      <c r="EN294" s="569"/>
      <c r="EO294" s="569"/>
      <c r="EP294" s="569"/>
      <c r="EQ294" s="569"/>
      <c r="ER294" s="569"/>
      <c r="ES294" s="569"/>
      <c r="ET294" s="569"/>
      <c r="EU294" s="569"/>
      <c r="EV294" s="569"/>
      <c r="EW294" s="569"/>
      <c r="EX294" s="569"/>
      <c r="EY294" s="569"/>
      <c r="EZ294" s="569"/>
      <c r="FA294" s="569"/>
      <c r="FB294" s="569"/>
      <c r="FC294" s="569"/>
      <c r="FD294" s="569"/>
      <c r="FE294" s="569"/>
      <c r="FF294" s="569"/>
      <c r="FG294" s="569"/>
      <c r="FH294" s="569"/>
      <c r="FI294" s="569"/>
      <c r="FJ294" s="569"/>
      <c r="FK294" s="569"/>
      <c r="FL294" s="569"/>
      <c r="FM294" s="569"/>
      <c r="FN294" s="569"/>
      <c r="FO294" s="569"/>
      <c r="FP294" s="569"/>
      <c r="FQ294" s="569"/>
      <c r="FR294" s="569"/>
      <c r="FS294" s="569"/>
      <c r="FT294" s="569"/>
      <c r="FU294" s="569"/>
      <c r="FV294" s="569"/>
      <c r="FW294" s="569"/>
      <c r="FX294" s="569"/>
      <c r="FY294" s="569"/>
      <c r="FZ294" s="569"/>
      <c r="GA294" s="569"/>
      <c r="GB294" s="569"/>
      <c r="GC294" s="569"/>
      <c r="GD294" s="569"/>
      <c r="GE294" s="569"/>
      <c r="GF294" s="569"/>
      <c r="GG294" s="569"/>
      <c r="GH294" s="569"/>
      <c r="GI294" s="569"/>
      <c r="GJ294" s="569"/>
      <c r="GK294" s="569"/>
      <c r="GL294" s="569"/>
      <c r="GM294" s="569"/>
      <c r="GN294" s="569"/>
      <c r="GO294" s="569"/>
      <c r="GP294" s="569"/>
      <c r="GQ294" s="569"/>
      <c r="GR294" s="569"/>
      <c r="GS294" s="569"/>
      <c r="GT294" s="569"/>
    </row>
    <row r="295" spans="2:202" s="554" customFormat="1" ht="18" customHeight="1">
      <c r="B295" s="590"/>
      <c r="C295" s="1151"/>
      <c r="D295" s="1151"/>
      <c r="E295" s="1151"/>
      <c r="F295" s="1151"/>
      <c r="G295" s="1151"/>
      <c r="H295" s="1151"/>
      <c r="I295" s="1151"/>
      <c r="J295" s="1151"/>
      <c r="K295" s="1151"/>
      <c r="L295" s="1151"/>
      <c r="M295" s="590"/>
      <c r="N295" s="590"/>
      <c r="O295" s="590"/>
      <c r="P295" s="590"/>
      <c r="Q295" s="590"/>
      <c r="R295" s="590"/>
      <c r="S295" s="590"/>
      <c r="T295" s="590"/>
      <c r="U295" s="590"/>
      <c r="V295" s="590"/>
      <c r="W295" s="590"/>
      <c r="X295" s="590"/>
      <c r="Y295" s="590"/>
      <c r="Z295" s="590"/>
      <c r="AA295" s="590"/>
      <c r="AB295" s="590"/>
      <c r="AC295" s="590"/>
      <c r="AD295" s="590"/>
      <c r="AE295" s="590"/>
      <c r="AF295" s="590"/>
      <c r="AG295" s="590"/>
      <c r="AH295" s="569"/>
      <c r="AI295" s="569"/>
      <c r="AJ295" s="569"/>
      <c r="AK295" s="569"/>
      <c r="AL295" s="569"/>
      <c r="AM295" s="569"/>
      <c r="AN295" s="569"/>
      <c r="AO295" s="569"/>
      <c r="AP295" s="569"/>
      <c r="AQ295" s="569"/>
      <c r="AR295" s="569"/>
      <c r="AS295" s="569"/>
      <c r="AT295" s="569"/>
      <c r="AU295" s="569"/>
      <c r="AV295" s="569"/>
      <c r="AW295" s="569"/>
      <c r="AX295" s="569"/>
      <c r="AY295" s="569"/>
      <c r="AZ295" s="569"/>
      <c r="BA295" s="569"/>
      <c r="BB295" s="569"/>
      <c r="BC295" s="569"/>
      <c r="BD295" s="569"/>
      <c r="BE295" s="569"/>
      <c r="BF295" s="569"/>
      <c r="BG295" s="569"/>
      <c r="BH295" s="569"/>
      <c r="BI295" s="569"/>
      <c r="BJ295" s="569"/>
      <c r="BK295" s="569"/>
      <c r="BL295" s="569"/>
      <c r="BM295" s="569"/>
      <c r="BN295" s="569"/>
      <c r="BO295" s="569"/>
      <c r="BP295" s="569"/>
      <c r="BQ295" s="569"/>
      <c r="BR295" s="569"/>
      <c r="BS295" s="569"/>
      <c r="BT295" s="569"/>
      <c r="BU295" s="569"/>
      <c r="BV295" s="569"/>
      <c r="BW295" s="569"/>
      <c r="BX295" s="569"/>
      <c r="BY295" s="569"/>
      <c r="BZ295" s="569"/>
      <c r="CA295" s="569"/>
      <c r="CB295" s="569"/>
      <c r="CC295" s="569"/>
      <c r="CD295" s="569"/>
      <c r="CE295" s="569"/>
      <c r="CF295" s="569"/>
      <c r="CG295" s="569"/>
      <c r="CH295" s="569"/>
      <c r="CI295" s="569"/>
      <c r="CJ295" s="569"/>
      <c r="CK295" s="569"/>
      <c r="CL295" s="569"/>
      <c r="CM295" s="569"/>
      <c r="CN295" s="569"/>
      <c r="CO295" s="569"/>
      <c r="CP295" s="569"/>
      <c r="CQ295" s="569"/>
      <c r="CR295" s="569"/>
      <c r="CS295" s="569"/>
      <c r="CT295" s="569"/>
      <c r="CU295" s="569"/>
      <c r="CV295" s="569"/>
      <c r="CW295" s="569"/>
      <c r="CX295" s="569"/>
      <c r="CY295" s="569"/>
      <c r="CZ295" s="569"/>
      <c r="DA295" s="569"/>
      <c r="DB295" s="569"/>
      <c r="DC295" s="569"/>
      <c r="DD295" s="569"/>
      <c r="DE295" s="569"/>
      <c r="DF295" s="569"/>
      <c r="DG295" s="569"/>
      <c r="DH295" s="569"/>
      <c r="DI295" s="569"/>
      <c r="DJ295" s="569"/>
      <c r="DK295" s="569"/>
      <c r="DL295" s="569"/>
      <c r="DM295" s="569"/>
      <c r="DN295" s="569"/>
      <c r="DO295" s="569"/>
      <c r="DP295" s="569"/>
      <c r="DQ295" s="569"/>
      <c r="DR295" s="569"/>
      <c r="DS295" s="569"/>
      <c r="DT295" s="569"/>
      <c r="DU295" s="569"/>
      <c r="DV295" s="569"/>
      <c r="DW295" s="569"/>
      <c r="DX295" s="569"/>
      <c r="DY295" s="569"/>
      <c r="DZ295" s="569"/>
      <c r="EA295" s="569"/>
      <c r="EB295" s="569"/>
      <c r="EC295" s="569"/>
      <c r="ED295" s="569"/>
      <c r="EE295" s="569"/>
      <c r="EF295" s="569"/>
      <c r="EG295" s="569"/>
      <c r="EH295" s="569"/>
      <c r="EI295" s="569"/>
      <c r="EJ295" s="569"/>
      <c r="EK295" s="569"/>
      <c r="EL295" s="569"/>
      <c r="EM295" s="569"/>
      <c r="EN295" s="569"/>
      <c r="EO295" s="569"/>
      <c r="EP295" s="569"/>
      <c r="EQ295" s="569"/>
      <c r="ER295" s="569"/>
      <c r="ES295" s="569"/>
      <c r="ET295" s="569"/>
      <c r="EU295" s="569"/>
      <c r="EV295" s="569"/>
      <c r="EW295" s="569"/>
      <c r="EX295" s="569"/>
      <c r="EY295" s="569"/>
      <c r="EZ295" s="569"/>
      <c r="FA295" s="569"/>
      <c r="FB295" s="569"/>
      <c r="FC295" s="569"/>
      <c r="FD295" s="569"/>
      <c r="FE295" s="569"/>
      <c r="FF295" s="569"/>
      <c r="FG295" s="569"/>
      <c r="FH295" s="569"/>
      <c r="FI295" s="569"/>
      <c r="FJ295" s="569"/>
      <c r="FK295" s="569"/>
      <c r="FL295" s="569"/>
      <c r="FM295" s="569"/>
      <c r="FN295" s="569"/>
      <c r="FO295" s="569"/>
      <c r="FP295" s="569"/>
      <c r="FQ295" s="569"/>
      <c r="FR295" s="569"/>
      <c r="FS295" s="569"/>
      <c r="FT295" s="569"/>
      <c r="FU295" s="569"/>
      <c r="FV295" s="569"/>
      <c r="FW295" s="569"/>
      <c r="FX295" s="569"/>
      <c r="FY295" s="569"/>
      <c r="FZ295" s="569"/>
      <c r="GA295" s="569"/>
      <c r="GB295" s="569"/>
      <c r="GC295" s="569"/>
      <c r="GD295" s="569"/>
      <c r="GE295" s="569"/>
      <c r="GF295" s="569"/>
      <c r="GG295" s="569"/>
      <c r="GH295" s="569"/>
      <c r="GI295" s="569"/>
      <c r="GJ295" s="569"/>
      <c r="GK295" s="569"/>
      <c r="GL295" s="569"/>
      <c r="GM295" s="569"/>
      <c r="GN295" s="569"/>
      <c r="GO295" s="569"/>
      <c r="GP295" s="569"/>
      <c r="GQ295" s="569"/>
      <c r="GR295" s="569"/>
      <c r="GS295" s="569"/>
      <c r="GT295" s="569"/>
    </row>
    <row r="296" spans="2:202" s="554" customFormat="1" ht="18" customHeight="1">
      <c r="B296" s="590"/>
      <c r="C296" s="1151"/>
      <c r="D296" s="1151"/>
      <c r="E296" s="1151"/>
      <c r="F296" s="1151"/>
      <c r="G296" s="1151"/>
      <c r="H296" s="1151"/>
      <c r="I296" s="1151"/>
      <c r="J296" s="1151"/>
      <c r="K296" s="1151"/>
      <c r="L296" s="1151"/>
      <c r="M296" s="590"/>
      <c r="N296" s="590"/>
      <c r="O296" s="590"/>
      <c r="P296" s="590"/>
      <c r="Q296" s="590"/>
      <c r="R296" s="590"/>
      <c r="S296" s="590"/>
      <c r="T296" s="590"/>
      <c r="U296" s="590"/>
      <c r="V296" s="590"/>
      <c r="W296" s="590"/>
      <c r="X296" s="590"/>
      <c r="Y296" s="590"/>
      <c r="Z296" s="590"/>
      <c r="AA296" s="590"/>
      <c r="AB296" s="590"/>
      <c r="AC296" s="590"/>
      <c r="AD296" s="590"/>
      <c r="AE296" s="590"/>
      <c r="AF296" s="590"/>
      <c r="AG296" s="590"/>
      <c r="AH296" s="569"/>
      <c r="AI296" s="569"/>
      <c r="AJ296" s="569"/>
      <c r="AK296" s="569"/>
      <c r="AL296" s="569"/>
      <c r="AM296" s="569"/>
      <c r="AN296" s="569"/>
      <c r="AO296" s="569"/>
      <c r="AP296" s="569"/>
      <c r="AQ296" s="569"/>
      <c r="AR296" s="569"/>
      <c r="AS296" s="569"/>
      <c r="AT296" s="569"/>
      <c r="AU296" s="569"/>
      <c r="AV296" s="569"/>
      <c r="AW296" s="569"/>
      <c r="AX296" s="569"/>
      <c r="AY296" s="569"/>
      <c r="AZ296" s="569"/>
      <c r="BA296" s="569"/>
      <c r="BB296" s="569"/>
      <c r="BC296" s="569"/>
      <c r="BD296" s="569"/>
      <c r="BE296" s="569"/>
      <c r="BF296" s="569"/>
      <c r="BG296" s="569"/>
      <c r="BH296" s="569"/>
      <c r="BI296" s="569"/>
      <c r="BJ296" s="569"/>
      <c r="BK296" s="569"/>
      <c r="BL296" s="569"/>
      <c r="BM296" s="569"/>
      <c r="BN296" s="569"/>
      <c r="BO296" s="569"/>
      <c r="BP296" s="569"/>
      <c r="BQ296" s="569"/>
      <c r="BR296" s="569"/>
      <c r="BS296" s="569"/>
      <c r="BT296" s="569"/>
      <c r="BU296" s="569"/>
      <c r="BV296" s="569"/>
      <c r="BW296" s="569"/>
      <c r="BX296" s="569"/>
      <c r="BY296" s="569"/>
      <c r="BZ296" s="569"/>
      <c r="CA296" s="569"/>
      <c r="CB296" s="569"/>
      <c r="CC296" s="569"/>
      <c r="CD296" s="569"/>
      <c r="CE296" s="569"/>
      <c r="CF296" s="569"/>
      <c r="CG296" s="569"/>
      <c r="CH296" s="569"/>
      <c r="CI296" s="569"/>
      <c r="CJ296" s="569"/>
      <c r="CK296" s="569"/>
      <c r="CL296" s="569"/>
      <c r="CM296" s="569"/>
      <c r="CN296" s="569"/>
      <c r="CO296" s="569"/>
      <c r="CP296" s="569"/>
      <c r="CQ296" s="569"/>
      <c r="CR296" s="569"/>
      <c r="CS296" s="569"/>
      <c r="CT296" s="569"/>
      <c r="CU296" s="569"/>
      <c r="CV296" s="569"/>
      <c r="CW296" s="569"/>
      <c r="CX296" s="569"/>
      <c r="CY296" s="569"/>
      <c r="CZ296" s="569"/>
      <c r="DA296" s="569"/>
      <c r="DB296" s="569"/>
      <c r="DC296" s="569"/>
      <c r="DD296" s="569"/>
      <c r="DE296" s="569"/>
      <c r="DF296" s="569"/>
      <c r="DG296" s="569"/>
      <c r="DH296" s="569"/>
      <c r="DI296" s="569"/>
      <c r="DJ296" s="569"/>
      <c r="DK296" s="569"/>
      <c r="DL296" s="569"/>
      <c r="DM296" s="569"/>
      <c r="DN296" s="569"/>
      <c r="DO296" s="569"/>
      <c r="DP296" s="569"/>
      <c r="DQ296" s="569"/>
      <c r="DR296" s="569"/>
      <c r="DS296" s="569"/>
      <c r="DT296" s="569"/>
      <c r="DU296" s="569"/>
      <c r="DV296" s="569"/>
      <c r="DW296" s="569"/>
      <c r="DX296" s="569"/>
      <c r="DY296" s="569"/>
      <c r="DZ296" s="569"/>
      <c r="EA296" s="569"/>
      <c r="EB296" s="569"/>
      <c r="EC296" s="569"/>
      <c r="ED296" s="569"/>
      <c r="EE296" s="569"/>
      <c r="EF296" s="569"/>
      <c r="EG296" s="569"/>
      <c r="EH296" s="569"/>
      <c r="EI296" s="569"/>
      <c r="EJ296" s="569"/>
      <c r="EK296" s="569"/>
      <c r="EL296" s="569"/>
      <c r="EM296" s="569"/>
      <c r="EN296" s="569"/>
      <c r="EO296" s="569"/>
      <c r="EP296" s="569"/>
      <c r="EQ296" s="569"/>
      <c r="ER296" s="569"/>
      <c r="ES296" s="569"/>
      <c r="ET296" s="569"/>
      <c r="EU296" s="569"/>
      <c r="EV296" s="569"/>
      <c r="EW296" s="569"/>
      <c r="EX296" s="569"/>
      <c r="EY296" s="569"/>
      <c r="EZ296" s="569"/>
      <c r="FA296" s="569"/>
      <c r="FB296" s="569"/>
      <c r="FC296" s="569"/>
      <c r="FD296" s="569"/>
      <c r="FE296" s="569"/>
      <c r="FF296" s="569"/>
      <c r="FG296" s="569"/>
      <c r="FH296" s="569"/>
      <c r="FI296" s="569"/>
      <c r="FJ296" s="569"/>
      <c r="FK296" s="569"/>
      <c r="FL296" s="569"/>
      <c r="FM296" s="569"/>
      <c r="FN296" s="569"/>
      <c r="FO296" s="569"/>
      <c r="FP296" s="569"/>
      <c r="FQ296" s="569"/>
      <c r="FR296" s="569"/>
      <c r="FS296" s="569"/>
      <c r="FT296" s="569"/>
      <c r="FU296" s="569"/>
      <c r="FV296" s="569"/>
      <c r="FW296" s="569"/>
      <c r="FX296" s="569"/>
      <c r="FY296" s="569"/>
      <c r="FZ296" s="569"/>
      <c r="GA296" s="569"/>
      <c r="GB296" s="569"/>
      <c r="GC296" s="569"/>
      <c r="GD296" s="569"/>
      <c r="GE296" s="569"/>
      <c r="GF296" s="569"/>
      <c r="GG296" s="569"/>
      <c r="GH296" s="569"/>
      <c r="GI296" s="569"/>
      <c r="GJ296" s="569"/>
      <c r="GK296" s="569"/>
      <c r="GL296" s="569"/>
      <c r="GM296" s="569"/>
      <c r="GN296" s="569"/>
      <c r="GO296" s="569"/>
      <c r="GP296" s="569"/>
      <c r="GQ296" s="569"/>
      <c r="GR296" s="569"/>
      <c r="GS296" s="569"/>
      <c r="GT296" s="569"/>
    </row>
    <row r="297" spans="2:202" s="554" customFormat="1" ht="18" customHeight="1">
      <c r="B297" s="590"/>
      <c r="C297" s="1151"/>
      <c r="D297" s="1151"/>
      <c r="E297" s="1151"/>
      <c r="F297" s="1151"/>
      <c r="G297" s="1151"/>
      <c r="H297" s="1151"/>
      <c r="I297" s="1151"/>
      <c r="J297" s="1151"/>
      <c r="K297" s="1151"/>
      <c r="L297" s="1151"/>
      <c r="M297" s="590"/>
      <c r="N297" s="590"/>
      <c r="O297" s="590"/>
      <c r="P297" s="590"/>
      <c r="Q297" s="590"/>
      <c r="R297" s="590"/>
      <c r="S297" s="590"/>
      <c r="T297" s="590"/>
      <c r="U297" s="590"/>
      <c r="V297" s="590"/>
      <c r="W297" s="590"/>
      <c r="X297" s="590"/>
      <c r="Y297" s="590"/>
      <c r="Z297" s="590"/>
      <c r="AA297" s="590"/>
      <c r="AB297" s="590"/>
      <c r="AC297" s="590"/>
      <c r="AD297" s="590"/>
      <c r="AE297" s="590"/>
      <c r="AF297" s="590"/>
      <c r="AG297" s="590"/>
      <c r="AH297" s="569"/>
      <c r="AI297" s="569"/>
      <c r="AJ297" s="569"/>
      <c r="AK297" s="569"/>
      <c r="AL297" s="569"/>
      <c r="AM297" s="569"/>
      <c r="AN297" s="569"/>
      <c r="AO297" s="569"/>
      <c r="AP297" s="569"/>
      <c r="AQ297" s="569"/>
      <c r="AR297" s="569"/>
      <c r="AS297" s="569"/>
      <c r="AT297" s="569"/>
      <c r="AU297" s="569"/>
      <c r="AV297" s="569"/>
      <c r="AW297" s="569"/>
      <c r="AX297" s="569"/>
      <c r="AY297" s="569"/>
      <c r="AZ297" s="569"/>
      <c r="BA297" s="569"/>
      <c r="BB297" s="569"/>
      <c r="BC297" s="569"/>
      <c r="BD297" s="569"/>
      <c r="BE297" s="569"/>
      <c r="BF297" s="569"/>
      <c r="BG297" s="569"/>
      <c r="BH297" s="569"/>
      <c r="BI297" s="569"/>
      <c r="BJ297" s="569"/>
      <c r="BK297" s="569"/>
      <c r="BL297" s="569"/>
      <c r="BM297" s="569"/>
      <c r="BN297" s="569"/>
      <c r="BO297" s="569"/>
      <c r="BP297" s="569"/>
      <c r="BQ297" s="569"/>
      <c r="BR297" s="569"/>
      <c r="BS297" s="569"/>
      <c r="BT297" s="569"/>
      <c r="BU297" s="569"/>
      <c r="BV297" s="569"/>
      <c r="BW297" s="569"/>
      <c r="BX297" s="569"/>
      <c r="BY297" s="569"/>
      <c r="BZ297" s="569"/>
      <c r="CA297" s="569"/>
      <c r="CB297" s="569"/>
      <c r="CC297" s="569"/>
      <c r="CD297" s="569"/>
      <c r="CE297" s="569"/>
      <c r="CF297" s="569"/>
      <c r="CG297" s="569"/>
      <c r="CH297" s="569"/>
      <c r="CI297" s="569"/>
      <c r="CJ297" s="569"/>
      <c r="CK297" s="569"/>
      <c r="CL297" s="569"/>
      <c r="CM297" s="569"/>
      <c r="CN297" s="569"/>
      <c r="CO297" s="569"/>
      <c r="CP297" s="569"/>
      <c r="CQ297" s="569"/>
      <c r="CR297" s="569"/>
      <c r="CS297" s="569"/>
      <c r="CT297" s="569"/>
      <c r="CU297" s="569"/>
      <c r="CV297" s="569"/>
      <c r="CW297" s="569"/>
      <c r="CX297" s="569"/>
      <c r="CY297" s="569"/>
      <c r="CZ297" s="569"/>
      <c r="DA297" s="569"/>
      <c r="DB297" s="569"/>
      <c r="DC297" s="569"/>
      <c r="DD297" s="569"/>
      <c r="DE297" s="569"/>
      <c r="DF297" s="569"/>
      <c r="DG297" s="569"/>
      <c r="DH297" s="569"/>
      <c r="DI297" s="569"/>
      <c r="DJ297" s="569"/>
      <c r="DK297" s="569"/>
      <c r="DL297" s="569"/>
      <c r="DM297" s="569"/>
      <c r="DN297" s="569"/>
      <c r="DO297" s="569"/>
      <c r="DP297" s="569"/>
      <c r="DQ297" s="569"/>
      <c r="DR297" s="569"/>
      <c r="DS297" s="569"/>
      <c r="DT297" s="569"/>
      <c r="DU297" s="569"/>
      <c r="DV297" s="569"/>
      <c r="DW297" s="569"/>
      <c r="DX297" s="569"/>
      <c r="DY297" s="569"/>
      <c r="DZ297" s="569"/>
      <c r="EA297" s="569"/>
      <c r="EB297" s="569"/>
      <c r="EC297" s="569"/>
      <c r="ED297" s="569"/>
      <c r="EE297" s="569"/>
      <c r="EF297" s="569"/>
      <c r="EG297" s="569"/>
      <c r="EH297" s="569"/>
      <c r="EI297" s="569"/>
      <c r="EJ297" s="569"/>
      <c r="EK297" s="569"/>
      <c r="EL297" s="569"/>
      <c r="EM297" s="569"/>
      <c r="EN297" s="569"/>
      <c r="EO297" s="569"/>
      <c r="EP297" s="569"/>
      <c r="EQ297" s="569"/>
      <c r="ER297" s="569"/>
      <c r="ES297" s="569"/>
      <c r="ET297" s="569"/>
      <c r="EU297" s="569"/>
      <c r="EV297" s="569"/>
      <c r="EW297" s="569"/>
      <c r="EX297" s="569"/>
      <c r="EY297" s="569"/>
      <c r="EZ297" s="569"/>
      <c r="FA297" s="569"/>
      <c r="FB297" s="569"/>
      <c r="FC297" s="569"/>
      <c r="FD297" s="569"/>
      <c r="FE297" s="569"/>
      <c r="FF297" s="569"/>
      <c r="FG297" s="569"/>
      <c r="FH297" s="569"/>
      <c r="FI297" s="569"/>
      <c r="FJ297" s="569"/>
      <c r="FK297" s="569"/>
      <c r="FL297" s="569"/>
      <c r="FM297" s="569"/>
      <c r="FN297" s="569"/>
      <c r="FO297" s="569"/>
      <c r="FP297" s="569"/>
      <c r="FQ297" s="569"/>
      <c r="FR297" s="569"/>
      <c r="FS297" s="569"/>
      <c r="FT297" s="569"/>
      <c r="FU297" s="569"/>
      <c r="FV297" s="569"/>
      <c r="FW297" s="569"/>
      <c r="FX297" s="569"/>
      <c r="FY297" s="569"/>
      <c r="FZ297" s="569"/>
      <c r="GA297" s="569"/>
      <c r="GB297" s="569"/>
      <c r="GC297" s="569"/>
      <c r="GD297" s="569"/>
      <c r="GE297" s="569"/>
      <c r="GF297" s="569"/>
      <c r="GG297" s="569"/>
      <c r="GH297" s="569"/>
      <c r="GI297" s="569"/>
      <c r="GJ297" s="569"/>
      <c r="GK297" s="569"/>
      <c r="GL297" s="569"/>
      <c r="GM297" s="569"/>
      <c r="GN297" s="569"/>
      <c r="GO297" s="569"/>
      <c r="GP297" s="569"/>
      <c r="GQ297" s="569"/>
      <c r="GR297" s="569"/>
      <c r="GS297" s="569"/>
      <c r="GT297" s="569"/>
    </row>
    <row r="298" spans="2:202" s="554" customFormat="1" ht="18" customHeight="1">
      <c r="B298" s="590"/>
      <c r="C298" s="1151"/>
      <c r="D298" s="1151"/>
      <c r="E298" s="1151"/>
      <c r="F298" s="1151"/>
      <c r="G298" s="1151"/>
      <c r="H298" s="1151"/>
      <c r="I298" s="1151"/>
      <c r="J298" s="1151"/>
      <c r="K298" s="1151"/>
      <c r="L298" s="1151"/>
      <c r="M298" s="590"/>
      <c r="N298" s="590"/>
      <c r="O298" s="590"/>
      <c r="P298" s="590"/>
      <c r="Q298" s="590"/>
      <c r="R298" s="590"/>
      <c r="S298" s="590"/>
      <c r="T298" s="590"/>
      <c r="U298" s="590"/>
      <c r="V298" s="590"/>
      <c r="W298" s="590"/>
      <c r="X298" s="590"/>
      <c r="Y298" s="590"/>
      <c r="Z298" s="590"/>
      <c r="AA298" s="590"/>
      <c r="AB298" s="590"/>
      <c r="AC298" s="590"/>
      <c r="AD298" s="590"/>
      <c r="AE298" s="590"/>
      <c r="AF298" s="590"/>
      <c r="AG298" s="590"/>
      <c r="AH298" s="569"/>
      <c r="AI298" s="569"/>
      <c r="AJ298" s="569"/>
      <c r="AK298" s="569"/>
      <c r="AL298" s="569"/>
      <c r="AM298" s="569"/>
      <c r="AN298" s="569"/>
      <c r="AO298" s="569"/>
      <c r="AP298" s="569"/>
      <c r="AQ298" s="569"/>
      <c r="AR298" s="569"/>
      <c r="AS298" s="569"/>
      <c r="AT298" s="569"/>
      <c r="AU298" s="569"/>
      <c r="AV298" s="569"/>
      <c r="AW298" s="569"/>
      <c r="AX298" s="569"/>
      <c r="AY298" s="569"/>
      <c r="AZ298" s="569"/>
      <c r="BA298" s="569"/>
      <c r="BB298" s="569"/>
      <c r="BC298" s="569"/>
      <c r="BD298" s="569"/>
      <c r="BE298" s="569"/>
      <c r="BF298" s="569"/>
      <c r="BG298" s="569"/>
      <c r="BH298" s="569"/>
      <c r="BI298" s="569"/>
      <c r="BJ298" s="569"/>
      <c r="BK298" s="569"/>
      <c r="BL298" s="569"/>
      <c r="BM298" s="569"/>
      <c r="BN298" s="569"/>
      <c r="BO298" s="569"/>
      <c r="BP298" s="569"/>
      <c r="BQ298" s="569"/>
      <c r="BR298" s="569"/>
      <c r="BS298" s="569"/>
      <c r="BT298" s="569"/>
      <c r="BU298" s="569"/>
      <c r="BV298" s="569"/>
      <c r="BW298" s="569"/>
      <c r="BX298" s="569"/>
      <c r="BY298" s="569"/>
      <c r="BZ298" s="569"/>
      <c r="CA298" s="569"/>
      <c r="CB298" s="569"/>
      <c r="CC298" s="569"/>
      <c r="CD298" s="569"/>
      <c r="CE298" s="569"/>
      <c r="CF298" s="569"/>
      <c r="CG298" s="569"/>
      <c r="CH298" s="569"/>
      <c r="CI298" s="569"/>
      <c r="CJ298" s="569"/>
      <c r="CK298" s="569"/>
      <c r="CL298" s="569"/>
      <c r="CM298" s="569"/>
      <c r="CN298" s="569"/>
      <c r="CO298" s="569"/>
      <c r="CP298" s="569"/>
      <c r="CQ298" s="569"/>
      <c r="CR298" s="569"/>
      <c r="CS298" s="569"/>
      <c r="CT298" s="569"/>
      <c r="CU298" s="569"/>
      <c r="CV298" s="569"/>
      <c r="CW298" s="569"/>
      <c r="CX298" s="569"/>
      <c r="CY298" s="569"/>
      <c r="CZ298" s="569"/>
      <c r="DA298" s="569"/>
      <c r="DB298" s="569"/>
      <c r="DC298" s="569"/>
      <c r="DD298" s="569"/>
      <c r="DE298" s="569"/>
      <c r="DF298" s="569"/>
      <c r="DG298" s="569"/>
      <c r="DH298" s="569"/>
      <c r="DI298" s="569"/>
      <c r="DJ298" s="569"/>
      <c r="DK298" s="569"/>
      <c r="DL298" s="569"/>
      <c r="DM298" s="569"/>
      <c r="DN298" s="569"/>
      <c r="DO298" s="569"/>
      <c r="DP298" s="569"/>
      <c r="DQ298" s="569"/>
      <c r="DR298" s="569"/>
      <c r="DS298" s="569"/>
      <c r="DT298" s="569"/>
      <c r="DU298" s="569"/>
      <c r="DV298" s="569"/>
      <c r="DW298" s="569"/>
      <c r="DX298" s="569"/>
      <c r="DY298" s="569"/>
      <c r="DZ298" s="569"/>
      <c r="EA298" s="569"/>
      <c r="EB298" s="569"/>
      <c r="EC298" s="569"/>
      <c r="ED298" s="569"/>
      <c r="EE298" s="569"/>
      <c r="EF298" s="569"/>
      <c r="EG298" s="569"/>
      <c r="EH298" s="569"/>
      <c r="EI298" s="569"/>
      <c r="EJ298" s="569"/>
      <c r="EK298" s="569"/>
      <c r="EL298" s="569"/>
      <c r="EM298" s="569"/>
      <c r="EN298" s="569"/>
      <c r="EO298" s="569"/>
      <c r="EP298" s="569"/>
      <c r="EQ298" s="569"/>
      <c r="ER298" s="569"/>
      <c r="ES298" s="569"/>
      <c r="ET298" s="569"/>
      <c r="EU298" s="569"/>
      <c r="EV298" s="569"/>
      <c r="EW298" s="569"/>
      <c r="EX298" s="569"/>
      <c r="EY298" s="569"/>
      <c r="EZ298" s="569"/>
      <c r="FA298" s="569"/>
      <c r="FB298" s="569"/>
      <c r="FC298" s="569"/>
      <c r="FD298" s="569"/>
      <c r="FE298" s="569"/>
      <c r="FF298" s="569"/>
      <c r="FG298" s="569"/>
      <c r="FH298" s="569"/>
      <c r="FI298" s="569"/>
      <c r="FJ298" s="569"/>
      <c r="FK298" s="569"/>
      <c r="FL298" s="569"/>
      <c r="FM298" s="569"/>
      <c r="FN298" s="569"/>
      <c r="FO298" s="569"/>
      <c r="FP298" s="569"/>
      <c r="FQ298" s="569"/>
      <c r="FR298" s="569"/>
      <c r="FS298" s="569"/>
      <c r="FT298" s="569"/>
      <c r="FU298" s="569"/>
      <c r="FV298" s="569"/>
      <c r="FW298" s="569"/>
      <c r="FX298" s="569"/>
      <c r="FY298" s="569"/>
      <c r="FZ298" s="569"/>
      <c r="GA298" s="569"/>
      <c r="GB298" s="569"/>
      <c r="GC298" s="569"/>
      <c r="GD298" s="569"/>
      <c r="GE298" s="569"/>
      <c r="GF298" s="569"/>
      <c r="GG298" s="569"/>
      <c r="GH298" s="569"/>
      <c r="GI298" s="569"/>
      <c r="GJ298" s="569"/>
      <c r="GK298" s="569"/>
      <c r="GL298" s="569"/>
      <c r="GM298" s="569"/>
      <c r="GN298" s="569"/>
      <c r="GO298" s="569"/>
      <c r="GP298" s="569"/>
      <c r="GQ298" s="569"/>
      <c r="GR298" s="569"/>
      <c r="GS298" s="569"/>
      <c r="GT298" s="569"/>
    </row>
    <row r="299" spans="2:202" s="554" customFormat="1" ht="18" customHeight="1">
      <c r="B299" s="590"/>
      <c r="C299" s="1151"/>
      <c r="D299" s="1151"/>
      <c r="E299" s="1151"/>
      <c r="F299" s="1151"/>
      <c r="G299" s="1151"/>
      <c r="H299" s="1151"/>
      <c r="I299" s="1151"/>
      <c r="J299" s="1151"/>
      <c r="K299" s="1151"/>
      <c r="L299" s="1151"/>
      <c r="M299" s="590"/>
      <c r="N299" s="590"/>
      <c r="O299" s="590"/>
      <c r="P299" s="590"/>
      <c r="Q299" s="590"/>
      <c r="R299" s="590"/>
      <c r="S299" s="590"/>
      <c r="T299" s="590"/>
      <c r="U299" s="590"/>
      <c r="V299" s="590"/>
      <c r="W299" s="590"/>
      <c r="X299" s="590"/>
      <c r="Y299" s="590"/>
      <c r="Z299" s="590"/>
      <c r="AA299" s="590"/>
      <c r="AB299" s="590"/>
      <c r="AC299" s="590"/>
      <c r="AD299" s="590"/>
      <c r="AE299" s="590"/>
      <c r="AF299" s="590"/>
      <c r="AG299" s="590"/>
      <c r="AH299" s="569"/>
      <c r="AI299" s="569"/>
      <c r="AJ299" s="569"/>
      <c r="AK299" s="569"/>
      <c r="AL299" s="569"/>
      <c r="AM299" s="569"/>
      <c r="AN299" s="569"/>
      <c r="AO299" s="569"/>
      <c r="AP299" s="569"/>
      <c r="AQ299" s="569"/>
      <c r="AR299" s="569"/>
      <c r="AS299" s="569"/>
      <c r="AT299" s="569"/>
      <c r="AU299" s="569"/>
      <c r="AV299" s="569"/>
      <c r="AW299" s="569"/>
      <c r="AX299" s="569"/>
      <c r="AY299" s="569"/>
      <c r="AZ299" s="569"/>
      <c r="BA299" s="569"/>
      <c r="BB299" s="569"/>
      <c r="BC299" s="569"/>
      <c r="BD299" s="569"/>
      <c r="BE299" s="569"/>
      <c r="BF299" s="569"/>
      <c r="BG299" s="569"/>
      <c r="BH299" s="569"/>
      <c r="BI299" s="569"/>
      <c r="BJ299" s="569"/>
      <c r="BK299" s="569"/>
      <c r="BL299" s="569"/>
      <c r="BM299" s="569"/>
      <c r="BN299" s="569"/>
      <c r="BO299" s="569"/>
      <c r="BP299" s="569"/>
      <c r="BQ299" s="569"/>
      <c r="BR299" s="569"/>
      <c r="BS299" s="569"/>
      <c r="BT299" s="569"/>
      <c r="BU299" s="569"/>
      <c r="BV299" s="569"/>
      <c r="BW299" s="569"/>
      <c r="BX299" s="569"/>
      <c r="BY299" s="569"/>
      <c r="BZ299" s="569"/>
      <c r="CA299" s="569"/>
      <c r="CB299" s="569"/>
      <c r="CC299" s="569"/>
      <c r="CD299" s="569"/>
      <c r="CE299" s="569"/>
      <c r="CF299" s="569"/>
      <c r="CG299" s="569"/>
      <c r="CH299" s="569"/>
      <c r="CI299" s="569"/>
      <c r="CJ299" s="569"/>
      <c r="CK299" s="569"/>
      <c r="CL299" s="569"/>
      <c r="CM299" s="569"/>
      <c r="CN299" s="569"/>
      <c r="CO299" s="569"/>
      <c r="CP299" s="569"/>
      <c r="CQ299" s="569"/>
      <c r="CR299" s="569"/>
      <c r="CS299" s="569"/>
      <c r="CT299" s="569"/>
      <c r="CU299" s="569"/>
      <c r="CV299" s="569"/>
      <c r="CW299" s="569"/>
      <c r="CX299" s="569"/>
      <c r="CY299" s="569"/>
      <c r="CZ299" s="569"/>
      <c r="DA299" s="569"/>
      <c r="DB299" s="569"/>
      <c r="DC299" s="569"/>
      <c r="DD299" s="569"/>
      <c r="DE299" s="569"/>
      <c r="DF299" s="569"/>
      <c r="DG299" s="569"/>
      <c r="DH299" s="569"/>
      <c r="DI299" s="569"/>
      <c r="DJ299" s="569"/>
      <c r="DK299" s="569"/>
      <c r="DL299" s="569"/>
      <c r="DM299" s="569"/>
      <c r="DN299" s="569"/>
      <c r="DO299" s="569"/>
      <c r="DP299" s="569"/>
      <c r="DQ299" s="569"/>
      <c r="DR299" s="569"/>
      <c r="DS299" s="569"/>
      <c r="DT299" s="569"/>
      <c r="DU299" s="569"/>
      <c r="DV299" s="569"/>
      <c r="DW299" s="569"/>
      <c r="DX299" s="569"/>
      <c r="DY299" s="569"/>
      <c r="DZ299" s="569"/>
      <c r="EA299" s="569"/>
      <c r="EB299" s="569"/>
      <c r="EC299" s="569"/>
      <c r="ED299" s="569"/>
      <c r="EE299" s="569"/>
      <c r="EF299" s="569"/>
      <c r="EG299" s="569"/>
      <c r="EH299" s="569"/>
      <c r="EI299" s="569"/>
      <c r="EJ299" s="569"/>
      <c r="EK299" s="569"/>
      <c r="EL299" s="569"/>
      <c r="EM299" s="569"/>
      <c r="EN299" s="569"/>
      <c r="EO299" s="569"/>
      <c r="EP299" s="569"/>
      <c r="EQ299" s="569"/>
      <c r="ER299" s="569"/>
      <c r="ES299" s="569"/>
      <c r="ET299" s="569"/>
      <c r="EU299" s="569"/>
      <c r="EV299" s="569"/>
      <c r="EW299" s="569"/>
      <c r="EX299" s="569"/>
      <c r="EY299" s="569"/>
      <c r="EZ299" s="569"/>
      <c r="FA299" s="569"/>
      <c r="FB299" s="569"/>
      <c r="FC299" s="569"/>
      <c r="FD299" s="569"/>
      <c r="FE299" s="569"/>
      <c r="FF299" s="569"/>
      <c r="FG299" s="569"/>
      <c r="FH299" s="569"/>
      <c r="FI299" s="569"/>
      <c r="FJ299" s="569"/>
      <c r="FK299" s="569"/>
      <c r="FL299" s="569"/>
      <c r="FM299" s="569"/>
      <c r="FN299" s="569"/>
      <c r="FO299" s="569"/>
      <c r="FP299" s="569"/>
      <c r="FQ299" s="569"/>
      <c r="FR299" s="569"/>
      <c r="FS299" s="569"/>
      <c r="FT299" s="569"/>
      <c r="FU299" s="569"/>
      <c r="FV299" s="569"/>
      <c r="FW299" s="569"/>
      <c r="FX299" s="569"/>
      <c r="FY299" s="569"/>
      <c r="FZ299" s="569"/>
      <c r="GA299" s="569"/>
      <c r="GB299" s="569"/>
      <c r="GC299" s="569"/>
      <c r="GD299" s="569"/>
      <c r="GE299" s="569"/>
      <c r="GF299" s="569"/>
      <c r="GG299" s="569"/>
      <c r="GH299" s="569"/>
      <c r="GI299" s="569"/>
      <c r="GJ299" s="569"/>
      <c r="GK299" s="569"/>
      <c r="GL299" s="569"/>
      <c r="GM299" s="569"/>
      <c r="GN299" s="569"/>
      <c r="GO299" s="569"/>
      <c r="GP299" s="569"/>
      <c r="GQ299" s="569"/>
      <c r="GR299" s="569"/>
      <c r="GS299" s="569"/>
      <c r="GT299" s="569"/>
    </row>
    <row r="300" spans="2:202" s="554" customFormat="1" ht="18" customHeight="1">
      <c r="B300" s="590"/>
      <c r="C300" s="1151"/>
      <c r="D300" s="1151"/>
      <c r="E300" s="1151"/>
      <c r="F300" s="1151"/>
      <c r="G300" s="1151"/>
      <c r="H300" s="1151"/>
      <c r="I300" s="1151"/>
      <c r="J300" s="1151"/>
      <c r="K300" s="1151"/>
      <c r="L300" s="1151"/>
      <c r="M300" s="590"/>
      <c r="N300" s="590"/>
      <c r="O300" s="590"/>
      <c r="P300" s="590"/>
      <c r="Q300" s="590"/>
      <c r="R300" s="590"/>
      <c r="S300" s="590"/>
      <c r="T300" s="590"/>
      <c r="U300" s="590"/>
      <c r="V300" s="590"/>
      <c r="W300" s="590"/>
      <c r="X300" s="590"/>
      <c r="Y300" s="590"/>
      <c r="Z300" s="590"/>
      <c r="AA300" s="590"/>
      <c r="AB300" s="590"/>
      <c r="AC300" s="590"/>
      <c r="AD300" s="590"/>
      <c r="AE300" s="590"/>
      <c r="AF300" s="590"/>
      <c r="AG300" s="590"/>
      <c r="AH300" s="569"/>
      <c r="AI300" s="569"/>
      <c r="AJ300" s="569"/>
      <c r="AK300" s="569"/>
      <c r="AL300" s="569"/>
      <c r="AM300" s="569"/>
      <c r="AN300" s="569"/>
      <c r="AO300" s="569"/>
      <c r="AP300" s="569"/>
      <c r="AQ300" s="569"/>
      <c r="AR300" s="569"/>
      <c r="AS300" s="569"/>
      <c r="AT300" s="569"/>
      <c r="AU300" s="569"/>
      <c r="AV300" s="569"/>
      <c r="AW300" s="569"/>
      <c r="AX300" s="569"/>
      <c r="AY300" s="569"/>
      <c r="AZ300" s="569"/>
      <c r="BA300" s="569"/>
      <c r="BB300" s="569"/>
      <c r="BC300" s="569"/>
      <c r="BD300" s="569"/>
      <c r="BE300" s="569"/>
      <c r="BF300" s="569"/>
      <c r="BG300" s="569"/>
      <c r="BH300" s="569"/>
      <c r="BI300" s="569"/>
      <c r="BJ300" s="569"/>
      <c r="BK300" s="569"/>
      <c r="BL300" s="569"/>
      <c r="BM300" s="569"/>
      <c r="BN300" s="569"/>
      <c r="BO300" s="569"/>
      <c r="BP300" s="569"/>
      <c r="BQ300" s="569"/>
      <c r="BR300" s="569"/>
      <c r="BS300" s="569"/>
      <c r="BT300" s="569"/>
      <c r="BU300" s="569"/>
      <c r="BV300" s="569"/>
      <c r="BW300" s="569"/>
      <c r="BX300" s="569"/>
      <c r="BY300" s="569"/>
      <c r="BZ300" s="569"/>
      <c r="CA300" s="569"/>
      <c r="CB300" s="569"/>
      <c r="CC300" s="569"/>
      <c r="CD300" s="569"/>
      <c r="CE300" s="569"/>
      <c r="CF300" s="569"/>
      <c r="CG300" s="569"/>
      <c r="CH300" s="569"/>
      <c r="CI300" s="569"/>
      <c r="CJ300" s="569"/>
      <c r="CK300" s="569"/>
      <c r="CL300" s="569"/>
      <c r="CM300" s="569"/>
      <c r="CN300" s="569"/>
      <c r="CO300" s="569"/>
      <c r="CP300" s="569"/>
      <c r="CQ300" s="569"/>
      <c r="CR300" s="569"/>
      <c r="CS300" s="569"/>
      <c r="CT300" s="569"/>
      <c r="CU300" s="569"/>
      <c r="CV300" s="569"/>
      <c r="CW300" s="569"/>
      <c r="CX300" s="569"/>
      <c r="CY300" s="569"/>
      <c r="CZ300" s="569"/>
      <c r="DA300" s="569"/>
      <c r="DB300" s="569"/>
      <c r="DC300" s="569"/>
      <c r="DD300" s="569"/>
      <c r="DE300" s="569"/>
      <c r="DF300" s="569"/>
      <c r="DG300" s="569"/>
      <c r="DH300" s="569"/>
      <c r="DI300" s="569"/>
      <c r="DJ300" s="569"/>
      <c r="DK300" s="569"/>
      <c r="DL300" s="569"/>
      <c r="DM300" s="569"/>
      <c r="DN300" s="569"/>
      <c r="DO300" s="569"/>
      <c r="DP300" s="569"/>
      <c r="DQ300" s="569"/>
      <c r="DR300" s="569"/>
      <c r="DS300" s="569"/>
      <c r="DT300" s="569"/>
      <c r="DU300" s="569"/>
      <c r="DV300" s="569"/>
      <c r="DW300" s="569"/>
      <c r="DX300" s="569"/>
      <c r="DY300" s="569"/>
      <c r="DZ300" s="569"/>
      <c r="EA300" s="569"/>
      <c r="EB300" s="569"/>
      <c r="EC300" s="569"/>
      <c r="ED300" s="569"/>
      <c r="EE300" s="569"/>
      <c r="EF300" s="569"/>
      <c r="EG300" s="569"/>
      <c r="EH300" s="569"/>
      <c r="EI300" s="569"/>
      <c r="EJ300" s="569"/>
      <c r="EK300" s="569"/>
      <c r="EL300" s="569"/>
      <c r="EM300" s="569"/>
      <c r="EN300" s="569"/>
      <c r="EO300" s="569"/>
      <c r="EP300" s="569"/>
      <c r="EQ300" s="569"/>
      <c r="ER300" s="569"/>
      <c r="ES300" s="569"/>
      <c r="ET300" s="569"/>
      <c r="EU300" s="569"/>
      <c r="EV300" s="569"/>
      <c r="EW300" s="569"/>
      <c r="EX300" s="569"/>
      <c r="EY300" s="569"/>
      <c r="EZ300" s="569"/>
      <c r="FA300" s="569"/>
      <c r="FB300" s="569"/>
      <c r="FC300" s="569"/>
      <c r="FD300" s="569"/>
      <c r="FE300" s="569"/>
      <c r="FF300" s="569"/>
      <c r="FG300" s="569"/>
      <c r="FH300" s="569"/>
      <c r="FI300" s="569"/>
      <c r="FJ300" s="569"/>
      <c r="FK300" s="569"/>
      <c r="FL300" s="569"/>
      <c r="FM300" s="569"/>
      <c r="FN300" s="569"/>
      <c r="FO300" s="569"/>
      <c r="FP300" s="569"/>
      <c r="FQ300" s="569"/>
      <c r="FR300" s="569"/>
      <c r="FS300" s="569"/>
      <c r="FT300" s="569"/>
      <c r="FU300" s="569"/>
      <c r="FV300" s="569"/>
      <c r="FW300" s="569"/>
      <c r="FX300" s="569"/>
      <c r="FY300" s="569"/>
      <c r="FZ300" s="569"/>
      <c r="GA300" s="569"/>
      <c r="GB300" s="569"/>
      <c r="GC300" s="569"/>
      <c r="GD300" s="569"/>
      <c r="GE300" s="569"/>
      <c r="GF300" s="569"/>
      <c r="GG300" s="569"/>
      <c r="GH300" s="569"/>
      <c r="GI300" s="569"/>
      <c r="GJ300" s="569"/>
      <c r="GK300" s="569"/>
      <c r="GL300" s="569"/>
      <c r="GM300" s="569"/>
      <c r="GN300" s="569"/>
      <c r="GO300" s="569"/>
      <c r="GP300" s="569"/>
      <c r="GQ300" s="569"/>
      <c r="GR300" s="569"/>
      <c r="GS300" s="569"/>
      <c r="GT300" s="569"/>
    </row>
    <row r="301" spans="2:202" s="554" customFormat="1" ht="18" customHeight="1">
      <c r="B301" s="590"/>
      <c r="C301" s="1151"/>
      <c r="D301" s="1151"/>
      <c r="E301" s="1151"/>
      <c r="F301" s="1151"/>
      <c r="G301" s="1151"/>
      <c r="H301" s="1151"/>
      <c r="I301" s="1151"/>
      <c r="J301" s="1151"/>
      <c r="K301" s="1151"/>
      <c r="L301" s="1151"/>
      <c r="M301" s="590"/>
      <c r="N301" s="590"/>
      <c r="O301" s="590"/>
      <c r="P301" s="590"/>
      <c r="Q301" s="590"/>
      <c r="R301" s="590"/>
      <c r="S301" s="590"/>
      <c r="T301" s="590"/>
      <c r="U301" s="590"/>
      <c r="V301" s="590"/>
      <c r="W301" s="590"/>
      <c r="X301" s="590"/>
      <c r="Y301" s="590"/>
      <c r="Z301" s="590"/>
      <c r="AA301" s="590"/>
      <c r="AB301" s="590"/>
      <c r="AC301" s="590"/>
      <c r="AD301" s="590"/>
      <c r="AE301" s="590"/>
      <c r="AF301" s="590"/>
      <c r="AG301" s="590"/>
      <c r="AH301" s="569"/>
      <c r="AI301" s="569"/>
      <c r="AJ301" s="569"/>
      <c r="AK301" s="569"/>
      <c r="AL301" s="569"/>
      <c r="AM301" s="569"/>
      <c r="AN301" s="569"/>
      <c r="AO301" s="569"/>
      <c r="AP301" s="569"/>
      <c r="AQ301" s="569"/>
      <c r="AR301" s="569"/>
      <c r="AS301" s="569"/>
      <c r="AT301" s="569"/>
      <c r="AU301" s="569"/>
      <c r="AV301" s="569"/>
      <c r="AW301" s="569"/>
      <c r="AX301" s="569"/>
      <c r="AY301" s="569"/>
      <c r="AZ301" s="569"/>
      <c r="BA301" s="569"/>
      <c r="BB301" s="569"/>
      <c r="BC301" s="569"/>
      <c r="BD301" s="569"/>
      <c r="BE301" s="569"/>
      <c r="BF301" s="569"/>
      <c r="BG301" s="569"/>
      <c r="BH301" s="569"/>
      <c r="BI301" s="569"/>
      <c r="BJ301" s="569"/>
      <c r="BK301" s="569"/>
      <c r="BL301" s="569"/>
      <c r="BM301" s="569"/>
      <c r="BN301" s="569"/>
      <c r="BO301" s="569"/>
      <c r="BP301" s="569"/>
      <c r="BQ301" s="569"/>
      <c r="BR301" s="569"/>
      <c r="BS301" s="569"/>
      <c r="BT301" s="569"/>
      <c r="BU301" s="569"/>
      <c r="BV301" s="569"/>
      <c r="BW301" s="569"/>
      <c r="BX301" s="569"/>
      <c r="BY301" s="569"/>
      <c r="BZ301" s="569"/>
      <c r="CA301" s="569"/>
      <c r="CB301" s="569"/>
      <c r="CC301" s="569"/>
      <c r="CD301" s="569"/>
      <c r="CE301" s="569"/>
      <c r="CF301" s="569"/>
      <c r="CG301" s="569"/>
      <c r="CH301" s="569"/>
      <c r="CI301" s="569"/>
      <c r="CJ301" s="569"/>
      <c r="CK301" s="569"/>
      <c r="CL301" s="569"/>
      <c r="CM301" s="569"/>
      <c r="CN301" s="569"/>
      <c r="CO301" s="569"/>
      <c r="CP301" s="569"/>
      <c r="CQ301" s="569"/>
      <c r="CR301" s="569"/>
      <c r="CS301" s="569"/>
      <c r="CT301" s="569"/>
      <c r="CU301" s="569"/>
      <c r="CV301" s="569"/>
      <c r="CW301" s="569"/>
      <c r="CX301" s="569"/>
      <c r="CY301" s="569"/>
      <c r="CZ301" s="569"/>
      <c r="DA301" s="569"/>
      <c r="DB301" s="569"/>
      <c r="DC301" s="569"/>
      <c r="DD301" s="569"/>
      <c r="DE301" s="569"/>
      <c r="DF301" s="569"/>
      <c r="DG301" s="569"/>
      <c r="DH301" s="569"/>
      <c r="DI301" s="569"/>
      <c r="DJ301" s="569"/>
      <c r="DK301" s="569"/>
      <c r="DL301" s="569"/>
      <c r="DM301" s="569"/>
      <c r="DN301" s="569"/>
      <c r="DO301" s="569"/>
      <c r="DP301" s="569"/>
      <c r="DQ301" s="569"/>
      <c r="DR301" s="569"/>
      <c r="DS301" s="569"/>
      <c r="DT301" s="569"/>
      <c r="DU301" s="569"/>
      <c r="DV301" s="569"/>
      <c r="DW301" s="569"/>
      <c r="DX301" s="569"/>
      <c r="DY301" s="569"/>
      <c r="DZ301" s="569"/>
      <c r="EA301" s="569"/>
      <c r="EB301" s="569"/>
      <c r="EC301" s="569"/>
      <c r="ED301" s="569"/>
      <c r="EE301" s="569"/>
      <c r="EF301" s="569"/>
      <c r="EG301" s="569"/>
      <c r="EH301" s="569"/>
      <c r="EI301" s="569"/>
      <c r="EJ301" s="569"/>
      <c r="EK301" s="569"/>
      <c r="EL301" s="569"/>
      <c r="EM301" s="569"/>
      <c r="EN301" s="569"/>
      <c r="EO301" s="569"/>
      <c r="EP301" s="569"/>
      <c r="EQ301" s="569"/>
      <c r="ER301" s="569"/>
      <c r="ES301" s="569"/>
      <c r="ET301" s="569"/>
      <c r="EU301" s="569"/>
      <c r="EV301" s="569"/>
      <c r="EW301" s="569"/>
      <c r="EX301" s="569"/>
      <c r="EY301" s="569"/>
      <c r="EZ301" s="569"/>
      <c r="FA301" s="569"/>
      <c r="FB301" s="569"/>
      <c r="FC301" s="569"/>
      <c r="FD301" s="569"/>
      <c r="FE301" s="569"/>
      <c r="FF301" s="569"/>
      <c r="FG301" s="569"/>
      <c r="FH301" s="569"/>
      <c r="FI301" s="569"/>
      <c r="FJ301" s="569"/>
      <c r="FK301" s="569"/>
      <c r="FL301" s="569"/>
      <c r="FM301" s="569"/>
      <c r="FN301" s="569"/>
      <c r="FO301" s="569"/>
      <c r="FP301" s="569"/>
      <c r="FQ301" s="569"/>
      <c r="FR301" s="569"/>
      <c r="FS301" s="569"/>
      <c r="FT301" s="569"/>
      <c r="FU301" s="569"/>
      <c r="FV301" s="569"/>
      <c r="FW301" s="569"/>
      <c r="FX301" s="569"/>
      <c r="FY301" s="569"/>
      <c r="FZ301" s="569"/>
      <c r="GA301" s="569"/>
      <c r="GB301" s="569"/>
      <c r="GC301" s="569"/>
      <c r="GD301" s="569"/>
      <c r="GE301" s="569"/>
      <c r="GF301" s="569"/>
      <c r="GG301" s="569"/>
      <c r="GH301" s="569"/>
      <c r="GI301" s="569"/>
      <c r="GJ301" s="569"/>
      <c r="GK301" s="569"/>
      <c r="GL301" s="569"/>
      <c r="GM301" s="569"/>
      <c r="GN301" s="569"/>
      <c r="GO301" s="569"/>
      <c r="GP301" s="569"/>
      <c r="GQ301" s="569"/>
      <c r="GR301" s="569"/>
      <c r="GS301" s="569"/>
      <c r="GT301" s="569"/>
    </row>
    <row r="302" spans="2:202" s="554" customFormat="1" ht="18" customHeight="1">
      <c r="B302" s="590"/>
      <c r="C302" s="1151"/>
      <c r="D302" s="1151"/>
      <c r="E302" s="1151"/>
      <c r="F302" s="1151"/>
      <c r="G302" s="1151"/>
      <c r="H302" s="1151"/>
      <c r="I302" s="1151"/>
      <c r="J302" s="1151"/>
      <c r="K302" s="1151"/>
      <c r="L302" s="1151"/>
      <c r="M302" s="590"/>
      <c r="N302" s="590"/>
      <c r="O302" s="590"/>
      <c r="P302" s="590"/>
      <c r="Q302" s="590"/>
      <c r="R302" s="590"/>
      <c r="S302" s="590"/>
      <c r="T302" s="590"/>
      <c r="U302" s="590"/>
      <c r="V302" s="590"/>
      <c r="W302" s="590"/>
      <c r="X302" s="590"/>
      <c r="Y302" s="590"/>
      <c r="Z302" s="590"/>
      <c r="AA302" s="590"/>
      <c r="AB302" s="590"/>
      <c r="AC302" s="590"/>
      <c r="AD302" s="590"/>
      <c r="AE302" s="590"/>
      <c r="AF302" s="590"/>
      <c r="AG302" s="590"/>
      <c r="AH302" s="569"/>
      <c r="AI302" s="569"/>
      <c r="AJ302" s="569"/>
      <c r="AK302" s="569"/>
      <c r="AL302" s="569"/>
      <c r="AM302" s="569"/>
      <c r="AN302" s="569"/>
      <c r="AO302" s="569"/>
      <c r="AP302" s="569"/>
      <c r="AQ302" s="569"/>
      <c r="AR302" s="569"/>
      <c r="AS302" s="569"/>
      <c r="AT302" s="569"/>
      <c r="AU302" s="569"/>
      <c r="AV302" s="569"/>
      <c r="AW302" s="569"/>
      <c r="AX302" s="569"/>
      <c r="AY302" s="569"/>
      <c r="AZ302" s="569"/>
      <c r="BA302" s="569"/>
      <c r="BB302" s="569"/>
      <c r="BC302" s="569"/>
      <c r="BD302" s="569"/>
      <c r="BE302" s="569"/>
      <c r="BF302" s="569"/>
      <c r="BG302" s="569"/>
      <c r="BH302" s="569"/>
      <c r="BI302" s="569"/>
      <c r="BJ302" s="569"/>
      <c r="BK302" s="569"/>
      <c r="BL302" s="569"/>
      <c r="BM302" s="569"/>
      <c r="BN302" s="569"/>
      <c r="BO302" s="569"/>
      <c r="BP302" s="569"/>
      <c r="BQ302" s="569"/>
      <c r="BR302" s="569"/>
      <c r="BS302" s="569"/>
      <c r="BT302" s="569"/>
      <c r="BU302" s="569"/>
      <c r="BV302" s="569"/>
      <c r="BW302" s="569"/>
      <c r="BX302" s="569"/>
      <c r="BY302" s="569"/>
      <c r="BZ302" s="569"/>
      <c r="CA302" s="569"/>
      <c r="CB302" s="569"/>
      <c r="CC302" s="569"/>
      <c r="CD302" s="569"/>
      <c r="CE302" s="569"/>
      <c r="CF302" s="569"/>
      <c r="CG302" s="569"/>
      <c r="CH302" s="569"/>
      <c r="CI302" s="569"/>
      <c r="CJ302" s="569"/>
      <c r="CK302" s="569"/>
      <c r="CL302" s="569"/>
      <c r="CM302" s="569"/>
      <c r="CN302" s="569"/>
      <c r="CO302" s="569"/>
      <c r="CP302" s="569"/>
      <c r="CQ302" s="569"/>
      <c r="CR302" s="569"/>
      <c r="CS302" s="569"/>
      <c r="CT302" s="569"/>
      <c r="CU302" s="569"/>
      <c r="CV302" s="569"/>
      <c r="CW302" s="569"/>
      <c r="CX302" s="569"/>
      <c r="CY302" s="569"/>
      <c r="CZ302" s="569"/>
      <c r="DA302" s="569"/>
      <c r="DB302" s="569"/>
      <c r="DC302" s="569"/>
      <c r="DD302" s="569"/>
      <c r="DE302" s="569"/>
      <c r="DF302" s="569"/>
      <c r="DG302" s="569"/>
      <c r="DH302" s="569"/>
      <c r="DI302" s="569"/>
      <c r="DJ302" s="569"/>
      <c r="DK302" s="569"/>
      <c r="DL302" s="569"/>
      <c r="DM302" s="569"/>
      <c r="DN302" s="569"/>
      <c r="DO302" s="569"/>
      <c r="DP302" s="569"/>
      <c r="DQ302" s="569"/>
      <c r="DR302" s="569"/>
      <c r="DS302" s="569"/>
      <c r="DT302" s="569"/>
      <c r="DU302" s="569"/>
      <c r="DV302" s="569"/>
      <c r="DW302" s="569"/>
      <c r="DX302" s="569"/>
      <c r="DY302" s="569"/>
      <c r="DZ302" s="569"/>
      <c r="EA302" s="569"/>
      <c r="EB302" s="569"/>
      <c r="EC302" s="569"/>
      <c r="ED302" s="569"/>
      <c r="EE302" s="569"/>
      <c r="EF302" s="569"/>
      <c r="EG302" s="569"/>
      <c r="EH302" s="569"/>
      <c r="EI302" s="569"/>
      <c r="EJ302" s="569"/>
      <c r="EK302" s="569"/>
      <c r="EL302" s="569"/>
      <c r="EM302" s="569"/>
      <c r="EN302" s="569"/>
      <c r="EO302" s="569"/>
      <c r="EP302" s="569"/>
      <c r="EQ302" s="569"/>
      <c r="ER302" s="569"/>
      <c r="ES302" s="569"/>
      <c r="ET302" s="569"/>
      <c r="EU302" s="569"/>
      <c r="EV302" s="569"/>
      <c r="EW302" s="569"/>
      <c r="EX302" s="569"/>
      <c r="EY302" s="569"/>
      <c r="EZ302" s="569"/>
      <c r="FA302" s="569"/>
      <c r="FB302" s="569"/>
      <c r="FC302" s="569"/>
      <c r="FD302" s="569"/>
      <c r="FE302" s="569"/>
      <c r="FF302" s="569"/>
      <c r="FG302" s="569"/>
      <c r="FH302" s="569"/>
      <c r="FI302" s="569"/>
      <c r="FJ302" s="569"/>
      <c r="FK302" s="569"/>
      <c r="FL302" s="569"/>
      <c r="FM302" s="569"/>
      <c r="FN302" s="569"/>
      <c r="FO302" s="569"/>
      <c r="FP302" s="569"/>
      <c r="FQ302" s="569"/>
      <c r="FR302" s="569"/>
      <c r="FS302" s="569"/>
      <c r="FT302" s="569"/>
      <c r="FU302" s="569"/>
      <c r="FV302" s="569"/>
      <c r="FW302" s="569"/>
      <c r="FX302" s="569"/>
      <c r="FY302" s="569"/>
      <c r="FZ302" s="569"/>
      <c r="GA302" s="569"/>
      <c r="GB302" s="569"/>
      <c r="GC302" s="569"/>
      <c r="GD302" s="569"/>
      <c r="GE302" s="569"/>
      <c r="GF302" s="569"/>
      <c r="GG302" s="569"/>
      <c r="GH302" s="569"/>
      <c r="GI302" s="569"/>
      <c r="GJ302" s="569"/>
      <c r="GK302" s="569"/>
      <c r="GL302" s="569"/>
      <c r="GM302" s="569"/>
      <c r="GN302" s="569"/>
      <c r="GO302" s="569"/>
      <c r="GP302" s="569"/>
      <c r="GQ302" s="569"/>
      <c r="GR302" s="569"/>
      <c r="GS302" s="569"/>
      <c r="GT302" s="569"/>
    </row>
    <row r="303" spans="2:202" s="554" customFormat="1" ht="18" customHeight="1">
      <c r="B303" s="590"/>
      <c r="C303" s="1151"/>
      <c r="D303" s="1151"/>
      <c r="E303" s="1151"/>
      <c r="F303" s="1151"/>
      <c r="G303" s="1151"/>
      <c r="H303" s="1151"/>
      <c r="I303" s="1151"/>
      <c r="J303" s="1151"/>
      <c r="K303" s="1151"/>
      <c r="L303" s="1151"/>
      <c r="M303" s="590"/>
      <c r="N303" s="590"/>
      <c r="O303" s="590"/>
      <c r="P303" s="590"/>
      <c r="Q303" s="590"/>
      <c r="R303" s="590"/>
      <c r="S303" s="590"/>
      <c r="T303" s="590"/>
      <c r="U303" s="590"/>
      <c r="V303" s="590"/>
      <c r="W303" s="590"/>
      <c r="X303" s="590"/>
      <c r="Y303" s="590"/>
      <c r="Z303" s="590"/>
      <c r="AA303" s="590"/>
      <c r="AB303" s="590"/>
      <c r="AC303" s="590"/>
      <c r="AD303" s="590"/>
      <c r="AE303" s="590"/>
      <c r="AF303" s="590"/>
      <c r="AG303" s="590"/>
      <c r="AH303" s="569"/>
      <c r="AI303" s="569"/>
      <c r="AJ303" s="569"/>
      <c r="AK303" s="569"/>
      <c r="AL303" s="569"/>
      <c r="AM303" s="569"/>
      <c r="AN303" s="569"/>
      <c r="AO303" s="569"/>
      <c r="AP303" s="569"/>
      <c r="AQ303" s="569"/>
      <c r="AR303" s="569"/>
      <c r="AS303" s="569"/>
      <c r="AT303" s="569"/>
      <c r="AU303" s="569"/>
      <c r="AV303" s="569"/>
      <c r="AW303" s="569"/>
      <c r="AX303" s="569"/>
      <c r="AY303" s="569"/>
      <c r="AZ303" s="569"/>
      <c r="BA303" s="569"/>
      <c r="BB303" s="569"/>
      <c r="BC303" s="569"/>
      <c r="BD303" s="569"/>
      <c r="BE303" s="569"/>
      <c r="BF303" s="569"/>
      <c r="BG303" s="569"/>
      <c r="BH303" s="569"/>
      <c r="BI303" s="569"/>
      <c r="BJ303" s="569"/>
      <c r="BK303" s="569"/>
      <c r="BL303" s="569"/>
      <c r="BM303" s="569"/>
      <c r="BN303" s="569"/>
      <c r="BO303" s="569"/>
      <c r="BP303" s="569"/>
      <c r="BQ303" s="569"/>
      <c r="BR303" s="569"/>
      <c r="BS303" s="569"/>
      <c r="BT303" s="569"/>
      <c r="BU303" s="569"/>
      <c r="BV303" s="569"/>
      <c r="BW303" s="569"/>
      <c r="BX303" s="569"/>
      <c r="BY303" s="569"/>
      <c r="BZ303" s="569"/>
      <c r="CA303" s="569"/>
      <c r="CB303" s="569"/>
      <c r="CC303" s="569"/>
      <c r="CD303" s="569"/>
      <c r="CE303" s="569"/>
      <c r="CF303" s="569"/>
      <c r="CG303" s="569"/>
      <c r="CH303" s="569"/>
      <c r="CI303" s="569"/>
      <c r="CJ303" s="569"/>
      <c r="CK303" s="569"/>
      <c r="CL303" s="569"/>
      <c r="CM303" s="569"/>
      <c r="CN303" s="569"/>
      <c r="CO303" s="569"/>
      <c r="CP303" s="569"/>
      <c r="CQ303" s="569"/>
      <c r="CR303" s="569"/>
      <c r="CS303" s="569"/>
      <c r="CT303" s="569"/>
      <c r="CU303" s="569"/>
      <c r="CV303" s="569"/>
      <c r="CW303" s="569"/>
      <c r="CX303" s="569"/>
      <c r="CY303" s="569"/>
      <c r="CZ303" s="569"/>
      <c r="DA303" s="569"/>
      <c r="DB303" s="569"/>
      <c r="DC303" s="569"/>
      <c r="DD303" s="569"/>
      <c r="DE303" s="569"/>
      <c r="DF303" s="569"/>
      <c r="DG303" s="569"/>
      <c r="DH303" s="569"/>
      <c r="DI303" s="569"/>
      <c r="DJ303" s="569"/>
      <c r="DK303" s="569"/>
      <c r="DL303" s="569"/>
      <c r="DM303" s="569"/>
      <c r="DN303" s="569"/>
      <c r="DO303" s="569"/>
      <c r="DP303" s="569"/>
      <c r="DQ303" s="569"/>
      <c r="DR303" s="569"/>
      <c r="DS303" s="569"/>
      <c r="DT303" s="569"/>
      <c r="DU303" s="569"/>
      <c r="DV303" s="569"/>
      <c r="DW303" s="569"/>
      <c r="DX303" s="569"/>
      <c r="DY303" s="569"/>
      <c r="DZ303" s="569"/>
      <c r="EA303" s="569"/>
      <c r="EB303" s="569"/>
      <c r="EC303" s="569"/>
      <c r="ED303" s="569"/>
      <c r="EE303" s="569"/>
      <c r="EF303" s="569"/>
      <c r="EG303" s="569"/>
      <c r="EH303" s="569"/>
      <c r="EI303" s="569"/>
      <c r="EJ303" s="569"/>
      <c r="EK303" s="569"/>
      <c r="EL303" s="569"/>
      <c r="EM303" s="569"/>
      <c r="EN303" s="569"/>
      <c r="EO303" s="569"/>
      <c r="EP303" s="569"/>
      <c r="EQ303" s="569"/>
      <c r="ER303" s="569"/>
      <c r="ES303" s="569"/>
      <c r="ET303" s="569"/>
      <c r="EU303" s="569"/>
      <c r="EV303" s="569"/>
      <c r="EW303" s="569"/>
      <c r="EX303" s="569"/>
      <c r="EY303" s="569"/>
      <c r="EZ303" s="569"/>
      <c r="FA303" s="569"/>
      <c r="FB303" s="569"/>
      <c r="FC303" s="569"/>
      <c r="FD303" s="569"/>
      <c r="FE303" s="569"/>
      <c r="FF303" s="569"/>
      <c r="FG303" s="569"/>
      <c r="FH303" s="569"/>
      <c r="FI303" s="569"/>
      <c r="FJ303" s="569"/>
      <c r="FK303" s="569"/>
      <c r="FL303" s="569"/>
      <c r="FM303" s="569"/>
      <c r="FN303" s="569"/>
      <c r="FO303" s="569"/>
      <c r="FP303" s="569"/>
      <c r="FQ303" s="569"/>
      <c r="FR303" s="569"/>
      <c r="FS303" s="569"/>
      <c r="FT303" s="569"/>
      <c r="FU303" s="569"/>
      <c r="FV303" s="569"/>
      <c r="FW303" s="569"/>
      <c r="FX303" s="569"/>
      <c r="FY303" s="569"/>
      <c r="FZ303" s="569"/>
      <c r="GA303" s="569"/>
      <c r="GB303" s="569"/>
      <c r="GC303" s="569"/>
      <c r="GD303" s="569"/>
      <c r="GE303" s="569"/>
      <c r="GF303" s="569"/>
      <c r="GG303" s="569"/>
      <c r="GH303" s="569"/>
      <c r="GI303" s="569"/>
      <c r="GJ303" s="569"/>
      <c r="GK303" s="569"/>
      <c r="GL303" s="569"/>
      <c r="GM303" s="569"/>
      <c r="GN303" s="569"/>
      <c r="GO303" s="569"/>
      <c r="GP303" s="569"/>
      <c r="GQ303" s="569"/>
      <c r="GR303" s="569"/>
      <c r="GS303" s="569"/>
      <c r="GT303" s="569"/>
    </row>
    <row r="304" spans="2:202" s="554" customFormat="1" ht="18" customHeight="1">
      <c r="B304" s="590"/>
      <c r="C304" s="1151"/>
      <c r="D304" s="1151"/>
      <c r="E304" s="1151"/>
      <c r="F304" s="1151"/>
      <c r="G304" s="1151"/>
      <c r="H304" s="1151"/>
      <c r="I304" s="1151"/>
      <c r="J304" s="1151"/>
      <c r="K304" s="1151"/>
      <c r="L304" s="1151"/>
      <c r="M304" s="590"/>
      <c r="N304" s="590"/>
      <c r="O304" s="590"/>
      <c r="P304" s="590"/>
      <c r="Q304" s="590"/>
      <c r="R304" s="590"/>
      <c r="S304" s="590"/>
      <c r="T304" s="590"/>
      <c r="U304" s="590"/>
      <c r="V304" s="590"/>
      <c r="W304" s="590"/>
      <c r="X304" s="590"/>
      <c r="Y304" s="590"/>
      <c r="Z304" s="590"/>
      <c r="AA304" s="590"/>
      <c r="AB304" s="590"/>
      <c r="AC304" s="590"/>
      <c r="AD304" s="590"/>
      <c r="AE304" s="590"/>
      <c r="AF304" s="590"/>
      <c r="AG304" s="590"/>
      <c r="AH304" s="569"/>
      <c r="AI304" s="569"/>
      <c r="AJ304" s="569"/>
      <c r="AK304" s="569"/>
      <c r="AL304" s="569"/>
      <c r="AM304" s="569"/>
      <c r="AN304" s="569"/>
      <c r="AO304" s="569"/>
      <c r="AP304" s="569"/>
      <c r="AQ304" s="569"/>
      <c r="AR304" s="569"/>
      <c r="AS304" s="569"/>
      <c r="AT304" s="569"/>
      <c r="AU304" s="569"/>
      <c r="AV304" s="569"/>
      <c r="AW304" s="569"/>
      <c r="AX304" s="569"/>
      <c r="AY304" s="569"/>
      <c r="AZ304" s="569"/>
      <c r="BA304" s="569"/>
      <c r="BB304" s="569"/>
      <c r="BC304" s="569"/>
      <c r="BD304" s="569"/>
      <c r="BE304" s="569"/>
      <c r="BF304" s="569"/>
      <c r="BG304" s="569"/>
      <c r="BH304" s="569"/>
      <c r="BI304" s="569"/>
      <c r="BJ304" s="569"/>
      <c r="BK304" s="569"/>
      <c r="BL304" s="569"/>
      <c r="BM304" s="569"/>
      <c r="BN304" s="569"/>
      <c r="BO304" s="569"/>
      <c r="BP304" s="569"/>
      <c r="BQ304" s="569"/>
      <c r="BR304" s="569"/>
      <c r="BS304" s="569"/>
      <c r="BT304" s="569"/>
      <c r="BU304" s="569"/>
      <c r="BV304" s="569"/>
      <c r="BW304" s="569"/>
      <c r="BX304" s="569"/>
      <c r="BY304" s="569"/>
      <c r="BZ304" s="569"/>
      <c r="CA304" s="569"/>
      <c r="CB304" s="569"/>
      <c r="CC304" s="569"/>
      <c r="CD304" s="569"/>
      <c r="CE304" s="569"/>
      <c r="CF304" s="569"/>
      <c r="CG304" s="569"/>
      <c r="CH304" s="569"/>
      <c r="CI304" s="569"/>
      <c r="CJ304" s="569"/>
      <c r="CK304" s="569"/>
      <c r="CL304" s="569"/>
      <c r="CM304" s="569"/>
      <c r="CN304" s="569"/>
      <c r="CO304" s="569"/>
      <c r="CP304" s="569"/>
      <c r="CQ304" s="569"/>
      <c r="CR304" s="569"/>
      <c r="CS304" s="569"/>
      <c r="CT304" s="569"/>
      <c r="CU304" s="569"/>
      <c r="CV304" s="569"/>
      <c r="CW304" s="569"/>
      <c r="CX304" s="569"/>
      <c r="CY304" s="569"/>
      <c r="CZ304" s="569"/>
      <c r="DA304" s="569"/>
      <c r="DB304" s="569"/>
      <c r="DC304" s="569"/>
      <c r="DD304" s="569"/>
      <c r="DE304" s="569"/>
      <c r="DF304" s="569"/>
      <c r="DG304" s="569"/>
      <c r="DH304" s="569"/>
      <c r="DI304" s="569"/>
      <c r="DJ304" s="569"/>
      <c r="DK304" s="569"/>
      <c r="DL304" s="569"/>
      <c r="DM304" s="569"/>
      <c r="DN304" s="569"/>
      <c r="DO304" s="569"/>
      <c r="DP304" s="569"/>
      <c r="DQ304" s="569"/>
      <c r="DR304" s="569"/>
      <c r="DS304" s="569"/>
      <c r="DT304" s="569"/>
      <c r="DU304" s="569"/>
      <c r="DV304" s="569"/>
      <c r="DW304" s="569"/>
      <c r="DX304" s="569"/>
      <c r="DY304" s="569"/>
      <c r="DZ304" s="569"/>
      <c r="EA304" s="569"/>
      <c r="EB304" s="569"/>
      <c r="EC304" s="569"/>
      <c r="ED304" s="569"/>
      <c r="EE304" s="569"/>
      <c r="EF304" s="569"/>
      <c r="EG304" s="569"/>
      <c r="EH304" s="569"/>
      <c r="EI304" s="569"/>
      <c r="EJ304" s="569"/>
      <c r="EK304" s="569"/>
      <c r="EL304" s="569"/>
      <c r="EM304" s="569"/>
      <c r="EN304" s="569"/>
      <c r="EO304" s="569"/>
      <c r="EP304" s="569"/>
      <c r="EQ304" s="569"/>
      <c r="ER304" s="569"/>
      <c r="ES304" s="569"/>
      <c r="ET304" s="569"/>
      <c r="EU304" s="569"/>
      <c r="EV304" s="569"/>
      <c r="EW304" s="569"/>
      <c r="EX304" s="569"/>
      <c r="EY304" s="569"/>
      <c r="EZ304" s="569"/>
      <c r="FA304" s="569"/>
      <c r="FB304" s="569"/>
      <c r="FC304" s="569"/>
      <c r="FD304" s="569"/>
      <c r="FE304" s="569"/>
      <c r="FF304" s="569"/>
      <c r="FG304" s="569"/>
      <c r="FH304" s="569"/>
      <c r="FI304" s="569"/>
      <c r="FJ304" s="569"/>
      <c r="FK304" s="569"/>
      <c r="FL304" s="569"/>
      <c r="FM304" s="569"/>
      <c r="FN304" s="569"/>
      <c r="FO304" s="569"/>
      <c r="FP304" s="569"/>
      <c r="FQ304" s="569"/>
      <c r="FR304" s="569"/>
      <c r="FS304" s="569"/>
      <c r="FT304" s="569"/>
      <c r="FU304" s="569"/>
      <c r="FV304" s="569"/>
      <c r="FW304" s="569"/>
      <c r="FX304" s="569"/>
      <c r="FY304" s="569"/>
      <c r="FZ304" s="569"/>
      <c r="GA304" s="569"/>
      <c r="GB304" s="569"/>
      <c r="GC304" s="569"/>
      <c r="GD304" s="569"/>
      <c r="GE304" s="569"/>
      <c r="GF304" s="569"/>
      <c r="GG304" s="569"/>
      <c r="GH304" s="569"/>
      <c r="GI304" s="569"/>
      <c r="GJ304" s="569"/>
      <c r="GK304" s="569"/>
      <c r="GL304" s="569"/>
      <c r="GM304" s="569"/>
      <c r="GN304" s="569"/>
      <c r="GO304" s="569"/>
      <c r="GP304" s="569"/>
      <c r="GQ304" s="569"/>
      <c r="GR304" s="569"/>
      <c r="GS304" s="569"/>
      <c r="GT304" s="569"/>
    </row>
    <row r="305" spans="2:202" s="554" customFormat="1" ht="18" customHeight="1">
      <c r="B305" s="590"/>
      <c r="C305" s="1151"/>
      <c r="D305" s="1151"/>
      <c r="E305" s="1151"/>
      <c r="F305" s="1151"/>
      <c r="G305" s="1151"/>
      <c r="H305" s="1151"/>
      <c r="I305" s="1151"/>
      <c r="J305" s="1151"/>
      <c r="K305" s="1151"/>
      <c r="L305" s="1151"/>
      <c r="M305" s="590"/>
      <c r="N305" s="590"/>
      <c r="O305" s="590"/>
      <c r="P305" s="590"/>
      <c r="Q305" s="590"/>
      <c r="R305" s="590"/>
      <c r="S305" s="590"/>
      <c r="T305" s="590"/>
      <c r="U305" s="590"/>
      <c r="V305" s="590"/>
      <c r="W305" s="590"/>
      <c r="X305" s="590"/>
      <c r="Y305" s="590"/>
      <c r="Z305" s="590"/>
      <c r="AA305" s="590"/>
      <c r="AB305" s="590"/>
      <c r="AC305" s="590"/>
      <c r="AD305" s="590"/>
      <c r="AE305" s="590"/>
      <c r="AF305" s="590"/>
      <c r="AG305" s="590"/>
      <c r="AH305" s="569"/>
      <c r="AI305" s="569"/>
      <c r="AJ305" s="569"/>
      <c r="AK305" s="569"/>
      <c r="AL305" s="569"/>
      <c r="AM305" s="569"/>
      <c r="AN305" s="569"/>
      <c r="AO305" s="569"/>
      <c r="AP305" s="569"/>
      <c r="AQ305" s="569"/>
      <c r="AR305" s="569"/>
      <c r="AS305" s="569"/>
      <c r="AT305" s="569"/>
      <c r="AU305" s="569"/>
      <c r="AV305" s="569"/>
      <c r="AW305" s="569"/>
      <c r="AX305" s="569"/>
      <c r="AY305" s="569"/>
      <c r="AZ305" s="569"/>
      <c r="BA305" s="569"/>
      <c r="BB305" s="569"/>
      <c r="BC305" s="569"/>
      <c r="BD305" s="569"/>
      <c r="BE305" s="569"/>
      <c r="BF305" s="569"/>
      <c r="BG305" s="569"/>
      <c r="BH305" s="569"/>
      <c r="BI305" s="569"/>
      <c r="BJ305" s="569"/>
      <c r="BK305" s="569"/>
      <c r="BL305" s="569"/>
      <c r="BM305" s="569"/>
      <c r="BN305" s="569"/>
      <c r="BO305" s="569"/>
      <c r="BP305" s="569"/>
      <c r="BQ305" s="569"/>
      <c r="BR305" s="569"/>
      <c r="BS305" s="569"/>
      <c r="BT305" s="569"/>
      <c r="BU305" s="569"/>
      <c r="BV305" s="569"/>
      <c r="BW305" s="569"/>
      <c r="BX305" s="569"/>
      <c r="BY305" s="569"/>
      <c r="BZ305" s="569"/>
      <c r="CA305" s="569"/>
      <c r="CB305" s="569"/>
      <c r="CC305" s="569"/>
      <c r="CD305" s="569"/>
      <c r="CE305" s="569"/>
      <c r="CF305" s="569"/>
      <c r="CG305" s="569"/>
      <c r="CH305" s="569"/>
      <c r="CI305" s="569"/>
      <c r="CJ305" s="569"/>
      <c r="CK305" s="569"/>
      <c r="CL305" s="569"/>
      <c r="CM305" s="569"/>
      <c r="CN305" s="569"/>
      <c r="CO305" s="569"/>
      <c r="CP305" s="569"/>
      <c r="CQ305" s="569"/>
      <c r="CR305" s="569"/>
      <c r="CS305" s="569"/>
      <c r="CT305" s="569"/>
      <c r="CU305" s="569"/>
      <c r="CV305" s="569"/>
      <c r="CW305" s="569"/>
      <c r="CX305" s="569"/>
      <c r="CY305" s="569"/>
      <c r="CZ305" s="569"/>
      <c r="DA305" s="569"/>
      <c r="DB305" s="569"/>
      <c r="DC305" s="569"/>
      <c r="DD305" s="569"/>
      <c r="DE305" s="569"/>
      <c r="DF305" s="569"/>
      <c r="DG305" s="569"/>
      <c r="DH305" s="569"/>
      <c r="DI305" s="569"/>
      <c r="DJ305" s="569"/>
      <c r="DK305" s="569"/>
      <c r="DL305" s="569"/>
      <c r="DM305" s="569"/>
      <c r="DN305" s="569"/>
      <c r="DO305" s="569"/>
      <c r="DP305" s="569"/>
      <c r="DQ305" s="569"/>
      <c r="DR305" s="569"/>
      <c r="DS305" s="569"/>
      <c r="DT305" s="569"/>
      <c r="DU305" s="569"/>
      <c r="DV305" s="569"/>
      <c r="DW305" s="569"/>
      <c r="DX305" s="569"/>
      <c r="DY305" s="569"/>
      <c r="DZ305" s="569"/>
      <c r="EA305" s="569"/>
      <c r="EB305" s="569"/>
      <c r="EC305" s="569"/>
      <c r="ED305" s="569"/>
      <c r="EE305" s="569"/>
      <c r="EF305" s="569"/>
      <c r="EG305" s="569"/>
      <c r="EH305" s="569"/>
      <c r="EI305" s="569"/>
      <c r="EJ305" s="569"/>
      <c r="EK305" s="569"/>
      <c r="EL305" s="569"/>
      <c r="EM305" s="569"/>
      <c r="EN305" s="569"/>
      <c r="EO305" s="569"/>
      <c r="EP305" s="569"/>
      <c r="EQ305" s="569"/>
      <c r="ER305" s="569"/>
      <c r="ES305" s="569"/>
      <c r="ET305" s="569"/>
      <c r="EU305" s="569"/>
      <c r="EV305" s="569"/>
      <c r="EW305" s="569"/>
      <c r="EX305" s="569"/>
      <c r="EY305" s="569"/>
      <c r="EZ305" s="569"/>
      <c r="FA305" s="569"/>
      <c r="FB305" s="569"/>
      <c r="FC305" s="569"/>
      <c r="FD305" s="569"/>
      <c r="FE305" s="569"/>
      <c r="FF305" s="569"/>
      <c r="FG305" s="569"/>
      <c r="FH305" s="569"/>
      <c r="FI305" s="569"/>
      <c r="FJ305" s="569"/>
      <c r="FK305" s="569"/>
      <c r="FL305" s="569"/>
      <c r="FM305" s="569"/>
      <c r="FN305" s="569"/>
      <c r="FO305" s="569"/>
      <c r="FP305" s="569"/>
      <c r="FQ305" s="569"/>
      <c r="FR305" s="569"/>
      <c r="FS305" s="569"/>
      <c r="FT305" s="569"/>
      <c r="FU305" s="569"/>
      <c r="FV305" s="569"/>
      <c r="FW305" s="569"/>
      <c r="FX305" s="569"/>
      <c r="FY305" s="569"/>
      <c r="FZ305" s="569"/>
      <c r="GA305" s="569"/>
      <c r="GB305" s="569"/>
      <c r="GC305" s="569"/>
      <c r="GD305" s="569"/>
      <c r="GE305" s="569"/>
      <c r="GF305" s="569"/>
      <c r="GG305" s="569"/>
      <c r="GH305" s="569"/>
      <c r="GI305" s="569"/>
      <c r="GJ305" s="569"/>
      <c r="GK305" s="569"/>
      <c r="GL305" s="569"/>
      <c r="GM305" s="569"/>
      <c r="GN305" s="569"/>
      <c r="GO305" s="569"/>
      <c r="GP305" s="569"/>
      <c r="GQ305" s="569"/>
      <c r="GR305" s="569"/>
      <c r="GS305" s="569"/>
      <c r="GT305" s="569"/>
    </row>
    <row r="306" spans="2:202" s="554" customFormat="1" ht="18" customHeight="1">
      <c r="B306" s="590"/>
      <c r="C306" s="1151"/>
      <c r="D306" s="1151"/>
      <c r="E306" s="1151"/>
      <c r="F306" s="1151"/>
      <c r="G306" s="1151"/>
      <c r="H306" s="1151"/>
      <c r="I306" s="1151"/>
      <c r="J306" s="1151"/>
      <c r="K306" s="1151"/>
      <c r="L306" s="1151"/>
      <c r="M306" s="590"/>
      <c r="N306" s="590"/>
      <c r="O306" s="590"/>
      <c r="P306" s="590"/>
      <c r="Q306" s="590"/>
      <c r="R306" s="590"/>
      <c r="S306" s="590"/>
      <c r="T306" s="590"/>
      <c r="U306" s="590"/>
      <c r="V306" s="590"/>
      <c r="W306" s="590"/>
      <c r="X306" s="590"/>
      <c r="Y306" s="590"/>
      <c r="Z306" s="590"/>
      <c r="AA306" s="590"/>
      <c r="AB306" s="590"/>
      <c r="AC306" s="590"/>
      <c r="AD306" s="590"/>
      <c r="AE306" s="590"/>
      <c r="AF306" s="590"/>
      <c r="AG306" s="590"/>
      <c r="AH306" s="569"/>
      <c r="AI306" s="569"/>
      <c r="AJ306" s="569"/>
      <c r="AK306" s="569"/>
      <c r="AL306" s="569"/>
      <c r="AM306" s="569"/>
      <c r="AN306" s="569"/>
      <c r="AO306" s="569"/>
      <c r="AP306" s="569"/>
      <c r="AQ306" s="569"/>
      <c r="AR306" s="569"/>
      <c r="AS306" s="569"/>
      <c r="AT306" s="569"/>
      <c r="AU306" s="569"/>
      <c r="AV306" s="569"/>
      <c r="AW306" s="569"/>
      <c r="AX306" s="569"/>
      <c r="AY306" s="569"/>
      <c r="AZ306" s="569"/>
      <c r="BA306" s="569"/>
      <c r="BB306" s="569"/>
      <c r="BC306" s="569"/>
      <c r="BD306" s="569"/>
      <c r="BE306" s="569"/>
      <c r="BF306" s="569"/>
      <c r="BG306" s="569"/>
      <c r="BH306" s="569"/>
      <c r="BI306" s="569"/>
      <c r="BJ306" s="569"/>
      <c r="BK306" s="569"/>
      <c r="BL306" s="569"/>
      <c r="BM306" s="569"/>
      <c r="BN306" s="569"/>
      <c r="BO306" s="569"/>
      <c r="BP306" s="569"/>
      <c r="BQ306" s="569"/>
      <c r="BR306" s="569"/>
      <c r="BS306" s="569"/>
      <c r="BT306" s="569"/>
      <c r="BU306" s="569"/>
      <c r="BV306" s="569"/>
      <c r="BW306" s="569"/>
      <c r="BX306" s="569"/>
      <c r="BY306" s="569"/>
      <c r="BZ306" s="569"/>
      <c r="CA306" s="569"/>
      <c r="CB306" s="569"/>
      <c r="CC306" s="569"/>
      <c r="CD306" s="569"/>
      <c r="CE306" s="569"/>
      <c r="CF306" s="569"/>
      <c r="CG306" s="569"/>
      <c r="CH306" s="569"/>
      <c r="CI306" s="569"/>
      <c r="CJ306" s="569"/>
      <c r="CK306" s="569"/>
      <c r="CL306" s="569"/>
      <c r="CM306" s="569"/>
      <c r="CN306" s="569"/>
      <c r="CO306" s="569"/>
      <c r="CP306" s="569"/>
      <c r="CQ306" s="569"/>
      <c r="CR306" s="569"/>
      <c r="CS306" s="569"/>
      <c r="CT306" s="569"/>
      <c r="CU306" s="569"/>
      <c r="CV306" s="569"/>
      <c r="CW306" s="569"/>
      <c r="CX306" s="569"/>
      <c r="CY306" s="569"/>
      <c r="CZ306" s="569"/>
      <c r="DA306" s="569"/>
      <c r="DB306" s="569"/>
      <c r="DC306" s="569"/>
      <c r="DD306" s="569"/>
      <c r="DE306" s="569"/>
      <c r="DF306" s="569"/>
      <c r="DG306" s="569"/>
      <c r="DH306" s="569"/>
      <c r="DI306" s="569"/>
      <c r="DJ306" s="569"/>
      <c r="DK306" s="569"/>
      <c r="DL306" s="569"/>
      <c r="DM306" s="569"/>
      <c r="DN306" s="569"/>
      <c r="DO306" s="569"/>
      <c r="DP306" s="569"/>
      <c r="DQ306" s="569"/>
      <c r="DR306" s="569"/>
      <c r="DS306" s="569"/>
      <c r="DT306" s="569"/>
      <c r="DU306" s="569"/>
      <c r="DV306" s="569"/>
      <c r="DW306" s="569"/>
      <c r="DX306" s="569"/>
      <c r="DY306" s="569"/>
      <c r="DZ306" s="569"/>
      <c r="EA306" s="569"/>
      <c r="EB306" s="569"/>
      <c r="EC306" s="569"/>
      <c r="ED306" s="569"/>
      <c r="EE306" s="569"/>
      <c r="EF306" s="569"/>
      <c r="EG306" s="569"/>
      <c r="EH306" s="569"/>
      <c r="EI306" s="569"/>
      <c r="EJ306" s="569"/>
      <c r="EK306" s="569"/>
      <c r="EL306" s="569"/>
      <c r="EM306" s="569"/>
      <c r="EN306" s="569"/>
      <c r="EO306" s="569"/>
      <c r="EP306" s="569"/>
      <c r="EQ306" s="569"/>
      <c r="ER306" s="569"/>
      <c r="ES306" s="569"/>
      <c r="ET306" s="569"/>
      <c r="EU306" s="569"/>
      <c r="EV306" s="569"/>
      <c r="EW306" s="569"/>
      <c r="EX306" s="569"/>
      <c r="EY306" s="569"/>
      <c r="EZ306" s="569"/>
      <c r="FA306" s="569"/>
      <c r="FB306" s="569"/>
      <c r="FC306" s="569"/>
      <c r="FD306" s="569"/>
      <c r="FE306" s="569"/>
      <c r="FF306" s="569"/>
      <c r="FG306" s="569"/>
      <c r="FH306" s="569"/>
      <c r="FI306" s="569"/>
      <c r="FJ306" s="569"/>
      <c r="FK306" s="569"/>
      <c r="FL306" s="569"/>
      <c r="FM306" s="569"/>
      <c r="FN306" s="569"/>
      <c r="FO306" s="569"/>
      <c r="FP306" s="569"/>
      <c r="FQ306" s="569"/>
      <c r="FR306" s="569"/>
      <c r="FS306" s="569"/>
      <c r="FT306" s="569"/>
      <c r="FU306" s="569"/>
      <c r="FV306" s="569"/>
      <c r="FW306" s="569"/>
      <c r="FX306" s="569"/>
      <c r="FY306" s="569"/>
      <c r="FZ306" s="569"/>
      <c r="GA306" s="569"/>
      <c r="GB306" s="569"/>
      <c r="GC306" s="569"/>
      <c r="GD306" s="569"/>
      <c r="GE306" s="569"/>
      <c r="GF306" s="569"/>
      <c r="GG306" s="569"/>
      <c r="GH306" s="569"/>
      <c r="GI306" s="569"/>
      <c r="GJ306" s="569"/>
      <c r="GK306" s="569"/>
      <c r="GL306" s="569"/>
      <c r="GM306" s="569"/>
      <c r="GN306" s="569"/>
      <c r="GO306" s="569"/>
      <c r="GP306" s="569"/>
      <c r="GQ306" s="569"/>
      <c r="GR306" s="569"/>
      <c r="GS306" s="569"/>
      <c r="GT306" s="569"/>
    </row>
    <row r="307" spans="2:202" s="554" customFormat="1" ht="18" customHeight="1">
      <c r="B307" s="590"/>
      <c r="C307" s="1151"/>
      <c r="D307" s="1151"/>
      <c r="E307" s="1151"/>
      <c r="F307" s="1151"/>
      <c r="G307" s="1151"/>
      <c r="H307" s="1151"/>
      <c r="I307" s="1151"/>
      <c r="J307" s="1151"/>
      <c r="K307" s="1151"/>
      <c r="L307" s="1151"/>
      <c r="M307" s="590"/>
      <c r="N307" s="590"/>
      <c r="O307" s="590"/>
      <c r="P307" s="590"/>
      <c r="Q307" s="590"/>
      <c r="R307" s="590"/>
      <c r="S307" s="590"/>
      <c r="T307" s="590"/>
      <c r="U307" s="590"/>
      <c r="V307" s="590"/>
      <c r="W307" s="590"/>
      <c r="X307" s="590"/>
      <c r="Y307" s="590"/>
      <c r="Z307" s="590"/>
      <c r="AA307" s="590"/>
      <c r="AB307" s="590"/>
      <c r="AC307" s="590"/>
      <c r="AD307" s="590"/>
      <c r="AE307" s="590"/>
      <c r="AF307" s="590"/>
      <c r="AG307" s="590"/>
      <c r="AH307" s="569"/>
      <c r="AI307" s="569"/>
      <c r="AJ307" s="569"/>
      <c r="AK307" s="569"/>
      <c r="AL307" s="569"/>
      <c r="AM307" s="569"/>
      <c r="AN307" s="569"/>
      <c r="AO307" s="569"/>
      <c r="AP307" s="569"/>
      <c r="AQ307" s="569"/>
      <c r="AR307" s="569"/>
      <c r="AS307" s="569"/>
      <c r="AT307" s="569"/>
      <c r="AU307" s="569"/>
      <c r="AV307" s="569"/>
      <c r="AW307" s="569"/>
      <c r="AX307" s="569"/>
      <c r="AY307" s="569"/>
      <c r="AZ307" s="569"/>
      <c r="BA307" s="569"/>
      <c r="BB307" s="569"/>
      <c r="BC307" s="569"/>
      <c r="BD307" s="569"/>
      <c r="BE307" s="569"/>
      <c r="BF307" s="569"/>
      <c r="BG307" s="569"/>
      <c r="BH307" s="569"/>
      <c r="BI307" s="569"/>
      <c r="BJ307" s="569"/>
      <c r="BK307" s="569"/>
      <c r="BL307" s="569"/>
      <c r="BM307" s="569"/>
      <c r="BN307" s="569"/>
      <c r="BO307" s="569"/>
      <c r="BP307" s="569"/>
      <c r="BQ307" s="569"/>
      <c r="BR307" s="569"/>
      <c r="BS307" s="569"/>
      <c r="BT307" s="569"/>
      <c r="BU307" s="569"/>
      <c r="BV307" s="569"/>
      <c r="BW307" s="569"/>
      <c r="BX307" s="569"/>
      <c r="BY307" s="569"/>
      <c r="BZ307" s="569"/>
      <c r="CA307" s="569"/>
      <c r="CB307" s="569"/>
      <c r="CC307" s="569"/>
      <c r="CD307" s="569"/>
      <c r="CE307" s="569"/>
      <c r="CF307" s="569"/>
      <c r="CG307" s="569"/>
      <c r="CH307" s="569"/>
      <c r="CI307" s="569"/>
      <c r="CJ307" s="569"/>
      <c r="CK307" s="569"/>
      <c r="CL307" s="569"/>
      <c r="CM307" s="569"/>
      <c r="CN307" s="569"/>
      <c r="CO307" s="569"/>
      <c r="CP307" s="569"/>
      <c r="CQ307" s="569"/>
      <c r="CR307" s="569"/>
      <c r="CS307" s="569"/>
      <c r="CT307" s="569"/>
      <c r="CU307" s="569"/>
      <c r="CV307" s="569"/>
      <c r="CW307" s="569"/>
      <c r="CX307" s="569"/>
      <c r="CY307" s="569"/>
      <c r="CZ307" s="569"/>
      <c r="DA307" s="569"/>
      <c r="DB307" s="569"/>
      <c r="DC307" s="569"/>
      <c r="DD307" s="569"/>
      <c r="DE307" s="569"/>
      <c r="DF307" s="569"/>
      <c r="DG307" s="569"/>
      <c r="DH307" s="569"/>
      <c r="DI307" s="569"/>
      <c r="DJ307" s="569"/>
      <c r="DK307" s="569"/>
      <c r="DL307" s="569"/>
      <c r="DM307" s="569"/>
      <c r="DN307" s="569"/>
      <c r="DO307" s="569"/>
      <c r="DP307" s="569"/>
      <c r="DQ307" s="569"/>
      <c r="DR307" s="569"/>
      <c r="DS307" s="569"/>
      <c r="DT307" s="569"/>
      <c r="DU307" s="569"/>
      <c r="DV307" s="569"/>
      <c r="DW307" s="569"/>
      <c r="DX307" s="569"/>
      <c r="DY307" s="569"/>
      <c r="DZ307" s="569"/>
      <c r="EA307" s="569"/>
      <c r="EB307" s="569"/>
      <c r="EC307" s="569"/>
      <c r="ED307" s="569"/>
      <c r="EE307" s="569"/>
      <c r="EF307" s="569"/>
      <c r="EG307" s="569"/>
      <c r="EH307" s="569"/>
      <c r="EI307" s="569"/>
      <c r="EJ307" s="569"/>
      <c r="EK307" s="569"/>
      <c r="EL307" s="569"/>
      <c r="EM307" s="569"/>
      <c r="EN307" s="569"/>
      <c r="EO307" s="569"/>
      <c r="EP307" s="569"/>
      <c r="EQ307" s="569"/>
      <c r="ER307" s="569"/>
      <c r="ES307" s="569"/>
      <c r="ET307" s="569"/>
      <c r="EU307" s="569"/>
      <c r="EV307" s="569"/>
      <c r="EW307" s="569"/>
      <c r="EX307" s="569"/>
      <c r="EY307" s="569"/>
      <c r="EZ307" s="569"/>
      <c r="FA307" s="569"/>
      <c r="FB307" s="569"/>
      <c r="FC307" s="569"/>
      <c r="FD307" s="569"/>
      <c r="FE307" s="569"/>
      <c r="FF307" s="569"/>
      <c r="FG307" s="569"/>
      <c r="FH307" s="569"/>
      <c r="FI307" s="569"/>
      <c r="FJ307" s="569"/>
      <c r="FK307" s="569"/>
      <c r="FL307" s="569"/>
      <c r="FM307" s="569"/>
      <c r="FN307" s="569"/>
      <c r="FO307" s="569"/>
      <c r="FP307" s="569"/>
      <c r="FQ307" s="569"/>
      <c r="FR307" s="569"/>
      <c r="FS307" s="569"/>
      <c r="FT307" s="569"/>
      <c r="FU307" s="569"/>
      <c r="FV307" s="569"/>
      <c r="FW307" s="569"/>
      <c r="FX307" s="569"/>
      <c r="FY307" s="569"/>
      <c r="FZ307" s="569"/>
      <c r="GA307" s="569"/>
      <c r="GB307" s="569"/>
      <c r="GC307" s="569"/>
      <c r="GD307" s="569"/>
      <c r="GE307" s="569"/>
      <c r="GF307" s="569"/>
      <c r="GG307" s="569"/>
      <c r="GH307" s="569"/>
      <c r="GI307" s="569"/>
      <c r="GJ307" s="569"/>
      <c r="GK307" s="569"/>
      <c r="GL307" s="569"/>
      <c r="GM307" s="569"/>
      <c r="GN307" s="569"/>
      <c r="GO307" s="569"/>
      <c r="GP307" s="569"/>
      <c r="GQ307" s="569"/>
      <c r="GR307" s="569"/>
      <c r="GS307" s="569"/>
      <c r="GT307" s="569"/>
    </row>
    <row r="308" spans="2:202" s="554" customFormat="1" ht="18" customHeight="1">
      <c r="B308" s="590"/>
      <c r="C308" s="1151"/>
      <c r="D308" s="1151"/>
      <c r="E308" s="1151"/>
      <c r="F308" s="1151"/>
      <c r="G308" s="1151"/>
      <c r="H308" s="1151"/>
      <c r="I308" s="1151"/>
      <c r="J308" s="1151"/>
      <c r="K308" s="1151"/>
      <c r="L308" s="1151"/>
      <c r="M308" s="590"/>
      <c r="N308" s="590"/>
      <c r="O308" s="590"/>
      <c r="P308" s="590"/>
      <c r="Q308" s="590"/>
      <c r="R308" s="590"/>
      <c r="S308" s="590"/>
      <c r="T308" s="590"/>
      <c r="U308" s="590"/>
      <c r="V308" s="590"/>
      <c r="W308" s="590"/>
      <c r="X308" s="590"/>
      <c r="Y308" s="590"/>
      <c r="Z308" s="590"/>
      <c r="AA308" s="590"/>
      <c r="AB308" s="590"/>
      <c r="AC308" s="590"/>
      <c r="AD308" s="590"/>
      <c r="AE308" s="590"/>
      <c r="AF308" s="590"/>
      <c r="AG308" s="590"/>
      <c r="AH308" s="569"/>
      <c r="AI308" s="569"/>
      <c r="AJ308" s="569"/>
      <c r="AK308" s="569"/>
      <c r="AL308" s="569"/>
      <c r="AM308" s="569"/>
      <c r="AN308" s="569"/>
      <c r="AO308" s="569"/>
      <c r="AP308" s="569"/>
      <c r="AQ308" s="569"/>
      <c r="AR308" s="569"/>
      <c r="AS308" s="569"/>
      <c r="AT308" s="569"/>
      <c r="AU308" s="569"/>
      <c r="AV308" s="569"/>
      <c r="AW308" s="569"/>
      <c r="AX308" s="569"/>
      <c r="AY308" s="569"/>
      <c r="AZ308" s="569"/>
      <c r="BA308" s="569"/>
      <c r="BB308" s="569"/>
      <c r="BC308" s="569"/>
      <c r="BD308" s="569"/>
      <c r="BE308" s="569"/>
      <c r="BF308" s="569"/>
      <c r="BG308" s="569"/>
      <c r="BH308" s="569"/>
      <c r="BI308" s="569"/>
      <c r="BJ308" s="569"/>
      <c r="BK308" s="569"/>
      <c r="BL308" s="569"/>
      <c r="BM308" s="569"/>
      <c r="BN308" s="569"/>
      <c r="BO308" s="569"/>
      <c r="BP308" s="569"/>
      <c r="BQ308" s="569"/>
      <c r="BR308" s="569"/>
      <c r="BS308" s="569"/>
      <c r="BT308" s="569"/>
      <c r="BU308" s="569"/>
      <c r="BV308" s="569"/>
      <c r="BW308" s="569"/>
      <c r="BX308" s="569"/>
      <c r="BY308" s="569"/>
      <c r="BZ308" s="569"/>
      <c r="CA308" s="569"/>
      <c r="CB308" s="569"/>
      <c r="CC308" s="569"/>
      <c r="CD308" s="569"/>
      <c r="CE308" s="569"/>
      <c r="CF308" s="569"/>
      <c r="CG308" s="569"/>
      <c r="CH308" s="569"/>
      <c r="CI308" s="569"/>
      <c r="CJ308" s="569"/>
      <c r="CK308" s="569"/>
      <c r="CL308" s="569"/>
      <c r="CM308" s="569"/>
      <c r="CN308" s="569"/>
      <c r="CO308" s="569"/>
      <c r="CP308" s="569"/>
      <c r="CQ308" s="569"/>
      <c r="CR308" s="569"/>
      <c r="CS308" s="569"/>
      <c r="CT308" s="569"/>
      <c r="CU308" s="569"/>
      <c r="CV308" s="569"/>
      <c r="CW308" s="569"/>
      <c r="CX308" s="569"/>
      <c r="CY308" s="569"/>
      <c r="CZ308" s="569"/>
      <c r="DA308" s="569"/>
      <c r="DB308" s="569"/>
      <c r="DC308" s="569"/>
      <c r="DD308" s="569"/>
      <c r="DE308" s="569"/>
      <c r="DF308" s="569"/>
      <c r="DG308" s="569"/>
      <c r="DH308" s="569"/>
      <c r="DI308" s="569"/>
      <c r="DJ308" s="569"/>
      <c r="DK308" s="569"/>
      <c r="DL308" s="569"/>
      <c r="DM308" s="569"/>
      <c r="DN308" s="569"/>
      <c r="DO308" s="569"/>
      <c r="DP308" s="569"/>
      <c r="DQ308" s="569"/>
      <c r="DR308" s="569"/>
      <c r="DS308" s="569"/>
      <c r="DT308" s="569"/>
      <c r="DU308" s="569"/>
      <c r="DV308" s="569"/>
      <c r="DW308" s="569"/>
      <c r="DX308" s="569"/>
      <c r="DY308" s="569"/>
      <c r="DZ308" s="569"/>
      <c r="EA308" s="569"/>
      <c r="EB308" s="569"/>
      <c r="EC308" s="569"/>
      <c r="ED308" s="569"/>
      <c r="EE308" s="569"/>
      <c r="EF308" s="569"/>
      <c r="EG308" s="569"/>
      <c r="EH308" s="569"/>
      <c r="EI308" s="569"/>
      <c r="EJ308" s="569"/>
      <c r="EK308" s="569"/>
      <c r="EL308" s="569"/>
      <c r="EM308" s="569"/>
      <c r="EN308" s="569"/>
      <c r="EO308" s="569"/>
      <c r="EP308" s="569"/>
      <c r="EQ308" s="569"/>
      <c r="ER308" s="569"/>
      <c r="ES308" s="569"/>
      <c r="ET308" s="569"/>
      <c r="EU308" s="569"/>
      <c r="EV308" s="569"/>
      <c r="EW308" s="569"/>
      <c r="EX308" s="569"/>
      <c r="EY308" s="569"/>
      <c r="EZ308" s="569"/>
      <c r="FA308" s="569"/>
      <c r="FB308" s="569"/>
      <c r="FC308" s="569"/>
      <c r="FD308" s="569"/>
      <c r="FE308" s="569"/>
      <c r="FF308" s="569"/>
      <c r="FG308" s="569"/>
      <c r="FH308" s="569"/>
      <c r="FI308" s="569"/>
      <c r="FJ308" s="569"/>
      <c r="FK308" s="569"/>
      <c r="FL308" s="569"/>
      <c r="FM308" s="569"/>
      <c r="FN308" s="569"/>
      <c r="FO308" s="569"/>
      <c r="FP308" s="569"/>
      <c r="FQ308" s="569"/>
      <c r="FR308" s="569"/>
      <c r="FS308" s="569"/>
      <c r="FT308" s="569"/>
      <c r="FU308" s="569"/>
      <c r="FV308" s="569"/>
      <c r="FW308" s="569"/>
      <c r="FX308" s="569"/>
      <c r="FY308" s="569"/>
      <c r="FZ308" s="569"/>
      <c r="GA308" s="569"/>
      <c r="GB308" s="569"/>
      <c r="GC308" s="569"/>
      <c r="GD308" s="569"/>
      <c r="GE308" s="569"/>
      <c r="GF308" s="569"/>
      <c r="GG308" s="569"/>
      <c r="GH308" s="569"/>
      <c r="GI308" s="569"/>
      <c r="GJ308" s="569"/>
      <c r="GK308" s="569"/>
      <c r="GL308" s="569"/>
      <c r="GM308" s="569"/>
      <c r="GN308" s="569"/>
      <c r="GO308" s="569"/>
      <c r="GP308" s="569"/>
      <c r="GQ308" s="569"/>
      <c r="GR308" s="569"/>
      <c r="GS308" s="569"/>
      <c r="GT308" s="569"/>
    </row>
    <row r="309" spans="2:202" s="554" customFormat="1" ht="18" customHeight="1">
      <c r="B309" s="590"/>
      <c r="C309" s="1151"/>
      <c r="D309" s="1151"/>
      <c r="E309" s="1151"/>
      <c r="F309" s="1151"/>
      <c r="G309" s="1151"/>
      <c r="H309" s="1151"/>
      <c r="I309" s="1151"/>
      <c r="J309" s="1151"/>
      <c r="K309" s="1151"/>
      <c r="L309" s="1151"/>
      <c r="M309" s="590"/>
      <c r="N309" s="590"/>
      <c r="O309" s="590"/>
      <c r="P309" s="590"/>
      <c r="Q309" s="590"/>
      <c r="R309" s="590"/>
      <c r="S309" s="590"/>
      <c r="T309" s="590"/>
      <c r="U309" s="590"/>
      <c r="V309" s="590"/>
      <c r="W309" s="590"/>
      <c r="X309" s="590"/>
      <c r="Y309" s="590"/>
      <c r="Z309" s="590"/>
      <c r="AA309" s="590"/>
      <c r="AB309" s="590"/>
      <c r="AC309" s="590"/>
      <c r="AD309" s="590"/>
      <c r="AE309" s="590"/>
      <c r="AF309" s="590"/>
      <c r="AG309" s="590"/>
      <c r="AH309" s="569"/>
      <c r="AI309" s="569"/>
      <c r="AJ309" s="569"/>
      <c r="AK309" s="569"/>
      <c r="AL309" s="569"/>
      <c r="AM309" s="569"/>
      <c r="AN309" s="569"/>
      <c r="AO309" s="569"/>
      <c r="AP309" s="569"/>
      <c r="AQ309" s="569"/>
      <c r="AR309" s="569"/>
      <c r="AS309" s="569"/>
      <c r="AT309" s="569"/>
      <c r="AU309" s="569"/>
      <c r="AV309" s="569"/>
      <c r="AW309" s="569"/>
      <c r="AX309" s="569"/>
      <c r="AY309" s="569"/>
      <c r="AZ309" s="569"/>
      <c r="BA309" s="569"/>
      <c r="BB309" s="569"/>
      <c r="BC309" s="569"/>
      <c r="BD309" s="569"/>
      <c r="BE309" s="569"/>
      <c r="BF309" s="569"/>
      <c r="BG309" s="569"/>
      <c r="BH309" s="569"/>
      <c r="BI309" s="569"/>
      <c r="BJ309" s="569"/>
      <c r="BK309" s="569"/>
      <c r="BL309" s="569"/>
      <c r="BM309" s="569"/>
      <c r="BN309" s="569"/>
      <c r="BO309" s="569"/>
      <c r="BP309" s="569"/>
      <c r="BQ309" s="569"/>
      <c r="BR309" s="569"/>
      <c r="BS309" s="569"/>
      <c r="BT309" s="569"/>
      <c r="BU309" s="569"/>
      <c r="BV309" s="569"/>
      <c r="BW309" s="569"/>
      <c r="BX309" s="569"/>
      <c r="BY309" s="569"/>
      <c r="BZ309" s="569"/>
      <c r="CA309" s="569"/>
      <c r="CB309" s="569"/>
      <c r="CC309" s="569"/>
      <c r="CD309" s="569"/>
      <c r="CE309" s="569"/>
      <c r="CF309" s="569"/>
      <c r="CG309" s="569"/>
      <c r="CH309" s="569"/>
      <c r="CI309" s="569"/>
      <c r="CJ309" s="569"/>
      <c r="CK309" s="569"/>
      <c r="CL309" s="569"/>
      <c r="CM309" s="569"/>
      <c r="CN309" s="569"/>
      <c r="CO309" s="569"/>
      <c r="CP309" s="569"/>
      <c r="CQ309" s="569"/>
      <c r="CR309" s="569"/>
      <c r="CS309" s="569"/>
      <c r="CT309" s="569"/>
      <c r="CU309" s="569"/>
      <c r="CV309" s="569"/>
      <c r="CW309" s="569"/>
      <c r="CX309" s="569"/>
      <c r="CY309" s="569"/>
      <c r="CZ309" s="569"/>
      <c r="DA309" s="569"/>
      <c r="DB309" s="569"/>
      <c r="DC309" s="569"/>
      <c r="DD309" s="569"/>
      <c r="DE309" s="569"/>
      <c r="DF309" s="569"/>
      <c r="DG309" s="569"/>
      <c r="DH309" s="569"/>
      <c r="DI309" s="569"/>
      <c r="DJ309" s="569"/>
      <c r="DK309" s="569"/>
      <c r="DL309" s="569"/>
      <c r="DM309" s="569"/>
      <c r="DN309" s="569"/>
      <c r="DO309" s="569"/>
      <c r="DP309" s="569"/>
      <c r="DQ309" s="569"/>
      <c r="DR309" s="569"/>
      <c r="DS309" s="569"/>
      <c r="DT309" s="569"/>
      <c r="DU309" s="569"/>
      <c r="DV309" s="569"/>
      <c r="DW309" s="569"/>
      <c r="DX309" s="569"/>
      <c r="DY309" s="569"/>
      <c r="DZ309" s="569"/>
      <c r="EA309" s="569"/>
      <c r="EB309" s="569"/>
      <c r="EC309" s="569"/>
      <c r="ED309" s="569"/>
      <c r="EE309" s="569"/>
      <c r="EF309" s="569"/>
      <c r="EG309" s="569"/>
      <c r="EH309" s="569"/>
      <c r="EI309" s="569"/>
      <c r="EJ309" s="569"/>
      <c r="EK309" s="569"/>
      <c r="EL309" s="569"/>
      <c r="EM309" s="569"/>
      <c r="EN309" s="569"/>
      <c r="EO309" s="569"/>
      <c r="EP309" s="569"/>
      <c r="EQ309" s="569"/>
      <c r="ER309" s="569"/>
      <c r="ES309" s="569"/>
      <c r="ET309" s="569"/>
      <c r="EU309" s="569"/>
      <c r="EV309" s="569"/>
      <c r="EW309" s="569"/>
      <c r="EX309" s="569"/>
      <c r="EY309" s="569"/>
      <c r="EZ309" s="569"/>
      <c r="FA309" s="569"/>
      <c r="FB309" s="569"/>
      <c r="FC309" s="569"/>
      <c r="FD309" s="569"/>
      <c r="FE309" s="569"/>
      <c r="FF309" s="569"/>
      <c r="FG309" s="569"/>
      <c r="FH309" s="569"/>
      <c r="FI309" s="569"/>
      <c r="FJ309" s="569"/>
      <c r="FK309" s="569"/>
      <c r="FL309" s="569"/>
      <c r="FM309" s="569"/>
      <c r="FN309" s="569"/>
      <c r="FO309" s="569"/>
      <c r="FP309" s="569"/>
      <c r="FQ309" s="569"/>
      <c r="FR309" s="569"/>
      <c r="FS309" s="569"/>
      <c r="FT309" s="569"/>
      <c r="FU309" s="569"/>
      <c r="FV309" s="569"/>
      <c r="FW309" s="569"/>
      <c r="FX309" s="569"/>
      <c r="FY309" s="569"/>
      <c r="FZ309" s="569"/>
      <c r="GA309" s="569"/>
      <c r="GB309" s="569"/>
      <c r="GC309" s="569"/>
      <c r="GD309" s="569"/>
      <c r="GE309" s="569"/>
      <c r="GF309" s="569"/>
      <c r="GG309" s="569"/>
      <c r="GH309" s="569"/>
      <c r="GI309" s="569"/>
      <c r="GJ309" s="569"/>
      <c r="GK309" s="569"/>
      <c r="GL309" s="569"/>
      <c r="GM309" s="569"/>
      <c r="GN309" s="569"/>
      <c r="GO309" s="569"/>
      <c r="GP309" s="569"/>
      <c r="GQ309" s="569"/>
      <c r="GR309" s="569"/>
      <c r="GS309" s="569"/>
      <c r="GT309" s="569"/>
    </row>
    <row r="310" spans="2:202" s="554" customFormat="1" ht="18" customHeight="1">
      <c r="B310" s="590"/>
      <c r="C310" s="1151"/>
      <c r="D310" s="1151"/>
      <c r="E310" s="1151"/>
      <c r="F310" s="1151"/>
      <c r="G310" s="1151"/>
      <c r="H310" s="1151"/>
      <c r="I310" s="1151"/>
      <c r="J310" s="1151"/>
      <c r="K310" s="1151"/>
      <c r="L310" s="1151"/>
      <c r="M310" s="590"/>
      <c r="N310" s="590"/>
      <c r="O310" s="590"/>
      <c r="P310" s="590"/>
      <c r="Q310" s="569"/>
      <c r="R310" s="569"/>
      <c r="S310" s="569"/>
      <c r="T310" s="590"/>
      <c r="U310" s="569"/>
      <c r="V310" s="569"/>
      <c r="W310" s="569"/>
      <c r="X310" s="569"/>
      <c r="Y310" s="569"/>
      <c r="Z310" s="569"/>
      <c r="AA310" s="569"/>
      <c r="AB310" s="569"/>
      <c r="AC310" s="569"/>
      <c r="AD310" s="569"/>
      <c r="AE310" s="569"/>
      <c r="AF310" s="569"/>
      <c r="AG310" s="569"/>
      <c r="AH310" s="569"/>
      <c r="AI310" s="569"/>
      <c r="AJ310" s="569"/>
      <c r="AK310" s="569"/>
      <c r="AL310" s="569"/>
      <c r="AM310" s="569"/>
      <c r="AN310" s="569"/>
      <c r="AO310" s="569"/>
      <c r="AP310" s="569"/>
      <c r="AQ310" s="569"/>
      <c r="AR310" s="569"/>
      <c r="AS310" s="569"/>
      <c r="AT310" s="569"/>
      <c r="AU310" s="569"/>
      <c r="AV310" s="569"/>
      <c r="AW310" s="569"/>
      <c r="AX310" s="569"/>
      <c r="AY310" s="569"/>
      <c r="AZ310" s="569"/>
      <c r="BA310" s="569"/>
      <c r="BB310" s="569"/>
      <c r="BC310" s="569"/>
      <c r="BD310" s="569"/>
      <c r="BE310" s="569"/>
      <c r="BF310" s="569"/>
      <c r="BG310" s="569"/>
      <c r="BH310" s="569"/>
      <c r="BI310" s="569"/>
      <c r="BJ310" s="569"/>
      <c r="BK310" s="569"/>
      <c r="BL310" s="569"/>
      <c r="BM310" s="569"/>
      <c r="BN310" s="569"/>
      <c r="BO310" s="569"/>
      <c r="BP310" s="569"/>
      <c r="BQ310" s="569"/>
      <c r="BR310" s="569"/>
      <c r="BS310" s="569"/>
      <c r="BT310" s="569"/>
      <c r="BU310" s="569"/>
      <c r="BV310" s="569"/>
      <c r="BW310" s="569"/>
      <c r="BX310" s="569"/>
      <c r="BY310" s="569"/>
      <c r="BZ310" s="569"/>
      <c r="CA310" s="569"/>
      <c r="CB310" s="569"/>
      <c r="CC310" s="569"/>
      <c r="CD310" s="569"/>
      <c r="CE310" s="569"/>
      <c r="CF310" s="569"/>
      <c r="CG310" s="569"/>
      <c r="CH310" s="569"/>
      <c r="CI310" s="569"/>
      <c r="CJ310" s="569"/>
      <c r="CK310" s="569"/>
      <c r="CL310" s="569"/>
      <c r="CM310" s="569"/>
      <c r="CN310" s="569"/>
      <c r="CO310" s="569"/>
      <c r="CP310" s="569"/>
      <c r="CQ310" s="569"/>
      <c r="CR310" s="569"/>
      <c r="CS310" s="569"/>
      <c r="CT310" s="569"/>
      <c r="CU310" s="569"/>
      <c r="CV310" s="569"/>
      <c r="CW310" s="569"/>
      <c r="CX310" s="569"/>
      <c r="CY310" s="569"/>
      <c r="CZ310" s="569"/>
      <c r="DA310" s="569"/>
      <c r="DB310" s="569"/>
      <c r="DC310" s="569"/>
      <c r="DD310" s="569"/>
      <c r="DE310" s="569"/>
      <c r="DF310" s="569"/>
      <c r="DG310" s="569"/>
      <c r="DH310" s="569"/>
      <c r="DI310" s="569"/>
      <c r="DJ310" s="569"/>
      <c r="DK310" s="569"/>
      <c r="DL310" s="569"/>
      <c r="DM310" s="569"/>
      <c r="DN310" s="569"/>
      <c r="DO310" s="569"/>
      <c r="DP310" s="569"/>
      <c r="DQ310" s="569"/>
      <c r="DR310" s="569"/>
      <c r="DS310" s="569"/>
      <c r="DT310" s="569"/>
      <c r="DU310" s="569"/>
      <c r="DV310" s="569"/>
      <c r="DW310" s="569"/>
      <c r="DX310" s="569"/>
      <c r="DY310" s="569"/>
      <c r="DZ310" s="569"/>
      <c r="EA310" s="569"/>
      <c r="EB310" s="569"/>
      <c r="EC310" s="569"/>
      <c r="ED310" s="569"/>
      <c r="EE310" s="569"/>
      <c r="EF310" s="569"/>
      <c r="EG310" s="569"/>
      <c r="EH310" s="569"/>
      <c r="EI310" s="569"/>
      <c r="EJ310" s="569"/>
      <c r="EK310" s="569"/>
      <c r="EL310" s="569"/>
      <c r="EM310" s="569"/>
      <c r="EN310" s="569"/>
      <c r="EO310" s="569"/>
      <c r="EP310" s="569"/>
      <c r="EQ310" s="569"/>
      <c r="ER310" s="569"/>
      <c r="ES310" s="569"/>
      <c r="ET310" s="569"/>
      <c r="EU310" s="569"/>
      <c r="EV310" s="569"/>
      <c r="EW310" s="569"/>
      <c r="EX310" s="569"/>
      <c r="EY310" s="569"/>
      <c r="EZ310" s="569"/>
      <c r="FA310" s="569"/>
      <c r="FB310" s="569"/>
      <c r="FC310" s="569"/>
      <c r="FD310" s="569"/>
      <c r="FE310" s="569"/>
      <c r="FF310" s="569"/>
      <c r="FG310" s="569"/>
      <c r="FH310" s="569"/>
      <c r="FI310" s="569"/>
      <c r="FJ310" s="569"/>
      <c r="FK310" s="569"/>
      <c r="FL310" s="569"/>
      <c r="FM310" s="569"/>
      <c r="FN310" s="569"/>
      <c r="FO310" s="569"/>
      <c r="FP310" s="569"/>
      <c r="FQ310" s="569"/>
      <c r="FR310" s="569"/>
      <c r="FS310" s="569"/>
      <c r="FT310" s="569"/>
      <c r="FU310" s="569"/>
      <c r="FV310" s="569"/>
      <c r="FW310" s="569"/>
      <c r="FX310" s="569"/>
      <c r="FY310" s="569"/>
      <c r="FZ310" s="569"/>
      <c r="GA310" s="569"/>
      <c r="GB310" s="569"/>
      <c r="GC310" s="569"/>
      <c r="GD310" s="569"/>
      <c r="GE310" s="569"/>
      <c r="GF310" s="569"/>
      <c r="GG310" s="569"/>
      <c r="GH310" s="569"/>
      <c r="GI310" s="569"/>
      <c r="GJ310" s="569"/>
      <c r="GK310" s="569"/>
      <c r="GL310" s="569"/>
      <c r="GM310" s="569"/>
      <c r="GN310" s="569"/>
      <c r="GO310" s="569"/>
      <c r="GP310" s="569"/>
      <c r="GQ310" s="569"/>
      <c r="GR310" s="569"/>
      <c r="GS310" s="569"/>
      <c r="GT310" s="569"/>
    </row>
    <row r="311" spans="2:202" s="554" customFormat="1" ht="18" customHeight="1">
      <c r="B311" s="590"/>
      <c r="C311" s="1151"/>
      <c r="D311" s="1151"/>
      <c r="E311" s="1151"/>
      <c r="F311" s="1151"/>
      <c r="G311" s="1151"/>
      <c r="H311" s="1151"/>
      <c r="I311" s="1151"/>
      <c r="J311" s="1151"/>
      <c r="K311" s="1151"/>
      <c r="L311" s="1151"/>
      <c r="M311" s="590"/>
      <c r="N311" s="590"/>
      <c r="O311" s="590"/>
      <c r="P311" s="590"/>
      <c r="Q311" s="569"/>
      <c r="R311" s="569"/>
      <c r="S311" s="569"/>
      <c r="T311" s="590"/>
      <c r="U311" s="569"/>
      <c r="V311" s="569"/>
      <c r="W311" s="569"/>
      <c r="X311" s="569"/>
      <c r="Y311" s="569"/>
      <c r="Z311" s="569"/>
      <c r="AA311" s="569"/>
      <c r="AB311" s="569"/>
      <c r="AC311" s="569"/>
      <c r="AD311" s="569"/>
      <c r="AE311" s="569"/>
      <c r="AF311" s="569"/>
      <c r="AG311" s="569"/>
      <c r="AH311" s="569"/>
      <c r="AI311" s="569"/>
      <c r="AJ311" s="569"/>
      <c r="AK311" s="569"/>
      <c r="AL311" s="569"/>
      <c r="AM311" s="569"/>
      <c r="AN311" s="569"/>
      <c r="AO311" s="569"/>
      <c r="AP311" s="569"/>
      <c r="AQ311" s="569"/>
      <c r="AR311" s="569"/>
      <c r="AS311" s="569"/>
      <c r="AT311" s="569"/>
      <c r="AU311" s="569"/>
      <c r="AV311" s="569"/>
      <c r="AW311" s="569"/>
      <c r="AX311" s="569"/>
      <c r="AY311" s="569"/>
      <c r="AZ311" s="569"/>
      <c r="BA311" s="569"/>
      <c r="BB311" s="569"/>
      <c r="BC311" s="569"/>
      <c r="BD311" s="569"/>
      <c r="BE311" s="569"/>
      <c r="BF311" s="569"/>
      <c r="BG311" s="569"/>
      <c r="BH311" s="569"/>
      <c r="BI311" s="569"/>
      <c r="BJ311" s="569"/>
      <c r="BK311" s="569"/>
      <c r="BL311" s="569"/>
      <c r="BM311" s="569"/>
      <c r="BN311" s="569"/>
      <c r="BO311" s="569"/>
      <c r="BP311" s="569"/>
      <c r="BQ311" s="569"/>
      <c r="BR311" s="569"/>
      <c r="BS311" s="569"/>
      <c r="BT311" s="569"/>
      <c r="BU311" s="569"/>
      <c r="BV311" s="569"/>
      <c r="BW311" s="569"/>
      <c r="BX311" s="569"/>
      <c r="BY311" s="569"/>
      <c r="BZ311" s="569"/>
      <c r="CA311" s="569"/>
      <c r="CB311" s="569"/>
      <c r="CC311" s="569"/>
      <c r="CD311" s="569"/>
      <c r="CE311" s="569"/>
      <c r="CF311" s="569"/>
      <c r="CG311" s="569"/>
      <c r="CH311" s="569"/>
      <c r="CI311" s="569"/>
      <c r="CJ311" s="569"/>
      <c r="CK311" s="569"/>
      <c r="CL311" s="569"/>
      <c r="CM311" s="569"/>
      <c r="CN311" s="569"/>
      <c r="CO311" s="569"/>
      <c r="CP311" s="569"/>
      <c r="CQ311" s="569"/>
      <c r="CR311" s="569"/>
      <c r="CS311" s="569"/>
      <c r="CT311" s="569"/>
      <c r="CU311" s="569"/>
      <c r="CV311" s="569"/>
      <c r="CW311" s="569"/>
      <c r="CX311" s="569"/>
      <c r="CY311" s="569"/>
      <c r="CZ311" s="569"/>
      <c r="DA311" s="569"/>
      <c r="DB311" s="569"/>
      <c r="DC311" s="569"/>
      <c r="DD311" s="569"/>
      <c r="DE311" s="569"/>
      <c r="DF311" s="569"/>
      <c r="DG311" s="569"/>
      <c r="DH311" s="569"/>
      <c r="DI311" s="569"/>
      <c r="DJ311" s="569"/>
      <c r="DK311" s="569"/>
      <c r="DL311" s="569"/>
      <c r="DM311" s="569"/>
      <c r="DN311" s="569"/>
      <c r="DO311" s="569"/>
      <c r="DP311" s="569"/>
      <c r="DQ311" s="569"/>
      <c r="DR311" s="569"/>
      <c r="DS311" s="569"/>
      <c r="DT311" s="569"/>
      <c r="DU311" s="569"/>
      <c r="DV311" s="569"/>
      <c r="DW311" s="569"/>
      <c r="DX311" s="569"/>
      <c r="DY311" s="569"/>
      <c r="DZ311" s="569"/>
      <c r="EA311" s="569"/>
      <c r="EB311" s="569"/>
      <c r="EC311" s="569"/>
      <c r="ED311" s="569"/>
      <c r="EE311" s="569"/>
      <c r="EF311" s="569"/>
      <c r="EG311" s="569"/>
      <c r="EH311" s="569"/>
      <c r="EI311" s="569"/>
      <c r="EJ311" s="569"/>
      <c r="EK311" s="569"/>
      <c r="EL311" s="569"/>
      <c r="EM311" s="569"/>
      <c r="EN311" s="569"/>
      <c r="EO311" s="569"/>
      <c r="EP311" s="569"/>
      <c r="EQ311" s="569"/>
      <c r="ER311" s="569"/>
      <c r="ES311" s="569"/>
      <c r="ET311" s="569"/>
      <c r="EU311" s="569"/>
      <c r="EV311" s="569"/>
      <c r="EW311" s="569"/>
      <c r="EX311" s="569"/>
      <c r="EY311" s="569"/>
      <c r="EZ311" s="569"/>
      <c r="FA311" s="569"/>
      <c r="FB311" s="569"/>
      <c r="FC311" s="569"/>
      <c r="FD311" s="569"/>
      <c r="FE311" s="569"/>
      <c r="FF311" s="569"/>
      <c r="FG311" s="569"/>
      <c r="FH311" s="569"/>
      <c r="FI311" s="569"/>
      <c r="FJ311" s="569"/>
      <c r="FK311" s="569"/>
      <c r="FL311" s="569"/>
      <c r="FM311" s="569"/>
      <c r="FN311" s="569"/>
      <c r="FO311" s="569"/>
      <c r="FP311" s="569"/>
      <c r="FQ311" s="569"/>
      <c r="FR311" s="569"/>
      <c r="FS311" s="569"/>
      <c r="FT311" s="569"/>
      <c r="FU311" s="569"/>
      <c r="FV311" s="569"/>
      <c r="FW311" s="569"/>
      <c r="FX311" s="569"/>
      <c r="FY311" s="569"/>
      <c r="FZ311" s="569"/>
      <c r="GA311" s="569"/>
      <c r="GB311" s="569"/>
      <c r="GC311" s="569"/>
      <c r="GD311" s="569"/>
      <c r="GE311" s="569"/>
      <c r="GF311" s="569"/>
      <c r="GG311" s="569"/>
      <c r="GH311" s="569"/>
      <c r="GI311" s="569"/>
      <c r="GJ311" s="569"/>
      <c r="GK311" s="569"/>
      <c r="GL311" s="569"/>
      <c r="GM311" s="569"/>
      <c r="GN311" s="569"/>
      <c r="GO311" s="569"/>
      <c r="GP311" s="569"/>
      <c r="GQ311" s="569"/>
      <c r="GR311" s="569"/>
      <c r="GS311" s="569"/>
      <c r="GT311" s="569"/>
    </row>
    <row r="312" spans="2:202" s="554" customFormat="1" ht="18" customHeight="1">
      <c r="B312" s="590"/>
      <c r="C312" s="1151"/>
      <c r="D312" s="1151"/>
      <c r="E312" s="1151"/>
      <c r="F312" s="1151"/>
      <c r="G312" s="1151"/>
      <c r="H312" s="1151"/>
      <c r="I312" s="1151"/>
      <c r="J312" s="1151"/>
      <c r="K312" s="1151"/>
      <c r="L312" s="1151"/>
      <c r="M312" s="590"/>
      <c r="N312" s="590"/>
      <c r="O312" s="590"/>
      <c r="P312" s="590"/>
      <c r="Q312" s="569"/>
      <c r="R312" s="569"/>
      <c r="S312" s="569"/>
      <c r="T312" s="590"/>
      <c r="U312" s="569"/>
      <c r="V312" s="569"/>
      <c r="W312" s="569"/>
      <c r="X312" s="569"/>
      <c r="Y312" s="569"/>
      <c r="Z312" s="569"/>
      <c r="AA312" s="569"/>
      <c r="AB312" s="569"/>
      <c r="AC312" s="569"/>
      <c r="AD312" s="569"/>
      <c r="AE312" s="569"/>
      <c r="AF312" s="569"/>
      <c r="AG312" s="569"/>
      <c r="AH312" s="569"/>
      <c r="AI312" s="569"/>
      <c r="AJ312" s="569"/>
      <c r="AK312" s="569"/>
      <c r="AL312" s="569"/>
      <c r="AM312" s="569"/>
      <c r="AN312" s="569"/>
      <c r="AO312" s="569"/>
      <c r="AP312" s="569"/>
      <c r="AQ312" s="569"/>
      <c r="AR312" s="569"/>
      <c r="AS312" s="569"/>
      <c r="AT312" s="569"/>
      <c r="AU312" s="569"/>
      <c r="AV312" s="569"/>
      <c r="AW312" s="569"/>
      <c r="AX312" s="569"/>
      <c r="AY312" s="569"/>
      <c r="AZ312" s="569"/>
      <c r="BA312" s="569"/>
      <c r="BB312" s="569"/>
      <c r="BC312" s="569"/>
      <c r="BD312" s="569"/>
      <c r="BE312" s="569"/>
      <c r="BF312" s="569"/>
      <c r="BG312" s="569"/>
      <c r="BH312" s="569"/>
      <c r="BI312" s="569"/>
      <c r="BJ312" s="569"/>
      <c r="BK312" s="569"/>
      <c r="BL312" s="569"/>
      <c r="BM312" s="569"/>
      <c r="BN312" s="569"/>
      <c r="BO312" s="569"/>
      <c r="BP312" s="569"/>
      <c r="BQ312" s="569"/>
      <c r="BR312" s="569"/>
      <c r="BS312" s="569"/>
      <c r="BT312" s="569"/>
      <c r="BU312" s="569"/>
      <c r="BV312" s="569"/>
      <c r="BW312" s="569"/>
      <c r="BX312" s="569"/>
      <c r="BY312" s="569"/>
      <c r="BZ312" s="569"/>
      <c r="CA312" s="569"/>
      <c r="CB312" s="569"/>
      <c r="CC312" s="569"/>
      <c r="CD312" s="569"/>
      <c r="CE312" s="569"/>
      <c r="CF312" s="569"/>
      <c r="CG312" s="569"/>
      <c r="CH312" s="569"/>
      <c r="CI312" s="569"/>
      <c r="CJ312" s="569"/>
      <c r="CK312" s="569"/>
      <c r="CL312" s="569"/>
      <c r="CM312" s="569"/>
      <c r="CN312" s="569"/>
      <c r="CO312" s="569"/>
      <c r="CP312" s="569"/>
      <c r="CQ312" s="569"/>
      <c r="CR312" s="569"/>
      <c r="CS312" s="569"/>
      <c r="CT312" s="569"/>
      <c r="CU312" s="569"/>
      <c r="CV312" s="569"/>
      <c r="CW312" s="569"/>
      <c r="CX312" s="569"/>
      <c r="CY312" s="569"/>
      <c r="CZ312" s="569"/>
      <c r="DA312" s="569"/>
      <c r="DB312" s="569"/>
      <c r="DC312" s="569"/>
      <c r="DD312" s="569"/>
      <c r="DE312" s="569"/>
      <c r="DF312" s="569"/>
      <c r="DG312" s="569"/>
      <c r="DH312" s="569"/>
      <c r="DI312" s="569"/>
      <c r="DJ312" s="569"/>
      <c r="DK312" s="569"/>
      <c r="DL312" s="569"/>
      <c r="DM312" s="569"/>
      <c r="DN312" s="569"/>
      <c r="DO312" s="569"/>
      <c r="DP312" s="569"/>
      <c r="DQ312" s="569"/>
      <c r="DR312" s="569"/>
      <c r="DS312" s="569"/>
      <c r="DT312" s="569"/>
      <c r="DU312" s="569"/>
      <c r="DV312" s="569"/>
      <c r="DW312" s="569"/>
      <c r="DX312" s="569"/>
      <c r="DY312" s="569"/>
      <c r="DZ312" s="569"/>
      <c r="EA312" s="569"/>
      <c r="EB312" s="569"/>
      <c r="EC312" s="569"/>
      <c r="ED312" s="569"/>
      <c r="EE312" s="569"/>
      <c r="EF312" s="569"/>
      <c r="EG312" s="569"/>
      <c r="EH312" s="569"/>
      <c r="EI312" s="569"/>
      <c r="EJ312" s="569"/>
      <c r="EK312" s="569"/>
      <c r="EL312" s="569"/>
      <c r="EM312" s="569"/>
      <c r="EN312" s="569"/>
      <c r="EO312" s="569"/>
      <c r="EP312" s="569"/>
      <c r="EQ312" s="569"/>
      <c r="ER312" s="569"/>
      <c r="ES312" s="569"/>
      <c r="ET312" s="569"/>
      <c r="EU312" s="569"/>
      <c r="EV312" s="569"/>
      <c r="EW312" s="569"/>
      <c r="EX312" s="569"/>
      <c r="EY312" s="569"/>
      <c r="EZ312" s="569"/>
      <c r="FA312" s="569"/>
      <c r="FB312" s="569"/>
      <c r="FC312" s="569"/>
      <c r="FD312" s="569"/>
      <c r="FE312" s="569"/>
      <c r="FF312" s="569"/>
      <c r="FG312" s="569"/>
      <c r="FH312" s="569"/>
      <c r="FI312" s="569"/>
      <c r="FJ312" s="569"/>
      <c r="FK312" s="569"/>
      <c r="FL312" s="569"/>
      <c r="FM312" s="569"/>
      <c r="FN312" s="569"/>
      <c r="FO312" s="569"/>
      <c r="FP312" s="569"/>
      <c r="FQ312" s="569"/>
      <c r="FR312" s="569"/>
      <c r="FS312" s="569"/>
      <c r="FT312" s="569"/>
      <c r="FU312" s="569"/>
      <c r="FV312" s="569"/>
      <c r="FW312" s="569"/>
      <c r="FX312" s="569"/>
      <c r="FY312" s="569"/>
      <c r="FZ312" s="569"/>
      <c r="GA312" s="569"/>
      <c r="GB312" s="569"/>
      <c r="GC312" s="569"/>
      <c r="GD312" s="569"/>
      <c r="GE312" s="569"/>
      <c r="GF312" s="569"/>
      <c r="GG312" s="569"/>
      <c r="GH312" s="569"/>
      <c r="GI312" s="569"/>
      <c r="GJ312" s="569"/>
      <c r="GK312" s="569"/>
      <c r="GL312" s="569"/>
      <c r="GM312" s="569"/>
      <c r="GN312" s="569"/>
      <c r="GO312" s="569"/>
      <c r="GP312" s="569"/>
      <c r="GQ312" s="569"/>
      <c r="GR312" s="569"/>
      <c r="GS312" s="569"/>
      <c r="GT312" s="569"/>
    </row>
    <row r="313" spans="2:202" s="554" customFormat="1" ht="18" customHeight="1">
      <c r="B313" s="590"/>
      <c r="C313" s="1151"/>
      <c r="D313" s="1151"/>
      <c r="E313" s="1151"/>
      <c r="F313" s="1151"/>
      <c r="G313" s="1151"/>
      <c r="H313" s="1151"/>
      <c r="I313" s="1151"/>
      <c r="J313" s="1151"/>
      <c r="K313" s="1151"/>
      <c r="L313" s="1151"/>
      <c r="M313" s="590"/>
      <c r="N313" s="590"/>
      <c r="O313" s="590"/>
      <c r="P313" s="590"/>
      <c r="Q313" s="569"/>
      <c r="R313" s="569"/>
      <c r="S313" s="569"/>
      <c r="T313" s="590"/>
      <c r="U313" s="569"/>
      <c r="V313" s="569"/>
      <c r="W313" s="569"/>
      <c r="X313" s="569"/>
      <c r="Y313" s="569"/>
      <c r="Z313" s="569"/>
      <c r="AA313" s="569"/>
      <c r="AB313" s="569"/>
      <c r="AC313" s="569"/>
      <c r="AD313" s="569"/>
      <c r="AE313" s="569"/>
      <c r="AF313" s="569"/>
      <c r="AG313" s="569"/>
      <c r="AH313" s="569"/>
      <c r="AI313" s="569"/>
      <c r="AJ313" s="569"/>
      <c r="AK313" s="569"/>
      <c r="AL313" s="569"/>
      <c r="AM313" s="569"/>
      <c r="AN313" s="569"/>
      <c r="AO313" s="569"/>
      <c r="AP313" s="569"/>
      <c r="AQ313" s="569"/>
      <c r="AR313" s="569"/>
      <c r="AS313" s="569"/>
      <c r="AT313" s="569"/>
      <c r="AU313" s="569"/>
      <c r="AV313" s="569"/>
      <c r="AW313" s="569"/>
      <c r="AX313" s="569"/>
      <c r="AY313" s="569"/>
      <c r="AZ313" s="569"/>
      <c r="BA313" s="569"/>
      <c r="BB313" s="569"/>
      <c r="BC313" s="569"/>
      <c r="BD313" s="569"/>
      <c r="BE313" s="569"/>
      <c r="BF313" s="569"/>
      <c r="BG313" s="569"/>
      <c r="BH313" s="569"/>
      <c r="BI313" s="569"/>
      <c r="BJ313" s="569"/>
      <c r="BK313" s="569"/>
      <c r="BL313" s="569"/>
      <c r="BM313" s="569"/>
      <c r="BN313" s="569"/>
      <c r="BO313" s="569"/>
      <c r="BP313" s="569"/>
      <c r="BQ313" s="569"/>
      <c r="BR313" s="569"/>
      <c r="BS313" s="569"/>
      <c r="BT313" s="569"/>
      <c r="BU313" s="569"/>
      <c r="BV313" s="569"/>
      <c r="BW313" s="569"/>
      <c r="BX313" s="569"/>
      <c r="BY313" s="569"/>
      <c r="BZ313" s="569"/>
      <c r="CA313" s="569"/>
      <c r="CB313" s="569"/>
      <c r="CC313" s="569"/>
      <c r="CD313" s="569"/>
      <c r="CE313" s="569"/>
      <c r="CF313" s="569"/>
      <c r="CG313" s="569"/>
      <c r="CH313" s="569"/>
      <c r="CI313" s="569"/>
      <c r="CJ313" s="569"/>
      <c r="CK313" s="569"/>
      <c r="CL313" s="569"/>
      <c r="CM313" s="569"/>
      <c r="CN313" s="569"/>
      <c r="CO313" s="569"/>
      <c r="CP313" s="569"/>
      <c r="CQ313" s="569"/>
      <c r="CR313" s="569"/>
      <c r="CS313" s="569"/>
      <c r="CT313" s="569"/>
      <c r="CU313" s="569"/>
      <c r="CV313" s="569"/>
      <c r="CW313" s="569"/>
      <c r="CX313" s="569"/>
      <c r="CY313" s="569"/>
      <c r="CZ313" s="569"/>
      <c r="DA313" s="569"/>
      <c r="DB313" s="569"/>
      <c r="DC313" s="569"/>
      <c r="DD313" s="569"/>
      <c r="DE313" s="569"/>
      <c r="DF313" s="569"/>
      <c r="DG313" s="569"/>
      <c r="DH313" s="569"/>
      <c r="DI313" s="569"/>
      <c r="DJ313" s="569"/>
      <c r="DK313" s="569"/>
      <c r="DL313" s="569"/>
      <c r="DM313" s="569"/>
      <c r="DN313" s="569"/>
      <c r="DO313" s="569"/>
      <c r="DP313" s="569"/>
      <c r="DQ313" s="569"/>
      <c r="DR313" s="569"/>
      <c r="DS313" s="569"/>
      <c r="DT313" s="569"/>
      <c r="DU313" s="569"/>
      <c r="DV313" s="569"/>
      <c r="DW313" s="569"/>
      <c r="DX313" s="569"/>
      <c r="DY313" s="569"/>
      <c r="DZ313" s="569"/>
      <c r="EA313" s="569"/>
      <c r="EB313" s="569"/>
      <c r="EC313" s="569"/>
      <c r="ED313" s="569"/>
      <c r="EE313" s="569"/>
      <c r="EF313" s="569"/>
      <c r="EG313" s="569"/>
      <c r="EH313" s="569"/>
      <c r="EI313" s="569"/>
      <c r="EJ313" s="569"/>
      <c r="EK313" s="569"/>
      <c r="EL313" s="569"/>
      <c r="EM313" s="569"/>
      <c r="EN313" s="569"/>
      <c r="EO313" s="569"/>
      <c r="EP313" s="569"/>
      <c r="EQ313" s="569"/>
      <c r="ER313" s="569"/>
      <c r="ES313" s="569"/>
      <c r="ET313" s="569"/>
      <c r="EU313" s="569"/>
      <c r="EV313" s="569"/>
      <c r="EW313" s="569"/>
      <c r="EX313" s="569"/>
      <c r="EY313" s="569"/>
      <c r="EZ313" s="569"/>
      <c r="FA313" s="569"/>
      <c r="FB313" s="569"/>
      <c r="FC313" s="569"/>
      <c r="FD313" s="569"/>
      <c r="FE313" s="569"/>
      <c r="FF313" s="569"/>
      <c r="FG313" s="569"/>
      <c r="FH313" s="569"/>
      <c r="FI313" s="569"/>
      <c r="FJ313" s="569"/>
      <c r="FK313" s="569"/>
      <c r="FL313" s="569"/>
      <c r="FM313" s="569"/>
      <c r="FN313" s="569"/>
      <c r="FO313" s="569"/>
      <c r="FP313" s="569"/>
      <c r="FQ313" s="569"/>
      <c r="FR313" s="569"/>
      <c r="FS313" s="569"/>
      <c r="FT313" s="569"/>
      <c r="FU313" s="569"/>
      <c r="FV313" s="569"/>
      <c r="FW313" s="569"/>
      <c r="FX313" s="569"/>
      <c r="FY313" s="569"/>
      <c r="FZ313" s="569"/>
      <c r="GA313" s="569"/>
      <c r="GB313" s="569"/>
      <c r="GC313" s="569"/>
      <c r="GD313" s="569"/>
      <c r="GE313" s="569"/>
      <c r="GF313" s="569"/>
      <c r="GG313" s="569"/>
      <c r="GH313" s="569"/>
      <c r="GI313" s="569"/>
      <c r="GJ313" s="569"/>
      <c r="GK313" s="569"/>
      <c r="GL313" s="569"/>
      <c r="GM313" s="569"/>
      <c r="GN313" s="569"/>
      <c r="GO313" s="569"/>
      <c r="GP313" s="569"/>
      <c r="GQ313" s="569"/>
      <c r="GR313" s="569"/>
      <c r="GS313" s="569"/>
      <c r="GT313" s="569"/>
    </row>
    <row r="314" spans="2:202" s="554" customFormat="1" ht="18" customHeight="1">
      <c r="B314" s="590"/>
      <c r="C314" s="1151"/>
      <c r="D314" s="1151"/>
      <c r="E314" s="1151"/>
      <c r="F314" s="1151"/>
      <c r="G314" s="1151"/>
      <c r="H314" s="1151"/>
      <c r="I314" s="1151"/>
      <c r="J314" s="1151"/>
      <c r="K314" s="1151"/>
      <c r="L314" s="1151"/>
      <c r="M314" s="590"/>
      <c r="N314" s="590"/>
      <c r="O314" s="590"/>
      <c r="P314" s="590"/>
      <c r="Q314" s="569"/>
      <c r="R314" s="569"/>
      <c r="S314" s="569"/>
      <c r="T314" s="590"/>
      <c r="U314" s="569"/>
      <c r="V314" s="569"/>
      <c r="W314" s="569"/>
      <c r="X314" s="569"/>
      <c r="Y314" s="569"/>
      <c r="Z314" s="569"/>
      <c r="AA314" s="569"/>
      <c r="AB314" s="569"/>
      <c r="AC314" s="569"/>
      <c r="AD314" s="569"/>
      <c r="AE314" s="569"/>
      <c r="AF314" s="569"/>
      <c r="AG314" s="569"/>
      <c r="AH314" s="569"/>
      <c r="AI314" s="569"/>
      <c r="AJ314" s="569"/>
      <c r="AK314" s="569"/>
      <c r="AL314" s="569"/>
      <c r="AM314" s="569"/>
      <c r="AN314" s="569"/>
      <c r="AO314" s="569"/>
      <c r="AP314" s="569"/>
      <c r="AQ314" s="569"/>
      <c r="AR314" s="569"/>
      <c r="AS314" s="569"/>
      <c r="AT314" s="569"/>
      <c r="AU314" s="569"/>
      <c r="AV314" s="569"/>
      <c r="AW314" s="569"/>
      <c r="AX314" s="569"/>
      <c r="AY314" s="569"/>
      <c r="AZ314" s="569"/>
      <c r="BA314" s="569"/>
      <c r="BB314" s="569"/>
      <c r="BC314" s="569"/>
      <c r="BD314" s="569"/>
      <c r="BE314" s="569"/>
      <c r="BF314" s="569"/>
      <c r="BG314" s="569"/>
      <c r="BH314" s="569"/>
      <c r="BI314" s="569"/>
      <c r="BJ314" s="569"/>
      <c r="BK314" s="569"/>
      <c r="BL314" s="569"/>
      <c r="BM314" s="569"/>
      <c r="BN314" s="569"/>
      <c r="BO314" s="569"/>
      <c r="BP314" s="569"/>
      <c r="BQ314" s="569"/>
      <c r="BR314" s="569"/>
      <c r="BS314" s="569"/>
      <c r="BT314" s="569"/>
      <c r="BU314" s="569"/>
      <c r="BV314" s="569"/>
      <c r="BW314" s="569"/>
      <c r="BX314" s="569"/>
      <c r="BY314" s="569"/>
      <c r="BZ314" s="569"/>
      <c r="CA314" s="569"/>
      <c r="CB314" s="569"/>
      <c r="CC314" s="569"/>
      <c r="CD314" s="569"/>
      <c r="CE314" s="569"/>
      <c r="CF314" s="569"/>
      <c r="CG314" s="569"/>
      <c r="CH314" s="569"/>
      <c r="CI314" s="569"/>
      <c r="CJ314" s="569"/>
      <c r="CK314" s="569"/>
      <c r="CL314" s="569"/>
      <c r="CM314" s="569"/>
      <c r="CN314" s="569"/>
      <c r="CO314" s="569"/>
      <c r="CP314" s="569"/>
      <c r="CQ314" s="569"/>
      <c r="CR314" s="569"/>
      <c r="CS314" s="569"/>
      <c r="CT314" s="569"/>
      <c r="CU314" s="569"/>
      <c r="CV314" s="569"/>
      <c r="CW314" s="569"/>
      <c r="CX314" s="569"/>
      <c r="CY314" s="569"/>
      <c r="CZ314" s="569"/>
      <c r="DA314" s="569"/>
      <c r="DB314" s="569"/>
      <c r="DC314" s="569"/>
      <c r="DD314" s="569"/>
      <c r="DE314" s="569"/>
      <c r="DF314" s="569"/>
      <c r="DG314" s="569"/>
      <c r="DH314" s="569"/>
      <c r="DI314" s="569"/>
      <c r="DJ314" s="569"/>
      <c r="DK314" s="569"/>
      <c r="DL314" s="569"/>
      <c r="DM314" s="569"/>
      <c r="DN314" s="569"/>
      <c r="DO314" s="569"/>
      <c r="DP314" s="569"/>
      <c r="DQ314" s="569"/>
      <c r="DR314" s="569"/>
      <c r="DS314" s="569"/>
      <c r="DT314" s="569"/>
      <c r="DU314" s="569"/>
      <c r="DV314" s="569"/>
      <c r="DW314" s="569"/>
      <c r="DX314" s="569"/>
      <c r="DY314" s="569"/>
      <c r="DZ314" s="569"/>
      <c r="EA314" s="569"/>
      <c r="EB314" s="569"/>
      <c r="EC314" s="569"/>
      <c r="ED314" s="569"/>
      <c r="EE314" s="569"/>
      <c r="EF314" s="569"/>
      <c r="EG314" s="569"/>
      <c r="EH314" s="569"/>
      <c r="EI314" s="569"/>
      <c r="EJ314" s="569"/>
      <c r="EK314" s="569"/>
      <c r="EL314" s="569"/>
      <c r="EM314" s="569"/>
      <c r="EN314" s="569"/>
      <c r="EO314" s="569"/>
      <c r="EP314" s="569"/>
      <c r="EQ314" s="569"/>
      <c r="ER314" s="569"/>
      <c r="ES314" s="569"/>
      <c r="ET314" s="569"/>
      <c r="EU314" s="569"/>
      <c r="EV314" s="569"/>
      <c r="EW314" s="569"/>
      <c r="EX314" s="569"/>
      <c r="EY314" s="569"/>
      <c r="EZ314" s="569"/>
      <c r="FA314" s="569"/>
      <c r="FB314" s="569"/>
      <c r="FC314" s="569"/>
      <c r="FD314" s="569"/>
      <c r="FE314" s="569"/>
      <c r="FF314" s="569"/>
      <c r="FG314" s="569"/>
      <c r="FH314" s="569"/>
      <c r="FI314" s="569"/>
      <c r="FJ314" s="569"/>
      <c r="FK314" s="569"/>
      <c r="FL314" s="569"/>
      <c r="FM314" s="569"/>
      <c r="FN314" s="569"/>
      <c r="FO314" s="569"/>
      <c r="FP314" s="569"/>
      <c r="FQ314" s="569"/>
      <c r="FR314" s="569"/>
      <c r="FS314" s="569"/>
      <c r="FT314" s="569"/>
      <c r="FU314" s="569"/>
      <c r="FV314" s="569"/>
      <c r="FW314" s="569"/>
      <c r="FX314" s="569"/>
      <c r="FY314" s="569"/>
      <c r="FZ314" s="569"/>
      <c r="GA314" s="569"/>
      <c r="GB314" s="569"/>
      <c r="GC314" s="569"/>
      <c r="GD314" s="569"/>
      <c r="GE314" s="569"/>
      <c r="GF314" s="569"/>
      <c r="GG314" s="569"/>
      <c r="GH314" s="569"/>
      <c r="GI314" s="569"/>
      <c r="GJ314" s="569"/>
      <c r="GK314" s="569"/>
      <c r="GL314" s="569"/>
      <c r="GM314" s="569"/>
      <c r="GN314" s="569"/>
      <c r="GO314" s="569"/>
      <c r="GP314" s="569"/>
      <c r="GQ314" s="569"/>
      <c r="GR314" s="569"/>
      <c r="GS314" s="569"/>
      <c r="GT314" s="569"/>
    </row>
    <row r="315" spans="2:202" s="554" customFormat="1" ht="18" customHeight="1">
      <c r="B315" s="590"/>
      <c r="C315" s="1151"/>
      <c r="D315" s="1151"/>
      <c r="E315" s="1151"/>
      <c r="F315" s="1151"/>
      <c r="G315" s="1151"/>
      <c r="H315" s="1151"/>
      <c r="I315" s="1151"/>
      <c r="J315" s="1151"/>
      <c r="K315" s="1151"/>
      <c r="L315" s="1151"/>
      <c r="M315" s="590"/>
      <c r="N315" s="590"/>
      <c r="O315" s="590"/>
      <c r="P315" s="590"/>
      <c r="Q315" s="569"/>
      <c r="R315" s="569"/>
      <c r="S315" s="569"/>
      <c r="T315" s="590"/>
      <c r="U315" s="569"/>
      <c r="V315" s="569"/>
      <c r="W315" s="569"/>
      <c r="X315" s="569"/>
      <c r="Y315" s="569"/>
      <c r="Z315" s="569"/>
      <c r="AA315" s="569"/>
      <c r="AB315" s="569"/>
      <c r="AC315" s="569"/>
      <c r="AD315" s="569"/>
      <c r="AE315" s="569"/>
      <c r="AF315" s="569"/>
      <c r="AG315" s="569"/>
      <c r="AH315" s="569"/>
      <c r="AI315" s="569"/>
      <c r="AJ315" s="569"/>
      <c r="AK315" s="569"/>
      <c r="AL315" s="569"/>
      <c r="AM315" s="569"/>
      <c r="AN315" s="569"/>
      <c r="AO315" s="569"/>
      <c r="AP315" s="569"/>
      <c r="AQ315" s="569"/>
      <c r="AR315" s="569"/>
      <c r="AS315" s="569"/>
      <c r="AT315" s="569"/>
      <c r="AU315" s="569"/>
      <c r="AV315" s="569"/>
      <c r="AW315" s="569"/>
      <c r="AX315" s="569"/>
      <c r="AY315" s="569"/>
      <c r="AZ315" s="569"/>
      <c r="BA315" s="569"/>
      <c r="BB315" s="569"/>
      <c r="BC315" s="569"/>
      <c r="BD315" s="569"/>
      <c r="BE315" s="569"/>
      <c r="BF315" s="569"/>
      <c r="BG315" s="569"/>
      <c r="BH315" s="569"/>
      <c r="BI315" s="569"/>
      <c r="BJ315" s="569"/>
      <c r="BK315" s="569"/>
      <c r="BL315" s="569"/>
      <c r="BM315" s="569"/>
      <c r="BN315" s="569"/>
      <c r="BO315" s="569"/>
      <c r="BP315" s="569"/>
      <c r="BQ315" s="569"/>
      <c r="BR315" s="569"/>
      <c r="BS315" s="569"/>
      <c r="BT315" s="569"/>
      <c r="BU315" s="569"/>
      <c r="BV315" s="569"/>
      <c r="BW315" s="569"/>
      <c r="BX315" s="569"/>
      <c r="BY315" s="569"/>
      <c r="BZ315" s="569"/>
      <c r="CA315" s="569"/>
      <c r="CB315" s="569"/>
      <c r="CC315" s="569"/>
      <c r="CD315" s="569"/>
      <c r="CE315" s="569"/>
      <c r="CF315" s="569"/>
      <c r="CG315" s="569"/>
      <c r="CH315" s="569"/>
      <c r="CI315" s="569"/>
      <c r="CJ315" s="569"/>
      <c r="CK315" s="569"/>
      <c r="CL315" s="569"/>
      <c r="CM315" s="569"/>
      <c r="CN315" s="569"/>
      <c r="CO315" s="569"/>
      <c r="CP315" s="569"/>
      <c r="CQ315" s="569"/>
      <c r="CR315" s="569"/>
      <c r="CS315" s="569"/>
      <c r="CT315" s="569"/>
      <c r="CU315" s="569"/>
      <c r="CV315" s="569"/>
      <c r="CW315" s="569"/>
      <c r="CX315" s="569"/>
      <c r="CY315" s="569"/>
      <c r="CZ315" s="569"/>
      <c r="DA315" s="569"/>
      <c r="DB315" s="569"/>
      <c r="DC315" s="569"/>
      <c r="DD315" s="569"/>
      <c r="DE315" s="569"/>
      <c r="DF315" s="569"/>
      <c r="DG315" s="569"/>
      <c r="DH315" s="569"/>
      <c r="DI315" s="569"/>
      <c r="DJ315" s="569"/>
      <c r="DK315" s="569"/>
      <c r="DL315" s="569"/>
      <c r="DM315" s="569"/>
      <c r="DN315" s="569"/>
      <c r="DO315" s="569"/>
      <c r="DP315" s="569"/>
      <c r="DQ315" s="569"/>
      <c r="DR315" s="569"/>
      <c r="DS315" s="569"/>
      <c r="DT315" s="569"/>
      <c r="DU315" s="569"/>
      <c r="DV315" s="569"/>
      <c r="DW315" s="569"/>
      <c r="DX315" s="569"/>
      <c r="DY315" s="569"/>
      <c r="DZ315" s="569"/>
      <c r="EA315" s="569"/>
      <c r="EB315" s="569"/>
      <c r="EC315" s="569"/>
      <c r="ED315" s="569"/>
      <c r="EE315" s="569"/>
      <c r="EF315" s="569"/>
      <c r="EG315" s="569"/>
      <c r="EH315" s="569"/>
      <c r="EI315" s="569"/>
      <c r="EJ315" s="569"/>
      <c r="EK315" s="569"/>
      <c r="EL315" s="569"/>
      <c r="EM315" s="569"/>
      <c r="EN315" s="569"/>
      <c r="EO315" s="569"/>
      <c r="EP315" s="569"/>
      <c r="EQ315" s="569"/>
      <c r="ER315" s="569"/>
      <c r="ES315" s="569"/>
      <c r="ET315" s="569"/>
      <c r="EU315" s="569"/>
      <c r="EV315" s="569"/>
      <c r="EW315" s="569"/>
      <c r="EX315" s="569"/>
      <c r="EY315" s="569"/>
      <c r="EZ315" s="569"/>
      <c r="FA315" s="569"/>
      <c r="FB315" s="569"/>
      <c r="FC315" s="569"/>
      <c r="FD315" s="569"/>
      <c r="FE315" s="569"/>
      <c r="FF315" s="569"/>
      <c r="FG315" s="569"/>
      <c r="FH315" s="569"/>
      <c r="FI315" s="569"/>
      <c r="FJ315" s="569"/>
      <c r="FK315" s="569"/>
      <c r="FL315" s="569"/>
      <c r="FM315" s="569"/>
      <c r="FN315" s="569"/>
      <c r="FO315" s="569"/>
      <c r="FP315" s="569"/>
      <c r="FQ315" s="569"/>
      <c r="FR315" s="569"/>
      <c r="FS315" s="569"/>
      <c r="FT315" s="569"/>
      <c r="FU315" s="569"/>
      <c r="FV315" s="569"/>
      <c r="FW315" s="569"/>
      <c r="FX315" s="569"/>
      <c r="FY315" s="569"/>
      <c r="FZ315" s="569"/>
      <c r="GA315" s="569"/>
      <c r="GB315" s="569"/>
      <c r="GC315" s="569"/>
      <c r="GD315" s="569"/>
      <c r="GE315" s="569"/>
      <c r="GF315" s="569"/>
      <c r="GG315" s="569"/>
      <c r="GH315" s="569"/>
      <c r="GI315" s="569"/>
      <c r="GJ315" s="569"/>
      <c r="GK315" s="569"/>
      <c r="GL315" s="569"/>
      <c r="GM315" s="569"/>
      <c r="GN315" s="569"/>
      <c r="GO315" s="569"/>
      <c r="GP315" s="569"/>
      <c r="GQ315" s="569"/>
      <c r="GR315" s="569"/>
      <c r="GS315" s="569"/>
      <c r="GT315" s="569"/>
    </row>
    <row r="316" spans="2:202" s="554" customFormat="1" ht="18" customHeight="1">
      <c r="B316" s="590"/>
      <c r="C316" s="1151"/>
      <c r="D316" s="1151"/>
      <c r="E316" s="1151"/>
      <c r="F316" s="1151"/>
      <c r="G316" s="1151"/>
      <c r="H316" s="1151"/>
      <c r="I316" s="1151"/>
      <c r="J316" s="1151"/>
      <c r="K316" s="1151"/>
      <c r="L316" s="1151"/>
      <c r="M316" s="590"/>
      <c r="N316" s="590"/>
      <c r="O316" s="590"/>
      <c r="P316" s="590"/>
      <c r="Q316" s="569"/>
      <c r="R316" s="569"/>
      <c r="S316" s="569"/>
      <c r="T316" s="590"/>
      <c r="U316" s="569"/>
      <c r="V316" s="569"/>
      <c r="W316" s="569"/>
      <c r="X316" s="569"/>
      <c r="Y316" s="569"/>
      <c r="Z316" s="569"/>
      <c r="AA316" s="569"/>
      <c r="AB316" s="569"/>
      <c r="AC316" s="569"/>
      <c r="AD316" s="569"/>
      <c r="AE316" s="569"/>
      <c r="AF316" s="569"/>
      <c r="AG316" s="569"/>
      <c r="AH316" s="569"/>
      <c r="AI316" s="569"/>
      <c r="AJ316" s="569"/>
      <c r="AK316" s="569"/>
      <c r="AL316" s="569"/>
      <c r="AM316" s="569"/>
      <c r="AN316" s="569"/>
      <c r="AO316" s="569"/>
      <c r="AP316" s="569"/>
      <c r="AQ316" s="569"/>
      <c r="AR316" s="569"/>
      <c r="AS316" s="569"/>
      <c r="AT316" s="569"/>
      <c r="AU316" s="569"/>
      <c r="AV316" s="569"/>
      <c r="AW316" s="569"/>
      <c r="AX316" s="569"/>
      <c r="AY316" s="569"/>
      <c r="AZ316" s="569"/>
      <c r="BA316" s="569"/>
      <c r="BB316" s="569"/>
      <c r="BC316" s="569"/>
      <c r="BD316" s="569"/>
      <c r="BE316" s="569"/>
      <c r="BF316" s="569"/>
      <c r="BG316" s="569"/>
      <c r="BH316" s="569"/>
      <c r="BI316" s="569"/>
      <c r="BJ316" s="569"/>
      <c r="BK316" s="569"/>
      <c r="BL316" s="569"/>
      <c r="BM316" s="569"/>
      <c r="BN316" s="569"/>
      <c r="BO316" s="569"/>
      <c r="BP316" s="569"/>
      <c r="BQ316" s="569"/>
      <c r="BR316" s="569"/>
      <c r="BS316" s="569"/>
      <c r="BT316" s="569"/>
      <c r="BU316" s="569"/>
      <c r="BV316" s="569"/>
      <c r="BW316" s="569"/>
      <c r="BX316" s="569"/>
      <c r="BY316" s="569"/>
      <c r="BZ316" s="569"/>
      <c r="CA316" s="569"/>
      <c r="CB316" s="569"/>
      <c r="CC316" s="569"/>
      <c r="CD316" s="569"/>
      <c r="CE316" s="569"/>
      <c r="CF316" s="569"/>
      <c r="CG316" s="569"/>
      <c r="CH316" s="569"/>
      <c r="CI316" s="569"/>
      <c r="CJ316" s="569"/>
      <c r="CK316" s="569"/>
      <c r="CL316" s="569"/>
      <c r="CM316" s="569"/>
      <c r="CN316" s="569"/>
      <c r="CO316" s="569"/>
      <c r="CP316" s="569"/>
      <c r="CQ316" s="569"/>
      <c r="CR316" s="569"/>
      <c r="CS316" s="569"/>
      <c r="CT316" s="569"/>
      <c r="CU316" s="569"/>
      <c r="CV316" s="569"/>
      <c r="CW316" s="569"/>
      <c r="CX316" s="569"/>
      <c r="CY316" s="569"/>
      <c r="CZ316" s="569"/>
      <c r="DA316" s="569"/>
      <c r="DB316" s="569"/>
      <c r="DC316" s="569"/>
      <c r="DD316" s="569"/>
      <c r="DE316" s="569"/>
      <c r="DF316" s="569"/>
      <c r="DG316" s="569"/>
      <c r="DH316" s="569"/>
      <c r="DI316" s="569"/>
      <c r="DJ316" s="569"/>
      <c r="DK316" s="569"/>
      <c r="DL316" s="569"/>
      <c r="DM316" s="569"/>
      <c r="DN316" s="569"/>
      <c r="DO316" s="569"/>
      <c r="DP316" s="569"/>
      <c r="DQ316" s="569"/>
      <c r="DR316" s="569"/>
      <c r="DS316" s="569"/>
      <c r="DT316" s="569"/>
      <c r="DU316" s="569"/>
      <c r="DV316" s="569"/>
      <c r="DW316" s="569"/>
      <c r="DX316" s="569"/>
      <c r="DY316" s="569"/>
      <c r="DZ316" s="569"/>
      <c r="EA316" s="569"/>
      <c r="EB316" s="569"/>
      <c r="EC316" s="569"/>
      <c r="ED316" s="569"/>
      <c r="EE316" s="569"/>
      <c r="EF316" s="569"/>
      <c r="EG316" s="569"/>
      <c r="EH316" s="569"/>
      <c r="EI316" s="569"/>
      <c r="EJ316" s="569"/>
      <c r="EK316" s="569"/>
      <c r="EL316" s="569"/>
      <c r="EM316" s="569"/>
      <c r="EN316" s="569"/>
      <c r="EO316" s="569"/>
      <c r="EP316" s="569"/>
      <c r="EQ316" s="569"/>
      <c r="ER316" s="569"/>
      <c r="ES316" s="569"/>
      <c r="ET316" s="569"/>
      <c r="EU316" s="569"/>
      <c r="EV316" s="569"/>
      <c r="EW316" s="569"/>
      <c r="EX316" s="569"/>
      <c r="EY316" s="569"/>
      <c r="EZ316" s="569"/>
      <c r="FA316" s="569"/>
      <c r="FB316" s="569"/>
      <c r="FC316" s="569"/>
      <c r="FD316" s="569"/>
      <c r="FE316" s="569"/>
      <c r="FF316" s="569"/>
      <c r="FG316" s="569"/>
      <c r="FH316" s="569"/>
      <c r="FI316" s="569"/>
      <c r="FJ316" s="569"/>
      <c r="FK316" s="569"/>
      <c r="FL316" s="569"/>
      <c r="FM316" s="569"/>
      <c r="FN316" s="569"/>
      <c r="FO316" s="569"/>
      <c r="FP316" s="569"/>
      <c r="FQ316" s="569"/>
      <c r="FR316" s="569"/>
      <c r="FS316" s="569"/>
      <c r="FT316" s="569"/>
      <c r="FU316" s="569"/>
      <c r="FV316" s="569"/>
      <c r="FW316" s="569"/>
      <c r="FX316" s="569"/>
      <c r="FY316" s="569"/>
      <c r="FZ316" s="569"/>
      <c r="GA316" s="569"/>
      <c r="GB316" s="569"/>
      <c r="GC316" s="569"/>
      <c r="GD316" s="569"/>
      <c r="GE316" s="569"/>
      <c r="GF316" s="569"/>
      <c r="GG316" s="569"/>
      <c r="GH316" s="569"/>
      <c r="GI316" s="569"/>
      <c r="GJ316" s="569"/>
      <c r="GK316" s="569"/>
      <c r="GL316" s="569"/>
      <c r="GM316" s="569"/>
      <c r="GN316" s="569"/>
      <c r="GO316" s="569"/>
      <c r="GP316" s="569"/>
      <c r="GQ316" s="569"/>
      <c r="GR316" s="569"/>
      <c r="GS316" s="569"/>
      <c r="GT316" s="569"/>
    </row>
    <row r="317" spans="2:202" s="554" customFormat="1" ht="18" customHeight="1">
      <c r="B317" s="590"/>
      <c r="C317" s="1151"/>
      <c r="D317" s="1151"/>
      <c r="E317" s="1151"/>
      <c r="F317" s="1151"/>
      <c r="G317" s="1151"/>
      <c r="H317" s="1151"/>
      <c r="I317" s="1151"/>
      <c r="J317" s="1151"/>
      <c r="K317" s="1151"/>
      <c r="L317" s="1151"/>
      <c r="M317" s="590"/>
      <c r="N317" s="590"/>
      <c r="O317" s="590"/>
      <c r="P317" s="590"/>
      <c r="Q317" s="569"/>
      <c r="R317" s="569"/>
      <c r="S317" s="569"/>
      <c r="T317" s="590"/>
      <c r="U317" s="569"/>
      <c r="V317" s="569"/>
      <c r="W317" s="569"/>
      <c r="X317" s="569"/>
      <c r="Y317" s="569"/>
      <c r="Z317" s="569"/>
      <c r="AA317" s="569"/>
      <c r="AB317" s="569"/>
      <c r="AC317" s="569"/>
      <c r="AD317" s="569"/>
      <c r="AE317" s="569"/>
      <c r="AF317" s="569"/>
      <c r="AG317" s="569"/>
      <c r="AH317" s="569"/>
      <c r="AI317" s="569"/>
      <c r="AJ317" s="569"/>
      <c r="AK317" s="569"/>
      <c r="AL317" s="569"/>
      <c r="AM317" s="569"/>
      <c r="AN317" s="569"/>
      <c r="AO317" s="569"/>
      <c r="AP317" s="569"/>
      <c r="AQ317" s="569"/>
      <c r="AR317" s="569"/>
      <c r="AS317" s="569"/>
      <c r="AT317" s="569"/>
      <c r="AU317" s="569"/>
      <c r="AV317" s="569"/>
      <c r="AW317" s="569"/>
      <c r="AX317" s="569"/>
      <c r="AY317" s="569"/>
      <c r="AZ317" s="569"/>
      <c r="BA317" s="569"/>
      <c r="BB317" s="569"/>
      <c r="BC317" s="569"/>
      <c r="BD317" s="569"/>
      <c r="BE317" s="569"/>
      <c r="BF317" s="569"/>
      <c r="BG317" s="569"/>
      <c r="BH317" s="569"/>
      <c r="BI317" s="569"/>
      <c r="BJ317" s="569"/>
      <c r="BK317" s="569"/>
      <c r="BL317" s="569"/>
      <c r="BM317" s="569"/>
      <c r="BN317" s="569"/>
      <c r="BO317" s="569"/>
      <c r="BP317" s="569"/>
      <c r="BQ317" s="569"/>
      <c r="BR317" s="569"/>
      <c r="BS317" s="569"/>
      <c r="BT317" s="569"/>
      <c r="BU317" s="569"/>
      <c r="BV317" s="569"/>
      <c r="BW317" s="569"/>
      <c r="BX317" s="569"/>
      <c r="BY317" s="569"/>
      <c r="BZ317" s="569"/>
      <c r="CA317" s="569"/>
      <c r="CB317" s="569"/>
      <c r="CC317" s="569"/>
      <c r="CD317" s="569"/>
      <c r="CE317" s="569"/>
      <c r="CF317" s="569"/>
      <c r="CG317" s="569"/>
      <c r="CH317" s="569"/>
      <c r="CI317" s="569"/>
      <c r="CJ317" s="569"/>
      <c r="CK317" s="569"/>
      <c r="CL317" s="569"/>
      <c r="CM317" s="569"/>
      <c r="CN317" s="569"/>
      <c r="CO317" s="569"/>
      <c r="CP317" s="569"/>
      <c r="CQ317" s="569"/>
      <c r="CR317" s="569"/>
      <c r="CS317" s="569"/>
      <c r="CT317" s="569"/>
      <c r="CU317" s="569"/>
      <c r="CV317" s="569"/>
      <c r="CW317" s="569"/>
      <c r="CX317" s="569"/>
      <c r="CY317" s="569"/>
      <c r="CZ317" s="569"/>
      <c r="DA317" s="569"/>
      <c r="DB317" s="569"/>
      <c r="DC317" s="569"/>
      <c r="DD317" s="569"/>
      <c r="DE317" s="569"/>
      <c r="DF317" s="569"/>
      <c r="DG317" s="569"/>
      <c r="DH317" s="569"/>
      <c r="DI317" s="569"/>
      <c r="DJ317" s="569"/>
      <c r="DK317" s="569"/>
      <c r="DL317" s="569"/>
      <c r="DM317" s="569"/>
      <c r="DN317" s="569"/>
      <c r="DO317" s="569"/>
      <c r="DP317" s="569"/>
      <c r="DQ317" s="569"/>
      <c r="DR317" s="569"/>
      <c r="DS317" s="569"/>
      <c r="DT317" s="569"/>
      <c r="DU317" s="569"/>
      <c r="DV317" s="569"/>
      <c r="DW317" s="569"/>
      <c r="DX317" s="569"/>
      <c r="DY317" s="569"/>
      <c r="DZ317" s="569"/>
      <c r="EA317" s="569"/>
      <c r="EB317" s="569"/>
      <c r="EC317" s="569"/>
      <c r="ED317" s="569"/>
      <c r="EE317" s="569"/>
      <c r="EF317" s="569"/>
      <c r="EG317" s="569"/>
      <c r="EH317" s="569"/>
      <c r="EI317" s="569"/>
      <c r="EJ317" s="569"/>
      <c r="EK317" s="569"/>
      <c r="EL317" s="569"/>
      <c r="EM317" s="569"/>
      <c r="EN317" s="569"/>
      <c r="EO317" s="569"/>
      <c r="EP317" s="569"/>
      <c r="EQ317" s="569"/>
      <c r="ER317" s="569"/>
      <c r="ES317" s="569"/>
      <c r="ET317" s="569"/>
      <c r="EU317" s="569"/>
      <c r="EV317" s="569"/>
      <c r="EW317" s="569"/>
      <c r="EX317" s="569"/>
      <c r="EY317" s="569"/>
      <c r="EZ317" s="569"/>
      <c r="FA317" s="569"/>
      <c r="FB317" s="569"/>
      <c r="FC317" s="569"/>
      <c r="FD317" s="569"/>
      <c r="FE317" s="569"/>
      <c r="FF317" s="569"/>
      <c r="FG317" s="569"/>
      <c r="FH317" s="569"/>
      <c r="FI317" s="569"/>
      <c r="FJ317" s="569"/>
      <c r="FK317" s="569"/>
      <c r="FL317" s="569"/>
      <c r="FM317" s="569"/>
      <c r="FN317" s="569"/>
      <c r="FO317" s="569"/>
      <c r="FP317" s="569"/>
      <c r="FQ317" s="569"/>
      <c r="FR317" s="569"/>
      <c r="FS317" s="569"/>
      <c r="FT317" s="569"/>
      <c r="FU317" s="569"/>
      <c r="FV317" s="569"/>
      <c r="FW317" s="569"/>
      <c r="FX317" s="569"/>
      <c r="FY317" s="569"/>
      <c r="FZ317" s="569"/>
      <c r="GA317" s="569"/>
      <c r="GB317" s="569"/>
      <c r="GC317" s="569"/>
      <c r="GD317" s="569"/>
      <c r="GE317" s="569"/>
      <c r="GF317" s="569"/>
      <c r="GG317" s="569"/>
      <c r="GH317" s="569"/>
      <c r="GI317" s="569"/>
      <c r="GJ317" s="569"/>
      <c r="GK317" s="569"/>
      <c r="GL317" s="569"/>
      <c r="GM317" s="569"/>
      <c r="GN317" s="569"/>
      <c r="GO317" s="569"/>
      <c r="GP317" s="569"/>
      <c r="GQ317" s="569"/>
      <c r="GR317" s="569"/>
      <c r="GS317" s="569"/>
      <c r="GT317" s="569"/>
    </row>
    <row r="318" spans="2:202" s="554" customFormat="1" ht="18" customHeight="1">
      <c r="B318" s="590"/>
      <c r="C318" s="1151"/>
      <c r="D318" s="1151"/>
      <c r="E318" s="1151"/>
      <c r="F318" s="1151"/>
      <c r="G318" s="1151"/>
      <c r="H318" s="1151"/>
      <c r="I318" s="1151"/>
      <c r="J318" s="1151"/>
      <c r="K318" s="1151"/>
      <c r="L318" s="1151"/>
      <c r="M318" s="590"/>
      <c r="N318" s="590"/>
      <c r="O318" s="590"/>
      <c r="P318" s="590"/>
      <c r="Q318" s="569"/>
      <c r="R318" s="569"/>
      <c r="S318" s="569"/>
      <c r="T318" s="590"/>
      <c r="U318" s="569"/>
      <c r="V318" s="569"/>
      <c r="W318" s="569"/>
      <c r="X318" s="569"/>
      <c r="Y318" s="569"/>
      <c r="Z318" s="569"/>
      <c r="AA318" s="569"/>
      <c r="AB318" s="569"/>
      <c r="AC318" s="569"/>
      <c r="AD318" s="569"/>
      <c r="AE318" s="569"/>
      <c r="AF318" s="569"/>
      <c r="AG318" s="569"/>
      <c r="AH318" s="569"/>
      <c r="AI318" s="569"/>
      <c r="AJ318" s="569"/>
      <c r="AK318" s="569"/>
      <c r="AL318" s="569"/>
      <c r="AM318" s="569"/>
      <c r="AN318" s="569"/>
      <c r="AO318" s="569"/>
      <c r="AP318" s="569"/>
      <c r="AQ318" s="569"/>
      <c r="AR318" s="569"/>
      <c r="AS318" s="569"/>
      <c r="AT318" s="569"/>
      <c r="AU318" s="569"/>
      <c r="AV318" s="569"/>
      <c r="AW318" s="569"/>
      <c r="AX318" s="569"/>
      <c r="AY318" s="569"/>
      <c r="AZ318" s="569"/>
      <c r="BA318" s="569"/>
      <c r="BB318" s="569"/>
      <c r="BC318" s="569"/>
      <c r="BD318" s="569"/>
      <c r="BE318" s="569"/>
      <c r="BF318" s="569"/>
      <c r="BG318" s="569"/>
      <c r="BH318" s="569"/>
      <c r="BI318" s="569"/>
      <c r="BJ318" s="569"/>
      <c r="BK318" s="569"/>
      <c r="BL318" s="569"/>
      <c r="BM318" s="569"/>
      <c r="BN318" s="569"/>
      <c r="BO318" s="569"/>
      <c r="BP318" s="569"/>
      <c r="BQ318" s="569"/>
      <c r="BR318" s="569"/>
      <c r="BS318" s="569"/>
      <c r="BT318" s="569"/>
      <c r="BU318" s="569"/>
      <c r="BV318" s="569"/>
      <c r="BW318" s="569"/>
      <c r="BX318" s="569"/>
      <c r="BY318" s="569"/>
      <c r="BZ318" s="569"/>
      <c r="CA318" s="569"/>
      <c r="CB318" s="569"/>
      <c r="CC318" s="569"/>
      <c r="CD318" s="569"/>
      <c r="CE318" s="569"/>
      <c r="CF318" s="569"/>
      <c r="CG318" s="569"/>
      <c r="CH318" s="569"/>
      <c r="CI318" s="569"/>
      <c r="CJ318" s="569"/>
      <c r="CK318" s="569"/>
      <c r="CL318" s="569"/>
      <c r="CM318" s="569"/>
      <c r="CN318" s="569"/>
      <c r="CO318" s="569"/>
      <c r="CP318" s="569"/>
      <c r="CQ318" s="569"/>
      <c r="CR318" s="569"/>
      <c r="CS318" s="569"/>
      <c r="CT318" s="569"/>
      <c r="CU318" s="569"/>
      <c r="CV318" s="569"/>
      <c r="CW318" s="569"/>
      <c r="CX318" s="569"/>
      <c r="CY318" s="569"/>
      <c r="CZ318" s="569"/>
      <c r="DA318" s="569"/>
      <c r="DB318" s="569"/>
      <c r="DC318" s="569"/>
      <c r="DD318" s="569"/>
      <c r="DE318" s="569"/>
      <c r="DF318" s="569"/>
      <c r="DG318" s="569"/>
      <c r="DH318" s="569"/>
      <c r="DI318" s="569"/>
      <c r="DJ318" s="569"/>
      <c r="DK318" s="569"/>
      <c r="DL318" s="569"/>
      <c r="DM318" s="569"/>
      <c r="DN318" s="569"/>
      <c r="DO318" s="569"/>
      <c r="DP318" s="569"/>
      <c r="DQ318" s="569"/>
      <c r="DR318" s="569"/>
      <c r="DS318" s="569"/>
      <c r="DT318" s="569"/>
      <c r="DU318" s="569"/>
      <c r="DV318" s="569"/>
      <c r="DW318" s="569"/>
      <c r="DX318" s="569"/>
      <c r="DY318" s="569"/>
      <c r="DZ318" s="569"/>
      <c r="EA318" s="569"/>
      <c r="EB318" s="569"/>
      <c r="EC318" s="569"/>
      <c r="ED318" s="569"/>
      <c r="EE318" s="569"/>
      <c r="EF318" s="569"/>
      <c r="EG318" s="569"/>
      <c r="EH318" s="569"/>
      <c r="EI318" s="569"/>
      <c r="EJ318" s="569"/>
      <c r="EK318" s="569"/>
      <c r="EL318" s="569"/>
      <c r="EM318" s="569"/>
      <c r="EN318" s="569"/>
      <c r="EO318" s="569"/>
      <c r="EP318" s="569"/>
      <c r="EQ318" s="569"/>
      <c r="ER318" s="569"/>
      <c r="ES318" s="569"/>
      <c r="ET318" s="569"/>
      <c r="EU318" s="569"/>
      <c r="EV318" s="569"/>
      <c r="EW318" s="569"/>
      <c r="EX318" s="569"/>
      <c r="EY318" s="569"/>
      <c r="EZ318" s="569"/>
      <c r="FA318" s="569"/>
      <c r="FB318" s="569"/>
      <c r="FC318" s="569"/>
      <c r="FD318" s="569"/>
      <c r="FE318" s="569"/>
      <c r="FF318" s="569"/>
      <c r="FG318" s="569"/>
      <c r="FH318" s="569"/>
      <c r="FI318" s="569"/>
      <c r="FJ318" s="569"/>
      <c r="FK318" s="569"/>
      <c r="FL318" s="569"/>
      <c r="FM318" s="569"/>
      <c r="FN318" s="569"/>
      <c r="FO318" s="569"/>
      <c r="FP318" s="569"/>
      <c r="FQ318" s="569"/>
      <c r="FR318" s="569"/>
      <c r="FS318" s="569"/>
      <c r="FT318" s="569"/>
      <c r="FU318" s="569"/>
      <c r="FV318" s="569"/>
      <c r="FW318" s="569"/>
      <c r="FX318" s="569"/>
      <c r="FY318" s="569"/>
      <c r="FZ318" s="569"/>
      <c r="GA318" s="569"/>
      <c r="GB318" s="569"/>
      <c r="GC318" s="569"/>
      <c r="GD318" s="569"/>
      <c r="GE318" s="569"/>
      <c r="GF318" s="569"/>
      <c r="GG318" s="569"/>
      <c r="GH318" s="569"/>
      <c r="GI318" s="569"/>
      <c r="GJ318" s="569"/>
      <c r="GK318" s="569"/>
      <c r="GL318" s="569"/>
      <c r="GM318" s="569"/>
      <c r="GN318" s="569"/>
      <c r="GO318" s="569"/>
      <c r="GP318" s="569"/>
      <c r="GQ318" s="569"/>
      <c r="GR318" s="569"/>
      <c r="GS318" s="569"/>
      <c r="GT318" s="569"/>
    </row>
    <row r="319" spans="2:202" s="554" customFormat="1" ht="18" customHeight="1">
      <c r="B319" s="590"/>
      <c r="C319" s="1151"/>
      <c r="D319" s="1151"/>
      <c r="E319" s="1151"/>
      <c r="F319" s="1151"/>
      <c r="G319" s="1151"/>
      <c r="H319" s="1151"/>
      <c r="I319" s="1151"/>
      <c r="J319" s="1151"/>
      <c r="K319" s="1151"/>
      <c r="L319" s="1151"/>
      <c r="M319" s="590"/>
      <c r="N319" s="590"/>
      <c r="O319" s="590"/>
      <c r="P319" s="590"/>
      <c r="Q319" s="569"/>
      <c r="R319" s="569"/>
      <c r="S319" s="569"/>
      <c r="T319" s="590"/>
      <c r="U319" s="569"/>
      <c r="V319" s="569"/>
      <c r="W319" s="569"/>
      <c r="X319" s="569"/>
      <c r="Y319" s="569"/>
      <c r="Z319" s="569"/>
      <c r="AA319" s="569"/>
      <c r="AB319" s="569"/>
      <c r="AC319" s="569"/>
      <c r="AD319" s="569"/>
      <c r="AE319" s="569"/>
      <c r="AF319" s="569"/>
      <c r="AG319" s="569"/>
      <c r="AH319" s="569"/>
      <c r="AI319" s="569"/>
      <c r="AJ319" s="569"/>
      <c r="AK319" s="569"/>
      <c r="AL319" s="569"/>
      <c r="AM319" s="569"/>
      <c r="AN319" s="569"/>
      <c r="AO319" s="569"/>
      <c r="AP319" s="569"/>
      <c r="AQ319" s="569"/>
      <c r="AR319" s="569"/>
      <c r="AS319" s="569"/>
      <c r="AT319" s="569"/>
      <c r="AU319" s="569"/>
      <c r="AV319" s="569"/>
      <c r="AW319" s="569"/>
      <c r="AX319" s="569"/>
      <c r="AY319" s="569"/>
      <c r="AZ319" s="569"/>
      <c r="BA319" s="569"/>
      <c r="BB319" s="569"/>
      <c r="BC319" s="569"/>
      <c r="BD319" s="569"/>
      <c r="BE319" s="569"/>
      <c r="BF319" s="569"/>
      <c r="BG319" s="569"/>
      <c r="BH319" s="569"/>
      <c r="BI319" s="569"/>
      <c r="BJ319" s="569"/>
      <c r="BK319" s="569"/>
      <c r="BL319" s="569"/>
      <c r="BM319" s="569"/>
      <c r="BN319" s="569"/>
      <c r="BO319" s="569"/>
      <c r="BP319" s="569"/>
      <c r="BQ319" s="569"/>
      <c r="BR319" s="569"/>
      <c r="BS319" s="569"/>
      <c r="BT319" s="569"/>
      <c r="BU319" s="569"/>
      <c r="BV319" s="569"/>
      <c r="BW319" s="569"/>
      <c r="BX319" s="569"/>
      <c r="BY319" s="569"/>
      <c r="BZ319" s="569"/>
      <c r="CA319" s="569"/>
      <c r="CB319" s="569"/>
      <c r="CC319" s="569"/>
      <c r="CD319" s="569"/>
      <c r="CE319" s="569"/>
      <c r="CF319" s="569"/>
      <c r="CG319" s="569"/>
      <c r="CH319" s="569"/>
      <c r="CI319" s="569"/>
      <c r="CJ319" s="569"/>
      <c r="CK319" s="569"/>
      <c r="CL319" s="569"/>
      <c r="CM319" s="569"/>
      <c r="CN319" s="569"/>
      <c r="CO319" s="569"/>
      <c r="CP319" s="569"/>
      <c r="CQ319" s="569"/>
      <c r="CR319" s="569"/>
      <c r="CS319" s="569"/>
      <c r="CT319" s="569"/>
      <c r="CU319" s="569"/>
      <c r="CV319" s="569"/>
      <c r="CW319" s="569"/>
      <c r="CX319" s="569"/>
      <c r="CY319" s="569"/>
      <c r="CZ319" s="569"/>
      <c r="DA319" s="569"/>
      <c r="DB319" s="569"/>
      <c r="DC319" s="569"/>
      <c r="DD319" s="569"/>
      <c r="DE319" s="569"/>
      <c r="DF319" s="569"/>
      <c r="DG319" s="569"/>
      <c r="DH319" s="569"/>
      <c r="DI319" s="569"/>
      <c r="DJ319" s="569"/>
      <c r="DK319" s="569"/>
      <c r="DL319" s="569"/>
      <c r="DM319" s="569"/>
      <c r="DN319" s="569"/>
      <c r="DO319" s="569"/>
      <c r="DP319" s="569"/>
      <c r="DQ319" s="569"/>
      <c r="DR319" s="569"/>
      <c r="DS319" s="569"/>
      <c r="DT319" s="569"/>
      <c r="DU319" s="569"/>
      <c r="DV319" s="569"/>
      <c r="DW319" s="569"/>
      <c r="DX319" s="569"/>
      <c r="DY319" s="569"/>
      <c r="DZ319" s="569"/>
      <c r="EA319" s="569"/>
      <c r="EB319" s="569"/>
      <c r="EC319" s="569"/>
      <c r="ED319" s="569"/>
      <c r="EE319" s="569"/>
      <c r="EF319" s="569"/>
      <c r="EG319" s="569"/>
      <c r="EH319" s="569"/>
      <c r="EI319" s="569"/>
      <c r="EJ319" s="569"/>
      <c r="EK319" s="569"/>
      <c r="EL319" s="569"/>
      <c r="EM319" s="569"/>
      <c r="EN319" s="569"/>
      <c r="EO319" s="569"/>
      <c r="EP319" s="569"/>
      <c r="EQ319" s="569"/>
      <c r="ER319" s="569"/>
      <c r="ES319" s="569"/>
      <c r="ET319" s="569"/>
      <c r="EU319" s="569"/>
      <c r="EV319" s="569"/>
      <c r="EW319" s="569"/>
      <c r="EX319" s="569"/>
      <c r="EY319" s="569"/>
      <c r="EZ319" s="569"/>
      <c r="FA319" s="569"/>
      <c r="FB319" s="569"/>
      <c r="FC319" s="569"/>
      <c r="FD319" s="569"/>
      <c r="FE319" s="569"/>
      <c r="FF319" s="569"/>
      <c r="FG319" s="569"/>
      <c r="FH319" s="569"/>
      <c r="FI319" s="569"/>
      <c r="FJ319" s="569"/>
      <c r="FK319" s="569"/>
      <c r="FL319" s="569"/>
      <c r="FM319" s="569"/>
      <c r="FN319" s="569"/>
      <c r="FO319" s="569"/>
      <c r="FP319" s="569"/>
      <c r="FQ319" s="569"/>
      <c r="FR319" s="569"/>
      <c r="FS319" s="569"/>
      <c r="FT319" s="569"/>
      <c r="FU319" s="569"/>
      <c r="FV319" s="569"/>
      <c r="FW319" s="569"/>
      <c r="FX319" s="569"/>
      <c r="FY319" s="569"/>
      <c r="FZ319" s="569"/>
      <c r="GA319" s="569"/>
      <c r="GB319" s="569"/>
      <c r="GC319" s="569"/>
      <c r="GD319" s="569"/>
      <c r="GE319" s="569"/>
      <c r="GF319" s="569"/>
      <c r="GG319" s="569"/>
      <c r="GH319" s="569"/>
      <c r="GI319" s="569"/>
      <c r="GJ319" s="569"/>
      <c r="GK319" s="569"/>
      <c r="GL319" s="569"/>
      <c r="GM319" s="569"/>
      <c r="GN319" s="569"/>
      <c r="GO319" s="569"/>
      <c r="GP319" s="569"/>
      <c r="GQ319" s="569"/>
      <c r="GR319" s="569"/>
      <c r="GS319" s="569"/>
      <c r="GT319" s="569"/>
    </row>
    <row r="320" spans="2:202" s="554" customFormat="1" ht="18" customHeight="1">
      <c r="B320" s="590"/>
      <c r="C320" s="1151"/>
      <c r="D320" s="1151"/>
      <c r="E320" s="1151"/>
      <c r="F320" s="1151"/>
      <c r="G320" s="1151"/>
      <c r="H320" s="1151"/>
      <c r="I320" s="1151"/>
      <c r="J320" s="1151"/>
      <c r="K320" s="1151"/>
      <c r="L320" s="1151"/>
      <c r="M320" s="590"/>
      <c r="N320" s="590"/>
      <c r="O320" s="590"/>
      <c r="P320" s="590"/>
      <c r="Q320" s="569"/>
      <c r="R320" s="569"/>
      <c r="S320" s="569"/>
      <c r="T320" s="590"/>
      <c r="U320" s="569"/>
      <c r="V320" s="569"/>
      <c r="W320" s="569"/>
      <c r="X320" s="569"/>
      <c r="Y320" s="569"/>
      <c r="Z320" s="569"/>
      <c r="AA320" s="569"/>
      <c r="AB320" s="569"/>
      <c r="AC320" s="569"/>
      <c r="AD320" s="569"/>
      <c r="AE320" s="569"/>
      <c r="AF320" s="569"/>
      <c r="AG320" s="569"/>
      <c r="AH320" s="569"/>
      <c r="AI320" s="569"/>
      <c r="AJ320" s="569"/>
      <c r="AK320" s="569"/>
      <c r="AL320" s="569"/>
      <c r="AM320" s="569"/>
      <c r="AN320" s="569"/>
      <c r="AO320" s="569"/>
      <c r="AP320" s="569"/>
      <c r="AQ320" s="569"/>
      <c r="AR320" s="569"/>
      <c r="AS320" s="569"/>
      <c r="AT320" s="569"/>
      <c r="AU320" s="569"/>
      <c r="AV320" s="569"/>
      <c r="AW320" s="569"/>
      <c r="AX320" s="569"/>
      <c r="AY320" s="569"/>
      <c r="AZ320" s="569"/>
      <c r="BA320" s="569"/>
      <c r="BB320" s="569"/>
      <c r="BC320" s="569"/>
      <c r="BD320" s="569"/>
      <c r="BE320" s="569"/>
      <c r="BF320" s="569"/>
      <c r="BG320" s="569"/>
      <c r="BH320" s="569"/>
      <c r="BI320" s="569"/>
      <c r="BJ320" s="569"/>
      <c r="BK320" s="569"/>
      <c r="BL320" s="569"/>
      <c r="BM320" s="569"/>
      <c r="BN320" s="569"/>
      <c r="BO320" s="569"/>
      <c r="BP320" s="569"/>
      <c r="BQ320" s="569"/>
      <c r="BR320" s="569"/>
      <c r="BS320" s="569"/>
      <c r="BT320" s="569"/>
      <c r="BU320" s="569"/>
      <c r="BV320" s="569"/>
      <c r="BW320" s="569"/>
      <c r="BX320" s="569"/>
      <c r="BY320" s="569"/>
      <c r="BZ320" s="569"/>
      <c r="CA320" s="569"/>
      <c r="CB320" s="569"/>
      <c r="CC320" s="569"/>
      <c r="CD320" s="569"/>
      <c r="CE320" s="569"/>
      <c r="CF320" s="569"/>
      <c r="CG320" s="569"/>
      <c r="CH320" s="569"/>
      <c r="CI320" s="569"/>
      <c r="CJ320" s="569"/>
      <c r="CK320" s="569"/>
      <c r="CL320" s="569"/>
      <c r="CM320" s="569"/>
      <c r="CN320" s="569"/>
      <c r="CO320" s="569"/>
      <c r="CP320" s="569"/>
      <c r="CQ320" s="569"/>
      <c r="CR320" s="569"/>
      <c r="CS320" s="569"/>
      <c r="CT320" s="569"/>
      <c r="CU320" s="569"/>
      <c r="CV320" s="569"/>
      <c r="CW320" s="569"/>
      <c r="CX320" s="569"/>
      <c r="CY320" s="569"/>
      <c r="CZ320" s="569"/>
      <c r="DA320" s="569"/>
      <c r="DB320" s="569"/>
      <c r="DC320" s="569"/>
      <c r="DD320" s="569"/>
      <c r="DE320" s="569"/>
      <c r="DF320" s="569"/>
      <c r="DG320" s="569"/>
      <c r="DH320" s="569"/>
      <c r="DI320" s="569"/>
      <c r="DJ320" s="569"/>
      <c r="DK320" s="569"/>
      <c r="DL320" s="569"/>
      <c r="DM320" s="569"/>
      <c r="DN320" s="569"/>
      <c r="DO320" s="569"/>
      <c r="DP320" s="569"/>
      <c r="DQ320" s="569"/>
      <c r="DR320" s="569"/>
      <c r="DS320" s="569"/>
      <c r="DT320" s="569"/>
      <c r="DU320" s="569"/>
      <c r="DV320" s="569"/>
      <c r="DW320" s="569"/>
      <c r="DX320" s="569"/>
      <c r="DY320" s="569"/>
      <c r="DZ320" s="569"/>
      <c r="EA320" s="569"/>
      <c r="EB320" s="569"/>
      <c r="EC320" s="569"/>
      <c r="ED320" s="569"/>
      <c r="EE320" s="569"/>
      <c r="EF320" s="569"/>
      <c r="EG320" s="569"/>
      <c r="EH320" s="569"/>
      <c r="EI320" s="569"/>
      <c r="EJ320" s="569"/>
      <c r="EK320" s="569"/>
      <c r="EL320" s="569"/>
      <c r="EM320" s="569"/>
      <c r="EN320" s="569"/>
      <c r="EO320" s="569"/>
      <c r="EP320" s="569"/>
      <c r="EQ320" s="569"/>
      <c r="ER320" s="569"/>
      <c r="ES320" s="569"/>
      <c r="ET320" s="569"/>
      <c r="EU320" s="569"/>
      <c r="EV320" s="569"/>
      <c r="EW320" s="569"/>
      <c r="EX320" s="569"/>
      <c r="EY320" s="569"/>
      <c r="EZ320" s="569"/>
      <c r="FA320" s="569"/>
      <c r="FB320" s="569"/>
      <c r="FC320" s="569"/>
      <c r="FD320" s="569"/>
      <c r="FE320" s="569"/>
      <c r="FF320" s="569"/>
      <c r="FG320" s="569"/>
      <c r="FH320" s="569"/>
      <c r="FI320" s="569"/>
      <c r="FJ320" s="569"/>
      <c r="FK320" s="569"/>
      <c r="FL320" s="569"/>
      <c r="FM320" s="569"/>
      <c r="FN320" s="569"/>
      <c r="FO320" s="569"/>
      <c r="FP320" s="569"/>
      <c r="FQ320" s="569"/>
      <c r="FR320" s="569"/>
      <c r="FS320" s="569"/>
      <c r="FT320" s="569"/>
      <c r="FU320" s="569"/>
      <c r="FV320" s="569"/>
      <c r="FW320" s="569"/>
      <c r="FX320" s="569"/>
      <c r="FY320" s="569"/>
      <c r="FZ320" s="569"/>
      <c r="GA320" s="569"/>
      <c r="GB320" s="569"/>
      <c r="GC320" s="569"/>
      <c r="GD320" s="569"/>
      <c r="GE320" s="569"/>
      <c r="GF320" s="569"/>
      <c r="GG320" s="569"/>
      <c r="GH320" s="569"/>
      <c r="GI320" s="569"/>
      <c r="GJ320" s="569"/>
      <c r="GK320" s="569"/>
      <c r="GL320" s="569"/>
      <c r="GM320" s="569"/>
      <c r="GN320" s="569"/>
      <c r="GO320" s="569"/>
      <c r="GP320" s="569"/>
      <c r="GQ320" s="569"/>
      <c r="GR320" s="569"/>
      <c r="GS320" s="569"/>
      <c r="GT320" s="569"/>
    </row>
    <row r="321" spans="2:202" s="554" customFormat="1" ht="18" customHeight="1">
      <c r="B321" s="590"/>
      <c r="C321" s="1151"/>
      <c r="D321" s="1151"/>
      <c r="E321" s="1151"/>
      <c r="F321" s="1151"/>
      <c r="G321" s="1151"/>
      <c r="H321" s="1151"/>
      <c r="I321" s="1151"/>
      <c r="J321" s="1151"/>
      <c r="K321" s="1151"/>
      <c r="L321" s="1151"/>
      <c r="M321" s="590"/>
      <c r="N321" s="590"/>
      <c r="O321" s="590"/>
      <c r="P321" s="590"/>
      <c r="Q321" s="569"/>
      <c r="R321" s="569"/>
      <c r="S321" s="569"/>
      <c r="T321" s="590"/>
      <c r="U321" s="569"/>
      <c r="V321" s="569"/>
      <c r="W321" s="569"/>
      <c r="X321" s="569"/>
      <c r="Y321" s="569"/>
      <c r="Z321" s="569"/>
      <c r="AA321" s="569"/>
      <c r="AB321" s="569"/>
      <c r="AC321" s="569"/>
      <c r="AD321" s="569"/>
      <c r="AE321" s="569"/>
      <c r="AF321" s="569"/>
      <c r="AG321" s="569"/>
      <c r="AH321" s="569"/>
      <c r="AI321" s="569"/>
      <c r="AJ321" s="569"/>
      <c r="AK321" s="569"/>
      <c r="AL321" s="569"/>
      <c r="AM321" s="569"/>
      <c r="AN321" s="569"/>
      <c r="AO321" s="569"/>
      <c r="AP321" s="569"/>
      <c r="AQ321" s="569"/>
      <c r="AR321" s="569"/>
      <c r="AS321" s="569"/>
      <c r="AT321" s="569"/>
      <c r="AU321" s="569"/>
      <c r="AV321" s="569"/>
      <c r="AW321" s="569"/>
      <c r="AX321" s="569"/>
      <c r="AY321" s="569"/>
      <c r="AZ321" s="569"/>
      <c r="BA321" s="569"/>
      <c r="BB321" s="569"/>
      <c r="BC321" s="569"/>
      <c r="BD321" s="569"/>
      <c r="BE321" s="569"/>
      <c r="BF321" s="569"/>
      <c r="BG321" s="569"/>
      <c r="BH321" s="569"/>
      <c r="BI321" s="569"/>
      <c r="BJ321" s="569"/>
      <c r="BK321" s="569"/>
      <c r="BL321" s="569"/>
      <c r="BM321" s="569"/>
      <c r="BN321" s="569"/>
      <c r="BO321" s="569"/>
      <c r="BP321" s="569"/>
      <c r="BQ321" s="569"/>
      <c r="BR321" s="569"/>
      <c r="BS321" s="569"/>
      <c r="BT321" s="569"/>
      <c r="BU321" s="569"/>
      <c r="BV321" s="569"/>
      <c r="BW321" s="569"/>
      <c r="BX321" s="569"/>
      <c r="BY321" s="569"/>
      <c r="BZ321" s="569"/>
      <c r="CA321" s="569"/>
      <c r="CB321" s="569"/>
      <c r="CC321" s="569"/>
      <c r="CD321" s="569"/>
      <c r="CE321" s="569"/>
      <c r="CF321" s="569"/>
      <c r="CG321" s="569"/>
      <c r="CH321" s="569"/>
      <c r="CI321" s="569"/>
      <c r="CJ321" s="569"/>
      <c r="CK321" s="569"/>
      <c r="CL321" s="569"/>
      <c r="CM321" s="569"/>
      <c r="CN321" s="569"/>
      <c r="CO321" s="569"/>
      <c r="CP321" s="569"/>
      <c r="CQ321" s="569"/>
      <c r="CR321" s="569"/>
      <c r="CS321" s="569"/>
      <c r="CT321" s="569"/>
      <c r="CU321" s="569"/>
      <c r="CV321" s="569"/>
      <c r="CW321" s="569"/>
      <c r="CX321" s="569"/>
      <c r="CY321" s="569"/>
      <c r="CZ321" s="569"/>
      <c r="DA321" s="569"/>
      <c r="DB321" s="569"/>
      <c r="DC321" s="569"/>
      <c r="DD321" s="569"/>
      <c r="DE321" s="569"/>
      <c r="DF321" s="569"/>
      <c r="DG321" s="569"/>
      <c r="DH321" s="569"/>
      <c r="DI321" s="569"/>
      <c r="DJ321" s="569"/>
      <c r="DK321" s="569"/>
      <c r="DL321" s="569"/>
      <c r="DM321" s="569"/>
      <c r="DN321" s="569"/>
      <c r="DO321" s="569"/>
      <c r="DP321" s="569"/>
      <c r="DQ321" s="569"/>
      <c r="DR321" s="569"/>
      <c r="DS321" s="569"/>
      <c r="DT321" s="569"/>
      <c r="DU321" s="569"/>
      <c r="DV321" s="569"/>
      <c r="DW321" s="569"/>
      <c r="DX321" s="569"/>
      <c r="DY321" s="569"/>
      <c r="DZ321" s="569"/>
      <c r="EA321" s="569"/>
      <c r="EB321" s="569"/>
      <c r="EC321" s="569"/>
      <c r="ED321" s="569"/>
      <c r="EE321" s="569"/>
      <c r="EF321" s="569"/>
      <c r="EG321" s="569"/>
      <c r="EH321" s="569"/>
      <c r="EI321" s="569"/>
      <c r="EJ321" s="569"/>
      <c r="EK321" s="569"/>
      <c r="EL321" s="569"/>
      <c r="EM321" s="569"/>
      <c r="EN321" s="569"/>
      <c r="EO321" s="569"/>
      <c r="EP321" s="569"/>
      <c r="EQ321" s="569"/>
      <c r="ER321" s="569"/>
      <c r="ES321" s="569"/>
      <c r="ET321" s="569"/>
      <c r="EU321" s="569"/>
      <c r="EV321" s="569"/>
      <c r="EW321" s="569"/>
      <c r="EX321" s="569"/>
      <c r="EY321" s="569"/>
      <c r="EZ321" s="569"/>
      <c r="FA321" s="569"/>
      <c r="FB321" s="569"/>
      <c r="FC321" s="569"/>
      <c r="FD321" s="569"/>
      <c r="FE321" s="569"/>
      <c r="FF321" s="569"/>
      <c r="FG321" s="569"/>
      <c r="FH321" s="569"/>
      <c r="FI321" s="569"/>
      <c r="FJ321" s="569"/>
      <c r="FK321" s="569"/>
      <c r="FL321" s="569"/>
      <c r="FM321" s="569"/>
      <c r="FN321" s="569"/>
      <c r="FO321" s="569"/>
      <c r="FP321" s="569"/>
      <c r="FQ321" s="569"/>
      <c r="FR321" s="569"/>
      <c r="FS321" s="569"/>
      <c r="FT321" s="569"/>
      <c r="FU321" s="569"/>
      <c r="FV321" s="569"/>
      <c r="FW321" s="569"/>
      <c r="FX321" s="569"/>
      <c r="FY321" s="569"/>
      <c r="FZ321" s="569"/>
      <c r="GA321" s="569"/>
      <c r="GB321" s="569"/>
      <c r="GC321" s="569"/>
      <c r="GD321" s="569"/>
      <c r="GE321" s="569"/>
      <c r="GF321" s="569"/>
      <c r="GG321" s="569"/>
      <c r="GH321" s="569"/>
      <c r="GI321" s="569"/>
      <c r="GJ321" s="569"/>
      <c r="GK321" s="569"/>
      <c r="GL321" s="569"/>
      <c r="GM321" s="569"/>
      <c r="GN321" s="569"/>
      <c r="GO321" s="569"/>
      <c r="GP321" s="569"/>
      <c r="GQ321" s="569"/>
      <c r="GR321" s="569"/>
      <c r="GS321" s="569"/>
      <c r="GT321" s="569"/>
    </row>
    <row r="322" spans="2:202" s="554" customFormat="1" ht="18" customHeight="1">
      <c r="B322" s="590"/>
      <c r="C322" s="1151"/>
      <c r="D322" s="1151"/>
      <c r="E322" s="1151"/>
      <c r="F322" s="1151"/>
      <c r="G322" s="1151"/>
      <c r="H322" s="1151"/>
      <c r="I322" s="1151"/>
      <c r="J322" s="1151"/>
      <c r="K322" s="1151"/>
      <c r="L322" s="1151"/>
      <c r="M322" s="590"/>
      <c r="N322" s="590"/>
      <c r="O322" s="590"/>
      <c r="P322" s="590"/>
      <c r="Q322" s="569"/>
      <c r="R322" s="569"/>
      <c r="S322" s="569"/>
      <c r="T322" s="569"/>
      <c r="U322" s="569"/>
      <c r="V322" s="569"/>
      <c r="W322" s="569"/>
      <c r="X322" s="569"/>
      <c r="Y322" s="569"/>
      <c r="Z322" s="569"/>
      <c r="AA322" s="569"/>
      <c r="AB322" s="569"/>
      <c r="AC322" s="569"/>
      <c r="AD322" s="569"/>
      <c r="AE322" s="569"/>
      <c r="AF322" s="569"/>
      <c r="AG322" s="569"/>
      <c r="AH322" s="569"/>
      <c r="AI322" s="569"/>
      <c r="AJ322" s="569"/>
      <c r="AK322" s="569"/>
      <c r="AL322" s="569"/>
      <c r="AM322" s="569"/>
      <c r="AN322" s="569"/>
      <c r="AO322" s="569"/>
      <c r="AP322" s="569"/>
      <c r="AQ322" s="569"/>
      <c r="AR322" s="569"/>
      <c r="AS322" s="569"/>
      <c r="AT322" s="569"/>
      <c r="AU322" s="569"/>
      <c r="AV322" s="569"/>
      <c r="AW322" s="569"/>
      <c r="AX322" s="569"/>
      <c r="AY322" s="569"/>
      <c r="AZ322" s="569"/>
      <c r="BA322" s="569"/>
      <c r="BB322" s="569"/>
      <c r="BC322" s="569"/>
      <c r="BD322" s="569"/>
      <c r="BE322" s="569"/>
      <c r="BF322" s="569"/>
      <c r="BG322" s="569"/>
      <c r="BH322" s="569"/>
      <c r="BI322" s="569"/>
      <c r="BJ322" s="569"/>
      <c r="BK322" s="569"/>
      <c r="BL322" s="569"/>
      <c r="BM322" s="569"/>
      <c r="BN322" s="569"/>
      <c r="BO322" s="569"/>
      <c r="BP322" s="569"/>
      <c r="BQ322" s="569"/>
      <c r="BR322" s="569"/>
      <c r="BS322" s="569"/>
      <c r="BT322" s="569"/>
      <c r="BU322" s="569"/>
      <c r="BV322" s="569"/>
      <c r="BW322" s="569"/>
      <c r="BX322" s="569"/>
      <c r="BY322" s="569"/>
      <c r="BZ322" s="569"/>
      <c r="CA322" s="569"/>
      <c r="CB322" s="569"/>
      <c r="CC322" s="569"/>
      <c r="CD322" s="569"/>
      <c r="CE322" s="569"/>
      <c r="CF322" s="569"/>
      <c r="CG322" s="569"/>
      <c r="CH322" s="569"/>
      <c r="CI322" s="569"/>
      <c r="CJ322" s="569"/>
      <c r="CK322" s="569"/>
      <c r="CL322" s="569"/>
      <c r="CM322" s="569"/>
      <c r="CN322" s="569"/>
      <c r="CO322" s="569"/>
      <c r="CP322" s="569"/>
      <c r="CQ322" s="569"/>
      <c r="CR322" s="569"/>
      <c r="CS322" s="569"/>
      <c r="CT322" s="569"/>
      <c r="CU322" s="569"/>
      <c r="CV322" s="569"/>
      <c r="CW322" s="569"/>
      <c r="CX322" s="569"/>
      <c r="CY322" s="569"/>
      <c r="CZ322" s="569"/>
      <c r="DA322" s="569"/>
      <c r="DB322" s="569"/>
      <c r="DC322" s="569"/>
      <c r="DD322" s="569"/>
      <c r="DE322" s="569"/>
      <c r="DF322" s="569"/>
      <c r="DG322" s="569"/>
      <c r="DH322" s="569"/>
      <c r="DI322" s="569"/>
      <c r="DJ322" s="569"/>
      <c r="DK322" s="569"/>
      <c r="DL322" s="569"/>
      <c r="DM322" s="569"/>
      <c r="DN322" s="569"/>
      <c r="DO322" s="569"/>
      <c r="DP322" s="569"/>
      <c r="DQ322" s="569"/>
      <c r="DR322" s="569"/>
      <c r="DS322" s="569"/>
      <c r="DT322" s="569"/>
      <c r="DU322" s="569"/>
      <c r="DV322" s="569"/>
      <c r="DW322" s="569"/>
      <c r="DX322" s="569"/>
      <c r="DY322" s="569"/>
      <c r="DZ322" s="569"/>
      <c r="EA322" s="569"/>
      <c r="EB322" s="569"/>
      <c r="EC322" s="569"/>
      <c r="ED322" s="569"/>
      <c r="EE322" s="569"/>
      <c r="EF322" s="569"/>
      <c r="EG322" s="569"/>
      <c r="EH322" s="569"/>
      <c r="EI322" s="569"/>
      <c r="EJ322" s="569"/>
      <c r="EK322" s="569"/>
      <c r="EL322" s="569"/>
      <c r="EM322" s="569"/>
      <c r="EN322" s="569"/>
      <c r="EO322" s="569"/>
      <c r="EP322" s="569"/>
      <c r="EQ322" s="569"/>
      <c r="ER322" s="569"/>
      <c r="ES322" s="569"/>
      <c r="ET322" s="569"/>
      <c r="EU322" s="569"/>
      <c r="EV322" s="569"/>
      <c r="EW322" s="569"/>
      <c r="EX322" s="569"/>
      <c r="EY322" s="569"/>
      <c r="EZ322" s="569"/>
      <c r="FA322" s="569"/>
      <c r="FB322" s="569"/>
      <c r="FC322" s="569"/>
      <c r="FD322" s="569"/>
      <c r="FE322" s="569"/>
      <c r="FF322" s="569"/>
      <c r="FG322" s="569"/>
      <c r="FH322" s="569"/>
      <c r="FI322" s="569"/>
      <c r="FJ322" s="569"/>
      <c r="FK322" s="569"/>
      <c r="FL322" s="569"/>
      <c r="FM322" s="569"/>
      <c r="FN322" s="569"/>
      <c r="FO322" s="569"/>
      <c r="FP322" s="569"/>
      <c r="FQ322" s="569"/>
      <c r="FR322" s="569"/>
      <c r="FS322" s="569"/>
      <c r="FT322" s="569"/>
      <c r="FU322" s="569"/>
      <c r="FV322" s="569"/>
      <c r="FW322" s="569"/>
      <c r="FX322" s="569"/>
      <c r="FY322" s="569"/>
      <c r="FZ322" s="569"/>
      <c r="GA322" s="569"/>
      <c r="GB322" s="569"/>
      <c r="GC322" s="569"/>
      <c r="GD322" s="569"/>
      <c r="GE322" s="569"/>
      <c r="GF322" s="569"/>
      <c r="GG322" s="569"/>
      <c r="GH322" s="569"/>
      <c r="GI322" s="569"/>
      <c r="GJ322" s="569"/>
      <c r="GK322" s="569"/>
      <c r="GL322" s="569"/>
      <c r="GM322" s="569"/>
      <c r="GN322" s="569"/>
      <c r="GO322" s="569"/>
      <c r="GP322" s="569"/>
      <c r="GQ322" s="569"/>
      <c r="GR322" s="569"/>
      <c r="GS322" s="569"/>
      <c r="GT322" s="569"/>
    </row>
    <row r="323" spans="2:202" s="554" customFormat="1" ht="18" customHeight="1">
      <c r="B323" s="590"/>
      <c r="C323" s="1151"/>
      <c r="D323" s="1151"/>
      <c r="E323" s="1151"/>
      <c r="F323" s="1151"/>
      <c r="G323" s="1151"/>
      <c r="H323" s="1151"/>
      <c r="I323" s="1151"/>
      <c r="J323" s="1151"/>
      <c r="K323" s="1151"/>
      <c r="L323" s="1151"/>
      <c r="M323" s="590"/>
      <c r="N323" s="590"/>
      <c r="O323" s="590"/>
      <c r="P323" s="590"/>
      <c r="Q323" s="569"/>
      <c r="R323" s="569"/>
      <c r="S323" s="569"/>
      <c r="T323" s="569"/>
      <c r="U323" s="569"/>
      <c r="V323" s="569"/>
      <c r="W323" s="569"/>
      <c r="X323" s="569"/>
      <c r="Y323" s="569"/>
      <c r="Z323" s="569"/>
      <c r="AA323" s="569"/>
      <c r="AB323" s="569"/>
      <c r="AC323" s="569"/>
      <c r="AD323" s="569"/>
      <c r="AE323" s="569"/>
      <c r="AF323" s="569"/>
      <c r="AG323" s="569"/>
      <c r="AH323" s="569"/>
      <c r="AI323" s="569"/>
      <c r="AJ323" s="569"/>
      <c r="AK323" s="569"/>
      <c r="AL323" s="569"/>
      <c r="AM323" s="569"/>
      <c r="AN323" s="569"/>
      <c r="AO323" s="569"/>
      <c r="AP323" s="569"/>
      <c r="AQ323" s="569"/>
      <c r="AR323" s="569"/>
      <c r="AS323" s="569"/>
      <c r="AT323" s="569"/>
      <c r="AU323" s="569"/>
      <c r="AV323" s="569"/>
      <c r="AW323" s="569"/>
      <c r="AX323" s="569"/>
      <c r="AY323" s="569"/>
      <c r="AZ323" s="569"/>
      <c r="BA323" s="569"/>
      <c r="BB323" s="569"/>
      <c r="BC323" s="569"/>
      <c r="BD323" s="569"/>
      <c r="BE323" s="569"/>
      <c r="BF323" s="569"/>
      <c r="BG323" s="569"/>
      <c r="BH323" s="569"/>
      <c r="BI323" s="569"/>
      <c r="BJ323" s="569"/>
      <c r="BK323" s="569"/>
      <c r="BL323" s="569"/>
      <c r="BM323" s="569"/>
      <c r="BN323" s="569"/>
      <c r="BO323" s="569"/>
      <c r="BP323" s="569"/>
      <c r="BQ323" s="569"/>
      <c r="BR323" s="569"/>
      <c r="BS323" s="569"/>
      <c r="BT323" s="569"/>
      <c r="BU323" s="569"/>
      <c r="BV323" s="569"/>
      <c r="BW323" s="569"/>
      <c r="BX323" s="569"/>
      <c r="BY323" s="569"/>
      <c r="BZ323" s="569"/>
      <c r="CA323" s="569"/>
      <c r="CB323" s="569"/>
      <c r="CC323" s="569"/>
      <c r="CD323" s="569"/>
      <c r="CE323" s="569"/>
      <c r="CF323" s="569"/>
      <c r="CG323" s="569"/>
      <c r="CH323" s="569"/>
      <c r="CI323" s="569"/>
      <c r="CJ323" s="569"/>
      <c r="CK323" s="569"/>
      <c r="CL323" s="569"/>
      <c r="CM323" s="569"/>
      <c r="CN323" s="569"/>
      <c r="CO323" s="569"/>
      <c r="CP323" s="569"/>
      <c r="CQ323" s="569"/>
      <c r="CR323" s="569"/>
      <c r="CS323" s="569"/>
      <c r="CT323" s="569"/>
      <c r="CU323" s="569"/>
      <c r="CV323" s="569"/>
      <c r="CW323" s="569"/>
      <c r="CX323" s="569"/>
      <c r="CY323" s="569"/>
      <c r="CZ323" s="569"/>
      <c r="DA323" s="569"/>
      <c r="DB323" s="569"/>
      <c r="DC323" s="569"/>
      <c r="DD323" s="569"/>
      <c r="DE323" s="569"/>
      <c r="DF323" s="569"/>
      <c r="DG323" s="569"/>
      <c r="DH323" s="569"/>
      <c r="DI323" s="569"/>
      <c r="DJ323" s="569"/>
      <c r="DK323" s="569"/>
      <c r="DL323" s="569"/>
      <c r="DM323" s="569"/>
      <c r="DN323" s="569"/>
      <c r="DO323" s="569"/>
      <c r="DP323" s="569"/>
      <c r="DQ323" s="569"/>
      <c r="DR323" s="569"/>
      <c r="DS323" s="569"/>
      <c r="DT323" s="569"/>
      <c r="DU323" s="569"/>
      <c r="DV323" s="569"/>
      <c r="DW323" s="569"/>
      <c r="DX323" s="569"/>
      <c r="DY323" s="569"/>
      <c r="DZ323" s="569"/>
      <c r="EA323" s="569"/>
      <c r="EB323" s="569"/>
      <c r="EC323" s="569"/>
      <c r="ED323" s="569"/>
      <c r="EE323" s="569"/>
      <c r="EF323" s="569"/>
      <c r="EG323" s="569"/>
      <c r="EH323" s="569"/>
      <c r="EI323" s="569"/>
      <c r="EJ323" s="569"/>
      <c r="EK323" s="569"/>
      <c r="EL323" s="569"/>
      <c r="EM323" s="569"/>
      <c r="EN323" s="569"/>
      <c r="EO323" s="569"/>
      <c r="EP323" s="569"/>
      <c r="EQ323" s="569"/>
      <c r="ER323" s="569"/>
      <c r="ES323" s="569"/>
      <c r="ET323" s="569"/>
      <c r="EU323" s="569"/>
      <c r="EV323" s="569"/>
      <c r="EW323" s="569"/>
      <c r="EX323" s="569"/>
      <c r="EY323" s="569"/>
      <c r="EZ323" s="569"/>
      <c r="FA323" s="569"/>
      <c r="FB323" s="569"/>
      <c r="FC323" s="569"/>
      <c r="FD323" s="569"/>
      <c r="FE323" s="569"/>
      <c r="FF323" s="569"/>
      <c r="FG323" s="569"/>
      <c r="FH323" s="569"/>
      <c r="FI323" s="569"/>
      <c r="FJ323" s="569"/>
      <c r="FK323" s="569"/>
      <c r="FL323" s="569"/>
      <c r="FM323" s="569"/>
      <c r="FN323" s="569"/>
      <c r="FO323" s="569"/>
      <c r="FP323" s="569"/>
      <c r="FQ323" s="569"/>
      <c r="FR323" s="569"/>
      <c r="FS323" s="569"/>
      <c r="FT323" s="569"/>
      <c r="FU323" s="569"/>
      <c r="FV323" s="569"/>
      <c r="FW323" s="569"/>
      <c r="FX323" s="569"/>
      <c r="FY323" s="569"/>
      <c r="FZ323" s="569"/>
      <c r="GA323" s="569"/>
      <c r="GB323" s="569"/>
      <c r="GC323" s="569"/>
      <c r="GD323" s="569"/>
      <c r="GE323" s="569"/>
      <c r="GF323" s="569"/>
      <c r="GG323" s="569"/>
      <c r="GH323" s="569"/>
      <c r="GI323" s="569"/>
      <c r="GJ323" s="569"/>
      <c r="GK323" s="569"/>
      <c r="GL323" s="569"/>
      <c r="GM323" s="569"/>
      <c r="GN323" s="569"/>
      <c r="GO323" s="569"/>
      <c r="GP323" s="569"/>
      <c r="GQ323" s="569"/>
      <c r="GR323" s="569"/>
      <c r="GS323" s="569"/>
      <c r="GT323" s="569"/>
    </row>
    <row r="324" spans="2:202" s="554" customFormat="1" ht="18" customHeight="1">
      <c r="B324" s="590"/>
      <c r="C324" s="1151"/>
      <c r="D324" s="1151"/>
      <c r="E324" s="1151"/>
      <c r="F324" s="1151"/>
      <c r="G324" s="1151"/>
      <c r="H324" s="1151"/>
      <c r="I324" s="1151"/>
      <c r="J324" s="1151"/>
      <c r="K324" s="1151"/>
      <c r="L324" s="1151"/>
      <c r="M324" s="590"/>
      <c r="N324" s="590"/>
      <c r="O324" s="590"/>
      <c r="P324" s="590"/>
      <c r="Q324" s="569"/>
      <c r="R324" s="569"/>
      <c r="S324" s="569"/>
      <c r="T324" s="569"/>
      <c r="U324" s="569"/>
      <c r="V324" s="569"/>
      <c r="W324" s="569"/>
      <c r="X324" s="569"/>
      <c r="Y324" s="569"/>
      <c r="Z324" s="569"/>
      <c r="AA324" s="569"/>
      <c r="AB324" s="569"/>
      <c r="AC324" s="569"/>
      <c r="AD324" s="569"/>
      <c r="AE324" s="569"/>
      <c r="AF324" s="569"/>
      <c r="AG324" s="569"/>
      <c r="AH324" s="569"/>
      <c r="AI324" s="569"/>
      <c r="AJ324" s="569"/>
      <c r="AK324" s="569"/>
      <c r="AL324" s="569"/>
      <c r="AM324" s="569"/>
      <c r="AN324" s="569"/>
      <c r="AO324" s="569"/>
      <c r="AP324" s="569"/>
      <c r="AQ324" s="569"/>
      <c r="AR324" s="569"/>
      <c r="AS324" s="569"/>
      <c r="AT324" s="569"/>
      <c r="AU324" s="569"/>
      <c r="AV324" s="569"/>
      <c r="AW324" s="569"/>
      <c r="AX324" s="569"/>
      <c r="AY324" s="569"/>
      <c r="AZ324" s="569"/>
      <c r="BA324" s="569"/>
      <c r="BB324" s="569"/>
      <c r="BC324" s="569"/>
      <c r="BD324" s="569"/>
      <c r="BE324" s="569"/>
      <c r="BF324" s="569"/>
      <c r="BG324" s="569"/>
      <c r="BH324" s="569"/>
      <c r="BI324" s="569"/>
      <c r="BJ324" s="569"/>
      <c r="BK324" s="569"/>
      <c r="BL324" s="569"/>
      <c r="BM324" s="569"/>
      <c r="BN324" s="569"/>
      <c r="BO324" s="569"/>
      <c r="BP324" s="569"/>
      <c r="BQ324" s="569"/>
      <c r="BR324" s="569"/>
      <c r="BS324" s="569"/>
      <c r="BT324" s="569"/>
      <c r="BU324" s="569"/>
      <c r="BV324" s="569"/>
      <c r="BW324" s="569"/>
      <c r="BX324" s="569"/>
      <c r="BY324" s="569"/>
      <c r="BZ324" s="569"/>
      <c r="CA324" s="569"/>
      <c r="CB324" s="569"/>
      <c r="CC324" s="569"/>
      <c r="CD324" s="569"/>
      <c r="CE324" s="569"/>
      <c r="CF324" s="569"/>
      <c r="CG324" s="569"/>
      <c r="CH324" s="569"/>
      <c r="CI324" s="569"/>
      <c r="CJ324" s="569"/>
      <c r="CK324" s="569"/>
      <c r="CL324" s="569"/>
      <c r="CM324" s="569"/>
      <c r="CN324" s="569"/>
      <c r="CO324" s="569"/>
      <c r="CP324" s="569"/>
      <c r="CQ324" s="569"/>
      <c r="CR324" s="569"/>
      <c r="CS324" s="569"/>
      <c r="CT324" s="569"/>
      <c r="CU324" s="569"/>
      <c r="CV324" s="569"/>
      <c r="CW324" s="569"/>
      <c r="CX324" s="569"/>
      <c r="CY324" s="569"/>
      <c r="CZ324" s="569"/>
      <c r="DA324" s="569"/>
      <c r="DB324" s="569"/>
      <c r="DC324" s="569"/>
      <c r="DD324" s="569"/>
      <c r="DE324" s="569"/>
      <c r="DF324" s="569"/>
      <c r="DG324" s="569"/>
      <c r="DH324" s="569"/>
      <c r="DI324" s="569"/>
      <c r="DJ324" s="569"/>
      <c r="DK324" s="569"/>
      <c r="DL324" s="569"/>
      <c r="DM324" s="569"/>
      <c r="DN324" s="569"/>
      <c r="DO324" s="569"/>
      <c r="DP324" s="569"/>
      <c r="DQ324" s="569"/>
      <c r="DR324" s="569"/>
      <c r="DS324" s="569"/>
      <c r="DT324" s="569"/>
      <c r="DU324" s="569"/>
      <c r="DV324" s="569"/>
      <c r="DW324" s="569"/>
      <c r="DX324" s="569"/>
      <c r="DY324" s="569"/>
      <c r="DZ324" s="569"/>
      <c r="EA324" s="569"/>
      <c r="EB324" s="569"/>
      <c r="EC324" s="569"/>
      <c r="ED324" s="569"/>
      <c r="EE324" s="569"/>
      <c r="EF324" s="569"/>
      <c r="EG324" s="569"/>
      <c r="EH324" s="569"/>
      <c r="EI324" s="569"/>
      <c r="EJ324" s="569"/>
      <c r="EK324" s="569"/>
      <c r="EL324" s="569"/>
      <c r="EM324" s="569"/>
      <c r="EN324" s="569"/>
      <c r="EO324" s="569"/>
      <c r="EP324" s="569"/>
      <c r="EQ324" s="569"/>
      <c r="ER324" s="569"/>
      <c r="ES324" s="569"/>
      <c r="ET324" s="569"/>
      <c r="EU324" s="569"/>
      <c r="EV324" s="569"/>
      <c r="EW324" s="569"/>
      <c r="EX324" s="569"/>
      <c r="EY324" s="569"/>
      <c r="EZ324" s="569"/>
      <c r="FA324" s="569"/>
      <c r="FB324" s="569"/>
      <c r="FC324" s="569"/>
      <c r="FD324" s="569"/>
      <c r="FE324" s="569"/>
      <c r="FF324" s="569"/>
      <c r="FG324" s="569"/>
      <c r="FH324" s="569"/>
      <c r="FI324" s="569"/>
      <c r="FJ324" s="569"/>
      <c r="FK324" s="569"/>
      <c r="FL324" s="569"/>
      <c r="FM324" s="569"/>
      <c r="FN324" s="569"/>
      <c r="FO324" s="569"/>
      <c r="FP324" s="569"/>
      <c r="FQ324" s="569"/>
      <c r="FR324" s="569"/>
      <c r="FS324" s="569"/>
      <c r="FT324" s="569"/>
      <c r="FU324" s="569"/>
      <c r="FV324" s="569"/>
      <c r="FW324" s="569"/>
      <c r="FX324" s="569"/>
      <c r="FY324" s="569"/>
      <c r="FZ324" s="569"/>
      <c r="GA324" s="569"/>
      <c r="GB324" s="569"/>
      <c r="GC324" s="569"/>
      <c r="GD324" s="569"/>
      <c r="GE324" s="569"/>
      <c r="GF324" s="569"/>
      <c r="GG324" s="569"/>
      <c r="GH324" s="569"/>
      <c r="GI324" s="569"/>
      <c r="GJ324" s="569"/>
      <c r="GK324" s="569"/>
      <c r="GL324" s="569"/>
      <c r="GM324" s="569"/>
      <c r="GN324" s="569"/>
      <c r="GO324" s="569"/>
      <c r="GP324" s="569"/>
      <c r="GQ324" s="569"/>
      <c r="GR324" s="569"/>
      <c r="GS324" s="569"/>
      <c r="GT324" s="569"/>
    </row>
    <row r="325" spans="2:202" s="554" customFormat="1" ht="18" customHeight="1">
      <c r="B325" s="590"/>
      <c r="C325" s="1151"/>
      <c r="D325" s="1151"/>
      <c r="E325" s="1151"/>
      <c r="F325" s="1151"/>
      <c r="G325" s="1151"/>
      <c r="H325" s="1151"/>
      <c r="I325" s="1151"/>
      <c r="J325" s="1151"/>
      <c r="K325" s="1151"/>
      <c r="L325" s="1151"/>
      <c r="M325" s="590"/>
      <c r="N325" s="590"/>
      <c r="O325" s="590"/>
      <c r="P325" s="590"/>
      <c r="Q325" s="569"/>
      <c r="R325" s="569"/>
      <c r="S325" s="569"/>
      <c r="T325" s="569"/>
      <c r="U325" s="569"/>
      <c r="V325" s="569"/>
      <c r="W325" s="569"/>
      <c r="X325" s="569"/>
      <c r="Y325" s="569"/>
      <c r="Z325" s="569"/>
      <c r="AA325" s="569"/>
      <c r="AB325" s="569"/>
      <c r="AC325" s="569"/>
      <c r="AD325" s="569"/>
      <c r="AE325" s="569"/>
      <c r="AF325" s="569"/>
      <c r="AG325" s="569"/>
      <c r="AH325" s="569"/>
      <c r="AI325" s="569"/>
      <c r="AJ325" s="569"/>
      <c r="AK325" s="569"/>
      <c r="AL325" s="569"/>
      <c r="AM325" s="569"/>
      <c r="AN325" s="569"/>
      <c r="AO325" s="569"/>
      <c r="AP325" s="569"/>
      <c r="AQ325" s="569"/>
      <c r="AR325" s="569"/>
      <c r="AS325" s="569"/>
      <c r="AT325" s="569"/>
      <c r="AU325" s="569"/>
      <c r="AV325" s="569"/>
      <c r="AW325" s="569"/>
      <c r="AX325" s="569"/>
      <c r="AY325" s="569"/>
      <c r="AZ325" s="569"/>
      <c r="BA325" s="569"/>
      <c r="BB325" s="569"/>
      <c r="BC325" s="569"/>
      <c r="BD325" s="569"/>
      <c r="BE325" s="569"/>
      <c r="BF325" s="569"/>
      <c r="BG325" s="569"/>
      <c r="BH325" s="569"/>
      <c r="BI325" s="569"/>
      <c r="BJ325" s="569"/>
      <c r="BK325" s="569"/>
      <c r="BL325" s="569"/>
      <c r="BM325" s="569"/>
      <c r="BN325" s="569"/>
      <c r="BO325" s="569"/>
      <c r="BP325" s="569"/>
      <c r="BQ325" s="569"/>
      <c r="BR325" s="569"/>
      <c r="BS325" s="569"/>
      <c r="BT325" s="569"/>
      <c r="BU325" s="569"/>
      <c r="BV325" s="569"/>
      <c r="BW325" s="569"/>
      <c r="BX325" s="569"/>
      <c r="BY325" s="569"/>
      <c r="BZ325" s="569"/>
      <c r="CA325" s="569"/>
      <c r="CB325" s="569"/>
      <c r="CC325" s="569"/>
      <c r="CD325" s="569"/>
      <c r="CE325" s="569"/>
      <c r="CF325" s="569"/>
      <c r="CG325" s="569"/>
      <c r="CH325" s="569"/>
      <c r="CI325" s="569"/>
      <c r="CJ325" s="569"/>
      <c r="CK325" s="569"/>
      <c r="CL325" s="569"/>
      <c r="CM325" s="569"/>
      <c r="CN325" s="569"/>
      <c r="CO325" s="569"/>
      <c r="CP325" s="569"/>
      <c r="CQ325" s="569"/>
      <c r="CR325" s="569"/>
      <c r="CS325" s="569"/>
      <c r="CT325" s="569"/>
      <c r="CU325" s="569"/>
      <c r="CV325" s="569"/>
      <c r="CW325" s="569"/>
      <c r="CX325" s="569"/>
      <c r="CY325" s="569"/>
      <c r="CZ325" s="569"/>
      <c r="DA325" s="569"/>
      <c r="DB325" s="569"/>
      <c r="DC325" s="569"/>
      <c r="DD325" s="569"/>
      <c r="DE325" s="569"/>
      <c r="DF325" s="569"/>
      <c r="DG325" s="569"/>
      <c r="DH325" s="569"/>
      <c r="DI325" s="569"/>
      <c r="DJ325" s="569"/>
      <c r="DK325" s="569"/>
      <c r="DL325" s="569"/>
      <c r="DM325" s="569"/>
      <c r="DN325" s="569"/>
      <c r="DO325" s="569"/>
      <c r="DP325" s="569"/>
      <c r="DQ325" s="569"/>
      <c r="DR325" s="569"/>
      <c r="DS325" s="569"/>
      <c r="DT325" s="569"/>
      <c r="DU325" s="569"/>
      <c r="DV325" s="569"/>
      <c r="DW325" s="569"/>
      <c r="DX325" s="569"/>
      <c r="DY325" s="569"/>
      <c r="DZ325" s="569"/>
      <c r="EA325" s="569"/>
      <c r="EB325" s="569"/>
      <c r="EC325" s="569"/>
      <c r="ED325" s="569"/>
      <c r="EE325" s="569"/>
      <c r="EF325" s="569"/>
      <c r="EG325" s="569"/>
      <c r="EH325" s="569"/>
      <c r="EI325" s="569"/>
      <c r="EJ325" s="569"/>
      <c r="EK325" s="569"/>
      <c r="EL325" s="569"/>
      <c r="EM325" s="569"/>
      <c r="EN325" s="569"/>
      <c r="EO325" s="569"/>
      <c r="EP325" s="569"/>
      <c r="EQ325" s="569"/>
      <c r="ER325" s="569"/>
      <c r="ES325" s="569"/>
      <c r="ET325" s="569"/>
      <c r="EU325" s="569"/>
      <c r="EV325" s="569"/>
      <c r="EW325" s="569"/>
      <c r="EX325" s="569"/>
      <c r="EY325" s="569"/>
      <c r="EZ325" s="569"/>
      <c r="FA325" s="569"/>
      <c r="FB325" s="569"/>
      <c r="FC325" s="569"/>
      <c r="FD325" s="569"/>
      <c r="FE325" s="569"/>
      <c r="FF325" s="569"/>
      <c r="FG325" s="569"/>
      <c r="FH325" s="569"/>
      <c r="FI325" s="569"/>
      <c r="FJ325" s="569"/>
      <c r="FK325" s="569"/>
      <c r="FL325" s="569"/>
      <c r="FM325" s="569"/>
      <c r="FN325" s="569"/>
      <c r="FO325" s="569"/>
      <c r="FP325" s="569"/>
      <c r="FQ325" s="569"/>
      <c r="FR325" s="569"/>
      <c r="FS325" s="569"/>
      <c r="FT325" s="569"/>
      <c r="FU325" s="569"/>
      <c r="FV325" s="569"/>
      <c r="FW325" s="569"/>
      <c r="FX325" s="569"/>
      <c r="FY325" s="569"/>
      <c r="FZ325" s="569"/>
      <c r="GA325" s="569"/>
      <c r="GB325" s="569"/>
      <c r="GC325" s="569"/>
      <c r="GD325" s="569"/>
      <c r="GE325" s="569"/>
      <c r="GF325" s="569"/>
      <c r="GG325" s="569"/>
      <c r="GH325" s="569"/>
      <c r="GI325" s="569"/>
      <c r="GJ325" s="569"/>
      <c r="GK325" s="569"/>
      <c r="GL325" s="569"/>
      <c r="GM325" s="569"/>
      <c r="GN325" s="569"/>
      <c r="GO325" s="569"/>
      <c r="GP325" s="569"/>
      <c r="GQ325" s="569"/>
      <c r="GR325" s="569"/>
      <c r="GS325" s="569"/>
      <c r="GT325" s="569"/>
    </row>
    <row r="326" spans="2:202" s="554" customFormat="1" ht="18" customHeight="1">
      <c r="B326" s="590"/>
      <c r="C326" s="1151"/>
      <c r="D326" s="1151"/>
      <c r="E326" s="1151"/>
      <c r="F326" s="1151"/>
      <c r="G326" s="1151"/>
      <c r="H326" s="1151"/>
      <c r="I326" s="1151"/>
      <c r="J326" s="1151"/>
      <c r="K326" s="1151"/>
      <c r="L326" s="1151"/>
      <c r="M326" s="590"/>
      <c r="N326" s="590"/>
      <c r="O326" s="590"/>
      <c r="P326" s="590"/>
      <c r="Q326" s="569"/>
      <c r="R326" s="569"/>
      <c r="S326" s="569"/>
      <c r="T326" s="569"/>
      <c r="U326" s="569"/>
      <c r="V326" s="569"/>
      <c r="W326" s="569"/>
      <c r="X326" s="569"/>
      <c r="Y326" s="569"/>
      <c r="Z326" s="569"/>
      <c r="AA326" s="569"/>
      <c r="AB326" s="569"/>
      <c r="AC326" s="569"/>
      <c r="AD326" s="569"/>
      <c r="AE326" s="569"/>
      <c r="AF326" s="569"/>
      <c r="AG326" s="569"/>
      <c r="AH326" s="569"/>
      <c r="AI326" s="569"/>
      <c r="AJ326" s="569"/>
      <c r="AK326" s="569"/>
      <c r="AL326" s="569"/>
      <c r="AM326" s="569"/>
      <c r="AN326" s="569"/>
      <c r="AO326" s="569"/>
      <c r="AP326" s="569"/>
      <c r="AQ326" s="569"/>
      <c r="AR326" s="569"/>
      <c r="AS326" s="569"/>
      <c r="AT326" s="569"/>
      <c r="AU326" s="569"/>
      <c r="AV326" s="569"/>
      <c r="AW326" s="569"/>
      <c r="AX326" s="569"/>
      <c r="AY326" s="569"/>
      <c r="AZ326" s="569"/>
      <c r="BA326" s="569"/>
      <c r="BB326" s="569"/>
      <c r="BC326" s="569"/>
      <c r="BD326" s="569"/>
      <c r="BE326" s="569"/>
      <c r="BF326" s="569"/>
      <c r="BG326" s="569"/>
      <c r="BH326" s="569"/>
      <c r="BI326" s="569"/>
      <c r="BJ326" s="569"/>
      <c r="BK326" s="569"/>
      <c r="BL326" s="569"/>
      <c r="BM326" s="569"/>
      <c r="BN326" s="569"/>
      <c r="BO326" s="569"/>
      <c r="BP326" s="569"/>
      <c r="BQ326" s="569"/>
      <c r="BR326" s="569"/>
      <c r="BS326" s="569"/>
      <c r="BT326" s="569"/>
      <c r="BU326" s="569"/>
      <c r="BV326" s="569"/>
      <c r="BW326" s="569"/>
      <c r="BX326" s="569"/>
      <c r="BY326" s="569"/>
      <c r="BZ326" s="569"/>
      <c r="CA326" s="569"/>
      <c r="CB326" s="569"/>
      <c r="CC326" s="569"/>
      <c r="CD326" s="569"/>
      <c r="CE326" s="569"/>
      <c r="CF326" s="569"/>
      <c r="CG326" s="569"/>
      <c r="CH326" s="569"/>
      <c r="CI326" s="569"/>
      <c r="CJ326" s="569"/>
      <c r="CK326" s="569"/>
      <c r="CL326" s="569"/>
      <c r="CM326" s="569"/>
      <c r="CN326" s="569"/>
      <c r="CO326" s="569"/>
      <c r="CP326" s="569"/>
      <c r="CQ326" s="569"/>
      <c r="CR326" s="569"/>
      <c r="CS326" s="569"/>
      <c r="CT326" s="569"/>
      <c r="CU326" s="569"/>
      <c r="CV326" s="569"/>
      <c r="CW326" s="569"/>
      <c r="CX326" s="569"/>
      <c r="CY326" s="569"/>
      <c r="CZ326" s="569"/>
      <c r="DA326" s="569"/>
      <c r="DB326" s="569"/>
      <c r="DC326" s="569"/>
      <c r="DD326" s="569"/>
      <c r="DE326" s="569"/>
      <c r="DF326" s="569"/>
      <c r="DG326" s="569"/>
      <c r="DH326" s="569"/>
      <c r="DI326" s="569"/>
      <c r="DJ326" s="569"/>
      <c r="DK326" s="569"/>
      <c r="DL326" s="569"/>
      <c r="DM326" s="569"/>
      <c r="DN326" s="569"/>
      <c r="DO326" s="569"/>
      <c r="DP326" s="569"/>
      <c r="DQ326" s="569"/>
      <c r="DR326" s="569"/>
      <c r="DS326" s="569"/>
      <c r="DT326" s="569"/>
      <c r="DU326" s="569"/>
      <c r="DV326" s="569"/>
      <c r="DW326" s="569"/>
      <c r="DX326" s="569"/>
      <c r="DY326" s="569"/>
      <c r="DZ326" s="569"/>
      <c r="EA326" s="569"/>
      <c r="EB326" s="569"/>
      <c r="EC326" s="569"/>
      <c r="ED326" s="569"/>
      <c r="EE326" s="569"/>
      <c r="EF326" s="569"/>
      <c r="EG326" s="569"/>
      <c r="EH326" s="569"/>
      <c r="EI326" s="569"/>
      <c r="EJ326" s="569"/>
      <c r="EK326" s="569"/>
      <c r="EL326" s="569"/>
      <c r="EM326" s="569"/>
      <c r="EN326" s="569"/>
      <c r="EO326" s="569"/>
      <c r="EP326" s="569"/>
      <c r="EQ326" s="569"/>
      <c r="ER326" s="569"/>
      <c r="ES326" s="569"/>
      <c r="ET326" s="569"/>
      <c r="EU326" s="569"/>
      <c r="EV326" s="569"/>
      <c r="EW326" s="569"/>
      <c r="EX326" s="569"/>
      <c r="EY326" s="569"/>
      <c r="EZ326" s="569"/>
      <c r="FA326" s="569"/>
      <c r="FB326" s="569"/>
      <c r="FC326" s="569"/>
      <c r="FD326" s="569"/>
      <c r="FE326" s="569"/>
      <c r="FF326" s="569"/>
      <c r="FG326" s="569"/>
      <c r="FH326" s="569"/>
      <c r="FI326" s="569"/>
      <c r="FJ326" s="569"/>
      <c r="FK326" s="569"/>
      <c r="FL326" s="569"/>
      <c r="FM326" s="569"/>
      <c r="FN326" s="569"/>
      <c r="FO326" s="569"/>
      <c r="FP326" s="569"/>
      <c r="FQ326" s="569"/>
      <c r="FR326" s="569"/>
      <c r="FS326" s="569"/>
      <c r="FT326" s="569"/>
      <c r="FU326" s="569"/>
      <c r="FV326" s="569"/>
      <c r="FW326" s="569"/>
      <c r="FX326" s="569"/>
      <c r="FY326" s="569"/>
      <c r="FZ326" s="569"/>
      <c r="GA326" s="569"/>
      <c r="GB326" s="569"/>
      <c r="GC326" s="569"/>
      <c r="GD326" s="569"/>
      <c r="GE326" s="569"/>
      <c r="GF326" s="569"/>
      <c r="GG326" s="569"/>
      <c r="GH326" s="569"/>
      <c r="GI326" s="569"/>
      <c r="GJ326" s="569"/>
      <c r="GK326" s="569"/>
      <c r="GL326" s="569"/>
      <c r="GM326" s="569"/>
      <c r="GN326" s="569"/>
      <c r="GO326" s="569"/>
      <c r="GP326" s="569"/>
      <c r="GQ326" s="569"/>
      <c r="GR326" s="569"/>
      <c r="GS326" s="569"/>
      <c r="GT326" s="569"/>
    </row>
    <row r="327" spans="2:202" s="554" customFormat="1" ht="18" customHeight="1">
      <c r="B327" s="569"/>
      <c r="C327" s="1152"/>
      <c r="D327" s="1152"/>
      <c r="E327" s="1152"/>
      <c r="F327" s="1152"/>
      <c r="G327" s="1152"/>
      <c r="H327" s="1152"/>
      <c r="I327" s="1152"/>
      <c r="J327" s="1152"/>
      <c r="K327" s="1152"/>
      <c r="L327" s="1152"/>
      <c r="M327" s="569"/>
      <c r="N327" s="569"/>
      <c r="O327" s="569"/>
      <c r="P327" s="569"/>
      <c r="Q327" s="569"/>
      <c r="R327" s="569"/>
      <c r="S327" s="569"/>
      <c r="T327" s="569"/>
      <c r="U327" s="569"/>
      <c r="V327" s="569"/>
      <c r="W327" s="569"/>
      <c r="X327" s="569"/>
      <c r="Y327" s="569"/>
      <c r="Z327" s="569"/>
      <c r="AA327" s="569"/>
      <c r="AB327" s="569"/>
      <c r="AC327" s="569"/>
      <c r="AD327" s="569"/>
      <c r="AE327" s="569"/>
      <c r="AF327" s="569"/>
      <c r="AG327" s="569"/>
      <c r="AH327" s="569"/>
      <c r="AI327" s="569"/>
      <c r="AJ327" s="569"/>
      <c r="AK327" s="569"/>
      <c r="AL327" s="569"/>
      <c r="AM327" s="569"/>
      <c r="AN327" s="569"/>
      <c r="AO327" s="569"/>
      <c r="AP327" s="569"/>
      <c r="AQ327" s="569"/>
      <c r="AR327" s="569"/>
      <c r="AS327" s="569"/>
      <c r="AT327" s="569"/>
      <c r="AU327" s="569"/>
      <c r="AV327" s="569"/>
      <c r="AW327" s="569"/>
      <c r="AX327" s="569"/>
      <c r="AY327" s="569"/>
      <c r="AZ327" s="569"/>
      <c r="BA327" s="569"/>
      <c r="BB327" s="569"/>
      <c r="BC327" s="569"/>
      <c r="BD327" s="569"/>
      <c r="BE327" s="569"/>
      <c r="BF327" s="569"/>
      <c r="BG327" s="569"/>
      <c r="BH327" s="569"/>
      <c r="BI327" s="569"/>
      <c r="BJ327" s="569"/>
      <c r="BK327" s="569"/>
      <c r="BL327" s="569"/>
      <c r="BM327" s="569"/>
      <c r="BN327" s="569"/>
      <c r="BO327" s="569"/>
      <c r="BP327" s="569"/>
      <c r="BQ327" s="569"/>
      <c r="BR327" s="569"/>
      <c r="BS327" s="569"/>
      <c r="BT327" s="569"/>
      <c r="BU327" s="569"/>
      <c r="BV327" s="569"/>
      <c r="BW327" s="569"/>
      <c r="BX327" s="569"/>
      <c r="BY327" s="569"/>
      <c r="BZ327" s="569"/>
      <c r="CA327" s="569"/>
      <c r="CB327" s="569"/>
      <c r="CC327" s="569"/>
      <c r="CD327" s="569"/>
      <c r="CE327" s="569"/>
      <c r="CF327" s="569"/>
      <c r="CG327" s="569"/>
      <c r="CH327" s="569"/>
      <c r="CI327" s="569"/>
      <c r="CJ327" s="569"/>
      <c r="CK327" s="569"/>
      <c r="CL327" s="569"/>
      <c r="CM327" s="569"/>
      <c r="CN327" s="569"/>
      <c r="CO327" s="569"/>
      <c r="CP327" s="569"/>
      <c r="CQ327" s="569"/>
      <c r="CR327" s="569"/>
      <c r="CS327" s="569"/>
      <c r="CT327" s="569"/>
      <c r="CU327" s="569"/>
      <c r="CV327" s="569"/>
      <c r="CW327" s="569"/>
      <c r="CX327" s="569"/>
      <c r="CY327" s="569"/>
      <c r="CZ327" s="569"/>
      <c r="DA327" s="569"/>
      <c r="DB327" s="569"/>
      <c r="DC327" s="569"/>
      <c r="DD327" s="569"/>
      <c r="DE327" s="569"/>
      <c r="DF327" s="569"/>
      <c r="DG327" s="569"/>
      <c r="DH327" s="569"/>
      <c r="DI327" s="569"/>
      <c r="DJ327" s="569"/>
      <c r="DK327" s="569"/>
      <c r="DL327" s="569"/>
      <c r="DM327" s="569"/>
      <c r="DN327" s="569"/>
      <c r="DO327" s="569"/>
      <c r="DP327" s="569"/>
      <c r="DQ327" s="569"/>
      <c r="DR327" s="569"/>
      <c r="DS327" s="569"/>
      <c r="DT327" s="569"/>
      <c r="DU327" s="569"/>
      <c r="DV327" s="569"/>
      <c r="DW327" s="569"/>
      <c r="DX327" s="569"/>
      <c r="DY327" s="569"/>
      <c r="DZ327" s="569"/>
      <c r="EA327" s="569"/>
      <c r="EB327" s="569"/>
      <c r="EC327" s="569"/>
      <c r="ED327" s="569"/>
      <c r="EE327" s="569"/>
      <c r="EF327" s="569"/>
      <c r="EG327" s="569"/>
      <c r="EH327" s="569"/>
      <c r="EI327" s="569"/>
      <c r="EJ327" s="569"/>
      <c r="EK327" s="569"/>
      <c r="EL327" s="569"/>
      <c r="EM327" s="569"/>
      <c r="EN327" s="569"/>
      <c r="EO327" s="569"/>
      <c r="EP327" s="569"/>
      <c r="EQ327" s="569"/>
      <c r="ER327" s="569"/>
      <c r="ES327" s="569"/>
      <c r="ET327" s="569"/>
      <c r="EU327" s="569"/>
      <c r="EV327" s="569"/>
      <c r="EW327" s="569"/>
      <c r="EX327" s="569"/>
      <c r="EY327" s="569"/>
      <c r="EZ327" s="569"/>
      <c r="FA327" s="569"/>
      <c r="FB327" s="569"/>
      <c r="FC327" s="569"/>
      <c r="FD327" s="569"/>
      <c r="FE327" s="569"/>
      <c r="FF327" s="569"/>
      <c r="FG327" s="569"/>
      <c r="FH327" s="569"/>
      <c r="FI327" s="569"/>
      <c r="FJ327" s="569"/>
      <c r="FK327" s="569"/>
      <c r="FL327" s="569"/>
      <c r="FM327" s="569"/>
      <c r="FN327" s="569"/>
      <c r="FO327" s="569"/>
      <c r="FP327" s="569"/>
      <c r="FQ327" s="569"/>
      <c r="FR327" s="569"/>
      <c r="FS327" s="569"/>
      <c r="FT327" s="569"/>
      <c r="FU327" s="569"/>
      <c r="FV327" s="569"/>
      <c r="FW327" s="569"/>
      <c r="FX327" s="569"/>
      <c r="FY327" s="569"/>
      <c r="FZ327" s="569"/>
      <c r="GA327" s="569"/>
      <c r="GB327" s="569"/>
      <c r="GC327" s="569"/>
      <c r="GD327" s="569"/>
      <c r="GE327" s="569"/>
      <c r="GF327" s="569"/>
      <c r="GG327" s="569"/>
      <c r="GH327" s="569"/>
      <c r="GI327" s="569"/>
      <c r="GJ327" s="569"/>
      <c r="GK327" s="569"/>
      <c r="GL327" s="569"/>
      <c r="GM327" s="569"/>
      <c r="GN327" s="569"/>
      <c r="GO327" s="569"/>
      <c r="GP327" s="569"/>
      <c r="GQ327" s="569"/>
      <c r="GR327" s="569"/>
      <c r="GS327" s="569"/>
      <c r="GT327" s="569"/>
    </row>
    <row r="328" spans="2:202" s="554" customFormat="1" ht="18" customHeight="1">
      <c r="B328" s="569"/>
      <c r="C328" s="1152"/>
      <c r="D328" s="1152"/>
      <c r="E328" s="1152"/>
      <c r="F328" s="1152"/>
      <c r="G328" s="1152"/>
      <c r="H328" s="1152"/>
      <c r="I328" s="1152"/>
      <c r="J328" s="1152"/>
      <c r="K328" s="1152"/>
      <c r="L328" s="1152"/>
      <c r="M328" s="569"/>
      <c r="N328" s="569"/>
      <c r="O328" s="569"/>
      <c r="P328" s="569"/>
      <c r="Q328" s="569"/>
      <c r="R328" s="569"/>
      <c r="S328" s="569"/>
      <c r="T328" s="569"/>
      <c r="U328" s="569"/>
      <c r="V328" s="569"/>
      <c r="W328" s="569"/>
      <c r="X328" s="569"/>
      <c r="Y328" s="569"/>
      <c r="Z328" s="569"/>
      <c r="AA328" s="569"/>
      <c r="AB328" s="569"/>
      <c r="AC328" s="569"/>
      <c r="AD328" s="569"/>
      <c r="AE328" s="569"/>
      <c r="AF328" s="569"/>
      <c r="AG328" s="569"/>
      <c r="AH328" s="569"/>
      <c r="AI328" s="569"/>
      <c r="AJ328" s="569"/>
      <c r="AK328" s="569"/>
      <c r="AL328" s="569"/>
      <c r="AM328" s="569"/>
      <c r="AN328" s="569"/>
      <c r="AO328" s="569"/>
      <c r="AP328" s="569"/>
      <c r="AQ328" s="569"/>
      <c r="AR328" s="569"/>
      <c r="AS328" s="569"/>
      <c r="AT328" s="569"/>
      <c r="AU328" s="569"/>
      <c r="AV328" s="569"/>
      <c r="AW328" s="569"/>
      <c r="AX328" s="569"/>
      <c r="AY328" s="569"/>
      <c r="AZ328" s="569"/>
      <c r="BA328" s="569"/>
      <c r="BB328" s="569"/>
      <c r="BC328" s="569"/>
      <c r="BD328" s="569"/>
      <c r="BE328" s="569"/>
      <c r="BF328" s="569"/>
      <c r="BG328" s="569"/>
      <c r="BH328" s="569"/>
      <c r="BI328" s="569"/>
      <c r="BJ328" s="569"/>
      <c r="BK328" s="569"/>
      <c r="BL328" s="569"/>
      <c r="BM328" s="569"/>
      <c r="BN328" s="569"/>
      <c r="BO328" s="569"/>
      <c r="BP328" s="569"/>
      <c r="BQ328" s="569"/>
      <c r="BR328" s="569"/>
      <c r="BS328" s="569"/>
      <c r="BT328" s="569"/>
      <c r="BU328" s="569"/>
      <c r="BV328" s="569"/>
      <c r="BW328" s="569"/>
      <c r="BX328" s="569"/>
      <c r="BY328" s="569"/>
      <c r="BZ328" s="569"/>
      <c r="CA328" s="569"/>
      <c r="CB328" s="569"/>
      <c r="CC328" s="569"/>
      <c r="CD328" s="569"/>
      <c r="CE328" s="569"/>
      <c r="CF328" s="569"/>
      <c r="CG328" s="569"/>
      <c r="CH328" s="569"/>
      <c r="CI328" s="569"/>
      <c r="CJ328" s="569"/>
      <c r="CK328" s="569"/>
      <c r="CL328" s="569"/>
      <c r="CM328" s="569"/>
      <c r="CN328" s="569"/>
      <c r="CO328" s="569"/>
      <c r="CP328" s="569"/>
      <c r="CQ328" s="569"/>
      <c r="CR328" s="569"/>
      <c r="CS328" s="569"/>
      <c r="CT328" s="569"/>
      <c r="CU328" s="569"/>
      <c r="CV328" s="569"/>
      <c r="CW328" s="569"/>
      <c r="CX328" s="569"/>
      <c r="CY328" s="569"/>
      <c r="CZ328" s="569"/>
      <c r="DA328" s="569"/>
      <c r="DB328" s="569"/>
      <c r="DC328" s="569"/>
      <c r="DD328" s="569"/>
      <c r="DE328" s="569"/>
      <c r="DF328" s="569"/>
      <c r="DG328" s="569"/>
      <c r="DH328" s="569"/>
      <c r="DI328" s="569"/>
      <c r="DJ328" s="569"/>
      <c r="DK328" s="569"/>
      <c r="DL328" s="569"/>
      <c r="DM328" s="569"/>
      <c r="DN328" s="569"/>
      <c r="DO328" s="569"/>
      <c r="DP328" s="569"/>
      <c r="DQ328" s="569"/>
      <c r="DR328" s="569"/>
      <c r="DS328" s="569"/>
      <c r="DT328" s="569"/>
      <c r="DU328" s="569"/>
      <c r="DV328" s="569"/>
      <c r="DW328" s="569"/>
      <c r="DX328" s="569"/>
      <c r="DY328" s="569"/>
      <c r="DZ328" s="569"/>
      <c r="EA328" s="569"/>
      <c r="EB328" s="569"/>
      <c r="EC328" s="569"/>
      <c r="ED328" s="569"/>
      <c r="EE328" s="569"/>
      <c r="EF328" s="569"/>
      <c r="EG328" s="569"/>
      <c r="EH328" s="569"/>
      <c r="EI328" s="569"/>
      <c r="EJ328" s="569"/>
      <c r="EK328" s="569"/>
      <c r="EL328" s="569"/>
      <c r="EM328" s="569"/>
      <c r="EN328" s="569"/>
      <c r="EO328" s="569"/>
      <c r="EP328" s="569"/>
      <c r="EQ328" s="569"/>
      <c r="ER328" s="569"/>
      <c r="ES328" s="569"/>
      <c r="ET328" s="569"/>
      <c r="EU328" s="569"/>
      <c r="EV328" s="569"/>
      <c r="EW328" s="569"/>
      <c r="EX328" s="569"/>
      <c r="EY328" s="569"/>
      <c r="EZ328" s="569"/>
      <c r="FA328" s="569"/>
      <c r="FB328" s="569"/>
      <c r="FC328" s="569"/>
      <c r="FD328" s="569"/>
      <c r="FE328" s="569"/>
      <c r="FF328" s="569"/>
      <c r="FG328" s="569"/>
      <c r="FH328" s="569"/>
      <c r="FI328" s="569"/>
      <c r="FJ328" s="569"/>
      <c r="FK328" s="569"/>
      <c r="FL328" s="569"/>
      <c r="FM328" s="569"/>
      <c r="FN328" s="569"/>
      <c r="FO328" s="569"/>
      <c r="FP328" s="569"/>
      <c r="FQ328" s="569"/>
      <c r="FR328" s="569"/>
      <c r="FS328" s="569"/>
      <c r="FT328" s="569"/>
      <c r="FU328" s="569"/>
      <c r="FV328" s="569"/>
      <c r="FW328" s="569"/>
      <c r="FX328" s="569"/>
      <c r="FY328" s="569"/>
      <c r="FZ328" s="569"/>
      <c r="GA328" s="569"/>
      <c r="GB328" s="569"/>
      <c r="GC328" s="569"/>
      <c r="GD328" s="569"/>
      <c r="GE328" s="569"/>
      <c r="GF328" s="569"/>
      <c r="GG328" s="569"/>
      <c r="GH328" s="569"/>
      <c r="GI328" s="569"/>
      <c r="GJ328" s="569"/>
      <c r="GK328" s="569"/>
      <c r="GL328" s="569"/>
      <c r="GM328" s="569"/>
      <c r="GN328" s="569"/>
      <c r="GO328" s="569"/>
      <c r="GP328" s="569"/>
      <c r="GQ328" s="569"/>
      <c r="GR328" s="569"/>
      <c r="GS328" s="569"/>
      <c r="GT328" s="569"/>
    </row>
    <row r="329" spans="2:202" s="554" customFormat="1" ht="18" customHeight="1">
      <c r="B329" s="569"/>
      <c r="C329" s="1152"/>
      <c r="D329" s="1152"/>
      <c r="E329" s="1152"/>
      <c r="F329" s="1152"/>
      <c r="G329" s="1152"/>
      <c r="H329" s="1152"/>
      <c r="I329" s="1152"/>
      <c r="J329" s="1152"/>
      <c r="K329" s="1152"/>
      <c r="L329" s="1152"/>
      <c r="M329" s="569"/>
      <c r="N329" s="569"/>
      <c r="O329" s="569"/>
      <c r="P329" s="569"/>
      <c r="Q329" s="569"/>
      <c r="R329" s="569"/>
      <c r="S329" s="569"/>
      <c r="T329" s="569"/>
      <c r="U329" s="569"/>
      <c r="V329" s="569"/>
      <c r="W329" s="569"/>
      <c r="X329" s="569"/>
      <c r="Y329" s="569"/>
      <c r="Z329" s="569"/>
      <c r="AA329" s="569"/>
      <c r="AB329" s="569"/>
      <c r="AC329" s="569"/>
      <c r="AD329" s="569"/>
      <c r="AE329" s="569"/>
      <c r="AF329" s="569"/>
      <c r="AG329" s="569"/>
      <c r="AH329" s="569"/>
      <c r="AI329" s="569"/>
      <c r="AJ329" s="569"/>
      <c r="AK329" s="569"/>
      <c r="AL329" s="569"/>
      <c r="AM329" s="569"/>
      <c r="AN329" s="569"/>
      <c r="AO329" s="569"/>
      <c r="AP329" s="569"/>
      <c r="AQ329" s="569"/>
      <c r="AR329" s="569"/>
      <c r="AS329" s="569"/>
      <c r="AT329" s="569"/>
      <c r="AU329" s="569"/>
      <c r="AV329" s="569"/>
      <c r="AW329" s="569"/>
      <c r="AX329" s="569"/>
      <c r="AY329" s="569"/>
      <c r="AZ329" s="569"/>
      <c r="BA329" s="569"/>
      <c r="BB329" s="569"/>
      <c r="BC329" s="569"/>
      <c r="BD329" s="569"/>
      <c r="BE329" s="569"/>
      <c r="BF329" s="569"/>
      <c r="BG329" s="569"/>
      <c r="BH329" s="569"/>
      <c r="BI329" s="569"/>
      <c r="BJ329" s="569"/>
      <c r="BK329" s="569"/>
      <c r="BL329" s="569"/>
      <c r="BM329" s="569"/>
      <c r="BN329" s="569"/>
      <c r="BO329" s="569"/>
      <c r="BP329" s="569"/>
      <c r="BQ329" s="569"/>
      <c r="BR329" s="569"/>
      <c r="BS329" s="569"/>
      <c r="BT329" s="569"/>
      <c r="BU329" s="569"/>
      <c r="BV329" s="569"/>
      <c r="BW329" s="569"/>
      <c r="BX329" s="569"/>
      <c r="BY329" s="569"/>
      <c r="BZ329" s="569"/>
      <c r="CA329" s="569"/>
      <c r="CB329" s="569"/>
      <c r="CC329" s="569"/>
      <c r="CD329" s="569"/>
      <c r="CE329" s="569"/>
      <c r="CF329" s="569"/>
      <c r="CG329" s="569"/>
      <c r="CH329" s="569"/>
      <c r="CI329" s="569"/>
      <c r="CJ329" s="569"/>
      <c r="CK329" s="569"/>
      <c r="CL329" s="569"/>
      <c r="CM329" s="569"/>
      <c r="CN329" s="569"/>
      <c r="CO329" s="569"/>
      <c r="CP329" s="569"/>
      <c r="CQ329" s="569"/>
      <c r="CR329" s="569"/>
      <c r="CS329" s="569"/>
      <c r="CT329" s="569"/>
      <c r="CU329" s="569"/>
      <c r="CV329" s="569"/>
      <c r="CW329" s="569"/>
      <c r="CX329" s="569"/>
      <c r="CY329" s="569"/>
      <c r="CZ329" s="569"/>
      <c r="DA329" s="569"/>
      <c r="DB329" s="569"/>
      <c r="DC329" s="569"/>
      <c r="DD329" s="569"/>
      <c r="DE329" s="569"/>
      <c r="DF329" s="569"/>
      <c r="DG329" s="569"/>
      <c r="DH329" s="569"/>
      <c r="DI329" s="569"/>
      <c r="DJ329" s="569"/>
      <c r="DK329" s="569"/>
      <c r="DL329" s="569"/>
      <c r="DM329" s="569"/>
      <c r="DN329" s="569"/>
      <c r="DO329" s="569"/>
      <c r="DP329" s="569"/>
      <c r="DQ329" s="569"/>
      <c r="DR329" s="569"/>
      <c r="DS329" s="569"/>
      <c r="DT329" s="569"/>
      <c r="DU329" s="569"/>
      <c r="DV329" s="569"/>
      <c r="DW329" s="569"/>
      <c r="DX329" s="569"/>
      <c r="DY329" s="569"/>
      <c r="DZ329" s="569"/>
      <c r="EA329" s="569"/>
      <c r="EB329" s="569"/>
      <c r="EC329" s="569"/>
      <c r="ED329" s="569"/>
      <c r="EE329" s="569"/>
      <c r="EF329" s="569"/>
      <c r="EG329" s="569"/>
      <c r="EH329" s="569"/>
      <c r="EI329" s="569"/>
      <c r="EJ329" s="569"/>
      <c r="EK329" s="569"/>
      <c r="EL329" s="569"/>
      <c r="EM329" s="569"/>
      <c r="EN329" s="569"/>
      <c r="EO329" s="569"/>
      <c r="EP329" s="569"/>
      <c r="EQ329" s="569"/>
      <c r="ER329" s="569"/>
      <c r="ES329" s="569"/>
      <c r="ET329" s="569"/>
      <c r="EU329" s="569"/>
      <c r="EV329" s="569"/>
      <c r="EW329" s="569"/>
      <c r="EX329" s="569"/>
      <c r="EY329" s="569"/>
      <c r="EZ329" s="569"/>
      <c r="FA329" s="569"/>
      <c r="FB329" s="569"/>
      <c r="FC329" s="569"/>
      <c r="FD329" s="569"/>
      <c r="FE329" s="569"/>
      <c r="FF329" s="569"/>
      <c r="FG329" s="569"/>
      <c r="FH329" s="569"/>
      <c r="FI329" s="569"/>
      <c r="FJ329" s="569"/>
      <c r="FK329" s="569"/>
      <c r="FL329" s="569"/>
      <c r="FM329" s="569"/>
      <c r="FN329" s="569"/>
      <c r="FO329" s="569"/>
      <c r="FP329" s="569"/>
      <c r="FQ329" s="569"/>
      <c r="FR329" s="569"/>
      <c r="FS329" s="569"/>
      <c r="FT329" s="569"/>
      <c r="FU329" s="569"/>
      <c r="FV329" s="569"/>
      <c r="FW329" s="569"/>
      <c r="FX329" s="569"/>
      <c r="FY329" s="569"/>
      <c r="FZ329" s="569"/>
      <c r="GA329" s="569"/>
      <c r="GB329" s="569"/>
      <c r="GC329" s="569"/>
      <c r="GD329" s="569"/>
      <c r="GE329" s="569"/>
      <c r="GF329" s="569"/>
      <c r="GG329" s="569"/>
      <c r="GH329" s="569"/>
      <c r="GI329" s="569"/>
      <c r="GJ329" s="569"/>
      <c r="GK329" s="569"/>
      <c r="GL329" s="569"/>
      <c r="GM329" s="569"/>
      <c r="GN329" s="569"/>
      <c r="GO329" s="569"/>
      <c r="GP329" s="569"/>
      <c r="GQ329" s="569"/>
      <c r="GR329" s="569"/>
      <c r="GS329" s="569"/>
      <c r="GT329" s="569"/>
    </row>
    <row r="330" spans="2:202" s="554" customFormat="1" ht="18" customHeight="1">
      <c r="B330" s="569"/>
      <c r="C330" s="1152"/>
      <c r="D330" s="1152"/>
      <c r="E330" s="1152"/>
      <c r="F330" s="1152"/>
      <c r="G330" s="1152"/>
      <c r="H330" s="1152"/>
      <c r="I330" s="1152"/>
      <c r="J330" s="1152"/>
      <c r="K330" s="1152"/>
      <c r="L330" s="1152"/>
      <c r="M330" s="569"/>
      <c r="N330" s="569"/>
      <c r="O330" s="569"/>
      <c r="P330" s="569"/>
      <c r="Q330" s="569"/>
      <c r="R330" s="569"/>
      <c r="S330" s="569"/>
      <c r="T330" s="569"/>
      <c r="U330" s="569"/>
      <c r="V330" s="569"/>
      <c r="W330" s="569"/>
      <c r="X330" s="569"/>
      <c r="Y330" s="569"/>
      <c r="Z330" s="569"/>
      <c r="AA330" s="569"/>
      <c r="AB330" s="569"/>
      <c r="AC330" s="569"/>
      <c r="AD330" s="569"/>
      <c r="AE330" s="569"/>
      <c r="AF330" s="569"/>
      <c r="AG330" s="569"/>
      <c r="AH330" s="569"/>
      <c r="AI330" s="569"/>
      <c r="AJ330" s="569"/>
      <c r="AK330" s="569"/>
      <c r="AL330" s="569"/>
      <c r="AM330" s="569"/>
      <c r="AN330" s="569"/>
      <c r="AO330" s="569"/>
      <c r="AP330" s="569"/>
      <c r="AQ330" s="569"/>
      <c r="AR330" s="569"/>
      <c r="AS330" s="569"/>
      <c r="AT330" s="569"/>
      <c r="AU330" s="569"/>
      <c r="AV330" s="569"/>
      <c r="AW330" s="569"/>
      <c r="AX330" s="569"/>
      <c r="AY330" s="569"/>
      <c r="AZ330" s="569"/>
      <c r="BA330" s="569"/>
      <c r="BB330" s="569"/>
      <c r="BC330" s="569"/>
      <c r="BD330" s="569"/>
      <c r="BE330" s="569"/>
      <c r="BF330" s="569"/>
      <c r="BG330" s="569"/>
      <c r="BH330" s="569"/>
      <c r="BI330" s="569"/>
      <c r="BJ330" s="569"/>
      <c r="BK330" s="569"/>
      <c r="BL330" s="569"/>
      <c r="BM330" s="569"/>
      <c r="BN330" s="569"/>
      <c r="BO330" s="569"/>
      <c r="BP330" s="569"/>
      <c r="BQ330" s="569"/>
      <c r="BR330" s="569"/>
      <c r="BS330" s="569"/>
      <c r="BT330" s="569"/>
      <c r="BU330" s="569"/>
      <c r="BV330" s="569"/>
      <c r="BW330" s="569"/>
      <c r="BX330" s="569"/>
      <c r="BY330" s="569"/>
      <c r="BZ330" s="569"/>
      <c r="CA330" s="569"/>
      <c r="CB330" s="569"/>
      <c r="CC330" s="569"/>
      <c r="CD330" s="569"/>
      <c r="CE330" s="569"/>
      <c r="CF330" s="569"/>
      <c r="CG330" s="569"/>
      <c r="CH330" s="569"/>
      <c r="CI330" s="569"/>
      <c r="CJ330" s="569"/>
      <c r="CK330" s="569"/>
      <c r="CL330" s="569"/>
      <c r="CM330" s="569"/>
      <c r="CN330" s="569"/>
      <c r="CO330" s="569"/>
      <c r="CP330" s="569"/>
      <c r="CQ330" s="569"/>
      <c r="CR330" s="569"/>
      <c r="CS330" s="569"/>
      <c r="CT330" s="569"/>
      <c r="CU330" s="569"/>
      <c r="CV330" s="569"/>
      <c r="CW330" s="569"/>
      <c r="CX330" s="569"/>
      <c r="CY330" s="569"/>
      <c r="CZ330" s="569"/>
      <c r="DA330" s="569"/>
      <c r="DB330" s="569"/>
      <c r="DC330" s="569"/>
      <c r="DD330" s="569"/>
      <c r="DE330" s="569"/>
      <c r="DF330" s="569"/>
      <c r="DG330" s="569"/>
      <c r="DH330" s="569"/>
      <c r="DI330" s="569"/>
      <c r="DJ330" s="569"/>
      <c r="DK330" s="569"/>
      <c r="DL330" s="569"/>
      <c r="DM330" s="569"/>
      <c r="DN330" s="569"/>
      <c r="DO330" s="569"/>
      <c r="DP330" s="569"/>
      <c r="DQ330" s="569"/>
      <c r="DR330" s="569"/>
      <c r="DS330" s="569"/>
      <c r="DT330" s="569"/>
      <c r="DU330" s="569"/>
      <c r="DV330" s="569"/>
      <c r="DW330" s="569"/>
      <c r="DX330" s="569"/>
      <c r="DY330" s="569"/>
      <c r="DZ330" s="569"/>
      <c r="EA330" s="569"/>
      <c r="EB330" s="569"/>
      <c r="EC330" s="569"/>
      <c r="ED330" s="569"/>
      <c r="EE330" s="569"/>
      <c r="EF330" s="569"/>
      <c r="EG330" s="569"/>
      <c r="EH330" s="569"/>
      <c r="EI330" s="569"/>
      <c r="EJ330" s="569"/>
      <c r="EK330" s="569"/>
      <c r="EL330" s="569"/>
      <c r="EM330" s="569"/>
      <c r="EN330" s="569"/>
      <c r="EO330" s="569"/>
      <c r="EP330" s="569"/>
      <c r="EQ330" s="569"/>
      <c r="ER330" s="569"/>
      <c r="ES330" s="569"/>
      <c r="ET330" s="569"/>
      <c r="EU330" s="569"/>
      <c r="EV330" s="569"/>
      <c r="EW330" s="569"/>
      <c r="EX330" s="569"/>
      <c r="EY330" s="569"/>
      <c r="EZ330" s="569"/>
      <c r="FA330" s="569"/>
      <c r="FB330" s="569"/>
      <c r="FC330" s="569"/>
      <c r="FD330" s="569"/>
      <c r="FE330" s="569"/>
      <c r="FF330" s="569"/>
      <c r="FG330" s="569"/>
      <c r="FH330" s="569"/>
      <c r="FI330" s="569"/>
      <c r="FJ330" s="569"/>
      <c r="FK330" s="569"/>
      <c r="FL330" s="569"/>
      <c r="FM330" s="569"/>
      <c r="FN330" s="569"/>
      <c r="FO330" s="569"/>
      <c r="FP330" s="569"/>
      <c r="FQ330" s="569"/>
      <c r="FR330" s="569"/>
      <c r="FS330" s="569"/>
      <c r="FT330" s="569"/>
      <c r="FU330" s="569"/>
      <c r="FV330" s="569"/>
      <c r="FW330" s="569"/>
      <c r="FX330" s="569"/>
      <c r="FY330" s="569"/>
      <c r="FZ330" s="569"/>
      <c r="GA330" s="569"/>
      <c r="GB330" s="569"/>
      <c r="GC330" s="569"/>
      <c r="GD330" s="569"/>
      <c r="GE330" s="569"/>
      <c r="GF330" s="569"/>
      <c r="GG330" s="569"/>
      <c r="GH330" s="569"/>
      <c r="GI330" s="569"/>
      <c r="GJ330" s="569"/>
      <c r="GK330" s="569"/>
      <c r="GL330" s="569"/>
      <c r="GM330" s="569"/>
      <c r="GN330" s="569"/>
      <c r="GO330" s="569"/>
      <c r="GP330" s="569"/>
      <c r="GQ330" s="569"/>
      <c r="GR330" s="569"/>
      <c r="GS330" s="569"/>
      <c r="GT330" s="569"/>
    </row>
    <row r="331" spans="2:202" s="554" customFormat="1" ht="18" customHeight="1">
      <c r="B331" s="569"/>
      <c r="C331" s="1152"/>
      <c r="D331" s="1152"/>
      <c r="E331" s="1152"/>
      <c r="F331" s="1152"/>
      <c r="G331" s="1152"/>
      <c r="H331" s="1152"/>
      <c r="I331" s="1152"/>
      <c r="J331" s="1152"/>
      <c r="K331" s="1152"/>
      <c r="L331" s="1152"/>
      <c r="M331" s="569"/>
      <c r="N331" s="569"/>
      <c r="O331" s="569"/>
      <c r="P331" s="569"/>
      <c r="Q331" s="569"/>
      <c r="R331" s="569"/>
      <c r="S331" s="569"/>
      <c r="T331" s="569"/>
      <c r="U331" s="569"/>
      <c r="V331" s="569"/>
      <c r="W331" s="569"/>
      <c r="X331" s="569"/>
      <c r="Y331" s="569"/>
      <c r="Z331" s="569"/>
      <c r="AA331" s="569"/>
      <c r="AB331" s="569"/>
      <c r="AC331" s="569"/>
      <c r="AD331" s="569"/>
      <c r="AE331" s="569"/>
      <c r="AF331" s="569"/>
      <c r="AG331" s="569"/>
      <c r="AH331" s="569"/>
      <c r="AI331" s="569"/>
      <c r="AJ331" s="569"/>
      <c r="AK331" s="569"/>
      <c r="AL331" s="569"/>
      <c r="AM331" s="569"/>
      <c r="AN331" s="569"/>
      <c r="AO331" s="569"/>
      <c r="AP331" s="569"/>
      <c r="AQ331" s="569"/>
      <c r="AR331" s="569"/>
      <c r="AS331" s="569"/>
      <c r="AT331" s="569"/>
      <c r="AU331" s="569"/>
      <c r="AV331" s="569"/>
      <c r="AW331" s="569"/>
      <c r="AX331" s="569"/>
      <c r="AY331" s="569"/>
      <c r="AZ331" s="569"/>
      <c r="BA331" s="569"/>
      <c r="BB331" s="569"/>
      <c r="BC331" s="569"/>
      <c r="BD331" s="569"/>
      <c r="BE331" s="569"/>
      <c r="BF331" s="569"/>
      <c r="BG331" s="569"/>
      <c r="BH331" s="569"/>
      <c r="BI331" s="569"/>
      <c r="BJ331" s="569"/>
      <c r="BK331" s="569"/>
      <c r="BL331" s="569"/>
      <c r="BM331" s="569"/>
      <c r="BN331" s="569"/>
      <c r="BO331" s="569"/>
      <c r="BP331" s="569"/>
      <c r="BQ331" s="569"/>
      <c r="BR331" s="569"/>
      <c r="BS331" s="569"/>
      <c r="BT331" s="569"/>
      <c r="BU331" s="569"/>
      <c r="BV331" s="569"/>
      <c r="BW331" s="569"/>
      <c r="BX331" s="569"/>
      <c r="BY331" s="569"/>
      <c r="BZ331" s="569"/>
      <c r="CA331" s="569"/>
      <c r="CB331" s="569"/>
      <c r="CC331" s="569"/>
      <c r="CD331" s="569"/>
      <c r="CE331" s="569"/>
      <c r="CF331" s="569"/>
      <c r="CG331" s="569"/>
      <c r="CH331" s="569"/>
      <c r="CI331" s="569"/>
      <c r="CJ331" s="569"/>
      <c r="CK331" s="569"/>
      <c r="CL331" s="569"/>
      <c r="CM331" s="569"/>
      <c r="CN331" s="569"/>
      <c r="CO331" s="569"/>
      <c r="CP331" s="569"/>
      <c r="CQ331" s="569"/>
      <c r="CR331" s="569"/>
      <c r="CS331" s="569"/>
      <c r="CT331" s="569"/>
      <c r="CU331" s="569"/>
      <c r="CV331" s="569"/>
      <c r="CW331" s="569"/>
      <c r="CX331" s="569"/>
      <c r="CY331" s="569"/>
      <c r="CZ331" s="569"/>
      <c r="DA331" s="569"/>
      <c r="DB331" s="569"/>
      <c r="DC331" s="569"/>
      <c r="DD331" s="569"/>
      <c r="DE331" s="569"/>
      <c r="DF331" s="569"/>
      <c r="DG331" s="569"/>
      <c r="DH331" s="569"/>
      <c r="DI331" s="569"/>
      <c r="DJ331" s="569"/>
      <c r="DK331" s="569"/>
      <c r="DL331" s="569"/>
      <c r="DM331" s="569"/>
      <c r="DN331" s="569"/>
      <c r="DO331" s="569"/>
      <c r="DP331" s="569"/>
      <c r="DQ331" s="569"/>
      <c r="DR331" s="569"/>
      <c r="DS331" s="569"/>
      <c r="DT331" s="569"/>
      <c r="DU331" s="569"/>
      <c r="DV331" s="569"/>
      <c r="DW331" s="569"/>
      <c r="DX331" s="569"/>
      <c r="DY331" s="569"/>
      <c r="DZ331" s="569"/>
      <c r="EA331" s="569"/>
      <c r="EB331" s="569"/>
      <c r="EC331" s="569"/>
      <c r="ED331" s="569"/>
      <c r="EE331" s="569"/>
      <c r="EF331" s="569"/>
      <c r="EG331" s="569"/>
      <c r="EH331" s="569"/>
      <c r="EI331" s="569"/>
      <c r="EJ331" s="569"/>
      <c r="EK331" s="569"/>
      <c r="EL331" s="569"/>
      <c r="EM331" s="569"/>
      <c r="EN331" s="569"/>
      <c r="EO331" s="569"/>
      <c r="EP331" s="569"/>
      <c r="EQ331" s="569"/>
      <c r="ER331" s="569"/>
      <c r="ES331" s="569"/>
      <c r="ET331" s="569"/>
      <c r="EU331" s="569"/>
      <c r="EV331" s="569"/>
      <c r="EW331" s="569"/>
      <c r="EX331" s="569"/>
      <c r="EY331" s="569"/>
      <c r="EZ331" s="569"/>
      <c r="FA331" s="569"/>
      <c r="FB331" s="569"/>
      <c r="FC331" s="569"/>
      <c r="FD331" s="569"/>
      <c r="FE331" s="569"/>
      <c r="FF331" s="569"/>
      <c r="FG331" s="569"/>
      <c r="FH331" s="569"/>
      <c r="FI331" s="569"/>
      <c r="FJ331" s="569"/>
      <c r="FK331" s="569"/>
      <c r="FL331" s="569"/>
      <c r="FM331" s="569"/>
      <c r="FN331" s="569"/>
      <c r="FO331" s="569"/>
      <c r="FP331" s="569"/>
      <c r="FQ331" s="569"/>
      <c r="FR331" s="569"/>
      <c r="FS331" s="569"/>
      <c r="FT331" s="569"/>
      <c r="FU331" s="569"/>
      <c r="FV331" s="569"/>
      <c r="FW331" s="569"/>
      <c r="FX331" s="569"/>
      <c r="FY331" s="569"/>
      <c r="FZ331" s="569"/>
      <c r="GA331" s="569"/>
      <c r="GB331" s="569"/>
      <c r="GC331" s="569"/>
      <c r="GD331" s="569"/>
      <c r="GE331" s="569"/>
      <c r="GF331" s="569"/>
      <c r="GG331" s="569"/>
      <c r="GH331" s="569"/>
      <c r="GI331" s="569"/>
      <c r="GJ331" s="569"/>
      <c r="GK331" s="569"/>
      <c r="GL331" s="569"/>
      <c r="GM331" s="569"/>
      <c r="GN331" s="569"/>
      <c r="GO331" s="569"/>
      <c r="GP331" s="569"/>
      <c r="GQ331" s="569"/>
      <c r="GR331" s="569"/>
      <c r="GS331" s="569"/>
      <c r="GT331" s="569"/>
    </row>
    <row r="332" spans="2:202" s="554" customFormat="1" ht="18" customHeight="1">
      <c r="B332" s="569"/>
      <c r="C332" s="1152"/>
      <c r="D332" s="1152"/>
      <c r="E332" s="1152"/>
      <c r="F332" s="1152"/>
      <c r="G332" s="1152"/>
      <c r="H332" s="1152"/>
      <c r="I332" s="1152"/>
      <c r="J332" s="1152"/>
      <c r="K332" s="1152"/>
      <c r="L332" s="1152"/>
      <c r="M332" s="569"/>
      <c r="N332" s="569"/>
      <c r="O332" s="569"/>
      <c r="P332" s="569"/>
      <c r="Q332" s="569"/>
      <c r="R332" s="569"/>
      <c r="S332" s="569"/>
      <c r="T332" s="569"/>
      <c r="U332" s="569"/>
      <c r="V332" s="569"/>
      <c r="W332" s="569"/>
      <c r="X332" s="569"/>
      <c r="Y332" s="569"/>
      <c r="Z332" s="569"/>
      <c r="AA332" s="569"/>
      <c r="AB332" s="569"/>
      <c r="AC332" s="569"/>
      <c r="AD332" s="569"/>
      <c r="AE332" s="569"/>
      <c r="AF332" s="569"/>
      <c r="AG332" s="569"/>
      <c r="AH332" s="569"/>
      <c r="AI332" s="569"/>
      <c r="AJ332" s="569"/>
      <c r="AK332" s="569"/>
      <c r="AL332" s="569"/>
      <c r="AM332" s="569"/>
      <c r="AN332" s="569"/>
      <c r="AO332" s="569"/>
      <c r="AP332" s="569"/>
      <c r="AQ332" s="569"/>
      <c r="AR332" s="569"/>
      <c r="AS332" s="569"/>
      <c r="AT332" s="569"/>
      <c r="AU332" s="569"/>
      <c r="AV332" s="569"/>
      <c r="AW332" s="569"/>
      <c r="AX332" s="569"/>
      <c r="AY332" s="569"/>
      <c r="AZ332" s="569"/>
      <c r="BA332" s="569"/>
      <c r="BB332" s="569"/>
      <c r="BC332" s="569"/>
      <c r="BD332" s="569"/>
      <c r="BE332" s="569"/>
      <c r="BF332" s="569"/>
      <c r="BG332" s="569"/>
      <c r="BH332" s="569"/>
      <c r="BI332" s="569"/>
      <c r="BJ332" s="569"/>
      <c r="BK332" s="569"/>
      <c r="BL332" s="569"/>
      <c r="BM332" s="569"/>
      <c r="BN332" s="569"/>
      <c r="BO332" s="569"/>
      <c r="BP332" s="569"/>
      <c r="BQ332" s="569"/>
      <c r="BR332" s="569"/>
      <c r="BS332" s="569"/>
      <c r="BT332" s="569"/>
      <c r="BU332" s="569"/>
      <c r="BV332" s="569"/>
      <c r="BW332" s="569"/>
      <c r="BX332" s="569"/>
      <c r="BY332" s="569"/>
      <c r="BZ332" s="569"/>
      <c r="CA332" s="569"/>
      <c r="CB332" s="569"/>
      <c r="CC332" s="569"/>
      <c r="CD332" s="569"/>
      <c r="CE332" s="569"/>
      <c r="CF332" s="569"/>
      <c r="CG332" s="569"/>
      <c r="CH332" s="569"/>
      <c r="CI332" s="569"/>
      <c r="CJ332" s="569"/>
      <c r="CK332" s="569"/>
      <c r="CL332" s="569"/>
      <c r="CM332" s="569"/>
      <c r="CN332" s="569"/>
      <c r="CO332" s="569"/>
      <c r="CP332" s="569"/>
      <c r="CQ332" s="569"/>
      <c r="CR332" s="569"/>
      <c r="CS332" s="569"/>
      <c r="CT332" s="569"/>
      <c r="CU332" s="569"/>
      <c r="CV332" s="569"/>
      <c r="CW332" s="569"/>
      <c r="CX332" s="569"/>
      <c r="CY332" s="569"/>
      <c r="CZ332" s="569"/>
      <c r="DA332" s="569"/>
      <c r="DB332" s="569"/>
      <c r="DC332" s="569"/>
      <c r="DD332" s="569"/>
      <c r="DE332" s="569"/>
      <c r="DF332" s="569"/>
      <c r="DG332" s="569"/>
      <c r="DH332" s="569"/>
      <c r="DI332" s="569"/>
      <c r="DJ332" s="569"/>
      <c r="DK332" s="569"/>
      <c r="DL332" s="569"/>
      <c r="DM332" s="569"/>
      <c r="DN332" s="569"/>
      <c r="DO332" s="569"/>
      <c r="DP332" s="569"/>
      <c r="DQ332" s="569"/>
      <c r="DR332" s="569"/>
      <c r="DS332" s="569"/>
      <c r="DT332" s="569"/>
      <c r="DU332" s="569"/>
      <c r="DV332" s="569"/>
      <c r="DW332" s="569"/>
      <c r="DX332" s="569"/>
      <c r="DY332" s="569"/>
      <c r="DZ332" s="569"/>
      <c r="EA332" s="569"/>
      <c r="EB332" s="569"/>
      <c r="EC332" s="569"/>
      <c r="ED332" s="569"/>
      <c r="EE332" s="569"/>
      <c r="EF332" s="569"/>
      <c r="EG332" s="569"/>
      <c r="EH332" s="569"/>
      <c r="EI332" s="569"/>
      <c r="EJ332" s="569"/>
      <c r="EK332" s="569"/>
      <c r="EL332" s="569"/>
      <c r="EM332" s="569"/>
      <c r="EN332" s="569"/>
      <c r="EO332" s="569"/>
      <c r="EP332" s="569"/>
      <c r="EQ332" s="569"/>
      <c r="ER332" s="569"/>
      <c r="ES332" s="569"/>
      <c r="ET332" s="569"/>
      <c r="EU332" s="569"/>
      <c r="EV332" s="569"/>
      <c r="EW332" s="569"/>
      <c r="EX332" s="569"/>
      <c r="EY332" s="569"/>
      <c r="EZ332" s="569"/>
      <c r="FA332" s="569"/>
      <c r="FB332" s="569"/>
      <c r="FC332" s="569"/>
      <c r="FD332" s="569"/>
      <c r="FE332" s="569"/>
      <c r="FF332" s="569"/>
      <c r="FG332" s="569"/>
      <c r="FH332" s="569"/>
      <c r="FI332" s="569"/>
      <c r="FJ332" s="569"/>
      <c r="FK332" s="569"/>
      <c r="FL332" s="569"/>
      <c r="FM332" s="569"/>
      <c r="FN332" s="569"/>
      <c r="FO332" s="569"/>
      <c r="FP332" s="569"/>
      <c r="FQ332" s="569"/>
      <c r="FR332" s="569"/>
      <c r="FS332" s="569"/>
      <c r="FT332" s="569"/>
      <c r="FU332" s="569"/>
      <c r="FV332" s="569"/>
      <c r="FW332" s="569"/>
      <c r="FX332" s="569"/>
      <c r="FY332" s="569"/>
      <c r="FZ332" s="569"/>
      <c r="GA332" s="569"/>
      <c r="GB332" s="569"/>
      <c r="GC332" s="569"/>
      <c r="GD332" s="569"/>
      <c r="GE332" s="569"/>
      <c r="GF332" s="569"/>
      <c r="GG332" s="569"/>
      <c r="GH332" s="569"/>
      <c r="GI332" s="569"/>
      <c r="GJ332" s="569"/>
      <c r="GK332" s="569"/>
      <c r="GL332" s="569"/>
      <c r="GM332" s="569"/>
      <c r="GN332" s="569"/>
      <c r="GO332" s="569"/>
      <c r="GP332" s="569"/>
      <c r="GQ332" s="569"/>
      <c r="GR332" s="569"/>
      <c r="GS332" s="569"/>
      <c r="GT332" s="569"/>
    </row>
    <row r="333" spans="2:202" s="554" customFormat="1" ht="18" customHeight="1">
      <c r="B333" s="569"/>
      <c r="C333" s="1152"/>
      <c r="D333" s="1152"/>
      <c r="E333" s="1152"/>
      <c r="F333" s="1152"/>
      <c r="G333" s="1152"/>
      <c r="H333" s="1152"/>
      <c r="I333" s="1152"/>
      <c r="J333" s="1152"/>
      <c r="K333" s="1152"/>
      <c r="L333" s="1152"/>
      <c r="M333" s="569"/>
      <c r="N333" s="569"/>
      <c r="O333" s="569"/>
      <c r="P333" s="569"/>
      <c r="Q333" s="569"/>
      <c r="R333" s="569"/>
      <c r="S333" s="569"/>
      <c r="T333" s="569"/>
      <c r="U333" s="569"/>
      <c r="V333" s="569"/>
      <c r="W333" s="569"/>
      <c r="X333" s="569"/>
      <c r="Y333" s="569"/>
      <c r="Z333" s="569"/>
      <c r="AA333" s="569"/>
      <c r="AB333" s="569"/>
      <c r="AC333" s="569"/>
      <c r="AD333" s="569"/>
      <c r="AE333" s="569"/>
      <c r="AF333" s="569"/>
      <c r="AG333" s="569"/>
      <c r="AH333" s="569"/>
      <c r="AI333" s="569"/>
      <c r="AJ333" s="569"/>
      <c r="AK333" s="569"/>
      <c r="AL333" s="569"/>
      <c r="AM333" s="569"/>
      <c r="AN333" s="569"/>
      <c r="AO333" s="569"/>
      <c r="AP333" s="569"/>
      <c r="AQ333" s="569"/>
      <c r="AR333" s="569"/>
      <c r="AS333" s="569"/>
      <c r="AT333" s="569"/>
      <c r="AU333" s="569"/>
      <c r="AV333" s="569"/>
      <c r="AW333" s="569"/>
      <c r="AX333" s="569"/>
      <c r="AY333" s="569"/>
      <c r="AZ333" s="569"/>
      <c r="BA333" s="569"/>
      <c r="BB333" s="569"/>
      <c r="BC333" s="569"/>
      <c r="BD333" s="569"/>
      <c r="BE333" s="569"/>
      <c r="BF333" s="569"/>
      <c r="BG333" s="569"/>
      <c r="BH333" s="569"/>
      <c r="BI333" s="569"/>
      <c r="BJ333" s="569"/>
      <c r="BK333" s="569"/>
      <c r="BL333" s="569"/>
      <c r="BM333" s="569"/>
      <c r="BN333" s="569"/>
      <c r="BO333" s="569"/>
      <c r="BP333" s="569"/>
      <c r="BQ333" s="569"/>
      <c r="BR333" s="569"/>
      <c r="BS333" s="569"/>
      <c r="BT333" s="569"/>
      <c r="BU333" s="569"/>
      <c r="BV333" s="569"/>
      <c r="BW333" s="569"/>
      <c r="BX333" s="569"/>
      <c r="BY333" s="569"/>
      <c r="BZ333" s="569"/>
      <c r="CA333" s="569"/>
      <c r="CB333" s="569"/>
      <c r="CC333" s="569"/>
      <c r="CD333" s="569"/>
      <c r="CE333" s="569"/>
      <c r="CF333" s="569"/>
      <c r="CG333" s="569"/>
      <c r="CH333" s="569"/>
      <c r="CI333" s="569"/>
      <c r="CJ333" s="569"/>
      <c r="CK333" s="569"/>
      <c r="CL333" s="569"/>
      <c r="CM333" s="569"/>
      <c r="CN333" s="569"/>
      <c r="CO333" s="569"/>
      <c r="CP333" s="569"/>
      <c r="CQ333" s="569"/>
      <c r="CR333" s="569"/>
      <c r="CS333" s="569"/>
      <c r="CT333" s="569"/>
      <c r="CU333" s="569"/>
      <c r="CV333" s="569"/>
      <c r="CW333" s="569"/>
      <c r="CX333" s="569"/>
      <c r="CY333" s="569"/>
      <c r="CZ333" s="569"/>
      <c r="DA333" s="569"/>
      <c r="DB333" s="569"/>
      <c r="DC333" s="569"/>
      <c r="DD333" s="569"/>
      <c r="DE333" s="569"/>
      <c r="DF333" s="569"/>
      <c r="DG333" s="569"/>
      <c r="DH333" s="569"/>
      <c r="DI333" s="569"/>
      <c r="DJ333" s="569"/>
      <c r="DK333" s="569"/>
      <c r="DL333" s="569"/>
      <c r="DM333" s="569"/>
      <c r="DN333" s="569"/>
      <c r="DO333" s="569"/>
      <c r="DP333" s="569"/>
      <c r="DQ333" s="569"/>
      <c r="DR333" s="569"/>
      <c r="DS333" s="569"/>
      <c r="DT333" s="569"/>
      <c r="DU333" s="569"/>
      <c r="DV333" s="569"/>
      <c r="DW333" s="569"/>
      <c r="DX333" s="569"/>
      <c r="DY333" s="569"/>
      <c r="DZ333" s="569"/>
      <c r="EA333" s="569"/>
      <c r="EB333" s="569"/>
      <c r="EC333" s="569"/>
      <c r="ED333" s="569"/>
      <c r="EE333" s="569"/>
      <c r="EF333" s="569"/>
      <c r="EG333" s="569"/>
      <c r="EH333" s="569"/>
      <c r="EI333" s="569"/>
      <c r="EJ333" s="569"/>
      <c r="EK333" s="569"/>
      <c r="EL333" s="569"/>
      <c r="EM333" s="569"/>
      <c r="EN333" s="569"/>
      <c r="EO333" s="569"/>
      <c r="EP333" s="569"/>
      <c r="EQ333" s="569"/>
      <c r="ER333" s="569"/>
      <c r="ES333" s="569"/>
      <c r="ET333" s="569"/>
      <c r="EU333" s="569"/>
      <c r="EV333" s="569"/>
      <c r="EW333" s="569"/>
      <c r="EX333" s="569"/>
      <c r="EY333" s="569"/>
      <c r="EZ333" s="569"/>
      <c r="FA333" s="569"/>
      <c r="FB333" s="569"/>
      <c r="FC333" s="569"/>
      <c r="FD333" s="569"/>
      <c r="FE333" s="569"/>
      <c r="FF333" s="569"/>
      <c r="FG333" s="569"/>
      <c r="FH333" s="569"/>
      <c r="FI333" s="569"/>
      <c r="FJ333" s="569"/>
      <c r="FK333" s="569"/>
      <c r="FL333" s="569"/>
      <c r="FM333" s="569"/>
      <c r="FN333" s="569"/>
      <c r="FO333" s="569"/>
      <c r="FP333" s="569"/>
      <c r="FQ333" s="569"/>
      <c r="FR333" s="569"/>
      <c r="FS333" s="569"/>
      <c r="FT333" s="569"/>
      <c r="FU333" s="569"/>
      <c r="FV333" s="569"/>
      <c r="FW333" s="569"/>
      <c r="FX333" s="569"/>
      <c r="FY333" s="569"/>
      <c r="FZ333" s="569"/>
      <c r="GA333" s="569"/>
      <c r="GB333" s="569"/>
      <c r="GC333" s="569"/>
      <c r="GD333" s="569"/>
      <c r="GE333" s="569"/>
      <c r="GF333" s="569"/>
      <c r="GG333" s="569"/>
      <c r="GH333" s="569"/>
      <c r="GI333" s="569"/>
      <c r="GJ333" s="569"/>
      <c r="GK333" s="569"/>
      <c r="GL333" s="569"/>
      <c r="GM333" s="569"/>
      <c r="GN333" s="569"/>
      <c r="GO333" s="569"/>
      <c r="GP333" s="569"/>
      <c r="GQ333" s="569"/>
      <c r="GR333" s="569"/>
      <c r="GS333" s="569"/>
      <c r="GT333" s="569"/>
    </row>
    <row r="334" spans="2:202" s="554" customFormat="1" ht="18" customHeight="1">
      <c r="B334" s="569"/>
      <c r="C334" s="1152"/>
      <c r="D334" s="1152"/>
      <c r="E334" s="1152"/>
      <c r="F334" s="1152"/>
      <c r="G334" s="1152"/>
      <c r="H334" s="1152"/>
      <c r="I334" s="1152"/>
      <c r="J334" s="1152"/>
      <c r="K334" s="1152"/>
      <c r="L334" s="1152"/>
      <c r="M334" s="569"/>
      <c r="N334" s="569"/>
      <c r="O334" s="569"/>
      <c r="P334" s="569"/>
      <c r="Q334" s="569"/>
      <c r="R334" s="569"/>
      <c r="S334" s="569"/>
      <c r="T334" s="569"/>
      <c r="U334" s="569"/>
      <c r="V334" s="569"/>
      <c r="W334" s="569"/>
      <c r="X334" s="569"/>
      <c r="Y334" s="569"/>
      <c r="Z334" s="569"/>
      <c r="AA334" s="569"/>
      <c r="AB334" s="569"/>
      <c r="AC334" s="569"/>
      <c r="AD334" s="569"/>
      <c r="AE334" s="569"/>
      <c r="AF334" s="569"/>
      <c r="AG334" s="569"/>
      <c r="AH334" s="569"/>
      <c r="AI334" s="569"/>
      <c r="AJ334" s="569"/>
      <c r="AK334" s="569"/>
      <c r="AL334" s="569"/>
      <c r="AM334" s="569"/>
      <c r="AN334" s="569"/>
      <c r="AO334" s="569"/>
      <c r="AP334" s="569"/>
      <c r="AQ334" s="569"/>
      <c r="AR334" s="569"/>
      <c r="AS334" s="569"/>
      <c r="AT334" s="569"/>
      <c r="AU334" s="569"/>
      <c r="AV334" s="569"/>
      <c r="AW334" s="569"/>
      <c r="AX334" s="569"/>
      <c r="AY334" s="569"/>
      <c r="AZ334" s="569"/>
      <c r="BA334" s="569"/>
      <c r="BB334" s="569"/>
      <c r="BC334" s="569"/>
      <c r="BD334" s="569"/>
      <c r="BE334" s="569"/>
      <c r="BF334" s="569"/>
      <c r="BG334" s="569"/>
      <c r="BH334" s="569"/>
      <c r="BI334" s="569"/>
      <c r="BJ334" s="569"/>
      <c r="BK334" s="569"/>
      <c r="BL334" s="569"/>
      <c r="BM334" s="569"/>
      <c r="BN334" s="569"/>
      <c r="BO334" s="569"/>
      <c r="BP334" s="569"/>
      <c r="BQ334" s="569"/>
      <c r="BR334" s="569"/>
      <c r="BS334" s="569"/>
      <c r="BT334" s="569"/>
      <c r="BU334" s="569"/>
      <c r="BV334" s="569"/>
      <c r="BW334" s="569"/>
      <c r="BX334" s="569"/>
      <c r="BY334" s="569"/>
      <c r="BZ334" s="569"/>
      <c r="CA334" s="569"/>
      <c r="CB334" s="569"/>
      <c r="CC334" s="569"/>
      <c r="CD334" s="569"/>
      <c r="CE334" s="569"/>
      <c r="CF334" s="569"/>
      <c r="CG334" s="569"/>
      <c r="CH334" s="569"/>
      <c r="CI334" s="569"/>
      <c r="CJ334" s="569"/>
      <c r="CK334" s="569"/>
      <c r="CL334" s="569"/>
      <c r="CM334" s="569"/>
      <c r="CN334" s="569"/>
      <c r="CO334" s="569"/>
      <c r="CP334" s="569"/>
      <c r="CQ334" s="569"/>
      <c r="CR334" s="569"/>
      <c r="CS334" s="569"/>
      <c r="CT334" s="569"/>
      <c r="CU334" s="569"/>
      <c r="CV334" s="569"/>
      <c r="CW334" s="569"/>
      <c r="CX334" s="569"/>
      <c r="CY334" s="569"/>
      <c r="CZ334" s="569"/>
      <c r="DA334" s="569"/>
      <c r="DB334" s="569"/>
      <c r="DC334" s="569"/>
      <c r="DD334" s="569"/>
      <c r="DE334" s="569"/>
      <c r="DF334" s="569"/>
      <c r="DG334" s="569"/>
      <c r="DH334" s="569"/>
      <c r="DI334" s="569"/>
      <c r="DJ334" s="569"/>
      <c r="DK334" s="569"/>
      <c r="DL334" s="569"/>
      <c r="DM334" s="569"/>
      <c r="DN334" s="569"/>
      <c r="DO334" s="569"/>
      <c r="DP334" s="569"/>
      <c r="DQ334" s="569"/>
      <c r="DR334" s="569"/>
      <c r="DS334" s="569"/>
      <c r="DT334" s="569"/>
      <c r="DU334" s="569"/>
      <c r="DV334" s="569"/>
      <c r="DW334" s="569"/>
      <c r="DX334" s="569"/>
      <c r="DY334" s="569"/>
      <c r="DZ334" s="569"/>
      <c r="EA334" s="569"/>
      <c r="EB334" s="569"/>
      <c r="EC334" s="569"/>
      <c r="ED334" s="569"/>
      <c r="EE334" s="569"/>
      <c r="EF334" s="569"/>
      <c r="EG334" s="569"/>
      <c r="EH334" s="569"/>
      <c r="EI334" s="569"/>
      <c r="EJ334" s="569"/>
      <c r="EK334" s="569"/>
      <c r="EL334" s="569"/>
      <c r="EM334" s="569"/>
      <c r="EN334" s="569"/>
      <c r="EO334" s="569"/>
      <c r="EP334" s="569"/>
      <c r="EQ334" s="569"/>
      <c r="ER334" s="569"/>
      <c r="ES334" s="569"/>
      <c r="ET334" s="569"/>
      <c r="EU334" s="569"/>
      <c r="EV334" s="569"/>
      <c r="EW334" s="569"/>
      <c r="EX334" s="569"/>
      <c r="EY334" s="569"/>
      <c r="EZ334" s="569"/>
      <c r="FA334" s="569"/>
      <c r="FB334" s="569"/>
      <c r="FC334" s="569"/>
      <c r="FD334" s="569"/>
      <c r="FE334" s="569"/>
      <c r="FF334" s="569"/>
      <c r="FG334" s="569"/>
      <c r="FH334" s="569"/>
      <c r="FI334" s="569"/>
      <c r="FJ334" s="569"/>
      <c r="FK334" s="569"/>
      <c r="FL334" s="569"/>
      <c r="FM334" s="569"/>
      <c r="FN334" s="569"/>
      <c r="FO334" s="569"/>
      <c r="FP334" s="569"/>
      <c r="FQ334" s="569"/>
      <c r="FR334" s="569"/>
      <c r="FS334" s="569"/>
      <c r="FT334" s="569"/>
      <c r="FU334" s="569"/>
      <c r="FV334" s="569"/>
      <c r="FW334" s="569"/>
      <c r="FX334" s="569"/>
      <c r="FY334" s="569"/>
      <c r="FZ334" s="569"/>
      <c r="GA334" s="569"/>
      <c r="GB334" s="569"/>
      <c r="GC334" s="569"/>
      <c r="GD334" s="569"/>
      <c r="GE334" s="569"/>
      <c r="GF334" s="569"/>
      <c r="GG334" s="569"/>
      <c r="GH334" s="569"/>
      <c r="GI334" s="569"/>
      <c r="GJ334" s="569"/>
      <c r="GK334" s="569"/>
      <c r="GL334" s="569"/>
      <c r="GM334" s="569"/>
      <c r="GN334" s="569"/>
      <c r="GO334" s="569"/>
      <c r="GP334" s="569"/>
      <c r="GQ334" s="569"/>
      <c r="GR334" s="569"/>
      <c r="GS334" s="569"/>
      <c r="GT334" s="569"/>
    </row>
    <row r="335" spans="2:202" s="554" customFormat="1" ht="18" customHeight="1">
      <c r="B335" s="569"/>
      <c r="C335" s="1152"/>
      <c r="D335" s="1152"/>
      <c r="E335" s="1152"/>
      <c r="F335" s="1152"/>
      <c r="G335" s="1152"/>
      <c r="H335" s="1152"/>
      <c r="I335" s="1152"/>
      <c r="J335" s="1152"/>
      <c r="K335" s="1152"/>
      <c r="L335" s="1152"/>
      <c r="M335" s="569"/>
      <c r="N335" s="569"/>
      <c r="O335" s="569"/>
      <c r="P335" s="569"/>
      <c r="Q335" s="569"/>
      <c r="R335" s="569"/>
      <c r="S335" s="569"/>
      <c r="T335" s="569"/>
      <c r="U335" s="569"/>
      <c r="V335" s="569"/>
      <c r="W335" s="569"/>
      <c r="X335" s="569"/>
      <c r="Y335" s="569"/>
      <c r="Z335" s="569"/>
      <c r="AA335" s="569"/>
      <c r="AB335" s="569"/>
      <c r="AC335" s="569"/>
      <c r="AD335" s="569"/>
      <c r="AE335" s="569"/>
      <c r="AF335" s="569"/>
      <c r="AG335" s="569"/>
      <c r="AH335" s="569"/>
      <c r="AI335" s="569"/>
      <c r="AJ335" s="569"/>
      <c r="AK335" s="569"/>
      <c r="AL335" s="569"/>
      <c r="AM335" s="569"/>
      <c r="AN335" s="569"/>
      <c r="AO335" s="569"/>
      <c r="AP335" s="569"/>
      <c r="AQ335" s="569"/>
      <c r="AR335" s="569"/>
      <c r="AS335" s="569"/>
      <c r="AT335" s="569"/>
      <c r="AU335" s="569"/>
      <c r="AV335" s="569"/>
      <c r="AW335" s="569"/>
      <c r="AX335" s="569"/>
      <c r="AY335" s="569"/>
      <c r="AZ335" s="569"/>
      <c r="BA335" s="569"/>
      <c r="BB335" s="569"/>
      <c r="BC335" s="569"/>
      <c r="BD335" s="569"/>
      <c r="BE335" s="569"/>
      <c r="BF335" s="569"/>
      <c r="BG335" s="569"/>
      <c r="BH335" s="569"/>
      <c r="BI335" s="569"/>
      <c r="BJ335" s="569"/>
      <c r="BK335" s="569"/>
      <c r="BL335" s="569"/>
      <c r="BM335" s="569"/>
      <c r="BN335" s="569"/>
      <c r="BO335" s="569"/>
      <c r="BP335" s="569"/>
      <c r="BQ335" s="569"/>
      <c r="BR335" s="569"/>
      <c r="BS335" s="569"/>
      <c r="BT335" s="569"/>
      <c r="BU335" s="569"/>
      <c r="BV335" s="569"/>
      <c r="BW335" s="569"/>
      <c r="BX335" s="569"/>
      <c r="BY335" s="569"/>
      <c r="BZ335" s="569"/>
      <c r="CA335" s="569"/>
      <c r="CB335" s="569"/>
      <c r="CC335" s="569"/>
      <c r="CD335" s="569"/>
      <c r="CE335" s="569"/>
      <c r="CF335" s="569"/>
      <c r="CG335" s="569"/>
      <c r="CH335" s="569"/>
      <c r="CI335" s="569"/>
      <c r="CJ335" s="569"/>
      <c r="CK335" s="569"/>
      <c r="CL335" s="569"/>
      <c r="CM335" s="569"/>
      <c r="CN335" s="569"/>
      <c r="CO335" s="569"/>
      <c r="CP335" s="569"/>
      <c r="CQ335" s="569"/>
      <c r="CR335" s="569"/>
      <c r="CS335" s="569"/>
      <c r="CT335" s="569"/>
      <c r="CU335" s="569"/>
      <c r="CV335" s="569"/>
      <c r="CW335" s="569"/>
      <c r="CX335" s="569"/>
      <c r="CY335" s="569"/>
      <c r="CZ335" s="569"/>
      <c r="DA335" s="569"/>
      <c r="DB335" s="569"/>
      <c r="DC335" s="569"/>
      <c r="DD335" s="569"/>
      <c r="DE335" s="569"/>
      <c r="DF335" s="569"/>
      <c r="DG335" s="569"/>
      <c r="DH335" s="569"/>
      <c r="DI335" s="569"/>
      <c r="DJ335" s="569"/>
      <c r="DK335" s="569"/>
      <c r="DL335" s="569"/>
      <c r="DM335" s="569"/>
      <c r="DN335" s="569"/>
      <c r="DO335" s="569"/>
      <c r="DP335" s="569"/>
      <c r="DQ335" s="569"/>
      <c r="DR335" s="569"/>
      <c r="DS335" s="569"/>
      <c r="DT335" s="569"/>
      <c r="DU335" s="569"/>
      <c r="DV335" s="569"/>
      <c r="DW335" s="569"/>
      <c r="DX335" s="569"/>
      <c r="DY335" s="569"/>
      <c r="DZ335" s="569"/>
      <c r="EA335" s="569"/>
      <c r="EB335" s="569"/>
      <c r="EC335" s="569"/>
      <c r="ED335" s="569"/>
      <c r="EE335" s="569"/>
      <c r="EF335" s="569"/>
      <c r="EG335" s="569"/>
      <c r="EH335" s="569"/>
      <c r="EI335" s="569"/>
      <c r="EJ335" s="569"/>
      <c r="EK335" s="569"/>
      <c r="EL335" s="569"/>
      <c r="EM335" s="569"/>
      <c r="EN335" s="569"/>
      <c r="EO335" s="569"/>
      <c r="EP335" s="569"/>
      <c r="EQ335" s="569"/>
      <c r="ER335" s="569"/>
      <c r="ES335" s="569"/>
      <c r="ET335" s="569"/>
      <c r="EU335" s="569"/>
      <c r="EV335" s="569"/>
      <c r="EW335" s="569"/>
      <c r="EX335" s="569"/>
      <c r="EY335" s="569"/>
      <c r="EZ335" s="569"/>
      <c r="FA335" s="569"/>
      <c r="FB335" s="569"/>
      <c r="FC335" s="569"/>
      <c r="FD335" s="569"/>
      <c r="FE335" s="569"/>
      <c r="FF335" s="569"/>
      <c r="FG335" s="569"/>
      <c r="FH335" s="569"/>
      <c r="FI335" s="569"/>
      <c r="FJ335" s="569"/>
      <c r="FK335" s="569"/>
      <c r="FL335" s="569"/>
      <c r="FM335" s="569"/>
      <c r="FN335" s="569"/>
      <c r="FO335" s="569"/>
      <c r="FP335" s="569"/>
      <c r="FQ335" s="569"/>
      <c r="FR335" s="569"/>
      <c r="FS335" s="569"/>
      <c r="FT335" s="569"/>
      <c r="FU335" s="569"/>
      <c r="FV335" s="569"/>
      <c r="FW335" s="569"/>
      <c r="FX335" s="569"/>
      <c r="FY335" s="569"/>
      <c r="FZ335" s="569"/>
      <c r="GA335" s="569"/>
      <c r="GB335" s="569"/>
      <c r="GC335" s="569"/>
      <c r="GD335" s="569"/>
      <c r="GE335" s="569"/>
      <c r="GF335" s="569"/>
      <c r="GG335" s="569"/>
      <c r="GH335" s="569"/>
      <c r="GI335" s="569"/>
      <c r="GJ335" s="569"/>
      <c r="GK335" s="569"/>
      <c r="GL335" s="569"/>
      <c r="GM335" s="569"/>
      <c r="GN335" s="569"/>
      <c r="GO335" s="569"/>
      <c r="GP335" s="569"/>
      <c r="GQ335" s="569"/>
      <c r="GR335" s="569"/>
      <c r="GS335" s="569"/>
      <c r="GT335" s="569"/>
    </row>
    <row r="336" spans="2:202" s="554" customFormat="1" ht="18" customHeight="1">
      <c r="B336" s="569"/>
      <c r="C336" s="1152"/>
      <c r="D336" s="1152"/>
      <c r="E336" s="1152"/>
      <c r="F336" s="1152"/>
      <c r="G336" s="1152"/>
      <c r="H336" s="1152"/>
      <c r="I336" s="1152"/>
      <c r="J336" s="1152"/>
      <c r="K336" s="1152"/>
      <c r="L336" s="1152"/>
      <c r="M336" s="569"/>
      <c r="N336" s="569"/>
      <c r="O336" s="569"/>
      <c r="P336" s="569"/>
      <c r="Q336" s="569"/>
      <c r="R336" s="569"/>
      <c r="S336" s="569"/>
      <c r="T336" s="569"/>
      <c r="U336" s="569"/>
      <c r="V336" s="569"/>
      <c r="W336" s="569"/>
      <c r="X336" s="569"/>
      <c r="Y336" s="569"/>
      <c r="Z336" s="569"/>
      <c r="AA336" s="569"/>
      <c r="AB336" s="569"/>
      <c r="AC336" s="569"/>
      <c r="AD336" s="569"/>
      <c r="AE336" s="569"/>
      <c r="AF336" s="569"/>
      <c r="AG336" s="569"/>
      <c r="AH336" s="569"/>
      <c r="AI336" s="569"/>
      <c r="AJ336" s="569"/>
      <c r="AK336" s="569"/>
      <c r="AL336" s="569"/>
      <c r="AM336" s="569"/>
      <c r="AN336" s="569"/>
      <c r="AO336" s="569"/>
      <c r="AP336" s="569"/>
      <c r="AQ336" s="569"/>
      <c r="AR336" s="569"/>
      <c r="AS336" s="569"/>
      <c r="AT336" s="569"/>
      <c r="AU336" s="569"/>
      <c r="AV336" s="569"/>
      <c r="AW336" s="569"/>
      <c r="AX336" s="569"/>
      <c r="AY336" s="569"/>
      <c r="AZ336" s="569"/>
      <c r="BA336" s="569"/>
      <c r="BB336" s="569"/>
      <c r="BC336" s="569"/>
      <c r="BD336" s="569"/>
      <c r="BE336" s="569"/>
      <c r="BF336" s="569"/>
      <c r="BG336" s="569"/>
      <c r="BH336" s="569"/>
      <c r="BI336" s="569"/>
      <c r="BJ336" s="569"/>
      <c r="BK336" s="569"/>
      <c r="BL336" s="569"/>
      <c r="BM336" s="569"/>
      <c r="BN336" s="569"/>
      <c r="BO336" s="569"/>
      <c r="BP336" s="569"/>
      <c r="BQ336" s="569"/>
      <c r="BR336" s="569"/>
      <c r="BS336" s="569"/>
      <c r="BT336" s="569"/>
      <c r="BU336" s="569"/>
      <c r="BV336" s="569"/>
      <c r="BW336" s="569"/>
      <c r="BX336" s="569"/>
      <c r="BY336" s="569"/>
      <c r="BZ336" s="569"/>
      <c r="CA336" s="569"/>
      <c r="CB336" s="569"/>
      <c r="CC336" s="569"/>
      <c r="CD336" s="569"/>
      <c r="CE336" s="569"/>
      <c r="CF336" s="569"/>
      <c r="CG336" s="569"/>
      <c r="CH336" s="569"/>
      <c r="CI336" s="569"/>
      <c r="CJ336" s="569"/>
      <c r="CK336" s="569"/>
      <c r="CL336" s="569"/>
      <c r="CM336" s="569"/>
      <c r="CN336" s="569"/>
      <c r="CO336" s="569"/>
      <c r="CP336" s="569"/>
      <c r="CQ336" s="569"/>
      <c r="CR336" s="569"/>
      <c r="CS336" s="569"/>
      <c r="CT336" s="569"/>
      <c r="CU336" s="569"/>
      <c r="CV336" s="569"/>
      <c r="CW336" s="569"/>
      <c r="CX336" s="569"/>
      <c r="CY336" s="569"/>
      <c r="CZ336" s="569"/>
      <c r="DA336" s="569"/>
      <c r="DB336" s="569"/>
      <c r="DC336" s="569"/>
      <c r="DD336" s="569"/>
      <c r="DE336" s="569"/>
      <c r="DF336" s="569"/>
      <c r="DG336" s="569"/>
      <c r="DH336" s="569"/>
      <c r="DI336" s="569"/>
      <c r="DJ336" s="569"/>
      <c r="DK336" s="569"/>
      <c r="DL336" s="569"/>
      <c r="DM336" s="569"/>
      <c r="DN336" s="569"/>
      <c r="DO336" s="569"/>
      <c r="DP336" s="569"/>
      <c r="DQ336" s="569"/>
      <c r="DR336" s="569"/>
      <c r="DS336" s="569"/>
      <c r="DT336" s="569"/>
      <c r="DU336" s="569"/>
      <c r="DV336" s="569"/>
      <c r="DW336" s="569"/>
      <c r="DX336" s="569"/>
      <c r="DY336" s="569"/>
      <c r="DZ336" s="569"/>
      <c r="EA336" s="569"/>
      <c r="EB336" s="569"/>
      <c r="EC336" s="569"/>
      <c r="ED336" s="569"/>
      <c r="EE336" s="569"/>
      <c r="EF336" s="569"/>
      <c r="EG336" s="569"/>
      <c r="EH336" s="569"/>
      <c r="EI336" s="569"/>
      <c r="EJ336" s="569"/>
      <c r="EK336" s="569"/>
      <c r="EL336" s="569"/>
      <c r="EM336" s="569"/>
      <c r="EN336" s="569"/>
      <c r="EO336" s="569"/>
      <c r="EP336" s="569"/>
      <c r="EQ336" s="569"/>
      <c r="ER336" s="569"/>
      <c r="ES336" s="569"/>
      <c r="ET336" s="569"/>
      <c r="EU336" s="569"/>
      <c r="EV336" s="569"/>
      <c r="EW336" s="569"/>
      <c r="EX336" s="569"/>
      <c r="EY336" s="569"/>
      <c r="EZ336" s="569"/>
      <c r="FA336" s="569"/>
      <c r="FB336" s="569"/>
      <c r="FC336" s="569"/>
      <c r="FD336" s="569"/>
      <c r="FE336" s="569"/>
      <c r="FF336" s="569"/>
      <c r="FG336" s="569"/>
      <c r="FH336" s="569"/>
      <c r="FI336" s="569"/>
      <c r="FJ336" s="569"/>
      <c r="FK336" s="569"/>
      <c r="FL336" s="569"/>
      <c r="FM336" s="569"/>
      <c r="FN336" s="569"/>
      <c r="FO336" s="569"/>
      <c r="FP336" s="569"/>
      <c r="FQ336" s="569"/>
      <c r="FR336" s="569"/>
      <c r="FS336" s="569"/>
      <c r="FT336" s="569"/>
      <c r="FU336" s="569"/>
      <c r="FV336" s="569"/>
      <c r="FW336" s="569"/>
      <c r="FX336" s="569"/>
      <c r="FY336" s="569"/>
      <c r="FZ336" s="569"/>
      <c r="GA336" s="569"/>
      <c r="GB336" s="569"/>
      <c r="GC336" s="569"/>
      <c r="GD336" s="569"/>
      <c r="GE336" s="569"/>
      <c r="GF336" s="569"/>
      <c r="GG336" s="569"/>
      <c r="GH336" s="569"/>
      <c r="GI336" s="569"/>
      <c r="GJ336" s="569"/>
      <c r="GK336" s="569"/>
      <c r="GL336" s="569"/>
      <c r="GM336" s="569"/>
      <c r="GN336" s="569"/>
      <c r="GO336" s="569"/>
      <c r="GP336" s="569"/>
      <c r="GQ336" s="569"/>
      <c r="GR336" s="569"/>
      <c r="GS336" s="569"/>
      <c r="GT336" s="569"/>
    </row>
    <row r="337" spans="1:202" s="554" customFormat="1" ht="18" customHeight="1">
      <c r="B337" s="569"/>
      <c r="C337" s="1152"/>
      <c r="D337" s="1152"/>
      <c r="E337" s="1152"/>
      <c r="F337" s="1152"/>
      <c r="G337" s="1152"/>
      <c r="H337" s="1152"/>
      <c r="I337" s="1152"/>
      <c r="J337" s="1152"/>
      <c r="K337" s="1152"/>
      <c r="L337" s="1152"/>
      <c r="M337" s="569"/>
      <c r="N337" s="569"/>
      <c r="O337" s="569"/>
      <c r="P337" s="569"/>
      <c r="Q337" s="569"/>
      <c r="R337" s="569"/>
      <c r="S337" s="569"/>
      <c r="T337" s="569"/>
      <c r="U337" s="569"/>
      <c r="V337" s="569"/>
      <c r="W337" s="569"/>
      <c r="X337" s="569"/>
      <c r="Y337" s="569"/>
      <c r="Z337" s="569"/>
      <c r="AA337" s="569"/>
      <c r="AB337" s="569"/>
      <c r="AC337" s="569"/>
      <c r="AD337" s="569"/>
      <c r="AE337" s="569"/>
      <c r="AF337" s="569"/>
      <c r="AG337" s="569"/>
      <c r="AH337" s="569"/>
      <c r="AI337" s="569"/>
      <c r="AJ337" s="569"/>
      <c r="AK337" s="569"/>
      <c r="AL337" s="569"/>
      <c r="AM337" s="569"/>
      <c r="AN337" s="569"/>
      <c r="AO337" s="569"/>
      <c r="AP337" s="569"/>
      <c r="AQ337" s="569"/>
      <c r="AR337" s="569"/>
      <c r="AS337" s="569"/>
      <c r="AT337" s="569"/>
      <c r="AU337" s="569"/>
      <c r="AV337" s="569"/>
      <c r="AW337" s="569"/>
      <c r="AX337" s="569"/>
      <c r="AY337" s="569"/>
      <c r="AZ337" s="569"/>
      <c r="BA337" s="569"/>
      <c r="BB337" s="569"/>
      <c r="BC337" s="569"/>
      <c r="BD337" s="569"/>
      <c r="BE337" s="569"/>
      <c r="BF337" s="569"/>
      <c r="BG337" s="569"/>
      <c r="BH337" s="569"/>
      <c r="BI337" s="569"/>
      <c r="BJ337" s="569"/>
      <c r="BK337" s="569"/>
      <c r="BL337" s="569"/>
      <c r="BM337" s="569"/>
      <c r="BN337" s="569"/>
      <c r="BO337" s="569"/>
      <c r="BP337" s="569"/>
      <c r="BQ337" s="569"/>
      <c r="BR337" s="569"/>
      <c r="BS337" s="569"/>
      <c r="BT337" s="569"/>
      <c r="BU337" s="569"/>
      <c r="BV337" s="569"/>
      <c r="BW337" s="569"/>
      <c r="BX337" s="569"/>
      <c r="BY337" s="569"/>
      <c r="BZ337" s="569"/>
      <c r="CA337" s="569"/>
      <c r="CB337" s="569"/>
      <c r="CC337" s="569"/>
      <c r="CD337" s="569"/>
      <c r="CE337" s="569"/>
      <c r="CF337" s="569"/>
      <c r="CG337" s="569"/>
      <c r="CH337" s="569"/>
      <c r="CI337" s="569"/>
      <c r="CJ337" s="569"/>
      <c r="CK337" s="569"/>
      <c r="CL337" s="569"/>
      <c r="CM337" s="569"/>
      <c r="CN337" s="569"/>
      <c r="CO337" s="569"/>
      <c r="CP337" s="569"/>
      <c r="CQ337" s="569"/>
      <c r="CR337" s="569"/>
      <c r="CS337" s="569"/>
      <c r="CT337" s="569"/>
      <c r="CU337" s="569"/>
      <c r="CV337" s="569"/>
      <c r="CW337" s="569"/>
      <c r="CX337" s="569"/>
      <c r="CY337" s="569"/>
      <c r="CZ337" s="569"/>
      <c r="DA337" s="569"/>
      <c r="DB337" s="569"/>
      <c r="DC337" s="569"/>
      <c r="DD337" s="569"/>
      <c r="DE337" s="569"/>
      <c r="DF337" s="569"/>
      <c r="DG337" s="569"/>
      <c r="DH337" s="569"/>
      <c r="DI337" s="569"/>
      <c r="DJ337" s="569"/>
      <c r="DK337" s="569"/>
      <c r="DL337" s="569"/>
      <c r="DM337" s="569"/>
      <c r="DN337" s="569"/>
      <c r="DO337" s="569"/>
      <c r="DP337" s="569"/>
      <c r="DQ337" s="569"/>
      <c r="DR337" s="569"/>
      <c r="DS337" s="569"/>
      <c r="DT337" s="569"/>
      <c r="DU337" s="569"/>
      <c r="DV337" s="569"/>
      <c r="DW337" s="569"/>
      <c r="DX337" s="569"/>
      <c r="DY337" s="569"/>
      <c r="DZ337" s="569"/>
      <c r="EA337" s="569"/>
      <c r="EB337" s="569"/>
      <c r="EC337" s="569"/>
      <c r="ED337" s="569"/>
      <c r="EE337" s="569"/>
      <c r="EF337" s="569"/>
      <c r="EG337" s="569"/>
      <c r="EH337" s="569"/>
      <c r="EI337" s="569"/>
      <c r="EJ337" s="569"/>
      <c r="EK337" s="569"/>
      <c r="EL337" s="569"/>
      <c r="EM337" s="569"/>
      <c r="EN337" s="569"/>
      <c r="EO337" s="569"/>
      <c r="EP337" s="569"/>
      <c r="EQ337" s="569"/>
      <c r="ER337" s="569"/>
      <c r="ES337" s="569"/>
      <c r="ET337" s="569"/>
      <c r="EU337" s="569"/>
      <c r="EV337" s="569"/>
      <c r="EW337" s="569"/>
      <c r="EX337" s="569"/>
      <c r="EY337" s="569"/>
      <c r="EZ337" s="569"/>
      <c r="FA337" s="569"/>
      <c r="FB337" s="569"/>
      <c r="FC337" s="569"/>
      <c r="FD337" s="569"/>
      <c r="FE337" s="569"/>
      <c r="FF337" s="569"/>
      <c r="FG337" s="569"/>
      <c r="FH337" s="569"/>
      <c r="FI337" s="569"/>
      <c r="FJ337" s="569"/>
      <c r="FK337" s="569"/>
      <c r="FL337" s="569"/>
      <c r="FM337" s="569"/>
      <c r="FN337" s="569"/>
      <c r="FO337" s="569"/>
      <c r="FP337" s="569"/>
      <c r="FQ337" s="569"/>
      <c r="FR337" s="569"/>
      <c r="FS337" s="569"/>
      <c r="FT337" s="569"/>
      <c r="FU337" s="569"/>
      <c r="FV337" s="569"/>
      <c r="FW337" s="569"/>
      <c r="FX337" s="569"/>
      <c r="FY337" s="569"/>
      <c r="FZ337" s="569"/>
      <c r="GA337" s="569"/>
      <c r="GB337" s="569"/>
      <c r="GC337" s="569"/>
      <c r="GD337" s="569"/>
      <c r="GE337" s="569"/>
      <c r="GF337" s="569"/>
      <c r="GG337" s="569"/>
      <c r="GH337" s="569"/>
      <c r="GI337" s="569"/>
      <c r="GJ337" s="569"/>
      <c r="GK337" s="569"/>
      <c r="GL337" s="569"/>
      <c r="GM337" s="569"/>
      <c r="GN337" s="569"/>
      <c r="GO337" s="569"/>
      <c r="GP337" s="569"/>
      <c r="GQ337" s="569"/>
      <c r="GR337" s="569"/>
      <c r="GS337" s="569"/>
      <c r="GT337" s="569"/>
    </row>
    <row r="338" spans="1:202" s="554" customFormat="1" ht="18" customHeight="1">
      <c r="B338" s="569"/>
      <c r="C338" s="1152"/>
      <c r="D338" s="1152"/>
      <c r="E338" s="1152"/>
      <c r="F338" s="1152"/>
      <c r="G338" s="1152"/>
      <c r="H338" s="1152"/>
      <c r="I338" s="1152"/>
      <c r="J338" s="1152"/>
      <c r="K338" s="1152"/>
      <c r="L338" s="1152"/>
      <c r="M338" s="569"/>
      <c r="N338" s="569"/>
      <c r="O338" s="569"/>
      <c r="P338" s="569"/>
      <c r="Q338" s="569"/>
      <c r="R338" s="569"/>
      <c r="S338" s="569"/>
      <c r="T338" s="569"/>
      <c r="U338" s="569"/>
      <c r="V338" s="569"/>
      <c r="W338" s="569"/>
      <c r="X338" s="569"/>
      <c r="Y338" s="569"/>
      <c r="Z338" s="569"/>
      <c r="AA338" s="569"/>
      <c r="AB338" s="569"/>
      <c r="AC338" s="569"/>
      <c r="AD338" s="569"/>
      <c r="AE338" s="569"/>
      <c r="AF338" s="569"/>
      <c r="AG338" s="569"/>
      <c r="AH338" s="569"/>
      <c r="AI338" s="569"/>
      <c r="AJ338" s="569"/>
      <c r="AK338" s="569"/>
      <c r="AL338" s="569"/>
      <c r="AM338" s="569"/>
      <c r="AN338" s="569"/>
      <c r="AO338" s="569"/>
      <c r="AP338" s="569"/>
      <c r="AQ338" s="569"/>
      <c r="AR338" s="569"/>
      <c r="AS338" s="569"/>
      <c r="AT338" s="569"/>
      <c r="AU338" s="569"/>
      <c r="AV338" s="569"/>
      <c r="AW338" s="569"/>
      <c r="AX338" s="569"/>
      <c r="AY338" s="569"/>
      <c r="AZ338" s="569"/>
      <c r="BA338" s="569"/>
      <c r="BB338" s="569"/>
      <c r="BC338" s="569"/>
      <c r="BD338" s="569"/>
      <c r="BE338" s="569"/>
      <c r="BF338" s="569"/>
      <c r="BG338" s="569"/>
      <c r="BH338" s="569"/>
      <c r="BI338" s="569"/>
      <c r="BJ338" s="569"/>
      <c r="BK338" s="569"/>
      <c r="BL338" s="569"/>
      <c r="BM338" s="569"/>
      <c r="BN338" s="569"/>
      <c r="BO338" s="569"/>
      <c r="BP338" s="569"/>
      <c r="BQ338" s="569"/>
      <c r="BR338" s="569"/>
      <c r="BS338" s="569"/>
      <c r="BT338" s="569"/>
      <c r="BU338" s="569"/>
      <c r="BV338" s="569"/>
      <c r="BW338" s="569"/>
      <c r="BX338" s="569"/>
      <c r="BY338" s="569"/>
      <c r="BZ338" s="569"/>
      <c r="CA338" s="569"/>
      <c r="CB338" s="569"/>
      <c r="CC338" s="569"/>
      <c r="CD338" s="569"/>
      <c r="CE338" s="569"/>
      <c r="CF338" s="569"/>
      <c r="CG338" s="569"/>
      <c r="CH338" s="569"/>
      <c r="CI338" s="569"/>
      <c r="CJ338" s="569"/>
      <c r="CK338" s="569"/>
      <c r="CL338" s="569"/>
      <c r="CM338" s="569"/>
      <c r="CN338" s="569"/>
      <c r="CO338" s="569"/>
      <c r="CP338" s="569"/>
      <c r="CQ338" s="569"/>
      <c r="CR338" s="569"/>
      <c r="CS338" s="569"/>
      <c r="CT338" s="569"/>
      <c r="CU338" s="569"/>
      <c r="CV338" s="569"/>
      <c r="CW338" s="569"/>
      <c r="CX338" s="569"/>
      <c r="CY338" s="569"/>
      <c r="CZ338" s="569"/>
      <c r="DA338" s="569"/>
      <c r="DB338" s="569"/>
      <c r="DC338" s="569"/>
      <c r="DD338" s="569"/>
      <c r="DE338" s="569"/>
      <c r="DF338" s="569"/>
      <c r="DG338" s="569"/>
      <c r="DH338" s="569"/>
      <c r="DI338" s="569"/>
      <c r="DJ338" s="569"/>
      <c r="DK338" s="569"/>
      <c r="DL338" s="569"/>
      <c r="DM338" s="569"/>
      <c r="DN338" s="569"/>
      <c r="DO338" s="569"/>
      <c r="DP338" s="569"/>
      <c r="DQ338" s="569"/>
      <c r="DR338" s="569"/>
      <c r="DS338" s="569"/>
      <c r="DT338" s="569"/>
      <c r="DU338" s="569"/>
      <c r="DV338" s="569"/>
      <c r="DW338" s="569"/>
      <c r="DX338" s="569"/>
      <c r="DY338" s="569"/>
      <c r="DZ338" s="569"/>
      <c r="EA338" s="569"/>
      <c r="EB338" s="569"/>
      <c r="EC338" s="569"/>
      <c r="ED338" s="569"/>
      <c r="EE338" s="569"/>
      <c r="EF338" s="569"/>
      <c r="EG338" s="569"/>
      <c r="EH338" s="569"/>
      <c r="EI338" s="569"/>
      <c r="EJ338" s="569"/>
      <c r="EK338" s="569"/>
      <c r="EL338" s="569"/>
      <c r="EM338" s="569"/>
      <c r="EN338" s="569"/>
      <c r="EO338" s="569"/>
      <c r="EP338" s="569"/>
      <c r="EQ338" s="569"/>
      <c r="ER338" s="569"/>
      <c r="ES338" s="569"/>
      <c r="ET338" s="569"/>
      <c r="EU338" s="569"/>
      <c r="EV338" s="569"/>
      <c r="EW338" s="569"/>
      <c r="EX338" s="569"/>
      <c r="EY338" s="569"/>
      <c r="EZ338" s="569"/>
      <c r="FA338" s="569"/>
      <c r="FB338" s="569"/>
      <c r="FC338" s="569"/>
      <c r="FD338" s="569"/>
      <c r="FE338" s="569"/>
      <c r="FF338" s="569"/>
      <c r="FG338" s="569"/>
      <c r="FH338" s="569"/>
      <c r="FI338" s="569"/>
      <c r="FJ338" s="569"/>
      <c r="FK338" s="569"/>
      <c r="FL338" s="569"/>
      <c r="FM338" s="569"/>
      <c r="FN338" s="569"/>
      <c r="FO338" s="569"/>
      <c r="FP338" s="569"/>
      <c r="FQ338" s="569"/>
      <c r="FR338" s="569"/>
      <c r="FS338" s="569"/>
      <c r="FT338" s="569"/>
      <c r="FU338" s="569"/>
      <c r="FV338" s="569"/>
      <c r="FW338" s="569"/>
      <c r="FX338" s="569"/>
      <c r="FY338" s="569"/>
      <c r="FZ338" s="569"/>
      <c r="GA338" s="569"/>
      <c r="GB338" s="569"/>
      <c r="GC338" s="569"/>
      <c r="GD338" s="569"/>
      <c r="GE338" s="569"/>
      <c r="GF338" s="569"/>
      <c r="GG338" s="569"/>
      <c r="GH338" s="569"/>
      <c r="GI338" s="569"/>
      <c r="GJ338" s="569"/>
      <c r="GK338" s="569"/>
      <c r="GL338" s="569"/>
      <c r="GM338" s="569"/>
      <c r="GN338" s="569"/>
      <c r="GO338" s="569"/>
      <c r="GP338" s="569"/>
      <c r="GQ338" s="569"/>
      <c r="GR338" s="569"/>
      <c r="GS338" s="569"/>
      <c r="GT338" s="569"/>
    </row>
    <row r="339" spans="1:202" s="554" customFormat="1" ht="18" customHeight="1">
      <c r="B339" s="569"/>
      <c r="C339" s="1152"/>
      <c r="D339" s="1152"/>
      <c r="E339" s="1152"/>
      <c r="F339" s="1152"/>
      <c r="G339" s="1152"/>
      <c r="H339" s="1152"/>
      <c r="I339" s="1152"/>
      <c r="J339" s="1152"/>
      <c r="K339" s="1152"/>
      <c r="L339" s="1152"/>
      <c r="M339" s="569"/>
      <c r="N339" s="569"/>
      <c r="O339" s="569"/>
      <c r="P339" s="569"/>
      <c r="Q339" s="569"/>
      <c r="R339" s="569"/>
      <c r="S339" s="569"/>
      <c r="T339" s="569"/>
      <c r="U339" s="569"/>
      <c r="V339" s="569"/>
      <c r="W339" s="569"/>
      <c r="X339" s="569"/>
      <c r="Y339" s="569"/>
      <c r="Z339" s="569"/>
      <c r="AA339" s="569"/>
      <c r="AB339" s="569"/>
      <c r="AC339" s="569"/>
      <c r="AD339" s="569"/>
      <c r="AE339" s="569"/>
      <c r="AF339" s="569"/>
      <c r="AG339" s="569"/>
      <c r="AH339" s="569"/>
      <c r="AI339" s="569"/>
      <c r="AJ339" s="569"/>
      <c r="AK339" s="569"/>
      <c r="AL339" s="569"/>
      <c r="AM339" s="569"/>
      <c r="AN339" s="569"/>
      <c r="AO339" s="569"/>
      <c r="AP339" s="569"/>
      <c r="AQ339" s="569"/>
      <c r="AR339" s="569"/>
      <c r="AS339" s="569"/>
      <c r="AT339" s="569"/>
      <c r="AU339" s="569"/>
      <c r="AV339" s="569"/>
      <c r="AW339" s="569"/>
      <c r="AX339" s="569"/>
      <c r="AY339" s="569"/>
      <c r="AZ339" s="569"/>
      <c r="BA339" s="569"/>
      <c r="BB339" s="569"/>
      <c r="BC339" s="569"/>
      <c r="BD339" s="569"/>
      <c r="BE339" s="569"/>
      <c r="BF339" s="569"/>
      <c r="BG339" s="569"/>
      <c r="BH339" s="569"/>
      <c r="BI339" s="569"/>
      <c r="BJ339" s="569"/>
      <c r="BK339" s="569"/>
      <c r="BL339" s="569"/>
      <c r="BM339" s="569"/>
      <c r="BN339" s="569"/>
      <c r="BO339" s="569"/>
      <c r="BP339" s="569"/>
      <c r="BQ339" s="569"/>
      <c r="BR339" s="569"/>
      <c r="BS339" s="569"/>
      <c r="BT339" s="569"/>
      <c r="BU339" s="569"/>
      <c r="BV339" s="569"/>
      <c r="BW339" s="569"/>
      <c r="BX339" s="569"/>
      <c r="BY339" s="569"/>
      <c r="BZ339" s="569"/>
      <c r="CA339" s="569"/>
      <c r="CB339" s="569"/>
      <c r="CC339" s="569"/>
      <c r="CD339" s="569"/>
      <c r="CE339" s="569"/>
      <c r="CF339" s="569"/>
      <c r="CG339" s="569"/>
      <c r="CH339" s="569"/>
      <c r="CI339" s="569"/>
      <c r="CJ339" s="569"/>
      <c r="CK339" s="569"/>
      <c r="CL339" s="569"/>
      <c r="CM339" s="569"/>
      <c r="CN339" s="569"/>
      <c r="CO339" s="569"/>
      <c r="CP339" s="569"/>
      <c r="CQ339" s="569"/>
      <c r="CR339" s="569"/>
      <c r="CS339" s="569"/>
      <c r="CT339" s="569"/>
      <c r="CU339" s="569"/>
      <c r="CV339" s="569"/>
      <c r="CW339" s="569"/>
      <c r="CX339" s="569"/>
      <c r="CY339" s="569"/>
      <c r="CZ339" s="569"/>
      <c r="DA339" s="569"/>
      <c r="DB339" s="569"/>
      <c r="DC339" s="569"/>
      <c r="DD339" s="569"/>
      <c r="DE339" s="569"/>
      <c r="DF339" s="569"/>
      <c r="DG339" s="569"/>
      <c r="DH339" s="569"/>
      <c r="DI339" s="569"/>
      <c r="DJ339" s="569"/>
      <c r="DK339" s="569"/>
      <c r="DL339" s="569"/>
      <c r="DM339" s="569"/>
      <c r="DN339" s="569"/>
      <c r="DO339" s="569"/>
      <c r="DP339" s="569"/>
      <c r="DQ339" s="569"/>
      <c r="DR339" s="569"/>
      <c r="DS339" s="569"/>
      <c r="DT339" s="569"/>
      <c r="DU339" s="569"/>
      <c r="DV339" s="569"/>
      <c r="DW339" s="569"/>
      <c r="DX339" s="569"/>
      <c r="DY339" s="569"/>
      <c r="DZ339" s="569"/>
      <c r="EA339" s="569"/>
      <c r="EB339" s="569"/>
      <c r="EC339" s="569"/>
      <c r="ED339" s="569"/>
      <c r="EE339" s="569"/>
      <c r="EF339" s="569"/>
      <c r="EG339" s="569"/>
      <c r="EH339" s="569"/>
      <c r="EI339" s="569"/>
      <c r="EJ339" s="569"/>
      <c r="EK339" s="569"/>
      <c r="EL339" s="569"/>
      <c r="EM339" s="569"/>
      <c r="EN339" s="569"/>
      <c r="EO339" s="569"/>
      <c r="EP339" s="569"/>
      <c r="EQ339" s="569"/>
      <c r="ER339" s="569"/>
      <c r="ES339" s="569"/>
      <c r="ET339" s="569"/>
      <c r="EU339" s="569"/>
      <c r="EV339" s="569"/>
      <c r="EW339" s="569"/>
      <c r="EX339" s="569"/>
      <c r="EY339" s="569"/>
      <c r="EZ339" s="569"/>
      <c r="FA339" s="569"/>
      <c r="FB339" s="569"/>
      <c r="FC339" s="569"/>
      <c r="FD339" s="569"/>
      <c r="FE339" s="569"/>
      <c r="FF339" s="569"/>
      <c r="FG339" s="569"/>
      <c r="FH339" s="569"/>
      <c r="FI339" s="569"/>
      <c r="FJ339" s="569"/>
      <c r="FK339" s="569"/>
      <c r="FL339" s="569"/>
      <c r="FM339" s="569"/>
      <c r="FN339" s="569"/>
      <c r="FO339" s="569"/>
      <c r="FP339" s="569"/>
      <c r="FQ339" s="569"/>
      <c r="FR339" s="569"/>
      <c r="FS339" s="569"/>
      <c r="FT339" s="569"/>
      <c r="FU339" s="569"/>
      <c r="FV339" s="569"/>
      <c r="FW339" s="569"/>
      <c r="FX339" s="569"/>
      <c r="FY339" s="569"/>
      <c r="FZ339" s="569"/>
      <c r="GA339" s="569"/>
      <c r="GB339" s="569"/>
      <c r="GC339" s="569"/>
      <c r="GD339" s="569"/>
      <c r="GE339" s="569"/>
      <c r="GF339" s="569"/>
      <c r="GG339" s="569"/>
      <c r="GH339" s="569"/>
      <c r="GI339" s="569"/>
      <c r="GJ339" s="569"/>
      <c r="GK339" s="569"/>
      <c r="GL339" s="569"/>
      <c r="GM339" s="569"/>
      <c r="GN339" s="569"/>
      <c r="GO339" s="569"/>
      <c r="GP339" s="569"/>
      <c r="GQ339" s="569"/>
      <c r="GR339" s="569"/>
      <c r="GS339" s="569"/>
      <c r="GT339" s="569"/>
    </row>
    <row r="340" spans="1:202" s="554" customFormat="1" ht="18" customHeight="1">
      <c r="B340" s="569"/>
      <c r="C340" s="1152"/>
      <c r="D340" s="1152"/>
      <c r="E340" s="1152"/>
      <c r="F340" s="1152"/>
      <c r="G340" s="1152"/>
      <c r="H340" s="1152"/>
      <c r="I340" s="1152"/>
      <c r="J340" s="1152"/>
      <c r="K340" s="1152"/>
      <c r="L340" s="1152"/>
      <c r="M340" s="569"/>
      <c r="N340" s="569"/>
      <c r="O340" s="569"/>
      <c r="P340" s="569"/>
      <c r="Q340" s="569"/>
      <c r="R340" s="569"/>
      <c r="S340" s="569"/>
      <c r="T340" s="569"/>
      <c r="U340" s="569"/>
      <c r="V340" s="569"/>
      <c r="W340" s="569"/>
      <c r="X340" s="569"/>
      <c r="Y340" s="569"/>
      <c r="Z340" s="569"/>
      <c r="AA340" s="569"/>
      <c r="AB340" s="569"/>
      <c r="AC340" s="569"/>
      <c r="AD340" s="569"/>
      <c r="AE340" s="569"/>
      <c r="AF340" s="569"/>
      <c r="AG340" s="569"/>
      <c r="AH340" s="569"/>
      <c r="AI340" s="569"/>
      <c r="AJ340" s="569"/>
      <c r="AK340" s="569"/>
      <c r="AL340" s="569"/>
      <c r="AM340" s="569"/>
      <c r="AN340" s="569"/>
      <c r="AO340" s="569"/>
      <c r="AP340" s="569"/>
      <c r="AQ340" s="569"/>
      <c r="AR340" s="569"/>
      <c r="AS340" s="569"/>
      <c r="AT340" s="569"/>
      <c r="AU340" s="569"/>
      <c r="AV340" s="569"/>
      <c r="AW340" s="569"/>
      <c r="AX340" s="569"/>
      <c r="AY340" s="569"/>
      <c r="AZ340" s="569"/>
      <c r="BA340" s="569"/>
      <c r="BB340" s="569"/>
      <c r="BC340" s="569"/>
      <c r="BD340" s="569"/>
      <c r="BE340" s="569"/>
      <c r="BF340" s="569"/>
      <c r="BG340" s="569"/>
      <c r="BH340" s="569"/>
      <c r="BI340" s="569"/>
      <c r="BJ340" s="569"/>
      <c r="BK340" s="569"/>
      <c r="BL340" s="569"/>
      <c r="BM340" s="569"/>
      <c r="BN340" s="569"/>
      <c r="BO340" s="569"/>
      <c r="BP340" s="569"/>
      <c r="BQ340" s="569"/>
      <c r="BR340" s="569"/>
      <c r="BS340" s="569"/>
      <c r="BT340" s="569"/>
      <c r="BU340" s="569"/>
      <c r="BV340" s="569"/>
      <c r="BW340" s="569"/>
      <c r="BX340" s="569"/>
      <c r="BY340" s="569"/>
      <c r="BZ340" s="569"/>
      <c r="CA340" s="569"/>
      <c r="CB340" s="569"/>
      <c r="CC340" s="569"/>
      <c r="CD340" s="569"/>
      <c r="CE340" s="569"/>
      <c r="CF340" s="569"/>
      <c r="CG340" s="569"/>
      <c r="CH340" s="569"/>
      <c r="CI340" s="569"/>
      <c r="CJ340" s="569"/>
      <c r="CK340" s="569"/>
      <c r="CL340" s="569"/>
      <c r="CM340" s="569"/>
      <c r="CN340" s="569"/>
      <c r="CO340" s="569"/>
      <c r="CP340" s="569"/>
      <c r="CQ340" s="569"/>
      <c r="CR340" s="569"/>
      <c r="CS340" s="569"/>
      <c r="CT340" s="569"/>
      <c r="CU340" s="569"/>
      <c r="CV340" s="569"/>
      <c r="CW340" s="569"/>
      <c r="CX340" s="569"/>
      <c r="CY340" s="569"/>
      <c r="CZ340" s="569"/>
      <c r="DA340" s="569"/>
      <c r="DB340" s="569"/>
      <c r="DC340" s="569"/>
      <c r="DD340" s="569"/>
      <c r="DE340" s="569"/>
      <c r="DF340" s="569"/>
      <c r="DG340" s="569"/>
      <c r="DH340" s="569"/>
      <c r="DI340" s="569"/>
      <c r="DJ340" s="569"/>
      <c r="DK340" s="569"/>
      <c r="DL340" s="569"/>
      <c r="DM340" s="569"/>
      <c r="DN340" s="569"/>
      <c r="DO340" s="569"/>
      <c r="DP340" s="569"/>
      <c r="DQ340" s="569"/>
      <c r="DR340" s="569"/>
      <c r="DS340" s="569"/>
      <c r="DT340" s="569"/>
      <c r="DU340" s="569"/>
      <c r="DV340" s="569"/>
      <c r="DW340" s="569"/>
      <c r="DX340" s="569"/>
      <c r="DY340" s="569"/>
      <c r="DZ340" s="569"/>
      <c r="EA340" s="569"/>
      <c r="EB340" s="569"/>
      <c r="EC340" s="569"/>
      <c r="ED340" s="569"/>
      <c r="EE340" s="569"/>
      <c r="EF340" s="569"/>
      <c r="EG340" s="569"/>
      <c r="EH340" s="569"/>
      <c r="EI340" s="569"/>
      <c r="EJ340" s="569"/>
      <c r="EK340" s="569"/>
      <c r="EL340" s="569"/>
      <c r="EM340" s="569"/>
      <c r="EN340" s="569"/>
      <c r="EO340" s="569"/>
      <c r="EP340" s="569"/>
      <c r="EQ340" s="569"/>
      <c r="ER340" s="569"/>
      <c r="ES340" s="569"/>
      <c r="ET340" s="569"/>
      <c r="EU340" s="569"/>
      <c r="EV340" s="569"/>
      <c r="EW340" s="569"/>
      <c r="EX340" s="569"/>
      <c r="EY340" s="569"/>
      <c r="EZ340" s="569"/>
      <c r="FA340" s="569"/>
      <c r="FB340" s="569"/>
      <c r="FC340" s="569"/>
      <c r="FD340" s="569"/>
      <c r="FE340" s="569"/>
      <c r="FF340" s="569"/>
      <c r="FG340" s="569"/>
      <c r="FH340" s="569"/>
      <c r="FI340" s="569"/>
      <c r="FJ340" s="569"/>
      <c r="FK340" s="569"/>
      <c r="FL340" s="569"/>
      <c r="FM340" s="569"/>
      <c r="FN340" s="569"/>
      <c r="FO340" s="569"/>
      <c r="FP340" s="569"/>
      <c r="FQ340" s="569"/>
      <c r="FR340" s="569"/>
      <c r="FS340" s="569"/>
      <c r="FT340" s="569"/>
      <c r="FU340" s="569"/>
      <c r="FV340" s="569"/>
      <c r="FW340" s="569"/>
      <c r="FX340" s="569"/>
      <c r="FY340" s="569"/>
      <c r="FZ340" s="569"/>
      <c r="GA340" s="569"/>
      <c r="GB340" s="569"/>
      <c r="GC340" s="569"/>
      <c r="GD340" s="569"/>
      <c r="GE340" s="569"/>
      <c r="GF340" s="569"/>
      <c r="GG340" s="569"/>
      <c r="GH340" s="569"/>
      <c r="GI340" s="569"/>
      <c r="GJ340" s="569"/>
      <c r="GK340" s="569"/>
      <c r="GL340" s="569"/>
      <c r="GM340" s="569"/>
      <c r="GN340" s="569"/>
      <c r="GO340" s="569"/>
      <c r="GP340" s="569"/>
      <c r="GQ340" s="569"/>
      <c r="GR340" s="569"/>
      <c r="GS340" s="569"/>
      <c r="GT340" s="569"/>
    </row>
    <row r="341" spans="1:202" s="554" customFormat="1" ht="18" customHeight="1">
      <c r="B341" s="569"/>
      <c r="C341" s="1152"/>
      <c r="D341" s="1152"/>
      <c r="E341" s="1152"/>
      <c r="F341" s="1152"/>
      <c r="G341" s="1152"/>
      <c r="H341" s="1152"/>
      <c r="I341" s="1152"/>
      <c r="J341" s="1152"/>
      <c r="K341" s="1152"/>
      <c r="L341" s="1152"/>
      <c r="M341" s="569"/>
      <c r="N341" s="569"/>
      <c r="O341" s="569"/>
      <c r="P341" s="569"/>
      <c r="Q341" s="569"/>
      <c r="R341" s="569"/>
      <c r="S341" s="569"/>
      <c r="T341" s="569"/>
      <c r="U341" s="569"/>
      <c r="V341" s="569"/>
      <c r="W341" s="569"/>
      <c r="X341" s="569"/>
      <c r="Y341" s="569"/>
      <c r="Z341" s="569"/>
      <c r="AA341" s="569"/>
      <c r="AB341" s="569"/>
      <c r="AC341" s="569"/>
      <c r="AD341" s="569"/>
      <c r="AE341" s="569"/>
      <c r="AF341" s="569"/>
      <c r="AG341" s="569"/>
      <c r="AH341" s="569"/>
      <c r="AI341" s="569"/>
      <c r="AJ341" s="569"/>
      <c r="AK341" s="569"/>
      <c r="AL341" s="569"/>
      <c r="AM341" s="569"/>
      <c r="AN341" s="569"/>
      <c r="AO341" s="569"/>
      <c r="AP341" s="569"/>
      <c r="AQ341" s="569"/>
      <c r="AR341" s="569"/>
      <c r="AS341" s="569"/>
      <c r="AT341" s="569"/>
      <c r="AU341" s="569"/>
      <c r="AV341" s="569"/>
      <c r="AW341" s="569"/>
      <c r="AX341" s="569"/>
      <c r="AY341" s="569"/>
      <c r="AZ341" s="569"/>
      <c r="BA341" s="569"/>
      <c r="BB341" s="569"/>
      <c r="BC341" s="569"/>
      <c r="BD341" s="569"/>
      <c r="BE341" s="569"/>
      <c r="BF341" s="569"/>
      <c r="BG341" s="569"/>
      <c r="BH341" s="569"/>
      <c r="BI341" s="569"/>
      <c r="BJ341" s="569"/>
      <c r="BK341" s="569"/>
      <c r="BL341" s="569"/>
      <c r="BM341" s="569"/>
      <c r="BN341" s="569"/>
      <c r="BO341" s="569"/>
      <c r="BP341" s="569"/>
      <c r="BQ341" s="569"/>
      <c r="BR341" s="569"/>
      <c r="BS341" s="569"/>
      <c r="BT341" s="569"/>
      <c r="BU341" s="569"/>
      <c r="BV341" s="569"/>
      <c r="BW341" s="569"/>
      <c r="BX341" s="569"/>
      <c r="BY341" s="569"/>
      <c r="BZ341" s="569"/>
      <c r="CA341" s="569"/>
      <c r="CB341" s="569"/>
      <c r="CC341" s="569"/>
      <c r="CD341" s="569"/>
      <c r="CE341" s="569"/>
      <c r="CF341" s="569"/>
      <c r="CG341" s="569"/>
      <c r="CH341" s="569"/>
      <c r="CI341" s="569"/>
      <c r="CJ341" s="569"/>
      <c r="CK341" s="569"/>
      <c r="CL341" s="569"/>
      <c r="CM341" s="569"/>
      <c r="CN341" s="569"/>
      <c r="CO341" s="569"/>
      <c r="CP341" s="569"/>
      <c r="CQ341" s="569"/>
      <c r="CR341" s="569"/>
      <c r="CS341" s="569"/>
      <c r="CT341" s="569"/>
      <c r="CU341" s="569"/>
      <c r="CV341" s="569"/>
      <c r="CW341" s="569"/>
      <c r="CX341" s="569"/>
      <c r="CY341" s="569"/>
      <c r="CZ341" s="569"/>
      <c r="DA341" s="569"/>
      <c r="DB341" s="569"/>
      <c r="DC341" s="569"/>
      <c r="DD341" s="569"/>
      <c r="DE341" s="569"/>
      <c r="DF341" s="569"/>
      <c r="DG341" s="569"/>
      <c r="DH341" s="569"/>
      <c r="DI341" s="569"/>
      <c r="DJ341" s="569"/>
      <c r="DK341" s="569"/>
      <c r="DL341" s="569"/>
      <c r="DM341" s="569"/>
      <c r="DN341" s="569"/>
      <c r="DO341" s="569"/>
      <c r="DP341" s="569"/>
      <c r="DQ341" s="569"/>
      <c r="DR341" s="569"/>
      <c r="DS341" s="569"/>
      <c r="DT341" s="569"/>
      <c r="DU341" s="569"/>
      <c r="DV341" s="569"/>
      <c r="DW341" s="569"/>
      <c r="DX341" s="569"/>
      <c r="DY341" s="569"/>
      <c r="DZ341" s="569"/>
      <c r="EA341" s="569"/>
      <c r="EB341" s="569"/>
      <c r="EC341" s="569"/>
      <c r="ED341" s="569"/>
      <c r="EE341" s="569"/>
      <c r="EF341" s="569"/>
      <c r="EG341" s="569"/>
      <c r="EH341" s="569"/>
      <c r="EI341" s="569"/>
      <c r="EJ341" s="569"/>
      <c r="EK341" s="569"/>
      <c r="EL341" s="569"/>
      <c r="EM341" s="569"/>
      <c r="EN341" s="569"/>
      <c r="EO341" s="569"/>
      <c r="EP341" s="569"/>
      <c r="EQ341" s="569"/>
      <c r="ER341" s="569"/>
      <c r="ES341" s="569"/>
      <c r="ET341" s="569"/>
      <c r="EU341" s="569"/>
      <c r="EV341" s="569"/>
      <c r="EW341" s="569"/>
      <c r="EX341" s="569"/>
      <c r="EY341" s="569"/>
      <c r="EZ341" s="569"/>
      <c r="FA341" s="569"/>
      <c r="FB341" s="569"/>
      <c r="FC341" s="569"/>
      <c r="FD341" s="569"/>
      <c r="FE341" s="569"/>
      <c r="FF341" s="569"/>
      <c r="FG341" s="569"/>
      <c r="FH341" s="569"/>
      <c r="FI341" s="569"/>
      <c r="FJ341" s="569"/>
      <c r="FK341" s="569"/>
      <c r="FL341" s="569"/>
      <c r="FM341" s="569"/>
      <c r="FN341" s="569"/>
      <c r="FO341" s="569"/>
      <c r="FP341" s="569"/>
      <c r="FQ341" s="569"/>
      <c r="FR341" s="569"/>
      <c r="FS341" s="569"/>
      <c r="FT341" s="569"/>
      <c r="FU341" s="569"/>
      <c r="FV341" s="569"/>
      <c r="FW341" s="569"/>
      <c r="FX341" s="569"/>
      <c r="FY341" s="569"/>
      <c r="FZ341" s="569"/>
      <c r="GA341" s="569"/>
      <c r="GB341" s="569"/>
      <c r="GC341" s="569"/>
      <c r="GD341" s="569"/>
      <c r="GE341" s="569"/>
      <c r="GF341" s="569"/>
      <c r="GG341" s="569"/>
      <c r="GH341" s="569"/>
      <c r="GI341" s="569"/>
      <c r="GJ341" s="569"/>
      <c r="GK341" s="569"/>
      <c r="GL341" s="569"/>
      <c r="GM341" s="569"/>
      <c r="GN341" s="569"/>
      <c r="GO341" s="569"/>
      <c r="GP341" s="569"/>
      <c r="GQ341" s="569"/>
      <c r="GR341" s="569"/>
      <c r="GS341" s="569"/>
      <c r="GT341" s="569"/>
    </row>
    <row r="342" spans="1:202" s="554" customFormat="1" ht="18" customHeight="1">
      <c r="B342" s="569"/>
      <c r="C342" s="1152"/>
      <c r="D342" s="1152"/>
      <c r="E342" s="1152"/>
      <c r="F342" s="1152"/>
      <c r="G342" s="1152"/>
      <c r="H342" s="1152"/>
      <c r="I342" s="1152"/>
      <c r="J342" s="1152"/>
      <c r="K342" s="1152"/>
      <c r="L342" s="1152"/>
      <c r="M342" s="569"/>
      <c r="N342" s="569"/>
      <c r="O342" s="569"/>
      <c r="P342" s="569"/>
      <c r="Q342" s="569"/>
      <c r="R342" s="569"/>
      <c r="S342" s="569"/>
      <c r="T342" s="569"/>
      <c r="U342" s="569"/>
      <c r="V342" s="569"/>
      <c r="W342" s="569"/>
      <c r="X342" s="569"/>
      <c r="Y342" s="569"/>
      <c r="Z342" s="569"/>
      <c r="AA342" s="569"/>
      <c r="AB342" s="569"/>
      <c r="AC342" s="569"/>
      <c r="AD342" s="569"/>
      <c r="AE342" s="569"/>
      <c r="AF342" s="569"/>
      <c r="AG342" s="569"/>
      <c r="AH342" s="569"/>
      <c r="AI342" s="569"/>
      <c r="AJ342" s="569"/>
      <c r="AK342" s="569"/>
      <c r="AL342" s="569"/>
      <c r="AM342" s="569"/>
      <c r="AN342" s="569"/>
      <c r="AO342" s="569"/>
      <c r="AP342" s="569"/>
      <c r="AQ342" s="569"/>
      <c r="AR342" s="569"/>
      <c r="AS342" s="569"/>
      <c r="AT342" s="569"/>
      <c r="AU342" s="569"/>
      <c r="AV342" s="569"/>
      <c r="AW342" s="569"/>
      <c r="AX342" s="569"/>
      <c r="AY342" s="569"/>
      <c r="AZ342" s="569"/>
      <c r="BA342" s="569"/>
      <c r="BB342" s="569"/>
      <c r="BC342" s="569"/>
      <c r="BD342" s="569"/>
      <c r="BE342" s="569"/>
      <c r="BF342" s="569"/>
      <c r="BG342" s="569"/>
      <c r="BH342" s="569"/>
      <c r="BI342" s="569"/>
      <c r="BJ342" s="569"/>
      <c r="BK342" s="569"/>
      <c r="BL342" s="569"/>
      <c r="BM342" s="569"/>
      <c r="BN342" s="569"/>
      <c r="BO342" s="569"/>
      <c r="BP342" s="569"/>
      <c r="BQ342" s="569"/>
      <c r="BR342" s="569"/>
      <c r="BS342" s="569"/>
      <c r="BT342" s="569"/>
      <c r="BU342" s="569"/>
      <c r="BV342" s="569"/>
      <c r="BW342" s="569"/>
      <c r="BX342" s="569"/>
      <c r="BY342" s="569"/>
      <c r="BZ342" s="569"/>
      <c r="CA342" s="569"/>
      <c r="CB342" s="569"/>
      <c r="CC342" s="569"/>
      <c r="CD342" s="569"/>
      <c r="CE342" s="569"/>
      <c r="CF342" s="569"/>
      <c r="CG342" s="569"/>
      <c r="CH342" s="569"/>
      <c r="CI342" s="569"/>
      <c r="CJ342" s="569"/>
      <c r="CK342" s="569"/>
      <c r="CL342" s="569"/>
      <c r="CM342" s="569"/>
      <c r="CN342" s="569"/>
      <c r="CO342" s="569"/>
      <c r="CP342" s="569"/>
      <c r="CQ342" s="569"/>
      <c r="CR342" s="569"/>
      <c r="CS342" s="569"/>
      <c r="CT342" s="569"/>
      <c r="CU342" s="569"/>
      <c r="CV342" s="569"/>
      <c r="CW342" s="569"/>
      <c r="CX342" s="569"/>
      <c r="CY342" s="569"/>
      <c r="CZ342" s="569"/>
      <c r="DA342" s="569"/>
      <c r="DB342" s="569"/>
      <c r="DC342" s="569"/>
      <c r="DD342" s="569"/>
      <c r="DE342" s="569"/>
      <c r="DF342" s="569"/>
      <c r="DG342" s="569"/>
      <c r="DH342" s="569"/>
      <c r="DI342" s="569"/>
      <c r="DJ342" s="569"/>
      <c r="DK342" s="569"/>
      <c r="DL342" s="569"/>
      <c r="DM342" s="569"/>
      <c r="DN342" s="569"/>
      <c r="DO342" s="569"/>
      <c r="DP342" s="569"/>
      <c r="DQ342" s="569"/>
      <c r="DR342" s="569"/>
      <c r="DS342" s="569"/>
      <c r="DT342" s="569"/>
      <c r="DU342" s="569"/>
      <c r="DV342" s="569"/>
      <c r="DW342" s="569"/>
      <c r="DX342" s="569"/>
      <c r="DY342" s="569"/>
      <c r="DZ342" s="569"/>
      <c r="EA342" s="569"/>
      <c r="EB342" s="569"/>
      <c r="EC342" s="569"/>
      <c r="ED342" s="569"/>
      <c r="EE342" s="569"/>
      <c r="EF342" s="569"/>
      <c r="EG342" s="569"/>
      <c r="EH342" s="569"/>
      <c r="EI342" s="569"/>
      <c r="EJ342" s="569"/>
      <c r="EK342" s="569"/>
      <c r="EL342" s="569"/>
      <c r="EM342" s="569"/>
      <c r="EN342" s="569"/>
      <c r="EO342" s="569"/>
      <c r="EP342" s="569"/>
      <c r="EQ342" s="569"/>
      <c r="ER342" s="569"/>
      <c r="ES342" s="569"/>
      <c r="ET342" s="569"/>
      <c r="EU342" s="569"/>
      <c r="EV342" s="569"/>
      <c r="EW342" s="569"/>
      <c r="EX342" s="569"/>
      <c r="EY342" s="569"/>
      <c r="EZ342" s="569"/>
      <c r="FA342" s="569"/>
      <c r="FB342" s="569"/>
      <c r="FC342" s="569"/>
      <c r="FD342" s="569"/>
      <c r="FE342" s="569"/>
      <c r="FF342" s="569"/>
      <c r="FG342" s="569"/>
      <c r="FH342" s="569"/>
      <c r="FI342" s="569"/>
      <c r="FJ342" s="569"/>
      <c r="FK342" s="569"/>
      <c r="FL342" s="569"/>
      <c r="FM342" s="569"/>
      <c r="FN342" s="569"/>
      <c r="FO342" s="569"/>
      <c r="FP342" s="569"/>
      <c r="FQ342" s="569"/>
      <c r="FR342" s="569"/>
      <c r="FS342" s="569"/>
      <c r="FT342" s="569"/>
      <c r="FU342" s="569"/>
      <c r="FV342" s="569"/>
      <c r="FW342" s="569"/>
      <c r="FX342" s="569"/>
      <c r="FY342" s="569"/>
      <c r="FZ342" s="569"/>
      <c r="GA342" s="569"/>
      <c r="GB342" s="569"/>
      <c r="GC342" s="569"/>
      <c r="GD342" s="569"/>
      <c r="GE342" s="569"/>
      <c r="GF342" s="569"/>
      <c r="GG342" s="569"/>
      <c r="GH342" s="569"/>
      <c r="GI342" s="569"/>
      <c r="GJ342" s="569"/>
      <c r="GK342" s="569"/>
      <c r="GL342" s="569"/>
      <c r="GM342" s="569"/>
      <c r="GN342" s="569"/>
      <c r="GO342" s="569"/>
      <c r="GP342" s="569"/>
      <c r="GQ342" s="569"/>
      <c r="GR342" s="569"/>
      <c r="GS342" s="569"/>
      <c r="GT342" s="569"/>
    </row>
    <row r="343" spans="1:202" s="554" customFormat="1" ht="18" customHeight="1">
      <c r="B343" s="569"/>
      <c r="C343" s="1152"/>
      <c r="D343" s="1152"/>
      <c r="E343" s="1152"/>
      <c r="F343" s="1152"/>
      <c r="G343" s="1152"/>
      <c r="H343" s="1152"/>
      <c r="I343" s="1152"/>
      <c r="J343" s="1152"/>
      <c r="K343" s="1152"/>
      <c r="L343" s="1152"/>
      <c r="M343" s="569"/>
      <c r="N343" s="569"/>
      <c r="O343" s="569"/>
      <c r="P343" s="569"/>
      <c r="Q343" s="569"/>
      <c r="R343" s="569"/>
      <c r="S343" s="569"/>
      <c r="T343" s="569"/>
      <c r="U343" s="569"/>
      <c r="V343" s="569"/>
      <c r="W343" s="569"/>
      <c r="X343" s="569"/>
      <c r="Y343" s="569"/>
      <c r="Z343" s="569"/>
      <c r="AA343" s="569"/>
      <c r="AB343" s="569"/>
      <c r="AC343" s="569"/>
      <c r="AD343" s="569"/>
      <c r="AE343" s="569"/>
      <c r="AF343" s="569"/>
      <c r="AG343" s="569"/>
      <c r="AH343" s="569"/>
      <c r="AI343" s="569"/>
      <c r="AJ343" s="569"/>
      <c r="AK343" s="569"/>
      <c r="AL343" s="569"/>
      <c r="AM343" s="569"/>
      <c r="AN343" s="569"/>
      <c r="AO343" s="569"/>
      <c r="AP343" s="569"/>
      <c r="AQ343" s="569"/>
      <c r="AR343" s="569"/>
      <c r="AS343" s="569"/>
      <c r="AT343" s="569"/>
      <c r="AU343" s="569"/>
      <c r="AV343" s="569"/>
      <c r="AW343" s="569"/>
      <c r="AX343" s="569"/>
      <c r="AY343" s="569"/>
      <c r="AZ343" s="569"/>
      <c r="BA343" s="569"/>
      <c r="BB343" s="569"/>
      <c r="BC343" s="569"/>
      <c r="BD343" s="569"/>
      <c r="BE343" s="569"/>
      <c r="BF343" s="569"/>
      <c r="BG343" s="569"/>
      <c r="BH343" s="569"/>
      <c r="BI343" s="569"/>
      <c r="BJ343" s="569"/>
      <c r="BK343" s="569"/>
      <c r="BL343" s="569"/>
      <c r="BM343" s="569"/>
      <c r="BN343" s="569"/>
      <c r="BO343" s="569"/>
      <c r="BP343" s="569"/>
      <c r="BQ343" s="569"/>
      <c r="BR343" s="569"/>
      <c r="BS343" s="569"/>
      <c r="BT343" s="569"/>
      <c r="BU343" s="569"/>
      <c r="BV343" s="569"/>
      <c r="BW343" s="569"/>
      <c r="BX343" s="569"/>
      <c r="BY343" s="569"/>
      <c r="BZ343" s="569"/>
      <c r="CA343" s="569"/>
      <c r="CB343" s="569"/>
      <c r="CC343" s="569"/>
      <c r="CD343" s="569"/>
      <c r="CE343" s="569"/>
      <c r="CF343" s="569"/>
      <c r="CG343" s="569"/>
      <c r="CH343" s="569"/>
      <c r="CI343" s="569"/>
      <c r="CJ343" s="569"/>
      <c r="CK343" s="569"/>
      <c r="CL343" s="569"/>
      <c r="CM343" s="569"/>
      <c r="CN343" s="569"/>
      <c r="CO343" s="569"/>
      <c r="CP343" s="569"/>
      <c r="CQ343" s="569"/>
      <c r="CR343" s="569"/>
      <c r="CS343" s="569"/>
      <c r="CT343" s="569"/>
      <c r="CU343" s="569"/>
      <c r="CV343" s="569"/>
      <c r="CW343" s="569"/>
      <c r="CX343" s="569"/>
      <c r="CY343" s="569"/>
      <c r="CZ343" s="569"/>
      <c r="DA343" s="569"/>
      <c r="DB343" s="569"/>
      <c r="DC343" s="569"/>
      <c r="DD343" s="569"/>
      <c r="DE343" s="569"/>
      <c r="DF343" s="569"/>
      <c r="DG343" s="569"/>
      <c r="DH343" s="569"/>
      <c r="DI343" s="569"/>
      <c r="DJ343" s="569"/>
      <c r="DK343" s="569"/>
      <c r="DL343" s="569"/>
      <c r="DM343" s="569"/>
      <c r="DN343" s="569"/>
      <c r="DO343" s="569"/>
      <c r="DP343" s="569"/>
      <c r="DQ343" s="569"/>
      <c r="DR343" s="569"/>
      <c r="DS343" s="569"/>
      <c r="DT343" s="569"/>
      <c r="DU343" s="569"/>
      <c r="DV343" s="569"/>
      <c r="DW343" s="569"/>
      <c r="DX343" s="569"/>
      <c r="DY343" s="569"/>
      <c r="DZ343" s="569"/>
      <c r="EA343" s="569"/>
      <c r="EB343" s="569"/>
      <c r="EC343" s="569"/>
      <c r="ED343" s="569"/>
      <c r="EE343" s="569"/>
      <c r="EF343" s="569"/>
      <c r="EG343" s="569"/>
      <c r="EH343" s="569"/>
      <c r="EI343" s="569"/>
      <c r="EJ343" s="569"/>
      <c r="EK343" s="569"/>
      <c r="EL343" s="569"/>
      <c r="EM343" s="569"/>
      <c r="EN343" s="569"/>
      <c r="EO343" s="569"/>
      <c r="EP343" s="569"/>
      <c r="EQ343" s="569"/>
      <c r="ER343" s="569"/>
      <c r="ES343" s="569"/>
      <c r="ET343" s="569"/>
      <c r="EU343" s="569"/>
      <c r="EV343" s="569"/>
      <c r="EW343" s="569"/>
      <c r="EX343" s="569"/>
      <c r="EY343" s="569"/>
      <c r="EZ343" s="569"/>
      <c r="FA343" s="569"/>
      <c r="FB343" s="569"/>
      <c r="FC343" s="569"/>
      <c r="FD343" s="569"/>
      <c r="FE343" s="569"/>
      <c r="FF343" s="569"/>
      <c r="FG343" s="569"/>
      <c r="FH343" s="569"/>
      <c r="FI343" s="569"/>
      <c r="FJ343" s="569"/>
      <c r="FK343" s="569"/>
      <c r="FL343" s="569"/>
      <c r="FM343" s="569"/>
      <c r="FN343" s="569"/>
      <c r="FO343" s="569"/>
      <c r="FP343" s="569"/>
      <c r="FQ343" s="569"/>
      <c r="FR343" s="569"/>
      <c r="FS343" s="569"/>
      <c r="FT343" s="569"/>
      <c r="FU343" s="569"/>
      <c r="FV343" s="569"/>
      <c r="FW343" s="569"/>
      <c r="FX343" s="569"/>
      <c r="FY343" s="569"/>
      <c r="FZ343" s="569"/>
      <c r="GA343" s="569"/>
      <c r="GB343" s="569"/>
      <c r="GC343" s="569"/>
      <c r="GD343" s="569"/>
      <c r="GE343" s="569"/>
      <c r="GF343" s="569"/>
      <c r="GG343" s="569"/>
      <c r="GH343" s="569"/>
      <c r="GI343" s="569"/>
      <c r="GJ343" s="569"/>
      <c r="GK343" s="569"/>
      <c r="GL343" s="569"/>
      <c r="GM343" s="569"/>
      <c r="GN343" s="569"/>
      <c r="GO343" s="569"/>
      <c r="GP343" s="569"/>
      <c r="GQ343" s="569"/>
      <c r="GR343" s="569"/>
      <c r="GS343" s="569"/>
      <c r="GT343" s="569"/>
    </row>
    <row r="344" spans="1:202" s="554" customFormat="1" ht="18" customHeight="1">
      <c r="A344" s="591"/>
      <c r="B344" s="569"/>
      <c r="C344" s="1152"/>
      <c r="D344" s="1152"/>
      <c r="E344" s="1152"/>
      <c r="F344" s="1152"/>
      <c r="G344" s="1152"/>
      <c r="H344" s="1152"/>
      <c r="I344" s="1152"/>
      <c r="J344" s="1152"/>
      <c r="K344" s="1152"/>
      <c r="L344" s="1152"/>
      <c r="M344" s="569"/>
      <c r="N344" s="569"/>
      <c r="O344" s="569"/>
      <c r="P344" s="569"/>
      <c r="Q344" s="569"/>
      <c r="R344" s="569"/>
      <c r="S344" s="569"/>
      <c r="T344" s="569"/>
      <c r="U344" s="569"/>
      <c r="V344" s="569"/>
      <c r="W344" s="569"/>
      <c r="X344" s="569"/>
      <c r="Y344" s="569"/>
      <c r="Z344" s="569"/>
      <c r="AA344" s="569"/>
      <c r="AB344" s="569"/>
      <c r="AC344" s="569"/>
      <c r="AD344" s="569"/>
      <c r="AE344" s="569"/>
      <c r="AF344" s="569"/>
      <c r="AG344" s="569"/>
      <c r="AH344" s="569"/>
      <c r="AI344" s="569"/>
      <c r="AJ344" s="569"/>
      <c r="AK344" s="569"/>
      <c r="AL344" s="569"/>
      <c r="AM344" s="569"/>
      <c r="AN344" s="569"/>
      <c r="AO344" s="569"/>
      <c r="AP344" s="569"/>
      <c r="AQ344" s="569"/>
      <c r="AR344" s="569"/>
      <c r="AS344" s="569"/>
      <c r="AT344" s="569"/>
      <c r="AU344" s="569"/>
      <c r="AV344" s="569"/>
      <c r="AW344" s="569"/>
      <c r="AX344" s="569"/>
      <c r="AY344" s="569"/>
      <c r="AZ344" s="569"/>
      <c r="BA344" s="569"/>
      <c r="BB344" s="569"/>
      <c r="BC344" s="569"/>
      <c r="BD344" s="569"/>
      <c r="BE344" s="569"/>
      <c r="BF344" s="569"/>
      <c r="BG344" s="569"/>
      <c r="BH344" s="569"/>
      <c r="BI344" s="569"/>
      <c r="BJ344" s="569"/>
      <c r="BK344" s="569"/>
      <c r="BL344" s="569"/>
      <c r="BM344" s="569"/>
      <c r="BN344" s="569"/>
      <c r="BO344" s="569"/>
      <c r="BP344" s="569"/>
      <c r="BQ344" s="569"/>
      <c r="BR344" s="569"/>
      <c r="BS344" s="569"/>
      <c r="BT344" s="569"/>
      <c r="BU344" s="569"/>
      <c r="BV344" s="569"/>
      <c r="BW344" s="569"/>
      <c r="BX344" s="569"/>
      <c r="BY344" s="569"/>
      <c r="BZ344" s="569"/>
      <c r="CA344" s="569"/>
      <c r="CB344" s="569"/>
      <c r="CC344" s="569"/>
      <c r="CD344" s="569"/>
      <c r="CE344" s="569"/>
      <c r="CF344" s="569"/>
      <c r="CG344" s="569"/>
      <c r="CH344" s="569"/>
      <c r="CI344" s="569"/>
      <c r="CJ344" s="569"/>
      <c r="CK344" s="569"/>
      <c r="CL344" s="569"/>
      <c r="CM344" s="569"/>
      <c r="CN344" s="569"/>
      <c r="CO344" s="569"/>
      <c r="CP344" s="569"/>
      <c r="CQ344" s="569"/>
      <c r="CR344" s="569"/>
      <c r="CS344" s="569"/>
      <c r="CT344" s="569"/>
      <c r="CU344" s="569"/>
      <c r="CV344" s="569"/>
      <c r="CW344" s="569"/>
      <c r="CX344" s="569"/>
      <c r="CY344" s="569"/>
      <c r="CZ344" s="569"/>
      <c r="DA344" s="569"/>
      <c r="DB344" s="569"/>
      <c r="DC344" s="569"/>
      <c r="DD344" s="569"/>
      <c r="DE344" s="569"/>
      <c r="DF344" s="569"/>
      <c r="DG344" s="569"/>
      <c r="DH344" s="569"/>
      <c r="DI344" s="569"/>
      <c r="DJ344" s="569"/>
      <c r="DK344" s="569"/>
      <c r="DL344" s="569"/>
      <c r="DM344" s="569"/>
      <c r="DN344" s="569"/>
      <c r="DO344" s="569"/>
      <c r="DP344" s="569"/>
      <c r="DQ344" s="569"/>
      <c r="DR344" s="569"/>
      <c r="DS344" s="569"/>
      <c r="DT344" s="569"/>
      <c r="DU344" s="569"/>
      <c r="DV344" s="569"/>
      <c r="DW344" s="569"/>
      <c r="DX344" s="569"/>
      <c r="DY344" s="569"/>
      <c r="DZ344" s="569"/>
      <c r="EA344" s="569"/>
      <c r="EB344" s="569"/>
      <c r="EC344" s="569"/>
      <c r="ED344" s="569"/>
      <c r="EE344" s="569"/>
      <c r="EF344" s="569"/>
      <c r="EG344" s="569"/>
      <c r="EH344" s="569"/>
      <c r="EI344" s="569"/>
      <c r="EJ344" s="569"/>
      <c r="EK344" s="569"/>
      <c r="EL344" s="569"/>
      <c r="EM344" s="569"/>
      <c r="EN344" s="569"/>
      <c r="EO344" s="569"/>
      <c r="EP344" s="569"/>
      <c r="EQ344" s="569"/>
      <c r="ER344" s="569"/>
      <c r="ES344" s="569"/>
      <c r="ET344" s="569"/>
      <c r="EU344" s="569"/>
      <c r="EV344" s="569"/>
      <c r="EW344" s="569"/>
      <c r="EX344" s="569"/>
      <c r="EY344" s="569"/>
      <c r="EZ344" s="569"/>
      <c r="FA344" s="569"/>
      <c r="FB344" s="569"/>
      <c r="FC344" s="569"/>
      <c r="FD344" s="569"/>
      <c r="FE344" s="569"/>
      <c r="FF344" s="569"/>
      <c r="FG344" s="569"/>
      <c r="FH344" s="569"/>
      <c r="FI344" s="569"/>
      <c r="FJ344" s="569"/>
      <c r="FK344" s="569"/>
      <c r="FL344" s="569"/>
      <c r="FM344" s="569"/>
      <c r="FN344" s="569"/>
      <c r="FO344" s="569"/>
      <c r="FP344" s="569"/>
      <c r="FQ344" s="569"/>
      <c r="FR344" s="569"/>
      <c r="FS344" s="569"/>
      <c r="FT344" s="569"/>
      <c r="FU344" s="569"/>
      <c r="FV344" s="569"/>
      <c r="FW344" s="569"/>
      <c r="FX344" s="569"/>
      <c r="FY344" s="569"/>
      <c r="FZ344" s="569"/>
      <c r="GA344" s="569"/>
      <c r="GB344" s="569"/>
      <c r="GC344" s="569"/>
      <c r="GD344" s="569"/>
      <c r="GE344" s="569"/>
      <c r="GF344" s="569"/>
      <c r="GG344" s="569"/>
      <c r="GH344" s="569"/>
      <c r="GI344" s="569"/>
      <c r="GJ344" s="569"/>
      <c r="GK344" s="569"/>
      <c r="GL344" s="569"/>
      <c r="GM344" s="569"/>
      <c r="GN344" s="569"/>
      <c r="GO344" s="569"/>
      <c r="GP344" s="569"/>
      <c r="GQ344" s="569"/>
      <c r="GR344" s="569"/>
      <c r="GS344" s="569"/>
      <c r="GT344" s="569"/>
    </row>
    <row r="345" spans="1:202" s="554" customFormat="1" ht="18" customHeight="1">
      <c r="A345" s="591"/>
      <c r="B345" s="569"/>
      <c r="C345" s="1152"/>
      <c r="D345" s="1152"/>
      <c r="E345" s="1152"/>
      <c r="F345" s="1152"/>
      <c r="G345" s="1152"/>
      <c r="H345" s="1152"/>
      <c r="I345" s="1152"/>
      <c r="J345" s="1152"/>
      <c r="K345" s="1152"/>
      <c r="L345" s="1152"/>
      <c r="M345" s="569"/>
      <c r="N345" s="569"/>
      <c r="O345" s="569"/>
      <c r="P345" s="569"/>
      <c r="Q345" s="569"/>
      <c r="R345" s="569"/>
      <c r="S345" s="569"/>
      <c r="T345" s="569"/>
      <c r="U345" s="569"/>
      <c r="V345" s="569"/>
      <c r="W345" s="569"/>
      <c r="X345" s="569"/>
      <c r="Y345" s="569"/>
      <c r="Z345" s="569"/>
      <c r="AA345" s="569"/>
      <c r="AB345" s="569"/>
      <c r="AC345" s="569"/>
      <c r="AD345" s="569"/>
      <c r="AE345" s="569"/>
      <c r="AF345" s="569"/>
      <c r="AG345" s="569"/>
      <c r="AH345" s="569"/>
      <c r="AI345" s="569"/>
      <c r="AJ345" s="569"/>
      <c r="AK345" s="569"/>
      <c r="AL345" s="569"/>
      <c r="AM345" s="569"/>
      <c r="AN345" s="569"/>
      <c r="AO345" s="569"/>
      <c r="AP345" s="569"/>
      <c r="AQ345" s="569"/>
      <c r="AR345" s="569"/>
      <c r="AS345" s="569"/>
      <c r="AT345" s="569"/>
      <c r="AU345" s="569"/>
      <c r="AV345" s="569"/>
      <c r="AW345" s="569"/>
      <c r="AX345" s="569"/>
      <c r="AY345" s="569"/>
      <c r="AZ345" s="569"/>
      <c r="BA345" s="569"/>
      <c r="BB345" s="569"/>
      <c r="BC345" s="569"/>
      <c r="BD345" s="569"/>
      <c r="BE345" s="569"/>
      <c r="BF345" s="569"/>
      <c r="BG345" s="569"/>
      <c r="BH345" s="569"/>
      <c r="BI345" s="569"/>
      <c r="BJ345" s="569"/>
      <c r="BK345" s="569"/>
      <c r="BL345" s="569"/>
      <c r="BM345" s="569"/>
      <c r="BN345" s="569"/>
      <c r="BO345" s="569"/>
      <c r="BP345" s="569"/>
      <c r="BQ345" s="569"/>
      <c r="BR345" s="569"/>
      <c r="BS345" s="569"/>
      <c r="BT345" s="569"/>
      <c r="BU345" s="569"/>
      <c r="BV345" s="569"/>
      <c r="BW345" s="569"/>
      <c r="BX345" s="569"/>
      <c r="BY345" s="569"/>
      <c r="BZ345" s="569"/>
      <c r="CA345" s="569"/>
      <c r="CB345" s="569"/>
      <c r="CC345" s="569"/>
      <c r="CD345" s="569"/>
      <c r="CE345" s="569"/>
      <c r="CF345" s="569"/>
      <c r="CG345" s="569"/>
      <c r="CH345" s="569"/>
      <c r="CI345" s="569"/>
      <c r="CJ345" s="569"/>
      <c r="CK345" s="569"/>
      <c r="CL345" s="569"/>
      <c r="CM345" s="569"/>
      <c r="CN345" s="569"/>
      <c r="CO345" s="569"/>
      <c r="CP345" s="569"/>
      <c r="CQ345" s="569"/>
      <c r="CR345" s="569"/>
      <c r="CS345" s="569"/>
      <c r="CT345" s="569"/>
      <c r="CU345" s="569"/>
      <c r="CV345" s="569"/>
      <c r="CW345" s="569"/>
      <c r="CX345" s="569"/>
      <c r="CY345" s="569"/>
      <c r="CZ345" s="569"/>
      <c r="DA345" s="569"/>
      <c r="DB345" s="569"/>
      <c r="DC345" s="569"/>
      <c r="DD345" s="569"/>
      <c r="DE345" s="569"/>
      <c r="DF345" s="569"/>
      <c r="DG345" s="569"/>
      <c r="DH345" s="569"/>
      <c r="DI345" s="569"/>
      <c r="DJ345" s="569"/>
      <c r="DK345" s="569"/>
      <c r="DL345" s="569"/>
      <c r="DM345" s="569"/>
      <c r="DN345" s="569"/>
      <c r="DO345" s="569"/>
      <c r="DP345" s="569"/>
      <c r="DQ345" s="569"/>
      <c r="DR345" s="569"/>
      <c r="DS345" s="569"/>
      <c r="DT345" s="569"/>
      <c r="DU345" s="569"/>
      <c r="DV345" s="569"/>
      <c r="DW345" s="569"/>
      <c r="DX345" s="569"/>
      <c r="DY345" s="569"/>
      <c r="DZ345" s="569"/>
      <c r="EA345" s="569"/>
      <c r="EB345" s="569"/>
      <c r="EC345" s="569"/>
      <c r="ED345" s="569"/>
      <c r="EE345" s="569"/>
      <c r="EF345" s="569"/>
      <c r="EG345" s="569"/>
      <c r="EH345" s="569"/>
      <c r="EI345" s="569"/>
      <c r="EJ345" s="569"/>
      <c r="EK345" s="569"/>
      <c r="EL345" s="569"/>
      <c r="EM345" s="569"/>
      <c r="EN345" s="569"/>
      <c r="EO345" s="569"/>
      <c r="EP345" s="569"/>
      <c r="EQ345" s="569"/>
      <c r="ER345" s="569"/>
      <c r="ES345" s="569"/>
      <c r="ET345" s="569"/>
      <c r="EU345" s="569"/>
      <c r="EV345" s="569"/>
      <c r="EW345" s="569"/>
      <c r="EX345" s="569"/>
      <c r="EY345" s="569"/>
      <c r="EZ345" s="569"/>
      <c r="FA345" s="569"/>
      <c r="FB345" s="569"/>
      <c r="FC345" s="569"/>
      <c r="FD345" s="569"/>
      <c r="FE345" s="569"/>
      <c r="FF345" s="569"/>
      <c r="FG345" s="569"/>
      <c r="FH345" s="569"/>
      <c r="FI345" s="569"/>
      <c r="FJ345" s="569"/>
      <c r="FK345" s="569"/>
      <c r="FL345" s="569"/>
      <c r="FM345" s="569"/>
      <c r="FN345" s="569"/>
      <c r="FO345" s="569"/>
      <c r="FP345" s="569"/>
      <c r="FQ345" s="569"/>
      <c r="FR345" s="569"/>
      <c r="FS345" s="569"/>
      <c r="FT345" s="569"/>
      <c r="FU345" s="569"/>
      <c r="FV345" s="569"/>
      <c r="FW345" s="569"/>
      <c r="FX345" s="569"/>
      <c r="FY345" s="569"/>
      <c r="FZ345" s="569"/>
      <c r="GA345" s="569"/>
      <c r="GB345" s="569"/>
      <c r="GC345" s="569"/>
      <c r="GD345" s="569"/>
      <c r="GE345" s="569"/>
      <c r="GF345" s="569"/>
      <c r="GG345" s="569"/>
      <c r="GH345" s="569"/>
      <c r="GI345" s="569"/>
      <c r="GJ345" s="569"/>
      <c r="GK345" s="569"/>
      <c r="GL345" s="569"/>
      <c r="GM345" s="569"/>
      <c r="GN345" s="569"/>
      <c r="GO345" s="569"/>
      <c r="GP345" s="569"/>
      <c r="GQ345" s="569"/>
      <c r="GR345" s="569"/>
      <c r="GS345" s="569"/>
      <c r="GT345" s="569"/>
    </row>
    <row r="346" spans="1:202" s="554" customFormat="1" ht="18" customHeight="1">
      <c r="A346" s="591"/>
      <c r="B346" s="569"/>
      <c r="C346" s="1152"/>
      <c r="D346" s="1152"/>
      <c r="E346" s="1152"/>
      <c r="F346" s="1152"/>
      <c r="G346" s="1152"/>
      <c r="H346" s="1152"/>
      <c r="I346" s="1152"/>
      <c r="J346" s="1152"/>
      <c r="K346" s="1152"/>
      <c r="L346" s="1152"/>
      <c r="M346" s="569"/>
      <c r="N346" s="569"/>
      <c r="O346" s="569"/>
      <c r="P346" s="569"/>
      <c r="Q346" s="569"/>
      <c r="R346" s="569"/>
      <c r="S346" s="569"/>
      <c r="T346" s="569"/>
      <c r="U346" s="569"/>
      <c r="V346" s="569"/>
      <c r="W346" s="569"/>
      <c r="X346" s="569"/>
      <c r="Y346" s="569"/>
      <c r="Z346" s="569"/>
      <c r="AA346" s="569"/>
      <c r="AB346" s="569"/>
      <c r="AC346" s="569"/>
      <c r="AD346" s="569"/>
      <c r="AE346" s="569"/>
      <c r="AF346" s="569"/>
      <c r="AG346" s="569"/>
      <c r="AH346" s="569"/>
      <c r="AI346" s="569"/>
      <c r="AJ346" s="569"/>
      <c r="AK346" s="569"/>
      <c r="AL346" s="569"/>
      <c r="AM346" s="569"/>
      <c r="AN346" s="569"/>
      <c r="AO346" s="569"/>
      <c r="AP346" s="569"/>
      <c r="AQ346" s="569"/>
      <c r="AR346" s="569"/>
      <c r="AS346" s="569"/>
      <c r="AT346" s="569"/>
      <c r="AU346" s="569"/>
      <c r="AV346" s="569"/>
      <c r="AW346" s="569"/>
      <c r="AX346" s="569"/>
      <c r="AY346" s="569"/>
      <c r="AZ346" s="569"/>
      <c r="BA346" s="569"/>
      <c r="BB346" s="569"/>
      <c r="BC346" s="569"/>
      <c r="BD346" s="569"/>
      <c r="BE346" s="569"/>
      <c r="BF346" s="569"/>
      <c r="BG346" s="569"/>
      <c r="BH346" s="569"/>
      <c r="BI346" s="569"/>
      <c r="BJ346" s="569"/>
      <c r="BK346" s="569"/>
      <c r="BL346" s="569"/>
      <c r="BM346" s="569"/>
      <c r="BN346" s="569"/>
      <c r="BO346" s="569"/>
      <c r="BP346" s="569"/>
      <c r="BQ346" s="569"/>
      <c r="BR346" s="569"/>
      <c r="BS346" s="569"/>
      <c r="BT346" s="569"/>
      <c r="BU346" s="569"/>
      <c r="BV346" s="569"/>
      <c r="BW346" s="569"/>
      <c r="BX346" s="569"/>
      <c r="BY346" s="569"/>
      <c r="BZ346" s="569"/>
      <c r="CA346" s="569"/>
      <c r="CB346" s="569"/>
      <c r="CC346" s="569"/>
      <c r="CD346" s="569"/>
      <c r="CE346" s="569"/>
      <c r="CF346" s="569"/>
      <c r="CG346" s="569"/>
      <c r="CH346" s="569"/>
      <c r="CI346" s="569"/>
      <c r="CJ346" s="569"/>
      <c r="CK346" s="569"/>
      <c r="CL346" s="569"/>
      <c r="CM346" s="569"/>
      <c r="CN346" s="569"/>
      <c r="CO346" s="569"/>
      <c r="CP346" s="569"/>
      <c r="CQ346" s="569"/>
      <c r="CR346" s="569"/>
      <c r="CS346" s="569"/>
      <c r="CT346" s="569"/>
      <c r="CU346" s="569"/>
      <c r="CV346" s="569"/>
      <c r="CW346" s="569"/>
      <c r="CX346" s="569"/>
      <c r="CY346" s="569"/>
      <c r="CZ346" s="569"/>
      <c r="DA346" s="569"/>
      <c r="DB346" s="569"/>
      <c r="DC346" s="569"/>
      <c r="DD346" s="569"/>
      <c r="DE346" s="569"/>
      <c r="DF346" s="569"/>
      <c r="DG346" s="569"/>
      <c r="DH346" s="569"/>
      <c r="DI346" s="569"/>
      <c r="DJ346" s="569"/>
      <c r="DK346" s="569"/>
      <c r="DL346" s="569"/>
      <c r="DM346" s="569"/>
      <c r="DN346" s="569"/>
      <c r="DO346" s="569"/>
      <c r="DP346" s="569"/>
      <c r="DQ346" s="569"/>
      <c r="DR346" s="569"/>
      <c r="DS346" s="569"/>
      <c r="DT346" s="569"/>
      <c r="DU346" s="569"/>
      <c r="DV346" s="569"/>
      <c r="DW346" s="569"/>
      <c r="DX346" s="569"/>
      <c r="DY346" s="569"/>
      <c r="DZ346" s="569"/>
      <c r="EA346" s="569"/>
      <c r="EB346" s="569"/>
      <c r="EC346" s="569"/>
      <c r="ED346" s="569"/>
      <c r="EE346" s="569"/>
      <c r="EF346" s="569"/>
      <c r="EG346" s="569"/>
      <c r="EH346" s="569"/>
      <c r="EI346" s="569"/>
      <c r="EJ346" s="569"/>
      <c r="EK346" s="569"/>
      <c r="EL346" s="569"/>
      <c r="EM346" s="569"/>
      <c r="EN346" s="569"/>
      <c r="EO346" s="569"/>
      <c r="EP346" s="569"/>
      <c r="EQ346" s="569"/>
      <c r="ER346" s="569"/>
      <c r="ES346" s="569"/>
      <c r="ET346" s="569"/>
      <c r="EU346" s="569"/>
      <c r="EV346" s="569"/>
      <c r="EW346" s="569"/>
      <c r="EX346" s="569"/>
      <c r="EY346" s="569"/>
      <c r="EZ346" s="569"/>
      <c r="FA346" s="569"/>
      <c r="FB346" s="569"/>
      <c r="FC346" s="569"/>
      <c r="FD346" s="569"/>
      <c r="FE346" s="569"/>
      <c r="FF346" s="569"/>
      <c r="FG346" s="569"/>
      <c r="FH346" s="569"/>
      <c r="FI346" s="569"/>
      <c r="FJ346" s="569"/>
      <c r="FK346" s="569"/>
      <c r="FL346" s="569"/>
      <c r="FM346" s="569"/>
      <c r="FN346" s="569"/>
      <c r="FO346" s="569"/>
      <c r="FP346" s="569"/>
      <c r="FQ346" s="569"/>
      <c r="FR346" s="569"/>
      <c r="FS346" s="569"/>
      <c r="FT346" s="569"/>
      <c r="FU346" s="569"/>
      <c r="FV346" s="569"/>
      <c r="FW346" s="569"/>
      <c r="FX346" s="569"/>
      <c r="FY346" s="569"/>
      <c r="FZ346" s="569"/>
      <c r="GA346" s="569"/>
      <c r="GB346" s="569"/>
      <c r="GC346" s="569"/>
      <c r="GD346" s="569"/>
      <c r="GE346" s="569"/>
      <c r="GF346" s="569"/>
      <c r="GG346" s="569"/>
      <c r="GH346" s="569"/>
      <c r="GI346" s="569"/>
      <c r="GJ346" s="569"/>
      <c r="GK346" s="569"/>
      <c r="GL346" s="569"/>
      <c r="GM346" s="569"/>
      <c r="GN346" s="569"/>
      <c r="GO346" s="569"/>
      <c r="GP346" s="569"/>
      <c r="GQ346" s="569"/>
      <c r="GR346" s="569"/>
      <c r="GS346" s="569"/>
      <c r="GT346" s="569"/>
    </row>
    <row r="347" spans="1:202" s="554" customFormat="1" ht="18" customHeight="1">
      <c r="A347" s="591"/>
      <c r="B347" s="569"/>
      <c r="C347" s="1152"/>
      <c r="D347" s="1152"/>
      <c r="E347" s="1152"/>
      <c r="F347" s="1152"/>
      <c r="G347" s="1152"/>
      <c r="H347" s="1152"/>
      <c r="I347" s="1152"/>
      <c r="J347" s="1152"/>
      <c r="K347" s="1152"/>
      <c r="L347" s="1152"/>
      <c r="M347" s="569"/>
      <c r="N347" s="569"/>
      <c r="O347" s="569"/>
      <c r="P347" s="569"/>
      <c r="Q347" s="569"/>
      <c r="R347" s="569"/>
      <c r="S347" s="569"/>
      <c r="T347" s="569"/>
      <c r="U347" s="569"/>
      <c r="V347" s="569"/>
      <c r="W347" s="569"/>
      <c r="X347" s="569"/>
      <c r="Y347" s="569"/>
      <c r="Z347" s="569"/>
      <c r="AA347" s="569"/>
      <c r="AB347" s="569"/>
      <c r="AC347" s="569"/>
      <c r="AD347" s="569"/>
      <c r="AE347" s="569"/>
      <c r="AF347" s="569"/>
      <c r="AG347" s="569"/>
      <c r="AH347" s="569"/>
      <c r="AI347" s="569"/>
      <c r="AJ347" s="569"/>
      <c r="AK347" s="569"/>
      <c r="AL347" s="569"/>
      <c r="AM347" s="569"/>
      <c r="AN347" s="569"/>
      <c r="AO347" s="569"/>
      <c r="AP347" s="569"/>
      <c r="AQ347" s="569"/>
      <c r="AR347" s="569"/>
      <c r="AS347" s="569"/>
      <c r="AT347" s="569"/>
      <c r="AU347" s="569"/>
      <c r="AV347" s="569"/>
      <c r="AW347" s="569"/>
      <c r="AX347" s="569"/>
      <c r="AY347" s="569"/>
      <c r="AZ347" s="569"/>
      <c r="BA347" s="569"/>
      <c r="BB347" s="569"/>
      <c r="BC347" s="569"/>
      <c r="BD347" s="569"/>
      <c r="BE347" s="569"/>
      <c r="BF347" s="569"/>
      <c r="BG347" s="569"/>
      <c r="BH347" s="569"/>
      <c r="BI347" s="569"/>
      <c r="BJ347" s="569"/>
      <c r="BK347" s="569"/>
      <c r="BL347" s="569"/>
      <c r="BM347" s="569"/>
      <c r="BN347" s="569"/>
      <c r="BO347" s="569"/>
      <c r="BP347" s="569"/>
      <c r="BQ347" s="569"/>
      <c r="BR347" s="569"/>
      <c r="BS347" s="569"/>
      <c r="BT347" s="569"/>
      <c r="BU347" s="569"/>
      <c r="BV347" s="569"/>
      <c r="BW347" s="569"/>
      <c r="BX347" s="569"/>
      <c r="BY347" s="569"/>
      <c r="BZ347" s="569"/>
      <c r="CA347" s="569"/>
      <c r="CB347" s="569"/>
      <c r="CC347" s="569"/>
      <c r="CD347" s="569"/>
      <c r="CE347" s="569"/>
      <c r="CF347" s="569"/>
      <c r="CG347" s="569"/>
      <c r="CH347" s="569"/>
      <c r="CI347" s="569"/>
      <c r="CJ347" s="569"/>
      <c r="CK347" s="569"/>
      <c r="CL347" s="569"/>
      <c r="CM347" s="569"/>
      <c r="CN347" s="569"/>
      <c r="CO347" s="569"/>
      <c r="CP347" s="569"/>
      <c r="CQ347" s="569"/>
      <c r="CR347" s="569"/>
      <c r="CS347" s="569"/>
      <c r="CT347" s="569"/>
      <c r="CU347" s="569"/>
      <c r="CV347" s="569"/>
      <c r="CW347" s="569"/>
      <c r="CX347" s="569"/>
      <c r="CY347" s="569"/>
      <c r="CZ347" s="569"/>
      <c r="DA347" s="569"/>
      <c r="DB347" s="569"/>
      <c r="DC347" s="569"/>
      <c r="DD347" s="569"/>
      <c r="DE347" s="569"/>
      <c r="DF347" s="569"/>
      <c r="DG347" s="569"/>
      <c r="DH347" s="569"/>
      <c r="DI347" s="569"/>
      <c r="DJ347" s="569"/>
      <c r="DK347" s="569"/>
      <c r="DL347" s="569"/>
      <c r="DM347" s="569"/>
      <c r="DN347" s="569"/>
      <c r="DO347" s="569"/>
      <c r="DP347" s="569"/>
      <c r="DQ347" s="569"/>
      <c r="DR347" s="569"/>
      <c r="DS347" s="569"/>
      <c r="DT347" s="569"/>
      <c r="DU347" s="569"/>
      <c r="DV347" s="569"/>
      <c r="DW347" s="569"/>
      <c r="DX347" s="569"/>
      <c r="DY347" s="569"/>
      <c r="DZ347" s="569"/>
      <c r="EA347" s="569"/>
      <c r="EB347" s="569"/>
      <c r="EC347" s="569"/>
      <c r="ED347" s="569"/>
      <c r="EE347" s="569"/>
      <c r="EF347" s="569"/>
      <c r="EG347" s="569"/>
      <c r="EH347" s="569"/>
      <c r="EI347" s="569"/>
      <c r="EJ347" s="569"/>
      <c r="EK347" s="569"/>
      <c r="EL347" s="569"/>
      <c r="EM347" s="569"/>
      <c r="EN347" s="569"/>
      <c r="EO347" s="569"/>
      <c r="EP347" s="569"/>
      <c r="EQ347" s="569"/>
      <c r="ER347" s="569"/>
      <c r="ES347" s="569"/>
      <c r="ET347" s="569"/>
      <c r="EU347" s="569"/>
      <c r="EV347" s="569"/>
      <c r="EW347" s="569"/>
      <c r="EX347" s="569"/>
      <c r="EY347" s="569"/>
      <c r="EZ347" s="569"/>
      <c r="FA347" s="569"/>
      <c r="FB347" s="569"/>
      <c r="FC347" s="569"/>
      <c r="FD347" s="569"/>
      <c r="FE347" s="569"/>
      <c r="FF347" s="569"/>
      <c r="FG347" s="569"/>
      <c r="FH347" s="569"/>
      <c r="FI347" s="569"/>
      <c r="FJ347" s="569"/>
      <c r="FK347" s="569"/>
      <c r="FL347" s="569"/>
      <c r="FM347" s="569"/>
      <c r="FN347" s="569"/>
      <c r="FO347" s="569"/>
      <c r="FP347" s="569"/>
      <c r="FQ347" s="569"/>
      <c r="FR347" s="569"/>
      <c r="FS347" s="569"/>
      <c r="FT347" s="569"/>
      <c r="FU347" s="569"/>
      <c r="FV347" s="569"/>
      <c r="FW347" s="569"/>
      <c r="FX347" s="569"/>
      <c r="FY347" s="569"/>
      <c r="FZ347" s="569"/>
      <c r="GA347" s="569"/>
      <c r="GB347" s="569"/>
      <c r="GC347" s="569"/>
      <c r="GD347" s="569"/>
      <c r="GE347" s="569"/>
      <c r="GF347" s="569"/>
      <c r="GG347" s="569"/>
      <c r="GH347" s="569"/>
      <c r="GI347" s="569"/>
      <c r="GJ347" s="569"/>
      <c r="GK347" s="569"/>
      <c r="GL347" s="569"/>
      <c r="GM347" s="569"/>
      <c r="GN347" s="569"/>
      <c r="GO347" s="569"/>
      <c r="GP347" s="569"/>
      <c r="GQ347" s="569"/>
      <c r="GR347" s="569"/>
      <c r="GS347" s="569"/>
      <c r="GT347" s="569"/>
    </row>
    <row r="348" spans="1:202" s="554" customFormat="1" ht="18" customHeight="1">
      <c r="A348" s="591"/>
      <c r="B348" s="569"/>
      <c r="C348" s="1152"/>
      <c r="D348" s="1152"/>
      <c r="E348" s="1152"/>
      <c r="F348" s="1152"/>
      <c r="G348" s="1152"/>
      <c r="H348" s="1152"/>
      <c r="I348" s="1152"/>
      <c r="J348" s="1152"/>
      <c r="K348" s="1152"/>
      <c r="L348" s="1152"/>
      <c r="M348" s="569"/>
      <c r="N348" s="569"/>
      <c r="O348" s="569"/>
      <c r="P348" s="569"/>
      <c r="Q348" s="569"/>
      <c r="R348" s="569"/>
      <c r="S348" s="569"/>
      <c r="T348" s="569"/>
      <c r="U348" s="569"/>
      <c r="V348" s="569"/>
      <c r="W348" s="569"/>
      <c r="X348" s="569"/>
      <c r="Y348" s="569"/>
      <c r="Z348" s="569"/>
      <c r="AA348" s="569"/>
      <c r="AB348" s="569"/>
      <c r="AC348" s="569"/>
      <c r="AD348" s="569"/>
      <c r="AE348" s="569"/>
      <c r="AF348" s="569"/>
      <c r="AG348" s="569"/>
      <c r="AH348" s="569"/>
      <c r="AI348" s="569"/>
      <c r="AJ348" s="569"/>
      <c r="AK348" s="569"/>
      <c r="AL348" s="569"/>
      <c r="AM348" s="569"/>
      <c r="AN348" s="569"/>
      <c r="AO348" s="569"/>
      <c r="AP348" s="569"/>
      <c r="AQ348" s="569"/>
      <c r="AR348" s="569"/>
      <c r="AS348" s="569"/>
      <c r="AT348" s="569"/>
      <c r="AU348" s="569"/>
      <c r="AV348" s="569"/>
      <c r="AW348" s="569"/>
      <c r="AX348" s="569"/>
      <c r="AY348" s="569"/>
      <c r="AZ348" s="569"/>
      <c r="BA348" s="569"/>
      <c r="BB348" s="569"/>
      <c r="BC348" s="569"/>
      <c r="BD348" s="569"/>
      <c r="BE348" s="569"/>
      <c r="BF348" s="569"/>
      <c r="BG348" s="569"/>
      <c r="BH348" s="569"/>
      <c r="BI348" s="569"/>
      <c r="BJ348" s="569"/>
      <c r="BK348" s="569"/>
      <c r="BL348" s="569"/>
      <c r="BM348" s="569"/>
      <c r="BN348" s="569"/>
      <c r="BO348" s="569"/>
      <c r="BP348" s="569"/>
      <c r="BQ348" s="569"/>
      <c r="BR348" s="569"/>
      <c r="BS348" s="569"/>
      <c r="BT348" s="569"/>
      <c r="BU348" s="569"/>
      <c r="BV348" s="569"/>
      <c r="BW348" s="569"/>
      <c r="BX348" s="569"/>
      <c r="BY348" s="569"/>
      <c r="BZ348" s="569"/>
      <c r="CA348" s="569"/>
      <c r="CB348" s="569"/>
      <c r="CC348" s="569"/>
      <c r="CD348" s="569"/>
      <c r="CE348" s="569"/>
      <c r="CF348" s="569"/>
      <c r="CG348" s="569"/>
      <c r="CH348" s="569"/>
      <c r="CI348" s="569"/>
      <c r="CJ348" s="569"/>
      <c r="CK348" s="569"/>
      <c r="CL348" s="569"/>
      <c r="CM348" s="569"/>
      <c r="CN348" s="569"/>
      <c r="CO348" s="569"/>
      <c r="CP348" s="569"/>
      <c r="CQ348" s="569"/>
      <c r="CR348" s="569"/>
      <c r="CS348" s="569"/>
      <c r="CT348" s="569"/>
      <c r="CU348" s="569"/>
      <c r="CV348" s="569"/>
      <c r="CW348" s="569"/>
      <c r="CX348" s="569"/>
      <c r="CY348" s="569"/>
      <c r="CZ348" s="569"/>
      <c r="DA348" s="569"/>
      <c r="DB348" s="569"/>
      <c r="DC348" s="569"/>
      <c r="DD348" s="569"/>
      <c r="DE348" s="569"/>
      <c r="DF348" s="569"/>
      <c r="DG348" s="569"/>
      <c r="DH348" s="569"/>
      <c r="DI348" s="569"/>
      <c r="DJ348" s="569"/>
      <c r="DK348" s="569"/>
      <c r="DL348" s="569"/>
      <c r="DM348" s="569"/>
      <c r="DN348" s="569"/>
      <c r="DO348" s="569"/>
      <c r="DP348" s="569"/>
      <c r="DQ348" s="569"/>
      <c r="DR348" s="569"/>
      <c r="DS348" s="569"/>
      <c r="DT348" s="569"/>
      <c r="DU348" s="569"/>
      <c r="DV348" s="569"/>
      <c r="DW348" s="569"/>
      <c r="DX348" s="569"/>
      <c r="DY348" s="569"/>
      <c r="DZ348" s="569"/>
      <c r="EA348" s="569"/>
      <c r="EB348" s="569"/>
      <c r="EC348" s="569"/>
      <c r="ED348" s="569"/>
      <c r="EE348" s="569"/>
      <c r="EF348" s="569"/>
      <c r="EG348" s="569"/>
      <c r="EH348" s="569"/>
      <c r="EI348" s="569"/>
      <c r="EJ348" s="569"/>
      <c r="EK348" s="569"/>
      <c r="EL348" s="569"/>
      <c r="EM348" s="569"/>
      <c r="EN348" s="569"/>
      <c r="EO348" s="569"/>
      <c r="EP348" s="569"/>
      <c r="EQ348" s="569"/>
      <c r="ER348" s="569"/>
      <c r="ES348" s="569"/>
      <c r="ET348" s="569"/>
      <c r="EU348" s="569"/>
      <c r="EV348" s="569"/>
      <c r="EW348" s="569"/>
      <c r="EX348" s="569"/>
      <c r="EY348" s="569"/>
      <c r="EZ348" s="569"/>
      <c r="FA348" s="569"/>
      <c r="FB348" s="569"/>
      <c r="FC348" s="569"/>
      <c r="FD348" s="569"/>
      <c r="FE348" s="569"/>
      <c r="FF348" s="569"/>
      <c r="FG348" s="569"/>
      <c r="FH348" s="569"/>
      <c r="FI348" s="569"/>
      <c r="FJ348" s="569"/>
      <c r="FK348" s="569"/>
      <c r="FL348" s="569"/>
      <c r="FM348" s="569"/>
      <c r="FN348" s="569"/>
      <c r="FO348" s="569"/>
      <c r="FP348" s="569"/>
      <c r="FQ348" s="569"/>
      <c r="FR348" s="569"/>
      <c r="FS348" s="569"/>
      <c r="FT348" s="569"/>
      <c r="FU348" s="569"/>
      <c r="FV348" s="569"/>
      <c r="FW348" s="569"/>
      <c r="FX348" s="569"/>
      <c r="FY348" s="569"/>
      <c r="FZ348" s="569"/>
      <c r="GA348" s="569"/>
      <c r="GB348" s="569"/>
      <c r="GC348" s="569"/>
      <c r="GD348" s="569"/>
      <c r="GE348" s="569"/>
      <c r="GF348" s="569"/>
      <c r="GG348" s="569"/>
      <c r="GH348" s="569"/>
      <c r="GI348" s="569"/>
      <c r="GJ348" s="569"/>
      <c r="GK348" s="569"/>
      <c r="GL348" s="569"/>
      <c r="GM348" s="569"/>
      <c r="GN348" s="569"/>
      <c r="GO348" s="569"/>
      <c r="GP348" s="569"/>
      <c r="GQ348" s="569"/>
      <c r="GR348" s="569"/>
      <c r="GS348" s="569"/>
      <c r="GT348" s="569"/>
    </row>
    <row r="349" spans="1:202" s="554" customFormat="1" ht="18" customHeight="1">
      <c r="A349" s="591"/>
      <c r="B349" s="569"/>
      <c r="C349" s="1152"/>
      <c r="D349" s="1152"/>
      <c r="E349" s="1152"/>
      <c r="F349" s="1152"/>
      <c r="G349" s="1152"/>
      <c r="H349" s="1152"/>
      <c r="I349" s="1152"/>
      <c r="J349" s="1152"/>
      <c r="K349" s="1152"/>
      <c r="L349" s="1152"/>
      <c r="M349" s="569"/>
      <c r="N349" s="569"/>
      <c r="O349" s="569"/>
      <c r="P349" s="569"/>
      <c r="Q349" s="569"/>
      <c r="R349" s="569"/>
      <c r="S349" s="569"/>
      <c r="T349" s="569"/>
      <c r="U349" s="569"/>
      <c r="V349" s="569"/>
      <c r="W349" s="569"/>
      <c r="X349" s="569"/>
      <c r="Y349" s="569"/>
      <c r="Z349" s="569"/>
      <c r="AA349" s="569"/>
      <c r="AB349" s="569"/>
      <c r="AC349" s="569"/>
      <c r="AD349" s="569"/>
      <c r="AE349" s="569"/>
      <c r="AF349" s="569"/>
      <c r="AG349" s="569"/>
      <c r="AH349" s="569"/>
      <c r="AI349" s="569"/>
      <c r="AJ349" s="569"/>
      <c r="AK349" s="569"/>
      <c r="AL349" s="569"/>
      <c r="AM349" s="569"/>
      <c r="AN349" s="569"/>
      <c r="AO349" s="569"/>
      <c r="AP349" s="569"/>
      <c r="AQ349" s="569"/>
      <c r="AR349" s="569"/>
      <c r="AS349" s="569"/>
      <c r="AT349" s="569"/>
      <c r="AU349" s="569"/>
      <c r="AV349" s="569"/>
      <c r="AW349" s="569"/>
      <c r="AX349" s="569"/>
      <c r="AY349" s="569"/>
      <c r="AZ349" s="569"/>
      <c r="BA349" s="569"/>
      <c r="BB349" s="569"/>
      <c r="BC349" s="569"/>
      <c r="BD349" s="569"/>
      <c r="BE349" s="569"/>
      <c r="BF349" s="569"/>
      <c r="BG349" s="569"/>
      <c r="BH349" s="569"/>
      <c r="BI349" s="569"/>
      <c r="BJ349" s="569"/>
      <c r="BK349" s="569"/>
      <c r="BL349" s="569"/>
      <c r="BM349" s="569"/>
      <c r="BN349" s="569"/>
      <c r="BO349" s="569"/>
      <c r="BP349" s="569"/>
      <c r="BQ349" s="569"/>
      <c r="BR349" s="569"/>
      <c r="BS349" s="569"/>
      <c r="BT349" s="569"/>
      <c r="BU349" s="569"/>
      <c r="BV349" s="569"/>
      <c r="BW349" s="569"/>
      <c r="BX349" s="569"/>
      <c r="BY349" s="569"/>
      <c r="BZ349" s="569"/>
      <c r="CA349" s="569"/>
      <c r="CB349" s="569"/>
      <c r="CC349" s="569"/>
      <c r="CD349" s="569"/>
      <c r="CE349" s="569"/>
      <c r="CF349" s="569"/>
      <c r="CG349" s="569"/>
      <c r="CH349" s="569"/>
      <c r="CI349" s="569"/>
      <c r="CJ349" s="569"/>
      <c r="CK349" s="569"/>
      <c r="CL349" s="569"/>
      <c r="CM349" s="569"/>
      <c r="CN349" s="569"/>
      <c r="CO349" s="569"/>
      <c r="CP349" s="569"/>
      <c r="CQ349" s="569"/>
      <c r="CR349" s="569"/>
      <c r="CS349" s="569"/>
      <c r="CT349" s="569"/>
      <c r="CU349" s="569"/>
      <c r="CV349" s="569"/>
      <c r="CW349" s="569"/>
      <c r="CX349" s="569"/>
      <c r="CY349" s="569"/>
      <c r="CZ349" s="569"/>
      <c r="DA349" s="569"/>
      <c r="DB349" s="569"/>
      <c r="DC349" s="569"/>
      <c r="DD349" s="569"/>
      <c r="DE349" s="569"/>
      <c r="DF349" s="569"/>
      <c r="DG349" s="569"/>
      <c r="DH349" s="569"/>
      <c r="DI349" s="569"/>
      <c r="DJ349" s="569"/>
      <c r="DK349" s="569"/>
      <c r="DL349" s="569"/>
      <c r="DM349" s="569"/>
      <c r="DN349" s="569"/>
      <c r="DO349" s="569"/>
      <c r="DP349" s="569"/>
      <c r="DQ349" s="569"/>
      <c r="DR349" s="569"/>
      <c r="DS349" s="569"/>
      <c r="DT349" s="569"/>
      <c r="DU349" s="569"/>
      <c r="DV349" s="569"/>
      <c r="DW349" s="569"/>
      <c r="DX349" s="569"/>
      <c r="DY349" s="569"/>
      <c r="DZ349" s="569"/>
      <c r="EA349" s="569"/>
      <c r="EB349" s="569"/>
      <c r="EC349" s="569"/>
      <c r="ED349" s="569"/>
      <c r="EE349" s="569"/>
      <c r="EF349" s="569"/>
      <c r="EG349" s="569"/>
      <c r="EH349" s="569"/>
      <c r="EI349" s="569"/>
      <c r="EJ349" s="569"/>
      <c r="EK349" s="569"/>
      <c r="EL349" s="569"/>
      <c r="EM349" s="569"/>
      <c r="EN349" s="569"/>
      <c r="EO349" s="569"/>
      <c r="EP349" s="569"/>
      <c r="EQ349" s="569"/>
      <c r="ER349" s="569"/>
      <c r="ES349" s="569"/>
      <c r="ET349" s="569"/>
      <c r="EU349" s="569"/>
      <c r="EV349" s="569"/>
      <c r="EW349" s="569"/>
      <c r="EX349" s="569"/>
      <c r="EY349" s="569"/>
      <c r="EZ349" s="569"/>
      <c r="FA349" s="569"/>
      <c r="FB349" s="569"/>
      <c r="FC349" s="569"/>
      <c r="FD349" s="569"/>
      <c r="FE349" s="569"/>
      <c r="FF349" s="569"/>
      <c r="FG349" s="569"/>
      <c r="FH349" s="569"/>
      <c r="FI349" s="569"/>
      <c r="FJ349" s="569"/>
      <c r="FK349" s="569"/>
      <c r="FL349" s="569"/>
      <c r="FM349" s="569"/>
      <c r="FN349" s="569"/>
      <c r="FO349" s="569"/>
      <c r="FP349" s="569"/>
      <c r="FQ349" s="569"/>
      <c r="FR349" s="569"/>
      <c r="FS349" s="569"/>
      <c r="FT349" s="569"/>
      <c r="FU349" s="569"/>
      <c r="FV349" s="569"/>
      <c r="FW349" s="569"/>
      <c r="FX349" s="569"/>
      <c r="FY349" s="569"/>
      <c r="FZ349" s="569"/>
      <c r="GA349" s="569"/>
      <c r="GB349" s="569"/>
      <c r="GC349" s="569"/>
      <c r="GD349" s="569"/>
      <c r="GE349" s="569"/>
      <c r="GF349" s="569"/>
      <c r="GG349" s="569"/>
      <c r="GH349" s="569"/>
      <c r="GI349" s="569"/>
      <c r="GJ349" s="569"/>
      <c r="GK349" s="569"/>
      <c r="GL349" s="569"/>
      <c r="GM349" s="569"/>
      <c r="GN349" s="569"/>
      <c r="GO349" s="569"/>
      <c r="GP349" s="569"/>
      <c r="GQ349" s="569"/>
      <c r="GR349" s="569"/>
      <c r="GS349" s="569"/>
      <c r="GT349" s="569"/>
    </row>
    <row r="350" spans="1:202" s="554" customFormat="1" ht="18" customHeight="1">
      <c r="A350" s="591"/>
      <c r="B350" s="569"/>
      <c r="C350" s="1152"/>
      <c r="D350" s="1152"/>
      <c r="E350" s="1152"/>
      <c r="F350" s="1152"/>
      <c r="G350" s="1152"/>
      <c r="H350" s="1152"/>
      <c r="I350" s="1152"/>
      <c r="J350" s="1152"/>
      <c r="K350" s="1152"/>
      <c r="L350" s="1152"/>
      <c r="M350" s="569"/>
      <c r="N350" s="569"/>
      <c r="O350" s="569"/>
      <c r="P350" s="569"/>
      <c r="Q350" s="569"/>
      <c r="R350" s="569"/>
      <c r="S350" s="569"/>
      <c r="T350" s="569"/>
      <c r="U350" s="569"/>
      <c r="V350" s="569"/>
      <c r="W350" s="569"/>
      <c r="X350" s="569"/>
      <c r="Y350" s="569"/>
      <c r="Z350" s="569"/>
      <c r="AA350" s="569"/>
      <c r="AB350" s="569"/>
      <c r="AC350" s="569"/>
      <c r="AD350" s="569"/>
      <c r="AE350" s="569"/>
      <c r="AF350" s="569"/>
      <c r="AG350" s="569"/>
      <c r="AH350" s="569"/>
      <c r="AI350" s="569"/>
      <c r="AJ350" s="569"/>
      <c r="AK350" s="569"/>
      <c r="AL350" s="569"/>
      <c r="AM350" s="569"/>
      <c r="AN350" s="569"/>
      <c r="AO350" s="569"/>
      <c r="AP350" s="569"/>
      <c r="AQ350" s="569"/>
      <c r="AR350" s="569"/>
      <c r="AS350" s="569"/>
      <c r="AT350" s="569"/>
      <c r="AU350" s="569"/>
      <c r="AV350" s="569"/>
      <c r="AW350" s="569"/>
      <c r="AX350" s="569"/>
      <c r="AY350" s="569"/>
      <c r="AZ350" s="569"/>
      <c r="BA350" s="569"/>
      <c r="BB350" s="569"/>
      <c r="BC350" s="569"/>
      <c r="BD350" s="569"/>
      <c r="BE350" s="569"/>
      <c r="BF350" s="569"/>
      <c r="BG350" s="569"/>
      <c r="BH350" s="569"/>
      <c r="BI350" s="569"/>
      <c r="BJ350" s="569"/>
      <c r="BK350" s="569"/>
      <c r="BL350" s="569"/>
      <c r="BM350" s="569"/>
      <c r="BN350" s="569"/>
      <c r="BO350" s="569"/>
      <c r="BP350" s="569"/>
      <c r="BQ350" s="569"/>
      <c r="BR350" s="569"/>
      <c r="BS350" s="569"/>
      <c r="BT350" s="569"/>
      <c r="BU350" s="569"/>
      <c r="BV350" s="569"/>
      <c r="BW350" s="569"/>
      <c r="BX350" s="569"/>
      <c r="BY350" s="569"/>
      <c r="BZ350" s="569"/>
      <c r="CA350" s="569"/>
      <c r="CB350" s="569"/>
      <c r="CC350" s="569"/>
      <c r="CD350" s="569"/>
      <c r="CE350" s="569"/>
      <c r="CF350" s="569"/>
      <c r="CG350" s="569"/>
      <c r="CH350" s="569"/>
      <c r="CI350" s="569"/>
      <c r="CJ350" s="569"/>
      <c r="CK350" s="569"/>
      <c r="CL350" s="569"/>
      <c r="CM350" s="569"/>
      <c r="CN350" s="569"/>
      <c r="CO350" s="569"/>
      <c r="CP350" s="569"/>
      <c r="CQ350" s="569"/>
      <c r="CR350" s="569"/>
      <c r="CS350" s="569"/>
      <c r="CT350" s="569"/>
      <c r="CU350" s="569"/>
      <c r="CV350" s="569"/>
      <c r="CW350" s="569"/>
      <c r="CX350" s="569"/>
      <c r="CY350" s="569"/>
      <c r="CZ350" s="569"/>
      <c r="DA350" s="569"/>
      <c r="DB350" s="569"/>
      <c r="DC350" s="569"/>
      <c r="DD350" s="569"/>
      <c r="DE350" s="569"/>
      <c r="DF350" s="569"/>
      <c r="DG350" s="569"/>
      <c r="DH350" s="569"/>
      <c r="DI350" s="569"/>
      <c r="DJ350" s="569"/>
      <c r="DK350" s="569"/>
      <c r="DL350" s="569"/>
      <c r="DM350" s="569"/>
      <c r="DN350" s="569"/>
      <c r="DO350" s="569"/>
      <c r="DP350" s="569"/>
      <c r="DQ350" s="569"/>
      <c r="DR350" s="569"/>
      <c r="DS350" s="569"/>
      <c r="DT350" s="569"/>
      <c r="DU350" s="569"/>
      <c r="DV350" s="569"/>
      <c r="DW350" s="569"/>
      <c r="DX350" s="569"/>
      <c r="DY350" s="569"/>
      <c r="DZ350" s="569"/>
      <c r="EA350" s="569"/>
      <c r="EB350" s="569"/>
      <c r="EC350" s="569"/>
      <c r="ED350" s="569"/>
      <c r="EE350" s="569"/>
      <c r="EF350" s="569"/>
      <c r="EG350" s="569"/>
      <c r="EH350" s="569"/>
      <c r="EI350" s="569"/>
      <c r="EJ350" s="569"/>
      <c r="EK350" s="569"/>
      <c r="EL350" s="569"/>
      <c r="EM350" s="569"/>
      <c r="EN350" s="569"/>
      <c r="EO350" s="569"/>
      <c r="EP350" s="569"/>
      <c r="EQ350" s="569"/>
      <c r="ER350" s="569"/>
      <c r="ES350" s="569"/>
      <c r="ET350" s="569"/>
      <c r="EU350" s="569"/>
      <c r="EV350" s="569"/>
      <c r="EW350" s="569"/>
      <c r="EX350" s="569"/>
      <c r="EY350" s="569"/>
      <c r="EZ350" s="569"/>
      <c r="FA350" s="569"/>
      <c r="FB350" s="569"/>
      <c r="FC350" s="569"/>
      <c r="FD350" s="569"/>
      <c r="FE350" s="569"/>
      <c r="FF350" s="569"/>
      <c r="FG350" s="569"/>
      <c r="FH350" s="569"/>
      <c r="FI350" s="569"/>
      <c r="FJ350" s="569"/>
      <c r="FK350" s="569"/>
      <c r="FL350" s="569"/>
      <c r="FM350" s="569"/>
      <c r="FN350" s="569"/>
      <c r="FO350" s="569"/>
      <c r="FP350" s="569"/>
      <c r="FQ350" s="569"/>
      <c r="FR350" s="569"/>
      <c r="FS350" s="569"/>
      <c r="FT350" s="569"/>
      <c r="FU350" s="569"/>
      <c r="FV350" s="569"/>
      <c r="FW350" s="569"/>
      <c r="FX350" s="569"/>
      <c r="FY350" s="569"/>
      <c r="FZ350" s="569"/>
      <c r="GA350" s="569"/>
      <c r="GB350" s="569"/>
      <c r="GC350" s="569"/>
      <c r="GD350" s="569"/>
      <c r="GE350" s="569"/>
      <c r="GF350" s="569"/>
      <c r="GG350" s="569"/>
      <c r="GH350" s="569"/>
      <c r="GI350" s="569"/>
      <c r="GJ350" s="569"/>
      <c r="GK350" s="569"/>
      <c r="GL350" s="569"/>
      <c r="GM350" s="569"/>
      <c r="GN350" s="569"/>
      <c r="GO350" s="569"/>
      <c r="GP350" s="569"/>
      <c r="GQ350" s="569"/>
      <c r="GR350" s="569"/>
      <c r="GS350" s="569"/>
      <c r="GT350" s="569"/>
    </row>
    <row r="351" spans="1:202" s="554" customFormat="1" ht="18" customHeight="1">
      <c r="A351" s="591"/>
      <c r="B351" s="569"/>
      <c r="C351" s="1152"/>
      <c r="D351" s="1152"/>
      <c r="E351" s="1152"/>
      <c r="F351" s="1152"/>
      <c r="G351" s="1152"/>
      <c r="H351" s="1152"/>
      <c r="I351" s="1152"/>
      <c r="J351" s="1152"/>
      <c r="K351" s="1152"/>
      <c r="L351" s="1152"/>
      <c r="M351" s="569"/>
      <c r="N351" s="569"/>
      <c r="O351" s="569"/>
      <c r="P351" s="569"/>
      <c r="Q351" s="569"/>
      <c r="R351" s="569"/>
      <c r="S351" s="569"/>
      <c r="T351" s="569"/>
      <c r="U351" s="569"/>
      <c r="V351" s="569"/>
      <c r="W351" s="569"/>
      <c r="X351" s="569"/>
      <c r="Y351" s="569"/>
      <c r="Z351" s="569"/>
      <c r="AA351" s="569"/>
      <c r="AB351" s="569"/>
      <c r="AC351" s="569"/>
      <c r="AD351" s="569"/>
      <c r="AE351" s="569"/>
      <c r="AF351" s="569"/>
      <c r="AG351" s="569"/>
      <c r="AH351" s="569"/>
      <c r="AI351" s="569"/>
      <c r="AJ351" s="569"/>
      <c r="AK351" s="569"/>
      <c r="AL351" s="569"/>
      <c r="AM351" s="569"/>
      <c r="AN351" s="569"/>
      <c r="AO351" s="569"/>
      <c r="AP351" s="569"/>
      <c r="AQ351" s="569"/>
      <c r="AR351" s="569"/>
      <c r="AS351" s="569"/>
      <c r="AT351" s="569"/>
      <c r="AU351" s="569"/>
      <c r="AV351" s="569"/>
      <c r="AW351" s="569"/>
      <c r="AX351" s="569"/>
      <c r="AY351" s="569"/>
      <c r="AZ351" s="569"/>
      <c r="BA351" s="569"/>
      <c r="BB351" s="569"/>
      <c r="BC351" s="569"/>
      <c r="BD351" s="569"/>
      <c r="BE351" s="569"/>
      <c r="BF351" s="569"/>
      <c r="BG351" s="569"/>
      <c r="BH351" s="569"/>
      <c r="BI351" s="569"/>
      <c r="BJ351" s="569"/>
      <c r="BK351" s="569"/>
      <c r="BL351" s="569"/>
      <c r="BM351" s="569"/>
      <c r="BN351" s="569"/>
      <c r="BO351" s="569"/>
      <c r="BP351" s="569"/>
      <c r="BQ351" s="569"/>
      <c r="BR351" s="569"/>
      <c r="BS351" s="569"/>
      <c r="BT351" s="569"/>
      <c r="BU351" s="569"/>
      <c r="BV351" s="569"/>
      <c r="BW351" s="569"/>
      <c r="BX351" s="569"/>
      <c r="BY351" s="569"/>
      <c r="BZ351" s="569"/>
      <c r="CA351" s="569"/>
      <c r="CB351" s="569"/>
      <c r="CC351" s="569"/>
      <c r="CD351" s="569"/>
      <c r="CE351" s="569"/>
      <c r="CF351" s="569"/>
      <c r="CG351" s="569"/>
      <c r="CH351" s="569"/>
      <c r="CI351" s="569"/>
      <c r="CJ351" s="569"/>
      <c r="CK351" s="569"/>
      <c r="CL351" s="569"/>
      <c r="CM351" s="569"/>
      <c r="CN351" s="569"/>
      <c r="CO351" s="569"/>
      <c r="CP351" s="569"/>
      <c r="CQ351" s="569"/>
      <c r="CR351" s="569"/>
      <c r="CS351" s="569"/>
      <c r="CT351" s="569"/>
      <c r="CU351" s="569"/>
      <c r="CV351" s="569"/>
      <c r="CW351" s="569"/>
      <c r="CX351" s="569"/>
      <c r="CY351" s="569"/>
      <c r="CZ351" s="569"/>
      <c r="DA351" s="569"/>
      <c r="DB351" s="569"/>
      <c r="DC351" s="569"/>
      <c r="DD351" s="569"/>
      <c r="DE351" s="569"/>
      <c r="DF351" s="569"/>
      <c r="DG351" s="569"/>
      <c r="DH351" s="569"/>
      <c r="DI351" s="569"/>
      <c r="DJ351" s="569"/>
      <c r="DK351" s="569"/>
      <c r="DL351" s="569"/>
      <c r="DM351" s="569"/>
      <c r="DN351" s="569"/>
      <c r="DO351" s="569"/>
      <c r="DP351" s="569"/>
      <c r="DQ351" s="569"/>
      <c r="DR351" s="569"/>
      <c r="DS351" s="569"/>
      <c r="DT351" s="569"/>
      <c r="DU351" s="569"/>
      <c r="DV351" s="569"/>
      <c r="DW351" s="569"/>
      <c r="DX351" s="569"/>
      <c r="DY351" s="569"/>
      <c r="DZ351" s="569"/>
      <c r="EA351" s="569"/>
      <c r="EB351" s="569"/>
      <c r="EC351" s="569"/>
      <c r="ED351" s="569"/>
      <c r="EE351" s="569"/>
      <c r="EF351" s="569"/>
      <c r="EG351" s="569"/>
      <c r="EH351" s="569"/>
      <c r="EI351" s="569"/>
      <c r="EJ351" s="569"/>
      <c r="EK351" s="569"/>
      <c r="EL351" s="569"/>
      <c r="EM351" s="569"/>
      <c r="EN351" s="569"/>
      <c r="EO351" s="569"/>
      <c r="EP351" s="569"/>
      <c r="EQ351" s="569"/>
      <c r="ER351" s="569"/>
      <c r="ES351" s="569"/>
      <c r="ET351" s="569"/>
      <c r="EU351" s="569"/>
      <c r="EV351" s="569"/>
      <c r="EW351" s="569"/>
      <c r="EX351" s="569"/>
      <c r="EY351" s="569"/>
      <c r="EZ351" s="569"/>
      <c r="FA351" s="569"/>
      <c r="FB351" s="569"/>
      <c r="FC351" s="569"/>
      <c r="FD351" s="569"/>
      <c r="FE351" s="569"/>
      <c r="FF351" s="569"/>
      <c r="FG351" s="569"/>
      <c r="FH351" s="569"/>
      <c r="FI351" s="569"/>
      <c r="FJ351" s="569"/>
      <c r="FK351" s="569"/>
      <c r="FL351" s="569"/>
      <c r="FM351" s="569"/>
      <c r="FN351" s="569"/>
      <c r="FO351" s="569"/>
      <c r="FP351" s="569"/>
      <c r="FQ351" s="569"/>
      <c r="FR351" s="569"/>
      <c r="FS351" s="569"/>
      <c r="FT351" s="569"/>
      <c r="FU351" s="569"/>
      <c r="FV351" s="569"/>
      <c r="FW351" s="569"/>
      <c r="FX351" s="569"/>
      <c r="FY351" s="569"/>
      <c r="FZ351" s="569"/>
      <c r="GA351" s="569"/>
      <c r="GB351" s="569"/>
      <c r="GC351" s="569"/>
      <c r="GD351" s="569"/>
      <c r="GE351" s="569"/>
      <c r="GF351" s="569"/>
      <c r="GG351" s="569"/>
      <c r="GH351" s="569"/>
      <c r="GI351" s="569"/>
      <c r="GJ351" s="569"/>
      <c r="GK351" s="569"/>
      <c r="GL351" s="569"/>
      <c r="GM351" s="569"/>
      <c r="GN351" s="569"/>
      <c r="GO351" s="569"/>
      <c r="GP351" s="569"/>
      <c r="GQ351" s="569"/>
      <c r="GR351" s="569"/>
      <c r="GS351" s="569"/>
      <c r="GT351" s="569"/>
    </row>
    <row r="352" spans="1:202" s="554" customFormat="1" ht="18" customHeight="1">
      <c r="A352" s="591"/>
      <c r="B352" s="569"/>
      <c r="C352" s="1152"/>
      <c r="D352" s="1152"/>
      <c r="E352" s="1152"/>
      <c r="F352" s="1152"/>
      <c r="G352" s="1152"/>
      <c r="H352" s="1152"/>
      <c r="I352" s="1152"/>
      <c r="J352" s="1152"/>
      <c r="K352" s="1152"/>
      <c r="L352" s="1152"/>
      <c r="M352" s="569"/>
      <c r="N352" s="569"/>
      <c r="O352" s="569"/>
      <c r="P352" s="569"/>
      <c r="Q352" s="569"/>
      <c r="R352" s="569"/>
      <c r="S352" s="569"/>
      <c r="T352" s="569"/>
      <c r="U352" s="569"/>
      <c r="V352" s="569"/>
      <c r="W352" s="569"/>
      <c r="X352" s="569"/>
      <c r="Y352" s="569"/>
      <c r="Z352" s="569"/>
      <c r="AA352" s="569"/>
      <c r="AB352" s="569"/>
      <c r="AC352" s="569"/>
      <c r="AD352" s="569"/>
      <c r="AE352" s="569"/>
      <c r="AF352" s="569"/>
      <c r="AG352" s="569"/>
      <c r="AH352" s="569"/>
      <c r="AI352" s="569"/>
      <c r="AJ352" s="569"/>
      <c r="AK352" s="569"/>
      <c r="AL352" s="569"/>
      <c r="AM352" s="569"/>
      <c r="AN352" s="569"/>
      <c r="AO352" s="569"/>
      <c r="AP352" s="569"/>
      <c r="AQ352" s="569"/>
      <c r="AR352" s="569"/>
      <c r="AS352" s="569"/>
      <c r="AT352" s="569"/>
      <c r="AU352" s="569"/>
      <c r="AV352" s="569"/>
      <c r="AW352" s="569"/>
      <c r="AX352" s="569"/>
      <c r="AY352" s="569"/>
      <c r="AZ352" s="569"/>
      <c r="BA352" s="569"/>
      <c r="BB352" s="569"/>
      <c r="BC352" s="569"/>
      <c r="BD352" s="569"/>
      <c r="BE352" s="569"/>
      <c r="BF352" s="569"/>
      <c r="BG352" s="569"/>
      <c r="BH352" s="569"/>
      <c r="BI352" s="569"/>
      <c r="BJ352" s="569"/>
      <c r="BK352" s="569"/>
      <c r="BL352" s="569"/>
      <c r="BM352" s="569"/>
      <c r="BN352" s="569"/>
      <c r="BO352" s="569"/>
      <c r="BP352" s="569"/>
      <c r="BQ352" s="569"/>
      <c r="BR352" s="569"/>
      <c r="BS352" s="569"/>
      <c r="BT352" s="569"/>
      <c r="BU352" s="569"/>
      <c r="BV352" s="569"/>
      <c r="BW352" s="569"/>
      <c r="BX352" s="569"/>
      <c r="BY352" s="569"/>
      <c r="BZ352" s="569"/>
      <c r="CA352" s="569"/>
      <c r="CB352" s="569"/>
      <c r="CC352" s="569"/>
      <c r="CD352" s="569"/>
      <c r="CE352" s="569"/>
      <c r="CF352" s="569"/>
      <c r="CG352" s="569"/>
      <c r="CH352" s="569"/>
      <c r="CI352" s="569"/>
      <c r="CJ352" s="569"/>
      <c r="CK352" s="569"/>
      <c r="CL352" s="569"/>
      <c r="CM352" s="569"/>
      <c r="CN352" s="569"/>
      <c r="CO352" s="569"/>
      <c r="CP352" s="569"/>
      <c r="CQ352" s="569"/>
      <c r="CR352" s="569"/>
      <c r="CS352" s="569"/>
      <c r="CT352" s="569"/>
      <c r="CU352" s="569"/>
      <c r="CV352" s="569"/>
      <c r="CW352" s="569"/>
      <c r="CX352" s="569"/>
      <c r="CY352" s="569"/>
      <c r="CZ352" s="569"/>
      <c r="DA352" s="569"/>
      <c r="DB352" s="569"/>
      <c r="DC352" s="569"/>
      <c r="DD352" s="569"/>
      <c r="DE352" s="569"/>
      <c r="DF352" s="569"/>
      <c r="DG352" s="569"/>
      <c r="DH352" s="569"/>
      <c r="DI352" s="569"/>
      <c r="DJ352" s="569"/>
      <c r="DK352" s="569"/>
      <c r="DL352" s="569"/>
      <c r="DM352" s="569"/>
      <c r="DN352" s="569"/>
      <c r="DO352" s="569"/>
      <c r="DP352" s="569"/>
      <c r="DQ352" s="569"/>
      <c r="DR352" s="569"/>
      <c r="DS352" s="569"/>
      <c r="DT352" s="569"/>
      <c r="DU352" s="569"/>
      <c r="DV352" s="569"/>
      <c r="DW352" s="569"/>
      <c r="DX352" s="569"/>
      <c r="DY352" s="569"/>
      <c r="DZ352" s="569"/>
      <c r="EA352" s="569"/>
      <c r="EB352" s="569"/>
      <c r="EC352" s="569"/>
      <c r="ED352" s="569"/>
      <c r="EE352" s="569"/>
      <c r="EF352" s="569"/>
      <c r="EG352" s="569"/>
      <c r="EH352" s="569"/>
      <c r="EI352" s="569"/>
      <c r="EJ352" s="569"/>
      <c r="EK352" s="569"/>
      <c r="EL352" s="569"/>
      <c r="EM352" s="569"/>
      <c r="EN352" s="569"/>
      <c r="EO352" s="569"/>
      <c r="EP352" s="569"/>
      <c r="EQ352" s="569"/>
      <c r="ER352" s="569"/>
      <c r="ES352" s="569"/>
      <c r="ET352" s="569"/>
      <c r="EU352" s="569"/>
      <c r="EV352" s="569"/>
      <c r="EW352" s="569"/>
      <c r="EX352" s="569"/>
      <c r="EY352" s="569"/>
      <c r="EZ352" s="569"/>
      <c r="FA352" s="569"/>
      <c r="FB352" s="569"/>
      <c r="FC352" s="569"/>
      <c r="FD352" s="569"/>
      <c r="FE352" s="569"/>
      <c r="FF352" s="569"/>
      <c r="FG352" s="569"/>
      <c r="FH352" s="569"/>
      <c r="FI352" s="569"/>
      <c r="FJ352" s="569"/>
      <c r="FK352" s="569"/>
      <c r="FL352" s="569"/>
      <c r="FM352" s="569"/>
      <c r="FN352" s="569"/>
      <c r="FO352" s="569"/>
      <c r="FP352" s="569"/>
      <c r="FQ352" s="569"/>
      <c r="FR352" s="569"/>
      <c r="FS352" s="569"/>
      <c r="FT352" s="569"/>
      <c r="FU352" s="569"/>
      <c r="FV352" s="569"/>
      <c r="FW352" s="569"/>
      <c r="FX352" s="569"/>
      <c r="FY352" s="569"/>
      <c r="FZ352" s="569"/>
      <c r="GA352" s="569"/>
      <c r="GB352" s="569"/>
      <c r="GC352" s="569"/>
      <c r="GD352" s="569"/>
      <c r="GE352" s="569"/>
      <c r="GF352" s="569"/>
      <c r="GG352" s="569"/>
      <c r="GH352" s="569"/>
      <c r="GI352" s="569"/>
      <c r="GJ352" s="569"/>
      <c r="GK352" s="569"/>
      <c r="GL352" s="569"/>
      <c r="GM352" s="569"/>
      <c r="GN352" s="569"/>
      <c r="GO352" s="569"/>
      <c r="GP352" s="569"/>
      <c r="GQ352" s="569"/>
      <c r="GR352" s="569"/>
      <c r="GS352" s="569"/>
      <c r="GT352" s="569"/>
    </row>
    <row r="353" spans="1:202" s="554" customFormat="1" ht="18" customHeight="1">
      <c r="A353" s="591"/>
      <c r="B353" s="569"/>
      <c r="C353" s="1152"/>
      <c r="D353" s="1152"/>
      <c r="E353" s="1152"/>
      <c r="F353" s="1152"/>
      <c r="G353" s="1152"/>
      <c r="H353" s="1152"/>
      <c r="I353" s="1152"/>
      <c r="J353" s="1152"/>
      <c r="K353" s="1152"/>
      <c r="L353" s="1152"/>
      <c r="M353" s="569"/>
      <c r="N353" s="569"/>
      <c r="O353" s="569"/>
      <c r="P353" s="569"/>
      <c r="Q353" s="569"/>
      <c r="R353" s="569"/>
      <c r="S353" s="569"/>
      <c r="T353" s="569"/>
      <c r="U353" s="569"/>
      <c r="V353" s="569"/>
      <c r="W353" s="569"/>
      <c r="X353" s="569"/>
      <c r="Y353" s="569"/>
      <c r="Z353" s="569"/>
      <c r="AA353" s="569"/>
      <c r="AB353" s="569"/>
      <c r="AC353" s="569"/>
      <c r="AD353" s="569"/>
      <c r="AE353" s="569"/>
      <c r="AF353" s="569"/>
      <c r="AG353" s="569"/>
      <c r="AH353" s="569"/>
      <c r="AI353" s="569"/>
      <c r="AJ353" s="569"/>
      <c r="AK353" s="569"/>
      <c r="AL353" s="569"/>
      <c r="AM353" s="569"/>
      <c r="AN353" s="569"/>
      <c r="AO353" s="569"/>
      <c r="AP353" s="569"/>
      <c r="AQ353" s="569"/>
      <c r="AR353" s="569"/>
      <c r="AS353" s="569"/>
      <c r="AT353" s="569"/>
      <c r="AU353" s="569"/>
      <c r="AV353" s="569"/>
      <c r="AW353" s="569"/>
      <c r="AX353" s="569"/>
      <c r="AY353" s="569"/>
      <c r="AZ353" s="569"/>
      <c r="BA353" s="569"/>
      <c r="BB353" s="569"/>
      <c r="BC353" s="569"/>
      <c r="BD353" s="569"/>
      <c r="BE353" s="569"/>
      <c r="BF353" s="569"/>
      <c r="BG353" s="569"/>
      <c r="BH353" s="569"/>
      <c r="BI353" s="569"/>
      <c r="BJ353" s="569"/>
      <c r="BK353" s="569"/>
      <c r="BL353" s="569"/>
      <c r="BM353" s="569"/>
      <c r="BN353" s="569"/>
      <c r="BO353" s="569"/>
      <c r="BP353" s="569"/>
      <c r="BQ353" s="569"/>
      <c r="BR353" s="569"/>
      <c r="BS353" s="569"/>
      <c r="BT353" s="569"/>
      <c r="BU353" s="569"/>
      <c r="BV353" s="569"/>
      <c r="BW353" s="569"/>
      <c r="BX353" s="569"/>
      <c r="BY353" s="569"/>
      <c r="BZ353" s="569"/>
      <c r="CA353" s="569"/>
      <c r="CB353" s="569"/>
      <c r="CC353" s="569"/>
      <c r="CD353" s="569"/>
      <c r="CE353" s="569"/>
      <c r="CF353" s="569"/>
      <c r="CG353" s="569"/>
      <c r="CH353" s="569"/>
      <c r="CI353" s="569"/>
      <c r="CJ353" s="569"/>
      <c r="CK353" s="569"/>
      <c r="CL353" s="569"/>
      <c r="CM353" s="569"/>
      <c r="CN353" s="569"/>
      <c r="CO353" s="569"/>
      <c r="CP353" s="569"/>
      <c r="CQ353" s="569"/>
      <c r="CR353" s="569"/>
      <c r="CS353" s="569"/>
      <c r="CT353" s="569"/>
      <c r="CU353" s="569"/>
      <c r="CV353" s="569"/>
      <c r="CW353" s="569"/>
      <c r="CX353" s="569"/>
      <c r="CY353" s="569"/>
      <c r="CZ353" s="569"/>
      <c r="DA353" s="569"/>
      <c r="DB353" s="569"/>
      <c r="DC353" s="569"/>
      <c r="DD353" s="569"/>
      <c r="DE353" s="569"/>
      <c r="DF353" s="569"/>
      <c r="DG353" s="569"/>
      <c r="DH353" s="569"/>
      <c r="DI353" s="569"/>
      <c r="DJ353" s="569"/>
      <c r="DK353" s="569"/>
      <c r="DL353" s="569"/>
      <c r="DM353" s="569"/>
      <c r="DN353" s="569"/>
      <c r="DO353" s="569"/>
      <c r="DP353" s="569"/>
      <c r="DQ353" s="569"/>
      <c r="DR353" s="569"/>
      <c r="DS353" s="569"/>
      <c r="DT353" s="569"/>
      <c r="DU353" s="569"/>
      <c r="DV353" s="569"/>
      <c r="DW353" s="569"/>
      <c r="DX353" s="569"/>
      <c r="DY353" s="569"/>
      <c r="DZ353" s="569"/>
      <c r="EA353" s="569"/>
      <c r="EB353" s="569"/>
      <c r="EC353" s="569"/>
      <c r="ED353" s="569"/>
      <c r="EE353" s="569"/>
      <c r="EF353" s="569"/>
      <c r="EG353" s="569"/>
      <c r="EH353" s="569"/>
      <c r="EI353" s="569"/>
      <c r="EJ353" s="569"/>
      <c r="EK353" s="569"/>
      <c r="EL353" s="569"/>
      <c r="EM353" s="569"/>
      <c r="EN353" s="569"/>
      <c r="EO353" s="569"/>
      <c r="EP353" s="569"/>
      <c r="EQ353" s="569"/>
      <c r="ER353" s="569"/>
      <c r="ES353" s="569"/>
      <c r="ET353" s="569"/>
      <c r="EU353" s="569"/>
      <c r="EV353" s="569"/>
      <c r="EW353" s="569"/>
      <c r="EX353" s="569"/>
      <c r="EY353" s="569"/>
      <c r="EZ353" s="569"/>
      <c r="FA353" s="569"/>
      <c r="FB353" s="569"/>
      <c r="FC353" s="569"/>
      <c r="FD353" s="569"/>
      <c r="FE353" s="569"/>
      <c r="FF353" s="569"/>
      <c r="FG353" s="569"/>
      <c r="FH353" s="569"/>
      <c r="FI353" s="569"/>
      <c r="FJ353" s="569"/>
      <c r="FK353" s="569"/>
      <c r="FL353" s="569"/>
      <c r="FM353" s="569"/>
      <c r="FN353" s="569"/>
      <c r="FO353" s="569"/>
      <c r="FP353" s="569"/>
      <c r="FQ353" s="569"/>
      <c r="FR353" s="569"/>
      <c r="FS353" s="569"/>
      <c r="FT353" s="569"/>
      <c r="FU353" s="569"/>
      <c r="FV353" s="569"/>
      <c r="FW353" s="569"/>
      <c r="FX353" s="569"/>
      <c r="FY353" s="569"/>
      <c r="FZ353" s="569"/>
      <c r="GA353" s="569"/>
      <c r="GB353" s="569"/>
      <c r="GC353" s="569"/>
      <c r="GD353" s="569"/>
      <c r="GE353" s="569"/>
      <c r="GF353" s="569"/>
      <c r="GG353" s="569"/>
      <c r="GH353" s="569"/>
      <c r="GI353" s="569"/>
      <c r="GJ353" s="569"/>
      <c r="GK353" s="569"/>
      <c r="GL353" s="569"/>
      <c r="GM353" s="569"/>
      <c r="GN353" s="569"/>
      <c r="GO353" s="569"/>
      <c r="GP353" s="569"/>
      <c r="GQ353" s="569"/>
      <c r="GR353" s="569"/>
      <c r="GS353" s="569"/>
      <c r="GT353" s="569"/>
    </row>
    <row r="354" spans="1:202" s="554" customFormat="1" ht="18" customHeight="1">
      <c r="A354" s="591"/>
      <c r="B354" s="569"/>
      <c r="C354" s="1152"/>
      <c r="D354" s="1152"/>
      <c r="E354" s="1152"/>
      <c r="F354" s="1152"/>
      <c r="G354" s="1152"/>
      <c r="H354" s="1152"/>
      <c r="I354" s="1152"/>
      <c r="J354" s="1152"/>
      <c r="K354" s="1152"/>
      <c r="L354" s="1152"/>
      <c r="M354" s="569"/>
      <c r="N354" s="569"/>
      <c r="O354" s="569"/>
      <c r="P354" s="569"/>
      <c r="Q354" s="569"/>
      <c r="R354" s="569"/>
      <c r="S354" s="569"/>
      <c r="T354" s="569"/>
      <c r="U354" s="569"/>
      <c r="V354" s="569"/>
      <c r="W354" s="569"/>
      <c r="X354" s="569"/>
      <c r="Y354" s="569"/>
      <c r="Z354" s="569"/>
      <c r="AA354" s="569"/>
      <c r="AB354" s="569"/>
      <c r="AC354" s="569"/>
      <c r="AD354" s="569"/>
      <c r="AE354" s="569"/>
      <c r="AF354" s="569"/>
      <c r="AG354" s="569"/>
      <c r="AH354" s="569"/>
      <c r="AI354" s="569"/>
      <c r="AJ354" s="569"/>
      <c r="AK354" s="569"/>
      <c r="AL354" s="569"/>
      <c r="AM354" s="569"/>
      <c r="AN354" s="569"/>
      <c r="AO354" s="569"/>
      <c r="AP354" s="569"/>
      <c r="AQ354" s="569"/>
      <c r="AR354" s="569"/>
      <c r="AS354" s="569"/>
      <c r="AT354" s="569"/>
      <c r="AU354" s="569"/>
      <c r="AV354" s="569"/>
      <c r="AW354" s="569"/>
      <c r="AX354" s="569"/>
      <c r="AY354" s="569"/>
      <c r="AZ354" s="569"/>
      <c r="BA354" s="569"/>
      <c r="BB354" s="569"/>
      <c r="BC354" s="569"/>
      <c r="BD354" s="569"/>
      <c r="BE354" s="569"/>
      <c r="BF354" s="569"/>
      <c r="BG354" s="569"/>
      <c r="BH354" s="569"/>
      <c r="BI354" s="569"/>
      <c r="BJ354" s="569"/>
      <c r="BK354" s="569"/>
      <c r="BL354" s="569"/>
      <c r="BM354" s="569"/>
      <c r="BN354" s="569"/>
      <c r="BO354" s="569"/>
      <c r="BP354" s="569"/>
      <c r="BQ354" s="569"/>
      <c r="BR354" s="569"/>
      <c r="BS354" s="569"/>
      <c r="BT354" s="569"/>
      <c r="BU354" s="569"/>
      <c r="BV354" s="569"/>
      <c r="BW354" s="569"/>
      <c r="BX354" s="569"/>
      <c r="BY354" s="569"/>
      <c r="BZ354" s="569"/>
      <c r="CA354" s="569"/>
      <c r="CB354" s="569"/>
      <c r="CC354" s="569"/>
      <c r="CD354" s="569"/>
      <c r="CE354" s="569"/>
      <c r="CF354" s="569"/>
      <c r="CG354" s="569"/>
      <c r="CH354" s="569"/>
      <c r="CI354" s="569"/>
      <c r="CJ354" s="569"/>
      <c r="CK354" s="569"/>
      <c r="CL354" s="569"/>
      <c r="CM354" s="569"/>
      <c r="CN354" s="569"/>
      <c r="CO354" s="569"/>
      <c r="CP354" s="569"/>
      <c r="CQ354" s="569"/>
      <c r="CR354" s="569"/>
      <c r="CS354" s="569"/>
      <c r="CT354" s="569"/>
      <c r="CU354" s="569"/>
      <c r="CV354" s="569"/>
      <c r="CW354" s="569"/>
      <c r="CX354" s="569"/>
      <c r="CY354" s="569"/>
      <c r="CZ354" s="569"/>
      <c r="DA354" s="569"/>
      <c r="DB354" s="569"/>
      <c r="DC354" s="569"/>
      <c r="DD354" s="569"/>
      <c r="DE354" s="569"/>
      <c r="DF354" s="569"/>
      <c r="DG354" s="569"/>
      <c r="DH354" s="569"/>
      <c r="DI354" s="569"/>
      <c r="DJ354" s="569"/>
      <c r="DK354" s="569"/>
      <c r="DL354" s="569"/>
      <c r="DM354" s="569"/>
      <c r="DN354" s="569"/>
      <c r="DO354" s="569"/>
      <c r="DP354" s="569"/>
      <c r="DQ354" s="569"/>
      <c r="DR354" s="569"/>
      <c r="DS354" s="569"/>
      <c r="DT354" s="569"/>
      <c r="DU354" s="569"/>
      <c r="DV354" s="569"/>
      <c r="DW354" s="569"/>
      <c r="DX354" s="569"/>
      <c r="DY354" s="569"/>
      <c r="DZ354" s="569"/>
      <c r="EA354" s="569"/>
      <c r="EB354" s="569"/>
      <c r="EC354" s="569"/>
      <c r="ED354" s="569"/>
      <c r="EE354" s="569"/>
      <c r="EF354" s="569"/>
      <c r="EG354" s="569"/>
      <c r="EH354" s="569"/>
      <c r="EI354" s="569"/>
      <c r="EJ354" s="569"/>
      <c r="EK354" s="569"/>
      <c r="EL354" s="569"/>
      <c r="EM354" s="569"/>
      <c r="EN354" s="569"/>
      <c r="EO354" s="569"/>
      <c r="EP354" s="569"/>
      <c r="EQ354" s="569"/>
      <c r="ER354" s="569"/>
      <c r="ES354" s="569"/>
      <c r="ET354" s="569"/>
      <c r="EU354" s="569"/>
      <c r="EV354" s="569"/>
      <c r="EW354" s="569"/>
      <c r="EX354" s="569"/>
      <c r="EY354" s="569"/>
      <c r="EZ354" s="569"/>
      <c r="FA354" s="569"/>
      <c r="FB354" s="569"/>
      <c r="FC354" s="569"/>
      <c r="FD354" s="569"/>
      <c r="FE354" s="569"/>
      <c r="FF354" s="569"/>
      <c r="FG354" s="569"/>
      <c r="FH354" s="569"/>
      <c r="FI354" s="569"/>
      <c r="FJ354" s="569"/>
      <c r="FK354" s="569"/>
      <c r="FL354" s="569"/>
      <c r="FM354" s="569"/>
      <c r="FN354" s="569"/>
      <c r="FO354" s="569"/>
      <c r="FP354" s="569"/>
      <c r="FQ354" s="569"/>
      <c r="FR354" s="569"/>
      <c r="FS354" s="569"/>
      <c r="FT354" s="569"/>
      <c r="FU354" s="569"/>
      <c r="FV354" s="569"/>
      <c r="FW354" s="569"/>
      <c r="FX354" s="569"/>
      <c r="FY354" s="569"/>
      <c r="FZ354" s="569"/>
      <c r="GA354" s="569"/>
      <c r="GB354" s="569"/>
      <c r="GC354" s="569"/>
      <c r="GD354" s="569"/>
      <c r="GE354" s="569"/>
      <c r="GF354" s="569"/>
      <c r="GG354" s="569"/>
      <c r="GH354" s="569"/>
      <c r="GI354" s="569"/>
      <c r="GJ354" s="569"/>
      <c r="GK354" s="569"/>
      <c r="GL354" s="569"/>
      <c r="GM354" s="569"/>
      <c r="GN354" s="569"/>
      <c r="GO354" s="569"/>
      <c r="GP354" s="569"/>
      <c r="GQ354" s="569"/>
      <c r="GR354" s="569"/>
      <c r="GS354" s="569"/>
      <c r="GT354" s="569"/>
    </row>
    <row r="355" spans="1:202" s="554" customFormat="1" ht="18" customHeight="1">
      <c r="A355" s="591"/>
      <c r="B355" s="569"/>
      <c r="C355" s="1152"/>
      <c r="D355" s="1152"/>
      <c r="E355" s="1152"/>
      <c r="F355" s="1152"/>
      <c r="G355" s="1152"/>
      <c r="H355" s="1152"/>
      <c r="I355" s="1152"/>
      <c r="J355" s="1152"/>
      <c r="K355" s="1152"/>
      <c r="L355" s="1152"/>
      <c r="M355" s="569"/>
      <c r="N355" s="569"/>
      <c r="O355" s="569"/>
      <c r="P355" s="569"/>
      <c r="Q355" s="569"/>
      <c r="R355" s="569"/>
      <c r="S355" s="569"/>
      <c r="T355" s="569"/>
      <c r="U355" s="569"/>
      <c r="V355" s="569"/>
      <c r="W355" s="569"/>
      <c r="X355" s="569"/>
      <c r="Y355" s="569"/>
      <c r="Z355" s="569"/>
      <c r="AA355" s="569"/>
      <c r="AB355" s="569"/>
      <c r="AC355" s="569"/>
      <c r="AD355" s="569"/>
      <c r="AE355" s="569"/>
      <c r="AF355" s="569"/>
      <c r="AG355" s="569"/>
      <c r="AH355" s="569"/>
      <c r="AI355" s="569"/>
      <c r="AJ355" s="569"/>
      <c r="AK355" s="569"/>
      <c r="AL355" s="569"/>
      <c r="AM355" s="569"/>
      <c r="AN355" s="569"/>
      <c r="AO355" s="569"/>
      <c r="AP355" s="569"/>
      <c r="AQ355" s="569"/>
      <c r="AR355" s="569"/>
      <c r="AS355" s="569"/>
      <c r="AT355" s="569"/>
      <c r="AU355" s="569"/>
      <c r="AV355" s="569"/>
      <c r="AW355" s="569"/>
      <c r="AX355" s="569"/>
      <c r="AY355" s="569"/>
      <c r="AZ355" s="569"/>
      <c r="BA355" s="569"/>
      <c r="BB355" s="569"/>
      <c r="BC355" s="569"/>
      <c r="BD355" s="569"/>
      <c r="BE355" s="569"/>
      <c r="BF355" s="569"/>
      <c r="BG355" s="569"/>
      <c r="BH355" s="569"/>
      <c r="BI355" s="569"/>
      <c r="BJ355" s="569"/>
      <c r="BK355" s="569"/>
      <c r="BL355" s="569"/>
      <c r="BM355" s="569"/>
      <c r="BN355" s="569"/>
      <c r="BO355" s="569"/>
      <c r="BP355" s="569"/>
      <c r="BQ355" s="569"/>
      <c r="BR355" s="569"/>
      <c r="BS355" s="569"/>
      <c r="BT355" s="569"/>
      <c r="BU355" s="569"/>
      <c r="BV355" s="569"/>
      <c r="BW355" s="569"/>
      <c r="BX355" s="569"/>
      <c r="BY355" s="569"/>
      <c r="BZ355" s="569"/>
      <c r="CA355" s="569"/>
      <c r="CB355" s="569"/>
      <c r="CC355" s="569"/>
      <c r="CD355" s="569"/>
      <c r="CE355" s="569"/>
      <c r="CF355" s="569"/>
      <c r="CG355" s="569"/>
      <c r="CH355" s="569"/>
      <c r="CI355" s="569"/>
      <c r="CJ355" s="569"/>
      <c r="CK355" s="569"/>
      <c r="CL355" s="569"/>
      <c r="CM355" s="569"/>
      <c r="CN355" s="569"/>
      <c r="CO355" s="569"/>
      <c r="CP355" s="569"/>
      <c r="CQ355" s="569"/>
      <c r="CR355" s="569"/>
      <c r="CS355" s="569"/>
      <c r="CT355" s="569"/>
      <c r="CU355" s="569"/>
      <c r="CV355" s="569"/>
      <c r="CW355" s="569"/>
      <c r="CX355" s="569"/>
      <c r="CY355" s="569"/>
      <c r="CZ355" s="569"/>
      <c r="DA355" s="569"/>
      <c r="DB355" s="569"/>
      <c r="DC355" s="569"/>
      <c r="DD355" s="569"/>
      <c r="DE355" s="569"/>
      <c r="DF355" s="569"/>
      <c r="DG355" s="569"/>
      <c r="DH355" s="569"/>
      <c r="DI355" s="569"/>
      <c r="DJ355" s="569"/>
      <c r="DK355" s="569"/>
      <c r="DL355" s="569"/>
      <c r="DM355" s="569"/>
      <c r="DN355" s="569"/>
      <c r="DO355" s="569"/>
      <c r="DP355" s="569"/>
      <c r="DQ355" s="569"/>
      <c r="DR355" s="569"/>
      <c r="DS355" s="569"/>
      <c r="DT355" s="569"/>
      <c r="DU355" s="569"/>
      <c r="DV355" s="569"/>
      <c r="DW355" s="569"/>
      <c r="DX355" s="569"/>
      <c r="DY355" s="569"/>
      <c r="DZ355" s="569"/>
      <c r="EA355" s="569"/>
      <c r="EB355" s="569"/>
      <c r="EC355" s="569"/>
      <c r="ED355" s="569"/>
      <c r="EE355" s="569"/>
      <c r="EF355" s="569"/>
      <c r="EG355" s="569"/>
      <c r="EH355" s="569"/>
      <c r="EI355" s="569"/>
      <c r="EJ355" s="569"/>
      <c r="EK355" s="569"/>
      <c r="EL355" s="569"/>
      <c r="EM355" s="569"/>
      <c r="EN355" s="569"/>
      <c r="EO355" s="569"/>
      <c r="EP355" s="569"/>
      <c r="EQ355" s="569"/>
      <c r="ER355" s="569"/>
      <c r="ES355" s="569"/>
      <c r="ET355" s="569"/>
      <c r="EU355" s="569"/>
      <c r="EV355" s="569"/>
      <c r="EW355" s="569"/>
      <c r="EX355" s="569"/>
      <c r="EY355" s="569"/>
      <c r="EZ355" s="569"/>
      <c r="FA355" s="569"/>
      <c r="FB355" s="569"/>
      <c r="FC355" s="569"/>
      <c r="FD355" s="569"/>
      <c r="FE355" s="569"/>
      <c r="FF355" s="569"/>
      <c r="FG355" s="569"/>
      <c r="FH355" s="569"/>
      <c r="FI355" s="569"/>
      <c r="FJ355" s="569"/>
      <c r="FK355" s="569"/>
      <c r="FL355" s="569"/>
      <c r="FM355" s="569"/>
      <c r="FN355" s="569"/>
      <c r="FO355" s="569"/>
      <c r="FP355" s="569"/>
      <c r="FQ355" s="569"/>
      <c r="FR355" s="569"/>
      <c r="FS355" s="569"/>
      <c r="FT355" s="569"/>
      <c r="FU355" s="569"/>
      <c r="FV355" s="569"/>
      <c r="FW355" s="569"/>
      <c r="FX355" s="569"/>
      <c r="FY355" s="569"/>
      <c r="FZ355" s="569"/>
      <c r="GA355" s="569"/>
      <c r="GB355" s="569"/>
      <c r="GC355" s="569"/>
      <c r="GD355" s="569"/>
      <c r="GE355" s="569"/>
      <c r="GF355" s="569"/>
      <c r="GG355" s="569"/>
      <c r="GH355" s="569"/>
      <c r="GI355" s="569"/>
      <c r="GJ355" s="569"/>
      <c r="GK355" s="569"/>
      <c r="GL355" s="569"/>
      <c r="GM355" s="569"/>
      <c r="GN355" s="569"/>
      <c r="GO355" s="569"/>
      <c r="GP355" s="569"/>
      <c r="GQ355" s="569"/>
      <c r="GR355" s="569"/>
      <c r="GS355" s="569"/>
      <c r="GT355" s="569"/>
    </row>
    <row r="356" spans="1:202" s="554" customFormat="1" ht="18" customHeight="1">
      <c r="A356" s="591"/>
      <c r="B356" s="569"/>
      <c r="C356" s="1152"/>
      <c r="D356" s="1152"/>
      <c r="E356" s="1152"/>
      <c r="F356" s="1152"/>
      <c r="G356" s="1152"/>
      <c r="H356" s="1152"/>
      <c r="I356" s="1152"/>
      <c r="J356" s="1152"/>
      <c r="K356" s="1152"/>
      <c r="L356" s="1152"/>
      <c r="M356" s="569"/>
      <c r="N356" s="569"/>
      <c r="O356" s="569"/>
      <c r="P356" s="569"/>
      <c r="Q356" s="569"/>
      <c r="R356" s="569"/>
      <c r="S356" s="569"/>
      <c r="T356" s="569"/>
      <c r="U356" s="569"/>
      <c r="V356" s="569"/>
      <c r="W356" s="569"/>
      <c r="X356" s="569"/>
      <c r="Y356" s="569"/>
      <c r="Z356" s="569"/>
      <c r="AA356" s="569"/>
      <c r="AB356" s="569"/>
      <c r="AC356" s="569"/>
      <c r="AD356" s="569"/>
      <c r="AE356" s="569"/>
      <c r="AF356" s="569"/>
      <c r="AG356" s="569"/>
      <c r="AH356" s="569"/>
      <c r="AI356" s="569"/>
      <c r="AJ356" s="569"/>
      <c r="AK356" s="569"/>
      <c r="AL356" s="569"/>
      <c r="AM356" s="569"/>
      <c r="AN356" s="569"/>
      <c r="AO356" s="569"/>
      <c r="AP356" s="569"/>
      <c r="AQ356" s="569"/>
      <c r="AR356" s="569"/>
      <c r="AS356" s="569"/>
      <c r="AT356" s="569"/>
      <c r="AU356" s="569"/>
      <c r="AV356" s="569"/>
      <c r="AW356" s="569"/>
      <c r="AX356" s="569"/>
      <c r="AY356" s="569"/>
      <c r="AZ356" s="569"/>
      <c r="BA356" s="569"/>
      <c r="BB356" s="569"/>
      <c r="BC356" s="569"/>
      <c r="BD356" s="569"/>
      <c r="BE356" s="569"/>
      <c r="BF356" s="569"/>
      <c r="BG356" s="569"/>
      <c r="BH356" s="569"/>
      <c r="BI356" s="569"/>
      <c r="BJ356" s="569"/>
      <c r="BK356" s="569"/>
      <c r="BL356" s="569"/>
      <c r="BM356" s="569"/>
      <c r="BN356" s="569"/>
      <c r="BO356" s="569"/>
      <c r="BP356" s="569"/>
      <c r="BQ356" s="569"/>
      <c r="BR356" s="569"/>
      <c r="BS356" s="569"/>
      <c r="BT356" s="569"/>
      <c r="BU356" s="569"/>
      <c r="BV356" s="569"/>
      <c r="BW356" s="569"/>
      <c r="BX356" s="569"/>
      <c r="BY356" s="569"/>
      <c r="BZ356" s="569"/>
      <c r="CA356" s="569"/>
      <c r="CB356" s="569"/>
      <c r="CC356" s="569"/>
      <c r="CD356" s="569"/>
      <c r="CE356" s="569"/>
      <c r="CF356" s="569"/>
      <c r="CG356" s="569"/>
      <c r="CH356" s="569"/>
      <c r="CI356" s="569"/>
      <c r="CJ356" s="569"/>
      <c r="CK356" s="569"/>
      <c r="CL356" s="569"/>
      <c r="CM356" s="569"/>
      <c r="CN356" s="569"/>
      <c r="CO356" s="569"/>
      <c r="CP356" s="569"/>
      <c r="CQ356" s="569"/>
      <c r="CR356" s="569"/>
      <c r="CS356" s="569"/>
      <c r="CT356" s="569"/>
      <c r="CU356" s="569"/>
      <c r="CV356" s="569"/>
      <c r="CW356" s="569"/>
      <c r="CX356" s="569"/>
      <c r="CY356" s="569"/>
      <c r="CZ356" s="569"/>
      <c r="DA356" s="569"/>
      <c r="DB356" s="569"/>
      <c r="DC356" s="569"/>
      <c r="DD356" s="569"/>
      <c r="DE356" s="569"/>
      <c r="DF356" s="569"/>
      <c r="DG356" s="569"/>
      <c r="DH356" s="569"/>
      <c r="DI356" s="569"/>
      <c r="DJ356" s="569"/>
      <c r="DK356" s="569"/>
      <c r="DL356" s="569"/>
      <c r="DM356" s="569"/>
      <c r="DN356" s="569"/>
      <c r="DO356" s="569"/>
      <c r="DP356" s="569"/>
      <c r="DQ356" s="569"/>
      <c r="DR356" s="569"/>
      <c r="DS356" s="569"/>
      <c r="DT356" s="569"/>
      <c r="DU356" s="569"/>
      <c r="DV356" s="569"/>
      <c r="DW356" s="569"/>
      <c r="DX356" s="569"/>
      <c r="DY356" s="569"/>
      <c r="DZ356" s="569"/>
      <c r="EA356" s="569"/>
      <c r="EB356" s="569"/>
      <c r="EC356" s="569"/>
      <c r="ED356" s="569"/>
      <c r="EE356" s="569"/>
      <c r="EF356" s="569"/>
      <c r="EG356" s="569"/>
      <c r="EH356" s="569"/>
      <c r="EI356" s="569"/>
      <c r="EJ356" s="569"/>
      <c r="EK356" s="569"/>
      <c r="EL356" s="569"/>
      <c r="EM356" s="569"/>
      <c r="EN356" s="569"/>
      <c r="EO356" s="569"/>
      <c r="EP356" s="569"/>
      <c r="EQ356" s="569"/>
      <c r="ER356" s="569"/>
      <c r="ES356" s="569"/>
      <c r="ET356" s="569"/>
      <c r="EU356" s="569"/>
      <c r="EV356" s="569"/>
      <c r="EW356" s="569"/>
      <c r="EX356" s="569"/>
      <c r="EY356" s="569"/>
      <c r="EZ356" s="569"/>
      <c r="FA356" s="569"/>
      <c r="FB356" s="569"/>
      <c r="FC356" s="569"/>
      <c r="FD356" s="569"/>
      <c r="FE356" s="569"/>
      <c r="FF356" s="569"/>
      <c r="FG356" s="569"/>
      <c r="FH356" s="569"/>
      <c r="FI356" s="569"/>
      <c r="FJ356" s="569"/>
      <c r="FK356" s="569"/>
      <c r="FL356" s="569"/>
      <c r="FM356" s="569"/>
      <c r="FN356" s="569"/>
      <c r="FO356" s="569"/>
      <c r="FP356" s="569"/>
      <c r="FQ356" s="569"/>
      <c r="FR356" s="569"/>
      <c r="FS356" s="569"/>
      <c r="FT356" s="569"/>
      <c r="FU356" s="569"/>
      <c r="FV356" s="569"/>
      <c r="FW356" s="569"/>
      <c r="FX356" s="569"/>
      <c r="FY356" s="569"/>
      <c r="FZ356" s="569"/>
      <c r="GA356" s="569"/>
      <c r="GB356" s="569"/>
      <c r="GC356" s="569"/>
      <c r="GD356" s="569"/>
      <c r="GE356" s="569"/>
      <c r="GF356" s="569"/>
      <c r="GG356" s="569"/>
      <c r="GH356" s="569"/>
      <c r="GI356" s="569"/>
      <c r="GJ356" s="569"/>
      <c r="GK356" s="569"/>
      <c r="GL356" s="569"/>
      <c r="GM356" s="569"/>
      <c r="GN356" s="569"/>
      <c r="GO356" s="569"/>
      <c r="GP356" s="569"/>
      <c r="GQ356" s="569"/>
      <c r="GR356" s="569"/>
      <c r="GS356" s="569"/>
      <c r="GT356" s="569"/>
    </row>
    <row r="357" spans="1:202" s="554" customFormat="1" ht="18" customHeight="1">
      <c r="A357" s="591"/>
      <c r="B357" s="569"/>
      <c r="C357" s="1152"/>
      <c r="D357" s="1152"/>
      <c r="E357" s="1152"/>
      <c r="F357" s="1152"/>
      <c r="G357" s="1152"/>
      <c r="H357" s="1152"/>
      <c r="I357" s="1152"/>
      <c r="J357" s="1152"/>
      <c r="K357" s="1152"/>
      <c r="L357" s="1152"/>
      <c r="M357" s="569"/>
      <c r="N357" s="569"/>
      <c r="O357" s="569"/>
      <c r="P357" s="569"/>
      <c r="Q357" s="569"/>
      <c r="R357" s="569"/>
      <c r="S357" s="569"/>
      <c r="T357" s="569"/>
      <c r="U357" s="569"/>
      <c r="V357" s="569"/>
      <c r="W357" s="569"/>
      <c r="X357" s="569"/>
      <c r="Y357" s="569"/>
      <c r="Z357" s="569"/>
      <c r="AA357" s="569"/>
      <c r="AB357" s="569"/>
      <c r="AC357" s="569"/>
      <c r="AD357" s="569"/>
      <c r="AE357" s="569"/>
      <c r="AF357" s="569"/>
      <c r="AG357" s="569"/>
      <c r="AH357" s="569"/>
      <c r="AI357" s="569"/>
      <c r="AJ357" s="569"/>
      <c r="AK357" s="569"/>
      <c r="AL357" s="569"/>
      <c r="AM357" s="569"/>
      <c r="AN357" s="569"/>
      <c r="AO357" s="569"/>
      <c r="AP357" s="569"/>
      <c r="AQ357" s="569"/>
      <c r="AR357" s="569"/>
      <c r="AS357" s="569"/>
      <c r="AT357" s="569"/>
      <c r="AU357" s="569"/>
      <c r="AV357" s="569"/>
      <c r="AW357" s="569"/>
      <c r="AX357" s="569"/>
      <c r="AY357" s="569"/>
      <c r="AZ357" s="569"/>
      <c r="BA357" s="569"/>
      <c r="BB357" s="569"/>
      <c r="BC357" s="569"/>
      <c r="BD357" s="569"/>
      <c r="BE357" s="569"/>
      <c r="BF357" s="569"/>
      <c r="BG357" s="569"/>
      <c r="BH357" s="569"/>
      <c r="BI357" s="569"/>
      <c r="BJ357" s="569"/>
      <c r="BK357" s="569"/>
      <c r="BL357" s="569"/>
      <c r="BM357" s="569"/>
      <c r="BN357" s="569"/>
      <c r="BO357" s="569"/>
      <c r="BP357" s="569"/>
      <c r="BQ357" s="569"/>
      <c r="BR357" s="569"/>
      <c r="BS357" s="569"/>
      <c r="BT357" s="569"/>
      <c r="BU357" s="569"/>
      <c r="BV357" s="569"/>
      <c r="BW357" s="569"/>
      <c r="BX357" s="569"/>
      <c r="BY357" s="569"/>
      <c r="BZ357" s="569"/>
      <c r="CA357" s="569"/>
      <c r="CB357" s="569"/>
      <c r="CC357" s="569"/>
      <c r="CD357" s="569"/>
      <c r="CE357" s="569"/>
      <c r="CF357" s="569"/>
      <c r="CG357" s="569"/>
      <c r="CH357" s="569"/>
      <c r="CI357" s="569"/>
      <c r="CJ357" s="569"/>
      <c r="CK357" s="569"/>
      <c r="CL357" s="569"/>
      <c r="CM357" s="569"/>
      <c r="CN357" s="569"/>
      <c r="CO357" s="569"/>
      <c r="CP357" s="569"/>
      <c r="CQ357" s="569"/>
      <c r="CR357" s="569"/>
      <c r="CS357" s="569"/>
      <c r="CT357" s="569"/>
      <c r="CU357" s="569"/>
      <c r="CV357" s="569"/>
      <c r="CW357" s="569"/>
      <c r="CX357" s="569"/>
      <c r="CY357" s="569"/>
      <c r="CZ357" s="569"/>
      <c r="DA357" s="569"/>
      <c r="DB357" s="569"/>
      <c r="DC357" s="569"/>
      <c r="DD357" s="569"/>
      <c r="DE357" s="569"/>
      <c r="DF357" s="569"/>
      <c r="DG357" s="569"/>
      <c r="DH357" s="569"/>
      <c r="DI357" s="569"/>
      <c r="DJ357" s="569"/>
      <c r="DK357" s="569"/>
      <c r="DL357" s="569"/>
      <c r="DM357" s="569"/>
      <c r="DN357" s="569"/>
      <c r="DO357" s="569"/>
      <c r="DP357" s="569"/>
      <c r="DQ357" s="569"/>
      <c r="DR357" s="569"/>
      <c r="DS357" s="569"/>
      <c r="DT357" s="569"/>
      <c r="DU357" s="569"/>
      <c r="DV357" s="569"/>
      <c r="DW357" s="569"/>
      <c r="DX357" s="569"/>
      <c r="DY357" s="569"/>
      <c r="DZ357" s="569"/>
      <c r="EA357" s="569"/>
      <c r="EB357" s="569"/>
      <c r="EC357" s="569"/>
      <c r="ED357" s="569"/>
      <c r="EE357" s="569"/>
      <c r="EF357" s="569"/>
      <c r="EG357" s="569"/>
      <c r="EH357" s="569"/>
      <c r="EI357" s="569"/>
      <c r="EJ357" s="569"/>
      <c r="EK357" s="569"/>
      <c r="EL357" s="569"/>
      <c r="EM357" s="569"/>
      <c r="EN357" s="569"/>
      <c r="EO357" s="569"/>
      <c r="EP357" s="569"/>
      <c r="EQ357" s="569"/>
      <c r="ER357" s="569"/>
      <c r="ES357" s="569"/>
      <c r="ET357" s="569"/>
      <c r="EU357" s="569"/>
      <c r="EV357" s="569"/>
      <c r="EW357" s="569"/>
      <c r="EX357" s="569"/>
      <c r="EY357" s="569"/>
      <c r="EZ357" s="569"/>
      <c r="FA357" s="569"/>
      <c r="FB357" s="569"/>
      <c r="FC357" s="569"/>
      <c r="FD357" s="569"/>
      <c r="FE357" s="569"/>
      <c r="FF357" s="569"/>
      <c r="FG357" s="569"/>
      <c r="FH357" s="569"/>
      <c r="FI357" s="569"/>
      <c r="FJ357" s="569"/>
      <c r="FK357" s="569"/>
      <c r="FL357" s="569"/>
      <c r="FM357" s="569"/>
      <c r="FN357" s="569"/>
      <c r="FO357" s="569"/>
      <c r="FP357" s="569"/>
      <c r="FQ357" s="569"/>
      <c r="FR357" s="569"/>
      <c r="FS357" s="569"/>
      <c r="FT357" s="569"/>
      <c r="FU357" s="569"/>
      <c r="FV357" s="569"/>
      <c r="FW357" s="569"/>
      <c r="FX357" s="569"/>
      <c r="FY357" s="569"/>
      <c r="FZ357" s="569"/>
      <c r="GA357" s="569"/>
      <c r="GB357" s="569"/>
      <c r="GC357" s="569"/>
      <c r="GD357" s="569"/>
      <c r="GE357" s="569"/>
      <c r="GF357" s="569"/>
      <c r="GG357" s="569"/>
      <c r="GH357" s="569"/>
      <c r="GI357" s="569"/>
      <c r="GJ357" s="569"/>
      <c r="GK357" s="569"/>
      <c r="GL357" s="569"/>
      <c r="GM357" s="569"/>
      <c r="GN357" s="569"/>
      <c r="GO357" s="569"/>
      <c r="GP357" s="569"/>
      <c r="GQ357" s="569"/>
      <c r="GR357" s="569"/>
      <c r="GS357" s="569"/>
      <c r="GT357" s="569"/>
    </row>
    <row r="358" spans="1:202" s="554" customFormat="1" ht="18" customHeight="1">
      <c r="A358" s="591"/>
      <c r="B358" s="569"/>
      <c r="C358" s="1152"/>
      <c r="D358" s="1152"/>
      <c r="E358" s="1152"/>
      <c r="F358" s="1152"/>
      <c r="G358" s="1152"/>
      <c r="H358" s="1152"/>
      <c r="I358" s="1152"/>
      <c r="J358" s="1152"/>
      <c r="K358" s="1152"/>
      <c r="L358" s="1152"/>
      <c r="M358" s="569"/>
      <c r="N358" s="569"/>
      <c r="O358" s="569"/>
      <c r="P358" s="569"/>
      <c r="Q358" s="569"/>
      <c r="R358" s="569"/>
      <c r="S358" s="569"/>
      <c r="T358" s="569"/>
      <c r="U358" s="569"/>
      <c r="V358" s="569"/>
      <c r="W358" s="569"/>
      <c r="X358" s="569"/>
      <c r="Y358" s="569"/>
      <c r="Z358" s="569"/>
      <c r="AA358" s="569"/>
      <c r="AB358" s="569"/>
      <c r="AC358" s="569"/>
      <c r="AD358" s="569"/>
      <c r="AE358" s="569"/>
      <c r="AF358" s="569"/>
      <c r="AG358" s="569"/>
      <c r="AH358" s="569"/>
      <c r="AI358" s="569"/>
      <c r="AJ358" s="569"/>
      <c r="AK358" s="569"/>
      <c r="AL358" s="569"/>
      <c r="AM358" s="569"/>
      <c r="AN358" s="569"/>
      <c r="AO358" s="569"/>
      <c r="AP358" s="569"/>
      <c r="AQ358" s="569"/>
      <c r="AR358" s="569"/>
      <c r="AS358" s="569"/>
      <c r="AT358" s="569"/>
      <c r="AU358" s="569"/>
      <c r="AV358" s="569"/>
      <c r="AW358" s="569"/>
      <c r="AX358" s="569"/>
      <c r="AY358" s="569"/>
      <c r="AZ358" s="569"/>
      <c r="BA358" s="569"/>
      <c r="BB358" s="569"/>
      <c r="BC358" s="569"/>
      <c r="BD358" s="569"/>
      <c r="BE358" s="569"/>
      <c r="BF358" s="569"/>
      <c r="BG358" s="569"/>
      <c r="BH358" s="569"/>
      <c r="BI358" s="569"/>
      <c r="BJ358" s="569"/>
      <c r="BK358" s="569"/>
      <c r="BL358" s="569"/>
      <c r="BM358" s="569"/>
      <c r="BN358" s="569"/>
      <c r="BO358" s="569"/>
      <c r="BP358" s="569"/>
      <c r="BQ358" s="569"/>
      <c r="BR358" s="569"/>
      <c r="BS358" s="569"/>
      <c r="BT358" s="569"/>
      <c r="BU358" s="569"/>
      <c r="BV358" s="569"/>
      <c r="BW358" s="569"/>
      <c r="BX358" s="569"/>
      <c r="BY358" s="569"/>
      <c r="BZ358" s="569"/>
      <c r="CA358" s="569"/>
      <c r="CB358" s="569"/>
      <c r="CC358" s="569"/>
      <c r="CD358" s="569"/>
      <c r="CE358" s="569"/>
      <c r="CF358" s="569"/>
      <c r="CG358" s="569"/>
      <c r="CH358" s="569"/>
      <c r="CI358" s="569"/>
      <c r="CJ358" s="569"/>
      <c r="CK358" s="569"/>
      <c r="CL358" s="569"/>
      <c r="CM358" s="569"/>
      <c r="CN358" s="569"/>
      <c r="CO358" s="569"/>
      <c r="CP358" s="569"/>
      <c r="CQ358" s="569"/>
      <c r="CR358" s="569"/>
      <c r="CS358" s="569"/>
      <c r="CT358" s="569"/>
      <c r="CU358" s="569"/>
      <c r="CV358" s="569"/>
      <c r="CW358" s="569"/>
      <c r="CX358" s="569"/>
      <c r="CY358" s="569"/>
      <c r="CZ358" s="569"/>
      <c r="DA358" s="569"/>
      <c r="DB358" s="569"/>
      <c r="DC358" s="569"/>
      <c r="DD358" s="569"/>
      <c r="DE358" s="569"/>
      <c r="DF358" s="569"/>
      <c r="DG358" s="569"/>
      <c r="DH358" s="569"/>
      <c r="DI358" s="569"/>
      <c r="DJ358" s="569"/>
      <c r="DK358" s="569"/>
      <c r="DL358" s="569"/>
      <c r="DM358" s="569"/>
      <c r="DN358" s="569"/>
      <c r="DO358" s="569"/>
      <c r="DP358" s="569"/>
      <c r="DQ358" s="569"/>
      <c r="DR358" s="569"/>
      <c r="DS358" s="569"/>
      <c r="DT358" s="569"/>
      <c r="DU358" s="569"/>
      <c r="DV358" s="569"/>
      <c r="DW358" s="569"/>
      <c r="DX358" s="569"/>
      <c r="DY358" s="569"/>
      <c r="DZ358" s="569"/>
      <c r="EA358" s="569"/>
      <c r="EB358" s="569"/>
      <c r="EC358" s="569"/>
      <c r="ED358" s="569"/>
      <c r="EE358" s="569"/>
      <c r="EF358" s="569"/>
      <c r="EG358" s="569"/>
      <c r="EH358" s="569"/>
      <c r="EI358" s="569"/>
      <c r="EJ358" s="569"/>
      <c r="EK358" s="569"/>
      <c r="EL358" s="569"/>
      <c r="EM358" s="569"/>
      <c r="EN358" s="569"/>
      <c r="EO358" s="569"/>
      <c r="EP358" s="569"/>
      <c r="EQ358" s="569"/>
      <c r="ER358" s="569"/>
      <c r="ES358" s="569"/>
      <c r="ET358" s="569"/>
      <c r="EU358" s="569"/>
      <c r="EV358" s="569"/>
      <c r="EW358" s="569"/>
      <c r="EX358" s="569"/>
      <c r="EY358" s="569"/>
      <c r="EZ358" s="569"/>
      <c r="FA358" s="569"/>
      <c r="FB358" s="569"/>
      <c r="FC358" s="569"/>
      <c r="FD358" s="569"/>
      <c r="FE358" s="569"/>
      <c r="FF358" s="569"/>
      <c r="FG358" s="569"/>
      <c r="FH358" s="569"/>
      <c r="FI358" s="569"/>
      <c r="FJ358" s="569"/>
      <c r="FK358" s="569"/>
      <c r="FL358" s="569"/>
      <c r="FM358" s="569"/>
      <c r="FN358" s="569"/>
      <c r="FO358" s="569"/>
      <c r="FP358" s="569"/>
      <c r="FQ358" s="569"/>
      <c r="FR358" s="569"/>
      <c r="FS358" s="569"/>
      <c r="FT358" s="569"/>
      <c r="FU358" s="569"/>
      <c r="FV358" s="569"/>
      <c r="FW358" s="569"/>
      <c r="FX358" s="569"/>
      <c r="FY358" s="569"/>
      <c r="FZ358" s="569"/>
      <c r="GA358" s="569"/>
      <c r="GB358" s="569"/>
      <c r="GC358" s="569"/>
      <c r="GD358" s="569"/>
      <c r="GE358" s="569"/>
      <c r="GF358" s="569"/>
      <c r="GG358" s="569"/>
      <c r="GH358" s="569"/>
      <c r="GI358" s="569"/>
      <c r="GJ358" s="569"/>
      <c r="GK358" s="569"/>
      <c r="GL358" s="569"/>
      <c r="GM358" s="569"/>
      <c r="GN358" s="569"/>
      <c r="GO358" s="569"/>
      <c r="GP358" s="569"/>
      <c r="GQ358" s="569"/>
      <c r="GR358" s="569"/>
      <c r="GS358" s="569"/>
      <c r="GT358" s="569"/>
    </row>
    <row r="359" spans="1:202" s="554" customFormat="1" ht="18" customHeight="1">
      <c r="A359" s="591"/>
      <c r="B359" s="569"/>
      <c r="C359" s="1152"/>
      <c r="D359" s="1152"/>
      <c r="E359" s="1152"/>
      <c r="F359" s="1152"/>
      <c r="G359" s="1152"/>
      <c r="H359" s="1152"/>
      <c r="I359" s="1152"/>
      <c r="J359" s="1152"/>
      <c r="K359" s="1152"/>
      <c r="L359" s="1152"/>
      <c r="M359" s="569"/>
      <c r="N359" s="569"/>
      <c r="O359" s="569"/>
      <c r="P359" s="569"/>
      <c r="Q359" s="569"/>
      <c r="R359" s="569"/>
      <c r="S359" s="569"/>
      <c r="T359" s="569"/>
      <c r="U359" s="569"/>
      <c r="V359" s="569"/>
      <c r="W359" s="569"/>
      <c r="X359" s="569"/>
      <c r="Y359" s="569"/>
      <c r="Z359" s="569"/>
      <c r="AA359" s="569"/>
      <c r="AB359" s="569"/>
      <c r="AC359" s="569"/>
      <c r="AD359" s="569"/>
      <c r="AE359" s="569"/>
      <c r="AF359" s="569"/>
      <c r="AG359" s="569"/>
      <c r="AH359" s="569"/>
      <c r="AI359" s="569"/>
      <c r="AJ359" s="569"/>
      <c r="AK359" s="569"/>
      <c r="AL359" s="569"/>
      <c r="AM359" s="569"/>
      <c r="AN359" s="569"/>
      <c r="AO359" s="569"/>
      <c r="AP359" s="569"/>
      <c r="AQ359" s="569"/>
      <c r="AR359" s="569"/>
      <c r="AS359" s="569"/>
      <c r="AT359" s="569"/>
      <c r="AU359" s="569"/>
      <c r="AV359" s="569"/>
      <c r="AW359" s="569"/>
      <c r="AX359" s="569"/>
      <c r="AY359" s="569"/>
      <c r="AZ359" s="569"/>
      <c r="BA359" s="569"/>
      <c r="BB359" s="569"/>
      <c r="BC359" s="569"/>
      <c r="BD359" s="569"/>
      <c r="BE359" s="569"/>
      <c r="BF359" s="569"/>
      <c r="BG359" s="569"/>
      <c r="BH359" s="569"/>
      <c r="BI359" s="569"/>
      <c r="BJ359" s="569"/>
      <c r="BK359" s="569"/>
      <c r="BL359" s="569"/>
      <c r="BM359" s="569"/>
      <c r="BN359" s="569"/>
      <c r="BO359" s="569"/>
      <c r="BP359" s="569"/>
      <c r="BQ359" s="569"/>
      <c r="BR359" s="569"/>
      <c r="BS359" s="569"/>
      <c r="BT359" s="569"/>
      <c r="BU359" s="569"/>
      <c r="BV359" s="569"/>
      <c r="BW359" s="569"/>
      <c r="BX359" s="569"/>
      <c r="BY359" s="569"/>
      <c r="BZ359" s="569"/>
      <c r="CA359" s="569"/>
      <c r="CB359" s="569"/>
      <c r="CC359" s="569"/>
      <c r="CD359" s="569"/>
      <c r="CE359" s="569"/>
      <c r="CF359" s="569"/>
      <c r="CG359" s="569"/>
      <c r="CH359" s="569"/>
      <c r="CI359" s="569"/>
      <c r="CJ359" s="569"/>
      <c r="CK359" s="569"/>
      <c r="CL359" s="569"/>
      <c r="CM359" s="569"/>
      <c r="CN359" s="569"/>
      <c r="CO359" s="569"/>
      <c r="CP359" s="569"/>
      <c r="CQ359" s="569"/>
      <c r="CR359" s="569"/>
      <c r="CS359" s="569"/>
      <c r="CT359" s="569"/>
      <c r="CU359" s="569"/>
      <c r="CV359" s="569"/>
      <c r="CW359" s="569"/>
      <c r="CX359" s="569"/>
      <c r="CY359" s="569"/>
      <c r="CZ359" s="569"/>
      <c r="DA359" s="569"/>
      <c r="DB359" s="569"/>
      <c r="DC359" s="569"/>
      <c r="DD359" s="569"/>
      <c r="DE359" s="569"/>
      <c r="DF359" s="569"/>
      <c r="DG359" s="569"/>
      <c r="DH359" s="569"/>
      <c r="DI359" s="569"/>
      <c r="DJ359" s="569"/>
      <c r="DK359" s="569"/>
      <c r="DL359" s="569"/>
      <c r="DM359" s="569"/>
      <c r="DN359" s="569"/>
      <c r="DO359" s="569"/>
      <c r="DP359" s="569"/>
      <c r="DQ359" s="569"/>
      <c r="DR359" s="569"/>
      <c r="DS359" s="569"/>
      <c r="DT359" s="569"/>
      <c r="DU359" s="569"/>
      <c r="DV359" s="569"/>
      <c r="DW359" s="569"/>
      <c r="DX359" s="569"/>
      <c r="DY359" s="569"/>
      <c r="DZ359" s="569"/>
      <c r="EA359" s="569"/>
      <c r="EB359" s="569"/>
      <c r="EC359" s="569"/>
      <c r="ED359" s="569"/>
      <c r="EE359" s="569"/>
      <c r="EF359" s="569"/>
      <c r="EG359" s="569"/>
      <c r="EH359" s="569"/>
      <c r="EI359" s="569"/>
      <c r="EJ359" s="569"/>
      <c r="EK359" s="569"/>
      <c r="EL359" s="569"/>
      <c r="EM359" s="569"/>
      <c r="EN359" s="569"/>
      <c r="EO359" s="569"/>
      <c r="EP359" s="569"/>
      <c r="EQ359" s="569"/>
      <c r="ER359" s="569"/>
      <c r="ES359" s="569"/>
      <c r="ET359" s="569"/>
      <c r="EU359" s="569"/>
      <c r="EV359" s="569"/>
      <c r="EW359" s="569"/>
      <c r="EX359" s="569"/>
      <c r="EY359" s="569"/>
      <c r="EZ359" s="569"/>
      <c r="FA359" s="569"/>
      <c r="FB359" s="569"/>
      <c r="FC359" s="569"/>
      <c r="FD359" s="569"/>
      <c r="FE359" s="569"/>
      <c r="FF359" s="569"/>
      <c r="FG359" s="569"/>
      <c r="FH359" s="569"/>
      <c r="FI359" s="569"/>
      <c r="FJ359" s="569"/>
      <c r="FK359" s="569"/>
      <c r="FL359" s="569"/>
      <c r="FM359" s="569"/>
      <c r="FN359" s="569"/>
      <c r="FO359" s="569"/>
      <c r="FP359" s="569"/>
      <c r="FQ359" s="569"/>
      <c r="FR359" s="569"/>
      <c r="FS359" s="569"/>
      <c r="FT359" s="569"/>
      <c r="FU359" s="569"/>
      <c r="FV359" s="569"/>
      <c r="FW359" s="569"/>
      <c r="FX359" s="569"/>
      <c r="FY359" s="569"/>
      <c r="FZ359" s="569"/>
      <c r="GA359" s="569"/>
      <c r="GB359" s="569"/>
      <c r="GC359" s="569"/>
      <c r="GD359" s="569"/>
      <c r="GE359" s="569"/>
      <c r="GF359" s="569"/>
      <c r="GG359" s="569"/>
      <c r="GH359" s="569"/>
      <c r="GI359" s="569"/>
      <c r="GJ359" s="569"/>
      <c r="GK359" s="569"/>
      <c r="GL359" s="569"/>
      <c r="GM359" s="569"/>
      <c r="GN359" s="569"/>
      <c r="GO359" s="569"/>
      <c r="GP359" s="569"/>
      <c r="GQ359" s="569"/>
      <c r="GR359" s="569"/>
      <c r="GS359" s="569"/>
      <c r="GT359" s="569"/>
    </row>
    <row r="360" spans="1:202" s="554" customFormat="1" ht="18" customHeight="1">
      <c r="A360" s="591"/>
      <c r="B360" s="569"/>
      <c r="C360" s="1152"/>
      <c r="D360" s="1152"/>
      <c r="E360" s="1152"/>
      <c r="F360" s="1152"/>
      <c r="G360" s="1152"/>
      <c r="H360" s="1152"/>
      <c r="I360" s="1152"/>
      <c r="J360" s="1152"/>
      <c r="K360" s="1152"/>
      <c r="L360" s="1152"/>
      <c r="M360" s="569"/>
      <c r="N360" s="569"/>
      <c r="O360" s="569"/>
      <c r="P360" s="569"/>
      <c r="Q360" s="569"/>
      <c r="R360" s="569"/>
      <c r="S360" s="569"/>
      <c r="T360" s="569"/>
      <c r="U360" s="569"/>
      <c r="V360" s="569"/>
      <c r="W360" s="569"/>
      <c r="X360" s="569"/>
      <c r="Y360" s="569"/>
      <c r="Z360" s="569"/>
      <c r="AA360" s="569"/>
      <c r="AB360" s="569"/>
      <c r="AC360" s="569"/>
      <c r="AD360" s="569"/>
      <c r="AE360" s="569"/>
      <c r="AF360" s="569"/>
      <c r="AG360" s="569"/>
      <c r="AH360" s="569"/>
      <c r="AI360" s="569"/>
      <c r="AJ360" s="569"/>
      <c r="AK360" s="569"/>
      <c r="AL360" s="569"/>
      <c r="AM360" s="569"/>
      <c r="AN360" s="569"/>
      <c r="AO360" s="569"/>
      <c r="AP360" s="569"/>
      <c r="AQ360" s="569"/>
      <c r="AR360" s="569"/>
      <c r="AS360" s="569"/>
      <c r="AT360" s="569"/>
      <c r="AU360" s="569"/>
      <c r="AV360" s="569"/>
      <c r="AW360" s="569"/>
      <c r="AX360" s="569"/>
      <c r="AY360" s="569"/>
      <c r="AZ360" s="569"/>
      <c r="BA360" s="569"/>
      <c r="BB360" s="569"/>
      <c r="BC360" s="569"/>
      <c r="BD360" s="569"/>
      <c r="BE360" s="569"/>
      <c r="BF360" s="569"/>
      <c r="BG360" s="569"/>
      <c r="BH360" s="569"/>
      <c r="BI360" s="569"/>
      <c r="BJ360" s="569"/>
      <c r="BK360" s="569"/>
      <c r="BL360" s="569"/>
      <c r="BM360" s="569"/>
      <c r="BN360" s="569"/>
      <c r="BO360" s="569"/>
      <c r="BP360" s="569"/>
      <c r="BQ360" s="569"/>
      <c r="BR360" s="569"/>
      <c r="BS360" s="569"/>
      <c r="BT360" s="569"/>
      <c r="BU360" s="569"/>
      <c r="BV360" s="569"/>
      <c r="BW360" s="569"/>
      <c r="BX360" s="569"/>
      <c r="BY360" s="569"/>
      <c r="BZ360" s="569"/>
      <c r="CA360" s="569"/>
      <c r="CB360" s="569"/>
      <c r="CC360" s="569"/>
      <c r="CD360" s="569"/>
      <c r="CE360" s="569"/>
      <c r="CF360" s="569"/>
      <c r="CG360" s="569"/>
      <c r="CH360" s="569"/>
      <c r="CI360" s="569"/>
      <c r="CJ360" s="569"/>
      <c r="CK360" s="569"/>
      <c r="CL360" s="569"/>
      <c r="CM360" s="569"/>
      <c r="CN360" s="569"/>
      <c r="CO360" s="569"/>
      <c r="CP360" s="569"/>
      <c r="CQ360" s="569"/>
      <c r="CR360" s="569"/>
      <c r="CS360" s="569"/>
      <c r="CT360" s="569"/>
      <c r="CU360" s="569"/>
      <c r="CV360" s="569"/>
      <c r="CW360" s="569"/>
      <c r="CX360" s="569"/>
      <c r="CY360" s="569"/>
      <c r="CZ360" s="569"/>
      <c r="DA360" s="569"/>
      <c r="DB360" s="569"/>
      <c r="DC360" s="569"/>
      <c r="DD360" s="569"/>
      <c r="DE360" s="569"/>
      <c r="DF360" s="569"/>
      <c r="DG360" s="569"/>
      <c r="DH360" s="569"/>
      <c r="DI360" s="569"/>
      <c r="DJ360" s="569"/>
      <c r="DK360" s="569"/>
      <c r="DL360" s="569"/>
      <c r="DM360" s="569"/>
      <c r="DN360" s="569"/>
      <c r="DO360" s="569"/>
      <c r="DP360" s="569"/>
      <c r="DQ360" s="569"/>
      <c r="DR360" s="569"/>
      <c r="DS360" s="569"/>
      <c r="DT360" s="569"/>
      <c r="DU360" s="569"/>
      <c r="DV360" s="569"/>
      <c r="DW360" s="569"/>
      <c r="DX360" s="569"/>
      <c r="DY360" s="569"/>
      <c r="DZ360" s="569"/>
      <c r="EA360" s="569"/>
      <c r="EB360" s="569"/>
      <c r="EC360" s="569"/>
      <c r="ED360" s="569"/>
      <c r="EE360" s="569"/>
      <c r="EF360" s="569"/>
      <c r="EG360" s="569"/>
      <c r="EH360" s="569"/>
      <c r="EI360" s="569"/>
      <c r="EJ360" s="569"/>
      <c r="EK360" s="569"/>
      <c r="EL360" s="569"/>
      <c r="EM360" s="569"/>
      <c r="EN360" s="569"/>
      <c r="EO360" s="569"/>
      <c r="EP360" s="569"/>
      <c r="EQ360" s="569"/>
      <c r="ER360" s="569"/>
      <c r="ES360" s="569"/>
      <c r="ET360" s="569"/>
      <c r="EU360" s="569"/>
      <c r="EV360" s="569"/>
      <c r="EW360" s="569"/>
      <c r="EX360" s="569"/>
      <c r="EY360" s="569"/>
      <c r="EZ360" s="569"/>
      <c r="FA360" s="569"/>
      <c r="FB360" s="569"/>
      <c r="FC360" s="569"/>
      <c r="FD360" s="569"/>
      <c r="FE360" s="569"/>
      <c r="FF360" s="569"/>
      <c r="FG360" s="569"/>
      <c r="FH360" s="569"/>
      <c r="FI360" s="569"/>
      <c r="FJ360" s="569"/>
      <c r="FK360" s="569"/>
      <c r="FL360" s="569"/>
      <c r="FM360" s="569"/>
      <c r="FN360" s="569"/>
      <c r="FO360" s="569"/>
      <c r="FP360" s="569"/>
      <c r="FQ360" s="569"/>
      <c r="FR360" s="569"/>
      <c r="FS360" s="569"/>
      <c r="FT360" s="569"/>
      <c r="FU360" s="569"/>
      <c r="FV360" s="569"/>
      <c r="FW360" s="569"/>
      <c r="FX360" s="569"/>
      <c r="FY360" s="569"/>
      <c r="FZ360" s="569"/>
      <c r="GA360" s="569"/>
      <c r="GB360" s="569"/>
      <c r="GC360" s="569"/>
      <c r="GD360" s="569"/>
      <c r="GE360" s="569"/>
      <c r="GF360" s="569"/>
      <c r="GG360" s="569"/>
      <c r="GH360" s="569"/>
      <c r="GI360" s="569"/>
      <c r="GJ360" s="569"/>
      <c r="GK360" s="569"/>
      <c r="GL360" s="569"/>
      <c r="GM360" s="569"/>
      <c r="GN360" s="569"/>
      <c r="GO360" s="569"/>
      <c r="GP360" s="569"/>
      <c r="GQ360" s="569"/>
      <c r="GR360" s="569"/>
      <c r="GS360" s="569"/>
      <c r="GT360" s="569"/>
    </row>
    <row r="361" spans="1:202" s="554" customFormat="1" ht="18" customHeight="1">
      <c r="A361" s="591"/>
      <c r="B361" s="569"/>
      <c r="C361" s="1152"/>
      <c r="D361" s="1152"/>
      <c r="E361" s="1152"/>
      <c r="F361" s="1152"/>
      <c r="G361" s="1152"/>
      <c r="H361" s="1152"/>
      <c r="I361" s="1152"/>
      <c r="J361" s="1152"/>
      <c r="K361" s="1152"/>
      <c r="L361" s="1152"/>
      <c r="M361" s="569"/>
      <c r="N361" s="569"/>
      <c r="O361" s="569"/>
      <c r="P361" s="569"/>
      <c r="Q361" s="569"/>
      <c r="R361" s="569"/>
      <c r="S361" s="569"/>
      <c r="T361" s="569"/>
      <c r="U361" s="569"/>
      <c r="V361" s="569"/>
      <c r="W361" s="569"/>
      <c r="X361" s="569"/>
      <c r="Y361" s="569"/>
      <c r="Z361" s="569"/>
      <c r="AA361" s="569"/>
      <c r="AB361" s="569"/>
      <c r="AC361" s="569"/>
      <c r="AD361" s="569"/>
      <c r="AE361" s="569"/>
      <c r="AF361" s="569"/>
      <c r="AG361" s="569"/>
      <c r="AH361" s="569"/>
      <c r="AI361" s="569"/>
      <c r="AJ361" s="569"/>
      <c r="AK361" s="569"/>
      <c r="AL361" s="569"/>
      <c r="AM361" s="569"/>
      <c r="AN361" s="569"/>
      <c r="AO361" s="569"/>
      <c r="AP361" s="569"/>
      <c r="AQ361" s="569"/>
      <c r="AR361" s="569"/>
      <c r="AS361" s="569"/>
      <c r="AT361" s="569"/>
      <c r="AU361" s="569"/>
      <c r="AV361" s="569"/>
      <c r="AW361" s="569"/>
      <c r="AX361" s="569"/>
      <c r="AY361" s="569"/>
      <c r="AZ361" s="569"/>
      <c r="BA361" s="569"/>
      <c r="BB361" s="569"/>
      <c r="BC361" s="569"/>
      <c r="BD361" s="569"/>
      <c r="BE361" s="569"/>
      <c r="BF361" s="569"/>
      <c r="BG361" s="569"/>
      <c r="BH361" s="569"/>
      <c r="BI361" s="569"/>
      <c r="BJ361" s="569"/>
      <c r="BK361" s="569"/>
      <c r="BL361" s="569"/>
      <c r="BM361" s="569"/>
      <c r="BN361" s="569"/>
      <c r="BO361" s="569"/>
      <c r="BP361" s="569"/>
      <c r="BQ361" s="569"/>
      <c r="BR361" s="569"/>
      <c r="BS361" s="569"/>
      <c r="BT361" s="569"/>
      <c r="BU361" s="569"/>
      <c r="BV361" s="569"/>
      <c r="BW361" s="569"/>
      <c r="BX361" s="569"/>
      <c r="BY361" s="569"/>
      <c r="BZ361" s="569"/>
      <c r="CA361" s="569"/>
      <c r="CB361" s="569"/>
      <c r="CC361" s="569"/>
      <c r="CD361" s="569"/>
      <c r="CE361" s="569"/>
      <c r="CF361" s="569"/>
      <c r="CG361" s="569"/>
      <c r="CH361" s="569"/>
      <c r="CI361" s="569"/>
      <c r="CJ361" s="569"/>
      <c r="CK361" s="569"/>
      <c r="CL361" s="569"/>
      <c r="CM361" s="569"/>
      <c r="CN361" s="569"/>
      <c r="CO361" s="569"/>
      <c r="CP361" s="569"/>
      <c r="CQ361" s="569"/>
      <c r="CR361" s="569"/>
      <c r="CS361" s="569"/>
      <c r="CT361" s="569"/>
      <c r="CU361" s="569"/>
      <c r="CV361" s="569"/>
      <c r="CW361" s="569"/>
      <c r="CX361" s="569"/>
      <c r="CY361" s="569"/>
      <c r="CZ361" s="569"/>
      <c r="DA361" s="569"/>
      <c r="DB361" s="569"/>
      <c r="DC361" s="569"/>
      <c r="DD361" s="569"/>
      <c r="DE361" s="569"/>
      <c r="DF361" s="569"/>
      <c r="DG361" s="569"/>
      <c r="DH361" s="569"/>
      <c r="DI361" s="569"/>
      <c r="DJ361" s="569"/>
      <c r="DK361" s="569"/>
      <c r="DL361" s="569"/>
      <c r="DM361" s="569"/>
      <c r="DN361" s="569"/>
      <c r="DO361" s="569"/>
      <c r="DP361" s="569"/>
      <c r="DQ361" s="569"/>
      <c r="DR361" s="569"/>
      <c r="DS361" s="569"/>
      <c r="DT361" s="569"/>
      <c r="DU361" s="569"/>
      <c r="DV361" s="569"/>
      <c r="DW361" s="569"/>
      <c r="DX361" s="569"/>
      <c r="DY361" s="569"/>
      <c r="DZ361" s="569"/>
      <c r="EA361" s="569"/>
      <c r="EB361" s="569"/>
      <c r="EC361" s="569"/>
      <c r="ED361" s="569"/>
      <c r="EE361" s="569"/>
      <c r="EF361" s="569"/>
      <c r="EG361" s="569"/>
      <c r="EH361" s="569"/>
      <c r="EI361" s="569"/>
      <c r="EJ361" s="569"/>
      <c r="EK361" s="569"/>
      <c r="EL361" s="569"/>
      <c r="EM361" s="569"/>
      <c r="EN361" s="569"/>
      <c r="EO361" s="569"/>
      <c r="EP361" s="569"/>
      <c r="EQ361" s="569"/>
      <c r="ER361" s="569"/>
      <c r="ES361" s="569"/>
      <c r="ET361" s="569"/>
      <c r="EU361" s="569"/>
      <c r="EV361" s="569"/>
      <c r="EW361" s="569"/>
      <c r="EX361" s="569"/>
      <c r="EY361" s="569"/>
      <c r="EZ361" s="569"/>
      <c r="FA361" s="569"/>
      <c r="FB361" s="569"/>
      <c r="FC361" s="569"/>
      <c r="FD361" s="569"/>
      <c r="FE361" s="569"/>
      <c r="FF361" s="569"/>
      <c r="FG361" s="569"/>
      <c r="FH361" s="569"/>
      <c r="FI361" s="569"/>
      <c r="FJ361" s="569"/>
      <c r="FK361" s="569"/>
      <c r="FL361" s="569"/>
      <c r="FM361" s="569"/>
      <c r="FN361" s="569"/>
      <c r="FO361" s="569"/>
      <c r="FP361" s="569"/>
      <c r="FQ361" s="569"/>
      <c r="FR361" s="569"/>
      <c r="FS361" s="569"/>
      <c r="FT361" s="569"/>
      <c r="FU361" s="569"/>
      <c r="FV361" s="569"/>
      <c r="FW361" s="569"/>
      <c r="FX361" s="569"/>
      <c r="FY361" s="569"/>
      <c r="FZ361" s="569"/>
      <c r="GA361" s="569"/>
      <c r="GB361" s="569"/>
      <c r="GC361" s="569"/>
      <c r="GD361" s="569"/>
      <c r="GE361" s="569"/>
      <c r="GF361" s="569"/>
      <c r="GG361" s="569"/>
      <c r="GH361" s="569"/>
      <c r="GI361" s="569"/>
      <c r="GJ361" s="569"/>
      <c r="GK361" s="569"/>
      <c r="GL361" s="569"/>
      <c r="GM361" s="569"/>
      <c r="GN361" s="569"/>
      <c r="GO361" s="569"/>
      <c r="GP361" s="569"/>
      <c r="GQ361" s="569"/>
      <c r="GR361" s="569"/>
      <c r="GS361" s="569"/>
      <c r="GT361" s="569"/>
    </row>
    <row r="362" spans="1:202" s="554" customFormat="1" ht="18" customHeight="1">
      <c r="A362" s="591"/>
      <c r="B362" s="569"/>
      <c r="C362" s="1152"/>
      <c r="D362" s="1152"/>
      <c r="E362" s="1152"/>
      <c r="F362" s="1152"/>
      <c r="G362" s="1152"/>
      <c r="H362" s="1152"/>
      <c r="I362" s="1152"/>
      <c r="J362" s="1152"/>
      <c r="K362" s="1152"/>
      <c r="L362" s="1152"/>
      <c r="M362" s="569"/>
      <c r="N362" s="569"/>
      <c r="O362" s="569"/>
      <c r="P362" s="569"/>
      <c r="Q362" s="569"/>
      <c r="R362" s="569"/>
      <c r="S362" s="569"/>
      <c r="T362" s="569"/>
      <c r="U362" s="569"/>
      <c r="V362" s="569"/>
      <c r="W362" s="569"/>
      <c r="X362" s="569"/>
      <c r="Y362" s="569"/>
      <c r="Z362" s="569"/>
      <c r="AA362" s="569"/>
      <c r="AB362" s="569"/>
      <c r="AC362" s="569"/>
      <c r="AD362" s="569"/>
      <c r="AE362" s="569"/>
      <c r="AF362" s="569"/>
      <c r="AG362" s="569"/>
      <c r="AH362" s="569"/>
      <c r="AI362" s="569"/>
      <c r="AJ362" s="569"/>
      <c r="AK362" s="569"/>
      <c r="AL362" s="569"/>
      <c r="AM362" s="569"/>
      <c r="AN362" s="569"/>
      <c r="AO362" s="569"/>
      <c r="AP362" s="569"/>
      <c r="AQ362" s="569"/>
      <c r="AR362" s="569"/>
      <c r="AS362" s="569"/>
      <c r="AT362" s="569"/>
      <c r="AU362" s="569"/>
      <c r="AV362" s="569"/>
      <c r="AW362" s="569"/>
      <c r="AX362" s="569"/>
      <c r="AY362" s="569"/>
      <c r="AZ362" s="569"/>
      <c r="BA362" s="569"/>
      <c r="BB362" s="569"/>
      <c r="BC362" s="569"/>
      <c r="BD362" s="569"/>
      <c r="BE362" s="569"/>
      <c r="BF362" s="569"/>
      <c r="BG362" s="569"/>
      <c r="BH362" s="569"/>
      <c r="BI362" s="569"/>
      <c r="BJ362" s="569"/>
      <c r="BK362" s="569"/>
      <c r="BL362" s="569"/>
      <c r="BM362" s="569"/>
      <c r="BN362" s="569"/>
      <c r="BO362" s="569"/>
      <c r="BP362" s="569"/>
      <c r="BQ362" s="569"/>
      <c r="BR362" s="569"/>
      <c r="BS362" s="569"/>
      <c r="BT362" s="569"/>
      <c r="BU362" s="569"/>
      <c r="BV362" s="569"/>
      <c r="BW362" s="569"/>
      <c r="BX362" s="569"/>
      <c r="BY362" s="569"/>
      <c r="BZ362" s="569"/>
      <c r="CA362" s="569"/>
      <c r="CB362" s="569"/>
      <c r="CC362" s="569"/>
      <c r="CD362" s="569"/>
      <c r="CE362" s="569"/>
      <c r="CF362" s="569"/>
      <c r="CG362" s="569"/>
      <c r="CH362" s="569"/>
      <c r="CI362" s="569"/>
      <c r="CJ362" s="569"/>
      <c r="CK362" s="569"/>
      <c r="CL362" s="569"/>
      <c r="CM362" s="569"/>
      <c r="CN362" s="569"/>
      <c r="CO362" s="569"/>
      <c r="CP362" s="569"/>
      <c r="CQ362" s="569"/>
      <c r="CR362" s="569"/>
      <c r="CS362" s="569"/>
      <c r="CT362" s="569"/>
      <c r="CU362" s="569"/>
      <c r="CV362" s="569"/>
      <c r="CW362" s="569"/>
      <c r="CX362" s="569"/>
      <c r="CY362" s="569"/>
      <c r="CZ362" s="569"/>
      <c r="DA362" s="569"/>
      <c r="DB362" s="569"/>
      <c r="DC362" s="569"/>
      <c r="DD362" s="569"/>
      <c r="DE362" s="569"/>
      <c r="DF362" s="569"/>
      <c r="DG362" s="569"/>
      <c r="DH362" s="569"/>
      <c r="DI362" s="569"/>
      <c r="DJ362" s="569"/>
      <c r="DK362" s="569"/>
      <c r="DL362" s="569"/>
      <c r="DM362" s="569"/>
      <c r="DN362" s="569"/>
      <c r="DO362" s="569"/>
      <c r="DP362" s="569"/>
      <c r="DQ362" s="569"/>
      <c r="DR362" s="569"/>
      <c r="DS362" s="569"/>
      <c r="DT362" s="569"/>
      <c r="DU362" s="569"/>
      <c r="DV362" s="569"/>
      <c r="DW362" s="569"/>
      <c r="DX362" s="569"/>
      <c r="DY362" s="569"/>
      <c r="DZ362" s="569"/>
      <c r="EA362" s="569"/>
      <c r="EB362" s="569"/>
      <c r="EC362" s="569"/>
      <c r="ED362" s="569"/>
      <c r="EE362" s="569"/>
      <c r="EF362" s="569"/>
      <c r="EG362" s="569"/>
      <c r="EH362" s="569"/>
      <c r="EI362" s="569"/>
      <c r="EJ362" s="569"/>
      <c r="EK362" s="569"/>
      <c r="EL362" s="569"/>
      <c r="EM362" s="569"/>
      <c r="EN362" s="569"/>
      <c r="EO362" s="569"/>
      <c r="EP362" s="569"/>
      <c r="EQ362" s="569"/>
      <c r="ER362" s="569"/>
      <c r="ES362" s="569"/>
      <c r="ET362" s="569"/>
      <c r="EU362" s="569"/>
      <c r="EV362" s="569"/>
      <c r="EW362" s="569"/>
      <c r="EX362" s="569"/>
      <c r="EY362" s="569"/>
      <c r="EZ362" s="569"/>
      <c r="FA362" s="569"/>
      <c r="FB362" s="569"/>
      <c r="FC362" s="569"/>
      <c r="FD362" s="569"/>
      <c r="FE362" s="569"/>
      <c r="FF362" s="569"/>
      <c r="FG362" s="569"/>
      <c r="FH362" s="569"/>
      <c r="FI362" s="569"/>
      <c r="FJ362" s="569"/>
      <c r="FK362" s="569"/>
      <c r="FL362" s="569"/>
      <c r="FM362" s="569"/>
      <c r="FN362" s="569"/>
      <c r="FO362" s="569"/>
      <c r="FP362" s="569"/>
      <c r="FQ362" s="569"/>
      <c r="FR362" s="569"/>
      <c r="FS362" s="569"/>
      <c r="FT362" s="569"/>
      <c r="FU362" s="569"/>
      <c r="FV362" s="569"/>
      <c r="FW362" s="569"/>
      <c r="FX362" s="569"/>
      <c r="FY362" s="569"/>
      <c r="FZ362" s="569"/>
      <c r="GA362" s="569"/>
      <c r="GB362" s="569"/>
      <c r="GC362" s="569"/>
      <c r="GD362" s="569"/>
      <c r="GE362" s="569"/>
      <c r="GF362" s="569"/>
      <c r="GG362" s="569"/>
      <c r="GH362" s="569"/>
      <c r="GI362" s="569"/>
      <c r="GJ362" s="569"/>
      <c r="GK362" s="569"/>
      <c r="GL362" s="569"/>
      <c r="GM362" s="569"/>
      <c r="GN362" s="569"/>
      <c r="GO362" s="569"/>
      <c r="GP362" s="569"/>
      <c r="GQ362" s="569"/>
      <c r="GR362" s="569"/>
      <c r="GS362" s="569"/>
      <c r="GT362" s="569"/>
    </row>
    <row r="363" spans="1:202" s="554" customFormat="1" ht="18" customHeight="1">
      <c r="A363" s="591"/>
      <c r="B363" s="569"/>
      <c r="C363" s="1152"/>
      <c r="D363" s="1152"/>
      <c r="E363" s="1152"/>
      <c r="F363" s="1152"/>
      <c r="G363" s="1152"/>
      <c r="H363" s="1152"/>
      <c r="I363" s="1152"/>
      <c r="J363" s="1152"/>
      <c r="K363" s="1152"/>
      <c r="L363" s="1152"/>
      <c r="M363" s="569"/>
      <c r="N363" s="569"/>
      <c r="O363" s="569"/>
      <c r="P363" s="569"/>
      <c r="Q363" s="569"/>
      <c r="R363" s="569"/>
      <c r="S363" s="569"/>
      <c r="T363" s="569"/>
      <c r="U363" s="569"/>
      <c r="V363" s="569"/>
      <c r="W363" s="569"/>
      <c r="X363" s="569"/>
      <c r="Y363" s="569"/>
      <c r="Z363" s="569"/>
      <c r="AA363" s="569"/>
      <c r="AB363" s="569"/>
      <c r="AC363" s="569"/>
      <c r="AD363" s="569"/>
      <c r="AE363" s="569"/>
      <c r="AF363" s="569"/>
      <c r="AG363" s="569"/>
      <c r="AH363" s="569"/>
      <c r="AI363" s="569"/>
      <c r="AJ363" s="569"/>
      <c r="AK363" s="569"/>
      <c r="AL363" s="569"/>
      <c r="AM363" s="569"/>
      <c r="AN363" s="569"/>
      <c r="AO363" s="569"/>
      <c r="AP363" s="569"/>
      <c r="AQ363" s="569"/>
      <c r="AR363" s="569"/>
      <c r="AS363" s="569"/>
      <c r="AT363" s="569"/>
      <c r="AU363" s="569"/>
      <c r="AV363" s="569"/>
      <c r="AW363" s="569"/>
      <c r="AX363" s="569"/>
      <c r="AY363" s="569"/>
      <c r="AZ363" s="569"/>
      <c r="BA363" s="569"/>
      <c r="BB363" s="569"/>
      <c r="BC363" s="569"/>
      <c r="BD363" s="569"/>
      <c r="BE363" s="569"/>
      <c r="BF363" s="569"/>
      <c r="BG363" s="569"/>
      <c r="BH363" s="569"/>
      <c r="BI363" s="569"/>
      <c r="BJ363" s="569"/>
      <c r="BK363" s="569"/>
      <c r="BL363" s="569"/>
      <c r="BM363" s="569"/>
      <c r="BN363" s="569"/>
      <c r="BO363" s="569"/>
      <c r="BP363" s="569"/>
      <c r="BQ363" s="569"/>
      <c r="BR363" s="569"/>
      <c r="BS363" s="569"/>
      <c r="BT363" s="569"/>
      <c r="BU363" s="569"/>
      <c r="BV363" s="569"/>
      <c r="BW363" s="569"/>
      <c r="BX363" s="569"/>
      <c r="BY363" s="569"/>
      <c r="BZ363" s="569"/>
      <c r="CA363" s="569"/>
      <c r="CB363" s="569"/>
      <c r="CC363" s="569"/>
      <c r="CD363" s="569"/>
      <c r="CE363" s="569"/>
      <c r="CF363" s="569"/>
      <c r="CG363" s="569"/>
      <c r="CH363" s="569"/>
      <c r="CI363" s="569"/>
      <c r="CJ363" s="569"/>
      <c r="CK363" s="569"/>
      <c r="CL363" s="569"/>
      <c r="CM363" s="569"/>
      <c r="CN363" s="569"/>
      <c r="CO363" s="569"/>
      <c r="CP363" s="569"/>
      <c r="CQ363" s="569"/>
      <c r="CR363" s="569"/>
      <c r="CS363" s="569"/>
      <c r="CT363" s="569"/>
      <c r="CU363" s="569"/>
      <c r="CV363" s="569"/>
      <c r="CW363" s="569"/>
      <c r="CX363" s="569"/>
      <c r="CY363" s="569"/>
      <c r="CZ363" s="569"/>
      <c r="DA363" s="569"/>
      <c r="DB363" s="569"/>
      <c r="DC363" s="569"/>
      <c r="DD363" s="569"/>
      <c r="DE363" s="569"/>
      <c r="DF363" s="569"/>
      <c r="DG363" s="569"/>
      <c r="DH363" s="569"/>
      <c r="DI363" s="569"/>
      <c r="DJ363" s="569"/>
      <c r="DK363" s="569"/>
      <c r="DL363" s="569"/>
      <c r="DM363" s="569"/>
      <c r="DN363" s="569"/>
      <c r="DO363" s="569"/>
      <c r="DP363" s="569"/>
      <c r="DQ363" s="569"/>
      <c r="DR363" s="569"/>
      <c r="DS363" s="569"/>
      <c r="DT363" s="569"/>
      <c r="DU363" s="569"/>
      <c r="DV363" s="569"/>
      <c r="DW363" s="569"/>
      <c r="DX363" s="569"/>
      <c r="DY363" s="569"/>
      <c r="DZ363" s="569"/>
      <c r="EA363" s="569"/>
      <c r="EB363" s="569"/>
      <c r="EC363" s="569"/>
      <c r="ED363" s="569"/>
      <c r="EE363" s="569"/>
      <c r="EF363" s="569"/>
      <c r="EG363" s="569"/>
      <c r="EH363" s="569"/>
      <c r="EI363" s="569"/>
      <c r="EJ363" s="569"/>
      <c r="EK363" s="569"/>
      <c r="EL363" s="569"/>
      <c r="EM363" s="569"/>
      <c r="EN363" s="569"/>
      <c r="EO363" s="569"/>
      <c r="EP363" s="569"/>
      <c r="EQ363" s="569"/>
      <c r="ER363" s="569"/>
      <c r="ES363" s="569"/>
      <c r="ET363" s="569"/>
      <c r="EU363" s="569"/>
      <c r="EV363" s="569"/>
      <c r="EW363" s="569"/>
      <c r="EX363" s="569"/>
      <c r="EY363" s="569"/>
      <c r="EZ363" s="569"/>
      <c r="FA363" s="569"/>
      <c r="FB363" s="569"/>
      <c r="FC363" s="569"/>
      <c r="FD363" s="569"/>
      <c r="FE363" s="569"/>
      <c r="FF363" s="569"/>
      <c r="FG363" s="569"/>
      <c r="FH363" s="569"/>
      <c r="FI363" s="569"/>
      <c r="FJ363" s="569"/>
      <c r="FK363" s="569"/>
      <c r="FL363" s="569"/>
      <c r="FM363" s="569"/>
      <c r="FN363" s="569"/>
      <c r="FO363" s="569"/>
      <c r="FP363" s="569"/>
      <c r="FQ363" s="569"/>
      <c r="FR363" s="569"/>
      <c r="FS363" s="569"/>
      <c r="FT363" s="569"/>
      <c r="FU363" s="569"/>
      <c r="FV363" s="569"/>
      <c r="FW363" s="569"/>
      <c r="FX363" s="569"/>
      <c r="FY363" s="569"/>
      <c r="FZ363" s="569"/>
      <c r="GA363" s="569"/>
      <c r="GB363" s="569"/>
      <c r="GC363" s="569"/>
      <c r="GD363" s="569"/>
      <c r="GE363" s="569"/>
      <c r="GF363" s="569"/>
      <c r="GG363" s="569"/>
      <c r="GH363" s="569"/>
      <c r="GI363" s="569"/>
      <c r="GJ363" s="569"/>
      <c r="GK363" s="569"/>
      <c r="GL363" s="569"/>
      <c r="GM363" s="569"/>
      <c r="GN363" s="569"/>
      <c r="GO363" s="569"/>
      <c r="GP363" s="569"/>
      <c r="GQ363" s="569"/>
      <c r="GR363" s="569"/>
      <c r="GS363" s="569"/>
      <c r="GT363" s="569"/>
    </row>
    <row r="364" spans="1:202" s="554" customFormat="1" ht="18" customHeight="1">
      <c r="A364" s="591"/>
      <c r="B364" s="569"/>
      <c r="C364" s="1152"/>
      <c r="D364" s="1152"/>
      <c r="E364" s="1152"/>
      <c r="F364" s="1152"/>
      <c r="G364" s="1152"/>
      <c r="H364" s="1152"/>
      <c r="I364" s="1152"/>
      <c r="J364" s="1152"/>
      <c r="K364" s="1152"/>
      <c r="L364" s="1152"/>
      <c r="M364" s="569"/>
      <c r="N364" s="569"/>
      <c r="O364" s="569"/>
      <c r="P364" s="569"/>
      <c r="Q364" s="569"/>
      <c r="R364" s="569"/>
      <c r="S364" s="569"/>
      <c r="T364" s="569"/>
      <c r="U364" s="569"/>
      <c r="V364" s="569"/>
      <c r="W364" s="569"/>
      <c r="X364" s="569"/>
      <c r="Y364" s="569"/>
      <c r="Z364" s="569"/>
      <c r="AA364" s="569"/>
      <c r="AB364" s="569"/>
      <c r="AC364" s="569"/>
      <c r="AD364" s="569"/>
      <c r="AE364" s="569"/>
      <c r="AF364" s="569"/>
      <c r="AG364" s="569"/>
      <c r="AH364" s="569"/>
      <c r="AI364" s="569"/>
      <c r="AJ364" s="569"/>
      <c r="AK364" s="569"/>
      <c r="AL364" s="569"/>
      <c r="AM364" s="569"/>
      <c r="AN364" s="569"/>
      <c r="AO364" s="569"/>
      <c r="AP364" s="569"/>
      <c r="AQ364" s="569"/>
      <c r="AR364" s="569"/>
      <c r="AS364" s="569"/>
      <c r="AT364" s="569"/>
      <c r="AU364" s="569"/>
      <c r="AV364" s="569"/>
      <c r="AW364" s="569"/>
      <c r="AX364" s="569"/>
      <c r="AY364" s="569"/>
      <c r="AZ364" s="569"/>
      <c r="BA364" s="569"/>
      <c r="BB364" s="569"/>
      <c r="BC364" s="569"/>
      <c r="BD364" s="569"/>
      <c r="BE364" s="569"/>
      <c r="BF364" s="569"/>
      <c r="BG364" s="569"/>
      <c r="BH364" s="569"/>
      <c r="BI364" s="569"/>
      <c r="BJ364" s="569"/>
      <c r="BK364" s="569"/>
      <c r="BL364" s="569"/>
      <c r="BM364" s="569"/>
      <c r="BN364" s="569"/>
      <c r="BO364" s="569"/>
      <c r="BP364" s="569"/>
      <c r="BQ364" s="569"/>
      <c r="BR364" s="569"/>
      <c r="BS364" s="569"/>
      <c r="BT364" s="569"/>
      <c r="BU364" s="569"/>
      <c r="BV364" s="569"/>
      <c r="BW364" s="569"/>
      <c r="BX364" s="569"/>
      <c r="BY364" s="569"/>
      <c r="BZ364" s="569"/>
      <c r="CA364" s="569"/>
      <c r="CB364" s="569"/>
      <c r="CC364" s="569"/>
      <c r="CD364" s="569"/>
      <c r="CE364" s="569"/>
      <c r="CF364" s="569"/>
      <c r="CG364" s="569"/>
      <c r="CH364" s="569"/>
      <c r="CI364" s="569"/>
      <c r="CJ364" s="569"/>
      <c r="CK364" s="569"/>
      <c r="CL364" s="569"/>
      <c r="CM364" s="569"/>
      <c r="CN364" s="569"/>
      <c r="CO364" s="569"/>
      <c r="CP364" s="569"/>
      <c r="CQ364" s="569"/>
      <c r="CR364" s="569"/>
      <c r="CS364" s="569"/>
      <c r="CT364" s="569"/>
      <c r="CU364" s="569"/>
      <c r="CV364" s="569"/>
      <c r="CW364" s="569"/>
      <c r="CX364" s="569"/>
      <c r="CY364" s="569"/>
      <c r="CZ364" s="569"/>
      <c r="DA364" s="569"/>
      <c r="DB364" s="569"/>
      <c r="DC364" s="569"/>
      <c r="DD364" s="569"/>
      <c r="DE364" s="569"/>
      <c r="DF364" s="569"/>
      <c r="DG364" s="569"/>
      <c r="DH364" s="569"/>
      <c r="DI364" s="569"/>
      <c r="DJ364" s="569"/>
      <c r="DK364" s="569"/>
      <c r="DL364" s="569"/>
      <c r="DM364" s="569"/>
      <c r="DN364" s="569"/>
      <c r="DO364" s="569"/>
      <c r="DP364" s="569"/>
      <c r="DQ364" s="569"/>
      <c r="DR364" s="569"/>
      <c r="DS364" s="569"/>
      <c r="DT364" s="569"/>
      <c r="DU364" s="569"/>
      <c r="DV364" s="569"/>
      <c r="DW364" s="569"/>
      <c r="DX364" s="569"/>
      <c r="DY364" s="569"/>
      <c r="DZ364" s="569"/>
      <c r="EA364" s="569"/>
      <c r="EB364" s="569"/>
      <c r="EC364" s="569"/>
      <c r="ED364" s="569"/>
      <c r="EE364" s="569"/>
      <c r="EF364" s="569"/>
      <c r="EG364" s="569"/>
      <c r="EH364" s="569"/>
      <c r="EI364" s="569"/>
      <c r="EJ364" s="569"/>
      <c r="EK364" s="569"/>
      <c r="EL364" s="569"/>
      <c r="EM364" s="569"/>
      <c r="EN364" s="569"/>
      <c r="EO364" s="569"/>
      <c r="EP364" s="569"/>
      <c r="EQ364" s="569"/>
      <c r="ER364" s="569"/>
      <c r="ES364" s="569"/>
      <c r="ET364" s="569"/>
      <c r="EU364" s="569"/>
      <c r="EV364" s="569"/>
      <c r="EW364" s="569"/>
      <c r="EX364" s="569"/>
      <c r="EY364" s="569"/>
      <c r="EZ364" s="569"/>
      <c r="FA364" s="569"/>
      <c r="FB364" s="569"/>
      <c r="FC364" s="569"/>
      <c r="FD364" s="569"/>
      <c r="FE364" s="569"/>
      <c r="FF364" s="569"/>
      <c r="FG364" s="569"/>
      <c r="FH364" s="569"/>
      <c r="FI364" s="569"/>
      <c r="FJ364" s="569"/>
      <c r="FK364" s="569"/>
      <c r="FL364" s="569"/>
      <c r="FM364" s="569"/>
      <c r="FN364" s="569"/>
      <c r="FO364" s="569"/>
      <c r="FP364" s="569"/>
      <c r="FQ364" s="569"/>
      <c r="FR364" s="569"/>
      <c r="FS364" s="569"/>
      <c r="FT364" s="569"/>
      <c r="FU364" s="569"/>
      <c r="FV364" s="569"/>
      <c r="FW364" s="569"/>
      <c r="FX364" s="569"/>
      <c r="FY364" s="569"/>
      <c r="FZ364" s="569"/>
      <c r="GA364" s="569"/>
      <c r="GB364" s="569"/>
      <c r="GC364" s="569"/>
      <c r="GD364" s="569"/>
      <c r="GE364" s="569"/>
      <c r="GF364" s="569"/>
      <c r="GG364" s="569"/>
      <c r="GH364" s="569"/>
      <c r="GI364" s="569"/>
      <c r="GJ364" s="569"/>
      <c r="GK364" s="569"/>
      <c r="GL364" s="569"/>
      <c r="GM364" s="569"/>
      <c r="GN364" s="569"/>
      <c r="GO364" s="569"/>
      <c r="GP364" s="569"/>
      <c r="GQ364" s="569"/>
      <c r="GR364" s="569"/>
      <c r="GS364" s="569"/>
      <c r="GT364" s="569"/>
    </row>
    <row r="365" spans="1:202" s="554" customFormat="1" ht="18" customHeight="1">
      <c r="A365" s="591"/>
      <c r="B365" s="569"/>
      <c r="C365" s="1152"/>
      <c r="D365" s="1152"/>
      <c r="E365" s="1152"/>
      <c r="F365" s="1152"/>
      <c r="G365" s="1152"/>
      <c r="H365" s="1152"/>
      <c r="I365" s="1152"/>
      <c r="J365" s="1152"/>
      <c r="K365" s="1152"/>
      <c r="L365" s="1152"/>
      <c r="M365" s="569"/>
      <c r="N365" s="569"/>
      <c r="O365" s="569"/>
      <c r="P365" s="569"/>
      <c r="Q365" s="569"/>
      <c r="R365" s="569"/>
      <c r="S365" s="569"/>
      <c r="T365" s="569"/>
      <c r="U365" s="569"/>
      <c r="V365" s="569"/>
      <c r="W365" s="569"/>
      <c r="X365" s="569"/>
      <c r="Y365" s="569"/>
      <c r="Z365" s="569"/>
      <c r="AA365" s="569"/>
      <c r="AB365" s="569"/>
      <c r="AC365" s="569"/>
      <c r="AD365" s="569"/>
      <c r="AE365" s="569"/>
      <c r="AF365" s="569"/>
      <c r="AG365" s="569"/>
      <c r="AH365" s="569"/>
      <c r="AI365" s="569"/>
      <c r="AJ365" s="569"/>
      <c r="AK365" s="569"/>
      <c r="AL365" s="569"/>
      <c r="AM365" s="569"/>
      <c r="AN365" s="569"/>
      <c r="AO365" s="569"/>
      <c r="AP365" s="569"/>
      <c r="AQ365" s="569"/>
      <c r="AR365" s="569"/>
      <c r="AS365" s="569"/>
      <c r="AT365" s="569"/>
      <c r="AU365" s="569"/>
      <c r="AV365" s="569"/>
      <c r="AW365" s="569"/>
      <c r="AX365" s="569"/>
      <c r="AY365" s="569"/>
      <c r="AZ365" s="569"/>
      <c r="BA365" s="569"/>
      <c r="BB365" s="569"/>
      <c r="BC365" s="569"/>
      <c r="BD365" s="569"/>
      <c r="BE365" s="569"/>
      <c r="BF365" s="569"/>
      <c r="BG365" s="569"/>
      <c r="BH365" s="569"/>
      <c r="BI365" s="569"/>
      <c r="BJ365" s="569"/>
      <c r="BK365" s="569"/>
      <c r="BL365" s="569"/>
      <c r="BM365" s="569"/>
      <c r="BN365" s="569"/>
      <c r="BO365" s="569"/>
      <c r="BP365" s="569"/>
      <c r="BQ365" s="569"/>
      <c r="BR365" s="569"/>
      <c r="BS365" s="569"/>
      <c r="BT365" s="569"/>
      <c r="BU365" s="569"/>
      <c r="BV365" s="569"/>
      <c r="BW365" s="569"/>
      <c r="BX365" s="569"/>
      <c r="BY365" s="569"/>
      <c r="BZ365" s="569"/>
      <c r="CA365" s="569"/>
      <c r="CB365" s="569"/>
      <c r="CC365" s="569"/>
      <c r="CD365" s="569"/>
      <c r="CE365" s="569"/>
      <c r="CF365" s="569"/>
      <c r="CG365" s="569"/>
      <c r="CH365" s="569"/>
      <c r="CI365" s="569"/>
      <c r="CJ365" s="569"/>
      <c r="CK365" s="569"/>
      <c r="CL365" s="569"/>
      <c r="CM365" s="569"/>
      <c r="CN365" s="569"/>
      <c r="CO365" s="569"/>
      <c r="CP365" s="569"/>
      <c r="CQ365" s="569"/>
      <c r="CR365" s="569"/>
      <c r="CS365" s="569"/>
      <c r="CT365" s="569"/>
      <c r="CU365" s="569"/>
      <c r="CV365" s="569"/>
      <c r="CW365" s="569"/>
      <c r="CX365" s="569"/>
      <c r="CY365" s="569"/>
      <c r="CZ365" s="569"/>
      <c r="DA365" s="569"/>
      <c r="DB365" s="569"/>
      <c r="DC365" s="569"/>
      <c r="DD365" s="569"/>
      <c r="DE365" s="569"/>
      <c r="DF365" s="569"/>
      <c r="DG365" s="569"/>
      <c r="DH365" s="569"/>
      <c r="DI365" s="569"/>
      <c r="DJ365" s="569"/>
      <c r="DK365" s="569"/>
      <c r="DL365" s="569"/>
      <c r="DM365" s="569"/>
      <c r="DN365" s="569"/>
      <c r="DO365" s="569"/>
      <c r="DP365" s="569"/>
      <c r="DQ365" s="569"/>
      <c r="DR365" s="569"/>
      <c r="DS365" s="569"/>
      <c r="DT365" s="569"/>
      <c r="DU365" s="569"/>
      <c r="DV365" s="569"/>
      <c r="DW365" s="569"/>
      <c r="DX365" s="569"/>
      <c r="DY365" s="569"/>
      <c r="DZ365" s="569"/>
      <c r="EA365" s="569"/>
      <c r="EB365" s="569"/>
      <c r="EC365" s="569"/>
      <c r="ED365" s="569"/>
      <c r="EE365" s="569"/>
      <c r="EF365" s="569"/>
      <c r="EG365" s="569"/>
      <c r="EH365" s="569"/>
      <c r="EI365" s="569"/>
      <c r="EJ365" s="569"/>
      <c r="EK365" s="569"/>
      <c r="EL365" s="569"/>
      <c r="EM365" s="569"/>
      <c r="EN365" s="569"/>
      <c r="EO365" s="569"/>
      <c r="EP365" s="569"/>
      <c r="EQ365" s="569"/>
      <c r="ER365" s="569"/>
      <c r="ES365" s="569"/>
      <c r="ET365" s="569"/>
      <c r="EU365" s="569"/>
      <c r="EV365" s="569"/>
      <c r="EW365" s="569"/>
      <c r="EX365" s="569"/>
      <c r="EY365" s="569"/>
      <c r="EZ365" s="569"/>
      <c r="FA365" s="569"/>
      <c r="FB365" s="569"/>
      <c r="FC365" s="569"/>
      <c r="FD365" s="569"/>
      <c r="FE365" s="569"/>
      <c r="FF365" s="569"/>
      <c r="FG365" s="569"/>
      <c r="FH365" s="569"/>
      <c r="FI365" s="569"/>
      <c r="FJ365" s="569"/>
      <c r="FK365" s="569"/>
      <c r="FL365" s="569"/>
      <c r="FM365" s="569"/>
      <c r="FN365" s="569"/>
      <c r="FO365" s="569"/>
      <c r="FP365" s="569"/>
      <c r="FQ365" s="569"/>
      <c r="FR365" s="569"/>
      <c r="FS365" s="569"/>
      <c r="FT365" s="569"/>
      <c r="FU365" s="569"/>
      <c r="FV365" s="569"/>
      <c r="FW365" s="569"/>
      <c r="FX365" s="569"/>
      <c r="FY365" s="569"/>
      <c r="FZ365" s="569"/>
      <c r="GA365" s="569"/>
      <c r="GB365" s="569"/>
      <c r="GC365" s="569"/>
      <c r="GD365" s="569"/>
      <c r="GE365" s="569"/>
      <c r="GF365" s="569"/>
      <c r="GG365" s="569"/>
      <c r="GH365" s="569"/>
      <c r="GI365" s="569"/>
      <c r="GJ365" s="569"/>
      <c r="GK365" s="569"/>
      <c r="GL365" s="569"/>
      <c r="GM365" s="569"/>
      <c r="GN365" s="569"/>
      <c r="GO365" s="569"/>
      <c r="GP365" s="569"/>
      <c r="GQ365" s="569"/>
      <c r="GR365" s="569"/>
      <c r="GS365" s="569"/>
      <c r="GT365" s="569"/>
    </row>
    <row r="366" spans="1:202" s="554" customFormat="1" ht="18" customHeight="1">
      <c r="A366" s="591"/>
      <c r="B366" s="569"/>
      <c r="C366" s="1152"/>
      <c r="D366" s="1152"/>
      <c r="E366" s="1152"/>
      <c r="F366" s="1152"/>
      <c r="G366" s="1152"/>
      <c r="H366" s="1152"/>
      <c r="I366" s="1152"/>
      <c r="J366" s="1152"/>
      <c r="K366" s="1152"/>
      <c r="L366" s="1152"/>
      <c r="M366" s="569"/>
      <c r="N366" s="569"/>
      <c r="O366" s="569"/>
      <c r="P366" s="569"/>
      <c r="Q366" s="569"/>
      <c r="R366" s="569"/>
      <c r="S366" s="569"/>
      <c r="T366" s="569"/>
      <c r="U366" s="569"/>
      <c r="V366" s="569"/>
      <c r="W366" s="569"/>
      <c r="X366" s="569"/>
      <c r="Y366" s="569"/>
      <c r="Z366" s="569"/>
      <c r="AA366" s="569"/>
      <c r="AB366" s="569"/>
      <c r="AC366" s="569"/>
      <c r="AD366" s="569"/>
      <c r="AE366" s="569"/>
      <c r="AF366" s="569"/>
      <c r="AG366" s="569"/>
      <c r="AH366" s="569"/>
      <c r="AI366" s="569"/>
      <c r="AJ366" s="569"/>
      <c r="AK366" s="569"/>
      <c r="AL366" s="569"/>
      <c r="AM366" s="569"/>
      <c r="AN366" s="569"/>
      <c r="AO366" s="569"/>
      <c r="AP366" s="569"/>
      <c r="AQ366" s="569"/>
      <c r="AR366" s="569"/>
      <c r="AS366" s="569"/>
      <c r="AT366" s="569"/>
      <c r="AU366" s="569"/>
      <c r="AV366" s="569"/>
      <c r="AW366" s="569"/>
      <c r="AX366" s="569"/>
      <c r="AY366" s="569"/>
      <c r="AZ366" s="569"/>
      <c r="BA366" s="569"/>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c r="DC366" s="569"/>
      <c r="DD366" s="569"/>
      <c r="DE366" s="569"/>
      <c r="DF366" s="569"/>
      <c r="DG366" s="569"/>
      <c r="DH366" s="569"/>
      <c r="DI366" s="569"/>
      <c r="DJ366" s="569"/>
      <c r="DK366" s="569"/>
      <c r="DL366" s="569"/>
      <c r="DM366" s="569"/>
      <c r="DN366" s="569"/>
      <c r="DO366" s="569"/>
      <c r="DP366" s="569"/>
      <c r="DQ366" s="569"/>
      <c r="DR366" s="569"/>
      <c r="DS366" s="569"/>
      <c r="DT366" s="569"/>
      <c r="DU366" s="569"/>
      <c r="DV366" s="569"/>
      <c r="DW366" s="569"/>
      <c r="DX366" s="569"/>
      <c r="DY366" s="569"/>
      <c r="DZ366" s="569"/>
      <c r="EA366" s="569"/>
      <c r="EB366" s="569"/>
      <c r="EC366" s="569"/>
      <c r="ED366" s="569"/>
      <c r="EE366" s="569"/>
      <c r="EF366" s="569"/>
      <c r="EG366" s="569"/>
      <c r="EH366" s="569"/>
      <c r="EI366" s="569"/>
      <c r="EJ366" s="569"/>
      <c r="EK366" s="569"/>
      <c r="EL366" s="569"/>
      <c r="EM366" s="569"/>
      <c r="EN366" s="569"/>
      <c r="EO366" s="569"/>
      <c r="EP366" s="569"/>
      <c r="EQ366" s="569"/>
      <c r="ER366" s="569"/>
      <c r="ES366" s="569"/>
      <c r="ET366" s="569"/>
      <c r="EU366" s="569"/>
      <c r="EV366" s="569"/>
      <c r="EW366" s="569"/>
      <c r="EX366" s="569"/>
      <c r="EY366" s="569"/>
      <c r="EZ366" s="569"/>
      <c r="FA366" s="569"/>
      <c r="FB366" s="569"/>
      <c r="FC366" s="569"/>
      <c r="FD366" s="569"/>
      <c r="FE366" s="569"/>
      <c r="FF366" s="569"/>
      <c r="FG366" s="569"/>
      <c r="FH366" s="569"/>
      <c r="FI366" s="569"/>
      <c r="FJ366" s="569"/>
      <c r="FK366" s="569"/>
      <c r="FL366" s="569"/>
      <c r="FM366" s="569"/>
      <c r="FN366" s="569"/>
      <c r="FO366" s="569"/>
      <c r="FP366" s="569"/>
      <c r="FQ366" s="569"/>
      <c r="FR366" s="569"/>
      <c r="FS366" s="569"/>
      <c r="FT366" s="569"/>
      <c r="FU366" s="569"/>
      <c r="FV366" s="569"/>
      <c r="FW366" s="569"/>
      <c r="FX366" s="569"/>
      <c r="FY366" s="569"/>
      <c r="FZ366" s="569"/>
      <c r="GA366" s="569"/>
      <c r="GB366" s="569"/>
      <c r="GC366" s="569"/>
      <c r="GD366" s="569"/>
      <c r="GE366" s="569"/>
      <c r="GF366" s="569"/>
      <c r="GG366" s="569"/>
      <c r="GH366" s="569"/>
      <c r="GI366" s="569"/>
      <c r="GJ366" s="569"/>
      <c r="GK366" s="569"/>
      <c r="GL366" s="569"/>
      <c r="GM366" s="569"/>
      <c r="GN366" s="569"/>
      <c r="GO366" s="569"/>
      <c r="GP366" s="569"/>
      <c r="GQ366" s="569"/>
      <c r="GR366" s="569"/>
      <c r="GS366" s="569"/>
      <c r="GT366" s="569"/>
    </row>
    <row r="367" spans="1:202" s="554" customFormat="1" ht="18" customHeight="1">
      <c r="A367" s="591"/>
      <c r="B367" s="569"/>
      <c r="C367" s="1152"/>
      <c r="D367" s="1152"/>
      <c r="E367" s="1152"/>
      <c r="F367" s="1152"/>
      <c r="G367" s="1152"/>
      <c r="H367" s="1152"/>
      <c r="I367" s="1152"/>
      <c r="J367" s="1152"/>
      <c r="K367" s="1152"/>
      <c r="L367" s="1152"/>
      <c r="M367" s="569"/>
      <c r="N367" s="569"/>
      <c r="O367" s="569"/>
      <c r="P367" s="569"/>
      <c r="Q367" s="569"/>
      <c r="R367" s="569"/>
      <c r="S367" s="569"/>
      <c r="T367" s="569"/>
      <c r="U367" s="569"/>
      <c r="V367" s="569"/>
      <c r="W367" s="569"/>
      <c r="X367" s="569"/>
      <c r="Y367" s="569"/>
      <c r="Z367" s="569"/>
      <c r="AA367" s="569"/>
      <c r="AB367" s="569"/>
      <c r="AC367" s="569"/>
      <c r="AD367" s="569"/>
      <c r="AE367" s="569"/>
      <c r="AF367" s="569"/>
      <c r="AG367" s="569"/>
      <c r="AH367" s="569"/>
      <c r="AI367" s="569"/>
      <c r="AJ367" s="569"/>
      <c r="AK367" s="569"/>
      <c r="AL367" s="569"/>
      <c r="AM367" s="569"/>
      <c r="AN367" s="569"/>
      <c r="AO367" s="569"/>
      <c r="AP367" s="569"/>
      <c r="AQ367" s="569"/>
      <c r="AR367" s="569"/>
      <c r="AS367" s="569"/>
      <c r="AT367" s="569"/>
      <c r="AU367" s="569"/>
      <c r="AV367" s="569"/>
      <c r="AW367" s="569"/>
      <c r="AX367" s="569"/>
      <c r="AY367" s="569"/>
      <c r="AZ367" s="569"/>
      <c r="BA367" s="569"/>
      <c r="BB367" s="569"/>
      <c r="BC367" s="569"/>
      <c r="BD367" s="569"/>
      <c r="BE367" s="569"/>
      <c r="BF367" s="569"/>
      <c r="BG367" s="569"/>
      <c r="BH367" s="569"/>
      <c r="BI367" s="569"/>
      <c r="BJ367" s="569"/>
      <c r="BK367" s="569"/>
      <c r="BL367" s="569"/>
      <c r="BM367" s="569"/>
      <c r="BN367" s="569"/>
      <c r="BO367" s="569"/>
      <c r="BP367" s="569"/>
      <c r="BQ367" s="569"/>
      <c r="BR367" s="569"/>
      <c r="BS367" s="569"/>
      <c r="BT367" s="569"/>
      <c r="BU367" s="569"/>
      <c r="BV367" s="569"/>
      <c r="BW367" s="569"/>
      <c r="BX367" s="569"/>
      <c r="BY367" s="569"/>
      <c r="BZ367" s="569"/>
      <c r="CA367" s="569"/>
      <c r="CB367" s="569"/>
      <c r="CC367" s="569"/>
      <c r="CD367" s="569"/>
      <c r="CE367" s="569"/>
      <c r="CF367" s="569"/>
      <c r="CG367" s="569"/>
      <c r="CH367" s="569"/>
      <c r="CI367" s="569"/>
      <c r="CJ367" s="569"/>
      <c r="CK367" s="569"/>
      <c r="CL367" s="569"/>
      <c r="CM367" s="569"/>
      <c r="CN367" s="569"/>
      <c r="CO367" s="569"/>
      <c r="CP367" s="569"/>
      <c r="CQ367" s="569"/>
      <c r="CR367" s="569"/>
      <c r="CS367" s="569"/>
      <c r="CT367" s="569"/>
      <c r="CU367" s="569"/>
      <c r="CV367" s="569"/>
      <c r="CW367" s="569"/>
      <c r="CX367" s="569"/>
      <c r="CY367" s="569"/>
      <c r="CZ367" s="569"/>
      <c r="DA367" s="569"/>
      <c r="DB367" s="569"/>
      <c r="DC367" s="569"/>
      <c r="DD367" s="569"/>
      <c r="DE367" s="569"/>
      <c r="DF367" s="569"/>
      <c r="DG367" s="569"/>
      <c r="DH367" s="569"/>
      <c r="DI367" s="569"/>
      <c r="DJ367" s="569"/>
      <c r="DK367" s="569"/>
      <c r="DL367" s="569"/>
      <c r="DM367" s="569"/>
      <c r="DN367" s="569"/>
      <c r="DO367" s="569"/>
      <c r="DP367" s="569"/>
      <c r="DQ367" s="569"/>
      <c r="DR367" s="569"/>
      <c r="DS367" s="569"/>
      <c r="DT367" s="569"/>
      <c r="DU367" s="569"/>
      <c r="DV367" s="569"/>
      <c r="DW367" s="569"/>
      <c r="DX367" s="569"/>
      <c r="DY367" s="569"/>
      <c r="DZ367" s="569"/>
      <c r="EA367" s="569"/>
      <c r="EB367" s="569"/>
      <c r="EC367" s="569"/>
      <c r="ED367" s="569"/>
      <c r="EE367" s="569"/>
      <c r="EF367" s="569"/>
      <c r="EG367" s="569"/>
      <c r="EH367" s="569"/>
      <c r="EI367" s="569"/>
      <c r="EJ367" s="569"/>
      <c r="EK367" s="569"/>
      <c r="EL367" s="569"/>
      <c r="EM367" s="569"/>
      <c r="EN367" s="569"/>
      <c r="EO367" s="569"/>
      <c r="EP367" s="569"/>
      <c r="EQ367" s="569"/>
      <c r="ER367" s="569"/>
      <c r="ES367" s="569"/>
      <c r="ET367" s="569"/>
      <c r="EU367" s="569"/>
      <c r="EV367" s="569"/>
      <c r="EW367" s="569"/>
      <c r="EX367" s="569"/>
      <c r="EY367" s="569"/>
      <c r="EZ367" s="569"/>
      <c r="FA367" s="569"/>
      <c r="FB367" s="569"/>
      <c r="FC367" s="569"/>
      <c r="FD367" s="569"/>
      <c r="FE367" s="569"/>
      <c r="FF367" s="569"/>
      <c r="FG367" s="569"/>
      <c r="FH367" s="569"/>
      <c r="FI367" s="569"/>
      <c r="FJ367" s="569"/>
      <c r="FK367" s="569"/>
      <c r="FL367" s="569"/>
      <c r="FM367" s="569"/>
      <c r="FN367" s="569"/>
      <c r="FO367" s="569"/>
      <c r="FP367" s="569"/>
      <c r="FQ367" s="569"/>
      <c r="FR367" s="569"/>
      <c r="FS367" s="569"/>
      <c r="FT367" s="569"/>
      <c r="FU367" s="569"/>
      <c r="FV367" s="569"/>
      <c r="FW367" s="569"/>
      <c r="FX367" s="569"/>
      <c r="FY367" s="569"/>
      <c r="FZ367" s="569"/>
      <c r="GA367" s="569"/>
      <c r="GB367" s="569"/>
      <c r="GC367" s="569"/>
      <c r="GD367" s="569"/>
      <c r="GE367" s="569"/>
      <c r="GF367" s="569"/>
      <c r="GG367" s="569"/>
      <c r="GH367" s="569"/>
      <c r="GI367" s="569"/>
      <c r="GJ367" s="569"/>
      <c r="GK367" s="569"/>
      <c r="GL367" s="569"/>
      <c r="GM367" s="569"/>
      <c r="GN367" s="569"/>
      <c r="GO367" s="569"/>
      <c r="GP367" s="569"/>
      <c r="GQ367" s="569"/>
      <c r="GR367" s="569"/>
      <c r="GS367" s="569"/>
      <c r="GT367" s="569"/>
    </row>
    <row r="368" spans="1:202" s="554" customFormat="1" ht="18" customHeight="1">
      <c r="A368" s="591"/>
      <c r="B368" s="569"/>
      <c r="C368" s="1152"/>
      <c r="D368" s="1152"/>
      <c r="E368" s="1152"/>
      <c r="F368" s="1152"/>
      <c r="G368" s="1152"/>
      <c r="H368" s="1152"/>
      <c r="I368" s="1152"/>
      <c r="J368" s="1152"/>
      <c r="K368" s="1152"/>
      <c r="L368" s="1152"/>
      <c r="M368" s="569"/>
      <c r="N368" s="569"/>
      <c r="O368" s="569"/>
      <c r="P368" s="569"/>
      <c r="Q368" s="569"/>
      <c r="R368" s="569"/>
      <c r="S368" s="569"/>
      <c r="T368" s="569"/>
      <c r="U368" s="569"/>
      <c r="V368" s="569"/>
      <c r="W368" s="569"/>
      <c r="X368" s="569"/>
      <c r="Y368" s="569"/>
      <c r="Z368" s="569"/>
      <c r="AA368" s="569"/>
      <c r="AB368" s="569"/>
      <c r="AC368" s="569"/>
      <c r="AD368" s="569"/>
      <c r="AE368" s="569"/>
      <c r="AF368" s="569"/>
      <c r="AG368" s="569"/>
      <c r="AH368" s="569"/>
      <c r="AI368" s="569"/>
      <c r="AJ368" s="569"/>
      <c r="AK368" s="569"/>
      <c r="AL368" s="569"/>
      <c r="AM368" s="569"/>
      <c r="AN368" s="569"/>
      <c r="AO368" s="569"/>
      <c r="AP368" s="569"/>
      <c r="AQ368" s="569"/>
      <c r="AR368" s="569"/>
      <c r="AS368" s="569"/>
      <c r="AT368" s="569"/>
      <c r="AU368" s="569"/>
      <c r="AV368" s="569"/>
      <c r="AW368" s="569"/>
      <c r="AX368" s="569"/>
      <c r="AY368" s="569"/>
      <c r="AZ368" s="569"/>
      <c r="BA368" s="569"/>
      <c r="BB368" s="569"/>
      <c r="BC368" s="569"/>
      <c r="BD368" s="569"/>
      <c r="BE368" s="569"/>
      <c r="BF368" s="569"/>
      <c r="BG368" s="569"/>
      <c r="BH368" s="569"/>
      <c r="BI368" s="569"/>
      <c r="BJ368" s="569"/>
      <c r="BK368" s="569"/>
      <c r="BL368" s="569"/>
      <c r="BM368" s="569"/>
      <c r="BN368" s="569"/>
      <c r="BO368" s="569"/>
      <c r="BP368" s="569"/>
      <c r="BQ368" s="569"/>
      <c r="BR368" s="569"/>
      <c r="BS368" s="569"/>
      <c r="BT368" s="569"/>
      <c r="BU368" s="569"/>
      <c r="BV368" s="569"/>
      <c r="BW368" s="569"/>
      <c r="BX368" s="569"/>
      <c r="BY368" s="569"/>
      <c r="BZ368" s="569"/>
      <c r="CA368" s="569"/>
      <c r="CB368" s="569"/>
      <c r="CC368" s="569"/>
      <c r="CD368" s="569"/>
      <c r="CE368" s="569"/>
      <c r="CF368" s="569"/>
      <c r="CG368" s="569"/>
      <c r="CH368" s="569"/>
      <c r="CI368" s="569"/>
      <c r="CJ368" s="569"/>
      <c r="CK368" s="569"/>
      <c r="CL368" s="569"/>
      <c r="CM368" s="569"/>
      <c r="CN368" s="569"/>
      <c r="CO368" s="569"/>
      <c r="CP368" s="569"/>
      <c r="CQ368" s="569"/>
      <c r="CR368" s="569"/>
      <c r="CS368" s="569"/>
      <c r="CT368" s="569"/>
      <c r="CU368" s="569"/>
      <c r="CV368" s="569"/>
      <c r="CW368" s="569"/>
      <c r="CX368" s="569"/>
      <c r="CY368" s="569"/>
      <c r="CZ368" s="569"/>
      <c r="DA368" s="569"/>
      <c r="DB368" s="569"/>
      <c r="DC368" s="569"/>
      <c r="DD368" s="569"/>
      <c r="DE368" s="569"/>
      <c r="DF368" s="569"/>
      <c r="DG368" s="569"/>
      <c r="DH368" s="569"/>
      <c r="DI368" s="569"/>
      <c r="DJ368" s="569"/>
      <c r="DK368" s="569"/>
      <c r="DL368" s="569"/>
      <c r="DM368" s="569"/>
      <c r="DN368" s="569"/>
      <c r="DO368" s="569"/>
      <c r="DP368" s="569"/>
      <c r="DQ368" s="569"/>
      <c r="DR368" s="569"/>
      <c r="DS368" s="569"/>
      <c r="DT368" s="569"/>
      <c r="DU368" s="569"/>
      <c r="DV368" s="569"/>
      <c r="DW368" s="569"/>
      <c r="DX368" s="569"/>
      <c r="DY368" s="569"/>
      <c r="DZ368" s="569"/>
      <c r="EA368" s="569"/>
      <c r="EB368" s="569"/>
      <c r="EC368" s="569"/>
      <c r="ED368" s="569"/>
      <c r="EE368" s="569"/>
      <c r="EF368" s="569"/>
      <c r="EG368" s="569"/>
      <c r="EH368" s="569"/>
      <c r="EI368" s="569"/>
      <c r="EJ368" s="569"/>
      <c r="EK368" s="569"/>
      <c r="EL368" s="569"/>
      <c r="EM368" s="569"/>
      <c r="EN368" s="569"/>
      <c r="EO368" s="569"/>
      <c r="EP368" s="569"/>
      <c r="EQ368" s="569"/>
      <c r="ER368" s="569"/>
      <c r="ES368" s="569"/>
      <c r="ET368" s="569"/>
      <c r="EU368" s="569"/>
      <c r="EV368" s="569"/>
      <c r="EW368" s="569"/>
      <c r="EX368" s="569"/>
      <c r="EY368" s="569"/>
      <c r="EZ368" s="569"/>
      <c r="FA368" s="569"/>
      <c r="FB368" s="569"/>
      <c r="FC368" s="569"/>
      <c r="FD368" s="569"/>
      <c r="FE368" s="569"/>
      <c r="FF368" s="569"/>
      <c r="FG368" s="569"/>
      <c r="FH368" s="569"/>
      <c r="FI368" s="569"/>
      <c r="FJ368" s="569"/>
      <c r="FK368" s="569"/>
      <c r="FL368" s="569"/>
      <c r="FM368" s="569"/>
      <c r="FN368" s="569"/>
      <c r="FO368" s="569"/>
      <c r="FP368" s="569"/>
      <c r="FQ368" s="569"/>
      <c r="FR368" s="569"/>
      <c r="FS368" s="569"/>
      <c r="FT368" s="569"/>
      <c r="FU368" s="569"/>
      <c r="FV368" s="569"/>
      <c r="FW368" s="569"/>
      <c r="FX368" s="569"/>
      <c r="FY368" s="569"/>
      <c r="FZ368" s="569"/>
      <c r="GA368" s="569"/>
      <c r="GB368" s="569"/>
      <c r="GC368" s="569"/>
      <c r="GD368" s="569"/>
      <c r="GE368" s="569"/>
      <c r="GF368" s="569"/>
      <c r="GG368" s="569"/>
      <c r="GH368" s="569"/>
      <c r="GI368" s="569"/>
      <c r="GJ368" s="569"/>
      <c r="GK368" s="569"/>
      <c r="GL368" s="569"/>
      <c r="GM368" s="569"/>
      <c r="GN368" s="569"/>
      <c r="GO368" s="569"/>
      <c r="GP368" s="569"/>
      <c r="GQ368" s="569"/>
      <c r="GR368" s="569"/>
      <c r="GS368" s="569"/>
      <c r="GT368" s="569"/>
    </row>
    <row r="369" spans="1:202" s="554" customFormat="1" ht="18" customHeight="1">
      <c r="A369" s="591"/>
      <c r="B369" s="569"/>
      <c r="C369" s="1152"/>
      <c r="D369" s="1152"/>
      <c r="E369" s="1152"/>
      <c r="F369" s="1152"/>
      <c r="G369" s="1152"/>
      <c r="H369" s="1152"/>
      <c r="I369" s="1152"/>
      <c r="J369" s="1152"/>
      <c r="K369" s="1152"/>
      <c r="L369" s="1152"/>
      <c r="M369" s="569"/>
      <c r="N369" s="569"/>
      <c r="O369" s="569"/>
      <c r="P369" s="569"/>
      <c r="Q369" s="569"/>
      <c r="R369" s="569"/>
      <c r="S369" s="569"/>
      <c r="T369" s="569"/>
      <c r="U369" s="569"/>
      <c r="V369" s="569"/>
      <c r="W369" s="569"/>
      <c r="X369" s="569"/>
      <c r="Y369" s="569"/>
      <c r="Z369" s="569"/>
      <c r="AA369" s="569"/>
      <c r="AB369" s="569"/>
      <c r="AC369" s="569"/>
      <c r="AD369" s="569"/>
      <c r="AE369" s="569"/>
      <c r="AF369" s="569"/>
      <c r="AG369" s="569"/>
      <c r="AH369" s="569"/>
      <c r="AI369" s="569"/>
      <c r="AJ369" s="569"/>
      <c r="AK369" s="569"/>
      <c r="AL369" s="569"/>
      <c r="AM369" s="569"/>
      <c r="AN369" s="569"/>
      <c r="AO369" s="569"/>
      <c r="AP369" s="569"/>
      <c r="AQ369" s="569"/>
      <c r="AR369" s="569"/>
      <c r="AS369" s="569"/>
      <c r="AT369" s="569"/>
      <c r="AU369" s="569"/>
      <c r="AV369" s="569"/>
      <c r="AW369" s="569"/>
      <c r="AX369" s="569"/>
      <c r="AY369" s="569"/>
      <c r="AZ369" s="569"/>
      <c r="BA369" s="569"/>
      <c r="BB369" s="569"/>
      <c r="BC369" s="569"/>
      <c r="BD369" s="569"/>
      <c r="BE369" s="569"/>
      <c r="BF369" s="569"/>
      <c r="BG369" s="569"/>
      <c r="BH369" s="569"/>
      <c r="BI369" s="569"/>
      <c r="BJ369" s="569"/>
      <c r="BK369" s="569"/>
      <c r="BL369" s="569"/>
      <c r="BM369" s="569"/>
      <c r="BN369" s="569"/>
      <c r="BO369" s="569"/>
      <c r="BP369" s="569"/>
      <c r="BQ369" s="569"/>
      <c r="BR369" s="569"/>
      <c r="BS369" s="569"/>
      <c r="BT369" s="569"/>
      <c r="BU369" s="569"/>
      <c r="BV369" s="569"/>
      <c r="BW369" s="569"/>
      <c r="BX369" s="569"/>
      <c r="BY369" s="569"/>
      <c r="BZ369" s="569"/>
      <c r="CA369" s="569"/>
      <c r="CB369" s="569"/>
      <c r="CC369" s="569"/>
      <c r="CD369" s="569"/>
      <c r="CE369" s="569"/>
      <c r="CF369" s="569"/>
      <c r="CG369" s="569"/>
      <c r="CH369" s="569"/>
      <c r="CI369" s="569"/>
      <c r="CJ369" s="569"/>
      <c r="CK369" s="569"/>
      <c r="CL369" s="569"/>
      <c r="CM369" s="569"/>
      <c r="CN369" s="569"/>
      <c r="CO369" s="569"/>
      <c r="CP369" s="569"/>
      <c r="CQ369" s="569"/>
      <c r="CR369" s="569"/>
      <c r="CS369" s="569"/>
      <c r="CT369" s="569"/>
      <c r="CU369" s="569"/>
      <c r="CV369" s="569"/>
      <c r="CW369" s="569"/>
      <c r="CX369" s="569"/>
      <c r="CY369" s="569"/>
      <c r="CZ369" s="569"/>
      <c r="DA369" s="569"/>
      <c r="DB369" s="569"/>
      <c r="DC369" s="569"/>
      <c r="DD369" s="569"/>
      <c r="DE369" s="569"/>
      <c r="DF369" s="569"/>
      <c r="DG369" s="569"/>
      <c r="DH369" s="569"/>
      <c r="DI369" s="569"/>
      <c r="DJ369" s="569"/>
      <c r="DK369" s="569"/>
      <c r="DL369" s="569"/>
      <c r="DM369" s="569"/>
      <c r="DN369" s="569"/>
      <c r="DO369" s="569"/>
      <c r="DP369" s="569"/>
      <c r="DQ369" s="569"/>
      <c r="DR369" s="569"/>
      <c r="DS369" s="569"/>
      <c r="DT369" s="569"/>
      <c r="DU369" s="569"/>
      <c r="DV369" s="569"/>
      <c r="DW369" s="569"/>
      <c r="DX369" s="569"/>
      <c r="DY369" s="569"/>
      <c r="DZ369" s="569"/>
      <c r="EA369" s="569"/>
      <c r="EB369" s="569"/>
      <c r="EC369" s="569"/>
      <c r="ED369" s="569"/>
      <c r="EE369" s="569"/>
      <c r="EF369" s="569"/>
      <c r="EG369" s="569"/>
      <c r="EH369" s="569"/>
      <c r="EI369" s="569"/>
      <c r="EJ369" s="569"/>
      <c r="EK369" s="569"/>
      <c r="EL369" s="569"/>
      <c r="EM369" s="569"/>
      <c r="EN369" s="569"/>
      <c r="EO369" s="569"/>
      <c r="EP369" s="569"/>
      <c r="EQ369" s="569"/>
      <c r="ER369" s="569"/>
      <c r="ES369" s="569"/>
      <c r="ET369" s="569"/>
      <c r="EU369" s="569"/>
      <c r="EV369" s="569"/>
      <c r="EW369" s="569"/>
      <c r="EX369" s="569"/>
      <c r="EY369" s="569"/>
      <c r="EZ369" s="569"/>
      <c r="FA369" s="569"/>
      <c r="FB369" s="569"/>
      <c r="FC369" s="569"/>
      <c r="FD369" s="569"/>
      <c r="FE369" s="569"/>
      <c r="FF369" s="569"/>
      <c r="FG369" s="569"/>
      <c r="FH369" s="569"/>
      <c r="FI369" s="569"/>
      <c r="FJ369" s="569"/>
      <c r="FK369" s="569"/>
      <c r="FL369" s="569"/>
      <c r="FM369" s="569"/>
      <c r="FN369" s="569"/>
      <c r="FO369" s="569"/>
      <c r="FP369" s="569"/>
      <c r="FQ369" s="569"/>
      <c r="FR369" s="569"/>
      <c r="FS369" s="569"/>
      <c r="FT369" s="569"/>
      <c r="FU369" s="569"/>
      <c r="FV369" s="569"/>
      <c r="FW369" s="569"/>
      <c r="FX369" s="569"/>
      <c r="FY369" s="569"/>
      <c r="FZ369" s="569"/>
      <c r="GA369" s="569"/>
      <c r="GB369" s="569"/>
      <c r="GC369" s="569"/>
      <c r="GD369" s="569"/>
      <c r="GE369" s="569"/>
      <c r="GF369" s="569"/>
      <c r="GG369" s="569"/>
      <c r="GH369" s="569"/>
      <c r="GI369" s="569"/>
      <c r="GJ369" s="569"/>
      <c r="GK369" s="569"/>
      <c r="GL369" s="569"/>
      <c r="GM369" s="569"/>
      <c r="GN369" s="569"/>
      <c r="GO369" s="569"/>
      <c r="GP369" s="569"/>
      <c r="GQ369" s="569"/>
      <c r="GR369" s="569"/>
      <c r="GS369" s="569"/>
      <c r="GT369" s="569"/>
    </row>
    <row r="370" spans="1:202" s="554" customFormat="1" ht="18" customHeight="1">
      <c r="A370" s="591"/>
      <c r="B370" s="569"/>
      <c r="C370" s="1152"/>
      <c r="D370" s="1152"/>
      <c r="E370" s="1152"/>
      <c r="F370" s="1152"/>
      <c r="G370" s="1152"/>
      <c r="H370" s="1152"/>
      <c r="I370" s="1152"/>
      <c r="J370" s="1152"/>
      <c r="K370" s="1152"/>
      <c r="L370" s="1152"/>
      <c r="M370" s="569"/>
      <c r="N370" s="569"/>
      <c r="O370" s="569"/>
      <c r="P370" s="569"/>
      <c r="Q370" s="569"/>
      <c r="R370" s="569"/>
      <c r="S370" s="569"/>
      <c r="T370" s="569"/>
      <c r="U370" s="569"/>
      <c r="V370" s="569"/>
      <c r="W370" s="569"/>
      <c r="X370" s="569"/>
      <c r="Y370" s="569"/>
      <c r="Z370" s="569"/>
      <c r="AA370" s="569"/>
      <c r="AB370" s="569"/>
      <c r="AC370" s="569"/>
      <c r="AD370" s="569"/>
      <c r="AE370" s="569"/>
      <c r="AF370" s="569"/>
      <c r="AG370" s="569"/>
      <c r="AH370" s="569"/>
      <c r="AI370" s="569"/>
      <c r="AJ370" s="569"/>
      <c r="AK370" s="569"/>
      <c r="AL370" s="569"/>
      <c r="AM370" s="569"/>
      <c r="AN370" s="569"/>
      <c r="AO370" s="569"/>
      <c r="AP370" s="569"/>
      <c r="AQ370" s="569"/>
      <c r="AR370" s="569"/>
      <c r="AS370" s="569"/>
      <c r="AT370" s="569"/>
      <c r="AU370" s="569"/>
      <c r="AV370" s="569"/>
      <c r="AW370" s="569"/>
      <c r="AX370" s="569"/>
      <c r="AY370" s="569"/>
      <c r="AZ370" s="569"/>
      <c r="BA370" s="569"/>
      <c r="BB370" s="569"/>
      <c r="BC370" s="569"/>
      <c r="BD370" s="569"/>
      <c r="BE370" s="569"/>
      <c r="BF370" s="569"/>
      <c r="BG370" s="569"/>
      <c r="BH370" s="569"/>
      <c r="BI370" s="569"/>
      <c r="BJ370" s="569"/>
      <c r="BK370" s="569"/>
      <c r="BL370" s="569"/>
      <c r="BM370" s="569"/>
      <c r="BN370" s="569"/>
      <c r="BO370" s="569"/>
      <c r="BP370" s="569"/>
      <c r="BQ370" s="569"/>
      <c r="BR370" s="569"/>
      <c r="BS370" s="569"/>
      <c r="BT370" s="569"/>
      <c r="BU370" s="569"/>
      <c r="BV370" s="569"/>
      <c r="BW370" s="569"/>
      <c r="BX370" s="569"/>
      <c r="BY370" s="569"/>
      <c r="BZ370" s="569"/>
      <c r="CA370" s="569"/>
      <c r="CB370" s="569"/>
      <c r="CC370" s="569"/>
      <c r="CD370" s="569"/>
      <c r="CE370" s="569"/>
      <c r="CF370" s="569"/>
      <c r="CG370" s="569"/>
      <c r="CH370" s="569"/>
      <c r="CI370" s="569"/>
      <c r="CJ370" s="569"/>
      <c r="CK370" s="569"/>
      <c r="CL370" s="569"/>
      <c r="CM370" s="569"/>
      <c r="CN370" s="569"/>
      <c r="CO370" s="569"/>
      <c r="CP370" s="569"/>
      <c r="CQ370" s="569"/>
      <c r="CR370" s="569"/>
      <c r="CS370" s="569"/>
      <c r="CT370" s="569"/>
      <c r="CU370" s="569"/>
      <c r="CV370" s="569"/>
      <c r="CW370" s="569"/>
      <c r="CX370" s="569"/>
      <c r="CY370" s="569"/>
      <c r="CZ370" s="569"/>
      <c r="DA370" s="569"/>
      <c r="DB370" s="569"/>
      <c r="DC370" s="569"/>
      <c r="DD370" s="569"/>
      <c r="DE370" s="569"/>
      <c r="DF370" s="569"/>
      <c r="DG370" s="569"/>
      <c r="DH370" s="569"/>
      <c r="DI370" s="569"/>
      <c r="DJ370" s="569"/>
      <c r="DK370" s="569"/>
      <c r="DL370" s="569"/>
      <c r="DM370" s="569"/>
      <c r="DN370" s="569"/>
      <c r="DO370" s="569"/>
      <c r="DP370" s="569"/>
      <c r="DQ370" s="569"/>
      <c r="DR370" s="569"/>
      <c r="DS370" s="569"/>
      <c r="DT370" s="569"/>
      <c r="DU370" s="569"/>
      <c r="DV370" s="569"/>
      <c r="DW370" s="569"/>
      <c r="DX370" s="569"/>
      <c r="DY370" s="569"/>
      <c r="DZ370" s="569"/>
      <c r="EA370" s="569"/>
      <c r="EB370" s="569"/>
      <c r="EC370" s="569"/>
      <c r="ED370" s="569"/>
      <c r="EE370" s="569"/>
      <c r="EF370" s="569"/>
      <c r="EG370" s="569"/>
      <c r="EH370" s="569"/>
      <c r="EI370" s="569"/>
      <c r="EJ370" s="569"/>
      <c r="EK370" s="569"/>
      <c r="EL370" s="569"/>
      <c r="EM370" s="569"/>
      <c r="EN370" s="569"/>
      <c r="EO370" s="569"/>
      <c r="EP370" s="569"/>
      <c r="EQ370" s="569"/>
      <c r="ER370" s="569"/>
      <c r="ES370" s="569"/>
      <c r="ET370" s="569"/>
      <c r="EU370" s="569"/>
      <c r="EV370" s="569"/>
      <c r="EW370" s="569"/>
      <c r="EX370" s="569"/>
      <c r="EY370" s="569"/>
      <c r="EZ370" s="569"/>
      <c r="FA370" s="569"/>
      <c r="FB370" s="569"/>
      <c r="FC370" s="569"/>
      <c r="FD370" s="569"/>
      <c r="FE370" s="569"/>
      <c r="FF370" s="569"/>
      <c r="FG370" s="569"/>
      <c r="FH370" s="569"/>
      <c r="FI370" s="569"/>
      <c r="FJ370" s="569"/>
      <c r="FK370" s="569"/>
      <c r="FL370" s="569"/>
      <c r="FM370" s="569"/>
      <c r="FN370" s="569"/>
      <c r="FO370" s="569"/>
      <c r="FP370" s="569"/>
      <c r="FQ370" s="569"/>
      <c r="FR370" s="569"/>
      <c r="FS370" s="569"/>
      <c r="FT370" s="569"/>
      <c r="FU370" s="569"/>
      <c r="FV370" s="569"/>
      <c r="FW370" s="569"/>
      <c r="FX370" s="569"/>
      <c r="FY370" s="569"/>
      <c r="FZ370" s="569"/>
      <c r="GA370" s="569"/>
      <c r="GB370" s="569"/>
      <c r="GC370" s="569"/>
      <c r="GD370" s="569"/>
      <c r="GE370" s="569"/>
      <c r="GF370" s="569"/>
      <c r="GG370" s="569"/>
      <c r="GH370" s="569"/>
      <c r="GI370" s="569"/>
      <c r="GJ370" s="569"/>
      <c r="GK370" s="569"/>
      <c r="GL370" s="569"/>
      <c r="GM370" s="569"/>
      <c r="GN370" s="569"/>
      <c r="GO370" s="569"/>
      <c r="GP370" s="569"/>
      <c r="GQ370" s="569"/>
      <c r="GR370" s="569"/>
      <c r="GS370" s="569"/>
      <c r="GT370" s="569"/>
    </row>
    <row r="371" spans="1:202" s="554" customFormat="1" ht="18" customHeight="1">
      <c r="A371" s="591"/>
      <c r="B371" s="569"/>
      <c r="C371" s="1152"/>
      <c r="D371" s="1152"/>
      <c r="E371" s="1152"/>
      <c r="F371" s="1152"/>
      <c r="G371" s="1152"/>
      <c r="H371" s="1152"/>
      <c r="I371" s="1152"/>
      <c r="J371" s="1152"/>
      <c r="K371" s="1152"/>
      <c r="L371" s="1152"/>
      <c r="M371" s="569"/>
      <c r="N371" s="569"/>
      <c r="O371" s="569"/>
      <c r="P371" s="569"/>
      <c r="Q371" s="569"/>
      <c r="R371" s="569"/>
      <c r="S371" s="569"/>
      <c r="T371" s="569"/>
      <c r="U371" s="569"/>
      <c r="V371" s="569"/>
      <c r="W371" s="569"/>
      <c r="X371" s="569"/>
      <c r="Y371" s="569"/>
      <c r="Z371" s="569"/>
      <c r="AA371" s="569"/>
      <c r="AB371" s="569"/>
      <c r="AC371" s="569"/>
      <c r="AD371" s="569"/>
      <c r="AE371" s="569"/>
      <c r="AF371" s="569"/>
      <c r="AG371" s="569"/>
      <c r="AH371" s="569"/>
      <c r="AI371" s="569"/>
      <c r="AJ371" s="569"/>
      <c r="AK371" s="569"/>
      <c r="AL371" s="569"/>
      <c r="AM371" s="569"/>
      <c r="AN371" s="569"/>
      <c r="AO371" s="569"/>
      <c r="AP371" s="569"/>
      <c r="AQ371" s="569"/>
      <c r="AR371" s="569"/>
      <c r="AS371" s="569"/>
      <c r="AT371" s="569"/>
      <c r="AU371" s="569"/>
      <c r="AV371" s="569"/>
      <c r="AW371" s="569"/>
      <c r="AX371" s="569"/>
      <c r="AY371" s="569"/>
      <c r="AZ371" s="569"/>
      <c r="BA371" s="569"/>
      <c r="BB371" s="569"/>
      <c r="BC371" s="569"/>
      <c r="BD371" s="569"/>
      <c r="BE371" s="569"/>
      <c r="BF371" s="569"/>
      <c r="BG371" s="569"/>
      <c r="BH371" s="569"/>
      <c r="BI371" s="569"/>
      <c r="BJ371" s="569"/>
      <c r="BK371" s="569"/>
      <c r="BL371" s="569"/>
      <c r="BM371" s="569"/>
      <c r="BN371" s="569"/>
      <c r="BO371" s="569"/>
      <c r="BP371" s="569"/>
      <c r="BQ371" s="569"/>
      <c r="BR371" s="569"/>
      <c r="BS371" s="569"/>
      <c r="BT371" s="569"/>
      <c r="BU371" s="569"/>
      <c r="BV371" s="569"/>
      <c r="BW371" s="569"/>
      <c r="BX371" s="569"/>
      <c r="BY371" s="569"/>
      <c r="BZ371" s="569"/>
      <c r="CA371" s="569"/>
      <c r="CB371" s="569"/>
      <c r="CC371" s="569"/>
      <c r="CD371" s="569"/>
      <c r="CE371" s="569"/>
      <c r="CF371" s="569"/>
      <c r="CG371" s="569"/>
      <c r="CH371" s="569"/>
      <c r="CI371" s="569"/>
      <c r="CJ371" s="569"/>
      <c r="CK371" s="569"/>
      <c r="CL371" s="569"/>
      <c r="CM371" s="569"/>
      <c r="CN371" s="569"/>
      <c r="CO371" s="569"/>
      <c r="CP371" s="569"/>
      <c r="CQ371" s="569"/>
      <c r="CR371" s="569"/>
      <c r="CS371" s="569"/>
      <c r="CT371" s="569"/>
      <c r="CU371" s="569"/>
      <c r="CV371" s="569"/>
      <c r="CW371" s="569"/>
      <c r="CX371" s="569"/>
      <c r="CY371" s="569"/>
      <c r="CZ371" s="569"/>
      <c r="DA371" s="569"/>
      <c r="DB371" s="569"/>
      <c r="DC371" s="569"/>
      <c r="DD371" s="569"/>
      <c r="DE371" s="569"/>
      <c r="DF371" s="569"/>
      <c r="DG371" s="569"/>
      <c r="DH371" s="569"/>
      <c r="DI371" s="569"/>
      <c r="DJ371" s="569"/>
      <c r="DK371" s="569"/>
      <c r="DL371" s="569"/>
      <c r="DM371" s="569"/>
      <c r="DN371" s="569"/>
      <c r="DO371" s="569"/>
      <c r="DP371" s="569"/>
      <c r="DQ371" s="569"/>
      <c r="DR371" s="569"/>
      <c r="DS371" s="569"/>
      <c r="DT371" s="569"/>
      <c r="DU371" s="569"/>
      <c r="DV371" s="569"/>
      <c r="DW371" s="569"/>
      <c r="DX371" s="569"/>
      <c r="DY371" s="569"/>
      <c r="DZ371" s="569"/>
      <c r="EA371" s="569"/>
      <c r="EB371" s="569"/>
      <c r="EC371" s="569"/>
      <c r="ED371" s="569"/>
      <c r="EE371" s="569"/>
      <c r="EF371" s="569"/>
      <c r="EG371" s="569"/>
      <c r="EH371" s="569"/>
      <c r="EI371" s="569"/>
      <c r="EJ371" s="569"/>
      <c r="EK371" s="569"/>
      <c r="EL371" s="569"/>
      <c r="EM371" s="569"/>
      <c r="EN371" s="569"/>
      <c r="EO371" s="569"/>
      <c r="EP371" s="569"/>
      <c r="EQ371" s="569"/>
      <c r="ER371" s="569"/>
      <c r="ES371" s="569"/>
      <c r="ET371" s="569"/>
      <c r="EU371" s="569"/>
      <c r="EV371" s="569"/>
      <c r="EW371" s="569"/>
      <c r="EX371" s="569"/>
      <c r="EY371" s="569"/>
      <c r="EZ371" s="569"/>
      <c r="FA371" s="569"/>
      <c r="FB371" s="569"/>
      <c r="FC371" s="569"/>
      <c r="FD371" s="569"/>
      <c r="FE371" s="569"/>
      <c r="FF371" s="569"/>
      <c r="FG371" s="569"/>
      <c r="FH371" s="569"/>
      <c r="FI371" s="569"/>
      <c r="FJ371" s="569"/>
      <c r="FK371" s="569"/>
      <c r="FL371" s="569"/>
      <c r="FM371" s="569"/>
      <c r="FN371" s="569"/>
      <c r="FO371" s="569"/>
      <c r="FP371" s="569"/>
      <c r="FQ371" s="569"/>
      <c r="FR371" s="569"/>
      <c r="FS371" s="569"/>
      <c r="FT371" s="569"/>
      <c r="FU371" s="569"/>
      <c r="FV371" s="569"/>
      <c r="FW371" s="569"/>
      <c r="FX371" s="569"/>
      <c r="FY371" s="569"/>
      <c r="FZ371" s="569"/>
      <c r="GA371" s="569"/>
      <c r="GB371" s="569"/>
      <c r="GC371" s="569"/>
      <c r="GD371" s="569"/>
      <c r="GE371" s="569"/>
      <c r="GF371" s="569"/>
      <c r="GG371" s="569"/>
      <c r="GH371" s="569"/>
      <c r="GI371" s="569"/>
      <c r="GJ371" s="569"/>
      <c r="GK371" s="569"/>
      <c r="GL371" s="569"/>
      <c r="GM371" s="569"/>
      <c r="GN371" s="569"/>
      <c r="GO371" s="569"/>
      <c r="GP371" s="569"/>
      <c r="GQ371" s="569"/>
      <c r="GR371" s="569"/>
      <c r="GS371" s="569"/>
      <c r="GT371" s="569"/>
    </row>
    <row r="372" spans="1:202" s="554" customFormat="1" ht="18" customHeight="1">
      <c r="A372" s="591"/>
      <c r="B372" s="569"/>
      <c r="C372" s="1152"/>
      <c r="D372" s="1152"/>
      <c r="E372" s="1152"/>
      <c r="F372" s="1152"/>
      <c r="G372" s="1152"/>
      <c r="H372" s="1152"/>
      <c r="I372" s="1152"/>
      <c r="J372" s="1152"/>
      <c r="K372" s="1152"/>
      <c r="L372" s="1152"/>
      <c r="M372" s="569"/>
      <c r="N372" s="569"/>
      <c r="O372" s="569"/>
      <c r="P372" s="569"/>
      <c r="Q372" s="569"/>
      <c r="R372" s="569"/>
      <c r="S372" s="569"/>
      <c r="T372" s="569"/>
      <c r="U372" s="569"/>
      <c r="V372" s="569"/>
      <c r="W372" s="569"/>
      <c r="X372" s="569"/>
      <c r="Y372" s="569"/>
      <c r="Z372" s="569"/>
      <c r="AA372" s="569"/>
      <c r="AB372" s="569"/>
      <c r="AC372" s="569"/>
      <c r="AD372" s="569"/>
      <c r="AE372" s="569"/>
      <c r="AF372" s="569"/>
      <c r="AG372" s="569"/>
      <c r="AH372" s="569"/>
      <c r="AI372" s="569"/>
      <c r="AJ372" s="569"/>
      <c r="AK372" s="569"/>
      <c r="AL372" s="569"/>
      <c r="AM372" s="569"/>
      <c r="AN372" s="569"/>
      <c r="AO372" s="569"/>
      <c r="AP372" s="569"/>
      <c r="AQ372" s="569"/>
      <c r="AR372" s="569"/>
      <c r="AS372" s="569"/>
      <c r="AT372" s="569"/>
      <c r="AU372" s="569"/>
      <c r="AV372" s="569"/>
      <c r="AW372" s="569"/>
      <c r="AX372" s="569"/>
      <c r="AY372" s="569"/>
      <c r="AZ372" s="569"/>
      <c r="BA372" s="569"/>
      <c r="BB372" s="569"/>
      <c r="BC372" s="569"/>
      <c r="BD372" s="569"/>
      <c r="BE372" s="569"/>
      <c r="BF372" s="569"/>
      <c r="BG372" s="569"/>
      <c r="BH372" s="569"/>
      <c r="BI372" s="569"/>
      <c r="BJ372" s="569"/>
      <c r="BK372" s="569"/>
      <c r="BL372" s="569"/>
      <c r="BM372" s="569"/>
      <c r="BN372" s="569"/>
      <c r="BO372" s="569"/>
      <c r="BP372" s="569"/>
      <c r="BQ372" s="569"/>
      <c r="BR372" s="569"/>
      <c r="BS372" s="569"/>
      <c r="BT372" s="569"/>
      <c r="BU372" s="569"/>
      <c r="BV372" s="569"/>
      <c r="BW372" s="569"/>
      <c r="BX372" s="569"/>
      <c r="BY372" s="569"/>
      <c r="BZ372" s="569"/>
      <c r="CA372" s="569"/>
      <c r="CB372" s="569"/>
      <c r="CC372" s="569"/>
      <c r="CD372" s="569"/>
      <c r="CE372" s="569"/>
      <c r="CF372" s="569"/>
      <c r="CG372" s="569"/>
      <c r="CH372" s="569"/>
      <c r="CI372" s="569"/>
      <c r="CJ372" s="569"/>
      <c r="CK372" s="569"/>
      <c r="CL372" s="569"/>
      <c r="CM372" s="569"/>
      <c r="CN372" s="569"/>
      <c r="CO372" s="569"/>
      <c r="CP372" s="569"/>
      <c r="CQ372" s="569"/>
      <c r="CR372" s="569"/>
      <c r="CS372" s="569"/>
      <c r="CT372" s="569"/>
      <c r="CU372" s="569"/>
      <c r="CV372" s="569"/>
      <c r="CW372" s="569"/>
      <c r="CX372" s="569"/>
      <c r="CY372" s="569"/>
      <c r="CZ372" s="569"/>
      <c r="DA372" s="569"/>
      <c r="DB372" s="569"/>
      <c r="DC372" s="569"/>
      <c r="DD372" s="569"/>
      <c r="DE372" s="569"/>
      <c r="DF372" s="569"/>
      <c r="DG372" s="569"/>
      <c r="DH372" s="569"/>
      <c r="DI372" s="569"/>
      <c r="DJ372" s="569"/>
      <c r="DK372" s="569"/>
      <c r="DL372" s="569"/>
      <c r="DM372" s="569"/>
      <c r="DN372" s="569"/>
      <c r="DO372" s="569"/>
      <c r="DP372" s="569"/>
      <c r="DQ372" s="569"/>
      <c r="DR372" s="569"/>
      <c r="DS372" s="569"/>
      <c r="DT372" s="569"/>
      <c r="DU372" s="569"/>
      <c r="DV372" s="569"/>
      <c r="DW372" s="569"/>
      <c r="DX372" s="569"/>
      <c r="DY372" s="569"/>
      <c r="DZ372" s="569"/>
      <c r="EA372" s="569"/>
      <c r="EB372" s="569"/>
      <c r="EC372" s="569"/>
      <c r="ED372" s="569"/>
      <c r="EE372" s="569"/>
      <c r="EF372" s="569"/>
      <c r="EG372" s="569"/>
      <c r="EH372" s="569"/>
      <c r="EI372" s="569"/>
      <c r="EJ372" s="569"/>
      <c r="EK372" s="569"/>
      <c r="EL372" s="569"/>
      <c r="EM372" s="569"/>
      <c r="EN372" s="569"/>
      <c r="EO372" s="569"/>
      <c r="EP372" s="569"/>
      <c r="EQ372" s="569"/>
      <c r="ER372" s="569"/>
      <c r="ES372" s="569"/>
      <c r="ET372" s="569"/>
      <c r="EU372" s="569"/>
      <c r="EV372" s="569"/>
      <c r="EW372" s="569"/>
      <c r="EX372" s="569"/>
      <c r="EY372" s="569"/>
      <c r="EZ372" s="569"/>
      <c r="FA372" s="569"/>
      <c r="FB372" s="569"/>
      <c r="FC372" s="569"/>
      <c r="FD372" s="569"/>
      <c r="FE372" s="569"/>
      <c r="FF372" s="569"/>
      <c r="FG372" s="569"/>
      <c r="FH372" s="569"/>
      <c r="FI372" s="569"/>
      <c r="FJ372" s="569"/>
      <c r="FK372" s="569"/>
      <c r="FL372" s="569"/>
      <c r="FM372" s="569"/>
      <c r="FN372" s="569"/>
      <c r="FO372" s="569"/>
      <c r="FP372" s="569"/>
      <c r="FQ372" s="569"/>
      <c r="FR372" s="569"/>
      <c r="FS372" s="569"/>
      <c r="FT372" s="569"/>
      <c r="FU372" s="569"/>
      <c r="FV372" s="569"/>
      <c r="FW372" s="569"/>
      <c r="FX372" s="569"/>
      <c r="FY372" s="569"/>
      <c r="FZ372" s="569"/>
      <c r="GA372" s="569"/>
      <c r="GB372" s="569"/>
      <c r="GC372" s="569"/>
      <c r="GD372" s="569"/>
      <c r="GE372" s="569"/>
      <c r="GF372" s="569"/>
      <c r="GG372" s="569"/>
      <c r="GH372" s="569"/>
      <c r="GI372" s="569"/>
      <c r="GJ372" s="569"/>
      <c r="GK372" s="569"/>
      <c r="GL372" s="569"/>
      <c r="GM372" s="569"/>
      <c r="GN372" s="569"/>
      <c r="GO372" s="569"/>
      <c r="GP372" s="569"/>
      <c r="GQ372" s="569"/>
      <c r="GR372" s="569"/>
      <c r="GS372" s="569"/>
      <c r="GT372" s="569"/>
    </row>
    <row r="373" spans="1:202" s="554" customFormat="1" ht="18" customHeight="1">
      <c r="A373" s="591"/>
      <c r="B373" s="569"/>
      <c r="C373" s="1152"/>
      <c r="D373" s="1152"/>
      <c r="E373" s="1152"/>
      <c r="F373" s="1152"/>
      <c r="G373" s="1152"/>
      <c r="H373" s="1152"/>
      <c r="I373" s="1152"/>
      <c r="J373" s="1152"/>
      <c r="K373" s="1152"/>
      <c r="L373" s="1152"/>
      <c r="M373" s="569"/>
      <c r="N373" s="569"/>
      <c r="O373" s="569"/>
      <c r="P373" s="569"/>
      <c r="Q373" s="569"/>
      <c r="R373" s="569"/>
      <c r="S373" s="569"/>
      <c r="T373" s="569"/>
      <c r="U373" s="569"/>
      <c r="V373" s="569"/>
      <c r="W373" s="569"/>
      <c r="X373" s="569"/>
      <c r="Y373" s="569"/>
      <c r="Z373" s="569"/>
      <c r="AA373" s="569"/>
      <c r="AB373" s="569"/>
      <c r="AC373" s="569"/>
      <c r="AD373" s="569"/>
      <c r="AE373" s="569"/>
      <c r="AF373" s="569"/>
      <c r="AG373" s="569"/>
      <c r="AH373" s="569"/>
      <c r="AI373" s="569"/>
      <c r="AJ373" s="569"/>
      <c r="AK373" s="569"/>
      <c r="AL373" s="569"/>
      <c r="AM373" s="569"/>
      <c r="AN373" s="569"/>
      <c r="AO373" s="569"/>
      <c r="AP373" s="569"/>
      <c r="AQ373" s="569"/>
      <c r="AR373" s="569"/>
      <c r="AS373" s="569"/>
      <c r="AT373" s="569"/>
      <c r="AU373" s="569"/>
      <c r="AV373" s="569"/>
      <c r="AW373" s="569"/>
      <c r="AX373" s="569"/>
      <c r="AY373" s="569"/>
      <c r="AZ373" s="569"/>
      <c r="BA373" s="569"/>
      <c r="BB373" s="569"/>
      <c r="BC373" s="569"/>
      <c r="BD373" s="569"/>
      <c r="BE373" s="569"/>
      <c r="BF373" s="569"/>
      <c r="BG373" s="569"/>
      <c r="BH373" s="569"/>
      <c r="BI373" s="569"/>
      <c r="BJ373" s="569"/>
      <c r="BK373" s="569"/>
      <c r="BL373" s="569"/>
      <c r="BM373" s="569"/>
      <c r="BN373" s="569"/>
      <c r="BO373" s="569"/>
      <c r="BP373" s="569"/>
      <c r="BQ373" s="569"/>
      <c r="BR373" s="569"/>
      <c r="BS373" s="569"/>
      <c r="BT373" s="569"/>
      <c r="BU373" s="569"/>
      <c r="BV373" s="569"/>
      <c r="BW373" s="569"/>
      <c r="BX373" s="569"/>
      <c r="BY373" s="569"/>
      <c r="BZ373" s="569"/>
      <c r="CA373" s="569"/>
      <c r="CB373" s="569"/>
      <c r="CC373" s="569"/>
      <c r="CD373" s="569"/>
      <c r="CE373" s="569"/>
      <c r="CF373" s="569"/>
      <c r="CG373" s="569"/>
      <c r="CH373" s="569"/>
      <c r="CI373" s="569"/>
      <c r="CJ373" s="569"/>
      <c r="CK373" s="569"/>
      <c r="CL373" s="569"/>
      <c r="CM373" s="569"/>
      <c r="CN373" s="569"/>
      <c r="CO373" s="569"/>
      <c r="CP373" s="569"/>
      <c r="CQ373" s="569"/>
      <c r="CR373" s="569"/>
      <c r="CS373" s="569"/>
      <c r="CT373" s="569"/>
      <c r="CU373" s="569"/>
      <c r="CV373" s="569"/>
      <c r="CW373" s="569"/>
      <c r="CX373" s="569"/>
      <c r="CY373" s="569"/>
      <c r="CZ373" s="569"/>
      <c r="DA373" s="569"/>
      <c r="DB373" s="569"/>
      <c r="DC373" s="569"/>
      <c r="DD373" s="569"/>
      <c r="DE373" s="569"/>
      <c r="DF373" s="569"/>
      <c r="DG373" s="569"/>
      <c r="DH373" s="569"/>
      <c r="DI373" s="569"/>
      <c r="DJ373" s="569"/>
      <c r="DK373" s="569"/>
      <c r="DL373" s="569"/>
      <c r="DM373" s="569"/>
      <c r="DN373" s="569"/>
      <c r="DO373" s="569"/>
      <c r="DP373" s="569"/>
      <c r="DQ373" s="569"/>
      <c r="DR373" s="569"/>
      <c r="DS373" s="569"/>
      <c r="DT373" s="569"/>
      <c r="DU373" s="569"/>
      <c r="DV373" s="569"/>
      <c r="DW373" s="569"/>
      <c r="DX373" s="569"/>
      <c r="DY373" s="569"/>
      <c r="DZ373" s="569"/>
      <c r="EA373" s="569"/>
      <c r="EB373" s="569"/>
      <c r="EC373" s="569"/>
      <c r="ED373" s="569"/>
      <c r="EE373" s="569"/>
      <c r="EF373" s="569"/>
      <c r="EG373" s="569"/>
      <c r="EH373" s="569"/>
      <c r="EI373" s="569"/>
      <c r="EJ373" s="569"/>
      <c r="EK373" s="569"/>
      <c r="EL373" s="569"/>
      <c r="EM373" s="569"/>
      <c r="EN373" s="569"/>
      <c r="EO373" s="569"/>
      <c r="EP373" s="569"/>
      <c r="EQ373" s="569"/>
      <c r="ER373" s="569"/>
      <c r="ES373" s="569"/>
      <c r="ET373" s="569"/>
      <c r="EU373" s="569"/>
      <c r="EV373" s="569"/>
      <c r="EW373" s="569"/>
      <c r="EX373" s="569"/>
      <c r="EY373" s="569"/>
      <c r="EZ373" s="569"/>
      <c r="FA373" s="569"/>
      <c r="FB373" s="569"/>
      <c r="FC373" s="569"/>
      <c r="FD373" s="569"/>
      <c r="FE373" s="569"/>
      <c r="FF373" s="569"/>
      <c r="FG373" s="569"/>
      <c r="FH373" s="569"/>
      <c r="FI373" s="569"/>
      <c r="FJ373" s="569"/>
      <c r="FK373" s="569"/>
      <c r="FL373" s="569"/>
      <c r="FM373" s="569"/>
      <c r="FN373" s="569"/>
      <c r="FO373" s="569"/>
      <c r="FP373" s="569"/>
      <c r="FQ373" s="569"/>
      <c r="FR373" s="569"/>
      <c r="FS373" s="569"/>
      <c r="FT373" s="569"/>
      <c r="FU373" s="569"/>
      <c r="FV373" s="569"/>
      <c r="FW373" s="569"/>
      <c r="FX373" s="569"/>
      <c r="FY373" s="569"/>
      <c r="FZ373" s="569"/>
      <c r="GA373" s="569"/>
      <c r="GB373" s="569"/>
      <c r="GC373" s="569"/>
      <c r="GD373" s="569"/>
      <c r="GE373" s="569"/>
      <c r="GF373" s="569"/>
      <c r="GG373" s="569"/>
      <c r="GH373" s="569"/>
      <c r="GI373" s="569"/>
      <c r="GJ373" s="569"/>
      <c r="GK373" s="569"/>
      <c r="GL373" s="569"/>
      <c r="GM373" s="569"/>
      <c r="GN373" s="569"/>
      <c r="GO373" s="569"/>
      <c r="GP373" s="569"/>
      <c r="GQ373" s="569"/>
      <c r="GR373" s="569"/>
      <c r="GS373" s="569"/>
      <c r="GT373" s="569"/>
    </row>
    <row r="374" spans="1:202" s="554" customFormat="1" ht="18" customHeight="1">
      <c r="A374" s="591"/>
      <c r="B374" s="569"/>
      <c r="C374" s="1152"/>
      <c r="D374" s="1152"/>
      <c r="E374" s="1152"/>
      <c r="F374" s="1152"/>
      <c r="G374" s="1152"/>
      <c r="H374" s="1152"/>
      <c r="I374" s="1152"/>
      <c r="J374" s="1152"/>
      <c r="K374" s="1152"/>
      <c r="L374" s="1152"/>
      <c r="M374" s="569"/>
      <c r="N374" s="569"/>
      <c r="O374" s="569"/>
      <c r="P374" s="569"/>
      <c r="Q374" s="569"/>
      <c r="R374" s="569"/>
      <c r="S374" s="569"/>
      <c r="T374" s="569"/>
      <c r="U374" s="569"/>
      <c r="V374" s="569"/>
      <c r="W374" s="569"/>
      <c r="X374" s="569"/>
      <c r="Y374" s="569"/>
      <c r="Z374" s="569"/>
      <c r="AA374" s="569"/>
      <c r="AB374" s="569"/>
      <c r="AC374" s="569"/>
      <c r="AD374" s="569"/>
      <c r="AE374" s="569"/>
      <c r="AF374" s="569"/>
      <c r="AG374" s="569"/>
      <c r="AH374" s="569"/>
      <c r="AI374" s="569"/>
      <c r="AJ374" s="569"/>
      <c r="AK374" s="569"/>
      <c r="AL374" s="569"/>
      <c r="AM374" s="569"/>
      <c r="AN374" s="569"/>
      <c r="AO374" s="569"/>
      <c r="AP374" s="569"/>
      <c r="AQ374" s="569"/>
      <c r="AR374" s="569"/>
      <c r="AS374" s="569"/>
      <c r="AT374" s="569"/>
      <c r="AU374" s="569"/>
      <c r="AV374" s="569"/>
      <c r="AW374" s="569"/>
      <c r="AX374" s="569"/>
      <c r="AY374" s="569"/>
      <c r="AZ374" s="569"/>
      <c r="BA374" s="569"/>
      <c r="BB374" s="569"/>
      <c r="BC374" s="569"/>
      <c r="BD374" s="569"/>
      <c r="BE374" s="569"/>
      <c r="BF374" s="569"/>
      <c r="BG374" s="569"/>
      <c r="BH374" s="569"/>
      <c r="BI374" s="569"/>
      <c r="BJ374" s="569"/>
      <c r="BK374" s="569"/>
      <c r="BL374" s="569"/>
      <c r="BM374" s="569"/>
      <c r="BN374" s="569"/>
      <c r="BO374" s="569"/>
      <c r="BP374" s="569"/>
      <c r="BQ374" s="569"/>
      <c r="BR374" s="569"/>
      <c r="BS374" s="569"/>
      <c r="BT374" s="569"/>
      <c r="BU374" s="569"/>
      <c r="BV374" s="569"/>
      <c r="BW374" s="569"/>
      <c r="BX374" s="569"/>
      <c r="BY374" s="569"/>
      <c r="BZ374" s="569"/>
      <c r="CA374" s="569"/>
      <c r="CB374" s="569"/>
      <c r="CC374" s="569"/>
      <c r="CD374" s="569"/>
      <c r="CE374" s="569"/>
      <c r="CF374" s="569"/>
      <c r="CG374" s="569"/>
      <c r="CH374" s="569"/>
      <c r="CI374" s="569"/>
      <c r="CJ374" s="569"/>
      <c r="CK374" s="569"/>
      <c r="CL374" s="569"/>
      <c r="CM374" s="569"/>
      <c r="CN374" s="569"/>
      <c r="CO374" s="569"/>
      <c r="CP374" s="569"/>
      <c r="CQ374" s="569"/>
      <c r="CR374" s="569"/>
      <c r="CS374" s="569"/>
      <c r="CT374" s="569"/>
      <c r="CU374" s="569"/>
      <c r="CV374" s="569"/>
      <c r="CW374" s="569"/>
      <c r="CX374" s="569"/>
      <c r="CY374" s="569"/>
      <c r="CZ374" s="569"/>
      <c r="DA374" s="569"/>
      <c r="DB374" s="569"/>
      <c r="DC374" s="569"/>
      <c r="DD374" s="569"/>
      <c r="DE374" s="569"/>
      <c r="DF374" s="569"/>
      <c r="DG374" s="569"/>
      <c r="DH374" s="569"/>
      <c r="DI374" s="569"/>
      <c r="DJ374" s="569"/>
      <c r="DK374" s="569"/>
      <c r="DL374" s="569"/>
      <c r="DM374" s="569"/>
      <c r="DN374" s="569"/>
      <c r="DO374" s="569"/>
      <c r="DP374" s="569"/>
      <c r="DQ374" s="569"/>
      <c r="DR374" s="569"/>
      <c r="DS374" s="569"/>
      <c r="DT374" s="569"/>
      <c r="DU374" s="569"/>
      <c r="DV374" s="569"/>
      <c r="DW374" s="569"/>
      <c r="DX374" s="569"/>
      <c r="DY374" s="569"/>
      <c r="DZ374" s="569"/>
      <c r="EA374" s="569"/>
      <c r="EB374" s="569"/>
      <c r="EC374" s="569"/>
      <c r="ED374" s="569"/>
      <c r="EE374" s="569"/>
      <c r="EF374" s="569"/>
      <c r="EG374" s="569"/>
      <c r="EH374" s="569"/>
      <c r="EI374" s="569"/>
      <c r="EJ374" s="569"/>
      <c r="EK374" s="569"/>
      <c r="EL374" s="569"/>
      <c r="EM374" s="569"/>
      <c r="EN374" s="569"/>
      <c r="EO374" s="569"/>
      <c r="EP374" s="569"/>
      <c r="EQ374" s="569"/>
      <c r="ER374" s="569"/>
      <c r="ES374" s="569"/>
      <c r="ET374" s="569"/>
      <c r="EU374" s="569"/>
      <c r="EV374" s="569"/>
      <c r="EW374" s="569"/>
      <c r="EX374" s="569"/>
      <c r="EY374" s="569"/>
      <c r="EZ374" s="569"/>
      <c r="FA374" s="569"/>
      <c r="FB374" s="569"/>
      <c r="FC374" s="569"/>
      <c r="FD374" s="569"/>
      <c r="FE374" s="569"/>
      <c r="FF374" s="569"/>
      <c r="FG374" s="569"/>
      <c r="FH374" s="569"/>
      <c r="FI374" s="569"/>
      <c r="FJ374" s="569"/>
      <c r="FK374" s="569"/>
      <c r="FL374" s="569"/>
      <c r="FM374" s="569"/>
      <c r="FN374" s="569"/>
      <c r="FO374" s="569"/>
      <c r="FP374" s="569"/>
      <c r="FQ374" s="569"/>
      <c r="FR374" s="569"/>
      <c r="FS374" s="569"/>
      <c r="FT374" s="569"/>
      <c r="FU374" s="569"/>
      <c r="FV374" s="569"/>
      <c r="FW374" s="569"/>
      <c r="FX374" s="569"/>
      <c r="FY374" s="569"/>
      <c r="FZ374" s="569"/>
      <c r="GA374" s="569"/>
      <c r="GB374" s="569"/>
      <c r="GC374" s="569"/>
      <c r="GD374" s="569"/>
      <c r="GE374" s="569"/>
      <c r="GF374" s="569"/>
      <c r="GG374" s="569"/>
      <c r="GH374" s="569"/>
      <c r="GI374" s="569"/>
      <c r="GJ374" s="569"/>
      <c r="GK374" s="569"/>
      <c r="GL374" s="569"/>
      <c r="GM374" s="569"/>
      <c r="GN374" s="569"/>
      <c r="GO374" s="569"/>
      <c r="GP374" s="569"/>
      <c r="GQ374" s="569"/>
      <c r="GR374" s="569"/>
      <c r="GS374" s="569"/>
      <c r="GT374" s="569"/>
    </row>
    <row r="375" spans="1:202" s="554" customFormat="1" ht="18" customHeight="1">
      <c r="A375" s="591"/>
      <c r="B375" s="569"/>
      <c r="C375" s="1152"/>
      <c r="D375" s="1152"/>
      <c r="E375" s="1152"/>
      <c r="F375" s="1152"/>
      <c r="G375" s="1152"/>
      <c r="H375" s="1152"/>
      <c r="I375" s="1152"/>
      <c r="J375" s="1152"/>
      <c r="K375" s="1152"/>
      <c r="L375" s="1152"/>
      <c r="M375" s="569"/>
      <c r="N375" s="569"/>
      <c r="O375" s="569"/>
      <c r="P375" s="569"/>
      <c r="Q375" s="569"/>
      <c r="R375" s="569"/>
      <c r="S375" s="569"/>
      <c r="T375" s="569"/>
      <c r="U375" s="569"/>
      <c r="V375" s="569"/>
      <c r="W375" s="569"/>
      <c r="X375" s="569"/>
      <c r="Y375" s="569"/>
      <c r="Z375" s="569"/>
      <c r="AA375" s="569"/>
      <c r="AB375" s="569"/>
      <c r="AC375" s="569"/>
      <c r="AD375" s="569"/>
      <c r="AE375" s="569"/>
      <c r="AF375" s="569"/>
      <c r="AG375" s="569"/>
      <c r="AH375" s="569"/>
      <c r="AI375" s="569"/>
      <c r="AJ375" s="569"/>
      <c r="AK375" s="569"/>
      <c r="AL375" s="569"/>
      <c r="AM375" s="569"/>
      <c r="AN375" s="569"/>
      <c r="AO375" s="569"/>
      <c r="AP375" s="569"/>
      <c r="AQ375" s="569"/>
      <c r="AR375" s="569"/>
      <c r="AS375" s="569"/>
      <c r="AT375" s="569"/>
      <c r="AU375" s="569"/>
      <c r="AV375" s="569"/>
      <c r="AW375" s="569"/>
      <c r="AX375" s="569"/>
      <c r="AY375" s="569"/>
      <c r="AZ375" s="569"/>
      <c r="BA375" s="569"/>
      <c r="BB375" s="569"/>
      <c r="BC375" s="569"/>
      <c r="BD375" s="569"/>
      <c r="BE375" s="569"/>
      <c r="BF375" s="569"/>
      <c r="BG375" s="569"/>
      <c r="BH375" s="569"/>
      <c r="BI375" s="569"/>
      <c r="BJ375" s="569"/>
      <c r="BK375" s="569"/>
      <c r="BL375" s="569"/>
      <c r="BM375" s="569"/>
      <c r="BN375" s="569"/>
      <c r="BO375" s="569"/>
      <c r="BP375" s="569"/>
      <c r="BQ375" s="569"/>
      <c r="BR375" s="569"/>
      <c r="BS375" s="569"/>
      <c r="BT375" s="569"/>
      <c r="BU375" s="569"/>
      <c r="BV375" s="569"/>
      <c r="BW375" s="569"/>
      <c r="BX375" s="569"/>
      <c r="BY375" s="569"/>
      <c r="BZ375" s="569"/>
      <c r="CA375" s="569"/>
      <c r="CB375" s="569"/>
      <c r="CC375" s="569"/>
      <c r="CD375" s="569"/>
      <c r="CE375" s="569"/>
      <c r="CF375" s="569"/>
      <c r="CG375" s="569"/>
      <c r="CH375" s="569"/>
      <c r="CI375" s="569"/>
      <c r="CJ375" s="569"/>
      <c r="CK375" s="569"/>
      <c r="CL375" s="569"/>
      <c r="CM375" s="569"/>
      <c r="CN375" s="569"/>
      <c r="CO375" s="569"/>
      <c r="CP375" s="569"/>
      <c r="CQ375" s="569"/>
      <c r="CR375" s="569"/>
      <c r="CS375" s="569"/>
      <c r="CT375" s="569"/>
      <c r="CU375" s="569"/>
      <c r="CV375" s="569"/>
      <c r="CW375" s="569"/>
      <c r="CX375" s="569"/>
      <c r="CY375" s="569"/>
      <c r="CZ375" s="569"/>
      <c r="DA375" s="569"/>
      <c r="DB375" s="569"/>
      <c r="DC375" s="569"/>
      <c r="DD375" s="569"/>
      <c r="DE375" s="569"/>
      <c r="DF375" s="569"/>
      <c r="DG375" s="569"/>
      <c r="DH375" s="569"/>
      <c r="DI375" s="569"/>
      <c r="DJ375" s="569"/>
      <c r="DK375" s="569"/>
      <c r="DL375" s="569"/>
      <c r="DM375" s="569"/>
      <c r="DN375" s="569"/>
      <c r="DO375" s="569"/>
      <c r="DP375" s="569"/>
      <c r="DQ375" s="569"/>
      <c r="DR375" s="569"/>
      <c r="DS375" s="569"/>
      <c r="DT375" s="569"/>
      <c r="DU375" s="569"/>
      <c r="DV375" s="569"/>
      <c r="DW375" s="569"/>
      <c r="DX375" s="569"/>
      <c r="DY375" s="569"/>
      <c r="DZ375" s="569"/>
      <c r="EA375" s="569"/>
      <c r="EB375" s="569"/>
      <c r="EC375" s="569"/>
      <c r="ED375" s="569"/>
      <c r="EE375" s="569"/>
      <c r="EF375" s="569"/>
      <c r="EG375" s="569"/>
      <c r="EH375" s="569"/>
      <c r="EI375" s="569"/>
      <c r="EJ375" s="569"/>
      <c r="EK375" s="569"/>
      <c r="EL375" s="569"/>
      <c r="EM375" s="569"/>
      <c r="EN375" s="569"/>
      <c r="EO375" s="569"/>
      <c r="EP375" s="569"/>
      <c r="EQ375" s="569"/>
      <c r="ER375" s="569"/>
      <c r="ES375" s="569"/>
      <c r="ET375" s="569"/>
      <c r="EU375" s="569"/>
      <c r="EV375" s="569"/>
      <c r="EW375" s="569"/>
      <c r="EX375" s="569"/>
      <c r="EY375" s="569"/>
      <c r="EZ375" s="569"/>
      <c r="FA375" s="569"/>
      <c r="FB375" s="569"/>
      <c r="FC375" s="569"/>
      <c r="FD375" s="569"/>
      <c r="FE375" s="569"/>
      <c r="FF375" s="569"/>
      <c r="FG375" s="569"/>
      <c r="FH375" s="569"/>
      <c r="FI375" s="569"/>
      <c r="FJ375" s="569"/>
      <c r="FK375" s="569"/>
      <c r="FL375" s="569"/>
      <c r="FM375" s="569"/>
      <c r="FN375" s="569"/>
      <c r="FO375" s="569"/>
      <c r="FP375" s="569"/>
      <c r="FQ375" s="569"/>
      <c r="FR375" s="569"/>
      <c r="FS375" s="569"/>
      <c r="FT375" s="569"/>
      <c r="FU375" s="569"/>
      <c r="FV375" s="569"/>
      <c r="FW375" s="569"/>
      <c r="FX375" s="569"/>
      <c r="FY375" s="569"/>
      <c r="FZ375" s="569"/>
      <c r="GA375" s="569"/>
      <c r="GB375" s="569"/>
      <c r="GC375" s="569"/>
      <c r="GD375" s="569"/>
      <c r="GE375" s="569"/>
      <c r="GF375" s="569"/>
      <c r="GG375" s="569"/>
      <c r="GH375" s="569"/>
      <c r="GI375" s="569"/>
      <c r="GJ375" s="569"/>
      <c r="GK375" s="569"/>
      <c r="GL375" s="569"/>
      <c r="GM375" s="569"/>
      <c r="GN375" s="569"/>
      <c r="GO375" s="569"/>
      <c r="GP375" s="569"/>
      <c r="GQ375" s="569"/>
      <c r="GR375" s="569"/>
      <c r="GS375" s="569"/>
      <c r="GT375" s="569"/>
    </row>
    <row r="376" spans="1:202" s="554" customFormat="1" ht="18" customHeight="1">
      <c r="A376" s="591"/>
      <c r="B376" s="569"/>
      <c r="C376" s="1152"/>
      <c r="D376" s="1152"/>
      <c r="E376" s="1152"/>
      <c r="F376" s="1152"/>
      <c r="G376" s="1152"/>
      <c r="H376" s="1152"/>
      <c r="I376" s="1152"/>
      <c r="J376" s="1152"/>
      <c r="K376" s="1152"/>
      <c r="L376" s="1152"/>
      <c r="M376" s="569"/>
      <c r="N376" s="569"/>
      <c r="O376" s="569"/>
      <c r="P376" s="569"/>
      <c r="Q376" s="569"/>
      <c r="R376" s="569"/>
      <c r="S376" s="569"/>
      <c r="T376" s="569"/>
      <c r="U376" s="569"/>
      <c r="V376" s="569"/>
      <c r="W376" s="569"/>
      <c r="X376" s="569"/>
      <c r="Y376" s="569"/>
      <c r="Z376" s="569"/>
      <c r="AA376" s="569"/>
      <c r="AB376" s="569"/>
      <c r="AC376" s="569"/>
      <c r="AD376" s="569"/>
      <c r="AE376" s="569"/>
      <c r="AF376" s="569"/>
      <c r="AG376" s="569"/>
      <c r="AH376" s="569"/>
      <c r="AI376" s="569"/>
      <c r="AJ376" s="569"/>
      <c r="AK376" s="569"/>
      <c r="AL376" s="569"/>
      <c r="AM376" s="569"/>
      <c r="AN376" s="569"/>
      <c r="AO376" s="569"/>
      <c r="AP376" s="569"/>
      <c r="AQ376" s="569"/>
      <c r="AR376" s="569"/>
      <c r="AS376" s="569"/>
      <c r="AT376" s="569"/>
      <c r="AU376" s="569"/>
      <c r="AV376" s="569"/>
      <c r="AW376" s="569"/>
      <c r="AX376" s="569"/>
      <c r="AY376" s="569"/>
      <c r="AZ376" s="569"/>
      <c r="BA376" s="569"/>
      <c r="BB376" s="569"/>
      <c r="BC376" s="569"/>
      <c r="BD376" s="569"/>
      <c r="BE376" s="569"/>
      <c r="BF376" s="569"/>
      <c r="BG376" s="569"/>
      <c r="BH376" s="569"/>
      <c r="BI376" s="569"/>
      <c r="BJ376" s="569"/>
      <c r="BK376" s="569"/>
      <c r="BL376" s="569"/>
      <c r="BM376" s="569"/>
      <c r="BN376" s="569"/>
      <c r="BO376" s="569"/>
      <c r="BP376" s="569"/>
      <c r="BQ376" s="569"/>
      <c r="BR376" s="569"/>
      <c r="BS376" s="569"/>
      <c r="BT376" s="569"/>
      <c r="BU376" s="569"/>
      <c r="BV376" s="569"/>
      <c r="BW376" s="569"/>
      <c r="BX376" s="569"/>
      <c r="BY376" s="569"/>
      <c r="BZ376" s="569"/>
      <c r="CA376" s="569"/>
      <c r="CB376" s="569"/>
      <c r="CC376" s="569"/>
      <c r="CD376" s="569"/>
      <c r="CE376" s="569"/>
      <c r="CF376" s="569"/>
      <c r="CG376" s="569"/>
      <c r="CH376" s="569"/>
      <c r="CI376" s="569"/>
      <c r="CJ376" s="569"/>
      <c r="CK376" s="569"/>
      <c r="CL376" s="569"/>
      <c r="CM376" s="569"/>
      <c r="CN376" s="569"/>
      <c r="CO376" s="569"/>
      <c r="CP376" s="569"/>
      <c r="CQ376" s="569"/>
      <c r="CR376" s="569"/>
      <c r="CS376" s="569"/>
      <c r="CT376" s="569"/>
      <c r="CU376" s="569"/>
      <c r="CV376" s="569"/>
      <c r="CW376" s="569"/>
      <c r="CX376" s="569"/>
      <c r="CY376" s="569"/>
      <c r="CZ376" s="569"/>
      <c r="DA376" s="569"/>
      <c r="DB376" s="569"/>
      <c r="DC376" s="569"/>
      <c r="DD376" s="569"/>
      <c r="DE376" s="569"/>
      <c r="DF376" s="569"/>
      <c r="DG376" s="569"/>
      <c r="DH376" s="569"/>
      <c r="DI376" s="569"/>
      <c r="DJ376" s="569"/>
      <c r="DK376" s="569"/>
      <c r="DL376" s="569"/>
      <c r="DM376" s="569"/>
      <c r="DN376" s="569"/>
      <c r="DO376" s="569"/>
      <c r="DP376" s="569"/>
      <c r="DQ376" s="569"/>
      <c r="DR376" s="569"/>
      <c r="DS376" s="569"/>
      <c r="DT376" s="569"/>
      <c r="DU376" s="569"/>
      <c r="DV376" s="569"/>
      <c r="DW376" s="569"/>
      <c r="DX376" s="569"/>
      <c r="DY376" s="569"/>
      <c r="DZ376" s="569"/>
      <c r="EA376" s="569"/>
      <c r="EB376" s="569"/>
      <c r="EC376" s="569"/>
      <c r="ED376" s="569"/>
      <c r="EE376" s="569"/>
      <c r="EF376" s="569"/>
      <c r="EG376" s="569"/>
      <c r="EH376" s="569"/>
      <c r="EI376" s="569"/>
      <c r="EJ376" s="569"/>
      <c r="EK376" s="569"/>
      <c r="EL376" s="569"/>
      <c r="EM376" s="569"/>
      <c r="EN376" s="569"/>
      <c r="EO376" s="569"/>
      <c r="EP376" s="569"/>
      <c r="EQ376" s="569"/>
      <c r="ER376" s="569"/>
      <c r="ES376" s="569"/>
      <c r="ET376" s="569"/>
      <c r="EU376" s="569"/>
      <c r="EV376" s="569"/>
      <c r="EW376" s="569"/>
      <c r="EX376" s="569"/>
      <c r="EY376" s="569"/>
      <c r="EZ376" s="569"/>
      <c r="FA376" s="569"/>
      <c r="FB376" s="569"/>
      <c r="FC376" s="569"/>
      <c r="FD376" s="569"/>
      <c r="FE376" s="569"/>
      <c r="FF376" s="569"/>
      <c r="FG376" s="569"/>
      <c r="FH376" s="569"/>
      <c r="FI376" s="569"/>
      <c r="FJ376" s="569"/>
      <c r="FK376" s="569"/>
      <c r="FL376" s="569"/>
      <c r="FM376" s="569"/>
      <c r="FN376" s="569"/>
      <c r="FO376" s="569"/>
      <c r="FP376" s="569"/>
      <c r="FQ376" s="569"/>
      <c r="FR376" s="569"/>
      <c r="FS376" s="569"/>
      <c r="FT376" s="569"/>
      <c r="FU376" s="569"/>
      <c r="FV376" s="569"/>
      <c r="FW376" s="569"/>
      <c r="FX376" s="569"/>
      <c r="FY376" s="569"/>
      <c r="FZ376" s="569"/>
      <c r="GA376" s="569"/>
      <c r="GB376" s="569"/>
      <c r="GC376" s="569"/>
      <c r="GD376" s="569"/>
      <c r="GE376" s="569"/>
      <c r="GF376" s="569"/>
      <c r="GG376" s="569"/>
      <c r="GH376" s="569"/>
      <c r="GI376" s="569"/>
      <c r="GJ376" s="569"/>
      <c r="GK376" s="569"/>
      <c r="GL376" s="569"/>
      <c r="GM376" s="569"/>
      <c r="GN376" s="569"/>
      <c r="GO376" s="569"/>
      <c r="GP376" s="569"/>
      <c r="GQ376" s="569"/>
      <c r="GR376" s="569"/>
      <c r="GS376" s="569"/>
      <c r="GT376" s="569"/>
    </row>
    <row r="377" spans="1:202" s="554" customFormat="1" ht="18" customHeight="1">
      <c r="A377" s="591"/>
      <c r="B377" s="569"/>
      <c r="C377" s="1152"/>
      <c r="D377" s="1152"/>
      <c r="E377" s="1152"/>
      <c r="F377" s="1152"/>
      <c r="G377" s="1152"/>
      <c r="H377" s="1152"/>
      <c r="I377" s="1152"/>
      <c r="J377" s="1152"/>
      <c r="K377" s="1152"/>
      <c r="L377" s="1152"/>
      <c r="M377" s="569"/>
      <c r="N377" s="569"/>
      <c r="O377" s="569"/>
      <c r="P377" s="569"/>
      <c r="Q377" s="569"/>
      <c r="R377" s="569"/>
      <c r="S377" s="569"/>
      <c r="T377" s="569"/>
      <c r="U377" s="569"/>
      <c r="V377" s="569"/>
      <c r="W377" s="569"/>
      <c r="X377" s="569"/>
      <c r="Y377" s="569"/>
      <c r="Z377" s="569"/>
      <c r="AA377" s="569"/>
      <c r="AB377" s="569"/>
      <c r="AC377" s="569"/>
      <c r="AD377" s="569"/>
      <c r="AE377" s="569"/>
      <c r="AF377" s="569"/>
      <c r="AG377" s="569"/>
      <c r="AH377" s="569"/>
      <c r="AI377" s="569"/>
      <c r="AJ377" s="569"/>
      <c r="AK377" s="569"/>
      <c r="AL377" s="569"/>
      <c r="AM377" s="569"/>
      <c r="AN377" s="569"/>
      <c r="AO377" s="569"/>
      <c r="AP377" s="569"/>
      <c r="AQ377" s="569"/>
      <c r="AR377" s="569"/>
      <c r="AS377" s="569"/>
      <c r="AT377" s="569"/>
      <c r="AU377" s="569"/>
      <c r="AV377" s="569"/>
      <c r="AW377" s="569"/>
      <c r="AX377" s="569"/>
      <c r="AY377" s="569"/>
      <c r="AZ377" s="569"/>
      <c r="BA377" s="569"/>
      <c r="BB377" s="569"/>
      <c r="BC377" s="569"/>
      <c r="BD377" s="569"/>
      <c r="BE377" s="569"/>
      <c r="BF377" s="569"/>
      <c r="BG377" s="569"/>
      <c r="BH377" s="569"/>
      <c r="BI377" s="569"/>
      <c r="BJ377" s="569"/>
      <c r="BK377" s="569"/>
      <c r="BL377" s="569"/>
      <c r="BM377" s="569"/>
      <c r="BN377" s="569"/>
      <c r="BO377" s="569"/>
      <c r="BP377" s="569"/>
      <c r="BQ377" s="569"/>
      <c r="BR377" s="569"/>
      <c r="BS377" s="569"/>
      <c r="BT377" s="569"/>
      <c r="BU377" s="569"/>
      <c r="BV377" s="569"/>
      <c r="BW377" s="569"/>
      <c r="BX377" s="569"/>
      <c r="BY377" s="569"/>
      <c r="BZ377" s="569"/>
      <c r="CA377" s="569"/>
      <c r="CB377" s="569"/>
      <c r="CC377" s="569"/>
      <c r="CD377" s="569"/>
      <c r="CE377" s="569"/>
      <c r="CF377" s="569"/>
      <c r="CG377" s="569"/>
      <c r="CH377" s="569"/>
      <c r="CI377" s="569"/>
      <c r="CJ377" s="569"/>
      <c r="CK377" s="569"/>
      <c r="CL377" s="569"/>
      <c r="CM377" s="569"/>
      <c r="CN377" s="569"/>
      <c r="CO377" s="569"/>
      <c r="CP377" s="569"/>
      <c r="CQ377" s="569"/>
      <c r="CR377" s="569"/>
      <c r="CS377" s="569"/>
      <c r="CT377" s="569"/>
      <c r="CU377" s="569"/>
      <c r="CV377" s="569"/>
      <c r="CW377" s="569"/>
      <c r="CX377" s="569"/>
      <c r="CY377" s="569"/>
      <c r="CZ377" s="569"/>
      <c r="DA377" s="569"/>
      <c r="DB377" s="569"/>
      <c r="DC377" s="569"/>
      <c r="DD377" s="569"/>
      <c r="DE377" s="569"/>
      <c r="DF377" s="569"/>
      <c r="DG377" s="569"/>
      <c r="DH377" s="569"/>
      <c r="DI377" s="569"/>
      <c r="DJ377" s="569"/>
      <c r="DK377" s="569"/>
      <c r="DL377" s="569"/>
      <c r="DM377" s="569"/>
      <c r="DN377" s="569"/>
      <c r="DO377" s="569"/>
      <c r="DP377" s="569"/>
      <c r="DQ377" s="569"/>
      <c r="DR377" s="569"/>
      <c r="DS377" s="569"/>
      <c r="DT377" s="569"/>
      <c r="DU377" s="569"/>
      <c r="DV377" s="569"/>
      <c r="DW377" s="569"/>
      <c r="DX377" s="569"/>
      <c r="DY377" s="569"/>
      <c r="DZ377" s="569"/>
      <c r="EA377" s="569"/>
      <c r="EB377" s="569"/>
      <c r="EC377" s="569"/>
      <c r="ED377" s="569"/>
      <c r="EE377" s="569"/>
      <c r="EF377" s="569"/>
      <c r="EG377" s="569"/>
      <c r="EH377" s="569"/>
      <c r="EI377" s="569"/>
      <c r="EJ377" s="569"/>
      <c r="EK377" s="569"/>
      <c r="EL377" s="569"/>
      <c r="EM377" s="569"/>
      <c r="EN377" s="569"/>
      <c r="EO377" s="569"/>
      <c r="EP377" s="569"/>
      <c r="EQ377" s="569"/>
      <c r="ER377" s="569"/>
      <c r="ES377" s="569"/>
      <c r="ET377" s="569"/>
      <c r="EU377" s="569"/>
      <c r="EV377" s="569"/>
      <c r="EW377" s="569"/>
      <c r="EX377" s="569"/>
      <c r="EY377" s="569"/>
      <c r="EZ377" s="569"/>
      <c r="FA377" s="569"/>
      <c r="FB377" s="569"/>
      <c r="FC377" s="569"/>
      <c r="FD377" s="569"/>
      <c r="FE377" s="569"/>
      <c r="FF377" s="569"/>
      <c r="FG377" s="569"/>
      <c r="FH377" s="569"/>
      <c r="FI377" s="569"/>
      <c r="FJ377" s="569"/>
      <c r="FK377" s="569"/>
      <c r="FL377" s="569"/>
      <c r="FM377" s="569"/>
      <c r="FN377" s="569"/>
      <c r="FO377" s="569"/>
      <c r="FP377" s="569"/>
      <c r="FQ377" s="569"/>
      <c r="FR377" s="569"/>
      <c r="FS377" s="569"/>
      <c r="FT377" s="569"/>
      <c r="FU377" s="569"/>
      <c r="FV377" s="569"/>
      <c r="FW377" s="569"/>
      <c r="FX377" s="569"/>
      <c r="FY377" s="569"/>
      <c r="FZ377" s="569"/>
      <c r="GA377" s="569"/>
      <c r="GB377" s="569"/>
      <c r="GC377" s="569"/>
      <c r="GD377" s="569"/>
      <c r="GE377" s="569"/>
      <c r="GF377" s="569"/>
      <c r="GG377" s="569"/>
      <c r="GH377" s="569"/>
      <c r="GI377" s="569"/>
      <c r="GJ377" s="569"/>
      <c r="GK377" s="569"/>
      <c r="GL377" s="569"/>
      <c r="GM377" s="569"/>
      <c r="GN377" s="569"/>
      <c r="GO377" s="569"/>
      <c r="GP377" s="569"/>
      <c r="GQ377" s="569"/>
      <c r="GR377" s="569"/>
      <c r="GS377" s="569"/>
      <c r="GT377" s="569"/>
    </row>
    <row r="378" spans="1:202" s="554" customFormat="1" ht="18" customHeight="1">
      <c r="A378" s="591"/>
      <c r="B378" s="569"/>
      <c r="C378" s="1152"/>
      <c r="D378" s="1152"/>
      <c r="E378" s="1152"/>
      <c r="F378" s="1152"/>
      <c r="G378" s="1152"/>
      <c r="H378" s="1152"/>
      <c r="I378" s="1152"/>
      <c r="J378" s="1152"/>
      <c r="K378" s="1152"/>
      <c r="L378" s="1152"/>
      <c r="M378" s="569"/>
      <c r="N378" s="569"/>
      <c r="O378" s="569"/>
      <c r="P378" s="569"/>
      <c r="Q378" s="569"/>
      <c r="R378" s="569"/>
      <c r="S378" s="569"/>
      <c r="T378" s="569"/>
      <c r="U378" s="569"/>
      <c r="V378" s="569"/>
      <c r="W378" s="569"/>
      <c r="X378" s="569"/>
      <c r="Y378" s="569"/>
      <c r="Z378" s="569"/>
      <c r="AA378" s="569"/>
      <c r="AB378" s="569"/>
      <c r="AC378" s="569"/>
      <c r="AD378" s="569"/>
      <c r="AE378" s="569"/>
      <c r="AF378" s="569"/>
      <c r="AG378" s="569"/>
      <c r="AH378" s="569"/>
      <c r="AI378" s="569"/>
      <c r="AJ378" s="569"/>
      <c r="AK378" s="569"/>
      <c r="AL378" s="569"/>
      <c r="AM378" s="569"/>
      <c r="AN378" s="569"/>
      <c r="AO378" s="569"/>
      <c r="AP378" s="569"/>
      <c r="AQ378" s="569"/>
      <c r="AR378" s="569"/>
      <c r="AS378" s="569"/>
      <c r="AT378" s="569"/>
      <c r="AU378" s="569"/>
      <c r="AV378" s="569"/>
      <c r="AW378" s="569"/>
      <c r="AX378" s="569"/>
      <c r="AY378" s="569"/>
      <c r="AZ378" s="569"/>
      <c r="BA378" s="569"/>
      <c r="BB378" s="569"/>
      <c r="BC378" s="569"/>
      <c r="BD378" s="569"/>
      <c r="BE378" s="569"/>
      <c r="BF378" s="569"/>
      <c r="BG378" s="569"/>
      <c r="BH378" s="569"/>
      <c r="BI378" s="569"/>
      <c r="BJ378" s="569"/>
      <c r="BK378" s="569"/>
      <c r="BL378" s="569"/>
      <c r="BM378" s="569"/>
      <c r="BN378" s="569"/>
      <c r="BO378" s="569"/>
      <c r="BP378" s="569"/>
      <c r="BQ378" s="569"/>
      <c r="BR378" s="569"/>
      <c r="BS378" s="569"/>
      <c r="BT378" s="569"/>
      <c r="BU378" s="569"/>
      <c r="BV378" s="569"/>
      <c r="BW378" s="569"/>
      <c r="BX378" s="569"/>
      <c r="BY378" s="569"/>
      <c r="BZ378" s="569"/>
      <c r="CA378" s="569"/>
      <c r="CB378" s="569"/>
      <c r="CC378" s="569"/>
      <c r="CD378" s="569"/>
      <c r="CE378" s="569"/>
      <c r="CF378" s="569"/>
      <c r="CG378" s="569"/>
      <c r="CH378" s="569"/>
      <c r="CI378" s="569"/>
      <c r="CJ378" s="569"/>
      <c r="CK378" s="569"/>
      <c r="CL378" s="569"/>
      <c r="CM378" s="569"/>
      <c r="CN378" s="569"/>
      <c r="CO378" s="569"/>
      <c r="CP378" s="569"/>
      <c r="CQ378" s="569"/>
      <c r="CR378" s="569"/>
      <c r="CS378" s="569"/>
      <c r="CT378" s="569"/>
      <c r="CU378" s="569"/>
      <c r="CV378" s="569"/>
      <c r="CW378" s="569"/>
      <c r="CX378" s="569"/>
      <c r="CY378" s="569"/>
      <c r="CZ378" s="569"/>
      <c r="DA378" s="569"/>
      <c r="DB378" s="569"/>
      <c r="DC378" s="569"/>
      <c r="DD378" s="569"/>
      <c r="DE378" s="569"/>
      <c r="DF378" s="569"/>
      <c r="DG378" s="569"/>
      <c r="DH378" s="569"/>
      <c r="DI378" s="569"/>
      <c r="DJ378" s="569"/>
      <c r="DK378" s="569"/>
      <c r="DL378" s="569"/>
      <c r="DM378" s="569"/>
      <c r="DN378" s="569"/>
      <c r="DO378" s="569"/>
      <c r="DP378" s="569"/>
      <c r="DQ378" s="569"/>
      <c r="DR378" s="569"/>
      <c r="DS378" s="569"/>
      <c r="DT378" s="569"/>
      <c r="DU378" s="569"/>
      <c r="DV378" s="569"/>
      <c r="DW378" s="569"/>
      <c r="DX378" s="569"/>
      <c r="DY378" s="569"/>
      <c r="DZ378" s="569"/>
      <c r="EA378" s="569"/>
      <c r="EB378" s="569"/>
      <c r="EC378" s="569"/>
      <c r="ED378" s="569"/>
      <c r="EE378" s="569"/>
      <c r="EF378" s="569"/>
      <c r="EG378" s="569"/>
      <c r="EH378" s="569"/>
      <c r="EI378" s="569"/>
      <c r="EJ378" s="569"/>
      <c r="EK378" s="569"/>
      <c r="EL378" s="569"/>
      <c r="EM378" s="569"/>
      <c r="EN378" s="569"/>
      <c r="EO378" s="569"/>
      <c r="EP378" s="569"/>
      <c r="EQ378" s="569"/>
      <c r="ER378" s="569"/>
      <c r="ES378" s="569"/>
      <c r="ET378" s="569"/>
      <c r="EU378" s="569"/>
      <c r="EV378" s="569"/>
      <c r="EW378" s="569"/>
      <c r="EX378" s="569"/>
      <c r="EY378" s="569"/>
      <c r="EZ378" s="569"/>
      <c r="FA378" s="569"/>
      <c r="FB378" s="569"/>
      <c r="FC378" s="569"/>
      <c r="FD378" s="569"/>
      <c r="FE378" s="569"/>
      <c r="FF378" s="569"/>
      <c r="FG378" s="569"/>
      <c r="FH378" s="569"/>
      <c r="FI378" s="569"/>
      <c r="FJ378" s="569"/>
      <c r="FK378" s="569"/>
      <c r="FL378" s="569"/>
      <c r="FM378" s="569"/>
      <c r="FN378" s="569"/>
      <c r="FO378" s="569"/>
      <c r="FP378" s="569"/>
      <c r="FQ378" s="569"/>
      <c r="FR378" s="569"/>
      <c r="FS378" s="569"/>
      <c r="FT378" s="569"/>
      <c r="FU378" s="569"/>
      <c r="FV378" s="569"/>
      <c r="FW378" s="569"/>
      <c r="FX378" s="569"/>
      <c r="FY378" s="569"/>
      <c r="FZ378" s="569"/>
      <c r="GA378" s="569"/>
      <c r="GB378" s="569"/>
      <c r="GC378" s="569"/>
      <c r="GD378" s="569"/>
      <c r="GE378" s="569"/>
      <c r="GF378" s="569"/>
      <c r="GG378" s="569"/>
      <c r="GH378" s="569"/>
      <c r="GI378" s="569"/>
      <c r="GJ378" s="569"/>
      <c r="GK378" s="569"/>
      <c r="GL378" s="569"/>
      <c r="GM378" s="569"/>
      <c r="GN378" s="569"/>
      <c r="GO378" s="569"/>
      <c r="GP378" s="569"/>
      <c r="GQ378" s="569"/>
      <c r="GR378" s="569"/>
      <c r="GS378" s="569"/>
      <c r="GT378" s="569"/>
    </row>
    <row r="379" spans="1:202" ht="18" customHeight="1">
      <c r="B379" s="569"/>
      <c r="C379" s="1152"/>
      <c r="D379" s="1152"/>
      <c r="E379" s="1152"/>
      <c r="F379" s="1152"/>
      <c r="G379" s="1152"/>
      <c r="H379" s="1152"/>
      <c r="I379" s="1152"/>
      <c r="J379" s="1152"/>
      <c r="K379" s="1152"/>
      <c r="L379" s="1152"/>
      <c r="M379" s="569"/>
      <c r="N379" s="569"/>
      <c r="O379" s="569"/>
      <c r="P379" s="569"/>
    </row>
    <row r="380" spans="1:202" ht="18" customHeight="1">
      <c r="B380" s="569"/>
      <c r="C380" s="1152"/>
      <c r="D380" s="1152"/>
      <c r="E380" s="1152"/>
      <c r="F380" s="1152"/>
      <c r="G380" s="1152"/>
      <c r="H380" s="1152"/>
      <c r="I380" s="1152"/>
      <c r="J380" s="1152"/>
      <c r="K380" s="1152"/>
      <c r="L380" s="1152"/>
      <c r="M380" s="569"/>
      <c r="N380" s="569"/>
      <c r="O380" s="569"/>
      <c r="P380" s="569"/>
    </row>
    <row r="381" spans="1:202" ht="18" customHeight="1">
      <c r="B381" s="569"/>
      <c r="C381" s="1152"/>
      <c r="D381" s="1152"/>
      <c r="E381" s="1152"/>
      <c r="F381" s="1152"/>
      <c r="G381" s="1152"/>
      <c r="H381" s="1152"/>
      <c r="I381" s="1152"/>
      <c r="J381" s="1152"/>
      <c r="K381" s="1152"/>
      <c r="L381" s="1152"/>
      <c r="M381" s="569"/>
      <c r="N381" s="569"/>
      <c r="O381" s="569"/>
      <c r="P381" s="569"/>
    </row>
    <row r="382" spans="1:202" ht="18" customHeight="1">
      <c r="B382" s="569"/>
      <c r="C382" s="1152"/>
      <c r="D382" s="1152"/>
      <c r="E382" s="1152"/>
      <c r="F382" s="1152"/>
      <c r="G382" s="1152"/>
      <c r="H382" s="1152"/>
      <c r="I382" s="1152"/>
      <c r="J382" s="1152"/>
      <c r="K382" s="1152"/>
      <c r="L382" s="1152"/>
      <c r="M382" s="569"/>
      <c r="N382" s="569"/>
      <c r="O382" s="569"/>
      <c r="P382" s="569"/>
    </row>
    <row r="383" spans="1:202" ht="18" customHeight="1">
      <c r="B383" s="569"/>
      <c r="C383" s="1152"/>
      <c r="D383" s="1152"/>
      <c r="E383" s="1152"/>
      <c r="F383" s="1152"/>
      <c r="G383" s="1152"/>
      <c r="H383" s="1152"/>
      <c r="I383" s="1152"/>
      <c r="J383" s="1152"/>
      <c r="K383" s="1152"/>
      <c r="L383" s="1152"/>
      <c r="M383" s="569"/>
      <c r="N383" s="569"/>
      <c r="O383" s="569"/>
      <c r="P383" s="569"/>
    </row>
    <row r="384" spans="1:202" ht="18" customHeight="1">
      <c r="B384" s="569"/>
      <c r="C384" s="1152"/>
      <c r="D384" s="1152"/>
      <c r="E384" s="1152"/>
      <c r="F384" s="1152"/>
      <c r="G384" s="1152"/>
      <c r="H384" s="1152"/>
      <c r="I384" s="1152"/>
      <c r="J384" s="1152"/>
      <c r="K384" s="1152"/>
      <c r="L384" s="1152"/>
      <c r="M384" s="569"/>
      <c r="N384" s="569"/>
      <c r="O384" s="569"/>
      <c r="P384" s="569"/>
    </row>
    <row r="385" spans="2:16" ht="18" customHeight="1">
      <c r="B385" s="569"/>
      <c r="C385" s="1152"/>
      <c r="D385" s="1152"/>
      <c r="E385" s="1152"/>
      <c r="F385" s="1152"/>
      <c r="G385" s="1152"/>
      <c r="H385" s="1152"/>
      <c r="I385" s="1152"/>
      <c r="J385" s="1152"/>
      <c r="K385" s="1152"/>
      <c r="L385" s="1152"/>
      <c r="M385" s="569"/>
      <c r="N385" s="569"/>
      <c r="O385" s="569"/>
      <c r="P385" s="569"/>
    </row>
    <row r="386" spans="2:16" ht="18" customHeight="1">
      <c r="B386" s="569"/>
      <c r="C386" s="1152"/>
      <c r="D386" s="1152"/>
      <c r="E386" s="1152"/>
      <c r="F386" s="1152"/>
      <c r="G386" s="1152"/>
      <c r="H386" s="1152"/>
      <c r="I386" s="1152"/>
      <c r="J386" s="1152"/>
      <c r="K386" s="1152"/>
      <c r="L386" s="1152"/>
      <c r="M386" s="569"/>
      <c r="N386" s="569"/>
      <c r="O386" s="569"/>
      <c r="P386" s="569"/>
    </row>
    <row r="387" spans="2:16" ht="18" customHeight="1">
      <c r="B387" s="569"/>
      <c r="C387" s="1152"/>
      <c r="D387" s="1152"/>
      <c r="E387" s="1152"/>
      <c r="F387" s="1152"/>
      <c r="G387" s="1152"/>
      <c r="H387" s="1152"/>
      <c r="I387" s="1152"/>
      <c r="J387" s="1152"/>
      <c r="K387" s="1152"/>
      <c r="L387" s="1152"/>
      <c r="M387" s="569"/>
      <c r="N387" s="569"/>
      <c r="O387" s="569"/>
      <c r="P387" s="569"/>
    </row>
    <row r="388" spans="2:16" ht="18" customHeight="1">
      <c r="B388" s="569"/>
      <c r="C388" s="1152"/>
      <c r="D388" s="1152"/>
      <c r="E388" s="1152"/>
      <c r="F388" s="1152"/>
      <c r="G388" s="1152"/>
      <c r="H388" s="1152"/>
      <c r="I388" s="1152"/>
      <c r="J388" s="1152"/>
      <c r="K388" s="1152"/>
      <c r="L388" s="1152"/>
      <c r="M388" s="569"/>
      <c r="N388" s="569"/>
      <c r="O388" s="569"/>
      <c r="P388" s="569"/>
    </row>
    <row r="389" spans="2:16" ht="18" customHeight="1">
      <c r="B389" s="569"/>
      <c r="C389" s="1152"/>
      <c r="D389" s="1152"/>
      <c r="E389" s="1152"/>
      <c r="F389" s="1152"/>
      <c r="G389" s="1152"/>
      <c r="H389" s="1152"/>
      <c r="I389" s="1152"/>
      <c r="J389" s="1152"/>
      <c r="K389" s="1152"/>
      <c r="L389" s="1152"/>
      <c r="M389" s="569"/>
      <c r="N389" s="569"/>
      <c r="O389" s="569"/>
      <c r="P389" s="569"/>
    </row>
    <row r="390" spans="2:16" ht="18" customHeight="1">
      <c r="B390" s="569"/>
      <c r="C390" s="1152"/>
      <c r="D390" s="1152"/>
      <c r="E390" s="1152"/>
      <c r="F390" s="1152"/>
      <c r="G390" s="1152"/>
      <c r="H390" s="1152"/>
      <c r="I390" s="1152"/>
      <c r="J390" s="1152"/>
      <c r="K390" s="1152"/>
      <c r="L390" s="1152"/>
      <c r="M390" s="569"/>
      <c r="N390" s="569"/>
      <c r="O390" s="569"/>
      <c r="P390" s="569"/>
    </row>
    <row r="391" spans="2:16" ht="18" customHeight="1">
      <c r="B391" s="569"/>
      <c r="C391" s="1152"/>
      <c r="D391" s="1152"/>
      <c r="E391" s="1152"/>
      <c r="F391" s="1152"/>
      <c r="G391" s="1152"/>
      <c r="H391" s="1152"/>
      <c r="I391" s="1152"/>
      <c r="J391" s="1152"/>
      <c r="K391" s="1152"/>
      <c r="L391" s="1152"/>
      <c r="M391" s="569"/>
      <c r="N391" s="569"/>
      <c r="O391" s="569"/>
      <c r="P391" s="569"/>
    </row>
    <row r="392" spans="2:16" ht="18" customHeight="1">
      <c r="B392" s="569"/>
      <c r="C392" s="1152"/>
      <c r="D392" s="1152"/>
      <c r="E392" s="1152"/>
      <c r="F392" s="1152"/>
      <c r="G392" s="1152"/>
      <c r="H392" s="1152"/>
      <c r="I392" s="1152"/>
      <c r="J392" s="1152"/>
      <c r="K392" s="1152"/>
      <c r="L392" s="1152"/>
      <c r="M392" s="569"/>
      <c r="N392" s="569"/>
      <c r="O392" s="569"/>
      <c r="P392" s="569"/>
    </row>
    <row r="393" spans="2:16" ht="18" customHeight="1">
      <c r="B393" s="569"/>
      <c r="C393" s="1152"/>
      <c r="D393" s="1152"/>
      <c r="E393" s="1152"/>
      <c r="F393" s="1152"/>
      <c r="G393" s="1152"/>
      <c r="H393" s="1152"/>
      <c r="I393" s="1152"/>
      <c r="J393" s="1152"/>
      <c r="K393" s="1152"/>
      <c r="L393" s="1152"/>
      <c r="M393" s="569"/>
      <c r="N393" s="569"/>
      <c r="O393" s="569"/>
      <c r="P393" s="569"/>
    </row>
    <row r="394" spans="2:16" ht="18" customHeight="1">
      <c r="B394" s="569"/>
      <c r="C394" s="1152"/>
      <c r="D394" s="1152"/>
      <c r="E394" s="1152"/>
      <c r="F394" s="1152"/>
      <c r="G394" s="1152"/>
      <c r="H394" s="1152"/>
      <c r="I394" s="1152"/>
      <c r="J394" s="1152"/>
      <c r="K394" s="1152"/>
      <c r="L394" s="1152"/>
      <c r="M394" s="569"/>
      <c r="N394" s="569"/>
      <c r="O394" s="569"/>
      <c r="P394" s="569"/>
    </row>
    <row r="395" spans="2:16" ht="18" customHeight="1">
      <c r="B395" s="569"/>
      <c r="C395" s="1152"/>
      <c r="D395" s="1152"/>
      <c r="E395" s="1152"/>
      <c r="F395" s="1152"/>
      <c r="G395" s="1152"/>
      <c r="H395" s="1152"/>
      <c r="I395" s="1152"/>
      <c r="J395" s="1152"/>
      <c r="K395" s="1152"/>
      <c r="L395" s="1152"/>
      <c r="M395" s="569"/>
      <c r="N395" s="569"/>
      <c r="O395" s="569"/>
      <c r="P395" s="569"/>
    </row>
    <row r="396" spans="2:16" ht="18" customHeight="1">
      <c r="B396" s="569"/>
      <c r="C396" s="1152"/>
      <c r="D396" s="1152"/>
      <c r="E396" s="1152"/>
      <c r="F396" s="1152"/>
      <c r="G396" s="1152"/>
      <c r="H396" s="1152"/>
      <c r="I396" s="1152"/>
      <c r="J396" s="1152"/>
      <c r="K396" s="1152"/>
      <c r="L396" s="1152"/>
      <c r="M396" s="569"/>
      <c r="N396" s="569"/>
      <c r="O396" s="569"/>
      <c r="P396" s="569"/>
    </row>
    <row r="397" spans="2:16" ht="18" customHeight="1">
      <c r="B397" s="569"/>
      <c r="C397" s="1152"/>
      <c r="D397" s="1152"/>
      <c r="E397" s="1152"/>
      <c r="F397" s="1152"/>
      <c r="G397" s="1152"/>
      <c r="H397" s="1152"/>
      <c r="I397" s="1152"/>
      <c r="J397" s="1152"/>
      <c r="K397" s="1152"/>
      <c r="L397" s="1152"/>
      <c r="M397" s="569"/>
      <c r="N397" s="569"/>
      <c r="O397" s="569"/>
      <c r="P397" s="569"/>
    </row>
    <row r="398" spans="2:16" ht="18" customHeight="1">
      <c r="B398" s="569"/>
      <c r="C398" s="1152"/>
      <c r="D398" s="1152"/>
      <c r="E398" s="1152"/>
      <c r="F398" s="1152"/>
      <c r="G398" s="1152"/>
      <c r="H398" s="1152"/>
      <c r="I398" s="1152"/>
      <c r="J398" s="1152"/>
      <c r="K398" s="1152"/>
      <c r="L398" s="1152"/>
      <c r="M398" s="569"/>
      <c r="N398" s="569"/>
      <c r="O398" s="569"/>
      <c r="P398" s="569"/>
    </row>
    <row r="399" spans="2:16" ht="18" customHeight="1">
      <c r="B399" s="569"/>
      <c r="C399" s="1152"/>
      <c r="D399" s="1152"/>
      <c r="E399" s="1152"/>
      <c r="F399" s="1152"/>
      <c r="G399" s="1152"/>
      <c r="H399" s="1152"/>
      <c r="I399" s="1152"/>
      <c r="J399" s="1152"/>
      <c r="K399" s="1152"/>
      <c r="L399" s="1152"/>
      <c r="M399" s="569"/>
      <c r="N399" s="569"/>
      <c r="O399" s="569"/>
      <c r="P399" s="569"/>
    </row>
    <row r="400" spans="2:16" ht="18" customHeight="1">
      <c r="B400" s="569"/>
      <c r="C400" s="1152"/>
      <c r="D400" s="1152"/>
      <c r="E400" s="1152"/>
      <c r="F400" s="1152"/>
      <c r="G400" s="1152"/>
      <c r="H400" s="1152"/>
      <c r="I400" s="1152"/>
      <c r="J400" s="1152"/>
      <c r="K400" s="1152"/>
      <c r="L400" s="1152"/>
      <c r="M400" s="569"/>
      <c r="N400" s="569"/>
      <c r="O400" s="569"/>
      <c r="P400" s="569"/>
    </row>
    <row r="401" spans="1:16" ht="18" customHeight="1">
      <c r="B401" s="569"/>
      <c r="C401" s="1152"/>
      <c r="D401" s="1152"/>
      <c r="E401" s="1152"/>
      <c r="F401" s="1152"/>
      <c r="G401" s="1152"/>
      <c r="H401" s="1152"/>
      <c r="I401" s="1152"/>
      <c r="J401" s="1152"/>
      <c r="K401" s="1152"/>
      <c r="L401" s="1152"/>
      <c r="M401" s="569"/>
      <c r="N401" s="569"/>
      <c r="O401" s="569"/>
      <c r="P401" s="569"/>
    </row>
    <row r="402" spans="1:16" ht="18" customHeight="1">
      <c r="B402" s="569"/>
      <c r="C402" s="1152"/>
      <c r="D402" s="1152"/>
      <c r="E402" s="1152"/>
      <c r="F402" s="1152"/>
      <c r="G402" s="1152"/>
      <c r="H402" s="1152"/>
      <c r="I402" s="1152"/>
      <c r="J402" s="1152"/>
      <c r="K402" s="1152"/>
      <c r="L402" s="1152"/>
      <c r="M402" s="569"/>
      <c r="N402" s="569"/>
      <c r="O402" s="569"/>
      <c r="P402" s="569"/>
    </row>
    <row r="403" spans="1:16" ht="18" customHeight="1">
      <c r="B403" s="569"/>
      <c r="C403" s="1152"/>
      <c r="D403" s="1152"/>
      <c r="E403" s="1152"/>
      <c r="F403" s="1152"/>
      <c r="G403" s="1152"/>
      <c r="H403" s="1152"/>
      <c r="I403" s="1152"/>
      <c r="J403" s="1152"/>
      <c r="K403" s="1152"/>
      <c r="L403" s="1152"/>
      <c r="M403" s="569"/>
      <c r="N403" s="569"/>
      <c r="O403" s="569"/>
      <c r="P403" s="569"/>
    </row>
    <row r="404" spans="1:16" ht="18" customHeight="1">
      <c r="B404" s="569"/>
      <c r="C404" s="1152"/>
      <c r="D404" s="1152"/>
      <c r="E404" s="1152"/>
      <c r="F404" s="1152"/>
      <c r="G404" s="1152"/>
      <c r="H404" s="1152"/>
      <c r="I404" s="1152"/>
      <c r="J404" s="1152"/>
      <c r="K404" s="1152"/>
      <c r="L404" s="1152"/>
      <c r="M404" s="569"/>
      <c r="N404" s="569"/>
      <c r="O404" s="569"/>
      <c r="P404" s="569"/>
    </row>
    <row r="405" spans="1:16" ht="18" customHeight="1">
      <c r="B405" s="569"/>
      <c r="C405" s="1152"/>
      <c r="D405" s="1152"/>
      <c r="E405" s="1152"/>
      <c r="F405" s="1152"/>
      <c r="G405" s="1152"/>
      <c r="H405" s="1152"/>
      <c r="I405" s="1152"/>
      <c r="J405" s="1152"/>
      <c r="K405" s="1152"/>
      <c r="L405" s="1152"/>
      <c r="M405" s="569"/>
      <c r="N405" s="569"/>
      <c r="O405" s="569"/>
      <c r="P405" s="569"/>
    </row>
    <row r="406" spans="1:16" ht="18" customHeight="1">
      <c r="B406" s="569"/>
      <c r="C406" s="1152"/>
      <c r="D406" s="1152"/>
      <c r="E406" s="1152"/>
      <c r="F406" s="1152"/>
      <c r="G406" s="1152"/>
      <c r="H406" s="1152"/>
      <c r="I406" s="1152"/>
      <c r="J406" s="1152"/>
      <c r="K406" s="1152"/>
      <c r="L406" s="1152"/>
      <c r="M406" s="569"/>
      <c r="N406" s="569"/>
      <c r="O406" s="569"/>
      <c r="P406" s="569"/>
    </row>
    <row r="407" spans="1:16" ht="18" customHeight="1">
      <c r="B407" s="569"/>
      <c r="C407" s="1152"/>
      <c r="D407" s="1152"/>
      <c r="E407" s="1152"/>
      <c r="F407" s="1152"/>
      <c r="G407" s="1152"/>
      <c r="H407" s="1152"/>
      <c r="I407" s="1152"/>
      <c r="J407" s="1152"/>
      <c r="K407" s="1152"/>
      <c r="L407" s="1152"/>
      <c r="M407" s="569"/>
      <c r="N407" s="569"/>
      <c r="O407" s="569"/>
      <c r="P407" s="569"/>
    </row>
    <row r="408" spans="1:16" ht="18" customHeight="1">
      <c r="B408" s="569"/>
      <c r="C408" s="1152"/>
      <c r="D408" s="1152"/>
      <c r="E408" s="1152"/>
      <c r="F408" s="1152"/>
      <c r="G408" s="1152"/>
      <c r="H408" s="1152"/>
      <c r="I408" s="1152"/>
      <c r="J408" s="1152"/>
      <c r="K408" s="1152"/>
      <c r="L408" s="1152"/>
      <c r="M408" s="569"/>
      <c r="N408" s="569"/>
      <c r="O408" s="569"/>
      <c r="P408" s="569"/>
    </row>
    <row r="409" spans="1:16" ht="18" customHeight="1">
      <c r="B409" s="569"/>
      <c r="C409" s="1152"/>
      <c r="D409" s="1152"/>
      <c r="E409" s="1152"/>
      <c r="F409" s="1152"/>
      <c r="G409" s="1152"/>
      <c r="H409" s="1152"/>
      <c r="I409" s="1152"/>
      <c r="J409" s="1152"/>
      <c r="K409" s="1152"/>
      <c r="L409" s="1152"/>
      <c r="M409" s="569"/>
      <c r="N409" s="569"/>
      <c r="O409" s="569"/>
      <c r="P409" s="569"/>
    </row>
    <row r="410" spans="1:16" ht="18" customHeight="1">
      <c r="B410" s="569"/>
      <c r="C410" s="1152"/>
      <c r="D410" s="1152"/>
      <c r="E410" s="1152"/>
      <c r="F410" s="1152"/>
      <c r="G410" s="1152"/>
      <c r="H410" s="1152"/>
      <c r="I410" s="1152"/>
      <c r="J410" s="1152"/>
      <c r="K410" s="1152"/>
      <c r="L410" s="1152"/>
      <c r="M410" s="569"/>
      <c r="N410" s="569"/>
      <c r="O410" s="569"/>
      <c r="P410" s="569"/>
    </row>
    <row r="411" spans="1:16" ht="18" customHeight="1">
      <c r="A411" s="569"/>
      <c r="B411" s="569"/>
      <c r="C411" s="1152"/>
      <c r="D411" s="1152"/>
      <c r="E411" s="1152"/>
      <c r="F411" s="1152"/>
      <c r="G411" s="1152"/>
      <c r="H411" s="1152"/>
      <c r="I411" s="1152"/>
      <c r="J411" s="1152"/>
      <c r="K411" s="1152"/>
      <c r="L411" s="1152"/>
      <c r="M411" s="569"/>
      <c r="N411" s="569"/>
      <c r="O411" s="569"/>
      <c r="P411" s="569"/>
    </row>
    <row r="412" spans="1:16" ht="18" customHeight="1">
      <c r="A412" s="569"/>
      <c r="B412" s="569"/>
      <c r="C412" s="1152"/>
      <c r="D412" s="1152"/>
      <c r="E412" s="1152"/>
      <c r="F412" s="1152"/>
      <c r="G412" s="1152"/>
      <c r="H412" s="1152"/>
      <c r="I412" s="1152"/>
      <c r="J412" s="1152"/>
      <c r="K412" s="1152"/>
      <c r="L412" s="1152"/>
      <c r="M412" s="569"/>
      <c r="N412" s="569"/>
      <c r="O412" s="569"/>
      <c r="P412" s="569"/>
    </row>
    <row r="413" spans="1:16" ht="18" customHeight="1">
      <c r="A413" s="569"/>
      <c r="B413" s="569"/>
      <c r="C413" s="1152"/>
      <c r="D413" s="1152"/>
      <c r="E413" s="1152"/>
      <c r="F413" s="1152"/>
      <c r="G413" s="1152"/>
      <c r="H413" s="1152"/>
      <c r="I413" s="1152"/>
      <c r="J413" s="1152"/>
      <c r="K413" s="1152"/>
      <c r="L413" s="1152"/>
      <c r="M413" s="569"/>
      <c r="N413" s="569"/>
      <c r="O413" s="569"/>
      <c r="P413" s="569"/>
    </row>
    <row r="414" spans="1:16" ht="18" customHeight="1">
      <c r="A414" s="569"/>
      <c r="B414" s="569"/>
      <c r="C414" s="1152"/>
      <c r="D414" s="1152"/>
      <c r="E414" s="1152"/>
      <c r="F414" s="1152"/>
      <c r="G414" s="1152"/>
      <c r="H414" s="1152"/>
      <c r="I414" s="1152"/>
      <c r="J414" s="1152"/>
      <c r="K414" s="1152"/>
      <c r="L414" s="1152"/>
      <c r="M414" s="569"/>
      <c r="N414" s="569"/>
      <c r="O414" s="569"/>
      <c r="P414" s="569"/>
    </row>
    <row r="415" spans="1:16" ht="18" customHeight="1">
      <c r="A415" s="569"/>
      <c r="B415" s="569"/>
      <c r="C415" s="1152"/>
      <c r="D415" s="1152"/>
      <c r="E415" s="1152"/>
      <c r="F415" s="1152"/>
      <c r="G415" s="1152"/>
      <c r="H415" s="1152"/>
      <c r="I415" s="1152"/>
      <c r="J415" s="1152"/>
      <c r="K415" s="1152"/>
      <c r="L415" s="1152"/>
      <c r="M415" s="569"/>
      <c r="N415" s="569"/>
      <c r="O415" s="569"/>
      <c r="P415" s="569"/>
    </row>
    <row r="416" spans="1:16" ht="18" customHeight="1">
      <c r="A416" s="569"/>
      <c r="B416" s="569"/>
      <c r="C416" s="1152"/>
      <c r="D416" s="1152"/>
      <c r="E416" s="1152"/>
      <c r="F416" s="1152"/>
      <c r="G416" s="1152"/>
      <c r="H416" s="1152"/>
      <c r="I416" s="1152"/>
      <c r="J416" s="1152"/>
      <c r="K416" s="1152"/>
      <c r="L416" s="1152"/>
      <c r="M416" s="569"/>
      <c r="N416" s="569"/>
      <c r="O416" s="569"/>
      <c r="P416" s="569"/>
    </row>
    <row r="417" spans="1:16" ht="18" customHeight="1">
      <c r="A417" s="569"/>
      <c r="B417" s="569"/>
      <c r="C417" s="1152"/>
      <c r="D417" s="1152"/>
      <c r="E417" s="1152"/>
      <c r="F417" s="1152"/>
      <c r="G417" s="1152"/>
      <c r="H417" s="1152"/>
      <c r="I417" s="1152"/>
      <c r="J417" s="1152"/>
      <c r="K417" s="1152"/>
      <c r="L417" s="1152"/>
      <c r="M417" s="569"/>
      <c r="N417" s="569"/>
      <c r="O417" s="569"/>
      <c r="P417" s="569"/>
    </row>
    <row r="418" spans="1:16" ht="18" customHeight="1">
      <c r="A418" s="569"/>
      <c r="B418" s="569"/>
      <c r="C418" s="1152"/>
      <c r="D418" s="1152"/>
      <c r="E418" s="1152"/>
      <c r="F418" s="1152"/>
      <c r="G418" s="1152"/>
      <c r="H418" s="1152"/>
      <c r="I418" s="1152"/>
      <c r="J418" s="1152"/>
      <c r="K418" s="1152"/>
      <c r="L418" s="1152"/>
      <c r="M418" s="569"/>
      <c r="N418" s="569"/>
      <c r="O418" s="569"/>
      <c r="P418" s="569"/>
    </row>
    <row r="419" spans="1:16" ht="18" customHeight="1">
      <c r="A419" s="569"/>
      <c r="B419" s="569"/>
      <c r="C419" s="1152"/>
      <c r="D419" s="1152"/>
      <c r="E419" s="1152"/>
      <c r="F419" s="1152"/>
      <c r="G419" s="1152"/>
      <c r="H419" s="1152"/>
      <c r="I419" s="1152"/>
      <c r="J419" s="1152"/>
      <c r="K419" s="1152"/>
      <c r="L419" s="1152"/>
      <c r="M419" s="569"/>
      <c r="N419" s="569"/>
      <c r="O419" s="569"/>
      <c r="P419" s="569"/>
    </row>
    <row r="420" spans="1:16" ht="18" customHeight="1">
      <c r="A420" s="569"/>
      <c r="B420" s="569"/>
      <c r="C420" s="1152"/>
      <c r="D420" s="1152"/>
      <c r="E420" s="1152"/>
      <c r="F420" s="1152"/>
      <c r="G420" s="1152"/>
      <c r="H420" s="1152"/>
      <c r="I420" s="1152"/>
      <c r="J420" s="1152"/>
      <c r="K420" s="1152"/>
      <c r="L420" s="1152"/>
      <c r="M420" s="569"/>
      <c r="N420" s="569"/>
      <c r="O420" s="569"/>
      <c r="P420" s="569"/>
    </row>
    <row r="421" spans="1:16" ht="18" customHeight="1">
      <c r="A421" s="569"/>
      <c r="B421" s="569"/>
      <c r="C421" s="1152"/>
      <c r="D421" s="1152"/>
      <c r="E421" s="1152"/>
      <c r="F421" s="1152"/>
      <c r="G421" s="1152"/>
      <c r="H421" s="1152"/>
      <c r="I421" s="1152"/>
      <c r="J421" s="1152"/>
      <c r="K421" s="1152"/>
      <c r="L421" s="1152"/>
      <c r="M421" s="569"/>
      <c r="N421" s="569"/>
      <c r="O421" s="569"/>
      <c r="P421" s="569"/>
    </row>
    <row r="422" spans="1:16" ht="18" customHeight="1">
      <c r="A422" s="569"/>
      <c r="B422" s="569"/>
      <c r="C422" s="1152"/>
      <c r="D422" s="1152"/>
      <c r="E422" s="1152"/>
      <c r="F422" s="1152"/>
      <c r="G422" s="1152"/>
      <c r="H422" s="1152"/>
      <c r="I422" s="1152"/>
      <c r="J422" s="1152"/>
      <c r="K422" s="1152"/>
      <c r="L422" s="1152"/>
      <c r="M422" s="569"/>
      <c r="N422" s="569"/>
      <c r="O422" s="569"/>
      <c r="P422" s="569"/>
    </row>
    <row r="423" spans="1:16" ht="18" customHeight="1">
      <c r="A423" s="569"/>
      <c r="B423" s="569"/>
      <c r="C423" s="1152"/>
      <c r="D423" s="1152"/>
      <c r="E423" s="1152"/>
      <c r="F423" s="1152"/>
      <c r="G423" s="1152"/>
      <c r="H423" s="1152"/>
      <c r="I423" s="1152"/>
      <c r="J423" s="1152"/>
      <c r="K423" s="1152"/>
      <c r="L423" s="1152"/>
      <c r="M423" s="569"/>
      <c r="N423" s="569"/>
      <c r="O423" s="569"/>
      <c r="P423" s="569"/>
    </row>
    <row r="424" spans="1:16" ht="18" customHeight="1">
      <c r="A424" s="569"/>
      <c r="B424" s="569"/>
      <c r="C424" s="1152"/>
      <c r="D424" s="1152"/>
      <c r="E424" s="1152"/>
      <c r="F424" s="1152"/>
      <c r="G424" s="1152"/>
      <c r="H424" s="1152"/>
      <c r="I424" s="1152"/>
      <c r="J424" s="1152"/>
      <c r="K424" s="1152"/>
      <c r="L424" s="1152"/>
      <c r="M424" s="569"/>
      <c r="N424" s="569"/>
      <c r="O424" s="569"/>
      <c r="P424" s="569"/>
    </row>
    <row r="425" spans="1:16" ht="18" customHeight="1">
      <c r="A425" s="569"/>
      <c r="B425" s="569"/>
      <c r="C425" s="1152"/>
      <c r="D425" s="1152"/>
      <c r="E425" s="1152"/>
      <c r="F425" s="1152"/>
      <c r="G425" s="1152"/>
      <c r="H425" s="1152"/>
      <c r="I425" s="1152"/>
      <c r="J425" s="1152"/>
      <c r="K425" s="1152"/>
      <c r="L425" s="1152"/>
      <c r="M425" s="569"/>
      <c r="N425" s="569"/>
      <c r="O425" s="569"/>
      <c r="P425" s="569"/>
    </row>
    <row r="426" spans="1:16" ht="18" customHeight="1">
      <c r="A426" s="569"/>
      <c r="B426" s="569"/>
      <c r="C426" s="1152"/>
      <c r="D426" s="1152"/>
      <c r="E426" s="1152"/>
      <c r="F426" s="1152"/>
      <c r="G426" s="1152"/>
      <c r="H426" s="1152"/>
      <c r="I426" s="1152"/>
      <c r="J426" s="1152"/>
      <c r="K426" s="1152"/>
      <c r="L426" s="1152"/>
      <c r="M426" s="569"/>
      <c r="N426" s="569"/>
      <c r="O426" s="569"/>
      <c r="P426" s="569"/>
    </row>
    <row r="427" spans="1:16" ht="18" customHeight="1">
      <c r="A427" s="569"/>
      <c r="B427" s="569"/>
      <c r="C427" s="1152"/>
      <c r="D427" s="1152"/>
      <c r="E427" s="1152"/>
      <c r="F427" s="1152"/>
      <c r="G427" s="1152"/>
      <c r="H427" s="1152"/>
      <c r="I427" s="1152"/>
      <c r="J427" s="1152"/>
      <c r="K427" s="1152"/>
      <c r="L427" s="1152"/>
      <c r="M427" s="569"/>
      <c r="N427" s="569"/>
      <c r="O427" s="569"/>
      <c r="P427" s="569"/>
    </row>
    <row r="428" spans="1:16" ht="18" customHeight="1">
      <c r="A428" s="569"/>
      <c r="B428" s="569"/>
      <c r="C428" s="1152"/>
      <c r="D428" s="1152"/>
      <c r="E428" s="1152"/>
      <c r="F428" s="1152"/>
      <c r="G428" s="1152"/>
      <c r="H428" s="1152"/>
      <c r="I428" s="1152"/>
      <c r="J428" s="1152"/>
      <c r="K428" s="1152"/>
      <c r="L428" s="1152"/>
      <c r="M428" s="569"/>
      <c r="N428" s="569"/>
      <c r="O428" s="569"/>
      <c r="P428" s="569"/>
    </row>
    <row r="429" spans="1:16" ht="18" customHeight="1">
      <c r="A429" s="569"/>
      <c r="B429" s="569"/>
      <c r="C429" s="1152"/>
      <c r="D429" s="1152"/>
      <c r="E429" s="1152"/>
      <c r="F429" s="1152"/>
      <c r="G429" s="1152"/>
      <c r="H429" s="1152"/>
      <c r="I429" s="1152"/>
      <c r="J429" s="1152"/>
      <c r="K429" s="1152"/>
      <c r="L429" s="1152"/>
      <c r="M429" s="569"/>
      <c r="N429" s="569"/>
      <c r="O429" s="569"/>
      <c r="P429" s="569"/>
    </row>
    <row r="430" spans="1:16" ht="18" customHeight="1">
      <c r="A430" s="569"/>
      <c r="B430" s="569"/>
      <c r="C430" s="1152"/>
      <c r="D430" s="1152"/>
      <c r="E430" s="1152"/>
      <c r="F430" s="1152"/>
      <c r="G430" s="1152"/>
      <c r="H430" s="1152"/>
      <c r="I430" s="1152"/>
      <c r="J430" s="1152"/>
      <c r="K430" s="1152"/>
      <c r="L430" s="1152"/>
      <c r="M430" s="569"/>
      <c r="N430" s="569"/>
      <c r="O430" s="569"/>
      <c r="P430" s="569"/>
    </row>
    <row r="431" spans="1:16" ht="18" customHeight="1">
      <c r="A431" s="569"/>
      <c r="B431" s="569"/>
      <c r="C431" s="1152"/>
      <c r="D431" s="1152"/>
      <c r="E431" s="1152"/>
      <c r="F431" s="1152"/>
      <c r="G431" s="1152"/>
      <c r="H431" s="1152"/>
      <c r="I431" s="1152"/>
      <c r="J431" s="1152"/>
      <c r="K431" s="1152"/>
      <c r="L431" s="1152"/>
      <c r="M431" s="569"/>
      <c r="N431" s="569"/>
      <c r="O431" s="569"/>
      <c r="P431" s="569"/>
    </row>
    <row r="432" spans="1:16" ht="18" customHeight="1">
      <c r="A432" s="569"/>
      <c r="B432" s="569"/>
      <c r="C432" s="1152"/>
      <c r="D432" s="1152"/>
      <c r="E432" s="1152"/>
      <c r="F432" s="1152"/>
      <c r="G432" s="1152"/>
      <c r="H432" s="1152"/>
      <c r="I432" s="1152"/>
      <c r="J432" s="1152"/>
      <c r="K432" s="1152"/>
      <c r="L432" s="1152"/>
      <c r="M432" s="569"/>
      <c r="N432" s="569"/>
      <c r="O432" s="569"/>
      <c r="P432" s="569"/>
    </row>
    <row r="433" spans="1:16" ht="18" customHeight="1">
      <c r="A433" s="569"/>
      <c r="B433" s="569"/>
      <c r="C433" s="1152"/>
      <c r="D433" s="1152"/>
      <c r="E433" s="1152"/>
      <c r="F433" s="1152"/>
      <c r="G433" s="1152"/>
      <c r="H433" s="1152"/>
      <c r="I433" s="1152"/>
      <c r="J433" s="1152"/>
      <c r="K433" s="1152"/>
      <c r="L433" s="1152"/>
      <c r="M433" s="569"/>
      <c r="N433" s="569"/>
      <c r="O433" s="569"/>
      <c r="P433" s="569"/>
    </row>
    <row r="434" spans="1:16" ht="18" customHeight="1">
      <c r="A434" s="569"/>
      <c r="B434" s="569"/>
      <c r="C434" s="1152"/>
      <c r="D434" s="1152"/>
      <c r="E434" s="1152"/>
      <c r="F434" s="1152"/>
      <c r="G434" s="1152"/>
      <c r="H434" s="1152"/>
      <c r="I434" s="1152"/>
      <c r="J434" s="1152"/>
      <c r="K434" s="1152"/>
      <c r="L434" s="1152"/>
      <c r="M434" s="569"/>
      <c r="N434" s="569"/>
      <c r="O434" s="569"/>
      <c r="P434" s="569"/>
    </row>
    <row r="435" spans="1:16" ht="18" customHeight="1">
      <c r="A435" s="569"/>
      <c r="B435" s="569"/>
      <c r="C435" s="1152"/>
      <c r="D435" s="1152"/>
      <c r="E435" s="1152"/>
      <c r="F435" s="1152"/>
      <c r="G435" s="1152"/>
      <c r="H435" s="1152"/>
      <c r="I435" s="1152"/>
      <c r="J435" s="1152"/>
      <c r="K435" s="1152"/>
      <c r="L435" s="1152"/>
      <c r="M435" s="569"/>
      <c r="N435" s="569"/>
      <c r="O435" s="569"/>
      <c r="P435" s="569"/>
    </row>
    <row r="436" spans="1:16" ht="18" customHeight="1">
      <c r="A436" s="569"/>
      <c r="B436" s="569"/>
      <c r="C436" s="1152"/>
      <c r="D436" s="1152"/>
      <c r="E436" s="1152"/>
      <c r="F436" s="1152"/>
      <c r="G436" s="1152"/>
      <c r="H436" s="1152"/>
      <c r="I436" s="1152"/>
      <c r="J436" s="1152"/>
      <c r="K436" s="1152"/>
      <c r="L436" s="1152"/>
      <c r="M436" s="569"/>
      <c r="N436" s="569"/>
      <c r="O436" s="569"/>
      <c r="P436" s="569"/>
    </row>
    <row r="437" spans="1:16" ht="18" customHeight="1">
      <c r="A437" s="569"/>
      <c r="B437" s="569"/>
      <c r="C437" s="1152"/>
      <c r="D437" s="1152"/>
      <c r="E437" s="1152"/>
      <c r="F437" s="1152"/>
      <c r="G437" s="1152"/>
      <c r="H437" s="1152"/>
      <c r="I437" s="1152"/>
      <c r="J437" s="1152"/>
      <c r="K437" s="1152"/>
      <c r="L437" s="1152"/>
      <c r="M437" s="569"/>
      <c r="N437" s="569"/>
      <c r="O437" s="569"/>
      <c r="P437" s="569"/>
    </row>
    <row r="438" spans="1:16" ht="18" customHeight="1">
      <c r="A438" s="569"/>
      <c r="B438" s="569"/>
      <c r="C438" s="1152"/>
      <c r="D438" s="1152"/>
      <c r="E438" s="1152"/>
      <c r="F438" s="1152"/>
      <c r="G438" s="1152"/>
      <c r="H438" s="1152"/>
      <c r="I438" s="1152"/>
      <c r="J438" s="1152"/>
      <c r="K438" s="1152"/>
      <c r="L438" s="1152"/>
      <c r="M438" s="569"/>
      <c r="N438" s="569"/>
      <c r="O438" s="569"/>
      <c r="P438" s="569"/>
    </row>
    <row r="439" spans="1:16" ht="18" customHeight="1">
      <c r="A439" s="569"/>
      <c r="B439" s="569"/>
      <c r="C439" s="1152"/>
      <c r="D439" s="1152"/>
      <c r="E439" s="1152"/>
      <c r="F439" s="1152"/>
      <c r="G439" s="1152"/>
      <c r="H439" s="1152"/>
      <c r="I439" s="1152"/>
      <c r="J439" s="1152"/>
      <c r="K439" s="1152"/>
      <c r="L439" s="1152"/>
      <c r="M439" s="569"/>
      <c r="N439" s="569"/>
      <c r="O439" s="569"/>
      <c r="P439" s="569"/>
    </row>
    <row r="440" spans="1:16" ht="18" customHeight="1">
      <c r="A440" s="569"/>
      <c r="B440" s="569"/>
      <c r="C440" s="1152"/>
      <c r="D440" s="1152"/>
      <c r="E440" s="1152"/>
      <c r="F440" s="1152"/>
      <c r="G440" s="1152"/>
      <c r="H440" s="1152"/>
      <c r="I440" s="1152"/>
      <c r="J440" s="1152"/>
      <c r="K440" s="1152"/>
      <c r="L440" s="1152"/>
      <c r="M440" s="569"/>
      <c r="N440" s="569"/>
      <c r="O440" s="569"/>
      <c r="P440" s="569"/>
    </row>
    <row r="441" spans="1:16" ht="18" customHeight="1">
      <c r="A441" s="569"/>
      <c r="B441" s="569"/>
      <c r="C441" s="1152"/>
      <c r="D441" s="1152"/>
      <c r="E441" s="1152"/>
      <c r="F441" s="1152"/>
      <c r="G441" s="1152"/>
      <c r="H441" s="1152"/>
      <c r="I441" s="1152"/>
      <c r="J441" s="1152"/>
      <c r="K441" s="1152"/>
      <c r="L441" s="1152"/>
      <c r="M441" s="569"/>
      <c r="N441" s="569"/>
      <c r="O441" s="569"/>
      <c r="P441" s="569"/>
    </row>
    <row r="442" spans="1:16" ht="18" customHeight="1">
      <c r="A442" s="569"/>
      <c r="B442" s="569"/>
      <c r="C442" s="1152"/>
      <c r="D442" s="1152"/>
      <c r="E442" s="1152"/>
      <c r="F442" s="1152"/>
      <c r="G442" s="1152"/>
      <c r="H442" s="1152"/>
      <c r="I442" s="1152"/>
      <c r="J442" s="1152"/>
      <c r="K442" s="1152"/>
      <c r="L442" s="1152"/>
      <c r="M442" s="569"/>
      <c r="N442" s="569"/>
      <c r="O442" s="569"/>
      <c r="P442" s="569"/>
    </row>
    <row r="443" spans="1:16" ht="18" customHeight="1">
      <c r="A443" s="569"/>
      <c r="B443" s="569"/>
      <c r="C443" s="1152"/>
      <c r="D443" s="1152"/>
      <c r="E443" s="1152"/>
      <c r="F443" s="1152"/>
      <c r="G443" s="1152"/>
      <c r="H443" s="1152"/>
      <c r="I443" s="1152"/>
      <c r="J443" s="1152"/>
      <c r="K443" s="1152"/>
      <c r="L443" s="1152"/>
      <c r="M443" s="569"/>
      <c r="N443" s="569"/>
      <c r="O443" s="569"/>
      <c r="P443" s="569"/>
    </row>
    <row r="444" spans="1:16" ht="18" customHeight="1">
      <c r="A444" s="569"/>
      <c r="B444" s="569"/>
      <c r="C444" s="1152"/>
      <c r="D444" s="1152"/>
      <c r="E444" s="1152"/>
      <c r="F444" s="1152"/>
      <c r="G444" s="1152"/>
      <c r="H444" s="1152"/>
      <c r="I444" s="1152"/>
      <c r="J444" s="1152"/>
      <c r="K444" s="1152"/>
      <c r="L444" s="1152"/>
      <c r="M444" s="569"/>
      <c r="N444" s="569"/>
      <c r="O444" s="569"/>
      <c r="P444" s="569"/>
    </row>
    <row r="445" spans="1:16" ht="18" customHeight="1">
      <c r="A445" s="569"/>
      <c r="B445" s="569"/>
      <c r="C445" s="1152"/>
      <c r="D445" s="1152"/>
      <c r="E445" s="1152"/>
      <c r="F445" s="1152"/>
      <c r="G445" s="1152"/>
      <c r="H445" s="1152"/>
      <c r="I445" s="1152"/>
      <c r="J445" s="1152"/>
      <c r="K445" s="1152"/>
      <c r="L445" s="1152"/>
      <c r="M445" s="569"/>
      <c r="N445" s="569"/>
      <c r="O445" s="569"/>
      <c r="P445" s="569"/>
    </row>
    <row r="446" spans="1:16" ht="18" customHeight="1">
      <c r="A446" s="569"/>
      <c r="B446" s="569"/>
      <c r="C446" s="1152"/>
      <c r="D446" s="1152"/>
      <c r="E446" s="1152"/>
      <c r="F446" s="1152"/>
      <c r="G446" s="1152"/>
      <c r="H446" s="1152"/>
      <c r="I446" s="1152"/>
      <c r="J446" s="1152"/>
      <c r="K446" s="1152"/>
      <c r="L446" s="1152"/>
      <c r="M446" s="569"/>
      <c r="N446" s="569"/>
      <c r="O446" s="569"/>
      <c r="P446" s="569"/>
    </row>
    <row r="447" spans="1:16" ht="18" customHeight="1">
      <c r="A447" s="569"/>
      <c r="B447" s="569"/>
      <c r="C447" s="1152"/>
      <c r="D447" s="1152"/>
      <c r="E447" s="1152"/>
      <c r="F447" s="1152"/>
      <c r="G447" s="1152"/>
      <c r="H447" s="1152"/>
      <c r="I447" s="1152"/>
      <c r="J447" s="1152"/>
      <c r="K447" s="1152"/>
      <c r="L447" s="1152"/>
      <c r="M447" s="569"/>
      <c r="N447" s="569"/>
      <c r="O447" s="569"/>
      <c r="P447" s="569"/>
    </row>
    <row r="448" spans="1:16" ht="18" customHeight="1">
      <c r="A448" s="569"/>
      <c r="B448" s="569"/>
      <c r="C448" s="1152"/>
      <c r="D448" s="1152"/>
      <c r="E448" s="1152"/>
      <c r="F448" s="1152"/>
      <c r="G448" s="1152"/>
      <c r="H448" s="1152"/>
      <c r="I448" s="1152"/>
      <c r="J448" s="1152"/>
      <c r="K448" s="1152"/>
      <c r="L448" s="1152"/>
      <c r="M448" s="569"/>
      <c r="N448" s="569"/>
      <c r="O448" s="569"/>
      <c r="P448" s="569"/>
    </row>
    <row r="449" spans="1:16" ht="18" customHeight="1">
      <c r="A449" s="569"/>
      <c r="B449" s="569"/>
      <c r="C449" s="1152"/>
      <c r="D449" s="1152"/>
      <c r="E449" s="1152"/>
      <c r="F449" s="1152"/>
      <c r="G449" s="1152"/>
      <c r="H449" s="1152"/>
      <c r="I449" s="1152"/>
      <c r="J449" s="1152"/>
      <c r="K449" s="1152"/>
      <c r="L449" s="1152"/>
      <c r="M449" s="569"/>
      <c r="N449" s="569"/>
      <c r="O449" s="569"/>
      <c r="P449" s="569"/>
    </row>
    <row r="450" spans="1:16" ht="18" customHeight="1">
      <c r="A450" s="569"/>
      <c r="B450" s="569"/>
      <c r="C450" s="1152"/>
      <c r="D450" s="1152"/>
      <c r="E450" s="1152"/>
      <c r="F450" s="1152"/>
      <c r="G450" s="1152"/>
      <c r="H450" s="1152"/>
      <c r="I450" s="1152"/>
      <c r="J450" s="1152"/>
      <c r="K450" s="1152"/>
      <c r="L450" s="1152"/>
      <c r="M450" s="569"/>
      <c r="N450" s="569"/>
      <c r="O450" s="569"/>
      <c r="P450" s="569"/>
    </row>
    <row r="451" spans="1:16" ht="18" customHeight="1">
      <c r="A451" s="569"/>
      <c r="B451" s="569"/>
      <c r="C451" s="1152"/>
      <c r="D451" s="1152"/>
      <c r="E451" s="1152"/>
      <c r="F451" s="1152"/>
      <c r="G451" s="1152"/>
      <c r="H451" s="1152"/>
      <c r="I451" s="1152"/>
      <c r="J451" s="1152"/>
      <c r="K451" s="1152"/>
      <c r="L451" s="1152"/>
      <c r="M451" s="569"/>
      <c r="N451" s="569"/>
      <c r="O451" s="569"/>
      <c r="P451" s="569"/>
    </row>
    <row r="452" spans="1:16" ht="18" customHeight="1">
      <c r="A452" s="569"/>
      <c r="B452" s="569"/>
      <c r="C452" s="1152"/>
      <c r="D452" s="1152"/>
      <c r="E452" s="1152"/>
      <c r="F452" s="1152"/>
      <c r="G452" s="1152"/>
      <c r="H452" s="1152"/>
      <c r="I452" s="1152"/>
      <c r="J452" s="1152"/>
      <c r="K452" s="1152"/>
      <c r="L452" s="1152"/>
      <c r="M452" s="569"/>
      <c r="N452" s="569"/>
      <c r="O452" s="569"/>
      <c r="P452" s="569"/>
    </row>
    <row r="453" spans="1:16" ht="18" customHeight="1">
      <c r="A453" s="569"/>
      <c r="B453" s="569"/>
      <c r="C453" s="1152"/>
      <c r="D453" s="1152"/>
      <c r="E453" s="1152"/>
      <c r="F453" s="1152"/>
      <c r="G453" s="1152"/>
      <c r="H453" s="1152"/>
      <c r="I453" s="1152"/>
      <c r="J453" s="1152"/>
      <c r="K453" s="1152"/>
      <c r="L453" s="1152"/>
      <c r="M453" s="569"/>
      <c r="N453" s="569"/>
      <c r="O453" s="569"/>
      <c r="P453" s="569"/>
    </row>
    <row r="454" spans="1:16" ht="18" customHeight="1">
      <c r="A454" s="569"/>
      <c r="B454" s="569"/>
      <c r="C454" s="1152"/>
      <c r="D454" s="1152"/>
      <c r="E454" s="1152"/>
      <c r="F454" s="1152"/>
      <c r="G454" s="1152"/>
      <c r="H454" s="1152"/>
      <c r="I454" s="1152"/>
      <c r="J454" s="1152"/>
      <c r="K454" s="1152"/>
      <c r="L454" s="1152"/>
      <c r="M454" s="569"/>
      <c r="N454" s="569"/>
      <c r="O454" s="569"/>
      <c r="P454" s="569"/>
    </row>
    <row r="455" spans="1:16" ht="18" customHeight="1">
      <c r="A455" s="569"/>
      <c r="B455" s="569"/>
      <c r="C455" s="1152"/>
      <c r="D455" s="1152"/>
      <c r="E455" s="1152"/>
      <c r="F455" s="1152"/>
      <c r="G455" s="1152"/>
      <c r="H455" s="1152"/>
      <c r="I455" s="1152"/>
      <c r="J455" s="1152"/>
      <c r="K455" s="1152"/>
      <c r="L455" s="1152"/>
      <c r="M455" s="569"/>
      <c r="N455" s="569"/>
      <c r="O455" s="569"/>
      <c r="P455" s="569"/>
    </row>
    <row r="456" spans="1:16" ht="18" customHeight="1">
      <c r="A456" s="569"/>
      <c r="B456" s="569"/>
      <c r="C456" s="1152"/>
      <c r="D456" s="1152"/>
      <c r="E456" s="1152"/>
      <c r="F456" s="1152"/>
      <c r="G456" s="1152"/>
      <c r="H456" s="1152"/>
      <c r="I456" s="1152"/>
      <c r="J456" s="1152"/>
      <c r="K456" s="1152"/>
      <c r="L456" s="1152"/>
      <c r="M456" s="569"/>
      <c r="N456" s="569"/>
      <c r="O456" s="569"/>
      <c r="P456" s="569"/>
    </row>
    <row r="457" spans="1:16" ht="18" customHeight="1">
      <c r="A457" s="569"/>
      <c r="B457" s="569"/>
      <c r="C457" s="1152"/>
      <c r="D457" s="1152"/>
      <c r="E457" s="1152"/>
      <c r="F457" s="1152"/>
      <c r="G457" s="1152"/>
      <c r="H457" s="1152"/>
      <c r="I457" s="1152"/>
      <c r="J457" s="1152"/>
      <c r="K457" s="1152"/>
      <c r="L457" s="1152"/>
      <c r="M457" s="569"/>
      <c r="N457" s="569"/>
      <c r="O457" s="569"/>
      <c r="P457" s="569"/>
    </row>
    <row r="458" spans="1:16" ht="18" customHeight="1">
      <c r="A458" s="569"/>
      <c r="B458" s="569"/>
      <c r="C458" s="1152"/>
      <c r="D458" s="1152"/>
      <c r="E458" s="1152"/>
      <c r="F458" s="1152"/>
      <c r="G458" s="1152"/>
      <c r="H458" s="1152"/>
      <c r="I458" s="1152"/>
      <c r="J458" s="1152"/>
      <c r="K458" s="1152"/>
      <c r="L458" s="1152"/>
      <c r="M458" s="569"/>
      <c r="N458" s="569"/>
      <c r="O458" s="569"/>
      <c r="P458" s="569"/>
    </row>
    <row r="459" spans="1:16" ht="18" customHeight="1">
      <c r="A459" s="569"/>
      <c r="B459" s="569"/>
      <c r="C459" s="1152"/>
      <c r="D459" s="1152"/>
      <c r="E459" s="1152"/>
      <c r="F459" s="1152"/>
      <c r="G459" s="1152"/>
      <c r="H459" s="1152"/>
      <c r="I459" s="1152"/>
      <c r="J459" s="1152"/>
      <c r="K459" s="1152"/>
      <c r="L459" s="1152"/>
      <c r="M459" s="569"/>
      <c r="N459" s="569"/>
      <c r="O459" s="569"/>
      <c r="P459" s="569"/>
    </row>
    <row r="460" spans="1:16" ht="18" customHeight="1">
      <c r="A460" s="569"/>
      <c r="B460" s="569"/>
      <c r="C460" s="1152"/>
      <c r="D460" s="1152"/>
      <c r="E460" s="1152"/>
      <c r="F460" s="1152"/>
      <c r="G460" s="1152"/>
      <c r="H460" s="1152"/>
      <c r="I460" s="1152"/>
      <c r="J460" s="1152"/>
      <c r="K460" s="1152"/>
      <c r="L460" s="1152"/>
      <c r="M460" s="569"/>
      <c r="N460" s="569"/>
      <c r="O460" s="569"/>
      <c r="P460" s="569"/>
    </row>
    <row r="461" spans="1:16" ht="18" customHeight="1">
      <c r="A461" s="569"/>
      <c r="B461" s="569"/>
      <c r="C461" s="1152"/>
      <c r="D461" s="1152"/>
      <c r="E461" s="1152"/>
      <c r="F461" s="1152"/>
      <c r="G461" s="1152"/>
      <c r="H461" s="1152"/>
      <c r="I461" s="1152"/>
      <c r="J461" s="1152"/>
      <c r="K461" s="1152"/>
      <c r="L461" s="1152"/>
      <c r="M461" s="569"/>
      <c r="N461" s="569"/>
      <c r="O461" s="569"/>
      <c r="P461" s="569"/>
    </row>
    <row r="462" spans="1:16" ht="18" customHeight="1">
      <c r="A462" s="569"/>
      <c r="B462" s="569"/>
      <c r="C462" s="1152"/>
      <c r="D462" s="1152"/>
      <c r="E462" s="1152"/>
      <c r="F462" s="1152"/>
      <c r="G462" s="1152"/>
      <c r="H462" s="1152"/>
      <c r="I462" s="1152"/>
      <c r="J462" s="1152"/>
      <c r="K462" s="1152"/>
      <c r="L462" s="1152"/>
      <c r="M462" s="569"/>
      <c r="N462" s="569"/>
      <c r="O462" s="569"/>
      <c r="P462" s="569"/>
    </row>
    <row r="463" spans="1:16" ht="18" customHeight="1">
      <c r="A463" s="569"/>
      <c r="B463" s="569"/>
      <c r="C463" s="1152"/>
      <c r="D463" s="1152"/>
      <c r="E463" s="1152"/>
      <c r="F463" s="1152"/>
      <c r="G463" s="1152"/>
      <c r="H463" s="1152"/>
      <c r="I463" s="1152"/>
      <c r="J463" s="1152"/>
      <c r="K463" s="1152"/>
      <c r="L463" s="1152"/>
      <c r="M463" s="569"/>
      <c r="N463" s="569"/>
      <c r="O463" s="569"/>
      <c r="P463" s="569"/>
    </row>
    <row r="464" spans="1:16" ht="18" customHeight="1">
      <c r="A464" s="569"/>
      <c r="B464" s="569"/>
      <c r="C464" s="1152"/>
      <c r="D464" s="1152"/>
      <c r="E464" s="1152"/>
      <c r="F464" s="1152"/>
      <c r="G464" s="1152"/>
      <c r="H464" s="1152"/>
      <c r="I464" s="1152"/>
      <c r="J464" s="1152"/>
      <c r="K464" s="1152"/>
      <c r="L464" s="1152"/>
      <c r="M464" s="569"/>
      <c r="N464" s="569"/>
      <c r="O464" s="569"/>
      <c r="P464" s="569"/>
    </row>
    <row r="465" spans="1:16" ht="18" customHeight="1">
      <c r="A465" s="569"/>
      <c r="B465" s="569"/>
      <c r="C465" s="1152"/>
      <c r="D465" s="1152"/>
      <c r="E465" s="1152"/>
      <c r="F465" s="1152"/>
      <c r="G465" s="1152"/>
      <c r="H465" s="1152"/>
      <c r="I465" s="1152"/>
      <c r="J465" s="1152"/>
      <c r="K465" s="1152"/>
      <c r="L465" s="1152"/>
      <c r="M465" s="569"/>
      <c r="N465" s="569"/>
      <c r="O465" s="569"/>
      <c r="P465" s="569"/>
    </row>
    <row r="466" spans="1:16" ht="18" customHeight="1">
      <c r="A466" s="569"/>
      <c r="B466" s="569"/>
      <c r="C466" s="1152"/>
      <c r="D466" s="1152"/>
      <c r="E466" s="1152"/>
      <c r="F466" s="1152"/>
      <c r="G466" s="1152"/>
      <c r="H466" s="1152"/>
      <c r="I466" s="1152"/>
      <c r="J466" s="1152"/>
      <c r="K466" s="1152"/>
      <c r="L466" s="1152"/>
      <c r="M466" s="569"/>
      <c r="N466" s="569"/>
      <c r="O466" s="569"/>
      <c r="P466" s="569"/>
    </row>
    <row r="467" spans="1:16" ht="18" customHeight="1">
      <c r="A467" s="569"/>
      <c r="B467" s="569"/>
      <c r="C467" s="1152"/>
      <c r="D467" s="1152"/>
      <c r="E467" s="1152"/>
      <c r="F467" s="1152"/>
      <c r="G467" s="1152"/>
      <c r="H467" s="1152"/>
      <c r="I467" s="1152"/>
      <c r="J467" s="1152"/>
      <c r="K467" s="1152"/>
      <c r="L467" s="1152"/>
      <c r="M467" s="569"/>
      <c r="N467" s="569"/>
      <c r="O467" s="569"/>
      <c r="P467" s="569"/>
    </row>
    <row r="468" spans="1:16" ht="18" customHeight="1">
      <c r="A468" s="569"/>
      <c r="B468" s="569"/>
      <c r="C468" s="1152"/>
      <c r="D468" s="1152"/>
      <c r="E468" s="1152"/>
      <c r="F468" s="1152"/>
      <c r="G468" s="1152"/>
      <c r="H468" s="1152"/>
      <c r="I468" s="1152"/>
      <c r="J468" s="1152"/>
      <c r="K468" s="1152"/>
      <c r="L468" s="1152"/>
      <c r="M468" s="569"/>
      <c r="N468" s="569"/>
      <c r="O468" s="569"/>
      <c r="P468" s="569"/>
    </row>
    <row r="469" spans="1:16" ht="18" customHeight="1">
      <c r="A469" s="569"/>
      <c r="B469" s="569"/>
      <c r="C469" s="1152"/>
      <c r="D469" s="1152"/>
      <c r="E469" s="1152"/>
      <c r="F469" s="1152"/>
      <c r="G469" s="1152"/>
      <c r="H469" s="1152"/>
      <c r="I469" s="1152"/>
      <c r="J469" s="1152"/>
      <c r="K469" s="1152"/>
      <c r="L469" s="1152"/>
      <c r="M469" s="569"/>
      <c r="N469" s="569"/>
      <c r="O469" s="569"/>
      <c r="P469" s="569"/>
    </row>
    <row r="470" spans="1:16" ht="18" customHeight="1">
      <c r="A470" s="569"/>
      <c r="B470" s="569"/>
      <c r="C470" s="1152"/>
      <c r="D470" s="1152"/>
      <c r="E470" s="1152"/>
      <c r="F470" s="1152"/>
      <c r="G470" s="1152"/>
      <c r="H470" s="1152"/>
      <c r="I470" s="1152"/>
      <c r="J470" s="1152"/>
      <c r="K470" s="1152"/>
      <c r="L470" s="1152"/>
      <c r="M470" s="569"/>
      <c r="N470" s="569"/>
      <c r="O470" s="569"/>
      <c r="P470" s="569"/>
    </row>
    <row r="471" spans="1:16" ht="18" customHeight="1">
      <c r="A471" s="569"/>
      <c r="B471" s="569"/>
      <c r="C471" s="1152"/>
      <c r="D471" s="1152"/>
      <c r="E471" s="1152"/>
      <c r="F471" s="1152"/>
      <c r="G471" s="1152"/>
      <c r="H471" s="1152"/>
      <c r="I471" s="1152"/>
      <c r="J471" s="1152"/>
      <c r="K471" s="1152"/>
      <c r="L471" s="1152"/>
      <c r="M471" s="569"/>
      <c r="N471" s="569"/>
      <c r="O471" s="569"/>
      <c r="P471" s="569"/>
    </row>
    <row r="472" spans="1:16" ht="18" customHeight="1">
      <c r="A472" s="569"/>
      <c r="B472" s="569"/>
      <c r="C472" s="1152"/>
      <c r="D472" s="1152"/>
      <c r="E472" s="1152"/>
      <c r="F472" s="1152"/>
      <c r="G472" s="1152"/>
      <c r="H472" s="1152"/>
      <c r="I472" s="1152"/>
      <c r="J472" s="1152"/>
      <c r="K472" s="1152"/>
      <c r="L472" s="1152"/>
      <c r="M472" s="569"/>
      <c r="N472" s="569"/>
      <c r="O472" s="569"/>
      <c r="P472" s="569"/>
    </row>
    <row r="473" spans="1:16" ht="18" customHeight="1">
      <c r="A473" s="569"/>
      <c r="B473" s="569"/>
      <c r="C473" s="1152"/>
      <c r="D473" s="1152"/>
      <c r="E473" s="1152"/>
      <c r="F473" s="1152"/>
      <c r="G473" s="1152"/>
      <c r="H473" s="1152"/>
      <c r="I473" s="1152"/>
      <c r="J473" s="1152"/>
      <c r="K473" s="1152"/>
      <c r="L473" s="1152"/>
      <c r="M473" s="569"/>
      <c r="N473" s="569"/>
      <c r="O473" s="569"/>
      <c r="P473" s="569"/>
    </row>
    <row r="474" spans="1:16" ht="18" customHeight="1">
      <c r="A474" s="569"/>
      <c r="B474" s="569"/>
      <c r="C474" s="1152"/>
      <c r="D474" s="1152"/>
      <c r="E474" s="1152"/>
      <c r="F474" s="1152"/>
      <c r="G474" s="1152"/>
      <c r="H474" s="1152"/>
      <c r="I474" s="1152"/>
      <c r="J474" s="1152"/>
      <c r="K474" s="1152"/>
      <c r="L474" s="1152"/>
      <c r="M474" s="569"/>
      <c r="N474" s="569"/>
      <c r="O474" s="569"/>
      <c r="P474" s="569"/>
    </row>
    <row r="475" spans="1:16" ht="18" customHeight="1">
      <c r="A475" s="569"/>
      <c r="B475" s="569"/>
      <c r="C475" s="1152"/>
      <c r="D475" s="1152"/>
      <c r="E475" s="1152"/>
      <c r="F475" s="1152"/>
      <c r="G475" s="1152"/>
      <c r="H475" s="1152"/>
      <c r="I475" s="1152"/>
      <c r="J475" s="1152"/>
      <c r="K475" s="1152"/>
      <c r="L475" s="1152"/>
      <c r="M475" s="569"/>
      <c r="N475" s="569"/>
      <c r="O475" s="569"/>
      <c r="P475" s="569"/>
    </row>
    <row r="476" spans="1:16" ht="18" customHeight="1">
      <c r="A476" s="569"/>
      <c r="B476" s="569"/>
      <c r="C476" s="1152"/>
      <c r="D476" s="1152"/>
      <c r="E476" s="1152"/>
      <c r="F476" s="1152"/>
      <c r="G476" s="1152"/>
      <c r="H476" s="1152"/>
      <c r="I476" s="1152"/>
      <c r="J476" s="1152"/>
      <c r="K476" s="1152"/>
      <c r="L476" s="1152"/>
      <c r="M476" s="569"/>
      <c r="N476" s="569"/>
      <c r="O476" s="569"/>
      <c r="P476" s="569"/>
    </row>
    <row r="477" spans="1:16" ht="18" customHeight="1">
      <c r="A477" s="569"/>
      <c r="B477" s="569"/>
      <c r="C477" s="1152"/>
      <c r="D477" s="1152"/>
      <c r="E477" s="1152"/>
      <c r="F477" s="1152"/>
      <c r="G477" s="1152"/>
      <c r="H477" s="1152"/>
      <c r="I477" s="1152"/>
      <c r="J477" s="1152"/>
      <c r="K477" s="1152"/>
      <c r="L477" s="1152"/>
      <c r="M477" s="569"/>
      <c r="N477" s="569"/>
      <c r="O477" s="569"/>
      <c r="P477" s="569"/>
    </row>
    <row r="478" spans="1:16" ht="18" customHeight="1">
      <c r="A478" s="569"/>
      <c r="B478" s="569"/>
      <c r="C478" s="1152"/>
      <c r="D478" s="1152"/>
      <c r="E478" s="1152"/>
      <c r="F478" s="1152"/>
      <c r="G478" s="1152"/>
      <c r="H478" s="1152"/>
      <c r="I478" s="1152"/>
      <c r="J478" s="1152"/>
      <c r="K478" s="1152"/>
      <c r="L478" s="1152"/>
      <c r="M478" s="569"/>
      <c r="N478" s="569"/>
      <c r="O478" s="569"/>
      <c r="P478" s="569"/>
    </row>
    <row r="479" spans="1:16" ht="18" customHeight="1">
      <c r="A479" s="569"/>
      <c r="B479" s="569"/>
      <c r="C479" s="1152"/>
      <c r="D479" s="1152"/>
      <c r="E479" s="1152"/>
      <c r="F479" s="1152"/>
      <c r="G479" s="1152"/>
      <c r="H479" s="1152"/>
      <c r="I479" s="1152"/>
      <c r="J479" s="1152"/>
      <c r="K479" s="1152"/>
      <c r="L479" s="1152"/>
      <c r="M479" s="569"/>
      <c r="N479" s="569"/>
      <c r="O479" s="569"/>
      <c r="P479" s="569"/>
    </row>
    <row r="480" spans="1:16" ht="18" customHeight="1">
      <c r="A480" s="569"/>
      <c r="B480" s="569"/>
      <c r="C480" s="1152"/>
      <c r="D480" s="1152"/>
      <c r="E480" s="1152"/>
      <c r="F480" s="1152"/>
      <c r="G480" s="1152"/>
      <c r="H480" s="1152"/>
      <c r="I480" s="1152"/>
      <c r="J480" s="1152"/>
      <c r="K480" s="1152"/>
      <c r="L480" s="1152"/>
      <c r="M480" s="569"/>
      <c r="N480" s="569"/>
      <c r="O480" s="569"/>
      <c r="P480" s="569"/>
    </row>
    <row r="481" spans="1:16" ht="18" customHeight="1">
      <c r="A481" s="569"/>
      <c r="B481" s="569"/>
      <c r="C481" s="1152"/>
      <c r="D481" s="1152"/>
      <c r="E481" s="1152"/>
      <c r="F481" s="1152"/>
      <c r="G481" s="1152"/>
      <c r="H481" s="1152"/>
      <c r="I481" s="1152"/>
      <c r="J481" s="1152"/>
      <c r="K481" s="1152"/>
      <c r="L481" s="1152"/>
      <c r="M481" s="569"/>
      <c r="N481" s="569"/>
      <c r="O481" s="569"/>
      <c r="P481" s="569"/>
    </row>
    <row r="482" spans="1:16" ht="18" customHeight="1">
      <c r="A482" s="569"/>
      <c r="B482" s="569"/>
      <c r="C482" s="1152"/>
      <c r="D482" s="1152"/>
      <c r="E482" s="1152"/>
      <c r="F482" s="1152"/>
      <c r="G482" s="1152"/>
      <c r="H482" s="1152"/>
      <c r="I482" s="1152"/>
      <c r="J482" s="1152"/>
      <c r="K482" s="1152"/>
      <c r="L482" s="1152"/>
      <c r="M482" s="569"/>
      <c r="N482" s="569"/>
      <c r="O482" s="569"/>
      <c r="P482" s="569"/>
    </row>
    <row r="483" spans="1:16" ht="18" customHeight="1">
      <c r="A483" s="569"/>
      <c r="B483" s="569"/>
      <c r="C483" s="1152"/>
      <c r="D483" s="1152"/>
      <c r="E483" s="1152"/>
      <c r="F483" s="1152"/>
      <c r="G483" s="1152"/>
      <c r="H483" s="1152"/>
      <c r="I483" s="1152"/>
      <c r="J483" s="1152"/>
      <c r="K483" s="1152"/>
      <c r="L483" s="1152"/>
      <c r="M483" s="569"/>
      <c r="N483" s="569"/>
      <c r="O483" s="569"/>
      <c r="P483" s="569"/>
    </row>
    <row r="484" spans="1:16" ht="18" customHeight="1">
      <c r="A484" s="569"/>
      <c r="B484" s="569"/>
      <c r="C484" s="1152"/>
      <c r="D484" s="1152"/>
      <c r="E484" s="1152"/>
      <c r="F484" s="1152"/>
      <c r="G484" s="1152"/>
      <c r="H484" s="1152"/>
      <c r="I484" s="1152"/>
      <c r="J484" s="1152"/>
      <c r="K484" s="1152"/>
      <c r="L484" s="1152"/>
      <c r="M484" s="569"/>
      <c r="N484" s="569"/>
      <c r="O484" s="569"/>
      <c r="P484" s="569"/>
    </row>
    <row r="485" spans="1:16" ht="18" customHeight="1">
      <c r="A485" s="569"/>
      <c r="B485" s="569"/>
      <c r="C485" s="1152"/>
      <c r="D485" s="1152"/>
      <c r="E485" s="1152"/>
      <c r="F485" s="1152"/>
      <c r="G485" s="1152"/>
      <c r="H485" s="1152"/>
      <c r="I485" s="1152"/>
      <c r="J485" s="1152"/>
      <c r="K485" s="1152"/>
      <c r="L485" s="1152"/>
      <c r="M485" s="569"/>
      <c r="N485" s="569"/>
      <c r="O485" s="569"/>
      <c r="P485" s="569"/>
    </row>
    <row r="486" spans="1:16" ht="18" customHeight="1">
      <c r="A486" s="569"/>
      <c r="B486" s="569"/>
      <c r="C486" s="1152"/>
      <c r="D486" s="1152"/>
      <c r="E486" s="1152"/>
      <c r="F486" s="1152"/>
      <c r="G486" s="1152"/>
      <c r="H486" s="1152"/>
      <c r="I486" s="1152"/>
      <c r="J486" s="1152"/>
      <c r="K486" s="1152"/>
      <c r="L486" s="1152"/>
      <c r="M486" s="569"/>
      <c r="N486" s="569"/>
      <c r="O486" s="569"/>
      <c r="P486" s="569"/>
    </row>
    <row r="487" spans="1:16" ht="18" customHeight="1">
      <c r="A487" s="569"/>
      <c r="B487" s="569"/>
      <c r="C487" s="1152"/>
      <c r="D487" s="1152"/>
      <c r="E487" s="1152"/>
      <c r="F487" s="1152"/>
      <c r="G487" s="1152"/>
      <c r="H487" s="1152"/>
      <c r="I487" s="1152"/>
      <c r="J487" s="1152"/>
      <c r="K487" s="1152"/>
      <c r="L487" s="1152"/>
      <c r="M487" s="569"/>
      <c r="N487" s="569"/>
      <c r="O487" s="569"/>
      <c r="P487" s="569"/>
    </row>
    <row r="488" spans="1:16" ht="18" customHeight="1">
      <c r="A488" s="569"/>
      <c r="B488" s="569"/>
      <c r="C488" s="1152"/>
      <c r="D488" s="1152"/>
      <c r="E488" s="1152"/>
      <c r="F488" s="1152"/>
      <c r="G488" s="1152"/>
      <c r="H488" s="1152"/>
      <c r="I488" s="1152"/>
      <c r="J488" s="1152"/>
      <c r="K488" s="1152"/>
      <c r="L488" s="1152"/>
      <c r="M488" s="569"/>
      <c r="N488" s="569"/>
      <c r="O488" s="569"/>
      <c r="P488" s="569"/>
    </row>
    <row r="489" spans="1:16" ht="18" customHeight="1">
      <c r="A489" s="569"/>
      <c r="B489" s="569"/>
      <c r="C489" s="1152"/>
      <c r="D489" s="1152"/>
      <c r="E489" s="1152"/>
      <c r="F489" s="1152"/>
      <c r="G489" s="1152"/>
      <c r="H489" s="1152"/>
      <c r="I489" s="1152"/>
      <c r="J489" s="1152"/>
      <c r="K489" s="1152"/>
      <c r="L489" s="1152"/>
      <c r="M489" s="569"/>
      <c r="N489" s="569"/>
      <c r="O489" s="569"/>
      <c r="P489" s="569"/>
    </row>
    <row r="490" spans="1:16" ht="18" customHeight="1">
      <c r="A490" s="569"/>
      <c r="B490" s="569"/>
      <c r="C490" s="1152"/>
      <c r="D490" s="1152"/>
      <c r="E490" s="1152"/>
      <c r="F490" s="1152"/>
      <c r="G490" s="1152"/>
      <c r="H490" s="1152"/>
      <c r="I490" s="1152"/>
      <c r="J490" s="1152"/>
      <c r="K490" s="1152"/>
      <c r="L490" s="1152"/>
      <c r="M490" s="569"/>
      <c r="N490" s="569"/>
      <c r="O490" s="569"/>
      <c r="P490" s="569"/>
    </row>
    <row r="491" spans="1:16" ht="18" customHeight="1">
      <c r="A491" s="569"/>
      <c r="B491" s="569"/>
      <c r="C491" s="1152"/>
      <c r="D491" s="1152"/>
      <c r="E491" s="1152"/>
      <c r="F491" s="1152"/>
      <c r="G491" s="1152"/>
      <c r="H491" s="1152"/>
      <c r="I491" s="1152"/>
      <c r="J491" s="1152"/>
      <c r="K491" s="1152"/>
      <c r="L491" s="1152"/>
      <c r="M491" s="569"/>
      <c r="N491" s="569"/>
      <c r="O491" s="569"/>
      <c r="P491" s="569"/>
    </row>
    <row r="492" spans="1:16" ht="18" customHeight="1">
      <c r="A492" s="569"/>
      <c r="B492" s="569"/>
      <c r="C492" s="1152"/>
      <c r="D492" s="1152"/>
      <c r="E492" s="1152"/>
      <c r="F492" s="1152"/>
      <c r="G492" s="1152"/>
      <c r="H492" s="1152"/>
      <c r="I492" s="1152"/>
      <c r="J492" s="1152"/>
      <c r="K492" s="1152"/>
      <c r="L492" s="1152"/>
      <c r="M492" s="569"/>
      <c r="N492" s="569"/>
      <c r="O492" s="569"/>
      <c r="P492" s="569"/>
    </row>
    <row r="493" spans="1:16" ht="18" customHeight="1">
      <c r="A493" s="569"/>
      <c r="B493" s="569"/>
      <c r="C493" s="1152"/>
      <c r="D493" s="1152"/>
      <c r="E493" s="1152"/>
      <c r="F493" s="1152"/>
      <c r="G493" s="1152"/>
      <c r="H493" s="1152"/>
      <c r="I493" s="1152"/>
      <c r="J493" s="1152"/>
      <c r="K493" s="1152"/>
      <c r="L493" s="1152"/>
      <c r="M493" s="569"/>
      <c r="N493" s="569"/>
      <c r="O493" s="569"/>
      <c r="P493" s="569"/>
    </row>
    <row r="494" spans="1:16" ht="18" customHeight="1">
      <c r="A494" s="569"/>
      <c r="B494" s="569"/>
      <c r="C494" s="1152"/>
      <c r="D494" s="1152"/>
      <c r="E494" s="1152"/>
      <c r="F494" s="1152"/>
      <c r="G494" s="1152"/>
      <c r="H494" s="1152"/>
      <c r="I494" s="1152"/>
      <c r="J494" s="1152"/>
      <c r="K494" s="1152"/>
      <c r="L494" s="1152"/>
      <c r="M494" s="569"/>
      <c r="N494" s="569"/>
      <c r="O494" s="569"/>
      <c r="P494" s="569"/>
    </row>
    <row r="495" spans="1:16" ht="18" customHeight="1">
      <c r="A495" s="569"/>
      <c r="B495" s="569"/>
      <c r="C495" s="1152"/>
      <c r="D495" s="1152"/>
      <c r="E495" s="1152"/>
      <c r="F495" s="1152"/>
      <c r="G495" s="1152"/>
      <c r="H495" s="1152"/>
      <c r="I495" s="1152"/>
      <c r="J495" s="1152"/>
      <c r="K495" s="1152"/>
      <c r="L495" s="1152"/>
      <c r="M495" s="569"/>
      <c r="N495" s="569"/>
      <c r="O495" s="569"/>
      <c r="P495" s="569"/>
    </row>
    <row r="496" spans="1:16" ht="18" customHeight="1">
      <c r="A496" s="569"/>
      <c r="B496" s="569"/>
      <c r="C496" s="1152"/>
      <c r="D496" s="1152"/>
      <c r="E496" s="1152"/>
      <c r="F496" s="1152"/>
      <c r="G496" s="1152"/>
      <c r="H496" s="1152"/>
      <c r="I496" s="1152"/>
      <c r="J496" s="1152"/>
      <c r="K496" s="1152"/>
      <c r="L496" s="1152"/>
      <c r="M496" s="569"/>
      <c r="N496" s="569"/>
      <c r="O496" s="569"/>
      <c r="P496" s="569"/>
    </row>
    <row r="497" spans="1:16" ht="18" customHeight="1">
      <c r="A497" s="569"/>
      <c r="B497" s="569"/>
      <c r="C497" s="1152"/>
      <c r="D497" s="1152"/>
      <c r="E497" s="1152"/>
      <c r="F497" s="1152"/>
      <c r="G497" s="1152"/>
      <c r="H497" s="1152"/>
      <c r="I497" s="1152"/>
      <c r="J497" s="1152"/>
      <c r="K497" s="1152"/>
      <c r="L497" s="1152"/>
      <c r="M497" s="569"/>
      <c r="N497" s="569"/>
      <c r="O497" s="569"/>
      <c r="P497" s="569"/>
    </row>
    <row r="498" spans="1:16" ht="18" customHeight="1">
      <c r="A498" s="569"/>
      <c r="B498" s="569"/>
      <c r="C498" s="1152"/>
      <c r="D498" s="1152"/>
      <c r="E498" s="1152"/>
      <c r="F498" s="1152"/>
      <c r="G498" s="1152"/>
      <c r="H498" s="1152"/>
      <c r="I498" s="1152"/>
      <c r="J498" s="1152"/>
      <c r="K498" s="1152"/>
      <c r="L498" s="1152"/>
      <c r="M498" s="569"/>
      <c r="N498" s="569"/>
      <c r="O498" s="569"/>
      <c r="P498" s="569"/>
    </row>
    <row r="499" spans="1:16" ht="18" customHeight="1">
      <c r="A499" s="569"/>
      <c r="B499" s="569"/>
      <c r="C499" s="1152"/>
      <c r="D499" s="1152"/>
      <c r="E499" s="1152"/>
      <c r="F499" s="1152"/>
      <c r="G499" s="1152"/>
      <c r="H499" s="1152"/>
      <c r="I499" s="1152"/>
      <c r="J499" s="1152"/>
      <c r="K499" s="1152"/>
      <c r="L499" s="1152"/>
      <c r="M499" s="569"/>
      <c r="N499" s="569"/>
      <c r="O499" s="569"/>
      <c r="P499" s="569"/>
    </row>
    <row r="500" spans="1:16" ht="18" customHeight="1">
      <c r="A500" s="569"/>
      <c r="B500" s="569"/>
      <c r="C500" s="1152"/>
      <c r="D500" s="1152"/>
      <c r="E500" s="1152"/>
      <c r="F500" s="1152"/>
      <c r="G500" s="1152"/>
      <c r="H500" s="1152"/>
      <c r="I500" s="1152"/>
      <c r="J500" s="1152"/>
      <c r="K500" s="1152"/>
      <c r="L500" s="1152"/>
      <c r="M500" s="569"/>
      <c r="N500" s="569"/>
      <c r="O500" s="569"/>
      <c r="P500" s="569"/>
    </row>
    <row r="501" spans="1:16" ht="18" customHeight="1">
      <c r="A501" s="569"/>
      <c r="B501" s="569"/>
      <c r="C501" s="1152"/>
      <c r="D501" s="1152"/>
      <c r="E501" s="1152"/>
      <c r="F501" s="1152"/>
      <c r="G501" s="1152"/>
      <c r="H501" s="1152"/>
      <c r="I501" s="1152"/>
      <c r="J501" s="1152"/>
      <c r="K501" s="1152"/>
      <c r="L501" s="1152"/>
      <c r="M501" s="569"/>
      <c r="N501" s="569"/>
      <c r="O501" s="569"/>
      <c r="P501" s="569"/>
    </row>
    <row r="502" spans="1:16" ht="18" customHeight="1">
      <c r="A502" s="569"/>
      <c r="B502" s="569"/>
      <c r="C502" s="1152"/>
      <c r="D502" s="1152"/>
      <c r="E502" s="1152"/>
      <c r="F502" s="1152"/>
      <c r="G502" s="1152"/>
      <c r="H502" s="1152"/>
      <c r="I502" s="1152"/>
      <c r="J502" s="1152"/>
      <c r="K502" s="1152"/>
      <c r="L502" s="1152"/>
      <c r="M502" s="569"/>
      <c r="N502" s="569"/>
      <c r="O502" s="569"/>
      <c r="P502" s="569"/>
    </row>
    <row r="503" spans="1:16" ht="18" customHeight="1">
      <c r="A503" s="569"/>
      <c r="B503" s="569"/>
      <c r="C503" s="1152"/>
      <c r="D503" s="1152"/>
      <c r="E503" s="1152"/>
      <c r="F503" s="1152"/>
      <c r="G503" s="1152"/>
      <c r="H503" s="1152"/>
      <c r="I503" s="1152"/>
      <c r="J503" s="1152"/>
      <c r="K503" s="1152"/>
      <c r="L503" s="1152"/>
      <c r="M503" s="569"/>
      <c r="N503" s="569"/>
      <c r="O503" s="569"/>
      <c r="P503" s="569"/>
    </row>
    <row r="504" spans="1:16" ht="18" customHeight="1">
      <c r="A504" s="569"/>
      <c r="B504" s="569"/>
      <c r="C504" s="1152"/>
      <c r="D504" s="1152"/>
      <c r="E504" s="1152"/>
      <c r="F504" s="1152"/>
      <c r="G504" s="1152"/>
      <c r="H504" s="1152"/>
      <c r="I504" s="1152"/>
      <c r="J504" s="1152"/>
      <c r="K504" s="1152"/>
      <c r="L504" s="1152"/>
      <c r="M504" s="569"/>
      <c r="N504" s="569"/>
      <c r="O504" s="569"/>
      <c r="P504" s="569"/>
    </row>
    <row r="505" spans="1:16" ht="18" customHeight="1">
      <c r="A505" s="569"/>
      <c r="B505" s="569"/>
      <c r="C505" s="1152"/>
      <c r="D505" s="1152"/>
      <c r="E505" s="1152"/>
      <c r="F505" s="1152"/>
      <c r="G505" s="1152"/>
      <c r="H505" s="1152"/>
      <c r="I505" s="1152"/>
      <c r="J505" s="1152"/>
      <c r="K505" s="1152"/>
      <c r="L505" s="1152"/>
      <c r="M505" s="569"/>
      <c r="N505" s="569"/>
      <c r="O505" s="569"/>
      <c r="P505" s="569"/>
    </row>
    <row r="506" spans="1:16" ht="18" customHeight="1">
      <c r="A506" s="569"/>
      <c r="B506" s="569"/>
      <c r="C506" s="1152"/>
      <c r="D506" s="1152"/>
      <c r="E506" s="1152"/>
      <c r="F506" s="1152"/>
      <c r="G506" s="1152"/>
      <c r="H506" s="1152"/>
      <c r="I506" s="1152"/>
      <c r="J506" s="1152"/>
      <c r="K506" s="1152"/>
      <c r="L506" s="1152"/>
      <c r="M506" s="569"/>
      <c r="N506" s="569"/>
      <c r="O506" s="569"/>
      <c r="P506" s="569"/>
    </row>
    <row r="507" spans="1:16" ht="18" customHeight="1">
      <c r="A507" s="569"/>
      <c r="B507" s="569"/>
      <c r="C507" s="1152"/>
      <c r="D507" s="1152"/>
      <c r="E507" s="1152"/>
      <c r="F507" s="1152"/>
      <c r="G507" s="1152"/>
      <c r="H507" s="1152"/>
      <c r="I507" s="1152"/>
      <c r="J507" s="1152"/>
      <c r="K507" s="1152"/>
      <c r="L507" s="1152"/>
      <c r="M507" s="569"/>
      <c r="N507" s="569"/>
      <c r="O507" s="569"/>
      <c r="P507" s="569"/>
    </row>
    <row r="508" spans="1:16" ht="18" customHeight="1">
      <c r="A508" s="569"/>
      <c r="B508" s="569"/>
      <c r="C508" s="1152"/>
      <c r="D508" s="1152"/>
      <c r="E508" s="1152"/>
      <c r="F508" s="1152"/>
      <c r="G508" s="1152"/>
      <c r="H508" s="1152"/>
      <c r="I508" s="1152"/>
      <c r="J508" s="1152"/>
      <c r="K508" s="1152"/>
      <c r="L508" s="1152"/>
      <c r="M508" s="569"/>
      <c r="N508" s="569"/>
      <c r="O508" s="569"/>
      <c r="P508" s="569"/>
    </row>
    <row r="509" spans="1:16" ht="18" customHeight="1">
      <c r="A509" s="569"/>
      <c r="B509" s="569"/>
      <c r="C509" s="1152"/>
      <c r="D509" s="1152"/>
      <c r="E509" s="1152"/>
      <c r="F509" s="1152"/>
      <c r="G509" s="1152"/>
      <c r="H509" s="1152"/>
      <c r="I509" s="1152"/>
      <c r="J509" s="1152"/>
      <c r="K509" s="1152"/>
      <c r="L509" s="1152"/>
      <c r="M509" s="569"/>
      <c r="N509" s="569"/>
      <c r="O509" s="569"/>
      <c r="P509" s="569"/>
    </row>
    <row r="510" spans="1:16" ht="18" customHeight="1">
      <c r="A510" s="569"/>
      <c r="B510" s="569"/>
      <c r="C510" s="1152"/>
      <c r="D510" s="1152"/>
      <c r="E510" s="1152"/>
      <c r="F510" s="1152"/>
      <c r="G510" s="1152"/>
      <c r="H510" s="1152"/>
      <c r="I510" s="1152"/>
      <c r="J510" s="1152"/>
      <c r="K510" s="1152"/>
      <c r="L510" s="1152"/>
      <c r="M510" s="569"/>
      <c r="N510" s="569"/>
      <c r="O510" s="569"/>
      <c r="P510" s="569"/>
    </row>
    <row r="511" spans="1:16" ht="18" customHeight="1">
      <c r="A511" s="569"/>
      <c r="B511" s="569"/>
      <c r="C511" s="1152"/>
      <c r="D511" s="1152"/>
      <c r="E511" s="1152"/>
      <c r="F511" s="1152"/>
      <c r="G511" s="1152"/>
      <c r="H511" s="1152"/>
      <c r="I511" s="1152"/>
      <c r="J511" s="1152"/>
      <c r="K511" s="1152"/>
      <c r="L511" s="1152"/>
      <c r="M511" s="569"/>
      <c r="N511" s="569"/>
      <c r="O511" s="569"/>
      <c r="P511" s="569"/>
    </row>
    <row r="512" spans="1:16" ht="18" customHeight="1">
      <c r="A512" s="569"/>
      <c r="B512" s="569"/>
      <c r="C512" s="1152"/>
      <c r="D512" s="1152"/>
      <c r="E512" s="1152"/>
      <c r="F512" s="1152"/>
      <c r="G512" s="1152"/>
      <c r="H512" s="1152"/>
      <c r="I512" s="1152"/>
      <c r="J512" s="1152"/>
      <c r="K512" s="1152"/>
      <c r="L512" s="1152"/>
      <c r="M512" s="569"/>
      <c r="N512" s="569"/>
      <c r="O512" s="569"/>
      <c r="P512" s="569"/>
    </row>
    <row r="513" spans="1:16" ht="18" customHeight="1">
      <c r="A513" s="569"/>
      <c r="B513" s="569"/>
      <c r="C513" s="1152"/>
      <c r="D513" s="1152"/>
      <c r="E513" s="1152"/>
      <c r="F513" s="1152"/>
      <c r="G513" s="1152"/>
      <c r="H513" s="1152"/>
      <c r="I513" s="1152"/>
      <c r="J513" s="1152"/>
      <c r="K513" s="1152"/>
      <c r="L513" s="1152"/>
      <c r="M513" s="569"/>
      <c r="N513" s="569"/>
      <c r="O513" s="569"/>
      <c r="P513" s="569"/>
    </row>
    <row r="514" spans="1:16" ht="18" customHeight="1">
      <c r="A514" s="569"/>
      <c r="B514" s="569"/>
      <c r="C514" s="1152"/>
      <c r="D514" s="1152"/>
      <c r="E514" s="1152"/>
      <c r="F514" s="1152"/>
      <c r="G514" s="1152"/>
      <c r="H514" s="1152"/>
      <c r="I514" s="1152"/>
      <c r="J514" s="1152"/>
      <c r="K514" s="1152"/>
      <c r="L514" s="1152"/>
      <c r="M514" s="569"/>
      <c r="N514" s="569"/>
      <c r="O514" s="569"/>
      <c r="P514" s="569"/>
    </row>
    <row r="515" spans="1:16" ht="18" customHeight="1">
      <c r="A515" s="569"/>
      <c r="B515" s="569"/>
      <c r="C515" s="1152"/>
      <c r="D515" s="1152"/>
      <c r="E515" s="1152"/>
      <c r="F515" s="1152"/>
      <c r="G515" s="1152"/>
      <c r="H515" s="1152"/>
      <c r="I515" s="1152"/>
      <c r="J515" s="1152"/>
      <c r="K515" s="1152"/>
      <c r="L515" s="1152"/>
      <c r="M515" s="569"/>
      <c r="N515" s="569"/>
      <c r="O515" s="569"/>
      <c r="P515" s="569"/>
    </row>
    <row r="516" spans="1:16" ht="18" customHeight="1">
      <c r="A516" s="569"/>
      <c r="B516" s="569"/>
      <c r="C516" s="1152"/>
      <c r="D516" s="1152"/>
      <c r="E516" s="1152"/>
      <c r="F516" s="1152"/>
      <c r="G516" s="1152"/>
      <c r="H516" s="1152"/>
      <c r="I516" s="1152"/>
      <c r="J516" s="1152"/>
      <c r="K516" s="1152"/>
      <c r="L516" s="1152"/>
      <c r="M516" s="569"/>
      <c r="N516" s="569"/>
      <c r="O516" s="569"/>
      <c r="P516" s="569"/>
    </row>
    <row r="517" spans="1:16" ht="18" customHeight="1">
      <c r="A517" s="569"/>
      <c r="B517" s="569"/>
      <c r="C517" s="1152"/>
      <c r="D517" s="1152"/>
      <c r="E517" s="1152"/>
      <c r="F517" s="1152"/>
      <c r="G517" s="1152"/>
      <c r="H517" s="1152"/>
      <c r="I517" s="1152"/>
      <c r="J517" s="1152"/>
      <c r="K517" s="1152"/>
      <c r="L517" s="1152"/>
      <c r="M517" s="569"/>
      <c r="N517" s="569"/>
      <c r="O517" s="569"/>
      <c r="P517" s="569"/>
    </row>
    <row r="518" spans="1:16" ht="18" customHeight="1">
      <c r="A518" s="569"/>
      <c r="B518" s="569"/>
      <c r="C518" s="1152"/>
      <c r="D518" s="1152"/>
      <c r="E518" s="1152"/>
      <c r="F518" s="1152"/>
      <c r="G518" s="1152"/>
      <c r="H518" s="1152"/>
      <c r="I518" s="1152"/>
      <c r="J518" s="1152"/>
      <c r="K518" s="1152"/>
      <c r="L518" s="1152"/>
      <c r="M518" s="569"/>
      <c r="N518" s="569"/>
      <c r="O518" s="569"/>
      <c r="P518" s="569"/>
    </row>
    <row r="519" spans="1:16" ht="18" customHeight="1">
      <c r="A519" s="569"/>
      <c r="B519" s="569"/>
      <c r="C519" s="1152"/>
      <c r="D519" s="1152"/>
      <c r="E519" s="1152"/>
      <c r="F519" s="1152"/>
      <c r="G519" s="1152"/>
      <c r="H519" s="1152"/>
      <c r="I519" s="1152"/>
      <c r="J519" s="1152"/>
      <c r="K519" s="1152"/>
      <c r="L519" s="1152"/>
      <c r="M519" s="569"/>
      <c r="N519" s="569"/>
      <c r="O519" s="569"/>
      <c r="P519" s="569"/>
    </row>
    <row r="520" spans="1:16" ht="18" customHeight="1">
      <c r="A520" s="569"/>
      <c r="B520" s="569"/>
      <c r="C520" s="1152"/>
      <c r="D520" s="1152"/>
      <c r="E520" s="1152"/>
      <c r="F520" s="1152"/>
      <c r="G520" s="1152"/>
      <c r="H520" s="1152"/>
      <c r="I520" s="1152"/>
      <c r="J520" s="1152"/>
      <c r="K520" s="1152"/>
      <c r="L520" s="1152"/>
      <c r="M520" s="569"/>
      <c r="N520" s="569"/>
      <c r="O520" s="569"/>
      <c r="P520" s="569"/>
    </row>
    <row r="521" spans="1:16" ht="18" customHeight="1">
      <c r="A521" s="569"/>
      <c r="B521" s="569"/>
      <c r="C521" s="1152"/>
      <c r="D521" s="1152"/>
      <c r="E521" s="1152"/>
      <c r="F521" s="1152"/>
      <c r="G521" s="1152"/>
      <c r="H521" s="1152"/>
      <c r="I521" s="1152"/>
      <c r="J521" s="1152"/>
      <c r="K521" s="1152"/>
      <c r="L521" s="1152"/>
      <c r="M521" s="569"/>
      <c r="N521" s="569"/>
      <c r="O521" s="569"/>
      <c r="P521" s="569"/>
    </row>
    <row r="522" spans="1:16" ht="18" customHeight="1">
      <c r="A522" s="569"/>
      <c r="B522" s="569"/>
      <c r="C522" s="1152"/>
      <c r="D522" s="1152"/>
      <c r="E522" s="1152"/>
      <c r="F522" s="1152"/>
      <c r="G522" s="1152"/>
      <c r="H522" s="1152"/>
      <c r="I522" s="1152"/>
      <c r="J522" s="1152"/>
      <c r="K522" s="1152"/>
      <c r="L522" s="1152"/>
      <c r="M522" s="569"/>
      <c r="N522" s="569"/>
      <c r="O522" s="569"/>
      <c r="P522" s="569"/>
    </row>
    <row r="523" spans="1:16" ht="18" customHeight="1">
      <c r="A523" s="569"/>
      <c r="B523" s="569"/>
      <c r="C523" s="1152"/>
      <c r="D523" s="1152"/>
      <c r="E523" s="1152"/>
      <c r="F523" s="1152"/>
      <c r="G523" s="1152"/>
      <c r="H523" s="1152"/>
      <c r="I523" s="1152"/>
      <c r="J523" s="1152"/>
      <c r="K523" s="1152"/>
      <c r="L523" s="1152"/>
      <c r="M523" s="569"/>
      <c r="N523" s="569"/>
      <c r="O523" s="569"/>
      <c r="P523" s="569"/>
    </row>
    <row r="524" spans="1:16" ht="18" customHeight="1">
      <c r="A524" s="569"/>
      <c r="B524" s="569"/>
      <c r="C524" s="1152"/>
      <c r="D524" s="1152"/>
      <c r="E524" s="1152"/>
      <c r="F524" s="1152"/>
      <c r="G524" s="1152"/>
      <c r="H524" s="1152"/>
      <c r="I524" s="1152"/>
      <c r="J524" s="1152"/>
      <c r="K524" s="1152"/>
      <c r="L524" s="1152"/>
      <c r="M524" s="569"/>
      <c r="N524" s="569"/>
      <c r="O524" s="569"/>
      <c r="P524" s="569"/>
    </row>
    <row r="525" spans="1:16" ht="18" customHeight="1">
      <c r="A525" s="569"/>
      <c r="B525" s="569"/>
      <c r="C525" s="1152"/>
      <c r="D525" s="1152"/>
      <c r="E525" s="1152"/>
      <c r="F525" s="1152"/>
      <c r="G525" s="1152"/>
      <c r="H525" s="1152"/>
      <c r="I525" s="1152"/>
      <c r="J525" s="1152"/>
      <c r="K525" s="1152"/>
      <c r="L525" s="1152"/>
      <c r="M525" s="569"/>
      <c r="N525" s="569"/>
      <c r="O525" s="569"/>
      <c r="P525" s="569"/>
    </row>
    <row r="526" spans="1:16" ht="18" customHeight="1">
      <c r="A526" s="569"/>
      <c r="B526" s="569"/>
      <c r="C526" s="1152"/>
      <c r="D526" s="1152"/>
      <c r="E526" s="1152"/>
      <c r="F526" s="1152"/>
      <c r="G526" s="1152"/>
      <c r="H526" s="1152"/>
      <c r="I526" s="1152"/>
      <c r="J526" s="1152"/>
      <c r="K526" s="1152"/>
      <c r="L526" s="1152"/>
      <c r="M526" s="569"/>
      <c r="N526" s="569"/>
      <c r="O526" s="569"/>
      <c r="P526" s="569"/>
    </row>
    <row r="527" spans="1:16" ht="18" customHeight="1">
      <c r="A527" s="569"/>
      <c r="B527" s="569"/>
      <c r="C527" s="1152"/>
      <c r="D527" s="1152"/>
      <c r="E527" s="1152"/>
      <c r="F527" s="1152"/>
      <c r="G527" s="1152"/>
      <c r="H527" s="1152"/>
      <c r="I527" s="1152"/>
      <c r="J527" s="1152"/>
      <c r="K527" s="1152"/>
      <c r="L527" s="1152"/>
      <c r="M527" s="569"/>
      <c r="N527" s="569"/>
      <c r="O527" s="569"/>
      <c r="P527" s="569"/>
    </row>
    <row r="528" spans="1:16" ht="18" customHeight="1">
      <c r="A528" s="569"/>
      <c r="B528" s="569"/>
      <c r="C528" s="1152"/>
      <c r="D528" s="1152"/>
      <c r="E528" s="1152"/>
      <c r="F528" s="1152"/>
      <c r="G528" s="1152"/>
      <c r="H528" s="1152"/>
      <c r="I528" s="1152"/>
      <c r="J528" s="1152"/>
      <c r="K528" s="1152"/>
      <c r="L528" s="1152"/>
      <c r="M528" s="569"/>
      <c r="N528" s="569"/>
      <c r="O528" s="569"/>
      <c r="P528" s="569"/>
    </row>
    <row r="529" spans="1:16" ht="18" customHeight="1">
      <c r="A529" s="569"/>
      <c r="B529" s="569"/>
      <c r="C529" s="1152"/>
      <c r="D529" s="1152"/>
      <c r="E529" s="1152"/>
      <c r="F529" s="1152"/>
      <c r="G529" s="1152"/>
      <c r="H529" s="1152"/>
      <c r="I529" s="1152"/>
      <c r="J529" s="1152"/>
      <c r="K529" s="1152"/>
      <c r="L529" s="1152"/>
      <c r="M529" s="569"/>
      <c r="N529" s="569"/>
      <c r="O529" s="569"/>
      <c r="P529" s="569"/>
    </row>
    <row r="530" spans="1:16" ht="18" customHeight="1">
      <c r="A530" s="569"/>
      <c r="B530" s="569"/>
      <c r="C530" s="1152"/>
      <c r="D530" s="1152"/>
      <c r="E530" s="1152"/>
      <c r="F530" s="1152"/>
      <c r="G530" s="1152"/>
      <c r="H530" s="1152"/>
      <c r="I530" s="1152"/>
      <c r="J530" s="1152"/>
      <c r="K530" s="1152"/>
      <c r="L530" s="1152"/>
      <c r="M530" s="569"/>
      <c r="N530" s="569"/>
      <c r="O530" s="569"/>
      <c r="P530" s="569"/>
    </row>
    <row r="531" spans="1:16" ht="18" customHeight="1">
      <c r="A531" s="569"/>
      <c r="B531" s="569"/>
      <c r="C531" s="1152"/>
      <c r="D531" s="1152"/>
      <c r="E531" s="1152"/>
      <c r="F531" s="1152"/>
      <c r="G531" s="1152"/>
      <c r="H531" s="1152"/>
      <c r="I531" s="1152"/>
      <c r="J531" s="1152"/>
      <c r="K531" s="1152"/>
      <c r="L531" s="1152"/>
      <c r="M531" s="569"/>
      <c r="N531" s="569"/>
      <c r="O531" s="569"/>
      <c r="P531" s="569"/>
    </row>
    <row r="532" spans="1:16" ht="18" customHeight="1">
      <c r="A532" s="569"/>
      <c r="B532" s="569"/>
      <c r="C532" s="1152"/>
      <c r="D532" s="1152"/>
      <c r="E532" s="1152"/>
      <c r="F532" s="1152"/>
      <c r="G532" s="1152"/>
      <c r="H532" s="1152"/>
      <c r="I532" s="1152"/>
      <c r="J532" s="1152"/>
      <c r="K532" s="1152"/>
      <c r="L532" s="1152"/>
      <c r="M532" s="569"/>
      <c r="N532" s="569"/>
      <c r="O532" s="569"/>
      <c r="P532" s="569"/>
    </row>
    <row r="533" spans="1:16" ht="18" customHeight="1">
      <c r="A533" s="569"/>
      <c r="B533" s="569"/>
      <c r="C533" s="1152"/>
      <c r="D533" s="1152"/>
      <c r="E533" s="1152"/>
      <c r="F533" s="1152"/>
      <c r="G533" s="1152"/>
      <c r="H533" s="1152"/>
      <c r="I533" s="1152"/>
      <c r="J533" s="1152"/>
      <c r="K533" s="1152"/>
      <c r="L533" s="1152"/>
      <c r="M533" s="569"/>
      <c r="N533" s="569"/>
      <c r="O533" s="569"/>
      <c r="P533" s="569"/>
    </row>
    <row r="534" spans="1:16" ht="18" customHeight="1">
      <c r="A534" s="569"/>
      <c r="B534" s="569"/>
      <c r="C534" s="1152"/>
      <c r="D534" s="1152"/>
      <c r="E534" s="1152"/>
      <c r="F534" s="1152"/>
      <c r="G534" s="1152"/>
      <c r="H534" s="1152"/>
      <c r="I534" s="1152"/>
      <c r="J534" s="1152"/>
      <c r="K534" s="1152"/>
      <c r="L534" s="1152"/>
      <c r="M534" s="569"/>
      <c r="N534" s="569"/>
      <c r="O534" s="569"/>
      <c r="P534" s="569"/>
    </row>
    <row r="535" spans="1:16" ht="18" customHeight="1">
      <c r="A535" s="569"/>
      <c r="B535" s="569"/>
      <c r="C535" s="1152"/>
      <c r="D535" s="1152"/>
      <c r="E535" s="1152"/>
      <c r="F535" s="1152"/>
      <c r="G535" s="1152"/>
      <c r="H535" s="1152"/>
      <c r="I535" s="1152"/>
      <c r="J535" s="1152"/>
      <c r="K535" s="1152"/>
      <c r="L535" s="1152"/>
      <c r="M535" s="569"/>
      <c r="N535" s="569"/>
      <c r="O535" s="569"/>
      <c r="P535" s="569"/>
    </row>
    <row r="536" spans="1:16" ht="18" customHeight="1">
      <c r="A536" s="569"/>
      <c r="B536" s="569"/>
      <c r="C536" s="1152"/>
      <c r="D536" s="1152"/>
      <c r="E536" s="1152"/>
      <c r="F536" s="1152"/>
      <c r="G536" s="1152"/>
      <c r="H536" s="1152"/>
      <c r="I536" s="1152"/>
      <c r="J536" s="1152"/>
      <c r="K536" s="1152"/>
      <c r="L536" s="1152"/>
      <c r="M536" s="569"/>
      <c r="N536" s="569"/>
      <c r="O536" s="569"/>
      <c r="P536" s="569"/>
    </row>
    <row r="537" spans="1:16" ht="18" customHeight="1">
      <c r="A537" s="569"/>
      <c r="B537" s="569"/>
      <c r="C537" s="1152"/>
      <c r="D537" s="1152"/>
      <c r="E537" s="1152"/>
      <c r="F537" s="1152"/>
      <c r="G537" s="1152"/>
      <c r="H537" s="1152"/>
      <c r="I537" s="1152"/>
      <c r="J537" s="1152"/>
      <c r="K537" s="1152"/>
      <c r="L537" s="1152"/>
      <c r="M537" s="569"/>
      <c r="N537" s="569"/>
      <c r="O537" s="569"/>
      <c r="P537" s="569"/>
    </row>
    <row r="538" spans="1:16" ht="18" customHeight="1">
      <c r="A538" s="569"/>
      <c r="B538" s="569"/>
      <c r="C538" s="1152"/>
      <c r="D538" s="1152"/>
      <c r="E538" s="1152"/>
      <c r="F538" s="1152"/>
      <c r="G538" s="1152"/>
      <c r="H538" s="1152"/>
      <c r="I538" s="1152"/>
      <c r="J538" s="1152"/>
      <c r="K538" s="1152"/>
      <c r="L538" s="1152"/>
      <c r="M538" s="569"/>
      <c r="N538" s="569"/>
      <c r="O538" s="569"/>
      <c r="P538" s="569"/>
    </row>
    <row r="539" spans="1:16" ht="18" customHeight="1">
      <c r="A539" s="569"/>
      <c r="B539" s="569"/>
      <c r="C539" s="1152"/>
      <c r="D539" s="1152"/>
      <c r="E539" s="1152"/>
      <c r="F539" s="1152"/>
      <c r="G539" s="1152"/>
      <c r="H539" s="1152"/>
      <c r="I539" s="1152"/>
      <c r="J539" s="1152"/>
      <c r="K539" s="1152"/>
      <c r="L539" s="1152"/>
      <c r="M539" s="569"/>
      <c r="N539" s="569"/>
      <c r="O539" s="569"/>
      <c r="P539" s="569"/>
    </row>
    <row r="540" spans="1:16" ht="18" customHeight="1">
      <c r="A540" s="569"/>
      <c r="B540" s="569"/>
      <c r="C540" s="1152"/>
      <c r="D540" s="1152"/>
      <c r="E540" s="1152"/>
      <c r="F540" s="1152"/>
      <c r="G540" s="1152"/>
      <c r="H540" s="1152"/>
      <c r="I540" s="1152"/>
      <c r="J540" s="1152"/>
      <c r="K540" s="1152"/>
      <c r="L540" s="1152"/>
      <c r="M540" s="569"/>
      <c r="N540" s="569"/>
      <c r="O540" s="569"/>
      <c r="P540" s="569"/>
    </row>
    <row r="541" spans="1:16" ht="18" customHeight="1">
      <c r="A541" s="569"/>
      <c r="B541" s="569"/>
      <c r="C541" s="1152"/>
      <c r="D541" s="1152"/>
      <c r="E541" s="1152"/>
      <c r="F541" s="1152"/>
      <c r="G541" s="1152"/>
      <c r="H541" s="1152"/>
      <c r="I541" s="1152"/>
      <c r="J541" s="1152"/>
      <c r="K541" s="1152"/>
      <c r="L541" s="1152"/>
      <c r="M541" s="569"/>
      <c r="N541" s="569"/>
      <c r="O541" s="569"/>
      <c r="P541" s="569"/>
    </row>
    <row r="542" spans="1:16" ht="18" customHeight="1">
      <c r="A542" s="569"/>
      <c r="B542" s="569"/>
      <c r="C542" s="1152"/>
      <c r="D542" s="1152"/>
      <c r="E542" s="1152"/>
      <c r="F542" s="1152"/>
      <c r="G542" s="1152"/>
      <c r="H542" s="1152"/>
      <c r="I542" s="1152"/>
      <c r="J542" s="1152"/>
      <c r="K542" s="1152"/>
      <c r="L542" s="1152"/>
      <c r="M542" s="569"/>
      <c r="N542" s="569"/>
      <c r="O542" s="569"/>
      <c r="P542" s="569"/>
    </row>
    <row r="543" spans="1:16" ht="18" customHeight="1">
      <c r="A543" s="569"/>
      <c r="B543" s="569"/>
      <c r="C543" s="1152"/>
      <c r="D543" s="1152"/>
      <c r="E543" s="1152"/>
      <c r="F543" s="1152"/>
      <c r="G543" s="1152"/>
      <c r="H543" s="1152"/>
      <c r="I543" s="1152"/>
      <c r="J543" s="1152"/>
      <c r="K543" s="1152"/>
      <c r="L543" s="1152"/>
      <c r="M543" s="569"/>
      <c r="N543" s="569"/>
      <c r="O543" s="569"/>
      <c r="P543" s="569"/>
    </row>
    <row r="544" spans="1:16" ht="18" customHeight="1">
      <c r="A544" s="569"/>
      <c r="B544" s="569"/>
      <c r="C544" s="1152"/>
      <c r="D544" s="1152"/>
      <c r="E544" s="1152"/>
      <c r="F544" s="1152"/>
      <c r="G544" s="1152"/>
      <c r="H544" s="1152"/>
      <c r="I544" s="1152"/>
      <c r="J544" s="1152"/>
      <c r="K544" s="1152"/>
      <c r="L544" s="1152"/>
      <c r="M544" s="569"/>
      <c r="N544" s="569"/>
      <c r="O544" s="569"/>
      <c r="P544" s="569"/>
    </row>
    <row r="545" spans="1:16" ht="18" customHeight="1">
      <c r="A545" s="569"/>
      <c r="B545" s="569"/>
      <c r="C545" s="1152"/>
      <c r="D545" s="1152"/>
      <c r="E545" s="1152"/>
      <c r="F545" s="1152"/>
      <c r="G545" s="1152"/>
      <c r="H545" s="1152"/>
      <c r="I545" s="1152"/>
      <c r="J545" s="1152"/>
      <c r="K545" s="1152"/>
      <c r="L545" s="1152"/>
      <c r="M545" s="569"/>
      <c r="N545" s="569"/>
      <c r="O545" s="569"/>
      <c r="P545" s="569"/>
    </row>
    <row r="546" spans="1:16" ht="18" customHeight="1">
      <c r="A546" s="569"/>
      <c r="B546" s="569"/>
      <c r="C546" s="1152"/>
      <c r="D546" s="1152"/>
      <c r="E546" s="1152"/>
      <c r="F546" s="1152"/>
      <c r="G546" s="1152"/>
      <c r="H546" s="1152"/>
      <c r="I546" s="1152"/>
      <c r="J546" s="1152"/>
      <c r="K546" s="1152"/>
      <c r="L546" s="1152"/>
      <c r="M546" s="569"/>
      <c r="N546" s="569"/>
      <c r="O546" s="569"/>
      <c r="P546" s="569"/>
    </row>
    <row r="547" spans="1:16" ht="18" customHeight="1">
      <c r="A547" s="569"/>
      <c r="B547" s="569"/>
      <c r="C547" s="1152"/>
      <c r="D547" s="1152"/>
      <c r="E547" s="1152"/>
      <c r="F547" s="1152"/>
      <c r="G547" s="1152"/>
      <c r="H547" s="1152"/>
      <c r="I547" s="1152"/>
      <c r="J547" s="1152"/>
      <c r="K547" s="1152"/>
      <c r="L547" s="1152"/>
      <c r="M547" s="569"/>
      <c r="N547" s="569"/>
      <c r="O547" s="569"/>
      <c r="P547" s="569"/>
    </row>
    <row r="548" spans="1:16" ht="18" customHeight="1">
      <c r="A548" s="569"/>
      <c r="B548" s="569"/>
      <c r="C548" s="1152"/>
      <c r="D548" s="1152"/>
      <c r="E548" s="1152"/>
      <c r="F548" s="1152"/>
      <c r="G548" s="1152"/>
      <c r="H548" s="1152"/>
      <c r="I548" s="1152"/>
      <c r="J548" s="1152"/>
      <c r="K548" s="1152"/>
      <c r="L548" s="1152"/>
      <c r="M548" s="569"/>
      <c r="N548" s="569"/>
      <c r="O548" s="569"/>
      <c r="P548" s="569"/>
    </row>
    <row r="549" spans="1:16" ht="18" customHeight="1">
      <c r="A549" s="569"/>
      <c r="B549" s="569"/>
      <c r="C549" s="1152"/>
      <c r="D549" s="1152"/>
      <c r="E549" s="1152"/>
      <c r="F549" s="1152"/>
      <c r="G549" s="1152"/>
      <c r="H549" s="1152"/>
      <c r="I549" s="1152"/>
      <c r="J549" s="1152"/>
      <c r="K549" s="1152"/>
      <c r="L549" s="1152"/>
      <c r="M549" s="569"/>
      <c r="N549" s="569"/>
      <c r="O549" s="569"/>
      <c r="P549" s="569"/>
    </row>
    <row r="550" spans="1:16" ht="18" customHeight="1">
      <c r="A550" s="569"/>
      <c r="B550" s="569"/>
      <c r="C550" s="1152"/>
      <c r="D550" s="1152"/>
      <c r="E550" s="1152"/>
      <c r="F550" s="1152"/>
      <c r="G550" s="1152"/>
      <c r="H550" s="1152"/>
      <c r="I550" s="1152"/>
      <c r="J550" s="1152"/>
      <c r="K550" s="1152"/>
      <c r="L550" s="1152"/>
      <c r="M550" s="569"/>
      <c r="N550" s="569"/>
      <c r="O550" s="569"/>
      <c r="P550" s="569"/>
    </row>
    <row r="551" spans="1:16" ht="18" customHeight="1">
      <c r="A551" s="569"/>
      <c r="B551" s="569"/>
      <c r="C551" s="1152"/>
      <c r="D551" s="1152"/>
      <c r="E551" s="1152"/>
      <c r="F551" s="1152"/>
      <c r="G551" s="1152"/>
      <c r="H551" s="1152"/>
      <c r="I551" s="1152"/>
      <c r="J551" s="1152"/>
      <c r="K551" s="1152"/>
      <c r="L551" s="1152"/>
      <c r="M551" s="569"/>
      <c r="N551" s="569"/>
      <c r="O551" s="569"/>
      <c r="P551" s="569"/>
    </row>
    <row r="552" spans="1:16" ht="18" customHeight="1">
      <c r="A552" s="569"/>
      <c r="B552" s="569"/>
      <c r="C552" s="1152"/>
      <c r="D552" s="1152"/>
      <c r="E552" s="1152"/>
      <c r="F552" s="1152"/>
      <c r="G552" s="1152"/>
      <c r="H552" s="1152"/>
      <c r="I552" s="1152"/>
      <c r="J552" s="1152"/>
      <c r="K552" s="1152"/>
      <c r="L552" s="1152"/>
      <c r="M552" s="569"/>
      <c r="N552" s="569"/>
      <c r="O552" s="569"/>
      <c r="P552" s="569"/>
    </row>
    <row r="553" spans="1:16" ht="18" customHeight="1">
      <c r="A553" s="569"/>
      <c r="B553" s="569"/>
      <c r="C553" s="1152"/>
      <c r="D553" s="1152"/>
      <c r="E553" s="1152"/>
      <c r="F553" s="1152"/>
      <c r="G553" s="1152"/>
      <c r="H553" s="1152"/>
      <c r="I553" s="1152"/>
      <c r="J553" s="1152"/>
      <c r="K553" s="1152"/>
      <c r="L553" s="1152"/>
      <c r="M553" s="569"/>
      <c r="N553" s="569"/>
      <c r="O553" s="569"/>
      <c r="P553" s="569"/>
    </row>
    <row r="554" spans="1:16" ht="18" customHeight="1">
      <c r="A554" s="569"/>
      <c r="B554" s="569"/>
      <c r="C554" s="1152"/>
      <c r="D554" s="1152"/>
      <c r="E554" s="1152"/>
      <c r="F554" s="1152"/>
      <c r="G554" s="1152"/>
      <c r="H554" s="1152"/>
      <c r="I554" s="1152"/>
      <c r="J554" s="1152"/>
      <c r="K554" s="1152"/>
      <c r="L554" s="1152"/>
      <c r="M554" s="569"/>
      <c r="N554" s="569"/>
      <c r="O554" s="569"/>
      <c r="P554" s="569"/>
    </row>
    <row r="555" spans="1:16" ht="18" customHeight="1">
      <c r="A555" s="569"/>
      <c r="B555" s="569"/>
      <c r="C555" s="1152"/>
      <c r="D555" s="1152"/>
      <c r="E555" s="1152"/>
      <c r="F555" s="1152"/>
      <c r="G555" s="1152"/>
      <c r="H555" s="1152"/>
      <c r="I555" s="1152"/>
      <c r="J555" s="1152"/>
      <c r="K555" s="1152"/>
      <c r="L555" s="1152"/>
      <c r="M555" s="569"/>
      <c r="N555" s="569"/>
      <c r="O555" s="569"/>
      <c r="P555" s="569"/>
    </row>
    <row r="556" spans="1:16" ht="18" customHeight="1">
      <c r="A556" s="569"/>
      <c r="B556" s="569"/>
      <c r="C556" s="1152"/>
      <c r="D556" s="1152"/>
      <c r="E556" s="1152"/>
      <c r="F556" s="1152"/>
      <c r="G556" s="1152"/>
      <c r="H556" s="1152"/>
      <c r="I556" s="1152"/>
      <c r="J556" s="1152"/>
      <c r="K556" s="1152"/>
      <c r="L556" s="1152"/>
      <c r="M556" s="569"/>
      <c r="N556" s="569"/>
      <c r="O556" s="569"/>
      <c r="P556" s="569"/>
    </row>
    <row r="557" spans="1:16" ht="18" customHeight="1">
      <c r="A557" s="569"/>
      <c r="B557" s="569"/>
      <c r="C557" s="1152"/>
      <c r="D557" s="1152"/>
      <c r="E557" s="1152"/>
      <c r="F557" s="1152"/>
      <c r="G557" s="1152"/>
      <c r="H557" s="1152"/>
      <c r="I557" s="1152"/>
      <c r="J557" s="1152"/>
      <c r="K557" s="1152"/>
      <c r="L557" s="1152"/>
      <c r="M557" s="569"/>
      <c r="N557" s="569"/>
      <c r="O557" s="569"/>
      <c r="P557" s="569"/>
    </row>
    <row r="558" spans="1:16" ht="18" customHeight="1">
      <c r="A558" s="569"/>
      <c r="B558" s="569"/>
      <c r="C558" s="1152"/>
      <c r="D558" s="1152"/>
      <c r="E558" s="1152"/>
      <c r="F558" s="1152"/>
      <c r="G558" s="1152"/>
      <c r="H558" s="1152"/>
      <c r="I558" s="1152"/>
      <c r="J558" s="1152"/>
      <c r="K558" s="1152"/>
      <c r="L558" s="1152"/>
      <c r="M558" s="569"/>
      <c r="N558" s="569"/>
      <c r="O558" s="569"/>
      <c r="P558" s="569"/>
    </row>
    <row r="559" spans="1:16" ht="18" customHeight="1">
      <c r="A559" s="569"/>
      <c r="B559" s="569"/>
      <c r="C559" s="1152"/>
      <c r="D559" s="1152"/>
      <c r="E559" s="1152"/>
      <c r="F559" s="1152"/>
      <c r="G559" s="1152"/>
      <c r="H559" s="1152"/>
      <c r="I559" s="1152"/>
      <c r="J559" s="1152"/>
      <c r="K559" s="1152"/>
      <c r="L559" s="1152"/>
      <c r="M559" s="569"/>
      <c r="N559" s="569"/>
      <c r="O559" s="569"/>
      <c r="P559" s="569"/>
    </row>
    <row r="560" spans="1:16" ht="18" customHeight="1">
      <c r="A560" s="569"/>
      <c r="B560" s="569"/>
      <c r="C560" s="1152"/>
      <c r="D560" s="1152"/>
      <c r="E560" s="1152"/>
      <c r="F560" s="1152"/>
      <c r="G560" s="1152"/>
      <c r="H560" s="1152"/>
      <c r="I560" s="1152"/>
      <c r="J560" s="1152"/>
      <c r="K560" s="1152"/>
      <c r="L560" s="1152"/>
      <c r="M560" s="569"/>
      <c r="N560" s="569"/>
      <c r="O560" s="569"/>
      <c r="P560" s="569"/>
    </row>
    <row r="561" spans="1:16" ht="18" customHeight="1">
      <c r="A561" s="569"/>
      <c r="B561" s="569"/>
      <c r="C561" s="1152"/>
      <c r="D561" s="1152"/>
      <c r="E561" s="1152"/>
      <c r="F561" s="1152"/>
      <c r="G561" s="1152"/>
      <c r="H561" s="1152"/>
      <c r="I561" s="1152"/>
      <c r="J561" s="1152"/>
      <c r="K561" s="1152"/>
      <c r="L561" s="1152"/>
      <c r="M561" s="569"/>
      <c r="N561" s="569"/>
      <c r="O561" s="569"/>
      <c r="P561" s="569"/>
    </row>
    <row r="562" spans="1:16" ht="18" customHeight="1">
      <c r="A562" s="569"/>
      <c r="B562" s="569"/>
      <c r="C562" s="1152"/>
      <c r="D562" s="1152"/>
      <c r="E562" s="1152"/>
      <c r="F562" s="1152"/>
      <c r="G562" s="1152"/>
      <c r="H562" s="1152"/>
      <c r="I562" s="1152"/>
      <c r="J562" s="1152"/>
      <c r="K562" s="1152"/>
      <c r="L562" s="1152"/>
      <c r="M562" s="569"/>
      <c r="N562" s="569"/>
      <c r="O562" s="569"/>
      <c r="P562" s="569"/>
    </row>
    <row r="563" spans="1:16" ht="18" customHeight="1">
      <c r="A563" s="569"/>
      <c r="B563" s="569"/>
      <c r="C563" s="1152"/>
      <c r="D563" s="1152"/>
      <c r="E563" s="1152"/>
      <c r="F563" s="1152"/>
      <c r="G563" s="1152"/>
      <c r="H563" s="1152"/>
      <c r="I563" s="1152"/>
      <c r="J563" s="1152"/>
      <c r="K563" s="1152"/>
      <c r="L563" s="1152"/>
      <c r="M563" s="569"/>
      <c r="N563" s="569"/>
      <c r="O563" s="569"/>
      <c r="P563" s="569"/>
    </row>
    <row r="564" spans="1:16" ht="18" customHeight="1">
      <c r="A564" s="569"/>
      <c r="B564" s="569"/>
      <c r="C564" s="1152"/>
      <c r="D564" s="1152"/>
      <c r="E564" s="1152"/>
      <c r="F564" s="1152"/>
      <c r="G564" s="1152"/>
      <c r="H564" s="1152"/>
      <c r="I564" s="1152"/>
      <c r="J564" s="1152"/>
      <c r="K564" s="1152"/>
      <c r="L564" s="1152"/>
      <c r="M564" s="569"/>
      <c r="N564" s="569"/>
      <c r="O564" s="569"/>
      <c r="P564" s="569"/>
    </row>
    <row r="565" spans="1:16" ht="18" customHeight="1">
      <c r="A565" s="569"/>
      <c r="B565" s="569"/>
      <c r="C565" s="1152"/>
      <c r="D565" s="1152"/>
      <c r="E565" s="1152"/>
      <c r="F565" s="1152"/>
      <c r="G565" s="1152"/>
      <c r="H565" s="1152"/>
      <c r="I565" s="1152"/>
      <c r="J565" s="1152"/>
      <c r="K565" s="1152"/>
      <c r="L565" s="1152"/>
      <c r="M565" s="569"/>
      <c r="N565" s="569"/>
      <c r="O565" s="569"/>
      <c r="P565" s="569"/>
    </row>
    <row r="566" spans="1:16" ht="18" customHeight="1">
      <c r="A566" s="569"/>
      <c r="B566" s="569"/>
      <c r="C566" s="1152"/>
      <c r="D566" s="1152"/>
      <c r="E566" s="1152"/>
      <c r="F566" s="1152"/>
      <c r="G566" s="1152"/>
      <c r="H566" s="1152"/>
      <c r="I566" s="1152"/>
      <c r="J566" s="1152"/>
      <c r="K566" s="1152"/>
      <c r="L566" s="1152"/>
      <c r="M566" s="569"/>
      <c r="N566" s="569"/>
      <c r="O566" s="569"/>
      <c r="P566" s="569"/>
    </row>
    <row r="567" spans="1:16" ht="18" customHeight="1">
      <c r="A567" s="569"/>
      <c r="B567" s="569"/>
      <c r="C567" s="1152"/>
      <c r="D567" s="1152"/>
      <c r="E567" s="1152"/>
      <c r="F567" s="1152"/>
      <c r="G567" s="1152"/>
      <c r="H567" s="1152"/>
      <c r="I567" s="1152"/>
      <c r="J567" s="1152"/>
      <c r="K567" s="1152"/>
      <c r="L567" s="1152"/>
      <c r="M567" s="569"/>
      <c r="N567" s="569"/>
      <c r="O567" s="569"/>
      <c r="P567" s="569"/>
    </row>
    <row r="568" spans="1:16" ht="18" customHeight="1">
      <c r="A568" s="569"/>
      <c r="B568" s="569"/>
      <c r="C568" s="1152"/>
      <c r="D568" s="1152"/>
      <c r="E568" s="1152"/>
      <c r="F568" s="1152"/>
      <c r="G568" s="1152"/>
      <c r="H568" s="1152"/>
      <c r="I568" s="1152"/>
      <c r="J568" s="1152"/>
      <c r="K568" s="1152"/>
      <c r="L568" s="1152"/>
      <c r="M568" s="569"/>
      <c r="N568" s="569"/>
      <c r="O568" s="569"/>
      <c r="P568" s="569"/>
    </row>
    <row r="569" spans="1:16" ht="18" customHeight="1">
      <c r="A569" s="569"/>
      <c r="B569" s="569"/>
      <c r="C569" s="1152"/>
      <c r="D569" s="1152"/>
      <c r="E569" s="1152"/>
      <c r="F569" s="1152"/>
      <c r="G569" s="1152"/>
      <c r="H569" s="1152"/>
      <c r="I569" s="1152"/>
      <c r="J569" s="1152"/>
      <c r="K569" s="1152"/>
      <c r="L569" s="1152"/>
      <c r="M569" s="569"/>
      <c r="N569" s="569"/>
      <c r="O569" s="569"/>
      <c r="P569" s="569"/>
    </row>
    <row r="570" spans="1:16" ht="18" customHeight="1">
      <c r="A570" s="569"/>
      <c r="B570" s="569"/>
      <c r="C570" s="1152"/>
      <c r="D570" s="1152"/>
      <c r="E570" s="1152"/>
      <c r="F570" s="1152"/>
      <c r="G570" s="1152"/>
      <c r="H570" s="1152"/>
      <c r="I570" s="1152"/>
      <c r="J570" s="1152"/>
      <c r="K570" s="1152"/>
      <c r="L570" s="1152"/>
      <c r="M570" s="569"/>
      <c r="N570" s="569"/>
      <c r="O570" s="569"/>
      <c r="P570" s="569"/>
    </row>
    <row r="571" spans="1:16" ht="18" customHeight="1">
      <c r="A571" s="569"/>
      <c r="B571" s="569"/>
      <c r="C571" s="1152"/>
      <c r="D571" s="1152"/>
      <c r="E571" s="1152"/>
      <c r="F571" s="1152"/>
      <c r="G571" s="1152"/>
      <c r="H571" s="1152"/>
      <c r="I571" s="1152"/>
      <c r="J571" s="1152"/>
      <c r="K571" s="1152"/>
      <c r="L571" s="1152"/>
      <c r="M571" s="569"/>
      <c r="N571" s="569"/>
      <c r="O571" s="569"/>
      <c r="P571" s="569"/>
    </row>
    <row r="572" spans="1:16" ht="18" customHeight="1">
      <c r="A572" s="569"/>
      <c r="B572" s="569"/>
      <c r="C572" s="1152"/>
      <c r="D572" s="1152"/>
      <c r="E572" s="1152"/>
      <c r="F572" s="1152"/>
      <c r="G572" s="1152"/>
      <c r="H572" s="1152"/>
      <c r="I572" s="1152"/>
      <c r="J572" s="1152"/>
      <c r="K572" s="1152"/>
      <c r="L572" s="1152"/>
      <c r="M572" s="569"/>
      <c r="N572" s="569"/>
      <c r="O572" s="569"/>
      <c r="P572" s="569"/>
    </row>
    <row r="573" spans="1:16" ht="18" customHeight="1">
      <c r="A573" s="569"/>
      <c r="B573" s="569"/>
      <c r="C573" s="1152"/>
      <c r="D573" s="1152"/>
      <c r="E573" s="1152"/>
      <c r="F573" s="1152"/>
      <c r="G573" s="1152"/>
      <c r="H573" s="1152"/>
      <c r="I573" s="1152"/>
      <c r="J573" s="1152"/>
      <c r="K573" s="1152"/>
      <c r="L573" s="1152"/>
      <c r="M573" s="569"/>
      <c r="N573" s="569"/>
      <c r="O573" s="569"/>
      <c r="P573" s="569"/>
    </row>
    <row r="574" spans="1:16" ht="18" customHeight="1">
      <c r="A574" s="569"/>
      <c r="B574" s="569"/>
      <c r="C574" s="1152"/>
      <c r="D574" s="1152"/>
      <c r="E574" s="1152"/>
      <c r="F574" s="1152"/>
      <c r="G574" s="1152"/>
      <c r="H574" s="1152"/>
      <c r="I574" s="1152"/>
      <c r="J574" s="1152"/>
      <c r="K574" s="1152"/>
      <c r="L574" s="1152"/>
      <c r="M574" s="569"/>
      <c r="N574" s="569"/>
      <c r="O574" s="569"/>
      <c r="P574" s="569"/>
    </row>
    <row r="575" spans="1:16" ht="18" customHeight="1">
      <c r="A575" s="569"/>
      <c r="B575" s="569"/>
      <c r="C575" s="1152"/>
      <c r="D575" s="1152"/>
      <c r="E575" s="1152"/>
      <c r="F575" s="1152"/>
      <c r="G575" s="1152"/>
      <c r="H575" s="1152"/>
      <c r="I575" s="1152"/>
      <c r="J575" s="1152"/>
      <c r="K575" s="1152"/>
      <c r="L575" s="1152"/>
      <c r="M575" s="569"/>
      <c r="N575" s="569"/>
      <c r="O575" s="569"/>
      <c r="P575" s="569"/>
    </row>
    <row r="576" spans="1:16" ht="18" customHeight="1">
      <c r="A576" s="569"/>
      <c r="B576" s="569"/>
      <c r="C576" s="1152"/>
      <c r="D576" s="1152"/>
      <c r="E576" s="1152"/>
      <c r="F576" s="1152"/>
      <c r="G576" s="1152"/>
      <c r="H576" s="1152"/>
      <c r="I576" s="1152"/>
      <c r="J576" s="1152"/>
      <c r="K576" s="1152"/>
      <c r="L576" s="1152"/>
      <c r="M576" s="569"/>
      <c r="N576" s="569"/>
      <c r="O576" s="569"/>
      <c r="P576" s="569"/>
    </row>
    <row r="577" spans="1:16" ht="18" customHeight="1">
      <c r="A577" s="569"/>
      <c r="B577" s="569"/>
      <c r="C577" s="1152"/>
      <c r="D577" s="1152"/>
      <c r="E577" s="1152"/>
      <c r="F577" s="1152"/>
      <c r="G577" s="1152"/>
      <c r="H577" s="1152"/>
      <c r="I577" s="1152"/>
      <c r="J577" s="1152"/>
      <c r="K577" s="1152"/>
      <c r="L577" s="1152"/>
      <c r="M577" s="569"/>
      <c r="N577" s="569"/>
      <c r="O577" s="569"/>
      <c r="P577" s="569"/>
    </row>
    <row r="578" spans="1:16" ht="18" customHeight="1">
      <c r="A578" s="569"/>
      <c r="B578" s="569"/>
      <c r="C578" s="1152"/>
      <c r="D578" s="1152"/>
      <c r="E578" s="1152"/>
      <c r="F578" s="1152"/>
      <c r="G578" s="1152"/>
      <c r="H578" s="1152"/>
      <c r="I578" s="1152"/>
      <c r="J578" s="1152"/>
      <c r="K578" s="1152"/>
      <c r="L578" s="1152"/>
      <c r="M578" s="569"/>
      <c r="N578" s="569"/>
      <c r="O578" s="569"/>
      <c r="P578" s="569"/>
    </row>
    <row r="579" spans="1:16" ht="18" customHeight="1">
      <c r="A579" s="569"/>
      <c r="B579" s="569"/>
      <c r="C579" s="1152"/>
      <c r="D579" s="1152"/>
      <c r="E579" s="1152"/>
      <c r="F579" s="1152"/>
      <c r="G579" s="1152"/>
      <c r="H579" s="1152"/>
      <c r="I579" s="1152"/>
      <c r="J579" s="1152"/>
      <c r="K579" s="1152"/>
      <c r="L579" s="1152"/>
      <c r="M579" s="569"/>
      <c r="N579" s="569"/>
      <c r="O579" s="569"/>
      <c r="P579" s="569"/>
    </row>
    <row r="580" spans="1:16" ht="18" customHeight="1">
      <c r="A580" s="569"/>
      <c r="B580" s="569"/>
      <c r="C580" s="1152"/>
      <c r="D580" s="1152"/>
      <c r="E580" s="1152"/>
      <c r="F580" s="1152"/>
      <c r="G580" s="1152"/>
      <c r="H580" s="1152"/>
      <c r="I580" s="1152"/>
      <c r="J580" s="1152"/>
      <c r="K580" s="1152"/>
      <c r="L580" s="1152"/>
      <c r="M580" s="569"/>
      <c r="N580" s="569"/>
      <c r="O580" s="569"/>
      <c r="P580" s="569"/>
    </row>
    <row r="581" spans="1:16" ht="18" customHeight="1">
      <c r="A581" s="569"/>
      <c r="B581" s="569"/>
      <c r="C581" s="1152"/>
      <c r="D581" s="1152"/>
      <c r="E581" s="1152"/>
      <c r="F581" s="1152"/>
      <c r="G581" s="1152"/>
      <c r="H581" s="1152"/>
      <c r="I581" s="1152"/>
      <c r="J581" s="1152"/>
      <c r="K581" s="1152"/>
      <c r="L581" s="1152"/>
      <c r="M581" s="569"/>
      <c r="N581" s="569"/>
      <c r="O581" s="569"/>
      <c r="P581" s="569"/>
    </row>
    <row r="582" spans="1:16" ht="18" customHeight="1">
      <c r="A582" s="569"/>
      <c r="B582" s="569"/>
      <c r="C582" s="1152"/>
      <c r="D582" s="1152"/>
      <c r="E582" s="1152"/>
      <c r="F582" s="1152"/>
      <c r="G582" s="1152"/>
      <c r="H582" s="1152"/>
      <c r="I582" s="1152"/>
      <c r="J582" s="1152"/>
      <c r="K582" s="1152"/>
      <c r="L582" s="1152"/>
      <c r="M582" s="569"/>
      <c r="N582" s="569"/>
      <c r="O582" s="569"/>
      <c r="P582" s="569"/>
    </row>
    <row r="583" spans="1:16" ht="18" customHeight="1">
      <c r="A583" s="569"/>
      <c r="B583" s="569"/>
      <c r="C583" s="1152"/>
      <c r="D583" s="1152"/>
      <c r="E583" s="1152"/>
      <c r="F583" s="1152"/>
      <c r="G583" s="1152"/>
      <c r="H583" s="1152"/>
      <c r="I583" s="1152"/>
      <c r="J583" s="1152"/>
      <c r="K583" s="1152"/>
      <c r="L583" s="1152"/>
      <c r="M583" s="569"/>
      <c r="N583" s="569"/>
      <c r="O583" s="569"/>
      <c r="P583" s="569"/>
    </row>
    <row r="584" spans="1:16" ht="18" customHeight="1">
      <c r="A584" s="569"/>
      <c r="B584" s="569"/>
      <c r="C584" s="1152"/>
      <c r="D584" s="1152"/>
      <c r="E584" s="1152"/>
      <c r="F584" s="1152"/>
      <c r="G584" s="1152"/>
      <c r="H584" s="1152"/>
      <c r="I584" s="1152"/>
      <c r="J584" s="1152"/>
      <c r="K584" s="1152"/>
      <c r="L584" s="1152"/>
      <c r="M584" s="569"/>
      <c r="N584" s="569"/>
      <c r="O584" s="569"/>
      <c r="P584" s="569"/>
    </row>
    <row r="585" spans="1:16" ht="18" customHeight="1">
      <c r="A585" s="569"/>
      <c r="B585" s="569"/>
      <c r="C585" s="1152"/>
      <c r="D585" s="1152"/>
      <c r="E585" s="1152"/>
      <c r="F585" s="1152"/>
      <c r="G585" s="1152"/>
      <c r="H585" s="1152"/>
      <c r="I585" s="1152"/>
      <c r="J585" s="1152"/>
      <c r="K585" s="1152"/>
      <c r="L585" s="1152"/>
      <c r="M585" s="569"/>
      <c r="N585" s="569"/>
      <c r="O585" s="569"/>
      <c r="P585" s="569"/>
    </row>
    <row r="586" spans="1:16" ht="18" customHeight="1">
      <c r="A586" s="569"/>
      <c r="B586" s="569"/>
      <c r="C586" s="1152"/>
      <c r="D586" s="1152"/>
      <c r="E586" s="1152"/>
      <c r="F586" s="1152"/>
      <c r="G586" s="1152"/>
      <c r="H586" s="1152"/>
      <c r="I586" s="1152"/>
      <c r="J586" s="1152"/>
      <c r="K586" s="1152"/>
      <c r="L586" s="1152"/>
      <c r="M586" s="569"/>
      <c r="N586" s="569"/>
      <c r="O586" s="569"/>
      <c r="P586" s="569"/>
    </row>
    <row r="587" spans="1:16" ht="18" customHeight="1">
      <c r="A587" s="569"/>
      <c r="B587" s="569"/>
      <c r="C587" s="1152"/>
      <c r="D587" s="1152"/>
      <c r="E587" s="1152"/>
      <c r="F587" s="1152"/>
      <c r="G587" s="1152"/>
      <c r="H587" s="1152"/>
      <c r="I587" s="1152"/>
      <c r="J587" s="1152"/>
      <c r="K587" s="1152"/>
      <c r="L587" s="1152"/>
      <c r="M587" s="569"/>
      <c r="N587" s="569"/>
      <c r="O587" s="569"/>
      <c r="P587" s="569"/>
    </row>
    <row r="588" spans="1:16" ht="18" customHeight="1">
      <c r="A588" s="569"/>
      <c r="B588" s="569"/>
      <c r="C588" s="1152"/>
      <c r="D588" s="1152"/>
      <c r="E588" s="1152"/>
      <c r="F588" s="1152"/>
      <c r="G588" s="1152"/>
      <c r="H588" s="1152"/>
      <c r="I588" s="1152"/>
      <c r="J588" s="1152"/>
      <c r="K588" s="1152"/>
      <c r="L588" s="1152"/>
      <c r="M588" s="569"/>
      <c r="N588" s="569"/>
      <c r="O588" s="569"/>
      <c r="P588" s="569"/>
    </row>
    <row r="589" spans="1:16" ht="18" customHeight="1">
      <c r="A589" s="569"/>
      <c r="B589" s="569"/>
      <c r="C589" s="1152"/>
      <c r="D589" s="1152"/>
      <c r="E589" s="1152"/>
      <c r="F589" s="1152"/>
      <c r="G589" s="1152"/>
      <c r="H589" s="1152"/>
      <c r="I589" s="1152"/>
      <c r="J589" s="1152"/>
      <c r="K589" s="1152"/>
      <c r="L589" s="1152"/>
      <c r="M589" s="569"/>
      <c r="N589" s="569"/>
      <c r="O589" s="569"/>
      <c r="P589" s="569"/>
    </row>
    <row r="590" spans="1:16" ht="18" customHeight="1">
      <c r="A590" s="569"/>
      <c r="B590" s="569"/>
      <c r="C590" s="1152"/>
      <c r="D590" s="1152"/>
      <c r="E590" s="1152"/>
      <c r="F590" s="1152"/>
      <c r="G590" s="1152"/>
      <c r="H590" s="1152"/>
      <c r="I590" s="1152"/>
      <c r="J590" s="1152"/>
      <c r="K590" s="1152"/>
      <c r="L590" s="1152"/>
      <c r="M590" s="569"/>
      <c r="N590" s="569"/>
      <c r="O590" s="569"/>
      <c r="P590" s="569"/>
    </row>
    <row r="591" spans="1:16" ht="18" customHeight="1">
      <c r="A591" s="569"/>
      <c r="B591" s="569"/>
      <c r="C591" s="1152"/>
      <c r="D591" s="1152"/>
      <c r="E591" s="1152"/>
      <c r="F591" s="1152"/>
      <c r="G591" s="1152"/>
      <c r="H591" s="1152"/>
      <c r="I591" s="1152"/>
      <c r="J591" s="1152"/>
      <c r="K591" s="1152"/>
      <c r="L591" s="1152"/>
      <c r="M591" s="569"/>
      <c r="N591" s="569"/>
      <c r="O591" s="569"/>
      <c r="P591" s="569"/>
    </row>
    <row r="592" spans="1:16" ht="18" customHeight="1">
      <c r="A592" s="569"/>
      <c r="B592" s="569"/>
      <c r="C592" s="1152"/>
      <c r="D592" s="1152"/>
      <c r="E592" s="1152"/>
      <c r="F592" s="1152"/>
      <c r="G592" s="1152"/>
      <c r="H592" s="1152"/>
      <c r="I592" s="1152"/>
      <c r="J592" s="1152"/>
      <c r="K592" s="1152"/>
      <c r="L592" s="1152"/>
      <c r="M592" s="569"/>
      <c r="N592" s="569"/>
      <c r="O592" s="569"/>
      <c r="P592" s="569"/>
    </row>
    <row r="593" spans="1:16" ht="18" customHeight="1">
      <c r="A593" s="569"/>
      <c r="B593" s="569"/>
      <c r="C593" s="1152"/>
      <c r="D593" s="1152"/>
      <c r="E593" s="1152"/>
      <c r="F593" s="1152"/>
      <c r="G593" s="1152"/>
      <c r="H593" s="1152"/>
      <c r="I593" s="1152"/>
      <c r="J593" s="1152"/>
      <c r="K593" s="1152"/>
      <c r="L593" s="1152"/>
      <c r="M593" s="569"/>
      <c r="N593" s="569"/>
      <c r="O593" s="569"/>
      <c r="P593" s="569"/>
    </row>
    <row r="594" spans="1:16" ht="18" customHeight="1">
      <c r="A594" s="569"/>
      <c r="B594" s="569"/>
      <c r="C594" s="1152"/>
      <c r="D594" s="1152"/>
      <c r="E594" s="1152"/>
      <c r="F594" s="1152"/>
      <c r="G594" s="1152"/>
      <c r="H594" s="1152"/>
      <c r="I594" s="1152"/>
      <c r="J594" s="1152"/>
      <c r="K594" s="1152"/>
      <c r="L594" s="1152"/>
      <c r="M594" s="569"/>
      <c r="N594" s="569"/>
      <c r="O594" s="569"/>
      <c r="P594" s="569"/>
    </row>
    <row r="595" spans="1:16" ht="18" customHeight="1">
      <c r="A595" s="569"/>
      <c r="B595" s="569"/>
      <c r="C595" s="1152"/>
      <c r="D595" s="1152"/>
      <c r="E595" s="1152"/>
      <c r="F595" s="1152"/>
      <c r="G595" s="1152"/>
      <c r="H595" s="1152"/>
      <c r="I595" s="1152"/>
      <c r="J595" s="1152"/>
      <c r="K595" s="1152"/>
      <c r="L595" s="1152"/>
      <c r="M595" s="569"/>
      <c r="N595" s="569"/>
      <c r="O595" s="569"/>
      <c r="P595" s="569"/>
    </row>
    <row r="596" spans="1:16" ht="18" customHeight="1">
      <c r="A596" s="569"/>
      <c r="B596" s="569"/>
      <c r="C596" s="1152"/>
      <c r="D596" s="1152"/>
      <c r="E596" s="1152"/>
      <c r="F596" s="1152"/>
      <c r="G596" s="1152"/>
      <c r="H596" s="1152"/>
      <c r="I596" s="1152"/>
      <c r="J596" s="1152"/>
      <c r="K596" s="1152"/>
      <c r="L596" s="1152"/>
      <c r="M596" s="569"/>
      <c r="N596" s="569"/>
      <c r="O596" s="569"/>
      <c r="P596" s="569"/>
    </row>
    <row r="597" spans="1:16" ht="18" customHeight="1">
      <c r="A597" s="569"/>
      <c r="B597" s="569"/>
      <c r="C597" s="1152"/>
      <c r="D597" s="1152"/>
      <c r="E597" s="1152"/>
      <c r="F597" s="1152"/>
      <c r="G597" s="1152"/>
      <c r="H597" s="1152"/>
      <c r="I597" s="1152"/>
      <c r="J597" s="1152"/>
      <c r="K597" s="1152"/>
      <c r="L597" s="1152"/>
      <c r="M597" s="569"/>
      <c r="N597" s="569"/>
      <c r="O597" s="569"/>
      <c r="P597" s="569"/>
    </row>
    <row r="598" spans="1:16" ht="18" customHeight="1">
      <c r="A598" s="569"/>
      <c r="B598" s="569"/>
      <c r="C598" s="1152"/>
      <c r="D598" s="1152"/>
      <c r="E598" s="1152"/>
      <c r="F598" s="1152"/>
      <c r="G598" s="1152"/>
      <c r="H598" s="1152"/>
      <c r="I598" s="1152"/>
      <c r="J598" s="1152"/>
      <c r="K598" s="1152"/>
      <c r="L598" s="1152"/>
      <c r="M598" s="569"/>
      <c r="N598" s="569"/>
      <c r="O598" s="569"/>
      <c r="P598" s="569"/>
    </row>
    <row r="599" spans="1:16" ht="18" customHeight="1">
      <c r="A599" s="569"/>
      <c r="B599" s="569"/>
      <c r="C599" s="1152"/>
      <c r="D599" s="1152"/>
      <c r="E599" s="1152"/>
      <c r="F599" s="1152"/>
      <c r="G599" s="1152"/>
      <c r="H599" s="1152"/>
      <c r="I599" s="1152"/>
      <c r="J599" s="1152"/>
      <c r="K599" s="1152"/>
      <c r="L599" s="1152"/>
      <c r="M599" s="569"/>
      <c r="N599" s="569"/>
      <c r="O599" s="569"/>
      <c r="P599" s="569"/>
    </row>
    <row r="600" spans="1:16" ht="18" customHeight="1">
      <c r="A600" s="569"/>
      <c r="B600" s="569"/>
      <c r="C600" s="1152"/>
      <c r="D600" s="1152"/>
      <c r="E600" s="1152"/>
      <c r="F600" s="1152"/>
      <c r="G600" s="1152"/>
      <c r="H600" s="1152"/>
      <c r="I600" s="1152"/>
      <c r="J600" s="1152"/>
      <c r="K600" s="1152"/>
      <c r="L600" s="1152"/>
      <c r="M600" s="569"/>
      <c r="N600" s="569"/>
      <c r="O600" s="569"/>
      <c r="P600" s="569"/>
    </row>
    <row r="601" spans="1:16" ht="18" customHeight="1">
      <c r="A601" s="569"/>
      <c r="B601" s="569"/>
      <c r="C601" s="1152"/>
      <c r="D601" s="1152"/>
      <c r="E601" s="1152"/>
      <c r="F601" s="1152"/>
      <c r="G601" s="1152"/>
      <c r="H601" s="1152"/>
      <c r="I601" s="1152"/>
      <c r="J601" s="1152"/>
      <c r="K601" s="1152"/>
      <c r="L601" s="1152"/>
      <c r="M601" s="569"/>
      <c r="N601" s="569"/>
      <c r="O601" s="569"/>
      <c r="P601" s="569"/>
    </row>
    <row r="602" spans="1:16" ht="18" customHeight="1">
      <c r="A602" s="569"/>
      <c r="B602" s="569"/>
      <c r="C602" s="1152"/>
      <c r="D602" s="1152"/>
      <c r="E602" s="1152"/>
      <c r="F602" s="1152"/>
      <c r="G602" s="1152"/>
      <c r="H602" s="1152"/>
      <c r="I602" s="1152"/>
      <c r="J602" s="1152"/>
      <c r="K602" s="1152"/>
      <c r="L602" s="1152"/>
      <c r="M602" s="569"/>
      <c r="N602" s="569"/>
      <c r="O602" s="569"/>
      <c r="P602" s="569"/>
    </row>
    <row r="603" spans="1:16" ht="18" customHeight="1">
      <c r="A603" s="569"/>
      <c r="B603" s="569"/>
      <c r="C603" s="1152"/>
      <c r="D603" s="1152"/>
      <c r="E603" s="1152"/>
      <c r="F603" s="1152"/>
      <c r="G603" s="1152"/>
      <c r="H603" s="1152"/>
      <c r="I603" s="1152"/>
      <c r="J603" s="1152"/>
      <c r="K603" s="1152"/>
      <c r="L603" s="1152"/>
      <c r="M603" s="569"/>
      <c r="N603" s="569"/>
      <c r="O603" s="569"/>
      <c r="P603" s="569"/>
    </row>
    <row r="604" spans="1:16" ht="18" customHeight="1">
      <c r="A604" s="569"/>
      <c r="B604" s="569"/>
      <c r="C604" s="1152"/>
      <c r="D604" s="1152"/>
      <c r="E604" s="1152"/>
      <c r="F604" s="1152"/>
      <c r="G604" s="1152"/>
      <c r="H604" s="1152"/>
      <c r="I604" s="1152"/>
      <c r="J604" s="1152"/>
      <c r="K604" s="1152"/>
      <c r="L604" s="1152"/>
      <c r="M604" s="569"/>
      <c r="N604" s="569"/>
      <c r="O604" s="569"/>
      <c r="P604" s="569"/>
    </row>
    <row r="605" spans="1:16" ht="18" customHeight="1">
      <c r="A605" s="569"/>
      <c r="B605" s="569"/>
      <c r="C605" s="1152"/>
      <c r="D605" s="1152"/>
      <c r="E605" s="1152"/>
      <c r="F605" s="1152"/>
      <c r="G605" s="1152"/>
      <c r="H605" s="1152"/>
      <c r="I605" s="1152"/>
      <c r="J605" s="1152"/>
      <c r="K605" s="1152"/>
      <c r="L605" s="1152"/>
      <c r="M605" s="569"/>
      <c r="N605" s="569"/>
      <c r="O605" s="569"/>
      <c r="P605" s="569"/>
    </row>
    <row r="606" spans="1:16" ht="18" customHeight="1">
      <c r="A606" s="569"/>
      <c r="B606" s="569"/>
      <c r="C606" s="1152"/>
      <c r="D606" s="1152"/>
      <c r="E606" s="1152"/>
      <c r="F606" s="1152"/>
      <c r="G606" s="1152"/>
      <c r="H606" s="1152"/>
      <c r="I606" s="1152"/>
      <c r="J606" s="1152"/>
      <c r="K606" s="1152"/>
      <c r="L606" s="1152"/>
      <c r="M606" s="569"/>
      <c r="N606" s="569"/>
      <c r="O606" s="569"/>
      <c r="P606" s="569"/>
    </row>
    <row r="607" spans="1:16" ht="18" customHeight="1">
      <c r="A607" s="569"/>
      <c r="B607" s="569"/>
      <c r="C607" s="1152"/>
      <c r="D607" s="1152"/>
      <c r="E607" s="1152"/>
      <c r="F607" s="1152"/>
      <c r="G607" s="1152"/>
      <c r="H607" s="1152"/>
      <c r="I607" s="1152"/>
      <c r="J607" s="1152"/>
      <c r="K607" s="1152"/>
      <c r="L607" s="1152"/>
      <c r="M607" s="569"/>
      <c r="N607" s="569"/>
      <c r="O607" s="569"/>
      <c r="P607" s="569"/>
    </row>
    <row r="608" spans="1:16" ht="18" customHeight="1">
      <c r="A608" s="569"/>
      <c r="B608" s="569"/>
      <c r="C608" s="1152"/>
      <c r="D608" s="1152"/>
      <c r="E608" s="1152"/>
      <c r="F608" s="1152"/>
      <c r="G608" s="1152"/>
      <c r="H608" s="1152"/>
      <c r="I608" s="1152"/>
      <c r="J608" s="1152"/>
      <c r="K608" s="1152"/>
      <c r="L608" s="1152"/>
      <c r="M608" s="569"/>
      <c r="N608" s="569"/>
      <c r="O608" s="569"/>
      <c r="P608" s="569"/>
    </row>
    <row r="609" spans="1:16" ht="18" customHeight="1">
      <c r="A609" s="569"/>
      <c r="B609" s="569"/>
      <c r="C609" s="1152"/>
      <c r="D609" s="1152"/>
      <c r="E609" s="1152"/>
      <c r="F609" s="1152"/>
      <c r="G609" s="1152"/>
      <c r="H609" s="1152"/>
      <c r="I609" s="1152"/>
      <c r="J609" s="1152"/>
      <c r="K609" s="1152"/>
      <c r="L609" s="1152"/>
      <c r="M609" s="569"/>
      <c r="N609" s="569"/>
      <c r="O609" s="569"/>
      <c r="P609" s="569"/>
    </row>
    <row r="610" spans="1:16" ht="18" customHeight="1">
      <c r="A610" s="569"/>
      <c r="B610" s="569"/>
      <c r="C610" s="1152"/>
      <c r="D610" s="1152"/>
      <c r="E610" s="1152"/>
      <c r="F610" s="1152"/>
      <c r="G610" s="1152"/>
      <c r="H610" s="1152"/>
      <c r="I610" s="1152"/>
      <c r="J610" s="1152"/>
      <c r="K610" s="1152"/>
      <c r="L610" s="1152"/>
      <c r="M610" s="569"/>
      <c r="N610" s="569"/>
      <c r="O610" s="569"/>
      <c r="P610" s="569"/>
    </row>
    <row r="611" spans="1:16" ht="18" customHeight="1">
      <c r="A611" s="569"/>
      <c r="B611" s="569"/>
      <c r="C611" s="1152"/>
      <c r="D611" s="1152"/>
      <c r="E611" s="1152"/>
      <c r="F611" s="1152"/>
      <c r="G611" s="1152"/>
      <c r="H611" s="1152"/>
      <c r="I611" s="1152"/>
      <c r="J611" s="1152"/>
      <c r="K611" s="1152"/>
      <c r="L611" s="1152"/>
      <c r="M611" s="569"/>
      <c r="N611" s="569"/>
      <c r="O611" s="569"/>
      <c r="P611" s="569"/>
    </row>
    <row r="612" spans="1:16" ht="18" customHeight="1">
      <c r="A612" s="569"/>
      <c r="B612" s="569"/>
      <c r="C612" s="1152"/>
      <c r="D612" s="1152"/>
      <c r="E612" s="1152"/>
      <c r="F612" s="1152"/>
      <c r="G612" s="1152"/>
      <c r="H612" s="1152"/>
      <c r="I612" s="1152"/>
      <c r="J612" s="1152"/>
      <c r="K612" s="1152"/>
      <c r="L612" s="1152"/>
      <c r="M612" s="569"/>
      <c r="N612" s="569"/>
      <c r="O612" s="569"/>
      <c r="P612" s="569"/>
    </row>
    <row r="613" spans="1:16" ht="18" customHeight="1">
      <c r="A613" s="569"/>
      <c r="B613" s="569"/>
      <c r="C613" s="1152"/>
      <c r="D613" s="1152"/>
      <c r="E613" s="1152"/>
      <c r="F613" s="1152"/>
      <c r="G613" s="1152"/>
      <c r="H613" s="1152"/>
      <c r="I613" s="1152"/>
      <c r="J613" s="1152"/>
      <c r="K613" s="1152"/>
      <c r="L613" s="1152"/>
      <c r="M613" s="569"/>
      <c r="N613" s="569"/>
      <c r="O613" s="569"/>
      <c r="P613" s="569"/>
    </row>
    <row r="614" spans="1:16" ht="18" customHeight="1">
      <c r="A614" s="569"/>
      <c r="B614" s="569"/>
      <c r="C614" s="1152"/>
      <c r="D614" s="1152"/>
      <c r="E614" s="1152"/>
      <c r="F614" s="1152"/>
      <c r="G614" s="1152"/>
      <c r="H614" s="1152"/>
      <c r="I614" s="1152"/>
      <c r="J614" s="1152"/>
      <c r="K614" s="1152"/>
      <c r="L614" s="1152"/>
      <c r="M614" s="569"/>
      <c r="N614" s="569"/>
      <c r="O614" s="569"/>
      <c r="P614" s="569"/>
    </row>
    <row r="615" spans="1:16" ht="18" customHeight="1">
      <c r="A615" s="569"/>
      <c r="B615" s="569"/>
      <c r="C615" s="1152"/>
      <c r="D615" s="1152"/>
      <c r="E615" s="1152"/>
      <c r="F615" s="1152"/>
      <c r="G615" s="1152"/>
      <c r="H615" s="1152"/>
      <c r="I615" s="1152"/>
      <c r="J615" s="1152"/>
      <c r="K615" s="1152"/>
      <c r="L615" s="1152"/>
      <c r="M615" s="569"/>
      <c r="N615" s="569"/>
      <c r="O615" s="569"/>
      <c r="P615" s="569"/>
    </row>
    <row r="616" spans="1:16" ht="18" customHeight="1">
      <c r="A616" s="569"/>
      <c r="B616" s="569"/>
      <c r="C616" s="1152"/>
      <c r="D616" s="1152"/>
      <c r="E616" s="1152"/>
      <c r="F616" s="1152"/>
      <c r="G616" s="1152"/>
      <c r="H616" s="1152"/>
      <c r="I616" s="1152"/>
      <c r="J616" s="1152"/>
      <c r="K616" s="1152"/>
      <c r="L616" s="1152"/>
      <c r="M616" s="569"/>
      <c r="N616" s="569"/>
      <c r="O616" s="569"/>
      <c r="P616" s="569"/>
    </row>
    <row r="617" spans="1:16" ht="18" customHeight="1">
      <c r="A617" s="569"/>
      <c r="B617" s="569"/>
      <c r="C617" s="1152"/>
      <c r="D617" s="1152"/>
      <c r="E617" s="1152"/>
      <c r="F617" s="1152"/>
      <c r="G617" s="1152"/>
      <c r="H617" s="1152"/>
      <c r="I617" s="1152"/>
      <c r="J617" s="1152"/>
      <c r="K617" s="1152"/>
      <c r="L617" s="1152"/>
      <c r="M617" s="569"/>
      <c r="N617" s="569"/>
      <c r="O617" s="569"/>
      <c r="P617" s="569"/>
    </row>
    <row r="618" spans="1:16" ht="18" customHeight="1">
      <c r="A618" s="569"/>
      <c r="B618" s="569"/>
      <c r="C618" s="1152"/>
      <c r="D618" s="1152"/>
      <c r="E618" s="1152"/>
      <c r="F618" s="1152"/>
      <c r="G618" s="1152"/>
      <c r="H618" s="1152"/>
      <c r="I618" s="1152"/>
      <c r="J618" s="1152"/>
      <c r="K618" s="1152"/>
      <c r="L618" s="1152"/>
      <c r="M618" s="569"/>
      <c r="N618" s="569"/>
      <c r="O618" s="569"/>
      <c r="P618" s="569"/>
    </row>
    <row r="619" spans="1:16" ht="18" customHeight="1">
      <c r="A619" s="569"/>
      <c r="B619" s="569"/>
      <c r="C619" s="1152"/>
      <c r="D619" s="1152"/>
      <c r="E619" s="1152"/>
      <c r="F619" s="1152"/>
      <c r="G619" s="1152"/>
      <c r="H619" s="1152"/>
      <c r="I619" s="1152"/>
      <c r="J619" s="1152"/>
      <c r="K619" s="1152"/>
      <c r="L619" s="1152"/>
      <c r="M619" s="569"/>
      <c r="N619" s="569"/>
      <c r="O619" s="569"/>
      <c r="P619" s="569"/>
    </row>
    <row r="620" spans="1:16" ht="18" customHeight="1">
      <c r="A620" s="569"/>
      <c r="B620" s="569"/>
      <c r="C620" s="1152"/>
      <c r="D620" s="1152"/>
      <c r="E620" s="1152"/>
      <c r="F620" s="1152"/>
      <c r="G620" s="1152"/>
      <c r="H620" s="1152"/>
      <c r="I620" s="1152"/>
      <c r="J620" s="1152"/>
      <c r="K620" s="1152"/>
      <c r="L620" s="1152"/>
      <c r="M620" s="569"/>
      <c r="N620" s="569"/>
      <c r="O620" s="569"/>
      <c r="P620" s="569"/>
    </row>
    <row r="621" spans="1:16" ht="18" customHeight="1">
      <c r="A621" s="569"/>
      <c r="B621" s="569"/>
      <c r="C621" s="1152"/>
      <c r="D621" s="1152"/>
      <c r="E621" s="1152"/>
      <c r="F621" s="1152"/>
      <c r="G621" s="1152"/>
      <c r="H621" s="1152"/>
      <c r="I621" s="1152"/>
      <c r="J621" s="1152"/>
      <c r="K621" s="1152"/>
      <c r="L621" s="1152"/>
      <c r="M621" s="569"/>
      <c r="N621" s="569"/>
      <c r="O621" s="569"/>
      <c r="P621" s="569"/>
    </row>
    <row r="622" spans="1:16" ht="18" customHeight="1">
      <c r="A622" s="569"/>
      <c r="B622" s="569"/>
      <c r="C622" s="1152"/>
      <c r="D622" s="1152"/>
      <c r="E622" s="1152"/>
      <c r="F622" s="1152"/>
      <c r="G622" s="1152"/>
      <c r="H622" s="1152"/>
      <c r="I622" s="1152"/>
      <c r="J622" s="1152"/>
      <c r="K622" s="1152"/>
      <c r="L622" s="1152"/>
      <c r="M622" s="569"/>
      <c r="N622" s="569"/>
      <c r="O622" s="569"/>
      <c r="P622" s="569"/>
    </row>
    <row r="623" spans="1:16" ht="18" customHeight="1">
      <c r="A623" s="569"/>
      <c r="B623" s="569"/>
      <c r="C623" s="1152"/>
      <c r="D623" s="1152"/>
      <c r="E623" s="1152"/>
      <c r="F623" s="1152"/>
      <c r="G623" s="1152"/>
      <c r="H623" s="1152"/>
      <c r="I623" s="1152"/>
      <c r="J623" s="1152"/>
      <c r="K623" s="1152"/>
      <c r="L623" s="1152"/>
      <c r="M623" s="569"/>
      <c r="N623" s="569"/>
      <c r="O623" s="569"/>
      <c r="P623" s="569"/>
    </row>
    <row r="624" spans="1:16" ht="18" customHeight="1">
      <c r="A624" s="569"/>
      <c r="B624" s="569"/>
      <c r="C624" s="1152"/>
      <c r="D624" s="1152"/>
      <c r="E624" s="1152"/>
      <c r="F624" s="1152"/>
      <c r="G624" s="1152"/>
      <c r="H624" s="1152"/>
      <c r="I624" s="1152"/>
      <c r="J624" s="1152"/>
      <c r="K624" s="1152"/>
      <c r="L624" s="1152"/>
      <c r="M624" s="569"/>
      <c r="N624" s="569"/>
      <c r="O624" s="569"/>
      <c r="P624" s="569"/>
    </row>
    <row r="625" spans="1:16" ht="18" customHeight="1">
      <c r="A625" s="569"/>
      <c r="B625" s="569"/>
      <c r="C625" s="1152"/>
      <c r="D625" s="1152"/>
      <c r="E625" s="1152"/>
      <c r="F625" s="1152"/>
      <c r="G625" s="1152"/>
      <c r="H625" s="1152"/>
      <c r="I625" s="1152"/>
      <c r="J625" s="1152"/>
      <c r="K625" s="1152"/>
      <c r="L625" s="1152"/>
      <c r="M625" s="569"/>
      <c r="N625" s="569"/>
      <c r="O625" s="569"/>
      <c r="P625" s="569"/>
    </row>
    <row r="626" spans="1:16" ht="18" customHeight="1">
      <c r="A626" s="569"/>
      <c r="B626" s="569"/>
      <c r="C626" s="1152"/>
      <c r="D626" s="1152"/>
      <c r="E626" s="1152"/>
      <c r="F626" s="1152"/>
      <c r="G626" s="1152"/>
      <c r="H626" s="1152"/>
      <c r="I626" s="1152"/>
      <c r="J626" s="1152"/>
      <c r="K626" s="1152"/>
      <c r="L626" s="1152"/>
      <c r="M626" s="569"/>
      <c r="N626" s="569"/>
      <c r="O626" s="569"/>
      <c r="P626" s="569"/>
    </row>
    <row r="627" spans="1:16" ht="18" customHeight="1">
      <c r="A627" s="569"/>
      <c r="B627" s="569"/>
      <c r="C627" s="1152"/>
      <c r="D627" s="1152"/>
      <c r="E627" s="1152"/>
      <c r="F627" s="1152"/>
      <c r="G627" s="1152"/>
      <c r="H627" s="1152"/>
      <c r="I627" s="1152"/>
      <c r="J627" s="1152"/>
      <c r="K627" s="1152"/>
      <c r="L627" s="1152"/>
      <c r="M627" s="569"/>
      <c r="N627" s="569"/>
      <c r="O627" s="569"/>
      <c r="P627" s="569"/>
    </row>
    <row r="628" spans="1:16" ht="18" customHeight="1">
      <c r="A628" s="569"/>
      <c r="B628" s="569"/>
      <c r="C628" s="1152"/>
      <c r="D628" s="1152"/>
      <c r="E628" s="1152"/>
      <c r="F628" s="1152"/>
      <c r="G628" s="1152"/>
      <c r="H628" s="1152"/>
      <c r="I628" s="1152"/>
      <c r="J628" s="1152"/>
      <c r="K628" s="1152"/>
      <c r="L628" s="1152"/>
      <c r="M628" s="569"/>
      <c r="N628" s="569"/>
      <c r="O628" s="569"/>
      <c r="P628" s="569"/>
    </row>
    <row r="629" spans="1:16" ht="18" customHeight="1">
      <c r="A629" s="569"/>
      <c r="B629" s="569"/>
      <c r="C629" s="1152"/>
      <c r="D629" s="1152"/>
      <c r="E629" s="1152"/>
      <c r="F629" s="1152"/>
      <c r="G629" s="1152"/>
      <c r="H629" s="1152"/>
      <c r="I629" s="1152"/>
      <c r="J629" s="1152"/>
      <c r="K629" s="1152"/>
      <c r="L629" s="1152"/>
      <c r="M629" s="569"/>
      <c r="N629" s="569"/>
      <c r="O629" s="569"/>
      <c r="P629" s="569"/>
    </row>
    <row r="630" spans="1:16" ht="18" customHeight="1">
      <c r="A630" s="569"/>
      <c r="B630" s="569"/>
      <c r="C630" s="1152"/>
      <c r="D630" s="1152"/>
      <c r="E630" s="1152"/>
      <c r="F630" s="1152"/>
      <c r="G630" s="1152"/>
      <c r="H630" s="1152"/>
      <c r="I630" s="1152"/>
      <c r="J630" s="1152"/>
      <c r="K630" s="1152"/>
      <c r="L630" s="1152"/>
      <c r="M630" s="569"/>
      <c r="N630" s="569"/>
      <c r="O630" s="569"/>
      <c r="P630" s="569"/>
    </row>
    <row r="631" spans="1:16" ht="18" customHeight="1">
      <c r="A631" s="569"/>
      <c r="B631" s="569"/>
      <c r="C631" s="1152"/>
      <c r="D631" s="1152"/>
      <c r="E631" s="1152"/>
      <c r="F631" s="1152"/>
      <c r="G631" s="1152"/>
      <c r="H631" s="1152"/>
      <c r="I631" s="1152"/>
      <c r="J631" s="1152"/>
      <c r="K631" s="1152"/>
      <c r="L631" s="1152"/>
      <c r="M631" s="569"/>
      <c r="N631" s="569"/>
      <c r="O631" s="569"/>
      <c r="P631" s="569"/>
    </row>
    <row r="632" spans="1:16" ht="18" customHeight="1">
      <c r="A632" s="569"/>
      <c r="B632" s="569"/>
      <c r="C632" s="1152"/>
      <c r="D632" s="1152"/>
      <c r="E632" s="1152"/>
      <c r="F632" s="1152"/>
      <c r="G632" s="1152"/>
      <c r="H632" s="1152"/>
      <c r="I632" s="1152"/>
      <c r="J632" s="1152"/>
      <c r="K632" s="1152"/>
      <c r="L632" s="1152"/>
      <c r="M632" s="569"/>
      <c r="N632" s="569"/>
      <c r="O632" s="569"/>
      <c r="P632" s="569"/>
    </row>
    <row r="633" spans="1:16" ht="18" customHeight="1">
      <c r="A633" s="569"/>
      <c r="B633" s="569"/>
      <c r="C633" s="1152"/>
      <c r="D633" s="1152"/>
      <c r="E633" s="1152"/>
      <c r="F633" s="1152"/>
      <c r="G633" s="1152"/>
      <c r="H633" s="1152"/>
      <c r="I633" s="1152"/>
      <c r="J633" s="1152"/>
      <c r="K633" s="1152"/>
      <c r="L633" s="1152"/>
      <c r="M633" s="569"/>
      <c r="N633" s="569"/>
      <c r="O633" s="569"/>
      <c r="P633" s="569"/>
    </row>
    <row r="634" spans="1:16" ht="18" customHeight="1">
      <c r="A634" s="569"/>
      <c r="B634" s="569"/>
      <c r="C634" s="1152"/>
      <c r="D634" s="1152"/>
      <c r="E634" s="1152"/>
      <c r="F634" s="1152"/>
      <c r="G634" s="1152"/>
      <c r="H634" s="1152"/>
      <c r="I634" s="1152"/>
      <c r="J634" s="1152"/>
      <c r="K634" s="1152"/>
      <c r="L634" s="1152"/>
      <c r="M634" s="569"/>
      <c r="N634" s="569"/>
      <c r="O634" s="569"/>
      <c r="P634" s="569"/>
    </row>
    <row r="635" spans="1:16" ht="18" customHeight="1">
      <c r="A635" s="569"/>
      <c r="B635" s="569"/>
      <c r="C635" s="1152"/>
      <c r="D635" s="1152"/>
      <c r="E635" s="1152"/>
      <c r="F635" s="1152"/>
      <c r="G635" s="1152"/>
      <c r="H635" s="1152"/>
      <c r="I635" s="1152"/>
      <c r="J635" s="1152"/>
      <c r="K635" s="1152"/>
      <c r="L635" s="1152"/>
      <c r="M635" s="569"/>
      <c r="N635" s="569"/>
      <c r="O635" s="569"/>
      <c r="P635" s="569"/>
    </row>
    <row r="636" spans="1:16" ht="18" customHeight="1">
      <c r="A636" s="569"/>
      <c r="B636" s="569"/>
      <c r="C636" s="1152"/>
      <c r="D636" s="1152"/>
      <c r="E636" s="1152"/>
      <c r="F636" s="1152"/>
      <c r="G636" s="1152"/>
      <c r="H636" s="1152"/>
      <c r="I636" s="1152"/>
      <c r="J636" s="1152"/>
      <c r="K636" s="1152"/>
      <c r="L636" s="1152"/>
      <c r="M636" s="569"/>
      <c r="N636" s="569"/>
      <c r="O636" s="569"/>
      <c r="P636" s="569"/>
    </row>
    <row r="637" spans="1:16" ht="18" customHeight="1">
      <c r="A637" s="569"/>
      <c r="B637" s="569"/>
      <c r="C637" s="1152"/>
      <c r="D637" s="1152"/>
      <c r="E637" s="1152"/>
      <c r="F637" s="1152"/>
      <c r="G637" s="1152"/>
      <c r="H637" s="1152"/>
      <c r="I637" s="1152"/>
      <c r="J637" s="1152"/>
      <c r="K637" s="1152"/>
      <c r="L637" s="1152"/>
      <c r="M637" s="569"/>
      <c r="N637" s="569"/>
      <c r="O637" s="569"/>
      <c r="P637" s="569"/>
    </row>
    <row r="638" spans="1:16" ht="18" customHeight="1">
      <c r="A638" s="569"/>
      <c r="B638" s="569"/>
      <c r="C638" s="1152"/>
      <c r="D638" s="1152"/>
      <c r="E638" s="1152"/>
      <c r="F638" s="1152"/>
      <c r="G638" s="1152"/>
      <c r="H638" s="1152"/>
      <c r="I638" s="1152"/>
      <c r="J638" s="1152"/>
      <c r="K638" s="1152"/>
      <c r="L638" s="1152"/>
      <c r="M638" s="569"/>
      <c r="N638" s="569"/>
      <c r="O638" s="569"/>
      <c r="P638" s="569"/>
    </row>
    <row r="639" spans="1:16" ht="18" customHeight="1">
      <c r="A639" s="569"/>
      <c r="B639" s="569"/>
      <c r="C639" s="1152"/>
      <c r="D639" s="1152"/>
      <c r="E639" s="1152"/>
      <c r="F639" s="1152"/>
      <c r="G639" s="1152"/>
      <c r="H639" s="1152"/>
      <c r="I639" s="1152"/>
      <c r="J639" s="1152"/>
      <c r="K639" s="1152"/>
      <c r="L639" s="1152"/>
      <c r="M639" s="569"/>
      <c r="N639" s="569"/>
      <c r="O639" s="569"/>
      <c r="P639" s="569"/>
    </row>
    <row r="640" spans="1:16" ht="18" customHeight="1">
      <c r="A640" s="569"/>
      <c r="B640" s="569"/>
      <c r="C640" s="1152"/>
      <c r="D640" s="1152"/>
      <c r="E640" s="1152"/>
      <c r="F640" s="1152"/>
      <c r="G640" s="1152"/>
      <c r="H640" s="1152"/>
      <c r="I640" s="1152"/>
      <c r="J640" s="1152"/>
      <c r="K640" s="1152"/>
      <c r="L640" s="1152"/>
      <c r="M640" s="569"/>
      <c r="N640" s="569"/>
      <c r="O640" s="569"/>
      <c r="P640" s="569"/>
    </row>
    <row r="641" spans="1:16" ht="18" customHeight="1">
      <c r="A641" s="569"/>
      <c r="B641" s="569"/>
      <c r="C641" s="1152"/>
      <c r="D641" s="1152"/>
      <c r="E641" s="1152"/>
      <c r="F641" s="1152"/>
      <c r="G641" s="1152"/>
      <c r="H641" s="1152"/>
      <c r="I641" s="1152"/>
      <c r="J641" s="1152"/>
      <c r="K641" s="1152"/>
      <c r="L641" s="1152"/>
      <c r="M641" s="569"/>
      <c r="N641" s="569"/>
      <c r="O641" s="569"/>
      <c r="P641" s="569"/>
    </row>
    <row r="642" spans="1:16" ht="18" customHeight="1">
      <c r="A642" s="569"/>
      <c r="B642" s="569"/>
      <c r="C642" s="1152"/>
      <c r="D642" s="1152"/>
      <c r="E642" s="1152"/>
      <c r="F642" s="1152"/>
      <c r="G642" s="1152"/>
      <c r="H642" s="1152"/>
      <c r="I642" s="1152"/>
      <c r="J642" s="1152"/>
      <c r="K642" s="1152"/>
      <c r="L642" s="1152"/>
      <c r="M642" s="569"/>
      <c r="N642" s="569"/>
      <c r="O642" s="569"/>
      <c r="P642" s="569"/>
    </row>
    <row r="643" spans="1:16" ht="18" customHeight="1">
      <c r="A643" s="569"/>
      <c r="B643" s="569"/>
      <c r="C643" s="1152"/>
      <c r="D643" s="1152"/>
      <c r="E643" s="1152"/>
      <c r="F643" s="1152"/>
      <c r="G643" s="1152"/>
      <c r="H643" s="1152"/>
      <c r="I643" s="1152"/>
      <c r="J643" s="1152"/>
      <c r="K643" s="1152"/>
      <c r="L643" s="1152"/>
      <c r="M643" s="569"/>
      <c r="N643" s="569"/>
      <c r="O643" s="569"/>
      <c r="P643" s="569"/>
    </row>
    <row r="644" spans="1:16" ht="18" customHeight="1">
      <c r="A644" s="569"/>
      <c r="B644" s="569"/>
      <c r="C644" s="1152"/>
      <c r="D644" s="1152"/>
      <c r="E644" s="1152"/>
      <c r="F644" s="1152"/>
      <c r="G644" s="1152"/>
      <c r="H644" s="1152"/>
      <c r="I644" s="1152"/>
      <c r="J644" s="1152"/>
      <c r="K644" s="1152"/>
      <c r="L644" s="1152"/>
      <c r="M644" s="569"/>
      <c r="N644" s="569"/>
      <c r="O644" s="569"/>
      <c r="P644" s="569"/>
    </row>
    <row r="645" spans="1:16" ht="18" customHeight="1">
      <c r="A645" s="569"/>
      <c r="B645" s="569"/>
      <c r="C645" s="1152"/>
      <c r="D645" s="1152"/>
      <c r="E645" s="1152"/>
      <c r="F645" s="1152"/>
      <c r="G645" s="1152"/>
      <c r="H645" s="1152"/>
      <c r="I645" s="1152"/>
      <c r="J645" s="1152"/>
      <c r="K645" s="1152"/>
      <c r="L645" s="1152"/>
      <c r="M645" s="569"/>
      <c r="N645" s="569"/>
      <c r="O645" s="569"/>
      <c r="P645" s="569"/>
    </row>
    <row r="646" spans="1:16" ht="18" customHeight="1">
      <c r="A646" s="569"/>
      <c r="B646" s="569"/>
      <c r="C646" s="1152"/>
      <c r="D646" s="1152"/>
      <c r="E646" s="1152"/>
      <c r="F646" s="1152"/>
      <c r="G646" s="1152"/>
      <c r="H646" s="1152"/>
      <c r="I646" s="1152"/>
      <c r="J646" s="1152"/>
      <c r="K646" s="1152"/>
      <c r="L646" s="1152"/>
      <c r="M646" s="569"/>
      <c r="N646" s="569"/>
      <c r="O646" s="569"/>
      <c r="P646" s="569"/>
    </row>
    <row r="647" spans="1:16" ht="18" customHeight="1">
      <c r="A647" s="569"/>
      <c r="B647" s="569"/>
      <c r="C647" s="1152"/>
      <c r="D647" s="1152"/>
      <c r="E647" s="1152"/>
      <c r="F647" s="1152"/>
      <c r="G647" s="1152"/>
      <c r="H647" s="1152"/>
      <c r="I647" s="1152"/>
      <c r="J647" s="1152"/>
      <c r="K647" s="1152"/>
      <c r="L647" s="1152"/>
      <c r="M647" s="569"/>
      <c r="N647" s="569"/>
      <c r="O647" s="569"/>
      <c r="P647" s="569"/>
    </row>
    <row r="648" spans="1:16" ht="18" customHeight="1">
      <c r="A648" s="569"/>
      <c r="B648" s="569"/>
      <c r="C648" s="1152"/>
      <c r="D648" s="1152"/>
      <c r="E648" s="1152"/>
      <c r="F648" s="1152"/>
      <c r="G648" s="1152"/>
      <c r="H648" s="1152"/>
      <c r="I648" s="1152"/>
      <c r="J648" s="1152"/>
      <c r="K648" s="1152"/>
      <c r="L648" s="1152"/>
      <c r="M648" s="569"/>
      <c r="N648" s="569"/>
      <c r="O648" s="569"/>
      <c r="P648" s="569"/>
    </row>
    <row r="649" spans="1:16" ht="18" customHeight="1">
      <c r="A649" s="569"/>
      <c r="B649" s="569"/>
      <c r="C649" s="1152"/>
      <c r="D649" s="1152"/>
      <c r="E649" s="1152"/>
      <c r="F649" s="1152"/>
      <c r="G649" s="1152"/>
      <c r="H649" s="1152"/>
      <c r="I649" s="1152"/>
      <c r="J649" s="1152"/>
      <c r="K649" s="1152"/>
      <c r="L649" s="1152"/>
      <c r="M649" s="569"/>
      <c r="N649" s="569"/>
      <c r="O649" s="569"/>
      <c r="P649" s="569"/>
    </row>
    <row r="650" spans="1:16" ht="18" customHeight="1">
      <c r="A650" s="569"/>
      <c r="B650" s="569"/>
      <c r="C650" s="1152"/>
      <c r="D650" s="1152"/>
      <c r="E650" s="1152"/>
      <c r="F650" s="1152"/>
      <c r="G650" s="1152"/>
      <c r="H650" s="1152"/>
      <c r="I650" s="1152"/>
      <c r="J650" s="1152"/>
      <c r="K650" s="1152"/>
      <c r="L650" s="1152"/>
      <c r="M650" s="569"/>
      <c r="N650" s="569"/>
      <c r="O650" s="569"/>
      <c r="P650" s="569"/>
    </row>
    <row r="651" spans="1:16" ht="18" customHeight="1">
      <c r="A651" s="569"/>
      <c r="B651" s="569"/>
      <c r="C651" s="1152"/>
      <c r="D651" s="1152"/>
      <c r="E651" s="1152"/>
      <c r="F651" s="1152"/>
      <c r="G651" s="1152"/>
      <c r="H651" s="1152"/>
      <c r="I651" s="1152"/>
      <c r="J651" s="1152"/>
      <c r="K651" s="1152"/>
      <c r="L651" s="1152"/>
      <c r="M651" s="569"/>
      <c r="N651" s="569"/>
      <c r="O651" s="569"/>
      <c r="P651" s="569"/>
    </row>
    <row r="652" spans="1:16" ht="18" customHeight="1">
      <c r="A652" s="569"/>
      <c r="B652" s="569"/>
      <c r="C652" s="1152"/>
      <c r="D652" s="1152"/>
      <c r="E652" s="1152"/>
      <c r="F652" s="1152"/>
      <c r="G652" s="1152"/>
      <c r="H652" s="1152"/>
      <c r="I652" s="1152"/>
      <c r="J652" s="1152"/>
      <c r="K652" s="1152"/>
      <c r="L652" s="1152"/>
      <c r="M652" s="569"/>
      <c r="N652" s="569"/>
      <c r="O652" s="569"/>
      <c r="P652" s="569"/>
    </row>
    <row r="653" spans="1:16" ht="18" customHeight="1">
      <c r="A653" s="569"/>
      <c r="B653" s="569"/>
      <c r="C653" s="1152"/>
      <c r="D653" s="1152"/>
      <c r="E653" s="1152"/>
      <c r="F653" s="1152"/>
      <c r="G653" s="1152"/>
      <c r="H653" s="1152"/>
      <c r="I653" s="1152"/>
      <c r="J653" s="1152"/>
      <c r="K653" s="1152"/>
      <c r="L653" s="1152"/>
      <c r="M653" s="569"/>
      <c r="N653" s="569"/>
      <c r="O653" s="569"/>
      <c r="P653" s="569"/>
    </row>
    <row r="654" spans="1:16" ht="18" customHeight="1">
      <c r="A654" s="569"/>
      <c r="B654" s="569"/>
      <c r="C654" s="1152"/>
      <c r="D654" s="1152"/>
      <c r="E654" s="1152"/>
      <c r="F654" s="1152"/>
      <c r="G654" s="1152"/>
      <c r="H654" s="1152"/>
      <c r="I654" s="1152"/>
      <c r="J654" s="1152"/>
      <c r="K654" s="1152"/>
      <c r="L654" s="1152"/>
      <c r="M654" s="569"/>
      <c r="N654" s="569"/>
      <c r="O654" s="569"/>
      <c r="P654" s="569"/>
    </row>
    <row r="655" spans="1:16" ht="18" customHeight="1">
      <c r="A655" s="569"/>
      <c r="B655" s="569"/>
      <c r="C655" s="1152"/>
      <c r="D655" s="1152"/>
      <c r="E655" s="1152"/>
      <c r="F655" s="1152"/>
      <c r="G655" s="1152"/>
      <c r="H655" s="1152"/>
      <c r="I655" s="1152"/>
      <c r="J655" s="1152"/>
      <c r="K655" s="1152"/>
      <c r="L655" s="1152"/>
      <c r="M655" s="569"/>
      <c r="N655" s="569"/>
      <c r="O655" s="569"/>
      <c r="P655" s="569"/>
    </row>
    <row r="656" spans="1:16" ht="18" customHeight="1">
      <c r="A656" s="569"/>
      <c r="B656" s="569"/>
      <c r="C656" s="1152"/>
      <c r="D656" s="1152"/>
      <c r="E656" s="1152"/>
      <c r="F656" s="1152"/>
      <c r="G656" s="1152"/>
      <c r="H656" s="1152"/>
      <c r="I656" s="1152"/>
      <c r="J656" s="1152"/>
      <c r="K656" s="1152"/>
      <c r="L656" s="1152"/>
      <c r="M656" s="569"/>
      <c r="N656" s="569"/>
      <c r="O656" s="569"/>
      <c r="P656" s="569"/>
    </row>
    <row r="657" spans="1:16" ht="18" customHeight="1">
      <c r="A657" s="569"/>
      <c r="B657" s="569"/>
      <c r="C657" s="1152"/>
      <c r="D657" s="1152"/>
      <c r="E657" s="1152"/>
      <c r="F657" s="1152"/>
      <c r="G657" s="1152"/>
      <c r="H657" s="1152"/>
      <c r="I657" s="1152"/>
      <c r="J657" s="1152"/>
      <c r="K657" s="1152"/>
      <c r="L657" s="1152"/>
      <c r="M657" s="569"/>
      <c r="N657" s="569"/>
      <c r="O657" s="569"/>
      <c r="P657" s="569"/>
    </row>
    <row r="658" spans="1:16" ht="18" customHeight="1">
      <c r="A658" s="569"/>
      <c r="B658" s="569"/>
      <c r="C658" s="1152"/>
      <c r="D658" s="1152"/>
      <c r="E658" s="1152"/>
      <c r="F658" s="1152"/>
      <c r="G658" s="1152"/>
      <c r="H658" s="1152"/>
      <c r="I658" s="1152"/>
      <c r="J658" s="1152"/>
      <c r="K658" s="1152"/>
      <c r="L658" s="1152"/>
      <c r="M658" s="569"/>
      <c r="N658" s="569"/>
      <c r="O658" s="569"/>
      <c r="P658" s="569"/>
    </row>
    <row r="659" spans="1:16" ht="18" customHeight="1">
      <c r="A659" s="569"/>
      <c r="B659" s="569"/>
      <c r="C659" s="1152"/>
      <c r="D659" s="1152"/>
      <c r="E659" s="1152"/>
      <c r="F659" s="1152"/>
      <c r="G659" s="1152"/>
      <c r="H659" s="1152"/>
      <c r="I659" s="1152"/>
      <c r="J659" s="1152"/>
      <c r="K659" s="1152"/>
      <c r="L659" s="1152"/>
      <c r="M659" s="569"/>
      <c r="N659" s="569"/>
      <c r="O659" s="569"/>
      <c r="P659" s="569"/>
    </row>
    <row r="660" spans="1:16" ht="18" customHeight="1">
      <c r="A660" s="569"/>
      <c r="B660" s="569"/>
      <c r="C660" s="1152"/>
      <c r="D660" s="1152"/>
      <c r="E660" s="1152"/>
      <c r="F660" s="1152"/>
      <c r="G660" s="1152"/>
      <c r="H660" s="1152"/>
      <c r="I660" s="1152"/>
      <c r="J660" s="1152"/>
      <c r="K660" s="1152"/>
      <c r="L660" s="1152"/>
      <c r="M660" s="569"/>
      <c r="N660" s="569"/>
      <c r="O660" s="569"/>
      <c r="P660" s="569"/>
    </row>
    <row r="661" spans="1:16" ht="18" customHeight="1">
      <c r="A661" s="569"/>
      <c r="B661" s="569"/>
      <c r="C661" s="1152"/>
      <c r="D661" s="1152"/>
      <c r="E661" s="1152"/>
      <c r="F661" s="1152"/>
      <c r="G661" s="1152"/>
      <c r="H661" s="1152"/>
      <c r="I661" s="1152"/>
      <c r="J661" s="1152"/>
      <c r="K661" s="1152"/>
      <c r="L661" s="1152"/>
      <c r="M661" s="569"/>
      <c r="N661" s="569"/>
      <c r="O661" s="569"/>
      <c r="P661" s="569"/>
    </row>
    <row r="662" spans="1:16" ht="18" customHeight="1">
      <c r="A662" s="569"/>
      <c r="B662" s="569"/>
      <c r="C662" s="1152"/>
      <c r="D662" s="1152"/>
      <c r="E662" s="1152"/>
      <c r="F662" s="1152"/>
      <c r="G662" s="1152"/>
      <c r="H662" s="1152"/>
      <c r="I662" s="1152"/>
      <c r="J662" s="1152"/>
      <c r="K662" s="1152"/>
      <c r="L662" s="1152"/>
      <c r="M662" s="569"/>
      <c r="N662" s="569"/>
      <c r="O662" s="569"/>
      <c r="P662" s="569"/>
    </row>
    <row r="663" spans="1:16" ht="18" customHeight="1">
      <c r="A663" s="569"/>
      <c r="B663" s="569"/>
      <c r="C663" s="1152"/>
      <c r="D663" s="1152"/>
      <c r="E663" s="1152"/>
      <c r="F663" s="1152"/>
      <c r="G663" s="1152"/>
      <c r="H663" s="1152"/>
      <c r="I663" s="1152"/>
      <c r="J663" s="1152"/>
      <c r="K663" s="1152"/>
      <c r="L663" s="1152"/>
      <c r="M663" s="569"/>
      <c r="N663" s="569"/>
      <c r="O663" s="569"/>
      <c r="P663" s="569"/>
    </row>
    <row r="664" spans="1:16" ht="18" customHeight="1">
      <c r="A664" s="569"/>
      <c r="B664" s="569"/>
      <c r="C664" s="1152"/>
      <c r="D664" s="1152"/>
      <c r="E664" s="1152"/>
      <c r="F664" s="1152"/>
      <c r="G664" s="1152"/>
      <c r="H664" s="1152"/>
      <c r="I664" s="1152"/>
      <c r="J664" s="1152"/>
      <c r="K664" s="1152"/>
      <c r="L664" s="1152"/>
      <c r="M664" s="569"/>
      <c r="N664" s="569"/>
      <c r="O664" s="569"/>
      <c r="P664" s="569"/>
    </row>
    <row r="665" spans="1:16" ht="18" customHeight="1">
      <c r="A665" s="569"/>
      <c r="B665" s="569"/>
      <c r="C665" s="1152"/>
      <c r="D665" s="1152"/>
      <c r="E665" s="1152"/>
      <c r="F665" s="1152"/>
      <c r="G665" s="1152"/>
      <c r="H665" s="1152"/>
      <c r="I665" s="1152"/>
      <c r="J665" s="1152"/>
      <c r="K665" s="1152"/>
      <c r="L665" s="1152"/>
      <c r="M665" s="569"/>
      <c r="N665" s="569"/>
      <c r="O665" s="569"/>
      <c r="P665" s="569"/>
    </row>
    <row r="666" spans="1:16" ht="18" customHeight="1">
      <c r="A666" s="569"/>
      <c r="B666" s="569"/>
      <c r="C666" s="1152"/>
      <c r="D666" s="1152"/>
      <c r="E666" s="1152"/>
      <c r="F666" s="1152"/>
      <c r="G666" s="1152"/>
      <c r="H666" s="1152"/>
      <c r="I666" s="1152"/>
      <c r="J666" s="1152"/>
      <c r="K666" s="1152"/>
      <c r="L666" s="1152"/>
      <c r="M666" s="569"/>
      <c r="N666" s="569"/>
      <c r="O666" s="569"/>
      <c r="P666" s="569"/>
    </row>
    <row r="667" spans="1:16" ht="18" customHeight="1">
      <c r="A667" s="569"/>
      <c r="B667" s="569"/>
      <c r="C667" s="1152"/>
      <c r="D667" s="1152"/>
      <c r="E667" s="1152"/>
      <c r="F667" s="1152"/>
      <c r="G667" s="1152"/>
      <c r="H667" s="1152"/>
      <c r="I667" s="1152"/>
      <c r="J667" s="1152"/>
      <c r="K667" s="1152"/>
      <c r="L667" s="1152"/>
      <c r="M667" s="569"/>
      <c r="N667" s="569"/>
      <c r="O667" s="569"/>
      <c r="P667" s="569"/>
    </row>
    <row r="668" spans="1:16" ht="18" customHeight="1">
      <c r="A668" s="569"/>
      <c r="B668" s="569"/>
      <c r="C668" s="1152"/>
      <c r="D668" s="1152"/>
      <c r="E668" s="1152"/>
      <c r="F668" s="1152"/>
      <c r="G668" s="1152"/>
      <c r="H668" s="1152"/>
      <c r="I668" s="1152"/>
      <c r="J668" s="1152"/>
      <c r="K668" s="1152"/>
      <c r="L668" s="1152"/>
      <c r="M668" s="569"/>
      <c r="N668" s="569"/>
      <c r="O668" s="569"/>
      <c r="P668" s="569"/>
    </row>
    <row r="669" spans="1:16" ht="18" customHeight="1">
      <c r="A669" s="569"/>
      <c r="B669" s="569"/>
      <c r="C669" s="1152"/>
      <c r="D669" s="1152"/>
      <c r="E669" s="1152"/>
      <c r="F669" s="1152"/>
      <c r="G669" s="1152"/>
      <c r="H669" s="1152"/>
      <c r="I669" s="1152"/>
      <c r="J669" s="1152"/>
      <c r="K669" s="1152"/>
      <c r="L669" s="1152"/>
      <c r="M669" s="569"/>
      <c r="N669" s="569"/>
      <c r="O669" s="569"/>
      <c r="P669" s="569"/>
    </row>
    <row r="670" spans="1:16" ht="18" customHeight="1">
      <c r="A670" s="569"/>
      <c r="B670" s="569"/>
      <c r="C670" s="1152"/>
      <c r="D670" s="1152"/>
      <c r="E670" s="1152"/>
      <c r="F670" s="1152"/>
      <c r="G670" s="1152"/>
      <c r="H670" s="1152"/>
      <c r="I670" s="1152"/>
      <c r="J670" s="1152"/>
      <c r="K670" s="1152"/>
      <c r="L670" s="1152"/>
      <c r="M670" s="569"/>
      <c r="N670" s="569"/>
      <c r="O670" s="569"/>
      <c r="P670" s="569"/>
    </row>
    <row r="671" spans="1:16" ht="18" customHeight="1">
      <c r="A671" s="569"/>
      <c r="B671" s="569"/>
      <c r="C671" s="1152"/>
      <c r="D671" s="1152"/>
      <c r="E671" s="1152"/>
      <c r="F671" s="1152"/>
      <c r="G671" s="1152"/>
      <c r="H671" s="1152"/>
      <c r="I671" s="1152"/>
      <c r="J671" s="1152"/>
      <c r="K671" s="1152"/>
      <c r="L671" s="1152"/>
      <c r="M671" s="569"/>
      <c r="N671" s="569"/>
      <c r="O671" s="569"/>
      <c r="P671" s="569"/>
    </row>
    <row r="672" spans="1:16" ht="18" customHeight="1">
      <c r="A672" s="569"/>
      <c r="B672" s="569"/>
      <c r="C672" s="1152"/>
      <c r="D672" s="1152"/>
      <c r="E672" s="1152"/>
      <c r="F672" s="1152"/>
      <c r="G672" s="1152"/>
      <c r="H672" s="1152"/>
      <c r="I672" s="1152"/>
      <c r="J672" s="1152"/>
      <c r="K672" s="1152"/>
      <c r="L672" s="1152"/>
      <c r="M672" s="569"/>
      <c r="N672" s="569"/>
      <c r="O672" s="569"/>
      <c r="P672" s="569"/>
    </row>
    <row r="673" spans="1:16" ht="18" customHeight="1">
      <c r="A673" s="569"/>
      <c r="B673" s="569"/>
      <c r="C673" s="1152"/>
      <c r="D673" s="1152"/>
      <c r="E673" s="1152"/>
      <c r="F673" s="1152"/>
      <c r="G673" s="1152"/>
      <c r="H673" s="1152"/>
      <c r="I673" s="1152"/>
      <c r="J673" s="1152"/>
      <c r="K673" s="1152"/>
      <c r="L673" s="1152"/>
      <c r="M673" s="569"/>
      <c r="N673" s="569"/>
      <c r="O673" s="569"/>
      <c r="P673" s="569"/>
    </row>
    <row r="674" spans="1:16" ht="18" customHeight="1">
      <c r="A674" s="569"/>
      <c r="B674" s="569"/>
      <c r="C674" s="1152"/>
      <c r="D674" s="1152"/>
      <c r="E674" s="1152"/>
      <c r="F674" s="1152"/>
      <c r="G674" s="1152"/>
      <c r="H674" s="1152"/>
      <c r="I674" s="1152"/>
      <c r="J674" s="1152"/>
      <c r="K674" s="1152"/>
      <c r="L674" s="1152"/>
      <c r="M674" s="569"/>
      <c r="N674" s="569"/>
      <c r="O674" s="569"/>
      <c r="P674" s="569"/>
    </row>
    <row r="675" spans="1:16" ht="18" customHeight="1">
      <c r="A675" s="569"/>
      <c r="B675" s="569"/>
      <c r="C675" s="1152"/>
      <c r="D675" s="1152"/>
      <c r="E675" s="1152"/>
      <c r="F675" s="1152"/>
      <c r="G675" s="1152"/>
      <c r="H675" s="1152"/>
      <c r="I675" s="1152"/>
      <c r="J675" s="1152"/>
      <c r="K675" s="1152"/>
      <c r="L675" s="1152"/>
      <c r="M675" s="569"/>
      <c r="N675" s="569"/>
      <c r="O675" s="569"/>
      <c r="P675" s="569"/>
    </row>
    <row r="676" spans="1:16" ht="18" customHeight="1">
      <c r="A676" s="569"/>
      <c r="B676" s="569"/>
      <c r="C676" s="1152"/>
      <c r="D676" s="1152"/>
      <c r="E676" s="1152"/>
      <c r="F676" s="1152"/>
      <c r="G676" s="1152"/>
      <c r="H676" s="1152"/>
      <c r="I676" s="1152"/>
      <c r="J676" s="1152"/>
      <c r="K676" s="1152"/>
      <c r="L676" s="1152"/>
      <c r="M676" s="569"/>
      <c r="N676" s="569"/>
      <c r="O676" s="569"/>
      <c r="P676" s="569"/>
    </row>
    <row r="677" spans="1:16" ht="18" customHeight="1">
      <c r="A677" s="569"/>
      <c r="B677" s="569"/>
      <c r="C677" s="1152"/>
      <c r="D677" s="1152"/>
      <c r="E677" s="1152"/>
      <c r="F677" s="1152"/>
      <c r="G677" s="1152"/>
      <c r="H677" s="1152"/>
      <c r="I677" s="1152"/>
      <c r="J677" s="1152"/>
      <c r="K677" s="1152"/>
      <c r="L677" s="1152"/>
      <c r="M677" s="569"/>
      <c r="N677" s="569"/>
      <c r="O677" s="569"/>
      <c r="P677" s="569"/>
    </row>
    <row r="678" spans="1:16" ht="18" customHeight="1">
      <c r="A678" s="569"/>
      <c r="B678" s="569"/>
      <c r="C678" s="1152"/>
      <c r="D678" s="1152"/>
      <c r="E678" s="1152"/>
      <c r="F678" s="1152"/>
      <c r="G678" s="1152"/>
      <c r="H678" s="1152"/>
      <c r="I678" s="1152"/>
      <c r="J678" s="1152"/>
      <c r="K678" s="1152"/>
      <c r="L678" s="1152"/>
      <c r="M678" s="569"/>
      <c r="N678" s="569"/>
      <c r="O678" s="569"/>
      <c r="P678" s="569"/>
    </row>
    <row r="679" spans="1:16" ht="18" customHeight="1">
      <c r="A679" s="569"/>
      <c r="B679" s="569"/>
      <c r="C679" s="1152"/>
      <c r="D679" s="1152"/>
      <c r="E679" s="1152"/>
      <c r="F679" s="1152"/>
      <c r="G679" s="1152"/>
      <c r="H679" s="1152"/>
      <c r="I679" s="1152"/>
      <c r="J679" s="1152"/>
      <c r="K679" s="1152"/>
      <c r="L679" s="1152"/>
      <c r="M679" s="569"/>
      <c r="N679" s="569"/>
      <c r="O679" s="569"/>
      <c r="P679" s="569"/>
    </row>
    <row r="680" spans="1:16" ht="18" customHeight="1">
      <c r="A680" s="569"/>
      <c r="B680" s="569"/>
      <c r="C680" s="1152"/>
      <c r="D680" s="1152"/>
      <c r="E680" s="1152"/>
      <c r="F680" s="1152"/>
      <c r="G680" s="1152"/>
      <c r="H680" s="1152"/>
      <c r="I680" s="1152"/>
      <c r="J680" s="1152"/>
      <c r="K680" s="1152"/>
      <c r="L680" s="1152"/>
      <c r="M680" s="569"/>
      <c r="N680" s="569"/>
      <c r="O680" s="569"/>
      <c r="P680" s="569"/>
    </row>
    <row r="681" spans="1:16" ht="18" customHeight="1">
      <c r="A681" s="569"/>
      <c r="B681" s="569"/>
      <c r="C681" s="1152"/>
      <c r="D681" s="1152"/>
      <c r="E681" s="1152"/>
      <c r="F681" s="1152"/>
      <c r="G681" s="1152"/>
      <c r="H681" s="1152"/>
      <c r="I681" s="1152"/>
      <c r="J681" s="1152"/>
      <c r="K681" s="1152"/>
      <c r="L681" s="1152"/>
      <c r="M681" s="569"/>
      <c r="N681" s="569"/>
      <c r="O681" s="569"/>
      <c r="P681" s="569"/>
    </row>
    <row r="682" spans="1:16" ht="18" customHeight="1">
      <c r="A682" s="569"/>
      <c r="B682" s="569"/>
      <c r="C682" s="1152"/>
      <c r="D682" s="1152"/>
      <c r="E682" s="1152"/>
      <c r="F682" s="1152"/>
      <c r="G682" s="1152"/>
      <c r="H682" s="1152"/>
      <c r="I682" s="1152"/>
      <c r="J682" s="1152"/>
      <c r="K682" s="1152"/>
      <c r="L682" s="1152"/>
      <c r="M682" s="569"/>
      <c r="N682" s="569"/>
      <c r="O682" s="569"/>
      <c r="P682" s="569"/>
    </row>
    <row r="683" spans="1:16" ht="18" customHeight="1">
      <c r="A683" s="569"/>
      <c r="B683" s="569"/>
      <c r="C683" s="1152"/>
      <c r="D683" s="1152"/>
      <c r="E683" s="1152"/>
      <c r="F683" s="1152"/>
      <c r="G683" s="1152"/>
      <c r="H683" s="1152"/>
      <c r="I683" s="1152"/>
      <c r="J683" s="1152"/>
      <c r="K683" s="1152"/>
      <c r="L683" s="1152"/>
      <c r="M683" s="569"/>
      <c r="N683" s="569"/>
      <c r="O683" s="569"/>
      <c r="P683" s="569"/>
    </row>
    <row r="684" spans="1:16" ht="18" customHeight="1">
      <c r="A684" s="569"/>
      <c r="B684" s="569"/>
      <c r="C684" s="1152"/>
      <c r="D684" s="1152"/>
      <c r="E684" s="1152"/>
      <c r="F684" s="1152"/>
      <c r="G684" s="1152"/>
      <c r="H684" s="1152"/>
      <c r="I684" s="1152"/>
      <c r="J684" s="1152"/>
      <c r="K684" s="1152"/>
      <c r="L684" s="1152"/>
      <c r="M684" s="569"/>
      <c r="N684" s="569"/>
      <c r="O684" s="569"/>
      <c r="P684" s="569"/>
    </row>
    <row r="685" spans="1:16" ht="18" customHeight="1">
      <c r="A685" s="569"/>
      <c r="B685" s="569"/>
      <c r="C685" s="1152"/>
      <c r="D685" s="1152"/>
      <c r="E685" s="1152"/>
      <c r="F685" s="1152"/>
      <c r="G685" s="1152"/>
      <c r="H685" s="1152"/>
      <c r="I685" s="1152"/>
      <c r="J685" s="1152"/>
      <c r="K685" s="1152"/>
      <c r="L685" s="1152"/>
      <c r="M685" s="569"/>
      <c r="N685" s="569"/>
      <c r="O685" s="569"/>
      <c r="P685" s="569"/>
    </row>
    <row r="686" spans="1:16" ht="18" customHeight="1">
      <c r="A686" s="569"/>
      <c r="B686" s="569"/>
      <c r="C686" s="1152"/>
      <c r="D686" s="1152"/>
      <c r="E686" s="1152"/>
      <c r="F686" s="1152"/>
      <c r="G686" s="1152"/>
      <c r="H686" s="1152"/>
      <c r="I686" s="1152"/>
      <c r="J686" s="1152"/>
      <c r="K686" s="1152"/>
      <c r="L686" s="1152"/>
      <c r="M686" s="569"/>
      <c r="N686" s="569"/>
      <c r="O686" s="569"/>
      <c r="P686" s="569"/>
    </row>
    <row r="687" spans="1:16" ht="18" customHeight="1">
      <c r="A687" s="569"/>
      <c r="B687" s="569"/>
      <c r="C687" s="1152"/>
      <c r="D687" s="1152"/>
      <c r="E687" s="1152"/>
      <c r="F687" s="1152"/>
      <c r="G687" s="1152"/>
      <c r="H687" s="1152"/>
      <c r="I687" s="1152"/>
      <c r="J687" s="1152"/>
      <c r="K687" s="1152"/>
      <c r="L687" s="1152"/>
      <c r="M687" s="569"/>
      <c r="N687" s="569"/>
      <c r="O687" s="569"/>
      <c r="P687" s="569"/>
    </row>
    <row r="688" spans="1:16" ht="18" customHeight="1">
      <c r="A688" s="569"/>
      <c r="B688" s="569"/>
      <c r="C688" s="1152"/>
      <c r="D688" s="1152"/>
      <c r="E688" s="1152"/>
      <c r="F688" s="1152"/>
      <c r="G688" s="1152"/>
      <c r="H688" s="1152"/>
      <c r="I688" s="1152"/>
      <c r="J688" s="1152"/>
      <c r="K688" s="1152"/>
      <c r="L688" s="1152"/>
      <c r="M688" s="569"/>
      <c r="N688" s="569"/>
      <c r="O688" s="569"/>
      <c r="P688" s="569"/>
    </row>
    <row r="689" spans="1:16" ht="18" customHeight="1">
      <c r="A689" s="569"/>
      <c r="B689" s="569"/>
      <c r="C689" s="1152"/>
      <c r="D689" s="1152"/>
      <c r="E689" s="1152"/>
      <c r="F689" s="1152"/>
      <c r="G689" s="1152"/>
      <c r="H689" s="1152"/>
      <c r="I689" s="1152"/>
      <c r="J689" s="1152"/>
      <c r="K689" s="1152"/>
      <c r="L689" s="1152"/>
      <c r="M689" s="569"/>
      <c r="N689" s="569"/>
      <c r="O689" s="569"/>
      <c r="P689" s="569"/>
    </row>
    <row r="690" spans="1:16" ht="18" customHeight="1">
      <c r="A690" s="569"/>
      <c r="B690" s="569"/>
      <c r="C690" s="1152"/>
      <c r="D690" s="1152"/>
      <c r="E690" s="1152"/>
      <c r="F690" s="1152"/>
      <c r="G690" s="1152"/>
      <c r="H690" s="1152"/>
      <c r="I690" s="1152"/>
      <c r="J690" s="1152"/>
      <c r="K690" s="1152"/>
      <c r="L690" s="1152"/>
      <c r="M690" s="569"/>
      <c r="N690" s="569"/>
      <c r="O690" s="569"/>
      <c r="P690" s="569"/>
    </row>
    <row r="691" spans="1:16" ht="18" customHeight="1">
      <c r="A691" s="569"/>
      <c r="B691" s="569"/>
      <c r="C691" s="1152"/>
      <c r="D691" s="1152"/>
      <c r="E691" s="1152"/>
      <c r="F691" s="1152"/>
      <c r="G691" s="1152"/>
      <c r="H691" s="1152"/>
      <c r="I691" s="1152"/>
      <c r="J691" s="1152"/>
      <c r="K691" s="1152"/>
      <c r="L691" s="1152"/>
      <c r="M691" s="569"/>
      <c r="N691" s="569"/>
      <c r="O691" s="569"/>
      <c r="P691" s="569"/>
    </row>
    <row r="692" spans="1:16" ht="18" customHeight="1">
      <c r="A692" s="569"/>
      <c r="B692" s="569"/>
      <c r="C692" s="1152"/>
      <c r="D692" s="1152"/>
      <c r="E692" s="1152"/>
      <c r="F692" s="1152"/>
      <c r="G692" s="1152"/>
      <c r="H692" s="1152"/>
      <c r="I692" s="1152"/>
      <c r="J692" s="1152"/>
      <c r="K692" s="1152"/>
      <c r="L692" s="1152"/>
      <c r="M692" s="569"/>
      <c r="N692" s="569"/>
      <c r="O692" s="569"/>
      <c r="P692" s="569"/>
    </row>
    <row r="693" spans="1:16" ht="18" customHeight="1">
      <c r="A693" s="569"/>
      <c r="B693" s="569"/>
      <c r="C693" s="1152"/>
      <c r="D693" s="1152"/>
      <c r="E693" s="1152"/>
      <c r="F693" s="1152"/>
      <c r="G693" s="1152"/>
      <c r="H693" s="1152"/>
      <c r="I693" s="1152"/>
      <c r="J693" s="1152"/>
      <c r="K693" s="1152"/>
      <c r="L693" s="1152"/>
      <c r="M693" s="569"/>
      <c r="N693" s="569"/>
      <c r="O693" s="569"/>
      <c r="P693" s="569"/>
    </row>
    <row r="694" spans="1:16" ht="18" customHeight="1">
      <c r="A694" s="569"/>
      <c r="B694" s="569"/>
      <c r="C694" s="1152"/>
      <c r="D694" s="1152"/>
      <c r="E694" s="1152"/>
      <c r="F694" s="1152"/>
      <c r="G694" s="1152"/>
      <c r="H694" s="1152"/>
      <c r="I694" s="1152"/>
      <c r="J694" s="1152"/>
      <c r="K694" s="1152"/>
      <c r="L694" s="1152"/>
      <c r="M694" s="569"/>
      <c r="N694" s="569"/>
      <c r="O694" s="569"/>
      <c r="P694" s="569"/>
    </row>
    <row r="695" spans="1:16" ht="18" customHeight="1">
      <c r="A695" s="569"/>
      <c r="B695" s="569"/>
      <c r="C695" s="1152"/>
      <c r="D695" s="1152"/>
      <c r="E695" s="1152"/>
      <c r="F695" s="1152"/>
      <c r="G695" s="1152"/>
      <c r="H695" s="1152"/>
      <c r="I695" s="1152"/>
      <c r="J695" s="1152"/>
      <c r="K695" s="1152"/>
      <c r="L695" s="1152"/>
      <c r="M695" s="569"/>
      <c r="N695" s="569"/>
      <c r="O695" s="569"/>
      <c r="P695" s="569"/>
    </row>
    <row r="696" spans="1:16" ht="18" customHeight="1">
      <c r="A696" s="569"/>
      <c r="B696" s="569"/>
      <c r="C696" s="1152"/>
      <c r="D696" s="1152"/>
      <c r="E696" s="1152"/>
      <c r="F696" s="1152"/>
      <c r="G696" s="1152"/>
      <c r="H696" s="1152"/>
      <c r="I696" s="1152"/>
      <c r="J696" s="1152"/>
      <c r="K696" s="1152"/>
      <c r="L696" s="1152"/>
      <c r="M696" s="569"/>
      <c r="N696" s="569"/>
      <c r="O696" s="569"/>
      <c r="P696" s="569"/>
    </row>
    <row r="697" spans="1:16" ht="18" customHeight="1">
      <c r="A697" s="569"/>
      <c r="B697" s="569"/>
      <c r="C697" s="1152"/>
      <c r="D697" s="1152"/>
      <c r="E697" s="1152"/>
      <c r="F697" s="1152"/>
      <c r="G697" s="1152"/>
      <c r="H697" s="1152"/>
      <c r="I697" s="1152"/>
      <c r="J697" s="1152"/>
      <c r="K697" s="1152"/>
      <c r="L697" s="1152"/>
      <c r="M697" s="569"/>
      <c r="N697" s="569"/>
      <c r="O697" s="569"/>
      <c r="P697" s="569"/>
    </row>
    <row r="698" spans="1:16" ht="18" customHeight="1">
      <c r="A698" s="569"/>
      <c r="B698" s="569"/>
      <c r="C698" s="1152"/>
      <c r="D698" s="1152"/>
      <c r="E698" s="1152"/>
      <c r="F698" s="1152"/>
      <c r="G698" s="1152"/>
      <c r="H698" s="1152"/>
      <c r="I698" s="1152"/>
      <c r="J698" s="1152"/>
      <c r="K698" s="1152"/>
      <c r="L698" s="1152"/>
      <c r="M698" s="569"/>
      <c r="N698" s="569"/>
      <c r="O698" s="569"/>
      <c r="P698" s="569"/>
    </row>
    <row r="699" spans="1:16" ht="18" customHeight="1">
      <c r="A699" s="569"/>
      <c r="B699" s="569"/>
      <c r="C699" s="1152"/>
      <c r="D699" s="1152"/>
      <c r="E699" s="1152"/>
      <c r="F699" s="1152"/>
      <c r="G699" s="1152"/>
      <c r="H699" s="1152"/>
      <c r="I699" s="1152"/>
      <c r="J699" s="1152"/>
      <c r="K699" s="1152"/>
      <c r="L699" s="1152"/>
      <c r="M699" s="569"/>
      <c r="N699" s="569"/>
      <c r="O699" s="569"/>
      <c r="P699" s="569"/>
    </row>
    <row r="700" spans="1:16" ht="18" customHeight="1">
      <c r="A700" s="569"/>
      <c r="B700" s="569"/>
      <c r="C700" s="1152"/>
      <c r="D700" s="1152"/>
      <c r="E700" s="1152"/>
      <c r="F700" s="1152"/>
      <c r="G700" s="1152"/>
      <c r="H700" s="1152"/>
      <c r="I700" s="1152"/>
      <c r="J700" s="1152"/>
      <c r="K700" s="1152"/>
      <c r="L700" s="1152"/>
      <c r="M700" s="569"/>
      <c r="N700" s="569"/>
      <c r="O700" s="569"/>
      <c r="P700" s="569"/>
    </row>
    <row r="701" spans="1:16" ht="18" customHeight="1">
      <c r="A701" s="569"/>
      <c r="B701" s="569"/>
      <c r="C701" s="1152"/>
      <c r="D701" s="1152"/>
      <c r="E701" s="1152"/>
      <c r="F701" s="1152"/>
      <c r="G701" s="1152"/>
      <c r="H701" s="1152"/>
      <c r="I701" s="1152"/>
      <c r="J701" s="1152"/>
      <c r="K701" s="1152"/>
      <c r="L701" s="1152"/>
      <c r="M701" s="569"/>
      <c r="N701" s="569"/>
      <c r="O701" s="569"/>
      <c r="P701" s="569"/>
    </row>
    <row r="702" spans="1:16" ht="18" customHeight="1">
      <c r="A702" s="569"/>
      <c r="B702" s="569"/>
      <c r="C702" s="1152"/>
      <c r="D702" s="1152"/>
      <c r="E702" s="1152"/>
      <c r="F702" s="1152"/>
      <c r="G702" s="1152"/>
      <c r="H702" s="1152"/>
      <c r="I702" s="1152"/>
      <c r="J702" s="1152"/>
      <c r="K702" s="1152"/>
      <c r="L702" s="1152"/>
      <c r="M702" s="569"/>
      <c r="N702" s="569"/>
      <c r="O702" s="569"/>
      <c r="P702" s="569"/>
    </row>
    <row r="703" spans="1:16" ht="18" customHeight="1">
      <c r="A703" s="569"/>
      <c r="B703" s="569"/>
      <c r="C703" s="1152"/>
      <c r="D703" s="1152"/>
      <c r="E703" s="1152"/>
      <c r="F703" s="1152"/>
      <c r="G703" s="1152"/>
      <c r="H703" s="1152"/>
      <c r="I703" s="1152"/>
      <c r="J703" s="1152"/>
      <c r="K703" s="1152"/>
      <c r="L703" s="1152"/>
      <c r="M703" s="569"/>
      <c r="N703" s="569"/>
      <c r="O703" s="569"/>
      <c r="P703" s="569"/>
    </row>
    <row r="704" spans="1:16" ht="18" customHeight="1">
      <c r="A704" s="569"/>
      <c r="B704" s="569"/>
      <c r="C704" s="1152"/>
      <c r="D704" s="1152"/>
      <c r="E704" s="1152"/>
      <c r="F704" s="1152"/>
      <c r="G704" s="1152"/>
      <c r="H704" s="1152"/>
      <c r="I704" s="1152"/>
      <c r="J704" s="1152"/>
      <c r="K704" s="1152"/>
      <c r="L704" s="1152"/>
      <c r="M704" s="569"/>
      <c r="N704" s="569"/>
      <c r="O704" s="569"/>
      <c r="P704" s="569"/>
    </row>
    <row r="705" spans="1:16" ht="18" customHeight="1">
      <c r="A705" s="569"/>
      <c r="B705" s="569"/>
      <c r="C705" s="1152"/>
      <c r="D705" s="1152"/>
      <c r="E705" s="1152"/>
      <c r="F705" s="1152"/>
      <c r="G705" s="1152"/>
      <c r="H705" s="1152"/>
      <c r="I705" s="1152"/>
      <c r="J705" s="1152"/>
      <c r="K705" s="1152"/>
      <c r="L705" s="1152"/>
      <c r="M705" s="569"/>
      <c r="N705" s="569"/>
      <c r="O705" s="569"/>
      <c r="P705" s="569"/>
    </row>
    <row r="706" spans="1:16" ht="18" customHeight="1">
      <c r="A706" s="569"/>
      <c r="B706" s="569"/>
      <c r="C706" s="1152"/>
      <c r="D706" s="1152"/>
      <c r="E706" s="1152"/>
      <c r="F706" s="1152"/>
      <c r="G706" s="1152"/>
      <c r="H706" s="1152"/>
      <c r="I706" s="1152"/>
      <c r="J706" s="1152"/>
      <c r="K706" s="1152"/>
      <c r="L706" s="1152"/>
      <c r="M706" s="569"/>
      <c r="N706" s="569"/>
      <c r="O706" s="569"/>
      <c r="P706" s="569"/>
    </row>
    <row r="707" spans="1:16" ht="18" customHeight="1">
      <c r="A707" s="569"/>
      <c r="B707" s="569"/>
      <c r="C707" s="1152"/>
      <c r="D707" s="1152"/>
      <c r="E707" s="1152"/>
      <c r="F707" s="1152"/>
      <c r="G707" s="1152"/>
      <c r="H707" s="1152"/>
      <c r="I707" s="1152"/>
      <c r="J707" s="1152"/>
      <c r="K707" s="1152"/>
      <c r="L707" s="1152"/>
      <c r="M707" s="569"/>
      <c r="N707" s="569"/>
      <c r="O707" s="569"/>
      <c r="P707" s="569"/>
    </row>
    <row r="708" spans="1:16" ht="18" customHeight="1">
      <c r="A708" s="569"/>
      <c r="B708" s="569"/>
      <c r="C708" s="1152"/>
      <c r="D708" s="1152"/>
      <c r="E708" s="1152"/>
      <c r="F708" s="1152"/>
      <c r="G708" s="1152"/>
      <c r="H708" s="1152"/>
      <c r="I708" s="1152"/>
      <c r="J708" s="1152"/>
      <c r="K708" s="1152"/>
      <c r="L708" s="1152"/>
      <c r="M708" s="569"/>
      <c r="N708" s="569"/>
      <c r="O708" s="569"/>
      <c r="P708" s="569"/>
    </row>
    <row r="709" spans="1:16" ht="18" customHeight="1">
      <c r="A709" s="569"/>
      <c r="B709" s="569"/>
      <c r="C709" s="1152"/>
      <c r="D709" s="1152"/>
      <c r="E709" s="1152"/>
      <c r="F709" s="1152"/>
      <c r="G709" s="1152"/>
      <c r="H709" s="1152"/>
      <c r="I709" s="1152"/>
      <c r="J709" s="1152"/>
      <c r="K709" s="1152"/>
      <c r="L709" s="1152"/>
      <c r="M709" s="569"/>
      <c r="N709" s="569"/>
      <c r="O709" s="569"/>
      <c r="P709" s="569"/>
    </row>
    <row r="710" spans="1:16" ht="18" customHeight="1">
      <c r="A710" s="569"/>
      <c r="B710" s="569"/>
      <c r="C710" s="1152"/>
      <c r="D710" s="1152"/>
      <c r="E710" s="1152"/>
      <c r="F710" s="1152"/>
      <c r="G710" s="1152"/>
      <c r="H710" s="1152"/>
      <c r="I710" s="1152"/>
      <c r="J710" s="1152"/>
      <c r="K710" s="1152"/>
      <c r="L710" s="1152"/>
      <c r="M710" s="569"/>
      <c r="N710" s="569"/>
      <c r="O710" s="569"/>
      <c r="P710" s="569"/>
    </row>
    <row r="711" spans="1:16" ht="18" customHeight="1">
      <c r="A711" s="569"/>
      <c r="B711" s="569"/>
      <c r="C711" s="1152"/>
      <c r="D711" s="1152"/>
      <c r="E711" s="1152"/>
      <c r="F711" s="1152"/>
      <c r="G711" s="1152"/>
      <c r="H711" s="1152"/>
      <c r="I711" s="1152"/>
      <c r="J711" s="1152"/>
      <c r="K711" s="1152"/>
      <c r="L711" s="1152"/>
      <c r="M711" s="569"/>
      <c r="N711" s="569"/>
      <c r="O711" s="569"/>
      <c r="P711" s="569"/>
    </row>
    <row r="712" spans="1:16" ht="18" customHeight="1">
      <c r="A712" s="569"/>
      <c r="B712" s="569"/>
      <c r="C712" s="1152"/>
      <c r="D712" s="1152"/>
      <c r="E712" s="1152"/>
      <c r="F712" s="1152"/>
      <c r="G712" s="1152"/>
      <c r="H712" s="1152"/>
      <c r="I712" s="1152"/>
      <c r="J712" s="1152"/>
      <c r="K712" s="1152"/>
      <c r="L712" s="1152"/>
      <c r="M712" s="569"/>
      <c r="N712" s="569"/>
      <c r="O712" s="569"/>
      <c r="P712" s="569"/>
    </row>
    <row r="713" spans="1:16" ht="18" customHeight="1">
      <c r="A713" s="569"/>
      <c r="B713" s="569"/>
      <c r="C713" s="1152"/>
      <c r="D713" s="1152"/>
      <c r="E713" s="1152"/>
      <c r="F713" s="1152"/>
      <c r="G713" s="1152"/>
      <c r="H713" s="1152"/>
      <c r="I713" s="1152"/>
      <c r="J713" s="1152"/>
      <c r="K713" s="1152"/>
      <c r="L713" s="1152"/>
      <c r="M713" s="569"/>
      <c r="N713" s="569"/>
      <c r="O713" s="569"/>
      <c r="P713" s="569"/>
    </row>
    <row r="714" spans="1:16" ht="18" customHeight="1">
      <c r="A714" s="569"/>
      <c r="B714" s="569"/>
      <c r="C714" s="1152"/>
      <c r="D714" s="1152"/>
      <c r="E714" s="1152"/>
      <c r="F714" s="1152"/>
      <c r="G714" s="1152"/>
      <c r="H714" s="1152"/>
      <c r="I714" s="1152"/>
      <c r="J714" s="1152"/>
      <c r="K714" s="1152"/>
      <c r="L714" s="1152"/>
      <c r="M714" s="569"/>
      <c r="N714" s="569"/>
      <c r="O714" s="569"/>
      <c r="P714" s="569"/>
    </row>
    <row r="715" spans="1:16" ht="18" customHeight="1">
      <c r="A715" s="569"/>
      <c r="B715" s="569"/>
      <c r="C715" s="1152"/>
      <c r="D715" s="1152"/>
      <c r="E715" s="1152"/>
      <c r="F715" s="1152"/>
      <c r="G715" s="1152"/>
      <c r="H715" s="1152"/>
      <c r="I715" s="1152"/>
      <c r="J715" s="1152"/>
      <c r="K715" s="1152"/>
      <c r="L715" s="1152"/>
      <c r="M715" s="569"/>
      <c r="N715" s="569"/>
      <c r="O715" s="569"/>
      <c r="P715" s="569"/>
    </row>
    <row r="716" spans="1:16" ht="18" customHeight="1">
      <c r="A716" s="569"/>
      <c r="B716" s="569"/>
      <c r="C716" s="1152"/>
      <c r="D716" s="1152"/>
      <c r="E716" s="1152"/>
      <c r="F716" s="1152"/>
      <c r="G716" s="1152"/>
      <c r="H716" s="1152"/>
      <c r="I716" s="1152"/>
      <c r="J716" s="1152"/>
      <c r="K716" s="1152"/>
      <c r="L716" s="1152"/>
      <c r="M716" s="569"/>
      <c r="N716" s="569"/>
      <c r="O716" s="569"/>
      <c r="P716" s="569"/>
    </row>
    <row r="717" spans="1:16" ht="18" customHeight="1">
      <c r="A717" s="569"/>
      <c r="B717" s="569"/>
      <c r="C717" s="1152"/>
      <c r="D717" s="1152"/>
      <c r="E717" s="1152"/>
      <c r="F717" s="1152"/>
      <c r="G717" s="1152"/>
      <c r="H717" s="1152"/>
      <c r="I717" s="1152"/>
      <c r="J717" s="1152"/>
      <c r="K717" s="1152"/>
      <c r="L717" s="1152"/>
      <c r="M717" s="569"/>
      <c r="N717" s="569"/>
      <c r="O717" s="569"/>
      <c r="P717" s="569"/>
    </row>
    <row r="718" spans="1:16" ht="18" customHeight="1">
      <c r="A718" s="569"/>
      <c r="B718" s="569"/>
      <c r="C718" s="1152"/>
      <c r="D718" s="1152"/>
      <c r="E718" s="1152"/>
      <c r="F718" s="1152"/>
      <c r="G718" s="1152"/>
      <c r="H718" s="1152"/>
      <c r="I718" s="1152"/>
      <c r="J718" s="1152"/>
      <c r="K718" s="1152"/>
      <c r="L718" s="1152"/>
      <c r="M718" s="569"/>
      <c r="N718" s="569"/>
      <c r="O718" s="569"/>
      <c r="P718" s="569"/>
    </row>
    <row r="719" spans="1:16" ht="18" customHeight="1">
      <c r="A719" s="569"/>
      <c r="B719" s="569"/>
      <c r="C719" s="1152"/>
      <c r="D719" s="1152"/>
      <c r="E719" s="1152"/>
      <c r="F719" s="1152"/>
      <c r="G719" s="1152"/>
      <c r="H719" s="1152"/>
      <c r="I719" s="1152"/>
      <c r="J719" s="1152"/>
      <c r="K719" s="1152"/>
      <c r="L719" s="1152"/>
      <c r="M719" s="569"/>
      <c r="N719" s="569"/>
      <c r="O719" s="569"/>
      <c r="P719" s="569"/>
    </row>
    <row r="720" spans="1:16" ht="18" customHeight="1">
      <c r="A720" s="569"/>
      <c r="B720" s="569"/>
      <c r="C720" s="1152"/>
      <c r="D720" s="1152"/>
      <c r="E720" s="1152"/>
      <c r="F720" s="1152"/>
      <c r="G720" s="1152"/>
      <c r="H720" s="1152"/>
      <c r="I720" s="1152"/>
      <c r="J720" s="1152"/>
      <c r="K720" s="1152"/>
      <c r="L720" s="1152"/>
      <c r="M720" s="569"/>
      <c r="N720" s="569"/>
      <c r="O720" s="569"/>
      <c r="P720" s="569"/>
    </row>
    <row r="721" spans="1:16" ht="18" customHeight="1">
      <c r="A721" s="569"/>
      <c r="B721" s="569"/>
      <c r="C721" s="1152"/>
      <c r="D721" s="1152"/>
      <c r="E721" s="1152"/>
      <c r="F721" s="1152"/>
      <c r="G721" s="1152"/>
      <c r="H721" s="1152"/>
      <c r="I721" s="1152"/>
      <c r="J721" s="1152"/>
      <c r="K721" s="1152"/>
      <c r="L721" s="1152"/>
      <c r="M721" s="569"/>
      <c r="N721" s="569"/>
      <c r="O721" s="569"/>
      <c r="P721" s="569"/>
    </row>
    <row r="722" spans="1:16" ht="18" customHeight="1">
      <c r="A722" s="569"/>
      <c r="B722" s="569"/>
      <c r="C722" s="1152"/>
      <c r="D722" s="1152"/>
      <c r="E722" s="1152"/>
      <c r="F722" s="1152"/>
      <c r="G722" s="1152"/>
      <c r="H722" s="1152"/>
      <c r="I722" s="1152"/>
      <c r="J722" s="1152"/>
      <c r="K722" s="1152"/>
      <c r="L722" s="1152"/>
      <c r="M722" s="569"/>
      <c r="N722" s="569"/>
      <c r="O722" s="569"/>
      <c r="P722" s="569"/>
    </row>
    <row r="723" spans="1:16" ht="18" customHeight="1">
      <c r="A723" s="569"/>
      <c r="B723" s="569"/>
      <c r="C723" s="1152"/>
      <c r="D723" s="1152"/>
      <c r="E723" s="1152"/>
      <c r="F723" s="1152"/>
      <c r="G723" s="1152"/>
      <c r="H723" s="1152"/>
      <c r="I723" s="1152"/>
      <c r="J723" s="1152"/>
      <c r="K723" s="1152"/>
      <c r="L723" s="1152"/>
      <c r="M723" s="569"/>
      <c r="N723" s="569"/>
      <c r="O723" s="569"/>
      <c r="P723" s="569"/>
    </row>
    <row r="724" spans="1:16" ht="18" customHeight="1">
      <c r="A724" s="569"/>
      <c r="B724" s="569"/>
      <c r="C724" s="1152"/>
      <c r="D724" s="1152"/>
      <c r="E724" s="1152"/>
      <c r="F724" s="1152"/>
      <c r="G724" s="1152"/>
      <c r="H724" s="1152"/>
      <c r="I724" s="1152"/>
      <c r="J724" s="1152"/>
      <c r="K724" s="1152"/>
      <c r="L724" s="1152"/>
      <c r="M724" s="569"/>
      <c r="N724" s="569"/>
      <c r="O724" s="569"/>
      <c r="P724" s="569"/>
    </row>
    <row r="725" spans="1:16" ht="18" customHeight="1">
      <c r="A725" s="569"/>
      <c r="B725" s="569"/>
      <c r="C725" s="1152"/>
      <c r="D725" s="1152"/>
      <c r="E725" s="1152"/>
      <c r="F725" s="1152"/>
      <c r="G725" s="1152"/>
      <c r="H725" s="1152"/>
      <c r="I725" s="1152"/>
      <c r="J725" s="1152"/>
      <c r="K725" s="1152"/>
      <c r="L725" s="1152"/>
      <c r="M725" s="569"/>
      <c r="N725" s="569"/>
      <c r="O725" s="569"/>
      <c r="P725" s="569"/>
    </row>
    <row r="726" spans="1:16" ht="18" customHeight="1">
      <c r="A726" s="569"/>
      <c r="B726" s="569"/>
      <c r="C726" s="1152"/>
      <c r="D726" s="1152"/>
      <c r="E726" s="1152"/>
      <c r="F726" s="1152"/>
      <c r="G726" s="1152"/>
      <c r="H726" s="1152"/>
      <c r="I726" s="1152"/>
      <c r="J726" s="1152"/>
      <c r="K726" s="1152"/>
      <c r="L726" s="1152"/>
      <c r="M726" s="569"/>
      <c r="N726" s="569"/>
      <c r="O726" s="569"/>
      <c r="P726" s="569"/>
    </row>
    <row r="727" spans="1:16" ht="18" customHeight="1">
      <c r="A727" s="569"/>
      <c r="B727" s="569"/>
      <c r="C727" s="1152"/>
      <c r="D727" s="1152"/>
      <c r="E727" s="1152"/>
      <c r="F727" s="1152"/>
      <c r="G727" s="1152"/>
      <c r="H727" s="1152"/>
      <c r="I727" s="1152"/>
      <c r="J727" s="1152"/>
      <c r="K727" s="1152"/>
      <c r="L727" s="1152"/>
      <c r="M727" s="569"/>
      <c r="N727" s="569"/>
      <c r="O727" s="569"/>
      <c r="P727" s="569"/>
    </row>
    <row r="728" spans="1:16" ht="18" customHeight="1">
      <c r="A728" s="569"/>
      <c r="B728" s="569"/>
      <c r="C728" s="1152"/>
      <c r="D728" s="1152"/>
      <c r="E728" s="1152"/>
      <c r="F728" s="1152"/>
      <c r="G728" s="1152"/>
      <c r="H728" s="1152"/>
      <c r="I728" s="1152"/>
      <c r="J728" s="1152"/>
      <c r="K728" s="1152"/>
      <c r="L728" s="1152"/>
      <c r="M728" s="569"/>
      <c r="N728" s="569"/>
      <c r="O728" s="569"/>
      <c r="P728" s="569"/>
    </row>
    <row r="729" spans="1:16" ht="18" customHeight="1">
      <c r="A729" s="569"/>
      <c r="B729" s="569"/>
      <c r="C729" s="1152"/>
      <c r="D729" s="1152"/>
      <c r="E729" s="1152"/>
      <c r="F729" s="1152"/>
      <c r="G729" s="1152"/>
      <c r="H729" s="1152"/>
      <c r="I729" s="1152"/>
      <c r="J729" s="1152"/>
      <c r="K729" s="1152"/>
      <c r="L729" s="1152"/>
      <c r="M729" s="569"/>
      <c r="N729" s="569"/>
      <c r="O729" s="569"/>
      <c r="P729" s="569"/>
    </row>
    <row r="730" spans="1:16" ht="18" customHeight="1">
      <c r="A730" s="569"/>
      <c r="B730" s="569"/>
      <c r="C730" s="1152"/>
      <c r="D730" s="1152"/>
      <c r="E730" s="1152"/>
      <c r="F730" s="1152"/>
      <c r="G730" s="1152"/>
      <c r="H730" s="1152"/>
      <c r="I730" s="1152"/>
      <c r="J730" s="1152"/>
      <c r="K730" s="1152"/>
      <c r="L730" s="1152"/>
      <c r="M730" s="569"/>
      <c r="N730" s="569"/>
      <c r="O730" s="569"/>
      <c r="P730" s="569"/>
    </row>
    <row r="731" spans="1:16" ht="18" customHeight="1">
      <c r="A731" s="569"/>
      <c r="B731" s="569"/>
      <c r="C731" s="1152"/>
      <c r="D731" s="1152"/>
      <c r="E731" s="1152"/>
      <c r="F731" s="1152"/>
      <c r="G731" s="1152"/>
      <c r="H731" s="1152"/>
      <c r="I731" s="1152"/>
      <c r="J731" s="1152"/>
      <c r="K731" s="1152"/>
      <c r="L731" s="1152"/>
      <c r="M731" s="569"/>
      <c r="N731" s="569"/>
      <c r="O731" s="569"/>
      <c r="P731" s="569"/>
    </row>
    <row r="732" spans="1:16" ht="18" customHeight="1">
      <c r="A732" s="569"/>
      <c r="B732" s="569"/>
      <c r="C732" s="1152"/>
      <c r="D732" s="1152"/>
      <c r="E732" s="1152"/>
      <c r="F732" s="1152"/>
      <c r="G732" s="1152"/>
      <c r="H732" s="1152"/>
      <c r="I732" s="1152"/>
      <c r="J732" s="1152"/>
      <c r="K732" s="1152"/>
      <c r="L732" s="1152"/>
      <c r="M732" s="569"/>
      <c r="N732" s="569"/>
      <c r="O732" s="569"/>
      <c r="P732" s="569"/>
    </row>
    <row r="733" spans="1:16" ht="18" customHeight="1">
      <c r="A733" s="569"/>
      <c r="B733" s="569"/>
      <c r="C733" s="1152"/>
      <c r="D733" s="1152"/>
      <c r="E733" s="1152"/>
      <c r="F733" s="1152"/>
      <c r="G733" s="1152"/>
      <c r="H733" s="1152"/>
      <c r="I733" s="1152"/>
      <c r="J733" s="1152"/>
      <c r="K733" s="1152"/>
      <c r="L733" s="1152"/>
      <c r="M733" s="569"/>
      <c r="N733" s="569"/>
      <c r="O733" s="569"/>
      <c r="P733" s="569"/>
    </row>
    <row r="734" spans="1:16" ht="18" customHeight="1">
      <c r="A734" s="569"/>
      <c r="B734" s="569"/>
      <c r="C734" s="1152"/>
      <c r="D734" s="1152"/>
      <c r="E734" s="1152"/>
      <c r="F734" s="1152"/>
      <c r="G734" s="1152"/>
      <c r="H734" s="1152"/>
      <c r="I734" s="1152"/>
      <c r="J734" s="1152"/>
      <c r="K734" s="1152"/>
      <c r="L734" s="1152"/>
      <c r="M734" s="569"/>
      <c r="N734" s="569"/>
      <c r="O734" s="569"/>
      <c r="P734" s="569"/>
    </row>
    <row r="735" spans="1:16" ht="18" customHeight="1">
      <c r="A735" s="569"/>
      <c r="B735" s="569"/>
      <c r="C735" s="1152"/>
      <c r="D735" s="1152"/>
      <c r="E735" s="1152"/>
      <c r="F735" s="1152"/>
      <c r="G735" s="1152"/>
      <c r="H735" s="1152"/>
      <c r="I735" s="1152"/>
      <c r="J735" s="1152"/>
      <c r="K735" s="1152"/>
      <c r="L735" s="1152"/>
      <c r="M735" s="569"/>
      <c r="N735" s="569"/>
      <c r="O735" s="569"/>
      <c r="P735" s="569"/>
    </row>
    <row r="736" spans="1:16" ht="18" customHeight="1">
      <c r="A736" s="569"/>
      <c r="B736" s="569"/>
      <c r="C736" s="1152"/>
      <c r="D736" s="1152"/>
      <c r="E736" s="1152"/>
      <c r="F736" s="1152"/>
      <c r="G736" s="1152"/>
      <c r="H736" s="1152"/>
      <c r="I736" s="1152"/>
      <c r="J736" s="1152"/>
      <c r="K736" s="1152"/>
      <c r="L736" s="1152"/>
      <c r="M736" s="569"/>
      <c r="N736" s="569"/>
      <c r="O736" s="569"/>
      <c r="P736" s="569"/>
    </row>
    <row r="737" spans="1:16" ht="18" customHeight="1">
      <c r="A737" s="569"/>
      <c r="B737" s="569"/>
      <c r="C737" s="1152"/>
      <c r="D737" s="1152"/>
      <c r="E737" s="1152"/>
      <c r="F737" s="1152"/>
      <c r="G737" s="1152"/>
      <c r="H737" s="1152"/>
      <c r="I737" s="1152"/>
      <c r="J737" s="1152"/>
      <c r="K737" s="1152"/>
      <c r="L737" s="1152"/>
      <c r="M737" s="569"/>
      <c r="N737" s="569"/>
      <c r="O737" s="569"/>
      <c r="P737" s="569"/>
    </row>
    <row r="738" spans="1:16" ht="18" customHeight="1">
      <c r="A738" s="569"/>
      <c r="B738" s="569"/>
      <c r="C738" s="1152"/>
      <c r="D738" s="1152"/>
      <c r="E738" s="1152"/>
      <c r="F738" s="1152"/>
      <c r="G738" s="1152"/>
      <c r="H738" s="1152"/>
      <c r="I738" s="1152"/>
      <c r="J738" s="1152"/>
      <c r="K738" s="1152"/>
      <c r="L738" s="1152"/>
      <c r="M738" s="569"/>
      <c r="N738" s="569"/>
      <c r="O738" s="569"/>
      <c r="P738" s="569"/>
    </row>
    <row r="739" spans="1:16" ht="18" customHeight="1">
      <c r="A739" s="569"/>
      <c r="B739" s="569"/>
      <c r="C739" s="1152"/>
      <c r="D739" s="1152"/>
      <c r="E739" s="1152"/>
      <c r="F739" s="1152"/>
      <c r="G739" s="1152"/>
      <c r="H739" s="1152"/>
      <c r="I739" s="1152"/>
      <c r="J739" s="1152"/>
      <c r="K739" s="1152"/>
      <c r="L739" s="1152"/>
      <c r="M739" s="569"/>
      <c r="N739" s="569"/>
      <c r="O739" s="569"/>
      <c r="P739" s="569"/>
    </row>
    <row r="740" spans="1:16" ht="18" customHeight="1">
      <c r="A740" s="569"/>
      <c r="B740" s="569"/>
      <c r="C740" s="1152"/>
      <c r="D740" s="1152"/>
      <c r="E740" s="1152"/>
      <c r="F740" s="1152"/>
      <c r="G740" s="1152"/>
      <c r="H740" s="1152"/>
      <c r="I740" s="1152"/>
      <c r="J740" s="1152"/>
      <c r="K740" s="1152"/>
      <c r="L740" s="1152"/>
      <c r="M740" s="569"/>
      <c r="N740" s="569"/>
      <c r="O740" s="569"/>
      <c r="P740" s="569"/>
    </row>
    <row r="741" spans="1:16" ht="18" customHeight="1">
      <c r="A741" s="569"/>
      <c r="B741" s="569"/>
      <c r="C741" s="1152"/>
      <c r="D741" s="1152"/>
      <c r="E741" s="1152"/>
      <c r="F741" s="1152"/>
      <c r="G741" s="1152"/>
      <c r="H741" s="1152"/>
      <c r="I741" s="1152"/>
      <c r="J741" s="1152"/>
      <c r="K741" s="1152"/>
      <c r="L741" s="1152"/>
      <c r="M741" s="569"/>
      <c r="N741" s="569"/>
      <c r="O741" s="569"/>
      <c r="P741" s="569"/>
    </row>
    <row r="742" spans="1:16" ht="18" customHeight="1">
      <c r="A742" s="569"/>
      <c r="B742" s="569"/>
      <c r="C742" s="1152"/>
      <c r="D742" s="1152"/>
      <c r="E742" s="1152"/>
      <c r="F742" s="1152"/>
      <c r="G742" s="1152"/>
      <c r="H742" s="1152"/>
      <c r="I742" s="1152"/>
      <c r="J742" s="1152"/>
      <c r="K742" s="1152"/>
      <c r="L742" s="1152"/>
      <c r="M742" s="569"/>
      <c r="N742" s="569"/>
      <c r="O742" s="569"/>
      <c r="P742" s="569"/>
    </row>
    <row r="743" spans="1:16" ht="18" customHeight="1">
      <c r="A743" s="569"/>
      <c r="B743" s="569"/>
      <c r="C743" s="1152"/>
      <c r="D743" s="1152"/>
      <c r="E743" s="1152"/>
      <c r="F743" s="1152"/>
      <c r="G743" s="1152"/>
      <c r="H743" s="1152"/>
      <c r="I743" s="1152"/>
      <c r="J743" s="1152"/>
      <c r="K743" s="1152"/>
      <c r="L743" s="1152"/>
      <c r="M743" s="569"/>
      <c r="N743" s="569"/>
      <c r="O743" s="569"/>
      <c r="P743" s="569"/>
    </row>
    <row r="744" spans="1:16" ht="18" customHeight="1">
      <c r="A744" s="569"/>
      <c r="B744" s="569"/>
      <c r="C744" s="1152"/>
      <c r="D744" s="1152"/>
      <c r="E744" s="1152"/>
      <c r="F744" s="1152"/>
      <c r="G744" s="1152"/>
      <c r="H744" s="1152"/>
      <c r="I744" s="1152"/>
      <c r="J744" s="1152"/>
      <c r="K744" s="1152"/>
      <c r="L744" s="1152"/>
      <c r="M744" s="569"/>
      <c r="N744" s="569"/>
      <c r="O744" s="569"/>
      <c r="P744" s="569"/>
    </row>
    <row r="745" spans="1:16" ht="18" customHeight="1">
      <c r="A745" s="569"/>
      <c r="B745" s="569"/>
      <c r="C745" s="1152"/>
      <c r="D745" s="1152"/>
      <c r="E745" s="1152"/>
      <c r="F745" s="1152"/>
      <c r="G745" s="1152"/>
      <c r="H745" s="1152"/>
      <c r="I745" s="1152"/>
      <c r="J745" s="1152"/>
      <c r="K745" s="1152"/>
      <c r="L745" s="1152"/>
      <c r="M745" s="569"/>
      <c r="N745" s="569"/>
      <c r="O745" s="569"/>
      <c r="P745" s="569"/>
    </row>
    <row r="746" spans="1:16" ht="18" customHeight="1">
      <c r="A746" s="569"/>
      <c r="B746" s="569"/>
      <c r="C746" s="1152"/>
      <c r="D746" s="1152"/>
      <c r="E746" s="1152"/>
      <c r="F746" s="1152"/>
      <c r="G746" s="1152"/>
      <c r="H746" s="1152"/>
      <c r="I746" s="1152"/>
      <c r="J746" s="1152"/>
      <c r="K746" s="1152"/>
      <c r="L746" s="1152"/>
      <c r="M746" s="569"/>
      <c r="N746" s="569"/>
      <c r="O746" s="569"/>
      <c r="P746" s="569"/>
    </row>
    <row r="747" spans="1:16" ht="18" customHeight="1">
      <c r="A747" s="569"/>
      <c r="B747" s="569"/>
      <c r="C747" s="1152"/>
      <c r="D747" s="1152"/>
      <c r="E747" s="1152"/>
      <c r="F747" s="1152"/>
      <c r="G747" s="1152"/>
      <c r="H747" s="1152"/>
      <c r="I747" s="1152"/>
      <c r="J747" s="1152"/>
      <c r="K747" s="1152"/>
      <c r="L747" s="1152"/>
      <c r="M747" s="569"/>
      <c r="N747" s="569"/>
      <c r="O747" s="569"/>
      <c r="P747" s="569"/>
    </row>
    <row r="748" spans="1:16" ht="18" customHeight="1">
      <c r="A748" s="569"/>
      <c r="B748" s="569"/>
      <c r="C748" s="1152"/>
      <c r="D748" s="1152"/>
      <c r="E748" s="1152"/>
      <c r="F748" s="1152"/>
      <c r="G748" s="1152"/>
      <c r="H748" s="1152"/>
      <c r="I748" s="1152"/>
      <c r="J748" s="1152"/>
      <c r="K748" s="1152"/>
      <c r="L748" s="1152"/>
      <c r="M748" s="569"/>
      <c r="N748" s="569"/>
      <c r="O748" s="569"/>
      <c r="P748" s="569"/>
    </row>
    <row r="749" spans="1:16" ht="18" customHeight="1">
      <c r="A749" s="569"/>
      <c r="B749" s="569"/>
      <c r="C749" s="1152"/>
      <c r="D749" s="1152"/>
      <c r="E749" s="1152"/>
      <c r="F749" s="1152"/>
      <c r="G749" s="1152"/>
      <c r="H749" s="1152"/>
      <c r="I749" s="1152"/>
      <c r="J749" s="1152"/>
      <c r="K749" s="1152"/>
      <c r="L749" s="1152"/>
      <c r="M749" s="569"/>
      <c r="N749" s="569"/>
      <c r="O749" s="569"/>
      <c r="P749" s="569"/>
    </row>
    <row r="750" spans="1:16" ht="18" customHeight="1">
      <c r="A750" s="569"/>
      <c r="B750" s="569"/>
      <c r="C750" s="1152"/>
      <c r="D750" s="1152"/>
      <c r="E750" s="1152"/>
      <c r="F750" s="1152"/>
      <c r="G750" s="1152"/>
      <c r="H750" s="1152"/>
      <c r="I750" s="1152"/>
      <c r="J750" s="1152"/>
      <c r="K750" s="1152"/>
      <c r="L750" s="1152"/>
      <c r="M750" s="569"/>
      <c r="N750" s="569"/>
      <c r="O750" s="569"/>
      <c r="P750" s="569"/>
    </row>
    <row r="751" spans="1:16" ht="18" customHeight="1">
      <c r="A751" s="569"/>
      <c r="B751" s="569"/>
      <c r="C751" s="1152"/>
      <c r="D751" s="1152"/>
      <c r="E751" s="1152"/>
      <c r="F751" s="1152"/>
      <c r="G751" s="1152"/>
      <c r="H751" s="1152"/>
      <c r="I751" s="1152"/>
      <c r="J751" s="1152"/>
      <c r="K751" s="1152"/>
      <c r="L751" s="1152"/>
      <c r="M751" s="569"/>
      <c r="N751" s="569"/>
      <c r="O751" s="569"/>
      <c r="P751" s="569"/>
    </row>
    <row r="752" spans="1:16" ht="18" customHeight="1">
      <c r="A752" s="569"/>
      <c r="B752" s="569"/>
      <c r="C752" s="1152"/>
      <c r="D752" s="1152"/>
      <c r="E752" s="1152"/>
      <c r="F752" s="1152"/>
      <c r="G752" s="1152"/>
      <c r="H752" s="1152"/>
      <c r="I752" s="1152"/>
      <c r="J752" s="1152"/>
      <c r="K752" s="1152"/>
      <c r="L752" s="1152"/>
      <c r="M752" s="569"/>
      <c r="N752" s="569"/>
      <c r="O752" s="569"/>
      <c r="P752" s="569"/>
    </row>
    <row r="753" spans="1:16" ht="18" customHeight="1">
      <c r="A753" s="569"/>
      <c r="B753" s="569"/>
      <c r="C753" s="1152"/>
      <c r="D753" s="1152"/>
      <c r="E753" s="1152"/>
      <c r="F753" s="1152"/>
      <c r="G753" s="1152"/>
      <c r="H753" s="1152"/>
      <c r="I753" s="1152"/>
      <c r="J753" s="1152"/>
      <c r="K753" s="1152"/>
      <c r="L753" s="1152"/>
      <c r="M753" s="569"/>
      <c r="N753" s="569"/>
      <c r="O753" s="569"/>
      <c r="P753" s="569"/>
    </row>
    <row r="754" spans="1:16" ht="18" customHeight="1">
      <c r="A754" s="569"/>
      <c r="B754" s="569"/>
      <c r="C754" s="1152"/>
      <c r="D754" s="1152"/>
      <c r="E754" s="1152"/>
      <c r="F754" s="1152"/>
      <c r="G754" s="1152"/>
      <c r="H754" s="1152"/>
      <c r="I754" s="1152"/>
      <c r="J754" s="1152"/>
      <c r="K754" s="1152"/>
      <c r="L754" s="1152"/>
      <c r="M754" s="569"/>
      <c r="N754" s="569"/>
      <c r="O754" s="569"/>
      <c r="P754" s="569"/>
    </row>
    <row r="755" spans="1:16" ht="18" customHeight="1">
      <c r="A755" s="569"/>
      <c r="B755" s="569"/>
      <c r="C755" s="1152"/>
      <c r="D755" s="1152"/>
      <c r="E755" s="1152"/>
      <c r="F755" s="1152"/>
      <c r="G755" s="1152"/>
      <c r="H755" s="1152"/>
      <c r="I755" s="1152"/>
      <c r="J755" s="1152"/>
      <c r="K755" s="1152"/>
      <c r="L755" s="1152"/>
      <c r="M755" s="569"/>
      <c r="N755" s="569"/>
      <c r="O755" s="569"/>
      <c r="P755" s="569"/>
    </row>
    <row r="756" spans="1:16" ht="18" customHeight="1">
      <c r="A756" s="569"/>
      <c r="B756" s="569"/>
      <c r="C756" s="1152"/>
      <c r="D756" s="1152"/>
      <c r="E756" s="1152"/>
      <c r="F756" s="1152"/>
      <c r="G756" s="1152"/>
      <c r="H756" s="1152"/>
      <c r="I756" s="1152"/>
      <c r="J756" s="1152"/>
      <c r="K756" s="1152"/>
      <c r="L756" s="1152"/>
      <c r="M756" s="569"/>
      <c r="N756" s="569"/>
      <c r="O756" s="569"/>
      <c r="P756" s="569"/>
    </row>
    <row r="757" spans="1:16" ht="18" customHeight="1">
      <c r="A757" s="569"/>
      <c r="B757" s="569"/>
      <c r="C757" s="1152"/>
      <c r="D757" s="1152"/>
      <c r="E757" s="1152"/>
      <c r="F757" s="1152"/>
      <c r="G757" s="1152"/>
      <c r="H757" s="1152"/>
      <c r="I757" s="1152"/>
      <c r="J757" s="1152"/>
      <c r="K757" s="1152"/>
      <c r="L757" s="1152"/>
      <c r="M757" s="569"/>
      <c r="N757" s="569"/>
      <c r="O757" s="569"/>
      <c r="P757" s="569"/>
    </row>
    <row r="758" spans="1:16" ht="18" customHeight="1">
      <c r="A758" s="569"/>
      <c r="B758" s="569"/>
      <c r="C758" s="1152"/>
      <c r="D758" s="1152"/>
      <c r="E758" s="1152"/>
      <c r="F758" s="1152"/>
      <c r="G758" s="1152"/>
      <c r="H758" s="1152"/>
      <c r="I758" s="1152"/>
      <c r="J758" s="1152"/>
      <c r="K758" s="1152"/>
      <c r="L758" s="1152"/>
      <c r="M758" s="569"/>
      <c r="N758" s="569"/>
      <c r="O758" s="569"/>
      <c r="P758" s="569"/>
    </row>
    <row r="759" spans="1:16" ht="18" customHeight="1">
      <c r="A759" s="569"/>
      <c r="B759" s="569"/>
      <c r="C759" s="1152"/>
      <c r="D759" s="1152"/>
      <c r="E759" s="1152"/>
      <c r="F759" s="1152"/>
      <c r="G759" s="1152"/>
      <c r="H759" s="1152"/>
      <c r="I759" s="1152"/>
      <c r="J759" s="1152"/>
      <c r="K759" s="1152"/>
      <c r="L759" s="1152"/>
      <c r="M759" s="569"/>
      <c r="N759" s="569"/>
      <c r="O759" s="569"/>
      <c r="P759" s="569"/>
    </row>
    <row r="760" spans="1:16" ht="18" customHeight="1">
      <c r="A760" s="569"/>
      <c r="B760" s="569"/>
      <c r="C760" s="1152"/>
      <c r="D760" s="1152"/>
      <c r="E760" s="1152"/>
      <c r="F760" s="1152"/>
      <c r="G760" s="1152"/>
      <c r="H760" s="1152"/>
      <c r="I760" s="1152"/>
      <c r="J760" s="1152"/>
      <c r="K760" s="1152"/>
      <c r="L760" s="1152"/>
      <c r="M760" s="569"/>
      <c r="N760" s="569"/>
      <c r="O760" s="569"/>
      <c r="P760" s="569"/>
    </row>
    <row r="761" spans="1:16" ht="18" customHeight="1">
      <c r="A761" s="569"/>
      <c r="B761" s="569"/>
      <c r="C761" s="1152"/>
      <c r="D761" s="1152"/>
      <c r="E761" s="1152"/>
      <c r="F761" s="1152"/>
      <c r="G761" s="1152"/>
      <c r="H761" s="1152"/>
      <c r="I761" s="1152"/>
      <c r="J761" s="1152"/>
      <c r="K761" s="1152"/>
      <c r="L761" s="1152"/>
      <c r="M761" s="569"/>
      <c r="N761" s="569"/>
      <c r="O761" s="569"/>
      <c r="P761" s="569"/>
    </row>
    <row r="762" spans="1:16" ht="18" customHeight="1">
      <c r="A762" s="569"/>
      <c r="B762" s="569"/>
      <c r="C762" s="1152"/>
      <c r="D762" s="1152"/>
      <c r="E762" s="1152"/>
      <c r="F762" s="1152"/>
      <c r="G762" s="1152"/>
      <c r="H762" s="1152"/>
      <c r="I762" s="1152"/>
      <c r="J762" s="1152"/>
      <c r="K762" s="1152"/>
      <c r="L762" s="1152"/>
      <c r="M762" s="569"/>
      <c r="N762" s="569"/>
      <c r="O762" s="569"/>
      <c r="P762" s="569"/>
    </row>
    <row r="763" spans="1:16" ht="18" customHeight="1">
      <c r="A763" s="569"/>
      <c r="B763" s="569"/>
      <c r="C763" s="1152"/>
      <c r="D763" s="1152"/>
      <c r="E763" s="1152"/>
      <c r="F763" s="1152"/>
      <c r="G763" s="1152"/>
      <c r="H763" s="1152"/>
      <c r="I763" s="1152"/>
      <c r="J763" s="1152"/>
      <c r="K763" s="1152"/>
      <c r="L763" s="1152"/>
      <c r="M763" s="569"/>
      <c r="N763" s="569"/>
      <c r="O763" s="569"/>
      <c r="P763" s="569"/>
    </row>
    <row r="764" spans="1:16" ht="18" customHeight="1">
      <c r="A764" s="569"/>
      <c r="B764" s="569"/>
      <c r="C764" s="1152"/>
      <c r="D764" s="1152"/>
      <c r="E764" s="1152"/>
      <c r="F764" s="1152"/>
      <c r="G764" s="1152"/>
      <c r="H764" s="1152"/>
      <c r="I764" s="1152"/>
      <c r="J764" s="1152"/>
      <c r="K764" s="1152"/>
      <c r="L764" s="1152"/>
      <c r="M764" s="569"/>
      <c r="N764" s="569"/>
      <c r="O764" s="569"/>
      <c r="P764" s="569"/>
    </row>
    <row r="765" spans="1:16" ht="18" customHeight="1">
      <c r="A765" s="569"/>
      <c r="B765" s="569"/>
      <c r="C765" s="1152"/>
      <c r="D765" s="1152"/>
      <c r="E765" s="1152"/>
      <c r="F765" s="1152"/>
      <c r="G765" s="1152"/>
      <c r="H765" s="1152"/>
      <c r="I765" s="1152"/>
      <c r="J765" s="1152"/>
      <c r="K765" s="1152"/>
      <c r="L765" s="1152"/>
      <c r="M765" s="569"/>
      <c r="N765" s="569"/>
      <c r="O765" s="569"/>
      <c r="P765" s="569"/>
    </row>
    <row r="766" spans="1:16" ht="18" customHeight="1">
      <c r="A766" s="569"/>
      <c r="B766" s="569"/>
      <c r="C766" s="1152"/>
      <c r="D766" s="1152"/>
      <c r="E766" s="1152"/>
      <c r="F766" s="1152"/>
      <c r="G766" s="1152"/>
      <c r="H766" s="1152"/>
      <c r="I766" s="1152"/>
      <c r="J766" s="1152"/>
      <c r="K766" s="1152"/>
      <c r="L766" s="1152"/>
      <c r="M766" s="569"/>
      <c r="N766" s="569"/>
      <c r="O766" s="569"/>
      <c r="P766" s="569"/>
    </row>
    <row r="767" spans="1:16" ht="18" customHeight="1">
      <c r="A767" s="569"/>
      <c r="B767" s="569"/>
      <c r="C767" s="1152"/>
      <c r="D767" s="1152"/>
      <c r="E767" s="1152"/>
      <c r="F767" s="1152"/>
      <c r="G767" s="1152"/>
      <c r="H767" s="1152"/>
      <c r="I767" s="1152"/>
      <c r="J767" s="1152"/>
      <c r="K767" s="1152"/>
      <c r="L767" s="1152"/>
      <c r="M767" s="569"/>
      <c r="N767" s="569"/>
      <c r="O767" s="569"/>
      <c r="P767" s="569"/>
    </row>
  </sheetData>
  <phoneticPr fontId="7" type="noConversion"/>
  <pageMargins left="0.75" right="0.75" top="1" bottom="1" header="0.5" footer="0.5"/>
  <pageSetup paperSize="9" orientation="portrait" horizontalDpi="4294967293" verticalDpi="180" r:id="rId1"/>
  <headerFooter alignWithMargins="0"/>
  <drawing r:id="rId2"/>
  <legacyDrawing r:id="rId3"/>
  <controls>
    <mc:AlternateContent xmlns:mc="http://schemas.openxmlformats.org/markup-compatibility/2006">
      <mc:Choice Requires="x14">
        <control shapeId="104462" r:id="rId4" name="cmdUpdate">
          <controlPr autoLine="0" r:id="rId5">
            <anchor>
              <from>
                <xdr:col>2</xdr:col>
                <xdr:colOff>45720</xdr:colOff>
                <xdr:row>0</xdr:row>
                <xdr:rowOff>45720</xdr:rowOff>
              </from>
              <to>
                <xdr:col>2</xdr:col>
                <xdr:colOff>883920</xdr:colOff>
                <xdr:row>2</xdr:row>
                <xdr:rowOff>7620</xdr:rowOff>
              </to>
            </anchor>
          </controlPr>
        </control>
      </mc:Choice>
      <mc:Fallback>
        <control shapeId="104462" r:id="rId4" name="cmdUpdate"/>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3">
    <tabColor rgb="FF0070C0"/>
  </sheetPr>
  <dimension ref="A1:AS200"/>
  <sheetViews>
    <sheetView workbookViewId="0">
      <selection activeCell="D3" sqref="D3"/>
    </sheetView>
  </sheetViews>
  <sheetFormatPr defaultColWidth="15.875" defaultRowHeight="17.25" customHeight="1"/>
  <cols>
    <col min="1" max="1" width="38.5" style="888" customWidth="1"/>
    <col min="2" max="2" width="15.875" style="835" hidden="1" customWidth="1"/>
    <col min="3" max="15" width="15.875" style="835" customWidth="1"/>
    <col min="16" max="44" width="15.875" style="835" hidden="1" customWidth="1"/>
    <col min="45" max="16384" width="15.875" style="835"/>
  </cols>
  <sheetData>
    <row r="1" spans="1:44" ht="17.25" customHeight="1">
      <c r="A1" s="883" t="s">
        <v>1890</v>
      </c>
      <c r="C1" s="884" t="s">
        <v>2036</v>
      </c>
      <c r="D1" s="884" t="s">
        <v>2037</v>
      </c>
      <c r="E1" s="884" t="s">
        <v>2038</v>
      </c>
      <c r="F1" s="884" t="s">
        <v>1871</v>
      </c>
      <c r="G1" s="884" t="s">
        <v>2039</v>
      </c>
      <c r="H1" s="884" t="s">
        <v>2040</v>
      </c>
      <c r="I1" s="884" t="s">
        <v>2041</v>
      </c>
      <c r="J1" s="884" t="s">
        <v>1872</v>
      </c>
      <c r="K1" s="884" t="s">
        <v>2042</v>
      </c>
      <c r="L1" s="884" t="s">
        <v>2043</v>
      </c>
      <c r="M1" s="884" t="s">
        <v>2044</v>
      </c>
      <c r="N1" s="884" t="s">
        <v>1873</v>
      </c>
      <c r="O1" s="884" t="s">
        <v>904</v>
      </c>
      <c r="P1" s="884" t="s">
        <v>905</v>
      </c>
      <c r="Q1" s="884" t="s">
        <v>906</v>
      </c>
      <c r="R1" s="884" t="s">
        <v>2009</v>
      </c>
      <c r="S1" s="884" t="s">
        <v>2010</v>
      </c>
      <c r="T1" s="884" t="s">
        <v>2011</v>
      </c>
      <c r="U1" s="884" t="s">
        <v>2012</v>
      </c>
      <c r="V1" s="884" t="s">
        <v>2013</v>
      </c>
      <c r="W1" s="884" t="s">
        <v>2014</v>
      </c>
      <c r="X1" s="884" t="s">
        <v>2015</v>
      </c>
      <c r="Y1" s="884" t="s">
        <v>2016</v>
      </c>
      <c r="Z1" s="884" t="s">
        <v>2017</v>
      </c>
      <c r="AA1" s="884" t="s">
        <v>2018</v>
      </c>
      <c r="AB1" s="884" t="s">
        <v>2019</v>
      </c>
      <c r="AC1" s="884" t="s">
        <v>2020</v>
      </c>
      <c r="AD1" s="884" t="s">
        <v>2021</v>
      </c>
      <c r="AE1" s="884" t="s">
        <v>2022</v>
      </c>
      <c r="AF1" s="884" t="s">
        <v>2023</v>
      </c>
      <c r="AG1" s="884" t="s">
        <v>2024</v>
      </c>
      <c r="AH1" s="884" t="s">
        <v>2025</v>
      </c>
      <c r="AI1" s="884" t="s">
        <v>2026</v>
      </c>
      <c r="AJ1" s="884" t="s">
        <v>2027</v>
      </c>
      <c r="AK1" s="884" t="s">
        <v>2028</v>
      </c>
      <c r="AL1" s="884" t="s">
        <v>2029</v>
      </c>
      <c r="AM1" s="884" t="s">
        <v>2030</v>
      </c>
      <c r="AN1" s="884" t="s">
        <v>2031</v>
      </c>
      <c r="AO1" s="884" t="s">
        <v>2032</v>
      </c>
      <c r="AP1" s="884" t="s">
        <v>2033</v>
      </c>
      <c r="AQ1" s="884" t="s">
        <v>2034</v>
      </c>
      <c r="AR1" s="884" t="s">
        <v>2035</v>
      </c>
    </row>
    <row r="2" spans="1:44" s="886" customFormat="1" ht="17.25" customHeight="1">
      <c r="A2" s="885" t="s">
        <v>1891</v>
      </c>
      <c r="C2" s="886">
        <v>795.45671037</v>
      </c>
      <c r="D2" s="886">
        <v>810.12524192000001</v>
      </c>
      <c r="E2" s="886">
        <v>907.76238526999998</v>
      </c>
      <c r="F2" s="886">
        <v>563.98696703999997</v>
      </c>
      <c r="G2" s="886">
        <v>542.51478937000002</v>
      </c>
      <c r="H2" s="886">
        <v>552.21610275</v>
      </c>
      <c r="I2" s="886">
        <v>2581.9886689699997</v>
      </c>
      <c r="J2" s="886">
        <v>2646.5256020300003</v>
      </c>
      <c r="K2" s="886">
        <v>2515.5776969200001</v>
      </c>
      <c r="L2" s="886">
        <v>2453.7930225599998</v>
      </c>
      <c r="M2" s="886">
        <v>2398.2627629799999</v>
      </c>
      <c r="N2" s="886">
        <v>2551.15089579</v>
      </c>
      <c r="O2" s="886">
        <v>780.97988032250021</v>
      </c>
      <c r="P2" s="886">
        <v>720.7132453663902</v>
      </c>
      <c r="Q2" s="886">
        <v>656.76114777953126</v>
      </c>
      <c r="R2" s="886">
        <v>589.49213382499818</v>
      </c>
      <c r="S2" s="886">
        <v>519.23789513955842</v>
      </c>
      <c r="T2" s="886">
        <v>446.29695419630258</v>
      </c>
      <c r="U2" s="886">
        <v>370.93798122101231</v>
      </c>
      <c r="V2" s="886">
        <v>293.40277941689106</v>
      </c>
      <c r="W2" s="886">
        <v>213.90897166682197</v>
      </c>
      <c r="X2" s="886">
        <v>132.65241856539978</v>
      </c>
      <c r="Y2" s="886">
        <v>128.83766967715982</v>
      </c>
      <c r="Z2" s="886">
        <v>125.40439567774386</v>
      </c>
      <c r="AA2" s="886">
        <v>122.31444907826949</v>
      </c>
      <c r="AB2" s="886">
        <v>119.53349713874256</v>
      </c>
      <c r="AC2" s="886">
        <v>117.03064039316833</v>
      </c>
      <c r="AD2" s="886">
        <v>114.77806932215151</v>
      </c>
      <c r="AE2" s="886">
        <v>112.75075535823638</v>
      </c>
      <c r="AF2" s="886">
        <v>110.92617279071276</v>
      </c>
      <c r="AG2" s="886">
        <v>109.2840484799415</v>
      </c>
      <c r="AH2" s="886">
        <v>107.80613660024737</v>
      </c>
      <c r="AI2" s="886">
        <v>106.47601590852264</v>
      </c>
      <c r="AJ2" s="886">
        <v>105.27890728597039</v>
      </c>
      <c r="AK2" s="886">
        <v>104.20150952567336</v>
      </c>
      <c r="AL2" s="886">
        <v>103.23185154140604</v>
      </c>
      <c r="AM2" s="886">
        <v>102.35915935556545</v>
      </c>
      <c r="AN2" s="886">
        <v>101.57373638830893</v>
      </c>
      <c r="AO2" s="886">
        <v>100.86685571777805</v>
      </c>
      <c r="AP2" s="886">
        <v>100.23066311430027</v>
      </c>
      <c r="AQ2" s="886">
        <v>99.658089771170253</v>
      </c>
      <c r="AR2" s="886">
        <v>99.142773762353244</v>
      </c>
    </row>
    <row r="3" spans="1:44" s="887" customFormat="1" ht="17.25" customHeight="1">
      <c r="A3" s="885" t="s">
        <v>1892</v>
      </c>
      <c r="C3" s="887">
        <f>SUM(C4:C9)</f>
        <v>224.9087328114</v>
      </c>
      <c r="D3" s="887">
        <f t="shared" ref="D3:AQ3" si="0">SUM(D4:D9)</f>
        <v>224.9087328114</v>
      </c>
      <c r="E3" s="887">
        <f t="shared" si="0"/>
        <v>224.9087328114</v>
      </c>
      <c r="F3" s="887">
        <f t="shared" si="0"/>
        <v>224.9087328114</v>
      </c>
      <c r="G3" s="887">
        <f t="shared" si="0"/>
        <v>262.78089252419994</v>
      </c>
      <c r="H3" s="887">
        <f t="shared" si="0"/>
        <v>262.78089252419994</v>
      </c>
      <c r="I3" s="887">
        <f t="shared" si="0"/>
        <v>262.78089252419994</v>
      </c>
      <c r="J3" s="887">
        <f t="shared" si="0"/>
        <v>262.78089252419994</v>
      </c>
      <c r="K3" s="887">
        <f t="shared" si="0"/>
        <v>342.1197424902</v>
      </c>
      <c r="L3" s="887">
        <f t="shared" si="0"/>
        <v>342.1197424902</v>
      </c>
      <c r="M3" s="887">
        <f t="shared" si="0"/>
        <v>342.1197424902</v>
      </c>
      <c r="N3" s="887">
        <f t="shared" si="0"/>
        <v>342.1197424902</v>
      </c>
      <c r="O3" s="887">
        <f t="shared" si="0"/>
        <v>1006.2262256612001</v>
      </c>
      <c r="P3" s="887">
        <f t="shared" si="0"/>
        <v>1046.4943254474501</v>
      </c>
      <c r="Q3" s="887">
        <f t="shared" si="0"/>
        <v>1080.4932930477626</v>
      </c>
      <c r="R3" s="887">
        <f t="shared" si="0"/>
        <v>1060.5513201556532</v>
      </c>
      <c r="S3" s="887">
        <f t="shared" si="0"/>
        <v>1048.4412910780165</v>
      </c>
      <c r="T3" s="887">
        <f t="shared" si="0"/>
        <v>1058.9950574322206</v>
      </c>
      <c r="U3" s="887">
        <f t="shared" si="0"/>
        <v>1062.1202404284131</v>
      </c>
      <c r="V3" s="887">
        <f t="shared" si="0"/>
        <v>1057.5269772735758</v>
      </c>
      <c r="W3" s="887">
        <f t="shared" si="0"/>
        <v>1056.7708915530566</v>
      </c>
      <c r="X3" s="887">
        <f t="shared" si="0"/>
        <v>1058.8532916718166</v>
      </c>
      <c r="Y3" s="887">
        <f t="shared" si="0"/>
        <v>1058.8178502317155</v>
      </c>
      <c r="Z3" s="887">
        <f t="shared" si="0"/>
        <v>1057.9922526825412</v>
      </c>
      <c r="AA3" s="887">
        <f t="shared" si="0"/>
        <v>1058.1085715347824</v>
      </c>
      <c r="AB3" s="887">
        <f t="shared" si="0"/>
        <v>1058.4429915302139</v>
      </c>
      <c r="AC3" s="887">
        <f t="shared" si="0"/>
        <v>1058.3404164948133</v>
      </c>
      <c r="AD3" s="887">
        <f t="shared" si="0"/>
        <v>1058.2210580605877</v>
      </c>
      <c r="AE3" s="887">
        <f t="shared" si="0"/>
        <v>1058.2782594050993</v>
      </c>
      <c r="AF3" s="887">
        <f t="shared" si="0"/>
        <v>1058.3206813726786</v>
      </c>
      <c r="AG3" s="887">
        <f t="shared" si="0"/>
        <v>1058.2901038332948</v>
      </c>
      <c r="AH3" s="887">
        <f t="shared" si="0"/>
        <v>1058.2775256679151</v>
      </c>
      <c r="AI3" s="887">
        <f t="shared" si="0"/>
        <v>1058.291642569747</v>
      </c>
      <c r="AJ3" s="887">
        <f t="shared" si="0"/>
        <v>1058.2949883609087</v>
      </c>
      <c r="AK3" s="887">
        <f t="shared" si="0"/>
        <v>1058.2885651079664</v>
      </c>
      <c r="AL3" s="887">
        <f t="shared" si="0"/>
        <v>1058.2881804266344</v>
      </c>
      <c r="AM3" s="887">
        <f t="shared" si="0"/>
        <v>1058.290844116314</v>
      </c>
      <c r="AN3" s="887">
        <f t="shared" si="0"/>
        <v>1058.2906445029557</v>
      </c>
      <c r="AO3" s="887">
        <f t="shared" si="0"/>
        <v>1058.2895585384676</v>
      </c>
      <c r="AP3" s="887">
        <f t="shared" si="0"/>
        <v>1058.2898068960928</v>
      </c>
      <c r="AQ3" s="887">
        <f t="shared" si="0"/>
        <v>1058.2902135134577</v>
      </c>
      <c r="AR3" s="887">
        <f>SUM(AR4:AR9)</f>
        <v>1058.2900558627434</v>
      </c>
    </row>
    <row r="4" spans="1:44" ht="17.25" customHeight="1">
      <c r="A4" s="888" t="s">
        <v>1893</v>
      </c>
      <c r="C4" s="835">
        <v>224.9087328114</v>
      </c>
      <c r="D4" s="835">
        <v>224.9087328114</v>
      </c>
      <c r="E4" s="835">
        <v>224.9087328114</v>
      </c>
      <c r="F4" s="835">
        <v>224.9087328114</v>
      </c>
      <c r="G4" s="835">
        <v>262.78089252419994</v>
      </c>
      <c r="H4" s="835">
        <v>262.78089252419994</v>
      </c>
      <c r="I4" s="835">
        <v>262.78089252419994</v>
      </c>
      <c r="J4" s="835">
        <v>262.78089252419994</v>
      </c>
      <c r="K4" s="835">
        <v>342.1197424902</v>
      </c>
      <c r="L4" s="835">
        <v>342.1197424902</v>
      </c>
      <c r="M4" s="835">
        <v>342.1197424902</v>
      </c>
      <c r="N4" s="835">
        <v>342.1197424902</v>
      </c>
      <c r="O4" s="835">
        <v>403.18213507620004</v>
      </c>
      <c r="P4" s="835">
        <v>403.16234647620013</v>
      </c>
      <c r="Q4" s="835">
        <v>403.16423752620011</v>
      </c>
      <c r="R4" s="835">
        <v>403.1666013387001</v>
      </c>
      <c r="S4" s="835">
        <v>403.16883010432508</v>
      </c>
      <c r="T4" s="835">
        <v>403.16550386135634</v>
      </c>
      <c r="U4" s="835">
        <v>403.16629320764542</v>
      </c>
      <c r="V4" s="835">
        <v>403.16680712800672</v>
      </c>
      <c r="W4" s="835">
        <v>403.16685857533338</v>
      </c>
      <c r="X4" s="835">
        <v>403.16636569308542</v>
      </c>
      <c r="Y4" s="835">
        <v>403.16658115101774</v>
      </c>
      <c r="Z4" s="835">
        <v>403.16665313686087</v>
      </c>
      <c r="AA4" s="835">
        <v>403.1666146390744</v>
      </c>
      <c r="AB4" s="835">
        <v>403.16655365500964</v>
      </c>
      <c r="AC4" s="835">
        <v>403.16660064549063</v>
      </c>
      <c r="AD4" s="835">
        <v>403.16660551910888</v>
      </c>
      <c r="AE4" s="835">
        <v>403.16659361467083</v>
      </c>
      <c r="AF4" s="835">
        <v>403.16658835856998</v>
      </c>
      <c r="AG4" s="835">
        <v>403.16659703446004</v>
      </c>
      <c r="AH4" s="835">
        <v>403.16659613170248</v>
      </c>
      <c r="AI4" s="835">
        <v>403.16659378485082</v>
      </c>
      <c r="AJ4" s="835">
        <v>403.16659382739584</v>
      </c>
      <c r="AK4" s="835">
        <v>403.16659519460228</v>
      </c>
      <c r="AL4" s="835">
        <v>403.1665947346379</v>
      </c>
      <c r="AM4" s="835">
        <v>403.16659438537175</v>
      </c>
      <c r="AN4" s="835">
        <v>403.16659453550193</v>
      </c>
      <c r="AO4" s="835">
        <v>403.16659471252842</v>
      </c>
      <c r="AP4" s="835">
        <v>403.16659459200997</v>
      </c>
      <c r="AQ4" s="835">
        <v>403.166594556353</v>
      </c>
      <c r="AR4" s="835">
        <v>403.16659459909835</v>
      </c>
    </row>
    <row r="5" spans="1:44" ht="17.25" customHeight="1">
      <c r="A5" s="889" t="s">
        <v>1894</v>
      </c>
      <c r="C5" s="835">
        <v>0</v>
      </c>
      <c r="D5" s="835">
        <v>0</v>
      </c>
      <c r="E5" s="835">
        <v>0</v>
      </c>
      <c r="F5" s="835">
        <v>0</v>
      </c>
      <c r="G5" s="835">
        <v>0</v>
      </c>
      <c r="H5" s="835">
        <v>0</v>
      </c>
      <c r="I5" s="835">
        <v>0</v>
      </c>
      <c r="J5" s="835">
        <v>0</v>
      </c>
      <c r="K5" s="835">
        <v>0</v>
      </c>
      <c r="L5" s="835">
        <v>0</v>
      </c>
      <c r="M5" s="835">
        <v>0</v>
      </c>
      <c r="N5" s="835">
        <v>0</v>
      </c>
      <c r="O5" s="835">
        <v>2.8922281424999996</v>
      </c>
      <c r="P5" s="835">
        <v>2.8272040031249999</v>
      </c>
      <c r="Q5" s="835">
        <v>3.1790267539062502</v>
      </c>
      <c r="R5" s="835">
        <v>3.2434078073828125</v>
      </c>
      <c r="S5" s="835">
        <v>3.0354666767285154</v>
      </c>
      <c r="T5" s="835">
        <v>3.0712763102856444</v>
      </c>
      <c r="U5" s="835">
        <v>3.1322943870758055</v>
      </c>
      <c r="V5" s="835">
        <v>3.1206112953681941</v>
      </c>
      <c r="W5" s="835">
        <v>3.08991216736454</v>
      </c>
      <c r="X5" s="835">
        <v>3.1035235400235459</v>
      </c>
      <c r="Y5" s="835">
        <v>3.1115853474580213</v>
      </c>
      <c r="Z5" s="835">
        <v>3.1064080875535756</v>
      </c>
      <c r="AA5" s="835">
        <v>3.1028572855999204</v>
      </c>
      <c r="AB5" s="835">
        <v>3.1060935651587656</v>
      </c>
      <c r="AC5" s="835">
        <v>3.1067360714425707</v>
      </c>
      <c r="AD5" s="835">
        <v>3.105523752438708</v>
      </c>
      <c r="AE5" s="835">
        <v>3.1053026686599914</v>
      </c>
      <c r="AF5" s="835">
        <v>3.105914014425009</v>
      </c>
      <c r="AG5" s="835">
        <v>3.1058691267415699</v>
      </c>
      <c r="AH5" s="835">
        <v>3.1056523905663198</v>
      </c>
      <c r="AI5" s="835">
        <v>3.1056845500982226</v>
      </c>
      <c r="AJ5" s="835">
        <v>3.1057800204577806</v>
      </c>
      <c r="AK5" s="835">
        <v>3.1057465219659735</v>
      </c>
      <c r="AL5" s="835">
        <v>3.105715870772074</v>
      </c>
      <c r="AM5" s="835">
        <v>3.1057317408235128</v>
      </c>
      <c r="AN5" s="835">
        <v>3.1057435385048353</v>
      </c>
      <c r="AO5" s="835">
        <v>3.1057344180165991</v>
      </c>
      <c r="AP5" s="835">
        <v>3.1057313920292557</v>
      </c>
      <c r="AQ5" s="835">
        <v>3.105735272343551</v>
      </c>
      <c r="AR5" s="835">
        <v>3.1057361552235605</v>
      </c>
    </row>
    <row r="6" spans="1:44" ht="17.25" customHeight="1">
      <c r="A6" s="889" t="s">
        <v>1895</v>
      </c>
      <c r="C6" s="835">
        <v>0</v>
      </c>
      <c r="D6" s="835">
        <v>0</v>
      </c>
      <c r="E6" s="835">
        <v>0</v>
      </c>
      <c r="F6" s="835">
        <v>0</v>
      </c>
      <c r="G6" s="835">
        <v>0</v>
      </c>
      <c r="H6" s="835">
        <v>0</v>
      </c>
      <c r="I6" s="835">
        <v>0</v>
      </c>
      <c r="J6" s="835">
        <v>0</v>
      </c>
      <c r="K6" s="835">
        <v>0</v>
      </c>
      <c r="L6" s="835">
        <v>0</v>
      </c>
      <c r="M6" s="835">
        <v>0</v>
      </c>
      <c r="N6" s="835">
        <v>0</v>
      </c>
      <c r="O6" s="835">
        <v>48.821349917500001</v>
      </c>
      <c r="P6" s="835">
        <v>52.204203076874997</v>
      </c>
      <c r="Q6" s="835">
        <v>55.400467118593753</v>
      </c>
      <c r="R6" s="835">
        <v>55.721919833242183</v>
      </c>
      <c r="S6" s="835">
        <v>53.036984986552739</v>
      </c>
      <c r="T6" s="835">
        <v>54.090893753815919</v>
      </c>
      <c r="U6" s="835">
        <v>54.562566423051145</v>
      </c>
      <c r="V6" s="835">
        <v>54.353091249165502</v>
      </c>
      <c r="W6" s="835">
        <v>54.010884103146324</v>
      </c>
      <c r="X6" s="835">
        <v>54.254358882294724</v>
      </c>
      <c r="Y6" s="835">
        <v>54.295225164414425</v>
      </c>
      <c r="Z6" s="835">
        <v>54.228389849755246</v>
      </c>
      <c r="AA6" s="835">
        <v>54.197214499902685</v>
      </c>
      <c r="AB6" s="835">
        <v>54.243797099091772</v>
      </c>
      <c r="AC6" s="835">
        <v>54.241156653291036</v>
      </c>
      <c r="AD6" s="835">
        <v>54.227639525510185</v>
      </c>
      <c r="AE6" s="835">
        <v>54.227451944448923</v>
      </c>
      <c r="AF6" s="835">
        <v>54.235011305585481</v>
      </c>
      <c r="AG6" s="835">
        <v>54.232814857208901</v>
      </c>
      <c r="AH6" s="835">
        <v>54.230729408188367</v>
      </c>
      <c r="AI6" s="835">
        <v>54.23150187885792</v>
      </c>
      <c r="AJ6" s="835">
        <v>54.232514362460165</v>
      </c>
      <c r="AK6" s="835">
        <v>54.231890126678834</v>
      </c>
      <c r="AL6" s="835">
        <v>54.231658944046316</v>
      </c>
      <c r="AM6" s="835">
        <v>54.231891328010811</v>
      </c>
      <c r="AN6" s="835">
        <v>54.231988690299033</v>
      </c>
      <c r="AO6" s="835">
        <v>54.23185727225875</v>
      </c>
      <c r="AP6" s="835">
        <v>54.231849058653722</v>
      </c>
      <c r="AQ6" s="835">
        <v>54.231896587305584</v>
      </c>
      <c r="AR6" s="835">
        <v>54.231897902129276</v>
      </c>
    </row>
    <row r="7" spans="1:44" ht="17.25" customHeight="1">
      <c r="A7" s="889" t="s">
        <v>1896</v>
      </c>
      <c r="C7" s="835">
        <v>0</v>
      </c>
      <c r="D7" s="835">
        <v>0</v>
      </c>
      <c r="E7" s="835">
        <v>0</v>
      </c>
      <c r="F7" s="835">
        <v>0</v>
      </c>
      <c r="G7" s="835">
        <v>0</v>
      </c>
      <c r="H7" s="835">
        <v>0</v>
      </c>
      <c r="I7" s="835">
        <v>0</v>
      </c>
      <c r="J7" s="835">
        <v>0</v>
      </c>
      <c r="K7" s="835">
        <v>0</v>
      </c>
      <c r="L7" s="835">
        <v>0</v>
      </c>
      <c r="M7" s="835">
        <v>0</v>
      </c>
      <c r="N7" s="835">
        <v>0</v>
      </c>
      <c r="O7" s="835">
        <v>154.47388053</v>
      </c>
      <c r="P7" s="835">
        <v>165.99475462750001</v>
      </c>
      <c r="Q7" s="835">
        <v>189.068691819375</v>
      </c>
      <c r="R7" s="835">
        <v>168.02604094421875</v>
      </c>
      <c r="S7" s="835">
        <v>169.39084198027345</v>
      </c>
      <c r="T7" s="835">
        <v>173.12008234284181</v>
      </c>
      <c r="U7" s="835">
        <v>174.90141427167725</v>
      </c>
      <c r="V7" s="835">
        <v>171.35959488475279</v>
      </c>
      <c r="W7" s="835">
        <v>172.19298336988632</v>
      </c>
      <c r="X7" s="835">
        <v>172.89351871728954</v>
      </c>
      <c r="Y7" s="835">
        <v>172.83687781090148</v>
      </c>
      <c r="Z7" s="835">
        <v>172.32074369570753</v>
      </c>
      <c r="AA7" s="835">
        <v>172.56103089844621</v>
      </c>
      <c r="AB7" s="835">
        <v>172.65304278058619</v>
      </c>
      <c r="AC7" s="835">
        <v>172.59292379641033</v>
      </c>
      <c r="AD7" s="835">
        <v>172.53193529278755</v>
      </c>
      <c r="AE7" s="835">
        <v>172.58473319205757</v>
      </c>
      <c r="AF7" s="835">
        <v>172.59065876546043</v>
      </c>
      <c r="AG7" s="835">
        <v>172.57506276167896</v>
      </c>
      <c r="AH7" s="835">
        <v>172.57059750299615</v>
      </c>
      <c r="AI7" s="835">
        <v>172.58026305554827</v>
      </c>
      <c r="AJ7" s="835">
        <v>172.57914552142097</v>
      </c>
      <c r="AK7" s="835">
        <v>172.57626721041109</v>
      </c>
      <c r="AL7" s="835">
        <v>172.57656832259411</v>
      </c>
      <c r="AM7" s="835">
        <v>172.57806102749359</v>
      </c>
      <c r="AN7" s="835">
        <v>172.57751052047993</v>
      </c>
      <c r="AO7" s="835">
        <v>172.57710177024467</v>
      </c>
      <c r="AP7" s="835">
        <v>172.57731041020307</v>
      </c>
      <c r="AQ7" s="835">
        <v>172.57749593210531</v>
      </c>
      <c r="AR7" s="835">
        <v>172.57735465825823</v>
      </c>
    </row>
    <row r="8" spans="1:44" ht="17.25" customHeight="1">
      <c r="A8" s="889" t="s">
        <v>1897</v>
      </c>
      <c r="C8" s="835">
        <v>0</v>
      </c>
      <c r="D8" s="835">
        <v>0</v>
      </c>
      <c r="E8" s="835">
        <v>0</v>
      </c>
      <c r="F8" s="835">
        <v>0</v>
      </c>
      <c r="G8" s="835">
        <v>0</v>
      </c>
      <c r="H8" s="835">
        <v>0</v>
      </c>
      <c r="I8" s="835">
        <v>0</v>
      </c>
      <c r="J8" s="835">
        <v>0</v>
      </c>
      <c r="K8" s="835">
        <v>0</v>
      </c>
      <c r="L8" s="835">
        <v>0</v>
      </c>
      <c r="M8" s="835">
        <v>0</v>
      </c>
      <c r="N8" s="835">
        <v>0</v>
      </c>
      <c r="O8" s="835">
        <v>24.451757805</v>
      </c>
      <c r="P8" s="835">
        <v>25.026161256249999</v>
      </c>
      <c r="Q8" s="835">
        <v>24.273967827812498</v>
      </c>
      <c r="R8" s="835">
        <v>24.791474884765623</v>
      </c>
      <c r="S8" s="835">
        <v>24.635840443457028</v>
      </c>
      <c r="T8" s="835">
        <v>24.681861103071284</v>
      </c>
      <c r="U8" s="835">
        <v>24.595786064776608</v>
      </c>
      <c r="V8" s="835">
        <v>24.676240624017634</v>
      </c>
      <c r="W8" s="835">
        <v>24.647432058830638</v>
      </c>
      <c r="X8" s="835">
        <v>24.650329962674039</v>
      </c>
      <c r="Y8" s="835">
        <v>24.642447177574731</v>
      </c>
      <c r="Z8" s="835">
        <v>24.654112455774264</v>
      </c>
      <c r="AA8" s="835">
        <v>24.648580413713418</v>
      </c>
      <c r="AB8" s="835">
        <v>24.648867502434111</v>
      </c>
      <c r="AC8" s="835">
        <v>24.648501887374131</v>
      </c>
      <c r="AD8" s="835">
        <v>24.650015564823981</v>
      </c>
      <c r="AE8" s="835">
        <v>24.648991342086411</v>
      </c>
      <c r="AF8" s="835">
        <v>24.649094074179658</v>
      </c>
      <c r="AG8" s="835">
        <v>24.649150717116044</v>
      </c>
      <c r="AH8" s="835">
        <v>24.649312924551523</v>
      </c>
      <c r="AI8" s="835">
        <v>24.649137264483407</v>
      </c>
      <c r="AJ8" s="835">
        <v>24.649173745082656</v>
      </c>
      <c r="AK8" s="835">
        <v>24.649193662808408</v>
      </c>
      <c r="AL8" s="835">
        <v>24.649204399231497</v>
      </c>
      <c r="AM8" s="835">
        <v>24.649177267901493</v>
      </c>
      <c r="AN8" s="835">
        <v>24.649187268756016</v>
      </c>
      <c r="AO8" s="835">
        <v>24.649190649674352</v>
      </c>
      <c r="AP8" s="835">
        <v>24.64918989639084</v>
      </c>
      <c r="AQ8" s="835">
        <v>24.649186270680676</v>
      </c>
      <c r="AR8" s="835">
        <v>24.649188521375471</v>
      </c>
    </row>
    <row r="9" spans="1:44" ht="17.25" customHeight="1">
      <c r="A9" s="889" t="s">
        <v>1898</v>
      </c>
      <c r="C9" s="835">
        <v>0</v>
      </c>
      <c r="D9" s="835">
        <v>0</v>
      </c>
      <c r="E9" s="835">
        <v>0</v>
      </c>
      <c r="F9" s="835">
        <v>0</v>
      </c>
      <c r="G9" s="835">
        <v>0</v>
      </c>
      <c r="H9" s="835">
        <v>0</v>
      </c>
      <c r="I9" s="835">
        <v>0</v>
      </c>
      <c r="J9" s="835">
        <v>0</v>
      </c>
      <c r="K9" s="835">
        <v>0</v>
      </c>
      <c r="L9" s="835">
        <v>0</v>
      </c>
      <c r="M9" s="835">
        <v>0</v>
      </c>
      <c r="N9" s="835">
        <v>0</v>
      </c>
      <c r="O9" s="835">
        <v>372.40487418999999</v>
      </c>
      <c r="P9" s="835">
        <v>397.27965600750002</v>
      </c>
      <c r="Q9" s="835">
        <v>405.40690200187498</v>
      </c>
      <c r="R9" s="835">
        <v>405.60187534734376</v>
      </c>
      <c r="S9" s="835">
        <v>395.17332688667966</v>
      </c>
      <c r="T9" s="835">
        <v>400.86544006084961</v>
      </c>
      <c r="U9" s="835">
        <v>401.76188607418703</v>
      </c>
      <c r="V9" s="835">
        <v>400.85063209226502</v>
      </c>
      <c r="W9" s="835">
        <v>399.6628212784953</v>
      </c>
      <c r="X9" s="835">
        <v>400.78519487644922</v>
      </c>
      <c r="Y9" s="835">
        <v>400.76513358034913</v>
      </c>
      <c r="Z9" s="835">
        <v>400.51594545688965</v>
      </c>
      <c r="AA9" s="835">
        <v>400.43227379804586</v>
      </c>
      <c r="AB9" s="835">
        <v>400.62463692793347</v>
      </c>
      <c r="AC9" s="835">
        <v>400.58449744080457</v>
      </c>
      <c r="AD9" s="835">
        <v>400.53933840591833</v>
      </c>
      <c r="AE9" s="835">
        <v>400.54518664317555</v>
      </c>
      <c r="AF9" s="835">
        <v>400.57341485445795</v>
      </c>
      <c r="AG9" s="835">
        <v>400.5606093360891</v>
      </c>
      <c r="AH9" s="835">
        <v>400.55463730991028</v>
      </c>
      <c r="AI9" s="835">
        <v>400.55846203590824</v>
      </c>
      <c r="AJ9" s="835">
        <v>400.56178088409138</v>
      </c>
      <c r="AK9" s="835">
        <v>400.55887239149973</v>
      </c>
      <c r="AL9" s="835">
        <v>400.55843815535241</v>
      </c>
      <c r="AM9" s="835">
        <v>400.55938836671294</v>
      </c>
      <c r="AN9" s="835">
        <v>400.55961994941413</v>
      </c>
      <c r="AO9" s="835">
        <v>400.55907971574482</v>
      </c>
      <c r="AP9" s="835">
        <v>400.5591315468061</v>
      </c>
      <c r="AQ9" s="835">
        <v>400.55930489466948</v>
      </c>
      <c r="AR9" s="835">
        <v>400.55928402665864</v>
      </c>
    </row>
    <row r="10" spans="1:44" s="886" customFormat="1" ht="17.25" customHeight="1">
      <c r="A10" s="890" t="s">
        <v>1899</v>
      </c>
      <c r="C10" s="886">
        <f>SUM(C11:C17)</f>
        <v>7612.63833763</v>
      </c>
      <c r="D10" s="886">
        <f t="shared" ref="D10:AQ10" si="1">SUM(D11:D17)</f>
        <v>6092.389586719999</v>
      </c>
      <c r="E10" s="886">
        <f t="shared" si="1"/>
        <v>6106.8545824600005</v>
      </c>
      <c r="F10" s="886">
        <f t="shared" si="1"/>
        <v>8918.6103345899992</v>
      </c>
      <c r="G10" s="886">
        <f t="shared" si="1"/>
        <v>6444.0999526899996</v>
      </c>
      <c r="H10" s="886">
        <f t="shared" si="1"/>
        <v>4674.1600211099994</v>
      </c>
      <c r="I10" s="886">
        <f t="shared" si="1"/>
        <v>3287.9736922499997</v>
      </c>
      <c r="J10" s="886">
        <f t="shared" si="1"/>
        <v>5809.8470828099998</v>
      </c>
      <c r="K10" s="886">
        <f t="shared" si="1"/>
        <v>3774.9801463399999</v>
      </c>
      <c r="L10" s="886">
        <f t="shared" si="1"/>
        <v>2887.3022873800001</v>
      </c>
      <c r="M10" s="886">
        <f t="shared" si="1"/>
        <v>2613.2673423799997</v>
      </c>
      <c r="N10" s="886">
        <f t="shared" si="1"/>
        <v>3318.0713495999998</v>
      </c>
      <c r="O10" s="886">
        <f t="shared" si="1"/>
        <v>389.46446399250004</v>
      </c>
      <c r="P10" s="886">
        <f t="shared" si="1"/>
        <v>405.43985009312502</v>
      </c>
      <c r="Q10" s="886">
        <f t="shared" si="1"/>
        <v>424.22717882140626</v>
      </c>
      <c r="R10" s="886">
        <f t="shared" si="1"/>
        <v>419.98098652425784</v>
      </c>
      <c r="S10" s="886">
        <f t="shared" si="1"/>
        <v>409.77811985782233</v>
      </c>
      <c r="T10" s="886">
        <f t="shared" si="1"/>
        <v>414.85653382415285</v>
      </c>
      <c r="U10" s="886">
        <f t="shared" si="1"/>
        <v>417.21070475690982</v>
      </c>
      <c r="V10" s="886">
        <f t="shared" si="1"/>
        <v>415.45658624078573</v>
      </c>
      <c r="W10" s="886">
        <f t="shared" si="1"/>
        <v>414.32548616991767</v>
      </c>
      <c r="X10" s="886">
        <f t="shared" si="1"/>
        <v>415.46232774794157</v>
      </c>
      <c r="Y10" s="886">
        <f t="shared" si="1"/>
        <v>415.6137762288887</v>
      </c>
      <c r="Z10" s="886">
        <f t="shared" si="1"/>
        <v>415.21454409688334</v>
      </c>
      <c r="AA10" s="886">
        <f t="shared" si="1"/>
        <v>415.15403356090781</v>
      </c>
      <c r="AB10" s="886">
        <f t="shared" si="1"/>
        <v>415.36117040865531</v>
      </c>
      <c r="AC10" s="886">
        <f t="shared" si="1"/>
        <v>415.33588107383383</v>
      </c>
      <c r="AD10" s="886">
        <f t="shared" si="1"/>
        <v>415.26640728507004</v>
      </c>
      <c r="AE10" s="886">
        <f t="shared" si="1"/>
        <v>415.27937308211676</v>
      </c>
      <c r="AF10" s="886">
        <f t="shared" si="1"/>
        <v>415.31070796241897</v>
      </c>
      <c r="AG10" s="886">
        <f t="shared" si="1"/>
        <v>415.29809235085986</v>
      </c>
      <c r="AH10" s="886">
        <f t="shared" si="1"/>
        <v>415.28864517011635</v>
      </c>
      <c r="AI10" s="886">
        <f t="shared" si="1"/>
        <v>415.29420464137792</v>
      </c>
      <c r="AJ10" s="886">
        <f t="shared" si="1"/>
        <v>415.29791253119333</v>
      </c>
      <c r="AK10" s="886">
        <f t="shared" si="1"/>
        <v>415.29471367338687</v>
      </c>
      <c r="AL10" s="886">
        <f t="shared" si="1"/>
        <v>415.29386900401863</v>
      </c>
      <c r="AM10" s="886">
        <f t="shared" si="1"/>
        <v>415.29517496249423</v>
      </c>
      <c r="AN10" s="886">
        <f t="shared" si="1"/>
        <v>415.29541754277324</v>
      </c>
      <c r="AO10" s="886">
        <f t="shared" si="1"/>
        <v>415.29479379566828</v>
      </c>
      <c r="AP10" s="886">
        <f t="shared" si="1"/>
        <v>415.29481382623857</v>
      </c>
      <c r="AQ10" s="886">
        <f t="shared" si="1"/>
        <v>415.29505003179349</v>
      </c>
      <c r="AR10" s="886">
        <f>SUM(AR11:AR17)</f>
        <v>415.2950187991184</v>
      </c>
    </row>
    <row r="11" spans="1:44" ht="17.25" customHeight="1">
      <c r="A11" s="889" t="s">
        <v>1900</v>
      </c>
      <c r="C11" s="835">
        <v>0</v>
      </c>
      <c r="D11" s="835">
        <v>0</v>
      </c>
      <c r="E11" s="835">
        <v>0</v>
      </c>
      <c r="F11" s="835">
        <v>0</v>
      </c>
      <c r="G11" s="835">
        <v>0</v>
      </c>
      <c r="H11" s="835">
        <v>0</v>
      </c>
      <c r="I11" s="835">
        <v>0</v>
      </c>
      <c r="J11" s="835">
        <v>0</v>
      </c>
      <c r="K11" s="835">
        <v>0</v>
      </c>
      <c r="L11" s="835">
        <v>0</v>
      </c>
      <c r="M11" s="835">
        <v>0</v>
      </c>
      <c r="N11" s="835">
        <v>0</v>
      </c>
      <c r="O11" s="835">
        <v>7</v>
      </c>
      <c r="P11" s="835">
        <v>8.75</v>
      </c>
      <c r="Q11" s="835">
        <v>9.4375</v>
      </c>
      <c r="R11" s="835">
        <v>11.796875</v>
      </c>
      <c r="S11" s="835">
        <v>9.24609375</v>
      </c>
      <c r="T11" s="835">
        <v>9.8076171875</v>
      </c>
      <c r="U11" s="835">
        <v>10.072021484375</v>
      </c>
      <c r="V11" s="835">
        <v>10.23065185546875</v>
      </c>
      <c r="W11" s="835">
        <v>9.8390960693359375</v>
      </c>
      <c r="X11" s="835">
        <v>9.9873466491699219</v>
      </c>
      <c r="Y11" s="835">
        <v>10.032279014587402</v>
      </c>
      <c r="Z11" s="835">
        <v>10.022343397140503</v>
      </c>
      <c r="AA11" s="835">
        <v>9.9702662825584412</v>
      </c>
      <c r="AB11" s="835">
        <v>10.003058835864067</v>
      </c>
      <c r="AC11" s="835">
        <v>10.006986882537603</v>
      </c>
      <c r="AD11" s="835">
        <v>10.000663849525154</v>
      </c>
      <c r="AE11" s="835">
        <v>9.9952439626213163</v>
      </c>
      <c r="AF11" s="835">
        <v>10.001488382637035</v>
      </c>
      <c r="AG11" s="835">
        <v>10.001095769330277</v>
      </c>
      <c r="AH11" s="835">
        <v>9.9996229910284455</v>
      </c>
      <c r="AI11" s="835">
        <v>9.9993627764042685</v>
      </c>
      <c r="AJ11" s="835">
        <v>10.000392479850007</v>
      </c>
      <c r="AK11" s="835">
        <v>10.000118504153249</v>
      </c>
      <c r="AL11" s="835">
        <v>9.9998741878589925</v>
      </c>
      <c r="AM11" s="835">
        <v>9.9999369870666293</v>
      </c>
      <c r="AN11" s="835">
        <v>10.00008053973222</v>
      </c>
      <c r="AO11" s="835">
        <v>10.000002554702773</v>
      </c>
      <c r="AP11" s="835">
        <v>9.9999735673401524</v>
      </c>
      <c r="AQ11" s="835">
        <v>9.9999984122104433</v>
      </c>
      <c r="AR11" s="835">
        <v>10.000013768496398</v>
      </c>
    </row>
    <row r="12" spans="1:44" ht="17.25" customHeight="1">
      <c r="A12" s="889" t="s">
        <v>1901</v>
      </c>
      <c r="C12" s="835">
        <v>0</v>
      </c>
      <c r="D12" s="835">
        <v>0</v>
      </c>
      <c r="E12" s="835">
        <v>0</v>
      </c>
      <c r="F12" s="835">
        <v>0</v>
      </c>
      <c r="G12" s="835">
        <v>0</v>
      </c>
      <c r="H12" s="835">
        <v>0</v>
      </c>
      <c r="I12" s="835">
        <v>0</v>
      </c>
      <c r="J12" s="835">
        <v>0</v>
      </c>
      <c r="K12" s="835">
        <v>0</v>
      </c>
      <c r="L12" s="835">
        <v>0</v>
      </c>
      <c r="M12" s="835">
        <v>0</v>
      </c>
      <c r="N12" s="835">
        <v>0</v>
      </c>
      <c r="O12" s="835">
        <v>173.08496738000002</v>
      </c>
      <c r="P12" s="835">
        <v>182.91031626750004</v>
      </c>
      <c r="Q12" s="835">
        <v>188.53437574437504</v>
      </c>
      <c r="R12" s="835">
        <v>186.1632075504688</v>
      </c>
      <c r="S12" s="835">
        <v>182.67321673558598</v>
      </c>
      <c r="T12" s="835">
        <v>185.07027907448247</v>
      </c>
      <c r="U12" s="835">
        <v>185.61026977622805</v>
      </c>
      <c r="V12" s="835">
        <v>184.87924328419132</v>
      </c>
      <c r="W12" s="835">
        <v>184.55825221762194</v>
      </c>
      <c r="X12" s="835">
        <v>185.02951108813096</v>
      </c>
      <c r="Y12" s="835">
        <v>185.01931909154308</v>
      </c>
      <c r="Z12" s="835">
        <v>184.8715814203718</v>
      </c>
      <c r="AA12" s="835">
        <v>184.86966595441692</v>
      </c>
      <c r="AB12" s="835">
        <v>184.94751938861566</v>
      </c>
      <c r="AC12" s="835">
        <v>184.92702146373688</v>
      </c>
      <c r="AD12" s="835">
        <v>184.90394705678528</v>
      </c>
      <c r="AE12" s="835">
        <v>184.91203846588866</v>
      </c>
      <c r="AF12" s="835">
        <v>184.92263159375662</v>
      </c>
      <c r="AG12" s="835">
        <v>184.91640964504185</v>
      </c>
      <c r="AH12" s="835">
        <v>184.91375669036807</v>
      </c>
      <c r="AI12" s="835">
        <v>184.91620909876377</v>
      </c>
      <c r="AJ12" s="835">
        <v>184.91725175698258</v>
      </c>
      <c r="AK12" s="835">
        <v>184.91590679778906</v>
      </c>
      <c r="AL12" s="835">
        <v>184.91578108597588</v>
      </c>
      <c r="AM12" s="835">
        <v>184.91628718487783</v>
      </c>
      <c r="AN12" s="835">
        <v>184.91630670640632</v>
      </c>
      <c r="AO12" s="835">
        <v>184.91607044376227</v>
      </c>
      <c r="AP12" s="835">
        <v>184.91611135525557</v>
      </c>
      <c r="AQ12" s="835">
        <v>184.91619392257547</v>
      </c>
      <c r="AR12" s="835">
        <v>184.91617060699991</v>
      </c>
    </row>
    <row r="13" spans="1:44" ht="17.25" customHeight="1">
      <c r="A13" s="889" t="s">
        <v>1902</v>
      </c>
      <c r="C13" s="835">
        <v>0</v>
      </c>
      <c r="D13" s="835">
        <v>0</v>
      </c>
      <c r="E13" s="835">
        <v>0</v>
      </c>
      <c r="F13" s="835">
        <v>0</v>
      </c>
      <c r="G13" s="835">
        <v>0</v>
      </c>
      <c r="H13" s="835">
        <v>0</v>
      </c>
      <c r="I13" s="835">
        <v>0</v>
      </c>
      <c r="J13" s="835">
        <v>0</v>
      </c>
      <c r="K13" s="835">
        <v>0</v>
      </c>
      <c r="L13" s="835">
        <v>0</v>
      </c>
      <c r="M13" s="835">
        <v>0</v>
      </c>
      <c r="N13" s="835">
        <v>0</v>
      </c>
      <c r="O13" s="835">
        <v>75.445264014999992</v>
      </c>
      <c r="P13" s="835">
        <v>72.877086131249996</v>
      </c>
      <c r="Q13" s="835">
        <v>79.180801911562497</v>
      </c>
      <c r="R13" s="835">
        <v>77.091998886953121</v>
      </c>
      <c r="S13" s="835">
        <v>76.148787736191395</v>
      </c>
      <c r="T13" s="835">
        <v>76.324668666489259</v>
      </c>
      <c r="U13" s="835">
        <v>77.186564300299068</v>
      </c>
      <c r="V13" s="835">
        <v>76.688004897483211</v>
      </c>
      <c r="W13" s="835">
        <v>76.58700640011574</v>
      </c>
      <c r="X13" s="835">
        <v>76.69656106609682</v>
      </c>
      <c r="Y13" s="835">
        <v>76.789534165998703</v>
      </c>
      <c r="Z13" s="835">
        <v>76.690276632423618</v>
      </c>
      <c r="AA13" s="835">
        <v>76.690844566158717</v>
      </c>
      <c r="AB13" s="835">
        <v>76.716804107669461</v>
      </c>
      <c r="AC13" s="835">
        <v>76.721864868062625</v>
      </c>
      <c r="AD13" s="835">
        <v>76.704947543578598</v>
      </c>
      <c r="AE13" s="835">
        <v>76.70861527136735</v>
      </c>
      <c r="AF13" s="835">
        <v>76.713057947669512</v>
      </c>
      <c r="AG13" s="835">
        <v>76.712121407669514</v>
      </c>
      <c r="AH13" s="835">
        <v>76.70968554257125</v>
      </c>
      <c r="AI13" s="835">
        <v>76.710870042319399</v>
      </c>
      <c r="AJ13" s="835">
        <v>76.711433735057426</v>
      </c>
      <c r="AK13" s="835">
        <v>76.711027681904397</v>
      </c>
      <c r="AL13" s="835">
        <v>76.710754250463125</v>
      </c>
      <c r="AM13" s="835">
        <v>76.711021427436094</v>
      </c>
      <c r="AN13" s="835">
        <v>76.711059273715264</v>
      </c>
      <c r="AO13" s="835">
        <v>76.71096565837972</v>
      </c>
      <c r="AP13" s="835">
        <v>76.710950152498555</v>
      </c>
      <c r="AQ13" s="835">
        <v>76.710999128007401</v>
      </c>
      <c r="AR13" s="835">
        <v>76.710993553150232</v>
      </c>
    </row>
    <row r="14" spans="1:44" ht="17.25" customHeight="1">
      <c r="A14" s="889" t="s">
        <v>1903</v>
      </c>
      <c r="C14" s="835">
        <v>6068.16675975</v>
      </c>
      <c r="D14" s="835">
        <v>5162.9601887399995</v>
      </c>
      <c r="E14" s="835">
        <v>4868.9939617800001</v>
      </c>
      <c r="F14" s="835">
        <v>5057.6903024599997</v>
      </c>
      <c r="G14" s="835">
        <v>4345.3289449200001</v>
      </c>
      <c r="H14" s="835">
        <v>3430.4087724999999</v>
      </c>
      <c r="I14" s="835">
        <v>2215.21491797</v>
      </c>
      <c r="J14" s="835">
        <v>3120.1805244000002</v>
      </c>
      <c r="K14" s="835">
        <v>2942.1293063200001</v>
      </c>
      <c r="L14" s="835">
        <v>2404.0829946700001</v>
      </c>
      <c r="M14" s="835">
        <v>1971.2646707399999</v>
      </c>
      <c r="N14" s="835">
        <v>2313.6004730199998</v>
      </c>
      <c r="O14" s="835">
        <v>23.60507166</v>
      </c>
      <c r="P14" s="835">
        <v>25.824663377500002</v>
      </c>
      <c r="Q14" s="835">
        <v>27.299729444375004</v>
      </c>
      <c r="R14" s="835">
        <v>26.250935280468749</v>
      </c>
      <c r="S14" s="835">
        <v>25.745099940585938</v>
      </c>
      <c r="T14" s="835">
        <v>26.280107010732422</v>
      </c>
      <c r="U14" s="835">
        <v>26.393967919040527</v>
      </c>
      <c r="V14" s="835">
        <v>26.16752753770691</v>
      </c>
      <c r="W14" s="835">
        <v>26.146675602016451</v>
      </c>
      <c r="X14" s="835">
        <v>26.247069517374079</v>
      </c>
      <c r="Y14" s="835">
        <v>26.238810144034495</v>
      </c>
      <c r="Z14" s="835">
        <v>26.200020700282984</v>
      </c>
      <c r="AA14" s="835">
        <v>26.208143990926999</v>
      </c>
      <c r="AB14" s="835">
        <v>26.223511088154638</v>
      </c>
      <c r="AC14" s="835">
        <v>26.217621480849779</v>
      </c>
      <c r="AD14" s="835">
        <v>26.2123243150536</v>
      </c>
      <c r="AE14" s="835">
        <v>26.215400218746254</v>
      </c>
      <c r="AF14" s="835">
        <v>26.217214275701068</v>
      </c>
      <c r="AG14" s="835">
        <v>26.215640072587675</v>
      </c>
      <c r="AH14" s="835">
        <v>26.215144720522147</v>
      </c>
      <c r="AI14" s="835">
        <v>26.215849821889286</v>
      </c>
      <c r="AJ14" s="835">
        <v>26.215962222675042</v>
      </c>
      <c r="AK14" s="835">
        <v>26.215649209418537</v>
      </c>
      <c r="AL14" s="835">
        <v>26.215651493626254</v>
      </c>
      <c r="AM14" s="835">
        <v>26.215778186902277</v>
      </c>
      <c r="AN14" s="835">
        <v>26.215760278155528</v>
      </c>
      <c r="AO14" s="835">
        <v>26.215709792025649</v>
      </c>
      <c r="AP14" s="835">
        <v>26.215724937677425</v>
      </c>
      <c r="AQ14" s="835">
        <v>26.215743298690221</v>
      </c>
      <c r="AR14" s="835">
        <v>26.215734576637207</v>
      </c>
    </row>
    <row r="15" spans="1:44" ht="17.25" customHeight="1">
      <c r="A15" s="889" t="s">
        <v>1904</v>
      </c>
      <c r="C15" s="835">
        <v>1544.47157788</v>
      </c>
      <c r="D15" s="835">
        <v>929.42939797999998</v>
      </c>
      <c r="E15" s="835">
        <v>1237.86062068</v>
      </c>
      <c r="F15" s="835">
        <v>3860.92003213</v>
      </c>
      <c r="G15" s="835">
        <v>2098.7710077699999</v>
      </c>
      <c r="H15" s="835">
        <v>1243.7512486099999</v>
      </c>
      <c r="I15" s="835">
        <v>1072.7587742799999</v>
      </c>
      <c r="J15" s="835">
        <v>2689.6665584099997</v>
      </c>
      <c r="K15" s="835">
        <v>832.85084001999996</v>
      </c>
      <c r="L15" s="835">
        <v>483.21929270999999</v>
      </c>
      <c r="M15" s="835">
        <v>642.00267164000002</v>
      </c>
      <c r="N15" s="835">
        <v>1004.4708765800001</v>
      </c>
      <c r="O15" s="835">
        <v>9.4427522224999993</v>
      </c>
      <c r="P15" s="835">
        <v>12.309886065624999</v>
      </c>
      <c r="Q15" s="835">
        <v>14.21633542203125</v>
      </c>
      <c r="R15" s="835">
        <v>14.394620695039062</v>
      </c>
      <c r="S15" s="835">
        <v>12.590898601298827</v>
      </c>
      <c r="T15" s="835">
        <v>13.377935195998536</v>
      </c>
      <c r="U15" s="835">
        <v>13.64494747859192</v>
      </c>
      <c r="V15" s="835">
        <v>13.502100492732087</v>
      </c>
      <c r="W15" s="835">
        <v>13.278970442155343</v>
      </c>
      <c r="X15" s="835">
        <v>13.450988402369472</v>
      </c>
      <c r="Y15" s="835">
        <v>13.469251703962204</v>
      </c>
      <c r="Z15" s="835">
        <v>13.425327760304775</v>
      </c>
      <c r="AA15" s="835">
        <v>13.406134577197948</v>
      </c>
      <c r="AB15" s="835">
        <v>13.437925610958601</v>
      </c>
      <c r="AC15" s="835">
        <v>13.434659913105882</v>
      </c>
      <c r="AD15" s="835">
        <v>13.426011965391801</v>
      </c>
      <c r="AE15" s="835">
        <v>13.426183016663558</v>
      </c>
      <c r="AF15" s="835">
        <v>13.431195126529961</v>
      </c>
      <c r="AG15" s="835">
        <v>13.429512505422801</v>
      </c>
      <c r="AH15" s="835">
        <v>13.428225653502031</v>
      </c>
      <c r="AI15" s="835">
        <v>13.428779075529587</v>
      </c>
      <c r="AJ15" s="835">
        <v>13.429428090246095</v>
      </c>
      <c r="AK15" s="835">
        <v>13.428986331175128</v>
      </c>
      <c r="AL15" s="835">
        <v>13.42885478761321</v>
      </c>
      <c r="AM15" s="835">
        <v>13.429012071141006</v>
      </c>
      <c r="AN15" s="835">
        <v>13.429070320043859</v>
      </c>
      <c r="AO15" s="835">
        <v>13.428980877493302</v>
      </c>
      <c r="AP15" s="835">
        <v>13.428979514072845</v>
      </c>
      <c r="AQ15" s="835">
        <v>13.429010695687751</v>
      </c>
      <c r="AR15" s="835">
        <v>13.429010351824438</v>
      </c>
    </row>
    <row r="16" spans="1:44" ht="17.25" customHeight="1">
      <c r="A16" s="889" t="s">
        <v>1905</v>
      </c>
      <c r="C16" s="835">
        <v>0</v>
      </c>
      <c r="D16" s="835">
        <v>0</v>
      </c>
      <c r="E16" s="835">
        <v>0</v>
      </c>
      <c r="F16" s="835">
        <v>0</v>
      </c>
      <c r="G16" s="835">
        <v>0</v>
      </c>
      <c r="H16" s="835">
        <v>0</v>
      </c>
      <c r="I16" s="835">
        <v>0</v>
      </c>
      <c r="J16" s="835">
        <v>0</v>
      </c>
      <c r="K16" s="835">
        <v>0</v>
      </c>
      <c r="L16" s="835">
        <v>0</v>
      </c>
      <c r="M16" s="835">
        <v>0</v>
      </c>
      <c r="N16" s="835">
        <v>0</v>
      </c>
      <c r="O16" s="835">
        <v>100.886408715</v>
      </c>
      <c r="P16" s="835">
        <v>102.76789825125</v>
      </c>
      <c r="Q16" s="835">
        <v>105.55843629906251</v>
      </c>
      <c r="R16" s="835">
        <v>104.28334911132812</v>
      </c>
      <c r="S16" s="835">
        <v>103.37402309416017</v>
      </c>
      <c r="T16" s="835">
        <v>103.99592668895021</v>
      </c>
      <c r="U16" s="835">
        <v>104.30293379837525</v>
      </c>
      <c r="V16" s="835">
        <v>103.98905817320343</v>
      </c>
      <c r="W16" s="835">
        <v>103.91548543867226</v>
      </c>
      <c r="X16" s="835">
        <v>104.05085102480028</v>
      </c>
      <c r="Y16" s="835">
        <v>104.06458210876281</v>
      </c>
      <c r="Z16" s="835">
        <v>104.0049941863597</v>
      </c>
      <c r="AA16" s="835">
        <v>104.00897818964876</v>
      </c>
      <c r="AB16" s="835">
        <v>104.03235137739289</v>
      </c>
      <c r="AC16" s="835">
        <v>104.02772646554104</v>
      </c>
      <c r="AD16" s="835">
        <v>104.01851255473559</v>
      </c>
      <c r="AE16" s="835">
        <v>104.02189214682957</v>
      </c>
      <c r="AF16" s="835">
        <v>104.02512063612478</v>
      </c>
      <c r="AG16" s="835">
        <v>104.02331295080775</v>
      </c>
      <c r="AH16" s="835">
        <v>104.02220957212442</v>
      </c>
      <c r="AI16" s="835">
        <v>104.02313382647162</v>
      </c>
      <c r="AJ16" s="835">
        <v>104.02344424638214</v>
      </c>
      <c r="AK16" s="835">
        <v>104.02302514894649</v>
      </c>
      <c r="AL16" s="835">
        <v>104.02295319848118</v>
      </c>
      <c r="AM16" s="835">
        <v>104.02313910507036</v>
      </c>
      <c r="AN16" s="835">
        <v>104.02314042472004</v>
      </c>
      <c r="AO16" s="835">
        <v>104.02306446930452</v>
      </c>
      <c r="AP16" s="835">
        <v>104.02307429939403</v>
      </c>
      <c r="AQ16" s="835">
        <v>104.02310457462224</v>
      </c>
      <c r="AR16" s="835">
        <v>104.02309594201022</v>
      </c>
    </row>
    <row r="17" spans="1:45" s="892" customFormat="1" ht="17.25" customHeight="1">
      <c r="A17" s="891" t="s">
        <v>1906</v>
      </c>
      <c r="C17" s="892">
        <v>0</v>
      </c>
      <c r="D17" s="892">
        <v>0</v>
      </c>
      <c r="E17" s="892">
        <v>0</v>
      </c>
      <c r="F17" s="892">
        <v>0</v>
      </c>
      <c r="G17" s="892">
        <v>0</v>
      </c>
      <c r="H17" s="892">
        <v>0</v>
      </c>
      <c r="I17" s="892">
        <v>0</v>
      </c>
      <c r="J17" s="892">
        <v>0</v>
      </c>
      <c r="K17" s="892">
        <v>0</v>
      </c>
      <c r="L17" s="892">
        <v>0</v>
      </c>
      <c r="M17" s="892">
        <v>0</v>
      </c>
      <c r="N17" s="892">
        <v>0</v>
      </c>
      <c r="O17" s="892">
        <v>0</v>
      </c>
      <c r="P17" s="892">
        <v>0</v>
      </c>
      <c r="Q17" s="892">
        <v>0</v>
      </c>
      <c r="R17" s="892">
        <v>0</v>
      </c>
      <c r="S17" s="892">
        <v>0</v>
      </c>
      <c r="T17" s="892">
        <v>0</v>
      </c>
      <c r="U17" s="892">
        <v>0</v>
      </c>
      <c r="V17" s="892">
        <v>0</v>
      </c>
      <c r="W17" s="892">
        <v>0</v>
      </c>
      <c r="X17" s="892">
        <v>0</v>
      </c>
      <c r="Y17" s="892">
        <v>0</v>
      </c>
      <c r="Z17" s="892">
        <v>0</v>
      </c>
      <c r="AA17" s="892">
        <v>0</v>
      </c>
      <c r="AB17" s="892">
        <v>0</v>
      </c>
      <c r="AC17" s="892">
        <v>0</v>
      </c>
      <c r="AD17" s="892">
        <v>0</v>
      </c>
      <c r="AE17" s="892">
        <v>0</v>
      </c>
      <c r="AF17" s="892">
        <v>0</v>
      </c>
      <c r="AG17" s="892">
        <v>0</v>
      </c>
      <c r="AH17" s="892">
        <v>0</v>
      </c>
      <c r="AI17" s="892">
        <v>0</v>
      </c>
      <c r="AJ17" s="892">
        <v>0</v>
      </c>
      <c r="AK17" s="892">
        <v>0</v>
      </c>
      <c r="AL17" s="892">
        <v>0</v>
      </c>
      <c r="AM17" s="892">
        <v>0</v>
      </c>
      <c r="AN17" s="892">
        <v>0</v>
      </c>
      <c r="AO17" s="892">
        <v>0</v>
      </c>
      <c r="AP17" s="892">
        <v>0</v>
      </c>
      <c r="AQ17" s="892">
        <v>0</v>
      </c>
      <c r="AR17" s="892">
        <v>0</v>
      </c>
    </row>
    <row r="19" spans="1:45" s="894" customFormat="1" ht="17.25" customHeight="1">
      <c r="A19" s="893" t="s">
        <v>1907</v>
      </c>
      <c r="C19" s="894">
        <f>C3-C10</f>
        <v>-7387.7296048185999</v>
      </c>
      <c r="D19" s="894">
        <f t="shared" ref="D19:AQ19" si="2">D3-D10</f>
        <v>-5867.4808539085989</v>
      </c>
      <c r="E19" s="894">
        <f t="shared" si="2"/>
        <v>-5881.9458496486004</v>
      </c>
      <c r="F19" s="894">
        <f t="shared" si="2"/>
        <v>-8693.7016017785991</v>
      </c>
      <c r="G19" s="894">
        <f t="shared" si="2"/>
        <v>-6181.3190601657998</v>
      </c>
      <c r="H19" s="894">
        <f t="shared" si="2"/>
        <v>-4411.3791285857997</v>
      </c>
      <c r="I19" s="894">
        <f t="shared" si="2"/>
        <v>-3025.1927997257999</v>
      </c>
      <c r="J19" s="894">
        <f t="shared" si="2"/>
        <v>-5547.0661902858001</v>
      </c>
      <c r="K19" s="894">
        <f t="shared" si="2"/>
        <v>-3432.8604038497997</v>
      </c>
      <c r="L19" s="894">
        <f t="shared" si="2"/>
        <v>-2545.1825448897998</v>
      </c>
      <c r="M19" s="894">
        <f t="shared" si="2"/>
        <v>-2271.1475998897995</v>
      </c>
      <c r="N19" s="894">
        <f t="shared" si="2"/>
        <v>-2975.9516071097996</v>
      </c>
      <c r="O19" s="894">
        <f t="shared" si="2"/>
        <v>616.76176166870005</v>
      </c>
      <c r="P19" s="894">
        <f t="shared" si="2"/>
        <v>641.05447535432518</v>
      </c>
      <c r="Q19" s="894">
        <f t="shared" si="2"/>
        <v>656.26611422635631</v>
      </c>
      <c r="R19" s="894">
        <f t="shared" si="2"/>
        <v>640.57033363139544</v>
      </c>
      <c r="S19" s="894">
        <f t="shared" si="2"/>
        <v>638.66317122019427</v>
      </c>
      <c r="T19" s="894">
        <f t="shared" si="2"/>
        <v>644.13852360806777</v>
      </c>
      <c r="U19" s="894">
        <f t="shared" si="2"/>
        <v>644.90953567150336</v>
      </c>
      <c r="V19" s="894">
        <f t="shared" si="2"/>
        <v>642.07039103278998</v>
      </c>
      <c r="W19" s="894">
        <f t="shared" si="2"/>
        <v>642.4454053831389</v>
      </c>
      <c r="X19" s="894">
        <f t="shared" si="2"/>
        <v>643.39096392387501</v>
      </c>
      <c r="Y19" s="894">
        <f t="shared" si="2"/>
        <v>643.20407400282681</v>
      </c>
      <c r="Z19" s="894">
        <f t="shared" si="2"/>
        <v>642.77770858565782</v>
      </c>
      <c r="AA19" s="894">
        <f t="shared" si="2"/>
        <v>642.95453797387461</v>
      </c>
      <c r="AB19" s="894">
        <f t="shared" si="2"/>
        <v>643.08182112155862</v>
      </c>
      <c r="AC19" s="894">
        <f t="shared" si="2"/>
        <v>643.00453542097944</v>
      </c>
      <c r="AD19" s="894">
        <f t="shared" si="2"/>
        <v>642.95465077551762</v>
      </c>
      <c r="AE19" s="894">
        <f t="shared" si="2"/>
        <v>642.99888632298257</v>
      </c>
      <c r="AF19" s="894">
        <f t="shared" si="2"/>
        <v>643.00997341025959</v>
      </c>
      <c r="AG19" s="894">
        <f t="shared" si="2"/>
        <v>642.99201148243492</v>
      </c>
      <c r="AH19" s="894">
        <f t="shared" si="2"/>
        <v>642.98888049779885</v>
      </c>
      <c r="AI19" s="894">
        <f t="shared" si="2"/>
        <v>642.99743792836898</v>
      </c>
      <c r="AJ19" s="894">
        <f t="shared" si="2"/>
        <v>642.99707582971541</v>
      </c>
      <c r="AK19" s="894">
        <f t="shared" si="2"/>
        <v>642.99385143457948</v>
      </c>
      <c r="AL19" s="894">
        <f t="shared" si="2"/>
        <v>642.99431142261574</v>
      </c>
      <c r="AM19" s="894">
        <f t="shared" si="2"/>
        <v>642.99566915381979</v>
      </c>
      <c r="AN19" s="894">
        <f t="shared" si="2"/>
        <v>642.99522696018244</v>
      </c>
      <c r="AO19" s="894">
        <f t="shared" si="2"/>
        <v>642.99476474279936</v>
      </c>
      <c r="AP19" s="894">
        <f t="shared" si="2"/>
        <v>642.99499306985422</v>
      </c>
      <c r="AQ19" s="894">
        <f t="shared" si="2"/>
        <v>642.99516348166424</v>
      </c>
      <c r="AR19" s="894">
        <f>AR3-AR10</f>
        <v>642.99503706362498</v>
      </c>
    </row>
    <row r="20" spans="1:45" s="876" customFormat="1" ht="17.25" customHeight="1">
      <c r="A20" s="895" t="s">
        <v>1908</v>
      </c>
      <c r="C20" s="876">
        <v>905.94</v>
      </c>
      <c r="D20" s="876">
        <v>905.94</v>
      </c>
      <c r="E20" s="876">
        <v>905.94</v>
      </c>
      <c r="F20" s="876">
        <v>905.94</v>
      </c>
      <c r="G20" s="876">
        <v>905.94</v>
      </c>
      <c r="H20" s="876">
        <v>905.94</v>
      </c>
      <c r="I20" s="876">
        <v>905.94</v>
      </c>
      <c r="J20" s="876">
        <v>905.94</v>
      </c>
      <c r="K20" s="876">
        <v>905.94</v>
      </c>
      <c r="L20" s="876">
        <v>905.94</v>
      </c>
      <c r="M20" s="876">
        <v>905.94</v>
      </c>
      <c r="N20" s="876">
        <v>905.94</v>
      </c>
      <c r="O20" s="876">
        <v>905.94</v>
      </c>
      <c r="P20" s="876">
        <v>905.94</v>
      </c>
      <c r="Q20" s="876">
        <v>905.94</v>
      </c>
      <c r="R20" s="876">
        <v>905.94</v>
      </c>
      <c r="S20" s="876">
        <v>905.94</v>
      </c>
      <c r="T20" s="876">
        <v>905.94</v>
      </c>
      <c r="U20" s="876">
        <v>905.94</v>
      </c>
      <c r="V20" s="876">
        <v>905.94</v>
      </c>
      <c r="W20" s="876">
        <v>905.94</v>
      </c>
      <c r="X20" s="876">
        <v>905.94</v>
      </c>
      <c r="Y20" s="876">
        <v>905.94</v>
      </c>
      <c r="Z20" s="876">
        <v>905.94</v>
      </c>
      <c r="AA20" s="876">
        <v>905.94</v>
      </c>
      <c r="AB20" s="876">
        <v>905.94</v>
      </c>
      <c r="AC20" s="876">
        <v>905.94</v>
      </c>
      <c r="AD20" s="876">
        <v>905.94</v>
      </c>
      <c r="AE20" s="876">
        <v>905.94</v>
      </c>
      <c r="AF20" s="876">
        <v>905.94</v>
      </c>
      <c r="AG20" s="876">
        <v>905.94</v>
      </c>
      <c r="AH20" s="876">
        <v>905.94</v>
      </c>
      <c r="AI20" s="876">
        <v>905.94</v>
      </c>
      <c r="AJ20" s="876">
        <v>905.94</v>
      </c>
      <c r="AK20" s="876">
        <v>905.94</v>
      </c>
      <c r="AL20" s="876">
        <v>905.94</v>
      </c>
      <c r="AM20" s="876">
        <v>905.94</v>
      </c>
      <c r="AN20" s="876">
        <v>905.94</v>
      </c>
      <c r="AO20" s="876">
        <v>905.94</v>
      </c>
      <c r="AP20" s="876">
        <v>905.94</v>
      </c>
      <c r="AQ20" s="876">
        <v>905.94</v>
      </c>
      <c r="AR20" s="876">
        <v>906.94</v>
      </c>
    </row>
    <row r="21" spans="1:45" s="887" customFormat="1" ht="17.25" customHeight="1">
      <c r="A21" s="896" t="s">
        <v>1909</v>
      </c>
      <c r="C21" s="887">
        <f>C19/C20</f>
        <v>-8.1547669876797571</v>
      </c>
      <c r="D21" s="887">
        <f t="shared" ref="D21:AQ21" si="3">D19/D20</f>
        <v>-6.4766771021354597</v>
      </c>
      <c r="E21" s="887">
        <f t="shared" si="3"/>
        <v>-6.4926439385043162</v>
      </c>
      <c r="F21" s="887">
        <f t="shared" si="3"/>
        <v>-9.5963326509245626</v>
      </c>
      <c r="G21" s="887">
        <f t="shared" si="3"/>
        <v>-6.823099830193831</v>
      </c>
      <c r="H21" s="887">
        <f t="shared" si="3"/>
        <v>-4.8693943623041251</v>
      </c>
      <c r="I21" s="887">
        <f t="shared" si="3"/>
        <v>-3.3392860451308031</v>
      </c>
      <c r="J21" s="887">
        <f t="shared" si="3"/>
        <v>-6.1229951103669116</v>
      </c>
      <c r="K21" s="887">
        <f t="shared" si="3"/>
        <v>-3.7892800890233342</v>
      </c>
      <c r="L21" s="887">
        <f t="shared" si="3"/>
        <v>-2.8094383125701476</v>
      </c>
      <c r="M21" s="887">
        <f t="shared" si="3"/>
        <v>-2.5069514536170159</v>
      </c>
      <c r="N21" s="887">
        <f t="shared" si="3"/>
        <v>-3.284932343322736</v>
      </c>
      <c r="O21" s="887">
        <f t="shared" si="3"/>
        <v>0.68079758225566811</v>
      </c>
      <c r="P21" s="887">
        <f t="shared" si="3"/>
        <v>0.70761250784193785</v>
      </c>
      <c r="Q21" s="887">
        <f t="shared" si="3"/>
        <v>0.72440350820844235</v>
      </c>
      <c r="R21" s="887">
        <f t="shared" si="3"/>
        <v>0.70707809968805369</v>
      </c>
      <c r="S21" s="887">
        <f t="shared" si="3"/>
        <v>0.70497292449852555</v>
      </c>
      <c r="T21" s="887">
        <f t="shared" si="3"/>
        <v>0.71101676005923986</v>
      </c>
      <c r="U21" s="887">
        <f t="shared" si="3"/>
        <v>0.71186782311356522</v>
      </c>
      <c r="V21" s="887">
        <f t="shared" si="3"/>
        <v>0.70873390183984586</v>
      </c>
      <c r="W21" s="887">
        <f t="shared" si="3"/>
        <v>0.70914785237779421</v>
      </c>
      <c r="X21" s="887">
        <f t="shared" si="3"/>
        <v>0.71019158434761132</v>
      </c>
      <c r="Y21" s="887">
        <f t="shared" si="3"/>
        <v>0.70998529041970415</v>
      </c>
      <c r="Z21" s="887">
        <f t="shared" si="3"/>
        <v>0.70951465724623908</v>
      </c>
      <c r="AA21" s="887">
        <f t="shared" si="3"/>
        <v>0.70970984609783716</v>
      </c>
      <c r="AB21" s="887">
        <f t="shared" si="3"/>
        <v>0.70985034452784801</v>
      </c>
      <c r="AC21" s="887">
        <f t="shared" si="3"/>
        <v>0.70976503457290707</v>
      </c>
      <c r="AD21" s="887">
        <f t="shared" si="3"/>
        <v>0.70970997061120777</v>
      </c>
      <c r="AE21" s="887">
        <f t="shared" si="3"/>
        <v>0.70975879895244998</v>
      </c>
      <c r="AF21" s="887">
        <f t="shared" si="3"/>
        <v>0.70977103716610324</v>
      </c>
      <c r="AG21" s="887">
        <f t="shared" si="3"/>
        <v>0.70975121032566713</v>
      </c>
      <c r="AH21" s="887">
        <f t="shared" si="3"/>
        <v>0.70974775426385717</v>
      </c>
      <c r="AI21" s="887">
        <f t="shared" si="3"/>
        <v>0.70975720017701938</v>
      </c>
      <c r="AJ21" s="887">
        <f t="shared" si="3"/>
        <v>0.70975680048316159</v>
      </c>
      <c r="AK21" s="887">
        <f t="shared" si="3"/>
        <v>0.70975324131242623</v>
      </c>
      <c r="AL21" s="887">
        <f t="shared" si="3"/>
        <v>0.70975374905911615</v>
      </c>
      <c r="AM21" s="887">
        <f t="shared" si="3"/>
        <v>0.70975524775793075</v>
      </c>
      <c r="AN21" s="887">
        <f t="shared" si="3"/>
        <v>0.70975475965315848</v>
      </c>
      <c r="AO21" s="887">
        <f t="shared" si="3"/>
        <v>0.7097542494456579</v>
      </c>
      <c r="AP21" s="887">
        <f t="shared" si="3"/>
        <v>0.70975450147896568</v>
      </c>
      <c r="AQ21" s="887">
        <f t="shared" si="3"/>
        <v>0.70975468958392851</v>
      </c>
      <c r="AR21" s="887">
        <f>AR19/AR20</f>
        <v>0.70897196844733379</v>
      </c>
    </row>
    <row r="22" spans="1:45" ht="17.25" customHeight="1">
      <c r="A22" s="897"/>
    </row>
    <row r="23" spans="1:45" ht="17.25" customHeight="1">
      <c r="A23" s="898" t="s">
        <v>1910</v>
      </c>
    </row>
    <row r="24" spans="1:45" s="899" customFormat="1" ht="17.25" customHeight="1">
      <c r="A24" s="890" t="s">
        <v>1892</v>
      </c>
      <c r="C24" s="900" t="s">
        <v>1911</v>
      </c>
      <c r="D24" s="900" t="s">
        <v>1912</v>
      </c>
      <c r="E24" s="900" t="s">
        <v>1913</v>
      </c>
      <c r="F24" s="900" t="s">
        <v>1914</v>
      </c>
      <c r="G24" s="900" t="s">
        <v>1915</v>
      </c>
      <c r="H24" s="900" t="s">
        <v>1916</v>
      </c>
      <c r="I24" s="900" t="s">
        <v>1917</v>
      </c>
      <c r="J24" s="900" t="s">
        <v>1918</v>
      </c>
      <c r="K24" s="900" t="s">
        <v>1919</v>
      </c>
      <c r="L24" s="900" t="s">
        <v>1920</v>
      </c>
      <c r="M24" s="900" t="s">
        <v>1921</v>
      </c>
      <c r="N24" s="900" t="s">
        <v>1922</v>
      </c>
      <c r="O24" s="900" t="s">
        <v>1923</v>
      </c>
      <c r="P24" s="900"/>
      <c r="Q24" s="900"/>
      <c r="R24" s="900"/>
      <c r="S24" s="900"/>
      <c r="T24" s="900"/>
      <c r="U24" s="900"/>
      <c r="V24" s="900"/>
      <c r="W24" s="900"/>
      <c r="X24" s="900"/>
      <c r="Y24" s="900"/>
      <c r="Z24" s="900"/>
      <c r="AA24" s="900"/>
      <c r="AB24" s="900"/>
      <c r="AC24" s="900"/>
      <c r="AD24" s="900"/>
      <c r="AE24" s="900"/>
      <c r="AF24" s="900"/>
      <c r="AG24" s="900"/>
      <c r="AH24" s="900"/>
      <c r="AI24" s="900"/>
      <c r="AJ24" s="900"/>
      <c r="AK24" s="900"/>
      <c r="AL24" s="900"/>
      <c r="AM24" s="900"/>
      <c r="AN24" s="900"/>
      <c r="AO24" s="900"/>
      <c r="AP24" s="900"/>
      <c r="AQ24" s="900"/>
      <c r="AR24" s="900"/>
      <c r="AS24" s="900"/>
    </row>
    <row r="25" spans="1:45" ht="17.25" customHeight="1">
      <c r="A25" s="888" t="s">
        <v>1924</v>
      </c>
      <c r="C25" s="835">
        <f t="shared" ref="C25:AR30" si="4">C4/C$19</f>
        <v>-3.0443552328269393E-2</v>
      </c>
      <c r="D25" s="835">
        <f t="shared" si="4"/>
        <v>-3.8331396115519993E-2</v>
      </c>
      <c r="E25" s="835">
        <f t="shared" si="4"/>
        <v>-3.8237130799977787E-2</v>
      </c>
      <c r="F25" s="835">
        <f t="shared" si="4"/>
        <v>-2.5870307391892437E-2</v>
      </c>
      <c r="G25" s="835">
        <f t="shared" si="4"/>
        <v>-4.2512106229499733E-2</v>
      </c>
      <c r="H25" s="835">
        <f t="shared" si="4"/>
        <v>-5.9568875144141664E-2</v>
      </c>
      <c r="I25" s="835">
        <f t="shared" si="4"/>
        <v>-8.6864180209611133E-2</v>
      </c>
      <c r="J25" s="835">
        <f t="shared" si="4"/>
        <v>-4.7372950585011994E-2</v>
      </c>
      <c r="K25" s="835">
        <f t="shared" si="4"/>
        <v>-9.966025478534693E-2</v>
      </c>
      <c r="L25" s="835">
        <f t="shared" si="4"/>
        <v>-0.13441854816154766</v>
      </c>
      <c r="M25" s="835">
        <f t="shared" si="4"/>
        <v>-0.15063738812343166</v>
      </c>
      <c r="N25" s="835">
        <f t="shared" si="4"/>
        <v>-0.11496146028478657</v>
      </c>
      <c r="O25" s="835">
        <f t="shared" si="4"/>
        <v>0.65370806060569864</v>
      </c>
      <c r="P25" s="835">
        <f t="shared" si="4"/>
        <v>0.62890497138072898</v>
      </c>
      <c r="Q25" s="835">
        <f t="shared" si="4"/>
        <v>0.61433041991124737</v>
      </c>
      <c r="R25" s="835">
        <f t="shared" si="4"/>
        <v>0.6293869387505775</v>
      </c>
      <c r="S25" s="835">
        <f t="shared" si="4"/>
        <v>0.63126989040882564</v>
      </c>
      <c r="T25" s="835">
        <f t="shared" si="4"/>
        <v>0.62589876103523689</v>
      </c>
      <c r="U25" s="835">
        <f t="shared" si="4"/>
        <v>0.62515170098679651</v>
      </c>
      <c r="V25" s="835">
        <f t="shared" si="4"/>
        <v>0.62791683397750286</v>
      </c>
      <c r="W25" s="835">
        <f t="shared" si="4"/>
        <v>0.62755038046368228</v>
      </c>
      <c r="X25" s="835">
        <f t="shared" si="4"/>
        <v>0.62662733594248521</v>
      </c>
      <c r="Y25" s="835">
        <f t="shared" si="4"/>
        <v>0.6268097442884758</v>
      </c>
      <c r="Z25" s="835">
        <f t="shared" si="4"/>
        <v>0.62722562987439712</v>
      </c>
      <c r="AA25" s="835">
        <f t="shared" si="4"/>
        <v>0.6270530664727284</v>
      </c>
      <c r="AB25" s="835">
        <f t="shared" si="4"/>
        <v>0.62692886101471845</v>
      </c>
      <c r="AC25" s="835">
        <f t="shared" si="4"/>
        <v>0.62700428758489968</v>
      </c>
      <c r="AD25" s="835">
        <f t="shared" si="4"/>
        <v>0.62705294227643937</v>
      </c>
      <c r="AE25" s="835">
        <f t="shared" si="4"/>
        <v>0.62700978522715134</v>
      </c>
      <c r="AF25" s="835">
        <f t="shared" si="4"/>
        <v>0.62699896584860226</v>
      </c>
      <c r="AG25" s="835">
        <f t="shared" si="4"/>
        <v>0.62701649450503882</v>
      </c>
      <c r="AH25" s="835">
        <f t="shared" si="4"/>
        <v>0.62701954630937451</v>
      </c>
      <c r="AI25" s="835">
        <f t="shared" si="4"/>
        <v>0.62701119787317761</v>
      </c>
      <c r="AJ25" s="835">
        <f t="shared" si="4"/>
        <v>0.62701155103567885</v>
      </c>
      <c r="AK25" s="835">
        <f t="shared" si="4"/>
        <v>0.62701469741133586</v>
      </c>
      <c r="AL25" s="835">
        <f t="shared" si="4"/>
        <v>0.62701424813951712</v>
      </c>
      <c r="AM25" s="835">
        <f t="shared" si="4"/>
        <v>0.62701292361103722</v>
      </c>
      <c r="AN25" s="835">
        <f t="shared" si="4"/>
        <v>0.62701335504698552</v>
      </c>
      <c r="AO25" s="835">
        <f t="shared" si="4"/>
        <v>0.62701380605143309</v>
      </c>
      <c r="AP25" s="835">
        <f t="shared" si="4"/>
        <v>0.62701358321185319</v>
      </c>
      <c r="AQ25" s="835">
        <f t="shared" si="4"/>
        <v>0.62701341698015711</v>
      </c>
      <c r="AR25" s="835">
        <f t="shared" si="4"/>
        <v>0.62701354032255874</v>
      </c>
    </row>
    <row r="26" spans="1:45" ht="17.25" customHeight="1">
      <c r="A26" s="889" t="s">
        <v>1894</v>
      </c>
      <c r="C26" s="835">
        <f t="shared" si="4"/>
        <v>0</v>
      </c>
      <c r="D26" s="835">
        <f t="shared" si="4"/>
        <v>0</v>
      </c>
      <c r="E26" s="835">
        <f t="shared" si="4"/>
        <v>0</v>
      </c>
      <c r="F26" s="835">
        <f t="shared" si="4"/>
        <v>0</v>
      </c>
      <c r="G26" s="835">
        <f t="shared" si="4"/>
        <v>0</v>
      </c>
      <c r="H26" s="835">
        <f t="shared" si="4"/>
        <v>0</v>
      </c>
      <c r="I26" s="835">
        <f t="shared" si="4"/>
        <v>0</v>
      </c>
      <c r="J26" s="835">
        <f t="shared" si="4"/>
        <v>0</v>
      </c>
      <c r="K26" s="835">
        <f t="shared" si="4"/>
        <v>0</v>
      </c>
      <c r="L26" s="835">
        <f t="shared" si="4"/>
        <v>0</v>
      </c>
      <c r="M26" s="835">
        <f t="shared" si="4"/>
        <v>0</v>
      </c>
      <c r="N26" s="835">
        <f t="shared" si="4"/>
        <v>0</v>
      </c>
      <c r="O26" s="835">
        <f t="shared" si="4"/>
        <v>4.6893765506389965E-3</v>
      </c>
      <c r="P26" s="835">
        <f t="shared" si="4"/>
        <v>4.4102398654378644E-3</v>
      </c>
      <c r="Q26" s="835">
        <f t="shared" si="4"/>
        <v>4.844112296814025E-3</v>
      </c>
      <c r="R26" s="835">
        <f t="shared" si="4"/>
        <v>5.0633125467986042E-3</v>
      </c>
      <c r="S26" s="835">
        <f t="shared" si="4"/>
        <v>4.752844399856535E-3</v>
      </c>
      <c r="T26" s="835">
        <f t="shared" si="4"/>
        <v>4.7680369947169805E-3</v>
      </c>
      <c r="U26" s="835">
        <f t="shared" si="4"/>
        <v>4.8569515781997953E-3</v>
      </c>
      <c r="V26" s="835">
        <f t="shared" si="4"/>
        <v>4.8602323654087128E-3</v>
      </c>
      <c r="W26" s="835">
        <f t="shared" si="4"/>
        <v>4.8096104999331285E-3</v>
      </c>
      <c r="X26" s="835">
        <f t="shared" si="4"/>
        <v>4.8236977421876725E-3</v>
      </c>
      <c r="Y26" s="835">
        <f t="shared" si="4"/>
        <v>4.8376331450978123E-3</v>
      </c>
      <c r="Z26" s="835">
        <f t="shared" si="4"/>
        <v>4.8327875190146072E-3</v>
      </c>
      <c r="AA26" s="835">
        <f t="shared" si="4"/>
        <v>4.8259357424832424E-3</v>
      </c>
      <c r="AB26" s="835">
        <f t="shared" si="4"/>
        <v>4.830013014116342E-3</v>
      </c>
      <c r="AC26" s="835">
        <f t="shared" si="4"/>
        <v>4.8315927809258292E-3</v>
      </c>
      <c r="AD26" s="835">
        <f t="shared" si="4"/>
        <v>4.830082104068917E-3</v>
      </c>
      <c r="AE26" s="835">
        <f t="shared" si="4"/>
        <v>4.829405982983581E-3</v>
      </c>
      <c r="AF26" s="835">
        <f t="shared" si="4"/>
        <v>4.8302734683142202E-3</v>
      </c>
      <c r="AG26" s="835">
        <f t="shared" si="4"/>
        <v>4.8303385909583968E-3</v>
      </c>
      <c r="AH26" s="835">
        <f t="shared" si="4"/>
        <v>4.8300250358325617E-3</v>
      </c>
      <c r="AI26" s="835">
        <f t="shared" si="4"/>
        <v>4.8300107697228515E-3</v>
      </c>
      <c r="AJ26" s="835">
        <f t="shared" si="4"/>
        <v>4.8301619668333958E-3</v>
      </c>
      <c r="AK26" s="835">
        <f t="shared" si="4"/>
        <v>4.8301340907642622E-3</v>
      </c>
      <c r="AL26" s="835">
        <f t="shared" si="4"/>
        <v>4.8300829658985975E-3</v>
      </c>
      <c r="AM26" s="835">
        <f t="shared" si="4"/>
        <v>4.8300974482622027E-3</v>
      </c>
      <c r="AN26" s="835">
        <f t="shared" si="4"/>
        <v>4.8301191179715534E-3</v>
      </c>
      <c r="AO26" s="835">
        <f t="shared" si="4"/>
        <v>4.8301084057175894E-3</v>
      </c>
      <c r="AP26" s="835">
        <f t="shared" si="4"/>
        <v>4.8301019844673235E-3</v>
      </c>
      <c r="AQ26" s="835">
        <f t="shared" si="4"/>
        <v>4.8301067391032012E-3</v>
      </c>
      <c r="AR26" s="835">
        <f t="shared" si="4"/>
        <v>4.8301090618157365E-3</v>
      </c>
    </row>
    <row r="27" spans="1:45" ht="17.25" customHeight="1">
      <c r="A27" s="889" t="s">
        <v>1895</v>
      </c>
      <c r="C27" s="835">
        <f t="shared" si="4"/>
        <v>0</v>
      </c>
      <c r="D27" s="835">
        <f t="shared" si="4"/>
        <v>0</v>
      </c>
      <c r="E27" s="835">
        <f t="shared" si="4"/>
        <v>0</v>
      </c>
      <c r="F27" s="835">
        <f t="shared" si="4"/>
        <v>0</v>
      </c>
      <c r="G27" s="835">
        <f t="shared" si="4"/>
        <v>0</v>
      </c>
      <c r="H27" s="835">
        <f t="shared" si="4"/>
        <v>0</v>
      </c>
      <c r="I27" s="835">
        <f t="shared" si="4"/>
        <v>0</v>
      </c>
      <c r="J27" s="835">
        <f t="shared" si="4"/>
        <v>0</v>
      </c>
      <c r="K27" s="835">
        <f t="shared" si="4"/>
        <v>0</v>
      </c>
      <c r="L27" s="835">
        <f t="shared" si="4"/>
        <v>0</v>
      </c>
      <c r="M27" s="835">
        <f t="shared" si="4"/>
        <v>0</v>
      </c>
      <c r="N27" s="835">
        <f t="shared" si="4"/>
        <v>0</v>
      </c>
      <c r="O27" s="835">
        <f t="shared" si="4"/>
        <v>7.9157549886701456E-2</v>
      </c>
      <c r="P27" s="835">
        <f t="shared" si="4"/>
        <v>8.1434893731957128E-2</v>
      </c>
      <c r="Q27" s="835">
        <f t="shared" si="4"/>
        <v>8.4417686541538056E-2</v>
      </c>
      <c r="R27" s="835">
        <f t="shared" si="4"/>
        <v>8.6987980722357874E-2</v>
      </c>
      <c r="S27" s="835">
        <f t="shared" si="4"/>
        <v>8.3043750409504957E-2</v>
      </c>
      <c r="T27" s="835">
        <f t="shared" si="4"/>
        <v>8.3974008340367542E-2</v>
      </c>
      <c r="U27" s="835">
        <f t="shared" si="4"/>
        <v>8.4604992491293537E-2</v>
      </c>
      <c r="V27" s="835">
        <f t="shared" si="4"/>
        <v>8.4652854279321121E-2</v>
      </c>
      <c r="W27" s="835">
        <f t="shared" si="4"/>
        <v>8.4070776521369225E-2</v>
      </c>
      <c r="X27" s="835">
        <f t="shared" si="4"/>
        <v>8.4325646340152854E-2</v>
      </c>
      <c r="Y27" s="835">
        <f t="shared" si="4"/>
        <v>8.4413683555393346E-2</v>
      </c>
      <c r="Z27" s="835">
        <f t="shared" si="4"/>
        <v>8.4365697698318143E-2</v>
      </c>
      <c r="AA27" s="835">
        <f t="shared" si="4"/>
        <v>8.4294007272571581E-2</v>
      </c>
      <c r="AB27" s="835">
        <f t="shared" si="4"/>
        <v>8.4349759731177865E-2</v>
      </c>
      <c r="AC27" s="835">
        <f t="shared" si="4"/>
        <v>8.4355791701809665E-2</v>
      </c>
      <c r="AD27" s="835">
        <f t="shared" si="4"/>
        <v>8.4341313123875855E-2</v>
      </c>
      <c r="AE27" s="835">
        <f t="shared" si="4"/>
        <v>8.4335219077207105E-2</v>
      </c>
      <c r="AF27" s="835">
        <f t="shared" si="4"/>
        <v>8.434552114012378E-2</v>
      </c>
      <c r="AG27" s="835">
        <f t="shared" si="4"/>
        <v>8.4344461344354388E-2</v>
      </c>
      <c r="AH27" s="835">
        <f t="shared" si="4"/>
        <v>8.4341628686025183E-2</v>
      </c>
      <c r="AI27" s="835">
        <f t="shared" si="4"/>
        <v>8.4341707571312902E-2</v>
      </c>
      <c r="AJ27" s="835">
        <f t="shared" si="4"/>
        <v>8.4343329699406805E-2</v>
      </c>
      <c r="AK27" s="835">
        <f t="shared" si="4"/>
        <v>8.4342781825490876E-2</v>
      </c>
      <c r="AL27" s="835">
        <f t="shared" si="4"/>
        <v>8.4342361947276873E-2</v>
      </c>
      <c r="AM27" s="835">
        <f t="shared" si="4"/>
        <v>8.4342545260654406E-2</v>
      </c>
      <c r="AN27" s="835">
        <f t="shared" si="4"/>
        <v>8.43427546837099E-2</v>
      </c>
      <c r="AO27" s="835">
        <f t="shared" si="4"/>
        <v>8.4342610929268952E-2</v>
      </c>
      <c r="AP27" s="835">
        <f t="shared" si="4"/>
        <v>8.4342568205289334E-2</v>
      </c>
      <c r="AQ27" s="835">
        <f t="shared" si="4"/>
        <v>8.4342619769724084E-2</v>
      </c>
      <c r="AR27" s="835">
        <f t="shared" si="4"/>
        <v>8.4342638397009867E-2</v>
      </c>
    </row>
    <row r="28" spans="1:45" ht="17.25" customHeight="1">
      <c r="A28" s="889" t="s">
        <v>1896</v>
      </c>
      <c r="C28" s="835">
        <f t="shared" si="4"/>
        <v>0</v>
      </c>
      <c r="D28" s="835">
        <f t="shared" si="4"/>
        <v>0</v>
      </c>
      <c r="E28" s="835">
        <f t="shared" si="4"/>
        <v>0</v>
      </c>
      <c r="F28" s="835">
        <f t="shared" si="4"/>
        <v>0</v>
      </c>
      <c r="G28" s="835">
        <f t="shared" si="4"/>
        <v>0</v>
      </c>
      <c r="H28" s="835">
        <f t="shared" si="4"/>
        <v>0</v>
      </c>
      <c r="I28" s="835">
        <f t="shared" si="4"/>
        <v>0</v>
      </c>
      <c r="J28" s="835">
        <f t="shared" si="4"/>
        <v>0</v>
      </c>
      <c r="K28" s="835">
        <f t="shared" si="4"/>
        <v>0</v>
      </c>
      <c r="L28" s="835">
        <f t="shared" si="4"/>
        <v>0</v>
      </c>
      <c r="M28" s="835">
        <f t="shared" si="4"/>
        <v>0</v>
      </c>
      <c r="N28" s="835">
        <f t="shared" si="4"/>
        <v>0</v>
      </c>
      <c r="O28" s="835">
        <f t="shared" si="4"/>
        <v>0.25045956174724276</v>
      </c>
      <c r="P28" s="835">
        <f t="shared" si="4"/>
        <v>0.25894016968799882</v>
      </c>
      <c r="Q28" s="835">
        <f t="shared" si="4"/>
        <v>0.28809759900868859</v>
      </c>
      <c r="R28" s="835">
        <f t="shared" si="4"/>
        <v>0.26230693512089226</v>
      </c>
      <c r="S28" s="835">
        <f t="shared" si="4"/>
        <v>0.26522719582631443</v>
      </c>
      <c r="T28" s="835">
        <f t="shared" si="4"/>
        <v>0.2687621932206905</v>
      </c>
      <c r="U28" s="835">
        <f t="shared" si="4"/>
        <v>0.27120302088503545</v>
      </c>
      <c r="V28" s="835">
        <f t="shared" si="4"/>
        <v>0.26688599455445317</v>
      </c>
      <c r="W28" s="835">
        <f t="shared" si="4"/>
        <v>0.26802741824761683</v>
      </c>
      <c r="X28" s="835">
        <f t="shared" si="4"/>
        <v>0.26872232967472331</v>
      </c>
      <c r="Y28" s="835">
        <f t="shared" si="4"/>
        <v>0.26871234930974935</v>
      </c>
      <c r="Z28" s="835">
        <f t="shared" si="4"/>
        <v>0.26808761628475752</v>
      </c>
      <c r="AA28" s="835">
        <f t="shared" si="4"/>
        <v>0.26838760862040595</v>
      </c>
      <c r="AB28" s="835">
        <f t="shared" si="4"/>
        <v>0.26847756709942888</v>
      </c>
      <c r="AC28" s="835">
        <f t="shared" si="4"/>
        <v>0.26841633968166739</v>
      </c>
      <c r="AD28" s="835">
        <f t="shared" si="4"/>
        <v>0.26834230856668251</v>
      </c>
      <c r="AE28" s="835">
        <f t="shared" si="4"/>
        <v>0.26840595973500198</v>
      </c>
      <c r="AF28" s="835">
        <f t="shared" si="4"/>
        <v>0.26841054711812756</v>
      </c>
      <c r="AG28" s="835">
        <f t="shared" si="4"/>
        <v>0.26839378978255524</v>
      </c>
      <c r="AH28" s="835">
        <f t="shared" si="4"/>
        <v>0.26838815217052098</v>
      </c>
      <c r="AI28" s="835">
        <f t="shared" si="4"/>
        <v>0.26839961230883475</v>
      </c>
      <c r="AJ28" s="835">
        <f t="shared" si="4"/>
        <v>0.26839802544782493</v>
      </c>
      <c r="AK28" s="835">
        <f t="shared" si="4"/>
        <v>0.26839489495175928</v>
      </c>
      <c r="AL28" s="835">
        <f t="shared" si="4"/>
        <v>0.26839517124307199</v>
      </c>
      <c r="AM28" s="835">
        <f t="shared" si="4"/>
        <v>0.26839692599268322</v>
      </c>
      <c r="AN28" s="835">
        <f t="shared" si="4"/>
        <v>0.26839625441133613</v>
      </c>
      <c r="AO28" s="835">
        <f t="shared" si="4"/>
        <v>0.26839581165062243</v>
      </c>
      <c r="AP28" s="835">
        <f t="shared" si="4"/>
        <v>0.2683960408249314</v>
      </c>
      <c r="AQ28" s="835">
        <f t="shared" si="4"/>
        <v>0.26839625822010799</v>
      </c>
      <c r="AR28" s="835">
        <f t="shared" si="4"/>
        <v>0.2683960912768002</v>
      </c>
    </row>
    <row r="29" spans="1:45" ht="17.25" customHeight="1">
      <c r="A29" s="889" t="s">
        <v>1897</v>
      </c>
      <c r="C29" s="835">
        <f t="shared" si="4"/>
        <v>0</v>
      </c>
      <c r="D29" s="835">
        <f t="shared" si="4"/>
        <v>0</v>
      </c>
      <c r="E29" s="835">
        <f t="shared" si="4"/>
        <v>0</v>
      </c>
      <c r="F29" s="835">
        <f t="shared" si="4"/>
        <v>0</v>
      </c>
      <c r="G29" s="835">
        <f t="shared" si="4"/>
        <v>0</v>
      </c>
      <c r="H29" s="835">
        <f t="shared" si="4"/>
        <v>0</v>
      </c>
      <c r="I29" s="835">
        <f t="shared" si="4"/>
        <v>0</v>
      </c>
      <c r="J29" s="835">
        <f t="shared" si="4"/>
        <v>0</v>
      </c>
      <c r="K29" s="835">
        <f t="shared" si="4"/>
        <v>0</v>
      </c>
      <c r="L29" s="835">
        <f t="shared" si="4"/>
        <v>0</v>
      </c>
      <c r="M29" s="835">
        <f t="shared" si="4"/>
        <v>0</v>
      </c>
      <c r="N29" s="835">
        <f t="shared" si="4"/>
        <v>0</v>
      </c>
      <c r="O29" s="835">
        <f t="shared" si="4"/>
        <v>3.9645385503218847E-2</v>
      </c>
      <c r="P29" s="835">
        <f t="shared" si="4"/>
        <v>3.9039055522414816E-2</v>
      </c>
      <c r="Q29" s="835">
        <f t="shared" si="4"/>
        <v>3.6987995116017879E-2</v>
      </c>
      <c r="R29" s="835">
        <f t="shared" si="4"/>
        <v>3.8702190193889666E-2</v>
      </c>
      <c r="S29" s="835">
        <f t="shared" si="4"/>
        <v>3.8574074024636751E-2</v>
      </c>
      <c r="T29" s="835">
        <f t="shared" si="4"/>
        <v>3.8317629203138914E-2</v>
      </c>
      <c r="U29" s="835">
        <f t="shared" si="4"/>
        <v>3.8138350736536368E-2</v>
      </c>
      <c r="V29" s="835">
        <f t="shared" si="4"/>
        <v>3.8432298029387621E-2</v>
      </c>
      <c r="W29" s="835">
        <f t="shared" si="4"/>
        <v>3.8365021918292816E-2</v>
      </c>
      <c r="X29" s="835">
        <f t="shared" si="4"/>
        <v>3.83131429330901E-2</v>
      </c>
      <c r="Y29" s="835">
        <f t="shared" si="4"/>
        <v>3.8312019736159865E-2</v>
      </c>
      <c r="Z29" s="835">
        <f t="shared" si="4"/>
        <v>3.835558098307762E-2</v>
      </c>
      <c r="AA29" s="835">
        <f t="shared" si="4"/>
        <v>3.8336428095503965E-2</v>
      </c>
      <c r="AB29" s="835">
        <f t="shared" si="4"/>
        <v>3.8329286714162698E-2</v>
      </c>
      <c r="AC29" s="835">
        <f t="shared" si="4"/>
        <v>3.8333325084925859E-2</v>
      </c>
      <c r="AD29" s="835">
        <f t="shared" si="4"/>
        <v>3.8338653488378505E-2</v>
      </c>
      <c r="AE29" s="835">
        <f t="shared" si="4"/>
        <v>3.8334423070376926E-2</v>
      </c>
      <c r="AF29" s="835">
        <f t="shared" si="4"/>
        <v>3.8333921857309668E-2</v>
      </c>
      <c r="AG29" s="835">
        <f t="shared" si="4"/>
        <v>3.8335080804949323E-2</v>
      </c>
      <c r="AH29" s="835">
        <f t="shared" si="4"/>
        <v>3.8335519745641859E-2</v>
      </c>
      <c r="AI29" s="835">
        <f t="shared" si="4"/>
        <v>3.8334736362090081E-2</v>
      </c>
      <c r="AJ29" s="835">
        <f t="shared" si="4"/>
        <v>3.8334814685238916E-2</v>
      </c>
      <c r="AK29" s="835">
        <f t="shared" si="4"/>
        <v>3.833503789781776E-2</v>
      </c>
      <c r="AL29" s="835">
        <f t="shared" si="4"/>
        <v>3.8335027171073233E-2</v>
      </c>
      <c r="AM29" s="835">
        <f t="shared" si="4"/>
        <v>3.8334904028731222E-2</v>
      </c>
      <c r="AN29" s="835">
        <f t="shared" si="4"/>
        <v>3.8334945945535645E-2</v>
      </c>
      <c r="AO29" s="835">
        <f t="shared" si="4"/>
        <v>3.8334978760727757E-2</v>
      </c>
      <c r="AP29" s="835">
        <f t="shared" si="4"/>
        <v>3.8334963976481513E-2</v>
      </c>
      <c r="AQ29" s="835">
        <f t="shared" si="4"/>
        <v>3.8334948177854496E-2</v>
      </c>
      <c r="AR29" s="835">
        <f t="shared" si="4"/>
        <v>3.833495921514618E-2</v>
      </c>
    </row>
    <row r="30" spans="1:45" ht="17.25" customHeight="1">
      <c r="A30" s="891" t="s">
        <v>1898</v>
      </c>
      <c r="C30" s="835">
        <f t="shared" si="4"/>
        <v>0</v>
      </c>
      <c r="D30" s="835">
        <f t="shared" si="4"/>
        <v>0</v>
      </c>
      <c r="E30" s="835">
        <f t="shared" si="4"/>
        <v>0</v>
      </c>
      <c r="F30" s="835">
        <f t="shared" si="4"/>
        <v>0</v>
      </c>
      <c r="G30" s="835">
        <f t="shared" si="4"/>
        <v>0</v>
      </c>
      <c r="H30" s="835">
        <f t="shared" si="4"/>
        <v>0</v>
      </c>
      <c r="I30" s="835">
        <f t="shared" si="4"/>
        <v>0</v>
      </c>
      <c r="J30" s="835">
        <f t="shared" si="4"/>
        <v>0</v>
      </c>
      <c r="K30" s="835">
        <f t="shared" si="4"/>
        <v>0</v>
      </c>
      <c r="L30" s="835">
        <f t="shared" si="4"/>
        <v>0</v>
      </c>
      <c r="M30" s="835">
        <f t="shared" si="4"/>
        <v>0</v>
      </c>
      <c r="N30" s="835">
        <f t="shared" si="4"/>
        <v>0</v>
      </c>
      <c r="O30" s="835">
        <f t="shared" si="4"/>
        <v>0.60380668409537541</v>
      </c>
      <c r="P30" s="835">
        <f t="shared" si="4"/>
        <v>0.61972838702656996</v>
      </c>
      <c r="Q30" s="835">
        <f t="shared" si="4"/>
        <v>0.61774772948591383</v>
      </c>
      <c r="R30" s="835">
        <f t="shared" si="4"/>
        <v>0.63318866649347516</v>
      </c>
      <c r="S30" s="835">
        <f t="shared" si="4"/>
        <v>0.61875076674874407</v>
      </c>
      <c r="T30" s="835">
        <f t="shared" si="4"/>
        <v>0.622328001460692</v>
      </c>
      <c r="U30" s="835">
        <f t="shared" si="4"/>
        <v>0.62297402015595549</v>
      </c>
      <c r="V30" s="835">
        <f t="shared" si="4"/>
        <v>0.62430948022300858</v>
      </c>
      <c r="W30" s="835">
        <f t="shared" si="4"/>
        <v>0.62209616245935495</v>
      </c>
      <c r="X30" s="835">
        <f t="shared" si="4"/>
        <v>0.62292636569243065</v>
      </c>
      <c r="Y30" s="835">
        <f t="shared" si="4"/>
        <v>0.62307617407688842</v>
      </c>
      <c r="Z30" s="835">
        <f t="shared" si="4"/>
        <v>0.62310179725766912</v>
      </c>
      <c r="AA30" s="835">
        <f t="shared" si="4"/>
        <v>0.62280029169701068</v>
      </c>
      <c r="AB30" s="835">
        <f t="shared" si="4"/>
        <v>0.62297614979883775</v>
      </c>
      <c r="AC30" s="835">
        <f t="shared" si="4"/>
        <v>0.62298860330516825</v>
      </c>
      <c r="AD30" s="835">
        <f t="shared" si="4"/>
        <v>0.62296670211934335</v>
      </c>
      <c r="AE30" s="835">
        <f t="shared" si="4"/>
        <v>0.62293293995221488</v>
      </c>
      <c r="AF30" s="835">
        <f t="shared" si="4"/>
        <v>0.6229660991570346</v>
      </c>
      <c r="AG30" s="835">
        <f t="shared" si="4"/>
        <v>0.62296358614562897</v>
      </c>
      <c r="AH30" s="835">
        <f t="shared" si="4"/>
        <v>0.62295733170347023</v>
      </c>
      <c r="AI30" s="835">
        <f t="shared" si="4"/>
        <v>0.62295498925538662</v>
      </c>
      <c r="AJ30" s="835">
        <f t="shared" si="4"/>
        <v>0.6229605015967008</v>
      </c>
      <c r="AK30" s="835">
        <f t="shared" si="4"/>
        <v>0.62295910217152994</v>
      </c>
      <c r="AL30" s="835">
        <f t="shared" si="4"/>
        <v>0.62295798118201473</v>
      </c>
      <c r="AM30" s="835">
        <f t="shared" si="4"/>
        <v>0.62295814354993684</v>
      </c>
      <c r="AN30" s="835">
        <f t="shared" si="4"/>
        <v>0.62295893212628595</v>
      </c>
      <c r="AO30" s="835">
        <f t="shared" si="4"/>
        <v>0.62295853975727178</v>
      </c>
      <c r="AP30" s="835">
        <f t="shared" si="4"/>
        <v>0.62295839915395701</v>
      </c>
      <c r="AQ30" s="835">
        <f t="shared" si="4"/>
        <v>0.62295850364680372</v>
      </c>
      <c r="AR30" s="835">
        <f t="shared" si="4"/>
        <v>0.6229585936711094</v>
      </c>
    </row>
    <row r="31" spans="1:45" s="886" customFormat="1" ht="17.25" customHeight="1">
      <c r="A31" s="890" t="s">
        <v>1925</v>
      </c>
    </row>
    <row r="32" spans="1:45" ht="17.25" customHeight="1">
      <c r="A32" s="889" t="s">
        <v>1900</v>
      </c>
      <c r="C32" s="835">
        <f t="shared" ref="C32:AR38" si="5">-C11/C$19</f>
        <v>0</v>
      </c>
      <c r="D32" s="835">
        <f t="shared" si="5"/>
        <v>0</v>
      </c>
      <c r="E32" s="835">
        <f t="shared" si="5"/>
        <v>0</v>
      </c>
      <c r="F32" s="835">
        <f t="shared" si="5"/>
        <v>0</v>
      </c>
      <c r="G32" s="835">
        <f t="shared" si="5"/>
        <v>0</v>
      </c>
      <c r="H32" s="835">
        <f t="shared" si="5"/>
        <v>0</v>
      </c>
      <c r="I32" s="835">
        <f t="shared" si="5"/>
        <v>0</v>
      </c>
      <c r="J32" s="835">
        <f t="shared" si="5"/>
        <v>0</v>
      </c>
      <c r="K32" s="835">
        <f t="shared" si="5"/>
        <v>0</v>
      </c>
      <c r="L32" s="835">
        <f t="shared" si="5"/>
        <v>0</v>
      </c>
      <c r="M32" s="835">
        <f t="shared" si="5"/>
        <v>0</v>
      </c>
      <c r="N32" s="835">
        <f t="shared" si="5"/>
        <v>0</v>
      </c>
      <c r="O32" s="835">
        <f t="shared" si="5"/>
        <v>-1.1349601150792683E-2</v>
      </c>
      <c r="P32" s="835">
        <f t="shared" si="5"/>
        <v>-1.3649386029422349E-2</v>
      </c>
      <c r="Q32" s="835">
        <f t="shared" si="5"/>
        <v>-1.4380599265170746E-2</v>
      </c>
      <c r="R32" s="835">
        <f t="shared" si="5"/>
        <v>-1.8416205653988806E-2</v>
      </c>
      <c r="S32" s="835">
        <f t="shared" si="5"/>
        <v>-1.4477261515385221E-2</v>
      </c>
      <c r="T32" s="835">
        <f t="shared" si="5"/>
        <v>-1.5225944153384526E-2</v>
      </c>
      <c r="U32" s="835">
        <f t="shared" si="5"/>
        <v>-1.5617727645921134E-2</v>
      </c>
      <c r="V32" s="835">
        <f t="shared" si="5"/>
        <v>-1.5933847749952199E-2</v>
      </c>
      <c r="W32" s="835">
        <f t="shared" si="5"/>
        <v>-1.5315069555938591E-2</v>
      </c>
      <c r="X32" s="835">
        <f t="shared" si="5"/>
        <v>-1.5522982461953893E-2</v>
      </c>
      <c r="Y32" s="835">
        <f t="shared" si="5"/>
        <v>-1.5597349923724692E-2</v>
      </c>
      <c r="Z32" s="835">
        <f t="shared" si="5"/>
        <v>-1.5592238597062215E-2</v>
      </c>
      <c r="AA32" s="835">
        <f t="shared" si="5"/>
        <v>-1.5506953748203526E-2</v>
      </c>
      <c r="AB32" s="835">
        <f t="shared" si="5"/>
        <v>-1.5554877322481859E-2</v>
      </c>
      <c r="AC32" s="835">
        <f t="shared" si="5"/>
        <v>-1.5562855829603069E-2</v>
      </c>
      <c r="AD32" s="835">
        <f t="shared" si="5"/>
        <v>-1.555422896072464E-2</v>
      </c>
      <c r="AE32" s="835">
        <f t="shared" si="5"/>
        <v>-1.5544729820263855E-2</v>
      </c>
      <c r="AF32" s="835">
        <f t="shared" si="5"/>
        <v>-1.5554173024087429E-2</v>
      </c>
      <c r="AG32" s="835">
        <f t="shared" si="5"/>
        <v>-1.5553996924895674E-2</v>
      </c>
      <c r="AH32" s="835">
        <f t="shared" si="5"/>
        <v>-1.5551782144796635E-2</v>
      </c>
      <c r="AI32" s="835">
        <f t="shared" si="5"/>
        <v>-1.5551170481519423E-2</v>
      </c>
      <c r="AJ32" s="835">
        <f t="shared" si="5"/>
        <v>-1.5552780651367077E-2</v>
      </c>
      <c r="AK32" s="835">
        <f t="shared" si="5"/>
        <v>-1.5552432549459141E-2</v>
      </c>
      <c r="AL32" s="835">
        <f t="shared" si="5"/>
        <v>-1.5552041456998917E-2</v>
      </c>
      <c r="AM32" s="835">
        <f t="shared" si="5"/>
        <v>-1.5552106284365047E-2</v>
      </c>
      <c r="AN32" s="835">
        <f t="shared" si="5"/>
        <v>-1.5552340235880906E-2</v>
      </c>
      <c r="AO32" s="835">
        <f t="shared" si="5"/>
        <v>-1.5552230131613616E-2</v>
      </c>
      <c r="AP32" s="835">
        <f t="shared" si="5"/>
        <v>-1.5552179527242084E-2</v>
      </c>
      <c r="AQ32" s="835">
        <f t="shared" si="5"/>
        <v>-1.5552214044757127E-2</v>
      </c>
      <c r="AR32" s="835">
        <f t="shared" si="5"/>
        <v>-1.5552240984881642E-2</v>
      </c>
    </row>
    <row r="33" spans="1:44" ht="17.25" customHeight="1">
      <c r="A33" s="889" t="s">
        <v>1901</v>
      </c>
      <c r="C33" s="835">
        <f t="shared" si="5"/>
        <v>0</v>
      </c>
      <c r="D33" s="835">
        <f t="shared" si="5"/>
        <v>0</v>
      </c>
      <c r="E33" s="835">
        <f t="shared" si="5"/>
        <v>0</v>
      </c>
      <c r="F33" s="835">
        <f t="shared" si="5"/>
        <v>0</v>
      </c>
      <c r="G33" s="835">
        <f t="shared" si="5"/>
        <v>0</v>
      </c>
      <c r="H33" s="835">
        <f t="shared" si="5"/>
        <v>0</v>
      </c>
      <c r="I33" s="835">
        <f t="shared" si="5"/>
        <v>0</v>
      </c>
      <c r="J33" s="835">
        <f t="shared" si="5"/>
        <v>0</v>
      </c>
      <c r="K33" s="835">
        <f t="shared" si="5"/>
        <v>0</v>
      </c>
      <c r="L33" s="835">
        <f t="shared" si="5"/>
        <v>0</v>
      </c>
      <c r="M33" s="835">
        <f t="shared" si="5"/>
        <v>0</v>
      </c>
      <c r="N33" s="835">
        <f t="shared" si="5"/>
        <v>0</v>
      </c>
      <c r="O33" s="835">
        <f t="shared" si="5"/>
        <v>-0.28063504928013744</v>
      </c>
      <c r="P33" s="835">
        <f t="shared" si="5"/>
        <v>-0.28532725891415295</v>
      </c>
      <c r="Q33" s="835">
        <f t="shared" si="5"/>
        <v>-0.28728342307697852</v>
      </c>
      <c r="R33" s="835">
        <f t="shared" si="5"/>
        <v>-0.29062102594590811</v>
      </c>
      <c r="S33" s="835">
        <f t="shared" si="5"/>
        <v>-0.28602434736698645</v>
      </c>
      <c r="T33" s="835">
        <f t="shared" si="5"/>
        <v>-0.2873144087669724</v>
      </c>
      <c r="U33" s="835">
        <f t="shared" si="5"/>
        <v>-0.28780822659563232</v>
      </c>
      <c r="V33" s="835">
        <f t="shared" si="5"/>
        <v>-0.28794232823414789</v>
      </c>
      <c r="W33" s="835">
        <f t="shared" si="5"/>
        <v>-0.28727460834988128</v>
      </c>
      <c r="X33" s="835">
        <f t="shared" si="5"/>
        <v>-0.28758487679044148</v>
      </c>
      <c r="Y33" s="835">
        <f t="shared" si="5"/>
        <v>-0.28765259203058147</v>
      </c>
      <c r="Z33" s="835">
        <f t="shared" si="5"/>
        <v>-0.2876135543454918</v>
      </c>
      <c r="AA33" s="835">
        <f t="shared" si="5"/>
        <v>-0.2875314739001481</v>
      </c>
      <c r="AB33" s="835">
        <f t="shared" si="5"/>
        <v>-0.28759562673698397</v>
      </c>
      <c r="AC33" s="835">
        <f t="shared" si="5"/>
        <v>-0.28759831583872719</v>
      </c>
      <c r="AD33" s="835">
        <f t="shared" si="5"/>
        <v>-0.28758474152688412</v>
      </c>
      <c r="AE33" s="835">
        <f t="shared" si="5"/>
        <v>-0.2875775407999791</v>
      </c>
      <c r="AF33" s="835">
        <f t="shared" si="5"/>
        <v>-0.28758905653205236</v>
      </c>
      <c r="AG33" s="835">
        <f t="shared" si="5"/>
        <v>-0.28758741375139674</v>
      </c>
      <c r="AH33" s="835">
        <f t="shared" si="5"/>
        <v>-0.28758468816320548</v>
      </c>
      <c r="AI33" s="835">
        <f t="shared" si="5"/>
        <v>-0.28758467482317362</v>
      </c>
      <c r="AJ33" s="835">
        <f t="shared" si="5"/>
        <v>-0.28758645833399421</v>
      </c>
      <c r="AK33" s="835">
        <f t="shared" si="5"/>
        <v>-0.28758580876819329</v>
      </c>
      <c r="AL33" s="835">
        <f t="shared" si="5"/>
        <v>-0.28758540752382761</v>
      </c>
      <c r="AM33" s="835">
        <f t="shared" si="5"/>
        <v>-0.2875855873620845</v>
      </c>
      <c r="AN33" s="835">
        <f t="shared" si="5"/>
        <v>-0.28758581549759665</v>
      </c>
      <c r="AO33" s="835">
        <f t="shared" si="5"/>
        <v>-0.28758565478791959</v>
      </c>
      <c r="AP33" s="835">
        <f t="shared" si="5"/>
        <v>-0.28758561629291957</v>
      </c>
      <c r="AQ33" s="835">
        <f t="shared" si="5"/>
        <v>-0.28758566848512318</v>
      </c>
      <c r="AR33" s="835">
        <f t="shared" si="5"/>
        <v>-0.28758568876590301</v>
      </c>
    </row>
    <row r="34" spans="1:44" ht="17.25" customHeight="1">
      <c r="A34" s="889" t="s">
        <v>1902</v>
      </c>
      <c r="C34" s="835">
        <f t="shared" si="5"/>
        <v>0</v>
      </c>
      <c r="D34" s="835">
        <f t="shared" si="5"/>
        <v>0</v>
      </c>
      <c r="E34" s="835">
        <f t="shared" si="5"/>
        <v>0</v>
      </c>
      <c r="F34" s="835">
        <f t="shared" si="5"/>
        <v>0</v>
      </c>
      <c r="G34" s="835">
        <f t="shared" si="5"/>
        <v>0</v>
      </c>
      <c r="H34" s="835">
        <f t="shared" si="5"/>
        <v>0</v>
      </c>
      <c r="I34" s="835">
        <f t="shared" si="5"/>
        <v>0</v>
      </c>
      <c r="J34" s="835">
        <f t="shared" si="5"/>
        <v>0</v>
      </c>
      <c r="K34" s="835">
        <f t="shared" si="5"/>
        <v>0</v>
      </c>
      <c r="L34" s="835">
        <f t="shared" si="5"/>
        <v>0</v>
      </c>
      <c r="M34" s="835">
        <f t="shared" si="5"/>
        <v>0</v>
      </c>
      <c r="N34" s="835">
        <f t="shared" si="5"/>
        <v>0</v>
      </c>
      <c r="O34" s="835">
        <f t="shared" si="5"/>
        <v>-0.12232480789807167</v>
      </c>
      <c r="P34" s="835">
        <f t="shared" si="5"/>
        <v>-0.1136831407205592</v>
      </c>
      <c r="Q34" s="835">
        <f t="shared" si="5"/>
        <v>-0.12065349740768699</v>
      </c>
      <c r="R34" s="835">
        <f t="shared" si="5"/>
        <v>-0.12034899969519086</v>
      </c>
      <c r="S34" s="835">
        <f t="shared" si="5"/>
        <v>-0.11923153105995726</v>
      </c>
      <c r="T34" s="835">
        <f t="shared" si="5"/>
        <v>-0.11849107896693621</v>
      </c>
      <c r="U34" s="835">
        <f t="shared" si="5"/>
        <v>-0.11968587845414566</v>
      </c>
      <c r="V34" s="835">
        <f t="shared" si="5"/>
        <v>-0.11943862537272307</v>
      </c>
      <c r="W34" s="835">
        <f t="shared" si="5"/>
        <v>-0.11921169605756789</v>
      </c>
      <c r="X34" s="835">
        <f t="shared" si="5"/>
        <v>-0.11920677374507149</v>
      </c>
      <c r="Y34" s="835">
        <f t="shared" si="5"/>
        <v>-0.11938595738070718</v>
      </c>
      <c r="Z34" s="835">
        <f t="shared" si="5"/>
        <v>-0.11931072843389329</v>
      </c>
      <c r="AA34" s="835">
        <f t="shared" si="5"/>
        <v>-0.11927879816795837</v>
      </c>
      <c r="AB34" s="835">
        <f t="shared" si="5"/>
        <v>-0.1192955570939208</v>
      </c>
      <c r="AC34" s="835">
        <f t="shared" si="5"/>
        <v>-0.1193177662702368</v>
      </c>
      <c r="AD34" s="835">
        <f t="shared" si="5"/>
        <v>-0.11930071187922631</v>
      </c>
      <c r="AE34" s="835">
        <f t="shared" si="5"/>
        <v>-0.11929820860192922</v>
      </c>
      <c r="AF34" s="835">
        <f t="shared" si="5"/>
        <v>-0.11930306079206689</v>
      </c>
      <c r="AG34" s="835">
        <f t="shared" si="5"/>
        <v>-0.11930493697862235</v>
      </c>
      <c r="AH34" s="835">
        <f t="shared" si="5"/>
        <v>-0.11930172957762969</v>
      </c>
      <c r="AI34" s="835">
        <f t="shared" si="5"/>
        <v>-0.1193019839853003</v>
      </c>
      <c r="AJ34" s="835">
        <f t="shared" si="5"/>
        <v>-0.11930292783380071</v>
      </c>
      <c r="AK34" s="835">
        <f t="shared" si="5"/>
        <v>-0.11930289459340072</v>
      </c>
      <c r="AL34" s="835">
        <f t="shared" si="5"/>
        <v>-0.11930238399892167</v>
      </c>
      <c r="AM34" s="835">
        <f t="shared" si="5"/>
        <v>-0.11930254760251736</v>
      </c>
      <c r="AN34" s="835">
        <f t="shared" si="5"/>
        <v>-0.11930268850730615</v>
      </c>
      <c r="AO34" s="835">
        <f t="shared" si="5"/>
        <v>-0.11930262867546741</v>
      </c>
      <c r="AP34" s="835">
        <f t="shared" si="5"/>
        <v>-0.11930256219610215</v>
      </c>
      <c r="AQ34" s="835">
        <f t="shared" si="5"/>
        <v>-0.11930260674533814</v>
      </c>
      <c r="AR34" s="835">
        <f t="shared" si="5"/>
        <v>-0.11930262153105796</v>
      </c>
    </row>
    <row r="35" spans="1:44" ht="17.25" customHeight="1">
      <c r="A35" s="889" t="s">
        <v>1903</v>
      </c>
      <c r="C35" s="835">
        <f t="shared" si="5"/>
        <v>0.82138452330362455</v>
      </c>
      <c r="D35" s="835">
        <f t="shared" si="5"/>
        <v>0.87992791408952176</v>
      </c>
      <c r="E35" s="835">
        <f t="shared" si="5"/>
        <v>0.82778626091412999</v>
      </c>
      <c r="F35" s="835">
        <f t="shared" si="5"/>
        <v>0.58176488383558889</v>
      </c>
      <c r="G35" s="835">
        <f t="shared" si="5"/>
        <v>0.70297761733778652</v>
      </c>
      <c r="H35" s="835">
        <f t="shared" si="5"/>
        <v>0.77762728446324236</v>
      </c>
      <c r="I35" s="835">
        <f t="shared" si="5"/>
        <v>0.73225578157226368</v>
      </c>
      <c r="J35" s="835">
        <f t="shared" si="5"/>
        <v>0.56249203044740304</v>
      </c>
      <c r="K35" s="835">
        <f t="shared" si="5"/>
        <v>0.8570489213661393</v>
      </c>
      <c r="L35" s="835">
        <f t="shared" si="5"/>
        <v>0.94456210989537925</v>
      </c>
      <c r="M35" s="835">
        <f t="shared" si="5"/>
        <v>0.8679597357898049</v>
      </c>
      <c r="N35" s="835">
        <f t="shared" si="5"/>
        <v>0.77743215564816748</v>
      </c>
      <c r="O35" s="835">
        <f t="shared" si="5"/>
        <v>-3.8272592639554244E-2</v>
      </c>
      <c r="P35" s="835">
        <f t="shared" si="5"/>
        <v>-4.0284662802215258E-2</v>
      </c>
      <c r="Q35" s="835">
        <f t="shared" si="5"/>
        <v>-4.1598566271484963E-2</v>
      </c>
      <c r="R35" s="835">
        <f t="shared" si="5"/>
        <v>-4.0980566695388632E-2</v>
      </c>
      <c r="S35" s="835">
        <f t="shared" si="5"/>
        <v>-4.0310919903834105E-2</v>
      </c>
      <c r="T35" s="835">
        <f t="shared" si="5"/>
        <v>-4.0798843800751786E-2</v>
      </c>
      <c r="U35" s="835">
        <f t="shared" si="5"/>
        <v>-4.0926620648519582E-2</v>
      </c>
      <c r="V35" s="835">
        <f t="shared" si="5"/>
        <v>-4.0754920181906594E-2</v>
      </c>
      <c r="W35" s="835">
        <f t="shared" si="5"/>
        <v>-4.0698673199200806E-2</v>
      </c>
      <c r="X35" s="835">
        <f t="shared" si="5"/>
        <v>-4.0794899196749661E-2</v>
      </c>
      <c r="Y35" s="835">
        <f t="shared" si="5"/>
        <v>-4.0793911613064782E-2</v>
      </c>
      <c r="Z35" s="835">
        <f t="shared" si="5"/>
        <v>-4.0760624318992723E-2</v>
      </c>
      <c r="AA35" s="835">
        <f t="shared" si="5"/>
        <v>-4.0762048392279836E-2</v>
      </c>
      <c r="AB35" s="835">
        <f t="shared" si="5"/>
        <v>-4.0777876510985585E-2</v>
      </c>
      <c r="AC35" s="835">
        <f t="shared" si="5"/>
        <v>-4.0773618282000025E-2</v>
      </c>
      <c r="AD35" s="835">
        <f t="shared" si="5"/>
        <v>-4.0768542981121418E-2</v>
      </c>
      <c r="AE35" s="835">
        <f t="shared" si="5"/>
        <v>-4.0770521965691378E-2</v>
      </c>
      <c r="AF35" s="835">
        <f t="shared" si="5"/>
        <v>-4.0772640176412474E-2</v>
      </c>
      <c r="AG35" s="835">
        <f t="shared" si="5"/>
        <v>-4.0771330909923485E-2</v>
      </c>
      <c r="AH35" s="835">
        <f t="shared" si="5"/>
        <v>-4.0770759052981616E-2</v>
      </c>
      <c r="AI35" s="835">
        <f t="shared" si="5"/>
        <v>-4.0771313034080513E-2</v>
      </c>
      <c r="AJ35" s="835">
        <f t="shared" si="5"/>
        <v>-4.0771510801734662E-2</v>
      </c>
      <c r="AK35" s="835">
        <f t="shared" si="5"/>
        <v>-4.0771228450985915E-2</v>
      </c>
      <c r="AL35" s="835">
        <f t="shared" si="5"/>
        <v>-4.077120283634314E-2</v>
      </c>
      <c r="AM35" s="835">
        <f t="shared" si="5"/>
        <v>-4.0771313781012175E-2</v>
      </c>
      <c r="AN35" s="835">
        <f t="shared" si="5"/>
        <v>-4.0771313967745741E-2</v>
      </c>
      <c r="AO35" s="835">
        <f t="shared" si="5"/>
        <v>-4.0771264759071627E-2</v>
      </c>
      <c r="AP35" s="835">
        <f t="shared" si="5"/>
        <v>-4.0771273836076947E-2</v>
      </c>
      <c r="AQ35" s="835">
        <f t="shared" si="5"/>
        <v>-4.0771291585986857E-2</v>
      </c>
      <c r="AR35" s="835">
        <f t="shared" si="5"/>
        <v>-4.0771286037225095E-2</v>
      </c>
    </row>
    <row r="36" spans="1:44" ht="17.25" customHeight="1">
      <c r="A36" s="889" t="s">
        <v>1904</v>
      </c>
      <c r="C36" s="835">
        <f t="shared" si="5"/>
        <v>0.2090590290246449</v>
      </c>
      <c r="D36" s="835">
        <f t="shared" si="5"/>
        <v>0.15840348202599833</v>
      </c>
      <c r="E36" s="835">
        <f t="shared" si="5"/>
        <v>0.2104508698858478</v>
      </c>
      <c r="F36" s="835">
        <f t="shared" si="5"/>
        <v>0.44410542355630361</v>
      </c>
      <c r="G36" s="835">
        <f t="shared" si="5"/>
        <v>0.33953448889171323</v>
      </c>
      <c r="H36" s="835">
        <f t="shared" si="5"/>
        <v>0.28194159068089936</v>
      </c>
      <c r="I36" s="835">
        <f t="shared" si="5"/>
        <v>0.35460839863734755</v>
      </c>
      <c r="J36" s="835">
        <f t="shared" si="5"/>
        <v>0.48488092013760892</v>
      </c>
      <c r="K36" s="835">
        <f t="shared" si="5"/>
        <v>0.24261133341920776</v>
      </c>
      <c r="L36" s="835">
        <f t="shared" si="5"/>
        <v>0.18985643826616852</v>
      </c>
      <c r="M36" s="835">
        <f t="shared" si="5"/>
        <v>0.28267765233362696</v>
      </c>
      <c r="N36" s="835">
        <f t="shared" si="5"/>
        <v>0.33752930463661923</v>
      </c>
      <c r="O36" s="835">
        <f t="shared" si="5"/>
        <v>-1.531021021301945E-2</v>
      </c>
      <c r="P36" s="835">
        <f t="shared" si="5"/>
        <v>-1.9202558501476882E-2</v>
      </c>
      <c r="Q36" s="835">
        <f t="shared" si="5"/>
        <v>-2.1662455387918774E-2</v>
      </c>
      <c r="R36" s="835">
        <f t="shared" si="5"/>
        <v>-2.2471569380111484E-2</v>
      </c>
      <c r="S36" s="835">
        <f t="shared" si="5"/>
        <v>-1.9714458526304809E-2</v>
      </c>
      <c r="T36" s="835">
        <f t="shared" si="5"/>
        <v>-2.0768723971147655E-2</v>
      </c>
      <c r="U36" s="835">
        <f t="shared" si="5"/>
        <v>-2.11579248310917E-2</v>
      </c>
      <c r="V36" s="835">
        <f t="shared" si="5"/>
        <v>-2.1029003488252342E-2</v>
      </c>
      <c r="W36" s="835">
        <f t="shared" si="5"/>
        <v>-2.066941460066336E-2</v>
      </c>
      <c r="X36" s="835">
        <f t="shared" si="5"/>
        <v>-2.0906399307095289E-2</v>
      </c>
      <c r="Y36" s="835">
        <f t="shared" si="5"/>
        <v>-2.0940868144910113E-2</v>
      </c>
      <c r="Z36" s="835">
        <f t="shared" si="5"/>
        <v>-2.0886424001612197E-2</v>
      </c>
      <c r="AA36" s="835">
        <f t="shared" si="5"/>
        <v>-2.0850828146332618E-2</v>
      </c>
      <c r="AB36" s="835">
        <f t="shared" si="5"/>
        <v>-2.089613664948942E-2</v>
      </c>
      <c r="AC36" s="835">
        <f t="shared" si="5"/>
        <v>-2.0893569443192372E-2</v>
      </c>
      <c r="AD36" s="835">
        <f t="shared" si="5"/>
        <v>-2.0881740180582944E-2</v>
      </c>
      <c r="AE36" s="835">
        <f t="shared" si="5"/>
        <v>-2.0880569628108962E-2</v>
      </c>
      <c r="AF36" s="835">
        <f t="shared" si="5"/>
        <v>-2.0888004357531881E-2</v>
      </c>
      <c r="AG36" s="835">
        <f t="shared" si="5"/>
        <v>-2.0885971000573877E-2</v>
      </c>
      <c r="AH36" s="835">
        <f t="shared" si="5"/>
        <v>-2.0884071343669215E-2</v>
      </c>
      <c r="AI36" s="835">
        <f t="shared" si="5"/>
        <v>-2.0884654095659982E-2</v>
      </c>
      <c r="AJ36" s="835">
        <f t="shared" si="5"/>
        <v>-2.0885675215422912E-2</v>
      </c>
      <c r="AK36" s="835">
        <f t="shared" si="5"/>
        <v>-2.088509291529585E-2</v>
      </c>
      <c r="AL36" s="835">
        <f t="shared" si="5"/>
        <v>-2.0884873394761548E-2</v>
      </c>
      <c r="AM36" s="835">
        <f t="shared" si="5"/>
        <v>-2.0885073905417655E-2</v>
      </c>
      <c r="AN36" s="835">
        <f t="shared" si="5"/>
        <v>-2.0885178858217956E-2</v>
      </c>
      <c r="AO36" s="835">
        <f t="shared" si="5"/>
        <v>-2.0885054768470707E-2</v>
      </c>
      <c r="AP36" s="835">
        <f t="shared" si="5"/>
        <v>-2.0885045231781356E-2</v>
      </c>
      <c r="AQ36" s="835">
        <f t="shared" si="5"/>
        <v>-2.0885088190979364E-2</v>
      </c>
      <c r="AR36" s="835">
        <f t="shared" si="5"/>
        <v>-2.0885091762373315E-2</v>
      </c>
    </row>
    <row r="37" spans="1:44" ht="17.25" customHeight="1">
      <c r="A37" s="889" t="s">
        <v>1905</v>
      </c>
      <c r="C37" s="835">
        <f t="shared" si="5"/>
        <v>0</v>
      </c>
      <c r="D37" s="835">
        <f t="shared" si="5"/>
        <v>0</v>
      </c>
      <c r="E37" s="835">
        <f t="shared" si="5"/>
        <v>0</v>
      </c>
      <c r="F37" s="835">
        <f t="shared" si="5"/>
        <v>0</v>
      </c>
      <c r="G37" s="835">
        <f t="shared" si="5"/>
        <v>0</v>
      </c>
      <c r="H37" s="835">
        <f t="shared" si="5"/>
        <v>0</v>
      </c>
      <c r="I37" s="835">
        <f t="shared" si="5"/>
        <v>0</v>
      </c>
      <c r="J37" s="835">
        <f t="shared" si="5"/>
        <v>0</v>
      </c>
      <c r="K37" s="835">
        <f t="shared" si="5"/>
        <v>0</v>
      </c>
      <c r="L37" s="835">
        <f t="shared" si="5"/>
        <v>0</v>
      </c>
      <c r="M37" s="835">
        <f t="shared" si="5"/>
        <v>0</v>
      </c>
      <c r="N37" s="835">
        <f t="shared" si="5"/>
        <v>0</v>
      </c>
      <c r="O37" s="835">
        <f t="shared" si="5"/>
        <v>-0.16357435720730071</v>
      </c>
      <c r="P37" s="835">
        <f t="shared" si="5"/>
        <v>-0.16031071024728105</v>
      </c>
      <c r="Q37" s="835">
        <f t="shared" si="5"/>
        <v>-0.16084700095097973</v>
      </c>
      <c r="R37" s="835">
        <f t="shared" si="5"/>
        <v>-0.16279765645740329</v>
      </c>
      <c r="S37" s="835">
        <f t="shared" si="5"/>
        <v>-0.16186000344541476</v>
      </c>
      <c r="T37" s="835">
        <f t="shared" si="5"/>
        <v>-0.16144963059565046</v>
      </c>
      <c r="U37" s="835">
        <f t="shared" si="5"/>
        <v>-0.16173265865850661</v>
      </c>
      <c r="V37" s="835">
        <f t="shared" si="5"/>
        <v>-0.1619589684020997</v>
      </c>
      <c r="W37" s="835">
        <f t="shared" si="5"/>
        <v>-0.16174990834699732</v>
      </c>
      <c r="X37" s="835">
        <f t="shared" si="5"/>
        <v>-0.16172258682375809</v>
      </c>
      <c r="Y37" s="835">
        <f t="shared" si="5"/>
        <v>-0.16179092501877632</v>
      </c>
      <c r="Z37" s="835">
        <f t="shared" si="5"/>
        <v>-0.16180553992018187</v>
      </c>
      <c r="AA37" s="835">
        <f t="shared" si="5"/>
        <v>-0.16176723554578129</v>
      </c>
      <c r="AB37" s="835">
        <f t="shared" si="5"/>
        <v>-0.16177156305858031</v>
      </c>
      <c r="AC37" s="835">
        <f t="shared" si="5"/>
        <v>-0.16178381447563722</v>
      </c>
      <c r="AD37" s="835">
        <f t="shared" si="5"/>
        <v>-0.16178203615024914</v>
      </c>
      <c r="AE37" s="835">
        <f t="shared" si="5"/>
        <v>-0.16177616222896332</v>
      </c>
      <c r="AF37" s="835">
        <f t="shared" si="5"/>
        <v>-0.16177839370736113</v>
      </c>
      <c r="AG37" s="835">
        <f t="shared" si="5"/>
        <v>-0.1617801016080733</v>
      </c>
      <c r="AH37" s="835">
        <f t="shared" si="5"/>
        <v>-0.16177917336858288</v>
      </c>
      <c r="AI37" s="835">
        <f t="shared" si="5"/>
        <v>-0.16177845772079108</v>
      </c>
      <c r="AJ37" s="835">
        <f t="shared" si="5"/>
        <v>-0.16177903159536391</v>
      </c>
      <c r="AK37" s="835">
        <f t="shared" si="5"/>
        <v>-0.1617791910713631</v>
      </c>
      <c r="AL37" s="835">
        <f t="shared" si="5"/>
        <v>-0.16177896343799975</v>
      </c>
      <c r="AM37" s="835">
        <f t="shared" si="5"/>
        <v>-0.1617789109559081</v>
      </c>
      <c r="AN37" s="835">
        <f t="shared" si="5"/>
        <v>-0.16177902426507698</v>
      </c>
      <c r="AO37" s="835">
        <f t="shared" si="5"/>
        <v>-0.16177902243249861</v>
      </c>
      <c r="AP37" s="835">
        <f t="shared" si="5"/>
        <v>-0.16177898027285739</v>
      </c>
      <c r="AQ37" s="835">
        <f t="shared" si="5"/>
        <v>-0.16177898448156613</v>
      </c>
      <c r="AR37" s="835">
        <f t="shared" si="5"/>
        <v>-0.16177900286299882</v>
      </c>
    </row>
    <row r="38" spans="1:44" s="892" customFormat="1" ht="17.25" customHeight="1">
      <c r="A38" s="891" t="s">
        <v>1906</v>
      </c>
      <c r="C38" s="892">
        <f t="shared" si="5"/>
        <v>0</v>
      </c>
      <c r="D38" s="892">
        <f t="shared" si="5"/>
        <v>0</v>
      </c>
      <c r="E38" s="892">
        <f t="shared" si="5"/>
        <v>0</v>
      </c>
      <c r="F38" s="892">
        <f t="shared" ref="F38:AR38" si="6">-F17/F$19</f>
        <v>0</v>
      </c>
      <c r="G38" s="892">
        <f t="shared" si="6"/>
        <v>0</v>
      </c>
      <c r="H38" s="892">
        <f t="shared" si="6"/>
        <v>0</v>
      </c>
      <c r="I38" s="892">
        <f t="shared" si="6"/>
        <v>0</v>
      </c>
      <c r="J38" s="892">
        <f t="shared" si="6"/>
        <v>0</v>
      </c>
      <c r="K38" s="892">
        <f t="shared" si="6"/>
        <v>0</v>
      </c>
      <c r="L38" s="892">
        <f t="shared" si="6"/>
        <v>0</v>
      </c>
      <c r="M38" s="892">
        <f t="shared" si="6"/>
        <v>0</v>
      </c>
      <c r="N38" s="892">
        <f t="shared" si="6"/>
        <v>0</v>
      </c>
      <c r="O38" s="892">
        <f t="shared" si="6"/>
        <v>0</v>
      </c>
      <c r="P38" s="892">
        <f t="shared" si="6"/>
        <v>0</v>
      </c>
      <c r="Q38" s="892">
        <f t="shared" si="6"/>
        <v>0</v>
      </c>
      <c r="R38" s="892">
        <f t="shared" si="6"/>
        <v>0</v>
      </c>
      <c r="S38" s="892">
        <f t="shared" si="6"/>
        <v>0</v>
      </c>
      <c r="T38" s="892">
        <f t="shared" si="6"/>
        <v>0</v>
      </c>
      <c r="U38" s="892">
        <f t="shared" si="6"/>
        <v>0</v>
      </c>
      <c r="V38" s="892">
        <f t="shared" si="6"/>
        <v>0</v>
      </c>
      <c r="W38" s="892">
        <f t="shared" si="6"/>
        <v>0</v>
      </c>
      <c r="X38" s="892">
        <f t="shared" si="6"/>
        <v>0</v>
      </c>
      <c r="Y38" s="892">
        <f t="shared" si="6"/>
        <v>0</v>
      </c>
      <c r="Z38" s="892">
        <f t="shared" si="6"/>
        <v>0</v>
      </c>
      <c r="AA38" s="892">
        <f t="shared" si="6"/>
        <v>0</v>
      </c>
      <c r="AB38" s="892">
        <f t="shared" si="6"/>
        <v>0</v>
      </c>
      <c r="AC38" s="892">
        <f t="shared" si="6"/>
        <v>0</v>
      </c>
      <c r="AD38" s="892">
        <f t="shared" si="6"/>
        <v>0</v>
      </c>
      <c r="AE38" s="892">
        <f t="shared" si="6"/>
        <v>0</v>
      </c>
      <c r="AF38" s="892">
        <f t="shared" si="6"/>
        <v>0</v>
      </c>
      <c r="AG38" s="892">
        <f t="shared" si="6"/>
        <v>0</v>
      </c>
      <c r="AH38" s="892">
        <f t="shared" si="6"/>
        <v>0</v>
      </c>
      <c r="AI38" s="892">
        <f t="shared" si="6"/>
        <v>0</v>
      </c>
      <c r="AJ38" s="892">
        <f t="shared" si="6"/>
        <v>0</v>
      </c>
      <c r="AK38" s="892">
        <f t="shared" si="6"/>
        <v>0</v>
      </c>
      <c r="AL38" s="892">
        <f t="shared" si="6"/>
        <v>0</v>
      </c>
      <c r="AM38" s="892">
        <f t="shared" si="6"/>
        <v>0</v>
      </c>
      <c r="AN38" s="892">
        <f t="shared" si="6"/>
        <v>0</v>
      </c>
      <c r="AO38" s="892">
        <f t="shared" si="6"/>
        <v>0</v>
      </c>
      <c r="AP38" s="892">
        <f t="shared" si="6"/>
        <v>0</v>
      </c>
      <c r="AQ38" s="892">
        <f t="shared" si="6"/>
        <v>0</v>
      </c>
      <c r="AR38" s="892">
        <f t="shared" si="6"/>
        <v>0</v>
      </c>
    </row>
    <row r="54" spans="1:45" ht="17.25" customHeight="1">
      <c r="A54" s="888" t="s">
        <v>1926</v>
      </c>
    </row>
    <row r="55" spans="1:45" s="886" customFormat="1" ht="17.25" customHeight="1">
      <c r="A55" s="890" t="s">
        <v>1892</v>
      </c>
      <c r="C55" s="900" t="s">
        <v>1911</v>
      </c>
      <c r="D55" s="900" t="s">
        <v>1912</v>
      </c>
      <c r="E55" s="900" t="s">
        <v>1913</v>
      </c>
      <c r="F55" s="900" t="s">
        <v>1914</v>
      </c>
      <c r="G55" s="900" t="s">
        <v>1915</v>
      </c>
      <c r="H55" s="900" t="s">
        <v>1916</v>
      </c>
      <c r="I55" s="900" t="s">
        <v>1917</v>
      </c>
      <c r="J55" s="900" t="s">
        <v>1918</v>
      </c>
      <c r="K55" s="900" t="s">
        <v>1919</v>
      </c>
      <c r="L55" s="900" t="s">
        <v>1920</v>
      </c>
      <c r="M55" s="900" t="s">
        <v>1921</v>
      </c>
      <c r="N55" s="900" t="s">
        <v>1922</v>
      </c>
      <c r="O55" s="900" t="s">
        <v>1923</v>
      </c>
      <c r="P55" s="900"/>
      <c r="Q55" s="900"/>
      <c r="R55" s="900"/>
      <c r="S55" s="900"/>
      <c r="T55" s="900"/>
      <c r="U55" s="900"/>
      <c r="V55" s="900"/>
      <c r="W55" s="900"/>
      <c r="X55" s="900"/>
      <c r="Y55" s="900"/>
      <c r="Z55" s="900"/>
      <c r="AA55" s="900"/>
      <c r="AB55" s="900"/>
      <c r="AC55" s="900"/>
      <c r="AD55" s="900"/>
      <c r="AE55" s="900"/>
      <c r="AF55" s="900"/>
      <c r="AG55" s="900"/>
      <c r="AH55" s="900"/>
      <c r="AI55" s="900"/>
      <c r="AJ55" s="900"/>
      <c r="AK55" s="900"/>
      <c r="AL55" s="900"/>
      <c r="AM55" s="900"/>
      <c r="AN55" s="900"/>
      <c r="AO55" s="900"/>
      <c r="AP55" s="900"/>
      <c r="AQ55" s="900"/>
      <c r="AR55" s="900"/>
      <c r="AS55" s="900"/>
    </row>
    <row r="56" spans="1:45" ht="17.25" customHeight="1">
      <c r="A56" s="888" t="s">
        <v>1924</v>
      </c>
      <c r="C56" s="835">
        <f t="shared" ref="C56:AR63" si="7">C25*C$21</f>
        <v>0.24826007551427245</v>
      </c>
      <c r="D56" s="835">
        <f t="shared" si="7"/>
        <v>0.24826007551427245</v>
      </c>
      <c r="E56" s="835">
        <f t="shared" si="7"/>
        <v>0.24826007551427248</v>
      </c>
      <c r="F56" s="835">
        <f t="shared" si="7"/>
        <v>0.24826007551427245</v>
      </c>
      <c r="G56" s="835">
        <f t="shared" si="7"/>
        <v>0.29006434479568172</v>
      </c>
      <c r="H56" s="835">
        <f t="shared" si="7"/>
        <v>0.29006434479568177</v>
      </c>
      <c r="I56" s="835">
        <f t="shared" si="7"/>
        <v>0.29006434479568172</v>
      </c>
      <c r="J56" s="835">
        <f t="shared" si="7"/>
        <v>0.29006434479568177</v>
      </c>
      <c r="K56" s="835">
        <f t="shared" si="7"/>
        <v>0.3776406191251076</v>
      </c>
      <c r="L56" s="835">
        <f t="shared" si="7"/>
        <v>0.3776406191251076</v>
      </c>
      <c r="M56" s="835">
        <f t="shared" si="7"/>
        <v>0.3776406191251076</v>
      </c>
      <c r="N56" s="835">
        <f t="shared" si="7"/>
        <v>0.3776406191251076</v>
      </c>
      <c r="O56" s="835">
        <f t="shared" si="7"/>
        <v>0.4450428671614014</v>
      </c>
      <c r="P56" s="835">
        <f t="shared" si="7"/>
        <v>0.44502102399297977</v>
      </c>
      <c r="Q56" s="835">
        <f t="shared" si="7"/>
        <v>0.44502311138287309</v>
      </c>
      <c r="R56" s="835">
        <f t="shared" si="7"/>
        <v>0.44502572062023976</v>
      </c>
      <c r="S56" s="835">
        <f t="shared" si="7"/>
        <v>0.44502818078937356</v>
      </c>
      <c r="T56" s="835">
        <f t="shared" si="7"/>
        <v>0.44502450919636655</v>
      </c>
      <c r="U56" s="835">
        <f t="shared" si="7"/>
        <v>0.4450253804972133</v>
      </c>
      <c r="V56" s="835">
        <f t="shared" si="7"/>
        <v>0.44502594777579829</v>
      </c>
      <c r="W56" s="835">
        <f t="shared" si="7"/>
        <v>0.44502600456468794</v>
      </c>
      <c r="X56" s="835">
        <f t="shared" si="7"/>
        <v>0.44502546050851643</v>
      </c>
      <c r="Y56" s="835">
        <f t="shared" si="7"/>
        <v>0.44502569833655398</v>
      </c>
      <c r="Z56" s="835">
        <f t="shared" si="7"/>
        <v>0.4450257777963893</v>
      </c>
      <c r="AA56" s="835">
        <f t="shared" si="7"/>
        <v>0.44502573530153694</v>
      </c>
      <c r="AB56" s="835">
        <f t="shared" si="7"/>
        <v>0.44502566798574922</v>
      </c>
      <c r="AC56" s="835">
        <f t="shared" si="7"/>
        <v>0.44502571985505729</v>
      </c>
      <c r="AD56" s="835">
        <f t="shared" si="7"/>
        <v>0.44502572523468314</v>
      </c>
      <c r="AE56" s="835">
        <f t="shared" si="7"/>
        <v>0.44502571209425656</v>
      </c>
      <c r="AF56" s="835">
        <f t="shared" si="7"/>
        <v>0.4450257062924366</v>
      </c>
      <c r="AG56" s="835">
        <f t="shared" si="7"/>
        <v>0.44502571586910833</v>
      </c>
      <c r="AH56" s="835">
        <f t="shared" si="7"/>
        <v>0.44502571487262116</v>
      </c>
      <c r="AI56" s="835">
        <f t="shared" si="7"/>
        <v>0.44502571228210563</v>
      </c>
      <c r="AJ56" s="835">
        <f t="shared" si="7"/>
        <v>0.44502571232906801</v>
      </c>
      <c r="AK56" s="835">
        <f t="shared" si="7"/>
        <v>0.44502571383822576</v>
      </c>
      <c r="AL56" s="835">
        <f t="shared" si="7"/>
        <v>0.44502571333050522</v>
      </c>
      <c r="AM56" s="835">
        <f t="shared" si="7"/>
        <v>0.44502571294497623</v>
      </c>
      <c r="AN56" s="835">
        <f t="shared" si="7"/>
        <v>0.44502571311069372</v>
      </c>
      <c r="AO56" s="835">
        <f t="shared" si="7"/>
        <v>0.44502571330610019</v>
      </c>
      <c r="AP56" s="835">
        <f t="shared" si="7"/>
        <v>0.44502571317306883</v>
      </c>
      <c r="AQ56" s="835">
        <f t="shared" si="7"/>
        <v>0.44502571313370975</v>
      </c>
      <c r="AR56" s="835">
        <f t="shared" si="7"/>
        <v>0.44453502392561617</v>
      </c>
    </row>
    <row r="57" spans="1:45" ht="17.25" customHeight="1">
      <c r="A57" s="889" t="s">
        <v>1894</v>
      </c>
      <c r="C57" s="835">
        <f t="shared" si="7"/>
        <v>0</v>
      </c>
      <c r="D57" s="835">
        <f t="shared" si="7"/>
        <v>0</v>
      </c>
      <c r="E57" s="835">
        <f t="shared" si="7"/>
        <v>0</v>
      </c>
      <c r="F57" s="835">
        <f t="shared" si="7"/>
        <v>0</v>
      </c>
      <c r="G57" s="835">
        <f t="shared" si="7"/>
        <v>0</v>
      </c>
      <c r="H57" s="835">
        <f t="shared" si="7"/>
        <v>0</v>
      </c>
      <c r="I57" s="835">
        <f t="shared" si="7"/>
        <v>0</v>
      </c>
      <c r="J57" s="835">
        <f t="shared" si="7"/>
        <v>0</v>
      </c>
      <c r="K57" s="835">
        <f t="shared" si="7"/>
        <v>0</v>
      </c>
      <c r="L57" s="835">
        <f t="shared" si="7"/>
        <v>0</v>
      </c>
      <c r="M57" s="835">
        <f t="shared" si="7"/>
        <v>0</v>
      </c>
      <c r="N57" s="835">
        <f t="shared" si="7"/>
        <v>0</v>
      </c>
      <c r="O57" s="835">
        <f t="shared" si="7"/>
        <v>3.1925162179614534E-3</v>
      </c>
      <c r="P57" s="835">
        <f t="shared" si="7"/>
        <v>3.1207408913669779E-3</v>
      </c>
      <c r="Q57" s="835">
        <f t="shared" si="7"/>
        <v>3.5090919419677349E-3</v>
      </c>
      <c r="R57" s="835">
        <f t="shared" si="7"/>
        <v>3.5801574137170364E-3</v>
      </c>
      <c r="S57" s="835">
        <f t="shared" si="7"/>
        <v>3.3506266162533012E-3</v>
      </c>
      <c r="T57" s="835">
        <f t="shared" si="7"/>
        <v>3.3901542158262625E-3</v>
      </c>
      <c r="U57" s="835">
        <f t="shared" si="7"/>
        <v>3.4575075469410834E-3</v>
      </c>
      <c r="V57" s="835">
        <f t="shared" si="7"/>
        <v>3.4446114481844203E-3</v>
      </c>
      <c r="W57" s="835">
        <f t="shared" si="7"/>
        <v>3.4107249568012671E-3</v>
      </c>
      <c r="X57" s="835">
        <f t="shared" si="7"/>
        <v>3.4257495419382587E-3</v>
      </c>
      <c r="Y57" s="835">
        <f t="shared" si="7"/>
        <v>3.4346483734662568E-3</v>
      </c>
      <c r="Z57" s="835">
        <f t="shared" si="7"/>
        <v>3.4289335800975511E-3</v>
      </c>
      <c r="AA57" s="835">
        <f t="shared" si="7"/>
        <v>3.4250141130758335E-3</v>
      </c>
      <c r="AB57" s="835">
        <f t="shared" si="7"/>
        <v>3.4285864021444748E-3</v>
      </c>
      <c r="AC57" s="835">
        <f t="shared" si="7"/>
        <v>3.4292956171960293E-3</v>
      </c>
      <c r="AD57" s="835">
        <f t="shared" si="7"/>
        <v>3.4279574281284716E-3</v>
      </c>
      <c r="AE57" s="835">
        <f t="shared" si="7"/>
        <v>3.4277133901362026E-3</v>
      </c>
      <c r="AF57" s="835">
        <f t="shared" si="7"/>
        <v>3.428388209401295E-3</v>
      </c>
      <c r="AG57" s="835">
        <f t="shared" si="7"/>
        <v>3.4283386612154998E-3</v>
      </c>
      <c r="AH57" s="835">
        <f t="shared" si="7"/>
        <v>3.4280994222203667E-3</v>
      </c>
      <c r="AI57" s="835">
        <f t="shared" si="7"/>
        <v>3.4281349207433412E-3</v>
      </c>
      <c r="AJ57" s="835">
        <f t="shared" si="7"/>
        <v>3.4282403033951258E-3</v>
      </c>
      <c r="AK57" s="835">
        <f t="shared" si="7"/>
        <v>3.4282033268935837E-3</v>
      </c>
      <c r="AL57" s="835">
        <f t="shared" si="7"/>
        <v>3.4281694933131048E-3</v>
      </c>
      <c r="AM57" s="835">
        <f t="shared" si="7"/>
        <v>3.4281870110862886E-3</v>
      </c>
      <c r="AN57" s="835">
        <f t="shared" si="7"/>
        <v>3.4282000336720258E-3</v>
      </c>
      <c r="AO57" s="835">
        <f t="shared" si="7"/>
        <v>3.428189966241251E-3</v>
      </c>
      <c r="AP57" s="835">
        <f t="shared" si="7"/>
        <v>3.4281866260781682E-3</v>
      </c>
      <c r="AQ57" s="835">
        <f t="shared" si="7"/>
        <v>3.4281909092694338E-3</v>
      </c>
      <c r="AR57" s="835">
        <f t="shared" si="7"/>
        <v>3.4244119293708073E-3</v>
      </c>
    </row>
    <row r="58" spans="1:45" ht="17.25" customHeight="1">
      <c r="A58" s="889" t="s">
        <v>1895</v>
      </c>
      <c r="C58" s="835">
        <f t="shared" si="7"/>
        <v>0</v>
      </c>
      <c r="D58" s="835">
        <f t="shared" si="7"/>
        <v>0</v>
      </c>
      <c r="E58" s="835">
        <f t="shared" si="7"/>
        <v>0</v>
      </c>
      <c r="F58" s="835">
        <f t="shared" si="7"/>
        <v>0</v>
      </c>
      <c r="G58" s="835">
        <f t="shared" si="7"/>
        <v>0</v>
      </c>
      <c r="H58" s="835">
        <f t="shared" si="7"/>
        <v>0</v>
      </c>
      <c r="I58" s="835">
        <f t="shared" si="7"/>
        <v>0</v>
      </c>
      <c r="J58" s="835">
        <f t="shared" si="7"/>
        <v>0</v>
      </c>
      <c r="K58" s="835">
        <f t="shared" si="7"/>
        <v>0</v>
      </c>
      <c r="L58" s="835">
        <f t="shared" si="7"/>
        <v>0</v>
      </c>
      <c r="M58" s="835">
        <f t="shared" si="7"/>
        <v>0</v>
      </c>
      <c r="N58" s="835">
        <f t="shared" si="7"/>
        <v>0</v>
      </c>
      <c r="O58" s="835">
        <f t="shared" si="7"/>
        <v>5.3890268580148788E-2</v>
      </c>
      <c r="P58" s="835">
        <f t="shared" si="7"/>
        <v>5.7624349379511892E-2</v>
      </c>
      <c r="Q58" s="835">
        <f t="shared" si="7"/>
        <v>6.1152468285530774E-2</v>
      </c>
      <c r="R58" s="835">
        <f t="shared" si="7"/>
        <v>6.1507296104865855E-2</v>
      </c>
      <c r="S58" s="835">
        <f t="shared" si="7"/>
        <v>5.854359558751434E-2</v>
      </c>
      <c r="T58" s="835">
        <f t="shared" si="7"/>
        <v>5.9706927339355717E-2</v>
      </c>
      <c r="U58" s="835">
        <f t="shared" si="7"/>
        <v>6.0227571829316665E-2</v>
      </c>
      <c r="V58" s="835">
        <f t="shared" si="7"/>
        <v>5.9996347715263153E-2</v>
      </c>
      <c r="W58" s="835">
        <f t="shared" si="7"/>
        <v>5.9618610617862472E-2</v>
      </c>
      <c r="X58" s="835">
        <f t="shared" si="7"/>
        <v>5.988736437544951E-2</v>
      </c>
      <c r="Y58" s="835">
        <f t="shared" si="7"/>
        <v>5.9932473634472946E-2</v>
      </c>
      <c r="Z58" s="835">
        <f t="shared" si="7"/>
        <v>5.9858699085762017E-2</v>
      </c>
      <c r="AA58" s="835">
        <f t="shared" si="7"/>
        <v>5.982428692838674E-2</v>
      </c>
      <c r="AB58" s="835">
        <f t="shared" si="7"/>
        <v>5.9875706006017805E-2</v>
      </c>
      <c r="AC58" s="835">
        <f t="shared" si="7"/>
        <v>5.9872791413659886E-2</v>
      </c>
      <c r="AD58" s="835">
        <f t="shared" si="7"/>
        <v>5.9857870858456605E-2</v>
      </c>
      <c r="AE58" s="835">
        <f t="shared" si="7"/>
        <v>5.9857663801630261E-2</v>
      </c>
      <c r="AF58" s="835">
        <f t="shared" si="7"/>
        <v>5.9866008019941144E-2</v>
      </c>
      <c r="AG58" s="835">
        <f t="shared" si="7"/>
        <v>5.986358352342197E-2</v>
      </c>
      <c r="AH58" s="835">
        <f t="shared" si="7"/>
        <v>5.986128155086249E-2</v>
      </c>
      <c r="AI58" s="835">
        <f t="shared" si="7"/>
        <v>5.9862134223963963E-2</v>
      </c>
      <c r="AJ58" s="835">
        <f t="shared" si="7"/>
        <v>5.9863251829547395E-2</v>
      </c>
      <c r="AK58" s="835">
        <f t="shared" si="7"/>
        <v>5.9862562781948944E-2</v>
      </c>
      <c r="AL58" s="835">
        <f t="shared" si="7"/>
        <v>5.9862307596580698E-2</v>
      </c>
      <c r="AM58" s="835">
        <f t="shared" si="7"/>
        <v>5.9862564108010254E-2</v>
      </c>
      <c r="AN58" s="835">
        <f t="shared" si="7"/>
        <v>5.986267157902183E-2</v>
      </c>
      <c r="AO58" s="835">
        <f t="shared" si="7"/>
        <v>5.986252651639043E-2</v>
      </c>
      <c r="AP58" s="835">
        <f t="shared" si="7"/>
        <v>5.9862517450000791E-2</v>
      </c>
      <c r="AQ58" s="835">
        <f t="shared" si="7"/>
        <v>5.9862569913355826E-2</v>
      </c>
      <c r="AR58" s="835">
        <f t="shared" si="7"/>
        <v>5.9796566368369761E-2</v>
      </c>
    </row>
    <row r="59" spans="1:45" ht="17.25" customHeight="1">
      <c r="A59" s="889" t="s">
        <v>1896</v>
      </c>
      <c r="C59" s="835">
        <f t="shared" si="7"/>
        <v>0</v>
      </c>
      <c r="D59" s="835">
        <f t="shared" si="7"/>
        <v>0</v>
      </c>
      <c r="E59" s="835">
        <f t="shared" si="7"/>
        <v>0</v>
      </c>
      <c r="F59" s="835">
        <f t="shared" si="7"/>
        <v>0</v>
      </c>
      <c r="G59" s="835">
        <f t="shared" si="7"/>
        <v>0</v>
      </c>
      <c r="H59" s="835">
        <f t="shared" si="7"/>
        <v>0</v>
      </c>
      <c r="I59" s="835">
        <f t="shared" si="7"/>
        <v>0</v>
      </c>
      <c r="J59" s="835">
        <f t="shared" si="7"/>
        <v>0</v>
      </c>
      <c r="K59" s="835">
        <f t="shared" si="7"/>
        <v>0</v>
      </c>
      <c r="L59" s="835">
        <f t="shared" si="7"/>
        <v>0</v>
      </c>
      <c r="M59" s="835">
        <f t="shared" si="7"/>
        <v>0</v>
      </c>
      <c r="N59" s="835">
        <f t="shared" si="7"/>
        <v>0</v>
      </c>
      <c r="O59" s="835">
        <f t="shared" si="7"/>
        <v>0.1705122640903371</v>
      </c>
      <c r="P59" s="835">
        <f t="shared" si="7"/>
        <v>0.18322930285394179</v>
      </c>
      <c r="Q59" s="835">
        <f t="shared" si="7"/>
        <v>0.20869891142832309</v>
      </c>
      <c r="R59" s="835">
        <f t="shared" si="7"/>
        <v>0.18547148922027809</v>
      </c>
      <c r="S59" s="835">
        <f t="shared" si="7"/>
        <v>0.18697799189822001</v>
      </c>
      <c r="T59" s="835">
        <f t="shared" si="7"/>
        <v>0.19109442385019076</v>
      </c>
      <c r="U59" s="835">
        <f t="shared" si="7"/>
        <v>0.19306070409925294</v>
      </c>
      <c r="V59" s="835">
        <f t="shared" si="7"/>
        <v>0.18915115226698545</v>
      </c>
      <c r="W59" s="835">
        <f t="shared" si="7"/>
        <v>0.19007106802866228</v>
      </c>
      <c r="X59" s="835">
        <f t="shared" si="7"/>
        <v>0.19084433706127288</v>
      </c>
      <c r="Y59" s="835">
        <f t="shared" si="7"/>
        <v>0.19078181536404337</v>
      </c>
      <c r="Z59" s="835">
        <f t="shared" si="7"/>
        <v>0.19021209318024099</v>
      </c>
      <c r="AA59" s="835">
        <f t="shared" si="7"/>
        <v>0.19047732840855486</v>
      </c>
      <c r="AB59" s="835">
        <f t="shared" si="7"/>
        <v>0.19057889350352802</v>
      </c>
      <c r="AC59" s="835">
        <f t="shared" si="7"/>
        <v>0.19051253261409182</v>
      </c>
      <c r="AD59" s="835">
        <f t="shared" si="7"/>
        <v>0.19044521192660388</v>
      </c>
      <c r="AE59" s="835">
        <f t="shared" si="7"/>
        <v>0.19050349161319466</v>
      </c>
      <c r="AF59" s="835">
        <f t="shared" si="7"/>
        <v>0.19051003241435463</v>
      </c>
      <c r="AG59" s="835">
        <f t="shared" si="7"/>
        <v>0.19049281714206126</v>
      </c>
      <c r="AH59" s="835">
        <f t="shared" si="7"/>
        <v>0.19048788827405363</v>
      </c>
      <c r="AI59" s="835">
        <f t="shared" si="7"/>
        <v>0.190498557360916</v>
      </c>
      <c r="AJ59" s="835">
        <f t="shared" si="7"/>
        <v>0.1904973237978464</v>
      </c>
      <c r="AK59" s="835">
        <f t="shared" si="7"/>
        <v>0.1904941466437193</v>
      </c>
      <c r="AL59" s="835">
        <f t="shared" si="7"/>
        <v>0.19049447901913383</v>
      </c>
      <c r="AM59" s="835">
        <f t="shared" si="7"/>
        <v>0.19049612670540389</v>
      </c>
      <c r="AN59" s="835">
        <f t="shared" si="7"/>
        <v>0.19049551904152587</v>
      </c>
      <c r="AO59" s="835">
        <f t="shared" si="7"/>
        <v>0.19049506785244569</v>
      </c>
      <c r="AP59" s="835">
        <f t="shared" si="7"/>
        <v>0.19049529815462732</v>
      </c>
      <c r="AQ59" s="835">
        <f t="shared" si="7"/>
        <v>0.19049550293850068</v>
      </c>
      <c r="AR59" s="835">
        <f t="shared" si="7"/>
        <v>0.1902853051560833</v>
      </c>
    </row>
    <row r="60" spans="1:45" ht="17.25" customHeight="1">
      <c r="A60" s="889" t="s">
        <v>1897</v>
      </c>
      <c r="C60" s="835">
        <f t="shared" si="7"/>
        <v>0</v>
      </c>
      <c r="D60" s="835">
        <f t="shared" si="7"/>
        <v>0</v>
      </c>
      <c r="E60" s="835">
        <f t="shared" si="7"/>
        <v>0</v>
      </c>
      <c r="F60" s="835">
        <f t="shared" si="7"/>
        <v>0</v>
      </c>
      <c r="G60" s="835">
        <f t="shared" si="7"/>
        <v>0</v>
      </c>
      <c r="H60" s="835">
        <f t="shared" si="7"/>
        <v>0</v>
      </c>
      <c r="I60" s="835">
        <f t="shared" si="7"/>
        <v>0</v>
      </c>
      <c r="J60" s="835">
        <f t="shared" si="7"/>
        <v>0</v>
      </c>
      <c r="K60" s="835">
        <f t="shared" si="7"/>
        <v>0</v>
      </c>
      <c r="L60" s="835">
        <f t="shared" si="7"/>
        <v>0</v>
      </c>
      <c r="M60" s="835">
        <f t="shared" si="7"/>
        <v>0</v>
      </c>
      <c r="N60" s="835">
        <f t="shared" si="7"/>
        <v>0</v>
      </c>
      <c r="O60" s="835">
        <f t="shared" si="7"/>
        <v>2.6990482598185307E-2</v>
      </c>
      <c r="P60" s="835">
        <f t="shared" si="7"/>
        <v>2.76245239819966E-2</v>
      </c>
      <c r="Q60" s="835">
        <f t="shared" si="7"/>
        <v>2.6794233423640082E-2</v>
      </c>
      <c r="R60" s="835">
        <f t="shared" si="7"/>
        <v>2.736547109606113E-2</v>
      </c>
      <c r="S60" s="835">
        <f t="shared" si="7"/>
        <v>2.7193677774970781E-2</v>
      </c>
      <c r="T60" s="835">
        <f t="shared" si="7"/>
        <v>2.7244476569167144E-2</v>
      </c>
      <c r="U60" s="835">
        <f t="shared" si="7"/>
        <v>2.7149464715959783E-2</v>
      </c>
      <c r="V60" s="835">
        <f t="shared" si="7"/>
        <v>2.7238272539039706E-2</v>
      </c>
      <c r="W60" s="835">
        <f t="shared" si="7"/>
        <v>2.7206472899784354E-2</v>
      </c>
      <c r="X60" s="835">
        <f t="shared" si="7"/>
        <v>2.7209671680987747E-2</v>
      </c>
      <c r="Y60" s="835">
        <f t="shared" si="7"/>
        <v>2.7200970458942899E-2</v>
      </c>
      <c r="Z60" s="835">
        <f t="shared" si="7"/>
        <v>2.7213846894688684E-2</v>
      </c>
      <c r="AA60" s="835">
        <f t="shared" si="7"/>
        <v>2.7207740483600921E-2</v>
      </c>
      <c r="AB60" s="835">
        <f t="shared" si="7"/>
        <v>2.7208057379555058E-2</v>
      </c>
      <c r="AC60" s="835">
        <f t="shared" si="7"/>
        <v>2.7207653804196888E-2</v>
      </c>
      <c r="AD60" s="835">
        <f t="shared" si="7"/>
        <v>2.7209324640510388E-2</v>
      </c>
      <c r="AE60" s="835">
        <f t="shared" si="7"/>
        <v>2.7208194076965817E-2</v>
      </c>
      <c r="AF60" s="835">
        <f t="shared" si="7"/>
        <v>2.7208307475307038E-2</v>
      </c>
      <c r="AG60" s="835">
        <f t="shared" si="7"/>
        <v>2.720836999924503E-2</v>
      </c>
      <c r="AH60" s="835">
        <f t="shared" si="7"/>
        <v>2.7208549048007062E-2</v>
      </c>
      <c r="AI60" s="835">
        <f t="shared" si="7"/>
        <v>2.7208355149881232E-2</v>
      </c>
      <c r="AJ60" s="835">
        <f t="shared" si="7"/>
        <v>2.7208395418110091E-2</v>
      </c>
      <c r="AK60" s="835">
        <f t="shared" si="7"/>
        <v>2.7208417403810855E-2</v>
      </c>
      <c r="AL60" s="835">
        <f t="shared" si="7"/>
        <v>2.7208429254952312E-2</v>
      </c>
      <c r="AM60" s="835">
        <f t="shared" si="7"/>
        <v>2.7208399306688627E-2</v>
      </c>
      <c r="AN60" s="835">
        <f t="shared" si="7"/>
        <v>2.7208410345890475E-2</v>
      </c>
      <c r="AO60" s="835">
        <f t="shared" si="7"/>
        <v>2.7208414077835565E-2</v>
      </c>
      <c r="AP60" s="835">
        <f t="shared" si="7"/>
        <v>2.7208413246341743E-2</v>
      </c>
      <c r="AQ60" s="835">
        <f t="shared" si="7"/>
        <v>2.7208409244189102E-2</v>
      </c>
      <c r="AR60" s="835">
        <f t="shared" si="7"/>
        <v>2.7178411495110445E-2</v>
      </c>
    </row>
    <row r="61" spans="1:45" ht="17.25" customHeight="1">
      <c r="A61" s="891" t="s">
        <v>1898</v>
      </c>
      <c r="C61" s="835">
        <f t="shared" si="7"/>
        <v>0</v>
      </c>
      <c r="D61" s="835">
        <f t="shared" si="7"/>
        <v>0</v>
      </c>
      <c r="E61" s="835">
        <f t="shared" si="7"/>
        <v>0</v>
      </c>
      <c r="F61" s="835">
        <f t="shared" si="7"/>
        <v>0</v>
      </c>
      <c r="G61" s="835">
        <f t="shared" si="7"/>
        <v>0</v>
      </c>
      <c r="H61" s="835">
        <f t="shared" si="7"/>
        <v>0</v>
      </c>
      <c r="I61" s="835">
        <f t="shared" si="7"/>
        <v>0</v>
      </c>
      <c r="J61" s="835">
        <f t="shared" si="7"/>
        <v>0</v>
      </c>
      <c r="K61" s="835">
        <f t="shared" si="7"/>
        <v>0</v>
      </c>
      <c r="L61" s="835">
        <f t="shared" si="7"/>
        <v>0</v>
      </c>
      <c r="M61" s="835">
        <f t="shared" si="7"/>
        <v>0</v>
      </c>
      <c r="N61" s="835">
        <f t="shared" si="7"/>
        <v>0</v>
      </c>
      <c r="O61" s="835">
        <f t="shared" si="7"/>
        <v>0.41107013068194354</v>
      </c>
      <c r="P61" s="835">
        <f t="shared" si="7"/>
        <v>0.43852755812471023</v>
      </c>
      <c r="Q61" s="835">
        <f t="shared" si="7"/>
        <v>0.4474986224273958</v>
      </c>
      <c r="R61" s="835">
        <f t="shared" si="7"/>
        <v>0.44771383904821921</v>
      </c>
      <c r="S61" s="835">
        <f t="shared" si="7"/>
        <v>0.43620253757056715</v>
      </c>
      <c r="T61" s="835">
        <f t="shared" si="7"/>
        <v>0.44248563929272311</v>
      </c>
      <c r="U61" s="835">
        <f t="shared" si="7"/>
        <v>0.44347515958472633</v>
      </c>
      <c r="V61" s="835">
        <f t="shared" si="7"/>
        <v>0.44246929387405898</v>
      </c>
      <c r="W61" s="835">
        <f t="shared" si="7"/>
        <v>0.44115815758051891</v>
      </c>
      <c r="X61" s="835">
        <f t="shared" si="7"/>
        <v>0.44239706258300682</v>
      </c>
      <c r="Y61" s="835">
        <f t="shared" si="7"/>
        <v>0.44237491840557774</v>
      </c>
      <c r="Z61" s="835">
        <f t="shared" si="7"/>
        <v>0.44209985811079067</v>
      </c>
      <c r="AA61" s="835">
        <f t="shared" si="7"/>
        <v>0.44200749916997356</v>
      </c>
      <c r="AB61" s="835">
        <f t="shared" si="7"/>
        <v>0.44221983456733721</v>
      </c>
      <c r="AC61" s="835">
        <f t="shared" si="7"/>
        <v>0.44217552756341982</v>
      </c>
      <c r="AD61" s="835">
        <f t="shared" si="7"/>
        <v>0.4421256798528802</v>
      </c>
      <c r="AE61" s="835">
        <f t="shared" si="7"/>
        <v>0.44213213528840267</v>
      </c>
      <c r="AF61" s="835">
        <f t="shared" si="7"/>
        <v>0.44216329431800994</v>
      </c>
      <c r="AG61" s="835">
        <f t="shared" si="7"/>
        <v>0.44214915925567816</v>
      </c>
      <c r="AH61" s="835">
        <f t="shared" si="7"/>
        <v>0.44214256717874273</v>
      </c>
      <c r="AI61" s="835">
        <f t="shared" si="7"/>
        <v>0.44214678901020837</v>
      </c>
      <c r="AJ61" s="835">
        <f t="shared" si="7"/>
        <v>0.44215045244065981</v>
      </c>
      <c r="AK61" s="835">
        <f t="shared" si="7"/>
        <v>0.44214724197132227</v>
      </c>
      <c r="AL61" s="835">
        <f t="shared" si="7"/>
        <v>0.44214676265023328</v>
      </c>
      <c r="AM61" s="835">
        <f t="shared" si="7"/>
        <v>0.442147811518106</v>
      </c>
      <c r="AN61" s="835">
        <f t="shared" si="7"/>
        <v>0.44214806714508037</v>
      </c>
      <c r="AO61" s="835">
        <f t="shared" si="7"/>
        <v>0.4421474708211855</v>
      </c>
      <c r="AP61" s="835">
        <f t="shared" si="7"/>
        <v>0.44214752803365126</v>
      </c>
      <c r="AQ61" s="835">
        <f t="shared" si="7"/>
        <v>0.44214771937950575</v>
      </c>
      <c r="AR61" s="835">
        <f t="shared" si="7"/>
        <v>0.44166018041618921</v>
      </c>
    </row>
    <row r="62" spans="1:45" s="886" customFormat="1" ht="17.25" customHeight="1">
      <c r="A62" s="890" t="s">
        <v>1925</v>
      </c>
    </row>
    <row r="63" spans="1:45" ht="17.25" customHeight="1">
      <c r="A63" s="889" t="s">
        <v>1900</v>
      </c>
      <c r="C63" s="835">
        <f t="shared" ref="C63:C69" si="8">C32*C$21</f>
        <v>0</v>
      </c>
      <c r="D63" s="835">
        <f t="shared" si="7"/>
        <v>0</v>
      </c>
      <c r="E63" s="835">
        <f t="shared" si="7"/>
        <v>0</v>
      </c>
      <c r="F63" s="835">
        <f t="shared" si="7"/>
        <v>0</v>
      </c>
      <c r="G63" s="835">
        <f t="shared" ref="D63:AR69" si="9">G32*G$21</f>
        <v>0</v>
      </c>
      <c r="H63" s="835">
        <f t="shared" si="9"/>
        <v>0</v>
      </c>
      <c r="I63" s="835">
        <f t="shared" si="9"/>
        <v>0</v>
      </c>
      <c r="J63" s="835">
        <f t="shared" si="9"/>
        <v>0</v>
      </c>
      <c r="K63" s="835">
        <f t="shared" si="9"/>
        <v>0</v>
      </c>
      <c r="L63" s="835">
        <f t="shared" si="9"/>
        <v>0</v>
      </c>
      <c r="M63" s="835">
        <f t="shared" si="9"/>
        <v>0</v>
      </c>
      <c r="N63" s="835">
        <f t="shared" si="9"/>
        <v>0</v>
      </c>
      <c r="O63" s="835">
        <f t="shared" si="9"/>
        <v>-7.7267810230258072E-3</v>
      </c>
      <c r="P63" s="835">
        <f t="shared" si="9"/>
        <v>-9.6584762787822586E-3</v>
      </c>
      <c r="Q63" s="835">
        <f t="shared" si="9"/>
        <v>-1.0417356557829436E-2</v>
      </c>
      <c r="R63" s="835">
        <f t="shared" si="9"/>
        <v>-1.3021695697286794E-2</v>
      </c>
      <c r="S63" s="835">
        <f t="shared" si="9"/>
        <v>-1.0206077389231075E-2</v>
      </c>
      <c r="T63" s="835">
        <f t="shared" si="9"/>
        <v>-1.0825901480782392E-2</v>
      </c>
      <c r="U63" s="835">
        <f t="shared" si="9"/>
        <v>-1.1117757781282423E-2</v>
      </c>
      <c r="V63" s="835">
        <f t="shared" si="9"/>
        <v>-1.129285808714567E-2</v>
      </c>
      <c r="W63" s="835">
        <f t="shared" si="9"/>
        <v>-1.086064868461039E-2</v>
      </c>
      <c r="X63" s="835">
        <f t="shared" si="9"/>
        <v>-1.1024291508455219E-2</v>
      </c>
      <c r="Y63" s="835">
        <f t="shared" si="9"/>
        <v>-1.1073889015373426E-2</v>
      </c>
      <c r="Z63" s="835">
        <f t="shared" si="9"/>
        <v>-1.1062921823896177E-2</v>
      </c>
      <c r="AA63" s="835">
        <f t="shared" si="9"/>
        <v>-1.1005437758083804E-2</v>
      </c>
      <c r="AB63" s="835">
        <f t="shared" si="9"/>
        <v>-1.1041635026452157E-2</v>
      </c>
      <c r="AC63" s="835">
        <f t="shared" si="9"/>
        <v>-1.1045970905951391E-2</v>
      </c>
      <c r="AD63" s="835">
        <f t="shared" si="9"/>
        <v>-1.1038991378595882E-2</v>
      </c>
      <c r="AE63" s="835">
        <f t="shared" si="9"/>
        <v>-1.1033008767270808E-2</v>
      </c>
      <c r="AF63" s="835">
        <f t="shared" si="9"/>
        <v>-1.1039901519567559E-2</v>
      </c>
      <c r="AG63" s="835">
        <f t="shared" si="9"/>
        <v>-1.103946814284641E-2</v>
      </c>
      <c r="AH63" s="835">
        <f t="shared" si="9"/>
        <v>-1.1037842452070163E-2</v>
      </c>
      <c r="AI63" s="835">
        <f t="shared" si="9"/>
        <v>-1.1037555220438736E-2</v>
      </c>
      <c r="AJ63" s="835">
        <f t="shared" si="9"/>
        <v>-1.1038691833730718E-2</v>
      </c>
      <c r="AK63" s="835">
        <f t="shared" si="9"/>
        <v>-1.1038389412271506E-2</v>
      </c>
      <c r="AL63" s="835">
        <f t="shared" si="9"/>
        <v>-1.1038119729627781E-2</v>
      </c>
      <c r="AM63" s="835">
        <f t="shared" si="9"/>
        <v>-1.1038189049017185E-2</v>
      </c>
      <c r="AN63" s="835">
        <f t="shared" si="9"/>
        <v>-1.1038347506161799E-2</v>
      </c>
      <c r="AO63" s="835">
        <f t="shared" si="9"/>
        <v>-1.1038261424269568E-2</v>
      </c>
      <c r="AP63" s="835">
        <f t="shared" si="9"/>
        <v>-1.1038229427269081E-2</v>
      </c>
      <c r="AQ63" s="835">
        <f t="shared" si="9"/>
        <v>-1.1038256851679407E-2</v>
      </c>
      <c r="AR63" s="835">
        <f t="shared" si="9"/>
        <v>-1.1026102904818839E-2</v>
      </c>
    </row>
    <row r="64" spans="1:45" ht="17.25" customHeight="1">
      <c r="A64" s="889" t="s">
        <v>1901</v>
      </c>
      <c r="C64" s="835">
        <f t="shared" si="8"/>
        <v>0</v>
      </c>
      <c r="D64" s="835">
        <f t="shared" si="9"/>
        <v>0</v>
      </c>
      <c r="E64" s="835">
        <f t="shared" si="9"/>
        <v>0</v>
      </c>
      <c r="F64" s="835">
        <f t="shared" si="9"/>
        <v>0</v>
      </c>
      <c r="G64" s="835">
        <f t="shared" si="9"/>
        <v>0</v>
      </c>
      <c r="H64" s="835">
        <f t="shared" si="9"/>
        <v>0</v>
      </c>
      <c r="I64" s="835">
        <f t="shared" si="9"/>
        <v>0</v>
      </c>
      <c r="J64" s="835">
        <f t="shared" si="9"/>
        <v>0</v>
      </c>
      <c r="K64" s="835">
        <f t="shared" si="9"/>
        <v>0</v>
      </c>
      <c r="L64" s="835">
        <f t="shared" si="9"/>
        <v>0</v>
      </c>
      <c r="M64" s="835">
        <f t="shared" si="9"/>
        <v>0</v>
      </c>
      <c r="N64" s="835">
        <f t="shared" si="9"/>
        <v>0</v>
      </c>
      <c r="O64" s="835">
        <f t="shared" si="9"/>
        <v>-0.19105566304611785</v>
      </c>
      <c r="P64" s="835">
        <f t="shared" si="9"/>
        <v>-0.20190113723590969</v>
      </c>
      <c r="Q64" s="835">
        <f t="shared" si="9"/>
        <v>-0.20810911952709343</v>
      </c>
      <c r="R64" s="835">
        <f t="shared" si="9"/>
        <v>-0.20549176275522524</v>
      </c>
      <c r="S64" s="835">
        <f t="shared" si="9"/>
        <v>-0.20163942064108659</v>
      </c>
      <c r="T64" s="835">
        <f t="shared" si="9"/>
        <v>-0.20428536003982878</v>
      </c>
      <c r="U64" s="835">
        <f t="shared" si="9"/>
        <v>-0.20488141574080848</v>
      </c>
      <c r="V64" s="835">
        <f t="shared" si="9"/>
        <v>-0.20407448979423726</v>
      </c>
      <c r="W64" s="835">
        <f t="shared" si="9"/>
        <v>-0.20372017155399025</v>
      </c>
      <c r="X64" s="835">
        <f t="shared" si="9"/>
        <v>-0.20424035928221623</v>
      </c>
      <c r="Y64" s="835">
        <f t="shared" si="9"/>
        <v>-0.20422910909281305</v>
      </c>
      <c r="Z64" s="835">
        <f t="shared" si="9"/>
        <v>-0.20406603243081417</v>
      </c>
      <c r="AA64" s="835">
        <f t="shared" si="9"/>
        <v>-0.20406391808995838</v>
      </c>
      <c r="AB64" s="835">
        <f t="shared" si="9"/>
        <v>-0.20414985472395045</v>
      </c>
      <c r="AC64" s="835">
        <f t="shared" si="9"/>
        <v>-0.20412722858438406</v>
      </c>
      <c r="AD64" s="835">
        <f t="shared" si="9"/>
        <v>-0.20410175845727671</v>
      </c>
      <c r="AE64" s="835">
        <f t="shared" si="9"/>
        <v>-0.20411068996389234</v>
      </c>
      <c r="AF64" s="835">
        <f t="shared" si="9"/>
        <v>-0.20412238293237589</v>
      </c>
      <c r="AG64" s="835">
        <f t="shared" si="9"/>
        <v>-0.20411551498448224</v>
      </c>
      <c r="AH64" s="835">
        <f t="shared" si="9"/>
        <v>-0.20411258658450676</v>
      </c>
      <c r="AI64" s="835">
        <f t="shared" si="9"/>
        <v>-0.20411529361631428</v>
      </c>
      <c r="AJ64" s="835">
        <f t="shared" si="9"/>
        <v>-0.20411644452941979</v>
      </c>
      <c r="AK64" s="835">
        <f t="shared" si="9"/>
        <v>-0.20411495992868076</v>
      </c>
      <c r="AL64" s="835">
        <f t="shared" si="9"/>
        <v>-0.2041148211647304</v>
      </c>
      <c r="AM64" s="835">
        <f t="shared" si="9"/>
        <v>-0.20411537980978633</v>
      </c>
      <c r="AN64" s="835">
        <f t="shared" si="9"/>
        <v>-0.20411540135815429</v>
      </c>
      <c r="AO64" s="835">
        <f t="shared" si="9"/>
        <v>-0.20411514056533794</v>
      </c>
      <c r="AP64" s="835">
        <f t="shared" si="9"/>
        <v>-0.20411518572450224</v>
      </c>
      <c r="AQ64" s="835">
        <f t="shared" si="9"/>
        <v>-0.20411527686444517</v>
      </c>
      <c r="AR64" s="835">
        <f t="shared" si="9"/>
        <v>-0.20389019186164456</v>
      </c>
    </row>
    <row r="65" spans="1:44" ht="17.25" customHeight="1">
      <c r="A65" s="889" t="s">
        <v>1902</v>
      </c>
      <c r="C65" s="835">
        <f t="shared" si="8"/>
        <v>0</v>
      </c>
      <c r="D65" s="835">
        <f t="shared" si="9"/>
        <v>0</v>
      </c>
      <c r="E65" s="835">
        <f t="shared" si="9"/>
        <v>0</v>
      </c>
      <c r="F65" s="835">
        <f t="shared" si="9"/>
        <v>0</v>
      </c>
      <c r="G65" s="835">
        <f t="shared" si="9"/>
        <v>0</v>
      </c>
      <c r="H65" s="835">
        <f t="shared" si="9"/>
        <v>0</v>
      </c>
      <c r="I65" s="835">
        <f t="shared" si="9"/>
        <v>0</v>
      </c>
      <c r="J65" s="835">
        <f t="shared" si="9"/>
        <v>0</v>
      </c>
      <c r="K65" s="835">
        <f t="shared" si="9"/>
        <v>0</v>
      </c>
      <c r="L65" s="835">
        <f t="shared" si="9"/>
        <v>0</v>
      </c>
      <c r="M65" s="835">
        <f t="shared" si="9"/>
        <v>0</v>
      </c>
      <c r="N65" s="835">
        <f t="shared" si="9"/>
        <v>0</v>
      </c>
      <c r="O65" s="835">
        <f t="shared" si="9"/>
        <v>-8.3278433466896243E-2</v>
      </c>
      <c r="P65" s="835">
        <f t="shared" si="9"/>
        <v>-8.0443612304622825E-2</v>
      </c>
      <c r="Q65" s="835">
        <f t="shared" si="9"/>
        <v>-8.7401816799746665E-2</v>
      </c>
      <c r="R65" s="835">
        <f t="shared" si="9"/>
        <v>-8.5096142003833711E-2</v>
      </c>
      <c r="S65" s="835">
        <f t="shared" si="9"/>
        <v>-8.4055001143774857E-2</v>
      </c>
      <c r="T65" s="835">
        <f t="shared" si="9"/>
        <v>-8.4249143062994525E-2</v>
      </c>
      <c r="U65" s="835">
        <f t="shared" si="9"/>
        <v>-8.5200525752587436E-2</v>
      </c>
      <c r="V65" s="835">
        <f t="shared" si="9"/>
        <v>-8.4650202990797632E-2</v>
      </c>
      <c r="W65" s="835">
        <f t="shared" si="9"/>
        <v>-8.4538718237538626E-2</v>
      </c>
      <c r="X65" s="835">
        <f t="shared" si="9"/>
        <v>-8.4659647510979555E-2</v>
      </c>
      <c r="Y65" s="835">
        <f t="shared" si="9"/>
        <v>-8.4762273622975809E-2</v>
      </c>
      <c r="Z65" s="835">
        <f t="shared" si="9"/>
        <v>-8.4652710590572902E-2</v>
      </c>
      <c r="AA65" s="835">
        <f t="shared" si="9"/>
        <v>-8.465333749051672E-2</v>
      </c>
      <c r="AB65" s="835">
        <f t="shared" si="9"/>
        <v>-8.4681992303761236E-2</v>
      </c>
      <c r="AC65" s="835">
        <f t="shared" si="9"/>
        <v>-8.468757850195667E-2</v>
      </c>
      <c r="AD65" s="835">
        <f t="shared" si="9"/>
        <v>-8.4668904721701868E-2</v>
      </c>
      <c r="AE65" s="835">
        <f t="shared" si="9"/>
        <v>-8.4672953254484123E-2</v>
      </c>
      <c r="AF65" s="835">
        <f t="shared" si="9"/>
        <v>-8.4677857195475978E-2</v>
      </c>
      <c r="AG65" s="835">
        <f t="shared" si="9"/>
        <v>-8.4676823418404656E-2</v>
      </c>
      <c r="AH65" s="835">
        <f t="shared" si="9"/>
        <v>-8.4674134647516663E-2</v>
      </c>
      <c r="AI65" s="835">
        <f t="shared" si="9"/>
        <v>-8.4675442128970338E-2</v>
      </c>
      <c r="AJ65" s="835">
        <f t="shared" si="9"/>
        <v>-8.4676064347591923E-2</v>
      </c>
      <c r="AK65" s="835">
        <f t="shared" si="9"/>
        <v>-8.4675616135620899E-2</v>
      </c>
      <c r="AL65" s="835">
        <f t="shared" si="9"/>
        <v>-8.4675314314924963E-2</v>
      </c>
      <c r="AM65" s="835">
        <f t="shared" si="9"/>
        <v>-8.4675609231777041E-2</v>
      </c>
      <c r="AN65" s="835">
        <f t="shared" si="9"/>
        <v>-8.4675651007478703E-2</v>
      </c>
      <c r="AO65" s="835">
        <f t="shared" si="9"/>
        <v>-8.4675547672450391E-2</v>
      </c>
      <c r="AP65" s="835">
        <f t="shared" si="9"/>
        <v>-8.4675530556657774E-2</v>
      </c>
      <c r="AQ65" s="835">
        <f t="shared" si="9"/>
        <v>-8.4675584617090974E-2</v>
      </c>
      <c r="AR65" s="835">
        <f t="shared" si="9"/>
        <v>-8.4582214427801422E-2</v>
      </c>
    </row>
    <row r="66" spans="1:44" ht="17.25" customHeight="1">
      <c r="A66" s="889" t="s">
        <v>1903</v>
      </c>
      <c r="C66" s="835">
        <f t="shared" si="8"/>
        <v>-6.6981993948274718</v>
      </c>
      <c r="D66" s="835">
        <f t="shared" si="9"/>
        <v>-5.6990089727134237</v>
      </c>
      <c r="E66" s="835">
        <f t="shared" si="9"/>
        <v>-5.3745214493012785</v>
      </c>
      <c r="F66" s="835">
        <f t="shared" si="9"/>
        <v>-5.5828093499127966</v>
      </c>
      <c r="G66" s="835">
        <f t="shared" si="9"/>
        <v>-4.7964864614875156</v>
      </c>
      <c r="H66" s="835">
        <f t="shared" si="9"/>
        <v>-3.7865739149391784</v>
      </c>
      <c r="I66" s="835">
        <f t="shared" si="9"/>
        <v>-2.4452115128706096</v>
      </c>
      <c r="J66" s="835">
        <f t="shared" si="9"/>
        <v>-3.4441359520498049</v>
      </c>
      <c r="K66" s="835">
        <f t="shared" si="9"/>
        <v>-3.2475984130516369</v>
      </c>
      <c r="L66" s="835">
        <f t="shared" si="9"/>
        <v>-2.6536889801421726</v>
      </c>
      <c r="M66" s="835">
        <f t="shared" si="9"/>
        <v>-2.1759329213192924</v>
      </c>
      <c r="N66" s="835">
        <f t="shared" si="9"/>
        <v>-2.5538120328277807</v>
      </c>
      <c r="O66" s="835">
        <f t="shared" si="9"/>
        <v>-2.6055888535664609E-2</v>
      </c>
      <c r="P66" s="835">
        <f t="shared" si="9"/>
        <v>-2.8505931273042368E-2</v>
      </c>
      <c r="Q66" s="835">
        <f t="shared" si="9"/>
        <v>-3.0134147343505089E-2</v>
      </c>
      <c r="R66" s="835">
        <f t="shared" si="9"/>
        <v>-2.8976461223114935E-2</v>
      </c>
      <c r="S66" s="835">
        <f t="shared" si="9"/>
        <v>-2.8418107093831753E-2</v>
      </c>
      <c r="T66" s="835">
        <f t="shared" si="9"/>
        <v>-2.9008661733373537E-2</v>
      </c>
      <c r="U66" s="835">
        <f t="shared" si="9"/>
        <v>-2.9134344348456322E-2</v>
      </c>
      <c r="V66" s="835">
        <f t="shared" si="9"/>
        <v>-2.8884393599694139E-2</v>
      </c>
      <c r="W66" s="835">
        <f t="shared" si="9"/>
        <v>-2.8861376693838942E-2</v>
      </c>
      <c r="X66" s="835">
        <f t="shared" si="9"/>
        <v>-2.8972194093840737E-2</v>
      </c>
      <c r="Y66" s="835">
        <f t="shared" si="9"/>
        <v>-2.896307718395754E-2</v>
      </c>
      <c r="Z66" s="835">
        <f t="shared" si="9"/>
        <v>-2.8920260392832839E-2</v>
      </c>
      <c r="AA66" s="835">
        <f t="shared" si="9"/>
        <v>-2.8929227091117511E-2</v>
      </c>
      <c r="AB66" s="835">
        <f t="shared" si="9"/>
        <v>-2.8946189690437159E-2</v>
      </c>
      <c r="AC66" s="835">
        <f t="shared" si="9"/>
        <v>-2.8939688589586263E-2</v>
      </c>
      <c r="AD66" s="835">
        <f t="shared" si="9"/>
        <v>-2.8933841440993441E-2</v>
      </c>
      <c r="AE66" s="835">
        <f t="shared" si="9"/>
        <v>-2.8937236703033591E-2</v>
      </c>
      <c r="AF66" s="835">
        <f t="shared" si="9"/>
        <v>-2.893923910601261E-2</v>
      </c>
      <c r="AG66" s="835">
        <f t="shared" si="9"/>
        <v>-2.8937501459906478E-2</v>
      </c>
      <c r="AH66" s="835">
        <f t="shared" si="9"/>
        <v>-2.8936954677486526E-2</v>
      </c>
      <c r="AI66" s="835">
        <f t="shared" si="9"/>
        <v>-2.8937732986609802E-2</v>
      </c>
      <c r="AJ66" s="835">
        <f t="shared" si="9"/>
        <v>-2.8937857057503857E-2</v>
      </c>
      <c r="AK66" s="835">
        <f t="shared" si="9"/>
        <v>-2.8937511545376663E-2</v>
      </c>
      <c r="AL66" s="835">
        <f t="shared" si="9"/>
        <v>-2.8937514066744212E-2</v>
      </c>
      <c r="AM66" s="835">
        <f t="shared" si="9"/>
        <v>-2.8937653914058632E-2</v>
      </c>
      <c r="AN66" s="835">
        <f t="shared" si="9"/>
        <v>-2.8937634145920842E-2</v>
      </c>
      <c r="AO66" s="835">
        <f t="shared" si="9"/>
        <v>-2.8937578418025085E-2</v>
      </c>
      <c r="AP66" s="835">
        <f t="shared" si="9"/>
        <v>-2.893759513618719E-2</v>
      </c>
      <c r="AQ66" s="835">
        <f t="shared" si="9"/>
        <v>-2.8937615403547938E-2</v>
      </c>
      <c r="AR66" s="835">
        <f t="shared" si="9"/>
        <v>-2.8905698917940769E-2</v>
      </c>
    </row>
    <row r="67" spans="1:44" ht="17.25" customHeight="1">
      <c r="A67" s="889" t="s">
        <v>1904</v>
      </c>
      <c r="C67" s="835">
        <f t="shared" si="8"/>
        <v>-1.7048276683665584</v>
      </c>
      <c r="D67" s="835">
        <f t="shared" si="9"/>
        <v>-1.0259282049363092</v>
      </c>
      <c r="E67" s="835">
        <f t="shared" si="9"/>
        <v>-1.3663825647173102</v>
      </c>
      <c r="F67" s="835">
        <f t="shared" si="9"/>
        <v>-4.2617833765260391</v>
      </c>
      <c r="G67" s="835">
        <f t="shared" si="9"/>
        <v>-2.3166777135019978</v>
      </c>
      <c r="H67" s="835">
        <f t="shared" si="9"/>
        <v>-1.3728847921606286</v>
      </c>
      <c r="I67" s="835">
        <f t="shared" si="9"/>
        <v>-1.1841388770558756</v>
      </c>
      <c r="J67" s="835">
        <f t="shared" si="9"/>
        <v>-2.9689235031127885</v>
      </c>
      <c r="K67" s="835">
        <f t="shared" si="9"/>
        <v>-0.91932229509680541</v>
      </c>
      <c r="L67" s="835">
        <f t="shared" si="9"/>
        <v>-0.53338995155308289</v>
      </c>
      <c r="M67" s="835">
        <f t="shared" si="9"/>
        <v>-0.70865915142283153</v>
      </c>
      <c r="N67" s="835">
        <f t="shared" si="9"/>
        <v>-1.1087609296200631</v>
      </c>
      <c r="O67" s="835">
        <f t="shared" si="9"/>
        <v>-1.042315409684968E-2</v>
      </c>
      <c r="P67" s="835">
        <f t="shared" si="9"/>
        <v>-1.3587970578211581E-2</v>
      </c>
      <c r="Q67" s="835">
        <f t="shared" si="9"/>
        <v>-1.5692358679417234E-2</v>
      </c>
      <c r="R67" s="835">
        <f t="shared" si="9"/>
        <v>-1.5889154574297484E-2</v>
      </c>
      <c r="S67" s="835">
        <f t="shared" si="9"/>
        <v>-1.3898159482193993E-2</v>
      </c>
      <c r="T67" s="835">
        <f t="shared" si="9"/>
        <v>-1.4766910828530076E-2</v>
      </c>
      <c r="U67" s="835">
        <f t="shared" si="9"/>
        <v>-1.5061645891109697E-2</v>
      </c>
      <c r="V67" s="835">
        <f t="shared" si="9"/>
        <v>-1.4903967694032811E-2</v>
      </c>
      <c r="W67" s="835">
        <f t="shared" si="9"/>
        <v>-1.4657670973966645E-2</v>
      </c>
      <c r="X67" s="835">
        <f t="shared" si="9"/>
        <v>-1.4847548846909807E-2</v>
      </c>
      <c r="Y67" s="835">
        <f t="shared" si="9"/>
        <v>-1.4867708351504737E-2</v>
      </c>
      <c r="Z67" s="835">
        <f t="shared" si="9"/>
        <v>-1.48192239666035E-2</v>
      </c>
      <c r="AA67" s="835">
        <f t="shared" si="9"/>
        <v>-1.4798038034746174E-2</v>
      </c>
      <c r="AB67" s="835">
        <f t="shared" si="9"/>
        <v>-1.4833129799941057E-2</v>
      </c>
      <c r="AC67" s="835">
        <f t="shared" si="9"/>
        <v>-1.4829525038198869E-2</v>
      </c>
      <c r="AD67" s="835">
        <f t="shared" si="9"/>
        <v>-1.4819979209872398E-2</v>
      </c>
      <c r="AE67" s="835">
        <f t="shared" si="9"/>
        <v>-1.4820168020689622E-2</v>
      </c>
      <c r="AF67" s="835">
        <f t="shared" si="9"/>
        <v>-1.4825700517175487E-2</v>
      </c>
      <c r="AG67" s="835">
        <f t="shared" si="9"/>
        <v>-1.4823843196484094E-2</v>
      </c>
      <c r="AH67" s="835">
        <f t="shared" si="9"/>
        <v>-1.4822422736055399E-2</v>
      </c>
      <c r="AI67" s="835">
        <f t="shared" si="9"/>
        <v>-1.482303361760115E-2</v>
      </c>
      <c r="AJ67" s="835">
        <f t="shared" si="9"/>
        <v>-1.4823750016829033E-2</v>
      </c>
      <c r="AK67" s="835">
        <f t="shared" si="9"/>
        <v>-1.482326239174242E-2</v>
      </c>
      <c r="AL67" s="835">
        <f t="shared" si="9"/>
        <v>-1.4823117190556999E-2</v>
      </c>
      <c r="AM67" s="835">
        <f t="shared" si="9"/>
        <v>-1.4823290804182402E-2</v>
      </c>
      <c r="AN67" s="835">
        <f t="shared" si="9"/>
        <v>-1.4823355100827712E-2</v>
      </c>
      <c r="AO67" s="835">
        <f t="shared" si="9"/>
        <v>-1.4823256371827385E-2</v>
      </c>
      <c r="AP67" s="835">
        <f t="shared" si="9"/>
        <v>-1.4823254866848625E-2</v>
      </c>
      <c r="AQ67" s="835">
        <f t="shared" si="9"/>
        <v>-1.4823289285921529E-2</v>
      </c>
      <c r="AR67" s="835">
        <f t="shared" si="9"/>
        <v>-1.4806944617973005E-2</v>
      </c>
    </row>
    <row r="68" spans="1:44" ht="17.25" customHeight="1">
      <c r="A68" s="889" t="s">
        <v>1905</v>
      </c>
      <c r="C68" s="835">
        <f t="shared" si="8"/>
        <v>0</v>
      </c>
      <c r="D68" s="835">
        <f t="shared" si="9"/>
        <v>0</v>
      </c>
      <c r="E68" s="835">
        <f t="shared" si="9"/>
        <v>0</v>
      </c>
      <c r="F68" s="835">
        <f t="shared" si="9"/>
        <v>0</v>
      </c>
      <c r="G68" s="835">
        <f t="shared" si="9"/>
        <v>0</v>
      </c>
      <c r="H68" s="835">
        <f t="shared" si="9"/>
        <v>0</v>
      </c>
      <c r="I68" s="835">
        <f t="shared" si="9"/>
        <v>0</v>
      </c>
      <c r="J68" s="835">
        <f t="shared" si="9"/>
        <v>0</v>
      </c>
      <c r="K68" s="835">
        <f t="shared" si="9"/>
        <v>0</v>
      </c>
      <c r="L68" s="835">
        <f t="shared" si="9"/>
        <v>0</v>
      </c>
      <c r="M68" s="835">
        <f t="shared" si="9"/>
        <v>0</v>
      </c>
      <c r="N68" s="835">
        <f t="shared" si="9"/>
        <v>0</v>
      </c>
      <c r="O68" s="835">
        <f t="shared" si="9"/>
        <v>-0.11136102690575535</v>
      </c>
      <c r="P68" s="835">
        <f t="shared" si="9"/>
        <v>-0.11343786371200079</v>
      </c>
      <c r="Q68" s="835">
        <f t="shared" si="9"/>
        <v>-0.11651813177369638</v>
      </c>
      <c r="R68" s="835">
        <f t="shared" si="9"/>
        <v>-0.11511065756156932</v>
      </c>
      <c r="S68" s="835">
        <f t="shared" si="9"/>
        <v>-0.11410691998825546</v>
      </c>
      <c r="T68" s="835">
        <f t="shared" si="9"/>
        <v>-0.11479339325888051</v>
      </c>
      <c r="U68" s="835">
        <f t="shared" si="9"/>
        <v>-0.11513227564560041</v>
      </c>
      <c r="V68" s="835">
        <f t="shared" si="9"/>
        <v>-0.11478581161357643</v>
      </c>
      <c r="W68" s="835">
        <f t="shared" si="9"/>
        <v>-0.1147046001265782</v>
      </c>
      <c r="X68" s="835">
        <f t="shared" si="9"/>
        <v>-0.11485402016115889</v>
      </c>
      <c r="Y68" s="835">
        <f t="shared" si="9"/>
        <v>-0.11486917688672849</v>
      </c>
      <c r="Z68" s="835">
        <f t="shared" si="9"/>
        <v>-0.11480340219701049</v>
      </c>
      <c r="AA68" s="835">
        <f t="shared" si="9"/>
        <v>-0.11480779984286901</v>
      </c>
      <c r="AB68" s="835">
        <f t="shared" si="9"/>
        <v>-0.11483359977194173</v>
      </c>
      <c r="AC68" s="835">
        <f t="shared" si="9"/>
        <v>-0.11482849467463743</v>
      </c>
      <c r="AD68" s="835">
        <f t="shared" si="9"/>
        <v>-0.11481832412161466</v>
      </c>
      <c r="AE68" s="835">
        <f t="shared" si="9"/>
        <v>-0.11482205460276571</v>
      </c>
      <c r="AF68" s="835">
        <f t="shared" si="9"/>
        <v>-0.11482561829273991</v>
      </c>
      <c r="AG68" s="835">
        <f t="shared" si="9"/>
        <v>-0.11482362292293943</v>
      </c>
      <c r="AH68" s="835">
        <f t="shared" si="9"/>
        <v>-0.11482240498501491</v>
      </c>
      <c r="AI68" s="835">
        <f t="shared" si="9"/>
        <v>-0.11482342520086498</v>
      </c>
      <c r="AJ68" s="835">
        <f t="shared" si="9"/>
        <v>-0.11482376785038981</v>
      </c>
      <c r="AK68" s="835">
        <f t="shared" si="9"/>
        <v>-0.11482330523980229</v>
      </c>
      <c r="AL68" s="835">
        <f t="shared" si="9"/>
        <v>-0.11482322581901799</v>
      </c>
      <c r="AM68" s="835">
        <f t="shared" si="9"/>
        <v>-0.11482343102751877</v>
      </c>
      <c r="AN68" s="835">
        <f t="shared" si="9"/>
        <v>-0.11482343248418221</v>
      </c>
      <c r="AO68" s="835">
        <f t="shared" si="9"/>
        <v>-0.1148233486426303</v>
      </c>
      <c r="AP68" s="835">
        <f t="shared" si="9"/>
        <v>-0.11482335949333732</v>
      </c>
      <c r="AQ68" s="835">
        <f t="shared" si="9"/>
        <v>-0.11482339291191716</v>
      </c>
      <c r="AR68" s="835">
        <f t="shared" si="9"/>
        <v>-0.11469677811322712</v>
      </c>
    </row>
    <row r="69" spans="1:44" s="892" customFormat="1" ht="17.25" customHeight="1">
      <c r="A69" s="891" t="s">
        <v>1906</v>
      </c>
      <c r="C69" s="892">
        <f t="shared" si="8"/>
        <v>0</v>
      </c>
      <c r="D69" s="892">
        <f t="shared" si="9"/>
        <v>0</v>
      </c>
      <c r="E69" s="892">
        <f t="shared" si="9"/>
        <v>0</v>
      </c>
      <c r="F69" s="892">
        <f t="shared" si="9"/>
        <v>0</v>
      </c>
      <c r="G69" s="892">
        <f t="shared" si="9"/>
        <v>0</v>
      </c>
      <c r="H69" s="892">
        <f t="shared" si="9"/>
        <v>0</v>
      </c>
      <c r="I69" s="892">
        <f t="shared" si="9"/>
        <v>0</v>
      </c>
      <c r="J69" s="892">
        <f t="shared" si="9"/>
        <v>0</v>
      </c>
      <c r="K69" s="892">
        <f t="shared" si="9"/>
        <v>0</v>
      </c>
      <c r="L69" s="892">
        <f t="shared" si="9"/>
        <v>0</v>
      </c>
      <c r="M69" s="892">
        <f t="shared" si="9"/>
        <v>0</v>
      </c>
      <c r="N69" s="892">
        <f t="shared" si="9"/>
        <v>0</v>
      </c>
      <c r="O69" s="892">
        <f t="shared" si="9"/>
        <v>0</v>
      </c>
      <c r="P69" s="892">
        <f t="shared" ref="P69:AR69" si="10">P38*P$21</f>
        <v>0</v>
      </c>
      <c r="Q69" s="892">
        <f t="shared" si="10"/>
        <v>0</v>
      </c>
      <c r="R69" s="892">
        <f t="shared" si="10"/>
        <v>0</v>
      </c>
      <c r="S69" s="892">
        <f t="shared" si="10"/>
        <v>0</v>
      </c>
      <c r="T69" s="892">
        <f t="shared" si="10"/>
        <v>0</v>
      </c>
      <c r="U69" s="892">
        <f t="shared" si="10"/>
        <v>0</v>
      </c>
      <c r="V69" s="892">
        <f t="shared" si="10"/>
        <v>0</v>
      </c>
      <c r="W69" s="892">
        <f t="shared" si="10"/>
        <v>0</v>
      </c>
      <c r="X69" s="892">
        <f t="shared" si="10"/>
        <v>0</v>
      </c>
      <c r="Y69" s="892">
        <f t="shared" si="10"/>
        <v>0</v>
      </c>
      <c r="Z69" s="892">
        <f t="shared" si="10"/>
        <v>0</v>
      </c>
      <c r="AA69" s="892">
        <f t="shared" si="10"/>
        <v>0</v>
      </c>
      <c r="AB69" s="892">
        <f t="shared" si="10"/>
        <v>0</v>
      </c>
      <c r="AC69" s="892">
        <f t="shared" si="10"/>
        <v>0</v>
      </c>
      <c r="AD69" s="892">
        <f t="shared" si="10"/>
        <v>0</v>
      </c>
      <c r="AE69" s="892">
        <f t="shared" si="10"/>
        <v>0</v>
      </c>
      <c r="AF69" s="892">
        <f t="shared" si="10"/>
        <v>0</v>
      </c>
      <c r="AG69" s="892">
        <f t="shared" si="10"/>
        <v>0</v>
      </c>
      <c r="AH69" s="892">
        <f t="shared" si="10"/>
        <v>0</v>
      </c>
      <c r="AI69" s="892">
        <f t="shared" si="10"/>
        <v>0</v>
      </c>
      <c r="AJ69" s="892">
        <f t="shared" si="10"/>
        <v>0</v>
      </c>
      <c r="AK69" s="892">
        <f t="shared" si="10"/>
        <v>0</v>
      </c>
      <c r="AL69" s="892">
        <f t="shared" si="10"/>
        <v>0</v>
      </c>
      <c r="AM69" s="892">
        <f t="shared" si="10"/>
        <v>0</v>
      </c>
      <c r="AN69" s="892">
        <f t="shared" si="10"/>
        <v>0</v>
      </c>
      <c r="AO69" s="892">
        <f t="shared" si="10"/>
        <v>0</v>
      </c>
      <c r="AP69" s="892">
        <f t="shared" si="10"/>
        <v>0</v>
      </c>
      <c r="AQ69" s="892">
        <f t="shared" si="10"/>
        <v>0</v>
      </c>
      <c r="AR69" s="892">
        <f t="shared" si="10"/>
        <v>0</v>
      </c>
    </row>
    <row r="86" spans="1:44" s="886" customFormat="1" ht="17.25" customHeight="1">
      <c r="A86" s="885" t="s">
        <v>1927</v>
      </c>
      <c r="C86" s="886">
        <f>SUM(C87:C93)</f>
        <v>1711.61108122</v>
      </c>
      <c r="D86" s="886">
        <f t="shared" ref="D86:AQ86" si="11">SUM(D87:D93)</f>
        <v>1738.3719165299999</v>
      </c>
      <c r="E86" s="886">
        <f t="shared" si="11"/>
        <v>1873.46274339</v>
      </c>
      <c r="F86" s="886">
        <f t="shared" si="11"/>
        <v>2029.6441301899999</v>
      </c>
      <c r="G86" s="886">
        <f t="shared" si="11"/>
        <v>2139.6237448000002</v>
      </c>
      <c r="H86" s="886">
        <f t="shared" si="11"/>
        <v>2282.6596865300003</v>
      </c>
      <c r="I86" s="886">
        <f t="shared" si="11"/>
        <v>336.80487155999998</v>
      </c>
      <c r="J86" s="886">
        <f t="shared" si="11"/>
        <v>830.68026798999995</v>
      </c>
      <c r="K86" s="886">
        <f t="shared" si="11"/>
        <v>916.18414766000001</v>
      </c>
      <c r="L86" s="886">
        <f t="shared" si="11"/>
        <v>976.30625979000001</v>
      </c>
      <c r="M86" s="886">
        <f t="shared" si="11"/>
        <v>1008.9614755900001</v>
      </c>
      <c r="N86" s="886">
        <f t="shared" si="11"/>
        <v>929.62487710999994</v>
      </c>
      <c r="O86" s="886">
        <f t="shared" si="11"/>
        <v>389.12271245272325</v>
      </c>
      <c r="P86" s="886">
        <f t="shared" si="11"/>
        <v>384.11037579778326</v>
      </c>
      <c r="Q86" s="886">
        <f t="shared" si="11"/>
        <v>379.49763122581697</v>
      </c>
      <c r="R86" s="886">
        <f t="shared" si="11"/>
        <v>379.84846704310007</v>
      </c>
      <c r="S86" s="886">
        <f t="shared" si="11"/>
        <v>376.92983103426843</v>
      </c>
      <c r="T86" s="886">
        <f t="shared" si="11"/>
        <v>376.36909266913102</v>
      </c>
      <c r="U86" s="886">
        <f t="shared" si="11"/>
        <v>376.52074989311865</v>
      </c>
      <c r="V86" s="886">
        <f t="shared" si="11"/>
        <v>377.5030539811018</v>
      </c>
      <c r="W86" s="886">
        <f t="shared" si="11"/>
        <v>378.31881691026615</v>
      </c>
      <c r="X86" s="886">
        <f t="shared" si="11"/>
        <v>379.77621217008533</v>
      </c>
      <c r="Y86" s="886">
        <f t="shared" si="11"/>
        <v>381.47537017268377</v>
      </c>
      <c r="Z86" s="886">
        <f t="shared" si="11"/>
        <v>384.22111390131982</v>
      </c>
      <c r="AA86" s="886">
        <f t="shared" si="11"/>
        <v>387.17439271393772</v>
      </c>
      <c r="AB86" s="886">
        <f t="shared" si="11"/>
        <v>390.45971496043751</v>
      </c>
      <c r="AC86" s="886">
        <f t="shared" si="11"/>
        <v>393.8730117601724</v>
      </c>
      <c r="AD86" s="886">
        <f t="shared" si="11"/>
        <v>397.39285854188842</v>
      </c>
      <c r="AE86" s="886">
        <f t="shared" si="11"/>
        <v>400.96658398271461</v>
      </c>
      <c r="AF86" s="886">
        <f t="shared" si="11"/>
        <v>404.56973868684901</v>
      </c>
      <c r="AG86" s="886">
        <f t="shared" si="11"/>
        <v>408.13923735102264</v>
      </c>
      <c r="AH86" s="886">
        <f t="shared" si="11"/>
        <v>411.64598374237363</v>
      </c>
      <c r="AI86" s="886">
        <f t="shared" si="11"/>
        <v>415.05783257109402</v>
      </c>
      <c r="AJ86" s="886">
        <f t="shared" si="11"/>
        <v>418.34675202825269</v>
      </c>
      <c r="AK86" s="886">
        <f t="shared" si="11"/>
        <v>421.48289847698561</v>
      </c>
      <c r="AL86" s="886">
        <f t="shared" si="11"/>
        <v>424.44391409484479</v>
      </c>
      <c r="AM86" s="886">
        <f t="shared" si="11"/>
        <v>427.20838352001874</v>
      </c>
      <c r="AN86" s="886">
        <f t="shared" si="11"/>
        <v>429.75690594492505</v>
      </c>
      <c r="AO86" s="886">
        <f t="shared" si="11"/>
        <v>432.07163717732544</v>
      </c>
      <c r="AP86" s="886">
        <f t="shared" si="11"/>
        <v>434.13719186464402</v>
      </c>
      <c r="AQ86" s="886">
        <f t="shared" si="11"/>
        <v>435.93944085242867</v>
      </c>
      <c r="AR86" s="886">
        <f>SUM(AR87:AR93)</f>
        <v>437.46563831065708</v>
      </c>
    </row>
    <row r="87" spans="1:44" ht="17.25" customHeight="1">
      <c r="A87" s="901" t="s">
        <v>1928</v>
      </c>
      <c r="C87" s="835">
        <v>1573.8238407399999</v>
      </c>
      <c r="D87" s="835">
        <v>1596.07004914</v>
      </c>
      <c r="E87" s="835">
        <v>1730.32033796</v>
      </c>
      <c r="F87" s="835">
        <v>1926.558722</v>
      </c>
      <c r="G87" s="835">
        <v>2036.5369899500001</v>
      </c>
      <c r="H87" s="835">
        <v>2180.2331026300003</v>
      </c>
      <c r="I87" s="835">
        <v>232.41720100999999</v>
      </c>
      <c r="J87" s="835">
        <v>691.92181340999991</v>
      </c>
      <c r="K87" s="835">
        <v>785.14550612000005</v>
      </c>
      <c r="L87" s="835">
        <v>841.70660499999997</v>
      </c>
      <c r="M87" s="835">
        <v>868.64676972000007</v>
      </c>
      <c r="N87" s="835">
        <v>768.67466327</v>
      </c>
      <c r="O87" s="835">
        <v>196.66289385000005</v>
      </c>
      <c r="P87" s="835">
        <v>176.99660446500005</v>
      </c>
      <c r="Q87" s="835">
        <v>159.29694401850003</v>
      </c>
      <c r="R87" s="835">
        <v>143.36724961665001</v>
      </c>
      <c r="S87" s="835">
        <v>129.03052465498502</v>
      </c>
      <c r="T87" s="835">
        <v>116.12747218948651</v>
      </c>
      <c r="U87" s="835">
        <v>104.51472497053786</v>
      </c>
      <c r="V87" s="835">
        <v>94.06325247348407</v>
      </c>
      <c r="W87" s="835">
        <v>84.656927226135664</v>
      </c>
      <c r="X87" s="835">
        <v>76.191234503522097</v>
      </c>
      <c r="Y87" s="835">
        <v>68.572111053169891</v>
      </c>
      <c r="Z87" s="835">
        <v>61.714899947852899</v>
      </c>
      <c r="AA87" s="835">
        <v>55.543409953067609</v>
      </c>
      <c r="AB87" s="835">
        <v>49.98906895776085</v>
      </c>
      <c r="AC87" s="835">
        <v>44.990162061984762</v>
      </c>
      <c r="AD87" s="835">
        <v>40.491145855786286</v>
      </c>
      <c r="AE87" s="835">
        <v>36.442031270207657</v>
      </c>
      <c r="AF87" s="835">
        <v>32.797828143186891</v>
      </c>
      <c r="AG87" s="835">
        <v>29.518045328868201</v>
      </c>
      <c r="AH87" s="835">
        <v>26.566240795981379</v>
      </c>
      <c r="AI87" s="835">
        <v>23.90961671638324</v>
      </c>
      <c r="AJ87" s="835">
        <v>21.518655044744918</v>
      </c>
      <c r="AK87" s="835">
        <v>19.366789540270425</v>
      </c>
      <c r="AL87" s="835">
        <v>17.430110586243384</v>
      </c>
      <c r="AM87" s="835">
        <v>15.687099527619045</v>
      </c>
      <c r="AN87" s="835">
        <v>14.11838957485714</v>
      </c>
      <c r="AO87" s="835">
        <v>12.706550617371427</v>
      </c>
      <c r="AP87" s="835">
        <v>11.435895555634284</v>
      </c>
      <c r="AQ87" s="835">
        <v>10.292306000070855</v>
      </c>
      <c r="AR87" s="835">
        <v>9.2630754000637694</v>
      </c>
    </row>
    <row r="88" spans="1:44" ht="17.25" customHeight="1">
      <c r="A88" s="902" t="s">
        <v>1929</v>
      </c>
      <c r="C88" s="835">
        <v>0</v>
      </c>
      <c r="D88" s="835">
        <v>0</v>
      </c>
      <c r="E88" s="835">
        <v>0</v>
      </c>
      <c r="F88" s="835">
        <v>0</v>
      </c>
      <c r="G88" s="835">
        <v>0</v>
      </c>
      <c r="H88" s="835">
        <v>0</v>
      </c>
      <c r="I88" s="835">
        <v>0</v>
      </c>
      <c r="J88" s="835">
        <v>0</v>
      </c>
      <c r="K88" s="835">
        <v>0</v>
      </c>
      <c r="L88" s="835">
        <v>0</v>
      </c>
      <c r="M88" s="835">
        <v>0</v>
      </c>
      <c r="N88" s="835">
        <v>0</v>
      </c>
      <c r="O88" s="835">
        <v>0</v>
      </c>
      <c r="P88" s="835">
        <v>0</v>
      </c>
      <c r="Q88" s="835">
        <v>0</v>
      </c>
      <c r="R88" s="835">
        <v>0</v>
      </c>
      <c r="S88" s="835">
        <v>0</v>
      </c>
      <c r="T88" s="835">
        <v>0</v>
      </c>
      <c r="U88" s="835">
        <v>0</v>
      </c>
      <c r="V88" s="835">
        <v>0</v>
      </c>
      <c r="W88" s="835">
        <v>0</v>
      </c>
      <c r="X88" s="835">
        <v>0</v>
      </c>
      <c r="Y88" s="835">
        <v>0</v>
      </c>
      <c r="Z88" s="835">
        <v>0</v>
      </c>
      <c r="AA88" s="835">
        <v>0</v>
      </c>
      <c r="AB88" s="835">
        <v>0</v>
      </c>
      <c r="AC88" s="835">
        <v>0</v>
      </c>
      <c r="AD88" s="835">
        <v>0</v>
      </c>
      <c r="AE88" s="835">
        <v>0</v>
      </c>
      <c r="AF88" s="835">
        <v>0</v>
      </c>
      <c r="AG88" s="835">
        <v>0</v>
      </c>
      <c r="AH88" s="835">
        <v>0</v>
      </c>
      <c r="AI88" s="835">
        <v>0</v>
      </c>
      <c r="AJ88" s="835">
        <v>0</v>
      </c>
      <c r="AK88" s="835">
        <v>0</v>
      </c>
      <c r="AL88" s="835">
        <v>0</v>
      </c>
      <c r="AM88" s="835">
        <v>0</v>
      </c>
      <c r="AN88" s="835">
        <v>0</v>
      </c>
      <c r="AO88" s="835">
        <v>0</v>
      </c>
      <c r="AP88" s="835">
        <v>0</v>
      </c>
      <c r="AQ88" s="835">
        <v>0</v>
      </c>
      <c r="AR88" s="835">
        <v>0</v>
      </c>
    </row>
    <row r="89" spans="1:44" ht="17.25" customHeight="1">
      <c r="A89" s="902" t="s">
        <v>1930</v>
      </c>
      <c r="C89" s="835">
        <v>0</v>
      </c>
      <c r="D89" s="835">
        <v>0</v>
      </c>
      <c r="E89" s="835">
        <v>0</v>
      </c>
      <c r="F89" s="835">
        <v>0</v>
      </c>
      <c r="G89" s="835">
        <v>0</v>
      </c>
      <c r="H89" s="835">
        <v>0</v>
      </c>
      <c r="I89" s="835">
        <v>0</v>
      </c>
      <c r="J89" s="835">
        <v>0</v>
      </c>
      <c r="K89" s="835">
        <v>0</v>
      </c>
      <c r="L89" s="835">
        <v>0</v>
      </c>
      <c r="M89" s="835">
        <v>0</v>
      </c>
      <c r="N89" s="835">
        <v>0</v>
      </c>
      <c r="O89" s="835">
        <v>12.009562575</v>
      </c>
      <c r="P89" s="835">
        <v>12.95920996625</v>
      </c>
      <c r="Q89" s="835">
        <v>13.2803794978125</v>
      </c>
      <c r="R89" s="835">
        <v>13.395063749765626</v>
      </c>
      <c r="S89" s="835">
        <v>12.911053947207034</v>
      </c>
      <c r="T89" s="835">
        <v>13.13642679025879</v>
      </c>
      <c r="U89" s="835">
        <v>13.180730996260987</v>
      </c>
      <c r="V89" s="835">
        <v>13.155818870873109</v>
      </c>
      <c r="W89" s="835">
        <v>13.096007651149979</v>
      </c>
      <c r="X89" s="835">
        <v>13.142246077135715</v>
      </c>
      <c r="Y89" s="835">
        <v>13.143700898854949</v>
      </c>
      <c r="Z89" s="835">
        <v>13.134443374503437</v>
      </c>
      <c r="AA89" s="835">
        <v>13.129099500411019</v>
      </c>
      <c r="AB89" s="835">
        <v>13.137372462726281</v>
      </c>
      <c r="AC89" s="835">
        <v>13.136154059123921</v>
      </c>
      <c r="AD89" s="835">
        <v>13.134267349191163</v>
      </c>
      <c r="AE89" s="835">
        <v>13.134223342863095</v>
      </c>
      <c r="AF89" s="835">
        <v>13.135504303476116</v>
      </c>
      <c r="AG89" s="835">
        <v>13.135037263663573</v>
      </c>
      <c r="AH89" s="835">
        <v>13.134758064798486</v>
      </c>
      <c r="AI89" s="835">
        <v>13.134880743700318</v>
      </c>
      <c r="AJ89" s="835">
        <v>13.135045093909623</v>
      </c>
      <c r="AK89" s="835">
        <v>13.134930291518</v>
      </c>
      <c r="AL89" s="835">
        <v>13.134903548481606</v>
      </c>
      <c r="AM89" s="835">
        <v>13.134939919402388</v>
      </c>
      <c r="AN89" s="835">
        <v>13.134954713327904</v>
      </c>
      <c r="AO89" s="835">
        <v>13.134932118182476</v>
      </c>
      <c r="AP89" s="835">
        <v>13.134932574848595</v>
      </c>
      <c r="AQ89" s="835">
        <v>13.134939831440342</v>
      </c>
      <c r="AR89" s="835">
        <v>13.134939809449829</v>
      </c>
    </row>
    <row r="90" spans="1:44" ht="17.25" customHeight="1">
      <c r="A90" s="902" t="s">
        <v>1931</v>
      </c>
      <c r="C90" s="835">
        <v>0</v>
      </c>
      <c r="D90" s="835">
        <v>0</v>
      </c>
      <c r="E90" s="835">
        <v>0</v>
      </c>
      <c r="F90" s="835">
        <v>0</v>
      </c>
      <c r="G90" s="835">
        <v>0</v>
      </c>
      <c r="H90" s="835">
        <v>0</v>
      </c>
      <c r="I90" s="835">
        <v>0</v>
      </c>
      <c r="J90" s="835">
        <v>0</v>
      </c>
      <c r="K90" s="835">
        <v>0</v>
      </c>
      <c r="L90" s="835">
        <v>0</v>
      </c>
      <c r="M90" s="835">
        <v>0</v>
      </c>
      <c r="N90" s="835">
        <v>0</v>
      </c>
      <c r="O90" s="835">
        <v>0</v>
      </c>
      <c r="P90" s="835">
        <v>0</v>
      </c>
      <c r="Q90" s="835">
        <v>0</v>
      </c>
      <c r="R90" s="835">
        <v>0</v>
      </c>
      <c r="S90" s="835">
        <v>0</v>
      </c>
      <c r="T90" s="835">
        <v>0</v>
      </c>
      <c r="U90" s="835">
        <v>0</v>
      </c>
      <c r="V90" s="835">
        <v>0</v>
      </c>
      <c r="W90" s="835">
        <v>0</v>
      </c>
      <c r="X90" s="835">
        <v>0</v>
      </c>
      <c r="Y90" s="835">
        <v>0</v>
      </c>
      <c r="Z90" s="835">
        <v>0</v>
      </c>
      <c r="AA90" s="835">
        <v>0</v>
      </c>
      <c r="AB90" s="835">
        <v>0</v>
      </c>
      <c r="AC90" s="835">
        <v>0</v>
      </c>
      <c r="AD90" s="835">
        <v>0</v>
      </c>
      <c r="AE90" s="835">
        <v>0</v>
      </c>
      <c r="AF90" s="835">
        <v>0</v>
      </c>
      <c r="AG90" s="835">
        <v>0</v>
      </c>
      <c r="AH90" s="835">
        <v>0</v>
      </c>
      <c r="AI90" s="835">
        <v>0</v>
      </c>
      <c r="AJ90" s="835">
        <v>0</v>
      </c>
      <c r="AK90" s="835">
        <v>0</v>
      </c>
      <c r="AL90" s="835">
        <v>0</v>
      </c>
      <c r="AM90" s="835">
        <v>0</v>
      </c>
      <c r="AN90" s="835">
        <v>0</v>
      </c>
      <c r="AO90" s="835">
        <v>0</v>
      </c>
      <c r="AP90" s="835">
        <v>0</v>
      </c>
      <c r="AQ90" s="835">
        <v>0</v>
      </c>
      <c r="AR90" s="835">
        <v>0</v>
      </c>
    </row>
    <row r="91" spans="1:44" ht="17.25" customHeight="1">
      <c r="A91" s="902" t="s">
        <v>1932</v>
      </c>
      <c r="C91" s="835">
        <v>137.78724047999998</v>
      </c>
      <c r="D91" s="835">
        <v>142.30186738999998</v>
      </c>
      <c r="E91" s="835">
        <v>143.14240543</v>
      </c>
      <c r="F91" s="835">
        <v>103.08540819</v>
      </c>
      <c r="G91" s="835">
        <v>103.08675484999999</v>
      </c>
      <c r="H91" s="835">
        <v>102.42658390000001</v>
      </c>
      <c r="I91" s="835">
        <v>104.38767055</v>
      </c>
      <c r="J91" s="835">
        <v>138.75845458000001</v>
      </c>
      <c r="K91" s="835">
        <v>131.03864154000001</v>
      </c>
      <c r="L91" s="835">
        <v>134.59965478999999</v>
      </c>
      <c r="M91" s="835">
        <v>140.31470587000001</v>
      </c>
      <c r="N91" s="835">
        <v>160.95021384</v>
      </c>
      <c r="O91" s="835">
        <v>168.72719071456785</v>
      </c>
      <c r="P91" s="835">
        <v>180.71536829861435</v>
      </c>
      <c r="Q91" s="835">
        <v>192.87963135199229</v>
      </c>
      <c r="R91" s="835">
        <v>208.245937796444</v>
      </c>
      <c r="S91" s="835">
        <v>219.59183249880101</v>
      </c>
      <c r="T91" s="835">
        <v>231.33195828810534</v>
      </c>
      <c r="U91" s="835">
        <v>243.01007112872409</v>
      </c>
      <c r="V91" s="835">
        <v>254.56664641615305</v>
      </c>
      <c r="W91" s="835">
        <v>265.17078891432629</v>
      </c>
      <c r="X91" s="835">
        <v>275.58949336145361</v>
      </c>
      <c r="Y91" s="835">
        <v>285.67784247303672</v>
      </c>
      <c r="Z91" s="835">
        <v>295.36875065236086</v>
      </c>
      <c r="AA91" s="835">
        <v>304.59324205465884</v>
      </c>
      <c r="AB91" s="835">
        <v>313.47282068298802</v>
      </c>
      <c r="AC91" s="835">
        <v>321.96761785661761</v>
      </c>
      <c r="AD91" s="835">
        <v>330.06402704575885</v>
      </c>
      <c r="AE91" s="835">
        <v>337.76181148735435</v>
      </c>
      <c r="AF91" s="835">
        <v>345.07791918877422</v>
      </c>
      <c r="AG91" s="835">
        <v>352.00315915846681</v>
      </c>
      <c r="AH91" s="835">
        <v>358.53600982717518</v>
      </c>
      <c r="AI91" s="835">
        <v>364.67797086577525</v>
      </c>
      <c r="AJ91" s="835">
        <v>370.43097605362647</v>
      </c>
      <c r="AK91" s="835">
        <v>375.79320561308555</v>
      </c>
      <c r="AL91" s="835">
        <v>380.76468256998623</v>
      </c>
      <c r="AM91" s="835">
        <v>385.34581609893502</v>
      </c>
      <c r="AN91" s="835">
        <v>389.53674275047098</v>
      </c>
      <c r="AO91" s="835">
        <v>393.33714976792817</v>
      </c>
      <c r="AP91" s="835">
        <v>396.74710114988483</v>
      </c>
      <c r="AQ91" s="835">
        <v>399.76667113810549</v>
      </c>
      <c r="AR91" s="835">
        <v>402.3958502411441</v>
      </c>
    </row>
    <row r="92" spans="1:44" ht="17.25" customHeight="1">
      <c r="A92" s="902" t="s">
        <v>1933</v>
      </c>
      <c r="C92" s="835">
        <v>0</v>
      </c>
      <c r="D92" s="835">
        <v>0</v>
      </c>
      <c r="E92" s="835">
        <v>0</v>
      </c>
      <c r="F92" s="835">
        <v>0</v>
      </c>
      <c r="G92" s="835">
        <v>0</v>
      </c>
      <c r="H92" s="835">
        <v>0</v>
      </c>
      <c r="I92" s="835">
        <v>0</v>
      </c>
      <c r="J92" s="835">
        <v>0</v>
      </c>
      <c r="K92" s="835">
        <v>0</v>
      </c>
      <c r="L92" s="835">
        <v>0</v>
      </c>
      <c r="M92" s="835">
        <v>0</v>
      </c>
      <c r="N92" s="835">
        <v>0</v>
      </c>
      <c r="O92" s="835">
        <v>0</v>
      </c>
      <c r="P92" s="835">
        <v>0</v>
      </c>
      <c r="Q92" s="835">
        <v>0</v>
      </c>
      <c r="R92" s="835">
        <v>0</v>
      </c>
      <c r="S92" s="835">
        <v>0</v>
      </c>
      <c r="T92" s="835">
        <v>0</v>
      </c>
      <c r="U92" s="835">
        <v>0</v>
      </c>
      <c r="V92" s="835">
        <v>0</v>
      </c>
      <c r="W92" s="835">
        <v>0</v>
      </c>
      <c r="X92" s="835">
        <v>0</v>
      </c>
      <c r="Y92" s="835">
        <v>0</v>
      </c>
      <c r="Z92" s="835">
        <v>0</v>
      </c>
      <c r="AA92" s="835">
        <v>0</v>
      </c>
      <c r="AB92" s="835">
        <v>0</v>
      </c>
      <c r="AC92" s="835">
        <v>0</v>
      </c>
      <c r="AD92" s="835">
        <v>0</v>
      </c>
      <c r="AE92" s="835">
        <v>0</v>
      </c>
      <c r="AF92" s="835">
        <v>0</v>
      </c>
      <c r="AG92" s="835">
        <v>0</v>
      </c>
      <c r="AH92" s="835">
        <v>0</v>
      </c>
      <c r="AI92" s="835">
        <v>0</v>
      </c>
      <c r="AJ92" s="835">
        <v>0</v>
      </c>
      <c r="AK92" s="835">
        <v>0</v>
      </c>
      <c r="AL92" s="835">
        <v>0</v>
      </c>
      <c r="AM92" s="835">
        <v>0</v>
      </c>
      <c r="AN92" s="835">
        <v>0</v>
      </c>
      <c r="AO92" s="835">
        <v>0</v>
      </c>
      <c r="AP92" s="835">
        <v>0</v>
      </c>
      <c r="AQ92" s="835">
        <v>0</v>
      </c>
      <c r="AR92" s="835">
        <v>0</v>
      </c>
    </row>
    <row r="93" spans="1:44" ht="17.25" customHeight="1">
      <c r="A93" s="902" t="s">
        <v>1934</v>
      </c>
      <c r="C93" s="835">
        <v>0</v>
      </c>
      <c r="D93" s="835">
        <v>0</v>
      </c>
      <c r="E93" s="835">
        <v>0</v>
      </c>
      <c r="F93" s="835">
        <v>0</v>
      </c>
      <c r="G93" s="835">
        <v>0</v>
      </c>
      <c r="H93" s="835">
        <v>0</v>
      </c>
      <c r="I93" s="835">
        <v>0</v>
      </c>
      <c r="J93" s="835">
        <v>0</v>
      </c>
      <c r="K93" s="835">
        <v>0</v>
      </c>
      <c r="L93" s="835">
        <v>0</v>
      </c>
      <c r="M93" s="835">
        <v>0</v>
      </c>
      <c r="N93" s="835">
        <v>0</v>
      </c>
      <c r="O93" s="835">
        <v>11.72306531315534</v>
      </c>
      <c r="P93" s="835">
        <v>13.439193067918824</v>
      </c>
      <c r="Q93" s="835">
        <v>14.040676357512128</v>
      </c>
      <c r="R93" s="835">
        <v>14.84021588024039</v>
      </c>
      <c r="S93" s="835">
        <v>15.396419933275423</v>
      </c>
      <c r="T93" s="835">
        <v>15.773235401280379</v>
      </c>
      <c r="U93" s="835">
        <v>15.815222797595705</v>
      </c>
      <c r="V93" s="835">
        <v>15.717336220591537</v>
      </c>
      <c r="W93" s="835">
        <v>15.395093118654263</v>
      </c>
      <c r="X93" s="835">
        <v>14.853238227973909</v>
      </c>
      <c r="Y93" s="835">
        <v>14.081715747622228</v>
      </c>
      <c r="Z93" s="835">
        <v>14.003019926602624</v>
      </c>
      <c r="AA93" s="835">
        <v>13.908641205800285</v>
      </c>
      <c r="AB93" s="835">
        <v>13.860452856962372</v>
      </c>
      <c r="AC93" s="835">
        <v>13.779077782446123</v>
      </c>
      <c r="AD93" s="835">
        <v>13.703418291152099</v>
      </c>
      <c r="AE93" s="835">
        <v>13.628517882289467</v>
      </c>
      <c r="AF93" s="835">
        <v>13.558487051411761</v>
      </c>
      <c r="AG93" s="835">
        <v>13.482995600024108</v>
      </c>
      <c r="AH93" s="835">
        <v>13.408975054418605</v>
      </c>
      <c r="AI93" s="835">
        <v>13.335364245235231</v>
      </c>
      <c r="AJ93" s="835">
        <v>13.262075835971673</v>
      </c>
      <c r="AK93" s="835">
        <v>13.187973032111652</v>
      </c>
      <c r="AL93" s="835">
        <v>13.114217390133538</v>
      </c>
      <c r="AM93" s="835">
        <v>13.04052797406227</v>
      </c>
      <c r="AN93" s="835">
        <v>12.96681890626903</v>
      </c>
      <c r="AO93" s="835">
        <v>12.893004673843368</v>
      </c>
      <c r="AP93" s="835">
        <v>12.819262584276297</v>
      </c>
      <c r="AQ93" s="835">
        <v>12.745523882811987</v>
      </c>
      <c r="AR93" s="835">
        <v>12.671772859999416</v>
      </c>
    </row>
    <row r="94" spans="1:44" s="886" customFormat="1" ht="17.25" customHeight="1">
      <c r="A94" s="890" t="s">
        <v>1935</v>
      </c>
      <c r="C94" s="886">
        <f>SUM(C95:C96)</f>
        <v>0</v>
      </c>
      <c r="D94" s="886">
        <f t="shared" ref="D94:AQ94" si="12">SUM(D95:D96)</f>
        <v>0</v>
      </c>
      <c r="E94" s="886">
        <f t="shared" si="12"/>
        <v>0</v>
      </c>
      <c r="F94" s="886">
        <f t="shared" si="12"/>
        <v>0</v>
      </c>
      <c r="G94" s="886">
        <f t="shared" si="12"/>
        <v>0</v>
      </c>
      <c r="H94" s="886">
        <f t="shared" si="12"/>
        <v>0</v>
      </c>
      <c r="I94" s="886">
        <f t="shared" si="12"/>
        <v>0</v>
      </c>
      <c r="J94" s="886">
        <f t="shared" si="12"/>
        <v>0</v>
      </c>
      <c r="K94" s="886">
        <f t="shared" si="12"/>
        <v>0</v>
      </c>
      <c r="L94" s="886">
        <f t="shared" si="12"/>
        <v>0</v>
      </c>
      <c r="M94" s="886">
        <f t="shared" si="12"/>
        <v>0</v>
      </c>
      <c r="N94" s="886">
        <f t="shared" si="12"/>
        <v>0</v>
      </c>
      <c r="O94" s="886">
        <f t="shared" si="12"/>
        <v>0</v>
      </c>
      <c r="P94" s="886">
        <f t="shared" si="12"/>
        <v>0</v>
      </c>
      <c r="Q94" s="886">
        <f t="shared" si="12"/>
        <v>0</v>
      </c>
      <c r="R94" s="886">
        <f t="shared" si="12"/>
        <v>0</v>
      </c>
      <c r="S94" s="886">
        <f t="shared" si="12"/>
        <v>0</v>
      </c>
      <c r="T94" s="886">
        <f t="shared" si="12"/>
        <v>0</v>
      </c>
      <c r="U94" s="886">
        <f t="shared" si="12"/>
        <v>0</v>
      </c>
      <c r="V94" s="886">
        <f t="shared" si="12"/>
        <v>0</v>
      </c>
      <c r="W94" s="886">
        <f t="shared" si="12"/>
        <v>0</v>
      </c>
      <c r="X94" s="886">
        <f t="shared" si="12"/>
        <v>0</v>
      </c>
      <c r="Y94" s="886">
        <f t="shared" si="12"/>
        <v>0</v>
      </c>
      <c r="Z94" s="886">
        <f t="shared" si="12"/>
        <v>0</v>
      </c>
      <c r="AA94" s="886">
        <f t="shared" si="12"/>
        <v>0</v>
      </c>
      <c r="AB94" s="886">
        <f t="shared" si="12"/>
        <v>0</v>
      </c>
      <c r="AC94" s="886">
        <f t="shared" si="12"/>
        <v>0</v>
      </c>
      <c r="AD94" s="886">
        <f t="shared" si="12"/>
        <v>0</v>
      </c>
      <c r="AE94" s="886">
        <f t="shared" si="12"/>
        <v>0</v>
      </c>
      <c r="AF94" s="886">
        <f t="shared" si="12"/>
        <v>0</v>
      </c>
      <c r="AG94" s="886">
        <f t="shared" si="12"/>
        <v>0</v>
      </c>
      <c r="AH94" s="886">
        <f t="shared" si="12"/>
        <v>0</v>
      </c>
      <c r="AI94" s="886">
        <f t="shared" si="12"/>
        <v>0</v>
      </c>
      <c r="AJ94" s="886">
        <f t="shared" si="12"/>
        <v>0</v>
      </c>
      <c r="AK94" s="886">
        <f t="shared" si="12"/>
        <v>0</v>
      </c>
      <c r="AL94" s="886">
        <f t="shared" si="12"/>
        <v>0</v>
      </c>
      <c r="AM94" s="886">
        <f t="shared" si="12"/>
        <v>0</v>
      </c>
      <c r="AN94" s="886">
        <f t="shared" si="12"/>
        <v>0</v>
      </c>
      <c r="AO94" s="886">
        <f t="shared" si="12"/>
        <v>0</v>
      </c>
      <c r="AP94" s="886">
        <f t="shared" si="12"/>
        <v>0</v>
      </c>
      <c r="AQ94" s="886">
        <f t="shared" si="12"/>
        <v>0</v>
      </c>
      <c r="AR94" s="886">
        <f>SUM(AR95:AR96)</f>
        <v>0</v>
      </c>
    </row>
    <row r="95" spans="1:44" ht="17.25" customHeight="1">
      <c r="A95" s="901" t="s">
        <v>1936</v>
      </c>
      <c r="C95" s="835">
        <v>0</v>
      </c>
      <c r="D95" s="835">
        <v>0</v>
      </c>
      <c r="E95" s="835">
        <v>0</v>
      </c>
      <c r="F95" s="835">
        <v>0</v>
      </c>
      <c r="G95" s="835">
        <v>0</v>
      </c>
      <c r="H95" s="835">
        <v>0</v>
      </c>
      <c r="I95" s="835">
        <v>0</v>
      </c>
      <c r="J95" s="835">
        <v>0</v>
      </c>
      <c r="K95" s="835">
        <v>0</v>
      </c>
      <c r="L95" s="835">
        <v>0</v>
      </c>
      <c r="M95" s="835">
        <v>0</v>
      </c>
      <c r="N95" s="835">
        <v>0</v>
      </c>
      <c r="O95" s="835">
        <v>0</v>
      </c>
      <c r="P95" s="835">
        <v>0</v>
      </c>
      <c r="Q95" s="835">
        <v>0</v>
      </c>
      <c r="R95" s="835">
        <v>0</v>
      </c>
      <c r="S95" s="835">
        <v>0</v>
      </c>
      <c r="T95" s="835">
        <v>0</v>
      </c>
      <c r="U95" s="835">
        <v>0</v>
      </c>
      <c r="V95" s="835">
        <v>0</v>
      </c>
      <c r="W95" s="835">
        <v>0</v>
      </c>
      <c r="X95" s="835">
        <v>0</v>
      </c>
      <c r="Y95" s="835">
        <v>0</v>
      </c>
      <c r="Z95" s="835">
        <v>0</v>
      </c>
      <c r="AA95" s="835">
        <v>0</v>
      </c>
      <c r="AB95" s="835">
        <v>0</v>
      </c>
      <c r="AC95" s="835">
        <v>0</v>
      </c>
      <c r="AD95" s="835">
        <v>0</v>
      </c>
      <c r="AE95" s="835">
        <v>0</v>
      </c>
      <c r="AF95" s="835">
        <v>0</v>
      </c>
      <c r="AG95" s="835">
        <v>0</v>
      </c>
      <c r="AH95" s="835">
        <v>0</v>
      </c>
      <c r="AI95" s="835">
        <v>0</v>
      </c>
      <c r="AJ95" s="835">
        <v>0</v>
      </c>
      <c r="AK95" s="835">
        <v>0</v>
      </c>
      <c r="AL95" s="835">
        <v>0</v>
      </c>
      <c r="AM95" s="835">
        <v>0</v>
      </c>
      <c r="AN95" s="835">
        <v>0</v>
      </c>
      <c r="AO95" s="835">
        <v>0</v>
      </c>
      <c r="AP95" s="835">
        <v>0</v>
      </c>
      <c r="AQ95" s="835">
        <v>0</v>
      </c>
      <c r="AR95" s="835">
        <v>0</v>
      </c>
    </row>
    <row r="96" spans="1:44" s="892" customFormat="1" ht="17.25" customHeight="1">
      <c r="A96" s="903" t="s">
        <v>1937</v>
      </c>
      <c r="C96" s="892">
        <v>0</v>
      </c>
      <c r="D96" s="892">
        <v>0</v>
      </c>
      <c r="E96" s="892">
        <v>0</v>
      </c>
      <c r="F96" s="892">
        <v>0</v>
      </c>
      <c r="G96" s="892">
        <v>0</v>
      </c>
      <c r="H96" s="892">
        <v>0</v>
      </c>
      <c r="I96" s="892">
        <v>0</v>
      </c>
      <c r="J96" s="892">
        <v>0</v>
      </c>
      <c r="K96" s="892">
        <v>0</v>
      </c>
      <c r="L96" s="892">
        <v>0</v>
      </c>
      <c r="M96" s="892">
        <v>0</v>
      </c>
      <c r="N96" s="892">
        <v>0</v>
      </c>
      <c r="O96" s="892">
        <v>0</v>
      </c>
      <c r="P96" s="892">
        <v>0</v>
      </c>
      <c r="Q96" s="892">
        <v>0</v>
      </c>
      <c r="R96" s="892">
        <v>0</v>
      </c>
      <c r="S96" s="892">
        <v>0</v>
      </c>
      <c r="T96" s="892">
        <v>0</v>
      </c>
      <c r="U96" s="892">
        <v>0</v>
      </c>
      <c r="V96" s="892">
        <v>0</v>
      </c>
      <c r="W96" s="892">
        <v>0</v>
      </c>
      <c r="X96" s="892">
        <v>0</v>
      </c>
      <c r="Y96" s="892">
        <v>0</v>
      </c>
      <c r="Z96" s="892">
        <v>0</v>
      </c>
      <c r="AA96" s="892">
        <v>0</v>
      </c>
      <c r="AB96" s="892">
        <v>0</v>
      </c>
      <c r="AC96" s="892">
        <v>0</v>
      </c>
      <c r="AD96" s="892">
        <v>0</v>
      </c>
      <c r="AE96" s="892">
        <v>0</v>
      </c>
      <c r="AF96" s="892">
        <v>0</v>
      </c>
      <c r="AG96" s="892">
        <v>0</v>
      </c>
      <c r="AH96" s="892">
        <v>0</v>
      </c>
      <c r="AI96" s="892">
        <v>0</v>
      </c>
      <c r="AJ96" s="892">
        <v>0</v>
      </c>
      <c r="AK96" s="892">
        <v>0</v>
      </c>
      <c r="AL96" s="892">
        <v>0</v>
      </c>
      <c r="AM96" s="892">
        <v>0</v>
      </c>
      <c r="AN96" s="892">
        <v>0</v>
      </c>
      <c r="AO96" s="892">
        <v>0</v>
      </c>
      <c r="AP96" s="892">
        <v>0</v>
      </c>
      <c r="AQ96" s="892">
        <v>0</v>
      </c>
      <c r="AR96" s="892">
        <v>0</v>
      </c>
    </row>
    <row r="98" spans="1:44" s="894" customFormat="1" ht="17.25" customHeight="1">
      <c r="A98" s="893" t="s">
        <v>1938</v>
      </c>
      <c r="C98" s="894">
        <f>C86-C94</f>
        <v>1711.61108122</v>
      </c>
      <c r="D98" s="894">
        <f t="shared" ref="D98:AQ98" si="13">D86-D94</f>
        <v>1738.3719165299999</v>
      </c>
      <c r="E98" s="894">
        <f t="shared" si="13"/>
        <v>1873.46274339</v>
      </c>
      <c r="F98" s="894">
        <f t="shared" si="13"/>
        <v>2029.6441301899999</v>
      </c>
      <c r="G98" s="894">
        <f t="shared" si="13"/>
        <v>2139.6237448000002</v>
      </c>
      <c r="H98" s="894">
        <f t="shared" si="13"/>
        <v>2282.6596865300003</v>
      </c>
      <c r="I98" s="894">
        <f t="shared" si="13"/>
        <v>336.80487155999998</v>
      </c>
      <c r="J98" s="894">
        <f t="shared" si="13"/>
        <v>830.68026798999995</v>
      </c>
      <c r="K98" s="894">
        <f t="shared" si="13"/>
        <v>916.18414766000001</v>
      </c>
      <c r="L98" s="894">
        <f t="shared" si="13"/>
        <v>976.30625979000001</v>
      </c>
      <c r="M98" s="894">
        <f t="shared" si="13"/>
        <v>1008.9614755900001</v>
      </c>
      <c r="N98" s="894">
        <f t="shared" si="13"/>
        <v>929.62487710999994</v>
      </c>
      <c r="O98" s="894">
        <f t="shared" si="13"/>
        <v>389.12271245272325</v>
      </c>
      <c r="P98" s="894">
        <f t="shared" si="13"/>
        <v>384.11037579778326</v>
      </c>
      <c r="Q98" s="894">
        <f t="shared" si="13"/>
        <v>379.49763122581697</v>
      </c>
      <c r="R98" s="894">
        <f t="shared" si="13"/>
        <v>379.84846704310007</v>
      </c>
      <c r="S98" s="894">
        <f t="shared" si="13"/>
        <v>376.92983103426843</v>
      </c>
      <c r="T98" s="894">
        <f t="shared" si="13"/>
        <v>376.36909266913102</v>
      </c>
      <c r="U98" s="894">
        <f t="shared" si="13"/>
        <v>376.52074989311865</v>
      </c>
      <c r="V98" s="894">
        <f t="shared" si="13"/>
        <v>377.5030539811018</v>
      </c>
      <c r="W98" s="894">
        <f t="shared" si="13"/>
        <v>378.31881691026615</v>
      </c>
      <c r="X98" s="894">
        <f t="shared" si="13"/>
        <v>379.77621217008533</v>
      </c>
      <c r="Y98" s="894">
        <f t="shared" si="13"/>
        <v>381.47537017268377</v>
      </c>
      <c r="Z98" s="894">
        <f t="shared" si="13"/>
        <v>384.22111390131982</v>
      </c>
      <c r="AA98" s="894">
        <f t="shared" si="13"/>
        <v>387.17439271393772</v>
      </c>
      <c r="AB98" s="894">
        <f t="shared" si="13"/>
        <v>390.45971496043751</v>
      </c>
      <c r="AC98" s="894">
        <f t="shared" si="13"/>
        <v>393.8730117601724</v>
      </c>
      <c r="AD98" s="894">
        <f t="shared" si="13"/>
        <v>397.39285854188842</v>
      </c>
      <c r="AE98" s="894">
        <f t="shared" si="13"/>
        <v>400.96658398271461</v>
      </c>
      <c r="AF98" s="894">
        <f t="shared" si="13"/>
        <v>404.56973868684901</v>
      </c>
      <c r="AG98" s="894">
        <f t="shared" si="13"/>
        <v>408.13923735102264</v>
      </c>
      <c r="AH98" s="894">
        <f t="shared" si="13"/>
        <v>411.64598374237363</v>
      </c>
      <c r="AI98" s="894">
        <f t="shared" si="13"/>
        <v>415.05783257109402</v>
      </c>
      <c r="AJ98" s="894">
        <f t="shared" si="13"/>
        <v>418.34675202825269</v>
      </c>
      <c r="AK98" s="894">
        <f t="shared" si="13"/>
        <v>421.48289847698561</v>
      </c>
      <c r="AL98" s="894">
        <f t="shared" si="13"/>
        <v>424.44391409484479</v>
      </c>
      <c r="AM98" s="894">
        <f t="shared" si="13"/>
        <v>427.20838352001874</v>
      </c>
      <c r="AN98" s="894">
        <f t="shared" si="13"/>
        <v>429.75690594492505</v>
      </c>
      <c r="AO98" s="894">
        <f t="shared" si="13"/>
        <v>432.07163717732544</v>
      </c>
      <c r="AP98" s="894">
        <f t="shared" si="13"/>
        <v>434.13719186464402</v>
      </c>
      <c r="AQ98" s="894">
        <f t="shared" si="13"/>
        <v>435.93944085242867</v>
      </c>
      <c r="AR98" s="894">
        <f>AR86-AR94</f>
        <v>437.46563831065708</v>
      </c>
    </row>
    <row r="99" spans="1:44" s="876" customFormat="1" ht="17.25" customHeight="1">
      <c r="A99" s="895" t="s">
        <v>1939</v>
      </c>
      <c r="C99" s="876">
        <v>132.69</v>
      </c>
      <c r="D99" s="876">
        <v>132.69</v>
      </c>
      <c r="E99" s="876">
        <v>132.69</v>
      </c>
      <c r="F99" s="876">
        <v>132.69</v>
      </c>
      <c r="G99" s="876">
        <v>132.69</v>
      </c>
      <c r="H99" s="876">
        <v>132.69</v>
      </c>
      <c r="I99" s="876">
        <v>132.69</v>
      </c>
      <c r="J99" s="876">
        <v>132.69</v>
      </c>
      <c r="K99" s="876">
        <v>132.69</v>
      </c>
      <c r="L99" s="876">
        <v>132.69</v>
      </c>
      <c r="M99" s="876">
        <v>132.69</v>
      </c>
      <c r="N99" s="876">
        <v>132.69</v>
      </c>
      <c r="O99" s="876">
        <v>132.69</v>
      </c>
      <c r="P99" s="876">
        <v>132.69</v>
      </c>
      <c r="Q99" s="876">
        <v>132.69</v>
      </c>
      <c r="R99" s="876">
        <v>132.69</v>
      </c>
      <c r="S99" s="876">
        <v>132.69</v>
      </c>
      <c r="T99" s="876">
        <v>132.69</v>
      </c>
      <c r="U99" s="876">
        <v>132.69</v>
      </c>
      <c r="V99" s="876">
        <v>132.69</v>
      </c>
      <c r="W99" s="876">
        <v>132.69</v>
      </c>
      <c r="X99" s="876">
        <v>132.69</v>
      </c>
      <c r="Y99" s="876">
        <v>132.69</v>
      </c>
      <c r="Z99" s="876">
        <v>132.69</v>
      </c>
      <c r="AA99" s="876">
        <v>132.69</v>
      </c>
      <c r="AB99" s="876">
        <v>132.69</v>
      </c>
      <c r="AC99" s="876">
        <v>132.69</v>
      </c>
      <c r="AD99" s="876">
        <v>132.69</v>
      </c>
      <c r="AE99" s="876">
        <v>132.69</v>
      </c>
      <c r="AF99" s="876">
        <v>132.69</v>
      </c>
      <c r="AG99" s="876">
        <v>132.69</v>
      </c>
      <c r="AH99" s="876">
        <v>132.69</v>
      </c>
      <c r="AI99" s="876">
        <v>132.69</v>
      </c>
      <c r="AJ99" s="876">
        <v>132.69</v>
      </c>
      <c r="AK99" s="876">
        <v>132.69</v>
      </c>
      <c r="AL99" s="876">
        <v>132.69</v>
      </c>
      <c r="AM99" s="876">
        <v>132.69</v>
      </c>
      <c r="AN99" s="876">
        <v>132.69</v>
      </c>
      <c r="AO99" s="876">
        <v>132.69</v>
      </c>
      <c r="AP99" s="876">
        <v>132.69</v>
      </c>
      <c r="AQ99" s="876">
        <v>132.69</v>
      </c>
      <c r="AR99" s="876">
        <v>133.69</v>
      </c>
    </row>
    <row r="100" spans="1:44" s="887" customFormat="1" ht="17.25" customHeight="1">
      <c r="A100" s="896" t="s">
        <v>1940</v>
      </c>
      <c r="C100" s="887">
        <f>C98/C99</f>
        <v>12.899322339437788</v>
      </c>
      <c r="D100" s="887">
        <f t="shared" ref="D100:AQ100" si="14">D98/D99</f>
        <v>13.1010017072123</v>
      </c>
      <c r="E100" s="887">
        <f t="shared" si="14"/>
        <v>14.119095209812345</v>
      </c>
      <c r="F100" s="887">
        <f t="shared" si="14"/>
        <v>15.296134826965107</v>
      </c>
      <c r="G100" s="887">
        <f t="shared" si="14"/>
        <v>16.124981119903538</v>
      </c>
      <c r="H100" s="887">
        <f t="shared" si="14"/>
        <v>17.202951891853193</v>
      </c>
      <c r="I100" s="887">
        <f t="shared" si="14"/>
        <v>2.5382837558218401</v>
      </c>
      <c r="J100" s="887">
        <f t="shared" si="14"/>
        <v>6.2603079960057277</v>
      </c>
      <c r="K100" s="887">
        <f t="shared" si="14"/>
        <v>6.9046962669379761</v>
      </c>
      <c r="L100" s="887">
        <f t="shared" si="14"/>
        <v>7.3577983253447892</v>
      </c>
      <c r="M100" s="887">
        <f t="shared" si="14"/>
        <v>7.6038998838646474</v>
      </c>
      <c r="N100" s="887">
        <f t="shared" si="14"/>
        <v>7.0059904824025923</v>
      </c>
      <c r="O100" s="887">
        <f t="shared" si="14"/>
        <v>2.932569993614615</v>
      </c>
      <c r="P100" s="887">
        <f t="shared" si="14"/>
        <v>2.8947952053491846</v>
      </c>
      <c r="Q100" s="887">
        <f t="shared" si="14"/>
        <v>2.8600318880534856</v>
      </c>
      <c r="R100" s="887">
        <f t="shared" si="14"/>
        <v>2.8626759141088258</v>
      </c>
      <c r="S100" s="887">
        <f t="shared" si="14"/>
        <v>2.8406800138237127</v>
      </c>
      <c r="T100" s="887">
        <f t="shared" si="14"/>
        <v>2.8364540859833522</v>
      </c>
      <c r="U100" s="887">
        <f t="shared" si="14"/>
        <v>2.8375970298675006</v>
      </c>
      <c r="V100" s="887">
        <f t="shared" si="14"/>
        <v>2.8450000300030283</v>
      </c>
      <c r="W100" s="887">
        <f t="shared" si="14"/>
        <v>2.8511479155193773</v>
      </c>
      <c r="X100" s="887">
        <f t="shared" si="14"/>
        <v>2.8621313751607906</v>
      </c>
      <c r="Y100" s="887">
        <f t="shared" si="14"/>
        <v>2.8749368465798764</v>
      </c>
      <c r="Z100" s="887">
        <f t="shared" si="14"/>
        <v>2.8956297678899676</v>
      </c>
      <c r="AA100" s="887">
        <f t="shared" si="14"/>
        <v>2.9178867489180624</v>
      </c>
      <c r="AB100" s="887">
        <f t="shared" si="14"/>
        <v>2.9426461297794675</v>
      </c>
      <c r="AC100" s="887">
        <f t="shared" si="14"/>
        <v>2.9683699733225746</v>
      </c>
      <c r="AD100" s="887">
        <f t="shared" si="14"/>
        <v>2.9948968162023393</v>
      </c>
      <c r="AE100" s="887">
        <f t="shared" si="14"/>
        <v>3.021829708212485</v>
      </c>
      <c r="AF100" s="887">
        <f t="shared" si="14"/>
        <v>3.0489843898323086</v>
      </c>
      <c r="AG100" s="887">
        <f t="shared" si="14"/>
        <v>3.0758854273194864</v>
      </c>
      <c r="AH100" s="887">
        <f t="shared" si="14"/>
        <v>3.1023135409026574</v>
      </c>
      <c r="AI100" s="887">
        <f t="shared" si="14"/>
        <v>3.1280264720106565</v>
      </c>
      <c r="AJ100" s="887">
        <f t="shared" si="14"/>
        <v>3.1528129627571988</v>
      </c>
      <c r="AK100" s="887">
        <f t="shared" si="14"/>
        <v>3.1764481006630914</v>
      </c>
      <c r="AL100" s="887">
        <f t="shared" si="14"/>
        <v>3.1987633890635676</v>
      </c>
      <c r="AM100" s="887">
        <f t="shared" si="14"/>
        <v>3.2195974340192834</v>
      </c>
      <c r="AN100" s="887">
        <f t="shared" si="14"/>
        <v>3.2388040240027514</v>
      </c>
      <c r="AO100" s="887">
        <f t="shared" si="14"/>
        <v>3.2562486787046909</v>
      </c>
      <c r="AP100" s="887">
        <f t="shared" si="14"/>
        <v>3.2718154485239581</v>
      </c>
      <c r="AQ100" s="887">
        <f t="shared" si="14"/>
        <v>3.285397851024408</v>
      </c>
      <c r="AR100" s="887">
        <f>AR98/AR99</f>
        <v>3.2722390478768575</v>
      </c>
    </row>
    <row r="102" spans="1:44" ht="17.25" customHeight="1">
      <c r="A102" s="888" t="s">
        <v>1941</v>
      </c>
    </row>
    <row r="103" spans="1:44" s="886" customFormat="1" ht="17.25" customHeight="1">
      <c r="A103" s="890" t="s">
        <v>1942</v>
      </c>
    </row>
    <row r="104" spans="1:44" ht="17.25" customHeight="1">
      <c r="A104" s="901" t="s">
        <v>1943</v>
      </c>
      <c r="C104" s="835">
        <f t="shared" ref="C104:AR110" si="15">C87/C$98</f>
        <v>0.91949851108594816</v>
      </c>
      <c r="D104" s="835">
        <f t="shared" si="15"/>
        <v>0.91814072349140818</v>
      </c>
      <c r="E104" s="835">
        <f t="shared" si="15"/>
        <v>0.92359474137660924</v>
      </c>
      <c r="F104" s="835">
        <f t="shared" si="15"/>
        <v>0.94921010700513797</v>
      </c>
      <c r="G104" s="835">
        <f t="shared" si="15"/>
        <v>0.95182014823842964</v>
      </c>
      <c r="H104" s="835">
        <f t="shared" si="15"/>
        <v>0.95512840371938912</v>
      </c>
      <c r="I104" s="835">
        <f t="shared" si="15"/>
        <v>0.69006484357990083</v>
      </c>
      <c r="J104" s="835">
        <f t="shared" si="15"/>
        <v>0.83295804664319961</v>
      </c>
      <c r="K104" s="835">
        <f t="shared" si="15"/>
        <v>0.85697346775243599</v>
      </c>
      <c r="L104" s="835">
        <f t="shared" si="15"/>
        <v>0.86213377878069541</v>
      </c>
      <c r="M104" s="835">
        <f t="shared" si="15"/>
        <v>0.86093155262647703</v>
      </c>
      <c r="N104" s="835">
        <f t="shared" si="15"/>
        <v>0.82686541872635888</v>
      </c>
      <c r="O104" s="835">
        <f t="shared" si="15"/>
        <v>0.5054007066572701</v>
      </c>
      <c r="P104" s="835">
        <f t="shared" si="15"/>
        <v>0.46079620759367551</v>
      </c>
      <c r="Q104" s="835">
        <f t="shared" si="15"/>
        <v>0.41975741325170929</v>
      </c>
      <c r="R104" s="835">
        <f t="shared" si="15"/>
        <v>0.37743274504351926</v>
      </c>
      <c r="S104" s="835">
        <f t="shared" si="15"/>
        <v>0.34231974768602025</v>
      </c>
      <c r="T104" s="835">
        <f t="shared" si="15"/>
        <v>0.30854678147436265</v>
      </c>
      <c r="U104" s="835">
        <f t="shared" si="15"/>
        <v>0.27758025288169647</v>
      </c>
      <c r="V104" s="835">
        <f t="shared" si="15"/>
        <v>0.24917216293088049</v>
      </c>
      <c r="W104" s="835">
        <f t="shared" si="15"/>
        <v>0.2237713892148683</v>
      </c>
      <c r="X104" s="835">
        <f t="shared" si="15"/>
        <v>0.20062139771250165</v>
      </c>
      <c r="Y104" s="835">
        <f t="shared" si="15"/>
        <v>0.17975501543423136</v>
      </c>
      <c r="Z104" s="835">
        <f t="shared" si="15"/>
        <v>0.16062339552662699</v>
      </c>
      <c r="AA104" s="835">
        <f t="shared" si="15"/>
        <v>0.14345837689246571</v>
      </c>
      <c r="AB104" s="835">
        <f t="shared" si="15"/>
        <v>0.12802618821464304</v>
      </c>
      <c r="AC104" s="835">
        <f t="shared" si="15"/>
        <v>0.11422504390673784</v>
      </c>
      <c r="AD104" s="835">
        <f t="shared" si="15"/>
        <v>0.10189198166357635</v>
      </c>
      <c r="AE104" s="835">
        <f t="shared" si="15"/>
        <v>9.0885457107763995E-2</v>
      </c>
      <c r="AF104" s="835">
        <f t="shared" si="15"/>
        <v>8.1068416658255163E-2</v>
      </c>
      <c r="AG104" s="835">
        <f t="shared" si="15"/>
        <v>7.2323468629116455E-2</v>
      </c>
      <c r="AH104" s="835">
        <f t="shared" si="15"/>
        <v>6.4536620895608479E-2</v>
      </c>
      <c r="AI104" s="835">
        <f t="shared" si="15"/>
        <v>5.7605506606812039E-2</v>
      </c>
      <c r="AJ104" s="835">
        <f t="shared" si="15"/>
        <v>5.1437366109374438E-2</v>
      </c>
      <c r="AK104" s="835">
        <f t="shared" si="15"/>
        <v>4.5949170441438245E-2</v>
      </c>
      <c r="AL104" s="835">
        <f t="shared" si="15"/>
        <v>4.1065756881952867E-2</v>
      </c>
      <c r="AM104" s="835">
        <f t="shared" si="15"/>
        <v>3.6720017988326664E-2</v>
      </c>
      <c r="AN104" s="835">
        <f t="shared" si="15"/>
        <v>3.2852036534036441E-2</v>
      </c>
      <c r="AO104" s="835">
        <f t="shared" si="15"/>
        <v>2.9408434907650657E-2</v>
      </c>
      <c r="AP104" s="835">
        <f t="shared" si="15"/>
        <v>2.634166288890491E-2</v>
      </c>
      <c r="AQ104" s="835">
        <f t="shared" si="15"/>
        <v>2.3609485711926989E-2</v>
      </c>
      <c r="AR104" s="835">
        <f t="shared" si="15"/>
        <v>2.117440683075042E-2</v>
      </c>
    </row>
    <row r="105" spans="1:44" ht="17.25" customHeight="1">
      <c r="A105" s="902" t="s">
        <v>1944</v>
      </c>
      <c r="C105" s="835">
        <f t="shared" si="15"/>
        <v>0</v>
      </c>
      <c r="D105" s="835">
        <f t="shared" si="15"/>
        <v>0</v>
      </c>
      <c r="E105" s="835">
        <f t="shared" si="15"/>
        <v>0</v>
      </c>
      <c r="F105" s="835">
        <f t="shared" si="15"/>
        <v>0</v>
      </c>
      <c r="G105" s="835">
        <f t="shared" si="15"/>
        <v>0</v>
      </c>
      <c r="H105" s="835">
        <f t="shared" si="15"/>
        <v>0</v>
      </c>
      <c r="I105" s="835">
        <f t="shared" si="15"/>
        <v>0</v>
      </c>
      <c r="J105" s="835">
        <f t="shared" si="15"/>
        <v>0</v>
      </c>
      <c r="K105" s="835">
        <f t="shared" si="15"/>
        <v>0</v>
      </c>
      <c r="L105" s="835">
        <f t="shared" si="15"/>
        <v>0</v>
      </c>
      <c r="M105" s="835">
        <f t="shared" si="15"/>
        <v>0</v>
      </c>
      <c r="N105" s="835">
        <f t="shared" si="15"/>
        <v>0</v>
      </c>
      <c r="O105" s="835">
        <f t="shared" si="15"/>
        <v>0</v>
      </c>
      <c r="P105" s="835">
        <f t="shared" si="15"/>
        <v>0</v>
      </c>
      <c r="Q105" s="835">
        <f t="shared" si="15"/>
        <v>0</v>
      </c>
      <c r="R105" s="835">
        <f t="shared" si="15"/>
        <v>0</v>
      </c>
      <c r="S105" s="835">
        <f t="shared" si="15"/>
        <v>0</v>
      </c>
      <c r="T105" s="835">
        <f t="shared" si="15"/>
        <v>0</v>
      </c>
      <c r="U105" s="835">
        <f t="shared" si="15"/>
        <v>0</v>
      </c>
      <c r="V105" s="835">
        <f t="shared" si="15"/>
        <v>0</v>
      </c>
      <c r="W105" s="835">
        <f t="shared" si="15"/>
        <v>0</v>
      </c>
      <c r="X105" s="835">
        <f t="shared" si="15"/>
        <v>0</v>
      </c>
      <c r="Y105" s="835">
        <f t="shared" si="15"/>
        <v>0</v>
      </c>
      <c r="Z105" s="835">
        <f t="shared" si="15"/>
        <v>0</v>
      </c>
      <c r="AA105" s="835">
        <f t="shared" si="15"/>
        <v>0</v>
      </c>
      <c r="AB105" s="835">
        <f t="shared" si="15"/>
        <v>0</v>
      </c>
      <c r="AC105" s="835">
        <f t="shared" si="15"/>
        <v>0</v>
      </c>
      <c r="AD105" s="835">
        <f t="shared" si="15"/>
        <v>0</v>
      </c>
      <c r="AE105" s="835">
        <f t="shared" si="15"/>
        <v>0</v>
      </c>
      <c r="AF105" s="835">
        <f t="shared" si="15"/>
        <v>0</v>
      </c>
      <c r="AG105" s="835">
        <f t="shared" si="15"/>
        <v>0</v>
      </c>
      <c r="AH105" s="835">
        <f t="shared" si="15"/>
        <v>0</v>
      </c>
      <c r="AI105" s="835">
        <f t="shared" si="15"/>
        <v>0</v>
      </c>
      <c r="AJ105" s="835">
        <f t="shared" si="15"/>
        <v>0</v>
      </c>
      <c r="AK105" s="835">
        <f t="shared" si="15"/>
        <v>0</v>
      </c>
      <c r="AL105" s="835">
        <f t="shared" si="15"/>
        <v>0</v>
      </c>
      <c r="AM105" s="835">
        <f t="shared" si="15"/>
        <v>0</v>
      </c>
      <c r="AN105" s="835">
        <f t="shared" si="15"/>
        <v>0</v>
      </c>
      <c r="AO105" s="835">
        <f t="shared" si="15"/>
        <v>0</v>
      </c>
      <c r="AP105" s="835">
        <f t="shared" si="15"/>
        <v>0</v>
      </c>
      <c r="AQ105" s="835">
        <f t="shared" si="15"/>
        <v>0</v>
      </c>
      <c r="AR105" s="835">
        <f t="shared" si="15"/>
        <v>0</v>
      </c>
    </row>
    <row r="106" spans="1:44" ht="17.25" customHeight="1">
      <c r="A106" s="902" t="s">
        <v>1945</v>
      </c>
      <c r="C106" s="835">
        <f t="shared" si="15"/>
        <v>0</v>
      </c>
      <c r="D106" s="835">
        <f t="shared" si="15"/>
        <v>0</v>
      </c>
      <c r="E106" s="835">
        <f t="shared" si="15"/>
        <v>0</v>
      </c>
      <c r="F106" s="835">
        <f t="shared" si="15"/>
        <v>0</v>
      </c>
      <c r="G106" s="835">
        <f t="shared" si="15"/>
        <v>0</v>
      </c>
      <c r="H106" s="835">
        <f t="shared" si="15"/>
        <v>0</v>
      </c>
      <c r="I106" s="835">
        <f t="shared" si="15"/>
        <v>0</v>
      </c>
      <c r="J106" s="835">
        <f t="shared" si="15"/>
        <v>0</v>
      </c>
      <c r="K106" s="835">
        <f t="shared" si="15"/>
        <v>0</v>
      </c>
      <c r="L106" s="835">
        <f t="shared" si="15"/>
        <v>0</v>
      </c>
      <c r="M106" s="835">
        <f t="shared" si="15"/>
        <v>0</v>
      </c>
      <c r="N106" s="835">
        <f t="shared" si="15"/>
        <v>0</v>
      </c>
      <c r="O106" s="835">
        <f t="shared" si="15"/>
        <v>3.0863175524505296E-2</v>
      </c>
      <c r="P106" s="835">
        <f t="shared" si="15"/>
        <v>3.3738245001411885E-2</v>
      </c>
      <c r="Q106" s="835">
        <f t="shared" si="15"/>
        <v>3.499463080946115E-2</v>
      </c>
      <c r="R106" s="835">
        <f t="shared" si="15"/>
        <v>3.5264230112703694E-2</v>
      </c>
      <c r="S106" s="835">
        <f t="shared" si="15"/>
        <v>3.4253202809074644E-2</v>
      </c>
      <c r="T106" s="835">
        <f t="shared" si="15"/>
        <v>3.4903043438285528E-2</v>
      </c>
      <c r="U106" s="835">
        <f t="shared" si="15"/>
        <v>3.5006652355819817E-2</v>
      </c>
      <c r="V106" s="835">
        <f t="shared" si="15"/>
        <v>3.484956937999157E-2</v>
      </c>
      <c r="W106" s="835">
        <f t="shared" si="15"/>
        <v>3.4616326404552686E-2</v>
      </c>
      <c r="X106" s="835">
        <f t="shared" si="15"/>
        <v>3.4605237653088899E-2</v>
      </c>
      <c r="Y106" s="835">
        <f t="shared" si="15"/>
        <v>3.445491354502165E-2</v>
      </c>
      <c r="Z106" s="835">
        <f t="shared" si="15"/>
        <v>3.4184595534426508E-2</v>
      </c>
      <c r="AA106" s="835">
        <f t="shared" si="15"/>
        <v>3.3910040920788385E-2</v>
      </c>
      <c r="AB106" s="835">
        <f t="shared" si="15"/>
        <v>3.3645910088464306E-2</v>
      </c>
      <c r="AC106" s="835">
        <f t="shared" si="15"/>
        <v>3.3351241813751049E-2</v>
      </c>
      <c r="AD106" s="835">
        <f t="shared" si="15"/>
        <v>3.3051090543960306E-2</v>
      </c>
      <c r="AE106" s="835">
        <f t="shared" si="15"/>
        <v>3.2756403819000794E-2</v>
      </c>
      <c r="AF106" s="835">
        <f t="shared" si="15"/>
        <v>3.2467836932419336E-2</v>
      </c>
      <c r="AG106" s="835">
        <f t="shared" si="15"/>
        <v>3.2182735845038841E-2</v>
      </c>
      <c r="AH106" s="835">
        <f t="shared" si="15"/>
        <v>3.1907898008349818E-2</v>
      </c>
      <c r="AI106" s="835">
        <f t="shared" si="15"/>
        <v>3.1645905011202222E-2</v>
      </c>
      <c r="AJ106" s="835">
        <f t="shared" si="15"/>
        <v>3.1397507044640706E-2</v>
      </c>
      <c r="AK106" s="835">
        <f t="shared" si="15"/>
        <v>3.1163613847633279E-2</v>
      </c>
      <c r="AL106" s="835">
        <f t="shared" si="15"/>
        <v>3.0946146504403704E-2</v>
      </c>
      <c r="AM106" s="835">
        <f t="shared" si="15"/>
        <v>3.0745978838654726E-2</v>
      </c>
      <c r="AN106" s="835">
        <f t="shared" si="15"/>
        <v>3.0563685031302783E-2</v>
      </c>
      <c r="AO106" s="835">
        <f t="shared" si="15"/>
        <v>3.0399894341576052E-2</v>
      </c>
      <c r="AP106" s="835">
        <f t="shared" si="15"/>
        <v>3.0255257602863531E-2</v>
      </c>
      <c r="AQ106" s="835">
        <f t="shared" si="15"/>
        <v>3.0130193785073679E-2</v>
      </c>
      <c r="AR106" s="835">
        <f t="shared" si="15"/>
        <v>3.002507776421591E-2</v>
      </c>
    </row>
    <row r="107" spans="1:44" ht="17.25" customHeight="1">
      <c r="A107" s="902" t="s">
        <v>1946</v>
      </c>
      <c r="C107" s="835">
        <f t="shared" si="15"/>
        <v>0</v>
      </c>
      <c r="D107" s="835">
        <f t="shared" si="15"/>
        <v>0</v>
      </c>
      <c r="E107" s="835">
        <f t="shared" si="15"/>
        <v>0</v>
      </c>
      <c r="F107" s="835">
        <f t="shared" si="15"/>
        <v>0</v>
      </c>
      <c r="G107" s="835">
        <f t="shared" si="15"/>
        <v>0</v>
      </c>
      <c r="H107" s="835">
        <f t="shared" si="15"/>
        <v>0</v>
      </c>
      <c r="I107" s="835">
        <f t="shared" si="15"/>
        <v>0</v>
      </c>
      <c r="J107" s="835">
        <f t="shared" si="15"/>
        <v>0</v>
      </c>
      <c r="K107" s="835">
        <f t="shared" si="15"/>
        <v>0</v>
      </c>
      <c r="L107" s="835">
        <f t="shared" si="15"/>
        <v>0</v>
      </c>
      <c r="M107" s="835">
        <f t="shared" si="15"/>
        <v>0</v>
      </c>
      <c r="N107" s="835">
        <f t="shared" si="15"/>
        <v>0</v>
      </c>
      <c r="O107" s="835">
        <f t="shared" si="15"/>
        <v>0</v>
      </c>
      <c r="P107" s="835">
        <f t="shared" si="15"/>
        <v>0</v>
      </c>
      <c r="Q107" s="835">
        <f t="shared" si="15"/>
        <v>0</v>
      </c>
      <c r="R107" s="835">
        <f t="shared" si="15"/>
        <v>0</v>
      </c>
      <c r="S107" s="835">
        <f t="shared" si="15"/>
        <v>0</v>
      </c>
      <c r="T107" s="835">
        <f t="shared" si="15"/>
        <v>0</v>
      </c>
      <c r="U107" s="835">
        <f t="shared" si="15"/>
        <v>0</v>
      </c>
      <c r="V107" s="835">
        <f t="shared" si="15"/>
        <v>0</v>
      </c>
      <c r="W107" s="835">
        <f t="shared" si="15"/>
        <v>0</v>
      </c>
      <c r="X107" s="835">
        <f t="shared" si="15"/>
        <v>0</v>
      </c>
      <c r="Y107" s="835">
        <f t="shared" si="15"/>
        <v>0</v>
      </c>
      <c r="Z107" s="835">
        <f t="shared" si="15"/>
        <v>0</v>
      </c>
      <c r="AA107" s="835">
        <f t="shared" si="15"/>
        <v>0</v>
      </c>
      <c r="AB107" s="835">
        <f t="shared" si="15"/>
        <v>0</v>
      </c>
      <c r="AC107" s="835">
        <f t="shared" si="15"/>
        <v>0</v>
      </c>
      <c r="AD107" s="835">
        <f t="shared" si="15"/>
        <v>0</v>
      </c>
      <c r="AE107" s="835">
        <f t="shared" si="15"/>
        <v>0</v>
      </c>
      <c r="AF107" s="835">
        <f t="shared" si="15"/>
        <v>0</v>
      </c>
      <c r="AG107" s="835">
        <f t="shared" si="15"/>
        <v>0</v>
      </c>
      <c r="AH107" s="835">
        <f t="shared" si="15"/>
        <v>0</v>
      </c>
      <c r="AI107" s="835">
        <f t="shared" si="15"/>
        <v>0</v>
      </c>
      <c r="AJ107" s="835">
        <f t="shared" si="15"/>
        <v>0</v>
      </c>
      <c r="AK107" s="835">
        <f t="shared" si="15"/>
        <v>0</v>
      </c>
      <c r="AL107" s="835">
        <f t="shared" si="15"/>
        <v>0</v>
      </c>
      <c r="AM107" s="835">
        <f t="shared" si="15"/>
        <v>0</v>
      </c>
      <c r="AN107" s="835">
        <f t="shared" si="15"/>
        <v>0</v>
      </c>
      <c r="AO107" s="835">
        <f t="shared" si="15"/>
        <v>0</v>
      </c>
      <c r="AP107" s="835">
        <f t="shared" si="15"/>
        <v>0</v>
      </c>
      <c r="AQ107" s="835">
        <f t="shared" si="15"/>
        <v>0</v>
      </c>
      <c r="AR107" s="835">
        <f t="shared" si="15"/>
        <v>0</v>
      </c>
    </row>
    <row r="108" spans="1:44" ht="17.25" customHeight="1">
      <c r="A108" s="902" t="s">
        <v>1947</v>
      </c>
      <c r="C108" s="835">
        <f t="shared" si="15"/>
        <v>8.0501488914051761E-2</v>
      </c>
      <c r="D108" s="835">
        <f t="shared" si="15"/>
        <v>8.185927650859183E-2</v>
      </c>
      <c r="E108" s="835">
        <f t="shared" si="15"/>
        <v>7.6405258623390704E-2</v>
      </c>
      <c r="F108" s="835">
        <f t="shared" si="15"/>
        <v>5.0789892994862071E-2</v>
      </c>
      <c r="G108" s="835">
        <f t="shared" si="15"/>
        <v>4.817985176157033E-2</v>
      </c>
      <c r="H108" s="835">
        <f t="shared" si="15"/>
        <v>4.4871596280610902E-2</v>
      </c>
      <c r="I108" s="835">
        <f t="shared" si="15"/>
        <v>0.30993515642009917</v>
      </c>
      <c r="J108" s="835">
        <f t="shared" si="15"/>
        <v>0.16704195335680036</v>
      </c>
      <c r="K108" s="835">
        <f t="shared" si="15"/>
        <v>0.14302653224756409</v>
      </c>
      <c r="L108" s="835">
        <f t="shared" si="15"/>
        <v>0.13786622121930459</v>
      </c>
      <c r="M108" s="835">
        <f t="shared" si="15"/>
        <v>0.13906844737352297</v>
      </c>
      <c r="N108" s="835">
        <f t="shared" si="15"/>
        <v>0.1731345812736412</v>
      </c>
      <c r="O108" s="835">
        <f t="shared" si="15"/>
        <v>0.43360920685159821</v>
      </c>
      <c r="P108" s="835">
        <f t="shared" si="15"/>
        <v>0.47047770558989749</v>
      </c>
      <c r="Q108" s="835">
        <f t="shared" si="15"/>
        <v>0.50824989533919074</v>
      </c>
      <c r="R108" s="835">
        <f t="shared" si="15"/>
        <v>0.54823424566516699</v>
      </c>
      <c r="S108" s="835">
        <f t="shared" si="15"/>
        <v>0.58258013672268061</v>
      </c>
      <c r="T108" s="835">
        <f t="shared" si="15"/>
        <v>0.61464121999909027</v>
      </c>
      <c r="U108" s="835">
        <f t="shared" si="15"/>
        <v>0.6454095058445154</v>
      </c>
      <c r="V108" s="835">
        <f t="shared" si="15"/>
        <v>0.674343276780211</v>
      </c>
      <c r="W108" s="835">
        <f t="shared" si="15"/>
        <v>0.70091884691324369</v>
      </c>
      <c r="X108" s="835">
        <f t="shared" si="15"/>
        <v>0.72566286283888948</v>
      </c>
      <c r="Y108" s="835">
        <f t="shared" si="15"/>
        <v>0.74887624420868359</v>
      </c>
      <c r="Z108" s="835">
        <f t="shared" si="15"/>
        <v>0.76874679700247006</v>
      </c>
      <c r="AA108" s="835">
        <f t="shared" si="15"/>
        <v>0.78670812891209563</v>
      </c>
      <c r="AB108" s="835">
        <f t="shared" si="15"/>
        <v>0.80283012221824213</v>
      </c>
      <c r="AC108" s="835">
        <f t="shared" si="15"/>
        <v>0.81744016026328381</v>
      </c>
      <c r="AD108" s="835">
        <f t="shared" si="15"/>
        <v>0.83057362494340703</v>
      </c>
      <c r="AE108" s="835">
        <f t="shared" si="15"/>
        <v>0.84236897781465758</v>
      </c>
      <c r="AF108" s="835">
        <f t="shared" si="15"/>
        <v>0.85295039690518348</v>
      </c>
      <c r="AG108" s="835">
        <f t="shared" si="15"/>
        <v>0.86245851156850262</v>
      </c>
      <c r="AH108" s="835">
        <f t="shared" si="15"/>
        <v>0.87098143547432971</v>
      </c>
      <c r="AI108" s="835">
        <f t="shared" si="15"/>
        <v>0.87861965790830043</v>
      </c>
      <c r="AJ108" s="835">
        <f t="shared" si="15"/>
        <v>0.88546397039700153</v>
      </c>
      <c r="AK108" s="835">
        <f t="shared" si="15"/>
        <v>0.89159775395633312</v>
      </c>
      <c r="AL108" s="835">
        <f t="shared" si="15"/>
        <v>0.89709068719242335</v>
      </c>
      <c r="AM108" s="835">
        <f t="shared" si="15"/>
        <v>0.90200902174214459</v>
      </c>
      <c r="AN108" s="835">
        <f t="shared" si="15"/>
        <v>0.90641182808681042</v>
      </c>
      <c r="AO108" s="835">
        <f t="shared" si="15"/>
        <v>0.91035170079099559</v>
      </c>
      <c r="AP108" s="835">
        <f t="shared" si="15"/>
        <v>0.91387494226383459</v>
      </c>
      <c r="AQ108" s="835">
        <f t="shared" si="15"/>
        <v>0.91702340663741833</v>
      </c>
      <c r="AR108" s="835">
        <f t="shared" si="15"/>
        <v>0.91983418810917239</v>
      </c>
    </row>
    <row r="109" spans="1:44" ht="17.25" customHeight="1">
      <c r="A109" s="902" t="s">
        <v>1948</v>
      </c>
      <c r="C109" s="835">
        <f t="shared" si="15"/>
        <v>0</v>
      </c>
      <c r="D109" s="835">
        <f t="shared" si="15"/>
        <v>0</v>
      </c>
      <c r="E109" s="835">
        <f t="shared" si="15"/>
        <v>0</v>
      </c>
      <c r="F109" s="835">
        <f t="shared" si="15"/>
        <v>0</v>
      </c>
      <c r="G109" s="835">
        <f t="shared" si="15"/>
        <v>0</v>
      </c>
      <c r="H109" s="835">
        <f t="shared" si="15"/>
        <v>0</v>
      </c>
      <c r="I109" s="835">
        <f t="shared" si="15"/>
        <v>0</v>
      </c>
      <c r="J109" s="835">
        <f t="shared" si="15"/>
        <v>0</v>
      </c>
      <c r="K109" s="835">
        <f t="shared" si="15"/>
        <v>0</v>
      </c>
      <c r="L109" s="835">
        <f t="shared" si="15"/>
        <v>0</v>
      </c>
      <c r="M109" s="835">
        <f t="shared" si="15"/>
        <v>0</v>
      </c>
      <c r="N109" s="835">
        <f t="shared" si="15"/>
        <v>0</v>
      </c>
      <c r="O109" s="835">
        <f t="shared" si="15"/>
        <v>0</v>
      </c>
      <c r="P109" s="835">
        <f t="shared" si="15"/>
        <v>0</v>
      </c>
      <c r="Q109" s="835">
        <f t="shared" si="15"/>
        <v>0</v>
      </c>
      <c r="R109" s="835">
        <f t="shared" si="15"/>
        <v>0</v>
      </c>
      <c r="S109" s="835">
        <f t="shared" si="15"/>
        <v>0</v>
      </c>
      <c r="T109" s="835">
        <f t="shared" si="15"/>
        <v>0</v>
      </c>
      <c r="U109" s="835">
        <f t="shared" si="15"/>
        <v>0</v>
      </c>
      <c r="V109" s="835">
        <f t="shared" si="15"/>
        <v>0</v>
      </c>
      <c r="W109" s="835">
        <f t="shared" si="15"/>
        <v>0</v>
      </c>
      <c r="X109" s="835">
        <f t="shared" si="15"/>
        <v>0</v>
      </c>
      <c r="Y109" s="835">
        <f t="shared" si="15"/>
        <v>0</v>
      </c>
      <c r="Z109" s="835">
        <f t="shared" si="15"/>
        <v>0</v>
      </c>
      <c r="AA109" s="835">
        <f t="shared" si="15"/>
        <v>0</v>
      </c>
      <c r="AB109" s="835">
        <f t="shared" si="15"/>
        <v>0</v>
      </c>
      <c r="AC109" s="835">
        <f t="shared" si="15"/>
        <v>0</v>
      </c>
      <c r="AD109" s="835">
        <f t="shared" si="15"/>
        <v>0</v>
      </c>
      <c r="AE109" s="835">
        <f t="shared" si="15"/>
        <v>0</v>
      </c>
      <c r="AF109" s="835">
        <f t="shared" si="15"/>
        <v>0</v>
      </c>
      <c r="AG109" s="835">
        <f t="shared" si="15"/>
        <v>0</v>
      </c>
      <c r="AH109" s="835">
        <f t="shared" si="15"/>
        <v>0</v>
      </c>
      <c r="AI109" s="835">
        <f t="shared" si="15"/>
        <v>0</v>
      </c>
      <c r="AJ109" s="835">
        <f t="shared" si="15"/>
        <v>0</v>
      </c>
      <c r="AK109" s="835">
        <f t="shared" si="15"/>
        <v>0</v>
      </c>
      <c r="AL109" s="835">
        <f t="shared" si="15"/>
        <v>0</v>
      </c>
      <c r="AM109" s="835">
        <f t="shared" si="15"/>
        <v>0</v>
      </c>
      <c r="AN109" s="835">
        <f t="shared" si="15"/>
        <v>0</v>
      </c>
      <c r="AO109" s="835">
        <f t="shared" si="15"/>
        <v>0</v>
      </c>
      <c r="AP109" s="835">
        <f t="shared" si="15"/>
        <v>0</v>
      </c>
      <c r="AQ109" s="835">
        <f t="shared" si="15"/>
        <v>0</v>
      </c>
      <c r="AR109" s="835">
        <f t="shared" si="15"/>
        <v>0</v>
      </c>
    </row>
    <row r="110" spans="1:44" ht="17.25" customHeight="1">
      <c r="A110" s="902" t="s">
        <v>1949</v>
      </c>
      <c r="C110" s="835">
        <f t="shared" si="15"/>
        <v>0</v>
      </c>
      <c r="D110" s="835">
        <f t="shared" si="15"/>
        <v>0</v>
      </c>
      <c r="E110" s="835">
        <f t="shared" si="15"/>
        <v>0</v>
      </c>
      <c r="F110" s="835">
        <f t="shared" ref="D110:AR111" si="16">F93/F$98</f>
        <v>0</v>
      </c>
      <c r="G110" s="835">
        <f t="shared" si="16"/>
        <v>0</v>
      </c>
      <c r="H110" s="835">
        <f t="shared" si="16"/>
        <v>0</v>
      </c>
      <c r="I110" s="835">
        <f t="shared" si="16"/>
        <v>0</v>
      </c>
      <c r="J110" s="835">
        <f t="shared" si="16"/>
        <v>0</v>
      </c>
      <c r="K110" s="835">
        <f t="shared" si="16"/>
        <v>0</v>
      </c>
      <c r="L110" s="835">
        <f t="shared" si="16"/>
        <v>0</v>
      </c>
      <c r="M110" s="835">
        <f t="shared" si="16"/>
        <v>0</v>
      </c>
      <c r="N110" s="835">
        <f t="shared" si="16"/>
        <v>0</v>
      </c>
      <c r="O110" s="835">
        <f t="shared" si="16"/>
        <v>3.0126910966626352E-2</v>
      </c>
      <c r="P110" s="835">
        <f t="shared" si="16"/>
        <v>3.4987841815015047E-2</v>
      </c>
      <c r="Q110" s="835">
        <f t="shared" si="16"/>
        <v>3.6998060599638734E-2</v>
      </c>
      <c r="R110" s="835">
        <f t="shared" si="16"/>
        <v>3.9068779178609986E-2</v>
      </c>
      <c r="S110" s="835">
        <f t="shared" si="16"/>
        <v>4.0846912782224611E-2</v>
      </c>
      <c r="T110" s="835">
        <f t="shared" si="16"/>
        <v>4.1908955088261597E-2</v>
      </c>
      <c r="U110" s="835">
        <f t="shared" si="16"/>
        <v>4.2003588917968279E-2</v>
      </c>
      <c r="V110" s="835">
        <f t="shared" si="16"/>
        <v>4.1634990908916897E-2</v>
      </c>
      <c r="W110" s="835">
        <f t="shared" si="16"/>
        <v>4.0693437467335496E-2</v>
      </c>
      <c r="X110" s="835">
        <f t="shared" si="16"/>
        <v>3.911050179552001E-2</v>
      </c>
      <c r="Y110" s="835">
        <f t="shared" si="16"/>
        <v>3.6913826812063406E-2</v>
      </c>
      <c r="Z110" s="835">
        <f t="shared" si="16"/>
        <v>3.644521193647636E-2</v>
      </c>
      <c r="AA110" s="835">
        <f t="shared" si="16"/>
        <v>3.5923453274650394E-2</v>
      </c>
      <c r="AB110" s="835">
        <f t="shared" si="16"/>
        <v>3.5497779478650578E-2</v>
      </c>
      <c r="AC110" s="835">
        <f t="shared" si="16"/>
        <v>3.4983554016227304E-2</v>
      </c>
      <c r="AD110" s="835">
        <f t="shared" si="16"/>
        <v>3.4483302849056229E-2</v>
      </c>
      <c r="AE110" s="835">
        <f t="shared" si="16"/>
        <v>3.3989161258577552E-2</v>
      </c>
      <c r="AF110" s="835">
        <f t="shared" si="16"/>
        <v>3.3513349504141983E-2</v>
      </c>
      <c r="AG110" s="835">
        <f t="shared" si="16"/>
        <v>3.3035283957342169E-2</v>
      </c>
      <c r="AH110" s="835">
        <f t="shared" si="16"/>
        <v>3.2574045621712025E-2</v>
      </c>
      <c r="AI110" s="835">
        <f t="shared" si="16"/>
        <v>3.212893047368539E-2</v>
      </c>
      <c r="AJ110" s="835">
        <f t="shared" si="16"/>
        <v>3.1701156448983331E-2</v>
      </c>
      <c r="AK110" s="835">
        <f t="shared" si="16"/>
        <v>3.1289461754595384E-2</v>
      </c>
      <c r="AL110" s="835">
        <f t="shared" si="16"/>
        <v>3.0897409421219973E-2</v>
      </c>
      <c r="AM110" s="835">
        <f t="shared" si="16"/>
        <v>3.0524981430873999E-2</v>
      </c>
      <c r="AN110" s="835">
        <f t="shared" si="16"/>
        <v>3.0172450347850318E-2</v>
      </c>
      <c r="AO110" s="835">
        <f t="shared" si="16"/>
        <v>2.9839969959777717E-2</v>
      </c>
      <c r="AP110" s="835">
        <f t="shared" si="16"/>
        <v>2.9528137244396943E-2</v>
      </c>
      <c r="AQ110" s="835">
        <f t="shared" si="16"/>
        <v>2.9236913865580971E-2</v>
      </c>
      <c r="AR110" s="835">
        <f t="shared" si="16"/>
        <v>2.8966327295861398E-2</v>
      </c>
    </row>
    <row r="111" spans="1:44" s="886" customFormat="1" ht="17.25" customHeight="1">
      <c r="A111" s="890" t="s">
        <v>1950</v>
      </c>
      <c r="C111" s="886">
        <f t="shared" ref="C111" si="17">C94/C$98</f>
        <v>0</v>
      </c>
      <c r="D111" s="886">
        <f t="shared" si="16"/>
        <v>0</v>
      </c>
      <c r="E111" s="886">
        <f t="shared" si="16"/>
        <v>0</v>
      </c>
      <c r="F111" s="886">
        <f t="shared" si="16"/>
        <v>0</v>
      </c>
      <c r="G111" s="886">
        <f t="shared" si="16"/>
        <v>0</v>
      </c>
      <c r="H111" s="886">
        <f t="shared" si="16"/>
        <v>0</v>
      </c>
      <c r="I111" s="886">
        <f t="shared" si="16"/>
        <v>0</v>
      </c>
      <c r="J111" s="886">
        <f t="shared" si="16"/>
        <v>0</v>
      </c>
      <c r="K111" s="886">
        <f t="shared" si="16"/>
        <v>0</v>
      </c>
      <c r="L111" s="886">
        <f t="shared" si="16"/>
        <v>0</v>
      </c>
      <c r="M111" s="886">
        <f t="shared" si="16"/>
        <v>0</v>
      </c>
      <c r="N111" s="886">
        <f t="shared" si="16"/>
        <v>0</v>
      </c>
      <c r="O111" s="886">
        <f t="shared" si="16"/>
        <v>0</v>
      </c>
      <c r="P111" s="886">
        <f t="shared" si="16"/>
        <v>0</v>
      </c>
      <c r="Q111" s="886">
        <f t="shared" si="16"/>
        <v>0</v>
      </c>
      <c r="R111" s="886">
        <f t="shared" si="16"/>
        <v>0</v>
      </c>
      <c r="S111" s="886">
        <f t="shared" si="16"/>
        <v>0</v>
      </c>
      <c r="T111" s="886">
        <f t="shared" si="16"/>
        <v>0</v>
      </c>
      <c r="U111" s="886">
        <f t="shared" si="16"/>
        <v>0</v>
      </c>
      <c r="V111" s="886">
        <f t="shared" si="16"/>
        <v>0</v>
      </c>
      <c r="W111" s="886">
        <f t="shared" si="16"/>
        <v>0</v>
      </c>
      <c r="X111" s="886">
        <f t="shared" si="16"/>
        <v>0</v>
      </c>
      <c r="Y111" s="886">
        <f t="shared" si="16"/>
        <v>0</v>
      </c>
      <c r="Z111" s="886">
        <f t="shared" si="16"/>
        <v>0</v>
      </c>
      <c r="AA111" s="886">
        <f t="shared" si="16"/>
        <v>0</v>
      </c>
      <c r="AB111" s="886">
        <f t="shared" si="16"/>
        <v>0</v>
      </c>
      <c r="AC111" s="886">
        <f t="shared" si="16"/>
        <v>0</v>
      </c>
      <c r="AD111" s="886">
        <f t="shared" si="16"/>
        <v>0</v>
      </c>
      <c r="AE111" s="886">
        <f t="shared" si="16"/>
        <v>0</v>
      </c>
      <c r="AF111" s="886">
        <f t="shared" si="16"/>
        <v>0</v>
      </c>
      <c r="AG111" s="886">
        <f t="shared" si="16"/>
        <v>0</v>
      </c>
      <c r="AH111" s="886">
        <f t="shared" si="16"/>
        <v>0</v>
      </c>
      <c r="AI111" s="886">
        <f t="shared" si="16"/>
        <v>0</v>
      </c>
      <c r="AJ111" s="886">
        <f t="shared" si="16"/>
        <v>0</v>
      </c>
      <c r="AK111" s="886">
        <f t="shared" si="16"/>
        <v>0</v>
      </c>
      <c r="AL111" s="886">
        <f t="shared" si="16"/>
        <v>0</v>
      </c>
      <c r="AM111" s="886">
        <f t="shared" si="16"/>
        <v>0</v>
      </c>
      <c r="AN111" s="886">
        <f t="shared" si="16"/>
        <v>0</v>
      </c>
      <c r="AO111" s="886">
        <f t="shared" si="16"/>
        <v>0</v>
      </c>
      <c r="AP111" s="886">
        <f t="shared" si="16"/>
        <v>0</v>
      </c>
      <c r="AQ111" s="886">
        <f t="shared" si="16"/>
        <v>0</v>
      </c>
      <c r="AR111" s="886">
        <f t="shared" si="16"/>
        <v>0</v>
      </c>
    </row>
    <row r="112" spans="1:44" ht="17.25" customHeight="1">
      <c r="A112" s="901" t="s">
        <v>1951</v>
      </c>
      <c r="C112" s="835">
        <f>-C95/C$98</f>
        <v>0</v>
      </c>
      <c r="D112" s="835">
        <f t="shared" ref="D112:AQ113" si="18">-D95/D$98</f>
        <v>0</v>
      </c>
      <c r="E112" s="835">
        <f t="shared" si="18"/>
        <v>0</v>
      </c>
      <c r="F112" s="835">
        <f t="shared" si="18"/>
        <v>0</v>
      </c>
      <c r="G112" s="835">
        <f t="shared" si="18"/>
        <v>0</v>
      </c>
      <c r="H112" s="835">
        <f t="shared" si="18"/>
        <v>0</v>
      </c>
      <c r="I112" s="835">
        <f t="shared" si="18"/>
        <v>0</v>
      </c>
      <c r="J112" s="835">
        <f t="shared" si="18"/>
        <v>0</v>
      </c>
      <c r="K112" s="835">
        <f t="shared" si="18"/>
        <v>0</v>
      </c>
      <c r="L112" s="835">
        <f t="shared" si="18"/>
        <v>0</v>
      </c>
      <c r="M112" s="835">
        <f t="shared" si="18"/>
        <v>0</v>
      </c>
      <c r="N112" s="835">
        <f t="shared" si="18"/>
        <v>0</v>
      </c>
      <c r="O112" s="835">
        <f t="shared" si="18"/>
        <v>0</v>
      </c>
      <c r="P112" s="835">
        <f t="shared" si="18"/>
        <v>0</v>
      </c>
      <c r="Q112" s="835">
        <f t="shared" si="18"/>
        <v>0</v>
      </c>
      <c r="R112" s="835">
        <f t="shared" si="18"/>
        <v>0</v>
      </c>
      <c r="S112" s="835">
        <f t="shared" si="18"/>
        <v>0</v>
      </c>
      <c r="T112" s="835">
        <f t="shared" si="18"/>
        <v>0</v>
      </c>
      <c r="U112" s="835">
        <f t="shared" si="18"/>
        <v>0</v>
      </c>
      <c r="V112" s="835">
        <f t="shared" si="18"/>
        <v>0</v>
      </c>
      <c r="W112" s="835">
        <f t="shared" si="18"/>
        <v>0</v>
      </c>
      <c r="X112" s="835">
        <f t="shared" si="18"/>
        <v>0</v>
      </c>
      <c r="Y112" s="835">
        <f t="shared" si="18"/>
        <v>0</v>
      </c>
      <c r="Z112" s="835">
        <f t="shared" si="18"/>
        <v>0</v>
      </c>
      <c r="AA112" s="835">
        <f t="shared" si="18"/>
        <v>0</v>
      </c>
      <c r="AB112" s="835">
        <f t="shared" si="18"/>
        <v>0</v>
      </c>
      <c r="AC112" s="835">
        <f t="shared" si="18"/>
        <v>0</v>
      </c>
      <c r="AD112" s="835">
        <f t="shared" si="18"/>
        <v>0</v>
      </c>
      <c r="AE112" s="835">
        <f t="shared" si="18"/>
        <v>0</v>
      </c>
      <c r="AF112" s="835">
        <f t="shared" si="18"/>
        <v>0</v>
      </c>
      <c r="AG112" s="835">
        <f t="shared" si="18"/>
        <v>0</v>
      </c>
      <c r="AH112" s="835">
        <f t="shared" si="18"/>
        <v>0</v>
      </c>
      <c r="AI112" s="835">
        <f t="shared" si="18"/>
        <v>0</v>
      </c>
      <c r="AJ112" s="835">
        <f t="shared" si="18"/>
        <v>0</v>
      </c>
      <c r="AK112" s="835">
        <f t="shared" si="18"/>
        <v>0</v>
      </c>
      <c r="AL112" s="835">
        <f t="shared" si="18"/>
        <v>0</v>
      </c>
      <c r="AM112" s="835">
        <f t="shared" si="18"/>
        <v>0</v>
      </c>
      <c r="AN112" s="835">
        <f t="shared" si="18"/>
        <v>0</v>
      </c>
      <c r="AO112" s="835">
        <f t="shared" si="18"/>
        <v>0</v>
      </c>
      <c r="AP112" s="835">
        <f t="shared" si="18"/>
        <v>0</v>
      </c>
      <c r="AQ112" s="835">
        <f t="shared" si="18"/>
        <v>0</v>
      </c>
      <c r="AR112" s="835">
        <f>-AR95/AR$98</f>
        <v>0</v>
      </c>
    </row>
    <row r="113" spans="1:44" s="892" customFormat="1" ht="17.25" customHeight="1">
      <c r="A113" s="903" t="s">
        <v>1952</v>
      </c>
      <c r="C113" s="892">
        <f>-C96/C$98</f>
        <v>0</v>
      </c>
      <c r="D113" s="892">
        <f t="shared" si="18"/>
        <v>0</v>
      </c>
      <c r="E113" s="892">
        <f t="shared" si="18"/>
        <v>0</v>
      </c>
      <c r="F113" s="892">
        <f t="shared" si="18"/>
        <v>0</v>
      </c>
      <c r="G113" s="892">
        <f t="shared" si="18"/>
        <v>0</v>
      </c>
      <c r="H113" s="892">
        <f t="shared" si="18"/>
        <v>0</v>
      </c>
      <c r="I113" s="892">
        <f t="shared" si="18"/>
        <v>0</v>
      </c>
      <c r="J113" s="892">
        <f t="shared" si="18"/>
        <v>0</v>
      </c>
      <c r="K113" s="892">
        <f t="shared" si="18"/>
        <v>0</v>
      </c>
      <c r="L113" s="892">
        <f t="shared" si="18"/>
        <v>0</v>
      </c>
      <c r="M113" s="892">
        <f t="shared" si="18"/>
        <v>0</v>
      </c>
      <c r="N113" s="892">
        <f t="shared" si="18"/>
        <v>0</v>
      </c>
      <c r="O113" s="892">
        <f t="shared" si="18"/>
        <v>0</v>
      </c>
      <c r="P113" s="892">
        <f t="shared" si="18"/>
        <v>0</v>
      </c>
      <c r="Q113" s="892">
        <f t="shared" si="18"/>
        <v>0</v>
      </c>
      <c r="R113" s="892">
        <f t="shared" si="18"/>
        <v>0</v>
      </c>
      <c r="S113" s="892">
        <f t="shared" si="18"/>
        <v>0</v>
      </c>
      <c r="T113" s="892">
        <f t="shared" si="18"/>
        <v>0</v>
      </c>
      <c r="U113" s="892">
        <f t="shared" si="18"/>
        <v>0</v>
      </c>
      <c r="V113" s="892">
        <f t="shared" si="18"/>
        <v>0</v>
      </c>
      <c r="W113" s="892">
        <f t="shared" si="18"/>
        <v>0</v>
      </c>
      <c r="X113" s="892">
        <f t="shared" si="18"/>
        <v>0</v>
      </c>
      <c r="Y113" s="892">
        <f t="shared" si="18"/>
        <v>0</v>
      </c>
      <c r="Z113" s="892">
        <f t="shared" si="18"/>
        <v>0</v>
      </c>
      <c r="AA113" s="892">
        <f t="shared" si="18"/>
        <v>0</v>
      </c>
      <c r="AB113" s="892">
        <f t="shared" si="18"/>
        <v>0</v>
      </c>
      <c r="AC113" s="892">
        <f t="shared" si="18"/>
        <v>0</v>
      </c>
      <c r="AD113" s="892">
        <f t="shared" si="18"/>
        <v>0</v>
      </c>
      <c r="AE113" s="892">
        <f t="shared" si="18"/>
        <v>0</v>
      </c>
      <c r="AF113" s="892">
        <f t="shared" si="18"/>
        <v>0</v>
      </c>
      <c r="AG113" s="892">
        <f t="shared" si="18"/>
        <v>0</v>
      </c>
      <c r="AH113" s="892">
        <f t="shared" si="18"/>
        <v>0</v>
      </c>
      <c r="AI113" s="892">
        <f t="shared" si="18"/>
        <v>0</v>
      </c>
      <c r="AJ113" s="892">
        <f t="shared" si="18"/>
        <v>0</v>
      </c>
      <c r="AK113" s="892">
        <f t="shared" si="18"/>
        <v>0</v>
      </c>
      <c r="AL113" s="892">
        <f t="shared" si="18"/>
        <v>0</v>
      </c>
      <c r="AM113" s="892">
        <f t="shared" si="18"/>
        <v>0</v>
      </c>
      <c r="AN113" s="892">
        <f t="shared" si="18"/>
        <v>0</v>
      </c>
      <c r="AO113" s="892">
        <f t="shared" si="18"/>
        <v>0</v>
      </c>
      <c r="AP113" s="892">
        <f t="shared" si="18"/>
        <v>0</v>
      </c>
      <c r="AQ113" s="892">
        <f t="shared" si="18"/>
        <v>0</v>
      </c>
      <c r="AR113" s="892">
        <f>-AR96/AR$98</f>
        <v>0</v>
      </c>
    </row>
    <row r="131" spans="1:44" ht="17.25" customHeight="1">
      <c r="A131" s="888" t="s">
        <v>1926</v>
      </c>
    </row>
    <row r="132" spans="1:44" ht="17.25" customHeight="1">
      <c r="A132" s="890" t="s">
        <v>1942</v>
      </c>
      <c r="B132" s="886"/>
      <c r="C132" s="886"/>
      <c r="D132" s="886"/>
      <c r="E132" s="886"/>
      <c r="F132" s="886"/>
      <c r="G132" s="886"/>
      <c r="H132" s="886"/>
      <c r="I132" s="886"/>
      <c r="J132" s="886"/>
      <c r="K132" s="886"/>
      <c r="L132" s="886"/>
      <c r="M132" s="886"/>
      <c r="N132" s="886"/>
      <c r="O132" s="886"/>
      <c r="P132" s="886"/>
      <c r="Q132" s="886"/>
      <c r="R132" s="886"/>
      <c r="S132" s="886"/>
      <c r="T132" s="886"/>
      <c r="U132" s="886"/>
      <c r="V132" s="886"/>
      <c r="W132" s="886"/>
      <c r="X132" s="886"/>
      <c r="Y132" s="886"/>
      <c r="Z132" s="886"/>
      <c r="AA132" s="886"/>
      <c r="AB132" s="886"/>
      <c r="AC132" s="886"/>
      <c r="AD132" s="886"/>
      <c r="AE132" s="886"/>
      <c r="AF132" s="886"/>
      <c r="AG132" s="886"/>
      <c r="AH132" s="886"/>
      <c r="AI132" s="886"/>
      <c r="AJ132" s="886"/>
      <c r="AK132" s="886"/>
      <c r="AL132" s="886"/>
      <c r="AM132" s="886"/>
      <c r="AN132" s="886"/>
      <c r="AO132" s="886"/>
      <c r="AP132" s="886"/>
      <c r="AQ132" s="886"/>
      <c r="AR132" s="886"/>
    </row>
    <row r="133" spans="1:44" ht="17.25" customHeight="1">
      <c r="A133" s="901" t="s">
        <v>1943</v>
      </c>
      <c r="C133" s="835">
        <f t="shared" ref="C133:AQ139" si="19">C104*C$100</f>
        <v>11.860907685130755</v>
      </c>
      <c r="D133" s="835">
        <f t="shared" si="19"/>
        <v>12.028563185922074</v>
      </c>
      <c r="E133" s="835">
        <f t="shared" si="19"/>
        <v>13.040322088778355</v>
      </c>
      <c r="F133" s="835">
        <f t="shared" si="19"/>
        <v>14.519245775868566</v>
      </c>
      <c r="G133" s="835">
        <f t="shared" si="19"/>
        <v>15.348081919888465</v>
      </c>
      <c r="H133" s="835">
        <f t="shared" si="19"/>
        <v>16.431027979727187</v>
      </c>
      <c r="I133" s="835">
        <f t="shared" si="19"/>
        <v>1.7515803829226013</v>
      </c>
      <c r="J133" s="835">
        <f t="shared" si="19"/>
        <v>5.2145739197377345</v>
      </c>
      <c r="K133" s="835">
        <f t="shared" si="19"/>
        <v>5.9171415036551371</v>
      </c>
      <c r="L133" s="835">
        <f t="shared" si="19"/>
        <v>6.3434064737357758</v>
      </c>
      <c r="M133" s="835">
        <f t="shared" si="19"/>
        <v>6.5464373330318795</v>
      </c>
      <c r="N133" s="835">
        <f t="shared" si="19"/>
        <v>5.7930112538247043</v>
      </c>
      <c r="O133" s="835">
        <f t="shared" si="19"/>
        <v>1.4821229470947326</v>
      </c>
      <c r="P133" s="835">
        <f t="shared" si="19"/>
        <v>1.3339106523852593</v>
      </c>
      <c r="Q133" s="835">
        <f t="shared" si="19"/>
        <v>1.2005195871467333</v>
      </c>
      <c r="R133" s="835">
        <f t="shared" si="19"/>
        <v>1.0804676284320598</v>
      </c>
      <c r="S133" s="835">
        <f t="shared" si="19"/>
        <v>0.97242086558885388</v>
      </c>
      <c r="T133" s="835">
        <f t="shared" si="19"/>
        <v>0.87517877902996843</v>
      </c>
      <c r="U133" s="835">
        <f t="shared" si="19"/>
        <v>0.78766090112697162</v>
      </c>
      <c r="V133" s="835">
        <f t="shared" si="19"/>
        <v>0.70889481101427443</v>
      </c>
      <c r="W133" s="835">
        <f t="shared" si="19"/>
        <v>0.63800532991284709</v>
      </c>
      <c r="X133" s="835">
        <f t="shared" si="19"/>
        <v>0.57420479692156223</v>
      </c>
      <c r="Y133" s="835">
        <f t="shared" si="19"/>
        <v>0.5167843172294061</v>
      </c>
      <c r="Z133" s="835">
        <f t="shared" si="19"/>
        <v>0.46510588550646537</v>
      </c>
      <c r="AA133" s="835">
        <f t="shared" si="19"/>
        <v>0.41859529695581887</v>
      </c>
      <c r="AB133" s="835">
        <f t="shared" si="19"/>
        <v>0.376735767260237</v>
      </c>
      <c r="AC133" s="835">
        <f t="shared" si="19"/>
        <v>0.33906219053421333</v>
      </c>
      <c r="AD133" s="835">
        <f t="shared" si="19"/>
        <v>0.30515597148079193</v>
      </c>
      <c r="AE133" s="835">
        <f t="shared" si="19"/>
        <v>0.27464037433271277</v>
      </c>
      <c r="AF133" s="835">
        <f t="shared" si="19"/>
        <v>0.24717633689944149</v>
      </c>
      <c r="AG133" s="835">
        <f t="shared" si="19"/>
        <v>0.22245870320949734</v>
      </c>
      <c r="AH133" s="835">
        <f t="shared" si="19"/>
        <v>0.20021283288854758</v>
      </c>
      <c r="AI133" s="835">
        <f t="shared" si="19"/>
        <v>0.18019154959969283</v>
      </c>
      <c r="AJ133" s="835">
        <f t="shared" si="19"/>
        <v>0.16217239463972355</v>
      </c>
      <c r="AK133" s="835">
        <f t="shared" si="19"/>
        <v>0.14595515517575117</v>
      </c>
      <c r="AL133" s="835">
        <f t="shared" si="19"/>
        <v>0.13135963965817607</v>
      </c>
      <c r="AM133" s="835">
        <f t="shared" si="19"/>
        <v>0.11822367569235846</v>
      </c>
      <c r="AN133" s="835">
        <f t="shared" si="19"/>
        <v>0.10640130812312262</v>
      </c>
      <c r="AO133" s="835">
        <f t="shared" si="19"/>
        <v>9.5761177310810366E-2</v>
      </c>
      <c r="AP133" s="835">
        <f t="shared" si="19"/>
        <v>8.6185059579729315E-2</v>
      </c>
      <c r="AQ133" s="835">
        <f t="shared" si="19"/>
        <v>7.7566553621756393E-2</v>
      </c>
    </row>
    <row r="134" spans="1:44" ht="17.25" customHeight="1">
      <c r="A134" s="902" t="s">
        <v>1944</v>
      </c>
      <c r="C134" s="835">
        <f t="shared" si="19"/>
        <v>0</v>
      </c>
      <c r="D134" s="835">
        <f t="shared" si="19"/>
        <v>0</v>
      </c>
      <c r="E134" s="835">
        <f t="shared" si="19"/>
        <v>0</v>
      </c>
      <c r="F134" s="835">
        <f t="shared" si="19"/>
        <v>0</v>
      </c>
      <c r="G134" s="835">
        <f t="shared" si="19"/>
        <v>0</v>
      </c>
      <c r="H134" s="835">
        <f t="shared" si="19"/>
        <v>0</v>
      </c>
      <c r="I134" s="835">
        <f t="shared" si="19"/>
        <v>0</v>
      </c>
      <c r="J134" s="835">
        <f t="shared" si="19"/>
        <v>0</v>
      </c>
      <c r="K134" s="835">
        <f t="shared" si="19"/>
        <v>0</v>
      </c>
      <c r="L134" s="835">
        <f t="shared" si="19"/>
        <v>0</v>
      </c>
      <c r="M134" s="835">
        <f t="shared" si="19"/>
        <v>0</v>
      </c>
      <c r="N134" s="835">
        <f t="shared" si="19"/>
        <v>0</v>
      </c>
      <c r="O134" s="835">
        <f t="shared" si="19"/>
        <v>0</v>
      </c>
      <c r="P134" s="835">
        <f t="shared" si="19"/>
        <v>0</v>
      </c>
      <c r="Q134" s="835">
        <f t="shared" si="19"/>
        <v>0</v>
      </c>
      <c r="R134" s="835">
        <f t="shared" si="19"/>
        <v>0</v>
      </c>
      <c r="S134" s="835">
        <f t="shared" si="19"/>
        <v>0</v>
      </c>
      <c r="T134" s="835">
        <f t="shared" si="19"/>
        <v>0</v>
      </c>
      <c r="U134" s="835">
        <f t="shared" si="19"/>
        <v>0</v>
      </c>
      <c r="V134" s="835">
        <f t="shared" si="19"/>
        <v>0</v>
      </c>
      <c r="W134" s="835">
        <f t="shared" si="19"/>
        <v>0</v>
      </c>
      <c r="X134" s="835">
        <f t="shared" si="19"/>
        <v>0</v>
      </c>
      <c r="Y134" s="835">
        <f t="shared" si="19"/>
        <v>0</v>
      </c>
      <c r="Z134" s="835">
        <f t="shared" si="19"/>
        <v>0</v>
      </c>
      <c r="AA134" s="835">
        <f t="shared" si="19"/>
        <v>0</v>
      </c>
      <c r="AB134" s="835">
        <f t="shared" si="19"/>
        <v>0</v>
      </c>
      <c r="AC134" s="835">
        <f t="shared" si="19"/>
        <v>0</v>
      </c>
      <c r="AD134" s="835">
        <f t="shared" si="19"/>
        <v>0</v>
      </c>
      <c r="AE134" s="835">
        <f t="shared" si="19"/>
        <v>0</v>
      </c>
      <c r="AF134" s="835">
        <f t="shared" si="19"/>
        <v>0</v>
      </c>
      <c r="AG134" s="835">
        <f t="shared" si="19"/>
        <v>0</v>
      </c>
      <c r="AH134" s="835">
        <f t="shared" si="19"/>
        <v>0</v>
      </c>
      <c r="AI134" s="835">
        <f t="shared" si="19"/>
        <v>0</v>
      </c>
      <c r="AJ134" s="835">
        <f t="shared" si="19"/>
        <v>0</v>
      </c>
      <c r="AK134" s="835">
        <f t="shared" si="19"/>
        <v>0</v>
      </c>
      <c r="AL134" s="835">
        <f t="shared" si="19"/>
        <v>0</v>
      </c>
      <c r="AM134" s="835">
        <f t="shared" si="19"/>
        <v>0</v>
      </c>
      <c r="AN134" s="835">
        <f t="shared" si="19"/>
        <v>0</v>
      </c>
      <c r="AO134" s="835">
        <f t="shared" si="19"/>
        <v>0</v>
      </c>
      <c r="AP134" s="835">
        <f t="shared" si="19"/>
        <v>0</v>
      </c>
      <c r="AQ134" s="835">
        <f t="shared" si="19"/>
        <v>0</v>
      </c>
    </row>
    <row r="135" spans="1:44" ht="17.25" customHeight="1">
      <c r="A135" s="902" t="s">
        <v>1945</v>
      </c>
      <c r="C135" s="835">
        <f t="shared" si="19"/>
        <v>0</v>
      </c>
      <c r="D135" s="835">
        <f t="shared" si="19"/>
        <v>0</v>
      </c>
      <c r="E135" s="835">
        <f t="shared" si="19"/>
        <v>0</v>
      </c>
      <c r="F135" s="835">
        <f t="shared" si="19"/>
        <v>0</v>
      </c>
      <c r="G135" s="835">
        <f t="shared" si="19"/>
        <v>0</v>
      </c>
      <c r="H135" s="835">
        <f t="shared" si="19"/>
        <v>0</v>
      </c>
      <c r="I135" s="835">
        <f t="shared" si="19"/>
        <v>0</v>
      </c>
      <c r="J135" s="835">
        <f t="shared" si="19"/>
        <v>0</v>
      </c>
      <c r="K135" s="835">
        <f t="shared" si="19"/>
        <v>0</v>
      </c>
      <c r="L135" s="835">
        <f t="shared" si="19"/>
        <v>0</v>
      </c>
      <c r="M135" s="835">
        <f t="shared" si="19"/>
        <v>0</v>
      </c>
      <c r="N135" s="835">
        <f t="shared" si="19"/>
        <v>0</v>
      </c>
      <c r="O135" s="835">
        <f t="shared" si="19"/>
        <v>9.0508422450825243E-2</v>
      </c>
      <c r="P135" s="835">
        <f t="shared" si="19"/>
        <v>9.7665309866983213E-2</v>
      </c>
      <c r="Q135" s="835">
        <f t="shared" si="19"/>
        <v>0.10008576002571785</v>
      </c>
      <c r="R135" s="835">
        <f t="shared" si="19"/>
        <v>0.10095006217322804</v>
      </c>
      <c r="S135" s="835">
        <f t="shared" si="19"/>
        <v>9.7302388629188594E-2</v>
      </c>
      <c r="T135" s="835">
        <f t="shared" si="19"/>
        <v>9.9000880173779421E-2</v>
      </c>
      <c r="U135" s="835">
        <f t="shared" si="19"/>
        <v>9.9334772750478459E-2</v>
      </c>
      <c r="V135" s="835">
        <f t="shared" si="19"/>
        <v>9.9147025931668631E-2</v>
      </c>
      <c r="W135" s="835">
        <f t="shared" si="19"/>
        <v>9.8696266871278776E-2</v>
      </c>
      <c r="X135" s="835">
        <f t="shared" si="19"/>
        <v>9.9044736431801297E-2</v>
      </c>
      <c r="Y135" s="835">
        <f t="shared" si="19"/>
        <v>9.9055700496306812E-2</v>
      </c>
      <c r="Z135" s="835">
        <f t="shared" si="19"/>
        <v>9.8985932432763851E-2</v>
      </c>
      <c r="AA135" s="835">
        <f t="shared" si="19"/>
        <v>9.8945659058037677E-2</v>
      </c>
      <c r="AB135" s="835">
        <f t="shared" si="19"/>
        <v>9.900800710472743E-2</v>
      </c>
      <c r="AC135" s="835">
        <f t="shared" si="19"/>
        <v>9.8998824772958932E-2</v>
      </c>
      <c r="AD135" s="835">
        <f t="shared" si="19"/>
        <v>9.8984605842121959E-2</v>
      </c>
      <c r="AE135" s="835">
        <f t="shared" si="19"/>
        <v>9.89842741944615E-2</v>
      </c>
      <c r="AF135" s="835">
        <f t="shared" si="19"/>
        <v>9.8993927978567459E-2</v>
      </c>
      <c r="AG135" s="835">
        <f t="shared" si="19"/>
        <v>9.8990408197027452E-2</v>
      </c>
      <c r="AH135" s="835">
        <f t="shared" si="19"/>
        <v>9.8988304053044568E-2</v>
      </c>
      <c r="AI135" s="835">
        <f t="shared" si="19"/>
        <v>9.8989228605775248E-2</v>
      </c>
      <c r="AJ135" s="835">
        <f t="shared" si="19"/>
        <v>9.8990467208603689E-2</v>
      </c>
      <c r="AK135" s="835">
        <f t="shared" si="19"/>
        <v>9.8989602016112746E-2</v>
      </c>
      <c r="AL135" s="835">
        <f t="shared" si="19"/>
        <v>9.8989400470884073E-2</v>
      </c>
      <c r="AM135" s="835">
        <f t="shared" si="19"/>
        <v>9.8989674575343939E-2</v>
      </c>
      <c r="AN135" s="835">
        <f t="shared" si="19"/>
        <v>9.8989786067736119E-2</v>
      </c>
      <c r="AO135" s="835">
        <f t="shared" si="19"/>
        <v>9.8989615782519233E-2</v>
      </c>
      <c r="AP135" s="835">
        <f t="shared" si="19"/>
        <v>9.8989619224120834E-2</v>
      </c>
      <c r="AQ135" s="835">
        <f t="shared" si="19"/>
        <v>9.8989673912430035E-2</v>
      </c>
    </row>
    <row r="136" spans="1:44" ht="17.25" customHeight="1">
      <c r="A136" s="902" t="s">
        <v>1946</v>
      </c>
      <c r="C136" s="835">
        <f t="shared" si="19"/>
        <v>0</v>
      </c>
      <c r="D136" s="835">
        <f t="shared" si="19"/>
        <v>0</v>
      </c>
      <c r="E136" s="835">
        <f t="shared" si="19"/>
        <v>0</v>
      </c>
      <c r="F136" s="835">
        <f t="shared" si="19"/>
        <v>0</v>
      </c>
      <c r="G136" s="835">
        <f t="shared" si="19"/>
        <v>0</v>
      </c>
      <c r="H136" s="835">
        <f t="shared" si="19"/>
        <v>0</v>
      </c>
      <c r="I136" s="835">
        <f t="shared" si="19"/>
        <v>0</v>
      </c>
      <c r="J136" s="835">
        <f t="shared" si="19"/>
        <v>0</v>
      </c>
      <c r="K136" s="835">
        <f t="shared" si="19"/>
        <v>0</v>
      </c>
      <c r="L136" s="835">
        <f t="shared" si="19"/>
        <v>0</v>
      </c>
      <c r="M136" s="835">
        <f t="shared" si="19"/>
        <v>0</v>
      </c>
      <c r="N136" s="835">
        <f t="shared" si="19"/>
        <v>0</v>
      </c>
      <c r="O136" s="835">
        <f t="shared" si="19"/>
        <v>0</v>
      </c>
      <c r="P136" s="835">
        <f t="shared" si="19"/>
        <v>0</v>
      </c>
      <c r="Q136" s="835">
        <f t="shared" si="19"/>
        <v>0</v>
      </c>
      <c r="R136" s="835">
        <f t="shared" si="19"/>
        <v>0</v>
      </c>
      <c r="S136" s="835">
        <f t="shared" si="19"/>
        <v>0</v>
      </c>
      <c r="T136" s="835">
        <f t="shared" si="19"/>
        <v>0</v>
      </c>
      <c r="U136" s="835">
        <f t="shared" si="19"/>
        <v>0</v>
      </c>
      <c r="V136" s="835">
        <f t="shared" si="19"/>
        <v>0</v>
      </c>
      <c r="W136" s="835">
        <f t="shared" si="19"/>
        <v>0</v>
      </c>
      <c r="X136" s="835">
        <f t="shared" si="19"/>
        <v>0</v>
      </c>
      <c r="Y136" s="835">
        <f t="shared" si="19"/>
        <v>0</v>
      </c>
      <c r="Z136" s="835">
        <f t="shared" si="19"/>
        <v>0</v>
      </c>
      <c r="AA136" s="835">
        <f t="shared" si="19"/>
        <v>0</v>
      </c>
      <c r="AB136" s="835">
        <f t="shared" si="19"/>
        <v>0</v>
      </c>
      <c r="AC136" s="835">
        <f t="shared" si="19"/>
        <v>0</v>
      </c>
      <c r="AD136" s="835">
        <f t="shared" si="19"/>
        <v>0</v>
      </c>
      <c r="AE136" s="835">
        <f t="shared" si="19"/>
        <v>0</v>
      </c>
      <c r="AF136" s="835">
        <f t="shared" si="19"/>
        <v>0</v>
      </c>
      <c r="AG136" s="835">
        <f t="shared" si="19"/>
        <v>0</v>
      </c>
      <c r="AH136" s="835">
        <f t="shared" si="19"/>
        <v>0</v>
      </c>
      <c r="AI136" s="835">
        <f t="shared" si="19"/>
        <v>0</v>
      </c>
      <c r="AJ136" s="835">
        <f t="shared" si="19"/>
        <v>0</v>
      </c>
      <c r="AK136" s="835">
        <f t="shared" si="19"/>
        <v>0</v>
      </c>
      <c r="AL136" s="835">
        <f t="shared" si="19"/>
        <v>0</v>
      </c>
      <c r="AM136" s="835">
        <f t="shared" si="19"/>
        <v>0</v>
      </c>
      <c r="AN136" s="835">
        <f t="shared" si="19"/>
        <v>0</v>
      </c>
      <c r="AO136" s="835">
        <f t="shared" si="19"/>
        <v>0</v>
      </c>
      <c r="AP136" s="835">
        <f t="shared" si="19"/>
        <v>0</v>
      </c>
      <c r="AQ136" s="835">
        <f t="shared" si="19"/>
        <v>0</v>
      </c>
    </row>
    <row r="137" spans="1:44" ht="17.25" customHeight="1">
      <c r="A137" s="902" t="s">
        <v>1947</v>
      </c>
      <c r="C137" s="835">
        <f t="shared" si="19"/>
        <v>1.0384146543070314</v>
      </c>
      <c r="D137" s="835">
        <f t="shared" si="19"/>
        <v>1.0724385212902252</v>
      </c>
      <c r="E137" s="835">
        <f t="shared" si="19"/>
        <v>1.078773121033989</v>
      </c>
      <c r="F137" s="835">
        <f t="shared" si="19"/>
        <v>0.77688905109654083</v>
      </c>
      <c r="G137" s="835">
        <f t="shared" si="19"/>
        <v>0.77689920001507273</v>
      </c>
      <c r="H137" s="835">
        <f t="shared" si="19"/>
        <v>0.77192391212600797</v>
      </c>
      <c r="I137" s="835">
        <f t="shared" si="19"/>
        <v>0.78670337289923875</v>
      </c>
      <c r="J137" s="835">
        <f t="shared" si="19"/>
        <v>1.0457340762679932</v>
      </c>
      <c r="K137" s="835">
        <f t="shared" si="19"/>
        <v>0.98755476328283986</v>
      </c>
      <c r="L137" s="835">
        <f t="shared" si="19"/>
        <v>1.0143918516090136</v>
      </c>
      <c r="M137" s="835">
        <f t="shared" si="19"/>
        <v>1.0574625508327682</v>
      </c>
      <c r="N137" s="835">
        <f t="shared" si="19"/>
        <v>1.2129792285778884</v>
      </c>
      <c r="O137" s="835">
        <f t="shared" si="19"/>
        <v>1.2715893489680297</v>
      </c>
      <c r="P137" s="835">
        <f t="shared" si="19"/>
        <v>1.3619366063653204</v>
      </c>
      <c r="Q137" s="835">
        <f t="shared" si="19"/>
        <v>1.4536109077699322</v>
      </c>
      <c r="R137" s="835">
        <f t="shared" si="19"/>
        <v>1.5694169703552945</v>
      </c>
      <c r="S137" s="835">
        <f t="shared" si="19"/>
        <v>1.6549237508388048</v>
      </c>
      <c r="T137" s="835">
        <f t="shared" si="19"/>
        <v>1.7434015998802121</v>
      </c>
      <c r="U137" s="835">
        <f t="shared" si="19"/>
        <v>1.8314120968326482</v>
      </c>
      <c r="V137" s="835">
        <f t="shared" si="19"/>
        <v>1.9185066426720407</v>
      </c>
      <c r="W137" s="835">
        <f t="shared" si="19"/>
        <v>1.9984233093249402</v>
      </c>
      <c r="X137" s="835">
        <f t="shared" si="19"/>
        <v>2.076942447520187</v>
      </c>
      <c r="Y137" s="835">
        <f t="shared" si="19"/>
        <v>2.1529719080038943</v>
      </c>
      <c r="Z137" s="835">
        <f t="shared" si="19"/>
        <v>2.2260061093704184</v>
      </c>
      <c r="AA137" s="835">
        <f t="shared" si="19"/>
        <v>2.2955252246187268</v>
      </c>
      <c r="AB137" s="835">
        <f t="shared" si="19"/>
        <v>2.362444952015887</v>
      </c>
      <c r="AC137" s="835">
        <f t="shared" si="19"/>
        <v>2.4264648267135249</v>
      </c>
      <c r="AD137" s="835">
        <f t="shared" si="19"/>
        <v>2.4874823049646455</v>
      </c>
      <c r="AE137" s="835">
        <f t="shared" si="19"/>
        <v>2.5454956024369157</v>
      </c>
      <c r="AF137" s="835">
        <f t="shared" si="19"/>
        <v>2.6006324454651764</v>
      </c>
      <c r="AG137" s="835">
        <f t="shared" si="19"/>
        <v>2.6528235674012119</v>
      </c>
      <c r="AH137" s="835">
        <f t="shared" si="19"/>
        <v>2.7020575011468471</v>
      </c>
      <c r="AI137" s="835">
        <f t="shared" si="19"/>
        <v>2.7483455487661108</v>
      </c>
      <c r="AJ137" s="835">
        <f t="shared" si="19"/>
        <v>2.7917022839221231</v>
      </c>
      <c r="AK137" s="835">
        <f t="shared" si="19"/>
        <v>2.8321139921100724</v>
      </c>
      <c r="AL137" s="835">
        <f t="shared" si="19"/>
        <v>2.8695808468610009</v>
      </c>
      <c r="AM137" s="835">
        <f t="shared" si="19"/>
        <v>2.9041059318632527</v>
      </c>
      <c r="AN137" s="835">
        <f t="shared" si="19"/>
        <v>2.9356902762112518</v>
      </c>
      <c r="AO137" s="835">
        <f t="shared" si="19"/>
        <v>2.9643315228572473</v>
      </c>
      <c r="AP137" s="835">
        <f t="shared" si="19"/>
        <v>2.9900301541177541</v>
      </c>
      <c r="AQ137" s="835">
        <f t="shared" si="19"/>
        <v>3.0127867295056561</v>
      </c>
    </row>
    <row r="138" spans="1:44" ht="17.25" customHeight="1">
      <c r="A138" s="902" t="s">
        <v>1948</v>
      </c>
      <c r="C138" s="835">
        <f t="shared" si="19"/>
        <v>0</v>
      </c>
      <c r="D138" s="835">
        <f t="shared" si="19"/>
        <v>0</v>
      </c>
      <c r="E138" s="835">
        <f t="shared" si="19"/>
        <v>0</v>
      </c>
      <c r="F138" s="835">
        <f t="shared" si="19"/>
        <v>0</v>
      </c>
      <c r="G138" s="835">
        <f t="shared" si="19"/>
        <v>0</v>
      </c>
      <c r="H138" s="835">
        <f t="shared" si="19"/>
        <v>0</v>
      </c>
      <c r="I138" s="835">
        <f t="shared" si="19"/>
        <v>0</v>
      </c>
      <c r="J138" s="835">
        <f t="shared" si="19"/>
        <v>0</v>
      </c>
      <c r="K138" s="835">
        <f t="shared" si="19"/>
        <v>0</v>
      </c>
      <c r="L138" s="835">
        <f t="shared" si="19"/>
        <v>0</v>
      </c>
      <c r="M138" s="835">
        <f t="shared" si="19"/>
        <v>0</v>
      </c>
      <c r="N138" s="835">
        <f t="shared" si="19"/>
        <v>0</v>
      </c>
      <c r="O138" s="835">
        <f t="shared" si="19"/>
        <v>0</v>
      </c>
      <c r="P138" s="835">
        <f t="shared" si="19"/>
        <v>0</v>
      </c>
      <c r="Q138" s="835">
        <f t="shared" si="19"/>
        <v>0</v>
      </c>
      <c r="R138" s="835">
        <f t="shared" si="19"/>
        <v>0</v>
      </c>
      <c r="S138" s="835">
        <f t="shared" si="19"/>
        <v>0</v>
      </c>
      <c r="T138" s="835">
        <f t="shared" si="19"/>
        <v>0</v>
      </c>
      <c r="U138" s="835">
        <f t="shared" si="19"/>
        <v>0</v>
      </c>
      <c r="V138" s="835">
        <f t="shared" si="19"/>
        <v>0</v>
      </c>
      <c r="W138" s="835">
        <f t="shared" si="19"/>
        <v>0</v>
      </c>
      <c r="X138" s="835">
        <f t="shared" si="19"/>
        <v>0</v>
      </c>
      <c r="Y138" s="835">
        <f t="shared" si="19"/>
        <v>0</v>
      </c>
      <c r="Z138" s="835">
        <f t="shared" si="19"/>
        <v>0</v>
      </c>
      <c r="AA138" s="835">
        <f t="shared" si="19"/>
        <v>0</v>
      </c>
      <c r="AB138" s="835">
        <f t="shared" si="19"/>
        <v>0</v>
      </c>
      <c r="AC138" s="835">
        <f t="shared" si="19"/>
        <v>0</v>
      </c>
      <c r="AD138" s="835">
        <f t="shared" si="19"/>
        <v>0</v>
      </c>
      <c r="AE138" s="835">
        <f t="shared" si="19"/>
        <v>0</v>
      </c>
      <c r="AF138" s="835">
        <f t="shared" si="19"/>
        <v>0</v>
      </c>
      <c r="AG138" s="835">
        <f t="shared" si="19"/>
        <v>0</v>
      </c>
      <c r="AH138" s="835">
        <f t="shared" si="19"/>
        <v>0</v>
      </c>
      <c r="AI138" s="835">
        <f t="shared" si="19"/>
        <v>0</v>
      </c>
      <c r="AJ138" s="835">
        <f t="shared" si="19"/>
        <v>0</v>
      </c>
      <c r="AK138" s="835">
        <f t="shared" si="19"/>
        <v>0</v>
      </c>
      <c r="AL138" s="835">
        <f t="shared" si="19"/>
        <v>0</v>
      </c>
      <c r="AM138" s="835">
        <f t="shared" si="19"/>
        <v>0</v>
      </c>
      <c r="AN138" s="835">
        <f t="shared" si="19"/>
        <v>0</v>
      </c>
      <c r="AO138" s="835">
        <f t="shared" si="19"/>
        <v>0</v>
      </c>
      <c r="AP138" s="835">
        <f t="shared" si="19"/>
        <v>0</v>
      </c>
      <c r="AQ138" s="835">
        <f t="shared" si="19"/>
        <v>0</v>
      </c>
    </row>
    <row r="139" spans="1:44" ht="17.25" customHeight="1">
      <c r="A139" s="902" t="s">
        <v>1949</v>
      </c>
      <c r="C139" s="835">
        <f t="shared" si="19"/>
        <v>0</v>
      </c>
      <c r="D139" s="835">
        <f t="shared" si="19"/>
        <v>0</v>
      </c>
      <c r="E139" s="835">
        <f t="shared" si="19"/>
        <v>0</v>
      </c>
      <c r="F139" s="835">
        <f t="shared" si="19"/>
        <v>0</v>
      </c>
      <c r="G139" s="835">
        <f t="shared" si="19"/>
        <v>0</v>
      </c>
      <c r="H139" s="835">
        <f t="shared" si="19"/>
        <v>0</v>
      </c>
      <c r="I139" s="835">
        <f t="shared" si="19"/>
        <v>0</v>
      </c>
      <c r="J139" s="835">
        <f t="shared" si="19"/>
        <v>0</v>
      </c>
      <c r="K139" s="835">
        <f t="shared" si="19"/>
        <v>0</v>
      </c>
      <c r="L139" s="835">
        <f t="shared" ref="D139:AQ142" si="20">L110*L$100</f>
        <v>0</v>
      </c>
      <c r="M139" s="835">
        <f t="shared" si="20"/>
        <v>0</v>
      </c>
      <c r="N139" s="835">
        <f t="shared" si="20"/>
        <v>0</v>
      </c>
      <c r="O139" s="835">
        <f t="shared" si="20"/>
        <v>8.8349275101027511E-2</v>
      </c>
      <c r="P139" s="835">
        <f t="shared" si="20"/>
        <v>0.10128263673162127</v>
      </c>
      <c r="Q139" s="835">
        <f t="shared" si="20"/>
        <v>0.10581563311110205</v>
      </c>
      <c r="R139" s="835">
        <f t="shared" si="20"/>
        <v>0.1118412531482432</v>
      </c>
      <c r="S139" s="835">
        <f t="shared" si="20"/>
        <v>0.1160330087668658</v>
      </c>
      <c r="T139" s="835">
        <f t="shared" si="20"/>
        <v>0.11887282689939241</v>
      </c>
      <c r="U139" s="835">
        <f t="shared" si="20"/>
        <v>0.11918925915740225</v>
      </c>
      <c r="V139" s="835">
        <f t="shared" si="20"/>
        <v>0.11845155038504437</v>
      </c>
      <c r="W139" s="835">
        <f t="shared" si="20"/>
        <v>0.11602300941031173</v>
      </c>
      <c r="X139" s="835">
        <f t="shared" si="20"/>
        <v>0.11193939428724026</v>
      </c>
      <c r="Y139" s="835">
        <f t="shared" si="20"/>
        <v>0.10612492085026926</v>
      </c>
      <c r="Z139" s="835">
        <f t="shared" si="20"/>
        <v>0.10553184058031972</v>
      </c>
      <c r="AA139" s="835">
        <f t="shared" si="20"/>
        <v>0.10482056828547956</v>
      </c>
      <c r="AB139" s="835">
        <f t="shared" si="20"/>
        <v>0.10445740339861613</v>
      </c>
      <c r="AC139" s="835">
        <f t="shared" si="20"/>
        <v>0.10384413130187749</v>
      </c>
      <c r="AD139" s="835">
        <f t="shared" si="20"/>
        <v>0.10327393391477956</v>
      </c>
      <c r="AE139" s="835">
        <f t="shared" si="20"/>
        <v>0.1027094572483945</v>
      </c>
      <c r="AF139" s="835">
        <f t="shared" si="20"/>
        <v>0.10218167948912324</v>
      </c>
      <c r="AG139" s="835">
        <f t="shared" si="20"/>
        <v>0.10161274851174999</v>
      </c>
      <c r="AH139" s="835">
        <f t="shared" si="20"/>
        <v>0.10105490281421814</v>
      </c>
      <c r="AI139" s="835">
        <f t="shared" si="20"/>
        <v>0.10050014503907778</v>
      </c>
      <c r="AJ139" s="835">
        <f t="shared" si="20"/>
        <v>9.9947816986748608E-2</v>
      </c>
      <c r="AK139" s="835">
        <f t="shared" si="20"/>
        <v>9.938935136115494E-2</v>
      </c>
      <c r="AL139" s="835">
        <f t="shared" si="20"/>
        <v>9.8833502073506205E-2</v>
      </c>
      <c r="AM139" s="835">
        <f t="shared" si="20"/>
        <v>9.8278151888328197E-2</v>
      </c>
      <c r="AN139" s="835">
        <f t="shared" si="20"/>
        <v>9.7722653600640821E-2</v>
      </c>
      <c r="AO139" s="835">
        <f t="shared" si="20"/>
        <v>9.7166362754113861E-2</v>
      </c>
      <c r="AP139" s="835">
        <f t="shared" si="20"/>
        <v>9.6610615602353581E-2</v>
      </c>
      <c r="AQ139" s="835">
        <f t="shared" si="20"/>
        <v>9.6054893984565445E-2</v>
      </c>
    </row>
    <row r="140" spans="1:44" ht="17.25" customHeight="1">
      <c r="A140" s="890" t="s">
        <v>1950</v>
      </c>
      <c r="B140" s="886"/>
      <c r="C140" s="886"/>
      <c r="D140" s="886"/>
      <c r="E140" s="886"/>
      <c r="F140" s="886"/>
      <c r="G140" s="886"/>
      <c r="H140" s="886"/>
      <c r="I140" s="886"/>
      <c r="J140" s="886"/>
      <c r="K140" s="886"/>
      <c r="L140" s="886"/>
      <c r="M140" s="886"/>
      <c r="N140" s="886"/>
      <c r="O140" s="886"/>
      <c r="P140" s="886"/>
      <c r="Q140" s="886"/>
      <c r="R140" s="886"/>
      <c r="S140" s="886"/>
      <c r="T140" s="886"/>
      <c r="U140" s="886"/>
      <c r="V140" s="886"/>
      <c r="W140" s="886"/>
      <c r="X140" s="886"/>
      <c r="Y140" s="886"/>
      <c r="Z140" s="886"/>
      <c r="AA140" s="886"/>
      <c r="AB140" s="886"/>
      <c r="AC140" s="886"/>
      <c r="AD140" s="886"/>
      <c r="AE140" s="886"/>
      <c r="AF140" s="886"/>
      <c r="AG140" s="886"/>
      <c r="AH140" s="886"/>
      <c r="AI140" s="886"/>
      <c r="AJ140" s="886"/>
      <c r="AK140" s="886"/>
      <c r="AL140" s="886"/>
      <c r="AM140" s="886"/>
      <c r="AN140" s="886"/>
      <c r="AO140" s="886"/>
      <c r="AP140" s="886"/>
      <c r="AQ140" s="886"/>
      <c r="AR140" s="886"/>
    </row>
    <row r="141" spans="1:44" ht="17.25" customHeight="1">
      <c r="A141" s="901" t="s">
        <v>1951</v>
      </c>
      <c r="C141" s="835">
        <f>C112*C$100</f>
        <v>0</v>
      </c>
      <c r="D141" s="835">
        <f t="shared" si="20"/>
        <v>0</v>
      </c>
      <c r="E141" s="835">
        <f t="shared" si="20"/>
        <v>0</v>
      </c>
      <c r="F141" s="835">
        <f t="shared" si="20"/>
        <v>0</v>
      </c>
      <c r="G141" s="835">
        <f t="shared" si="20"/>
        <v>0</v>
      </c>
      <c r="H141" s="835">
        <f t="shared" si="20"/>
        <v>0</v>
      </c>
      <c r="I141" s="835">
        <f t="shared" si="20"/>
        <v>0</v>
      </c>
      <c r="J141" s="835">
        <f t="shared" si="20"/>
        <v>0</v>
      </c>
      <c r="K141" s="835">
        <f t="shared" si="20"/>
        <v>0</v>
      </c>
      <c r="L141" s="835">
        <f t="shared" si="20"/>
        <v>0</v>
      </c>
      <c r="M141" s="835">
        <f t="shared" si="20"/>
        <v>0</v>
      </c>
      <c r="N141" s="835">
        <f t="shared" si="20"/>
        <v>0</v>
      </c>
      <c r="O141" s="835">
        <f t="shared" si="20"/>
        <v>0</v>
      </c>
      <c r="P141" s="835">
        <f t="shared" si="20"/>
        <v>0</v>
      </c>
      <c r="Q141" s="835">
        <f t="shared" si="20"/>
        <v>0</v>
      </c>
      <c r="R141" s="835">
        <f t="shared" si="20"/>
        <v>0</v>
      </c>
      <c r="S141" s="835">
        <f t="shared" si="20"/>
        <v>0</v>
      </c>
      <c r="T141" s="835">
        <f t="shared" si="20"/>
        <v>0</v>
      </c>
      <c r="U141" s="835">
        <f t="shared" si="20"/>
        <v>0</v>
      </c>
      <c r="V141" s="835">
        <f t="shared" si="20"/>
        <v>0</v>
      </c>
      <c r="W141" s="835">
        <f t="shared" si="20"/>
        <v>0</v>
      </c>
      <c r="X141" s="835">
        <f t="shared" si="20"/>
        <v>0</v>
      </c>
      <c r="Y141" s="835">
        <f t="shared" si="20"/>
        <v>0</v>
      </c>
      <c r="Z141" s="835">
        <f t="shared" si="20"/>
        <v>0</v>
      </c>
      <c r="AA141" s="835">
        <f t="shared" si="20"/>
        <v>0</v>
      </c>
      <c r="AB141" s="835">
        <f t="shared" si="20"/>
        <v>0</v>
      </c>
      <c r="AC141" s="835">
        <f t="shared" si="20"/>
        <v>0</v>
      </c>
      <c r="AD141" s="835">
        <f t="shared" si="20"/>
        <v>0</v>
      </c>
      <c r="AE141" s="835">
        <f t="shared" si="20"/>
        <v>0</v>
      </c>
      <c r="AF141" s="835">
        <f t="shared" si="20"/>
        <v>0</v>
      </c>
      <c r="AG141" s="835">
        <f t="shared" si="20"/>
        <v>0</v>
      </c>
      <c r="AH141" s="835">
        <f t="shared" si="20"/>
        <v>0</v>
      </c>
      <c r="AI141" s="835">
        <f t="shared" si="20"/>
        <v>0</v>
      </c>
      <c r="AJ141" s="835">
        <f t="shared" si="20"/>
        <v>0</v>
      </c>
      <c r="AK141" s="835">
        <f t="shared" si="20"/>
        <v>0</v>
      </c>
      <c r="AL141" s="835">
        <f t="shared" si="20"/>
        <v>0</v>
      </c>
      <c r="AM141" s="835">
        <f t="shared" si="20"/>
        <v>0</v>
      </c>
      <c r="AN141" s="835">
        <f t="shared" si="20"/>
        <v>0</v>
      </c>
      <c r="AO141" s="835">
        <f t="shared" si="20"/>
        <v>0</v>
      </c>
      <c r="AP141" s="835">
        <f t="shared" si="20"/>
        <v>0</v>
      </c>
      <c r="AQ141" s="835">
        <f t="shared" si="20"/>
        <v>0</v>
      </c>
    </row>
    <row r="142" spans="1:44" ht="17.25" customHeight="1">
      <c r="A142" s="903" t="s">
        <v>1952</v>
      </c>
      <c r="B142" s="892"/>
      <c r="C142" s="892">
        <f>C113*C$100</f>
        <v>0</v>
      </c>
      <c r="D142" s="892">
        <f t="shared" si="20"/>
        <v>0</v>
      </c>
      <c r="E142" s="892">
        <f t="shared" si="20"/>
        <v>0</v>
      </c>
      <c r="F142" s="892">
        <f t="shared" si="20"/>
        <v>0</v>
      </c>
      <c r="G142" s="892">
        <f t="shared" si="20"/>
        <v>0</v>
      </c>
      <c r="H142" s="892">
        <f t="shared" si="20"/>
        <v>0</v>
      </c>
      <c r="I142" s="892">
        <f t="shared" si="20"/>
        <v>0</v>
      </c>
      <c r="J142" s="892">
        <f t="shared" si="20"/>
        <v>0</v>
      </c>
      <c r="K142" s="892">
        <f t="shared" si="20"/>
        <v>0</v>
      </c>
      <c r="L142" s="892">
        <f t="shared" si="20"/>
        <v>0</v>
      </c>
      <c r="M142" s="892">
        <f t="shared" si="20"/>
        <v>0</v>
      </c>
      <c r="N142" s="892">
        <f t="shared" si="20"/>
        <v>0</v>
      </c>
      <c r="O142" s="892">
        <f t="shared" si="20"/>
        <v>0</v>
      </c>
      <c r="P142" s="892">
        <f t="shared" si="20"/>
        <v>0</v>
      </c>
      <c r="Q142" s="892">
        <f t="shared" si="20"/>
        <v>0</v>
      </c>
      <c r="R142" s="892">
        <f t="shared" si="20"/>
        <v>0</v>
      </c>
      <c r="S142" s="892">
        <f t="shared" si="20"/>
        <v>0</v>
      </c>
      <c r="T142" s="892">
        <f t="shared" si="20"/>
        <v>0</v>
      </c>
      <c r="U142" s="892">
        <f t="shared" si="20"/>
        <v>0</v>
      </c>
      <c r="V142" s="892">
        <f t="shared" si="20"/>
        <v>0</v>
      </c>
      <c r="W142" s="892">
        <f t="shared" si="20"/>
        <v>0</v>
      </c>
      <c r="X142" s="892">
        <f t="shared" si="20"/>
        <v>0</v>
      </c>
      <c r="Y142" s="892">
        <f t="shared" si="20"/>
        <v>0</v>
      </c>
      <c r="Z142" s="892">
        <f t="shared" si="20"/>
        <v>0</v>
      </c>
      <c r="AA142" s="892">
        <f t="shared" si="20"/>
        <v>0</v>
      </c>
      <c r="AB142" s="892">
        <f t="shared" si="20"/>
        <v>0</v>
      </c>
      <c r="AC142" s="892">
        <f t="shared" si="20"/>
        <v>0</v>
      </c>
      <c r="AD142" s="892">
        <f t="shared" si="20"/>
        <v>0</v>
      </c>
      <c r="AE142" s="892">
        <f t="shared" si="20"/>
        <v>0</v>
      </c>
      <c r="AF142" s="892">
        <f t="shared" si="20"/>
        <v>0</v>
      </c>
      <c r="AG142" s="892">
        <f t="shared" si="20"/>
        <v>0</v>
      </c>
      <c r="AH142" s="892">
        <f t="shared" si="20"/>
        <v>0</v>
      </c>
      <c r="AI142" s="892">
        <f t="shared" si="20"/>
        <v>0</v>
      </c>
      <c r="AJ142" s="892">
        <f t="shared" si="20"/>
        <v>0</v>
      </c>
      <c r="AK142" s="892">
        <f t="shared" si="20"/>
        <v>0</v>
      </c>
      <c r="AL142" s="892">
        <f t="shared" si="20"/>
        <v>0</v>
      </c>
      <c r="AM142" s="892">
        <f t="shared" si="20"/>
        <v>0</v>
      </c>
      <c r="AN142" s="892">
        <f t="shared" si="20"/>
        <v>0</v>
      </c>
      <c r="AO142" s="892">
        <f t="shared" si="20"/>
        <v>0</v>
      </c>
      <c r="AP142" s="892">
        <f t="shared" si="20"/>
        <v>0</v>
      </c>
      <c r="AQ142" s="892">
        <f t="shared" si="20"/>
        <v>0</v>
      </c>
      <c r="AR142" s="892"/>
    </row>
    <row r="159" spans="1:44" s="886" customFormat="1" ht="17.25" customHeight="1">
      <c r="A159" s="885" t="s">
        <v>1953</v>
      </c>
    </row>
    <row r="160" spans="1:44" ht="17.25" customHeight="1">
      <c r="A160" s="902" t="s">
        <v>1954</v>
      </c>
      <c r="C160" s="835">
        <v>3403.1036239099999</v>
      </c>
      <c r="D160" s="835">
        <v>3547.3541884899996</v>
      </c>
      <c r="E160" s="835">
        <v>4909.8076051799999</v>
      </c>
      <c r="F160" s="835">
        <v>7613.6493434499998</v>
      </c>
      <c r="G160" s="835">
        <v>8193.5947868100011</v>
      </c>
      <c r="H160" s="835">
        <v>9240.1069468599999</v>
      </c>
      <c r="I160" s="835">
        <v>9403.3780312800009</v>
      </c>
      <c r="J160" s="835">
        <v>17408.88837456</v>
      </c>
      <c r="K160" s="835">
        <v>17782.65886729</v>
      </c>
      <c r="L160" s="835">
        <v>17799.672147729998</v>
      </c>
      <c r="M160" s="835">
        <v>18391.55624364</v>
      </c>
      <c r="N160" s="835">
        <v>18481.90551552</v>
      </c>
      <c r="O160" s="835">
        <v>150.3398440775</v>
      </c>
      <c r="P160" s="835">
        <v>181.75604005687501</v>
      </c>
      <c r="Q160" s="835">
        <v>213.60739596859375</v>
      </c>
      <c r="R160" s="835">
        <v>236.87015542824219</v>
      </c>
      <c r="S160" s="835">
        <v>265.58664312530271</v>
      </c>
      <c r="T160" s="835">
        <v>294.39834288725342</v>
      </c>
      <c r="U160" s="835">
        <v>322.55891859484802</v>
      </c>
      <c r="V160" s="835">
        <v>349.79679925141158</v>
      </c>
      <c r="W160" s="835">
        <v>378.02846020720392</v>
      </c>
      <c r="X160" s="835">
        <v>406.13891447767918</v>
      </c>
      <c r="Y160" s="835">
        <v>434.07405737528563</v>
      </c>
      <c r="Z160" s="835">
        <v>461.95284207039509</v>
      </c>
      <c r="AA160" s="835">
        <v>489.99185277514096</v>
      </c>
      <c r="AB160" s="835">
        <v>517.98270091712527</v>
      </c>
      <c r="AC160" s="835">
        <v>545.94364752698675</v>
      </c>
      <c r="AD160" s="835">
        <v>573.91104506491195</v>
      </c>
      <c r="AE160" s="835">
        <v>601.90059581354114</v>
      </c>
      <c r="AF160" s="835">
        <v>629.87778157314119</v>
      </c>
      <c r="AG160" s="835">
        <v>657.85155173714531</v>
      </c>
      <c r="AH160" s="835">
        <v>685.82852778968493</v>
      </c>
      <c r="AI160" s="835">
        <v>713.80789847087817</v>
      </c>
      <c r="AJ160" s="835">
        <v>741.78472413521251</v>
      </c>
      <c r="AK160" s="835">
        <v>769.76145977573026</v>
      </c>
      <c r="AL160" s="835">
        <v>797.7389367853765</v>
      </c>
      <c r="AM160" s="835">
        <v>825.71653903429944</v>
      </c>
      <c r="AN160" s="835">
        <v>853.69369917515473</v>
      </c>
      <c r="AO160" s="835">
        <v>881.67094293514026</v>
      </c>
      <c r="AP160" s="835">
        <v>909.64831372499282</v>
      </c>
      <c r="AQ160" s="835">
        <v>937.62565795989678</v>
      </c>
      <c r="AR160" s="835">
        <v>965.60293769129612</v>
      </c>
    </row>
    <row r="161" spans="1:44" ht="17.25" customHeight="1">
      <c r="A161" s="902" t="s">
        <v>1955</v>
      </c>
      <c r="C161" s="835">
        <v>120424.9802430486</v>
      </c>
      <c r="D161" s="835">
        <v>102060.9273077886</v>
      </c>
      <c r="E161" s="835">
        <v>94161.620083828602</v>
      </c>
      <c r="F161" s="835">
        <v>64494.135161878607</v>
      </c>
      <c r="G161" s="835">
        <v>62672.384611575799</v>
      </c>
      <c r="H161" s="835">
        <v>55584.192292875799</v>
      </c>
      <c r="I161" s="835">
        <v>44643.467957935798</v>
      </c>
      <c r="J161" s="835">
        <v>60517.302916355795</v>
      </c>
      <c r="K161" s="835">
        <v>61967.6849071498</v>
      </c>
      <c r="L161" s="835">
        <v>52317.978423279797</v>
      </c>
      <c r="M161" s="835">
        <v>53068.027327019801</v>
      </c>
      <c r="N161" s="835">
        <v>51830.075540809805</v>
      </c>
      <c r="O161" s="835">
        <v>-155.04087834870353</v>
      </c>
      <c r="P161" s="835">
        <v>-136.58880365932646</v>
      </c>
      <c r="Q161" s="835">
        <v>-130.89124415010718</v>
      </c>
      <c r="R161" s="835">
        <v>-128.00601370858186</v>
      </c>
      <c r="S161" s="835">
        <v>-137.63173496667883</v>
      </c>
      <c r="T161" s="835">
        <v>-133.27944912117448</v>
      </c>
      <c r="U161" s="835">
        <v>-132.45211048663469</v>
      </c>
      <c r="V161" s="835">
        <v>-132.84232707076745</v>
      </c>
      <c r="W161" s="835">
        <v>-134.05140541131294</v>
      </c>
      <c r="X161" s="835">
        <v>-133.15632302247326</v>
      </c>
      <c r="Y161" s="835">
        <v>-133.12554149779709</v>
      </c>
      <c r="Z161" s="835">
        <v>-133.29389925058774</v>
      </c>
      <c r="AA161" s="835">
        <v>-133.40679229554371</v>
      </c>
      <c r="AB161" s="835">
        <v>-133.24563901660048</v>
      </c>
      <c r="AC161" s="835">
        <v>-133.26796801513041</v>
      </c>
      <c r="AD161" s="835">
        <v>-133.30357464446558</v>
      </c>
      <c r="AE161" s="835">
        <v>-133.30599349293317</v>
      </c>
      <c r="AF161" s="835">
        <v>-133.28079379228421</v>
      </c>
      <c r="AG161" s="835">
        <v>-133.28958248620421</v>
      </c>
      <c r="AH161" s="835">
        <v>-133.29498610397184</v>
      </c>
      <c r="AI161" s="835">
        <v>-133.29283896884834</v>
      </c>
      <c r="AJ161" s="835">
        <v>-133.28955033782535</v>
      </c>
      <c r="AK161" s="835">
        <v>-133.29173947421151</v>
      </c>
      <c r="AL161" s="835">
        <v>-133.29227872121612</v>
      </c>
      <c r="AM161" s="835">
        <v>-133.29160187552628</v>
      </c>
      <c r="AN161" s="835">
        <v>-133.29129260219662</v>
      </c>
      <c r="AO161" s="835">
        <v>-133.2917281682885</v>
      </c>
      <c r="AP161" s="835">
        <v>-133.29172534180503</v>
      </c>
      <c r="AQ161" s="835">
        <v>-133.29158699695319</v>
      </c>
      <c r="AR161" s="835">
        <v>-133.29158327731176</v>
      </c>
    </row>
    <row r="162" spans="1:44" ht="17.25" customHeight="1">
      <c r="A162" s="902" t="s">
        <v>1956</v>
      </c>
      <c r="C162" s="835">
        <v>13348.636952590001</v>
      </c>
      <c r="D162" s="835">
        <v>15708.91028088</v>
      </c>
      <c r="E162" s="835">
        <v>17268.460645799998</v>
      </c>
      <c r="F162" s="835">
        <v>14256.148793410001</v>
      </c>
      <c r="G162" s="835">
        <v>14920.79513135</v>
      </c>
      <c r="H162" s="835">
        <v>16415.76167371</v>
      </c>
      <c r="I162" s="835">
        <v>17389.296284709999</v>
      </c>
      <c r="J162" s="835">
        <v>19049.354309119997</v>
      </c>
      <c r="K162" s="835">
        <v>19342.84307639</v>
      </c>
      <c r="L162" s="835">
        <v>25616.005900659999</v>
      </c>
      <c r="M162" s="835">
        <v>26319.719144830004</v>
      </c>
      <c r="N162" s="835">
        <v>38807.609143379996</v>
      </c>
      <c r="O162" s="835">
        <v>0.17444999999999999</v>
      </c>
      <c r="P162" s="835">
        <v>0.21806249999999999</v>
      </c>
      <c r="Q162" s="835">
        <v>0.272578125</v>
      </c>
      <c r="R162" s="835">
        <v>0.16627265624999998</v>
      </c>
      <c r="S162" s="835">
        <v>0.20784082031250001</v>
      </c>
      <c r="T162" s="835">
        <v>0.216188525390625</v>
      </c>
      <c r="U162" s="835">
        <v>0.21572003173828125</v>
      </c>
      <c r="V162" s="835">
        <v>0.20150550842285156</v>
      </c>
      <c r="W162" s="835">
        <v>0.21031372146606442</v>
      </c>
      <c r="X162" s="835">
        <v>0.21093194675445553</v>
      </c>
      <c r="Y162" s="835">
        <v>0.2096178020954132</v>
      </c>
      <c r="Z162" s="835">
        <v>0.20809224468469617</v>
      </c>
      <c r="AA162" s="835">
        <v>0.20973892875015732</v>
      </c>
      <c r="AB162" s="835">
        <v>0.20959523057118057</v>
      </c>
      <c r="AC162" s="835">
        <v>0.20926105152536179</v>
      </c>
      <c r="AD162" s="835">
        <v>0.20917186388284897</v>
      </c>
      <c r="AE162" s="835">
        <v>0.20944176868238715</v>
      </c>
      <c r="AF162" s="835">
        <v>0.20936747866544461</v>
      </c>
      <c r="AG162" s="835">
        <v>0.20931054068901064</v>
      </c>
      <c r="AH162" s="835">
        <v>0.20932291297992284</v>
      </c>
      <c r="AI162" s="835">
        <v>0.2093606752541913</v>
      </c>
      <c r="AJ162" s="835">
        <v>0.20934040189714234</v>
      </c>
      <c r="AK162" s="835">
        <v>0.2093336327050668</v>
      </c>
      <c r="AL162" s="835">
        <v>0.20933940570908083</v>
      </c>
      <c r="AM162" s="835">
        <v>0.20934352889137031</v>
      </c>
      <c r="AN162" s="835">
        <v>0.20933924230066506</v>
      </c>
      <c r="AO162" s="835">
        <v>0.20933895240154574</v>
      </c>
      <c r="AP162" s="835">
        <v>0.20934028232566548</v>
      </c>
      <c r="AQ162" s="835">
        <v>0.20934050147981165</v>
      </c>
      <c r="AR162" s="835">
        <v>0.20933974462692198</v>
      </c>
    </row>
    <row r="163" spans="1:44" ht="17.25" customHeight="1">
      <c r="A163" s="902" t="s">
        <v>661</v>
      </c>
      <c r="C163" s="835">
        <v>69.453259739999993</v>
      </c>
      <c r="D163" s="835">
        <v>119.09842186</v>
      </c>
      <c r="E163" s="835">
        <v>146.10947453</v>
      </c>
      <c r="F163" s="835">
        <v>343.97798963999998</v>
      </c>
      <c r="G163" s="835">
        <v>315.15439370000001</v>
      </c>
      <c r="H163" s="835">
        <v>376.95194810000004</v>
      </c>
      <c r="I163" s="835">
        <v>473.58277343000003</v>
      </c>
      <c r="J163" s="835">
        <v>495.07228205000001</v>
      </c>
      <c r="K163" s="835">
        <v>409.11360056000001</v>
      </c>
      <c r="L163" s="835">
        <v>591.42422174000001</v>
      </c>
      <c r="M163" s="835">
        <v>545.41553878000002</v>
      </c>
      <c r="N163" s="835">
        <v>705.3146974</v>
      </c>
      <c r="O163" s="835">
        <v>0</v>
      </c>
      <c r="P163" s="835">
        <v>0</v>
      </c>
      <c r="Q163" s="835">
        <v>0</v>
      </c>
      <c r="R163" s="835">
        <v>0</v>
      </c>
      <c r="S163" s="835">
        <v>0</v>
      </c>
      <c r="T163" s="835">
        <v>0</v>
      </c>
      <c r="U163" s="835">
        <v>0</v>
      </c>
      <c r="V163" s="835">
        <v>0</v>
      </c>
      <c r="W163" s="835">
        <v>0</v>
      </c>
      <c r="X163" s="835">
        <v>0</v>
      </c>
      <c r="Y163" s="835">
        <v>0</v>
      </c>
      <c r="Z163" s="835">
        <v>0</v>
      </c>
      <c r="AA163" s="835">
        <v>0</v>
      </c>
      <c r="AB163" s="835">
        <v>0</v>
      </c>
      <c r="AC163" s="835">
        <v>0</v>
      </c>
      <c r="AD163" s="835">
        <v>0</v>
      </c>
      <c r="AE163" s="835">
        <v>0</v>
      </c>
      <c r="AF163" s="835">
        <v>0</v>
      </c>
      <c r="AG163" s="835">
        <v>0</v>
      </c>
      <c r="AH163" s="835">
        <v>0</v>
      </c>
      <c r="AI163" s="835">
        <v>0</v>
      </c>
      <c r="AJ163" s="835">
        <v>0</v>
      </c>
      <c r="AK163" s="835">
        <v>0</v>
      </c>
      <c r="AL163" s="835">
        <v>0</v>
      </c>
      <c r="AM163" s="835">
        <v>0</v>
      </c>
      <c r="AN163" s="835">
        <v>0</v>
      </c>
      <c r="AO163" s="835">
        <v>0</v>
      </c>
      <c r="AP163" s="835">
        <v>0</v>
      </c>
      <c r="AQ163" s="835">
        <v>0</v>
      </c>
      <c r="AR163" s="835">
        <v>0</v>
      </c>
    </row>
    <row r="164" spans="1:44" ht="17.25" customHeight="1">
      <c r="A164" s="902" t="s">
        <v>1957</v>
      </c>
      <c r="C164" s="835">
        <v>0</v>
      </c>
      <c r="D164" s="835">
        <v>0</v>
      </c>
      <c r="E164" s="835">
        <v>0</v>
      </c>
      <c r="F164" s="835">
        <v>0</v>
      </c>
      <c r="G164" s="835">
        <v>0</v>
      </c>
      <c r="H164" s="835">
        <v>0</v>
      </c>
      <c r="I164" s="835">
        <v>0</v>
      </c>
      <c r="J164" s="835">
        <v>0</v>
      </c>
      <c r="K164" s="835">
        <v>0</v>
      </c>
      <c r="L164" s="835">
        <v>0</v>
      </c>
      <c r="M164" s="835">
        <v>0</v>
      </c>
      <c r="N164" s="835">
        <v>0</v>
      </c>
      <c r="O164" s="835">
        <v>0</v>
      </c>
      <c r="P164" s="835">
        <v>0</v>
      </c>
      <c r="Q164" s="835">
        <v>0</v>
      </c>
      <c r="R164" s="835">
        <v>0</v>
      </c>
      <c r="S164" s="835">
        <v>0</v>
      </c>
      <c r="T164" s="835">
        <v>0</v>
      </c>
      <c r="U164" s="835">
        <v>0</v>
      </c>
      <c r="V164" s="835">
        <v>0</v>
      </c>
      <c r="W164" s="835">
        <v>0</v>
      </c>
      <c r="X164" s="835">
        <v>0</v>
      </c>
      <c r="Y164" s="835">
        <v>0</v>
      </c>
      <c r="Z164" s="835">
        <v>0</v>
      </c>
      <c r="AA164" s="835">
        <v>0</v>
      </c>
      <c r="AB164" s="835">
        <v>0</v>
      </c>
      <c r="AC164" s="835">
        <v>0</v>
      </c>
      <c r="AD164" s="835">
        <v>0</v>
      </c>
      <c r="AE164" s="835">
        <v>0</v>
      </c>
      <c r="AF164" s="835">
        <v>0</v>
      </c>
      <c r="AG164" s="835">
        <v>0</v>
      </c>
      <c r="AH164" s="835">
        <v>0</v>
      </c>
      <c r="AI164" s="835">
        <v>0</v>
      </c>
      <c r="AJ164" s="835">
        <v>0</v>
      </c>
      <c r="AK164" s="835">
        <v>0</v>
      </c>
      <c r="AL164" s="835">
        <v>0</v>
      </c>
      <c r="AM164" s="835">
        <v>0</v>
      </c>
      <c r="AN164" s="835">
        <v>0</v>
      </c>
      <c r="AO164" s="835">
        <v>0</v>
      </c>
      <c r="AP164" s="835">
        <v>0</v>
      </c>
      <c r="AQ164" s="835">
        <v>0</v>
      </c>
      <c r="AR164" s="835">
        <v>0</v>
      </c>
    </row>
    <row r="165" spans="1:44" ht="17.25" customHeight="1">
      <c r="A165" s="902" t="s">
        <v>1958</v>
      </c>
      <c r="C165" s="835">
        <v>0</v>
      </c>
      <c r="D165" s="835">
        <v>0</v>
      </c>
      <c r="E165" s="835">
        <v>0</v>
      </c>
      <c r="F165" s="835">
        <v>0</v>
      </c>
      <c r="G165" s="835">
        <v>0</v>
      </c>
      <c r="H165" s="835">
        <v>0</v>
      </c>
      <c r="I165" s="835">
        <v>0</v>
      </c>
      <c r="J165" s="835">
        <v>0</v>
      </c>
      <c r="K165" s="835">
        <v>0</v>
      </c>
      <c r="L165" s="835">
        <v>0</v>
      </c>
      <c r="M165" s="835">
        <v>0</v>
      </c>
      <c r="N165" s="835">
        <v>0</v>
      </c>
      <c r="O165" s="835">
        <v>0.25</v>
      </c>
      <c r="P165" s="835">
        <v>6.25E-2</v>
      </c>
      <c r="Q165" s="835">
        <v>7.8125E-2</v>
      </c>
      <c r="R165" s="835">
        <v>9.765625E-2</v>
      </c>
      <c r="S165" s="835">
        <v>0.1220703125</v>
      </c>
      <c r="T165" s="835">
        <v>9.0087890625E-2</v>
      </c>
      <c r="U165" s="835">
        <v>9.698486328125E-2</v>
      </c>
      <c r="V165" s="835">
        <v>0.1016998291015625</v>
      </c>
      <c r="W165" s="835">
        <v>0.10271072387695313</v>
      </c>
      <c r="X165" s="835">
        <v>9.7870826721191406E-2</v>
      </c>
      <c r="Y165" s="835">
        <v>9.9816560745239258E-2</v>
      </c>
      <c r="Z165" s="835">
        <v>0.10052448511123657</v>
      </c>
      <c r="AA165" s="835">
        <v>0.10023064911365509</v>
      </c>
      <c r="AB165" s="835">
        <v>9.9610630422830582E-2</v>
      </c>
      <c r="AC165" s="835">
        <v>0.10004558134824038</v>
      </c>
      <c r="AD165" s="835">
        <v>0.10010283649899065</v>
      </c>
      <c r="AE165" s="835">
        <v>9.9997424345929176E-2</v>
      </c>
      <c r="AF165" s="835">
        <v>9.9939118153997697E-2</v>
      </c>
      <c r="AG165" s="835">
        <v>0.10002124008678948</v>
      </c>
      <c r="AH165" s="835">
        <v>0.10001515477142675</v>
      </c>
      <c r="AI165" s="835">
        <v>9.9993234339535775E-2</v>
      </c>
      <c r="AJ165" s="835">
        <v>9.9992186837937425E-2</v>
      </c>
      <c r="AK165" s="835">
        <v>0.10000545400892236</v>
      </c>
      <c r="AL165" s="835">
        <v>0.10000150748945558</v>
      </c>
      <c r="AM165" s="835">
        <v>9.9998095668962783E-2</v>
      </c>
      <c r="AN165" s="835">
        <v>9.9999311001319535E-2</v>
      </c>
      <c r="AO165" s="835">
        <v>0.10000109204216506</v>
      </c>
      <c r="AP165" s="835">
        <v>0.10000000155047574</v>
      </c>
      <c r="AQ165" s="835">
        <v>9.9999625065730777E-2</v>
      </c>
      <c r="AR165" s="835">
        <v>0.10000000741492278</v>
      </c>
    </row>
    <row r="166" spans="1:44" ht="17.25" customHeight="1">
      <c r="A166" s="902" t="s">
        <v>1959</v>
      </c>
      <c r="C166" s="835">
        <v>0</v>
      </c>
      <c r="D166" s="835">
        <v>0</v>
      </c>
      <c r="E166" s="835">
        <v>0</v>
      </c>
      <c r="F166" s="835">
        <v>0</v>
      </c>
      <c r="G166" s="835">
        <v>0</v>
      </c>
      <c r="H166" s="835">
        <v>0</v>
      </c>
      <c r="I166" s="835">
        <v>0</v>
      </c>
      <c r="J166" s="835">
        <v>0</v>
      </c>
      <c r="K166" s="835">
        <v>0</v>
      </c>
      <c r="L166" s="835">
        <v>0</v>
      </c>
      <c r="M166" s="835">
        <v>0</v>
      </c>
      <c r="N166" s="835">
        <v>0</v>
      </c>
      <c r="O166" s="835">
        <v>2.8310245399999996</v>
      </c>
      <c r="P166" s="835">
        <v>3.1655361524999996</v>
      </c>
      <c r="Q166" s="835">
        <v>3.4377580381249997</v>
      </c>
      <c r="R166" s="835">
        <v>3.6617687451562495</v>
      </c>
      <c r="S166" s="835">
        <v>3.274021868945312</v>
      </c>
      <c r="T166" s="835">
        <v>3.38477120118164</v>
      </c>
      <c r="U166" s="835">
        <v>3.4395799633520507</v>
      </c>
      <c r="V166" s="835">
        <v>3.4400354446588133</v>
      </c>
      <c r="W166" s="835">
        <v>3.3846021195344536</v>
      </c>
      <c r="X166" s="835">
        <v>3.4122471821817397</v>
      </c>
      <c r="Y166" s="835">
        <v>3.4191161774317642</v>
      </c>
      <c r="Z166" s="835">
        <v>3.4140002309516926</v>
      </c>
      <c r="AA166" s="835">
        <v>3.4074914275249126</v>
      </c>
      <c r="AB166" s="835">
        <v>3.413213754522527</v>
      </c>
      <c r="AC166" s="835">
        <v>3.413455397607724</v>
      </c>
      <c r="AD166" s="835">
        <v>3.4120402026517143</v>
      </c>
      <c r="AE166" s="835">
        <v>3.4115501955767193</v>
      </c>
      <c r="AF166" s="835">
        <v>3.4125648875896712</v>
      </c>
      <c r="AG166" s="835">
        <v>3.4124026708564568</v>
      </c>
      <c r="AH166" s="835">
        <v>3.4121394891686405</v>
      </c>
      <c r="AI166" s="835">
        <v>3.4121643107978721</v>
      </c>
      <c r="AJ166" s="835">
        <v>3.4123178396031602</v>
      </c>
      <c r="AK166" s="835">
        <v>3.4122560776065325</v>
      </c>
      <c r="AL166" s="835">
        <v>3.4122194292940513</v>
      </c>
      <c r="AM166" s="835">
        <v>3.4122394143254038</v>
      </c>
      <c r="AN166" s="835">
        <v>3.4122581902072868</v>
      </c>
      <c r="AO166" s="835">
        <v>3.4122432778583187</v>
      </c>
      <c r="AP166" s="835">
        <v>3.4122400779212652</v>
      </c>
      <c r="AQ166" s="835">
        <v>3.4122452400780685</v>
      </c>
      <c r="AR166" s="835">
        <v>3.4122466965162346</v>
      </c>
    </row>
    <row r="167" spans="1:44" ht="17.25" customHeight="1">
      <c r="A167" s="902" t="s">
        <v>668</v>
      </c>
      <c r="C167" s="835">
        <v>38738.306804400003</v>
      </c>
      <c r="D167" s="835">
        <v>37014.669341589994</v>
      </c>
      <c r="E167" s="835">
        <v>35769.492336830001</v>
      </c>
      <c r="F167" s="835">
        <v>37187.514988399998</v>
      </c>
      <c r="G167" s="835">
        <v>33823.955139949998</v>
      </c>
      <c r="H167" s="835">
        <v>30382.841783790002</v>
      </c>
      <c r="I167" s="835">
        <v>29346.788900080002</v>
      </c>
      <c r="J167" s="835">
        <v>28897.655815210001</v>
      </c>
      <c r="K167" s="835">
        <v>28239.644226119999</v>
      </c>
      <c r="L167" s="835">
        <v>28077.889202229999</v>
      </c>
      <c r="M167" s="835">
        <v>27937.586176380002</v>
      </c>
      <c r="N167" s="835">
        <v>29191.745237080002</v>
      </c>
      <c r="O167" s="835">
        <v>0</v>
      </c>
      <c r="P167" s="835">
        <v>0</v>
      </c>
      <c r="Q167" s="835">
        <v>0</v>
      </c>
      <c r="R167" s="835">
        <v>0</v>
      </c>
      <c r="S167" s="835">
        <v>0</v>
      </c>
      <c r="T167" s="835">
        <v>0</v>
      </c>
      <c r="U167" s="835">
        <v>0</v>
      </c>
      <c r="V167" s="835">
        <v>0</v>
      </c>
      <c r="W167" s="835">
        <v>0</v>
      </c>
      <c r="X167" s="835">
        <v>0</v>
      </c>
      <c r="Y167" s="835">
        <v>0</v>
      </c>
      <c r="Z167" s="835">
        <v>0</v>
      </c>
      <c r="AA167" s="835">
        <v>0</v>
      </c>
      <c r="AB167" s="835">
        <v>0</v>
      </c>
      <c r="AC167" s="835">
        <v>0</v>
      </c>
      <c r="AD167" s="835">
        <v>0</v>
      </c>
      <c r="AE167" s="835">
        <v>0</v>
      </c>
      <c r="AF167" s="835">
        <v>0</v>
      </c>
      <c r="AG167" s="835">
        <v>0</v>
      </c>
      <c r="AH167" s="835">
        <v>0</v>
      </c>
      <c r="AI167" s="835">
        <v>0</v>
      </c>
      <c r="AJ167" s="835">
        <v>0</v>
      </c>
      <c r="AK167" s="835">
        <v>0</v>
      </c>
      <c r="AL167" s="835">
        <v>0</v>
      </c>
      <c r="AM167" s="835">
        <v>0</v>
      </c>
      <c r="AN167" s="835">
        <v>0</v>
      </c>
      <c r="AO167" s="835">
        <v>0</v>
      </c>
      <c r="AP167" s="835">
        <v>0</v>
      </c>
      <c r="AQ167" s="835">
        <v>0</v>
      </c>
      <c r="AR167" s="835">
        <v>0</v>
      </c>
    </row>
    <row r="168" spans="1:44" ht="17.25" customHeight="1">
      <c r="A168" s="902" t="s">
        <v>1960</v>
      </c>
      <c r="C168" s="835">
        <v>0</v>
      </c>
      <c r="D168" s="835">
        <v>0</v>
      </c>
      <c r="E168" s="835">
        <v>0</v>
      </c>
      <c r="F168" s="835">
        <v>0</v>
      </c>
      <c r="G168" s="835">
        <v>0</v>
      </c>
      <c r="H168" s="835">
        <v>0</v>
      </c>
      <c r="I168" s="835">
        <v>0</v>
      </c>
      <c r="J168" s="835">
        <v>0</v>
      </c>
      <c r="K168" s="835">
        <v>0</v>
      </c>
      <c r="L168" s="835">
        <v>0</v>
      </c>
      <c r="M168" s="835">
        <v>0</v>
      </c>
      <c r="N168" s="835">
        <v>0</v>
      </c>
      <c r="O168" s="835">
        <v>0</v>
      </c>
      <c r="P168" s="835">
        <v>0</v>
      </c>
      <c r="Q168" s="835">
        <v>0</v>
      </c>
      <c r="R168" s="835">
        <v>0</v>
      </c>
      <c r="S168" s="835">
        <v>0</v>
      </c>
      <c r="T168" s="835">
        <v>0</v>
      </c>
      <c r="U168" s="835">
        <v>0</v>
      </c>
      <c r="V168" s="835">
        <v>0</v>
      </c>
      <c r="W168" s="835">
        <v>0</v>
      </c>
      <c r="X168" s="835">
        <v>0</v>
      </c>
      <c r="Y168" s="835">
        <v>0</v>
      </c>
      <c r="Z168" s="835">
        <v>0</v>
      </c>
      <c r="AA168" s="835">
        <v>0</v>
      </c>
      <c r="AB168" s="835">
        <v>0</v>
      </c>
      <c r="AC168" s="835">
        <v>0</v>
      </c>
      <c r="AD168" s="835">
        <v>0</v>
      </c>
      <c r="AE168" s="835">
        <v>0</v>
      </c>
      <c r="AF168" s="835">
        <v>0</v>
      </c>
      <c r="AG168" s="835">
        <v>0</v>
      </c>
      <c r="AH168" s="835">
        <v>0</v>
      </c>
      <c r="AI168" s="835">
        <v>0</v>
      </c>
      <c r="AJ168" s="835">
        <v>0</v>
      </c>
      <c r="AK168" s="835">
        <v>0</v>
      </c>
      <c r="AL168" s="835">
        <v>0</v>
      </c>
      <c r="AM168" s="835">
        <v>0</v>
      </c>
      <c r="AN168" s="835">
        <v>0</v>
      </c>
      <c r="AO168" s="835">
        <v>0</v>
      </c>
      <c r="AP168" s="835">
        <v>0</v>
      </c>
      <c r="AQ168" s="835">
        <v>0</v>
      </c>
      <c r="AR168" s="835">
        <v>0</v>
      </c>
    </row>
    <row r="169" spans="1:44" ht="17.25" customHeight="1">
      <c r="A169" s="902" t="s">
        <v>680</v>
      </c>
      <c r="C169" s="835">
        <v>0</v>
      </c>
      <c r="D169" s="835">
        <v>0</v>
      </c>
      <c r="E169" s="835">
        <v>0</v>
      </c>
      <c r="F169" s="835">
        <v>0</v>
      </c>
      <c r="G169" s="835">
        <v>0</v>
      </c>
      <c r="H169" s="835">
        <v>0</v>
      </c>
      <c r="I169" s="835">
        <v>0</v>
      </c>
      <c r="J169" s="835">
        <v>0</v>
      </c>
      <c r="K169" s="835">
        <v>0</v>
      </c>
      <c r="L169" s="835">
        <v>0</v>
      </c>
      <c r="M169" s="835">
        <v>0</v>
      </c>
      <c r="N169" s="835">
        <v>0</v>
      </c>
      <c r="O169" s="835">
        <v>0</v>
      </c>
      <c r="P169" s="835">
        <v>0</v>
      </c>
      <c r="Q169" s="835">
        <v>0</v>
      </c>
      <c r="R169" s="835">
        <v>0</v>
      </c>
      <c r="S169" s="835">
        <v>0</v>
      </c>
      <c r="T169" s="835">
        <v>0</v>
      </c>
      <c r="U169" s="835">
        <v>0</v>
      </c>
      <c r="V169" s="835">
        <v>0</v>
      </c>
      <c r="W169" s="835">
        <v>0</v>
      </c>
      <c r="X169" s="835">
        <v>0</v>
      </c>
      <c r="Y169" s="835">
        <v>0</v>
      </c>
      <c r="Z169" s="835">
        <v>0</v>
      </c>
      <c r="AA169" s="835">
        <v>0</v>
      </c>
      <c r="AB169" s="835">
        <v>0</v>
      </c>
      <c r="AC169" s="835">
        <v>0</v>
      </c>
      <c r="AD169" s="835">
        <v>0</v>
      </c>
      <c r="AE169" s="835">
        <v>0</v>
      </c>
      <c r="AF169" s="835">
        <v>0</v>
      </c>
      <c r="AG169" s="835">
        <v>0</v>
      </c>
      <c r="AH169" s="835">
        <v>0</v>
      </c>
      <c r="AI169" s="835">
        <v>0</v>
      </c>
      <c r="AJ169" s="835">
        <v>0</v>
      </c>
      <c r="AK169" s="835">
        <v>0</v>
      </c>
      <c r="AL169" s="835">
        <v>0</v>
      </c>
      <c r="AM169" s="835">
        <v>0</v>
      </c>
      <c r="AN169" s="835">
        <v>0</v>
      </c>
      <c r="AO169" s="835">
        <v>0</v>
      </c>
      <c r="AP169" s="835">
        <v>0</v>
      </c>
      <c r="AQ169" s="835">
        <v>0</v>
      </c>
      <c r="AR169" s="835">
        <v>0</v>
      </c>
    </row>
    <row r="170" spans="1:44" ht="17.25" customHeight="1">
      <c r="A170" s="902" t="s">
        <v>1961</v>
      </c>
      <c r="C170" s="835">
        <v>144.05076500000001</v>
      </c>
      <c r="D170" s="835">
        <v>129.53296381000001</v>
      </c>
      <c r="E170" s="835">
        <v>135.09498446999999</v>
      </c>
      <c r="F170" s="835">
        <v>83.477099620000004</v>
      </c>
      <c r="G170" s="835">
        <v>82.792722010000006</v>
      </c>
      <c r="H170" s="835">
        <v>82.108344400000007</v>
      </c>
      <c r="I170" s="835">
        <v>303.93726430999999</v>
      </c>
      <c r="J170" s="835">
        <v>314.42370039999997</v>
      </c>
      <c r="K170" s="835">
        <v>388.29039455000003</v>
      </c>
      <c r="L170" s="835">
        <v>397.57357172000002</v>
      </c>
      <c r="M170" s="835">
        <v>394.67963551999998</v>
      </c>
      <c r="N170" s="835">
        <v>391.78569943999997</v>
      </c>
      <c r="O170" s="835">
        <v>0</v>
      </c>
      <c r="P170" s="835">
        <v>0</v>
      </c>
      <c r="Q170" s="835">
        <v>0</v>
      </c>
      <c r="R170" s="835">
        <v>0</v>
      </c>
      <c r="S170" s="835">
        <v>0</v>
      </c>
      <c r="T170" s="835">
        <v>0</v>
      </c>
      <c r="U170" s="835">
        <v>0</v>
      </c>
      <c r="V170" s="835">
        <v>0</v>
      </c>
      <c r="W170" s="835">
        <v>0</v>
      </c>
      <c r="X170" s="835">
        <v>0</v>
      </c>
      <c r="Y170" s="835">
        <v>0</v>
      </c>
      <c r="Z170" s="835">
        <v>0</v>
      </c>
      <c r="AA170" s="835">
        <v>0</v>
      </c>
      <c r="AB170" s="835">
        <v>0</v>
      </c>
      <c r="AC170" s="835">
        <v>0</v>
      </c>
      <c r="AD170" s="835">
        <v>0</v>
      </c>
      <c r="AE170" s="835">
        <v>0</v>
      </c>
      <c r="AF170" s="835">
        <v>0</v>
      </c>
      <c r="AG170" s="835">
        <v>0</v>
      </c>
      <c r="AH170" s="835">
        <v>0</v>
      </c>
      <c r="AI170" s="835">
        <v>0</v>
      </c>
      <c r="AJ170" s="835">
        <v>0</v>
      </c>
      <c r="AK170" s="835">
        <v>0</v>
      </c>
      <c r="AL170" s="835">
        <v>0</v>
      </c>
      <c r="AM170" s="835">
        <v>0</v>
      </c>
      <c r="AN170" s="835">
        <v>0</v>
      </c>
      <c r="AO170" s="835">
        <v>0</v>
      </c>
      <c r="AP170" s="835">
        <v>0</v>
      </c>
      <c r="AQ170" s="835">
        <v>0</v>
      </c>
      <c r="AR170" s="835">
        <v>0</v>
      </c>
    </row>
    <row r="171" spans="1:44" ht="17.25" customHeight="1">
      <c r="A171" s="902" t="s">
        <v>1962</v>
      </c>
      <c r="C171" s="835">
        <v>0</v>
      </c>
      <c r="D171" s="835">
        <v>0</v>
      </c>
      <c r="E171" s="835">
        <v>0</v>
      </c>
      <c r="F171" s="835">
        <v>0</v>
      </c>
      <c r="G171" s="835">
        <v>0</v>
      </c>
      <c r="H171" s="835">
        <v>0</v>
      </c>
      <c r="I171" s="835">
        <v>0</v>
      </c>
      <c r="J171" s="835">
        <v>0</v>
      </c>
      <c r="K171" s="835">
        <v>0</v>
      </c>
      <c r="L171" s="835">
        <v>0</v>
      </c>
      <c r="M171" s="835">
        <v>0</v>
      </c>
      <c r="N171" s="835">
        <v>0</v>
      </c>
      <c r="O171" s="835">
        <v>0</v>
      </c>
      <c r="P171" s="835">
        <v>0</v>
      </c>
      <c r="Q171" s="835">
        <v>0</v>
      </c>
      <c r="R171" s="835">
        <v>0</v>
      </c>
      <c r="S171" s="835">
        <v>0</v>
      </c>
      <c r="T171" s="835">
        <v>0</v>
      </c>
      <c r="U171" s="835">
        <v>0</v>
      </c>
      <c r="V171" s="835">
        <v>0</v>
      </c>
      <c r="W171" s="835">
        <v>0</v>
      </c>
      <c r="X171" s="835">
        <v>0</v>
      </c>
      <c r="Y171" s="835">
        <v>0</v>
      </c>
      <c r="Z171" s="835">
        <v>0</v>
      </c>
      <c r="AA171" s="835">
        <v>0</v>
      </c>
      <c r="AB171" s="835">
        <v>0</v>
      </c>
      <c r="AC171" s="835">
        <v>0</v>
      </c>
      <c r="AD171" s="835">
        <v>0</v>
      </c>
      <c r="AE171" s="835">
        <v>0</v>
      </c>
      <c r="AF171" s="835">
        <v>0</v>
      </c>
      <c r="AG171" s="835">
        <v>0</v>
      </c>
      <c r="AH171" s="835">
        <v>0</v>
      </c>
      <c r="AI171" s="835">
        <v>0</v>
      </c>
      <c r="AJ171" s="835">
        <v>0</v>
      </c>
      <c r="AK171" s="835">
        <v>0</v>
      </c>
      <c r="AL171" s="835">
        <v>0</v>
      </c>
      <c r="AM171" s="835">
        <v>0</v>
      </c>
      <c r="AN171" s="835">
        <v>0</v>
      </c>
      <c r="AO171" s="835">
        <v>0</v>
      </c>
      <c r="AP171" s="835">
        <v>0</v>
      </c>
      <c r="AQ171" s="835">
        <v>0</v>
      </c>
      <c r="AR171" s="835">
        <v>0</v>
      </c>
    </row>
    <row r="172" spans="1:44" ht="17.25" customHeight="1">
      <c r="A172" s="902" t="s">
        <v>909</v>
      </c>
      <c r="C172" s="835">
        <v>959.95366614</v>
      </c>
      <c r="D172" s="835">
        <v>922.56051903999992</v>
      </c>
      <c r="E172" s="835">
        <v>781.03576539999995</v>
      </c>
      <c r="F172" s="835">
        <v>1128.0672619300001</v>
      </c>
      <c r="G172" s="835">
        <v>1012.85394017</v>
      </c>
      <c r="H172" s="835">
        <v>826.04445945999998</v>
      </c>
      <c r="I172" s="835">
        <v>949.7361061900001</v>
      </c>
      <c r="J172" s="835">
        <v>1344.3669633099998</v>
      </c>
      <c r="K172" s="835">
        <v>999.63169209</v>
      </c>
      <c r="L172" s="835">
        <v>737.83882370000003</v>
      </c>
      <c r="M172" s="835">
        <v>864.56734726000002</v>
      </c>
      <c r="N172" s="835">
        <v>836.68825947000005</v>
      </c>
      <c r="O172" s="835">
        <v>10.3397467725</v>
      </c>
      <c r="P172" s="835">
        <v>10.029003453125</v>
      </c>
      <c r="Q172" s="835">
        <v>9.7286487914062505</v>
      </c>
      <c r="R172" s="835">
        <v>9.5808618317578116</v>
      </c>
      <c r="S172" s="835">
        <v>9.9195652121972664</v>
      </c>
      <c r="T172" s="835">
        <v>9.8145198221215821</v>
      </c>
      <c r="U172" s="835">
        <v>9.7608989143707277</v>
      </c>
      <c r="V172" s="835">
        <v>9.7689614451118469</v>
      </c>
      <c r="W172" s="835">
        <v>9.8159863484503553</v>
      </c>
      <c r="X172" s="835">
        <v>9.7900916325136276</v>
      </c>
      <c r="Y172" s="835">
        <v>9.7839845851116394</v>
      </c>
      <c r="Z172" s="835">
        <v>9.7897560027968673</v>
      </c>
      <c r="AA172" s="835">
        <v>9.7949546422181228</v>
      </c>
      <c r="AB172" s="835">
        <v>9.7896967156600638</v>
      </c>
      <c r="AC172" s="835">
        <v>9.7895979864466725</v>
      </c>
      <c r="AD172" s="835">
        <v>9.7910013367804325</v>
      </c>
      <c r="AE172" s="835">
        <v>9.7913126702763229</v>
      </c>
      <c r="AF172" s="835">
        <v>9.790402177290872</v>
      </c>
      <c r="AG172" s="835">
        <v>9.7905785426985759</v>
      </c>
      <c r="AH172" s="835">
        <v>9.7908236817615517</v>
      </c>
      <c r="AI172" s="835">
        <v>9.7907792680068297</v>
      </c>
      <c r="AJ172" s="835">
        <v>9.7906459174394573</v>
      </c>
      <c r="AK172" s="835">
        <v>9.7907068524766032</v>
      </c>
      <c r="AL172" s="835">
        <v>9.7907389299211101</v>
      </c>
      <c r="AM172" s="835">
        <v>9.7907177419610001</v>
      </c>
      <c r="AN172" s="835">
        <v>9.7907023604495418</v>
      </c>
      <c r="AO172" s="835">
        <v>9.7907164712020638</v>
      </c>
      <c r="AP172" s="835">
        <v>9.790718875883428</v>
      </c>
      <c r="AQ172" s="835">
        <v>9.7907138623740089</v>
      </c>
      <c r="AR172" s="835">
        <v>9.7907128924772611</v>
      </c>
    </row>
    <row r="173" spans="1:44" s="892" customFormat="1" ht="17.25" customHeight="1">
      <c r="A173" s="903" t="s">
        <v>1963</v>
      </c>
      <c r="C173" s="892">
        <v>0</v>
      </c>
      <c r="D173" s="892">
        <v>0</v>
      </c>
      <c r="E173" s="892">
        <v>0</v>
      </c>
      <c r="F173" s="892">
        <v>0</v>
      </c>
      <c r="G173" s="892">
        <v>0</v>
      </c>
      <c r="H173" s="892">
        <v>0</v>
      </c>
      <c r="I173" s="892">
        <v>0</v>
      </c>
      <c r="J173" s="892">
        <v>0</v>
      </c>
      <c r="K173" s="892">
        <v>0</v>
      </c>
      <c r="L173" s="892">
        <v>0</v>
      </c>
      <c r="M173" s="892">
        <v>0</v>
      </c>
      <c r="N173" s="892">
        <v>0</v>
      </c>
      <c r="O173" s="892">
        <v>0</v>
      </c>
      <c r="P173" s="892">
        <v>0</v>
      </c>
      <c r="Q173" s="892">
        <v>0</v>
      </c>
      <c r="R173" s="892">
        <v>0</v>
      </c>
      <c r="S173" s="892">
        <v>0</v>
      </c>
      <c r="T173" s="892">
        <v>0</v>
      </c>
      <c r="U173" s="892">
        <v>0</v>
      </c>
      <c r="V173" s="892">
        <v>0</v>
      </c>
      <c r="W173" s="892">
        <v>0</v>
      </c>
      <c r="X173" s="892">
        <v>0</v>
      </c>
      <c r="Y173" s="892">
        <v>0</v>
      </c>
      <c r="Z173" s="892">
        <v>0</v>
      </c>
      <c r="AA173" s="892">
        <v>0</v>
      </c>
      <c r="AB173" s="892">
        <v>0</v>
      </c>
      <c r="AC173" s="892">
        <v>0</v>
      </c>
      <c r="AD173" s="892">
        <v>0</v>
      </c>
      <c r="AE173" s="892">
        <v>0</v>
      </c>
      <c r="AF173" s="892">
        <v>0</v>
      </c>
      <c r="AG173" s="892">
        <v>0</v>
      </c>
      <c r="AH173" s="892">
        <v>0</v>
      </c>
      <c r="AI173" s="892">
        <v>0</v>
      </c>
      <c r="AJ173" s="892">
        <v>0</v>
      </c>
      <c r="AK173" s="892">
        <v>0</v>
      </c>
      <c r="AL173" s="892">
        <v>0</v>
      </c>
      <c r="AM173" s="892">
        <v>0</v>
      </c>
      <c r="AN173" s="892">
        <v>0</v>
      </c>
      <c r="AO173" s="892">
        <v>0</v>
      </c>
      <c r="AP173" s="892">
        <v>0</v>
      </c>
      <c r="AQ173" s="892">
        <v>0</v>
      </c>
      <c r="AR173" s="892">
        <v>0</v>
      </c>
    </row>
    <row r="176" spans="1:44" s="904" customFormat="1" ht="17.25" customHeight="1">
      <c r="A176" s="885" t="s">
        <v>1964</v>
      </c>
    </row>
    <row r="177" spans="1:44" ht="17.25" customHeight="1">
      <c r="A177" s="902" t="s">
        <v>1965</v>
      </c>
      <c r="C177" s="835">
        <f>C2</f>
        <v>795.45671037</v>
      </c>
      <c r="D177" s="835">
        <f t="shared" ref="D177:AR177" si="21">D2</f>
        <v>810.12524192000001</v>
      </c>
      <c r="E177" s="835">
        <f t="shared" si="21"/>
        <v>907.76238526999998</v>
      </c>
      <c r="F177" s="835">
        <f t="shared" si="21"/>
        <v>563.98696703999997</v>
      </c>
      <c r="G177" s="835">
        <f t="shared" si="21"/>
        <v>542.51478937000002</v>
      </c>
      <c r="H177" s="835">
        <f t="shared" si="21"/>
        <v>552.21610275</v>
      </c>
      <c r="I177" s="835">
        <f t="shared" si="21"/>
        <v>2581.9886689699997</v>
      </c>
      <c r="J177" s="835">
        <f t="shared" si="21"/>
        <v>2646.5256020300003</v>
      </c>
      <c r="K177" s="835">
        <f t="shared" si="21"/>
        <v>2515.5776969200001</v>
      </c>
      <c r="L177" s="835">
        <f t="shared" si="21"/>
        <v>2453.7930225599998</v>
      </c>
      <c r="M177" s="835">
        <f t="shared" si="21"/>
        <v>2398.2627629799999</v>
      </c>
      <c r="N177" s="835">
        <f t="shared" si="21"/>
        <v>2551.15089579</v>
      </c>
      <c r="O177" s="835">
        <f t="shared" si="21"/>
        <v>780.97988032250021</v>
      </c>
      <c r="P177" s="835">
        <f t="shared" si="21"/>
        <v>720.7132453663902</v>
      </c>
      <c r="Q177" s="835">
        <f t="shared" si="21"/>
        <v>656.76114777953126</v>
      </c>
      <c r="R177" s="835">
        <f t="shared" si="21"/>
        <v>589.49213382499818</v>
      </c>
      <c r="S177" s="835">
        <f t="shared" si="21"/>
        <v>519.23789513955842</v>
      </c>
      <c r="T177" s="835">
        <f t="shared" si="21"/>
        <v>446.29695419630258</v>
      </c>
      <c r="U177" s="835">
        <f t="shared" si="21"/>
        <v>370.93798122101231</v>
      </c>
      <c r="V177" s="835">
        <f t="shared" si="21"/>
        <v>293.40277941689106</v>
      </c>
      <c r="W177" s="835">
        <f t="shared" si="21"/>
        <v>213.90897166682197</v>
      </c>
      <c r="X177" s="835">
        <f t="shared" si="21"/>
        <v>132.65241856539978</v>
      </c>
      <c r="Y177" s="835">
        <f t="shared" si="21"/>
        <v>128.83766967715982</v>
      </c>
      <c r="Z177" s="835">
        <f t="shared" si="21"/>
        <v>125.40439567774386</v>
      </c>
      <c r="AA177" s="835">
        <f t="shared" si="21"/>
        <v>122.31444907826949</v>
      </c>
      <c r="AB177" s="835">
        <f t="shared" si="21"/>
        <v>119.53349713874256</v>
      </c>
      <c r="AC177" s="835">
        <f t="shared" si="21"/>
        <v>117.03064039316833</v>
      </c>
      <c r="AD177" s="835">
        <f t="shared" si="21"/>
        <v>114.77806932215151</v>
      </c>
      <c r="AE177" s="835">
        <f t="shared" si="21"/>
        <v>112.75075535823638</v>
      </c>
      <c r="AF177" s="835">
        <f t="shared" si="21"/>
        <v>110.92617279071276</v>
      </c>
      <c r="AG177" s="835">
        <f t="shared" si="21"/>
        <v>109.2840484799415</v>
      </c>
      <c r="AH177" s="835">
        <f t="shared" si="21"/>
        <v>107.80613660024737</v>
      </c>
      <c r="AI177" s="835">
        <f t="shared" si="21"/>
        <v>106.47601590852264</v>
      </c>
      <c r="AJ177" s="835">
        <f t="shared" si="21"/>
        <v>105.27890728597039</v>
      </c>
      <c r="AK177" s="835">
        <f t="shared" si="21"/>
        <v>104.20150952567336</v>
      </c>
      <c r="AL177" s="835">
        <f t="shared" si="21"/>
        <v>103.23185154140604</v>
      </c>
      <c r="AM177" s="835">
        <f t="shared" si="21"/>
        <v>102.35915935556545</v>
      </c>
      <c r="AN177" s="835">
        <f t="shared" si="21"/>
        <v>101.57373638830893</v>
      </c>
      <c r="AO177" s="835">
        <f t="shared" si="21"/>
        <v>100.86685571777805</v>
      </c>
      <c r="AP177" s="835">
        <f t="shared" si="21"/>
        <v>100.23066311430027</v>
      </c>
      <c r="AQ177" s="835">
        <f t="shared" si="21"/>
        <v>99.658089771170253</v>
      </c>
      <c r="AR177" s="835">
        <f t="shared" si="21"/>
        <v>99.142773762353244</v>
      </c>
    </row>
    <row r="178" spans="1:44" ht="17.25" customHeight="1">
      <c r="A178" s="902" t="s">
        <v>1966</v>
      </c>
      <c r="C178" s="835">
        <f>C19</f>
        <v>-7387.7296048185999</v>
      </c>
      <c r="D178" s="835">
        <f t="shared" ref="D178:AR178" si="22">D19</f>
        <v>-5867.4808539085989</v>
      </c>
      <c r="E178" s="835">
        <f t="shared" si="22"/>
        <v>-5881.9458496486004</v>
      </c>
      <c r="F178" s="835">
        <f t="shared" si="22"/>
        <v>-8693.7016017785991</v>
      </c>
      <c r="G178" s="835">
        <f t="shared" si="22"/>
        <v>-6181.3190601657998</v>
      </c>
      <c r="H178" s="835">
        <f t="shared" si="22"/>
        <v>-4411.3791285857997</v>
      </c>
      <c r="I178" s="835">
        <f t="shared" si="22"/>
        <v>-3025.1927997257999</v>
      </c>
      <c r="J178" s="835">
        <f t="shared" si="22"/>
        <v>-5547.0661902858001</v>
      </c>
      <c r="K178" s="835">
        <f t="shared" si="22"/>
        <v>-3432.8604038497997</v>
      </c>
      <c r="L178" s="835">
        <f t="shared" si="22"/>
        <v>-2545.1825448897998</v>
      </c>
      <c r="M178" s="835">
        <f t="shared" si="22"/>
        <v>-2271.1475998897995</v>
      </c>
      <c r="N178" s="835">
        <f t="shared" si="22"/>
        <v>-2975.9516071097996</v>
      </c>
      <c r="O178" s="835">
        <f t="shared" si="22"/>
        <v>616.76176166870005</v>
      </c>
      <c r="P178" s="835">
        <f t="shared" si="22"/>
        <v>641.05447535432518</v>
      </c>
      <c r="Q178" s="835">
        <f t="shared" si="22"/>
        <v>656.26611422635631</v>
      </c>
      <c r="R178" s="835">
        <f t="shared" si="22"/>
        <v>640.57033363139544</v>
      </c>
      <c r="S178" s="835">
        <f t="shared" si="22"/>
        <v>638.66317122019427</v>
      </c>
      <c r="T178" s="835">
        <f t="shared" si="22"/>
        <v>644.13852360806777</v>
      </c>
      <c r="U178" s="835">
        <f t="shared" si="22"/>
        <v>644.90953567150336</v>
      </c>
      <c r="V178" s="835">
        <f t="shared" si="22"/>
        <v>642.07039103278998</v>
      </c>
      <c r="W178" s="835">
        <f t="shared" si="22"/>
        <v>642.4454053831389</v>
      </c>
      <c r="X178" s="835">
        <f t="shared" si="22"/>
        <v>643.39096392387501</v>
      </c>
      <c r="Y178" s="835">
        <f t="shared" si="22"/>
        <v>643.20407400282681</v>
      </c>
      <c r="Z178" s="835">
        <f t="shared" si="22"/>
        <v>642.77770858565782</v>
      </c>
      <c r="AA178" s="835">
        <f t="shared" si="22"/>
        <v>642.95453797387461</v>
      </c>
      <c r="AB178" s="835">
        <f t="shared" si="22"/>
        <v>643.08182112155862</v>
      </c>
      <c r="AC178" s="835">
        <f t="shared" si="22"/>
        <v>643.00453542097944</v>
      </c>
      <c r="AD178" s="835">
        <f t="shared" si="22"/>
        <v>642.95465077551762</v>
      </c>
      <c r="AE178" s="835">
        <f t="shared" si="22"/>
        <v>642.99888632298257</v>
      </c>
      <c r="AF178" s="835">
        <f t="shared" si="22"/>
        <v>643.00997341025959</v>
      </c>
      <c r="AG178" s="835">
        <f t="shared" si="22"/>
        <v>642.99201148243492</v>
      </c>
      <c r="AH178" s="835">
        <f t="shared" si="22"/>
        <v>642.98888049779885</v>
      </c>
      <c r="AI178" s="835">
        <f t="shared" si="22"/>
        <v>642.99743792836898</v>
      </c>
      <c r="AJ178" s="835">
        <f t="shared" si="22"/>
        <v>642.99707582971541</v>
      </c>
      <c r="AK178" s="835">
        <f t="shared" si="22"/>
        <v>642.99385143457948</v>
      </c>
      <c r="AL178" s="835">
        <f t="shared" si="22"/>
        <v>642.99431142261574</v>
      </c>
      <c r="AM178" s="835">
        <f t="shared" si="22"/>
        <v>642.99566915381979</v>
      </c>
      <c r="AN178" s="835">
        <f t="shared" si="22"/>
        <v>642.99522696018244</v>
      </c>
      <c r="AO178" s="835">
        <f t="shared" si="22"/>
        <v>642.99476474279936</v>
      </c>
      <c r="AP178" s="835">
        <f t="shared" si="22"/>
        <v>642.99499306985422</v>
      </c>
      <c r="AQ178" s="835">
        <f t="shared" si="22"/>
        <v>642.99516348166424</v>
      </c>
      <c r="AR178" s="835">
        <f t="shared" si="22"/>
        <v>642.99503706362498</v>
      </c>
    </row>
    <row r="179" spans="1:44" ht="17.25" customHeight="1">
      <c r="A179" s="902" t="s">
        <v>1967</v>
      </c>
      <c r="C179" s="835">
        <f>C98</f>
        <v>1711.61108122</v>
      </c>
      <c r="D179" s="835">
        <f t="shared" ref="D179:AR179" si="23">D98</f>
        <v>1738.3719165299999</v>
      </c>
      <c r="E179" s="835">
        <f t="shared" si="23"/>
        <v>1873.46274339</v>
      </c>
      <c r="F179" s="835">
        <f t="shared" si="23"/>
        <v>2029.6441301899999</v>
      </c>
      <c r="G179" s="835">
        <f t="shared" si="23"/>
        <v>2139.6237448000002</v>
      </c>
      <c r="H179" s="835">
        <f t="shared" si="23"/>
        <v>2282.6596865300003</v>
      </c>
      <c r="I179" s="835">
        <f t="shared" si="23"/>
        <v>336.80487155999998</v>
      </c>
      <c r="J179" s="835">
        <f t="shared" si="23"/>
        <v>830.68026798999995</v>
      </c>
      <c r="K179" s="835">
        <f t="shared" si="23"/>
        <v>916.18414766000001</v>
      </c>
      <c r="L179" s="835">
        <f t="shared" si="23"/>
        <v>976.30625979000001</v>
      </c>
      <c r="M179" s="835">
        <f t="shared" si="23"/>
        <v>1008.9614755900001</v>
      </c>
      <c r="N179" s="835">
        <f t="shared" si="23"/>
        <v>929.62487710999994</v>
      </c>
      <c r="O179" s="835">
        <f t="shared" si="23"/>
        <v>389.12271245272325</v>
      </c>
      <c r="P179" s="835">
        <f t="shared" si="23"/>
        <v>384.11037579778326</v>
      </c>
      <c r="Q179" s="835">
        <f t="shared" si="23"/>
        <v>379.49763122581697</v>
      </c>
      <c r="R179" s="835">
        <f t="shared" si="23"/>
        <v>379.84846704310007</v>
      </c>
      <c r="S179" s="835">
        <f t="shared" si="23"/>
        <v>376.92983103426843</v>
      </c>
      <c r="T179" s="835">
        <f t="shared" si="23"/>
        <v>376.36909266913102</v>
      </c>
      <c r="U179" s="835">
        <f t="shared" si="23"/>
        <v>376.52074989311865</v>
      </c>
      <c r="V179" s="835">
        <f t="shared" si="23"/>
        <v>377.5030539811018</v>
      </c>
      <c r="W179" s="835">
        <f t="shared" si="23"/>
        <v>378.31881691026615</v>
      </c>
      <c r="X179" s="835">
        <f t="shared" si="23"/>
        <v>379.77621217008533</v>
      </c>
      <c r="Y179" s="835">
        <f t="shared" si="23"/>
        <v>381.47537017268377</v>
      </c>
      <c r="Z179" s="835">
        <f t="shared" si="23"/>
        <v>384.22111390131982</v>
      </c>
      <c r="AA179" s="835">
        <f t="shared" si="23"/>
        <v>387.17439271393772</v>
      </c>
      <c r="AB179" s="835">
        <f t="shared" si="23"/>
        <v>390.45971496043751</v>
      </c>
      <c r="AC179" s="835">
        <f t="shared" si="23"/>
        <v>393.8730117601724</v>
      </c>
      <c r="AD179" s="835">
        <f t="shared" si="23"/>
        <v>397.39285854188842</v>
      </c>
      <c r="AE179" s="835">
        <f t="shared" si="23"/>
        <v>400.96658398271461</v>
      </c>
      <c r="AF179" s="835">
        <f t="shared" si="23"/>
        <v>404.56973868684901</v>
      </c>
      <c r="AG179" s="835">
        <f t="shared" si="23"/>
        <v>408.13923735102264</v>
      </c>
      <c r="AH179" s="835">
        <f t="shared" si="23"/>
        <v>411.64598374237363</v>
      </c>
      <c r="AI179" s="835">
        <f t="shared" si="23"/>
        <v>415.05783257109402</v>
      </c>
      <c r="AJ179" s="835">
        <f t="shared" si="23"/>
        <v>418.34675202825269</v>
      </c>
      <c r="AK179" s="835">
        <f t="shared" si="23"/>
        <v>421.48289847698561</v>
      </c>
      <c r="AL179" s="835">
        <f t="shared" si="23"/>
        <v>424.44391409484479</v>
      </c>
      <c r="AM179" s="835">
        <f t="shared" si="23"/>
        <v>427.20838352001874</v>
      </c>
      <c r="AN179" s="835">
        <f t="shared" si="23"/>
        <v>429.75690594492505</v>
      </c>
      <c r="AO179" s="835">
        <f t="shared" si="23"/>
        <v>432.07163717732544</v>
      </c>
      <c r="AP179" s="835">
        <f t="shared" si="23"/>
        <v>434.13719186464402</v>
      </c>
      <c r="AQ179" s="835">
        <f t="shared" si="23"/>
        <v>435.93944085242867</v>
      </c>
      <c r="AR179" s="835">
        <f t="shared" si="23"/>
        <v>437.46563831065708</v>
      </c>
    </row>
    <row r="180" spans="1:44" s="892" customFormat="1" ht="17.25" customHeight="1">
      <c r="A180" s="903" t="s">
        <v>1968</v>
      </c>
      <c r="C180" s="892">
        <f>SUM(C177:C179)</f>
        <v>-4880.6618132286003</v>
      </c>
      <c r="D180" s="892">
        <f t="shared" ref="D180:AR180" si="24">SUM(D177:D179)</f>
        <v>-3318.983695458599</v>
      </c>
      <c r="E180" s="892">
        <f t="shared" si="24"/>
        <v>-3100.7207209886005</v>
      </c>
      <c r="F180" s="892">
        <f t="shared" si="24"/>
        <v>-6100.0705045485993</v>
      </c>
      <c r="G180" s="892">
        <f t="shared" si="24"/>
        <v>-3499.1805259957991</v>
      </c>
      <c r="H180" s="892">
        <f t="shared" si="24"/>
        <v>-1576.5033393057993</v>
      </c>
      <c r="I180" s="892">
        <f t="shared" si="24"/>
        <v>-106.3992591958002</v>
      </c>
      <c r="J180" s="892">
        <f t="shared" si="24"/>
        <v>-2069.8603202657996</v>
      </c>
      <c r="K180" s="892">
        <f t="shared" si="24"/>
        <v>-1.0985592697995799</v>
      </c>
      <c r="L180" s="892">
        <f t="shared" si="24"/>
        <v>884.91673746020001</v>
      </c>
      <c r="M180" s="892">
        <f t="shared" si="24"/>
        <v>1136.0766386802006</v>
      </c>
      <c r="N180" s="892">
        <f t="shared" si="24"/>
        <v>504.82416579020037</v>
      </c>
      <c r="O180" s="892">
        <f t="shared" si="24"/>
        <v>1786.8643544439233</v>
      </c>
      <c r="P180" s="892">
        <f t="shared" si="24"/>
        <v>1745.8780965184985</v>
      </c>
      <c r="Q180" s="892">
        <f t="shared" si="24"/>
        <v>1692.5248932317047</v>
      </c>
      <c r="R180" s="892">
        <f t="shared" si="24"/>
        <v>1609.9109344994938</v>
      </c>
      <c r="S180" s="892">
        <f t="shared" si="24"/>
        <v>1534.8308973940211</v>
      </c>
      <c r="T180" s="892">
        <f t="shared" si="24"/>
        <v>1466.8045704735014</v>
      </c>
      <c r="U180" s="892">
        <f t="shared" si="24"/>
        <v>1392.3682667856342</v>
      </c>
      <c r="V180" s="892">
        <f t="shared" si="24"/>
        <v>1312.9762244307828</v>
      </c>
      <c r="W180" s="892">
        <f t="shared" si="24"/>
        <v>1234.6731939602271</v>
      </c>
      <c r="X180" s="892">
        <f t="shared" si="24"/>
        <v>1155.8195946593601</v>
      </c>
      <c r="Y180" s="892">
        <f t="shared" si="24"/>
        <v>1153.5171138526705</v>
      </c>
      <c r="Z180" s="892">
        <f t="shared" si="24"/>
        <v>1152.4032181647215</v>
      </c>
      <c r="AA180" s="892">
        <f t="shared" si="24"/>
        <v>1152.4433797660818</v>
      </c>
      <c r="AB180" s="892">
        <f t="shared" si="24"/>
        <v>1153.0750332207385</v>
      </c>
      <c r="AC180" s="892">
        <f t="shared" si="24"/>
        <v>1153.9081875743202</v>
      </c>
      <c r="AD180" s="892">
        <f t="shared" si="24"/>
        <v>1155.1255786395575</v>
      </c>
      <c r="AE180" s="892">
        <f t="shared" si="24"/>
        <v>1156.7162256639335</v>
      </c>
      <c r="AF180" s="892">
        <f t="shared" si="24"/>
        <v>1158.5058848878214</v>
      </c>
      <c r="AG180" s="892">
        <f t="shared" si="24"/>
        <v>1160.4152973133992</v>
      </c>
      <c r="AH180" s="892">
        <f t="shared" si="24"/>
        <v>1162.4410008404197</v>
      </c>
      <c r="AI180" s="892">
        <f t="shared" si="24"/>
        <v>1164.5312864079856</v>
      </c>
      <c r="AJ180" s="892">
        <f t="shared" si="24"/>
        <v>1166.6227351439384</v>
      </c>
      <c r="AK180" s="892">
        <f t="shared" si="24"/>
        <v>1168.6782594372385</v>
      </c>
      <c r="AL180" s="892">
        <f t="shared" si="24"/>
        <v>1170.6700770588666</v>
      </c>
      <c r="AM180" s="892">
        <f t="shared" si="24"/>
        <v>1172.563212029404</v>
      </c>
      <c r="AN180" s="892">
        <f t="shared" si="24"/>
        <v>1174.3258692934164</v>
      </c>
      <c r="AO180" s="892">
        <f t="shared" si="24"/>
        <v>1175.9332576379029</v>
      </c>
      <c r="AP180" s="892">
        <f t="shared" si="24"/>
        <v>1177.3628480487985</v>
      </c>
      <c r="AQ180" s="892">
        <f t="shared" si="24"/>
        <v>1178.592694105263</v>
      </c>
      <c r="AR180" s="892">
        <f t="shared" si="24"/>
        <v>1179.6034491366354</v>
      </c>
    </row>
    <row r="181" spans="1:44" ht="17.25" customHeight="1">
      <c r="A181" s="902"/>
    </row>
    <row r="182" spans="1:44" s="905" customFormat="1" ht="17.25" customHeight="1">
      <c r="A182" s="901" t="s">
        <v>1969</v>
      </c>
      <c r="C182" s="905">
        <v>4063.3277034400003</v>
      </c>
      <c r="D182" s="905">
        <v>3842.0326390499999</v>
      </c>
      <c r="E182" s="905">
        <v>4515.7355432600007</v>
      </c>
      <c r="F182" s="905">
        <v>15373.806165179998</v>
      </c>
      <c r="G182" s="905">
        <v>3446.9683257699999</v>
      </c>
      <c r="H182" s="905">
        <v>4061.2281359900007</v>
      </c>
      <c r="I182" s="905">
        <v>1941.7235210300005</v>
      </c>
      <c r="J182" s="905">
        <v>15583.273826749999</v>
      </c>
      <c r="K182" s="905">
        <v>2389.0793314400003</v>
      </c>
      <c r="L182" s="905">
        <v>3399.1119912599993</v>
      </c>
      <c r="M182" s="905">
        <v>2359.3555530700005</v>
      </c>
      <c r="N182" s="905">
        <v>3546.3350500100005</v>
      </c>
    </row>
    <row r="183" spans="1:44" ht="17.25" customHeight="1">
      <c r="A183" s="902" t="s">
        <v>1970</v>
      </c>
      <c r="C183" s="835">
        <f>(C177+D177)/2</f>
        <v>802.79097614500006</v>
      </c>
      <c r="D183" s="835">
        <f t="shared" ref="D183:N186" si="25">(D177+E177)/2</f>
        <v>858.94381359499994</v>
      </c>
      <c r="E183" s="835">
        <f t="shared" si="25"/>
        <v>735.87467615499997</v>
      </c>
      <c r="F183" s="835">
        <f t="shared" si="25"/>
        <v>553.25087820499994</v>
      </c>
      <c r="G183" s="835">
        <f t="shared" si="25"/>
        <v>547.36544606000007</v>
      </c>
      <c r="H183" s="835">
        <f t="shared" si="25"/>
        <v>1567.1023858599999</v>
      </c>
      <c r="I183" s="835">
        <f t="shared" si="25"/>
        <v>2614.2571355</v>
      </c>
      <c r="J183" s="835">
        <f t="shared" si="25"/>
        <v>2581.051649475</v>
      </c>
      <c r="K183" s="835">
        <f t="shared" si="25"/>
        <v>2484.68535974</v>
      </c>
      <c r="L183" s="835">
        <f t="shared" si="25"/>
        <v>2426.0278927700001</v>
      </c>
      <c r="M183" s="835">
        <f t="shared" si="25"/>
        <v>2474.7068293849998</v>
      </c>
      <c r="N183" s="835">
        <f t="shared" si="25"/>
        <v>1666.0653880562502</v>
      </c>
    </row>
    <row r="184" spans="1:44" ht="17.25" customHeight="1">
      <c r="A184" s="902" t="s">
        <v>1971</v>
      </c>
      <c r="C184" s="835">
        <f>(C178+D178)/2</f>
        <v>-6627.6052293635994</v>
      </c>
      <c r="D184" s="835">
        <f t="shared" si="25"/>
        <v>-5874.7133517785996</v>
      </c>
      <c r="E184" s="835">
        <f t="shared" si="25"/>
        <v>-7287.8237257135997</v>
      </c>
      <c r="F184" s="835">
        <f t="shared" si="25"/>
        <v>-7437.5103309721999</v>
      </c>
      <c r="G184" s="835">
        <f t="shared" si="25"/>
        <v>-5296.3490943757997</v>
      </c>
      <c r="H184" s="835">
        <f t="shared" si="25"/>
        <v>-3718.2859641557998</v>
      </c>
      <c r="I184" s="835">
        <f t="shared" si="25"/>
        <v>-4286.1294950058</v>
      </c>
      <c r="J184" s="835">
        <f t="shared" si="25"/>
        <v>-4489.9632970677994</v>
      </c>
      <c r="K184" s="835">
        <f t="shared" si="25"/>
        <v>-2989.0214743697998</v>
      </c>
      <c r="L184" s="835">
        <f t="shared" si="25"/>
        <v>-2408.1650723897997</v>
      </c>
      <c r="M184" s="835">
        <f t="shared" si="25"/>
        <v>-2623.5496034997996</v>
      </c>
      <c r="N184" s="835">
        <f t="shared" si="25"/>
        <v>-1179.5949227205497</v>
      </c>
    </row>
    <row r="185" spans="1:44" ht="17.25" customHeight="1">
      <c r="A185" s="902" t="s">
        <v>1972</v>
      </c>
      <c r="C185" s="835">
        <f t="shared" ref="C185:N186" si="26">(C179+D179)/2</f>
        <v>1724.9914988749999</v>
      </c>
      <c r="D185" s="835">
        <f t="shared" si="26"/>
        <v>1805.91732996</v>
      </c>
      <c r="E185" s="835">
        <f t="shared" si="26"/>
        <v>1951.55343679</v>
      </c>
      <c r="F185" s="835">
        <f t="shared" si="26"/>
        <v>2084.6339374950003</v>
      </c>
      <c r="G185" s="835">
        <f t="shared" si="26"/>
        <v>2211.1417156650004</v>
      </c>
      <c r="H185" s="835">
        <f t="shared" si="26"/>
        <v>1309.732279045</v>
      </c>
      <c r="I185" s="835">
        <f t="shared" si="26"/>
        <v>583.74256977499999</v>
      </c>
      <c r="J185" s="835">
        <f t="shared" si="26"/>
        <v>873.43220782499998</v>
      </c>
      <c r="K185" s="835">
        <f t="shared" si="26"/>
        <v>946.24520372500001</v>
      </c>
      <c r="L185" s="835">
        <f t="shared" si="26"/>
        <v>992.63386768999999</v>
      </c>
      <c r="M185" s="835">
        <f t="shared" si="26"/>
        <v>969.29317635000007</v>
      </c>
      <c r="N185" s="835">
        <f t="shared" si="26"/>
        <v>659.37379478136154</v>
      </c>
    </row>
    <row r="186" spans="1:44" ht="17.25" customHeight="1">
      <c r="A186" s="902" t="s">
        <v>1973</v>
      </c>
      <c r="C186" s="835">
        <f t="shared" si="26"/>
        <v>-4099.8227543435996</v>
      </c>
      <c r="D186" s="835">
        <f t="shared" si="25"/>
        <v>-3209.8522082235995</v>
      </c>
      <c r="E186" s="835">
        <f t="shared" si="25"/>
        <v>-4600.3956127685997</v>
      </c>
      <c r="F186" s="835">
        <f t="shared" si="25"/>
        <v>-4799.6255152721988</v>
      </c>
      <c r="G186" s="835">
        <f t="shared" si="25"/>
        <v>-2537.8419326507992</v>
      </c>
      <c r="H186" s="835">
        <f t="shared" si="25"/>
        <v>-841.45129925079971</v>
      </c>
      <c r="I186" s="835">
        <f t="shared" si="25"/>
        <v>-1088.1297897308</v>
      </c>
      <c r="J186" s="835">
        <f t="shared" si="25"/>
        <v>-1035.4794397677997</v>
      </c>
      <c r="K186" s="835">
        <f t="shared" si="25"/>
        <v>441.90908909520022</v>
      </c>
      <c r="L186" s="835">
        <f t="shared" si="25"/>
        <v>1010.4966880702003</v>
      </c>
      <c r="M186" s="835">
        <f t="shared" si="25"/>
        <v>820.4504022352005</v>
      </c>
      <c r="N186" s="835">
        <f t="shared" si="25"/>
        <v>1145.8442601170618</v>
      </c>
    </row>
    <row r="187" spans="1:44" ht="17.25" customHeight="1">
      <c r="A187" s="902" t="s">
        <v>1974</v>
      </c>
      <c r="C187" s="835">
        <f>C183/C$182</f>
        <v>0.19756983308664958</v>
      </c>
      <c r="D187" s="835">
        <f t="shared" ref="D187:N190" si="27">D183/D$182</f>
        <v>0.22356494446840167</v>
      </c>
      <c r="E187" s="835">
        <f t="shared" si="27"/>
        <v>0.16295787676347345</v>
      </c>
      <c r="F187" s="835">
        <f t="shared" si="27"/>
        <v>3.5986591235815962E-2</v>
      </c>
      <c r="G187" s="835">
        <f t="shared" si="27"/>
        <v>0.15879619257531966</v>
      </c>
      <c r="H187" s="835">
        <f t="shared" si="27"/>
        <v>0.38586908525836588</v>
      </c>
      <c r="I187" s="835">
        <f t="shared" si="27"/>
        <v>1.3463591016877878</v>
      </c>
      <c r="J187" s="835">
        <f t="shared" si="27"/>
        <v>0.16562961532796838</v>
      </c>
      <c r="K187" s="835">
        <f t="shared" si="27"/>
        <v>1.0400179378900631</v>
      </c>
      <c r="L187" s="835">
        <f t="shared" si="27"/>
        <v>0.71372402527717493</v>
      </c>
      <c r="M187" s="835">
        <f t="shared" si="27"/>
        <v>1.0488910101594919</v>
      </c>
      <c r="N187" s="835">
        <f t="shared" si="27"/>
        <v>0.46979920525319568</v>
      </c>
    </row>
    <row r="188" spans="1:44" ht="17.25" customHeight="1">
      <c r="A188" s="902" t="s">
        <v>1975</v>
      </c>
      <c r="C188" s="835">
        <f>C184/C$182</f>
        <v>-1.6310781982345874</v>
      </c>
      <c r="D188" s="835">
        <f t="shared" si="27"/>
        <v>-1.5290638845877194</v>
      </c>
      <c r="E188" s="835">
        <f t="shared" si="27"/>
        <v>-1.6138730126902809</v>
      </c>
      <c r="F188" s="835">
        <f t="shared" si="27"/>
        <v>-0.48377807363132713</v>
      </c>
      <c r="G188" s="835">
        <f t="shared" si="27"/>
        <v>-1.5365238649800115</v>
      </c>
      <c r="H188" s="835">
        <f t="shared" si="27"/>
        <v>-0.91555702847739617</v>
      </c>
      <c r="I188" s="835">
        <f t="shared" si="27"/>
        <v>-2.2073840320645615</v>
      </c>
      <c r="J188" s="835">
        <f t="shared" si="27"/>
        <v>-0.28812708722094071</v>
      </c>
      <c r="K188" s="835">
        <f t="shared" si="27"/>
        <v>-1.2511185522534276</v>
      </c>
      <c r="L188" s="835">
        <f t="shared" si="27"/>
        <v>-0.70846888204384506</v>
      </c>
      <c r="M188" s="835">
        <f t="shared" si="27"/>
        <v>-1.1119772092366618</v>
      </c>
      <c r="N188" s="835">
        <f t="shared" si="27"/>
        <v>-0.33262365402198057</v>
      </c>
    </row>
    <row r="189" spans="1:44" ht="17.25" customHeight="1">
      <c r="A189" s="902" t="s">
        <v>1976</v>
      </c>
      <c r="C189" s="835">
        <f>C185/C$182</f>
        <v>0.4245267979283649</v>
      </c>
      <c r="D189" s="835">
        <f t="shared" si="27"/>
        <v>0.47004216247536618</v>
      </c>
      <c r="E189" s="835">
        <f t="shared" si="27"/>
        <v>0.4321673441888792</v>
      </c>
      <c r="F189" s="835">
        <f t="shared" si="27"/>
        <v>0.13559647592126339</v>
      </c>
      <c r="G189" s="835">
        <f t="shared" si="27"/>
        <v>0.64147433532655551</v>
      </c>
      <c r="H189" s="835">
        <f t="shared" si="27"/>
        <v>0.32249660329060242</v>
      </c>
      <c r="I189" s="835">
        <f t="shared" si="27"/>
        <v>0.30063114725280238</v>
      </c>
      <c r="J189" s="835">
        <f t="shared" si="27"/>
        <v>5.6049339666077114E-2</v>
      </c>
      <c r="K189" s="835">
        <f t="shared" si="27"/>
        <v>0.39607106857965135</v>
      </c>
      <c r="L189" s="835">
        <f t="shared" si="27"/>
        <v>0.29202740899456087</v>
      </c>
      <c r="M189" s="835">
        <f t="shared" si="27"/>
        <v>0.4108296331550168</v>
      </c>
      <c r="N189" s="835">
        <f t="shared" si="27"/>
        <v>0.18593104866938676</v>
      </c>
    </row>
    <row r="190" spans="1:44" s="892" customFormat="1" ht="17.25" customHeight="1">
      <c r="A190" s="903" t="s">
        <v>1977</v>
      </c>
      <c r="C190" s="892">
        <f>C186/C$182</f>
        <v>-1.008981567219573</v>
      </c>
      <c r="D190" s="892">
        <f t="shared" si="27"/>
        <v>-0.83545677764395143</v>
      </c>
      <c r="E190" s="892">
        <f t="shared" si="27"/>
        <v>-1.0187477917379284</v>
      </c>
      <c r="F190" s="892">
        <f t="shared" si="27"/>
        <v>-0.31219500647424769</v>
      </c>
      <c r="G190" s="892">
        <f t="shared" si="27"/>
        <v>-0.73625333707813645</v>
      </c>
      <c r="H190" s="892">
        <f t="shared" si="27"/>
        <v>-0.20719133992842786</v>
      </c>
      <c r="I190" s="892">
        <f t="shared" si="27"/>
        <v>-0.56039378312397126</v>
      </c>
      <c r="J190" s="892">
        <f t="shared" si="27"/>
        <v>-6.6448132226895246E-2</v>
      </c>
      <c r="K190" s="892">
        <f t="shared" si="27"/>
        <v>0.18497045421628705</v>
      </c>
      <c r="L190" s="892">
        <f t="shared" si="27"/>
        <v>0.29728255222789068</v>
      </c>
      <c r="M190" s="892">
        <f t="shared" si="27"/>
        <v>0.34774343407784725</v>
      </c>
      <c r="N190" s="892">
        <f t="shared" si="27"/>
        <v>0.32310659990060175</v>
      </c>
    </row>
    <row r="191" spans="1:44" ht="17.25" customHeight="1">
      <c r="A191" s="902"/>
    </row>
    <row r="192" spans="1:44" s="905" customFormat="1" ht="17.25" customHeight="1">
      <c r="A192" s="901" t="s">
        <v>1978</v>
      </c>
      <c r="F192" s="905">
        <v>4379.6815420699995</v>
      </c>
      <c r="J192" s="905">
        <v>5701.9473081699998</v>
      </c>
      <c r="N192" s="905">
        <v>6719.2463712700001</v>
      </c>
      <c r="O192" s="905">
        <v>6719.2463712700019</v>
      </c>
      <c r="P192" s="905">
        <v>6719.2463712700019</v>
      </c>
      <c r="Q192" s="905">
        <v>6719.2463712700019</v>
      </c>
      <c r="R192" s="905">
        <v>6719.2463712700019</v>
      </c>
      <c r="S192" s="905">
        <v>6719.2463712700019</v>
      </c>
      <c r="T192" s="905">
        <v>6719.2463712700019</v>
      </c>
      <c r="U192" s="905">
        <v>6719.2463712700019</v>
      </c>
      <c r="V192" s="905">
        <v>6719.2463712700019</v>
      </c>
      <c r="W192" s="905">
        <v>6719.2463712700019</v>
      </c>
      <c r="X192" s="905">
        <v>6719.2463712700019</v>
      </c>
      <c r="Y192" s="905">
        <v>6719.2463712700019</v>
      </c>
      <c r="Z192" s="905">
        <v>6719.2463712700019</v>
      </c>
      <c r="AA192" s="905">
        <v>6719.2463712700019</v>
      </c>
      <c r="AB192" s="905">
        <v>6719.2463712700019</v>
      </c>
      <c r="AC192" s="905">
        <v>6719.2463712700019</v>
      </c>
      <c r="AD192" s="905">
        <v>6719.2463712700019</v>
      </c>
      <c r="AE192" s="905">
        <v>6719.2463712700019</v>
      </c>
      <c r="AF192" s="905">
        <v>6719.2463712700019</v>
      </c>
      <c r="AG192" s="905">
        <v>6719.2463712700019</v>
      </c>
      <c r="AH192" s="905">
        <v>6719.2463712700019</v>
      </c>
      <c r="AI192" s="905">
        <v>6719.2463712700019</v>
      </c>
      <c r="AJ192" s="905">
        <v>6719.2463712700019</v>
      </c>
      <c r="AK192" s="905">
        <v>6719.2463712700019</v>
      </c>
      <c r="AL192" s="905">
        <v>6719.2463712700019</v>
      </c>
      <c r="AM192" s="905">
        <v>6719.2463712700019</v>
      </c>
      <c r="AN192" s="905">
        <v>6719.2463712700019</v>
      </c>
      <c r="AO192" s="905">
        <v>6719.2463712700019</v>
      </c>
      <c r="AP192" s="905">
        <v>6719.2463712700019</v>
      </c>
      <c r="AQ192" s="905">
        <v>6719.2463712700019</v>
      </c>
      <c r="AR192" s="905">
        <v>6719.2463712700019</v>
      </c>
    </row>
    <row r="193" spans="1:44" ht="17.25" customHeight="1">
      <c r="A193" s="902" t="s">
        <v>1979</v>
      </c>
      <c r="F193" s="835">
        <f>(F177+J177)/2</f>
        <v>1605.2562845350001</v>
      </c>
      <c r="J193" s="835">
        <f>(J177+N177)/2</f>
        <v>2598.8382489100004</v>
      </c>
      <c r="N193" s="835">
        <f t="shared" ref="N193:AR196" si="28">(N177+O177)/2</f>
        <v>1666.0653880562502</v>
      </c>
      <c r="O193" s="835">
        <f t="shared" si="28"/>
        <v>750.8465628444452</v>
      </c>
      <c r="P193" s="835">
        <f t="shared" si="28"/>
        <v>688.73719657296078</v>
      </c>
      <c r="Q193" s="835">
        <f t="shared" si="28"/>
        <v>623.12664080226477</v>
      </c>
      <c r="R193" s="835">
        <f t="shared" si="28"/>
        <v>554.3650144822783</v>
      </c>
      <c r="S193" s="835">
        <f t="shared" si="28"/>
        <v>482.76742466793053</v>
      </c>
      <c r="T193" s="835">
        <f t="shared" si="28"/>
        <v>408.61746770865744</v>
      </c>
      <c r="U193" s="835">
        <f t="shared" si="28"/>
        <v>332.17038031895169</v>
      </c>
      <c r="V193" s="835">
        <f t="shared" si="28"/>
        <v>253.65587554185652</v>
      </c>
      <c r="W193" s="835">
        <f t="shared" si="28"/>
        <v>173.28069511611088</v>
      </c>
      <c r="X193" s="835">
        <f t="shared" si="28"/>
        <v>130.74504412127982</v>
      </c>
      <c r="Y193" s="835">
        <f t="shared" si="28"/>
        <v>127.12103267745184</v>
      </c>
      <c r="Z193" s="835">
        <f t="shared" si="28"/>
        <v>123.85942237800668</v>
      </c>
      <c r="AA193" s="835">
        <f t="shared" si="28"/>
        <v>120.92397310850603</v>
      </c>
      <c r="AB193" s="835">
        <f t="shared" si="28"/>
        <v>118.28206876595544</v>
      </c>
      <c r="AC193" s="835">
        <f t="shared" si="28"/>
        <v>115.90435485765991</v>
      </c>
      <c r="AD193" s="835">
        <f t="shared" si="28"/>
        <v>113.76441234019394</v>
      </c>
      <c r="AE193" s="835">
        <f t="shared" si="28"/>
        <v>111.83846407447456</v>
      </c>
      <c r="AF193" s="835">
        <f t="shared" si="28"/>
        <v>110.10511063532712</v>
      </c>
      <c r="AG193" s="835">
        <f t="shared" si="28"/>
        <v>108.54509254009443</v>
      </c>
      <c r="AH193" s="835">
        <f t="shared" si="28"/>
        <v>107.14107625438501</v>
      </c>
      <c r="AI193" s="835">
        <f t="shared" si="28"/>
        <v>105.87746159724651</v>
      </c>
      <c r="AJ193" s="835">
        <f t="shared" si="28"/>
        <v>104.74020840582187</v>
      </c>
      <c r="AK193" s="835">
        <f t="shared" si="28"/>
        <v>103.7166805335397</v>
      </c>
      <c r="AL193" s="835">
        <f t="shared" si="28"/>
        <v>102.79550544848576</v>
      </c>
      <c r="AM193" s="835">
        <f t="shared" si="28"/>
        <v>101.96644787193719</v>
      </c>
      <c r="AN193" s="835">
        <f t="shared" si="28"/>
        <v>101.22029605304348</v>
      </c>
      <c r="AO193" s="835">
        <f t="shared" si="28"/>
        <v>100.54875941603916</v>
      </c>
      <c r="AP193" s="835">
        <f t="shared" si="28"/>
        <v>99.944376442735262</v>
      </c>
      <c r="AQ193" s="835">
        <f t="shared" si="28"/>
        <v>99.400431766761756</v>
      </c>
      <c r="AR193" s="835">
        <f t="shared" si="28"/>
        <v>49.571386881176622</v>
      </c>
    </row>
    <row r="194" spans="1:44" ht="17.25" customHeight="1">
      <c r="A194" s="902" t="s">
        <v>1980</v>
      </c>
      <c r="F194" s="835">
        <f>(F178+J178)/2</f>
        <v>-7120.3838960321991</v>
      </c>
      <c r="J194" s="835">
        <f>(J178+N178)/2</f>
        <v>-4261.5088986977999</v>
      </c>
      <c r="N194" s="835">
        <f t="shared" si="28"/>
        <v>-1179.5949227205497</v>
      </c>
      <c r="O194" s="835">
        <f t="shared" si="28"/>
        <v>628.90811851151261</v>
      </c>
      <c r="P194" s="835">
        <f t="shared" si="28"/>
        <v>648.66029479034069</v>
      </c>
      <c r="Q194" s="835">
        <f t="shared" si="28"/>
        <v>648.41822392887593</v>
      </c>
      <c r="R194" s="835">
        <f t="shared" si="28"/>
        <v>639.61675242579486</v>
      </c>
      <c r="S194" s="835">
        <f t="shared" si="28"/>
        <v>641.40084741413102</v>
      </c>
      <c r="T194" s="835">
        <f t="shared" si="28"/>
        <v>644.52402963978557</v>
      </c>
      <c r="U194" s="835">
        <f t="shared" si="28"/>
        <v>643.48996335214667</v>
      </c>
      <c r="V194" s="835">
        <f t="shared" si="28"/>
        <v>642.25789820796444</v>
      </c>
      <c r="W194" s="835">
        <f t="shared" si="28"/>
        <v>642.91818465350696</v>
      </c>
      <c r="X194" s="835">
        <f t="shared" si="28"/>
        <v>643.29751896335097</v>
      </c>
      <c r="Y194" s="835">
        <f t="shared" si="28"/>
        <v>642.99089129424237</v>
      </c>
      <c r="Z194" s="835">
        <f t="shared" si="28"/>
        <v>642.86612327976627</v>
      </c>
      <c r="AA194" s="835">
        <f t="shared" si="28"/>
        <v>643.01817954771661</v>
      </c>
      <c r="AB194" s="835">
        <f t="shared" si="28"/>
        <v>643.04317827126897</v>
      </c>
      <c r="AC194" s="835">
        <f t="shared" si="28"/>
        <v>642.97959309824853</v>
      </c>
      <c r="AD194" s="835">
        <f t="shared" si="28"/>
        <v>642.9767685492501</v>
      </c>
      <c r="AE194" s="835">
        <f t="shared" si="28"/>
        <v>643.00442986662108</v>
      </c>
      <c r="AF194" s="835">
        <f t="shared" si="28"/>
        <v>643.00099244634725</v>
      </c>
      <c r="AG194" s="835">
        <f t="shared" si="28"/>
        <v>642.99044599011688</v>
      </c>
      <c r="AH194" s="835">
        <f t="shared" si="28"/>
        <v>642.99315921308391</v>
      </c>
      <c r="AI194" s="835">
        <f t="shared" si="28"/>
        <v>642.9972568790422</v>
      </c>
      <c r="AJ194" s="835">
        <f t="shared" si="28"/>
        <v>642.99546363214745</v>
      </c>
      <c r="AK194" s="835">
        <f t="shared" si="28"/>
        <v>642.99408142859761</v>
      </c>
      <c r="AL194" s="835">
        <f t="shared" si="28"/>
        <v>642.99499028821776</v>
      </c>
      <c r="AM194" s="835">
        <f t="shared" si="28"/>
        <v>642.99544805700111</v>
      </c>
      <c r="AN194" s="835">
        <f t="shared" si="28"/>
        <v>642.9949958514909</v>
      </c>
      <c r="AO194" s="835">
        <f t="shared" si="28"/>
        <v>642.99487890632679</v>
      </c>
      <c r="AP194" s="835">
        <f t="shared" si="28"/>
        <v>642.99507827575917</v>
      </c>
      <c r="AQ194" s="835">
        <f t="shared" si="28"/>
        <v>642.99510027264455</v>
      </c>
      <c r="AR194" s="835">
        <f t="shared" si="28"/>
        <v>321.49751853181249</v>
      </c>
    </row>
    <row r="195" spans="1:44" ht="17.25" customHeight="1">
      <c r="A195" s="902" t="s">
        <v>1981</v>
      </c>
      <c r="F195" s="835">
        <f>(F179+J179)/2</f>
        <v>1430.1621990899998</v>
      </c>
      <c r="J195" s="835">
        <f>(J179+N179)/2</f>
        <v>880.15257254999995</v>
      </c>
      <c r="N195" s="835">
        <f t="shared" si="28"/>
        <v>659.37379478136154</v>
      </c>
      <c r="O195" s="835">
        <f t="shared" si="28"/>
        <v>386.61654412525326</v>
      </c>
      <c r="P195" s="835">
        <f t="shared" si="28"/>
        <v>381.80400351180015</v>
      </c>
      <c r="Q195" s="835">
        <f t="shared" si="28"/>
        <v>379.67304913445855</v>
      </c>
      <c r="R195" s="835">
        <f t="shared" si="28"/>
        <v>378.38914903868425</v>
      </c>
      <c r="S195" s="835">
        <f t="shared" si="28"/>
        <v>376.6494618516997</v>
      </c>
      <c r="T195" s="835">
        <f t="shared" si="28"/>
        <v>376.44492128112483</v>
      </c>
      <c r="U195" s="835">
        <f t="shared" si="28"/>
        <v>377.01190193711022</v>
      </c>
      <c r="V195" s="835">
        <f t="shared" si="28"/>
        <v>377.910935445684</v>
      </c>
      <c r="W195" s="835">
        <f t="shared" si="28"/>
        <v>379.04751454017571</v>
      </c>
      <c r="X195" s="835">
        <f t="shared" si="28"/>
        <v>380.62579117138455</v>
      </c>
      <c r="Y195" s="835">
        <f t="shared" si="28"/>
        <v>382.8482420370018</v>
      </c>
      <c r="Z195" s="835">
        <f t="shared" si="28"/>
        <v>385.69775330762877</v>
      </c>
      <c r="AA195" s="835">
        <f t="shared" si="28"/>
        <v>388.81705383718759</v>
      </c>
      <c r="AB195" s="835">
        <f t="shared" si="28"/>
        <v>392.16636336030496</v>
      </c>
      <c r="AC195" s="835">
        <f t="shared" si="28"/>
        <v>395.63293515103044</v>
      </c>
      <c r="AD195" s="835">
        <f t="shared" si="28"/>
        <v>399.17972126230154</v>
      </c>
      <c r="AE195" s="835">
        <f t="shared" si="28"/>
        <v>402.76816133478178</v>
      </c>
      <c r="AF195" s="835">
        <f t="shared" si="28"/>
        <v>406.35448801893585</v>
      </c>
      <c r="AG195" s="835">
        <f t="shared" si="28"/>
        <v>409.89261054669817</v>
      </c>
      <c r="AH195" s="835">
        <f t="shared" si="28"/>
        <v>413.35190815673383</v>
      </c>
      <c r="AI195" s="835">
        <f t="shared" si="28"/>
        <v>416.70229229967333</v>
      </c>
      <c r="AJ195" s="835">
        <f t="shared" si="28"/>
        <v>419.91482525261915</v>
      </c>
      <c r="AK195" s="835">
        <f t="shared" si="28"/>
        <v>422.9634062859152</v>
      </c>
      <c r="AL195" s="835">
        <f t="shared" si="28"/>
        <v>425.82614880743176</v>
      </c>
      <c r="AM195" s="835">
        <f t="shared" si="28"/>
        <v>428.4826447324719</v>
      </c>
      <c r="AN195" s="835">
        <f t="shared" si="28"/>
        <v>430.91427156112525</v>
      </c>
      <c r="AO195" s="835">
        <f t="shared" si="28"/>
        <v>433.10441452098473</v>
      </c>
      <c r="AP195" s="835">
        <f t="shared" si="28"/>
        <v>435.03831635853635</v>
      </c>
      <c r="AQ195" s="835">
        <f t="shared" si="28"/>
        <v>436.70253958154285</v>
      </c>
      <c r="AR195" s="835">
        <f t="shared" si="28"/>
        <v>218.73281915532854</v>
      </c>
    </row>
    <row r="196" spans="1:44" ht="17.25" customHeight="1">
      <c r="A196" s="902" t="s">
        <v>1982</v>
      </c>
      <c r="F196" s="835">
        <f>(F180+J180)/2</f>
        <v>-4084.9654124071994</v>
      </c>
      <c r="J196" s="835">
        <f>(J180+N180)/2</f>
        <v>-782.51807723779962</v>
      </c>
      <c r="N196" s="835">
        <f t="shared" si="28"/>
        <v>1145.8442601170618</v>
      </c>
      <c r="O196" s="835">
        <f t="shared" si="28"/>
        <v>1766.3712254812108</v>
      </c>
      <c r="P196" s="835">
        <f t="shared" si="28"/>
        <v>1719.2014948751016</v>
      </c>
      <c r="Q196" s="835">
        <f t="shared" si="28"/>
        <v>1651.2179138655993</v>
      </c>
      <c r="R196" s="835">
        <f t="shared" si="28"/>
        <v>1572.3709159467576</v>
      </c>
      <c r="S196" s="835">
        <f t="shared" si="28"/>
        <v>1500.8177339337612</v>
      </c>
      <c r="T196" s="835">
        <f t="shared" si="28"/>
        <v>1429.5864186295678</v>
      </c>
      <c r="U196" s="835">
        <f t="shared" si="28"/>
        <v>1352.6722456082084</v>
      </c>
      <c r="V196" s="835">
        <f t="shared" si="28"/>
        <v>1273.824709195505</v>
      </c>
      <c r="W196" s="835">
        <f t="shared" si="28"/>
        <v>1195.2463943097937</v>
      </c>
      <c r="X196" s="835">
        <f t="shared" si="28"/>
        <v>1154.6683542560154</v>
      </c>
      <c r="Y196" s="835">
        <f t="shared" si="28"/>
        <v>1152.960166008696</v>
      </c>
      <c r="Z196" s="835">
        <f t="shared" si="28"/>
        <v>1152.4232989654015</v>
      </c>
      <c r="AA196" s="835">
        <f t="shared" si="28"/>
        <v>1152.7592064934101</v>
      </c>
      <c r="AB196" s="835">
        <f t="shared" si="28"/>
        <v>1153.4916103975293</v>
      </c>
      <c r="AC196" s="835">
        <f t="shared" si="28"/>
        <v>1154.5168831069388</v>
      </c>
      <c r="AD196" s="835">
        <f t="shared" si="28"/>
        <v>1155.9209021517454</v>
      </c>
      <c r="AE196" s="835">
        <f t="shared" si="28"/>
        <v>1157.6110552758773</v>
      </c>
      <c r="AF196" s="835">
        <f t="shared" si="28"/>
        <v>1159.4605911006101</v>
      </c>
      <c r="AG196" s="835">
        <f t="shared" si="28"/>
        <v>1161.4281490769094</v>
      </c>
      <c r="AH196" s="835">
        <f t="shared" si="28"/>
        <v>1163.4861436242027</v>
      </c>
      <c r="AI196" s="835">
        <f t="shared" si="28"/>
        <v>1165.577010775962</v>
      </c>
      <c r="AJ196" s="835">
        <f t="shared" si="28"/>
        <v>1167.6504972905884</v>
      </c>
      <c r="AK196" s="835">
        <f t="shared" si="28"/>
        <v>1169.6741682480524</v>
      </c>
      <c r="AL196" s="835">
        <f t="shared" si="28"/>
        <v>1171.6166445441354</v>
      </c>
      <c r="AM196" s="835">
        <f t="shared" si="28"/>
        <v>1173.4445406614102</v>
      </c>
      <c r="AN196" s="835">
        <f t="shared" si="28"/>
        <v>1175.1295634656597</v>
      </c>
      <c r="AO196" s="835">
        <f t="shared" si="28"/>
        <v>1176.6480528433508</v>
      </c>
      <c r="AP196" s="835">
        <f t="shared" si="28"/>
        <v>1177.9777710770309</v>
      </c>
      <c r="AQ196" s="835">
        <f t="shared" si="28"/>
        <v>1179.0980716209492</v>
      </c>
      <c r="AR196" s="835">
        <f t="shared" si="28"/>
        <v>589.8017245683177</v>
      </c>
    </row>
    <row r="197" spans="1:44" ht="17.25" customHeight="1">
      <c r="A197" s="902" t="s">
        <v>1983</v>
      </c>
      <c r="F197" s="835">
        <f>F193/F$192</f>
        <v>0.36652351754696222</v>
      </c>
      <c r="J197" s="835">
        <f>J193/J$192</f>
        <v>0.45578082512026569</v>
      </c>
      <c r="N197" s="835">
        <f>N193/N$192</f>
        <v>0.24795420438517846</v>
      </c>
      <c r="O197" s="835">
        <f>O193/O$192</f>
        <v>0.11174565142526958</v>
      </c>
      <c r="P197" s="835">
        <f t="shared" ref="P197:AR200" si="29">P193/P$192</f>
        <v>0.10250214957407237</v>
      </c>
      <c r="Q197" s="835">
        <f t="shared" si="29"/>
        <v>9.2737578944361271E-2</v>
      </c>
      <c r="R197" s="835">
        <f t="shared" si="29"/>
        <v>8.2504046413987647E-2</v>
      </c>
      <c r="S197" s="835">
        <f t="shared" si="29"/>
        <v>7.1848448173017776E-2</v>
      </c>
      <c r="T197" s="835">
        <f t="shared" si="29"/>
        <v>6.0812990792511276E-2</v>
      </c>
      <c r="U197" s="835">
        <f t="shared" si="29"/>
        <v>4.9435660186421815E-2</v>
      </c>
      <c r="V197" s="835">
        <f t="shared" si="29"/>
        <v>3.7750643677307689E-2</v>
      </c>
      <c r="W197" s="835">
        <f t="shared" si="29"/>
        <v>2.578870985547136E-2</v>
      </c>
      <c r="X197" s="835">
        <f t="shared" si="29"/>
        <v>1.945828994756264E-2</v>
      </c>
      <c r="Y197" s="835">
        <f t="shared" si="29"/>
        <v>1.8918942044005561E-2</v>
      </c>
      <c r="Z197" s="835">
        <f t="shared" si="29"/>
        <v>1.8433528930804195E-2</v>
      </c>
      <c r="AA197" s="835">
        <f t="shared" si="29"/>
        <v>1.7996657128922962E-2</v>
      </c>
      <c r="AB197" s="835">
        <f t="shared" si="29"/>
        <v>1.7603472507229854E-2</v>
      </c>
      <c r="AC197" s="835">
        <f t="shared" si="29"/>
        <v>1.7249606347706056E-2</v>
      </c>
      <c r="AD197" s="835">
        <f t="shared" si="29"/>
        <v>1.6931126804134639E-2</v>
      </c>
      <c r="AE197" s="835">
        <f t="shared" si="29"/>
        <v>1.6644495214920361E-2</v>
      </c>
      <c r="AF197" s="835">
        <f t="shared" si="29"/>
        <v>1.6386526784627514E-2</v>
      </c>
      <c r="AG197" s="835">
        <f t="shared" si="29"/>
        <v>1.6154355197363954E-2</v>
      </c>
      <c r="AH197" s="835">
        <f t="shared" si="29"/>
        <v>1.5945400768826747E-2</v>
      </c>
      <c r="AI197" s="835">
        <f t="shared" si="29"/>
        <v>1.5757341783143256E-2</v>
      </c>
      <c r="AJ197" s="835">
        <f t="shared" si="29"/>
        <v>1.5588088696028119E-2</v>
      </c>
      <c r="AK197" s="835">
        <f t="shared" si="29"/>
        <v>1.5435760917624495E-2</v>
      </c>
      <c r="AL197" s="835">
        <f t="shared" si="29"/>
        <v>1.5298665917061234E-2</v>
      </c>
      <c r="AM197" s="835">
        <f t="shared" si="29"/>
        <v>1.5175280416554299E-2</v>
      </c>
      <c r="AN197" s="835">
        <f t="shared" si="29"/>
        <v>1.5064233466098056E-2</v>
      </c>
      <c r="AO197" s="835">
        <f t="shared" si="29"/>
        <v>1.4964291210687439E-2</v>
      </c>
      <c r="AP197" s="835">
        <f t="shared" si="29"/>
        <v>1.4874343180817883E-2</v>
      </c>
      <c r="AQ197" s="835">
        <f t="shared" si="29"/>
        <v>1.4793389953935284E-2</v>
      </c>
      <c r="AR197" s="835">
        <f t="shared" si="29"/>
        <v>7.3775218442849204E-3</v>
      </c>
    </row>
    <row r="198" spans="1:44" ht="17.25" customHeight="1">
      <c r="A198" s="902" t="s">
        <v>1984</v>
      </c>
      <c r="F198" s="835">
        <f>F194/F$192</f>
        <v>-1.6257766295644505</v>
      </c>
      <c r="J198" s="835">
        <f>J194/J$192</f>
        <v>-0.74737781118947266</v>
      </c>
      <c r="N198" s="835">
        <f t="shared" ref="N198:O200" si="30">N194/N$192</f>
        <v>-0.17555464668838974</v>
      </c>
      <c r="O198" s="835">
        <f t="shared" si="30"/>
        <v>9.3598014384557088E-2</v>
      </c>
      <c r="P198" s="835">
        <f t="shared" si="29"/>
        <v>9.6537656003189184E-2</v>
      </c>
      <c r="Q198" s="835">
        <f t="shared" si="29"/>
        <v>9.6501629513298923E-2</v>
      </c>
      <c r="R198" s="835">
        <f t="shared" si="29"/>
        <v>9.5191739829730518E-2</v>
      </c>
      <c r="S198" s="835">
        <f t="shared" si="29"/>
        <v>9.5457259932693925E-2</v>
      </c>
      <c r="T198" s="835">
        <f t="shared" si="29"/>
        <v>9.5922071319728131E-2</v>
      </c>
      <c r="U198" s="835">
        <f t="shared" si="29"/>
        <v>9.576817514886285E-2</v>
      </c>
      <c r="V198" s="835">
        <f t="shared" si="29"/>
        <v>9.5584811557753849E-2</v>
      </c>
      <c r="W198" s="835">
        <f t="shared" si="29"/>
        <v>9.5683079489759695E-2</v>
      </c>
      <c r="X198" s="835">
        <f t="shared" si="29"/>
        <v>9.5739534379026131E-2</v>
      </c>
      <c r="Y198" s="835">
        <f t="shared" si="29"/>
        <v>9.5693900143850652E-2</v>
      </c>
      <c r="Z198" s="835">
        <f t="shared" si="29"/>
        <v>9.5675331392597596E-2</v>
      </c>
      <c r="AA198" s="835">
        <f t="shared" si="29"/>
        <v>9.5697961351308508E-2</v>
      </c>
      <c r="AB198" s="835">
        <f t="shared" si="29"/>
        <v>9.5701681816695708E-2</v>
      </c>
      <c r="AC198" s="835">
        <f t="shared" si="29"/>
        <v>9.5692218676113106E-2</v>
      </c>
      <c r="AD198" s="835">
        <f t="shared" si="29"/>
        <v>9.5691798309178733E-2</v>
      </c>
      <c r="AE198" s="835">
        <f t="shared" si="29"/>
        <v>9.5695915038324017E-2</v>
      </c>
      <c r="AF198" s="835">
        <f t="shared" si="29"/>
        <v>9.5695403460077905E-2</v>
      </c>
      <c r="AG198" s="835">
        <f t="shared" si="29"/>
        <v>9.5693833870923464E-2</v>
      </c>
      <c r="AH198" s="835">
        <f t="shared" si="29"/>
        <v>9.569423766962605E-2</v>
      </c>
      <c r="AI198" s="835">
        <f t="shared" si="29"/>
        <v>9.5694847509737849E-2</v>
      </c>
      <c r="AJ198" s="835">
        <f t="shared" si="29"/>
        <v>9.56945806275913E-2</v>
      </c>
      <c r="AK198" s="835">
        <f t="shared" si="29"/>
        <v>9.5694374919469666E-2</v>
      </c>
      <c r="AL198" s="835">
        <f t="shared" si="29"/>
        <v>9.5694510181606213E-2</v>
      </c>
      <c r="AM198" s="835">
        <f t="shared" si="29"/>
        <v>9.5694578309601236E-2</v>
      </c>
      <c r="AN198" s="835">
        <f t="shared" si="29"/>
        <v>9.5694511009567093E-2</v>
      </c>
      <c r="AO198" s="835">
        <f t="shared" si="29"/>
        <v>9.5694493605061035E-2</v>
      </c>
      <c r="AP198" s="835">
        <f t="shared" si="29"/>
        <v>9.5694523276458901E-2</v>
      </c>
      <c r="AQ198" s="835">
        <f t="shared" si="29"/>
        <v>9.5694526550172077E-2</v>
      </c>
      <c r="AR198" s="835">
        <f t="shared" si="29"/>
        <v>4.7847258571506492E-2</v>
      </c>
    </row>
    <row r="199" spans="1:44" ht="17.25" customHeight="1">
      <c r="A199" s="902" t="s">
        <v>1985</v>
      </c>
      <c r="F199" s="835">
        <f>F195/F$192</f>
        <v>0.32654479220743804</v>
      </c>
      <c r="J199" s="835">
        <f>J195/J$192</f>
        <v>0.1543599975553753</v>
      </c>
      <c r="N199" s="835">
        <f t="shared" si="30"/>
        <v>9.8132105648141871E-2</v>
      </c>
      <c r="O199" s="835">
        <f t="shared" si="30"/>
        <v>5.753867662575067E-2</v>
      </c>
      <c r="P199" s="835">
        <f t="shared" si="29"/>
        <v>5.6822444425361281E-2</v>
      </c>
      <c r="Q199" s="835">
        <f t="shared" si="29"/>
        <v>5.6505302552657656E-2</v>
      </c>
      <c r="R199" s="835">
        <f t="shared" si="29"/>
        <v>5.6314224561937749E-2</v>
      </c>
      <c r="S199" s="835">
        <f t="shared" si="29"/>
        <v>5.6055313503932336E-2</v>
      </c>
      <c r="T199" s="835">
        <f t="shared" si="29"/>
        <v>5.6024872505154644E-2</v>
      </c>
      <c r="U199" s="835">
        <f t="shared" si="29"/>
        <v>5.610925408973378E-2</v>
      </c>
      <c r="V199" s="835">
        <f t="shared" si="29"/>
        <v>5.6243053843292132E-2</v>
      </c>
      <c r="W199" s="835">
        <f t="shared" si="29"/>
        <v>5.6412206607112714E-2</v>
      </c>
      <c r="X199" s="835">
        <f t="shared" si="29"/>
        <v>5.6647095543163217E-2</v>
      </c>
      <c r="Y199" s="835">
        <f t="shared" si="29"/>
        <v>5.6977854491833409E-2</v>
      </c>
      <c r="Z199" s="835">
        <f t="shared" si="29"/>
        <v>5.7401936466682679E-2</v>
      </c>
      <c r="AA199" s="835">
        <f t="shared" si="29"/>
        <v>5.7866170155582111E-2</v>
      </c>
      <c r="AB199" s="835">
        <f t="shared" si="29"/>
        <v>5.8364635212234638E-2</v>
      </c>
      <c r="AC199" s="835">
        <f t="shared" si="29"/>
        <v>5.888055196824879E-2</v>
      </c>
      <c r="AD199" s="835">
        <f t="shared" si="29"/>
        <v>5.9408406717917792E-2</v>
      </c>
      <c r="AE199" s="835">
        <f t="shared" si="29"/>
        <v>5.9942460668941766E-2</v>
      </c>
      <c r="AF199" s="835">
        <f t="shared" si="29"/>
        <v>6.0476200092381929E-2</v>
      </c>
      <c r="AG199" s="835">
        <f t="shared" si="29"/>
        <v>6.1002765473715546E-2</v>
      </c>
      <c r="AH199" s="835">
        <f t="shared" si="29"/>
        <v>6.1517599640955919E-2</v>
      </c>
      <c r="AI199" s="835">
        <f t="shared" si="29"/>
        <v>6.2016224629208319E-2</v>
      </c>
      <c r="AJ199" s="835">
        <f t="shared" si="29"/>
        <v>6.2494333746725118E-2</v>
      </c>
      <c r="AK199" s="835">
        <f t="shared" si="29"/>
        <v>6.2948042520722614E-2</v>
      </c>
      <c r="AL199" s="835">
        <f t="shared" si="29"/>
        <v>6.3374093652551478E-2</v>
      </c>
      <c r="AM199" s="835">
        <f t="shared" si="29"/>
        <v>6.3769449884226309E-2</v>
      </c>
      <c r="AN199" s="835">
        <f t="shared" si="29"/>
        <v>6.4131339699585732E-2</v>
      </c>
      <c r="AO199" s="835">
        <f t="shared" si="29"/>
        <v>6.445729038495189E-2</v>
      </c>
      <c r="AP199" s="835">
        <f t="shared" si="29"/>
        <v>6.4745105674151662E-2</v>
      </c>
      <c r="AQ199" s="835">
        <f t="shared" si="29"/>
        <v>6.4992785716086479E-2</v>
      </c>
      <c r="AR199" s="835">
        <f t="shared" si="29"/>
        <v>3.2553177405516977E-2</v>
      </c>
    </row>
    <row r="200" spans="1:44" s="892" customFormat="1" ht="17.25" customHeight="1">
      <c r="A200" s="903" t="s">
        <v>1986</v>
      </c>
      <c r="F200" s="892">
        <f>F196/F$192</f>
        <v>-0.93270831981005031</v>
      </c>
      <c r="J200" s="892">
        <f>J196/J$192</f>
        <v>-0.13723698851383165</v>
      </c>
      <c r="N200" s="892">
        <f t="shared" si="30"/>
        <v>0.17053166334493053</v>
      </c>
      <c r="O200" s="892">
        <f t="shared" si="30"/>
        <v>0.26288234243557729</v>
      </c>
      <c r="P200" s="892">
        <f t="shared" si="29"/>
        <v>0.25586225000262286</v>
      </c>
      <c r="Q200" s="892">
        <f t="shared" si="29"/>
        <v>0.24574451101031786</v>
      </c>
      <c r="R200" s="892">
        <f t="shared" si="29"/>
        <v>0.23401001080565595</v>
      </c>
      <c r="S200" s="892">
        <f t="shared" si="29"/>
        <v>0.22336102160964405</v>
      </c>
      <c r="T200" s="892">
        <f t="shared" si="29"/>
        <v>0.21275993461739404</v>
      </c>
      <c r="U200" s="892">
        <f t="shared" si="29"/>
        <v>0.20131308942501841</v>
      </c>
      <c r="V200" s="892">
        <f t="shared" si="29"/>
        <v>0.18957850907835366</v>
      </c>
      <c r="W200" s="892">
        <f t="shared" si="29"/>
        <v>0.17788399595234378</v>
      </c>
      <c r="X200" s="892">
        <f t="shared" si="29"/>
        <v>0.17184491986975201</v>
      </c>
      <c r="Y200" s="892">
        <f t="shared" si="29"/>
        <v>0.17159069667968962</v>
      </c>
      <c r="Z200" s="892">
        <f t="shared" si="29"/>
        <v>0.17151079679008444</v>
      </c>
      <c r="AA200" s="892">
        <f t="shared" si="29"/>
        <v>0.17156078863581359</v>
      </c>
      <c r="AB200" s="892">
        <f t="shared" si="29"/>
        <v>0.17166978953616019</v>
      </c>
      <c r="AC200" s="892">
        <f t="shared" si="29"/>
        <v>0.17182237699206795</v>
      </c>
      <c r="AD200" s="892">
        <f t="shared" si="29"/>
        <v>0.17203133183123115</v>
      </c>
      <c r="AE200" s="892">
        <f t="shared" si="29"/>
        <v>0.17228287092218614</v>
      </c>
      <c r="AF200" s="892">
        <f t="shared" si="29"/>
        <v>0.17255813033708733</v>
      </c>
      <c r="AG200" s="892">
        <f t="shared" si="29"/>
        <v>0.17285095454200297</v>
      </c>
      <c r="AH200" s="892">
        <f t="shared" si="29"/>
        <v>0.17315723807940869</v>
      </c>
      <c r="AI200" s="892">
        <f t="shared" si="29"/>
        <v>0.17346841392208942</v>
      </c>
      <c r="AJ200" s="892">
        <f t="shared" si="29"/>
        <v>0.17377700307034452</v>
      </c>
      <c r="AK200" s="892">
        <f t="shared" si="29"/>
        <v>0.17407817835781675</v>
      </c>
      <c r="AL200" s="892">
        <f t="shared" si="29"/>
        <v>0.17436726975121894</v>
      </c>
      <c r="AM200" s="892">
        <f t="shared" si="29"/>
        <v>0.17463930861038185</v>
      </c>
      <c r="AN200" s="892">
        <f t="shared" si="29"/>
        <v>0.17489008417525087</v>
      </c>
      <c r="AO200" s="892">
        <f t="shared" si="29"/>
        <v>0.17511607520070038</v>
      </c>
      <c r="AP200" s="892">
        <f t="shared" si="29"/>
        <v>0.17531397213142846</v>
      </c>
      <c r="AQ200" s="892">
        <f t="shared" si="29"/>
        <v>0.17548070222019385</v>
      </c>
      <c r="AR200" s="892">
        <f t="shared" si="29"/>
        <v>8.7777957821308386E-2</v>
      </c>
    </row>
  </sheetData>
  <phoneticPr fontId="7" type="noConversion"/>
  <pageMargins left="0.7" right="0.7" top="0.75" bottom="0.75" header="0.3" footer="0.3"/>
  <pageSetup paperSize="9" orientation="portrait" r:id="rId1"/>
  <drawing r:id="rId2"/>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theme="0"/>
  </sheetPr>
  <dimension ref="A1:K66"/>
  <sheetViews>
    <sheetView topLeftCell="A28" workbookViewId="0">
      <selection activeCell="B50" sqref="B50"/>
    </sheetView>
  </sheetViews>
  <sheetFormatPr defaultColWidth="9.375" defaultRowHeight="10.8"/>
  <cols>
    <col min="1" max="1" width="20.875" style="635" customWidth="1"/>
    <col min="2" max="5" width="12.875" style="635" customWidth="1"/>
    <col min="6" max="6" width="1.5" style="635" customWidth="1"/>
    <col min="7" max="7" width="25" style="635" customWidth="1"/>
    <col min="8" max="11" width="12.5" style="635" customWidth="1"/>
    <col min="12" max="16384" width="9.375" style="635"/>
  </cols>
  <sheetData>
    <row r="1" spans="1:11" ht="11.4" thickBot="1">
      <c r="A1" s="634" t="s">
        <v>67</v>
      </c>
      <c r="D1" s="1310" t="s">
        <v>68</v>
      </c>
      <c r="E1" s="1310"/>
      <c r="G1" s="634" t="s">
        <v>69</v>
      </c>
      <c r="J1" s="1310" t="s">
        <v>68</v>
      </c>
      <c r="K1" s="1310"/>
    </row>
    <row r="2" spans="1:11" s="50" customFormat="1" ht="15" customHeight="1">
      <c r="A2" s="636" t="s">
        <v>70</v>
      </c>
      <c r="B2" s="656">
        <f>假设!H2</f>
        <v>2022</v>
      </c>
      <c r="C2" s="656" t="str">
        <f>假设!I2</f>
        <v>2023E</v>
      </c>
      <c r="D2" s="656" t="str">
        <f>假设!J2</f>
        <v>2024E</v>
      </c>
      <c r="E2" s="656" t="str">
        <f>假设!K2</f>
        <v>2025E</v>
      </c>
      <c r="F2" s="636"/>
      <c r="G2" s="636" t="s">
        <v>71</v>
      </c>
      <c r="H2" s="656">
        <f>假设!H2</f>
        <v>2022</v>
      </c>
      <c r="I2" s="656" t="str">
        <f>假设!I2</f>
        <v>2023E</v>
      </c>
      <c r="J2" s="656" t="str">
        <f>假设!J2</f>
        <v>2024E</v>
      </c>
      <c r="K2" s="656" t="str">
        <f>假设!K2</f>
        <v>2025E</v>
      </c>
    </row>
    <row r="3" spans="1:11" ht="15" customHeight="1">
      <c r="A3" s="634" t="s">
        <v>36</v>
      </c>
      <c r="B3" s="449">
        <f>资产负债!H19</f>
        <v>9493.1811295400003</v>
      </c>
      <c r="C3" s="449">
        <f ca="1">资产负债!I19</f>
        <v>7420.0003714159047</v>
      </c>
      <c r="D3" s="449">
        <f ca="1">资产负债!J19</f>
        <v>11635.450532689214</v>
      </c>
      <c r="E3" s="449">
        <f ca="1">资产负债!K19</f>
        <v>10718.213719282543</v>
      </c>
      <c r="G3" s="638" t="s">
        <v>72</v>
      </c>
      <c r="H3" s="449">
        <f>利润表!H2</f>
        <v>7660.6405554399998</v>
      </c>
      <c r="I3" s="449">
        <f>利润表!I2</f>
        <v>8366.1855505960248</v>
      </c>
      <c r="J3" s="449">
        <f>利润表!J2</f>
        <v>9687.2062490351364</v>
      </c>
      <c r="K3" s="449">
        <f>利润表!K2</f>
        <v>11280.713586890948</v>
      </c>
    </row>
    <row r="4" spans="1:11" ht="15" customHeight="1">
      <c r="A4" s="639" t="s">
        <v>73</v>
      </c>
      <c r="B4" s="449">
        <f>资产负债!H3</f>
        <v>2333.58753101</v>
      </c>
      <c r="C4" s="449">
        <f ca="1">资产负债!I3</f>
        <v>2232.272658944305</v>
      </c>
      <c r="D4" s="449">
        <f ca="1">资产负债!J3</f>
        <v>2537.7698719241203</v>
      </c>
      <c r="E4" s="449">
        <f ca="1">资产负债!K3</f>
        <v>3015.8754115929255</v>
      </c>
      <c r="G4" s="639" t="s">
        <v>74</v>
      </c>
      <c r="H4" s="449">
        <f>利润表!H3</f>
        <v>6035.7600298300003</v>
      </c>
      <c r="I4" s="449">
        <f>利润表!I3</f>
        <v>6886.2073266955886</v>
      </c>
      <c r="J4" s="449">
        <f>利润表!J3</f>
        <v>7321.9453431410248</v>
      </c>
      <c r="K4" s="449">
        <f>利润表!K3</f>
        <v>8645.2223050112862</v>
      </c>
    </row>
    <row r="5" spans="1:11" ht="15" customHeight="1">
      <c r="A5" s="639" t="s">
        <v>75</v>
      </c>
      <c r="B5" s="449">
        <f>资产负债!H6</f>
        <v>4877.6828907700001</v>
      </c>
      <c r="C5" s="449">
        <f>资产负债!I6</f>
        <v>2961.9618911083203</v>
      </c>
      <c r="D5" s="449">
        <f>资产负债!J6</f>
        <v>6549.8130535712671</v>
      </c>
      <c r="E5" s="449">
        <f>资产负债!K6</f>
        <v>4956.5978307899804</v>
      </c>
      <c r="G5" s="639" t="s">
        <v>76</v>
      </c>
      <c r="H5" s="449">
        <f>利润表!H4</f>
        <v>36.744935640000001</v>
      </c>
      <c r="I5" s="449">
        <f>利润表!I4</f>
        <v>51.742443541544333</v>
      </c>
      <c r="J5" s="449">
        <f>利润表!J4</f>
        <v>58.989390116367368</v>
      </c>
      <c r="K5" s="449">
        <f>利润表!K4</f>
        <v>66.477221636107203</v>
      </c>
    </row>
    <row r="6" spans="1:11" ht="15" customHeight="1">
      <c r="A6" s="639" t="s">
        <v>77</v>
      </c>
      <c r="B6" s="449">
        <f>资产负债!H12</f>
        <v>286.87363082999997</v>
      </c>
      <c r="C6" s="449">
        <f>资产负债!I12</f>
        <v>331.87543182796202</v>
      </c>
      <c r="D6" s="449">
        <f>资产负债!J12</f>
        <v>384.57410782369215</v>
      </c>
      <c r="E6" s="449">
        <f>资产负债!K12</f>
        <v>449.72856401992311</v>
      </c>
      <c r="G6" s="639" t="s">
        <v>78</v>
      </c>
      <c r="H6" s="449">
        <f>利润表!H5</f>
        <v>509.95078439999997</v>
      </c>
      <c r="I6" s="449">
        <f>利润表!I5</f>
        <v>749.98764873923972</v>
      </c>
      <c r="J6" s="449">
        <f>利润表!J5</f>
        <v>781.2687986074227</v>
      </c>
      <c r="K6" s="449">
        <f>利润表!K5</f>
        <v>812.50241554383399</v>
      </c>
    </row>
    <row r="7" spans="1:11" ht="15" customHeight="1">
      <c r="A7" s="639" t="s">
        <v>37</v>
      </c>
      <c r="B7" s="449">
        <f>资产负债!H11</f>
        <v>138.46268200999998</v>
      </c>
      <c r="C7" s="449">
        <f>资产负债!I11</f>
        <v>183.183121944638</v>
      </c>
      <c r="D7" s="449">
        <f>资产负债!J11</f>
        <v>189.25055445443729</v>
      </c>
      <c r="E7" s="449">
        <f>资产负债!K11</f>
        <v>244.44699730247453</v>
      </c>
      <c r="G7" s="639" t="s">
        <v>79</v>
      </c>
      <c r="H7" s="449">
        <f>利润表!H6</f>
        <v>300.71854592</v>
      </c>
      <c r="I7" s="449">
        <f>利润表!I6</f>
        <v>308.71224681699334</v>
      </c>
      <c r="J7" s="449">
        <f>利润表!J6</f>
        <v>381.03221175752003</v>
      </c>
      <c r="K7" s="449">
        <f>利润表!K6</f>
        <v>432.64425164369453</v>
      </c>
    </row>
    <row r="8" spans="1:11" ht="15" customHeight="1">
      <c r="A8" s="639" t="s">
        <v>80</v>
      </c>
      <c r="B8" s="449">
        <f>资产负债!H13</f>
        <v>554.36499835000006</v>
      </c>
      <c r="C8" s="449">
        <f>资产负债!I13</f>
        <v>643.29202894404114</v>
      </c>
      <c r="D8" s="449">
        <f>资产负债!J13</f>
        <v>544.69247240001425</v>
      </c>
      <c r="E8" s="449">
        <f>资产负债!K13</f>
        <v>813.10573158010504</v>
      </c>
      <c r="G8" s="639" t="s">
        <v>81</v>
      </c>
      <c r="H8" s="449">
        <f>利润表!H8</f>
        <v>75.63140765</v>
      </c>
      <c r="I8" s="449">
        <f ca="1">利润表!I8</f>
        <v>125.70179837948498</v>
      </c>
      <c r="J8" s="449">
        <f ca="1">利润表!J8</f>
        <v>314.75447313157986</v>
      </c>
      <c r="K8" s="449">
        <f ca="1">利润表!K8</f>
        <v>419.93391906168307</v>
      </c>
    </row>
    <row r="9" spans="1:11" ht="15" customHeight="1">
      <c r="A9" s="639" t="s">
        <v>82</v>
      </c>
      <c r="B9" s="449">
        <f>B3-SUM(B4:B8)</f>
        <v>1302.2093965699996</v>
      </c>
      <c r="C9" s="449">
        <f ca="1">C3-SUM(C4:C8)</f>
        <v>1067.4152386466394</v>
      </c>
      <c r="D9" s="449">
        <f ca="1">D3-SUM(D4:D8)</f>
        <v>1429.3504725156836</v>
      </c>
      <c r="E9" s="449">
        <f ca="1">E3-SUM(E4:E8)</f>
        <v>1238.4591839971345</v>
      </c>
      <c r="G9" s="639" t="s">
        <v>83</v>
      </c>
      <c r="H9" s="449">
        <f>利润表!H12</f>
        <v>-38.068680430000001</v>
      </c>
      <c r="I9" s="449">
        <f>利润表!I12</f>
        <v>0</v>
      </c>
      <c r="J9" s="449">
        <f>利润表!J12</f>
        <v>0</v>
      </c>
      <c r="K9" s="449">
        <f>利润表!K12</f>
        <v>0</v>
      </c>
    </row>
    <row r="10" spans="1:11" ht="15" customHeight="1">
      <c r="A10" s="634" t="s">
        <v>39</v>
      </c>
      <c r="B10" s="449">
        <f>资产负债!H39</f>
        <v>3146.21526055</v>
      </c>
      <c r="C10" s="449">
        <f ca="1">资产负债!I39</f>
        <v>3016.3850591303799</v>
      </c>
      <c r="D10" s="449">
        <f ca="1">资产负债!J39</f>
        <v>3299.9034467383558</v>
      </c>
      <c r="E10" s="449">
        <f ca="1">资产负债!K39</f>
        <v>3620.5852875573628</v>
      </c>
      <c r="G10" s="640" t="s">
        <v>84</v>
      </c>
      <c r="H10" s="449">
        <f>利润表!H14</f>
        <v>40.805791849999999</v>
      </c>
      <c r="I10" s="449">
        <f>利润表!I14</f>
        <v>20.407319219999998</v>
      </c>
      <c r="J10" s="449">
        <f>利润表!J14</f>
        <v>30.606555534999998</v>
      </c>
      <c r="K10" s="449">
        <f>利润表!K14</f>
        <v>25.506937377499998</v>
      </c>
    </row>
    <row r="11" spans="1:11" ht="15" customHeight="1">
      <c r="A11" s="641" t="s">
        <v>40</v>
      </c>
      <c r="B11" s="449">
        <f>资产负债!H29</f>
        <v>32.961611179999998</v>
      </c>
      <c r="C11" s="449">
        <f>资产负债!I29</f>
        <v>41.088376823999994</v>
      </c>
      <c r="D11" s="449">
        <f>资产负债!J29</f>
        <v>49.144868170799995</v>
      </c>
      <c r="E11" s="449">
        <f>资产负债!K29</f>
        <v>57.117030360959987</v>
      </c>
      <c r="G11" s="639" t="s">
        <v>85</v>
      </c>
      <c r="H11" s="449">
        <f>利润表!H16</f>
        <v>3.80244553</v>
      </c>
      <c r="I11" s="449">
        <f>利润表!I16</f>
        <v>2.5735877540000005</v>
      </c>
      <c r="J11" s="449">
        <f>利润表!J16</f>
        <v>-0.76549927719999955</v>
      </c>
      <c r="K11" s="449">
        <f>利润表!K16</f>
        <v>-5.0645915646399997</v>
      </c>
    </row>
    <row r="12" spans="1:11" ht="15" customHeight="1">
      <c r="A12" s="641" t="s">
        <v>41</v>
      </c>
      <c r="B12" s="449">
        <f>资产负债!H30</f>
        <v>1953.4169309599999</v>
      </c>
      <c r="C12" s="449">
        <f ca="1">资产负债!I30</f>
        <v>1992.008259895239</v>
      </c>
      <c r="D12" s="449">
        <f ca="1">资产负债!J30</f>
        <v>2153.6156584227188</v>
      </c>
      <c r="E12" s="449">
        <f ca="1">资产负债!K30</f>
        <v>2368.6515654977848</v>
      </c>
      <c r="G12" s="638" t="s">
        <v>1008</v>
      </c>
      <c r="H12" s="449">
        <f>利润表!H19</f>
        <v>191.46961677000002</v>
      </c>
      <c r="I12" s="449">
        <f ca="1">利润表!I19</f>
        <v>-240.72270657508631</v>
      </c>
      <c r="J12" s="449">
        <f ca="1">利润表!J19</f>
        <v>190.64219335690083</v>
      </c>
      <c r="K12" s="449">
        <f ca="1">利润表!K19</f>
        <v>126.97893179493485</v>
      </c>
    </row>
    <row r="13" spans="1:11" ht="15" customHeight="1">
      <c r="A13" s="641" t="s">
        <v>42</v>
      </c>
      <c r="B13" s="449">
        <f>资产负债!H33</f>
        <v>288.30196711000002</v>
      </c>
      <c r="C13" s="449">
        <f>资产负债!I33</f>
        <v>314.10079168312927</v>
      </c>
      <c r="D13" s="449">
        <f>资产负债!J33</f>
        <v>344.43605526781556</v>
      </c>
      <c r="E13" s="449">
        <f>资产负债!K33</f>
        <v>377.94151963950759</v>
      </c>
      <c r="G13" s="639" t="s">
        <v>86</v>
      </c>
      <c r="H13" s="449">
        <f>利润表!H20</f>
        <v>11.99548611</v>
      </c>
      <c r="I13" s="449">
        <f>利润表!I20</f>
        <v>8.2163046699999995</v>
      </c>
      <c r="J13" s="449">
        <f>利润表!J20</f>
        <v>9.2791506019999996</v>
      </c>
      <c r="K13" s="449">
        <f>利润表!K20</f>
        <v>10.056518930399999</v>
      </c>
    </row>
    <row r="14" spans="1:11" ht="15" customHeight="1">
      <c r="A14" s="641" t="s">
        <v>38</v>
      </c>
      <c r="B14" s="449">
        <f>B10-SUM(B11:B13)</f>
        <v>871.53475130000015</v>
      </c>
      <c r="C14" s="449">
        <f ca="1">C10-SUM(C11:C13)</f>
        <v>669.18763072801175</v>
      </c>
      <c r="D14" s="449">
        <f ca="1">D10-SUM(D11:D13)</f>
        <v>752.70686487702187</v>
      </c>
      <c r="E14" s="449">
        <f ca="1">E10-SUM(E11:E13)</f>
        <v>816.87517205911035</v>
      </c>
      <c r="G14" s="639" t="s">
        <v>87</v>
      </c>
      <c r="H14" s="449">
        <f>利润表!H21</f>
        <v>2.8726492100000001</v>
      </c>
      <c r="I14" s="449">
        <f>利润表!I21</f>
        <v>2.6997847333333334</v>
      </c>
      <c r="J14" s="449">
        <f>利润表!J21</f>
        <v>2.7303041244444444</v>
      </c>
      <c r="K14" s="449">
        <f>利润表!K21</f>
        <v>2.7675793559259261</v>
      </c>
    </row>
    <row r="15" spans="1:11" ht="15" customHeight="1">
      <c r="A15" s="634" t="s">
        <v>43</v>
      </c>
      <c r="B15" s="449">
        <f>资产负债!H40</f>
        <v>12639.39639009</v>
      </c>
      <c r="C15" s="449">
        <f ca="1">资产负债!I40</f>
        <v>10436.385430546285</v>
      </c>
      <c r="D15" s="449">
        <f ca="1">资产负债!J40</f>
        <v>14935.353979427569</v>
      </c>
      <c r="E15" s="449">
        <f ca="1">资产负债!K40</f>
        <v>14338.799006839905</v>
      </c>
      <c r="G15" s="638" t="s">
        <v>44</v>
      </c>
      <c r="H15" s="449">
        <f>利润表!H22</f>
        <v>200.59245367</v>
      </c>
      <c r="I15" s="449">
        <f ca="1">利润表!I22</f>
        <v>-235.20618663841964</v>
      </c>
      <c r="J15" s="449">
        <f ca="1">利润表!J22</f>
        <v>197.19103983445638</v>
      </c>
      <c r="K15" s="449">
        <f ca="1">利润表!K22</f>
        <v>134.26787136940891</v>
      </c>
    </row>
    <row r="16" spans="1:11" ht="15" customHeight="1">
      <c r="A16" s="634" t="s">
        <v>45</v>
      </c>
      <c r="B16" s="449">
        <f>资产负债!H60</f>
        <v>6108.5103673599997</v>
      </c>
      <c r="C16" s="449">
        <f ca="1">资产负债!I60</f>
        <v>4284.9947274284677</v>
      </c>
      <c r="D16" s="449">
        <f ca="1">资产负债!J60</f>
        <v>8757.9928098174951</v>
      </c>
      <c r="E16" s="449">
        <f ca="1">资产负债!K60</f>
        <v>8208.4511807930503</v>
      </c>
      <c r="G16" s="639" t="s">
        <v>88</v>
      </c>
      <c r="H16" s="449">
        <f>利润表!H23</f>
        <v>22.677695249999999</v>
      </c>
      <c r="I16" s="449">
        <f ca="1">利润表!I23</f>
        <v>-35.954958226013567</v>
      </c>
      <c r="J16" s="449">
        <f ca="1">利润表!J23</f>
        <v>29.470608139822264</v>
      </c>
      <c r="K16" s="449">
        <f ca="1">利润表!K23</f>
        <v>19.833395968726165</v>
      </c>
    </row>
    <row r="17" spans="1:11" ht="15" customHeight="1">
      <c r="A17" s="641" t="s">
        <v>46</v>
      </c>
      <c r="B17" s="449">
        <f>资产负债!H42</f>
        <v>1161.9753268099998</v>
      </c>
      <c r="C17" s="449">
        <f ca="1">资产负债!I42</f>
        <v>3228.5417177481845</v>
      </c>
      <c r="D17" s="449">
        <f ca="1">资产负债!J42</f>
        <v>7700.9640738841808</v>
      </c>
      <c r="E17" s="449">
        <f ca="1">资产负债!K42</f>
        <v>7069.3107945012607</v>
      </c>
      <c r="F17" s="449">
        <v>11283.323854156533</v>
      </c>
      <c r="G17" s="638" t="s">
        <v>1025</v>
      </c>
      <c r="H17" s="449">
        <f>利润表!H25</f>
        <v>177.91475842</v>
      </c>
      <c r="I17" s="449">
        <f ca="1">利润表!I25</f>
        <v>-199.25122841240608</v>
      </c>
      <c r="J17" s="449">
        <f ca="1">利润表!J25</f>
        <v>167.7204316946341</v>
      </c>
      <c r="K17" s="449">
        <f ca="1">利润表!K25</f>
        <v>114.43447540068274</v>
      </c>
    </row>
    <row r="18" spans="1:11" ht="15" customHeight="1">
      <c r="A18" s="641" t="s">
        <v>47</v>
      </c>
      <c r="B18" s="449">
        <f>资产负债!H45</f>
        <v>3614.6237455300002</v>
      </c>
      <c r="C18" s="449">
        <f>资产负债!I45</f>
        <v>0</v>
      </c>
      <c r="D18" s="449">
        <f>资产负债!J45</f>
        <v>0</v>
      </c>
      <c r="E18" s="449">
        <f>资产负债!K45</f>
        <v>0</v>
      </c>
      <c r="G18" s="639" t="s">
        <v>89</v>
      </c>
      <c r="H18" s="449">
        <f>利润表!H29</f>
        <v>-0.27017777000000004</v>
      </c>
      <c r="I18" s="449">
        <f ca="1">利润表!I29</f>
        <v>6.0517210859111235E-2</v>
      </c>
      <c r="J18" s="449">
        <f ca="1">利润表!J29</f>
        <v>-6.1128693525966907E-2</v>
      </c>
      <c r="K18" s="449">
        <f ca="1">利润表!K29</f>
        <v>-5.0048393803664652E-2</v>
      </c>
    </row>
    <row r="19" spans="1:11" ht="15" customHeight="1">
      <c r="A19" s="641" t="s">
        <v>38</v>
      </c>
      <c r="B19" s="449">
        <f>B16-SUM(B17:B18)</f>
        <v>1331.9112950199997</v>
      </c>
      <c r="C19" s="449">
        <f ca="1">C16-SUM(C17:C18)</f>
        <v>1056.4530096802832</v>
      </c>
      <c r="D19" s="449">
        <f ca="1">D16-SUM(D17:D18)</f>
        <v>1057.0287359333142</v>
      </c>
      <c r="E19" s="449">
        <f ca="1">E16-SUM(E17:E18)</f>
        <v>1139.1403862917896</v>
      </c>
      <c r="G19" s="642" t="s">
        <v>90</v>
      </c>
      <c r="H19" s="449">
        <f>利润表!H30</f>
        <v>178.18493619</v>
      </c>
      <c r="I19" s="449">
        <f ca="1">利润表!I30</f>
        <v>-199.31174562326518</v>
      </c>
      <c r="J19" s="449">
        <f ca="1">利润表!J30</f>
        <v>167.78156038816007</v>
      </c>
      <c r="K19" s="449">
        <f ca="1">利润表!K30</f>
        <v>114.48452379448641</v>
      </c>
    </row>
    <row r="20" spans="1:11" ht="15" customHeight="1">
      <c r="A20" s="634" t="s">
        <v>91</v>
      </c>
      <c r="B20" s="449">
        <f>资产负债!H70</f>
        <v>913.00746860000004</v>
      </c>
      <c r="C20" s="449">
        <f ca="1">资产负债!I70</f>
        <v>791.80730875022175</v>
      </c>
      <c r="D20" s="449">
        <f ca="1">资产负债!J70</f>
        <v>709.10127489784634</v>
      </c>
      <c r="E20" s="449">
        <f ca="1">资产负债!K70</f>
        <v>621.45837012144284</v>
      </c>
      <c r="G20" s="643" t="s">
        <v>48</v>
      </c>
      <c r="H20" s="449">
        <f>利润表!H28</f>
        <v>451.25812925268599</v>
      </c>
      <c r="I20" s="449">
        <f ca="1">利润表!I28</f>
        <v>14.276538769569811</v>
      </c>
      <c r="J20" s="449">
        <f ca="1">利润表!J28</f>
        <v>658.64321082848073</v>
      </c>
      <c r="K20" s="449">
        <f ca="1">利润表!K28</f>
        <v>725.00600733661963</v>
      </c>
    </row>
    <row r="21" spans="1:11" ht="15" customHeight="1">
      <c r="A21" s="641" t="s">
        <v>49</v>
      </c>
      <c r="B21" s="449">
        <f>资产负债!H62</f>
        <v>708.48547254999994</v>
      </c>
      <c r="C21" s="449">
        <f ca="1">资产负债!I62</f>
        <v>568.30953474022158</v>
      </c>
      <c r="D21" s="449">
        <f ca="1">资产负债!J62</f>
        <v>491.92876020784615</v>
      </c>
      <c r="E21" s="449">
        <f ca="1">资产负债!K62</f>
        <v>402.1774356581094</v>
      </c>
      <c r="F21" s="449">
        <v>752.24884467811148</v>
      </c>
      <c r="G21" s="644" t="s">
        <v>123</v>
      </c>
      <c r="H21" s="645">
        <f>利润表!H31</f>
        <v>0.15089182928365422</v>
      </c>
      <c r="I21" s="645">
        <f ca="1">利润表!I31</f>
        <v>-0.16878258363402929</v>
      </c>
      <c r="J21" s="645">
        <f ca="1">利润表!J31</f>
        <v>0.14208196892715891</v>
      </c>
      <c r="K21" s="645">
        <f ca="1">利润表!K31</f>
        <v>9.694859503498017E-2</v>
      </c>
    </row>
    <row r="22" spans="1:11" ht="15" customHeight="1">
      <c r="A22" s="641" t="s">
        <v>38</v>
      </c>
      <c r="B22" s="449">
        <f>B20-B21</f>
        <v>204.5219960500001</v>
      </c>
      <c r="C22" s="449">
        <f ca="1">C20-C21</f>
        <v>223.49777401000017</v>
      </c>
      <c r="D22" s="449">
        <f ca="1">D20-D21</f>
        <v>217.17251469000018</v>
      </c>
      <c r="E22" s="449">
        <f ca="1">E20-E21</f>
        <v>219.28093446333344</v>
      </c>
    </row>
    <row r="23" spans="1:11" ht="15" customHeight="1" thickBot="1">
      <c r="A23" s="634" t="s">
        <v>50</v>
      </c>
      <c r="B23" s="449">
        <f>资产负债!H72</f>
        <v>7021.5178359600004</v>
      </c>
      <c r="C23" s="449">
        <f ca="1">资产负债!I72</f>
        <v>5076.8020361786894</v>
      </c>
      <c r="D23" s="449">
        <f ca="1">资产负债!J72</f>
        <v>9467.0940847153415</v>
      </c>
      <c r="E23" s="449">
        <f ca="1">资产负债!K72</f>
        <v>8829.9095509144936</v>
      </c>
      <c r="G23" s="634" t="s">
        <v>92</v>
      </c>
    </row>
    <row r="24" spans="1:11" ht="15" customHeight="1">
      <c r="A24" s="1051" t="s">
        <v>2315</v>
      </c>
      <c r="B24" s="1050">
        <f>资产负债!H74</f>
        <v>1180.8786270000001</v>
      </c>
      <c r="C24" s="1050">
        <f>资产负债!I74</f>
        <v>1180.8786270000001</v>
      </c>
      <c r="D24" s="1050">
        <f>资产负债!J74</f>
        <v>1180.8786270000001</v>
      </c>
      <c r="E24" s="1050">
        <f>资产负债!K74</f>
        <v>1180.8786270000001</v>
      </c>
      <c r="G24" s="646" t="s">
        <v>71</v>
      </c>
      <c r="H24" s="637">
        <f>H2</f>
        <v>2022</v>
      </c>
      <c r="I24" s="637" t="str">
        <f>I2</f>
        <v>2023E</v>
      </c>
      <c r="J24" s="637" t="str">
        <f>J2</f>
        <v>2024E</v>
      </c>
      <c r="K24" s="637" t="str">
        <f>K2</f>
        <v>2025E</v>
      </c>
    </row>
    <row r="25" spans="1:11" ht="15" customHeight="1">
      <c r="A25" s="1051" t="s">
        <v>2316</v>
      </c>
      <c r="B25" s="1050">
        <f>资产负债!H78</f>
        <v>2072.21509741</v>
      </c>
      <c r="C25" s="1050">
        <f>资产负债!I78</f>
        <v>2072.21509741</v>
      </c>
      <c r="D25" s="1050">
        <f>资产负债!J78</f>
        <v>2072.21509741</v>
      </c>
      <c r="E25" s="1050">
        <f>资产负债!K78</f>
        <v>2072.21509741</v>
      </c>
      <c r="G25" s="647" t="s">
        <v>93</v>
      </c>
      <c r="H25" s="449"/>
      <c r="I25" s="449"/>
      <c r="J25" s="449"/>
      <c r="K25" s="449"/>
    </row>
    <row r="26" spans="1:11" ht="15" customHeight="1">
      <c r="A26" s="1051" t="s">
        <v>2330</v>
      </c>
      <c r="B26" s="1050">
        <f>资产负债!H81</f>
        <v>191.48255053</v>
      </c>
      <c r="C26" s="1050">
        <f ca="1">资产负债!I81</f>
        <v>101.60827309037872</v>
      </c>
      <c r="D26" s="1050">
        <f ca="1">资产负债!J81</f>
        <v>178.34782681149233</v>
      </c>
      <c r="E26" s="1050">
        <f ca="1">资产负债!K81</f>
        <v>234.18353835342026</v>
      </c>
      <c r="G26" s="639" t="s">
        <v>1350</v>
      </c>
      <c r="H26" s="633">
        <f>财务分析!H3</f>
        <v>-1.4166452712930377E-2</v>
      </c>
      <c r="I26" s="633">
        <f>财务分析!I3</f>
        <v>9.2100000000000001E-2</v>
      </c>
      <c r="J26" s="633">
        <f>财务分析!J3</f>
        <v>0.15790000000000001</v>
      </c>
      <c r="K26" s="633">
        <f>财务分析!K3</f>
        <v>0.1644960679984003</v>
      </c>
    </row>
    <row r="27" spans="1:11" ht="15" customHeight="1">
      <c r="A27" s="1051" t="s">
        <v>2331</v>
      </c>
      <c r="B27" s="1050">
        <f>资产负债!H82</f>
        <v>2318.3434342399996</v>
      </c>
      <c r="C27" s="1050">
        <f ca="1">资产负债!I82</f>
        <v>2230.6067647432264</v>
      </c>
      <c r="D27" s="1050">
        <f ca="1">资产负债!J82</f>
        <v>2298.8179126373561</v>
      </c>
      <c r="E27" s="1050">
        <f ca="1">资产负债!K82</f>
        <v>2340.9458006106015</v>
      </c>
      <c r="G27" s="639" t="s">
        <v>1351</v>
      </c>
      <c r="H27" s="633">
        <f>财务分析!H4</f>
        <v>-0.76381519801908282</v>
      </c>
      <c r="I27" s="633">
        <f ca="1">财务分析!I4</f>
        <v>-2.2572371044344379</v>
      </c>
      <c r="J27" s="633">
        <f ca="1">财务分析!J4</f>
        <v>1.7919576680957416</v>
      </c>
      <c r="K27" s="633">
        <f ca="1">财务分析!K4</f>
        <v>-0.33394108849126664</v>
      </c>
    </row>
    <row r="28" spans="1:11" ht="15" customHeight="1">
      <c r="A28" s="1051" t="s">
        <v>2314</v>
      </c>
      <c r="B28" s="1050">
        <f>资产负债!H83</f>
        <v>2509.8259847699996</v>
      </c>
      <c r="C28" s="1050">
        <f ca="1">资产负债!I83</f>
        <v>2332.215037833605</v>
      </c>
      <c r="D28" s="1050">
        <f ca="1">资产负债!J83</f>
        <v>2477.1657394488484</v>
      </c>
      <c r="E28" s="1050">
        <f ca="1">资产负债!K83</f>
        <v>2575.1293389640218</v>
      </c>
      <c r="G28" s="640" t="s">
        <v>1352</v>
      </c>
      <c r="H28" s="633">
        <f>利润表!H30/利润表!G30-1</f>
        <v>-0.73508791828400732</v>
      </c>
      <c r="I28" s="633">
        <f ca="1">利润表!I30/利润表!H30-1</f>
        <v>-2.1185667536493518</v>
      </c>
      <c r="J28" s="633">
        <f ca="1">利润表!J30/利润表!I30-1</f>
        <v>-1.8418046807201076</v>
      </c>
      <c r="K28" s="633">
        <f ca="1">利润表!K30/利润表!J30-1</f>
        <v>-0.31765729482054994</v>
      </c>
    </row>
    <row r="29" spans="1:11" ht="15" customHeight="1">
      <c r="A29" s="641" t="s">
        <v>51</v>
      </c>
      <c r="B29" s="449">
        <f>资产负债!H85</f>
        <v>1.03436503</v>
      </c>
      <c r="C29" s="449">
        <f ca="1">资产负债!I85</f>
        <v>1.0948822408591112</v>
      </c>
      <c r="D29" s="449">
        <f ca="1">资产负债!J85</f>
        <v>1.0337535473331443</v>
      </c>
      <c r="E29" s="449">
        <f ca="1">资产负债!K85</f>
        <v>0.98370515352947963</v>
      </c>
      <c r="F29" s="649"/>
      <c r="G29" s="638" t="s">
        <v>52</v>
      </c>
      <c r="H29" s="633"/>
      <c r="I29" s="633"/>
      <c r="J29" s="633"/>
      <c r="K29" s="633"/>
    </row>
    <row r="30" spans="1:11" ht="15" customHeight="1">
      <c r="A30" s="641" t="s">
        <v>94</v>
      </c>
      <c r="B30" s="449">
        <f>资产负债!H84</f>
        <v>5616.8441891000002</v>
      </c>
      <c r="C30" s="449">
        <f ca="1">资产负债!I84</f>
        <v>5358.4885121267353</v>
      </c>
      <c r="D30" s="449">
        <f ca="1">资产负债!J84</f>
        <v>5467.2261411648951</v>
      </c>
      <c r="E30" s="449">
        <f ca="1">资产负债!K84</f>
        <v>5507.9057507718817</v>
      </c>
      <c r="G30" s="639" t="s">
        <v>96</v>
      </c>
      <c r="H30" s="633">
        <f>财务分析!H13</f>
        <v>0.2121076578193104</v>
      </c>
      <c r="I30" s="633">
        <f>财务分析!I13</f>
        <v>0.17689999999999995</v>
      </c>
      <c r="J30" s="633">
        <f>财务分析!J13</f>
        <v>0.24416336816713236</v>
      </c>
      <c r="K30" s="633">
        <f>财务分析!K13</f>
        <v>0.2336280645350578</v>
      </c>
    </row>
    <row r="31" spans="1:11" ht="15" customHeight="1">
      <c r="A31" s="648" t="s">
        <v>95</v>
      </c>
      <c r="B31" s="645">
        <f>资产负债!H88</f>
        <v>12639.39639009</v>
      </c>
      <c r="C31" s="645">
        <f ca="1">资产负债!I88</f>
        <v>10436.385430546285</v>
      </c>
      <c r="D31" s="645">
        <f ca="1">资产负债!J88</f>
        <v>14935.353979427569</v>
      </c>
      <c r="E31" s="645">
        <f ca="1">资产负债!K88</f>
        <v>14338.799006839905</v>
      </c>
      <c r="G31" s="639" t="s">
        <v>98</v>
      </c>
      <c r="H31" s="633">
        <f>财务分析!H14</f>
        <v>2.3259795953155211E-2</v>
      </c>
      <c r="I31" s="633">
        <f ca="1">财务分析!I14</f>
        <v>-2.3823490934774424E-2</v>
      </c>
      <c r="J31" s="633">
        <f ca="1">财务分析!J14</f>
        <v>1.7319912064933211E-2</v>
      </c>
      <c r="K31" s="633">
        <f ca="1">财务分析!K14</f>
        <v>1.0148695196687395E-2</v>
      </c>
    </row>
    <row r="32" spans="1:11" ht="15" customHeight="1">
      <c r="G32" s="643" t="s">
        <v>99</v>
      </c>
      <c r="H32" s="633">
        <f>财务分析!H19</f>
        <v>3.1669384929869197E-2</v>
      </c>
      <c r="I32" s="633">
        <f ca="1">财务分析!I19</f>
        <v>-3.7176626194826992E-2</v>
      </c>
      <c r="J32" s="633">
        <f ca="1">财务分析!J19</f>
        <v>3.0671627706799136E-2</v>
      </c>
      <c r="K32" s="633">
        <f ca="1">财务分析!K19</f>
        <v>2.0772694082215788E-2</v>
      </c>
    </row>
    <row r="33" spans="1:11" ht="15" customHeight="1" thickBot="1">
      <c r="A33" s="634" t="s">
        <v>53</v>
      </c>
      <c r="D33" s="1310" t="s">
        <v>97</v>
      </c>
      <c r="E33" s="1310"/>
      <c r="G33" s="650" t="s">
        <v>100</v>
      </c>
      <c r="H33" s="633">
        <f>财务分析!H21</f>
        <v>2.7088712790866092E-2</v>
      </c>
      <c r="I33" s="633">
        <f ca="1">财务分析!I21</f>
        <v>-1.3129373382206771E-2</v>
      </c>
      <c r="J33" s="633">
        <f ca="1">财务分析!J21</f>
        <v>2.938703107764391E-2</v>
      </c>
      <c r="K33" s="633">
        <f ca="1">财务分析!K21</f>
        <v>3.337717908941569E-2</v>
      </c>
    </row>
    <row r="34" spans="1:11" ht="15" customHeight="1">
      <c r="A34" s="646" t="s">
        <v>71</v>
      </c>
      <c r="B34" s="637">
        <f>B2</f>
        <v>2022</v>
      </c>
      <c r="C34" s="637" t="str">
        <f>C2</f>
        <v>2023E</v>
      </c>
      <c r="D34" s="637" t="str">
        <f>D2</f>
        <v>2024E</v>
      </c>
      <c r="E34" s="637" t="str">
        <f>E2</f>
        <v>2025E</v>
      </c>
      <c r="G34" s="638" t="s">
        <v>56</v>
      </c>
      <c r="H34" s="449"/>
      <c r="I34" s="449"/>
      <c r="J34" s="449"/>
      <c r="K34" s="449"/>
    </row>
    <row r="35" spans="1:11" ht="15" customHeight="1">
      <c r="A35" s="634" t="s">
        <v>54</v>
      </c>
      <c r="B35" s="449">
        <f>现金流量!H13</f>
        <v>-197.26752641000022</v>
      </c>
      <c r="C35" s="449">
        <f ca="1">现金流量!I13</f>
        <v>-1452.4718889031087</v>
      </c>
      <c r="D35" s="449">
        <f ca="1">现金流量!J13</f>
        <v>-3272.6984068020356</v>
      </c>
      <c r="E35" s="449">
        <f ca="1">现金流量!K13</f>
        <v>2154.4362500990928</v>
      </c>
      <c r="G35" s="639" t="s">
        <v>101</v>
      </c>
      <c r="H35" s="633">
        <f>财务分析!H31</f>
        <v>0.55552635737140632</v>
      </c>
      <c r="I35" s="633">
        <f ca="1">财务分析!I31</f>
        <v>0.4864521409222185</v>
      </c>
      <c r="J35" s="633">
        <f ca="1">财务分析!J31</f>
        <v>0.63387142331916724</v>
      </c>
      <c r="K35" s="633">
        <f ca="1">财务分析!K31</f>
        <v>0.61580537858871187</v>
      </c>
    </row>
    <row r="36" spans="1:11" ht="15" customHeight="1">
      <c r="A36" s="641" t="s">
        <v>55</v>
      </c>
      <c r="B36" s="449">
        <f>现金流量!H3</f>
        <v>177.91475842</v>
      </c>
      <c r="C36" s="449">
        <f ca="1">现金流量!I3</f>
        <v>-199.25122841240608</v>
      </c>
      <c r="D36" s="449">
        <f ca="1">现金流量!J3</f>
        <v>167.7204316946341</v>
      </c>
      <c r="E36" s="449">
        <f ca="1">现金流量!K3</f>
        <v>114.43447540068274</v>
      </c>
      <c r="G36" s="639" t="s">
        <v>102</v>
      </c>
      <c r="H36" s="633">
        <f>(资产负债!H42+资产负债!H52+资产负债!H62)/资产负债!H86</f>
        <v>0.42923092662572349</v>
      </c>
      <c r="I36" s="633">
        <f ca="1">(资产负债!I42+资产负债!I52+资产负债!I62)/资产负债!I86</f>
        <v>0.73493186808379463</v>
      </c>
      <c r="J36" s="633">
        <f ca="1">(资产负债!J42+资产负债!J52+资产负债!J62)/资产负债!J86</f>
        <v>1.5272489842958996</v>
      </c>
      <c r="K36" s="633">
        <f ca="1">(资产负债!K42+资产负债!K52+资产负债!K62)/资产负债!K86</f>
        <v>1.3881522546732343</v>
      </c>
    </row>
    <row r="37" spans="1:11" ht="15" customHeight="1">
      <c r="A37" s="641" t="s">
        <v>57</v>
      </c>
      <c r="B37" s="449">
        <f>现金流量!H4</f>
        <v>203.49755551999996</v>
      </c>
      <c r="C37" s="449">
        <f ca="1">现金流量!I4</f>
        <v>159.67568942618274</v>
      </c>
      <c r="D37" s="449">
        <f ca="1">现金流量!J4</f>
        <v>178.29660496705071</v>
      </c>
      <c r="E37" s="449">
        <f ca="1">现金流量!K4</f>
        <v>206.53562264950685</v>
      </c>
      <c r="G37" s="639" t="s">
        <v>104</v>
      </c>
      <c r="H37" s="449">
        <f>财务分析!H41</f>
        <v>1.5540910236095418</v>
      </c>
      <c r="I37" s="449">
        <f ca="1">财务分析!I41</f>
        <v>1.731624154382293</v>
      </c>
      <c r="J37" s="449">
        <f ca="1">财务分析!J41</f>
        <v>1.3285521905939635</v>
      </c>
      <c r="K37" s="449">
        <f ca="1">财务分析!K41</f>
        <v>1.3057534829910524</v>
      </c>
    </row>
    <row r="38" spans="1:11" ht="15" customHeight="1">
      <c r="A38" s="641" t="s">
        <v>58</v>
      </c>
      <c r="B38" s="449">
        <f>现金流量!H8</f>
        <v>75.63140765</v>
      </c>
      <c r="C38" s="449">
        <f ca="1">现金流量!I8</f>
        <v>125.70179837948498</v>
      </c>
      <c r="D38" s="449">
        <f ca="1">现金流量!J8</f>
        <v>314.75447313157986</v>
      </c>
      <c r="E38" s="449">
        <f ca="1">现金流量!K8</f>
        <v>419.93391906168307</v>
      </c>
      <c r="G38" s="639" t="s">
        <v>106</v>
      </c>
      <c r="H38" s="449">
        <f>财务分析!H42</f>
        <v>1.3589279984209259</v>
      </c>
      <c r="I38" s="449">
        <f ca="1">财务分析!I42</f>
        <v>1.4542860497272156</v>
      </c>
      <c r="J38" s="449">
        <f ca="1">财务分析!J42</f>
        <v>1.2002983076943226</v>
      </c>
      <c r="K38" s="449">
        <f ca="1">财务分析!K42</f>
        <v>1.1274845517644085</v>
      </c>
    </row>
    <row r="39" spans="1:11" ht="15" customHeight="1">
      <c r="A39" s="641" t="s">
        <v>103</v>
      </c>
      <c r="B39" s="449">
        <f>现金流量!H9</f>
        <v>-3.80244553</v>
      </c>
      <c r="C39" s="449">
        <f>现金流量!I9</f>
        <v>-2.5735877540000005</v>
      </c>
      <c r="D39" s="449">
        <f>现金流量!J9</f>
        <v>0.76549927719999955</v>
      </c>
      <c r="E39" s="449">
        <f>现金流量!K9</f>
        <v>5.0645915646399997</v>
      </c>
      <c r="G39" s="638" t="s">
        <v>60</v>
      </c>
      <c r="H39" s="449"/>
      <c r="I39" s="449"/>
      <c r="J39" s="449"/>
      <c r="K39" s="449"/>
    </row>
    <row r="40" spans="1:11" ht="15" customHeight="1">
      <c r="A40" s="641" t="s">
        <v>105</v>
      </c>
      <c r="B40" s="449">
        <f>现金流量!H10</f>
        <v>-808.20988121000028</v>
      </c>
      <c r="C40" s="449">
        <f ca="1">现金流量!I10</f>
        <v>-1725.6196271845865</v>
      </c>
      <c r="D40" s="449">
        <f ca="1">现金流量!J10</f>
        <v>-4192.4904604445564</v>
      </c>
      <c r="E40" s="449">
        <f ca="1">现金流量!K10</f>
        <v>1080.9465266692932</v>
      </c>
      <c r="G40" s="639" t="s">
        <v>107</v>
      </c>
      <c r="H40" s="449">
        <f>财务分析!H28</f>
        <v>0.65394832622030685</v>
      </c>
      <c r="I40" s="449">
        <f ca="1">财务分析!I28</f>
        <v>0.72510527405960168</v>
      </c>
      <c r="J40" s="449">
        <f ca="1">财务分析!J28</f>
        <v>0.76362176770797285</v>
      </c>
      <c r="K40" s="449">
        <f ca="1">财务分析!K28</f>
        <v>0.77069444790991837</v>
      </c>
    </row>
    <row r="41" spans="1:11" ht="15" customHeight="1">
      <c r="A41" s="641" t="s">
        <v>59</v>
      </c>
      <c r="B41" s="449">
        <f>B35-SUM(B36:B40)</f>
        <v>157.70107874000004</v>
      </c>
      <c r="C41" s="449">
        <f ca="1">C35-SUM(C36:C40)</f>
        <v>189.59506664221612</v>
      </c>
      <c r="D41" s="449">
        <f ca="1">D35-SUM(D36:D40)</f>
        <v>258.25504457205625</v>
      </c>
      <c r="E41" s="449">
        <f ca="1">E35-SUM(E36:E40)</f>
        <v>327.52111475328684</v>
      </c>
      <c r="G41" s="639" t="s">
        <v>108</v>
      </c>
      <c r="H41" s="449">
        <f>财务分析!H26</f>
        <v>1.8940564228063765</v>
      </c>
      <c r="I41" s="449">
        <f>财务分析!I26</f>
        <v>2.5034720072766592</v>
      </c>
      <c r="J41" s="449">
        <f>财务分析!J26</f>
        <v>2.3576358672202207</v>
      </c>
      <c r="K41" s="449">
        <f>财务分析!K26</f>
        <v>2.2517214324344188</v>
      </c>
    </row>
    <row r="42" spans="1:11" ht="15" customHeight="1">
      <c r="A42" s="634" t="s">
        <v>61</v>
      </c>
      <c r="B42" s="449">
        <f>现金流量!H38</f>
        <v>-782.22894387000042</v>
      </c>
      <c r="C42" s="449">
        <f ca="1">现金流量!I38</f>
        <v>-9.1304206065628044</v>
      </c>
      <c r="D42" s="449">
        <f ca="1">现金流量!J38</f>
        <v>-454.64779347502633</v>
      </c>
      <c r="E42" s="449">
        <f ca="1">现金流量!K38</f>
        <v>-480.31613148876437</v>
      </c>
      <c r="G42" s="639" t="s">
        <v>109</v>
      </c>
      <c r="H42" s="449">
        <f>假设!H63</f>
        <v>1.7148696309140035</v>
      </c>
      <c r="I42" s="449">
        <f>假设!I63</f>
        <v>0</v>
      </c>
      <c r="J42" s="449">
        <f>假设!J63</f>
        <v>0</v>
      </c>
      <c r="K42" s="449">
        <f>假设!K63</f>
        <v>0</v>
      </c>
    </row>
    <row r="43" spans="1:11" ht="15" customHeight="1">
      <c r="A43" s="641" t="s">
        <v>62</v>
      </c>
      <c r="B43" s="449">
        <f>营运资本!H62</f>
        <v>365.12046151000027</v>
      </c>
      <c r="C43" s="449">
        <f ca="1">营运资本!I62</f>
        <v>197.78088647506297</v>
      </c>
      <c r="D43" s="449">
        <f ca="1">营运资本!J62</f>
        <v>427.80018107635135</v>
      </c>
      <c r="E43" s="449">
        <f ca="1">营运资本!K62</f>
        <v>474.74916070267727</v>
      </c>
      <c r="G43" s="638" t="s">
        <v>63</v>
      </c>
      <c r="H43" s="449"/>
      <c r="I43" s="449"/>
      <c r="J43" s="449"/>
      <c r="K43" s="449"/>
    </row>
    <row r="44" spans="1:11" ht="15" customHeight="1">
      <c r="A44" s="641" t="s">
        <v>40</v>
      </c>
      <c r="B44" s="449">
        <f>现金流量!H21</f>
        <v>-8.4781371299999968</v>
      </c>
      <c r="C44" s="449">
        <f>现金流量!I21</f>
        <v>-8.1267656439999953</v>
      </c>
      <c r="D44" s="449">
        <f>现金流量!J21</f>
        <v>-8.0564913468000015</v>
      </c>
      <c r="E44" s="449">
        <f>现金流量!K21</f>
        <v>-7.9721621901599917</v>
      </c>
      <c r="G44" s="640" t="s">
        <v>110</v>
      </c>
      <c r="H44" s="449">
        <f>财务分析!H51</f>
        <v>0.15089182928365422</v>
      </c>
      <c r="I44" s="449">
        <f ca="1">财务分析!I51</f>
        <v>-0.16878258363402929</v>
      </c>
      <c r="J44" s="449">
        <f ca="1">财务分析!J51</f>
        <v>0.14208196892715891</v>
      </c>
      <c r="K44" s="449">
        <f ca="1">财务分析!K51</f>
        <v>9.694859503498017E-2</v>
      </c>
    </row>
    <row r="45" spans="1:11" ht="15" customHeight="1">
      <c r="A45" s="641" t="s">
        <v>38</v>
      </c>
      <c r="B45" s="449">
        <f>B42+SUM(B43:B44)</f>
        <v>-425.58661949000015</v>
      </c>
      <c r="C45" s="449">
        <f ca="1">C42+SUM(C43:C44)</f>
        <v>180.52370022450017</v>
      </c>
      <c r="D45" s="449">
        <f ca="1">D42+SUM(D43:D44)</f>
        <v>-34.90410374547497</v>
      </c>
      <c r="E45" s="449">
        <f ca="1">E42+SUM(E43:E44)</f>
        <v>-13.539132976247117</v>
      </c>
      <c r="G45" s="640" t="s">
        <v>111</v>
      </c>
      <c r="H45" s="449">
        <f>现金流量!H13/目录!$F8</f>
        <v>-0.16756118060781794</v>
      </c>
      <c r="I45" s="449">
        <f ca="1">现金流量!I13/目录!$F8</f>
        <v>-1.2337454062177289</v>
      </c>
      <c r="J45" s="449">
        <f ca="1">现金流量!J13/目录!$F8</f>
        <v>-2.7798655906361822</v>
      </c>
      <c r="K45" s="449">
        <f ca="1">现金流量!K13/目录!$F8</f>
        <v>1.8300015627538366</v>
      </c>
    </row>
    <row r="46" spans="1:11" ht="15" customHeight="1">
      <c r="A46" s="634" t="s">
        <v>64</v>
      </c>
      <c r="B46" s="449">
        <f>现金流量!H57</f>
        <v>1296.5318918700002</v>
      </c>
      <c r="C46" s="449">
        <f ca="1">现金流量!I57</f>
        <v>-1103.069647140208</v>
      </c>
      <c r="D46" s="449">
        <f ca="1">现金流量!J57</f>
        <v>-398.79519290445182</v>
      </c>
      <c r="E46" s="449">
        <f ca="1">现金流量!K57</f>
        <v>-541.88070778931433</v>
      </c>
      <c r="G46" s="640" t="s">
        <v>113</v>
      </c>
      <c r="H46" s="449">
        <f>财务分析!H53</f>
        <v>4.7573716939920532</v>
      </c>
      <c r="I46" s="449">
        <f ca="1">财务分析!I53</f>
        <v>4.5386403579710093</v>
      </c>
      <c r="J46" s="449">
        <f ca="1">财务分析!J53</f>
        <v>4.6306705614651014</v>
      </c>
      <c r="K46" s="449">
        <f ca="1">财务分析!K53</f>
        <v>4.6650767741648789</v>
      </c>
    </row>
    <row r="47" spans="1:11" ht="15" customHeight="1">
      <c r="A47" s="641" t="s">
        <v>46</v>
      </c>
      <c r="B47" s="449">
        <f>现金流量!H55</f>
        <v>566.45687130999988</v>
      </c>
      <c r="C47" s="449">
        <f>现金流量!I55</f>
        <v>-396.79069364600002</v>
      </c>
      <c r="D47" s="449">
        <f>现金流量!J55</f>
        <v>40.783749974666762</v>
      </c>
      <c r="E47" s="449">
        <f>现金流量!K55</f>
        <v>22.480591769288822</v>
      </c>
      <c r="G47" s="638" t="s">
        <v>65</v>
      </c>
      <c r="H47" s="449"/>
      <c r="I47" s="449"/>
      <c r="J47" s="449"/>
      <c r="K47" s="449"/>
    </row>
    <row r="48" spans="1:11" ht="15" customHeight="1">
      <c r="A48" s="641" t="s">
        <v>112</v>
      </c>
      <c r="B48" s="449">
        <f>现金流量!H45</f>
        <v>-148.10334642000009</v>
      </c>
      <c r="C48" s="449">
        <f ca="1">现金流量!I45</f>
        <v>-140.17593780977836</v>
      </c>
      <c r="D48" s="449">
        <f ca="1">现金流量!J45</f>
        <v>-76.380774532375426</v>
      </c>
      <c r="E48" s="449">
        <f ca="1">现金流量!K45</f>
        <v>-89.751324549736751</v>
      </c>
      <c r="G48" s="643" t="s">
        <v>114</v>
      </c>
      <c r="H48" s="449">
        <f>财务分析!H57</f>
        <v>22.085999999999999</v>
      </c>
      <c r="I48" s="449">
        <f ca="1">财务分析!I57</f>
        <v>-25.989742154941741</v>
      </c>
      <c r="J48" s="449">
        <f ca="1">财务分析!J57</f>
        <v>30.873838967858017</v>
      </c>
      <c r="K48" s="449">
        <f ca="1">财务分析!K57</f>
        <v>45.24682206390478</v>
      </c>
    </row>
    <row r="49" spans="1:11" ht="15" customHeight="1">
      <c r="A49" s="1049" t="s">
        <v>2336</v>
      </c>
      <c r="B49" s="1050">
        <f>现金流量!H52</f>
        <v>29.692047000000002</v>
      </c>
      <c r="C49" s="1050">
        <f>现金流量!I52</f>
        <v>0</v>
      </c>
      <c r="D49" s="1050">
        <f>现金流量!J52</f>
        <v>0</v>
      </c>
      <c r="E49" s="1050">
        <f>现金流量!K52</f>
        <v>0</v>
      </c>
      <c r="G49" s="643" t="s">
        <v>115</v>
      </c>
      <c r="H49" s="449">
        <f>财务分析!H58</f>
        <v>2.6052</v>
      </c>
      <c r="I49" s="449">
        <f ca="1">财务分析!I58</f>
        <v>0.96670187226809612</v>
      </c>
      <c r="J49" s="449">
        <f ca="1">财务分析!J58</f>
        <v>0.94747514433275126</v>
      </c>
      <c r="K49" s="449">
        <f ca="1">财务分析!K58</f>
        <v>0.94047739950416953</v>
      </c>
    </row>
    <row r="50" spans="1:11" ht="15" customHeight="1">
      <c r="A50" s="1049" t="s">
        <v>2335</v>
      </c>
      <c r="B50" s="1050">
        <f>现金流量!H53</f>
        <v>391.22472955000012</v>
      </c>
      <c r="C50" s="1050">
        <f>现金流量!I53</f>
        <v>0</v>
      </c>
      <c r="D50" s="1050">
        <f>现金流量!J53</f>
        <v>0</v>
      </c>
      <c r="E50" s="1050">
        <f>现金流量!K53</f>
        <v>0</v>
      </c>
      <c r="F50" s="644"/>
      <c r="G50" s="644" t="s">
        <v>116</v>
      </c>
      <c r="H50" s="645">
        <f>财务分析!H65</f>
        <v>11.711044247893835</v>
      </c>
      <c r="I50" s="645">
        <f ca="1">财务分析!I65</f>
        <v>484.34971762895862</v>
      </c>
      <c r="J50" s="645">
        <f ca="1">财务分析!J65</f>
        <v>16.706375749873068</v>
      </c>
      <c r="K50" s="645">
        <f ca="1">财务分析!K65</f>
        <v>13.589835647493766</v>
      </c>
    </row>
    <row r="51" spans="1:11" ht="15" customHeight="1">
      <c r="A51" s="641" t="s">
        <v>38</v>
      </c>
      <c r="B51" s="449">
        <f>B46-SUM(B47:B48)</f>
        <v>878.17836698000042</v>
      </c>
      <c r="C51" s="449">
        <f ca="1">C46-SUM(C47:C48)</f>
        <v>-566.10301568442958</v>
      </c>
      <c r="D51" s="449">
        <f ca="1">D46-SUM(D47:D48)</f>
        <v>-363.19816834674316</v>
      </c>
      <c r="E51" s="449">
        <f ca="1">E46-SUM(E47:E48)</f>
        <v>-474.6099750088664</v>
      </c>
      <c r="G51" s="650"/>
      <c r="H51" s="449"/>
      <c r="I51" s="449"/>
      <c r="J51" s="449"/>
      <c r="K51" s="449"/>
    </row>
    <row r="52" spans="1:11" ht="15" customHeight="1">
      <c r="A52" s="648" t="s">
        <v>66</v>
      </c>
      <c r="B52" s="645">
        <f>现金流量!H60</f>
        <v>317.0354215899996</v>
      </c>
      <c r="C52" s="645">
        <f ca="1">现金流量!I60</f>
        <v>-2564.6719566498796</v>
      </c>
      <c r="D52" s="645">
        <f ca="1">现金流量!J60</f>
        <v>-4126.1413931815141</v>
      </c>
      <c r="E52" s="645">
        <f ca="1">现金流量!K60</f>
        <v>1132.2394108210142</v>
      </c>
      <c r="G52" s="662" t="s">
        <v>125</v>
      </c>
      <c r="H52" s="633">
        <f>绝对估值!B4</f>
        <v>0.03</v>
      </c>
      <c r="I52" s="449"/>
      <c r="J52" s="661" t="s">
        <v>132</v>
      </c>
      <c r="K52" s="633">
        <f ca="1">绝对估值!B14</f>
        <v>8.2946441130690385E-2</v>
      </c>
    </row>
    <row r="53" spans="1:11" ht="15" customHeight="1">
      <c r="A53" s="641"/>
      <c r="G53" s="662" t="s">
        <v>126</v>
      </c>
      <c r="H53" s="449">
        <f ca="1">绝对估值!C26</f>
        <v>22856.622705823142</v>
      </c>
      <c r="I53" s="449"/>
      <c r="J53" s="661" t="s">
        <v>133</v>
      </c>
      <c r="K53" s="633">
        <f>绝对估值!B13</f>
        <v>0.10600000000000001</v>
      </c>
    </row>
    <row r="54" spans="1:11" ht="15" customHeight="1">
      <c r="A54" s="641"/>
      <c r="F54" s="449"/>
      <c r="G54" s="662" t="s">
        <v>127</v>
      </c>
      <c r="H54" s="449">
        <f ca="1">绝对估值!C27</f>
        <v>25096.938750028039</v>
      </c>
      <c r="I54" s="449"/>
      <c r="J54" s="661" t="s">
        <v>134</v>
      </c>
      <c r="K54" s="633">
        <f ca="1">绝对估值!B11</f>
        <v>5.2239679767694801E-2</v>
      </c>
    </row>
    <row r="55" spans="1:11" ht="13.8" thickBot="1">
      <c r="A55" s="634" t="s">
        <v>117</v>
      </c>
      <c r="D55" s="1310" t="s">
        <v>97</v>
      </c>
      <c r="E55" s="1310"/>
      <c r="G55" s="662" t="s">
        <v>128</v>
      </c>
      <c r="H55" s="449">
        <f ca="1">绝对估值!C28</f>
        <v>2426.8919875108049</v>
      </c>
      <c r="I55" s="449"/>
      <c r="J55" s="661" t="s">
        <v>135</v>
      </c>
      <c r="K55" s="633">
        <f>绝对估值!B8</f>
        <v>0.15286569940988332</v>
      </c>
    </row>
    <row r="56" spans="1:11" ht="13.2">
      <c r="A56" s="646" t="s">
        <v>118</v>
      </c>
      <c r="B56" s="637">
        <f>B34</f>
        <v>2022</v>
      </c>
      <c r="C56" s="637" t="str">
        <f>C34</f>
        <v>2023E</v>
      </c>
      <c r="D56" s="637" t="str">
        <f>D34</f>
        <v>2024E</v>
      </c>
      <c r="E56" s="637" t="str">
        <f>E34</f>
        <v>2025E</v>
      </c>
      <c r="F56" s="449">
        <f>L44</f>
        <v>0</v>
      </c>
      <c r="G56" s="662" t="s">
        <v>129</v>
      </c>
      <c r="H56" s="449">
        <f ca="1">绝对估值!C29</f>
        <v>4022.9651347634617</v>
      </c>
      <c r="I56" s="449"/>
      <c r="J56" s="661" t="s">
        <v>136</v>
      </c>
      <c r="K56" s="633">
        <f>绝对估值!B6</f>
        <v>0.04</v>
      </c>
    </row>
    <row r="57" spans="1:11" ht="13.2">
      <c r="A57" s="651" t="s">
        <v>72</v>
      </c>
      <c r="B57" s="449">
        <f>H3</f>
        <v>7660.6405554399998</v>
      </c>
      <c r="C57" s="449">
        <f>I3</f>
        <v>8366.1855505960248</v>
      </c>
      <c r="D57" s="449">
        <f>J3</f>
        <v>9687.2062490351364</v>
      </c>
      <c r="E57" s="449">
        <f>K3</f>
        <v>11280.713586890948</v>
      </c>
      <c r="G57" s="662" t="s">
        <v>130</v>
      </c>
      <c r="H57" s="449">
        <f ca="1">绝对估值!C31</f>
        <v>23499.770720534521</v>
      </c>
      <c r="I57" s="449"/>
      <c r="J57" s="661" t="s">
        <v>137</v>
      </c>
      <c r="K57" s="633">
        <f>绝对估值!B7</f>
        <v>0.1</v>
      </c>
    </row>
    <row r="58" spans="1:11" ht="13.2">
      <c r="A58" s="643" t="s">
        <v>119</v>
      </c>
      <c r="B58" s="633">
        <f>H26</f>
        <v>-1.4166452712930377E-2</v>
      </c>
      <c r="C58" s="633">
        <f>I26</f>
        <v>9.2100000000000001E-2</v>
      </c>
      <c r="D58" s="633">
        <f>J26</f>
        <v>0.15790000000000001</v>
      </c>
      <c r="E58" s="633">
        <f>K26</f>
        <v>0.1644960679984003</v>
      </c>
      <c r="G58" s="662" t="s">
        <v>131</v>
      </c>
      <c r="H58" s="449">
        <f>绝对估值!C32</f>
        <v>1177.2865629999999</v>
      </c>
      <c r="I58" s="449"/>
      <c r="J58" s="661" t="s">
        <v>138</v>
      </c>
      <c r="K58" s="633">
        <f>K57-K56</f>
        <v>6.0000000000000005E-2</v>
      </c>
    </row>
    <row r="59" spans="1:11" ht="13.2">
      <c r="A59" s="651" t="s">
        <v>90</v>
      </c>
      <c r="B59" s="449">
        <f>H19</f>
        <v>178.18493619</v>
      </c>
      <c r="C59" s="449">
        <f ca="1">I19</f>
        <v>-199.31174562326518</v>
      </c>
      <c r="D59" s="449">
        <f ca="1">J19</f>
        <v>167.78156038816007</v>
      </c>
      <c r="E59" s="449">
        <f ca="1">K19</f>
        <v>114.48452379448641</v>
      </c>
      <c r="G59" s="663" t="s">
        <v>124</v>
      </c>
      <c r="H59" s="645">
        <f ca="1">绝对估值!C33</f>
        <v>19.960960618332074</v>
      </c>
      <c r="I59" s="645"/>
      <c r="J59" s="660" t="s">
        <v>139</v>
      </c>
      <c r="K59" s="659">
        <f>绝对估值!B5</f>
        <v>1.1000000000000001</v>
      </c>
    </row>
    <row r="60" spans="1:11" ht="11.4">
      <c r="A60" s="643" t="s">
        <v>119</v>
      </c>
      <c r="B60" s="633">
        <f>H28</f>
        <v>-0.73508791828400732</v>
      </c>
      <c r="C60" s="633">
        <f ca="1">I28</f>
        <v>-2.1185667536493518</v>
      </c>
      <c r="D60" s="633">
        <f ca="1">J28</f>
        <v>-1.8418046807201076</v>
      </c>
      <c r="E60" s="633">
        <f ca="1">K28</f>
        <v>-0.31765729482054994</v>
      </c>
      <c r="G60" s="449"/>
    </row>
    <row r="61" spans="1:11" ht="11.4">
      <c r="A61" s="652" t="s">
        <v>120</v>
      </c>
      <c r="B61" s="657">
        <f>H30</f>
        <v>0.2121076578193104</v>
      </c>
      <c r="C61" s="657">
        <f>I30</f>
        <v>0.17689999999999995</v>
      </c>
      <c r="D61" s="657">
        <f>J30</f>
        <v>0.24416336816713236</v>
      </c>
      <c r="E61" s="657">
        <f>K30</f>
        <v>0.2336280645350578</v>
      </c>
    </row>
    <row r="62" spans="1:11" ht="11.4">
      <c r="A62" s="653" t="s">
        <v>121</v>
      </c>
      <c r="B62" s="658">
        <f>H32</f>
        <v>3.1669384929869197E-2</v>
      </c>
      <c r="C62" s="658">
        <f ca="1">I32</f>
        <v>-3.7176626194826992E-2</v>
      </c>
      <c r="D62" s="658">
        <f ca="1">J32</f>
        <v>3.0671627706799136E-2</v>
      </c>
      <c r="E62" s="658">
        <f ca="1">K32</f>
        <v>2.0772694082215788E-2</v>
      </c>
    </row>
    <row r="63" spans="1:11" ht="11.4">
      <c r="A63" s="654" t="s">
        <v>122</v>
      </c>
      <c r="B63" s="449">
        <f>H44</f>
        <v>0.15089182928365422</v>
      </c>
      <c r="C63" s="449">
        <f ca="1">I44</f>
        <v>-0.16878258363402929</v>
      </c>
      <c r="D63" s="449">
        <f ca="1">J44</f>
        <v>0.14208196892715891</v>
      </c>
      <c r="E63" s="449">
        <f ca="1">K44</f>
        <v>9.694859503498017E-2</v>
      </c>
    </row>
    <row r="64" spans="1:11" ht="11.4">
      <c r="A64" s="655" t="s">
        <v>114</v>
      </c>
      <c r="B64" s="449">
        <f t="shared" ref="B64:E66" si="0">H48</f>
        <v>22.085999999999999</v>
      </c>
      <c r="C64" s="449">
        <f t="shared" ca="1" si="0"/>
        <v>-25.989742154941741</v>
      </c>
      <c r="D64" s="449">
        <f t="shared" ca="1" si="0"/>
        <v>30.873838967858017</v>
      </c>
      <c r="E64" s="449">
        <f t="shared" ca="1" si="0"/>
        <v>45.24682206390478</v>
      </c>
    </row>
    <row r="65" spans="1:5" ht="11.4">
      <c r="A65" s="655" t="s">
        <v>115</v>
      </c>
      <c r="B65" s="449">
        <f t="shared" si="0"/>
        <v>2.6052</v>
      </c>
      <c r="C65" s="449">
        <f t="shared" ca="1" si="0"/>
        <v>0.96670187226809612</v>
      </c>
      <c r="D65" s="449">
        <f t="shared" ca="1" si="0"/>
        <v>0.94747514433275126</v>
      </c>
      <c r="E65" s="449">
        <f t="shared" ca="1" si="0"/>
        <v>0.94047739950416953</v>
      </c>
    </row>
    <row r="66" spans="1:5" ht="11.4">
      <c r="A66" s="644" t="s">
        <v>116</v>
      </c>
      <c r="B66" s="645">
        <f t="shared" si="0"/>
        <v>11.711044247893835</v>
      </c>
      <c r="C66" s="645">
        <f t="shared" ca="1" si="0"/>
        <v>484.34971762895862</v>
      </c>
      <c r="D66" s="645">
        <f t="shared" ca="1" si="0"/>
        <v>16.706375749873068</v>
      </c>
      <c r="E66" s="645">
        <f t="shared" ca="1" si="0"/>
        <v>13.589835647493766</v>
      </c>
    </row>
  </sheetData>
  <mergeCells count="4">
    <mergeCell ref="D1:E1"/>
    <mergeCell ref="J1:K1"/>
    <mergeCell ref="D33:E33"/>
    <mergeCell ref="D55:E55"/>
  </mergeCells>
  <phoneticPr fontId="0" type="noConversion"/>
  <pageMargins left="0.7" right="0.7" top="0.75" bottom="0.75" header="0.3" footer="0.3"/>
  <pageSetup paperSize="9" orientation="portrait" horizontalDpi="180" verticalDpi="18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5"/>
  <dimension ref="A1:AC335"/>
  <sheetViews>
    <sheetView workbookViewId="0">
      <selection activeCell="P13" sqref="P13"/>
    </sheetView>
  </sheetViews>
  <sheetFormatPr defaultColWidth="9.375" defaultRowHeight="10.8"/>
  <cols>
    <col min="1" max="1" width="22.125" style="948" customWidth="1"/>
    <col min="2" max="2" width="13" style="948" bestFit="1" customWidth="1"/>
    <col min="3" max="4" width="13" style="948" customWidth="1"/>
    <col min="5" max="5" width="15.375" style="948" customWidth="1"/>
    <col min="6" max="6" width="14.625" style="948" customWidth="1"/>
    <col min="7" max="7" width="13.875" style="948" customWidth="1"/>
    <col min="8" max="8" width="14.125" style="948" customWidth="1"/>
    <col min="9" max="9" width="15.125" style="948" customWidth="1"/>
    <col min="10" max="10" width="14.625" style="948" customWidth="1"/>
    <col min="11" max="11" width="13" style="948" customWidth="1"/>
    <col min="12" max="12" width="13.875" style="948" customWidth="1"/>
    <col min="13" max="13" width="13" style="948" customWidth="1"/>
    <col min="14" max="14" width="6.375" style="948" customWidth="1"/>
    <col min="15" max="15" width="5.5" style="948" customWidth="1"/>
    <col min="16" max="16" width="25.5" style="960" customWidth="1"/>
    <col min="17" max="17" width="9.375" style="1090" customWidth="1"/>
    <col min="18" max="18" width="16.375" style="948" customWidth="1"/>
    <col min="19" max="19" width="16.5" style="948" customWidth="1"/>
    <col min="20" max="20" width="17.5" style="948" customWidth="1"/>
    <col min="21" max="21" width="19.5" style="948" customWidth="1"/>
    <col min="22" max="16384" width="9.375" style="948"/>
  </cols>
  <sheetData>
    <row r="1" spans="1:18">
      <c r="A1" s="1090">
        <f ca="1">MONTH(目录!C8)</f>
        <v>2</v>
      </c>
      <c r="B1" s="948" t="str">
        <f>IF(IFERROR(FIND(".",(IF(MID((IF(IFERROR(FIND(".",目录!C6,1),0)&gt;0,UPPER(目录!C6),IF(MID(目录!C6,1,1)="8",目录!C6&amp;".TB",目录!C6))),1,1)="4",(IF(IFERROR(FIND(".",目录!C6,1),0)&gt;0,UPPER(目录!C6),IF(MID(目录!C6,1,1)="8",目录!C6&amp;".TB",目录!C6)))&amp;".TB",(IF(IFERROR(FIND(".",目录!C6,1),0)&gt;0,UPPER(目录!C6),IF(MID(目录!C6,1,1)="8",目录!C6&amp;".TB",目录!C6))))),1),0)&gt;0,UPPER((IF(MID((IF(IFERROR(FIND(".",目录!C6,1),0)&gt;0,UPPER(目录!C6),IF(MID(目录!C6,1,1)="8",目录!C6&amp;".TB",目录!C6))),1,1)="4",(IF(IFERROR(FIND(".",目录!C6,1),0)&gt;0,UPPER(目录!C6),IF(MID(目录!C6,1,1)="8",目录!C6&amp;".TB",目录!C6)))&amp;".TB",(IF(IFERROR(FIND(".",目录!C6,1),0)&gt;0,UPPER(目录!C6),IF(MID(目录!C6,1,1)="8",目录!C6&amp;".TB",目录!C6)))))),IF(MID(目录!C6,1,1)="6",目录!C6&amp;".SH",目录!C6&amp;".SZ"))</f>
        <v>300737.SZ</v>
      </c>
      <c r="P1" s="949"/>
      <c r="Q1" s="1090" t="s">
        <v>2743</v>
      </c>
    </row>
    <row r="2" spans="1:18" ht="15.6">
      <c r="A2" s="1131" t="s">
        <v>2713</v>
      </c>
      <c r="B2" s="1082" t="str">
        <f ca="1">CONCATENATE(数据输入!O5,"-12-","31")</f>
        <v>2021-12-31</v>
      </c>
      <c r="C2" s="1082" t="str">
        <f ca="1">CONCATENATE(数据输入!O4,"-03-","31")</f>
        <v>2022-03-31</v>
      </c>
      <c r="D2" s="1082" t="str">
        <f ca="1">CONCATENATE(数据输入!O4,"-06-","30")</f>
        <v>2022-06-30</v>
      </c>
      <c r="E2" s="1082" t="str">
        <f ca="1">CONCATENATE(数据输入!O4,"-09-","30")</f>
        <v>2022-09-30</v>
      </c>
      <c r="F2" s="1082" t="str">
        <f ca="1">CONCATENATE(数据输入!O4,"-12-","31")</f>
        <v>2022-12-31</v>
      </c>
      <c r="G2" s="1082" t="str">
        <f ca="1">CONCATENATE(数据输入!O3,"-03-","31")</f>
        <v>2023-03-31</v>
      </c>
      <c r="H2" s="1082" t="str">
        <f ca="1">CONCATENATE(数据输入!O3,"-06-","30")</f>
        <v>2023-06-30</v>
      </c>
      <c r="I2" s="1082" t="str">
        <f ca="1">CONCATENATE(数据输入!O3,"-09-","30")</f>
        <v>2023-09-30</v>
      </c>
      <c r="J2" s="1082" t="str">
        <f ca="1">CONCATENATE(数据输入!O3,"-12-","31")</f>
        <v>2023-12-31</v>
      </c>
      <c r="K2" s="1082" t="str">
        <f ca="1">CONCATENATE(数据输入!O2,"-03-","31")</f>
        <v>2024-03-31</v>
      </c>
      <c r="L2" s="1082" t="str">
        <f ca="1">CONCATENATE(数据输入!O2,"-06-","30")</f>
        <v>2024-06-30</v>
      </c>
      <c r="M2" s="1082" t="str">
        <f ca="1">CONCATENATE(数据输入!O2,"-09-","30")</f>
        <v>2024-09-30</v>
      </c>
      <c r="N2" s="1089" t="str">
        <f ca="1">CONCATENATE(数据输入!O2,"-12-","31")</f>
        <v>2024-12-31</v>
      </c>
      <c r="P2" s="950" t="s">
        <v>2885</v>
      </c>
      <c r="Q2" s="1090">
        <v>1000000</v>
      </c>
    </row>
    <row r="3" spans="1:18">
      <c r="A3" s="559" t="s">
        <v>920</v>
      </c>
      <c r="B3">
        <v>7770724151.6800003</v>
      </c>
      <c r="C3">
        <v>1734631538.48</v>
      </c>
      <c r="D3">
        <v>4140601834.3099999</v>
      </c>
      <c r="E3">
        <v>5956544968.6800003</v>
      </c>
      <c r="F3">
        <v>7660640555.4399996</v>
      </c>
      <c r="G3">
        <v>1866362110.5899999</v>
      </c>
      <c r="H3">
        <v>4336578058.5200005</v>
      </c>
      <c r="I3">
        <v>6240756387.8000002</v>
      </c>
      <c r="J3">
        <v>0</v>
      </c>
      <c r="K3">
        <v>0</v>
      </c>
      <c r="L3">
        <v>0</v>
      </c>
      <c r="M3">
        <v>0</v>
      </c>
      <c r="P3" s="832" t="s">
        <v>2005</v>
      </c>
      <c r="Q3" s="1090">
        <f>$Q$2</f>
        <v>1000000</v>
      </c>
      <c r="R3" s="948" t="str">
        <f>CONCATENATE(A3,A4,A5,A6,A7,A8,A10,A11,A12,A13,A15,A17,A18,A20,A21,A22,A23,A24,A25,A26,A27,A28,A29,A30,A31,A32,A33,A34,A35,A36,A37,A38,A39,A40,A41,A44,A45,A46,A47,A48,A51,A52,A55,A56,A57,A58,A61,A63,A65,A66,A67,A68,A69,A71)</f>
        <v>一、营业收入营业收入减：营业成本减：营业税金及附加减：销售费用减：管理费用减：财务费用  利息支出  减：利息收入减：资产减值损失加：公允价值变动净收益加：投资净收益其中：对联营合营企业投资收益二、营业利润营业利润加：营业外收入减：营业外支出三、利润总额利润总额减：所得税四、净利润净利润加：少数股东损益归属于母公司所有者净利润分红送股每股派现每股红股每股转增资产负债表一、流动资产货币资金交易性金融资产应收票据应收股利应收利息应收账款其他应收账款预付账款存货一年内到期的非流动资产其他流动资产流动资产合计二、非流动资产合计可供出售金融资产持有至到期投资投资性房地产长期股权投资固定资产工程物资在建工程固定资产清理</v>
      </c>
    </row>
    <row r="4" spans="1:18">
      <c r="A4" s="566" t="s">
        <v>846</v>
      </c>
      <c r="B4">
        <v>7770724151.6800003</v>
      </c>
      <c r="C4">
        <v>1734631538.48</v>
      </c>
      <c r="D4">
        <v>4140601834.3099999</v>
      </c>
      <c r="E4">
        <v>5956544968.6800003</v>
      </c>
      <c r="F4">
        <v>7660640555.4399996</v>
      </c>
      <c r="G4">
        <v>1866362110.5899999</v>
      </c>
      <c r="H4">
        <v>4336578058.5200005</v>
      </c>
      <c r="I4">
        <v>6240756387.8000002</v>
      </c>
      <c r="J4">
        <v>0</v>
      </c>
      <c r="K4">
        <v>0</v>
      </c>
      <c r="L4">
        <v>0</v>
      </c>
      <c r="M4">
        <v>0</v>
      </c>
      <c r="P4" s="832" t="s">
        <v>2006</v>
      </c>
      <c r="Q4" s="1090">
        <f t="shared" ref="Q4:Q30" si="0">$Q$2</f>
        <v>1000000</v>
      </c>
      <c r="R4" s="948" t="str">
        <f>CONCATENATE(A72,A73,A74,A75,A76,A77,A78,A79,A80,A81,A82,A83,A84,A85,A86,A89,A90,A91,A93,A94,A95,A96,A97,A100,A101,A102,A103,A104,A105,A106,A108,A109,A110,A111,A112,A113,A114,A115,A116,A117,A121,A122,A125,A126,A127,A128,A129,A130,A131,A132,A133,A134,A135,A136)</f>
        <v>生产性生物资产油气资产无形资产开发支出商誉长期待摊费用长期应收款递延所得税资产其他非流动资产非流动资产合计三、资产总计资产总计四、流动负债短期借款交易性金融负债应付票据应付账款预收账款应付职工薪酬应付股利应交税金应付利息其他应付款递延收益一年内到期的非流动负债其他流动负债流动负债合计五、非流动负债长期借款应付债券长期应付款专项应付款预计负债递延所得税负债其他非流动负债非流动负债合计六、负债合计负债合计七、股东权益合计实收资本(股本)资本公积金减：库存股盈余公积金未分配利润外币报表折算差额归属母公司股东权益合计少数股东权益股东权益合计八、负债和股东权益合计负债和股东权益合计现金流量表附注固定资产折旧</v>
      </c>
    </row>
    <row r="5" spans="1:18">
      <c r="A5" s="566" t="s">
        <v>985</v>
      </c>
      <c r="B5">
        <v>5554951017.1599998</v>
      </c>
      <c r="C5">
        <v>1288115788.6300001</v>
      </c>
      <c r="D5">
        <v>3198051509.8499999</v>
      </c>
      <c r="E5">
        <v>4669316908.4899998</v>
      </c>
      <c r="F5">
        <v>6035760029.8299999</v>
      </c>
      <c r="G5">
        <v>1463416057.5999999</v>
      </c>
      <c r="H5">
        <v>3420876001.6500001</v>
      </c>
      <c r="I5">
        <v>4918444165.1099997</v>
      </c>
      <c r="J5">
        <v>0</v>
      </c>
      <c r="K5">
        <v>0</v>
      </c>
      <c r="L5">
        <v>0</v>
      </c>
      <c r="M5">
        <v>0</v>
      </c>
      <c r="P5" s="832" t="s">
        <v>2007</v>
      </c>
      <c r="Q5" s="1090">
        <f t="shared" si="0"/>
        <v>1000000</v>
      </c>
      <c r="R5" s="948" t="str">
        <f>CONCATENATE(A137,A138)</f>
        <v>无形资产摊销长期待摊费用摊销</v>
      </c>
    </row>
    <row r="6" spans="1:18">
      <c r="A6" s="566" t="s">
        <v>986</v>
      </c>
      <c r="B6">
        <v>43490777.829999998</v>
      </c>
      <c r="C6">
        <v>9009371.6699999999</v>
      </c>
      <c r="D6">
        <v>17940379.989999998</v>
      </c>
      <c r="E6">
        <v>27750055.129999999</v>
      </c>
      <c r="F6">
        <v>36744935.640000001</v>
      </c>
      <c r="G6">
        <v>9682797.0600000005</v>
      </c>
      <c r="H6">
        <v>23114260.620000001</v>
      </c>
      <c r="I6">
        <v>34798265.859999999</v>
      </c>
      <c r="J6">
        <v>0</v>
      </c>
      <c r="K6">
        <v>0</v>
      </c>
      <c r="L6">
        <v>0</v>
      </c>
      <c r="M6">
        <v>0</v>
      </c>
      <c r="P6" s="832" t="s">
        <v>1612</v>
      </c>
      <c r="Q6" s="1090">
        <f t="shared" si="0"/>
        <v>1000000</v>
      </c>
    </row>
    <row r="7" spans="1:18">
      <c r="A7" s="566" t="s">
        <v>637</v>
      </c>
      <c r="B7">
        <v>472995450.05000001</v>
      </c>
      <c r="C7">
        <v>127051739.11</v>
      </c>
      <c r="D7">
        <v>240736452.18000001</v>
      </c>
      <c r="E7">
        <v>355854293.58999997</v>
      </c>
      <c r="F7">
        <v>509950784.39999998</v>
      </c>
      <c r="G7">
        <v>131827705.26000001</v>
      </c>
      <c r="H7">
        <v>281237146.85000002</v>
      </c>
      <c r="I7">
        <v>439815568.70999998</v>
      </c>
      <c r="J7">
        <v>0</v>
      </c>
      <c r="K7">
        <v>0</v>
      </c>
      <c r="L7">
        <v>0</v>
      </c>
      <c r="M7">
        <v>0</v>
      </c>
      <c r="P7" s="832" t="s">
        <v>1613</v>
      </c>
      <c r="Q7" s="1090">
        <f t="shared" si="0"/>
        <v>1000000</v>
      </c>
    </row>
    <row r="8" spans="1:18">
      <c r="A8" s="566" t="s">
        <v>1058</v>
      </c>
      <c r="B8">
        <v>289527844.51999998</v>
      </c>
      <c r="C8">
        <v>85822405.319999993</v>
      </c>
      <c r="D8">
        <v>152731350.50999999</v>
      </c>
      <c r="E8">
        <v>230107872.34</v>
      </c>
      <c r="F8">
        <v>300718545.92000002</v>
      </c>
      <c r="G8">
        <v>85962503.790000007</v>
      </c>
      <c r="H8">
        <v>162837273.56</v>
      </c>
      <c r="I8">
        <v>233454261.74000001</v>
      </c>
      <c r="J8">
        <v>0</v>
      </c>
      <c r="K8">
        <v>0</v>
      </c>
      <c r="L8">
        <v>0</v>
      </c>
      <c r="M8">
        <v>0</v>
      </c>
      <c r="P8" s="832" t="s">
        <v>1614</v>
      </c>
      <c r="Q8" s="1090">
        <f t="shared" si="0"/>
        <v>1000000</v>
      </c>
    </row>
    <row r="9" spans="1:18">
      <c r="A9" s="1132" t="s">
        <v>2721</v>
      </c>
      <c r="B9">
        <v>339996564.45999998</v>
      </c>
      <c r="C9">
        <v>52910284.149999999</v>
      </c>
      <c r="D9">
        <v>145330441.75</v>
      </c>
      <c r="E9">
        <v>255166634.38</v>
      </c>
      <c r="F9">
        <v>343133988.11000001</v>
      </c>
      <c r="G9">
        <v>66510017.759999998</v>
      </c>
      <c r="H9">
        <v>161865007.13</v>
      </c>
      <c r="I9">
        <v>246549113.63999999</v>
      </c>
      <c r="J9">
        <v>0</v>
      </c>
      <c r="K9">
        <v>0</v>
      </c>
      <c r="L9">
        <v>0</v>
      </c>
      <c r="M9">
        <v>0</v>
      </c>
      <c r="P9" s="832" t="s">
        <v>2727</v>
      </c>
      <c r="Q9" s="1090">
        <f t="shared" si="0"/>
        <v>1000000</v>
      </c>
    </row>
    <row r="10" spans="1:18">
      <c r="A10" s="566" t="s">
        <v>987</v>
      </c>
      <c r="B10">
        <v>42603031.939999998</v>
      </c>
      <c r="C10">
        <v>17635382.25</v>
      </c>
      <c r="D10">
        <v>41789257.719999999</v>
      </c>
      <c r="E10">
        <v>56937776.899999999</v>
      </c>
      <c r="F10">
        <v>75631407.650000006</v>
      </c>
      <c r="G10">
        <v>18999910.73</v>
      </c>
      <c r="H10">
        <v>44826395.789999999</v>
      </c>
      <c r="I10">
        <v>52155814.630000003</v>
      </c>
      <c r="J10">
        <v>0</v>
      </c>
      <c r="K10">
        <v>0</v>
      </c>
      <c r="L10">
        <v>0</v>
      </c>
      <c r="M10">
        <v>0</v>
      </c>
      <c r="P10" s="832" t="s">
        <v>1615</v>
      </c>
      <c r="Q10" s="1090">
        <f t="shared" si="0"/>
        <v>1000000</v>
      </c>
    </row>
    <row r="11" spans="1:18">
      <c r="A11" s="566" t="s">
        <v>640</v>
      </c>
      <c r="B11">
        <v>62435210.450000003</v>
      </c>
      <c r="C11">
        <v>27182371.710000001</v>
      </c>
      <c r="D11">
        <v>53970536.909999996</v>
      </c>
      <c r="E11">
        <v>79133589.969999999</v>
      </c>
      <c r="F11">
        <v>101204948.39</v>
      </c>
      <c r="G11">
        <v>24870055.68</v>
      </c>
      <c r="H11">
        <v>50858789.549999997</v>
      </c>
      <c r="I11">
        <v>71746361.150000006</v>
      </c>
      <c r="J11">
        <v>0</v>
      </c>
      <c r="K11">
        <v>0</v>
      </c>
      <c r="L11">
        <v>0</v>
      </c>
      <c r="M11">
        <v>0</v>
      </c>
      <c r="P11" s="832" t="s">
        <v>2852</v>
      </c>
      <c r="Q11" s="1090">
        <f t="shared" si="0"/>
        <v>1000000</v>
      </c>
    </row>
    <row r="12" spans="1:18">
      <c r="A12" s="566" t="s">
        <v>641</v>
      </c>
      <c r="B12">
        <v>-24599974.100000001</v>
      </c>
      <c r="C12">
        <v>-9680228.2200000007</v>
      </c>
      <c r="D12">
        <v>-13056344.810000001</v>
      </c>
      <c r="E12">
        <v>-23134601.690000001</v>
      </c>
      <c r="F12">
        <v>-28396491.620000001</v>
      </c>
      <c r="G12">
        <v>-7196391.8700000001</v>
      </c>
      <c r="H12">
        <v>-13755414.24</v>
      </c>
      <c r="I12">
        <v>-22389386.800000001</v>
      </c>
      <c r="J12">
        <v>0</v>
      </c>
      <c r="K12">
        <v>0</v>
      </c>
      <c r="L12">
        <v>0</v>
      </c>
      <c r="M12">
        <v>0</v>
      </c>
      <c r="P12" s="832" t="s">
        <v>2853</v>
      </c>
      <c r="Q12" s="1090">
        <f t="shared" si="0"/>
        <v>1000000</v>
      </c>
    </row>
    <row r="13" spans="1:18">
      <c r="A13" s="566" t="s">
        <v>642</v>
      </c>
      <c r="B13">
        <v>-26008773.879999999</v>
      </c>
      <c r="C13">
        <v>-1261851.95</v>
      </c>
      <c r="D13">
        <v>-1463112.66</v>
      </c>
      <c r="E13">
        <v>-4173367.32</v>
      </c>
      <c r="F13">
        <v>-38068680.43</v>
      </c>
      <c r="G13">
        <v>-3695026.8</v>
      </c>
      <c r="H13">
        <v>-6086627.6100000003</v>
      </c>
      <c r="I13">
        <v>-13162922.34</v>
      </c>
      <c r="J13">
        <v>0</v>
      </c>
      <c r="K13">
        <v>0</v>
      </c>
      <c r="L13">
        <v>0</v>
      </c>
      <c r="M13">
        <v>0</v>
      </c>
      <c r="P13" s="832" t="s">
        <v>1616</v>
      </c>
      <c r="Q13" s="1090">
        <f t="shared" si="0"/>
        <v>1000000</v>
      </c>
    </row>
    <row r="14" spans="1:18">
      <c r="A14" s="1132" t="s">
        <v>2778</v>
      </c>
      <c r="B14">
        <v>-249349161.59</v>
      </c>
      <c r="C14">
        <v>-45305719.100000001</v>
      </c>
      <c r="D14">
        <v>-99762513.700000003</v>
      </c>
      <c r="E14">
        <v>-100782282.06</v>
      </c>
      <c r="F14">
        <v>-223973394.41</v>
      </c>
      <c r="G14">
        <v>-31978314.98</v>
      </c>
      <c r="H14">
        <v>-155241932.66999999</v>
      </c>
      <c r="I14">
        <v>-289346333.19999999</v>
      </c>
      <c r="J14">
        <v>0</v>
      </c>
      <c r="K14">
        <v>0</v>
      </c>
      <c r="L14">
        <v>0</v>
      </c>
      <c r="M14">
        <v>0</v>
      </c>
      <c r="P14" s="832" t="s">
        <v>2851</v>
      </c>
      <c r="Q14" s="1090">
        <v>1000000</v>
      </c>
    </row>
    <row r="15" spans="1:18">
      <c r="A15" s="566" t="s">
        <v>643</v>
      </c>
      <c r="B15">
        <v>8846.59</v>
      </c>
      <c r="C15">
        <v>-519936.14</v>
      </c>
      <c r="D15">
        <v>-483468.56</v>
      </c>
      <c r="E15">
        <v>-402825.48</v>
      </c>
      <c r="F15">
        <v>40805791.850000001</v>
      </c>
      <c r="G15">
        <v>304061.56</v>
      </c>
      <c r="H15">
        <v>876672.86</v>
      </c>
      <c r="I15">
        <v>1215103.07</v>
      </c>
      <c r="J15">
        <v>0</v>
      </c>
      <c r="K15">
        <v>0</v>
      </c>
      <c r="L15">
        <v>0</v>
      </c>
      <c r="M15">
        <v>0</v>
      </c>
      <c r="P15" s="832" t="s">
        <v>1617</v>
      </c>
      <c r="Q15" s="1090">
        <f t="shared" si="0"/>
        <v>1000000</v>
      </c>
    </row>
    <row r="16" spans="1:18">
      <c r="A16" s="1132" t="s">
        <v>2722</v>
      </c>
      <c r="B16">
        <v>68307599.120000005</v>
      </c>
      <c r="C16">
        <v>7417564.0700000003</v>
      </c>
      <c r="D16">
        <v>42537208.530000001</v>
      </c>
      <c r="E16">
        <v>48364686.450000003</v>
      </c>
      <c r="F16">
        <v>53544000.43</v>
      </c>
      <c r="G16">
        <v>8100282.0099999998</v>
      </c>
      <c r="H16">
        <v>13472483.52</v>
      </c>
      <c r="I16">
        <v>65311564.340000004</v>
      </c>
      <c r="J16">
        <v>0</v>
      </c>
      <c r="K16">
        <v>0</v>
      </c>
      <c r="L16">
        <v>0</v>
      </c>
      <c r="M16">
        <v>0</v>
      </c>
      <c r="P16" s="832" t="s">
        <v>2732</v>
      </c>
      <c r="Q16" s="1090">
        <f t="shared" si="0"/>
        <v>1000000</v>
      </c>
    </row>
    <row r="17" spans="1:29">
      <c r="A17" s="566" t="s">
        <v>644</v>
      </c>
      <c r="B17">
        <v>-2948816.36</v>
      </c>
      <c r="C17">
        <v>2367772.5699999998</v>
      </c>
      <c r="D17">
        <v>2334499.1</v>
      </c>
      <c r="E17">
        <v>9658000.5899999999</v>
      </c>
      <c r="F17">
        <v>3802445.53</v>
      </c>
      <c r="G17">
        <v>4732359.83</v>
      </c>
      <c r="H17">
        <v>-5754905.0700000003</v>
      </c>
      <c r="I17">
        <v>-2689455.87</v>
      </c>
      <c r="J17">
        <v>0</v>
      </c>
      <c r="K17">
        <v>0</v>
      </c>
      <c r="L17">
        <v>0</v>
      </c>
      <c r="M17">
        <v>0</v>
      </c>
      <c r="P17" s="832" t="s">
        <v>1618</v>
      </c>
      <c r="Q17" s="1090">
        <f t="shared" si="0"/>
        <v>1000000</v>
      </c>
      <c r="S17" s="948" t="s">
        <v>2004</v>
      </c>
    </row>
    <row r="18" spans="1:29" ht="21.6">
      <c r="A18" s="566" t="s">
        <v>645</v>
      </c>
      <c r="B18">
        <v>-583729.18999999994</v>
      </c>
      <c r="C18">
        <v>-472270.63</v>
      </c>
      <c r="D18">
        <v>-1102132.07</v>
      </c>
      <c r="E18">
        <v>-1883481.03</v>
      </c>
      <c r="F18">
        <v>-1173128.24</v>
      </c>
      <c r="G18">
        <v>-521207.74</v>
      </c>
      <c r="H18">
        <v>-884627.4</v>
      </c>
      <c r="I18">
        <v>-2646821.31</v>
      </c>
      <c r="J18">
        <v>0</v>
      </c>
      <c r="K18">
        <v>0</v>
      </c>
      <c r="L18">
        <v>0</v>
      </c>
      <c r="M18">
        <v>0</v>
      </c>
      <c r="P18" s="832" t="s">
        <v>1619</v>
      </c>
      <c r="Q18" s="1090">
        <f t="shared" si="0"/>
        <v>1000000</v>
      </c>
    </row>
    <row r="19" spans="1:29">
      <c r="A19" s="1132" t="s">
        <v>2723</v>
      </c>
      <c r="B19">
        <v>-6492032.3499999996</v>
      </c>
      <c r="C19">
        <v>-115677.01</v>
      </c>
      <c r="D19">
        <v>-831906.91</v>
      </c>
      <c r="E19">
        <v>-2582832.04</v>
      </c>
      <c r="F19">
        <v>-3341410.09</v>
      </c>
      <c r="G19">
        <v>-456794.31</v>
      </c>
      <c r="H19">
        <v>-19914689.120000001</v>
      </c>
      <c r="I19">
        <v>-16847595.5</v>
      </c>
      <c r="J19">
        <v>0</v>
      </c>
      <c r="K19">
        <v>0</v>
      </c>
      <c r="L19">
        <v>0</v>
      </c>
      <c r="M19">
        <v>0</v>
      </c>
      <c r="P19" s="832" t="s">
        <v>2731</v>
      </c>
      <c r="Q19" s="1090">
        <f t="shared" si="0"/>
        <v>1000000</v>
      </c>
    </row>
    <row r="20" spans="1:29">
      <c r="A20" s="570" t="s">
        <v>646</v>
      </c>
      <c r="B20">
        <v>0</v>
      </c>
      <c r="C20">
        <v>0</v>
      </c>
      <c r="D20">
        <v>0</v>
      </c>
      <c r="E20">
        <v>0</v>
      </c>
      <c r="F20">
        <v>0</v>
      </c>
      <c r="G20">
        <v>0</v>
      </c>
      <c r="H20">
        <v>0</v>
      </c>
      <c r="I20">
        <v>0</v>
      </c>
      <c r="J20">
        <v>0</v>
      </c>
      <c r="K20">
        <v>0</v>
      </c>
      <c r="L20">
        <v>0</v>
      </c>
      <c r="M20">
        <v>0</v>
      </c>
      <c r="P20" s="832"/>
      <c r="Q20" s="1090">
        <f t="shared" si="0"/>
        <v>1000000</v>
      </c>
    </row>
    <row r="21" spans="1:29">
      <c r="A21" s="685" t="s">
        <v>647</v>
      </c>
      <c r="B21">
        <v>810677127.25</v>
      </c>
      <c r="C21">
        <v>116668719.79000001</v>
      </c>
      <c r="D21">
        <v>286353148.11000001</v>
      </c>
      <c r="E21">
        <v>311492807.99000001</v>
      </c>
      <c r="F21">
        <v>191469616.77000001</v>
      </c>
      <c r="G21">
        <v>66969685.700000003</v>
      </c>
      <c r="H21">
        <v>69172974.829999998</v>
      </c>
      <c r="I21">
        <v>60019558.609999999</v>
      </c>
      <c r="J21">
        <v>0</v>
      </c>
      <c r="K21">
        <v>0</v>
      </c>
      <c r="L21">
        <v>0</v>
      </c>
      <c r="M21">
        <v>0</v>
      </c>
      <c r="P21" s="832" t="s">
        <v>1621</v>
      </c>
      <c r="Q21" s="1090">
        <f t="shared" si="0"/>
        <v>1000000</v>
      </c>
    </row>
    <row r="22" spans="1:29">
      <c r="A22" s="566" t="s">
        <v>648</v>
      </c>
      <c r="B22">
        <v>12447954.75</v>
      </c>
      <c r="C22">
        <v>2072076.94</v>
      </c>
      <c r="D22">
        <v>3929814.73</v>
      </c>
      <c r="E22">
        <v>7308834.9400000004</v>
      </c>
      <c r="F22">
        <v>11995486.109999999</v>
      </c>
      <c r="G22">
        <v>1644522.56</v>
      </c>
      <c r="H22">
        <v>2917203.77</v>
      </c>
      <c r="I22">
        <v>10582278.5</v>
      </c>
      <c r="J22">
        <v>0</v>
      </c>
      <c r="K22">
        <v>0</v>
      </c>
      <c r="L22">
        <v>0</v>
      </c>
      <c r="M22">
        <v>0</v>
      </c>
      <c r="P22" s="832" t="s">
        <v>1622</v>
      </c>
      <c r="Q22" s="1090">
        <f t="shared" si="0"/>
        <v>1000000</v>
      </c>
    </row>
    <row r="23" spans="1:29">
      <c r="A23" s="566" t="s">
        <v>649</v>
      </c>
      <c r="B23">
        <v>2618478.4300000002</v>
      </c>
      <c r="C23">
        <v>333273.01</v>
      </c>
      <c r="D23">
        <v>816668.56</v>
      </c>
      <c r="E23">
        <v>1962023.99</v>
      </c>
      <c r="F23">
        <v>2872649.21</v>
      </c>
      <c r="G23">
        <v>281329.89</v>
      </c>
      <c r="H23">
        <v>999137.55</v>
      </c>
      <c r="I23">
        <v>1460437.59</v>
      </c>
      <c r="J23">
        <v>0</v>
      </c>
      <c r="K23">
        <v>0</v>
      </c>
      <c r="L23">
        <v>0</v>
      </c>
      <c r="M23">
        <v>0</v>
      </c>
      <c r="P23" s="832" t="s">
        <v>1623</v>
      </c>
      <c r="Q23" s="1090">
        <f t="shared" si="0"/>
        <v>1000000</v>
      </c>
      <c r="R23" s="953" t="e">
        <f ca="1">_xll.BD_COLLECTION(12,R5)</f>
        <v>#NAME?</v>
      </c>
    </row>
    <row r="24" spans="1:29">
      <c r="A24" s="570" t="s">
        <v>921</v>
      </c>
      <c r="B24">
        <v>0</v>
      </c>
      <c r="C24">
        <v>0</v>
      </c>
      <c r="D24">
        <v>0</v>
      </c>
      <c r="E24">
        <v>0</v>
      </c>
      <c r="F24">
        <v>0</v>
      </c>
      <c r="G24">
        <v>0</v>
      </c>
      <c r="H24">
        <v>0</v>
      </c>
      <c r="I24">
        <v>0</v>
      </c>
      <c r="J24">
        <v>0</v>
      </c>
      <c r="K24">
        <v>0</v>
      </c>
      <c r="L24">
        <v>0</v>
      </c>
      <c r="M24">
        <v>0</v>
      </c>
      <c r="P24" s="832"/>
      <c r="Q24" s="1090">
        <f t="shared" si="0"/>
        <v>1000000</v>
      </c>
      <c r="R24" s="948">
        <v>0</v>
      </c>
      <c r="S24" s="948">
        <v>0</v>
      </c>
      <c r="T24" s="948">
        <v>0</v>
      </c>
      <c r="U24" s="948">
        <v>0</v>
      </c>
      <c r="V24" s="948">
        <v>0</v>
      </c>
      <c r="W24" s="948">
        <v>0</v>
      </c>
      <c r="X24" s="948">
        <v>0</v>
      </c>
      <c r="Y24" s="948">
        <v>0</v>
      </c>
      <c r="Z24" s="948">
        <v>0</v>
      </c>
      <c r="AA24" s="948">
        <v>0</v>
      </c>
      <c r="AB24" s="948">
        <v>0</v>
      </c>
      <c r="AC24" s="948">
        <v>0</v>
      </c>
    </row>
    <row r="25" spans="1:29">
      <c r="A25" s="685" t="s">
        <v>983</v>
      </c>
      <c r="B25">
        <v>820506603.57000005</v>
      </c>
      <c r="C25">
        <v>118407523.72</v>
      </c>
      <c r="D25">
        <v>289466294.27999997</v>
      </c>
      <c r="E25">
        <v>316839618.94</v>
      </c>
      <c r="F25">
        <v>200592453.66999999</v>
      </c>
      <c r="G25">
        <v>68332878.370000005</v>
      </c>
      <c r="H25">
        <v>71091041.049999997</v>
      </c>
      <c r="I25">
        <v>69141399.519999996</v>
      </c>
      <c r="J25">
        <v>0</v>
      </c>
      <c r="K25">
        <v>0</v>
      </c>
      <c r="L25">
        <v>0</v>
      </c>
      <c r="M25">
        <v>0</v>
      </c>
      <c r="P25" s="832" t="s">
        <v>1625</v>
      </c>
      <c r="Q25" s="1090">
        <f t="shared" si="0"/>
        <v>1000000</v>
      </c>
      <c r="R25" s="948">
        <v>0</v>
      </c>
      <c r="S25" s="948">
        <v>0</v>
      </c>
      <c r="T25" s="948">
        <v>0</v>
      </c>
      <c r="U25" s="948">
        <v>0</v>
      </c>
      <c r="V25" s="948">
        <v>0</v>
      </c>
      <c r="W25" s="948">
        <v>0</v>
      </c>
      <c r="X25" s="948">
        <v>0</v>
      </c>
      <c r="Y25" s="948">
        <v>0</v>
      </c>
      <c r="Z25" s="948">
        <v>0</v>
      </c>
      <c r="AA25" s="948">
        <v>0</v>
      </c>
      <c r="AB25" s="948">
        <v>0</v>
      </c>
      <c r="AC25" s="948">
        <v>0</v>
      </c>
    </row>
    <row r="26" spans="1:29">
      <c r="A26" s="566" t="s">
        <v>651</v>
      </c>
      <c r="B26">
        <v>147887465.03999999</v>
      </c>
      <c r="C26">
        <v>19358536.52</v>
      </c>
      <c r="D26">
        <v>44961313.579999998</v>
      </c>
      <c r="E26">
        <v>48760545.880000003</v>
      </c>
      <c r="F26">
        <v>22677695.25</v>
      </c>
      <c r="G26">
        <v>10489646.619999999</v>
      </c>
      <c r="H26">
        <v>10893367.74</v>
      </c>
      <c r="I26">
        <v>-10634019.85</v>
      </c>
      <c r="J26">
        <v>0</v>
      </c>
      <c r="K26">
        <v>0</v>
      </c>
      <c r="L26">
        <v>0</v>
      </c>
      <c r="M26">
        <v>0</v>
      </c>
      <c r="P26" s="832" t="s">
        <v>1626</v>
      </c>
      <c r="Q26" s="1090">
        <f t="shared" si="0"/>
        <v>1000000</v>
      </c>
      <c r="R26" s="948">
        <v>0</v>
      </c>
      <c r="S26" s="948">
        <v>0</v>
      </c>
      <c r="T26" s="948">
        <v>0</v>
      </c>
      <c r="U26" s="948">
        <v>0</v>
      </c>
      <c r="V26" s="948">
        <v>0</v>
      </c>
      <c r="W26" s="948">
        <v>0</v>
      </c>
      <c r="X26" s="948">
        <v>0</v>
      </c>
      <c r="Y26" s="948">
        <v>0</v>
      </c>
      <c r="Z26" s="948">
        <v>0</v>
      </c>
      <c r="AA26" s="948">
        <v>0</v>
      </c>
      <c r="AB26" s="948">
        <v>0</v>
      </c>
      <c r="AC26" s="948">
        <v>0</v>
      </c>
    </row>
    <row r="27" spans="1:29">
      <c r="A27" s="570" t="s">
        <v>922</v>
      </c>
      <c r="B27">
        <v>0</v>
      </c>
      <c r="C27">
        <v>0</v>
      </c>
      <c r="D27">
        <v>0</v>
      </c>
      <c r="E27">
        <v>0</v>
      </c>
      <c r="F27">
        <v>0</v>
      </c>
      <c r="G27">
        <v>0</v>
      </c>
      <c r="H27">
        <v>0</v>
      </c>
      <c r="I27">
        <v>0</v>
      </c>
      <c r="J27">
        <v>0</v>
      </c>
      <c r="K27">
        <v>0</v>
      </c>
      <c r="L27">
        <v>0</v>
      </c>
      <c r="M27">
        <v>0</v>
      </c>
      <c r="P27" s="832"/>
      <c r="Q27" s="1090">
        <f t="shared" si="0"/>
        <v>1000000</v>
      </c>
      <c r="R27" s="948">
        <v>0</v>
      </c>
      <c r="S27" s="948">
        <v>0</v>
      </c>
      <c r="T27" s="948">
        <v>0</v>
      </c>
      <c r="U27" s="948">
        <v>0</v>
      </c>
      <c r="V27" s="948">
        <v>0</v>
      </c>
      <c r="W27" s="948">
        <v>0</v>
      </c>
      <c r="X27" s="948">
        <v>0</v>
      </c>
      <c r="Y27" s="948">
        <v>0</v>
      </c>
      <c r="Z27" s="948">
        <v>0</v>
      </c>
      <c r="AA27" s="948">
        <v>0</v>
      </c>
      <c r="AB27" s="948">
        <v>0</v>
      </c>
      <c r="AC27" s="948">
        <v>0</v>
      </c>
    </row>
    <row r="28" spans="1:29">
      <c r="A28" s="685" t="s">
        <v>992</v>
      </c>
      <c r="B28">
        <v>672619138.52999997</v>
      </c>
      <c r="C28">
        <v>99048987.200000003</v>
      </c>
      <c r="D28">
        <v>244504980.69999999</v>
      </c>
      <c r="E28">
        <v>268079073.06</v>
      </c>
      <c r="F28">
        <v>177914758.41999999</v>
      </c>
      <c r="G28">
        <v>57843231.75</v>
      </c>
      <c r="H28">
        <v>60197673.310000002</v>
      </c>
      <c r="I28">
        <v>79775419.370000005</v>
      </c>
      <c r="J28">
        <v>0</v>
      </c>
      <c r="K28">
        <v>0</v>
      </c>
      <c r="L28">
        <v>0</v>
      </c>
      <c r="M28">
        <v>0</v>
      </c>
      <c r="P28" s="832" t="s">
        <v>1627</v>
      </c>
      <c r="Q28" s="1090">
        <f t="shared" si="0"/>
        <v>1000000</v>
      </c>
      <c r="R28" s="948">
        <v>0</v>
      </c>
      <c r="S28" s="948">
        <v>0</v>
      </c>
      <c r="T28" s="948">
        <v>0</v>
      </c>
      <c r="U28" s="948">
        <v>0</v>
      </c>
      <c r="V28" s="948">
        <v>0</v>
      </c>
      <c r="W28" s="948">
        <v>0</v>
      </c>
      <c r="X28" s="948">
        <v>0</v>
      </c>
      <c r="Y28" s="948">
        <v>0</v>
      </c>
      <c r="Z28" s="948">
        <v>0</v>
      </c>
      <c r="AA28" s="948">
        <v>0</v>
      </c>
      <c r="AB28" s="948">
        <v>0</v>
      </c>
      <c r="AC28" s="948">
        <v>0</v>
      </c>
    </row>
    <row r="29" spans="1:29">
      <c r="A29" s="566" t="s">
        <v>652</v>
      </c>
      <c r="B29">
        <v>0</v>
      </c>
      <c r="C29">
        <v>0</v>
      </c>
      <c r="D29">
        <v>6090.87</v>
      </c>
      <c r="E29">
        <v>-164627.39000000001</v>
      </c>
      <c r="F29">
        <v>-270177.77</v>
      </c>
      <c r="G29">
        <v>-232269.44</v>
      </c>
      <c r="H29">
        <v>-406403.86</v>
      </c>
      <c r="I29">
        <v>-2208736.04</v>
      </c>
      <c r="J29">
        <v>0</v>
      </c>
      <c r="K29">
        <v>0</v>
      </c>
      <c r="L29">
        <v>0</v>
      </c>
      <c r="M29">
        <v>0</v>
      </c>
      <c r="P29" s="832" t="s">
        <v>1628</v>
      </c>
      <c r="Q29" s="1090">
        <f t="shared" si="0"/>
        <v>1000000</v>
      </c>
      <c r="R29" s="948">
        <v>0</v>
      </c>
      <c r="S29" s="948">
        <v>0</v>
      </c>
      <c r="T29" s="948">
        <v>0</v>
      </c>
      <c r="U29" s="948">
        <v>0</v>
      </c>
      <c r="V29" s="948">
        <v>0</v>
      </c>
      <c r="W29" s="948">
        <v>0</v>
      </c>
      <c r="X29" s="948">
        <v>0</v>
      </c>
      <c r="Y29" s="948">
        <v>0</v>
      </c>
      <c r="Z29" s="948">
        <v>0</v>
      </c>
      <c r="AA29" s="948">
        <v>0</v>
      </c>
      <c r="AB29" s="948">
        <v>0</v>
      </c>
      <c r="AC29" s="948">
        <v>0</v>
      </c>
    </row>
    <row r="30" spans="1:29" ht="21.6">
      <c r="A30" s="685" t="s">
        <v>1367</v>
      </c>
      <c r="B30">
        <v>672619138.52999997</v>
      </c>
      <c r="C30">
        <v>99048987.200000003</v>
      </c>
      <c r="D30">
        <v>244498889.83000001</v>
      </c>
      <c r="E30">
        <v>268243700.44999999</v>
      </c>
      <c r="F30">
        <v>178184936.19</v>
      </c>
      <c r="G30">
        <v>58075501.189999998</v>
      </c>
      <c r="H30">
        <v>60604077.170000002</v>
      </c>
      <c r="I30">
        <v>81984155.409999996</v>
      </c>
      <c r="J30">
        <v>0</v>
      </c>
      <c r="K30">
        <v>0</v>
      </c>
      <c r="L30">
        <v>0</v>
      </c>
      <c r="M30">
        <v>0</v>
      </c>
      <c r="P30" s="832" t="s">
        <v>1629</v>
      </c>
      <c r="Q30" s="1090">
        <f t="shared" si="0"/>
        <v>1000000</v>
      </c>
      <c r="R30" s="948">
        <v>1210424890.4100001</v>
      </c>
      <c r="S30" s="948">
        <v>1155899944.71</v>
      </c>
      <c r="T30" s="948">
        <v>1205406091.96</v>
      </c>
      <c r="U30" s="948">
        <v>1355641356.02</v>
      </c>
      <c r="V30" s="948">
        <v>1348130542.73</v>
      </c>
      <c r="W30" s="948">
        <v>1411449147.8499999</v>
      </c>
      <c r="X30" s="948">
        <v>1454370999.05</v>
      </c>
      <c r="Y30" s="948">
        <v>1549474986.0999999</v>
      </c>
      <c r="Z30" s="948">
        <v>1639471877.04</v>
      </c>
      <c r="AA30" s="948">
        <v>1636431449.24</v>
      </c>
      <c r="AB30" s="948">
        <v>1687562695.1199999</v>
      </c>
      <c r="AC30" s="948">
        <v>1813829212.8299999</v>
      </c>
    </row>
    <row r="31" spans="1:29">
      <c r="B31">
        <v>0</v>
      </c>
      <c r="C31">
        <v>0</v>
      </c>
      <c r="D31">
        <v>0</v>
      </c>
      <c r="E31">
        <v>0</v>
      </c>
      <c r="F31">
        <v>0</v>
      </c>
      <c r="G31">
        <v>0</v>
      </c>
      <c r="H31">
        <v>0</v>
      </c>
      <c r="I31">
        <v>0</v>
      </c>
      <c r="J31">
        <v>0</v>
      </c>
      <c r="K31">
        <v>0</v>
      </c>
      <c r="L31">
        <v>0</v>
      </c>
      <c r="M31">
        <v>0</v>
      </c>
      <c r="P31" s="561"/>
      <c r="R31" s="948">
        <v>3783983711.3400002</v>
      </c>
      <c r="S31" s="948">
        <v>3977923836</v>
      </c>
      <c r="T31" s="948">
        <v>4201613715.3600001</v>
      </c>
      <c r="U31" s="948">
        <v>5210132328.0200005</v>
      </c>
      <c r="V31" s="948">
        <v>4712782091</v>
      </c>
      <c r="W31" s="948">
        <v>4811888377.1300001</v>
      </c>
      <c r="X31" s="948">
        <v>4708782600.6199999</v>
      </c>
      <c r="Y31" s="948">
        <v>4678746051.7600002</v>
      </c>
      <c r="Z31" s="948">
        <v>5005696075.46</v>
      </c>
      <c r="AA31" s="948">
        <v>5350949533.5500002</v>
      </c>
      <c r="AB31" s="948">
        <v>5286599151.5600004</v>
      </c>
      <c r="AC31" s="948">
        <v>4971082176.8400002</v>
      </c>
    </row>
    <row r="32" spans="1:29">
      <c r="A32" s="570" t="s">
        <v>653</v>
      </c>
      <c r="B32">
        <v>0</v>
      </c>
      <c r="C32">
        <v>0</v>
      </c>
      <c r="D32">
        <v>0</v>
      </c>
      <c r="E32">
        <v>0</v>
      </c>
      <c r="F32">
        <v>0</v>
      </c>
      <c r="G32">
        <v>0</v>
      </c>
      <c r="H32">
        <v>0</v>
      </c>
      <c r="I32">
        <v>0</v>
      </c>
      <c r="J32">
        <v>0</v>
      </c>
      <c r="K32">
        <v>0</v>
      </c>
      <c r="L32">
        <v>0</v>
      </c>
      <c r="M32">
        <v>0</v>
      </c>
      <c r="P32" s="561"/>
      <c r="R32" s="948">
        <v>0</v>
      </c>
      <c r="S32" s="948">
        <v>0</v>
      </c>
      <c r="T32" s="948">
        <v>0</v>
      </c>
      <c r="U32" s="948">
        <v>0</v>
      </c>
      <c r="V32" s="948">
        <v>0</v>
      </c>
      <c r="W32" s="948">
        <v>0</v>
      </c>
      <c r="X32" s="948">
        <v>0</v>
      </c>
      <c r="Y32" s="948">
        <v>0</v>
      </c>
      <c r="Z32" s="948">
        <v>0</v>
      </c>
      <c r="AA32" s="948">
        <v>0</v>
      </c>
      <c r="AB32" s="948">
        <v>0</v>
      </c>
      <c r="AC32" s="948">
        <v>0</v>
      </c>
    </row>
    <row r="33" spans="1:29">
      <c r="A33" s="566" t="s">
        <v>654</v>
      </c>
      <c r="B33">
        <v>0</v>
      </c>
      <c r="C33">
        <v>0</v>
      </c>
      <c r="D33">
        <v>0</v>
      </c>
      <c r="E33">
        <v>0</v>
      </c>
      <c r="F33">
        <v>0.05</v>
      </c>
      <c r="G33">
        <v>0</v>
      </c>
      <c r="H33">
        <v>0</v>
      </c>
      <c r="I33">
        <v>0</v>
      </c>
      <c r="J33">
        <v>0</v>
      </c>
      <c r="K33">
        <v>0</v>
      </c>
      <c r="L33">
        <v>0</v>
      </c>
      <c r="M33">
        <v>0</v>
      </c>
      <c r="P33" s="832" t="s">
        <v>1864</v>
      </c>
      <c r="Q33" s="1090">
        <v>1</v>
      </c>
      <c r="R33" s="948">
        <v>815000000</v>
      </c>
      <c r="S33" s="948">
        <v>790000000</v>
      </c>
      <c r="T33" s="948">
        <v>551370957.00999999</v>
      </c>
      <c r="U33" s="948">
        <v>420889042.63999999</v>
      </c>
      <c r="V33" s="948">
        <v>79875819.680000007</v>
      </c>
      <c r="W33" s="948">
        <v>50000000</v>
      </c>
      <c r="X33" s="948">
        <v>500000000</v>
      </c>
      <c r="Y33" s="948">
        <v>558312337.25999999</v>
      </c>
      <c r="Z33" s="948">
        <v>800093812.11000001</v>
      </c>
      <c r="AA33" s="948">
        <v>250093151.69999999</v>
      </c>
      <c r="AB33" s="948">
        <v>200097009.84999999</v>
      </c>
      <c r="AC33" s="948">
        <v>200000000</v>
      </c>
    </row>
    <row r="34" spans="1:29">
      <c r="A34" s="566" t="s">
        <v>655</v>
      </c>
      <c r="B34">
        <v>0</v>
      </c>
      <c r="C34">
        <v>0</v>
      </c>
      <c r="D34">
        <v>0</v>
      </c>
      <c r="E34">
        <v>0</v>
      </c>
      <c r="F34">
        <v>0</v>
      </c>
      <c r="G34">
        <v>0</v>
      </c>
      <c r="H34">
        <v>0</v>
      </c>
      <c r="I34">
        <v>0</v>
      </c>
      <c r="J34">
        <v>0</v>
      </c>
      <c r="K34">
        <v>0</v>
      </c>
      <c r="L34">
        <v>0</v>
      </c>
      <c r="M34">
        <v>0</v>
      </c>
      <c r="P34" s="832" t="s">
        <v>1865</v>
      </c>
      <c r="Q34" s="1090">
        <v>1</v>
      </c>
      <c r="R34" s="948">
        <v>0</v>
      </c>
      <c r="S34" s="948">
        <v>0</v>
      </c>
      <c r="T34" s="948">
        <v>0</v>
      </c>
      <c r="U34" s="948">
        <v>0</v>
      </c>
      <c r="V34" s="948">
        <v>0</v>
      </c>
      <c r="W34" s="948">
        <v>0</v>
      </c>
      <c r="X34" s="948">
        <v>0</v>
      </c>
      <c r="Y34" s="948">
        <v>0</v>
      </c>
      <c r="Z34" s="948">
        <v>0</v>
      </c>
      <c r="AA34" s="948">
        <v>0</v>
      </c>
      <c r="AB34" s="948">
        <v>0</v>
      </c>
      <c r="AC34" s="948">
        <v>0</v>
      </c>
    </row>
    <row r="35" spans="1:29">
      <c r="A35" s="566" t="s">
        <v>656</v>
      </c>
      <c r="B35">
        <v>0</v>
      </c>
      <c r="C35">
        <v>0</v>
      </c>
      <c r="D35">
        <v>0</v>
      </c>
      <c r="E35">
        <v>0</v>
      </c>
      <c r="F35">
        <v>0</v>
      </c>
      <c r="G35">
        <v>0</v>
      </c>
      <c r="H35">
        <v>0</v>
      </c>
      <c r="I35">
        <v>0</v>
      </c>
      <c r="J35">
        <v>0</v>
      </c>
      <c r="K35">
        <v>0</v>
      </c>
      <c r="L35">
        <v>0</v>
      </c>
      <c r="M35">
        <v>0</v>
      </c>
      <c r="P35" s="832" t="s">
        <v>1866</v>
      </c>
      <c r="Q35" s="1090">
        <v>1</v>
      </c>
      <c r="R35" s="948">
        <v>278604000</v>
      </c>
      <c r="S35" s="948">
        <v>319544000</v>
      </c>
      <c r="T35" s="948">
        <v>447981300</v>
      </c>
      <c r="U35" s="948">
        <v>441375894.70999998</v>
      </c>
      <c r="V35" s="948">
        <v>418418594.70999998</v>
      </c>
      <c r="W35" s="948">
        <v>416758694.70999998</v>
      </c>
      <c r="X35" s="948">
        <v>384438400</v>
      </c>
      <c r="Y35" s="948">
        <v>341967006.92000002</v>
      </c>
      <c r="Z35" s="948">
        <v>373731668</v>
      </c>
      <c r="AA35" s="948">
        <v>460176668</v>
      </c>
      <c r="AB35" s="948">
        <v>380595730</v>
      </c>
      <c r="AC35" s="948">
        <v>321445719.76999998</v>
      </c>
    </row>
    <row r="36" spans="1:29">
      <c r="B36">
        <v>0</v>
      </c>
      <c r="C36">
        <v>0</v>
      </c>
      <c r="D36">
        <v>0</v>
      </c>
      <c r="E36">
        <v>0</v>
      </c>
      <c r="F36">
        <v>0</v>
      </c>
      <c r="G36">
        <v>0</v>
      </c>
      <c r="H36">
        <v>0</v>
      </c>
      <c r="I36">
        <v>0</v>
      </c>
      <c r="J36">
        <v>0</v>
      </c>
      <c r="K36">
        <v>0</v>
      </c>
      <c r="L36">
        <v>0</v>
      </c>
      <c r="M36">
        <v>0</v>
      </c>
      <c r="P36" s="562"/>
      <c r="R36" s="948">
        <v>756171222.37</v>
      </c>
      <c r="S36" s="948">
        <v>800765223.74000001</v>
      </c>
      <c r="T36" s="948">
        <v>545981235.99000001</v>
      </c>
      <c r="U36" s="948">
        <v>566403411.29999995</v>
      </c>
      <c r="V36" s="948">
        <v>568664754.58000004</v>
      </c>
      <c r="W36" s="948">
        <v>583125629.17999995</v>
      </c>
      <c r="X36" s="948">
        <v>614636525.05999994</v>
      </c>
      <c r="Y36" s="948">
        <v>574030932.54999995</v>
      </c>
      <c r="Z36" s="948">
        <v>636276530.08000004</v>
      </c>
      <c r="AA36" s="948">
        <v>878536682.80999994</v>
      </c>
      <c r="AB36" s="948">
        <v>981071650.82000005</v>
      </c>
      <c r="AC36" s="948">
        <v>804408717.38999999</v>
      </c>
    </row>
    <row r="37" spans="1:29">
      <c r="B37">
        <v>0</v>
      </c>
      <c r="C37">
        <v>0</v>
      </c>
      <c r="D37">
        <v>0</v>
      </c>
      <c r="E37">
        <v>0</v>
      </c>
      <c r="F37">
        <v>0</v>
      </c>
      <c r="G37">
        <v>0</v>
      </c>
      <c r="H37">
        <v>0</v>
      </c>
      <c r="I37">
        <v>0</v>
      </c>
      <c r="J37">
        <v>0</v>
      </c>
      <c r="K37">
        <v>0</v>
      </c>
      <c r="L37">
        <v>0</v>
      </c>
      <c r="M37">
        <v>0</v>
      </c>
      <c r="P37" s="562"/>
      <c r="R37" s="948">
        <v>263686473.44</v>
      </c>
      <c r="S37" s="948">
        <v>282235402.5</v>
      </c>
      <c r="T37" s="948">
        <v>367710114.31</v>
      </c>
      <c r="U37" s="948">
        <v>296977406.44</v>
      </c>
      <c r="V37" s="948">
        <v>253474909.28</v>
      </c>
      <c r="W37" s="948">
        <v>351207508.24000001</v>
      </c>
      <c r="X37" s="948">
        <v>303400905.19</v>
      </c>
      <c r="Y37" s="948">
        <v>212289886.44</v>
      </c>
      <c r="Z37" s="948">
        <v>319307803.47000003</v>
      </c>
      <c r="AA37" s="948">
        <v>349090065.33999997</v>
      </c>
      <c r="AB37" s="948">
        <v>257863363.38</v>
      </c>
      <c r="AC37" s="948">
        <v>168015575.91</v>
      </c>
    </row>
    <row r="38" spans="1:29" ht="15.6">
      <c r="A38" s="556" t="s">
        <v>657</v>
      </c>
      <c r="B38">
        <v>0</v>
      </c>
      <c r="C38">
        <v>0</v>
      </c>
      <c r="D38">
        <v>0</v>
      </c>
      <c r="E38">
        <v>0</v>
      </c>
      <c r="F38">
        <v>0</v>
      </c>
      <c r="G38">
        <v>0</v>
      </c>
      <c r="H38">
        <v>0</v>
      </c>
      <c r="I38">
        <v>0</v>
      </c>
      <c r="J38">
        <v>0</v>
      </c>
      <c r="K38">
        <v>0</v>
      </c>
      <c r="L38">
        <v>0</v>
      </c>
      <c r="M38">
        <v>0</v>
      </c>
      <c r="P38" s="562"/>
      <c r="R38" s="948">
        <v>5616748.9800000004</v>
      </c>
      <c r="S38" s="948">
        <v>8142996.5</v>
      </c>
      <c r="T38" s="948">
        <v>12071097.310000001</v>
      </c>
      <c r="U38" s="948">
        <v>1480384.27</v>
      </c>
      <c r="V38" s="948">
        <v>4756476.66</v>
      </c>
      <c r="W38" s="948">
        <v>13358466.109999999</v>
      </c>
      <c r="X38" s="948">
        <v>10934331.25</v>
      </c>
      <c r="Y38" s="948">
        <v>2455034.7200000002</v>
      </c>
      <c r="Z38" s="948">
        <v>8230746.8300000001</v>
      </c>
      <c r="AA38" s="948">
        <v>9374951.0800000001</v>
      </c>
      <c r="AB38" s="948">
        <v>12344545.720000001</v>
      </c>
      <c r="AC38" s="948">
        <v>3986473.57</v>
      </c>
    </row>
    <row r="39" spans="1:29">
      <c r="A39" s="570" t="s">
        <v>658</v>
      </c>
      <c r="B39">
        <v>0</v>
      </c>
      <c r="C39">
        <v>0</v>
      </c>
      <c r="D39">
        <v>0</v>
      </c>
      <c r="E39">
        <v>0</v>
      </c>
      <c r="F39">
        <v>0</v>
      </c>
      <c r="G39">
        <v>0</v>
      </c>
      <c r="H39">
        <v>0</v>
      </c>
      <c r="I39">
        <v>0</v>
      </c>
      <c r="J39">
        <v>0</v>
      </c>
      <c r="K39">
        <v>0</v>
      </c>
      <c r="L39">
        <v>0</v>
      </c>
      <c r="M39">
        <v>0</v>
      </c>
      <c r="P39" s="562"/>
      <c r="R39" s="948">
        <v>-24473504.41</v>
      </c>
      <c r="S39" s="948">
        <v>12021915.09</v>
      </c>
      <c r="T39" s="948">
        <v>-2917018.7</v>
      </c>
      <c r="U39" s="948">
        <v>22823327</v>
      </c>
      <c r="V39" s="948">
        <v>8587828.1500000004</v>
      </c>
      <c r="W39" s="948">
        <v>-11306451.119999999</v>
      </c>
      <c r="X39" s="948">
        <v>-2385969.5099999998</v>
      </c>
      <c r="Y39" s="948">
        <v>5017249</v>
      </c>
      <c r="Z39" s="948">
        <v>-23507205.379999999</v>
      </c>
      <c r="AA39" s="948">
        <v>11504524.810000001</v>
      </c>
      <c r="AB39" s="948">
        <v>-3392415.48</v>
      </c>
      <c r="AC39" s="948">
        <v>-7978186.9299999997</v>
      </c>
    </row>
    <row r="40" spans="1:29">
      <c r="A40" s="677" t="s">
        <v>659</v>
      </c>
      <c r="B40">
        <v>2189353916.2199998</v>
      </c>
      <c r="C40">
        <v>1613299775.4200001</v>
      </c>
      <c r="D40">
        <v>2007451664.1099999</v>
      </c>
      <c r="E40">
        <v>1984712451.96</v>
      </c>
      <c r="F40">
        <v>2333587531.0100002</v>
      </c>
      <c r="G40">
        <v>1840304024.98</v>
      </c>
      <c r="H40">
        <v>1841752762.8499999</v>
      </c>
      <c r="I40">
        <v>2914258840.6599998</v>
      </c>
      <c r="J40">
        <v>0</v>
      </c>
      <c r="K40">
        <v>0</v>
      </c>
      <c r="L40">
        <v>0</v>
      </c>
      <c r="M40">
        <v>0</v>
      </c>
      <c r="P40" s="832" t="s">
        <v>1639</v>
      </c>
      <c r="Q40" s="1090">
        <f>$Q$2</f>
        <v>1000000</v>
      </c>
      <c r="R40" s="948">
        <v>0</v>
      </c>
      <c r="S40" s="948">
        <v>0</v>
      </c>
      <c r="T40" s="948">
        <v>0</v>
      </c>
      <c r="U40" s="948">
        <v>5210244.05</v>
      </c>
      <c r="V40" s="948">
        <v>8650311.0500000007</v>
      </c>
      <c r="W40" s="948">
        <v>12900411.050000001</v>
      </c>
      <c r="X40" s="948">
        <v>0</v>
      </c>
      <c r="Y40" s="948">
        <v>43294.03</v>
      </c>
      <c r="Z40" s="948">
        <v>1458333.33</v>
      </c>
      <c r="AA40" s="948">
        <v>5833333.3200000003</v>
      </c>
      <c r="AB40" s="948">
        <v>15312500</v>
      </c>
      <c r="AC40" s="948">
        <v>21934931.510000002</v>
      </c>
    </row>
    <row r="41" spans="1:29">
      <c r="A41" s="677" t="s">
        <v>175</v>
      </c>
      <c r="B41">
        <v>54218.21</v>
      </c>
      <c r="C41">
        <v>817265.27</v>
      </c>
      <c r="D41">
        <v>853732.85</v>
      </c>
      <c r="E41">
        <v>202190.69</v>
      </c>
      <c r="F41">
        <v>74012589.969999999</v>
      </c>
      <c r="G41">
        <v>131630368.45</v>
      </c>
      <c r="H41">
        <v>91021919.540000007</v>
      </c>
      <c r="I41">
        <v>70591075.890000001</v>
      </c>
      <c r="J41">
        <v>0</v>
      </c>
      <c r="K41">
        <v>0</v>
      </c>
      <c r="L41">
        <v>0</v>
      </c>
      <c r="M41">
        <v>0</v>
      </c>
      <c r="P41" s="832" t="s">
        <v>1640</v>
      </c>
      <c r="Q41" s="1090">
        <f t="shared" ref="Q41:Q120" si="1">$Q$2</f>
        <v>1000000</v>
      </c>
      <c r="R41" s="948">
        <v>225608</v>
      </c>
      <c r="S41" s="948">
        <v>0</v>
      </c>
      <c r="T41" s="948">
        <v>0</v>
      </c>
      <c r="U41" s="948">
        <v>0</v>
      </c>
      <c r="V41" s="948">
        <v>0</v>
      </c>
      <c r="W41" s="948">
        <v>10193166</v>
      </c>
      <c r="X41" s="948">
        <v>0</v>
      </c>
      <c r="Y41" s="948">
        <v>2673181.56</v>
      </c>
      <c r="Z41" s="948">
        <v>2673181.56</v>
      </c>
      <c r="AA41" s="948">
        <v>2673181.56</v>
      </c>
      <c r="AB41" s="948">
        <v>2673181.56</v>
      </c>
      <c r="AC41" s="948">
        <v>2673181.56</v>
      </c>
    </row>
    <row r="42" spans="1:29">
      <c r="A42" s="1168" t="s">
        <v>2785</v>
      </c>
      <c r="B42">
        <v>0</v>
      </c>
      <c r="C42">
        <v>0</v>
      </c>
      <c r="D42">
        <v>0</v>
      </c>
      <c r="E42">
        <v>0</v>
      </c>
      <c r="F42">
        <v>0</v>
      </c>
      <c r="G42">
        <v>0</v>
      </c>
      <c r="H42">
        <v>0</v>
      </c>
      <c r="I42">
        <v>0</v>
      </c>
      <c r="J42">
        <v>0</v>
      </c>
      <c r="K42">
        <v>0</v>
      </c>
      <c r="L42">
        <v>0</v>
      </c>
      <c r="M42">
        <v>0</v>
      </c>
      <c r="P42" s="832" t="s">
        <v>2843</v>
      </c>
      <c r="Q42" s="1090">
        <f t="shared" si="1"/>
        <v>1000000</v>
      </c>
    </row>
    <row r="43" spans="1:29">
      <c r="A43" s="1132" t="s">
        <v>2717</v>
      </c>
      <c r="B43">
        <v>4103094934.5</v>
      </c>
      <c r="C43">
        <v>4826142817.6899996</v>
      </c>
      <c r="D43">
        <v>5603182869.7399998</v>
      </c>
      <c r="E43">
        <v>5680272996.1499996</v>
      </c>
      <c r="F43">
        <v>4877682890.7700005</v>
      </c>
      <c r="G43">
        <v>5413067945.3199997</v>
      </c>
      <c r="H43">
        <v>5726544959.8999996</v>
      </c>
      <c r="I43">
        <v>5369755969.7399998</v>
      </c>
      <c r="J43">
        <v>0</v>
      </c>
      <c r="K43">
        <v>0</v>
      </c>
      <c r="L43">
        <v>0</v>
      </c>
      <c r="M43">
        <v>0</v>
      </c>
      <c r="P43" s="832" t="s">
        <v>2733</v>
      </c>
      <c r="Q43" s="1090">
        <f t="shared" si="1"/>
        <v>1000000</v>
      </c>
      <c r="R43" s="948">
        <v>22114503.91</v>
      </c>
      <c r="S43" s="948">
        <v>66697433.219999999</v>
      </c>
      <c r="T43" s="948">
        <v>73951757.109999999</v>
      </c>
      <c r="U43" s="948">
        <v>10797018.050000001</v>
      </c>
      <c r="V43" s="948">
        <v>4607700.87</v>
      </c>
      <c r="W43" s="948">
        <v>6028945.9299999997</v>
      </c>
      <c r="X43" s="948">
        <v>5344098.4800000004</v>
      </c>
      <c r="Y43" s="948">
        <v>8705642.2100000009</v>
      </c>
      <c r="Z43" s="948">
        <v>11274762.140000001</v>
      </c>
      <c r="AA43" s="948">
        <v>7493547.6200000001</v>
      </c>
      <c r="AB43" s="948">
        <v>14544898.789999999</v>
      </c>
      <c r="AC43" s="948">
        <v>6038851.4699999997</v>
      </c>
    </row>
    <row r="44" spans="1:29">
      <c r="A44" s="677" t="s">
        <v>660</v>
      </c>
      <c r="B44">
        <v>682402494.87</v>
      </c>
      <c r="C44">
        <v>607422303.59000003</v>
      </c>
      <c r="D44">
        <v>504891770.92000002</v>
      </c>
      <c r="E44">
        <v>342446024.47000003</v>
      </c>
      <c r="F44">
        <v>209238741.65000001</v>
      </c>
      <c r="G44">
        <v>144355170.86000001</v>
      </c>
      <c r="H44">
        <v>116501790.36</v>
      </c>
      <c r="I44">
        <v>85980406.079999998</v>
      </c>
      <c r="J44">
        <v>0</v>
      </c>
      <c r="K44">
        <v>0</v>
      </c>
      <c r="L44">
        <v>0</v>
      </c>
      <c r="M44">
        <v>0</v>
      </c>
      <c r="P44" s="832" t="s">
        <v>1641</v>
      </c>
      <c r="Q44" s="1090">
        <f t="shared" si="1"/>
        <v>1000000</v>
      </c>
      <c r="R44" s="948">
        <v>0</v>
      </c>
      <c r="S44" s="948">
        <v>0</v>
      </c>
      <c r="T44" s="948">
        <v>0</v>
      </c>
      <c r="U44" s="948">
        <v>0</v>
      </c>
      <c r="V44" s="948">
        <v>0</v>
      </c>
      <c r="W44" s="948">
        <v>0</v>
      </c>
      <c r="X44" s="948">
        <v>0</v>
      </c>
      <c r="Y44" s="948">
        <v>0</v>
      </c>
      <c r="Z44" s="948">
        <v>0</v>
      </c>
      <c r="AA44" s="948">
        <v>0</v>
      </c>
      <c r="AB44" s="948">
        <v>0</v>
      </c>
      <c r="AC44" s="948">
        <v>0</v>
      </c>
    </row>
    <row r="45" spans="1:29">
      <c r="A45" s="677" t="s">
        <v>1363</v>
      </c>
      <c r="B45">
        <v>0</v>
      </c>
      <c r="C45">
        <v>0</v>
      </c>
      <c r="D45">
        <v>0</v>
      </c>
      <c r="E45">
        <v>0</v>
      </c>
      <c r="F45">
        <v>0</v>
      </c>
      <c r="G45">
        <v>0</v>
      </c>
      <c r="H45">
        <v>0</v>
      </c>
      <c r="I45">
        <v>0</v>
      </c>
      <c r="J45">
        <v>0</v>
      </c>
      <c r="K45">
        <v>0</v>
      </c>
      <c r="L45">
        <v>0</v>
      </c>
      <c r="M45">
        <v>0</v>
      </c>
      <c r="P45" s="832" t="s">
        <v>1645</v>
      </c>
      <c r="Q45" s="1090">
        <f t="shared" si="1"/>
        <v>1000000</v>
      </c>
      <c r="R45" s="948">
        <v>0</v>
      </c>
      <c r="S45" s="948">
        <v>0</v>
      </c>
      <c r="T45" s="948">
        <v>0</v>
      </c>
      <c r="U45" s="948">
        <v>0</v>
      </c>
      <c r="V45" s="948">
        <v>0</v>
      </c>
      <c r="W45" s="948">
        <v>0</v>
      </c>
      <c r="X45" s="948">
        <v>0</v>
      </c>
      <c r="Y45" s="948">
        <v>0</v>
      </c>
      <c r="Z45" s="948">
        <v>0</v>
      </c>
      <c r="AA45" s="948">
        <v>0</v>
      </c>
      <c r="AB45" s="948">
        <v>0</v>
      </c>
      <c r="AC45" s="948">
        <v>0</v>
      </c>
    </row>
    <row r="46" spans="1:29">
      <c r="A46" s="677" t="s">
        <v>661</v>
      </c>
      <c r="B46">
        <v>0</v>
      </c>
      <c r="C46">
        <v>0</v>
      </c>
      <c r="D46">
        <v>0</v>
      </c>
      <c r="E46">
        <v>0</v>
      </c>
      <c r="F46">
        <v>0</v>
      </c>
      <c r="G46">
        <v>0</v>
      </c>
      <c r="H46">
        <v>0</v>
      </c>
      <c r="I46">
        <v>0</v>
      </c>
      <c r="J46">
        <v>0</v>
      </c>
      <c r="K46">
        <v>0</v>
      </c>
      <c r="L46">
        <v>0</v>
      </c>
      <c r="M46">
        <v>0</v>
      </c>
      <c r="P46" s="832" t="s">
        <v>1644</v>
      </c>
      <c r="Q46" s="1090">
        <f t="shared" si="1"/>
        <v>1000000</v>
      </c>
      <c r="R46" s="948">
        <v>0</v>
      </c>
      <c r="S46" s="948">
        <v>0</v>
      </c>
      <c r="T46" s="948">
        <v>0</v>
      </c>
      <c r="U46" s="948">
        <v>0</v>
      </c>
      <c r="V46" s="948">
        <v>0</v>
      </c>
      <c r="W46" s="948">
        <v>0</v>
      </c>
      <c r="X46" s="948">
        <v>0</v>
      </c>
      <c r="Y46" s="948">
        <v>0</v>
      </c>
      <c r="Z46" s="948">
        <v>0</v>
      </c>
      <c r="AA46" s="948">
        <v>0</v>
      </c>
      <c r="AB46" s="948">
        <v>0</v>
      </c>
      <c r="AC46" s="948">
        <v>0</v>
      </c>
    </row>
    <row r="47" spans="1:29">
      <c r="A47" s="677" t="s">
        <v>662</v>
      </c>
      <c r="B47">
        <v>3420692439.6300001</v>
      </c>
      <c r="C47">
        <v>4218720514.0999999</v>
      </c>
      <c r="D47">
        <v>5098291098.8199997</v>
      </c>
      <c r="E47">
        <v>5337826971.6800003</v>
      </c>
      <c r="F47">
        <v>4668444149.1199999</v>
      </c>
      <c r="G47">
        <v>5268712774.46</v>
      </c>
      <c r="H47">
        <v>5610043169.54</v>
      </c>
      <c r="I47">
        <v>5283775563.6599998</v>
      </c>
      <c r="J47">
        <v>0</v>
      </c>
      <c r="K47">
        <v>0</v>
      </c>
      <c r="L47">
        <v>0</v>
      </c>
      <c r="M47">
        <v>0</v>
      </c>
      <c r="P47" s="832" t="s">
        <v>1642</v>
      </c>
      <c r="Q47" s="1090">
        <f t="shared" si="1"/>
        <v>1000000</v>
      </c>
      <c r="R47" s="948">
        <v>0</v>
      </c>
      <c r="S47" s="948">
        <v>0</v>
      </c>
      <c r="T47" s="948">
        <v>0</v>
      </c>
      <c r="U47" s="948">
        <v>0</v>
      </c>
      <c r="V47" s="948">
        <v>0</v>
      </c>
      <c r="W47" s="948">
        <v>0</v>
      </c>
      <c r="X47" s="948">
        <v>0</v>
      </c>
      <c r="Y47" s="948">
        <v>0</v>
      </c>
      <c r="Z47" s="948">
        <v>0</v>
      </c>
      <c r="AA47" s="948">
        <v>0</v>
      </c>
      <c r="AB47" s="948">
        <v>0</v>
      </c>
      <c r="AC47" s="948">
        <v>73740000</v>
      </c>
    </row>
    <row r="48" spans="1:29">
      <c r="A48" s="677" t="s">
        <v>1402</v>
      </c>
      <c r="B48">
        <v>279694506.38999999</v>
      </c>
      <c r="C48">
        <v>0</v>
      </c>
      <c r="D48">
        <v>460674845.25999999</v>
      </c>
      <c r="E48">
        <v>0</v>
      </c>
      <c r="F48">
        <v>0</v>
      </c>
      <c r="G48">
        <v>0</v>
      </c>
      <c r="H48">
        <v>376237800.81</v>
      </c>
      <c r="I48">
        <v>0</v>
      </c>
      <c r="J48">
        <v>0</v>
      </c>
      <c r="K48">
        <v>0</v>
      </c>
      <c r="L48">
        <v>0</v>
      </c>
      <c r="M48">
        <v>0</v>
      </c>
      <c r="P48" s="832" t="s">
        <v>1867</v>
      </c>
      <c r="Q48" s="1090">
        <f t="shared" si="1"/>
        <v>1000000</v>
      </c>
    </row>
    <row r="49" spans="1:29">
      <c r="A49" s="1168" t="s">
        <v>2786</v>
      </c>
      <c r="B49">
        <v>229290432.28999999</v>
      </c>
      <c r="C49">
        <v>437727683.94</v>
      </c>
      <c r="D49">
        <v>158010205.08000001</v>
      </c>
      <c r="E49">
        <v>333572862.45999998</v>
      </c>
      <c r="F49">
        <v>319276471.69</v>
      </c>
      <c r="G49">
        <v>304090047.45999998</v>
      </c>
      <c r="H49">
        <v>295123474.26999998</v>
      </c>
      <c r="I49">
        <v>247663268.55000001</v>
      </c>
      <c r="J49">
        <v>0</v>
      </c>
      <c r="K49">
        <v>0</v>
      </c>
      <c r="L49">
        <v>0</v>
      </c>
      <c r="M49">
        <v>0</v>
      </c>
      <c r="P49" s="832" t="s">
        <v>2842</v>
      </c>
      <c r="Q49" s="1090">
        <f t="shared" si="1"/>
        <v>1000000</v>
      </c>
      <c r="R49" s="948">
        <v>0</v>
      </c>
      <c r="S49" s="948">
        <v>0</v>
      </c>
      <c r="T49" s="948">
        <v>500000000</v>
      </c>
      <c r="U49" s="948">
        <v>500000000</v>
      </c>
      <c r="V49" s="948">
        <v>500000000</v>
      </c>
      <c r="W49" s="948">
        <v>500000000</v>
      </c>
      <c r="X49" s="948">
        <v>0</v>
      </c>
      <c r="Y49" s="948">
        <v>0</v>
      </c>
      <c r="Z49" s="948">
        <v>0</v>
      </c>
      <c r="AA49" s="948">
        <v>500000000</v>
      </c>
      <c r="AB49" s="948">
        <v>500000000</v>
      </c>
      <c r="AC49" s="948">
        <v>500000000</v>
      </c>
    </row>
    <row r="50" spans="1:29" ht="21.6">
      <c r="A50" s="1132" t="s">
        <v>2724</v>
      </c>
      <c r="B50">
        <v>279694506.38999999</v>
      </c>
      <c r="C50">
        <v>429798969.35000002</v>
      </c>
      <c r="D50">
        <v>460674845.25999999</v>
      </c>
      <c r="E50">
        <v>332564132.82999998</v>
      </c>
      <c r="F50">
        <v>286873630.82999998</v>
      </c>
      <c r="G50">
        <v>370169351.47000003</v>
      </c>
      <c r="H50">
        <v>376237800.81</v>
      </c>
      <c r="I50">
        <v>459349099.88</v>
      </c>
      <c r="J50">
        <v>0</v>
      </c>
      <c r="K50">
        <v>0</v>
      </c>
      <c r="L50">
        <v>0</v>
      </c>
      <c r="M50">
        <v>0</v>
      </c>
      <c r="P50" s="832" t="s">
        <v>2736</v>
      </c>
      <c r="Q50" s="1090">
        <f t="shared" si="1"/>
        <v>1000000</v>
      </c>
      <c r="R50" s="948">
        <v>0</v>
      </c>
      <c r="S50" s="948">
        <v>0</v>
      </c>
      <c r="T50" s="948">
        <v>0</v>
      </c>
      <c r="U50" s="948">
        <v>0</v>
      </c>
      <c r="V50" s="948">
        <v>0</v>
      </c>
      <c r="W50" s="948">
        <v>0</v>
      </c>
      <c r="X50" s="948">
        <v>0</v>
      </c>
      <c r="Y50" s="948">
        <v>0</v>
      </c>
      <c r="Z50" s="948">
        <v>0</v>
      </c>
      <c r="AA50" s="948">
        <v>0</v>
      </c>
      <c r="AB50" s="948">
        <v>0</v>
      </c>
      <c r="AC50" s="948">
        <v>0</v>
      </c>
    </row>
    <row r="51" spans="1:29">
      <c r="A51" s="677" t="s">
        <v>663</v>
      </c>
      <c r="B51">
        <v>156057786.77000001</v>
      </c>
      <c r="C51">
        <v>210061637.41999999</v>
      </c>
      <c r="D51">
        <v>141811758.28999999</v>
      </c>
      <c r="E51">
        <v>111224528.34</v>
      </c>
      <c r="F51">
        <v>138462682.00999999</v>
      </c>
      <c r="G51">
        <v>246081234.99000001</v>
      </c>
      <c r="H51">
        <v>180840247.25</v>
      </c>
      <c r="I51">
        <v>143092013.15000001</v>
      </c>
      <c r="J51">
        <v>0</v>
      </c>
      <c r="K51">
        <v>0</v>
      </c>
      <c r="L51">
        <v>0</v>
      </c>
      <c r="M51">
        <v>0</v>
      </c>
      <c r="P51" s="832" t="s">
        <v>1643</v>
      </c>
      <c r="Q51" s="1090">
        <f t="shared" si="1"/>
        <v>1000000</v>
      </c>
    </row>
    <row r="52" spans="1:29">
      <c r="A52" s="677" t="s">
        <v>664</v>
      </c>
      <c r="B52">
        <v>403832159.31999999</v>
      </c>
      <c r="C52">
        <v>721906960.96000004</v>
      </c>
      <c r="D52">
        <v>662064189.85000002</v>
      </c>
      <c r="E52">
        <v>621703075.51999998</v>
      </c>
      <c r="F52">
        <v>554364998.35000002</v>
      </c>
      <c r="G52">
        <v>630403583.73000002</v>
      </c>
      <c r="H52">
        <v>557719121.47000003</v>
      </c>
      <c r="I52">
        <v>525693747.38</v>
      </c>
      <c r="J52">
        <v>0</v>
      </c>
      <c r="K52">
        <v>0</v>
      </c>
      <c r="L52">
        <v>0</v>
      </c>
      <c r="M52">
        <v>0</v>
      </c>
      <c r="P52" s="832" t="s">
        <v>1868</v>
      </c>
      <c r="Q52" s="1090">
        <f t="shared" si="1"/>
        <v>1000000</v>
      </c>
      <c r="R52" s="948">
        <v>0</v>
      </c>
      <c r="S52" s="948">
        <v>0</v>
      </c>
      <c r="T52" s="948">
        <v>0</v>
      </c>
      <c r="U52" s="948">
        <v>0</v>
      </c>
      <c r="V52" s="948">
        <v>0</v>
      </c>
      <c r="W52" s="948">
        <v>0</v>
      </c>
      <c r="X52" s="948">
        <v>0</v>
      </c>
      <c r="Y52" s="948">
        <v>0</v>
      </c>
      <c r="Z52" s="948">
        <v>0</v>
      </c>
      <c r="AA52" s="948">
        <v>0</v>
      </c>
      <c r="AB52" s="948">
        <v>0</v>
      </c>
      <c r="AC52" s="948">
        <v>0</v>
      </c>
    </row>
    <row r="53" spans="1:29">
      <c r="A53" s="1132" t="s">
        <v>2779</v>
      </c>
      <c r="B53">
        <v>393268699.75</v>
      </c>
      <c r="C53">
        <v>337773509.06</v>
      </c>
      <c r="D53">
        <v>359256802.43000001</v>
      </c>
      <c r="E53">
        <v>376510736.06999999</v>
      </c>
      <c r="F53">
        <v>409592652.57999998</v>
      </c>
      <c r="G53">
        <v>409576550.19</v>
      </c>
      <c r="H53">
        <v>373701019.24000001</v>
      </c>
      <c r="I53">
        <v>368326539.39999998</v>
      </c>
      <c r="J53">
        <v>0</v>
      </c>
      <c r="K53">
        <v>0</v>
      </c>
      <c r="L53">
        <v>0</v>
      </c>
      <c r="M53">
        <v>0</v>
      </c>
      <c r="P53" s="832" t="s">
        <v>2780</v>
      </c>
      <c r="Q53" s="1090">
        <v>1000000</v>
      </c>
      <c r="R53" s="948">
        <v>0</v>
      </c>
      <c r="S53" s="948">
        <v>0</v>
      </c>
      <c r="T53" s="948">
        <v>0</v>
      </c>
      <c r="U53" s="948">
        <v>0</v>
      </c>
      <c r="V53" s="948">
        <v>0</v>
      </c>
      <c r="W53" s="948">
        <v>0</v>
      </c>
      <c r="X53" s="948">
        <v>0</v>
      </c>
      <c r="Y53" s="948">
        <v>0</v>
      </c>
      <c r="Z53" s="948">
        <v>0</v>
      </c>
      <c r="AA53" s="948">
        <v>0</v>
      </c>
      <c r="AB53" s="948">
        <v>0</v>
      </c>
      <c r="AC53" s="948">
        <v>0</v>
      </c>
    </row>
    <row r="54" spans="1:29">
      <c r="A54" s="1168" t="s">
        <v>2787</v>
      </c>
      <c r="B54">
        <v>0</v>
      </c>
      <c r="C54">
        <v>0</v>
      </c>
      <c r="D54">
        <v>0</v>
      </c>
      <c r="E54">
        <v>0</v>
      </c>
      <c r="F54">
        <v>0</v>
      </c>
      <c r="G54">
        <v>0</v>
      </c>
      <c r="H54">
        <v>0</v>
      </c>
      <c r="I54">
        <v>0</v>
      </c>
      <c r="J54">
        <v>0</v>
      </c>
      <c r="K54">
        <v>0</v>
      </c>
      <c r="L54">
        <v>0</v>
      </c>
      <c r="M54">
        <v>0</v>
      </c>
      <c r="P54" s="832" t="s">
        <v>2805</v>
      </c>
      <c r="Q54" s="1090">
        <v>1000000</v>
      </c>
      <c r="R54" s="948">
        <v>0</v>
      </c>
      <c r="S54" s="948">
        <v>0</v>
      </c>
      <c r="T54" s="948">
        <v>0</v>
      </c>
      <c r="U54" s="948">
        <v>0</v>
      </c>
      <c r="V54" s="948">
        <v>0</v>
      </c>
      <c r="W54" s="948">
        <v>0</v>
      </c>
      <c r="X54" s="948">
        <v>0</v>
      </c>
      <c r="Y54" s="948">
        <v>0</v>
      </c>
      <c r="Z54" s="948">
        <v>0</v>
      </c>
      <c r="AA54" s="948">
        <v>0</v>
      </c>
      <c r="AB54" s="948">
        <v>0</v>
      </c>
      <c r="AC54" s="948">
        <v>0</v>
      </c>
    </row>
    <row r="55" spans="1:29" ht="21.6">
      <c r="A55" s="677" t="s">
        <v>1377</v>
      </c>
      <c r="B55">
        <v>0</v>
      </c>
      <c r="C55">
        <v>0</v>
      </c>
      <c r="D55">
        <v>0</v>
      </c>
      <c r="E55">
        <v>0</v>
      </c>
      <c r="F55">
        <v>0</v>
      </c>
      <c r="G55">
        <v>0</v>
      </c>
      <c r="H55">
        <v>0</v>
      </c>
      <c r="I55">
        <v>0</v>
      </c>
      <c r="J55">
        <v>0</v>
      </c>
      <c r="K55">
        <v>0</v>
      </c>
      <c r="L55">
        <v>0</v>
      </c>
      <c r="M55">
        <v>0</v>
      </c>
      <c r="P55" s="832" t="s">
        <v>1869</v>
      </c>
      <c r="Q55" s="1090">
        <f t="shared" si="1"/>
        <v>1000000</v>
      </c>
      <c r="R55" s="948">
        <v>0</v>
      </c>
      <c r="S55" s="948">
        <v>0</v>
      </c>
      <c r="T55" s="948">
        <v>0</v>
      </c>
      <c r="U55" s="948">
        <v>0</v>
      </c>
      <c r="V55" s="948">
        <v>0</v>
      </c>
      <c r="W55" s="948">
        <v>0</v>
      </c>
      <c r="X55" s="948">
        <v>0</v>
      </c>
      <c r="Y55" s="948">
        <v>0</v>
      </c>
      <c r="Z55" s="948">
        <v>0</v>
      </c>
      <c r="AA55" s="948">
        <v>0</v>
      </c>
      <c r="AB55" s="948">
        <v>0</v>
      </c>
      <c r="AC55" s="948">
        <v>0</v>
      </c>
    </row>
    <row r="56" spans="1:29">
      <c r="A56" s="677" t="s">
        <v>665</v>
      </c>
      <c r="B56">
        <v>478400615.68000001</v>
      </c>
      <c r="C56">
        <v>466242289.32999998</v>
      </c>
      <c r="D56">
        <v>445435325.41000003</v>
      </c>
      <c r="E56">
        <v>472091373.13999999</v>
      </c>
      <c r="F56">
        <v>499327682.32999998</v>
      </c>
      <c r="G56">
        <v>471411480.55000001</v>
      </c>
      <c r="H56">
        <v>472282431.81</v>
      </c>
      <c r="I56">
        <v>790881204.26999998</v>
      </c>
      <c r="J56">
        <v>0</v>
      </c>
      <c r="K56">
        <v>0</v>
      </c>
      <c r="L56">
        <v>0</v>
      </c>
      <c r="M56">
        <v>0</v>
      </c>
      <c r="P56" s="832" t="s">
        <v>1649</v>
      </c>
      <c r="Q56" s="1090">
        <f t="shared" si="1"/>
        <v>1000000</v>
      </c>
      <c r="R56" s="948">
        <v>0</v>
      </c>
      <c r="S56" s="948">
        <v>0</v>
      </c>
      <c r="T56" s="948">
        <v>0</v>
      </c>
      <c r="U56" s="948">
        <v>0</v>
      </c>
      <c r="V56" s="948">
        <v>0</v>
      </c>
      <c r="W56" s="948">
        <v>0</v>
      </c>
      <c r="X56" s="948">
        <v>0</v>
      </c>
      <c r="Y56" s="948">
        <v>0</v>
      </c>
      <c r="Z56" s="948">
        <v>0</v>
      </c>
      <c r="AA56" s="948">
        <v>0</v>
      </c>
      <c r="AB56" s="948">
        <v>0</v>
      </c>
      <c r="AC56" s="948">
        <v>0</v>
      </c>
    </row>
    <row r="57" spans="1:29">
      <c r="A57" s="685" t="s">
        <v>666</v>
      </c>
      <c r="B57">
        <v>8233047269.1300001</v>
      </c>
      <c r="C57">
        <v>9043770908.4400005</v>
      </c>
      <c r="D57">
        <v>9838741393.0200005</v>
      </c>
      <c r="E57">
        <v>9912854347.1599998</v>
      </c>
      <c r="F57">
        <v>9493181129.5400009</v>
      </c>
      <c r="G57">
        <v>9816734587.1399994</v>
      </c>
      <c r="H57">
        <v>9915223737.1399994</v>
      </c>
      <c r="I57">
        <v>10889611758.92</v>
      </c>
      <c r="J57">
        <v>0</v>
      </c>
      <c r="K57">
        <v>0</v>
      </c>
      <c r="L57">
        <v>0</v>
      </c>
      <c r="M57">
        <v>0</v>
      </c>
      <c r="P57" s="832" t="s">
        <v>1658</v>
      </c>
      <c r="Q57" s="1090">
        <f t="shared" si="1"/>
        <v>1000000</v>
      </c>
      <c r="R57" s="948">
        <v>0</v>
      </c>
      <c r="S57" s="948">
        <v>0</v>
      </c>
      <c r="T57" s="948">
        <v>0</v>
      </c>
      <c r="U57" s="948">
        <v>0</v>
      </c>
      <c r="V57" s="948">
        <v>0</v>
      </c>
      <c r="W57" s="948">
        <v>0</v>
      </c>
      <c r="X57" s="948">
        <v>0</v>
      </c>
      <c r="Y57" s="948">
        <v>0</v>
      </c>
      <c r="Z57" s="948">
        <v>0</v>
      </c>
      <c r="AA57" s="948">
        <v>0</v>
      </c>
      <c r="AB57" s="948">
        <v>0</v>
      </c>
      <c r="AC57" s="948">
        <v>0</v>
      </c>
    </row>
    <row r="58" spans="1:29">
      <c r="A58" s="570" t="s">
        <v>667</v>
      </c>
      <c r="B58">
        <v>0</v>
      </c>
      <c r="C58">
        <v>0</v>
      </c>
      <c r="D58">
        <v>0</v>
      </c>
      <c r="E58">
        <v>0</v>
      </c>
      <c r="F58">
        <v>0</v>
      </c>
      <c r="G58">
        <v>0</v>
      </c>
      <c r="H58">
        <v>0</v>
      </c>
      <c r="I58">
        <v>0</v>
      </c>
      <c r="J58">
        <v>0</v>
      </c>
      <c r="K58">
        <v>0</v>
      </c>
      <c r="L58">
        <v>0</v>
      </c>
      <c r="M58">
        <v>0</v>
      </c>
      <c r="P58" s="832"/>
      <c r="Q58" s="1090">
        <f t="shared" si="1"/>
        <v>1000000</v>
      </c>
      <c r="R58" s="948">
        <v>0</v>
      </c>
      <c r="S58" s="948">
        <v>0</v>
      </c>
      <c r="T58" s="948">
        <v>0</v>
      </c>
      <c r="U58" s="948">
        <v>0</v>
      </c>
      <c r="V58" s="948">
        <v>0</v>
      </c>
      <c r="W58" s="948">
        <v>0</v>
      </c>
      <c r="X58" s="948">
        <v>0</v>
      </c>
      <c r="Y58" s="948">
        <v>0</v>
      </c>
      <c r="Z58" s="948">
        <v>0</v>
      </c>
      <c r="AA58" s="948">
        <v>0</v>
      </c>
      <c r="AB58" s="948">
        <v>0</v>
      </c>
      <c r="AC58" s="948">
        <v>0</v>
      </c>
    </row>
    <row r="59" spans="1:29">
      <c r="A59" s="1168" t="s">
        <v>2788</v>
      </c>
      <c r="B59">
        <v>147137583.34</v>
      </c>
      <c r="C59">
        <v>149607583.34</v>
      </c>
      <c r="D59">
        <v>140449194.44999999</v>
      </c>
      <c r="E59">
        <v>138899500</v>
      </c>
      <c r="F59">
        <v>139523500</v>
      </c>
      <c r="G59">
        <v>139915056.91</v>
      </c>
      <c r="H59">
        <v>142223335.44</v>
      </c>
      <c r="I59">
        <v>110558154.43000001</v>
      </c>
      <c r="J59">
        <v>0</v>
      </c>
      <c r="K59">
        <v>0</v>
      </c>
      <c r="L59">
        <v>0</v>
      </c>
      <c r="M59">
        <v>0</v>
      </c>
      <c r="P59" s="832" t="s">
        <v>2835</v>
      </c>
      <c r="Q59" s="1090">
        <f t="shared" si="1"/>
        <v>1000000</v>
      </c>
      <c r="R59" s="948">
        <v>0</v>
      </c>
      <c r="S59" s="948">
        <v>0</v>
      </c>
      <c r="T59" s="948">
        <v>0</v>
      </c>
      <c r="U59" s="948">
        <v>0</v>
      </c>
      <c r="V59" s="948">
        <v>0</v>
      </c>
      <c r="W59" s="948">
        <v>0</v>
      </c>
      <c r="X59" s="948">
        <v>0</v>
      </c>
      <c r="Y59" s="948">
        <v>0</v>
      </c>
      <c r="Z59" s="948">
        <v>0</v>
      </c>
      <c r="AA59" s="948">
        <v>0</v>
      </c>
      <c r="AB59" s="948">
        <v>0</v>
      </c>
      <c r="AC59" s="948">
        <v>0</v>
      </c>
    </row>
    <row r="60" spans="1:29">
      <c r="A60" s="1168" t="s">
        <v>2789</v>
      </c>
      <c r="B60">
        <v>0</v>
      </c>
      <c r="C60">
        <v>0</v>
      </c>
      <c r="D60">
        <v>0</v>
      </c>
      <c r="E60">
        <v>0</v>
      </c>
      <c r="F60">
        <v>0</v>
      </c>
      <c r="G60">
        <v>0</v>
      </c>
      <c r="H60">
        <v>0</v>
      </c>
      <c r="I60">
        <v>0</v>
      </c>
      <c r="J60">
        <v>0</v>
      </c>
      <c r="K60">
        <v>0</v>
      </c>
      <c r="L60">
        <v>0</v>
      </c>
      <c r="M60">
        <v>0</v>
      </c>
      <c r="P60" s="832" t="s">
        <v>2807</v>
      </c>
      <c r="Q60" s="1090">
        <f t="shared" si="1"/>
        <v>1000000</v>
      </c>
      <c r="R60" s="948">
        <v>0</v>
      </c>
      <c r="S60" s="948">
        <v>0</v>
      </c>
      <c r="T60" s="948">
        <v>0</v>
      </c>
      <c r="U60" s="948">
        <v>0</v>
      </c>
      <c r="V60" s="948">
        <v>0</v>
      </c>
      <c r="W60" s="948">
        <v>0</v>
      </c>
      <c r="X60" s="948">
        <v>0</v>
      </c>
      <c r="Y60" s="948">
        <v>0</v>
      </c>
      <c r="Z60" s="948">
        <v>0</v>
      </c>
      <c r="AA60" s="948">
        <v>0</v>
      </c>
      <c r="AB60" s="948">
        <v>0</v>
      </c>
      <c r="AC60" s="948">
        <v>0</v>
      </c>
    </row>
    <row r="61" spans="1:29">
      <c r="A61" s="677" t="s">
        <v>668</v>
      </c>
      <c r="B61">
        <v>0</v>
      </c>
      <c r="C61">
        <v>0</v>
      </c>
      <c r="D61">
        <v>0</v>
      </c>
      <c r="E61">
        <v>0</v>
      </c>
      <c r="F61">
        <v>0</v>
      </c>
      <c r="G61">
        <v>0</v>
      </c>
      <c r="H61">
        <v>0</v>
      </c>
      <c r="I61">
        <v>0</v>
      </c>
      <c r="J61">
        <v>0</v>
      </c>
      <c r="K61">
        <v>0</v>
      </c>
      <c r="L61">
        <v>0</v>
      </c>
      <c r="M61">
        <v>0</v>
      </c>
      <c r="P61" s="832" t="s">
        <v>1660</v>
      </c>
      <c r="Q61" s="1090">
        <f t="shared" si="1"/>
        <v>1000000</v>
      </c>
      <c r="R61" s="948">
        <v>0</v>
      </c>
      <c r="S61" s="948">
        <v>0</v>
      </c>
      <c r="T61" s="948">
        <v>0</v>
      </c>
      <c r="U61" s="948">
        <v>0</v>
      </c>
      <c r="V61" s="948">
        <v>0</v>
      </c>
      <c r="W61" s="948">
        <v>0</v>
      </c>
      <c r="X61" s="948">
        <v>0</v>
      </c>
      <c r="Y61" s="948">
        <v>0</v>
      </c>
      <c r="Z61" s="948">
        <v>0</v>
      </c>
      <c r="AA61" s="948">
        <v>0</v>
      </c>
      <c r="AB61" s="948">
        <v>0</v>
      </c>
      <c r="AC61" s="948">
        <v>0</v>
      </c>
    </row>
    <row r="62" spans="1:29">
      <c r="A62" s="1168" t="s">
        <v>2791</v>
      </c>
      <c r="B62">
        <v>19609246.120000001</v>
      </c>
      <c r="C62">
        <v>15818328.75</v>
      </c>
      <c r="D62">
        <v>15859950.609999999</v>
      </c>
      <c r="E62">
        <v>0</v>
      </c>
      <c r="F62">
        <v>0</v>
      </c>
      <c r="G62">
        <v>0</v>
      </c>
      <c r="H62">
        <v>0</v>
      </c>
      <c r="I62">
        <v>0</v>
      </c>
      <c r="J62">
        <v>0</v>
      </c>
      <c r="K62">
        <v>0</v>
      </c>
      <c r="L62">
        <v>0</v>
      </c>
      <c r="M62">
        <v>0</v>
      </c>
      <c r="P62" s="832" t="s">
        <v>2844</v>
      </c>
      <c r="Q62" s="1090">
        <f t="shared" si="1"/>
        <v>1000000</v>
      </c>
      <c r="R62" s="948">
        <v>0</v>
      </c>
      <c r="S62" s="948">
        <v>0</v>
      </c>
      <c r="T62" s="948">
        <v>0</v>
      </c>
      <c r="U62" s="948">
        <v>0</v>
      </c>
      <c r="V62" s="948">
        <v>0</v>
      </c>
      <c r="W62" s="948">
        <v>0</v>
      </c>
      <c r="X62" s="948">
        <v>0</v>
      </c>
      <c r="Y62" s="948">
        <v>0</v>
      </c>
      <c r="Z62" s="948">
        <v>0</v>
      </c>
      <c r="AA62" s="948">
        <v>0</v>
      </c>
      <c r="AB62" s="948">
        <v>0</v>
      </c>
      <c r="AC62" s="948">
        <v>0</v>
      </c>
    </row>
    <row r="63" spans="1:29">
      <c r="A63" s="677" t="s">
        <v>669</v>
      </c>
      <c r="B63">
        <v>0</v>
      </c>
      <c r="C63">
        <v>0</v>
      </c>
      <c r="D63">
        <v>0</v>
      </c>
      <c r="E63">
        <v>0</v>
      </c>
      <c r="F63">
        <v>0</v>
      </c>
      <c r="G63">
        <v>0</v>
      </c>
      <c r="H63">
        <v>0</v>
      </c>
      <c r="I63">
        <v>0</v>
      </c>
      <c r="J63">
        <v>0</v>
      </c>
      <c r="K63">
        <v>0</v>
      </c>
      <c r="L63">
        <v>0</v>
      </c>
      <c r="M63">
        <v>0</v>
      </c>
      <c r="P63" s="832" t="s">
        <v>1661</v>
      </c>
      <c r="Q63" s="1090">
        <f t="shared" si="1"/>
        <v>1000000</v>
      </c>
      <c r="R63" s="948">
        <v>0</v>
      </c>
      <c r="S63" s="948">
        <v>0</v>
      </c>
      <c r="T63" s="948">
        <v>0</v>
      </c>
      <c r="U63" s="948">
        <v>0</v>
      </c>
      <c r="V63" s="948">
        <v>0</v>
      </c>
      <c r="W63" s="948">
        <v>0</v>
      </c>
      <c r="X63" s="948">
        <v>0</v>
      </c>
      <c r="Y63" s="948">
        <v>0</v>
      </c>
      <c r="Z63" s="948">
        <v>0</v>
      </c>
      <c r="AA63" s="948">
        <v>0</v>
      </c>
      <c r="AB63" s="948">
        <v>0</v>
      </c>
      <c r="AC63" s="948">
        <v>0</v>
      </c>
    </row>
    <row r="64" spans="1:29">
      <c r="A64" s="1168" t="s">
        <v>2792</v>
      </c>
      <c r="B64">
        <v>0</v>
      </c>
      <c r="C64">
        <v>0</v>
      </c>
      <c r="D64">
        <v>0</v>
      </c>
      <c r="E64">
        <v>0</v>
      </c>
      <c r="F64">
        <v>0</v>
      </c>
      <c r="G64">
        <v>0</v>
      </c>
      <c r="H64">
        <v>0</v>
      </c>
      <c r="I64">
        <v>0</v>
      </c>
      <c r="J64">
        <v>0</v>
      </c>
      <c r="K64">
        <v>0</v>
      </c>
      <c r="L64">
        <v>0</v>
      </c>
      <c r="M64">
        <v>0</v>
      </c>
      <c r="P64" s="832" t="s">
        <v>2845</v>
      </c>
      <c r="Q64" s="1090">
        <f t="shared" si="1"/>
        <v>1000000</v>
      </c>
      <c r="R64" s="948">
        <v>0</v>
      </c>
      <c r="S64" s="948">
        <v>0</v>
      </c>
      <c r="T64" s="948">
        <v>0</v>
      </c>
      <c r="U64" s="948">
        <v>0</v>
      </c>
      <c r="V64" s="948">
        <v>0</v>
      </c>
      <c r="W64" s="948">
        <v>0</v>
      </c>
      <c r="X64" s="948">
        <v>0</v>
      </c>
      <c r="Y64" s="948">
        <v>0</v>
      </c>
      <c r="Z64" s="948">
        <v>0</v>
      </c>
      <c r="AA64" s="948">
        <v>0</v>
      </c>
      <c r="AB64" s="948">
        <v>0</v>
      </c>
      <c r="AC64" s="948">
        <v>0</v>
      </c>
    </row>
    <row r="65" spans="1:29">
      <c r="A65" s="677" t="s">
        <v>670</v>
      </c>
      <c r="B65">
        <v>0</v>
      </c>
      <c r="C65">
        <v>0</v>
      </c>
      <c r="D65">
        <v>0</v>
      </c>
      <c r="E65">
        <v>0</v>
      </c>
      <c r="F65">
        <v>101521104.51000001</v>
      </c>
      <c r="G65">
        <v>100301053.23</v>
      </c>
      <c r="H65">
        <v>99081002.129999995</v>
      </c>
      <c r="I65">
        <v>97860950.879999995</v>
      </c>
      <c r="J65">
        <v>0</v>
      </c>
      <c r="K65">
        <v>0</v>
      </c>
      <c r="L65">
        <v>0</v>
      </c>
      <c r="M65">
        <v>0</v>
      </c>
      <c r="P65" s="832" t="s">
        <v>1664</v>
      </c>
      <c r="Q65" s="1090">
        <f t="shared" si="1"/>
        <v>1000000</v>
      </c>
      <c r="R65" s="948">
        <v>0</v>
      </c>
      <c r="S65" s="948">
        <v>0</v>
      </c>
      <c r="T65" s="948">
        <v>0</v>
      </c>
      <c r="U65" s="948">
        <v>0</v>
      </c>
      <c r="V65" s="948">
        <v>0</v>
      </c>
      <c r="W65" s="948">
        <v>0</v>
      </c>
      <c r="X65" s="948">
        <v>0</v>
      </c>
      <c r="Y65" s="948">
        <v>0</v>
      </c>
      <c r="Z65" s="948">
        <v>0</v>
      </c>
      <c r="AA65" s="948">
        <v>0</v>
      </c>
      <c r="AB65" s="948">
        <v>0</v>
      </c>
      <c r="AC65" s="948">
        <v>0</v>
      </c>
    </row>
    <row r="66" spans="1:29">
      <c r="A66" s="677" t="s">
        <v>179</v>
      </c>
      <c r="B66">
        <v>24483474.050000001</v>
      </c>
      <c r="C66">
        <v>33037368.620000001</v>
      </c>
      <c r="D66">
        <v>32427114.07</v>
      </c>
      <c r="E66">
        <v>31663530.170000002</v>
      </c>
      <c r="F66">
        <v>32961611.18</v>
      </c>
      <c r="G66">
        <v>32876697.199999999</v>
      </c>
      <c r="H66">
        <v>32305315.559999999</v>
      </c>
      <c r="I66">
        <v>31227834.27</v>
      </c>
      <c r="J66">
        <v>0</v>
      </c>
      <c r="K66">
        <v>0</v>
      </c>
      <c r="L66">
        <v>0</v>
      </c>
      <c r="M66">
        <v>0</v>
      </c>
      <c r="P66" s="832" t="s">
        <v>1663</v>
      </c>
      <c r="Q66" s="1090">
        <f t="shared" si="1"/>
        <v>1000000</v>
      </c>
      <c r="R66" s="948">
        <v>0</v>
      </c>
      <c r="S66" s="948">
        <v>0</v>
      </c>
      <c r="T66" s="948">
        <v>0</v>
      </c>
      <c r="U66" s="948">
        <v>0</v>
      </c>
      <c r="V66" s="948">
        <v>0</v>
      </c>
      <c r="W66" s="948">
        <v>0</v>
      </c>
      <c r="X66" s="948">
        <v>0</v>
      </c>
      <c r="Y66" s="948">
        <v>0</v>
      </c>
      <c r="Z66" s="948">
        <v>0</v>
      </c>
      <c r="AA66" s="948">
        <v>0</v>
      </c>
      <c r="AB66" s="948">
        <v>0</v>
      </c>
      <c r="AC66" s="948">
        <v>0</v>
      </c>
    </row>
    <row r="67" spans="1:29">
      <c r="A67" s="677" t="s">
        <v>1401</v>
      </c>
      <c r="B67">
        <v>1681361385.99</v>
      </c>
      <c r="C67">
        <v>1775343090.1700001</v>
      </c>
      <c r="D67">
        <v>1756601535.03</v>
      </c>
      <c r="E67">
        <v>1916111829.5</v>
      </c>
      <c r="F67">
        <v>1953416930.96</v>
      </c>
      <c r="G67">
        <v>1944357241.76</v>
      </c>
      <c r="H67">
        <v>2519210470.6300001</v>
      </c>
      <c r="I67">
        <v>2346020755.5999999</v>
      </c>
      <c r="J67">
        <v>0</v>
      </c>
      <c r="K67">
        <v>0</v>
      </c>
      <c r="L67">
        <v>0</v>
      </c>
      <c r="M67">
        <v>0</v>
      </c>
      <c r="P67" s="832" t="s">
        <v>1665</v>
      </c>
      <c r="Q67" s="1090">
        <f t="shared" si="1"/>
        <v>1000000</v>
      </c>
      <c r="R67" s="948">
        <v>0</v>
      </c>
      <c r="S67" s="948">
        <v>0</v>
      </c>
      <c r="T67" s="948">
        <v>0</v>
      </c>
      <c r="U67" s="948">
        <v>0</v>
      </c>
      <c r="V67" s="948">
        <v>0</v>
      </c>
      <c r="W67" s="948">
        <v>0</v>
      </c>
      <c r="X67" s="948">
        <v>0</v>
      </c>
      <c r="Y67" s="948">
        <v>0</v>
      </c>
      <c r="Z67" s="948">
        <v>0</v>
      </c>
      <c r="AA67" s="948">
        <v>0</v>
      </c>
      <c r="AB67" s="948">
        <v>0</v>
      </c>
      <c r="AC67" s="948">
        <v>0</v>
      </c>
    </row>
    <row r="68" spans="1:29">
      <c r="A68" s="677" t="s">
        <v>671</v>
      </c>
      <c r="B68">
        <v>0</v>
      </c>
      <c r="C68">
        <v>0</v>
      </c>
      <c r="D68">
        <v>0</v>
      </c>
      <c r="E68">
        <v>0</v>
      </c>
      <c r="F68">
        <v>0</v>
      </c>
      <c r="G68">
        <v>0</v>
      </c>
      <c r="H68">
        <v>0</v>
      </c>
      <c r="I68">
        <v>0</v>
      </c>
      <c r="J68">
        <v>0</v>
      </c>
      <c r="K68">
        <v>0</v>
      </c>
      <c r="L68">
        <v>0</v>
      </c>
      <c r="M68">
        <v>0</v>
      </c>
      <c r="P68" s="832" t="s">
        <v>1667</v>
      </c>
      <c r="Q68" s="1090">
        <f t="shared" si="1"/>
        <v>1000000</v>
      </c>
      <c r="R68" s="948">
        <v>0</v>
      </c>
      <c r="S68" s="948">
        <v>0</v>
      </c>
      <c r="T68" s="948">
        <v>0</v>
      </c>
      <c r="U68" s="948">
        <v>0</v>
      </c>
      <c r="V68" s="948">
        <v>0</v>
      </c>
      <c r="W68" s="948">
        <v>0</v>
      </c>
      <c r="X68" s="948">
        <v>0</v>
      </c>
      <c r="Y68" s="948">
        <v>0</v>
      </c>
      <c r="Z68" s="948">
        <v>0</v>
      </c>
      <c r="AA68" s="948">
        <v>0</v>
      </c>
      <c r="AB68" s="948">
        <v>0</v>
      </c>
      <c r="AC68" s="948">
        <v>0</v>
      </c>
    </row>
    <row r="69" spans="1:29">
      <c r="A69" s="677" t="s">
        <v>672</v>
      </c>
      <c r="B69">
        <v>266388642.94999999</v>
      </c>
      <c r="C69">
        <v>317581198.62</v>
      </c>
      <c r="D69">
        <v>359597487.72000003</v>
      </c>
      <c r="E69">
        <v>292766266.94999999</v>
      </c>
      <c r="F69">
        <v>159045008.88</v>
      </c>
      <c r="G69">
        <v>166241348.00999999</v>
      </c>
      <c r="H69">
        <v>165244034.22</v>
      </c>
      <c r="I69">
        <v>142946330.49000001</v>
      </c>
      <c r="J69">
        <v>0</v>
      </c>
      <c r="K69">
        <v>0</v>
      </c>
      <c r="L69">
        <v>0</v>
      </c>
      <c r="M69">
        <v>0</v>
      </c>
      <c r="P69" s="832" t="s">
        <v>1666</v>
      </c>
      <c r="Q69" s="1090">
        <f t="shared" si="1"/>
        <v>1000000</v>
      </c>
      <c r="R69" s="948">
        <v>0</v>
      </c>
      <c r="S69" s="948">
        <v>0</v>
      </c>
      <c r="T69" s="948">
        <v>0</v>
      </c>
      <c r="U69" s="948">
        <v>0</v>
      </c>
      <c r="V69" s="948">
        <v>0</v>
      </c>
      <c r="W69" s="948">
        <v>0</v>
      </c>
      <c r="X69" s="948">
        <v>0</v>
      </c>
      <c r="Y69" s="948">
        <v>0</v>
      </c>
      <c r="Z69" s="948">
        <v>0</v>
      </c>
      <c r="AA69" s="948">
        <v>0</v>
      </c>
      <c r="AB69" s="948">
        <v>0</v>
      </c>
      <c r="AC69" s="948">
        <v>0</v>
      </c>
    </row>
    <row r="70" spans="1:29">
      <c r="A70" s="1168" t="s">
        <v>2793</v>
      </c>
      <c r="B70">
        <v>19665207.809999999</v>
      </c>
      <c r="C70">
        <v>48390641.490000002</v>
      </c>
      <c r="D70">
        <v>48924025.090000004</v>
      </c>
      <c r="E70">
        <v>47984053.950000003</v>
      </c>
      <c r="F70">
        <v>42679903.590000004</v>
      </c>
      <c r="G70">
        <v>49957350.670000002</v>
      </c>
      <c r="H70">
        <v>59182727.82</v>
      </c>
      <c r="I70">
        <v>35727238.57</v>
      </c>
      <c r="J70">
        <v>0</v>
      </c>
      <c r="K70">
        <v>0</v>
      </c>
      <c r="L70">
        <v>0</v>
      </c>
      <c r="M70">
        <v>0</v>
      </c>
      <c r="P70" s="832" t="s">
        <v>2808</v>
      </c>
      <c r="Q70" s="1090">
        <f t="shared" si="1"/>
        <v>1000000</v>
      </c>
      <c r="R70" s="948">
        <v>0</v>
      </c>
      <c r="S70" s="948">
        <v>0</v>
      </c>
      <c r="T70" s="948">
        <v>0</v>
      </c>
      <c r="U70" s="948">
        <v>0</v>
      </c>
      <c r="V70" s="948">
        <v>0</v>
      </c>
      <c r="W70" s="948">
        <v>0</v>
      </c>
      <c r="X70" s="948">
        <v>0</v>
      </c>
      <c r="Y70" s="948">
        <v>0</v>
      </c>
      <c r="Z70" s="948">
        <v>0</v>
      </c>
      <c r="AA70" s="948">
        <v>0</v>
      </c>
      <c r="AB70" s="948">
        <v>0</v>
      </c>
      <c r="AC70" s="948">
        <v>0</v>
      </c>
    </row>
    <row r="71" spans="1:29">
      <c r="A71" s="677" t="s">
        <v>673</v>
      </c>
      <c r="B71">
        <v>0</v>
      </c>
      <c r="C71">
        <v>0</v>
      </c>
      <c r="D71">
        <v>0</v>
      </c>
      <c r="E71">
        <v>0</v>
      </c>
      <c r="F71">
        <v>0</v>
      </c>
      <c r="G71">
        <v>0</v>
      </c>
      <c r="H71">
        <v>0</v>
      </c>
      <c r="I71">
        <v>0</v>
      </c>
      <c r="J71">
        <v>0</v>
      </c>
      <c r="K71">
        <v>0</v>
      </c>
      <c r="L71">
        <v>0</v>
      </c>
      <c r="M71">
        <v>0</v>
      </c>
      <c r="P71" s="832" t="s">
        <v>1668</v>
      </c>
      <c r="Q71" s="1090">
        <f t="shared" si="1"/>
        <v>1000000</v>
      </c>
      <c r="R71" s="948">
        <v>0</v>
      </c>
      <c r="S71" s="948">
        <v>0</v>
      </c>
      <c r="T71" s="948">
        <v>0</v>
      </c>
      <c r="U71" s="948">
        <v>0</v>
      </c>
      <c r="V71" s="948">
        <v>0</v>
      </c>
      <c r="W71" s="948">
        <v>0</v>
      </c>
      <c r="X71" s="948">
        <v>0</v>
      </c>
      <c r="Y71" s="948">
        <v>0</v>
      </c>
      <c r="Z71" s="948">
        <v>0</v>
      </c>
      <c r="AA71" s="948">
        <v>0</v>
      </c>
      <c r="AB71" s="948">
        <v>0</v>
      </c>
      <c r="AC71" s="948">
        <v>0</v>
      </c>
    </row>
    <row r="72" spans="1:29">
      <c r="A72" s="677" t="s">
        <v>674</v>
      </c>
      <c r="B72">
        <v>0</v>
      </c>
      <c r="C72">
        <v>0</v>
      </c>
      <c r="D72">
        <v>0</v>
      </c>
      <c r="E72">
        <v>0</v>
      </c>
      <c r="F72">
        <v>0</v>
      </c>
      <c r="G72">
        <v>0</v>
      </c>
      <c r="H72">
        <v>0</v>
      </c>
      <c r="I72">
        <v>0</v>
      </c>
      <c r="J72">
        <v>0</v>
      </c>
      <c r="K72">
        <v>0</v>
      </c>
      <c r="L72">
        <v>0</v>
      </c>
      <c r="M72">
        <v>0</v>
      </c>
      <c r="P72" s="832" t="s">
        <v>1669</v>
      </c>
      <c r="Q72" s="1090">
        <f t="shared" si="1"/>
        <v>1000000</v>
      </c>
      <c r="R72" s="948">
        <v>0</v>
      </c>
      <c r="S72" s="948">
        <v>0</v>
      </c>
      <c r="T72" s="948">
        <v>0</v>
      </c>
      <c r="U72" s="948">
        <v>0</v>
      </c>
      <c r="V72" s="948">
        <v>0</v>
      </c>
      <c r="W72" s="948">
        <v>0</v>
      </c>
      <c r="X72" s="948">
        <v>0</v>
      </c>
      <c r="Y72" s="948">
        <v>0</v>
      </c>
      <c r="Z72" s="948">
        <v>0</v>
      </c>
      <c r="AA72" s="948">
        <v>0</v>
      </c>
      <c r="AB72" s="948">
        <v>0</v>
      </c>
      <c r="AC72" s="948">
        <v>0</v>
      </c>
    </row>
    <row r="73" spans="1:29">
      <c r="A73" s="677" t="s">
        <v>675</v>
      </c>
      <c r="B73">
        <v>0</v>
      </c>
      <c r="C73">
        <v>0</v>
      </c>
      <c r="D73">
        <v>0</v>
      </c>
      <c r="E73">
        <v>0</v>
      </c>
      <c r="F73">
        <v>0</v>
      </c>
      <c r="G73">
        <v>0</v>
      </c>
      <c r="H73">
        <v>0</v>
      </c>
      <c r="I73">
        <v>0</v>
      </c>
      <c r="J73">
        <v>0</v>
      </c>
      <c r="K73">
        <v>0</v>
      </c>
      <c r="L73">
        <v>0</v>
      </c>
      <c r="M73">
        <v>0</v>
      </c>
      <c r="P73" s="832" t="s">
        <v>1670</v>
      </c>
      <c r="Q73" s="1090">
        <f t="shared" si="1"/>
        <v>1000000</v>
      </c>
      <c r="R73" s="948">
        <v>0</v>
      </c>
      <c r="S73" s="948">
        <v>0</v>
      </c>
      <c r="T73" s="948">
        <v>0</v>
      </c>
      <c r="U73" s="948">
        <v>0</v>
      </c>
      <c r="V73" s="948">
        <v>0</v>
      </c>
      <c r="W73" s="948">
        <v>0</v>
      </c>
      <c r="X73" s="948">
        <v>0</v>
      </c>
      <c r="Y73" s="948">
        <v>0</v>
      </c>
      <c r="Z73" s="948">
        <v>0</v>
      </c>
      <c r="AA73" s="948">
        <v>0</v>
      </c>
      <c r="AB73" s="948">
        <v>0</v>
      </c>
      <c r="AC73" s="948">
        <v>0</v>
      </c>
    </row>
    <row r="74" spans="1:29">
      <c r="A74" s="677" t="s">
        <v>676</v>
      </c>
      <c r="B74">
        <v>144343933.81999999</v>
      </c>
      <c r="C74">
        <v>274064707.44999999</v>
      </c>
      <c r="D74">
        <v>272462127.63</v>
      </c>
      <c r="E74">
        <v>276254383.69999999</v>
      </c>
      <c r="F74">
        <v>288301967.11000001</v>
      </c>
      <c r="G74">
        <v>291379359.77999997</v>
      </c>
      <c r="H74">
        <v>306011364.06999999</v>
      </c>
      <c r="I74">
        <v>183616769.78</v>
      </c>
      <c r="J74">
        <v>0</v>
      </c>
      <c r="K74">
        <v>0</v>
      </c>
      <c r="L74">
        <v>0</v>
      </c>
      <c r="M74">
        <v>0</v>
      </c>
      <c r="P74" s="832" t="s">
        <v>1671</v>
      </c>
      <c r="Q74" s="1090">
        <f t="shared" si="1"/>
        <v>1000000</v>
      </c>
      <c r="R74" s="948">
        <v>0</v>
      </c>
      <c r="S74" s="948">
        <v>0</v>
      </c>
      <c r="T74" s="948">
        <v>0</v>
      </c>
      <c r="U74" s="948">
        <v>0</v>
      </c>
      <c r="V74" s="948">
        <v>0</v>
      </c>
      <c r="W74" s="948">
        <v>0</v>
      </c>
      <c r="X74" s="948">
        <v>0</v>
      </c>
      <c r="Y74" s="948">
        <v>0</v>
      </c>
      <c r="Z74" s="948">
        <v>0</v>
      </c>
      <c r="AA74" s="948">
        <v>0</v>
      </c>
      <c r="AB74" s="948">
        <v>0</v>
      </c>
      <c r="AC74" s="948">
        <v>0</v>
      </c>
    </row>
    <row r="75" spans="1:29">
      <c r="A75" s="677" t="s">
        <v>677</v>
      </c>
      <c r="B75">
        <v>0</v>
      </c>
      <c r="C75">
        <v>0</v>
      </c>
      <c r="D75">
        <v>0</v>
      </c>
      <c r="E75">
        <v>0</v>
      </c>
      <c r="F75">
        <v>0</v>
      </c>
      <c r="G75">
        <v>0</v>
      </c>
      <c r="H75">
        <v>0</v>
      </c>
      <c r="I75">
        <v>0</v>
      </c>
      <c r="J75">
        <v>0</v>
      </c>
      <c r="K75">
        <v>0</v>
      </c>
      <c r="L75">
        <v>0</v>
      </c>
      <c r="M75">
        <v>0</v>
      </c>
      <c r="P75" s="832" t="s">
        <v>1672</v>
      </c>
      <c r="Q75" s="1090">
        <f>$Q$2</f>
        <v>1000000</v>
      </c>
      <c r="R75" s="948">
        <v>2116945052.29</v>
      </c>
      <c r="S75" s="948">
        <v>2279406971.0500002</v>
      </c>
      <c r="T75" s="948">
        <v>2496149443.0300002</v>
      </c>
      <c r="U75" s="948">
        <v>2265956728.46</v>
      </c>
      <c r="V75" s="948">
        <v>1847036394.98</v>
      </c>
      <c r="W75" s="948">
        <v>1932266370.0999999</v>
      </c>
      <c r="X75" s="948">
        <v>1816368290.47</v>
      </c>
      <c r="Y75" s="948">
        <v>1705494564.6900001</v>
      </c>
      <c r="Z75" s="948">
        <v>2129539632.1400001</v>
      </c>
      <c r="AA75" s="948">
        <v>2474776106.2399998</v>
      </c>
      <c r="AB75" s="948">
        <v>2361110464.6399999</v>
      </c>
      <c r="AC75" s="948">
        <v>2094265264.25</v>
      </c>
    </row>
    <row r="76" spans="1:29">
      <c r="A76" s="677" t="s">
        <v>678</v>
      </c>
      <c r="B76">
        <v>0</v>
      </c>
      <c r="C76">
        <v>118089061.26000001</v>
      </c>
      <c r="D76">
        <v>118089061.26000001</v>
      </c>
      <c r="E76">
        <v>118089061.26000001</v>
      </c>
      <c r="F76">
        <v>101095828.81</v>
      </c>
      <c r="G76">
        <v>100956607.70999999</v>
      </c>
      <c r="H76">
        <v>116197050.19</v>
      </c>
      <c r="I76">
        <v>15414613.640000001</v>
      </c>
      <c r="J76">
        <v>0</v>
      </c>
      <c r="K76">
        <v>0</v>
      </c>
      <c r="L76">
        <v>0</v>
      </c>
      <c r="M76">
        <v>0</v>
      </c>
      <c r="N76" s="953"/>
      <c r="P76" s="832" t="s">
        <v>1673</v>
      </c>
      <c r="Q76" s="1090">
        <f t="shared" si="1"/>
        <v>1000000</v>
      </c>
      <c r="R76" s="948">
        <v>0</v>
      </c>
      <c r="S76" s="948">
        <v>0</v>
      </c>
      <c r="T76" s="948">
        <v>0</v>
      </c>
      <c r="U76" s="948">
        <v>0</v>
      </c>
      <c r="V76" s="948">
        <v>0</v>
      </c>
      <c r="W76" s="948">
        <v>0</v>
      </c>
      <c r="X76" s="948">
        <v>0</v>
      </c>
      <c r="Y76" s="948">
        <v>0</v>
      </c>
      <c r="Z76" s="948">
        <v>0</v>
      </c>
      <c r="AA76" s="948">
        <v>0</v>
      </c>
      <c r="AB76" s="948">
        <v>0</v>
      </c>
      <c r="AC76" s="948">
        <v>0</v>
      </c>
    </row>
    <row r="77" spans="1:29">
      <c r="A77" s="677" t="s">
        <v>679</v>
      </c>
      <c r="B77">
        <v>1741219.61</v>
      </c>
      <c r="C77">
        <v>2881060.21</v>
      </c>
      <c r="D77">
        <v>3088536.41</v>
      </c>
      <c r="E77">
        <v>2906147.82</v>
      </c>
      <c r="F77">
        <v>2457441.1800000002</v>
      </c>
      <c r="G77">
        <v>2124854.86</v>
      </c>
      <c r="H77">
        <v>1896516.58</v>
      </c>
      <c r="I77">
        <v>776100.08</v>
      </c>
      <c r="J77">
        <v>0</v>
      </c>
      <c r="K77">
        <v>0</v>
      </c>
      <c r="L77">
        <v>0</v>
      </c>
      <c r="M77">
        <v>0</v>
      </c>
      <c r="P77" s="832" t="s">
        <v>1674</v>
      </c>
      <c r="Q77" s="1090">
        <f t="shared" si="1"/>
        <v>1000000</v>
      </c>
      <c r="R77" s="948">
        <v>170000000</v>
      </c>
      <c r="S77" s="948">
        <v>170000000</v>
      </c>
      <c r="T77" s="948">
        <v>170000000</v>
      </c>
      <c r="U77" s="948">
        <v>170000000</v>
      </c>
      <c r="V77" s="948">
        <v>100000000</v>
      </c>
      <c r="W77" s="948">
        <v>150000000</v>
      </c>
      <c r="X77" s="948">
        <v>200140000</v>
      </c>
      <c r="Y77" s="948">
        <v>250140000</v>
      </c>
      <c r="Z77" s="948">
        <v>224170000</v>
      </c>
      <c r="AA77" s="948">
        <v>224170000</v>
      </c>
      <c r="AB77" s="948">
        <v>224170000</v>
      </c>
      <c r="AC77" s="948">
        <v>110000000</v>
      </c>
    </row>
    <row r="78" spans="1:29">
      <c r="A78" s="677" t="s">
        <v>680</v>
      </c>
      <c r="B78">
        <v>0</v>
      </c>
      <c r="C78">
        <v>0</v>
      </c>
      <c r="D78">
        <v>0</v>
      </c>
      <c r="E78">
        <v>0</v>
      </c>
      <c r="F78">
        <v>0</v>
      </c>
      <c r="G78">
        <v>0</v>
      </c>
      <c r="H78">
        <v>0</v>
      </c>
      <c r="I78">
        <v>0</v>
      </c>
      <c r="J78">
        <v>0</v>
      </c>
      <c r="K78">
        <v>0</v>
      </c>
      <c r="L78">
        <v>0</v>
      </c>
      <c r="M78">
        <v>0</v>
      </c>
      <c r="P78" s="832" t="s">
        <v>1662</v>
      </c>
      <c r="Q78" s="1090">
        <f t="shared" si="1"/>
        <v>1000000</v>
      </c>
      <c r="R78" s="948">
        <v>0</v>
      </c>
      <c r="S78" s="948">
        <v>0</v>
      </c>
      <c r="T78" s="948">
        <v>0</v>
      </c>
      <c r="U78" s="948">
        <v>0</v>
      </c>
      <c r="V78" s="948">
        <v>0</v>
      </c>
      <c r="W78" s="948">
        <v>0</v>
      </c>
      <c r="X78" s="948">
        <v>0</v>
      </c>
      <c r="Y78" s="948">
        <v>0</v>
      </c>
      <c r="Z78" s="948">
        <v>0</v>
      </c>
      <c r="AA78" s="948">
        <v>0</v>
      </c>
      <c r="AB78" s="948">
        <v>0</v>
      </c>
      <c r="AC78" s="948">
        <v>0</v>
      </c>
    </row>
    <row r="79" spans="1:29">
      <c r="A79" s="677" t="s">
        <v>681</v>
      </c>
      <c r="B79">
        <v>175105621.87</v>
      </c>
      <c r="C79">
        <v>190948720.71000001</v>
      </c>
      <c r="D79">
        <v>191117571.69</v>
      </c>
      <c r="E79">
        <v>192666127.66999999</v>
      </c>
      <c r="F79">
        <v>218838199.28999999</v>
      </c>
      <c r="G79">
        <v>231195950.49000001</v>
      </c>
      <c r="H79">
        <v>251476621.55000001</v>
      </c>
      <c r="I79">
        <v>253555458.49000001</v>
      </c>
      <c r="J79">
        <v>0</v>
      </c>
      <c r="K79">
        <v>0</v>
      </c>
      <c r="L79">
        <v>0</v>
      </c>
      <c r="M79">
        <v>0</v>
      </c>
      <c r="P79" s="832" t="s">
        <v>1675</v>
      </c>
      <c r="Q79" s="1090">
        <f t="shared" si="1"/>
        <v>1000000</v>
      </c>
    </row>
    <row r="80" spans="1:29">
      <c r="A80" s="677" t="s">
        <v>180</v>
      </c>
      <c r="B80">
        <v>76606523.689999998</v>
      </c>
      <c r="C80">
        <v>176118121.80000001</v>
      </c>
      <c r="D80">
        <v>168687369.09</v>
      </c>
      <c r="E80">
        <v>169795891.52000001</v>
      </c>
      <c r="F80">
        <v>106373765.04000001</v>
      </c>
      <c r="G80">
        <v>117232923.26000001</v>
      </c>
      <c r="H80">
        <v>192136609.75</v>
      </c>
      <c r="I80">
        <v>691444235.88</v>
      </c>
      <c r="J80">
        <v>0</v>
      </c>
      <c r="K80">
        <v>0</v>
      </c>
      <c r="L80">
        <v>0</v>
      </c>
      <c r="M80">
        <v>0</v>
      </c>
      <c r="P80" s="832" t="s">
        <v>1676</v>
      </c>
      <c r="Q80" s="1090">
        <f t="shared" si="1"/>
        <v>1000000</v>
      </c>
      <c r="R80" s="948">
        <v>0</v>
      </c>
      <c r="S80" s="948">
        <v>0</v>
      </c>
      <c r="T80" s="948">
        <v>0</v>
      </c>
      <c r="U80" s="948">
        <v>0</v>
      </c>
      <c r="V80" s="948">
        <v>0</v>
      </c>
      <c r="W80" s="948">
        <v>0</v>
      </c>
      <c r="X80" s="948">
        <v>0</v>
      </c>
      <c r="Y80" s="948">
        <v>0</v>
      </c>
      <c r="Z80" s="948">
        <v>0</v>
      </c>
      <c r="AA80" s="948">
        <v>0</v>
      </c>
      <c r="AB80" s="948">
        <v>0</v>
      </c>
      <c r="AC80" s="948">
        <v>0</v>
      </c>
    </row>
    <row r="81" spans="1:29">
      <c r="A81" s="685" t="s">
        <v>682</v>
      </c>
      <c r="B81">
        <v>2556442839.25</v>
      </c>
      <c r="C81">
        <v>3101879882.4200001</v>
      </c>
      <c r="D81">
        <v>3107303973.0500002</v>
      </c>
      <c r="E81">
        <v>3187136792.54</v>
      </c>
      <c r="F81">
        <v>3146215260.5500002</v>
      </c>
      <c r="G81">
        <v>3176538443.8800001</v>
      </c>
      <c r="H81">
        <v>3884965047.9400001</v>
      </c>
      <c r="I81">
        <v>3909148442.1100001</v>
      </c>
      <c r="J81">
        <v>0</v>
      </c>
      <c r="K81">
        <v>0</v>
      </c>
      <c r="L81">
        <v>0</v>
      </c>
      <c r="M81">
        <v>0</v>
      </c>
      <c r="P81" s="832" t="s">
        <v>1659</v>
      </c>
      <c r="Q81" s="1090">
        <f t="shared" si="1"/>
        <v>1000000</v>
      </c>
      <c r="R81" s="948">
        <v>0</v>
      </c>
      <c r="S81" s="948">
        <v>0</v>
      </c>
      <c r="T81" s="948">
        <v>0</v>
      </c>
      <c r="U81" s="948">
        <v>0</v>
      </c>
      <c r="V81" s="948">
        <v>0</v>
      </c>
      <c r="W81" s="948">
        <v>0</v>
      </c>
      <c r="X81" s="948">
        <v>0</v>
      </c>
      <c r="Y81" s="948">
        <v>0</v>
      </c>
      <c r="Z81" s="948">
        <v>0</v>
      </c>
      <c r="AA81" s="948">
        <v>0</v>
      </c>
      <c r="AB81" s="948">
        <v>0</v>
      </c>
      <c r="AC81" s="948">
        <v>0</v>
      </c>
    </row>
    <row r="82" spans="1:29">
      <c r="A82" s="579" t="s">
        <v>683</v>
      </c>
      <c r="B82">
        <v>0</v>
      </c>
      <c r="C82">
        <v>0</v>
      </c>
      <c r="D82">
        <v>0</v>
      </c>
      <c r="E82">
        <v>0</v>
      </c>
      <c r="F82">
        <v>0</v>
      </c>
      <c r="G82">
        <v>0</v>
      </c>
      <c r="H82">
        <v>0</v>
      </c>
      <c r="I82">
        <v>0</v>
      </c>
      <c r="J82">
        <v>0</v>
      </c>
      <c r="K82">
        <v>0</v>
      </c>
      <c r="L82">
        <v>0</v>
      </c>
      <c r="M82">
        <v>0</v>
      </c>
      <c r="P82" s="832"/>
      <c r="Q82" s="1090">
        <f t="shared" si="1"/>
        <v>1000000</v>
      </c>
    </row>
    <row r="83" spans="1:29">
      <c r="A83" s="685" t="s">
        <v>684</v>
      </c>
      <c r="B83">
        <v>10789490108.379999</v>
      </c>
      <c r="C83">
        <v>12145650790.860001</v>
      </c>
      <c r="D83">
        <v>12946045366.07</v>
      </c>
      <c r="E83">
        <v>13099991139.700001</v>
      </c>
      <c r="F83">
        <v>12639396390.09</v>
      </c>
      <c r="G83">
        <v>12993273031.02</v>
      </c>
      <c r="H83">
        <v>13800188785.08</v>
      </c>
      <c r="I83">
        <v>14798760201.030001</v>
      </c>
      <c r="J83">
        <v>0</v>
      </c>
      <c r="K83">
        <v>0</v>
      </c>
      <c r="L83">
        <v>0</v>
      </c>
      <c r="M83">
        <v>0</v>
      </c>
      <c r="P83" s="832" t="s">
        <v>1678</v>
      </c>
      <c r="Q83" s="1090">
        <f t="shared" si="1"/>
        <v>1000000</v>
      </c>
    </row>
    <row r="84" spans="1:29">
      <c r="A84" s="579" t="s">
        <v>685</v>
      </c>
      <c r="B84">
        <v>0</v>
      </c>
      <c r="C84">
        <v>0</v>
      </c>
      <c r="D84">
        <v>0</v>
      </c>
      <c r="E84">
        <v>0</v>
      </c>
      <c r="F84">
        <v>0</v>
      </c>
      <c r="G84">
        <v>0</v>
      </c>
      <c r="H84">
        <v>0</v>
      </c>
      <c r="I84">
        <v>0</v>
      </c>
      <c r="J84">
        <v>0</v>
      </c>
      <c r="K84">
        <v>0</v>
      </c>
      <c r="L84">
        <v>0</v>
      </c>
      <c r="M84">
        <v>0</v>
      </c>
      <c r="P84" s="832"/>
      <c r="Q84" s="1090">
        <f t="shared" si="1"/>
        <v>1000000</v>
      </c>
    </row>
    <row r="85" spans="1:29">
      <c r="A85" s="677" t="s">
        <v>686</v>
      </c>
      <c r="B85">
        <v>595518455.5</v>
      </c>
      <c r="C85">
        <v>1134852835.5</v>
      </c>
      <c r="D85">
        <v>953730629.85000002</v>
      </c>
      <c r="E85">
        <v>1044443084.74</v>
      </c>
      <c r="F85">
        <v>1161975326.8099999</v>
      </c>
      <c r="G85">
        <v>1188673133.47</v>
      </c>
      <c r="H85">
        <v>1912629888.4000001</v>
      </c>
      <c r="I85">
        <v>1550667946.9300001</v>
      </c>
      <c r="J85">
        <v>0</v>
      </c>
      <c r="K85">
        <v>0</v>
      </c>
      <c r="L85">
        <v>0</v>
      </c>
      <c r="M85">
        <v>0</v>
      </c>
      <c r="P85" s="832" t="s">
        <v>1679</v>
      </c>
      <c r="Q85" s="1090">
        <f t="shared" si="1"/>
        <v>1000000</v>
      </c>
    </row>
    <row r="86" spans="1:29">
      <c r="A86" s="677" t="s">
        <v>687</v>
      </c>
      <c r="B86">
        <v>0</v>
      </c>
      <c r="C86">
        <v>0</v>
      </c>
      <c r="D86">
        <v>0</v>
      </c>
      <c r="E86">
        <v>0</v>
      </c>
      <c r="F86">
        <v>0</v>
      </c>
      <c r="G86">
        <v>0</v>
      </c>
      <c r="H86">
        <v>0</v>
      </c>
      <c r="I86">
        <v>0</v>
      </c>
      <c r="J86">
        <v>0</v>
      </c>
      <c r="K86">
        <v>0</v>
      </c>
      <c r="L86">
        <v>0</v>
      </c>
      <c r="M86">
        <v>0</v>
      </c>
      <c r="P86" s="832" t="s">
        <v>2471</v>
      </c>
      <c r="Q86" s="1090">
        <f t="shared" si="1"/>
        <v>1000000</v>
      </c>
    </row>
    <row r="87" spans="1:29">
      <c r="A87" s="1168" t="s">
        <v>2794</v>
      </c>
      <c r="B87">
        <v>0</v>
      </c>
      <c r="C87">
        <v>0</v>
      </c>
      <c r="D87">
        <v>0</v>
      </c>
      <c r="E87">
        <v>0</v>
      </c>
      <c r="F87">
        <v>0</v>
      </c>
      <c r="G87">
        <v>0</v>
      </c>
      <c r="H87">
        <v>0</v>
      </c>
      <c r="I87">
        <v>0</v>
      </c>
      <c r="J87">
        <v>0</v>
      </c>
      <c r="K87">
        <v>0</v>
      </c>
      <c r="L87">
        <v>0</v>
      </c>
      <c r="M87">
        <v>0</v>
      </c>
      <c r="P87" s="832" t="s">
        <v>2846</v>
      </c>
      <c r="Q87" s="1090">
        <f t="shared" si="1"/>
        <v>1000000</v>
      </c>
    </row>
    <row r="88" spans="1:29">
      <c r="A88" s="1132" t="s">
        <v>2725</v>
      </c>
      <c r="B88">
        <v>3424698569.1500001</v>
      </c>
      <c r="C88">
        <v>3458041409.7600002</v>
      </c>
      <c r="D88">
        <v>4265553402.46</v>
      </c>
      <c r="E88">
        <v>4372371485.2700005</v>
      </c>
      <c r="F88">
        <v>3614623745.5300002</v>
      </c>
      <c r="G88">
        <v>3721613506.6599998</v>
      </c>
      <c r="H88">
        <v>3823060344.6700001</v>
      </c>
      <c r="I88">
        <v>3559189573.79</v>
      </c>
      <c r="J88">
        <v>0</v>
      </c>
      <c r="K88">
        <v>0</v>
      </c>
      <c r="L88">
        <v>0</v>
      </c>
      <c r="M88">
        <v>0</v>
      </c>
      <c r="P88" s="832" t="s">
        <v>2737</v>
      </c>
      <c r="Q88" s="1090">
        <f t="shared" si="1"/>
        <v>1000000</v>
      </c>
    </row>
    <row r="89" spans="1:29">
      <c r="A89" s="677" t="s">
        <v>688</v>
      </c>
      <c r="B89">
        <v>1982963747.45</v>
      </c>
      <c r="C89">
        <v>2080640135.48</v>
      </c>
      <c r="D89">
        <v>2265090693.3099999</v>
      </c>
      <c r="E89">
        <v>2519593871.6199999</v>
      </c>
      <c r="F89">
        <v>1824188196.5</v>
      </c>
      <c r="G89">
        <v>1741929820.3900001</v>
      </c>
      <c r="H89">
        <v>1692118048.74</v>
      </c>
      <c r="I89">
        <v>1689751570.3199999</v>
      </c>
      <c r="J89">
        <v>0</v>
      </c>
      <c r="K89">
        <v>0</v>
      </c>
      <c r="L89">
        <v>0</v>
      </c>
      <c r="M89">
        <v>0</v>
      </c>
      <c r="P89" s="832" t="s">
        <v>1681</v>
      </c>
      <c r="Q89" s="1090">
        <f t="shared" si="1"/>
        <v>1000000</v>
      </c>
    </row>
    <row r="90" spans="1:29">
      <c r="A90" s="677" t="s">
        <v>689</v>
      </c>
      <c r="B90">
        <v>1441734821.7</v>
      </c>
      <c r="C90">
        <v>1377401274.28</v>
      </c>
      <c r="D90">
        <v>2000462709.1500001</v>
      </c>
      <c r="E90">
        <v>1852777613.6500001</v>
      </c>
      <c r="F90">
        <v>1790435549.03</v>
      </c>
      <c r="G90">
        <v>1979683686.27</v>
      </c>
      <c r="H90">
        <v>2130942295.9300001</v>
      </c>
      <c r="I90">
        <v>1869438003.47</v>
      </c>
      <c r="J90">
        <v>0</v>
      </c>
      <c r="K90">
        <v>0</v>
      </c>
      <c r="L90">
        <v>0</v>
      </c>
      <c r="M90">
        <v>0</v>
      </c>
      <c r="P90" s="832" t="s">
        <v>1682</v>
      </c>
      <c r="Q90" s="1090">
        <f t="shared" si="1"/>
        <v>1000000</v>
      </c>
    </row>
    <row r="91" spans="1:29">
      <c r="A91" s="677" t="s">
        <v>690</v>
      </c>
      <c r="B91">
        <v>0</v>
      </c>
      <c r="C91">
        <v>47996149</v>
      </c>
      <c r="D91">
        <v>47996149</v>
      </c>
      <c r="E91">
        <v>0</v>
      </c>
      <c r="F91">
        <v>0</v>
      </c>
      <c r="G91">
        <v>0</v>
      </c>
      <c r="H91">
        <v>0</v>
      </c>
      <c r="I91">
        <v>0</v>
      </c>
      <c r="J91">
        <v>0</v>
      </c>
      <c r="K91">
        <v>0</v>
      </c>
      <c r="L91">
        <v>0</v>
      </c>
      <c r="M91">
        <v>0</v>
      </c>
      <c r="P91" s="832" t="s">
        <v>1683</v>
      </c>
      <c r="Q91" s="1090">
        <f t="shared" si="1"/>
        <v>1000000</v>
      </c>
    </row>
    <row r="92" spans="1:29">
      <c r="A92" s="1168" t="s">
        <v>2795</v>
      </c>
      <c r="B92">
        <v>342356971.77999997</v>
      </c>
      <c r="C92">
        <v>398607324.82999998</v>
      </c>
      <c r="D92">
        <v>318228471.35000002</v>
      </c>
      <c r="E92">
        <v>250080031.69</v>
      </c>
      <c r="F92">
        <v>389809792.94</v>
      </c>
      <c r="G92">
        <v>399408443.68000001</v>
      </c>
      <c r="H92">
        <v>328926591.22000003</v>
      </c>
      <c r="I92">
        <v>307664998.64999998</v>
      </c>
      <c r="J92">
        <v>0</v>
      </c>
      <c r="K92">
        <v>0</v>
      </c>
      <c r="L92">
        <v>0</v>
      </c>
      <c r="M92">
        <v>0</v>
      </c>
      <c r="P92" s="832" t="s">
        <v>2847</v>
      </c>
      <c r="Q92" s="1090">
        <f t="shared" si="1"/>
        <v>1000000</v>
      </c>
    </row>
    <row r="93" spans="1:29">
      <c r="A93" s="677" t="s">
        <v>691</v>
      </c>
      <c r="B93">
        <v>131009578.48</v>
      </c>
      <c r="C93">
        <v>87099797.390000001</v>
      </c>
      <c r="D93">
        <v>95302293.290000007</v>
      </c>
      <c r="E93">
        <v>99782576.799999997</v>
      </c>
      <c r="F93">
        <v>103802605.58</v>
      </c>
      <c r="G93">
        <v>84965676.189999998</v>
      </c>
      <c r="H93">
        <v>103593570.67</v>
      </c>
      <c r="I93">
        <v>120017108.52</v>
      </c>
      <c r="J93">
        <v>0</v>
      </c>
      <c r="K93">
        <v>0</v>
      </c>
      <c r="L93">
        <v>0</v>
      </c>
      <c r="M93">
        <v>0</v>
      </c>
      <c r="P93" s="832" t="s">
        <v>1684</v>
      </c>
      <c r="Q93" s="1090">
        <f>$Q$2</f>
        <v>1000000</v>
      </c>
    </row>
    <row r="94" spans="1:29">
      <c r="A94" s="677" t="s">
        <v>692</v>
      </c>
      <c r="B94">
        <v>0</v>
      </c>
      <c r="C94">
        <v>0</v>
      </c>
      <c r="D94">
        <v>0</v>
      </c>
      <c r="E94">
        <v>0</v>
      </c>
      <c r="F94">
        <v>0</v>
      </c>
      <c r="G94">
        <v>0</v>
      </c>
      <c r="H94">
        <v>0</v>
      </c>
      <c r="I94">
        <v>0</v>
      </c>
      <c r="J94">
        <v>0</v>
      </c>
      <c r="K94">
        <v>0</v>
      </c>
      <c r="L94">
        <v>0</v>
      </c>
      <c r="M94">
        <v>0</v>
      </c>
      <c r="P94" s="832" t="s">
        <v>1687</v>
      </c>
      <c r="Q94" s="1090">
        <f t="shared" si="1"/>
        <v>1000000</v>
      </c>
    </row>
    <row r="95" spans="1:29">
      <c r="A95" s="677" t="s">
        <v>693</v>
      </c>
      <c r="B95">
        <v>74914306.090000004</v>
      </c>
      <c r="C95">
        <v>99600320.719999999</v>
      </c>
      <c r="D95">
        <v>94713358.090000004</v>
      </c>
      <c r="E95">
        <v>72513922.620000005</v>
      </c>
      <c r="F95">
        <v>48828550.43</v>
      </c>
      <c r="G95">
        <v>73690239.689999998</v>
      </c>
      <c r="H95">
        <v>69325299.859999999</v>
      </c>
      <c r="I95">
        <v>32308172.010000002</v>
      </c>
      <c r="J95">
        <v>0</v>
      </c>
      <c r="K95">
        <v>0</v>
      </c>
      <c r="L95">
        <v>0</v>
      </c>
      <c r="M95">
        <v>0</v>
      </c>
      <c r="P95" s="832" t="s">
        <v>1685</v>
      </c>
      <c r="Q95" s="1090">
        <f t="shared" si="1"/>
        <v>1000000</v>
      </c>
    </row>
    <row r="96" spans="1:29">
      <c r="A96" s="677" t="s">
        <v>694</v>
      </c>
      <c r="B96">
        <v>0</v>
      </c>
      <c r="C96">
        <v>0</v>
      </c>
      <c r="D96">
        <v>0</v>
      </c>
      <c r="E96">
        <v>0</v>
      </c>
      <c r="F96">
        <v>0</v>
      </c>
      <c r="G96">
        <v>0</v>
      </c>
      <c r="H96">
        <v>0</v>
      </c>
      <c r="I96">
        <v>1099000</v>
      </c>
      <c r="J96">
        <v>0</v>
      </c>
      <c r="K96">
        <v>0</v>
      </c>
      <c r="L96">
        <v>0</v>
      </c>
      <c r="M96">
        <v>0</v>
      </c>
      <c r="P96" s="832" t="s">
        <v>1686</v>
      </c>
      <c r="Q96" s="1090">
        <f t="shared" si="1"/>
        <v>1000000</v>
      </c>
    </row>
    <row r="97" spans="1:17">
      <c r="A97" s="677" t="s">
        <v>695</v>
      </c>
      <c r="B97">
        <v>174845119.71000001</v>
      </c>
      <c r="C97">
        <v>0</v>
      </c>
      <c r="D97">
        <v>214366719.86000001</v>
      </c>
      <c r="E97">
        <v>0</v>
      </c>
      <c r="F97">
        <v>0</v>
      </c>
      <c r="G97">
        <v>0</v>
      </c>
      <c r="H97">
        <v>258088581.72999999</v>
      </c>
      <c r="I97">
        <v>0</v>
      </c>
      <c r="J97">
        <v>0</v>
      </c>
      <c r="K97">
        <v>0</v>
      </c>
      <c r="L97">
        <v>0</v>
      </c>
      <c r="M97">
        <v>0</v>
      </c>
      <c r="P97" s="832" t="s">
        <v>1688</v>
      </c>
      <c r="Q97" s="1090">
        <f t="shared" si="1"/>
        <v>1000000</v>
      </c>
    </row>
    <row r="98" spans="1:17">
      <c r="A98" s="1168" t="s">
        <v>2796</v>
      </c>
      <c r="B98">
        <v>0</v>
      </c>
      <c r="C98">
        <v>0</v>
      </c>
      <c r="D98">
        <v>0</v>
      </c>
      <c r="E98">
        <v>0</v>
      </c>
      <c r="F98">
        <v>0</v>
      </c>
      <c r="G98">
        <v>0</v>
      </c>
      <c r="H98">
        <v>0</v>
      </c>
      <c r="I98">
        <v>0</v>
      </c>
      <c r="J98">
        <v>0</v>
      </c>
      <c r="K98">
        <v>0</v>
      </c>
      <c r="L98">
        <v>0</v>
      </c>
      <c r="M98">
        <v>0</v>
      </c>
      <c r="P98" s="832" t="s">
        <v>2809</v>
      </c>
      <c r="Q98" s="1090">
        <f t="shared" si="1"/>
        <v>1000000</v>
      </c>
    </row>
    <row r="99" spans="1:17" ht="21.6">
      <c r="A99" s="1132" t="s">
        <v>2726</v>
      </c>
      <c r="B99">
        <v>174845119.71000001</v>
      </c>
      <c r="C99">
        <v>294129407.80000001</v>
      </c>
      <c r="D99">
        <v>214366719.86000001</v>
      </c>
      <c r="E99">
        <v>197770040.31999999</v>
      </c>
      <c r="F99">
        <v>215832311.94</v>
      </c>
      <c r="G99">
        <v>252528959.12</v>
      </c>
      <c r="H99">
        <v>258088581.72999999</v>
      </c>
      <c r="I99">
        <v>242348517.44</v>
      </c>
      <c r="J99">
        <v>0</v>
      </c>
      <c r="K99">
        <v>0</v>
      </c>
      <c r="L99">
        <v>0</v>
      </c>
      <c r="M99">
        <v>0</v>
      </c>
      <c r="P99" s="832" t="s">
        <v>2740</v>
      </c>
      <c r="Q99" s="1090">
        <f t="shared" si="1"/>
        <v>1000000</v>
      </c>
    </row>
    <row r="100" spans="1:17">
      <c r="A100" s="677" t="s">
        <v>696</v>
      </c>
      <c r="B100">
        <v>31793796.48</v>
      </c>
      <c r="C100">
        <v>51425014.549999997</v>
      </c>
      <c r="D100">
        <v>52318475.5</v>
      </c>
      <c r="E100">
        <v>55710246.439999998</v>
      </c>
      <c r="F100">
        <v>44664141.140000001</v>
      </c>
      <c r="G100">
        <v>43199903.899999999</v>
      </c>
      <c r="H100">
        <v>44422864.659999996</v>
      </c>
      <c r="I100">
        <v>43165332.799999997</v>
      </c>
      <c r="J100">
        <v>0</v>
      </c>
      <c r="K100">
        <v>0</v>
      </c>
      <c r="L100">
        <v>0</v>
      </c>
      <c r="M100">
        <v>0</v>
      </c>
      <c r="P100" s="832" t="s">
        <v>1711</v>
      </c>
      <c r="Q100" s="1090">
        <f t="shared" si="1"/>
        <v>1000000</v>
      </c>
    </row>
    <row r="101" spans="1:17">
      <c r="A101" s="677" t="s">
        <v>1378</v>
      </c>
      <c r="B101">
        <v>90693011.680000007</v>
      </c>
      <c r="C101">
        <v>134092250.63</v>
      </c>
      <c r="D101">
        <v>110623014.69</v>
      </c>
      <c r="E101">
        <v>261926721.11000001</v>
      </c>
      <c r="F101">
        <v>540906418.10000002</v>
      </c>
      <c r="G101">
        <v>577869788.67999995</v>
      </c>
      <c r="H101">
        <v>841502046.24000001</v>
      </c>
      <c r="I101">
        <v>490889260.16000003</v>
      </c>
      <c r="J101">
        <v>0</v>
      </c>
      <c r="K101">
        <v>0</v>
      </c>
      <c r="L101">
        <v>0</v>
      </c>
      <c r="M101">
        <v>0</v>
      </c>
      <c r="P101" s="832" t="s">
        <v>1691</v>
      </c>
      <c r="Q101" s="1090">
        <f t="shared" si="1"/>
        <v>1000000</v>
      </c>
    </row>
    <row r="102" spans="1:17">
      <c r="A102" s="677" t="s">
        <v>697</v>
      </c>
      <c r="B102">
        <v>24072084.59</v>
      </c>
      <c r="C102">
        <v>34712165.079999998</v>
      </c>
      <c r="D102">
        <v>33954268.020000003</v>
      </c>
      <c r="E102">
        <v>25685196.890000001</v>
      </c>
      <c r="F102">
        <v>32731616.030000001</v>
      </c>
      <c r="G102">
        <v>27241132.559999999</v>
      </c>
      <c r="H102">
        <v>19506154.440000001</v>
      </c>
      <c r="I102">
        <v>19123353.48</v>
      </c>
      <c r="J102">
        <v>0</v>
      </c>
      <c r="K102">
        <v>0</v>
      </c>
      <c r="L102">
        <v>0</v>
      </c>
      <c r="M102">
        <v>0</v>
      </c>
      <c r="P102" s="832" t="s">
        <v>1692</v>
      </c>
      <c r="Q102" s="1090">
        <f t="shared" si="1"/>
        <v>1000000</v>
      </c>
    </row>
    <row r="103" spans="1:17">
      <c r="A103" s="685" t="s">
        <v>698</v>
      </c>
      <c r="B103">
        <v>4858108096.9799995</v>
      </c>
      <c r="C103">
        <v>5689131660.71</v>
      </c>
      <c r="D103">
        <v>6134468306.6099997</v>
      </c>
      <c r="E103">
        <v>6324573059.4399996</v>
      </c>
      <c r="F103">
        <v>6108510367.3599997</v>
      </c>
      <c r="G103">
        <v>6325990880.0500002</v>
      </c>
      <c r="H103">
        <v>7356632477.2299995</v>
      </c>
      <c r="I103">
        <v>6322208930.9799995</v>
      </c>
      <c r="J103">
        <v>0</v>
      </c>
      <c r="K103">
        <v>0</v>
      </c>
      <c r="L103">
        <v>0</v>
      </c>
      <c r="M103">
        <v>0</v>
      </c>
      <c r="P103" s="832" t="s">
        <v>1704</v>
      </c>
      <c r="Q103" s="1090">
        <f t="shared" si="1"/>
        <v>1000000</v>
      </c>
    </row>
    <row r="104" spans="1:17">
      <c r="A104" s="570" t="s">
        <v>699</v>
      </c>
      <c r="B104">
        <v>0</v>
      </c>
      <c r="C104">
        <v>0</v>
      </c>
      <c r="D104">
        <v>0</v>
      </c>
      <c r="E104">
        <v>0</v>
      </c>
      <c r="F104">
        <v>0</v>
      </c>
      <c r="G104">
        <v>0</v>
      </c>
      <c r="H104">
        <v>0</v>
      </c>
      <c r="I104">
        <v>0</v>
      </c>
      <c r="J104">
        <v>0</v>
      </c>
      <c r="K104">
        <v>0</v>
      </c>
      <c r="L104">
        <v>0</v>
      </c>
      <c r="M104">
        <v>0</v>
      </c>
      <c r="P104" s="832"/>
      <c r="Q104" s="1090">
        <f t="shared" si="1"/>
        <v>1000000</v>
      </c>
    </row>
    <row r="105" spans="1:17">
      <c r="A105" s="580" t="s">
        <v>700</v>
      </c>
      <c r="B105">
        <v>856588818.97000003</v>
      </c>
      <c r="C105">
        <v>838849475.92999995</v>
      </c>
      <c r="D105">
        <v>1041523008.53</v>
      </c>
      <c r="E105">
        <v>879349202.97000003</v>
      </c>
      <c r="F105">
        <v>708485472.54999995</v>
      </c>
      <c r="G105">
        <v>840306601.49000001</v>
      </c>
      <c r="H105">
        <v>573636089.03999996</v>
      </c>
      <c r="I105">
        <v>405916770.83999997</v>
      </c>
      <c r="J105">
        <v>0</v>
      </c>
      <c r="K105">
        <v>0</v>
      </c>
      <c r="L105">
        <v>0</v>
      </c>
      <c r="M105">
        <v>0</v>
      </c>
      <c r="P105" s="832" t="s">
        <v>1705</v>
      </c>
      <c r="Q105" s="1090">
        <f>$Q$2</f>
        <v>1000000</v>
      </c>
    </row>
    <row r="106" spans="1:17">
      <c r="A106" s="580" t="s">
        <v>701</v>
      </c>
      <c r="B106">
        <v>0</v>
      </c>
      <c r="C106">
        <v>0</v>
      </c>
      <c r="D106">
        <v>0</v>
      </c>
      <c r="E106">
        <v>0</v>
      </c>
      <c r="F106">
        <v>0</v>
      </c>
      <c r="G106">
        <v>0</v>
      </c>
      <c r="H106">
        <v>0</v>
      </c>
      <c r="I106">
        <v>2185497758.3099999</v>
      </c>
      <c r="J106">
        <v>0</v>
      </c>
      <c r="K106">
        <v>0</v>
      </c>
      <c r="L106">
        <v>0</v>
      </c>
      <c r="M106">
        <v>0</v>
      </c>
      <c r="P106" s="832" t="s">
        <v>1706</v>
      </c>
      <c r="Q106" s="1090">
        <f t="shared" si="1"/>
        <v>1000000</v>
      </c>
    </row>
    <row r="107" spans="1:17">
      <c r="A107" s="1169" t="s">
        <v>2797</v>
      </c>
      <c r="B107">
        <v>10031441.02</v>
      </c>
      <c r="C107">
        <v>12784595.66</v>
      </c>
      <c r="D107">
        <v>15295610.640000001</v>
      </c>
      <c r="E107">
        <v>16331879.93</v>
      </c>
      <c r="F107">
        <v>7976192.6200000001</v>
      </c>
      <c r="G107">
        <v>14985987.560000001</v>
      </c>
      <c r="H107">
        <v>25931709.100000001</v>
      </c>
      <c r="I107">
        <v>24742533.359999999</v>
      </c>
      <c r="J107">
        <v>0</v>
      </c>
      <c r="K107">
        <v>0</v>
      </c>
      <c r="L107">
        <v>0</v>
      </c>
      <c r="M107">
        <v>0</v>
      </c>
      <c r="P107" s="832" t="s">
        <v>2848</v>
      </c>
      <c r="Q107" s="1090">
        <f t="shared" si="1"/>
        <v>1000000</v>
      </c>
    </row>
    <row r="108" spans="1:17">
      <c r="A108" s="580" t="s">
        <v>702</v>
      </c>
      <c r="B108">
        <v>0</v>
      </c>
      <c r="C108">
        <v>0</v>
      </c>
      <c r="D108">
        <v>0</v>
      </c>
      <c r="E108">
        <v>0</v>
      </c>
      <c r="F108">
        <v>0</v>
      </c>
      <c r="G108">
        <v>0</v>
      </c>
      <c r="H108">
        <v>28709143.539999999</v>
      </c>
      <c r="I108">
        <v>0</v>
      </c>
      <c r="J108">
        <v>0</v>
      </c>
      <c r="K108">
        <v>0</v>
      </c>
      <c r="L108">
        <v>0</v>
      </c>
      <c r="M108">
        <v>0</v>
      </c>
      <c r="P108" s="832" t="s">
        <v>1707</v>
      </c>
      <c r="Q108" s="1090">
        <f t="shared" si="1"/>
        <v>1000000</v>
      </c>
    </row>
    <row r="109" spans="1:17">
      <c r="A109" s="580" t="s">
        <v>1036</v>
      </c>
      <c r="B109">
        <v>0</v>
      </c>
      <c r="C109">
        <v>0</v>
      </c>
      <c r="D109">
        <v>0</v>
      </c>
      <c r="E109">
        <v>0</v>
      </c>
      <c r="F109">
        <v>0</v>
      </c>
      <c r="G109">
        <v>0</v>
      </c>
      <c r="H109">
        <v>0</v>
      </c>
      <c r="I109">
        <v>0</v>
      </c>
      <c r="J109">
        <v>0</v>
      </c>
      <c r="K109">
        <v>0</v>
      </c>
      <c r="L109">
        <v>0</v>
      </c>
      <c r="M109">
        <v>0</v>
      </c>
      <c r="P109" s="832" t="s">
        <v>1708</v>
      </c>
      <c r="Q109" s="1090">
        <f t="shared" si="1"/>
        <v>1000000</v>
      </c>
    </row>
    <row r="110" spans="1:17">
      <c r="A110" s="580" t="s">
        <v>917</v>
      </c>
      <c r="B110">
        <v>65091196.390000001</v>
      </c>
      <c r="C110">
        <v>72916842.730000004</v>
      </c>
      <c r="D110">
        <v>80083550.120000005</v>
      </c>
      <c r="E110">
        <v>83882403.310000002</v>
      </c>
      <c r="F110">
        <v>97583334.340000004</v>
      </c>
      <c r="G110">
        <v>100515838.70999999</v>
      </c>
      <c r="H110">
        <v>105363534.73</v>
      </c>
      <c r="I110">
        <v>126118003.76000001</v>
      </c>
      <c r="J110">
        <v>0</v>
      </c>
      <c r="K110">
        <v>0</v>
      </c>
      <c r="L110">
        <v>0</v>
      </c>
      <c r="M110">
        <v>0</v>
      </c>
      <c r="P110" s="832" t="s">
        <v>1709</v>
      </c>
      <c r="Q110" s="1090">
        <f t="shared" si="1"/>
        <v>1000000</v>
      </c>
    </row>
    <row r="111" spans="1:17">
      <c r="A111" s="580" t="s">
        <v>910</v>
      </c>
      <c r="B111">
        <v>1326.99</v>
      </c>
      <c r="C111">
        <v>8214770.1299999999</v>
      </c>
      <c r="D111">
        <v>8040373.0599999996</v>
      </c>
      <c r="E111">
        <v>7865975.9800000004</v>
      </c>
      <c r="F111">
        <v>14925970.5</v>
      </c>
      <c r="G111">
        <v>14827814.42</v>
      </c>
      <c r="H111">
        <v>43954552.579999998</v>
      </c>
      <c r="I111">
        <v>35863513.289999999</v>
      </c>
      <c r="J111">
        <v>0</v>
      </c>
      <c r="K111">
        <v>0</v>
      </c>
      <c r="L111">
        <v>0</v>
      </c>
      <c r="M111">
        <v>0</v>
      </c>
      <c r="P111" s="832" t="s">
        <v>1710</v>
      </c>
      <c r="Q111" s="1090">
        <f t="shared" si="1"/>
        <v>1000000</v>
      </c>
    </row>
    <row r="112" spans="1:17">
      <c r="A112" s="580" t="s">
        <v>981</v>
      </c>
      <c r="B112">
        <v>0</v>
      </c>
      <c r="C112">
        <v>0</v>
      </c>
      <c r="D112">
        <v>0</v>
      </c>
      <c r="E112">
        <v>0</v>
      </c>
      <c r="F112">
        <v>0</v>
      </c>
      <c r="G112">
        <v>0</v>
      </c>
      <c r="H112">
        <v>0</v>
      </c>
      <c r="I112">
        <v>0</v>
      </c>
      <c r="J112">
        <v>0</v>
      </c>
      <c r="K112">
        <v>0</v>
      </c>
      <c r="L112">
        <v>0</v>
      </c>
      <c r="M112">
        <v>0</v>
      </c>
      <c r="P112" s="834" t="s">
        <v>1712</v>
      </c>
      <c r="Q112" s="1090">
        <f t="shared" si="1"/>
        <v>1000000</v>
      </c>
    </row>
    <row r="113" spans="1:17">
      <c r="A113" s="685" t="s">
        <v>962</v>
      </c>
      <c r="B113">
        <v>963506579.85000002</v>
      </c>
      <c r="C113">
        <v>984190699</v>
      </c>
      <c r="D113">
        <v>1197261017.8499999</v>
      </c>
      <c r="E113">
        <v>1073139708.63</v>
      </c>
      <c r="F113">
        <v>913007468.60000002</v>
      </c>
      <c r="G113">
        <v>1044244172.29</v>
      </c>
      <c r="H113">
        <v>822017893.64999998</v>
      </c>
      <c r="I113">
        <v>2821303912.3600001</v>
      </c>
      <c r="J113">
        <v>0</v>
      </c>
      <c r="K113">
        <v>0</v>
      </c>
      <c r="L113">
        <v>0</v>
      </c>
      <c r="M113">
        <v>0</v>
      </c>
      <c r="P113" s="832" t="s">
        <v>1713</v>
      </c>
      <c r="Q113" s="1090">
        <f t="shared" si="1"/>
        <v>1000000</v>
      </c>
    </row>
    <row r="114" spans="1:17">
      <c r="A114" s="570" t="s">
        <v>873</v>
      </c>
      <c r="B114">
        <v>0</v>
      </c>
      <c r="C114">
        <v>0</v>
      </c>
      <c r="D114">
        <v>0</v>
      </c>
      <c r="E114">
        <v>0</v>
      </c>
      <c r="F114">
        <v>0</v>
      </c>
      <c r="G114">
        <v>0</v>
      </c>
      <c r="H114">
        <v>0</v>
      </c>
      <c r="I114">
        <v>0</v>
      </c>
      <c r="J114">
        <v>0</v>
      </c>
      <c r="K114">
        <v>0</v>
      </c>
      <c r="L114">
        <v>0</v>
      </c>
      <c r="M114">
        <v>0</v>
      </c>
      <c r="P114" s="832"/>
      <c r="Q114" s="1090">
        <f t="shared" si="1"/>
        <v>1000000</v>
      </c>
    </row>
    <row r="115" spans="1:17">
      <c r="A115" s="570" t="s">
        <v>1295</v>
      </c>
      <c r="B115">
        <v>5821614676.8299999</v>
      </c>
      <c r="C115">
        <v>6673322359.71</v>
      </c>
      <c r="D115">
        <v>7331729324.46</v>
      </c>
      <c r="E115">
        <v>7397712768.0699997</v>
      </c>
      <c r="F115">
        <v>7021517835.96</v>
      </c>
      <c r="G115">
        <v>7370235052.3400002</v>
      </c>
      <c r="H115">
        <v>8178650370.8800001</v>
      </c>
      <c r="I115">
        <v>9143512843.3400002</v>
      </c>
      <c r="J115">
        <v>0</v>
      </c>
      <c r="K115">
        <v>0</v>
      </c>
      <c r="L115">
        <v>0</v>
      </c>
      <c r="M115">
        <v>0</v>
      </c>
      <c r="P115" s="832" t="s">
        <v>1714</v>
      </c>
      <c r="Q115" s="1090">
        <f t="shared" si="1"/>
        <v>1000000</v>
      </c>
    </row>
    <row r="116" spans="1:17">
      <c r="A116" s="581" t="s">
        <v>874</v>
      </c>
      <c r="B116">
        <v>0</v>
      </c>
      <c r="C116">
        <v>0</v>
      </c>
      <c r="D116">
        <v>0</v>
      </c>
      <c r="E116">
        <v>0</v>
      </c>
      <c r="F116">
        <v>0</v>
      </c>
      <c r="G116">
        <v>0</v>
      </c>
      <c r="H116">
        <v>0</v>
      </c>
      <c r="I116">
        <v>0</v>
      </c>
      <c r="J116">
        <v>0</v>
      </c>
      <c r="K116">
        <v>0</v>
      </c>
      <c r="L116">
        <v>0</v>
      </c>
      <c r="M116">
        <v>0</v>
      </c>
      <c r="P116" s="832"/>
      <c r="Q116" s="1090">
        <f t="shared" si="1"/>
        <v>1000000</v>
      </c>
    </row>
    <row r="117" spans="1:17">
      <c r="A117" s="582" t="s">
        <v>633</v>
      </c>
      <c r="B117">
        <v>1151186580</v>
      </c>
      <c r="C117">
        <v>1181575407</v>
      </c>
      <c r="D117">
        <v>1180878627</v>
      </c>
      <c r="E117">
        <v>1180878627</v>
      </c>
      <c r="F117">
        <v>1180878627</v>
      </c>
      <c r="G117">
        <v>1180878627</v>
      </c>
      <c r="H117">
        <v>1177286563</v>
      </c>
      <c r="I117">
        <v>1177286563</v>
      </c>
      <c r="J117">
        <v>0</v>
      </c>
      <c r="K117">
        <v>0</v>
      </c>
      <c r="L117">
        <v>0</v>
      </c>
      <c r="M117">
        <v>0</v>
      </c>
      <c r="P117" s="832" t="s">
        <v>1716</v>
      </c>
      <c r="Q117" s="1090">
        <f t="shared" si="1"/>
        <v>1000000</v>
      </c>
    </row>
    <row r="118" spans="1:17">
      <c r="A118" s="1169" t="s">
        <v>2798</v>
      </c>
      <c r="B118">
        <v>0</v>
      </c>
      <c r="C118">
        <v>0</v>
      </c>
      <c r="D118">
        <v>0</v>
      </c>
      <c r="E118">
        <v>0</v>
      </c>
      <c r="F118">
        <v>0</v>
      </c>
      <c r="G118">
        <v>0</v>
      </c>
      <c r="H118">
        <v>0</v>
      </c>
      <c r="I118">
        <v>7398065.8499999996</v>
      </c>
      <c r="J118">
        <v>0</v>
      </c>
      <c r="K118">
        <v>0</v>
      </c>
      <c r="L118">
        <v>0</v>
      </c>
      <c r="M118">
        <v>0</v>
      </c>
      <c r="P118" s="832" t="s">
        <v>2481</v>
      </c>
      <c r="Q118" s="1090">
        <f t="shared" si="1"/>
        <v>1000000</v>
      </c>
    </row>
    <row r="119" spans="1:17">
      <c r="A119" s="1169" t="s">
        <v>2803</v>
      </c>
      <c r="B119">
        <v>0</v>
      </c>
      <c r="C119">
        <v>0</v>
      </c>
      <c r="D119">
        <v>0</v>
      </c>
      <c r="E119">
        <v>0</v>
      </c>
      <c r="F119">
        <v>0</v>
      </c>
      <c r="G119">
        <v>0</v>
      </c>
      <c r="H119">
        <v>0</v>
      </c>
      <c r="I119">
        <v>0</v>
      </c>
      <c r="J119">
        <v>0</v>
      </c>
      <c r="K119">
        <v>0</v>
      </c>
      <c r="L119">
        <v>0</v>
      </c>
      <c r="M119">
        <v>0</v>
      </c>
      <c r="P119" s="832" t="s">
        <v>2482</v>
      </c>
      <c r="Q119" s="1090">
        <f t="shared" si="1"/>
        <v>1000000</v>
      </c>
    </row>
    <row r="120" spans="1:17">
      <c r="A120" s="1169" t="s">
        <v>2804</v>
      </c>
      <c r="B120">
        <v>0</v>
      </c>
      <c r="C120">
        <v>0</v>
      </c>
      <c r="D120">
        <v>0</v>
      </c>
      <c r="E120">
        <v>0</v>
      </c>
      <c r="F120">
        <v>0</v>
      </c>
      <c r="G120">
        <v>0</v>
      </c>
      <c r="H120">
        <v>0</v>
      </c>
      <c r="I120">
        <v>0</v>
      </c>
      <c r="J120">
        <v>0</v>
      </c>
      <c r="K120">
        <v>0</v>
      </c>
      <c r="L120">
        <v>0</v>
      </c>
      <c r="M120">
        <v>0</v>
      </c>
      <c r="P120" s="832" t="s">
        <v>2483</v>
      </c>
      <c r="Q120" s="1090">
        <f t="shared" si="1"/>
        <v>1000000</v>
      </c>
    </row>
    <row r="121" spans="1:17">
      <c r="A121" s="566" t="s">
        <v>1019</v>
      </c>
      <c r="B121">
        <v>1680990367.8599999</v>
      </c>
      <c r="C121">
        <v>2062834670.3299999</v>
      </c>
      <c r="D121">
        <v>2052681438.52</v>
      </c>
      <c r="E121">
        <v>2047311635.74</v>
      </c>
      <c r="F121">
        <v>2072215097.4100001</v>
      </c>
      <c r="G121">
        <v>2082004265.9200001</v>
      </c>
      <c r="H121">
        <v>2027049455.27</v>
      </c>
      <c r="I121">
        <v>2014316865.8800001</v>
      </c>
      <c r="J121">
        <v>0</v>
      </c>
      <c r="K121">
        <v>0</v>
      </c>
      <c r="L121">
        <v>0</v>
      </c>
      <c r="M121">
        <v>0</v>
      </c>
      <c r="P121" s="832" t="s">
        <v>1717</v>
      </c>
      <c r="Q121" s="1090">
        <f t="shared" ref="Q121:Q126" si="2">$Q$2</f>
        <v>1000000</v>
      </c>
    </row>
    <row r="122" spans="1:17">
      <c r="A122" s="566" t="s">
        <v>1020</v>
      </c>
      <c r="B122">
        <v>134457533.28</v>
      </c>
      <c r="C122">
        <v>134457533.28</v>
      </c>
      <c r="D122">
        <v>132253814.34</v>
      </c>
      <c r="E122">
        <v>113376474.29000001</v>
      </c>
      <c r="F122">
        <v>133399151.33</v>
      </c>
      <c r="G122">
        <v>196604069.22999999</v>
      </c>
      <c r="H122">
        <v>194370372.25999999</v>
      </c>
      <c r="I122">
        <v>180862638.91</v>
      </c>
      <c r="J122">
        <v>0</v>
      </c>
      <c r="K122">
        <v>0</v>
      </c>
      <c r="L122">
        <v>0</v>
      </c>
      <c r="M122">
        <v>0</v>
      </c>
      <c r="P122" s="832" t="s">
        <v>1718</v>
      </c>
      <c r="Q122" s="1090">
        <f t="shared" si="2"/>
        <v>1000000</v>
      </c>
    </row>
    <row r="123" spans="1:17">
      <c r="A123" s="1168" t="s">
        <v>2801</v>
      </c>
      <c r="B123">
        <v>-76931451.840000004</v>
      </c>
      <c r="C123">
        <v>-83999858.569999993</v>
      </c>
      <c r="D123">
        <v>-79606636.540000007</v>
      </c>
      <c r="E123">
        <v>-35470164.539999999</v>
      </c>
      <c r="F123">
        <v>-43282237.060000002</v>
      </c>
      <c r="G123">
        <v>-43268464.920000002</v>
      </c>
      <c r="H123">
        <v>-38656737.259999998</v>
      </c>
      <c r="I123">
        <v>-39334893.75</v>
      </c>
      <c r="J123">
        <v>0</v>
      </c>
      <c r="K123">
        <v>0</v>
      </c>
      <c r="L123">
        <v>0</v>
      </c>
      <c r="M123">
        <v>0</v>
      </c>
      <c r="P123" s="832" t="s">
        <v>2849</v>
      </c>
      <c r="Q123" s="1090">
        <f t="shared" si="2"/>
        <v>1000000</v>
      </c>
    </row>
    <row r="124" spans="1:17">
      <c r="A124" s="1168" t="s">
        <v>2802</v>
      </c>
      <c r="B124">
        <v>24925726.530000001</v>
      </c>
      <c r="C124">
        <v>24927230.649999999</v>
      </c>
      <c r="D124">
        <v>25653178.449999999</v>
      </c>
      <c r="E124">
        <v>25653178.449999999</v>
      </c>
      <c r="F124">
        <v>30545170.02</v>
      </c>
      <c r="G124">
        <v>31263340.07</v>
      </c>
      <c r="H124">
        <v>54127775.579999998</v>
      </c>
      <c r="I124">
        <v>61958790.530000001</v>
      </c>
      <c r="J124">
        <v>0</v>
      </c>
      <c r="K124">
        <v>0</v>
      </c>
      <c r="L124">
        <v>0</v>
      </c>
      <c r="M124">
        <v>0</v>
      </c>
      <c r="P124" s="832" t="s">
        <v>2850</v>
      </c>
      <c r="Q124" s="1090">
        <f t="shared" si="2"/>
        <v>1000000</v>
      </c>
    </row>
    <row r="125" spans="1:17">
      <c r="A125" s="566" t="s">
        <v>1021</v>
      </c>
      <c r="B125">
        <v>188149807.5</v>
      </c>
      <c r="C125">
        <v>188149807.5</v>
      </c>
      <c r="D125">
        <v>188149807.5</v>
      </c>
      <c r="E125">
        <v>188824230.34</v>
      </c>
      <c r="F125">
        <v>191482550.53</v>
      </c>
      <c r="G125">
        <v>191482550.53</v>
      </c>
      <c r="H125">
        <v>191482550.53</v>
      </c>
      <c r="I125">
        <v>191482550.53</v>
      </c>
      <c r="J125">
        <v>0</v>
      </c>
      <c r="K125">
        <v>0</v>
      </c>
      <c r="L125">
        <v>0</v>
      </c>
      <c r="M125">
        <v>0</v>
      </c>
      <c r="P125" s="832" t="s">
        <v>1719</v>
      </c>
      <c r="Q125" s="1090">
        <f t="shared" si="2"/>
        <v>1000000</v>
      </c>
    </row>
    <row r="126" spans="1:17">
      <c r="A126" s="566" t="s">
        <v>970</v>
      </c>
      <c r="B126">
        <v>2133521934.78</v>
      </c>
      <c r="C126">
        <v>2232570921.98</v>
      </c>
      <c r="D126">
        <v>2378569564.6100001</v>
      </c>
      <c r="E126">
        <v>2408384180.7800002</v>
      </c>
      <c r="F126">
        <v>2318343434.2399998</v>
      </c>
      <c r="G126">
        <v>2376418935.4299998</v>
      </c>
      <c r="H126">
        <v>2321721151.79</v>
      </c>
      <c r="I126">
        <v>2341925921.6599998</v>
      </c>
      <c r="J126">
        <v>0</v>
      </c>
      <c r="K126">
        <v>0</v>
      </c>
      <c r="L126">
        <v>0</v>
      </c>
      <c r="M126">
        <v>0</v>
      </c>
      <c r="P126" s="832" t="s">
        <v>1720</v>
      </c>
      <c r="Q126" s="1090">
        <f t="shared" si="2"/>
        <v>1000000</v>
      </c>
    </row>
    <row r="127" spans="1:17">
      <c r="A127" s="566" t="s">
        <v>1292</v>
      </c>
      <c r="B127">
        <v>0</v>
      </c>
      <c r="C127">
        <v>0</v>
      </c>
      <c r="D127">
        <v>0</v>
      </c>
      <c r="E127">
        <v>0</v>
      </c>
      <c r="F127">
        <v>0</v>
      </c>
      <c r="G127">
        <v>0</v>
      </c>
      <c r="H127">
        <v>0</v>
      </c>
      <c r="I127">
        <v>0</v>
      </c>
      <c r="J127">
        <v>0</v>
      </c>
      <c r="K127">
        <v>0</v>
      </c>
      <c r="L127">
        <v>0</v>
      </c>
      <c r="M127">
        <v>0</v>
      </c>
      <c r="P127" s="832" t="s">
        <v>1721</v>
      </c>
      <c r="Q127" s="1090">
        <f>$Q$2</f>
        <v>1000000</v>
      </c>
    </row>
    <row r="128" spans="1:17" ht="21.6">
      <c r="A128" s="685" t="s">
        <v>875</v>
      </c>
      <c r="B128">
        <v>4967875431.5500002</v>
      </c>
      <c r="C128">
        <v>5472090645.6099997</v>
      </c>
      <c r="D128">
        <v>5614072165.1999998</v>
      </c>
      <c r="E128">
        <v>5702205213.4799995</v>
      </c>
      <c r="F128">
        <v>5616844189.1000004</v>
      </c>
      <c r="G128">
        <v>5622235883.0900002</v>
      </c>
      <c r="H128">
        <v>5538640806.9300003</v>
      </c>
      <c r="I128">
        <v>5574416094.7200003</v>
      </c>
      <c r="J128">
        <v>0</v>
      </c>
      <c r="K128">
        <v>0</v>
      </c>
      <c r="L128">
        <v>0</v>
      </c>
      <c r="M128">
        <v>0</v>
      </c>
      <c r="P128" s="832" t="s">
        <v>1724</v>
      </c>
      <c r="Q128" s="1090">
        <f t="shared" ref="Q128:Q132" si="3">$Q$2</f>
        <v>1000000</v>
      </c>
    </row>
    <row r="129" spans="1:17">
      <c r="A129" s="566" t="s">
        <v>1061</v>
      </c>
      <c r="B129">
        <v>0</v>
      </c>
      <c r="C129">
        <v>237785.54</v>
      </c>
      <c r="D129">
        <v>243876.41</v>
      </c>
      <c r="E129">
        <v>73158.149999999994</v>
      </c>
      <c r="F129">
        <v>1034365.03</v>
      </c>
      <c r="G129">
        <v>802095.59</v>
      </c>
      <c r="H129">
        <v>82897607.269999996</v>
      </c>
      <c r="I129">
        <v>80831262.969999999</v>
      </c>
      <c r="J129">
        <v>0</v>
      </c>
      <c r="K129">
        <v>0</v>
      </c>
      <c r="L129">
        <v>0</v>
      </c>
      <c r="M129">
        <v>0</v>
      </c>
      <c r="P129" s="832" t="s">
        <v>1725</v>
      </c>
      <c r="Q129" s="1090">
        <f t="shared" si="3"/>
        <v>1000000</v>
      </c>
    </row>
    <row r="130" spans="1:17">
      <c r="A130" s="685" t="s">
        <v>965</v>
      </c>
      <c r="B130">
        <v>4967875431.5500002</v>
      </c>
      <c r="C130">
        <v>5472328431.1499996</v>
      </c>
      <c r="D130">
        <v>5614316041.6099997</v>
      </c>
      <c r="E130">
        <v>5702278371.6300001</v>
      </c>
      <c r="F130">
        <v>5617878554.1300001</v>
      </c>
      <c r="G130">
        <v>5623037978.6800003</v>
      </c>
      <c r="H130">
        <v>5621538414.1999998</v>
      </c>
      <c r="I130">
        <v>5655247357.6899996</v>
      </c>
      <c r="J130">
        <v>0</v>
      </c>
      <c r="K130">
        <v>0</v>
      </c>
      <c r="L130">
        <v>0</v>
      </c>
      <c r="M130">
        <v>0</v>
      </c>
      <c r="P130" s="832" t="s">
        <v>1715</v>
      </c>
      <c r="Q130" s="1090">
        <f t="shared" si="3"/>
        <v>1000000</v>
      </c>
    </row>
    <row r="131" spans="1:17" ht="21.6">
      <c r="A131" s="570" t="s">
        <v>876</v>
      </c>
      <c r="B131">
        <v>0</v>
      </c>
      <c r="C131">
        <v>0</v>
      </c>
      <c r="D131">
        <v>0</v>
      </c>
      <c r="E131">
        <v>0</v>
      </c>
      <c r="F131">
        <v>0</v>
      </c>
      <c r="G131">
        <v>0</v>
      </c>
      <c r="H131">
        <v>0</v>
      </c>
      <c r="I131">
        <v>0</v>
      </c>
      <c r="J131">
        <v>0</v>
      </c>
      <c r="K131">
        <v>0</v>
      </c>
      <c r="L131">
        <v>0</v>
      </c>
      <c r="M131">
        <v>0</v>
      </c>
      <c r="P131" s="832"/>
      <c r="Q131" s="1090">
        <f t="shared" si="3"/>
        <v>1000000</v>
      </c>
    </row>
    <row r="132" spans="1:17">
      <c r="A132" s="685" t="s">
        <v>967</v>
      </c>
      <c r="B132">
        <v>10789490108.379999</v>
      </c>
      <c r="C132">
        <v>12145650790.860001</v>
      </c>
      <c r="D132">
        <v>12946045366.07</v>
      </c>
      <c r="E132">
        <v>13099991139.700001</v>
      </c>
      <c r="F132">
        <v>12639396390.09</v>
      </c>
      <c r="G132">
        <v>12993273031.02</v>
      </c>
      <c r="H132">
        <v>13800188785.08</v>
      </c>
      <c r="I132">
        <v>14798760201.030001</v>
      </c>
      <c r="J132">
        <v>0</v>
      </c>
      <c r="K132">
        <v>0</v>
      </c>
      <c r="L132">
        <v>0</v>
      </c>
      <c r="M132">
        <v>0</v>
      </c>
      <c r="P132" s="832" t="s">
        <v>1726</v>
      </c>
      <c r="Q132" s="1090">
        <f t="shared" si="3"/>
        <v>1000000</v>
      </c>
    </row>
    <row r="133" spans="1:17">
      <c r="B133">
        <v>0</v>
      </c>
      <c r="C133">
        <v>0</v>
      </c>
      <c r="D133">
        <v>0</v>
      </c>
      <c r="E133">
        <v>0</v>
      </c>
      <c r="F133">
        <v>0</v>
      </c>
      <c r="G133">
        <v>0</v>
      </c>
      <c r="H133">
        <v>0</v>
      </c>
      <c r="I133">
        <v>0</v>
      </c>
      <c r="J133">
        <v>0</v>
      </c>
      <c r="K133">
        <v>0</v>
      </c>
      <c r="L133">
        <v>0</v>
      </c>
      <c r="M133">
        <v>0</v>
      </c>
      <c r="P133" s="561"/>
    </row>
    <row r="134" spans="1:17">
      <c r="B134">
        <v>0</v>
      </c>
      <c r="C134">
        <v>0</v>
      </c>
      <c r="D134">
        <v>0</v>
      </c>
      <c r="E134">
        <v>0</v>
      </c>
      <c r="F134">
        <v>0</v>
      </c>
      <c r="G134">
        <v>0</v>
      </c>
      <c r="H134">
        <v>0</v>
      </c>
      <c r="I134">
        <v>0</v>
      </c>
      <c r="J134">
        <v>0</v>
      </c>
      <c r="K134">
        <v>0</v>
      </c>
      <c r="L134">
        <v>0</v>
      </c>
      <c r="M134">
        <v>0</v>
      </c>
      <c r="P134" s="562"/>
    </row>
    <row r="135" spans="1:17" ht="15.6">
      <c r="A135" s="556" t="s">
        <v>639</v>
      </c>
      <c r="B135">
        <v>0</v>
      </c>
      <c r="C135">
        <v>0</v>
      </c>
      <c r="D135">
        <v>0</v>
      </c>
      <c r="E135">
        <v>0</v>
      </c>
      <c r="F135">
        <v>0</v>
      </c>
      <c r="G135">
        <v>0</v>
      </c>
      <c r="H135">
        <v>0</v>
      </c>
      <c r="I135">
        <v>0</v>
      </c>
      <c r="J135">
        <v>0</v>
      </c>
      <c r="K135">
        <v>0</v>
      </c>
      <c r="L135">
        <v>0</v>
      </c>
      <c r="M135">
        <v>0</v>
      </c>
      <c r="P135" s="561"/>
    </row>
    <row r="136" spans="1:17">
      <c r="A136" s="566" t="s">
        <v>1185</v>
      </c>
      <c r="B136">
        <v>148868189.90000001</v>
      </c>
      <c r="C136">
        <v>0</v>
      </c>
      <c r="D136">
        <v>92338321.840000004</v>
      </c>
      <c r="E136">
        <v>0</v>
      </c>
      <c r="F136">
        <v>192136877.38</v>
      </c>
      <c r="G136">
        <v>0</v>
      </c>
      <c r="H136">
        <v>164400317.33000001</v>
      </c>
      <c r="I136">
        <v>0</v>
      </c>
      <c r="J136">
        <v>0</v>
      </c>
      <c r="K136">
        <v>0</v>
      </c>
      <c r="L136">
        <v>0</v>
      </c>
      <c r="M136">
        <v>0</v>
      </c>
      <c r="P136" s="833" t="s">
        <v>1774</v>
      </c>
      <c r="Q136" s="1090">
        <f>$Q$2</f>
        <v>1000000</v>
      </c>
    </row>
    <row r="137" spans="1:17">
      <c r="A137" s="566" t="s">
        <v>1186</v>
      </c>
      <c r="B137">
        <v>4462466.26</v>
      </c>
      <c r="C137">
        <v>0</v>
      </c>
      <c r="D137">
        <v>3734990.4</v>
      </c>
      <c r="E137">
        <v>0</v>
      </c>
      <c r="F137">
        <v>9828755.7699999996</v>
      </c>
      <c r="G137">
        <v>0</v>
      </c>
      <c r="H137">
        <v>11970427.9</v>
      </c>
      <c r="I137">
        <v>0</v>
      </c>
      <c r="J137">
        <v>0</v>
      </c>
      <c r="K137">
        <v>0</v>
      </c>
      <c r="L137">
        <v>0</v>
      </c>
      <c r="M137">
        <v>0</v>
      </c>
      <c r="P137" s="833" t="s">
        <v>1775</v>
      </c>
      <c r="Q137" s="1090">
        <f t="shared" ref="Q137:Q138" si="4">$Q$2</f>
        <v>1000000</v>
      </c>
    </row>
    <row r="138" spans="1:17">
      <c r="A138" s="566" t="s">
        <v>1187</v>
      </c>
      <c r="B138">
        <v>2273777.13</v>
      </c>
      <c r="C138">
        <v>0</v>
      </c>
      <c r="D138">
        <v>1440830.86</v>
      </c>
      <c r="E138">
        <v>0</v>
      </c>
      <c r="F138">
        <v>1531922.37</v>
      </c>
      <c r="G138">
        <v>0</v>
      </c>
      <c r="H138">
        <v>560924.6</v>
      </c>
      <c r="I138">
        <v>0</v>
      </c>
      <c r="J138">
        <v>0</v>
      </c>
      <c r="K138">
        <v>0</v>
      </c>
      <c r="L138">
        <v>0</v>
      </c>
      <c r="M138">
        <v>0</v>
      </c>
      <c r="P138" s="833" t="s">
        <v>1776</v>
      </c>
      <c r="Q138" s="1090">
        <f t="shared" si="4"/>
        <v>1000000</v>
      </c>
    </row>
    <row r="139" spans="1:17">
      <c r="B139">
        <v>0</v>
      </c>
      <c r="C139">
        <v>0</v>
      </c>
      <c r="D139">
        <v>0</v>
      </c>
      <c r="E139">
        <v>0</v>
      </c>
      <c r="F139">
        <v>0</v>
      </c>
      <c r="G139">
        <v>0</v>
      </c>
      <c r="H139">
        <v>0</v>
      </c>
      <c r="I139">
        <v>0</v>
      </c>
      <c r="J139">
        <v>0</v>
      </c>
      <c r="K139">
        <v>0</v>
      </c>
      <c r="L139">
        <v>0</v>
      </c>
      <c r="M139">
        <v>0</v>
      </c>
      <c r="P139" s="833"/>
    </row>
    <row r="140" spans="1:17">
      <c r="B140">
        <v>0</v>
      </c>
      <c r="C140">
        <v>0</v>
      </c>
      <c r="D140">
        <v>0</v>
      </c>
      <c r="E140">
        <v>0</v>
      </c>
      <c r="F140">
        <v>0</v>
      </c>
      <c r="G140">
        <v>0</v>
      </c>
      <c r="H140">
        <v>0</v>
      </c>
      <c r="I140">
        <v>0</v>
      </c>
      <c r="J140">
        <v>0</v>
      </c>
      <c r="K140">
        <v>0</v>
      </c>
      <c r="L140">
        <v>0</v>
      </c>
      <c r="M140">
        <v>0</v>
      </c>
      <c r="P140" s="833"/>
    </row>
    <row r="141" spans="1:17">
      <c r="B141" s="1090"/>
      <c r="C141" s="1090"/>
      <c r="D141" s="1090"/>
      <c r="E141" s="1090"/>
      <c r="F141" s="1090"/>
      <c r="G141" s="1090"/>
      <c r="H141" s="1090"/>
      <c r="I141" s="1090"/>
      <c r="J141" s="1090"/>
      <c r="K141" s="1090"/>
      <c r="L141" s="1090"/>
      <c r="M141" s="1090"/>
      <c r="P141" s="833"/>
    </row>
    <row r="142" spans="1:17">
      <c r="P142" s="948"/>
    </row>
    <row r="143" spans="1:17">
      <c r="B143" s="1090"/>
      <c r="C143" s="1090"/>
      <c r="D143" s="1090"/>
      <c r="E143" s="1090"/>
      <c r="F143" s="1090"/>
      <c r="G143" s="1090"/>
      <c r="H143" s="1090"/>
      <c r="I143" s="1090"/>
      <c r="J143" s="1090"/>
      <c r="K143" s="1090"/>
      <c r="L143" s="1090"/>
      <c r="M143" s="1090"/>
      <c r="P143" s="833"/>
    </row>
    <row r="144" spans="1:17">
      <c r="B144" s="1090"/>
      <c r="C144" s="1090"/>
      <c r="D144" s="1090"/>
      <c r="E144" s="1090"/>
      <c r="F144" s="1090"/>
      <c r="G144" s="1090"/>
      <c r="H144" s="1090"/>
      <c r="I144" s="1090"/>
      <c r="J144" s="1090"/>
      <c r="K144" s="1090"/>
      <c r="L144" s="1090"/>
      <c r="M144" s="1090"/>
      <c r="P144" s="833"/>
    </row>
    <row r="145" spans="16:16">
      <c r="P145" s="952"/>
    </row>
    <row r="146" spans="16:16">
      <c r="P146" s="952"/>
    </row>
    <row r="147" spans="16:16">
      <c r="P147" s="952"/>
    </row>
    <row r="148" spans="16:16">
      <c r="P148" s="952"/>
    </row>
    <row r="149" spans="16:16">
      <c r="P149" s="952"/>
    </row>
    <row r="150" spans="16:16">
      <c r="P150" s="952"/>
    </row>
    <row r="151" spans="16:16">
      <c r="P151" s="952"/>
    </row>
    <row r="152" spans="16:16">
      <c r="P152" s="952"/>
    </row>
    <row r="153" spans="16:16">
      <c r="P153" s="952"/>
    </row>
    <row r="154" spans="16:16">
      <c r="P154" s="952"/>
    </row>
    <row r="155" spans="16:16">
      <c r="P155" s="952"/>
    </row>
    <row r="156" spans="16:16">
      <c r="P156" s="952"/>
    </row>
    <row r="157" spans="16:16">
      <c r="P157" s="952"/>
    </row>
    <row r="158" spans="16:16">
      <c r="P158" s="952"/>
    </row>
    <row r="159" spans="16:16">
      <c r="P159" s="952"/>
    </row>
    <row r="160" spans="16:16">
      <c r="P160" s="952"/>
    </row>
    <row r="161" spans="16:16">
      <c r="P161" s="952"/>
    </row>
    <row r="162" spans="16:16">
      <c r="P162" s="952"/>
    </row>
    <row r="163" spans="16:16">
      <c r="P163" s="952"/>
    </row>
    <row r="164" spans="16:16">
      <c r="P164" s="952"/>
    </row>
    <row r="165" spans="16:16">
      <c r="P165" s="952"/>
    </row>
    <row r="166" spans="16:16">
      <c r="P166" s="952"/>
    </row>
    <row r="167" spans="16:16">
      <c r="P167" s="952"/>
    </row>
    <row r="168" spans="16:16">
      <c r="P168" s="952"/>
    </row>
    <row r="169" spans="16:16">
      <c r="P169" s="952"/>
    </row>
    <row r="170" spans="16:16">
      <c r="P170" s="952"/>
    </row>
    <row r="171" spans="16:16">
      <c r="P171" s="952"/>
    </row>
    <row r="172" spans="16:16">
      <c r="P172" s="952"/>
    </row>
    <row r="173" spans="16:16">
      <c r="P173" s="954"/>
    </row>
    <row r="174" spans="16:16">
      <c r="P174" s="954"/>
    </row>
    <row r="175" spans="16:16">
      <c r="P175" s="954"/>
    </row>
    <row r="176" spans="16:16">
      <c r="P176" s="954"/>
    </row>
    <row r="177" spans="2:16">
      <c r="P177" s="954"/>
    </row>
    <row r="178" spans="2:16">
      <c r="P178" s="954"/>
    </row>
    <row r="179" spans="2:16">
      <c r="P179" s="954"/>
    </row>
    <row r="180" spans="2:16">
      <c r="P180" s="954"/>
    </row>
    <row r="181" spans="2:16">
      <c r="P181" s="954"/>
    </row>
    <row r="182" spans="2:16">
      <c r="P182" s="954"/>
    </row>
    <row r="183" spans="2:16">
      <c r="P183" s="954"/>
    </row>
    <row r="184" spans="2:16">
      <c r="P184" s="954"/>
    </row>
    <row r="185" spans="2:16">
      <c r="P185" s="954"/>
    </row>
    <row r="186" spans="2:16">
      <c r="P186" s="952"/>
    </row>
    <row r="187" spans="2:16">
      <c r="P187" s="952"/>
    </row>
    <row r="188" spans="2:16">
      <c r="P188" s="952"/>
    </row>
    <row r="189" spans="2:16">
      <c r="P189" s="955"/>
    </row>
    <row r="190" spans="2:16">
      <c r="P190" s="952"/>
    </row>
    <row r="191" spans="2:16">
      <c r="B191" s="951" t="e">
        <f ca="1">_xll.BD_COLLECTION(12,R6)</f>
        <v>#NAME?</v>
      </c>
      <c r="P191" s="952"/>
    </row>
    <row r="192" spans="2:16">
      <c r="P192" s="952"/>
    </row>
    <row r="193" spans="16:16">
      <c r="P193" s="952"/>
    </row>
    <row r="194" spans="16:16">
      <c r="P194" s="952"/>
    </row>
    <row r="195" spans="16:16">
      <c r="P195" s="956"/>
    </row>
    <row r="196" spans="16:16">
      <c r="P196" s="952"/>
    </row>
    <row r="197" spans="16:16">
      <c r="P197" s="954"/>
    </row>
    <row r="198" spans="16:16">
      <c r="P198" s="954"/>
    </row>
    <row r="199" spans="16:16">
      <c r="P199" s="954"/>
    </row>
    <row r="200" spans="16:16">
      <c r="P200" s="954"/>
    </row>
    <row r="201" spans="16:16">
      <c r="P201" s="952"/>
    </row>
    <row r="202" spans="16:16">
      <c r="P202" s="952"/>
    </row>
    <row r="203" spans="16:16">
      <c r="P203" s="952"/>
    </row>
    <row r="204" spans="16:16">
      <c r="P204" s="952"/>
    </row>
    <row r="205" spans="16:16">
      <c r="P205" s="952"/>
    </row>
    <row r="206" spans="16:16">
      <c r="P206" s="952"/>
    </row>
    <row r="207" spans="16:16">
      <c r="P207" s="952"/>
    </row>
    <row r="208" spans="16:16">
      <c r="P208" s="954"/>
    </row>
    <row r="209" spans="16:16">
      <c r="P209" s="952"/>
    </row>
    <row r="210" spans="16:16">
      <c r="P210" s="952"/>
    </row>
    <row r="211" spans="16:16">
      <c r="P211" s="952"/>
    </row>
    <row r="212" spans="16:16">
      <c r="P212" s="952"/>
    </row>
    <row r="213" spans="16:16">
      <c r="P213" s="952"/>
    </row>
    <row r="214" spans="16:16">
      <c r="P214" s="952"/>
    </row>
    <row r="215" spans="16:16">
      <c r="P215" s="952"/>
    </row>
    <row r="216" spans="16:16">
      <c r="P216" s="952"/>
    </row>
    <row r="217" spans="16:16">
      <c r="P217" s="952"/>
    </row>
    <row r="218" spans="16:16">
      <c r="P218" s="952"/>
    </row>
    <row r="219" spans="16:16">
      <c r="P219" s="952"/>
    </row>
    <row r="220" spans="16:16">
      <c r="P220" s="952"/>
    </row>
    <row r="221" spans="16:16">
      <c r="P221" s="952"/>
    </row>
    <row r="222" spans="16:16">
      <c r="P222" s="952"/>
    </row>
    <row r="223" spans="16:16">
      <c r="P223" s="957"/>
    </row>
    <row r="224" spans="16:16">
      <c r="P224" s="957"/>
    </row>
    <row r="225" spans="16:16">
      <c r="P225" s="957"/>
    </row>
    <row r="226" spans="16:16">
      <c r="P226" s="957"/>
    </row>
    <row r="227" spans="16:16">
      <c r="P227" s="957"/>
    </row>
    <row r="228" spans="16:16">
      <c r="P228" s="957"/>
    </row>
    <row r="229" spans="16:16">
      <c r="P229" s="957"/>
    </row>
    <row r="230" spans="16:16">
      <c r="P230" s="957"/>
    </row>
    <row r="231" spans="16:16">
      <c r="P231" s="957"/>
    </row>
    <row r="232" spans="16:16">
      <c r="P232" s="957"/>
    </row>
    <row r="233" spans="16:16">
      <c r="P233" s="957"/>
    </row>
    <row r="234" spans="16:16">
      <c r="P234" s="957"/>
    </row>
    <row r="235" spans="16:16">
      <c r="P235" s="957"/>
    </row>
    <row r="236" spans="16:16">
      <c r="P236" s="957"/>
    </row>
    <row r="237" spans="16:16">
      <c r="P237" s="958"/>
    </row>
    <row r="238" spans="16:16">
      <c r="P238" s="957"/>
    </row>
    <row r="239" spans="16:16">
      <c r="P239" s="957"/>
    </row>
    <row r="240" spans="16:16">
      <c r="P240" s="957"/>
    </row>
    <row r="241" spans="2:16">
      <c r="P241" s="957"/>
    </row>
    <row r="242" spans="2:16">
      <c r="P242" s="957"/>
    </row>
    <row r="243" spans="2:16">
      <c r="P243" s="957"/>
    </row>
    <row r="244" spans="2:16">
      <c r="P244" s="957"/>
    </row>
    <row r="245" spans="2:16">
      <c r="B245" s="951" t="e">
        <f ca="1">_xll.BD_COLLECTION(12,R7)</f>
        <v>#NAME?</v>
      </c>
      <c r="P245" s="957"/>
    </row>
    <row r="246" spans="2:16">
      <c r="P246" s="957"/>
    </row>
    <row r="247" spans="2:16">
      <c r="P247" s="957"/>
    </row>
    <row r="248" spans="2:16">
      <c r="P248" s="957"/>
    </row>
    <row r="249" spans="2:16">
      <c r="P249" s="957"/>
    </row>
    <row r="250" spans="2:16">
      <c r="P250" s="957"/>
    </row>
    <row r="251" spans="2:16">
      <c r="P251" s="958"/>
    </row>
    <row r="252" spans="2:16">
      <c r="P252" s="957"/>
    </row>
    <row r="253" spans="2:16">
      <c r="P253" s="957"/>
    </row>
    <row r="254" spans="2:16">
      <c r="P254" s="957"/>
    </row>
    <row r="255" spans="2:16">
      <c r="P255" s="957"/>
    </row>
    <row r="256" spans="2:16">
      <c r="P256" s="958"/>
    </row>
    <row r="257" spans="16:16">
      <c r="P257" s="957"/>
    </row>
    <row r="258" spans="16:16">
      <c r="P258" s="957"/>
    </row>
    <row r="259" spans="16:16">
      <c r="P259" s="957"/>
    </row>
    <row r="260" spans="16:16">
      <c r="P260" s="957"/>
    </row>
    <row r="261" spans="16:16">
      <c r="P261" s="957"/>
    </row>
    <row r="262" spans="16:16">
      <c r="P262" s="957"/>
    </row>
    <row r="263" spans="16:16">
      <c r="P263" s="957"/>
    </row>
    <row r="264" spans="16:16">
      <c r="P264" s="957"/>
    </row>
    <row r="265" spans="16:16">
      <c r="P265" s="957"/>
    </row>
    <row r="266" spans="16:16">
      <c r="P266" s="957"/>
    </row>
    <row r="267" spans="16:16">
      <c r="P267" s="957"/>
    </row>
    <row r="268" spans="16:16">
      <c r="P268" s="957"/>
    </row>
    <row r="269" spans="16:16">
      <c r="P269" s="957"/>
    </row>
    <row r="270" spans="16:16">
      <c r="P270" s="957"/>
    </row>
    <row r="271" spans="16:16">
      <c r="P271" s="957"/>
    </row>
    <row r="272" spans="16:16">
      <c r="P272" s="957"/>
    </row>
    <row r="273" spans="16:16">
      <c r="P273" s="957"/>
    </row>
    <row r="274" spans="16:16">
      <c r="P274" s="957"/>
    </row>
    <row r="275" spans="16:16">
      <c r="P275" s="957"/>
    </row>
    <row r="276" spans="16:16">
      <c r="P276" s="957"/>
    </row>
    <row r="277" spans="16:16">
      <c r="P277" s="957"/>
    </row>
    <row r="278" spans="16:16">
      <c r="P278" s="957"/>
    </row>
    <row r="279" spans="16:16">
      <c r="P279" s="957"/>
    </row>
    <row r="280" spans="16:16">
      <c r="P280" s="957"/>
    </row>
    <row r="281" spans="16:16">
      <c r="P281" s="957"/>
    </row>
    <row r="282" spans="16:16">
      <c r="P282" s="957"/>
    </row>
    <row r="283" spans="16:16">
      <c r="P283" s="957"/>
    </row>
    <row r="284" spans="16:16">
      <c r="P284" s="957"/>
    </row>
    <row r="285" spans="16:16">
      <c r="P285" s="957"/>
    </row>
    <row r="286" spans="16:16">
      <c r="P286" s="957"/>
    </row>
    <row r="287" spans="16:16">
      <c r="P287" s="957"/>
    </row>
    <row r="288" spans="16:16">
      <c r="P288" s="957"/>
    </row>
    <row r="289" spans="2:16">
      <c r="P289" s="957"/>
    </row>
    <row r="290" spans="2:16">
      <c r="P290" s="957"/>
    </row>
    <row r="291" spans="2:16">
      <c r="P291" s="957"/>
    </row>
    <row r="292" spans="2:16">
      <c r="P292" s="957"/>
    </row>
    <row r="293" spans="2:16">
      <c r="P293" s="957"/>
    </row>
    <row r="294" spans="2:16">
      <c r="P294" s="957"/>
    </row>
    <row r="295" spans="2:16">
      <c r="P295" s="957"/>
    </row>
    <row r="296" spans="2:16">
      <c r="P296" s="958"/>
    </row>
    <row r="297" spans="2:16">
      <c r="P297" s="957"/>
    </row>
    <row r="298" spans="2:16">
      <c r="P298" s="957"/>
    </row>
    <row r="299" spans="2:16">
      <c r="B299" s="951" t="e">
        <f ca="1">_xll.BD_COLLECTION(12,R8)</f>
        <v>#NAME?</v>
      </c>
      <c r="P299" s="958"/>
    </row>
    <row r="300" spans="2:16">
      <c r="P300" s="957"/>
    </row>
    <row r="301" spans="2:16">
      <c r="P301" s="957"/>
    </row>
    <row r="302" spans="2:16">
      <c r="P302" s="957"/>
    </row>
    <row r="303" spans="2:16">
      <c r="P303" s="957"/>
    </row>
    <row r="304" spans="2:16">
      <c r="P304" s="957"/>
    </row>
    <row r="305" spans="16:16">
      <c r="P305" s="957"/>
    </row>
    <row r="306" spans="16:16">
      <c r="P306" s="957"/>
    </row>
    <row r="307" spans="16:16">
      <c r="P307" s="957"/>
    </row>
    <row r="308" spans="16:16">
      <c r="P308" s="957"/>
    </row>
    <row r="309" spans="16:16">
      <c r="P309" s="957"/>
    </row>
    <row r="310" spans="16:16">
      <c r="P310" s="957"/>
    </row>
    <row r="311" spans="16:16">
      <c r="P311" s="957"/>
    </row>
    <row r="312" spans="16:16">
      <c r="P312" s="957"/>
    </row>
    <row r="313" spans="16:16">
      <c r="P313" s="957"/>
    </row>
    <row r="314" spans="16:16">
      <c r="P314" s="957"/>
    </row>
    <row r="315" spans="16:16">
      <c r="P315" s="957"/>
    </row>
    <row r="316" spans="16:16">
      <c r="P316" s="957"/>
    </row>
    <row r="317" spans="16:16">
      <c r="P317" s="957"/>
    </row>
    <row r="318" spans="16:16">
      <c r="P318" s="957"/>
    </row>
    <row r="319" spans="16:16">
      <c r="P319" s="957"/>
    </row>
    <row r="320" spans="16:16">
      <c r="P320" s="959"/>
    </row>
    <row r="321" spans="16:16">
      <c r="P321" s="952"/>
    </row>
    <row r="322" spans="16:16">
      <c r="P322" s="952"/>
    </row>
    <row r="323" spans="16:16">
      <c r="P323" s="952"/>
    </row>
    <row r="324" spans="16:16">
      <c r="P324" s="952"/>
    </row>
    <row r="325" spans="16:16">
      <c r="P325" s="952"/>
    </row>
    <row r="326" spans="16:16">
      <c r="P326" s="952"/>
    </row>
    <row r="327" spans="16:16">
      <c r="P327" s="952"/>
    </row>
    <row r="328" spans="16:16">
      <c r="P328" s="952"/>
    </row>
    <row r="329" spans="16:16">
      <c r="P329" s="952"/>
    </row>
    <row r="330" spans="16:16">
      <c r="P330" s="952"/>
    </row>
    <row r="331" spans="16:16">
      <c r="P331" s="952"/>
    </row>
    <row r="332" spans="16:16">
      <c r="P332" s="952"/>
    </row>
    <row r="333" spans="16:16">
      <c r="P333" s="952"/>
    </row>
    <row r="334" spans="16:16">
      <c r="P334" s="952"/>
    </row>
    <row r="335" spans="16:16">
      <c r="P335" s="952"/>
    </row>
  </sheetData>
  <phoneticPr fontId="7"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9"/>
  <dimension ref="A1:IV271"/>
  <sheetViews>
    <sheetView workbookViewId="0">
      <pane xSplit="1" ySplit="4" topLeftCell="DY63" activePane="bottomRight" state="frozen"/>
      <selection pane="topRight" activeCell="B1" sqref="B1"/>
      <selection pane="bottomLeft" activeCell="A5" sqref="A5"/>
      <selection pane="bottomRight" activeCell="FA16" sqref="FA16"/>
    </sheetView>
  </sheetViews>
  <sheetFormatPr defaultRowHeight="10.8"/>
  <cols>
    <col min="1" max="1" width="40.875" customWidth="1"/>
    <col min="2" max="64" width="15.875" customWidth="1"/>
  </cols>
  <sheetData>
    <row r="1" spans="1:256" s="41" customFormat="1" ht="15" customHeight="1">
      <c r="A1" s="39" t="s">
        <v>1010</v>
      </c>
      <c r="B1" s="53">
        <v>2007</v>
      </c>
      <c r="C1" s="39" t="s">
        <v>1011</v>
      </c>
      <c r="D1" s="53">
        <v>2009</v>
      </c>
      <c r="E1" s="57"/>
      <c r="G1" s="42"/>
      <c r="H1" s="57" t="s">
        <v>1012</v>
      </c>
      <c r="I1" s="51">
        <v>0</v>
      </c>
      <c r="J1" s="52"/>
      <c r="K1" s="43"/>
      <c r="L1" s="42"/>
      <c r="M1" s="42"/>
      <c r="N1" s="42"/>
      <c r="O1" s="42"/>
      <c r="P1" s="42"/>
      <c r="T1" s="42"/>
      <c r="U1" s="42"/>
    </row>
    <row r="3" spans="1:256" s="38" customFormat="1" ht="15" customHeight="1">
      <c r="A3" s="44" t="s">
        <v>1207</v>
      </c>
      <c r="B3" s="38" t="s">
        <v>371</v>
      </c>
      <c r="C3" s="38" t="s">
        <v>372</v>
      </c>
      <c r="D3" s="38" t="s">
        <v>373</v>
      </c>
      <c r="E3" s="38" t="s">
        <v>374</v>
      </c>
      <c r="F3" s="38" t="s">
        <v>375</v>
      </c>
      <c r="G3" s="38" t="s">
        <v>376</v>
      </c>
      <c r="H3" s="38" t="s">
        <v>377</v>
      </c>
      <c r="I3" s="38" t="s">
        <v>378</v>
      </c>
      <c r="J3" s="38" t="s">
        <v>379</v>
      </c>
      <c r="K3" s="38" t="s">
        <v>380</v>
      </c>
      <c r="L3" s="38" t="s">
        <v>381</v>
      </c>
      <c r="M3" s="38" t="s">
        <v>382</v>
      </c>
      <c r="N3" s="38" t="s">
        <v>383</v>
      </c>
      <c r="O3" s="38" t="s">
        <v>384</v>
      </c>
      <c r="P3" s="38" t="s">
        <v>385</v>
      </c>
      <c r="Q3" s="38" t="s">
        <v>386</v>
      </c>
      <c r="R3" s="38" t="s">
        <v>387</v>
      </c>
      <c r="S3" s="38" t="s">
        <v>388</v>
      </c>
      <c r="T3" s="38" t="s">
        <v>389</v>
      </c>
      <c r="U3" s="38" t="s">
        <v>390</v>
      </c>
      <c r="V3" s="38" t="s">
        <v>391</v>
      </c>
      <c r="W3" s="38" t="s">
        <v>392</v>
      </c>
      <c r="X3" s="38" t="s">
        <v>393</v>
      </c>
      <c r="Y3" s="38" t="s">
        <v>394</v>
      </c>
      <c r="Z3" s="38" t="s">
        <v>395</v>
      </c>
      <c r="AA3" s="38" t="s">
        <v>396</v>
      </c>
      <c r="AB3" s="38" t="s">
        <v>397</v>
      </c>
      <c r="AC3" s="38" t="s">
        <v>398</v>
      </c>
      <c r="AD3" s="38" t="s">
        <v>399</v>
      </c>
      <c r="AE3" s="38" t="s">
        <v>400</v>
      </c>
      <c r="AF3" s="38" t="s">
        <v>401</v>
      </c>
      <c r="AG3" s="38" t="s">
        <v>402</v>
      </c>
      <c r="AH3" s="38" t="s">
        <v>403</v>
      </c>
      <c r="AI3" s="38" t="s">
        <v>404</v>
      </c>
      <c r="AJ3" s="38" t="s">
        <v>405</v>
      </c>
      <c r="AK3" s="38" t="s">
        <v>406</v>
      </c>
      <c r="AL3" s="38" t="s">
        <v>407</v>
      </c>
      <c r="AM3" s="38" t="s">
        <v>408</v>
      </c>
      <c r="AN3" s="38" t="s">
        <v>409</v>
      </c>
      <c r="AO3" s="38" t="s">
        <v>410</v>
      </c>
      <c r="AP3" s="38" t="s">
        <v>411</v>
      </c>
      <c r="AQ3" s="38" t="s">
        <v>412</v>
      </c>
      <c r="AR3" s="38" t="s">
        <v>413</v>
      </c>
      <c r="AS3" s="38" t="s">
        <v>414</v>
      </c>
      <c r="AT3" s="38" t="s">
        <v>415</v>
      </c>
      <c r="AU3" s="38" t="s">
        <v>416</v>
      </c>
      <c r="AV3" s="38" t="s">
        <v>417</v>
      </c>
      <c r="AW3" s="38" t="s">
        <v>418</v>
      </c>
      <c r="AX3" s="38" t="s">
        <v>419</v>
      </c>
      <c r="AY3" s="38" t="s">
        <v>420</v>
      </c>
      <c r="AZ3" s="38" t="s">
        <v>421</v>
      </c>
      <c r="BA3" s="38" t="s">
        <v>422</v>
      </c>
      <c r="BB3" s="38" t="s">
        <v>423</v>
      </c>
      <c r="BC3" s="38" t="s">
        <v>424</v>
      </c>
      <c r="BD3" s="38" t="s">
        <v>425</v>
      </c>
      <c r="BE3" s="38" t="s">
        <v>426</v>
      </c>
      <c r="BF3" s="38" t="s">
        <v>427</v>
      </c>
      <c r="BG3" s="38" t="s">
        <v>428</v>
      </c>
      <c r="BH3" s="38" t="s">
        <v>429</v>
      </c>
      <c r="BI3" s="38" t="s">
        <v>430</v>
      </c>
      <c r="BJ3" s="38" t="s">
        <v>431</v>
      </c>
      <c r="BK3" s="38" t="s">
        <v>432</v>
      </c>
      <c r="BL3" s="38" t="s">
        <v>433</v>
      </c>
      <c r="BM3" s="38" t="s">
        <v>434</v>
      </c>
      <c r="BN3" s="38" t="s">
        <v>435</v>
      </c>
      <c r="BO3" s="38" t="s">
        <v>436</v>
      </c>
      <c r="BP3" s="38" t="s">
        <v>437</v>
      </c>
      <c r="BQ3" s="38" t="s">
        <v>438</v>
      </c>
      <c r="BR3" s="38" t="s">
        <v>439</v>
      </c>
      <c r="BS3" s="38" t="s">
        <v>440</v>
      </c>
      <c r="BT3" s="38" t="s">
        <v>441</v>
      </c>
      <c r="BU3" s="38" t="s">
        <v>442</v>
      </c>
      <c r="BV3" s="38" t="s">
        <v>443</v>
      </c>
      <c r="BW3" s="38" t="s">
        <v>444</v>
      </c>
      <c r="BX3" s="38" t="s">
        <v>445</v>
      </c>
      <c r="BY3" s="38" t="s">
        <v>446</v>
      </c>
      <c r="BZ3" s="38" t="s">
        <v>447</v>
      </c>
      <c r="CA3" s="38" t="s">
        <v>448</v>
      </c>
      <c r="CB3" s="38" t="s">
        <v>449</v>
      </c>
      <c r="CC3" s="38" t="s">
        <v>450</v>
      </c>
      <c r="CD3" s="38" t="s">
        <v>451</v>
      </c>
      <c r="CE3" s="38" t="s">
        <v>452</v>
      </c>
      <c r="CF3" s="38" t="s">
        <v>453</v>
      </c>
      <c r="CG3" s="38" t="s">
        <v>454</v>
      </c>
      <c r="CH3" s="38" t="s">
        <v>455</v>
      </c>
      <c r="CI3" s="38" t="s">
        <v>456</v>
      </c>
      <c r="CJ3" s="38" t="s">
        <v>457</v>
      </c>
      <c r="CK3" s="38" t="s">
        <v>458</v>
      </c>
      <c r="CL3" s="38" t="s">
        <v>459</v>
      </c>
      <c r="CM3" s="38" t="s">
        <v>460</v>
      </c>
      <c r="CN3" s="38" t="s">
        <v>461</v>
      </c>
      <c r="CO3" s="38" t="s">
        <v>462</v>
      </c>
      <c r="CP3" s="38" t="s">
        <v>463</v>
      </c>
      <c r="CQ3" s="38" t="s">
        <v>464</v>
      </c>
      <c r="CR3" s="38" t="s">
        <v>465</v>
      </c>
      <c r="CS3" s="38" t="s">
        <v>466</v>
      </c>
      <c r="CT3" s="38" t="s">
        <v>467</v>
      </c>
      <c r="CU3" s="38" t="s">
        <v>468</v>
      </c>
      <c r="CV3" s="38" t="s">
        <v>469</v>
      </c>
      <c r="CW3" s="38" t="s">
        <v>470</v>
      </c>
      <c r="CX3" s="38" t="s">
        <v>471</v>
      </c>
      <c r="CY3" s="38" t="s">
        <v>472</v>
      </c>
      <c r="CZ3" s="38" t="s">
        <v>473</v>
      </c>
      <c r="DA3" s="38" t="s">
        <v>474</v>
      </c>
      <c r="DB3" s="38" t="s">
        <v>475</v>
      </c>
      <c r="DC3" s="38" t="s">
        <v>476</v>
      </c>
      <c r="DD3" s="38" t="s">
        <v>477</v>
      </c>
      <c r="DE3" s="38" t="s">
        <v>478</v>
      </c>
      <c r="DF3" s="38" t="s">
        <v>479</v>
      </c>
      <c r="DG3" s="38" t="s">
        <v>480</v>
      </c>
      <c r="DH3" s="38" t="s">
        <v>481</v>
      </c>
      <c r="DI3" s="38" t="s">
        <v>482</v>
      </c>
      <c r="DJ3" s="38" t="s">
        <v>483</v>
      </c>
      <c r="DK3" s="38" t="s">
        <v>484</v>
      </c>
      <c r="DL3" s="38" t="s">
        <v>485</v>
      </c>
      <c r="DM3" s="38" t="s">
        <v>486</v>
      </c>
      <c r="DN3" s="38" t="s">
        <v>487</v>
      </c>
      <c r="DO3" s="38" t="s">
        <v>488</v>
      </c>
      <c r="DP3" s="38" t="s">
        <v>489</v>
      </c>
      <c r="DQ3" s="38" t="s">
        <v>490</v>
      </c>
      <c r="DR3" s="38" t="s">
        <v>491</v>
      </c>
      <c r="DS3" s="38" t="s">
        <v>492</v>
      </c>
      <c r="DT3" s="38" t="s">
        <v>493</v>
      </c>
      <c r="DU3" s="38" t="s">
        <v>494</v>
      </c>
      <c r="DV3" s="38" t="s">
        <v>495</v>
      </c>
      <c r="DW3" s="38" t="s">
        <v>496</v>
      </c>
      <c r="DX3" s="38" t="s">
        <v>497</v>
      </c>
      <c r="DY3" s="38" t="s">
        <v>498</v>
      </c>
      <c r="DZ3" s="38" t="s">
        <v>499</v>
      </c>
      <c r="EA3" s="38" t="s">
        <v>500</v>
      </c>
      <c r="EB3" s="38" t="s">
        <v>501</v>
      </c>
      <c r="EC3" s="38" t="s">
        <v>502</v>
      </c>
      <c r="ED3" s="38" t="s">
        <v>503</v>
      </c>
      <c r="EE3" s="38" t="s">
        <v>504</v>
      </c>
      <c r="EF3" s="38" t="s">
        <v>505</v>
      </c>
      <c r="EG3" s="38" t="s">
        <v>506</v>
      </c>
      <c r="EH3" s="38" t="s">
        <v>507</v>
      </c>
      <c r="EI3" s="38" t="s">
        <v>508</v>
      </c>
      <c r="EJ3" s="38" t="s">
        <v>509</v>
      </c>
      <c r="EK3" s="38" t="s">
        <v>510</v>
      </c>
      <c r="EL3" s="38" t="s">
        <v>511</v>
      </c>
      <c r="EM3" s="38" t="s">
        <v>512</v>
      </c>
      <c r="EN3" s="38" t="s">
        <v>513</v>
      </c>
      <c r="EO3" s="38" t="s">
        <v>514</v>
      </c>
      <c r="EP3" s="38" t="s">
        <v>521</v>
      </c>
      <c r="EQ3" s="38" t="s">
        <v>522</v>
      </c>
      <c r="ER3" s="38" t="s">
        <v>523</v>
      </c>
      <c r="ES3" s="38" t="s">
        <v>524</v>
      </c>
      <c r="ET3" s="38" t="s">
        <v>525</v>
      </c>
      <c r="EU3" s="38" t="s">
        <v>526</v>
      </c>
      <c r="EV3" s="38" t="s">
        <v>527</v>
      </c>
      <c r="EW3" s="38" t="s">
        <v>528</v>
      </c>
      <c r="EX3" s="38" t="s">
        <v>529</v>
      </c>
      <c r="EY3" s="38" t="s">
        <v>530</v>
      </c>
      <c r="EZ3" s="38" t="s">
        <v>531</v>
      </c>
      <c r="FA3" s="38" t="s">
        <v>532</v>
      </c>
      <c r="FB3" s="38" t="s">
        <v>533</v>
      </c>
      <c r="FC3" s="38" t="s">
        <v>534</v>
      </c>
      <c r="FD3" s="38" t="s">
        <v>535</v>
      </c>
      <c r="FE3" s="38" t="s">
        <v>536</v>
      </c>
      <c r="FF3" s="38" t="s">
        <v>537</v>
      </c>
      <c r="FG3" s="38" t="s">
        <v>538</v>
      </c>
      <c r="FH3" s="38" t="s">
        <v>539</v>
      </c>
      <c r="FI3" s="38" t="s">
        <v>540</v>
      </c>
      <c r="FJ3" s="38" t="s">
        <v>541</v>
      </c>
      <c r="FK3" s="38" t="s">
        <v>542</v>
      </c>
      <c r="FL3" s="38" t="s">
        <v>543</v>
      </c>
      <c r="FM3" s="38" t="s">
        <v>544</v>
      </c>
      <c r="FN3" s="38" t="s">
        <v>545</v>
      </c>
      <c r="FO3" s="38" t="s">
        <v>546</v>
      </c>
      <c r="FP3" s="38" t="s">
        <v>547</v>
      </c>
      <c r="FQ3" s="38" t="s">
        <v>548</v>
      </c>
      <c r="FR3" s="38" t="s">
        <v>549</v>
      </c>
      <c r="FS3" s="38" t="s">
        <v>550</v>
      </c>
      <c r="FT3" s="38" t="s">
        <v>551</v>
      </c>
      <c r="FU3" s="38" t="s">
        <v>552</v>
      </c>
      <c r="FV3" s="38" t="s">
        <v>553</v>
      </c>
      <c r="FW3" s="38" t="s">
        <v>554</v>
      </c>
      <c r="FX3" s="38" t="s">
        <v>555</v>
      </c>
      <c r="FY3" s="38" t="s">
        <v>556</v>
      </c>
      <c r="FZ3" s="38" t="s">
        <v>557</v>
      </c>
      <c r="GA3" s="38" t="s">
        <v>558</v>
      </c>
      <c r="GB3" s="38" t="s">
        <v>559</v>
      </c>
      <c r="GC3" s="38" t="s">
        <v>560</v>
      </c>
      <c r="GD3" s="38" t="s">
        <v>561</v>
      </c>
      <c r="GE3" s="38" t="s">
        <v>562</v>
      </c>
      <c r="GF3" s="38" t="s">
        <v>563</v>
      </c>
      <c r="GG3" s="38" t="s">
        <v>564</v>
      </c>
      <c r="GH3" s="38" t="s">
        <v>565</v>
      </c>
      <c r="GI3" s="38" t="s">
        <v>566</v>
      </c>
      <c r="GJ3" s="38" t="s">
        <v>567</v>
      </c>
      <c r="GK3" s="38" t="s">
        <v>568</v>
      </c>
      <c r="GL3" s="38" t="s">
        <v>569</v>
      </c>
      <c r="GM3" s="38" t="s">
        <v>570</v>
      </c>
      <c r="GN3" s="38" t="s">
        <v>571</v>
      </c>
      <c r="GO3" s="38" t="s">
        <v>572</v>
      </c>
      <c r="GP3" s="38" t="s">
        <v>573</v>
      </c>
      <c r="GQ3" s="38" t="s">
        <v>574</v>
      </c>
      <c r="GR3" s="38" t="s">
        <v>575</v>
      </c>
      <c r="GS3" s="38" t="s">
        <v>576</v>
      </c>
      <c r="GT3" s="38" t="s">
        <v>577</v>
      </c>
      <c r="GU3" s="38" t="s">
        <v>578</v>
      </c>
      <c r="GV3" s="38" t="s">
        <v>579</v>
      </c>
      <c r="GW3" s="38" t="s">
        <v>580</v>
      </c>
      <c r="GX3" s="38" t="s">
        <v>581</v>
      </c>
      <c r="GY3" s="38" t="s">
        <v>582</v>
      </c>
      <c r="GZ3" s="38" t="s">
        <v>583</v>
      </c>
      <c r="HA3" s="38" t="s">
        <v>584</v>
      </c>
      <c r="HB3" s="38" t="s">
        <v>585</v>
      </c>
      <c r="HC3" s="38" t="s">
        <v>586</v>
      </c>
      <c r="HD3" s="38" t="s">
        <v>587</v>
      </c>
      <c r="HE3" s="38" t="s">
        <v>588</v>
      </c>
      <c r="HF3" s="38" t="s">
        <v>589</v>
      </c>
      <c r="HG3" s="38" t="s">
        <v>590</v>
      </c>
      <c r="HH3" s="38" t="s">
        <v>591</v>
      </c>
      <c r="HI3" s="38" t="s">
        <v>592</v>
      </c>
      <c r="HJ3" s="38" t="s">
        <v>593</v>
      </c>
      <c r="HK3" s="38" t="s">
        <v>594</v>
      </c>
      <c r="HL3" s="38" t="s">
        <v>595</v>
      </c>
      <c r="HM3" s="38" t="s">
        <v>596</v>
      </c>
      <c r="HN3" s="38" t="s">
        <v>597</v>
      </c>
      <c r="HO3" s="38" t="s">
        <v>598</v>
      </c>
      <c r="HP3" s="38" t="s">
        <v>599</v>
      </c>
      <c r="HQ3" s="38" t="s">
        <v>600</v>
      </c>
      <c r="HR3" s="38" t="s">
        <v>601</v>
      </c>
      <c r="HS3" s="38" t="s">
        <v>602</v>
      </c>
      <c r="HT3" s="38" t="s">
        <v>603</v>
      </c>
      <c r="HU3" s="38" t="s">
        <v>604</v>
      </c>
      <c r="HV3" s="38" t="s">
        <v>605</v>
      </c>
      <c r="HW3" s="38" t="s">
        <v>606</v>
      </c>
      <c r="HX3" s="38" t="s">
        <v>607</v>
      </c>
      <c r="HY3" s="38" t="s">
        <v>608</v>
      </c>
      <c r="HZ3" s="38" t="s">
        <v>609</v>
      </c>
      <c r="IA3" s="38" t="s">
        <v>610</v>
      </c>
      <c r="IB3" s="38" t="s">
        <v>611</v>
      </c>
      <c r="IC3" s="38" t="s">
        <v>612</v>
      </c>
      <c r="ID3" s="38" t="s">
        <v>613</v>
      </c>
      <c r="IE3" s="38" t="s">
        <v>614</v>
      </c>
      <c r="IF3" s="38" t="s">
        <v>615</v>
      </c>
      <c r="IG3" s="38" t="s">
        <v>616</v>
      </c>
      <c r="IH3" s="38" t="s">
        <v>617</v>
      </c>
      <c r="II3" s="38" t="s">
        <v>618</v>
      </c>
      <c r="IJ3" s="38" t="s">
        <v>619</v>
      </c>
      <c r="IK3" s="38" t="s">
        <v>620</v>
      </c>
      <c r="IL3" s="38" t="s">
        <v>621</v>
      </c>
      <c r="IM3" s="38" t="s">
        <v>622</v>
      </c>
      <c r="IN3" s="38" t="s">
        <v>623</v>
      </c>
      <c r="IO3" s="38" t="s">
        <v>624</v>
      </c>
      <c r="IP3" s="38" t="s">
        <v>625</v>
      </c>
      <c r="IQ3" s="38" t="s">
        <v>626</v>
      </c>
      <c r="IR3" s="38" t="s">
        <v>627</v>
      </c>
      <c r="IS3" s="38" t="s">
        <v>628</v>
      </c>
      <c r="IT3" s="38" t="s">
        <v>629</v>
      </c>
      <c r="IU3" s="38" t="s">
        <v>630</v>
      </c>
      <c r="IV3" s="38" t="s">
        <v>631</v>
      </c>
    </row>
    <row r="4" spans="1:256" s="35" customFormat="1" ht="15" hidden="1" customHeight="1"/>
    <row r="5" spans="1:256" s="50" customFormat="1" ht="15" customHeight="1">
      <c r="A5" s="27" t="s">
        <v>920</v>
      </c>
      <c r="B5" s="26"/>
      <c r="C5" s="22"/>
      <c r="D5" s="22"/>
      <c r="E5" s="22"/>
      <c r="F5" s="22"/>
      <c r="G5" s="22"/>
      <c r="H5" s="22"/>
      <c r="I5" s="22"/>
      <c r="J5" s="45"/>
      <c r="K5" s="45"/>
      <c r="L5" s="45"/>
      <c r="M5" s="45"/>
      <c r="N5" s="45"/>
      <c r="O5" s="45"/>
      <c r="P5" s="45"/>
      <c r="Q5" s="45"/>
      <c r="R5" s="45"/>
      <c r="S5" s="45"/>
      <c r="T5" s="22"/>
      <c r="U5" s="22"/>
      <c r="V5" s="45"/>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c r="BB5" s="45"/>
      <c r="BC5" s="45"/>
      <c r="BD5" s="45"/>
      <c r="BE5" s="45"/>
      <c r="BF5" s="45"/>
      <c r="BG5" s="45"/>
      <c r="BH5" s="45"/>
      <c r="BI5" s="45"/>
      <c r="BJ5" s="45"/>
      <c r="BK5" s="45"/>
      <c r="BL5" s="45"/>
      <c r="BM5" s="45"/>
      <c r="BN5" s="45"/>
      <c r="BO5" s="45"/>
      <c r="BP5" s="45"/>
      <c r="BQ5" s="45"/>
      <c r="BR5" s="45"/>
      <c r="BS5" s="45"/>
      <c r="BT5" s="45"/>
      <c r="BU5" s="45"/>
      <c r="BV5" s="45"/>
      <c r="BW5" s="45"/>
      <c r="BX5" s="45"/>
    </row>
    <row r="6" spans="1:256" s="41" customFormat="1" ht="15" customHeight="1">
      <c r="A6" s="25" t="s">
        <v>1222</v>
      </c>
      <c r="B6" s="22"/>
      <c r="C6" s="22"/>
      <c r="D6" s="22"/>
      <c r="E6" s="22"/>
      <c r="F6" s="22"/>
      <c r="G6" s="22"/>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2"/>
      <c r="CJ6" s="22"/>
      <c r="CK6" s="22"/>
      <c r="CL6" s="22"/>
      <c r="CM6" s="22"/>
      <c r="CN6" s="22"/>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2"/>
      <c r="DT6" s="22"/>
      <c r="DU6" s="22"/>
      <c r="DV6" s="22"/>
      <c r="DW6" s="22"/>
      <c r="DX6" s="22"/>
      <c r="DY6" s="22"/>
      <c r="DZ6" s="22"/>
      <c r="EA6" s="22"/>
      <c r="EB6" s="22"/>
      <c r="EC6" s="22"/>
      <c r="ED6" s="22"/>
      <c r="EE6" s="22"/>
      <c r="EF6" s="22"/>
      <c r="EG6" s="22"/>
      <c r="EH6" s="22"/>
      <c r="EI6" s="22"/>
      <c r="EJ6" s="22"/>
      <c r="EK6" s="22"/>
      <c r="EL6" s="22"/>
      <c r="EM6" s="22"/>
      <c r="EN6" s="22"/>
      <c r="EO6" s="22"/>
      <c r="EP6" s="22"/>
      <c r="EQ6" s="22"/>
      <c r="ER6" s="22"/>
      <c r="ES6" s="22"/>
      <c r="ET6" s="22"/>
      <c r="EU6" s="22"/>
      <c r="EV6" s="22"/>
      <c r="EW6" s="22"/>
      <c r="EX6" s="22"/>
      <c r="EY6" s="22"/>
      <c r="EZ6" s="22"/>
      <c r="FA6" s="22"/>
      <c r="FB6" s="22"/>
      <c r="FC6" s="22"/>
      <c r="FD6" s="22"/>
      <c r="FE6" s="22"/>
      <c r="FF6" s="22"/>
      <c r="FG6" s="22"/>
      <c r="FH6" s="22"/>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2"/>
      <c r="GN6" s="22"/>
      <c r="GO6" s="22"/>
      <c r="GP6" s="22"/>
      <c r="GQ6" s="22"/>
      <c r="GR6" s="22"/>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2"/>
      <c r="HX6" s="22"/>
      <c r="HY6" s="22"/>
      <c r="HZ6" s="22"/>
      <c r="IA6" s="22"/>
      <c r="IB6" s="22"/>
      <c r="IC6" s="22"/>
      <c r="ID6" s="22"/>
      <c r="IE6" s="22"/>
      <c r="IF6" s="22"/>
      <c r="IG6" s="22"/>
      <c r="IH6" s="22"/>
      <c r="II6" s="22"/>
      <c r="IJ6" s="22"/>
      <c r="IK6" s="22"/>
      <c r="IL6" s="22"/>
      <c r="IM6" s="22"/>
      <c r="IN6" s="22"/>
      <c r="IO6" s="22"/>
      <c r="IP6" s="22"/>
      <c r="IQ6" s="22"/>
      <c r="IR6" s="22"/>
      <c r="IS6" s="22"/>
      <c r="IT6" s="22"/>
      <c r="IU6" s="22"/>
      <c r="IV6" s="22"/>
    </row>
    <row r="7" spans="1:256" s="28" customFormat="1" ht="15" customHeight="1">
      <c r="A7" s="28" t="s">
        <v>916</v>
      </c>
    </row>
    <row r="8" spans="1:256" s="41" customFormat="1" ht="15" customHeight="1">
      <c r="A8" s="25" t="s">
        <v>1369</v>
      </c>
      <c r="B8" s="22"/>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c r="CD8" s="22"/>
      <c r="CE8" s="22"/>
      <c r="CF8" s="22"/>
      <c r="CG8" s="22"/>
      <c r="CH8" s="22"/>
      <c r="CI8" s="22"/>
      <c r="CJ8" s="22"/>
      <c r="CK8" s="22"/>
      <c r="CL8" s="22"/>
      <c r="CM8" s="22"/>
      <c r="CN8" s="22"/>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2"/>
      <c r="DT8" s="22"/>
      <c r="DU8" s="22"/>
      <c r="DV8" s="22"/>
      <c r="DW8" s="22"/>
      <c r="DX8" s="22"/>
      <c r="DY8" s="22"/>
      <c r="DZ8" s="22"/>
      <c r="EA8" s="22"/>
      <c r="EB8" s="22"/>
      <c r="EC8" s="22"/>
      <c r="ED8" s="22"/>
      <c r="EE8" s="22"/>
      <c r="EF8" s="22"/>
      <c r="EG8" s="22"/>
      <c r="EH8" s="22"/>
      <c r="EI8" s="22"/>
      <c r="EJ8" s="22"/>
      <c r="EK8" s="22"/>
      <c r="EL8" s="22"/>
      <c r="EM8" s="22"/>
      <c r="EN8" s="22"/>
      <c r="EO8" s="22"/>
      <c r="EP8" s="22"/>
      <c r="EQ8" s="22"/>
      <c r="ER8" s="22"/>
      <c r="ES8" s="22"/>
      <c r="ET8" s="22"/>
      <c r="EU8" s="22"/>
      <c r="EV8" s="22"/>
      <c r="EW8" s="22"/>
      <c r="EX8" s="22"/>
      <c r="EY8" s="22"/>
      <c r="EZ8" s="22"/>
      <c r="FA8" s="22"/>
      <c r="FB8" s="22"/>
      <c r="FC8" s="22"/>
      <c r="FD8" s="22"/>
      <c r="FE8" s="22"/>
      <c r="FF8" s="22"/>
      <c r="FG8" s="22"/>
      <c r="FH8" s="22"/>
      <c r="FI8" s="22"/>
      <c r="FJ8" s="22"/>
      <c r="FK8" s="22"/>
      <c r="FL8" s="22"/>
      <c r="FM8" s="22"/>
      <c r="FN8" s="22"/>
      <c r="FO8" s="22"/>
      <c r="FP8" s="22"/>
      <c r="FQ8" s="22"/>
      <c r="FR8" s="22"/>
      <c r="FS8" s="22"/>
      <c r="FT8" s="22"/>
      <c r="FU8" s="22"/>
      <c r="FV8" s="22"/>
      <c r="FW8" s="22"/>
      <c r="FX8" s="22"/>
      <c r="FY8" s="22"/>
      <c r="FZ8" s="22"/>
      <c r="GA8" s="22"/>
      <c r="GB8" s="22"/>
      <c r="GC8" s="22"/>
      <c r="GD8" s="22"/>
      <c r="GE8" s="22"/>
      <c r="GF8" s="22"/>
      <c r="GG8" s="22"/>
      <c r="GH8" s="22"/>
      <c r="GI8" s="22"/>
      <c r="GJ8" s="22"/>
      <c r="GK8" s="22"/>
      <c r="GL8" s="22"/>
      <c r="GM8" s="22"/>
      <c r="GN8" s="22"/>
      <c r="GO8" s="22"/>
      <c r="GP8" s="22"/>
      <c r="GQ8" s="22"/>
      <c r="GR8" s="22"/>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2"/>
      <c r="HX8" s="22"/>
      <c r="HY8" s="22"/>
      <c r="HZ8" s="22"/>
      <c r="IA8" s="22"/>
      <c r="IB8" s="22"/>
      <c r="IC8" s="22"/>
      <c r="ID8" s="22"/>
      <c r="IE8" s="22"/>
      <c r="IF8" s="22"/>
      <c r="IG8" s="22"/>
      <c r="IH8" s="22"/>
      <c r="II8" s="22"/>
      <c r="IJ8" s="22"/>
      <c r="IK8" s="22"/>
      <c r="IL8" s="22"/>
      <c r="IM8" s="22"/>
      <c r="IN8" s="22"/>
      <c r="IO8" s="22"/>
      <c r="IP8" s="22"/>
      <c r="IQ8" s="22"/>
      <c r="IR8" s="22"/>
      <c r="IS8" s="22"/>
      <c r="IT8" s="22"/>
      <c r="IU8" s="22"/>
      <c r="IV8" s="22"/>
    </row>
    <row r="9" spans="1:256" s="41" customFormat="1" ht="15" customHeight="1">
      <c r="A9" s="25" t="s">
        <v>1064</v>
      </c>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2"/>
      <c r="CJ9" s="22"/>
      <c r="CK9" s="22"/>
      <c r="CL9" s="22"/>
      <c r="CM9" s="22"/>
      <c r="CN9" s="22"/>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2"/>
      <c r="DT9" s="22"/>
      <c r="DU9" s="22"/>
      <c r="DV9" s="22"/>
      <c r="DW9" s="22"/>
      <c r="DX9" s="22"/>
      <c r="DY9" s="22"/>
      <c r="DZ9" s="22"/>
      <c r="EA9" s="22"/>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2"/>
      <c r="FD9" s="22"/>
      <c r="FE9" s="22"/>
      <c r="FF9" s="22"/>
      <c r="FG9" s="22"/>
      <c r="FH9" s="22"/>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2"/>
      <c r="GN9" s="22"/>
      <c r="GO9" s="22"/>
      <c r="GP9" s="22"/>
      <c r="GQ9" s="22"/>
      <c r="GR9" s="22"/>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2"/>
      <c r="HX9" s="22"/>
      <c r="HY9" s="22"/>
      <c r="HZ9" s="22"/>
      <c r="IA9" s="22"/>
      <c r="IB9" s="22"/>
      <c r="IC9" s="22"/>
      <c r="ID9" s="22"/>
      <c r="IE9" s="22"/>
      <c r="IF9" s="22"/>
      <c r="IG9" s="22"/>
      <c r="IH9" s="22"/>
      <c r="II9" s="22"/>
      <c r="IJ9" s="22"/>
      <c r="IK9" s="22"/>
      <c r="IL9" s="22"/>
      <c r="IM9" s="22"/>
      <c r="IN9" s="22"/>
      <c r="IO9" s="22"/>
      <c r="IP9" s="22"/>
      <c r="IQ9" s="22"/>
      <c r="IR9" s="22"/>
      <c r="IS9" s="22"/>
      <c r="IT9" s="22"/>
      <c r="IU9" s="22"/>
      <c r="IV9" s="22"/>
    </row>
    <row r="10" spans="1:256" s="41" customFormat="1" ht="15" customHeight="1">
      <c r="A10" s="25" t="s">
        <v>1205</v>
      </c>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2"/>
      <c r="CJ10" s="22"/>
      <c r="CK10" s="22"/>
      <c r="CL10" s="22"/>
      <c r="CM10" s="22"/>
      <c r="CN10" s="22"/>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2"/>
      <c r="DT10" s="22"/>
      <c r="DU10" s="22"/>
      <c r="DV10" s="22"/>
      <c r="DW10" s="22"/>
      <c r="DX10" s="22"/>
      <c r="DY10" s="22"/>
      <c r="DZ10" s="22"/>
      <c r="EA10" s="22"/>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2"/>
      <c r="FD10" s="22"/>
      <c r="FE10" s="22"/>
      <c r="FF10" s="22"/>
      <c r="FG10" s="22"/>
      <c r="FH10" s="22"/>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2"/>
      <c r="GN10" s="22"/>
      <c r="GO10" s="22"/>
      <c r="GP10" s="22"/>
      <c r="GQ10" s="22"/>
      <c r="GR10" s="22"/>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2"/>
      <c r="HX10" s="22"/>
      <c r="HY10" s="22"/>
      <c r="HZ10" s="22"/>
      <c r="IA10" s="22"/>
      <c r="IB10" s="22"/>
      <c r="IC10" s="22"/>
      <c r="ID10" s="22"/>
      <c r="IE10" s="22"/>
      <c r="IF10" s="22"/>
      <c r="IG10" s="22"/>
      <c r="IH10" s="22"/>
      <c r="II10" s="22"/>
      <c r="IJ10" s="22"/>
      <c r="IK10" s="22"/>
      <c r="IL10" s="22"/>
      <c r="IM10" s="22"/>
      <c r="IN10" s="22"/>
      <c r="IO10" s="22"/>
      <c r="IP10" s="22"/>
      <c r="IQ10" s="22"/>
      <c r="IR10" s="22"/>
      <c r="IS10" s="22"/>
      <c r="IT10" s="22"/>
      <c r="IU10" s="22"/>
      <c r="IV10" s="22"/>
    </row>
    <row r="11" spans="1:256" s="41" customFormat="1" ht="15" customHeight="1">
      <c r="A11" s="25" t="s">
        <v>1058</v>
      </c>
      <c r="B11" s="22"/>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2"/>
      <c r="DT11" s="22"/>
      <c r="DU11" s="22"/>
      <c r="DV11" s="22"/>
      <c r="DW11" s="22"/>
      <c r="DX11" s="22"/>
      <c r="DY11" s="22"/>
      <c r="DZ11" s="22"/>
      <c r="EA11" s="22"/>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2"/>
      <c r="FD11" s="22"/>
      <c r="FE11" s="22"/>
      <c r="FF11" s="22"/>
      <c r="FG11" s="22"/>
      <c r="FH11" s="22"/>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2"/>
      <c r="GN11" s="22"/>
      <c r="GO11" s="22"/>
      <c r="GP11" s="22"/>
      <c r="GQ11" s="22"/>
      <c r="GR11" s="22"/>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2"/>
      <c r="HX11" s="22"/>
      <c r="HY11" s="22"/>
      <c r="HZ11" s="22"/>
      <c r="IA11" s="22"/>
      <c r="IB11" s="22"/>
      <c r="IC11" s="22"/>
      <c r="ID11" s="22"/>
      <c r="IE11" s="22"/>
      <c r="IF11" s="22"/>
      <c r="IG11" s="22"/>
      <c r="IH11" s="22"/>
      <c r="II11" s="22"/>
      <c r="IJ11" s="22"/>
      <c r="IK11" s="22"/>
      <c r="IL11" s="22"/>
      <c r="IM11" s="22"/>
      <c r="IN11" s="22"/>
      <c r="IO11" s="22"/>
      <c r="IP11" s="22"/>
      <c r="IQ11" s="22"/>
      <c r="IR11" s="22"/>
      <c r="IS11" s="22"/>
      <c r="IT11" s="22"/>
      <c r="IU11" s="22"/>
      <c r="IV11" s="22"/>
    </row>
    <row r="12" spans="1:256" s="41" customFormat="1" ht="15" customHeight="1">
      <c r="A12" s="25" t="s">
        <v>1059</v>
      </c>
      <c r="B12" s="22"/>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2"/>
      <c r="CJ12" s="22"/>
      <c r="CK12" s="22"/>
      <c r="CL12" s="22"/>
      <c r="CM12" s="22"/>
      <c r="CN12" s="22"/>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2"/>
      <c r="DT12" s="22"/>
      <c r="DU12" s="22"/>
      <c r="DV12" s="22"/>
      <c r="DW12" s="22"/>
      <c r="DX12" s="22"/>
      <c r="DY12" s="22"/>
      <c r="DZ12" s="22"/>
      <c r="EA12" s="22"/>
      <c r="EB12" s="22"/>
      <c r="EC12" s="22"/>
      <c r="ED12" s="22"/>
      <c r="EE12" s="22"/>
      <c r="EF12" s="22"/>
      <c r="EG12" s="22"/>
      <c r="EH12" s="22"/>
      <c r="EI12" s="22"/>
      <c r="EJ12" s="22"/>
      <c r="EK12" s="22"/>
      <c r="EL12" s="22"/>
      <c r="EM12" s="22"/>
      <c r="EN12" s="22"/>
      <c r="EO12" s="22"/>
      <c r="EP12" s="22"/>
      <c r="EQ12" s="22"/>
      <c r="ER12" s="22"/>
      <c r="ES12" s="22"/>
      <c r="ET12" s="22"/>
      <c r="EU12" s="22"/>
      <c r="EV12" s="22"/>
      <c r="EW12" s="22"/>
      <c r="EX12" s="22"/>
      <c r="EY12" s="22"/>
      <c r="EZ12" s="22"/>
      <c r="FA12" s="22"/>
      <c r="FB12" s="22"/>
      <c r="FC12" s="22"/>
      <c r="FD12" s="22"/>
      <c r="FE12" s="22"/>
      <c r="FF12" s="22"/>
      <c r="FG12" s="22"/>
      <c r="FH12" s="22"/>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2"/>
      <c r="GN12" s="22"/>
      <c r="GO12" s="22"/>
      <c r="GP12" s="22"/>
      <c r="GQ12" s="22"/>
      <c r="GR12" s="22"/>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2"/>
      <c r="HX12" s="22"/>
      <c r="HY12" s="22"/>
      <c r="HZ12" s="22"/>
      <c r="IA12" s="22"/>
      <c r="IB12" s="22"/>
      <c r="IC12" s="22"/>
      <c r="ID12" s="22"/>
      <c r="IE12" s="22"/>
      <c r="IF12" s="22"/>
      <c r="IG12" s="22"/>
      <c r="IH12" s="22"/>
      <c r="II12" s="22"/>
      <c r="IJ12" s="22"/>
      <c r="IK12" s="22"/>
      <c r="IL12" s="22"/>
      <c r="IM12" s="22"/>
      <c r="IN12" s="22"/>
      <c r="IO12" s="22"/>
      <c r="IP12" s="22"/>
      <c r="IQ12" s="22"/>
      <c r="IR12" s="22"/>
      <c r="IS12" s="22"/>
      <c r="IT12" s="22"/>
      <c r="IU12" s="22"/>
      <c r="IV12" s="22"/>
    </row>
    <row r="13" spans="1:256" s="41" customFormat="1" ht="15" customHeight="1">
      <c r="A13" s="25" t="s">
        <v>863</v>
      </c>
      <c r="B13" s="22"/>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c r="CD13" s="22"/>
      <c r="CE13" s="22"/>
      <c r="CF13" s="22"/>
      <c r="CG13" s="22"/>
      <c r="CH13" s="22"/>
      <c r="CI13" s="22"/>
      <c r="CJ13" s="22"/>
      <c r="CK13" s="22"/>
      <c r="CL13" s="22"/>
      <c r="CM13" s="22"/>
      <c r="CN13" s="22"/>
      <c r="CO13" s="22"/>
      <c r="CP13" s="22"/>
      <c r="CQ13" s="22"/>
      <c r="CR13" s="22"/>
      <c r="CS13" s="22"/>
      <c r="CT13" s="22"/>
      <c r="CU13" s="22"/>
      <c r="CV13" s="22"/>
      <c r="CW13" s="22"/>
      <c r="CX13" s="22"/>
      <c r="CY13" s="22"/>
      <c r="CZ13" s="22"/>
      <c r="DA13" s="22"/>
      <c r="DB13" s="22"/>
      <c r="DC13" s="22"/>
      <c r="DD13" s="22"/>
      <c r="DE13" s="22"/>
      <c r="DF13" s="22"/>
      <c r="DG13" s="22"/>
      <c r="DH13" s="22"/>
      <c r="DI13" s="22"/>
      <c r="DJ13" s="22"/>
      <c r="DK13" s="22"/>
      <c r="DL13" s="22"/>
      <c r="DM13" s="22"/>
      <c r="DN13" s="22"/>
      <c r="DO13" s="22"/>
      <c r="DP13" s="22"/>
      <c r="DQ13" s="22"/>
      <c r="DR13" s="22"/>
      <c r="DS13" s="22"/>
      <c r="DT13" s="22"/>
      <c r="DU13" s="22"/>
      <c r="DV13" s="22"/>
      <c r="DW13" s="22"/>
      <c r="DX13" s="22"/>
      <c r="DY13" s="22"/>
      <c r="DZ13" s="22"/>
      <c r="EA13" s="22"/>
      <c r="EB13" s="22"/>
      <c r="EC13" s="22"/>
      <c r="ED13" s="22"/>
      <c r="EE13" s="22"/>
      <c r="EF13" s="22"/>
      <c r="EG13" s="22"/>
      <c r="EH13" s="22"/>
      <c r="EI13" s="22"/>
      <c r="EJ13" s="22"/>
      <c r="EK13" s="22"/>
      <c r="EL13" s="22"/>
      <c r="EM13" s="22"/>
      <c r="EN13" s="22"/>
      <c r="EO13" s="22"/>
      <c r="EP13" s="22"/>
      <c r="EQ13" s="22"/>
      <c r="ER13" s="22"/>
      <c r="ES13" s="22"/>
      <c r="ET13" s="22"/>
      <c r="EU13" s="22"/>
      <c r="EV13" s="22"/>
      <c r="EW13" s="22"/>
      <c r="EX13" s="22"/>
      <c r="EY13" s="22"/>
      <c r="EZ13" s="22"/>
      <c r="FA13" s="22"/>
      <c r="FB13" s="22"/>
      <c r="FC13" s="22"/>
      <c r="FD13" s="22"/>
      <c r="FE13" s="22"/>
      <c r="FF13" s="22"/>
      <c r="FG13" s="22"/>
      <c r="FH13" s="22"/>
      <c r="FI13" s="22"/>
      <c r="FJ13" s="22"/>
      <c r="FK13" s="22"/>
      <c r="FL13" s="22"/>
      <c r="FM13" s="22"/>
      <c r="FN13" s="22"/>
      <c r="FO13" s="22"/>
      <c r="FP13" s="22"/>
      <c r="FQ13" s="22"/>
      <c r="FR13" s="22"/>
      <c r="FS13" s="22"/>
      <c r="FT13" s="22"/>
      <c r="FU13" s="22"/>
      <c r="FV13" s="22"/>
      <c r="FW13" s="22"/>
      <c r="FX13" s="22"/>
      <c r="FY13" s="22"/>
      <c r="FZ13" s="22"/>
      <c r="GA13" s="22"/>
      <c r="GB13" s="22"/>
      <c r="GC13" s="22"/>
      <c r="GD13" s="22"/>
      <c r="GE13" s="22"/>
      <c r="GF13" s="22"/>
      <c r="GG13" s="22"/>
      <c r="GH13" s="22"/>
      <c r="GI13" s="22"/>
      <c r="GJ13" s="22"/>
      <c r="GK13" s="22"/>
      <c r="GL13" s="22"/>
      <c r="GM13" s="22"/>
      <c r="GN13" s="22"/>
      <c r="GO13" s="22"/>
      <c r="GP13" s="22"/>
      <c r="GQ13" s="22"/>
      <c r="GR13" s="22"/>
      <c r="GS13" s="22"/>
      <c r="GT13" s="22"/>
      <c r="GU13" s="22"/>
      <c r="GV13" s="22"/>
      <c r="GW13" s="22"/>
      <c r="GX13" s="22"/>
      <c r="GY13" s="22"/>
      <c r="GZ13" s="22"/>
      <c r="HA13" s="22"/>
      <c r="HB13" s="22"/>
      <c r="HC13" s="22"/>
      <c r="HD13" s="22"/>
      <c r="HE13" s="22"/>
      <c r="HF13" s="22"/>
      <c r="HG13" s="22"/>
      <c r="HH13" s="22"/>
      <c r="HI13" s="22"/>
      <c r="HJ13" s="22"/>
      <c r="HK13" s="22"/>
      <c r="HL13" s="22"/>
      <c r="HM13" s="22"/>
      <c r="HN13" s="22"/>
      <c r="HO13" s="22"/>
      <c r="HP13" s="22"/>
      <c r="HQ13" s="22"/>
      <c r="HR13" s="22"/>
      <c r="HS13" s="22"/>
      <c r="HT13" s="22"/>
      <c r="HU13" s="22"/>
      <c r="HV13" s="22"/>
      <c r="HW13" s="22"/>
      <c r="HX13" s="22"/>
      <c r="HY13" s="22"/>
      <c r="HZ13" s="22"/>
      <c r="IA13" s="22"/>
      <c r="IB13" s="22"/>
      <c r="IC13" s="22"/>
      <c r="ID13" s="22"/>
      <c r="IE13" s="22"/>
      <c r="IF13" s="22"/>
      <c r="IG13" s="22"/>
      <c r="IH13" s="22"/>
      <c r="II13" s="22"/>
      <c r="IJ13" s="22"/>
      <c r="IK13" s="22"/>
      <c r="IL13" s="22"/>
      <c r="IM13" s="22"/>
      <c r="IN13" s="22"/>
      <c r="IO13" s="22"/>
      <c r="IP13" s="22"/>
      <c r="IQ13" s="22"/>
      <c r="IR13" s="22"/>
      <c r="IS13" s="22"/>
      <c r="IT13" s="22"/>
      <c r="IU13" s="22"/>
      <c r="IV13" s="22"/>
    </row>
    <row r="14" spans="1:256" s="41" customFormat="1" ht="15" customHeight="1">
      <c r="A14" s="25" t="s">
        <v>864</v>
      </c>
      <c r="B14" s="22"/>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c r="CD14" s="22"/>
      <c r="CE14" s="22"/>
      <c r="CF14" s="22"/>
      <c r="CG14" s="22"/>
      <c r="CH14" s="22"/>
      <c r="CI14" s="22"/>
      <c r="CJ14" s="22"/>
      <c r="CK14" s="22"/>
      <c r="CL14" s="22"/>
      <c r="CM14" s="22"/>
      <c r="CN14" s="22"/>
      <c r="CO14" s="22"/>
      <c r="CP14" s="22"/>
      <c r="CQ14" s="22"/>
      <c r="CR14" s="22"/>
      <c r="CS14" s="22"/>
      <c r="CT14" s="22"/>
      <c r="CU14" s="22"/>
      <c r="CV14" s="22"/>
      <c r="CW14" s="22"/>
      <c r="CX14" s="22"/>
      <c r="CY14" s="22"/>
      <c r="CZ14" s="22"/>
      <c r="DA14" s="22"/>
      <c r="DB14" s="22"/>
      <c r="DC14" s="22"/>
      <c r="DD14" s="22"/>
      <c r="DE14" s="22"/>
      <c r="DF14" s="22"/>
      <c r="DG14" s="22"/>
      <c r="DH14" s="22"/>
      <c r="DI14" s="22"/>
      <c r="DJ14" s="22"/>
      <c r="DK14" s="22"/>
      <c r="DL14" s="22"/>
      <c r="DM14" s="22"/>
      <c r="DN14" s="22"/>
      <c r="DO14" s="22"/>
      <c r="DP14" s="22"/>
      <c r="DQ14" s="22"/>
      <c r="DR14" s="22"/>
      <c r="DS14" s="22"/>
      <c r="DT14" s="22"/>
      <c r="DU14" s="22"/>
      <c r="DV14" s="22"/>
      <c r="DW14" s="22"/>
      <c r="DX14" s="22"/>
      <c r="DY14" s="22"/>
      <c r="DZ14" s="22"/>
      <c r="EA14" s="22"/>
      <c r="EB14" s="22"/>
      <c r="EC14" s="22"/>
      <c r="ED14" s="22"/>
      <c r="EE14" s="22"/>
      <c r="EF14" s="22"/>
      <c r="EG14" s="22"/>
      <c r="EH14" s="22"/>
      <c r="EI14" s="22"/>
      <c r="EJ14" s="22"/>
      <c r="EK14" s="22"/>
      <c r="EL14" s="22"/>
      <c r="EM14" s="22"/>
      <c r="EN14" s="22"/>
      <c r="EO14" s="22"/>
      <c r="EP14" s="22"/>
      <c r="EQ14" s="22"/>
      <c r="ER14" s="22"/>
      <c r="ES14" s="22"/>
      <c r="ET14" s="22"/>
      <c r="EU14" s="22"/>
      <c r="EV14" s="22"/>
      <c r="EW14" s="22"/>
      <c r="EX14" s="22"/>
      <c r="EY14" s="22"/>
      <c r="EZ14" s="22"/>
      <c r="FA14" s="22"/>
      <c r="FB14" s="22"/>
      <c r="FC14" s="22"/>
      <c r="FD14" s="22"/>
      <c r="FE14" s="22"/>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H14" s="22"/>
      <c r="HI14" s="22"/>
      <c r="HJ14" s="22"/>
      <c r="HK14" s="22"/>
      <c r="HL14" s="22"/>
      <c r="HM14" s="22"/>
      <c r="HN14" s="22"/>
      <c r="HO14" s="22"/>
      <c r="HP14" s="22"/>
      <c r="HQ14" s="22"/>
      <c r="HR14" s="22"/>
      <c r="HS14" s="22"/>
      <c r="HT14" s="22"/>
      <c r="HU14" s="22"/>
      <c r="HV14" s="22"/>
      <c r="HW14" s="22"/>
      <c r="HX14" s="22"/>
      <c r="HY14" s="22"/>
      <c r="HZ14" s="22"/>
      <c r="IA14" s="22"/>
      <c r="IB14" s="22"/>
      <c r="IC14" s="22"/>
      <c r="ID14" s="22"/>
      <c r="IE14" s="22"/>
      <c r="IF14" s="22"/>
      <c r="IG14" s="22"/>
      <c r="IH14" s="22"/>
      <c r="II14" s="22"/>
      <c r="IJ14" s="22"/>
      <c r="IK14" s="22"/>
      <c r="IL14" s="22"/>
      <c r="IM14" s="22"/>
      <c r="IN14" s="22"/>
      <c r="IO14" s="22"/>
      <c r="IP14" s="22"/>
      <c r="IQ14" s="22"/>
      <c r="IR14" s="22"/>
      <c r="IS14" s="22"/>
      <c r="IT14" s="22"/>
      <c r="IU14" s="22"/>
      <c r="IV14" s="22"/>
    </row>
    <row r="15" spans="1:256" s="41" customFormat="1" ht="15" customHeight="1">
      <c r="A15" s="25" t="s">
        <v>865</v>
      </c>
      <c r="B15" s="22"/>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c r="CD15" s="22"/>
      <c r="CE15" s="22"/>
      <c r="CF15" s="22"/>
      <c r="CG15" s="22"/>
      <c r="CH15" s="22"/>
      <c r="CI15" s="22"/>
      <c r="CJ15" s="22"/>
      <c r="CK15" s="22"/>
      <c r="CL15" s="22"/>
      <c r="CM15" s="22"/>
      <c r="CN15" s="22"/>
      <c r="CO15" s="22"/>
      <c r="CP15" s="22"/>
      <c r="CQ15" s="22"/>
      <c r="CR15" s="22"/>
      <c r="CS15" s="22"/>
      <c r="CT15" s="22"/>
      <c r="CU15" s="22"/>
      <c r="CV15" s="22"/>
      <c r="CW15" s="22"/>
      <c r="CX15" s="22"/>
      <c r="CY15" s="22"/>
      <c r="CZ15" s="22"/>
      <c r="DA15" s="22"/>
      <c r="DB15" s="22"/>
      <c r="DC15" s="22"/>
      <c r="DD15" s="22"/>
      <c r="DE15" s="22"/>
      <c r="DF15" s="22"/>
      <c r="DG15" s="22"/>
      <c r="DH15" s="22"/>
      <c r="DI15" s="22"/>
      <c r="DJ15" s="22"/>
      <c r="DK15" s="22"/>
      <c r="DL15" s="22"/>
      <c r="DM15" s="22"/>
      <c r="DN15" s="22"/>
      <c r="DO15" s="22"/>
      <c r="DP15" s="22"/>
      <c r="DQ15" s="22"/>
      <c r="DR15" s="22"/>
      <c r="DS15" s="22"/>
      <c r="DT15" s="22"/>
      <c r="DU15" s="22"/>
      <c r="DV15" s="22"/>
      <c r="DW15" s="22"/>
      <c r="DX15" s="22"/>
      <c r="DY15" s="22"/>
      <c r="DZ15" s="22"/>
      <c r="EA15" s="22"/>
      <c r="EB15" s="22"/>
      <c r="EC15" s="22"/>
      <c r="ED15" s="22"/>
      <c r="EE15" s="22"/>
      <c r="EF15" s="22"/>
      <c r="EG15" s="22"/>
      <c r="EH15" s="22"/>
      <c r="EI15" s="22"/>
      <c r="EJ15" s="22"/>
      <c r="EK15" s="22"/>
      <c r="EL15" s="22"/>
      <c r="EM15" s="22"/>
      <c r="EN15" s="22"/>
      <c r="EO15" s="22"/>
      <c r="EP15" s="22"/>
      <c r="EQ15" s="22"/>
      <c r="ER15" s="22"/>
      <c r="ES15" s="22"/>
      <c r="ET15" s="22"/>
      <c r="EU15" s="22"/>
      <c r="EV15" s="22"/>
      <c r="EW15" s="22"/>
      <c r="EX15" s="22"/>
      <c r="EY15" s="22"/>
      <c r="EZ15" s="22"/>
      <c r="FA15" s="22"/>
      <c r="FB15" s="22"/>
      <c r="FC15" s="22"/>
      <c r="FD15" s="22"/>
      <c r="FE15" s="22"/>
      <c r="FF15" s="22"/>
      <c r="FG15" s="22"/>
      <c r="FH15" s="22"/>
      <c r="FI15" s="22"/>
      <c r="FJ15" s="22"/>
      <c r="FK15" s="22"/>
      <c r="FL15" s="22"/>
      <c r="FM15" s="22"/>
      <c r="FN15" s="22"/>
      <c r="FO15" s="22"/>
      <c r="FP15" s="22"/>
      <c r="FQ15" s="22"/>
      <c r="FR15" s="22"/>
      <c r="FS15" s="22"/>
      <c r="FT15" s="22"/>
      <c r="FU15" s="22"/>
      <c r="FV15" s="22"/>
      <c r="FW15" s="22"/>
      <c r="FX15" s="22"/>
      <c r="FY15" s="22"/>
      <c r="FZ15" s="22"/>
      <c r="GA15" s="22"/>
      <c r="GB15" s="22"/>
      <c r="GC15" s="22"/>
      <c r="GD15" s="22"/>
      <c r="GE15" s="22"/>
      <c r="GF15" s="22"/>
      <c r="GG15" s="22"/>
      <c r="GH15" s="22"/>
      <c r="GI15" s="22"/>
      <c r="GJ15" s="22"/>
      <c r="GK15" s="22"/>
      <c r="GL15" s="22"/>
      <c r="GM15" s="22"/>
      <c r="GN15" s="22"/>
      <c r="GO15" s="22"/>
      <c r="GP15" s="22"/>
      <c r="GQ15" s="22"/>
      <c r="GR15" s="22"/>
      <c r="GS15" s="22"/>
      <c r="GT15" s="22"/>
      <c r="GU15" s="22"/>
      <c r="GV15" s="22"/>
      <c r="GW15" s="22"/>
      <c r="GX15" s="22"/>
      <c r="GY15" s="22"/>
      <c r="GZ15" s="22"/>
      <c r="HA15" s="22"/>
      <c r="HB15" s="22"/>
      <c r="HC15" s="22"/>
      <c r="HD15" s="22"/>
      <c r="HE15" s="22"/>
      <c r="HF15" s="22"/>
      <c r="HG15" s="22"/>
      <c r="HH15" s="22"/>
      <c r="HI15" s="22"/>
      <c r="HJ15" s="22"/>
      <c r="HK15" s="22"/>
      <c r="HL15" s="22"/>
      <c r="HM15" s="22"/>
      <c r="HN15" s="22"/>
      <c r="HO15" s="22"/>
      <c r="HP15" s="22"/>
      <c r="HQ15" s="22"/>
      <c r="HR15" s="22"/>
      <c r="HS15" s="22"/>
      <c r="HT15" s="22"/>
      <c r="HU15" s="22"/>
      <c r="HV15" s="22"/>
      <c r="HW15" s="22"/>
      <c r="HX15" s="22"/>
      <c r="HY15" s="22"/>
      <c r="HZ15" s="22"/>
      <c r="IA15" s="22"/>
      <c r="IB15" s="22"/>
      <c r="IC15" s="22"/>
      <c r="ID15" s="22"/>
      <c r="IE15" s="22"/>
      <c r="IF15" s="22"/>
      <c r="IG15" s="22"/>
      <c r="IH15" s="22"/>
      <c r="II15" s="22"/>
      <c r="IJ15" s="22"/>
      <c r="IK15" s="22"/>
      <c r="IL15" s="22"/>
      <c r="IM15" s="22"/>
      <c r="IN15" s="22"/>
      <c r="IO15" s="22"/>
      <c r="IP15" s="22"/>
      <c r="IQ15" s="22"/>
      <c r="IR15" s="22"/>
      <c r="IS15" s="22"/>
      <c r="IT15" s="22"/>
      <c r="IU15" s="22"/>
      <c r="IV15" s="22"/>
    </row>
    <row r="16" spans="1:256" s="41" customFormat="1" ht="15" customHeight="1">
      <c r="A16" s="25" t="s">
        <v>866</v>
      </c>
      <c r="B16" s="22"/>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2"/>
      <c r="CJ16" s="22"/>
      <c r="CK16" s="22"/>
      <c r="CL16" s="22"/>
      <c r="CM16" s="22"/>
      <c r="CN16" s="22"/>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2"/>
      <c r="DT16" s="22"/>
      <c r="DU16" s="22"/>
      <c r="DV16" s="22"/>
      <c r="DW16" s="22"/>
      <c r="DX16" s="22"/>
      <c r="DY16" s="22"/>
      <c r="DZ16" s="22"/>
      <c r="EA16" s="22"/>
      <c r="EB16" s="22"/>
      <c r="EC16" s="22"/>
      <c r="ED16" s="22"/>
      <c r="EE16" s="22"/>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2"/>
      <c r="FD16" s="22"/>
      <c r="FE16" s="22"/>
      <c r="FF16" s="22"/>
      <c r="FG16" s="22"/>
      <c r="FH16" s="22"/>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2"/>
      <c r="GN16" s="22"/>
      <c r="GO16" s="22"/>
      <c r="GP16" s="22"/>
      <c r="GQ16" s="22"/>
      <c r="GR16" s="22"/>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2"/>
      <c r="HX16" s="22"/>
      <c r="HY16" s="22"/>
      <c r="HZ16" s="22"/>
      <c r="IA16" s="22"/>
      <c r="IB16" s="22"/>
      <c r="IC16" s="22"/>
      <c r="ID16" s="22"/>
      <c r="IE16" s="22"/>
      <c r="IF16" s="22"/>
      <c r="IG16" s="22"/>
      <c r="IH16" s="22"/>
      <c r="II16" s="22"/>
      <c r="IJ16" s="22"/>
      <c r="IK16" s="22"/>
      <c r="IL16" s="22"/>
      <c r="IM16" s="22"/>
      <c r="IN16" s="22"/>
      <c r="IO16" s="22"/>
      <c r="IP16" s="22"/>
      <c r="IQ16" s="22"/>
      <c r="IR16" s="22"/>
      <c r="IS16" s="22"/>
      <c r="IT16" s="22"/>
      <c r="IU16" s="22"/>
      <c r="IV16" s="22"/>
    </row>
    <row r="17" spans="1:256" s="41" customFormat="1" ht="15" customHeight="1">
      <c r="A17" s="25" t="s">
        <v>867</v>
      </c>
      <c r="B17" s="22"/>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2"/>
      <c r="DT17" s="22"/>
      <c r="DU17" s="22"/>
      <c r="DV17" s="22"/>
      <c r="DW17" s="22"/>
      <c r="DX17" s="22"/>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2"/>
      <c r="FD17" s="22"/>
      <c r="FE17" s="22"/>
      <c r="FF17" s="22"/>
      <c r="FG17" s="22"/>
      <c r="FH17" s="22"/>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2"/>
      <c r="GN17" s="22"/>
      <c r="GO17" s="22"/>
      <c r="GP17" s="22"/>
      <c r="GQ17" s="22"/>
      <c r="GR17" s="22"/>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2"/>
      <c r="HX17" s="22"/>
      <c r="HY17" s="22"/>
      <c r="HZ17" s="22"/>
      <c r="IA17" s="22"/>
      <c r="IB17" s="22"/>
      <c r="IC17" s="22"/>
      <c r="ID17" s="22"/>
      <c r="IE17" s="22"/>
      <c r="IF17" s="22"/>
      <c r="IG17" s="22"/>
      <c r="IH17" s="22"/>
      <c r="II17" s="22"/>
      <c r="IJ17" s="22"/>
      <c r="IK17" s="22"/>
      <c r="IL17" s="22"/>
      <c r="IM17" s="22"/>
      <c r="IN17" s="22"/>
      <c r="IO17" s="22"/>
      <c r="IP17" s="22"/>
      <c r="IQ17" s="22"/>
      <c r="IR17" s="22"/>
      <c r="IS17" s="22"/>
      <c r="IT17" s="22"/>
      <c r="IU17" s="22"/>
      <c r="IV17" s="22"/>
    </row>
    <row r="18" spans="1:256" s="41" customFormat="1" ht="15" customHeight="1">
      <c r="A18" s="25" t="s">
        <v>984</v>
      </c>
      <c r="B18" s="22"/>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2"/>
      <c r="DT18" s="22"/>
      <c r="DU18" s="22"/>
      <c r="DV18" s="22"/>
      <c r="DW18" s="22"/>
      <c r="DX18" s="22"/>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2"/>
      <c r="FD18" s="22"/>
      <c r="FE18" s="22"/>
      <c r="FF18" s="22"/>
      <c r="FG18" s="22"/>
      <c r="FH18" s="22"/>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2"/>
      <c r="GN18" s="22"/>
      <c r="GO18" s="22"/>
      <c r="GP18" s="22"/>
      <c r="GQ18" s="22"/>
      <c r="GR18" s="22"/>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2"/>
      <c r="HX18" s="22"/>
      <c r="HY18" s="22"/>
      <c r="HZ18" s="22"/>
      <c r="IA18" s="22"/>
      <c r="IB18" s="22"/>
      <c r="IC18" s="22"/>
      <c r="ID18" s="22"/>
      <c r="IE18" s="22"/>
      <c r="IF18" s="22"/>
      <c r="IG18" s="22"/>
      <c r="IH18" s="22"/>
      <c r="II18" s="22"/>
      <c r="IJ18" s="22"/>
      <c r="IK18" s="22"/>
      <c r="IL18" s="22"/>
      <c r="IM18" s="22"/>
      <c r="IN18" s="22"/>
      <c r="IO18" s="22"/>
      <c r="IP18" s="22"/>
      <c r="IQ18" s="22"/>
      <c r="IR18" s="22"/>
      <c r="IS18" s="22"/>
      <c r="IT18" s="22"/>
      <c r="IU18" s="22"/>
      <c r="IV18" s="22"/>
    </row>
    <row r="19" spans="1:256" s="41" customFormat="1" ht="15" customHeight="1">
      <c r="A19" s="25" t="s">
        <v>1370</v>
      </c>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2"/>
      <c r="DT19" s="22"/>
      <c r="DU19" s="22"/>
      <c r="DV19" s="22"/>
      <c r="DW19" s="22"/>
      <c r="DX19" s="22"/>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2"/>
      <c r="FD19" s="22"/>
      <c r="FE19" s="22"/>
      <c r="FF19" s="22"/>
      <c r="FG19" s="22"/>
      <c r="FH19" s="22"/>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2"/>
      <c r="GN19" s="22"/>
      <c r="GO19" s="22"/>
      <c r="GP19" s="22"/>
      <c r="GQ19" s="22"/>
      <c r="GR19" s="22"/>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2"/>
      <c r="HX19" s="22"/>
      <c r="HY19" s="22"/>
      <c r="HZ19" s="22"/>
      <c r="IA19" s="22"/>
      <c r="IB19" s="22"/>
      <c r="IC19" s="22"/>
      <c r="ID19" s="22"/>
      <c r="IE19" s="22"/>
      <c r="IF19" s="22"/>
      <c r="IG19" s="22"/>
      <c r="IH19" s="22"/>
      <c r="II19" s="22"/>
      <c r="IJ19" s="22"/>
      <c r="IK19" s="22"/>
      <c r="IL19" s="22"/>
      <c r="IM19" s="22"/>
      <c r="IN19" s="22"/>
      <c r="IO19" s="22"/>
      <c r="IP19" s="22"/>
      <c r="IQ19" s="22"/>
      <c r="IR19" s="22"/>
      <c r="IS19" s="22"/>
      <c r="IT19" s="22"/>
      <c r="IU19" s="22"/>
      <c r="IV19" s="22"/>
    </row>
    <row r="20" spans="1:256" s="41" customFormat="1" ht="15" customHeight="1">
      <c r="A20" s="25" t="s">
        <v>988</v>
      </c>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2"/>
      <c r="DT20" s="22"/>
      <c r="DU20" s="22"/>
      <c r="DV20" s="22"/>
      <c r="DW20" s="22"/>
      <c r="DX20" s="22"/>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2"/>
      <c r="HX20" s="22"/>
      <c r="HY20" s="22"/>
      <c r="HZ20" s="22"/>
      <c r="IA20" s="22"/>
      <c r="IB20" s="22"/>
      <c r="IC20" s="22"/>
      <c r="ID20" s="22"/>
      <c r="IE20" s="22"/>
      <c r="IF20" s="22"/>
      <c r="IG20" s="22"/>
      <c r="IH20" s="22"/>
      <c r="II20" s="22"/>
      <c r="IJ20" s="22"/>
      <c r="IK20" s="22"/>
      <c r="IL20" s="22"/>
      <c r="IM20" s="22"/>
      <c r="IN20" s="22"/>
      <c r="IO20" s="22"/>
      <c r="IP20" s="22"/>
      <c r="IQ20" s="22"/>
      <c r="IR20" s="22"/>
      <c r="IS20" s="22"/>
      <c r="IT20" s="22"/>
      <c r="IU20" s="22"/>
      <c r="IV20" s="22"/>
    </row>
    <row r="21" spans="1:256" s="41" customFormat="1" ht="15" customHeight="1">
      <c r="A21" s="25" t="s">
        <v>879</v>
      </c>
      <c r="B21" s="22"/>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2"/>
      <c r="DT21" s="22"/>
      <c r="DU21" s="22"/>
      <c r="DV21" s="22"/>
      <c r="DW21" s="22"/>
      <c r="DX21" s="22"/>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2"/>
      <c r="GN21" s="22"/>
      <c r="GO21" s="22"/>
      <c r="GP21" s="22"/>
      <c r="GQ21" s="22"/>
      <c r="GR21" s="22"/>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2"/>
      <c r="HX21" s="22"/>
      <c r="HY21" s="22"/>
      <c r="HZ21" s="22"/>
      <c r="IA21" s="22"/>
      <c r="IB21" s="22"/>
      <c r="IC21" s="22"/>
      <c r="ID21" s="22"/>
      <c r="IE21" s="22"/>
      <c r="IF21" s="22"/>
      <c r="IG21" s="22"/>
      <c r="IH21" s="22"/>
      <c r="II21" s="22"/>
      <c r="IJ21" s="22"/>
      <c r="IK21" s="22"/>
      <c r="IL21" s="22"/>
      <c r="IM21" s="22"/>
      <c r="IN21" s="22"/>
      <c r="IO21" s="22"/>
      <c r="IP21" s="22"/>
      <c r="IQ21" s="22"/>
      <c r="IR21" s="22"/>
      <c r="IS21" s="22"/>
      <c r="IT21" s="22"/>
      <c r="IU21" s="22"/>
      <c r="IV21" s="22"/>
    </row>
    <row r="22" spans="1:256" s="41" customFormat="1" ht="15" customHeight="1">
      <c r="A22" s="25" t="s">
        <v>880</v>
      </c>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2"/>
      <c r="DT22" s="22"/>
      <c r="DU22" s="22"/>
      <c r="DV22" s="22"/>
      <c r="DW22" s="22"/>
      <c r="DX22" s="22"/>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2"/>
      <c r="FD22" s="22"/>
      <c r="FE22" s="22"/>
      <c r="FF22" s="22"/>
      <c r="FG22" s="22"/>
      <c r="FH22" s="22"/>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2"/>
      <c r="GN22" s="22"/>
      <c r="GO22" s="22"/>
      <c r="GP22" s="22"/>
      <c r="GQ22" s="22"/>
      <c r="GR22" s="22"/>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2"/>
      <c r="HX22" s="22"/>
      <c r="HY22" s="22"/>
      <c r="HZ22" s="22"/>
      <c r="IA22" s="22"/>
      <c r="IB22" s="22"/>
      <c r="IC22" s="22"/>
      <c r="ID22" s="22"/>
      <c r="IE22" s="22"/>
      <c r="IF22" s="22"/>
      <c r="IG22" s="22"/>
      <c r="IH22" s="22"/>
      <c r="II22" s="22"/>
      <c r="IJ22" s="22"/>
      <c r="IK22" s="22"/>
      <c r="IL22" s="22"/>
      <c r="IM22" s="22"/>
      <c r="IN22" s="22"/>
      <c r="IO22" s="22"/>
      <c r="IP22" s="22"/>
      <c r="IQ22" s="22"/>
      <c r="IR22" s="22"/>
      <c r="IS22" s="22"/>
      <c r="IT22" s="22"/>
      <c r="IU22" s="22"/>
      <c r="IV22" s="22"/>
    </row>
    <row r="23" spans="1:256" s="41" customFormat="1" ht="15" customHeight="1">
      <c r="A23" s="25" t="s">
        <v>881</v>
      </c>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2"/>
      <c r="DT23" s="22"/>
      <c r="DU23" s="22"/>
      <c r="DV23" s="22"/>
      <c r="DW23" s="22"/>
      <c r="DX23" s="22"/>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2"/>
      <c r="FD23" s="22"/>
      <c r="FE23" s="22"/>
      <c r="FF23" s="22"/>
      <c r="FG23" s="22"/>
      <c r="FH23" s="22"/>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2"/>
      <c r="GN23" s="22"/>
      <c r="GO23" s="22"/>
      <c r="GP23" s="22"/>
      <c r="GQ23" s="22"/>
      <c r="GR23" s="22"/>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2"/>
      <c r="HX23" s="22"/>
      <c r="HY23" s="22"/>
      <c r="HZ23" s="22"/>
      <c r="IA23" s="22"/>
      <c r="IB23" s="22"/>
      <c r="IC23" s="22"/>
      <c r="ID23" s="22"/>
      <c r="IE23" s="22"/>
      <c r="IF23" s="22"/>
      <c r="IG23" s="22"/>
      <c r="IH23" s="22"/>
      <c r="II23" s="22"/>
      <c r="IJ23" s="22"/>
      <c r="IK23" s="22"/>
      <c r="IL23" s="22"/>
      <c r="IM23" s="22"/>
      <c r="IN23" s="22"/>
      <c r="IO23" s="22"/>
      <c r="IP23" s="22"/>
      <c r="IQ23" s="22"/>
      <c r="IR23" s="22"/>
      <c r="IS23" s="22"/>
      <c r="IT23" s="22"/>
      <c r="IU23" s="22"/>
      <c r="IV23" s="22"/>
    </row>
    <row r="24" spans="1:256" s="41" customFormat="1" ht="15" customHeight="1">
      <c r="A24" s="27" t="s">
        <v>1371</v>
      </c>
      <c r="B24" s="26"/>
      <c r="C24" s="22"/>
      <c r="D24" s="22"/>
      <c r="E24" s="22"/>
      <c r="F24" s="22"/>
      <c r="G24" s="22"/>
      <c r="H24" s="22"/>
      <c r="I24" s="22"/>
      <c r="J24" s="45"/>
      <c r="K24" s="45"/>
      <c r="L24" s="45"/>
      <c r="M24" s="45"/>
      <c r="N24" s="45"/>
      <c r="O24" s="45"/>
      <c r="P24" s="45"/>
      <c r="Q24" s="45"/>
      <c r="R24" s="45"/>
      <c r="S24" s="45"/>
      <c r="T24" s="22"/>
      <c r="U24" s="22"/>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row>
    <row r="25" spans="1:256" s="26" customFormat="1" ht="15" customHeight="1">
      <c r="A25" s="26" t="s">
        <v>1231</v>
      </c>
    </row>
    <row r="26" spans="1:256" s="41" customFormat="1" ht="15" customHeight="1">
      <c r="A26" s="25" t="s">
        <v>1060</v>
      </c>
      <c r="B26" s="22"/>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2"/>
      <c r="DT26" s="22"/>
      <c r="DU26" s="22"/>
      <c r="DV26" s="22"/>
      <c r="DW26" s="22"/>
      <c r="DX26" s="22"/>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2"/>
      <c r="GN26" s="22"/>
      <c r="GO26" s="22"/>
      <c r="GP26" s="22"/>
      <c r="GQ26" s="22"/>
      <c r="GR26" s="22"/>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2"/>
      <c r="HX26" s="22"/>
      <c r="HY26" s="22"/>
      <c r="HZ26" s="22"/>
      <c r="IA26" s="22"/>
      <c r="IB26" s="22"/>
      <c r="IC26" s="22"/>
      <c r="ID26" s="22"/>
      <c r="IE26" s="22"/>
      <c r="IF26" s="22"/>
      <c r="IG26" s="22"/>
      <c r="IH26" s="22"/>
      <c r="II26" s="22"/>
      <c r="IJ26" s="22"/>
      <c r="IK26" s="22"/>
      <c r="IL26" s="22"/>
      <c r="IM26" s="22"/>
      <c r="IN26" s="22"/>
      <c r="IO26" s="22"/>
      <c r="IP26" s="22"/>
      <c r="IQ26" s="22"/>
      <c r="IR26" s="22"/>
      <c r="IS26" s="22"/>
      <c r="IT26" s="22"/>
      <c r="IU26" s="22"/>
      <c r="IV26" s="22"/>
    </row>
    <row r="27" spans="1:256" s="41" customFormat="1" ht="15" customHeight="1">
      <c r="A27" s="25" t="s">
        <v>1372</v>
      </c>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2"/>
      <c r="DT27" s="22"/>
      <c r="DU27" s="22"/>
      <c r="DV27" s="22"/>
      <c r="DW27" s="22"/>
      <c r="DX27" s="22"/>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2"/>
      <c r="FD27" s="22"/>
      <c r="FE27" s="22"/>
      <c r="FF27" s="22"/>
      <c r="FG27" s="22"/>
      <c r="FH27" s="22"/>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2"/>
      <c r="GN27" s="22"/>
      <c r="GO27" s="22"/>
      <c r="GP27" s="22"/>
      <c r="GQ27" s="22"/>
      <c r="GR27" s="22"/>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2"/>
      <c r="HX27" s="22"/>
      <c r="HY27" s="22"/>
      <c r="HZ27" s="22"/>
      <c r="IA27" s="22"/>
      <c r="IB27" s="22"/>
      <c r="IC27" s="22"/>
      <c r="ID27" s="22"/>
      <c r="IE27" s="22"/>
      <c r="IF27" s="22"/>
      <c r="IG27" s="22"/>
      <c r="IH27" s="22"/>
      <c r="II27" s="22"/>
      <c r="IJ27" s="22"/>
      <c r="IK27" s="22"/>
      <c r="IL27" s="22"/>
      <c r="IM27" s="22"/>
      <c r="IN27" s="22"/>
      <c r="IO27" s="22"/>
      <c r="IP27" s="22"/>
      <c r="IQ27" s="22"/>
      <c r="IR27" s="22"/>
      <c r="IS27" s="22"/>
      <c r="IT27" s="22"/>
      <c r="IU27" s="22"/>
      <c r="IV27" s="22"/>
    </row>
    <row r="28" spans="1:256" s="41" customFormat="1" ht="15" customHeight="1">
      <c r="A28" s="25" t="s">
        <v>882</v>
      </c>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2"/>
      <c r="CJ28" s="22"/>
      <c r="CK28" s="22"/>
      <c r="CL28" s="22"/>
      <c r="CM28" s="22"/>
      <c r="CN28" s="22"/>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2"/>
      <c r="DT28" s="22"/>
      <c r="DU28" s="22"/>
      <c r="DV28" s="22"/>
      <c r="DW28" s="22"/>
      <c r="DX28" s="22"/>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2"/>
      <c r="FD28" s="22"/>
      <c r="FE28" s="22"/>
      <c r="FF28" s="22"/>
      <c r="FG28" s="22"/>
      <c r="FH28" s="22"/>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2"/>
      <c r="GN28" s="22"/>
      <c r="GO28" s="22"/>
      <c r="GP28" s="22"/>
      <c r="GQ28" s="22"/>
      <c r="GR28" s="22"/>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2"/>
      <c r="HX28" s="22"/>
      <c r="HY28" s="22"/>
      <c r="HZ28" s="22"/>
      <c r="IA28" s="22"/>
      <c r="IB28" s="22"/>
      <c r="IC28" s="22"/>
      <c r="ID28" s="22"/>
      <c r="IE28" s="22"/>
      <c r="IF28" s="22"/>
      <c r="IG28" s="22"/>
      <c r="IH28" s="22"/>
      <c r="II28" s="22"/>
      <c r="IJ28" s="22"/>
      <c r="IK28" s="22"/>
      <c r="IL28" s="22"/>
      <c r="IM28" s="22"/>
      <c r="IN28" s="22"/>
      <c r="IO28" s="22"/>
      <c r="IP28" s="22"/>
      <c r="IQ28" s="22"/>
      <c r="IR28" s="22"/>
      <c r="IS28" s="22"/>
      <c r="IT28" s="22"/>
      <c r="IU28" s="22"/>
      <c r="IV28" s="22"/>
    </row>
    <row r="29" spans="1:256" s="41" customFormat="1" ht="15" customHeight="1">
      <c r="A29" s="25" t="s">
        <v>883</v>
      </c>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2"/>
      <c r="DT29" s="22"/>
      <c r="DU29" s="22"/>
      <c r="DV29" s="22"/>
      <c r="DW29" s="22"/>
      <c r="DX29" s="22"/>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2"/>
      <c r="FD29" s="22"/>
      <c r="FE29" s="22"/>
      <c r="FF29" s="22"/>
      <c r="FG29" s="22"/>
      <c r="FH29" s="22"/>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2"/>
      <c r="GN29" s="22"/>
      <c r="GO29" s="22"/>
      <c r="GP29" s="22"/>
      <c r="GQ29" s="22"/>
      <c r="GR29" s="22"/>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2"/>
      <c r="HX29" s="22"/>
      <c r="HY29" s="22"/>
      <c r="HZ29" s="22"/>
      <c r="IA29" s="22"/>
      <c r="IB29" s="22"/>
      <c r="IC29" s="22"/>
      <c r="ID29" s="22"/>
      <c r="IE29" s="22"/>
      <c r="IF29" s="22"/>
      <c r="IG29" s="22"/>
      <c r="IH29" s="22"/>
      <c r="II29" s="22"/>
      <c r="IJ29" s="22"/>
      <c r="IK29" s="22"/>
      <c r="IL29" s="22"/>
      <c r="IM29" s="22"/>
      <c r="IN29" s="22"/>
      <c r="IO29" s="22"/>
      <c r="IP29" s="22"/>
      <c r="IQ29" s="22"/>
      <c r="IR29" s="22"/>
      <c r="IS29" s="22"/>
      <c r="IT29" s="22"/>
      <c r="IU29" s="22"/>
      <c r="IV29" s="22"/>
    </row>
    <row r="30" spans="1:256" s="41" customFormat="1" ht="15" customHeight="1">
      <c r="A30" s="25" t="s">
        <v>991</v>
      </c>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c r="CV30" s="22"/>
      <c r="CW30" s="22"/>
      <c r="CX30" s="22"/>
      <c r="CY30" s="22"/>
      <c r="CZ30" s="22"/>
      <c r="DA30" s="22"/>
      <c r="DB30" s="22"/>
      <c r="DC30" s="22"/>
      <c r="DD30" s="22"/>
      <c r="DE30" s="22"/>
      <c r="DF30" s="22"/>
      <c r="DG30" s="22"/>
      <c r="DH30" s="22"/>
      <c r="DI30" s="22"/>
      <c r="DJ30" s="22"/>
      <c r="DK30" s="22"/>
      <c r="DL30" s="22"/>
      <c r="DM30" s="22"/>
      <c r="DN30" s="22"/>
      <c r="DO30" s="22"/>
      <c r="DP30" s="22"/>
      <c r="DQ30" s="22"/>
      <c r="DR30" s="22"/>
      <c r="DS30" s="22"/>
      <c r="DT30" s="22"/>
      <c r="DU30" s="22"/>
      <c r="DV30" s="22"/>
      <c r="DW30" s="22"/>
      <c r="DX30" s="22"/>
      <c r="DY30" s="22"/>
      <c r="DZ30" s="22"/>
      <c r="EA30" s="22"/>
      <c r="EB30" s="22"/>
      <c r="EC30" s="22"/>
      <c r="ED30" s="22"/>
      <c r="EE30" s="22"/>
      <c r="EF30" s="22"/>
      <c r="EG30" s="22"/>
      <c r="EH30" s="22"/>
      <c r="EI30" s="22"/>
      <c r="EJ30" s="22"/>
      <c r="EK30" s="22"/>
      <c r="EL30" s="22"/>
      <c r="EM30" s="22"/>
      <c r="EN30" s="22"/>
      <c r="EO30" s="22"/>
      <c r="EP30" s="22"/>
      <c r="EQ30" s="22"/>
      <c r="ER30" s="22"/>
      <c r="ES30" s="22"/>
      <c r="ET30" s="22"/>
      <c r="EU30" s="22"/>
      <c r="EV30" s="22"/>
      <c r="EW30" s="22"/>
      <c r="EX30" s="22"/>
      <c r="EY30" s="22"/>
      <c r="EZ30" s="22"/>
      <c r="FA30" s="22"/>
      <c r="FB30" s="22"/>
      <c r="FC30" s="22"/>
      <c r="FD30" s="22"/>
      <c r="FE30" s="22"/>
      <c r="FF30" s="22"/>
      <c r="FG30" s="22"/>
      <c r="FH30" s="22"/>
      <c r="FI30" s="22"/>
      <c r="FJ30" s="22"/>
      <c r="FK30" s="22"/>
      <c r="FL30" s="22"/>
      <c r="FM30" s="22"/>
      <c r="FN30" s="22"/>
      <c r="FO30" s="22"/>
      <c r="FP30" s="22"/>
      <c r="FQ30" s="22"/>
      <c r="FR30" s="22"/>
      <c r="FS30" s="22"/>
      <c r="FT30" s="22"/>
      <c r="FU30" s="22"/>
      <c r="FV30" s="22"/>
      <c r="FW30" s="22"/>
      <c r="FX30" s="22"/>
      <c r="FY30" s="22"/>
      <c r="FZ30" s="22"/>
      <c r="GA30" s="22"/>
      <c r="GB30" s="22"/>
      <c r="GC30" s="22"/>
      <c r="GD30" s="22"/>
      <c r="GE30" s="22"/>
      <c r="GF30" s="22"/>
      <c r="GG30" s="22"/>
      <c r="GH30" s="22"/>
      <c r="GI30" s="22"/>
      <c r="GJ30" s="22"/>
      <c r="GK30" s="22"/>
      <c r="GL30" s="22"/>
      <c r="GM30" s="22"/>
      <c r="GN30" s="22"/>
      <c r="GO30" s="22"/>
      <c r="GP30" s="22"/>
      <c r="GQ30" s="22"/>
      <c r="GR30" s="22"/>
      <c r="GS30" s="22"/>
      <c r="GT30" s="22"/>
      <c r="GU30" s="22"/>
      <c r="GV30" s="22"/>
      <c r="GW30" s="22"/>
      <c r="GX30" s="22"/>
      <c r="GY30" s="22"/>
      <c r="GZ30" s="22"/>
      <c r="HA30" s="22"/>
      <c r="HB30" s="22"/>
      <c r="HC30" s="22"/>
      <c r="HD30" s="22"/>
      <c r="HE30" s="22"/>
      <c r="HF30" s="22"/>
      <c r="HG30" s="22"/>
      <c r="HH30" s="22"/>
      <c r="HI30" s="22"/>
      <c r="HJ30" s="22"/>
      <c r="HK30" s="22"/>
      <c r="HL30" s="22"/>
      <c r="HM30" s="22"/>
      <c r="HN30" s="22"/>
      <c r="HO30" s="22"/>
      <c r="HP30" s="22"/>
      <c r="HQ30" s="22"/>
      <c r="HR30" s="22"/>
      <c r="HS30" s="22"/>
      <c r="HT30" s="22"/>
      <c r="HU30" s="22"/>
      <c r="HV30" s="22"/>
      <c r="HW30" s="22"/>
      <c r="HX30" s="22"/>
      <c r="HY30" s="22"/>
      <c r="HZ30" s="22"/>
      <c r="IA30" s="22"/>
      <c r="IB30" s="22"/>
      <c r="IC30" s="22"/>
      <c r="ID30" s="22"/>
      <c r="IE30" s="22"/>
      <c r="IF30" s="22"/>
      <c r="IG30" s="22"/>
      <c r="IH30" s="22"/>
      <c r="II30" s="22"/>
      <c r="IJ30" s="22"/>
      <c r="IK30" s="22"/>
      <c r="IL30" s="22"/>
      <c r="IM30" s="22"/>
      <c r="IN30" s="22"/>
      <c r="IO30" s="22"/>
      <c r="IP30" s="22"/>
      <c r="IQ30" s="22"/>
      <c r="IR30" s="22"/>
      <c r="IS30" s="22"/>
      <c r="IT30" s="22"/>
      <c r="IU30" s="22"/>
      <c r="IV30" s="22"/>
    </row>
    <row r="31" spans="1:256" s="41" customFormat="1" ht="15" customHeight="1">
      <c r="A31" s="27" t="s">
        <v>921</v>
      </c>
      <c r="B31" s="26"/>
      <c r="C31" s="22"/>
      <c r="D31" s="22"/>
      <c r="E31" s="22"/>
      <c r="F31" s="22"/>
      <c r="G31" s="22"/>
      <c r="H31" s="22"/>
      <c r="I31" s="22"/>
      <c r="J31" s="45"/>
      <c r="K31" s="45"/>
      <c r="L31" s="45"/>
      <c r="M31" s="45"/>
      <c r="N31" s="45"/>
      <c r="O31" s="45"/>
      <c r="P31" s="45"/>
      <c r="Q31" s="45"/>
      <c r="R31" s="45"/>
      <c r="S31" s="45"/>
      <c r="T31" s="22"/>
      <c r="U31" s="22"/>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row>
    <row r="32" spans="1:256" s="26" customFormat="1" ht="15" customHeight="1">
      <c r="A32" s="26" t="s">
        <v>1366</v>
      </c>
    </row>
    <row r="33" spans="1:256" s="41" customFormat="1" ht="15" customHeight="1">
      <c r="A33" s="25" t="s">
        <v>884</v>
      </c>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c r="DA33" s="22"/>
      <c r="DB33" s="22"/>
      <c r="DC33" s="22"/>
      <c r="DD33" s="22"/>
      <c r="DE33" s="22"/>
      <c r="DF33" s="22"/>
      <c r="DG33" s="22"/>
      <c r="DH33" s="22"/>
      <c r="DI33" s="22"/>
      <c r="DJ33" s="22"/>
      <c r="DK33" s="22"/>
      <c r="DL33" s="22"/>
      <c r="DM33" s="22"/>
      <c r="DN33" s="22"/>
      <c r="DO33" s="22"/>
      <c r="DP33" s="22"/>
      <c r="DQ33" s="22"/>
      <c r="DR33" s="22"/>
      <c r="DS33" s="22"/>
      <c r="DT33" s="22"/>
      <c r="DU33" s="22"/>
      <c r="DV33" s="22"/>
      <c r="DW33" s="22"/>
      <c r="DX33" s="22"/>
      <c r="DY33" s="22"/>
      <c r="DZ33" s="22"/>
      <c r="EA33" s="22"/>
      <c r="EB33" s="22"/>
      <c r="EC33" s="22"/>
      <c r="ED33" s="22"/>
      <c r="EE33" s="22"/>
      <c r="EF33" s="22"/>
      <c r="EG33" s="22"/>
      <c r="EH33" s="22"/>
      <c r="EI33" s="22"/>
      <c r="EJ33" s="22"/>
      <c r="EK33" s="22"/>
      <c r="EL33" s="22"/>
      <c r="EM33" s="22"/>
      <c r="EN33" s="22"/>
      <c r="EO33" s="22"/>
      <c r="EP33" s="22"/>
      <c r="EQ33" s="22"/>
      <c r="ER33" s="22"/>
      <c r="ES33" s="22"/>
      <c r="ET33" s="22"/>
      <c r="EU33" s="22"/>
      <c r="EV33" s="22"/>
      <c r="EW33" s="22"/>
      <c r="EX33" s="22"/>
      <c r="EY33" s="22"/>
      <c r="EZ33" s="22"/>
      <c r="FA33" s="22"/>
      <c r="FB33" s="22"/>
      <c r="FC33" s="22"/>
      <c r="FD33" s="22"/>
      <c r="FE33" s="22"/>
      <c r="FF33" s="22"/>
      <c r="FG33" s="22"/>
      <c r="FH33" s="22"/>
      <c r="FI33" s="22"/>
      <c r="FJ33" s="22"/>
      <c r="FK33" s="22"/>
      <c r="FL33" s="22"/>
      <c r="FM33" s="22"/>
      <c r="FN33" s="22"/>
      <c r="FO33" s="22"/>
      <c r="FP33" s="22"/>
      <c r="FQ33" s="22"/>
      <c r="FR33" s="22"/>
      <c r="FS33" s="22"/>
      <c r="FT33" s="22"/>
      <c r="FU33" s="22"/>
      <c r="FV33" s="22"/>
      <c r="FW33" s="22"/>
      <c r="FX33" s="22"/>
      <c r="FY33" s="22"/>
      <c r="FZ33" s="22"/>
      <c r="GA33" s="22"/>
      <c r="GB33" s="22"/>
      <c r="GC33" s="22"/>
      <c r="GD33" s="22"/>
      <c r="GE33" s="22"/>
      <c r="GF33" s="22"/>
      <c r="GG33" s="22"/>
      <c r="GH33" s="22"/>
      <c r="GI33" s="22"/>
      <c r="GJ33" s="22"/>
      <c r="GK33" s="22"/>
      <c r="GL33" s="22"/>
      <c r="GM33" s="22"/>
      <c r="GN33" s="22"/>
      <c r="GO33" s="22"/>
      <c r="GP33" s="22"/>
      <c r="GQ33" s="22"/>
      <c r="GR33" s="22"/>
      <c r="GS33" s="22"/>
      <c r="GT33" s="22"/>
      <c r="GU33" s="22"/>
      <c r="GV33" s="22"/>
      <c r="GW33" s="22"/>
      <c r="GX33" s="22"/>
      <c r="GY33" s="22"/>
      <c r="GZ33" s="22"/>
      <c r="HA33" s="22"/>
      <c r="HB33" s="22"/>
      <c r="HC33" s="22"/>
      <c r="HD33" s="22"/>
      <c r="HE33" s="22"/>
      <c r="HF33" s="22"/>
      <c r="HG33" s="22"/>
      <c r="HH33" s="22"/>
      <c r="HI33" s="22"/>
      <c r="HJ33" s="22"/>
      <c r="HK33" s="22"/>
      <c r="HL33" s="22"/>
      <c r="HM33" s="22"/>
      <c r="HN33" s="22"/>
      <c r="HO33" s="22"/>
      <c r="HP33" s="22"/>
      <c r="HQ33" s="22"/>
      <c r="HR33" s="22"/>
      <c r="HS33" s="22"/>
      <c r="HT33" s="22"/>
      <c r="HU33" s="22"/>
      <c r="HV33" s="22"/>
      <c r="HW33" s="22"/>
      <c r="HX33" s="22"/>
      <c r="HY33" s="22"/>
      <c r="HZ33" s="22"/>
      <c r="IA33" s="22"/>
      <c r="IB33" s="22"/>
      <c r="IC33" s="22"/>
      <c r="ID33" s="22"/>
      <c r="IE33" s="22"/>
      <c r="IF33" s="22"/>
      <c r="IG33" s="22"/>
      <c r="IH33" s="22"/>
      <c r="II33" s="22"/>
      <c r="IJ33" s="22"/>
      <c r="IK33" s="22"/>
      <c r="IL33" s="22"/>
      <c r="IM33" s="22"/>
      <c r="IN33" s="22"/>
      <c r="IO33" s="22"/>
      <c r="IP33" s="22"/>
      <c r="IQ33" s="22"/>
      <c r="IR33" s="22"/>
      <c r="IS33" s="22"/>
      <c r="IT33" s="22"/>
      <c r="IU33" s="22"/>
      <c r="IV33" s="22"/>
    </row>
    <row r="34" spans="1:256" s="41" customFormat="1" ht="15" customHeight="1">
      <c r="A34" s="25" t="s">
        <v>975</v>
      </c>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c r="DA34" s="22"/>
      <c r="DB34" s="22"/>
      <c r="DC34" s="22"/>
      <c r="DD34" s="22"/>
      <c r="DE34" s="22"/>
      <c r="DF34" s="22"/>
      <c r="DG34" s="22"/>
      <c r="DH34" s="22"/>
      <c r="DI34" s="22"/>
      <c r="DJ34" s="22"/>
      <c r="DK34" s="22"/>
      <c r="DL34" s="22"/>
      <c r="DM34" s="22"/>
      <c r="DN34" s="22"/>
      <c r="DO34" s="22"/>
      <c r="DP34" s="22"/>
      <c r="DQ34" s="22"/>
      <c r="DR34" s="22"/>
      <c r="DS34" s="22"/>
      <c r="DT34" s="22"/>
      <c r="DU34" s="22"/>
      <c r="DV34" s="22"/>
      <c r="DW34" s="22"/>
      <c r="DX34" s="22"/>
      <c r="DY34" s="22"/>
      <c r="DZ34" s="22"/>
      <c r="EA34" s="22"/>
      <c r="EB34" s="22"/>
      <c r="EC34" s="22"/>
      <c r="ED34" s="22"/>
      <c r="EE34" s="22"/>
      <c r="EF34" s="22"/>
      <c r="EG34" s="22"/>
      <c r="EH34" s="22"/>
      <c r="EI34" s="22"/>
      <c r="EJ34" s="22"/>
      <c r="EK34" s="22"/>
      <c r="EL34" s="22"/>
      <c r="EM34" s="22"/>
      <c r="EN34" s="22"/>
      <c r="EO34" s="22"/>
      <c r="EP34" s="22"/>
      <c r="EQ34" s="22"/>
      <c r="ER34" s="22"/>
      <c r="ES34" s="22"/>
      <c r="ET34" s="22"/>
      <c r="EU34" s="22"/>
      <c r="EV34" s="22"/>
      <c r="EW34" s="22"/>
      <c r="EX34" s="22"/>
      <c r="EY34" s="22"/>
      <c r="EZ34" s="22"/>
      <c r="FA34" s="22"/>
      <c r="FB34" s="22"/>
      <c r="FC34" s="22"/>
      <c r="FD34" s="22"/>
      <c r="FE34" s="22"/>
      <c r="FF34" s="22"/>
      <c r="FG34" s="22"/>
      <c r="FH34" s="22"/>
      <c r="FI34" s="22"/>
      <c r="FJ34" s="22"/>
      <c r="FK34" s="22"/>
      <c r="FL34" s="22"/>
      <c r="FM34" s="22"/>
      <c r="FN34" s="22"/>
      <c r="FO34" s="22"/>
      <c r="FP34" s="22"/>
      <c r="FQ34" s="22"/>
      <c r="FR34" s="22"/>
      <c r="FS34" s="22"/>
      <c r="FT34" s="22"/>
      <c r="FU34" s="22"/>
      <c r="FV34" s="22"/>
      <c r="FW34" s="22"/>
      <c r="FX34" s="22"/>
      <c r="FY34" s="22"/>
      <c r="FZ34" s="22"/>
      <c r="GA34" s="22"/>
      <c r="GB34" s="22"/>
      <c r="GC34" s="22"/>
      <c r="GD34" s="22"/>
      <c r="GE34" s="22"/>
      <c r="GF34" s="22"/>
      <c r="GG34" s="22"/>
      <c r="GH34" s="22"/>
      <c r="GI34" s="22"/>
      <c r="GJ34" s="22"/>
      <c r="GK34" s="22"/>
      <c r="GL34" s="22"/>
      <c r="GM34" s="22"/>
      <c r="GN34" s="22"/>
      <c r="GO34" s="22"/>
      <c r="GP34" s="22"/>
      <c r="GQ34" s="22"/>
      <c r="GR34" s="22"/>
      <c r="GS34" s="22"/>
      <c r="GT34" s="22"/>
      <c r="GU34" s="22"/>
      <c r="GV34" s="22"/>
      <c r="GW34" s="22"/>
      <c r="GX34" s="22"/>
      <c r="GY34" s="22"/>
      <c r="GZ34" s="22"/>
      <c r="HA34" s="22"/>
      <c r="HB34" s="22"/>
      <c r="HC34" s="22"/>
      <c r="HD34" s="22"/>
      <c r="HE34" s="22"/>
      <c r="HF34" s="22"/>
      <c r="HG34" s="22"/>
      <c r="HH34" s="22"/>
      <c r="HI34" s="22"/>
      <c r="HJ34" s="22"/>
      <c r="HK34" s="22"/>
      <c r="HL34" s="22"/>
      <c r="HM34" s="22"/>
      <c r="HN34" s="22"/>
      <c r="HO34" s="22"/>
      <c r="HP34" s="22"/>
      <c r="HQ34" s="22"/>
      <c r="HR34" s="22"/>
      <c r="HS34" s="22"/>
      <c r="HT34" s="22"/>
      <c r="HU34" s="22"/>
      <c r="HV34" s="22"/>
      <c r="HW34" s="22"/>
      <c r="HX34" s="22"/>
      <c r="HY34" s="22"/>
      <c r="HZ34" s="22"/>
      <c r="IA34" s="22"/>
      <c r="IB34" s="22"/>
      <c r="IC34" s="22"/>
      <c r="ID34" s="22"/>
      <c r="IE34" s="22"/>
      <c r="IF34" s="22"/>
      <c r="IG34" s="22"/>
      <c r="IH34" s="22"/>
      <c r="II34" s="22"/>
      <c r="IJ34" s="22"/>
      <c r="IK34" s="22"/>
      <c r="IL34" s="22"/>
      <c r="IM34" s="22"/>
      <c r="IN34" s="22"/>
      <c r="IO34" s="22"/>
      <c r="IP34" s="22"/>
      <c r="IQ34" s="22"/>
      <c r="IR34" s="22"/>
      <c r="IS34" s="22"/>
      <c r="IT34" s="22"/>
      <c r="IU34" s="22"/>
      <c r="IV34" s="22"/>
    </row>
    <row r="35" spans="1:256" s="41" customFormat="1" ht="15" customHeight="1">
      <c r="A35" s="25" t="s">
        <v>1373</v>
      </c>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c r="DA35" s="22"/>
      <c r="DB35" s="22"/>
      <c r="DC35" s="22"/>
      <c r="DD35" s="22"/>
      <c r="DE35" s="22"/>
      <c r="DF35" s="22"/>
      <c r="DG35" s="22"/>
      <c r="DH35" s="22"/>
      <c r="DI35" s="22"/>
      <c r="DJ35" s="22"/>
      <c r="DK35" s="22"/>
      <c r="DL35" s="22"/>
      <c r="DM35" s="22"/>
      <c r="DN35" s="22"/>
      <c r="DO35" s="22"/>
      <c r="DP35" s="22"/>
      <c r="DQ35" s="22"/>
      <c r="DR35" s="22"/>
      <c r="DS35" s="22"/>
      <c r="DT35" s="22"/>
      <c r="DU35" s="22"/>
      <c r="DV35" s="22"/>
      <c r="DW35" s="22"/>
      <c r="DX35" s="22"/>
      <c r="DY35" s="22"/>
      <c r="DZ35" s="22"/>
      <c r="EA35" s="22"/>
      <c r="EB35" s="22"/>
      <c r="EC35" s="22"/>
      <c r="ED35" s="22"/>
      <c r="EE35" s="22"/>
      <c r="EF35" s="22"/>
      <c r="EG35" s="22"/>
      <c r="EH35" s="22"/>
      <c r="EI35" s="22"/>
      <c r="EJ35" s="22"/>
      <c r="EK35" s="22"/>
      <c r="EL35" s="22"/>
      <c r="EM35" s="22"/>
      <c r="EN35" s="22"/>
      <c r="EO35" s="22"/>
      <c r="EP35" s="22"/>
      <c r="EQ35" s="22"/>
      <c r="ER35" s="22"/>
      <c r="ES35" s="22"/>
      <c r="ET35" s="22"/>
      <c r="EU35" s="22"/>
      <c r="EV35" s="22"/>
      <c r="EW35" s="22"/>
      <c r="EX35" s="22"/>
      <c r="EY35" s="22"/>
      <c r="EZ35" s="22"/>
      <c r="FA35" s="22"/>
      <c r="FB35" s="22"/>
      <c r="FC35" s="22"/>
      <c r="FD35" s="22"/>
      <c r="FE35" s="22"/>
      <c r="FF35" s="22"/>
      <c r="FG35" s="22"/>
      <c r="FH35" s="22"/>
      <c r="FI35" s="22"/>
      <c r="FJ35" s="22"/>
      <c r="FK35" s="22"/>
      <c r="FL35" s="22"/>
      <c r="FM35" s="22"/>
      <c r="FN35" s="22"/>
      <c r="FO35" s="22"/>
      <c r="FP35" s="22"/>
      <c r="FQ35" s="22"/>
      <c r="FR35" s="22"/>
      <c r="FS35" s="22"/>
      <c r="FT35" s="22"/>
      <c r="FU35" s="22"/>
      <c r="FV35" s="22"/>
      <c r="FW35" s="22"/>
      <c r="FX35" s="22"/>
      <c r="FY35" s="22"/>
      <c r="FZ35" s="22"/>
      <c r="GA35" s="22"/>
      <c r="GB35" s="22"/>
      <c r="GC35" s="22"/>
      <c r="GD35" s="22"/>
      <c r="GE35" s="22"/>
      <c r="GF35" s="22"/>
      <c r="GG35" s="22"/>
      <c r="GH35" s="22"/>
      <c r="GI35" s="22"/>
      <c r="GJ35" s="22"/>
      <c r="GK35" s="22"/>
      <c r="GL35" s="22"/>
      <c r="GM35" s="22"/>
      <c r="GN35" s="22"/>
      <c r="GO35" s="22"/>
      <c r="GP35" s="22"/>
      <c r="GQ35" s="22"/>
      <c r="GR35" s="22"/>
      <c r="GS35" s="22"/>
      <c r="GT35" s="22"/>
      <c r="GU35" s="22"/>
      <c r="GV35" s="22"/>
      <c r="GW35" s="22"/>
      <c r="GX35" s="22"/>
      <c r="GY35" s="22"/>
      <c r="GZ35" s="22"/>
      <c r="HA35" s="22"/>
      <c r="HB35" s="22"/>
      <c r="HC35" s="22"/>
      <c r="HD35" s="22"/>
      <c r="HE35" s="22"/>
      <c r="HF35" s="22"/>
      <c r="HG35" s="22"/>
      <c r="HH35" s="22"/>
      <c r="HI35" s="22"/>
      <c r="HJ35" s="22"/>
      <c r="HK35" s="22"/>
      <c r="HL35" s="22"/>
      <c r="HM35" s="22"/>
      <c r="HN35" s="22"/>
      <c r="HO35" s="22"/>
      <c r="HP35" s="22"/>
      <c r="HQ35" s="22"/>
      <c r="HR35" s="22"/>
      <c r="HS35" s="22"/>
      <c r="HT35" s="22"/>
      <c r="HU35" s="22"/>
      <c r="HV35" s="22"/>
      <c r="HW35" s="22"/>
      <c r="HX35" s="22"/>
      <c r="HY35" s="22"/>
      <c r="HZ35" s="22"/>
      <c r="IA35" s="22"/>
      <c r="IB35" s="22"/>
      <c r="IC35" s="22"/>
      <c r="ID35" s="22"/>
      <c r="IE35" s="22"/>
      <c r="IF35" s="22"/>
      <c r="IG35" s="22"/>
      <c r="IH35" s="22"/>
      <c r="II35" s="22"/>
      <c r="IJ35" s="22"/>
      <c r="IK35" s="22"/>
      <c r="IL35" s="22"/>
      <c r="IM35" s="22"/>
      <c r="IN35" s="22"/>
      <c r="IO35" s="22"/>
      <c r="IP35" s="22"/>
      <c r="IQ35" s="22"/>
      <c r="IR35" s="22"/>
      <c r="IS35" s="22"/>
      <c r="IT35" s="22"/>
      <c r="IU35" s="22"/>
      <c r="IV35" s="22"/>
    </row>
    <row r="36" spans="1:256" s="41" customFormat="1" ht="15" customHeight="1">
      <c r="A36" s="25" t="s">
        <v>1374</v>
      </c>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c r="DA36" s="22"/>
      <c r="DB36" s="22"/>
      <c r="DC36" s="22"/>
      <c r="DD36" s="22"/>
      <c r="DE36" s="22"/>
      <c r="DF36" s="22"/>
      <c r="DG36" s="22"/>
      <c r="DH36" s="22"/>
      <c r="DI36" s="22"/>
      <c r="DJ36" s="22"/>
      <c r="DK36" s="22"/>
      <c r="DL36" s="22"/>
      <c r="DM36" s="22"/>
      <c r="DN36" s="22"/>
      <c r="DO36" s="22"/>
      <c r="DP36" s="22"/>
      <c r="DQ36" s="22"/>
      <c r="DR36" s="22"/>
      <c r="DS36" s="22"/>
      <c r="DT36" s="22"/>
      <c r="DU36" s="22"/>
      <c r="DV36" s="22"/>
      <c r="DW36" s="22"/>
      <c r="DX36" s="22"/>
      <c r="DY36" s="22"/>
      <c r="DZ36" s="22"/>
      <c r="EA36" s="22"/>
      <c r="EB36" s="22"/>
      <c r="EC36" s="22"/>
      <c r="ED36" s="22"/>
      <c r="EE36" s="22"/>
      <c r="EF36" s="22"/>
      <c r="EG36" s="22"/>
      <c r="EH36" s="22"/>
      <c r="EI36" s="22"/>
      <c r="EJ36" s="22"/>
      <c r="EK36" s="22"/>
      <c r="EL36" s="22"/>
      <c r="EM36" s="22"/>
      <c r="EN36" s="22"/>
      <c r="EO36" s="22"/>
      <c r="EP36" s="22"/>
      <c r="EQ36" s="22"/>
      <c r="ER36" s="22"/>
      <c r="ES36" s="22"/>
      <c r="ET36" s="22"/>
      <c r="EU36" s="22"/>
      <c r="EV36" s="22"/>
      <c r="EW36" s="22"/>
      <c r="EX36" s="22"/>
      <c r="EY36" s="22"/>
      <c r="EZ36" s="22"/>
      <c r="FA36" s="22"/>
      <c r="FB36" s="22"/>
      <c r="FC36" s="22"/>
      <c r="FD36" s="22"/>
      <c r="FE36" s="22"/>
      <c r="FF36" s="22"/>
      <c r="FG36" s="22"/>
      <c r="FH36" s="22"/>
      <c r="FI36" s="22"/>
      <c r="FJ36" s="22"/>
      <c r="FK36" s="22"/>
      <c r="FL36" s="22"/>
      <c r="FM36" s="22"/>
      <c r="FN36" s="22"/>
      <c r="FO36" s="22"/>
      <c r="FP36" s="22"/>
      <c r="FQ36" s="22"/>
      <c r="FR36" s="22"/>
      <c r="FS36" s="22"/>
      <c r="FT36" s="22"/>
      <c r="FU36" s="22"/>
      <c r="FV36" s="22"/>
      <c r="FW36" s="22"/>
      <c r="FX36" s="22"/>
      <c r="FY36" s="22"/>
      <c r="FZ36" s="22"/>
      <c r="GA36" s="22"/>
      <c r="GB36" s="22"/>
      <c r="GC36" s="22"/>
      <c r="GD36" s="22"/>
      <c r="GE36" s="22"/>
      <c r="GF36" s="22"/>
      <c r="GG36" s="22"/>
      <c r="GH36" s="22"/>
      <c r="GI36" s="22"/>
      <c r="GJ36" s="22"/>
      <c r="GK36" s="22"/>
      <c r="GL36" s="22"/>
      <c r="GM36" s="22"/>
      <c r="GN36" s="22"/>
      <c r="GO36" s="22"/>
      <c r="GP36" s="22"/>
      <c r="GQ36" s="22"/>
      <c r="GR36" s="22"/>
      <c r="GS36" s="22"/>
      <c r="GT36" s="22"/>
      <c r="GU36" s="22"/>
      <c r="GV36" s="22"/>
      <c r="GW36" s="22"/>
      <c r="GX36" s="22"/>
      <c r="GY36" s="22"/>
      <c r="GZ36" s="22"/>
      <c r="HA36" s="22"/>
      <c r="HB36" s="22"/>
      <c r="HC36" s="22"/>
      <c r="HD36" s="22"/>
      <c r="HE36" s="22"/>
      <c r="HF36" s="22"/>
      <c r="HG36" s="22"/>
      <c r="HH36" s="22"/>
      <c r="HI36" s="22"/>
      <c r="HJ36" s="22"/>
      <c r="HK36" s="22"/>
      <c r="HL36" s="22"/>
      <c r="HM36" s="22"/>
      <c r="HN36" s="22"/>
      <c r="HO36" s="22"/>
      <c r="HP36" s="22"/>
      <c r="HQ36" s="22"/>
      <c r="HR36" s="22"/>
      <c r="HS36" s="22"/>
      <c r="HT36" s="22"/>
      <c r="HU36" s="22"/>
      <c r="HV36" s="22"/>
      <c r="HW36" s="22"/>
      <c r="HX36" s="22"/>
      <c r="HY36" s="22"/>
      <c r="HZ36" s="22"/>
      <c r="IA36" s="22"/>
      <c r="IB36" s="22"/>
      <c r="IC36" s="22"/>
      <c r="ID36" s="22"/>
      <c r="IE36" s="22"/>
      <c r="IF36" s="22"/>
      <c r="IG36" s="22"/>
      <c r="IH36" s="22"/>
      <c r="II36" s="22"/>
      <c r="IJ36" s="22"/>
      <c r="IK36" s="22"/>
      <c r="IL36" s="22"/>
      <c r="IM36" s="22"/>
      <c r="IN36" s="22"/>
      <c r="IO36" s="22"/>
      <c r="IP36" s="22"/>
      <c r="IQ36" s="22"/>
      <c r="IR36" s="22"/>
      <c r="IS36" s="22"/>
      <c r="IT36" s="22"/>
      <c r="IU36" s="22"/>
      <c r="IV36" s="22"/>
    </row>
    <row r="37" spans="1:256" s="41" customFormat="1" ht="15" customHeight="1">
      <c r="A37" s="27" t="s">
        <v>922</v>
      </c>
      <c r="B37" s="26"/>
      <c r="C37" s="22"/>
      <c r="D37" s="22"/>
      <c r="E37" s="22"/>
      <c r="F37" s="22"/>
      <c r="G37" s="22"/>
      <c r="H37" s="22"/>
      <c r="I37" s="22"/>
      <c r="J37" s="45"/>
      <c r="K37" s="45"/>
      <c r="L37" s="45"/>
      <c r="M37" s="45"/>
      <c r="N37" s="45"/>
      <c r="O37" s="45"/>
      <c r="P37" s="45"/>
      <c r="Q37" s="45"/>
      <c r="R37" s="45"/>
      <c r="S37" s="45"/>
      <c r="T37" s="22"/>
      <c r="U37" s="22"/>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row>
    <row r="38" spans="1:256" s="26" customFormat="1" ht="15" customHeight="1">
      <c r="A38" s="26" t="s">
        <v>1368</v>
      </c>
    </row>
    <row r="39" spans="1:256" s="41" customFormat="1" ht="15" customHeight="1">
      <c r="A39" s="25" t="s">
        <v>1375</v>
      </c>
      <c r="B39" s="22"/>
      <c r="C39" s="22"/>
      <c r="D39" s="22"/>
      <c r="E39" s="22"/>
      <c r="F39" s="22"/>
      <c r="G39" s="22"/>
      <c r="H39" s="22"/>
      <c r="I39" s="22"/>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c r="DA39" s="22"/>
      <c r="DB39" s="22"/>
      <c r="DC39" s="22"/>
      <c r="DD39" s="22"/>
      <c r="DE39" s="22"/>
      <c r="DF39" s="22"/>
      <c r="DG39" s="22"/>
      <c r="DH39" s="22"/>
      <c r="DI39" s="22"/>
      <c r="DJ39" s="22"/>
      <c r="DK39" s="22"/>
      <c r="DL39" s="22"/>
      <c r="DM39" s="22"/>
      <c r="DN39" s="22"/>
      <c r="DO39" s="22"/>
      <c r="DP39" s="22"/>
      <c r="DQ39" s="22"/>
      <c r="DR39" s="22"/>
      <c r="DS39" s="22"/>
      <c r="DT39" s="22"/>
      <c r="DU39" s="22"/>
      <c r="DV39" s="22"/>
      <c r="DW39" s="22"/>
      <c r="DX39" s="22"/>
      <c r="DY39" s="22"/>
      <c r="DZ39" s="22"/>
      <c r="EA39" s="22"/>
      <c r="EB39" s="22"/>
      <c r="EC39" s="22"/>
      <c r="ED39" s="22"/>
      <c r="EE39" s="22"/>
      <c r="EF39" s="22"/>
      <c r="EG39" s="22"/>
      <c r="EH39" s="22"/>
      <c r="EI39" s="22"/>
      <c r="EJ39" s="22"/>
      <c r="EK39" s="22"/>
      <c r="EL39" s="22"/>
      <c r="EM39" s="22"/>
      <c r="EN39" s="22"/>
      <c r="EO39" s="22"/>
      <c r="EP39" s="22"/>
      <c r="EQ39" s="22"/>
      <c r="ER39" s="22"/>
      <c r="ES39" s="22"/>
      <c r="ET39" s="22"/>
      <c r="EU39" s="22"/>
      <c r="EV39" s="22"/>
      <c r="EW39" s="22"/>
      <c r="EX39" s="22"/>
      <c r="EY39" s="22"/>
      <c r="EZ39" s="22"/>
      <c r="FA39" s="22"/>
      <c r="FB39" s="22"/>
      <c r="FC39" s="22"/>
      <c r="FD39" s="22"/>
      <c r="FE39" s="22"/>
      <c r="FF39" s="22"/>
      <c r="FG39" s="22"/>
      <c r="FH39" s="22"/>
      <c r="FI39" s="22"/>
      <c r="FJ39" s="22"/>
      <c r="FK39" s="22"/>
      <c r="FL39" s="22"/>
      <c r="FM39" s="22"/>
      <c r="FN39" s="22"/>
      <c r="FO39" s="22"/>
      <c r="FP39" s="22"/>
      <c r="FQ39" s="22"/>
      <c r="FR39" s="22"/>
      <c r="FS39" s="22"/>
      <c r="FT39" s="22"/>
      <c r="FU39" s="22"/>
      <c r="FV39" s="22"/>
      <c r="FW39" s="22"/>
      <c r="FX39" s="22"/>
      <c r="FY39" s="22"/>
      <c r="FZ39" s="22"/>
      <c r="GA39" s="22"/>
      <c r="GB39" s="22"/>
      <c r="GC39" s="22"/>
      <c r="GD39" s="22"/>
      <c r="GE39" s="22"/>
      <c r="GF39" s="22"/>
      <c r="GG39" s="22"/>
      <c r="GH39" s="22"/>
      <c r="GI39" s="22"/>
      <c r="GJ39" s="22"/>
      <c r="GK39" s="22"/>
      <c r="GL39" s="22"/>
      <c r="GM39" s="22"/>
      <c r="GN39" s="22"/>
      <c r="GO39" s="22"/>
      <c r="GP39" s="22"/>
      <c r="GQ39" s="22"/>
      <c r="GR39" s="22"/>
      <c r="GS39" s="22"/>
      <c r="GT39" s="22"/>
      <c r="GU39" s="22"/>
      <c r="GV39" s="22"/>
      <c r="GW39" s="22"/>
      <c r="GX39" s="22"/>
      <c r="GY39" s="22"/>
      <c r="GZ39" s="22"/>
      <c r="HA39" s="22"/>
      <c r="HB39" s="22"/>
      <c r="HC39" s="22"/>
      <c r="HD39" s="22"/>
      <c r="HE39" s="22"/>
      <c r="HF39" s="22"/>
      <c r="HG39" s="22"/>
      <c r="HH39" s="22"/>
      <c r="HI39" s="22"/>
      <c r="HJ39" s="22"/>
      <c r="HK39" s="22"/>
      <c r="HL39" s="22"/>
      <c r="HM39" s="22"/>
      <c r="HN39" s="22"/>
      <c r="HO39" s="22"/>
      <c r="HP39" s="22"/>
      <c r="HQ39" s="22"/>
      <c r="HR39" s="22"/>
      <c r="HS39" s="22"/>
      <c r="HT39" s="22"/>
      <c r="HU39" s="22"/>
      <c r="HV39" s="22"/>
      <c r="HW39" s="22"/>
      <c r="HX39" s="22"/>
      <c r="HY39" s="22"/>
      <c r="HZ39" s="22"/>
      <c r="IA39" s="22"/>
      <c r="IB39" s="22"/>
      <c r="IC39" s="22"/>
      <c r="ID39" s="22"/>
      <c r="IE39" s="22"/>
      <c r="IF39" s="22"/>
      <c r="IG39" s="22"/>
      <c r="IH39" s="22"/>
      <c r="II39" s="22"/>
      <c r="IJ39" s="22"/>
      <c r="IK39" s="22"/>
      <c r="IL39" s="22"/>
      <c r="IM39" s="22"/>
      <c r="IN39" s="22"/>
      <c r="IO39" s="22"/>
      <c r="IP39" s="22"/>
      <c r="IQ39" s="22"/>
      <c r="IR39" s="22"/>
      <c r="IS39" s="22"/>
      <c r="IT39" s="22"/>
      <c r="IU39" s="22"/>
      <c r="IV39" s="22"/>
    </row>
    <row r="40" spans="1:256" s="26" customFormat="1" ht="15" customHeight="1">
      <c r="A40" s="26" t="s">
        <v>1367</v>
      </c>
    </row>
    <row r="41" spans="1:256" s="63" customFormat="1" ht="15" customHeight="1">
      <c r="A41" s="60" t="s">
        <v>923</v>
      </c>
      <c r="B41" s="61"/>
      <c r="C41" s="61"/>
      <c r="D41" s="61"/>
      <c r="E41" s="61"/>
      <c r="F41" s="61"/>
      <c r="G41" s="61"/>
      <c r="H41" s="61"/>
      <c r="I41" s="61"/>
      <c r="J41" s="62"/>
      <c r="K41" s="62"/>
      <c r="L41" s="62"/>
      <c r="M41" s="62"/>
      <c r="N41" s="62"/>
      <c r="O41" s="62"/>
      <c r="P41" s="62"/>
      <c r="Q41" s="62"/>
      <c r="R41" s="62"/>
      <c r="S41" s="62"/>
      <c r="T41" s="61"/>
      <c r="U41" s="61"/>
      <c r="V41" s="62"/>
      <c r="W41" s="62"/>
      <c r="X41" s="62"/>
      <c r="Y41" s="62"/>
      <c r="Z41" s="62"/>
      <c r="AA41" s="62"/>
      <c r="AB41" s="62"/>
      <c r="AC41" s="62"/>
      <c r="AD41" s="62"/>
      <c r="AE41" s="62"/>
      <c r="AF41" s="62"/>
      <c r="AG41" s="62"/>
      <c r="AH41" s="62"/>
      <c r="AI41" s="62"/>
      <c r="AJ41" s="62"/>
      <c r="AK41" s="62"/>
      <c r="AL41" s="62"/>
      <c r="AM41" s="62"/>
      <c r="AN41" s="62"/>
      <c r="AO41" s="62"/>
      <c r="AP41" s="62"/>
      <c r="AQ41" s="62"/>
      <c r="AR41" s="62"/>
      <c r="AS41" s="62"/>
      <c r="AT41" s="62"/>
      <c r="AU41" s="62"/>
      <c r="AV41" s="62"/>
      <c r="AW41" s="62"/>
      <c r="AX41" s="62"/>
      <c r="AY41" s="62"/>
      <c r="AZ41" s="62"/>
      <c r="BA41" s="62"/>
      <c r="BB41" s="62"/>
      <c r="BC41" s="62"/>
      <c r="BD41" s="62"/>
      <c r="BE41" s="62"/>
      <c r="BF41" s="62"/>
      <c r="BG41" s="62"/>
      <c r="BH41" s="62"/>
      <c r="BI41" s="62"/>
      <c r="BJ41" s="62"/>
      <c r="BK41" s="62"/>
      <c r="BL41" s="62"/>
      <c r="BM41" s="62"/>
      <c r="BN41" s="62"/>
      <c r="BO41" s="62"/>
      <c r="BP41" s="62"/>
      <c r="BQ41" s="62"/>
      <c r="BR41" s="62"/>
      <c r="BS41" s="62"/>
      <c r="BT41" s="62"/>
      <c r="BU41" s="62"/>
      <c r="BV41" s="62"/>
      <c r="BW41" s="62"/>
      <c r="BX41" s="62"/>
    </row>
    <row r="42" spans="1:256" s="41" customFormat="1" ht="15" customHeight="1">
      <c r="A42" s="25" t="s">
        <v>924</v>
      </c>
      <c r="B42" s="22"/>
      <c r="C42" s="22"/>
      <c r="D42" s="22"/>
      <c r="E42" s="22"/>
      <c r="F42" s="22"/>
      <c r="G42" s="22"/>
      <c r="H42" s="22"/>
      <c r="I42" s="22"/>
      <c r="J42" s="45"/>
      <c r="K42" s="45"/>
      <c r="L42" s="45"/>
      <c r="M42" s="45"/>
      <c r="N42" s="45"/>
      <c r="O42" s="45"/>
      <c r="P42" s="45"/>
      <c r="Q42" s="45"/>
      <c r="R42" s="45"/>
      <c r="S42" s="45"/>
      <c r="T42" s="22"/>
      <c r="U42" s="22"/>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45"/>
      <c r="BP42" s="45"/>
      <c r="BQ42" s="45"/>
      <c r="BR42" s="45"/>
      <c r="BS42" s="45"/>
      <c r="BT42" s="45"/>
      <c r="BU42" s="45"/>
      <c r="BV42" s="45"/>
      <c r="BW42" s="45"/>
      <c r="BX42" s="45"/>
    </row>
    <row r="43" spans="1:256" s="63" customFormat="1" ht="15" customHeight="1">
      <c r="A43" s="60" t="s">
        <v>925</v>
      </c>
      <c r="B43" s="61"/>
      <c r="C43" s="61"/>
      <c r="D43" s="61"/>
      <c r="E43" s="61"/>
      <c r="F43" s="61"/>
      <c r="G43" s="61"/>
      <c r="H43" s="61"/>
      <c r="I43" s="61"/>
      <c r="J43" s="62"/>
      <c r="K43" s="62"/>
      <c r="L43" s="62"/>
      <c r="M43" s="62"/>
      <c r="N43" s="62"/>
      <c r="O43" s="62"/>
      <c r="P43" s="62"/>
      <c r="Q43" s="62"/>
      <c r="R43" s="62"/>
      <c r="S43" s="62"/>
      <c r="T43" s="61"/>
      <c r="U43" s="61"/>
      <c r="V43" s="62"/>
      <c r="W43" s="62"/>
      <c r="X43" s="62"/>
      <c r="Y43" s="62"/>
      <c r="Z43" s="62"/>
      <c r="AA43" s="62"/>
      <c r="AB43" s="62"/>
      <c r="AC43" s="62"/>
      <c r="AD43" s="62"/>
      <c r="AE43" s="62"/>
      <c r="AF43" s="62"/>
      <c r="AG43" s="62"/>
      <c r="AH43" s="62"/>
      <c r="AI43" s="62"/>
      <c r="AJ43" s="62"/>
      <c r="AK43" s="62"/>
      <c r="AL43" s="62"/>
      <c r="AM43" s="62"/>
      <c r="AN43" s="62"/>
      <c r="AO43" s="62"/>
      <c r="AP43" s="62"/>
      <c r="AQ43" s="62"/>
      <c r="AR43" s="62"/>
      <c r="AS43" s="62"/>
      <c r="AT43" s="62"/>
      <c r="AU43" s="62"/>
      <c r="AV43" s="62"/>
      <c r="AW43" s="62"/>
      <c r="AX43" s="62"/>
      <c r="AY43" s="62"/>
      <c r="AZ43" s="62"/>
      <c r="BA43" s="62"/>
      <c r="BB43" s="62"/>
      <c r="BC43" s="62"/>
      <c r="BD43" s="62"/>
      <c r="BE43" s="62"/>
      <c r="BF43" s="62"/>
      <c r="BG43" s="62"/>
      <c r="BH43" s="62"/>
      <c r="BI43" s="62"/>
      <c r="BJ43" s="62"/>
      <c r="BK43" s="62"/>
      <c r="BL43" s="62"/>
      <c r="BM43" s="62"/>
      <c r="BN43" s="62"/>
      <c r="BO43" s="62"/>
      <c r="BP43" s="62"/>
      <c r="BQ43" s="62"/>
      <c r="BR43" s="62"/>
      <c r="BS43" s="62"/>
      <c r="BT43" s="62"/>
      <c r="BU43" s="62"/>
      <c r="BV43" s="62"/>
      <c r="BW43" s="62"/>
      <c r="BX43" s="62"/>
    </row>
    <row r="44" spans="1:256" s="41" customFormat="1" ht="15" customHeight="1">
      <c r="A44" s="27" t="s">
        <v>932</v>
      </c>
      <c r="B44" s="26"/>
      <c r="C44" s="22"/>
      <c r="D44" s="22"/>
      <c r="E44" s="22"/>
      <c r="F44" s="22"/>
      <c r="G44" s="22"/>
      <c r="H44" s="22"/>
      <c r="I44" s="22"/>
      <c r="J44" s="45"/>
      <c r="K44" s="45"/>
      <c r="L44" s="45"/>
      <c r="M44" s="45"/>
      <c r="N44" s="45"/>
      <c r="O44" s="45"/>
      <c r="P44" s="45"/>
      <c r="Q44" s="45"/>
      <c r="R44" s="45"/>
      <c r="S44" s="45"/>
      <c r="T44" s="22"/>
      <c r="U44" s="22"/>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5"/>
      <c r="BO44" s="45"/>
      <c r="BP44" s="45"/>
      <c r="BQ44" s="45"/>
      <c r="BR44" s="45"/>
      <c r="BS44" s="45"/>
      <c r="BT44" s="45"/>
      <c r="BU44" s="45"/>
      <c r="BV44" s="45"/>
      <c r="BW44" s="45"/>
      <c r="BX44" s="45"/>
    </row>
    <row r="45" spans="1:256" s="47" customFormat="1" ht="15" customHeight="1">
      <c r="A45" s="47" t="s">
        <v>1055</v>
      </c>
    </row>
    <row r="46" spans="1:256" s="47" customFormat="1" ht="15" customHeight="1">
      <c r="A46" s="47" t="s">
        <v>1056</v>
      </c>
    </row>
    <row r="47" spans="1:256" s="47" customFormat="1" ht="15" customHeight="1">
      <c r="A47" s="47" t="s">
        <v>1057</v>
      </c>
    </row>
    <row r="48" spans="1:256" s="47" customFormat="1" ht="15" customHeight="1">
      <c r="A48" s="47" t="s">
        <v>1001</v>
      </c>
    </row>
    <row r="49" spans="1:256" s="47" customFormat="1" ht="15" customHeight="1">
      <c r="A49" s="47" t="s">
        <v>1003</v>
      </c>
    </row>
    <row r="50" spans="1:256" s="47" customFormat="1" ht="15" customHeight="1">
      <c r="A50" s="47" t="s">
        <v>1002</v>
      </c>
    </row>
    <row r="51" spans="1:256" s="41" customFormat="1" ht="15" customHeight="1">
      <c r="A51" s="25" t="s">
        <v>968</v>
      </c>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c r="DA51" s="22"/>
      <c r="DB51" s="22"/>
      <c r="DC51" s="22"/>
      <c r="DD51" s="22"/>
      <c r="DE51" s="22"/>
      <c r="DF51" s="22"/>
      <c r="DG51" s="22"/>
      <c r="DH51" s="22"/>
      <c r="DI51" s="22"/>
      <c r="DJ51" s="22"/>
      <c r="DK51" s="22"/>
      <c r="DL51" s="22"/>
      <c r="DM51" s="22"/>
      <c r="DN51" s="22"/>
      <c r="DO51" s="22"/>
      <c r="DP51" s="22"/>
      <c r="DQ51" s="22"/>
      <c r="DR51" s="22"/>
      <c r="DS51" s="22"/>
      <c r="DT51" s="22"/>
      <c r="DU51" s="22"/>
      <c r="DV51" s="22"/>
      <c r="DW51" s="22"/>
      <c r="DX51" s="22"/>
      <c r="DY51" s="22"/>
      <c r="DZ51" s="22"/>
      <c r="EA51" s="22"/>
      <c r="EB51" s="22"/>
      <c r="EC51" s="22"/>
      <c r="ED51" s="22"/>
      <c r="EE51" s="22"/>
      <c r="EF51" s="22"/>
      <c r="EG51" s="22"/>
      <c r="EH51" s="22"/>
      <c r="EI51" s="22"/>
      <c r="EJ51" s="22"/>
      <c r="EK51" s="22"/>
      <c r="EL51" s="22"/>
      <c r="EM51" s="22"/>
      <c r="EN51" s="22"/>
      <c r="EO51" s="22"/>
      <c r="EP51" s="22"/>
      <c r="EQ51" s="22"/>
      <c r="ER51" s="22"/>
      <c r="ES51" s="22"/>
      <c r="ET51" s="22"/>
      <c r="EU51" s="22"/>
      <c r="EV51" s="22"/>
      <c r="EW51" s="22"/>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c r="GL51" s="22"/>
      <c r="GM51" s="22"/>
      <c r="GN51" s="22"/>
      <c r="GO51" s="22"/>
      <c r="GP51" s="22"/>
      <c r="GQ51" s="22"/>
      <c r="GR51" s="22"/>
      <c r="GS51" s="22"/>
      <c r="GT51" s="22"/>
      <c r="GU51" s="22"/>
      <c r="GV51" s="22"/>
      <c r="GW51" s="22"/>
      <c r="GX51" s="22"/>
      <c r="GY51" s="22"/>
      <c r="GZ51" s="22"/>
      <c r="HA51" s="22"/>
      <c r="HB51" s="22"/>
      <c r="HC51" s="22"/>
      <c r="HD51" s="22"/>
      <c r="HE51" s="22"/>
      <c r="HF51" s="22"/>
      <c r="HG51" s="22"/>
      <c r="HH51" s="22"/>
      <c r="HI51" s="22"/>
      <c r="HJ51" s="22"/>
      <c r="HK51" s="22"/>
      <c r="HL51" s="22"/>
      <c r="HM51" s="22"/>
      <c r="HN51" s="22"/>
      <c r="HO51" s="22"/>
      <c r="HP51" s="22"/>
      <c r="HQ51" s="22"/>
      <c r="HR51" s="22"/>
      <c r="HS51" s="22"/>
      <c r="HT51" s="22"/>
      <c r="HU51" s="22"/>
      <c r="HV51" s="22"/>
      <c r="HW51" s="22"/>
      <c r="HX51" s="22"/>
      <c r="HY51" s="22"/>
      <c r="HZ51" s="22"/>
      <c r="IA51" s="22"/>
      <c r="IB51" s="22"/>
      <c r="IC51" s="22"/>
      <c r="ID51" s="22"/>
      <c r="IE51" s="22"/>
      <c r="IF51" s="22"/>
      <c r="IG51" s="22"/>
      <c r="IH51" s="22"/>
      <c r="II51" s="22"/>
      <c r="IJ51" s="22"/>
      <c r="IK51" s="22"/>
      <c r="IL51" s="22"/>
      <c r="IM51" s="22"/>
      <c r="IN51" s="22"/>
      <c r="IO51" s="22"/>
      <c r="IP51" s="22"/>
      <c r="IQ51" s="22"/>
      <c r="IR51" s="22"/>
      <c r="IS51" s="22"/>
      <c r="IT51" s="22"/>
      <c r="IU51" s="22"/>
      <c r="IV51" s="22"/>
    </row>
    <row r="52" spans="1:256" s="32" customFormat="1" ht="15" customHeight="1">
      <c r="A52" s="44" t="s">
        <v>1208</v>
      </c>
      <c r="B52" s="41"/>
      <c r="C52" s="41"/>
      <c r="D52" s="41"/>
      <c r="E52" s="41"/>
      <c r="F52" s="41"/>
      <c r="G52" s="41"/>
      <c r="H52" s="41"/>
      <c r="I52" s="41"/>
      <c r="J52" s="41"/>
      <c r="K52" s="41"/>
      <c r="L52" s="41"/>
      <c r="M52" s="41"/>
      <c r="N52" s="41"/>
      <c r="O52" s="41"/>
      <c r="P52" s="41"/>
      <c r="Q52" s="41"/>
      <c r="R52" s="41"/>
      <c r="S52" s="41"/>
      <c r="T52" s="41"/>
      <c r="U52" s="41"/>
      <c r="V52" s="41"/>
      <c r="W52" s="41"/>
      <c r="X52" s="41"/>
      <c r="Y52" s="41"/>
      <c r="Z52" s="41"/>
      <c r="AA52" s="41"/>
      <c r="AB52" s="41"/>
      <c r="AC52" s="41"/>
      <c r="AD52" s="41"/>
      <c r="AE52" s="41"/>
      <c r="AF52" s="41"/>
      <c r="AG52" s="41"/>
      <c r="AH52" s="41"/>
      <c r="AI52" s="41"/>
      <c r="AJ52" s="41"/>
      <c r="AK52" s="41"/>
      <c r="AL52" s="41"/>
      <c r="AM52" s="41"/>
      <c r="AN52" s="41"/>
      <c r="AO52" s="41"/>
      <c r="AP52" s="41"/>
      <c r="AQ52" s="41"/>
      <c r="AR52" s="41"/>
      <c r="AS52" s="41"/>
      <c r="AT52" s="41"/>
      <c r="AU52" s="41"/>
      <c r="AV52" s="41"/>
      <c r="AW52" s="41"/>
      <c r="AX52" s="41"/>
      <c r="AY52" s="41"/>
      <c r="AZ52" s="41"/>
      <c r="BA52" s="41"/>
      <c r="BB52" s="41"/>
      <c r="BC52" s="41"/>
      <c r="BD52" s="41"/>
      <c r="BE52" s="41"/>
      <c r="BF52" s="41"/>
      <c r="BG52" s="41"/>
      <c r="BH52" s="41"/>
      <c r="BI52" s="41"/>
      <c r="BJ52" s="41"/>
      <c r="BK52" s="41"/>
      <c r="BL52" s="41"/>
      <c r="BM52" s="41"/>
      <c r="BN52" s="41"/>
      <c r="BO52" s="41"/>
      <c r="BP52" s="41"/>
      <c r="BQ52" s="41"/>
      <c r="BR52" s="41"/>
      <c r="BS52" s="41"/>
      <c r="BT52" s="41"/>
      <c r="BU52" s="41"/>
      <c r="BV52" s="41"/>
      <c r="BW52" s="41"/>
      <c r="BX52" s="41"/>
      <c r="BY52" s="41"/>
      <c r="BZ52" s="41"/>
      <c r="CA52" s="41"/>
      <c r="CB52" s="41"/>
      <c r="CC52" s="41"/>
      <c r="CD52" s="41"/>
      <c r="CE52" s="41"/>
      <c r="CF52" s="41"/>
      <c r="CG52" s="41"/>
      <c r="CH52" s="41"/>
      <c r="CI52" s="41"/>
      <c r="CJ52" s="41"/>
      <c r="CK52" s="41"/>
      <c r="CL52" s="41"/>
      <c r="CM52" s="41"/>
      <c r="CN52" s="41"/>
      <c r="CO52" s="41"/>
      <c r="CP52" s="41"/>
      <c r="CQ52" s="41"/>
      <c r="CR52" s="41"/>
      <c r="CS52" s="41"/>
      <c r="CT52" s="41"/>
      <c r="CU52" s="41"/>
      <c r="CV52" s="41"/>
      <c r="CW52" s="41"/>
      <c r="CX52" s="41"/>
      <c r="CY52" s="41"/>
      <c r="CZ52" s="41"/>
      <c r="DA52" s="41"/>
      <c r="DB52" s="41"/>
      <c r="DC52" s="41"/>
      <c r="DD52" s="41"/>
      <c r="DE52" s="41"/>
      <c r="DF52" s="41"/>
      <c r="DG52" s="41"/>
      <c r="DH52" s="41"/>
      <c r="DI52" s="41"/>
      <c r="DJ52" s="41"/>
      <c r="DK52" s="41"/>
      <c r="DL52" s="41"/>
      <c r="DM52" s="41"/>
      <c r="DN52" s="41"/>
      <c r="DO52" s="41"/>
      <c r="DP52" s="41"/>
      <c r="DQ52" s="41"/>
      <c r="DR52" s="41"/>
      <c r="DS52" s="41"/>
      <c r="DT52" s="41"/>
      <c r="DU52" s="41"/>
      <c r="DV52" s="41"/>
      <c r="DW52" s="41"/>
      <c r="DX52" s="41"/>
      <c r="DY52" s="41"/>
      <c r="DZ52" s="41"/>
      <c r="EA52" s="41"/>
      <c r="EB52" s="41"/>
      <c r="EC52" s="41"/>
      <c r="ED52" s="41"/>
      <c r="EE52" s="41"/>
      <c r="EF52" s="41"/>
      <c r="EG52" s="41"/>
      <c r="EH52" s="41"/>
      <c r="EI52" s="41"/>
      <c r="EJ52" s="41"/>
      <c r="EK52" s="41"/>
      <c r="EL52" s="41"/>
      <c r="EM52" s="41"/>
      <c r="EN52" s="41"/>
      <c r="EO52" s="41"/>
      <c r="EP52" s="41"/>
      <c r="EQ52" s="41"/>
      <c r="ER52" s="41"/>
      <c r="ES52" s="41"/>
      <c r="ET52" s="41"/>
      <c r="EU52" s="41"/>
      <c r="EV52" s="41"/>
      <c r="EW52" s="41"/>
      <c r="EX52" s="41"/>
      <c r="EY52" s="41"/>
      <c r="EZ52" s="41"/>
      <c r="FA52" s="41"/>
      <c r="FB52" s="41"/>
      <c r="FC52" s="41"/>
      <c r="FD52" s="41"/>
      <c r="FE52" s="41"/>
      <c r="FF52" s="41"/>
      <c r="FG52" s="41"/>
      <c r="FH52" s="41"/>
      <c r="FI52" s="41"/>
      <c r="FJ52" s="41"/>
      <c r="FK52" s="41"/>
      <c r="FL52" s="41"/>
      <c r="FM52" s="41"/>
      <c r="FN52" s="41"/>
      <c r="FO52" s="41"/>
      <c r="FP52" s="41"/>
      <c r="FQ52" s="41"/>
      <c r="FR52" s="41"/>
      <c r="FS52" s="41"/>
      <c r="FT52" s="41"/>
      <c r="FU52" s="41"/>
      <c r="FV52" s="41"/>
      <c r="FW52" s="41"/>
      <c r="FX52" s="41"/>
      <c r="FY52" s="41"/>
      <c r="FZ52" s="41"/>
      <c r="GA52" s="41"/>
      <c r="GB52" s="41"/>
      <c r="GC52" s="41"/>
      <c r="GD52" s="41"/>
      <c r="GE52" s="41"/>
      <c r="GF52" s="41"/>
      <c r="GG52" s="41"/>
      <c r="GH52" s="41"/>
      <c r="GI52" s="41"/>
      <c r="GJ52" s="41"/>
      <c r="GK52" s="41"/>
      <c r="GL52" s="41"/>
      <c r="GM52" s="41"/>
      <c r="GN52" s="41"/>
      <c r="GO52" s="41"/>
      <c r="GP52" s="41"/>
      <c r="GQ52" s="41"/>
      <c r="GR52" s="41"/>
      <c r="GS52" s="41"/>
      <c r="GT52" s="41"/>
    </row>
    <row r="53" spans="1:256" s="35" customFormat="1" ht="15" hidden="1" customHeight="1"/>
    <row r="54" spans="1:256" s="17" customFormat="1" ht="15" customHeight="1">
      <c r="A54" s="27" t="s">
        <v>1079</v>
      </c>
      <c r="B54" s="48"/>
      <c r="C54" s="22"/>
      <c r="D54" s="22"/>
      <c r="E54" s="22"/>
      <c r="F54" s="22"/>
      <c r="G54" s="23"/>
      <c r="H54" s="23"/>
      <c r="I54" s="35"/>
      <c r="J54" s="45"/>
      <c r="K54" s="45"/>
      <c r="L54" s="45"/>
      <c r="M54" s="45"/>
      <c r="N54" s="45"/>
      <c r="O54" s="45"/>
      <c r="P54" s="45"/>
      <c r="Q54" s="45"/>
      <c r="R54" s="45"/>
      <c r="S54" s="45"/>
      <c r="T54" s="23"/>
      <c r="U54" s="23"/>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5"/>
      <c r="BT54" s="45"/>
      <c r="BU54" s="45"/>
      <c r="BV54" s="45"/>
      <c r="BW54" s="45"/>
      <c r="BX54" s="45"/>
    </row>
    <row r="55" spans="1:256" s="41" customFormat="1" ht="15" customHeight="1">
      <c r="A55" s="25" t="s">
        <v>1080</v>
      </c>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c r="BH55" s="22"/>
      <c r="BI55" s="22"/>
      <c r="BJ55" s="22"/>
      <c r="BK55" s="22"/>
      <c r="BL55" s="22"/>
      <c r="BM55" s="22"/>
      <c r="BN55" s="22"/>
      <c r="BO55" s="22"/>
      <c r="BP55" s="22"/>
      <c r="BQ55" s="22"/>
      <c r="BR55" s="22"/>
      <c r="BS55" s="22"/>
      <c r="BT55" s="22"/>
      <c r="BU55" s="22"/>
      <c r="BV55" s="22"/>
      <c r="BW55" s="22"/>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c r="CV55" s="22"/>
      <c r="CW55" s="22"/>
      <c r="CX55" s="22"/>
      <c r="CY55" s="22"/>
      <c r="CZ55" s="22"/>
      <c r="DA55" s="22"/>
      <c r="DB55" s="22"/>
      <c r="DC55" s="22"/>
      <c r="DD55" s="22"/>
      <c r="DE55" s="22"/>
      <c r="DF55" s="22"/>
      <c r="DG55" s="22"/>
      <c r="DH55" s="22"/>
      <c r="DI55" s="22"/>
      <c r="DJ55" s="22"/>
      <c r="DK55" s="22"/>
      <c r="DL55" s="22"/>
      <c r="DM55" s="22"/>
      <c r="DN55" s="22"/>
      <c r="DO55" s="22"/>
      <c r="DP55" s="22"/>
      <c r="DQ55" s="22"/>
      <c r="DR55" s="22"/>
      <c r="DS55" s="22"/>
      <c r="DT55" s="22"/>
      <c r="DU55" s="22"/>
      <c r="DV55" s="22"/>
      <c r="DW55" s="22"/>
      <c r="DX55" s="22"/>
      <c r="DY55" s="22"/>
      <c r="DZ55" s="22"/>
      <c r="EA55" s="22"/>
      <c r="EB55" s="22"/>
      <c r="EC55" s="22"/>
      <c r="ED55" s="22"/>
      <c r="EE55" s="22"/>
      <c r="EF55" s="22"/>
      <c r="EG55" s="22"/>
      <c r="EH55" s="22"/>
      <c r="EI55" s="22"/>
      <c r="EJ55" s="22"/>
      <c r="EK55" s="22"/>
      <c r="EL55" s="22"/>
      <c r="EM55" s="22"/>
      <c r="EN55" s="22"/>
      <c r="EO55" s="22"/>
      <c r="EP55" s="22"/>
      <c r="EQ55" s="22"/>
      <c r="ER55" s="22"/>
      <c r="ES55" s="22"/>
      <c r="ET55" s="22"/>
      <c r="EU55" s="22"/>
      <c r="EV55" s="22"/>
      <c r="EW55" s="22"/>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c r="GL55" s="22"/>
      <c r="GM55" s="22"/>
      <c r="GN55" s="22"/>
      <c r="GO55" s="22"/>
      <c r="GP55" s="22"/>
      <c r="GQ55" s="22"/>
      <c r="GR55" s="22"/>
      <c r="GS55" s="22"/>
      <c r="GT55" s="22"/>
      <c r="GU55" s="22"/>
      <c r="GV55" s="22"/>
      <c r="GW55" s="22"/>
      <c r="GX55" s="22"/>
      <c r="GY55" s="22"/>
      <c r="GZ55" s="22"/>
      <c r="HA55" s="22"/>
      <c r="HB55" s="22"/>
      <c r="HC55" s="22"/>
      <c r="HD55" s="22"/>
      <c r="HE55" s="22"/>
      <c r="HF55" s="22"/>
      <c r="HG55" s="22"/>
      <c r="HH55" s="22"/>
      <c r="HI55" s="22"/>
      <c r="HJ55" s="22"/>
      <c r="HK55" s="22"/>
      <c r="HL55" s="22"/>
      <c r="HM55" s="22"/>
      <c r="HN55" s="22"/>
      <c r="HO55" s="22"/>
      <c r="HP55" s="22"/>
      <c r="HQ55" s="22"/>
      <c r="HR55" s="22"/>
      <c r="HS55" s="22"/>
      <c r="HT55" s="22"/>
      <c r="HU55" s="22"/>
      <c r="HV55" s="22"/>
      <c r="HW55" s="22"/>
      <c r="HX55" s="22"/>
      <c r="HY55" s="22"/>
      <c r="HZ55" s="22"/>
      <c r="IA55" s="22"/>
      <c r="IB55" s="22"/>
      <c r="IC55" s="22"/>
      <c r="ID55" s="22"/>
      <c r="IE55" s="22"/>
      <c r="IF55" s="22"/>
      <c r="IG55" s="22"/>
      <c r="IH55" s="22"/>
      <c r="II55" s="22"/>
      <c r="IJ55" s="22"/>
      <c r="IK55" s="22"/>
      <c r="IL55" s="22"/>
      <c r="IM55" s="22"/>
      <c r="IN55" s="22"/>
      <c r="IO55" s="22"/>
      <c r="IP55" s="22"/>
      <c r="IQ55" s="22"/>
      <c r="IR55" s="22"/>
      <c r="IS55" s="22"/>
      <c r="IT55" s="22"/>
      <c r="IU55" s="22"/>
      <c r="IV55" s="22"/>
    </row>
    <row r="56" spans="1:256" s="41" customFormat="1" ht="15" customHeight="1">
      <c r="A56" s="25" t="s">
        <v>1081</v>
      </c>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c r="BH56" s="22"/>
      <c r="BI56" s="22"/>
      <c r="BJ56" s="22"/>
      <c r="BK56" s="22"/>
      <c r="BL56" s="22"/>
      <c r="BM56" s="22"/>
      <c r="BN56" s="22"/>
      <c r="BO56" s="22"/>
      <c r="BP56" s="22"/>
      <c r="BQ56" s="22"/>
      <c r="BR56" s="22"/>
      <c r="BS56" s="22"/>
      <c r="BT56" s="22"/>
      <c r="BU56" s="22"/>
      <c r="BV56" s="22"/>
      <c r="BW56" s="22"/>
      <c r="BX56" s="22"/>
      <c r="BY56" s="22"/>
      <c r="BZ56" s="22"/>
      <c r="CA56" s="22"/>
      <c r="CB56" s="22"/>
      <c r="CC56" s="22"/>
      <c r="CD56" s="22"/>
      <c r="CE56" s="22"/>
      <c r="CF56" s="22"/>
      <c r="CG56" s="22"/>
      <c r="CH56" s="22"/>
      <c r="CI56" s="22"/>
      <c r="CJ56" s="22"/>
      <c r="CK56" s="22"/>
      <c r="CL56" s="22"/>
      <c r="CM56" s="22"/>
      <c r="CN56" s="22"/>
      <c r="CO56" s="22"/>
      <c r="CP56" s="22"/>
      <c r="CQ56" s="22"/>
      <c r="CR56" s="22"/>
      <c r="CS56" s="22"/>
      <c r="CT56" s="22"/>
      <c r="CU56" s="22"/>
      <c r="CV56" s="22"/>
      <c r="CW56" s="22"/>
      <c r="CX56" s="22"/>
      <c r="CY56" s="22"/>
      <c r="CZ56" s="22"/>
      <c r="DA56" s="22"/>
      <c r="DB56" s="22"/>
      <c r="DC56" s="22"/>
      <c r="DD56" s="22"/>
      <c r="DE56" s="22"/>
      <c r="DF56" s="22"/>
      <c r="DG56" s="22"/>
      <c r="DH56" s="22"/>
      <c r="DI56" s="22"/>
      <c r="DJ56" s="22"/>
      <c r="DK56" s="22"/>
      <c r="DL56" s="22"/>
      <c r="DM56" s="22"/>
      <c r="DN56" s="22"/>
      <c r="DO56" s="22"/>
      <c r="DP56" s="22"/>
      <c r="DQ56" s="22"/>
      <c r="DR56" s="22"/>
      <c r="DS56" s="22"/>
      <c r="DT56" s="22"/>
      <c r="DU56" s="22"/>
      <c r="DV56" s="22"/>
      <c r="DW56" s="22"/>
      <c r="DX56" s="22"/>
      <c r="DY56" s="22"/>
      <c r="DZ56" s="22"/>
      <c r="EA56" s="22"/>
      <c r="EB56" s="22"/>
      <c r="EC56" s="22"/>
      <c r="ED56" s="22"/>
      <c r="EE56" s="22"/>
      <c r="EF56" s="22"/>
      <c r="EG56" s="22"/>
      <c r="EH56" s="22"/>
      <c r="EI56" s="22"/>
      <c r="EJ56" s="22"/>
      <c r="EK56" s="22"/>
      <c r="EL56" s="22"/>
      <c r="EM56" s="22"/>
      <c r="EN56" s="22"/>
      <c r="EO56" s="22"/>
      <c r="EP56" s="22"/>
      <c r="EQ56" s="22"/>
      <c r="ER56" s="22"/>
      <c r="ES56" s="22"/>
      <c r="ET56" s="22"/>
      <c r="EU56" s="22"/>
      <c r="EV56" s="22"/>
      <c r="EW56" s="22"/>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c r="GL56" s="22"/>
      <c r="GM56" s="22"/>
      <c r="GN56" s="22"/>
      <c r="GO56" s="22"/>
      <c r="GP56" s="22"/>
      <c r="GQ56" s="22"/>
      <c r="GR56" s="22"/>
      <c r="GS56" s="22"/>
      <c r="GT56" s="22"/>
      <c r="GU56" s="22"/>
      <c r="GV56" s="22"/>
      <c r="GW56" s="22"/>
      <c r="GX56" s="22"/>
      <c r="GY56" s="22"/>
      <c r="GZ56" s="22"/>
      <c r="HA56" s="22"/>
      <c r="HB56" s="22"/>
      <c r="HC56" s="22"/>
      <c r="HD56" s="22"/>
      <c r="HE56" s="22"/>
      <c r="HF56" s="22"/>
      <c r="HG56" s="22"/>
      <c r="HH56" s="22"/>
      <c r="HI56" s="22"/>
      <c r="HJ56" s="22"/>
      <c r="HK56" s="22"/>
      <c r="HL56" s="22"/>
      <c r="HM56" s="22"/>
      <c r="HN56" s="22"/>
      <c r="HO56" s="22"/>
      <c r="HP56" s="22"/>
      <c r="HQ56" s="22"/>
      <c r="HR56" s="22"/>
      <c r="HS56" s="22"/>
      <c r="HT56" s="22"/>
      <c r="HU56" s="22"/>
      <c r="HV56" s="22"/>
      <c r="HW56" s="22"/>
      <c r="HX56" s="22"/>
      <c r="HY56" s="22"/>
      <c r="HZ56" s="22"/>
      <c r="IA56" s="22"/>
      <c r="IB56" s="22"/>
      <c r="IC56" s="22"/>
      <c r="ID56" s="22"/>
      <c r="IE56" s="22"/>
      <c r="IF56" s="22"/>
      <c r="IG56" s="22"/>
      <c r="IH56" s="22"/>
      <c r="II56" s="22"/>
      <c r="IJ56" s="22"/>
      <c r="IK56" s="22"/>
      <c r="IL56" s="22"/>
      <c r="IM56" s="22"/>
      <c r="IN56" s="22"/>
      <c r="IO56" s="22"/>
      <c r="IP56" s="22"/>
      <c r="IQ56" s="22"/>
      <c r="IR56" s="22"/>
      <c r="IS56" s="22"/>
      <c r="IT56" s="22"/>
      <c r="IU56" s="22"/>
      <c r="IV56" s="22"/>
    </row>
    <row r="57" spans="1:256" s="41" customFormat="1" ht="15" customHeight="1">
      <c r="A57" s="25" t="s">
        <v>1082</v>
      </c>
      <c r="B57" s="22"/>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22"/>
      <c r="BF57" s="22"/>
      <c r="BG57" s="22"/>
      <c r="BH57" s="22"/>
      <c r="BI57" s="22"/>
      <c r="BJ57" s="22"/>
      <c r="BK57" s="22"/>
      <c r="BL57" s="22"/>
      <c r="BM57" s="22"/>
      <c r="BN57" s="22"/>
      <c r="BO57" s="22"/>
      <c r="BP57" s="22"/>
      <c r="BQ57" s="22"/>
      <c r="BR57" s="22"/>
      <c r="BS57" s="22"/>
      <c r="BT57" s="22"/>
      <c r="BU57" s="22"/>
      <c r="BV57" s="22"/>
      <c r="BW57" s="22"/>
      <c r="BX57" s="22"/>
      <c r="BY57" s="22"/>
      <c r="BZ57" s="22"/>
      <c r="CA57" s="22"/>
      <c r="CB57" s="22"/>
      <c r="CC57" s="22"/>
      <c r="CD57" s="22"/>
      <c r="CE57" s="22"/>
      <c r="CF57" s="22"/>
      <c r="CG57" s="22"/>
      <c r="CH57" s="22"/>
      <c r="CI57" s="22"/>
      <c r="CJ57" s="22"/>
      <c r="CK57" s="22"/>
      <c r="CL57" s="22"/>
      <c r="CM57" s="22"/>
      <c r="CN57" s="22"/>
      <c r="CO57" s="22"/>
      <c r="CP57" s="22"/>
      <c r="CQ57" s="22"/>
      <c r="CR57" s="22"/>
      <c r="CS57" s="22"/>
      <c r="CT57" s="22"/>
      <c r="CU57" s="22"/>
      <c r="CV57" s="22"/>
      <c r="CW57" s="22"/>
      <c r="CX57" s="22"/>
      <c r="CY57" s="22"/>
      <c r="CZ57" s="22"/>
      <c r="DA57" s="22"/>
      <c r="DB57" s="22"/>
      <c r="DC57" s="22"/>
      <c r="DD57" s="22"/>
      <c r="DE57" s="22"/>
      <c r="DF57" s="22"/>
      <c r="DG57" s="22"/>
      <c r="DH57" s="22"/>
      <c r="DI57" s="22"/>
      <c r="DJ57" s="22"/>
      <c r="DK57" s="22"/>
      <c r="DL57" s="22"/>
      <c r="DM57" s="22"/>
      <c r="DN57" s="22"/>
      <c r="DO57" s="22"/>
      <c r="DP57" s="22"/>
      <c r="DQ57" s="22"/>
      <c r="DR57" s="22"/>
      <c r="DS57" s="22"/>
      <c r="DT57" s="22"/>
      <c r="DU57" s="22"/>
      <c r="DV57" s="22"/>
      <c r="DW57" s="22"/>
      <c r="DX57" s="22"/>
      <c r="DY57" s="22"/>
      <c r="DZ57" s="22"/>
      <c r="EA57" s="22"/>
      <c r="EB57" s="22"/>
      <c r="EC57" s="22"/>
      <c r="ED57" s="22"/>
      <c r="EE57" s="22"/>
      <c r="EF57" s="22"/>
      <c r="EG57" s="22"/>
      <c r="EH57" s="22"/>
      <c r="EI57" s="22"/>
      <c r="EJ57" s="22"/>
      <c r="EK57" s="22"/>
      <c r="EL57" s="22"/>
      <c r="EM57" s="22"/>
      <c r="EN57" s="22"/>
      <c r="EO57" s="22"/>
      <c r="EP57" s="22"/>
      <c r="EQ57" s="22"/>
      <c r="ER57" s="22"/>
      <c r="ES57" s="22"/>
      <c r="ET57" s="22"/>
      <c r="EU57" s="22"/>
      <c r="EV57" s="22"/>
      <c r="EW57" s="22"/>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c r="GL57" s="22"/>
      <c r="GM57" s="22"/>
      <c r="GN57" s="22"/>
      <c r="GO57" s="22"/>
      <c r="GP57" s="22"/>
      <c r="GQ57" s="22"/>
      <c r="GR57" s="22"/>
      <c r="GS57" s="22"/>
      <c r="GT57" s="22"/>
      <c r="GU57" s="22"/>
      <c r="GV57" s="22"/>
      <c r="GW57" s="22"/>
      <c r="GX57" s="22"/>
      <c r="GY57" s="22"/>
      <c r="GZ57" s="22"/>
      <c r="HA57" s="22"/>
      <c r="HB57" s="22"/>
      <c r="HC57" s="22"/>
      <c r="HD57" s="22"/>
      <c r="HE57" s="22"/>
      <c r="HF57" s="22"/>
      <c r="HG57" s="22"/>
      <c r="HH57" s="22"/>
      <c r="HI57" s="22"/>
      <c r="HJ57" s="22"/>
      <c r="HK57" s="22"/>
      <c r="HL57" s="22"/>
      <c r="HM57" s="22"/>
      <c r="HN57" s="22"/>
      <c r="HO57" s="22"/>
      <c r="HP57" s="22"/>
      <c r="HQ57" s="22"/>
      <c r="HR57" s="22"/>
      <c r="HS57" s="22"/>
      <c r="HT57" s="22"/>
      <c r="HU57" s="22"/>
      <c r="HV57" s="22"/>
      <c r="HW57" s="22"/>
      <c r="HX57" s="22"/>
      <c r="HY57" s="22"/>
      <c r="HZ57" s="22"/>
      <c r="IA57" s="22"/>
      <c r="IB57" s="22"/>
      <c r="IC57" s="22"/>
      <c r="ID57" s="22"/>
      <c r="IE57" s="22"/>
      <c r="IF57" s="22"/>
      <c r="IG57" s="22"/>
      <c r="IH57" s="22"/>
      <c r="II57" s="22"/>
      <c r="IJ57" s="22"/>
      <c r="IK57" s="22"/>
      <c r="IL57" s="22"/>
      <c r="IM57" s="22"/>
      <c r="IN57" s="22"/>
      <c r="IO57" s="22"/>
      <c r="IP57" s="22"/>
      <c r="IQ57" s="22"/>
      <c r="IR57" s="22"/>
      <c r="IS57" s="22"/>
      <c r="IT57" s="22"/>
      <c r="IU57" s="22"/>
      <c r="IV57" s="22"/>
    </row>
    <row r="58" spans="1:256" s="41" customFormat="1" ht="15" customHeight="1">
      <c r="A58" s="25" t="s">
        <v>1083</v>
      </c>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c r="BH58" s="22"/>
      <c r="BI58" s="22"/>
      <c r="BJ58" s="22"/>
      <c r="BK58" s="22"/>
      <c r="BL58" s="22"/>
      <c r="BM58" s="22"/>
      <c r="BN58" s="22"/>
      <c r="BO58" s="22"/>
      <c r="BP58" s="22"/>
      <c r="BQ58" s="22"/>
      <c r="BR58" s="22"/>
      <c r="BS58" s="22"/>
      <c r="BT58" s="22"/>
      <c r="BU58" s="22"/>
      <c r="BV58" s="22"/>
      <c r="BW58" s="22"/>
      <c r="BX58" s="22"/>
      <c r="BY58" s="22"/>
      <c r="BZ58" s="22"/>
      <c r="CA58" s="22"/>
      <c r="CB58" s="22"/>
      <c r="CC58" s="22"/>
      <c r="CD58" s="22"/>
      <c r="CE58" s="22"/>
      <c r="CF58" s="22"/>
      <c r="CG58" s="22"/>
      <c r="CH58" s="22"/>
      <c r="CI58" s="22"/>
      <c r="CJ58" s="22"/>
      <c r="CK58" s="22"/>
      <c r="CL58" s="22"/>
      <c r="CM58" s="22"/>
      <c r="CN58" s="22"/>
      <c r="CO58" s="22"/>
      <c r="CP58" s="22"/>
      <c r="CQ58" s="22"/>
      <c r="CR58" s="22"/>
      <c r="CS58" s="22"/>
      <c r="CT58" s="22"/>
      <c r="CU58" s="22"/>
      <c r="CV58" s="22"/>
      <c r="CW58" s="22"/>
      <c r="CX58" s="22"/>
      <c r="CY58" s="22"/>
      <c r="CZ58" s="22"/>
      <c r="DA58" s="22"/>
      <c r="DB58" s="22"/>
      <c r="DC58" s="22"/>
      <c r="DD58" s="22"/>
      <c r="DE58" s="22"/>
      <c r="DF58" s="22"/>
      <c r="DG58" s="22"/>
      <c r="DH58" s="22"/>
      <c r="DI58" s="22"/>
      <c r="DJ58" s="22"/>
      <c r="DK58" s="22"/>
      <c r="DL58" s="22"/>
      <c r="DM58" s="22"/>
      <c r="DN58" s="22"/>
      <c r="DO58" s="22"/>
      <c r="DP58" s="22"/>
      <c r="DQ58" s="22"/>
      <c r="DR58" s="22"/>
      <c r="DS58" s="22"/>
      <c r="DT58" s="22"/>
      <c r="DU58" s="22"/>
      <c r="DV58" s="22"/>
      <c r="DW58" s="22"/>
      <c r="DX58" s="22"/>
      <c r="DY58" s="22"/>
      <c r="DZ58" s="22"/>
      <c r="EA58" s="22"/>
      <c r="EB58" s="22"/>
      <c r="EC58" s="22"/>
      <c r="ED58" s="22"/>
      <c r="EE58" s="22"/>
      <c r="EF58" s="22"/>
      <c r="EG58" s="22"/>
      <c r="EH58" s="22"/>
      <c r="EI58" s="22"/>
      <c r="EJ58" s="22"/>
      <c r="EK58" s="22"/>
      <c r="EL58" s="22"/>
      <c r="EM58" s="22"/>
      <c r="EN58" s="22"/>
      <c r="EO58" s="22"/>
      <c r="EP58" s="22"/>
      <c r="EQ58" s="22"/>
      <c r="ER58" s="22"/>
      <c r="ES58" s="22"/>
      <c r="ET58" s="22"/>
      <c r="EU58" s="22"/>
      <c r="EV58" s="22"/>
      <c r="EW58" s="22"/>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c r="GL58" s="22"/>
      <c r="GM58" s="22"/>
      <c r="GN58" s="22"/>
      <c r="GO58" s="22"/>
      <c r="GP58" s="22"/>
      <c r="GQ58" s="22"/>
      <c r="GR58" s="22"/>
      <c r="GS58" s="22"/>
      <c r="GT58" s="22"/>
      <c r="GU58" s="22"/>
      <c r="GV58" s="22"/>
      <c r="GW58" s="22"/>
      <c r="GX58" s="22"/>
      <c r="GY58" s="22"/>
      <c r="GZ58" s="22"/>
      <c r="HA58" s="22"/>
      <c r="HB58" s="22"/>
      <c r="HC58" s="22"/>
      <c r="HD58" s="22"/>
      <c r="HE58" s="22"/>
      <c r="HF58" s="22"/>
      <c r="HG58" s="22"/>
      <c r="HH58" s="22"/>
      <c r="HI58" s="22"/>
      <c r="HJ58" s="22"/>
      <c r="HK58" s="22"/>
      <c r="HL58" s="22"/>
      <c r="HM58" s="22"/>
      <c r="HN58" s="22"/>
      <c r="HO58" s="22"/>
      <c r="HP58" s="22"/>
      <c r="HQ58" s="22"/>
      <c r="HR58" s="22"/>
      <c r="HS58" s="22"/>
      <c r="HT58" s="22"/>
      <c r="HU58" s="22"/>
      <c r="HV58" s="22"/>
      <c r="HW58" s="22"/>
      <c r="HX58" s="22"/>
      <c r="HY58" s="22"/>
      <c r="HZ58" s="22"/>
      <c r="IA58" s="22"/>
      <c r="IB58" s="22"/>
      <c r="IC58" s="22"/>
      <c r="ID58" s="22"/>
      <c r="IE58" s="22"/>
      <c r="IF58" s="22"/>
      <c r="IG58" s="22"/>
      <c r="IH58" s="22"/>
      <c r="II58" s="22"/>
      <c r="IJ58" s="22"/>
      <c r="IK58" s="22"/>
      <c r="IL58" s="22"/>
      <c r="IM58" s="22"/>
      <c r="IN58" s="22"/>
      <c r="IO58" s="22"/>
      <c r="IP58" s="22"/>
      <c r="IQ58" s="22"/>
      <c r="IR58" s="22"/>
      <c r="IS58" s="22"/>
      <c r="IT58" s="22"/>
      <c r="IU58" s="22"/>
      <c r="IV58" s="22"/>
    </row>
    <row r="59" spans="1:256" s="41" customFormat="1" ht="15" customHeight="1">
      <c r="A59" s="25" t="s">
        <v>1084</v>
      </c>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c r="BH59" s="22"/>
      <c r="BI59" s="22"/>
      <c r="BJ59" s="22"/>
      <c r="BK59" s="22"/>
      <c r="BL59" s="22"/>
      <c r="BM59" s="22"/>
      <c r="BN59" s="22"/>
      <c r="BO59" s="22"/>
      <c r="BP59" s="22"/>
      <c r="BQ59" s="22"/>
      <c r="BR59" s="22"/>
      <c r="BS59" s="22"/>
      <c r="BT59" s="22"/>
      <c r="BU59" s="22"/>
      <c r="BV59" s="22"/>
      <c r="BW59" s="22"/>
      <c r="BX59" s="22"/>
      <c r="BY59" s="22"/>
      <c r="BZ59" s="22"/>
      <c r="CA59" s="22"/>
      <c r="CB59" s="22"/>
      <c r="CC59" s="22"/>
      <c r="CD59" s="22"/>
      <c r="CE59" s="22"/>
      <c r="CF59" s="22"/>
      <c r="CG59" s="22"/>
      <c r="CH59" s="22"/>
      <c r="CI59" s="22"/>
      <c r="CJ59" s="22"/>
      <c r="CK59" s="22"/>
      <c r="CL59" s="22"/>
      <c r="CM59" s="22"/>
      <c r="CN59" s="22"/>
      <c r="CO59" s="22"/>
      <c r="CP59" s="22"/>
      <c r="CQ59" s="22"/>
      <c r="CR59" s="22"/>
      <c r="CS59" s="22"/>
      <c r="CT59" s="22"/>
      <c r="CU59" s="22"/>
      <c r="CV59" s="22"/>
      <c r="CW59" s="22"/>
      <c r="CX59" s="22"/>
      <c r="CY59" s="22"/>
      <c r="CZ59" s="22"/>
      <c r="DA59" s="22"/>
      <c r="DB59" s="22"/>
      <c r="DC59" s="22"/>
      <c r="DD59" s="22"/>
      <c r="DE59" s="22"/>
      <c r="DF59" s="22"/>
      <c r="DG59" s="22"/>
      <c r="DH59" s="22"/>
      <c r="DI59" s="22"/>
      <c r="DJ59" s="22"/>
      <c r="DK59" s="22"/>
      <c r="DL59" s="22"/>
      <c r="DM59" s="22"/>
      <c r="DN59" s="22"/>
      <c r="DO59" s="22"/>
      <c r="DP59" s="22"/>
      <c r="DQ59" s="22"/>
      <c r="DR59" s="22"/>
      <c r="DS59" s="22"/>
      <c r="DT59" s="22"/>
      <c r="DU59" s="22"/>
      <c r="DV59" s="22"/>
      <c r="DW59" s="22"/>
      <c r="DX59" s="22"/>
      <c r="DY59" s="22"/>
      <c r="DZ59" s="22"/>
      <c r="EA59" s="22"/>
      <c r="EB59" s="22"/>
      <c r="EC59" s="22"/>
      <c r="ED59" s="22"/>
      <c r="EE59" s="22"/>
      <c r="EF59" s="22"/>
      <c r="EG59" s="22"/>
      <c r="EH59" s="22"/>
      <c r="EI59" s="22"/>
      <c r="EJ59" s="22"/>
      <c r="EK59" s="22"/>
      <c r="EL59" s="22"/>
      <c r="EM59" s="22"/>
      <c r="EN59" s="22"/>
      <c r="EO59" s="22"/>
      <c r="EP59" s="22"/>
      <c r="EQ59" s="22"/>
      <c r="ER59" s="22"/>
      <c r="ES59" s="22"/>
      <c r="ET59" s="22"/>
      <c r="EU59" s="22"/>
      <c r="EV59" s="22"/>
      <c r="EW59" s="22"/>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c r="GL59" s="22"/>
      <c r="GM59" s="22"/>
      <c r="GN59" s="22"/>
      <c r="GO59" s="22"/>
      <c r="GP59" s="22"/>
      <c r="GQ59" s="22"/>
      <c r="GR59" s="22"/>
      <c r="GS59" s="22"/>
      <c r="GT59" s="22"/>
      <c r="GU59" s="22"/>
      <c r="GV59" s="22"/>
      <c r="GW59" s="22"/>
      <c r="GX59" s="22"/>
      <c r="GY59" s="22"/>
      <c r="GZ59" s="22"/>
      <c r="HA59" s="22"/>
      <c r="HB59" s="22"/>
      <c r="HC59" s="22"/>
      <c r="HD59" s="22"/>
      <c r="HE59" s="22"/>
      <c r="HF59" s="22"/>
      <c r="HG59" s="22"/>
      <c r="HH59" s="22"/>
      <c r="HI59" s="22"/>
      <c r="HJ59" s="22"/>
      <c r="HK59" s="22"/>
      <c r="HL59" s="22"/>
      <c r="HM59" s="22"/>
      <c r="HN59" s="22"/>
      <c r="HO59" s="22"/>
      <c r="HP59" s="22"/>
      <c r="HQ59" s="22"/>
      <c r="HR59" s="22"/>
      <c r="HS59" s="22"/>
      <c r="HT59" s="22"/>
      <c r="HU59" s="22"/>
      <c r="HV59" s="22"/>
      <c r="HW59" s="22"/>
      <c r="HX59" s="22"/>
      <c r="HY59" s="22"/>
      <c r="HZ59" s="22"/>
      <c r="IA59" s="22"/>
      <c r="IB59" s="22"/>
      <c r="IC59" s="22"/>
      <c r="ID59" s="22"/>
      <c r="IE59" s="22"/>
      <c r="IF59" s="22"/>
      <c r="IG59" s="22"/>
      <c r="IH59" s="22"/>
      <c r="II59" s="22"/>
      <c r="IJ59" s="22"/>
      <c r="IK59" s="22"/>
      <c r="IL59" s="22"/>
      <c r="IM59" s="22"/>
      <c r="IN59" s="22"/>
      <c r="IO59" s="22"/>
      <c r="IP59" s="22"/>
      <c r="IQ59" s="22"/>
      <c r="IR59" s="22"/>
      <c r="IS59" s="22"/>
      <c r="IT59" s="22"/>
      <c r="IU59" s="22"/>
      <c r="IV59" s="22"/>
    </row>
    <row r="60" spans="1:256" s="26" customFormat="1" ht="15" customHeight="1">
      <c r="A60" s="26" t="s">
        <v>1085</v>
      </c>
    </row>
    <row r="61" spans="1:256" s="41" customFormat="1" ht="15" customHeight="1">
      <c r="A61" s="25" t="s">
        <v>1086</v>
      </c>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c r="BH61" s="22"/>
      <c r="BI61" s="22"/>
      <c r="BJ61" s="22"/>
      <c r="BK61" s="22"/>
      <c r="BL61" s="22"/>
      <c r="BM61" s="22"/>
      <c r="BN61" s="22"/>
      <c r="BO61" s="22"/>
      <c r="BP61" s="22"/>
      <c r="BQ61" s="22"/>
      <c r="BR61" s="22"/>
      <c r="BS61" s="22"/>
      <c r="BT61" s="22"/>
      <c r="BU61" s="22"/>
      <c r="BV61" s="22"/>
      <c r="BW61" s="22"/>
      <c r="BX61" s="22"/>
      <c r="BY61" s="22"/>
      <c r="BZ61" s="22"/>
      <c r="CA61" s="22"/>
      <c r="CB61" s="22"/>
      <c r="CC61" s="22"/>
      <c r="CD61" s="22"/>
      <c r="CE61" s="22"/>
      <c r="CF61" s="22"/>
      <c r="CG61" s="22"/>
      <c r="CH61" s="22"/>
      <c r="CI61" s="22"/>
      <c r="CJ61" s="22"/>
      <c r="CK61" s="22"/>
      <c r="CL61" s="22"/>
      <c r="CM61" s="22"/>
      <c r="CN61" s="22"/>
      <c r="CO61" s="22"/>
      <c r="CP61" s="22"/>
      <c r="CQ61" s="22"/>
      <c r="CR61" s="22"/>
      <c r="CS61" s="22"/>
      <c r="CT61" s="22"/>
      <c r="CU61" s="22"/>
      <c r="CV61" s="22"/>
      <c r="CW61" s="22"/>
      <c r="CX61" s="22"/>
      <c r="CY61" s="22"/>
      <c r="CZ61" s="22"/>
      <c r="DA61" s="22"/>
      <c r="DB61" s="22"/>
      <c r="DC61" s="22"/>
      <c r="DD61" s="22"/>
      <c r="DE61" s="22"/>
      <c r="DF61" s="22"/>
      <c r="DG61" s="22"/>
      <c r="DH61" s="22"/>
      <c r="DI61" s="22"/>
      <c r="DJ61" s="22"/>
      <c r="DK61" s="22"/>
      <c r="DL61" s="22"/>
      <c r="DM61" s="22"/>
      <c r="DN61" s="22"/>
      <c r="DO61" s="22"/>
      <c r="DP61" s="22"/>
      <c r="DQ61" s="22"/>
      <c r="DR61" s="22"/>
      <c r="DS61" s="22"/>
      <c r="DT61" s="22"/>
      <c r="DU61" s="22"/>
      <c r="DV61" s="22"/>
      <c r="DW61" s="22"/>
      <c r="DX61" s="22"/>
      <c r="DY61" s="22"/>
      <c r="DZ61" s="22"/>
      <c r="EA61" s="22"/>
      <c r="EB61" s="22"/>
      <c r="EC61" s="22"/>
      <c r="ED61" s="22"/>
      <c r="EE61" s="22"/>
      <c r="EF61" s="22"/>
      <c r="EG61" s="22"/>
      <c r="EH61" s="22"/>
      <c r="EI61" s="22"/>
      <c r="EJ61" s="22"/>
      <c r="EK61" s="22"/>
      <c r="EL61" s="22"/>
      <c r="EM61" s="22"/>
      <c r="EN61" s="22"/>
      <c r="EO61" s="22"/>
      <c r="EP61" s="22"/>
      <c r="EQ61" s="22"/>
      <c r="ER61" s="22"/>
      <c r="ES61" s="22"/>
      <c r="ET61" s="22"/>
      <c r="EU61" s="22"/>
      <c r="EV61" s="22"/>
      <c r="EW61" s="22"/>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c r="GL61" s="22"/>
      <c r="GM61" s="22"/>
      <c r="GN61" s="22"/>
      <c r="GO61" s="22"/>
      <c r="GP61" s="22"/>
      <c r="GQ61" s="22"/>
      <c r="GR61" s="22"/>
      <c r="GS61" s="22"/>
      <c r="GT61" s="22"/>
      <c r="GU61" s="22"/>
      <c r="GV61" s="22"/>
      <c r="GW61" s="22"/>
      <c r="GX61" s="22"/>
      <c r="GY61" s="22"/>
      <c r="GZ61" s="22"/>
      <c r="HA61" s="22"/>
      <c r="HB61" s="22"/>
      <c r="HC61" s="22"/>
      <c r="HD61" s="22"/>
      <c r="HE61" s="22"/>
      <c r="HF61" s="22"/>
      <c r="HG61" s="22"/>
      <c r="HH61" s="22"/>
      <c r="HI61" s="22"/>
      <c r="HJ61" s="22"/>
      <c r="HK61" s="22"/>
      <c r="HL61" s="22"/>
      <c r="HM61" s="22"/>
      <c r="HN61" s="22"/>
      <c r="HO61" s="22"/>
      <c r="HP61" s="22"/>
      <c r="HQ61" s="22"/>
      <c r="HR61" s="22"/>
      <c r="HS61" s="22"/>
      <c r="HT61" s="22"/>
      <c r="HU61" s="22"/>
      <c r="HV61" s="22"/>
      <c r="HW61" s="22"/>
      <c r="HX61" s="22"/>
      <c r="HY61" s="22"/>
      <c r="HZ61" s="22"/>
      <c r="IA61" s="22"/>
      <c r="IB61" s="22"/>
      <c r="IC61" s="22"/>
      <c r="ID61" s="22"/>
      <c r="IE61" s="22"/>
      <c r="IF61" s="22"/>
      <c r="IG61" s="22"/>
      <c r="IH61" s="22"/>
      <c r="II61" s="22"/>
      <c r="IJ61" s="22"/>
      <c r="IK61" s="22"/>
      <c r="IL61" s="22"/>
      <c r="IM61" s="22"/>
      <c r="IN61" s="22"/>
      <c r="IO61" s="22"/>
      <c r="IP61" s="22"/>
      <c r="IQ61" s="22"/>
      <c r="IR61" s="22"/>
      <c r="IS61" s="22"/>
      <c r="IT61" s="22"/>
      <c r="IU61" s="22"/>
      <c r="IV61" s="22"/>
    </row>
    <row r="62" spans="1:256" s="41" customFormat="1" ht="15" customHeight="1">
      <c r="A62" s="25" t="s">
        <v>1087</v>
      </c>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22"/>
      <c r="BF62" s="22"/>
      <c r="BG62" s="22"/>
      <c r="BH62" s="22"/>
      <c r="BI62" s="22"/>
      <c r="BJ62" s="22"/>
      <c r="BK62" s="22"/>
      <c r="BL62" s="22"/>
      <c r="BM62" s="22"/>
      <c r="BN62" s="22"/>
      <c r="BO62" s="22"/>
      <c r="BP62" s="22"/>
      <c r="BQ62" s="22"/>
      <c r="BR62" s="22"/>
      <c r="BS62" s="22"/>
      <c r="BT62" s="22"/>
      <c r="BU62" s="22"/>
      <c r="BV62" s="22"/>
      <c r="BW62" s="22"/>
      <c r="BX62" s="22"/>
      <c r="BY62" s="22"/>
      <c r="BZ62" s="22"/>
      <c r="CA62" s="22"/>
      <c r="CB62" s="22"/>
      <c r="CC62" s="22"/>
      <c r="CD62" s="22"/>
      <c r="CE62" s="22"/>
      <c r="CF62" s="22"/>
      <c r="CG62" s="22"/>
      <c r="CH62" s="22"/>
      <c r="CI62" s="22"/>
      <c r="CJ62" s="22"/>
      <c r="CK62" s="22"/>
      <c r="CL62" s="22"/>
      <c r="CM62" s="22"/>
      <c r="CN62" s="22"/>
      <c r="CO62" s="22"/>
      <c r="CP62" s="22"/>
      <c r="CQ62" s="22"/>
      <c r="CR62" s="22"/>
      <c r="CS62" s="22"/>
      <c r="CT62" s="22"/>
      <c r="CU62" s="22"/>
      <c r="CV62" s="22"/>
      <c r="CW62" s="22"/>
      <c r="CX62" s="22"/>
      <c r="CY62" s="22"/>
      <c r="CZ62" s="22"/>
      <c r="DA62" s="22"/>
      <c r="DB62" s="22"/>
      <c r="DC62" s="22"/>
      <c r="DD62" s="22"/>
      <c r="DE62" s="22"/>
      <c r="DF62" s="22"/>
      <c r="DG62" s="22"/>
      <c r="DH62" s="22"/>
      <c r="DI62" s="22"/>
      <c r="DJ62" s="22"/>
      <c r="DK62" s="22"/>
      <c r="DL62" s="22"/>
      <c r="DM62" s="22"/>
      <c r="DN62" s="22"/>
      <c r="DO62" s="22"/>
      <c r="DP62" s="22"/>
      <c r="DQ62" s="22"/>
      <c r="DR62" s="22"/>
      <c r="DS62" s="22"/>
      <c r="DT62" s="22"/>
      <c r="DU62" s="22"/>
      <c r="DV62" s="22"/>
      <c r="DW62" s="22"/>
      <c r="DX62" s="22"/>
      <c r="DY62" s="22"/>
      <c r="DZ62" s="22"/>
      <c r="EA62" s="22"/>
      <c r="EB62" s="22"/>
      <c r="EC62" s="22"/>
      <c r="ED62" s="22"/>
      <c r="EE62" s="22"/>
      <c r="EF62" s="22"/>
      <c r="EG62" s="22"/>
      <c r="EH62" s="22"/>
      <c r="EI62" s="22"/>
      <c r="EJ62" s="22"/>
      <c r="EK62" s="22"/>
      <c r="EL62" s="22"/>
      <c r="EM62" s="22"/>
      <c r="EN62" s="22"/>
      <c r="EO62" s="22"/>
      <c r="EP62" s="22"/>
      <c r="EQ62" s="22"/>
      <c r="ER62" s="22"/>
      <c r="ES62" s="22"/>
      <c r="ET62" s="22"/>
      <c r="EU62" s="22"/>
      <c r="EV62" s="22"/>
      <c r="EW62" s="22"/>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c r="GL62" s="22"/>
      <c r="GM62" s="22"/>
      <c r="GN62" s="22"/>
      <c r="GO62" s="22"/>
      <c r="GP62" s="22"/>
      <c r="GQ62" s="22"/>
      <c r="GR62" s="22"/>
      <c r="GS62" s="22"/>
      <c r="GT62" s="22"/>
      <c r="GU62" s="22"/>
      <c r="GV62" s="22"/>
      <c r="GW62" s="22"/>
      <c r="GX62" s="22"/>
      <c r="GY62" s="22"/>
      <c r="GZ62" s="22"/>
      <c r="HA62" s="22"/>
      <c r="HB62" s="22"/>
      <c r="HC62" s="22"/>
      <c r="HD62" s="22"/>
      <c r="HE62" s="22"/>
      <c r="HF62" s="22"/>
      <c r="HG62" s="22"/>
      <c r="HH62" s="22"/>
      <c r="HI62" s="22"/>
      <c r="HJ62" s="22"/>
      <c r="HK62" s="22"/>
      <c r="HL62" s="22"/>
      <c r="HM62" s="22"/>
      <c r="HN62" s="22"/>
      <c r="HO62" s="22"/>
      <c r="HP62" s="22"/>
      <c r="HQ62" s="22"/>
      <c r="HR62" s="22"/>
      <c r="HS62" s="22"/>
      <c r="HT62" s="22"/>
      <c r="HU62" s="22"/>
      <c r="HV62" s="22"/>
      <c r="HW62" s="22"/>
      <c r="HX62" s="22"/>
      <c r="HY62" s="22"/>
      <c r="HZ62" s="22"/>
      <c r="IA62" s="22"/>
      <c r="IB62" s="22"/>
      <c r="IC62" s="22"/>
      <c r="ID62" s="22"/>
      <c r="IE62" s="22"/>
      <c r="IF62" s="22"/>
      <c r="IG62" s="22"/>
      <c r="IH62" s="22"/>
      <c r="II62" s="22"/>
      <c r="IJ62" s="22"/>
      <c r="IK62" s="22"/>
      <c r="IL62" s="22"/>
      <c r="IM62" s="22"/>
      <c r="IN62" s="22"/>
      <c r="IO62" s="22"/>
      <c r="IP62" s="22"/>
      <c r="IQ62" s="22"/>
      <c r="IR62" s="22"/>
      <c r="IS62" s="22"/>
      <c r="IT62" s="22"/>
      <c r="IU62" s="22"/>
      <c r="IV62" s="22"/>
    </row>
    <row r="63" spans="1:256" s="41" customFormat="1" ht="15" customHeight="1">
      <c r="A63" s="25" t="s">
        <v>1088</v>
      </c>
      <c r="B63" s="22"/>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22"/>
      <c r="BF63" s="22"/>
      <c r="BG63" s="22"/>
      <c r="BH63" s="22"/>
      <c r="BI63" s="22"/>
      <c r="BJ63" s="22"/>
      <c r="BK63" s="22"/>
      <c r="BL63" s="22"/>
      <c r="BM63" s="22"/>
      <c r="BN63" s="22"/>
      <c r="BO63" s="22"/>
      <c r="BP63" s="22"/>
      <c r="BQ63" s="22"/>
      <c r="BR63" s="22"/>
      <c r="BS63" s="22"/>
      <c r="BT63" s="22"/>
      <c r="BU63" s="22"/>
      <c r="BV63" s="22"/>
      <c r="BW63" s="22"/>
      <c r="BX63" s="22"/>
      <c r="BY63" s="22"/>
      <c r="BZ63" s="22"/>
      <c r="CA63" s="22"/>
      <c r="CB63" s="22"/>
      <c r="CC63" s="22"/>
      <c r="CD63" s="22"/>
      <c r="CE63" s="22"/>
      <c r="CF63" s="22"/>
      <c r="CG63" s="22"/>
      <c r="CH63" s="22"/>
      <c r="CI63" s="22"/>
      <c r="CJ63" s="22"/>
      <c r="CK63" s="22"/>
      <c r="CL63" s="22"/>
      <c r="CM63" s="22"/>
      <c r="CN63" s="22"/>
      <c r="CO63" s="22"/>
      <c r="CP63" s="22"/>
      <c r="CQ63" s="22"/>
      <c r="CR63" s="22"/>
      <c r="CS63" s="22"/>
      <c r="CT63" s="22"/>
      <c r="CU63" s="22"/>
      <c r="CV63" s="22"/>
      <c r="CW63" s="22"/>
      <c r="CX63" s="22"/>
      <c r="CY63" s="22"/>
      <c r="CZ63" s="22"/>
      <c r="DA63" s="22"/>
      <c r="DB63" s="22"/>
      <c r="DC63" s="22"/>
      <c r="DD63" s="22"/>
      <c r="DE63" s="22"/>
      <c r="DF63" s="22"/>
      <c r="DG63" s="22"/>
      <c r="DH63" s="22"/>
      <c r="DI63" s="22"/>
      <c r="DJ63" s="22"/>
      <c r="DK63" s="22"/>
      <c r="DL63" s="22"/>
      <c r="DM63" s="22"/>
      <c r="DN63" s="22"/>
      <c r="DO63" s="22"/>
      <c r="DP63" s="22"/>
      <c r="DQ63" s="22"/>
      <c r="DR63" s="22"/>
      <c r="DS63" s="22"/>
      <c r="DT63" s="22"/>
      <c r="DU63" s="22"/>
      <c r="DV63" s="22"/>
      <c r="DW63" s="22"/>
      <c r="DX63" s="22"/>
      <c r="DY63" s="22"/>
      <c r="DZ63" s="22"/>
      <c r="EA63" s="22"/>
      <c r="EB63" s="22"/>
      <c r="EC63" s="22"/>
      <c r="ED63" s="22"/>
      <c r="EE63" s="22"/>
      <c r="EF63" s="22"/>
      <c r="EG63" s="22"/>
      <c r="EH63" s="22"/>
      <c r="EI63" s="22"/>
      <c r="EJ63" s="22"/>
      <c r="EK63" s="22"/>
      <c r="EL63" s="22"/>
      <c r="EM63" s="22"/>
      <c r="EN63" s="22"/>
      <c r="EO63" s="22"/>
      <c r="EP63" s="22"/>
      <c r="EQ63" s="22"/>
      <c r="ER63" s="22"/>
      <c r="ES63" s="22"/>
      <c r="ET63" s="22"/>
      <c r="EU63" s="22"/>
      <c r="EV63" s="22"/>
      <c r="EW63" s="22"/>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c r="GL63" s="22"/>
      <c r="GM63" s="22"/>
      <c r="GN63" s="22"/>
      <c r="GO63" s="22"/>
      <c r="GP63" s="22"/>
      <c r="GQ63" s="22"/>
      <c r="GR63" s="22"/>
      <c r="GS63" s="22"/>
      <c r="GT63" s="22"/>
      <c r="GU63" s="22"/>
      <c r="GV63" s="22"/>
      <c r="GW63" s="22"/>
      <c r="GX63" s="22"/>
      <c r="GY63" s="22"/>
      <c r="GZ63" s="22"/>
      <c r="HA63" s="22"/>
      <c r="HB63" s="22"/>
      <c r="HC63" s="22"/>
      <c r="HD63" s="22"/>
      <c r="HE63" s="22"/>
      <c r="HF63" s="22"/>
      <c r="HG63" s="22"/>
      <c r="HH63" s="22"/>
      <c r="HI63" s="22"/>
      <c r="HJ63" s="22"/>
      <c r="HK63" s="22"/>
      <c r="HL63" s="22"/>
      <c r="HM63" s="22"/>
      <c r="HN63" s="22"/>
      <c r="HO63" s="22"/>
      <c r="HP63" s="22"/>
      <c r="HQ63" s="22"/>
      <c r="HR63" s="22"/>
      <c r="HS63" s="22"/>
      <c r="HT63" s="22"/>
      <c r="HU63" s="22"/>
      <c r="HV63" s="22"/>
      <c r="HW63" s="22"/>
      <c r="HX63" s="22"/>
      <c r="HY63" s="22"/>
      <c r="HZ63" s="22"/>
      <c r="IA63" s="22"/>
      <c r="IB63" s="22"/>
      <c r="IC63" s="22"/>
      <c r="ID63" s="22"/>
      <c r="IE63" s="22"/>
      <c r="IF63" s="22"/>
      <c r="IG63" s="22"/>
      <c r="IH63" s="22"/>
      <c r="II63" s="22"/>
      <c r="IJ63" s="22"/>
      <c r="IK63" s="22"/>
      <c r="IL63" s="22"/>
      <c r="IM63" s="22"/>
      <c r="IN63" s="22"/>
      <c r="IO63" s="22"/>
      <c r="IP63" s="22"/>
      <c r="IQ63" s="22"/>
      <c r="IR63" s="22"/>
      <c r="IS63" s="22"/>
      <c r="IT63" s="22"/>
      <c r="IU63" s="22"/>
      <c r="IV63" s="22"/>
    </row>
    <row r="64" spans="1:256" s="41" customFormat="1" ht="15" customHeight="1">
      <c r="A64" s="25" t="s">
        <v>1089</v>
      </c>
      <c r="B64" s="22"/>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22"/>
      <c r="BF64" s="22"/>
      <c r="BG64" s="22"/>
      <c r="BH64" s="22"/>
      <c r="BI64" s="22"/>
      <c r="BJ64" s="22"/>
      <c r="BK64" s="22"/>
      <c r="BL64" s="22"/>
      <c r="BM64" s="22"/>
      <c r="BN64" s="22"/>
      <c r="BO64" s="22"/>
      <c r="BP64" s="22"/>
      <c r="BQ64" s="22"/>
      <c r="BR64" s="22"/>
      <c r="BS64" s="22"/>
      <c r="BT64" s="22"/>
      <c r="BU64" s="22"/>
      <c r="BV64" s="22"/>
      <c r="BW64" s="22"/>
      <c r="BX64" s="22"/>
      <c r="BY64" s="22"/>
      <c r="BZ64" s="22"/>
      <c r="CA64" s="22"/>
      <c r="CB64" s="22"/>
      <c r="CC64" s="22"/>
      <c r="CD64" s="22"/>
      <c r="CE64" s="22"/>
      <c r="CF64" s="22"/>
      <c r="CG64" s="22"/>
      <c r="CH64" s="22"/>
      <c r="CI64" s="22"/>
      <c r="CJ64" s="22"/>
      <c r="CK64" s="22"/>
      <c r="CL64" s="22"/>
      <c r="CM64" s="22"/>
      <c r="CN64" s="22"/>
      <c r="CO64" s="22"/>
      <c r="CP64" s="22"/>
      <c r="CQ64" s="22"/>
      <c r="CR64" s="22"/>
      <c r="CS64" s="22"/>
      <c r="CT64" s="22"/>
      <c r="CU64" s="22"/>
      <c r="CV64" s="22"/>
      <c r="CW64" s="22"/>
      <c r="CX64" s="22"/>
      <c r="CY64" s="22"/>
      <c r="CZ64" s="22"/>
      <c r="DA64" s="22"/>
      <c r="DB64" s="22"/>
      <c r="DC64" s="22"/>
      <c r="DD64" s="22"/>
      <c r="DE64" s="22"/>
      <c r="DF64" s="22"/>
      <c r="DG64" s="22"/>
      <c r="DH64" s="22"/>
      <c r="DI64" s="22"/>
      <c r="DJ64" s="22"/>
      <c r="DK64" s="22"/>
      <c r="DL64" s="22"/>
      <c r="DM64" s="22"/>
      <c r="DN64" s="22"/>
      <c r="DO64" s="22"/>
      <c r="DP64" s="22"/>
      <c r="DQ64" s="22"/>
      <c r="DR64" s="22"/>
      <c r="DS64" s="22"/>
      <c r="DT64" s="22"/>
      <c r="DU64" s="22"/>
      <c r="DV64" s="22"/>
      <c r="DW64" s="22"/>
      <c r="DX64" s="22"/>
      <c r="DY64" s="22"/>
      <c r="DZ64" s="22"/>
      <c r="EA64" s="22"/>
      <c r="EB64" s="22"/>
      <c r="EC64" s="22"/>
      <c r="ED64" s="22"/>
      <c r="EE64" s="22"/>
      <c r="EF64" s="22"/>
      <c r="EG64" s="22"/>
      <c r="EH64" s="22"/>
      <c r="EI64" s="22"/>
      <c r="EJ64" s="22"/>
      <c r="EK64" s="22"/>
      <c r="EL64" s="22"/>
      <c r="EM64" s="22"/>
      <c r="EN64" s="22"/>
      <c r="EO64" s="22"/>
      <c r="EP64" s="22"/>
      <c r="EQ64" s="22"/>
      <c r="ER64" s="22"/>
      <c r="ES64" s="22"/>
      <c r="ET64" s="22"/>
      <c r="EU64" s="22"/>
      <c r="EV64" s="22"/>
      <c r="EW64" s="22"/>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c r="GL64" s="22"/>
      <c r="GM64" s="22"/>
      <c r="GN64" s="22"/>
      <c r="GO64" s="22"/>
      <c r="GP64" s="22"/>
      <c r="GQ64" s="22"/>
      <c r="GR64" s="22"/>
      <c r="GS64" s="22"/>
      <c r="GT64" s="22"/>
      <c r="GU64" s="22"/>
      <c r="GV64" s="22"/>
      <c r="GW64" s="22"/>
      <c r="GX64" s="22"/>
      <c r="GY64" s="22"/>
      <c r="GZ64" s="22"/>
      <c r="HA64" s="22"/>
      <c r="HB64" s="22"/>
      <c r="HC64" s="22"/>
      <c r="HD64" s="22"/>
      <c r="HE64" s="22"/>
      <c r="HF64" s="22"/>
      <c r="HG64" s="22"/>
      <c r="HH64" s="22"/>
      <c r="HI64" s="22"/>
      <c r="HJ64" s="22"/>
      <c r="HK64" s="22"/>
      <c r="HL64" s="22"/>
      <c r="HM64" s="22"/>
      <c r="HN64" s="22"/>
      <c r="HO64" s="22"/>
      <c r="HP64" s="22"/>
      <c r="HQ64" s="22"/>
      <c r="HR64" s="22"/>
      <c r="HS64" s="22"/>
      <c r="HT64" s="22"/>
      <c r="HU64" s="22"/>
      <c r="HV64" s="22"/>
      <c r="HW64" s="22"/>
      <c r="HX64" s="22"/>
      <c r="HY64" s="22"/>
      <c r="HZ64" s="22"/>
      <c r="IA64" s="22"/>
      <c r="IB64" s="22"/>
      <c r="IC64" s="22"/>
      <c r="ID64" s="22"/>
      <c r="IE64" s="22"/>
      <c r="IF64" s="22"/>
      <c r="IG64" s="22"/>
      <c r="IH64" s="22"/>
      <c r="II64" s="22"/>
      <c r="IJ64" s="22"/>
      <c r="IK64" s="22"/>
      <c r="IL64" s="22"/>
      <c r="IM64" s="22"/>
      <c r="IN64" s="22"/>
      <c r="IO64" s="22"/>
      <c r="IP64" s="22"/>
      <c r="IQ64" s="22"/>
      <c r="IR64" s="22"/>
      <c r="IS64" s="22"/>
      <c r="IT64" s="22"/>
      <c r="IU64" s="22"/>
      <c r="IV64" s="22"/>
    </row>
    <row r="65" spans="1:256" s="41" customFormat="1" ht="15" customHeight="1">
      <c r="A65" s="25" t="s">
        <v>1090</v>
      </c>
      <c r="B65" s="22"/>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22"/>
      <c r="BF65" s="22"/>
      <c r="BG65" s="22"/>
      <c r="BH65" s="22"/>
      <c r="BI65" s="22"/>
      <c r="BJ65" s="22"/>
      <c r="BK65" s="22"/>
      <c r="BL65" s="22"/>
      <c r="BM65" s="22"/>
      <c r="BN65" s="22"/>
      <c r="BO65" s="22"/>
      <c r="BP65" s="22"/>
      <c r="BQ65" s="22"/>
      <c r="BR65" s="22"/>
      <c r="BS65" s="22"/>
      <c r="BT65" s="22"/>
      <c r="BU65" s="22"/>
      <c r="BV65" s="22"/>
      <c r="BW65" s="22"/>
      <c r="BX65" s="22"/>
      <c r="BY65" s="22"/>
      <c r="BZ65" s="22"/>
      <c r="CA65" s="22"/>
      <c r="CB65" s="22"/>
      <c r="CC65" s="22"/>
      <c r="CD65" s="22"/>
      <c r="CE65" s="22"/>
      <c r="CF65" s="22"/>
      <c r="CG65" s="22"/>
      <c r="CH65" s="22"/>
      <c r="CI65" s="22"/>
      <c r="CJ65" s="22"/>
      <c r="CK65" s="22"/>
      <c r="CL65" s="22"/>
      <c r="CM65" s="22"/>
      <c r="CN65" s="22"/>
      <c r="CO65" s="22"/>
      <c r="CP65" s="22"/>
      <c r="CQ65" s="22"/>
      <c r="CR65" s="22"/>
      <c r="CS65" s="22"/>
      <c r="CT65" s="22"/>
      <c r="CU65" s="22"/>
      <c r="CV65" s="22"/>
      <c r="CW65" s="22"/>
      <c r="CX65" s="22"/>
      <c r="CY65" s="22"/>
      <c r="CZ65" s="22"/>
      <c r="DA65" s="22"/>
      <c r="DB65" s="22"/>
      <c r="DC65" s="22"/>
      <c r="DD65" s="22"/>
      <c r="DE65" s="22"/>
      <c r="DF65" s="22"/>
      <c r="DG65" s="22"/>
      <c r="DH65" s="22"/>
      <c r="DI65" s="22"/>
      <c r="DJ65" s="22"/>
      <c r="DK65" s="22"/>
      <c r="DL65" s="22"/>
      <c r="DM65" s="22"/>
      <c r="DN65" s="22"/>
      <c r="DO65" s="22"/>
      <c r="DP65" s="22"/>
      <c r="DQ65" s="22"/>
      <c r="DR65" s="22"/>
      <c r="DS65" s="22"/>
      <c r="DT65" s="22"/>
      <c r="DU65" s="22"/>
      <c r="DV65" s="22"/>
      <c r="DW65" s="22"/>
      <c r="DX65" s="22"/>
      <c r="DY65" s="22"/>
      <c r="DZ65" s="22"/>
      <c r="EA65" s="22"/>
      <c r="EB65" s="22"/>
      <c r="EC65" s="22"/>
      <c r="ED65" s="22"/>
      <c r="EE65" s="22"/>
      <c r="EF65" s="22"/>
      <c r="EG65" s="22"/>
      <c r="EH65" s="22"/>
      <c r="EI65" s="22"/>
      <c r="EJ65" s="22"/>
      <c r="EK65" s="22"/>
      <c r="EL65" s="22"/>
      <c r="EM65" s="22"/>
      <c r="EN65" s="22"/>
      <c r="EO65" s="22"/>
      <c r="EP65" s="22"/>
      <c r="EQ65" s="22"/>
      <c r="ER65" s="22"/>
      <c r="ES65" s="22"/>
      <c r="ET65" s="22"/>
      <c r="EU65" s="22"/>
      <c r="EV65" s="22"/>
      <c r="EW65" s="22"/>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c r="GL65" s="22"/>
      <c r="GM65" s="22"/>
      <c r="GN65" s="22"/>
      <c r="GO65" s="22"/>
      <c r="GP65" s="22"/>
      <c r="GQ65" s="22"/>
      <c r="GR65" s="22"/>
      <c r="GS65" s="22"/>
      <c r="GT65" s="22"/>
      <c r="GU65" s="22"/>
      <c r="GV65" s="22"/>
      <c r="GW65" s="22"/>
      <c r="GX65" s="22"/>
      <c r="GY65" s="22"/>
      <c r="GZ65" s="22"/>
      <c r="HA65" s="22"/>
      <c r="HB65" s="22"/>
      <c r="HC65" s="22"/>
      <c r="HD65" s="22"/>
      <c r="HE65" s="22"/>
      <c r="HF65" s="22"/>
      <c r="HG65" s="22"/>
      <c r="HH65" s="22"/>
      <c r="HI65" s="22"/>
      <c r="HJ65" s="22"/>
      <c r="HK65" s="22"/>
      <c r="HL65" s="22"/>
      <c r="HM65" s="22"/>
      <c r="HN65" s="22"/>
      <c r="HO65" s="22"/>
      <c r="HP65" s="22"/>
      <c r="HQ65" s="22"/>
      <c r="HR65" s="22"/>
      <c r="HS65" s="22"/>
      <c r="HT65" s="22"/>
      <c r="HU65" s="22"/>
      <c r="HV65" s="22"/>
      <c r="HW65" s="22"/>
      <c r="HX65" s="22"/>
      <c r="HY65" s="22"/>
      <c r="HZ65" s="22"/>
      <c r="IA65" s="22"/>
      <c r="IB65" s="22"/>
      <c r="IC65" s="22"/>
      <c r="ID65" s="22"/>
      <c r="IE65" s="22"/>
      <c r="IF65" s="22"/>
      <c r="IG65" s="22"/>
      <c r="IH65" s="22"/>
      <c r="II65" s="22"/>
      <c r="IJ65" s="22"/>
      <c r="IK65" s="22"/>
      <c r="IL65" s="22"/>
      <c r="IM65" s="22"/>
      <c r="IN65" s="22"/>
      <c r="IO65" s="22"/>
      <c r="IP65" s="22"/>
      <c r="IQ65" s="22"/>
      <c r="IR65" s="22"/>
      <c r="IS65" s="22"/>
      <c r="IT65" s="22"/>
      <c r="IU65" s="22"/>
      <c r="IV65" s="22"/>
    </row>
    <row r="66" spans="1:256" s="41" customFormat="1" ht="15" customHeight="1">
      <c r="A66" s="25" t="s">
        <v>1091</v>
      </c>
      <c r="B66" s="22"/>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22"/>
      <c r="BF66" s="22"/>
      <c r="BG66" s="22"/>
      <c r="BH66" s="22"/>
      <c r="BI66" s="22"/>
      <c r="BJ66" s="22"/>
      <c r="BK66" s="22"/>
      <c r="BL66" s="22"/>
      <c r="BM66" s="22"/>
      <c r="BN66" s="22"/>
      <c r="BO66" s="22"/>
      <c r="BP66" s="22"/>
      <c r="BQ66" s="22"/>
      <c r="BR66" s="22"/>
      <c r="BS66" s="22"/>
      <c r="BT66" s="22"/>
      <c r="BU66" s="22"/>
      <c r="BV66" s="22"/>
      <c r="BW66" s="22"/>
      <c r="BX66" s="22"/>
      <c r="BY66" s="22"/>
      <c r="BZ66" s="22"/>
      <c r="CA66" s="22"/>
      <c r="CB66" s="22"/>
      <c r="CC66" s="22"/>
      <c r="CD66" s="22"/>
      <c r="CE66" s="22"/>
      <c r="CF66" s="22"/>
      <c r="CG66" s="22"/>
      <c r="CH66" s="22"/>
      <c r="CI66" s="22"/>
      <c r="CJ66" s="22"/>
      <c r="CK66" s="22"/>
      <c r="CL66" s="22"/>
      <c r="CM66" s="22"/>
      <c r="CN66" s="22"/>
      <c r="CO66" s="22"/>
      <c r="CP66" s="22"/>
      <c r="CQ66" s="22"/>
      <c r="CR66" s="22"/>
      <c r="CS66" s="22"/>
      <c r="CT66" s="22"/>
      <c r="CU66" s="22"/>
      <c r="CV66" s="22"/>
      <c r="CW66" s="22"/>
      <c r="CX66" s="22"/>
      <c r="CY66" s="22"/>
      <c r="CZ66" s="22"/>
      <c r="DA66" s="22"/>
      <c r="DB66" s="22"/>
      <c r="DC66" s="22"/>
      <c r="DD66" s="22"/>
      <c r="DE66" s="22"/>
      <c r="DF66" s="22"/>
      <c r="DG66" s="22"/>
      <c r="DH66" s="22"/>
      <c r="DI66" s="22"/>
      <c r="DJ66" s="22"/>
      <c r="DK66" s="22"/>
      <c r="DL66" s="22"/>
      <c r="DM66" s="22"/>
      <c r="DN66" s="22"/>
      <c r="DO66" s="22"/>
      <c r="DP66" s="22"/>
      <c r="DQ66" s="22"/>
      <c r="DR66" s="22"/>
      <c r="DS66" s="22"/>
      <c r="DT66" s="22"/>
      <c r="DU66" s="22"/>
      <c r="DV66" s="22"/>
      <c r="DW66" s="22"/>
      <c r="DX66" s="22"/>
      <c r="DY66" s="22"/>
      <c r="DZ66" s="22"/>
      <c r="EA66" s="22"/>
      <c r="EB66" s="22"/>
      <c r="EC66" s="22"/>
      <c r="ED66" s="22"/>
      <c r="EE66" s="22"/>
      <c r="EF66" s="22"/>
      <c r="EG66" s="22"/>
      <c r="EH66" s="22"/>
      <c r="EI66" s="22"/>
      <c r="EJ66" s="22"/>
      <c r="EK66" s="22"/>
      <c r="EL66" s="22"/>
      <c r="EM66" s="22"/>
      <c r="EN66" s="22"/>
      <c r="EO66" s="22"/>
      <c r="EP66" s="22"/>
      <c r="EQ66" s="22"/>
      <c r="ER66" s="22"/>
      <c r="ES66" s="22"/>
      <c r="ET66" s="22"/>
      <c r="EU66" s="22"/>
      <c r="EV66" s="22"/>
      <c r="EW66" s="22"/>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c r="GL66" s="22"/>
      <c r="GM66" s="22"/>
      <c r="GN66" s="22"/>
      <c r="GO66" s="22"/>
      <c r="GP66" s="22"/>
      <c r="GQ66" s="22"/>
      <c r="GR66" s="22"/>
      <c r="GS66" s="22"/>
      <c r="GT66" s="22"/>
      <c r="GU66" s="22"/>
      <c r="GV66" s="22"/>
      <c r="GW66" s="22"/>
      <c r="GX66" s="22"/>
      <c r="GY66" s="22"/>
      <c r="GZ66" s="22"/>
      <c r="HA66" s="22"/>
      <c r="HB66" s="22"/>
      <c r="HC66" s="22"/>
      <c r="HD66" s="22"/>
      <c r="HE66" s="22"/>
      <c r="HF66" s="22"/>
      <c r="HG66" s="22"/>
      <c r="HH66" s="22"/>
      <c r="HI66" s="22"/>
      <c r="HJ66" s="22"/>
      <c r="HK66" s="22"/>
      <c r="HL66" s="22"/>
      <c r="HM66" s="22"/>
      <c r="HN66" s="22"/>
      <c r="HO66" s="22"/>
      <c r="HP66" s="22"/>
      <c r="HQ66" s="22"/>
      <c r="HR66" s="22"/>
      <c r="HS66" s="22"/>
      <c r="HT66" s="22"/>
      <c r="HU66" s="22"/>
      <c r="HV66" s="22"/>
      <c r="HW66" s="22"/>
      <c r="HX66" s="22"/>
      <c r="HY66" s="22"/>
      <c r="HZ66" s="22"/>
      <c r="IA66" s="22"/>
      <c r="IB66" s="22"/>
      <c r="IC66" s="22"/>
      <c r="ID66" s="22"/>
      <c r="IE66" s="22"/>
      <c r="IF66" s="22"/>
      <c r="IG66" s="22"/>
      <c r="IH66" s="22"/>
      <c r="II66" s="22"/>
      <c r="IJ66" s="22"/>
      <c r="IK66" s="22"/>
      <c r="IL66" s="22"/>
      <c r="IM66" s="22"/>
      <c r="IN66" s="22"/>
      <c r="IO66" s="22"/>
      <c r="IP66" s="22"/>
      <c r="IQ66" s="22"/>
      <c r="IR66" s="22"/>
      <c r="IS66" s="22"/>
      <c r="IT66" s="22"/>
      <c r="IU66" s="22"/>
      <c r="IV66" s="22"/>
    </row>
    <row r="67" spans="1:256" s="26" customFormat="1" ht="15" customHeight="1">
      <c r="A67" s="26" t="s">
        <v>1092</v>
      </c>
    </row>
    <row r="68" spans="1:256" s="41" customFormat="1" ht="15" customHeight="1">
      <c r="A68" s="25" t="s">
        <v>1093</v>
      </c>
      <c r="B68" s="2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22"/>
      <c r="BF68" s="22"/>
      <c r="BG68" s="22"/>
      <c r="BH68" s="22"/>
      <c r="BI68" s="22"/>
      <c r="BJ68" s="22"/>
      <c r="BK68" s="22"/>
      <c r="BL68" s="22"/>
      <c r="BM68" s="22"/>
      <c r="BN68" s="22"/>
      <c r="BO68" s="22"/>
      <c r="BP68" s="22"/>
      <c r="BQ68" s="22"/>
      <c r="BR68" s="22"/>
      <c r="BS68" s="22"/>
      <c r="BT68" s="22"/>
      <c r="BU68" s="22"/>
      <c r="BV68" s="22"/>
      <c r="BW68" s="22"/>
      <c r="BX68" s="22"/>
      <c r="BY68" s="22"/>
      <c r="BZ68" s="22"/>
      <c r="CA68" s="22"/>
      <c r="CB68" s="22"/>
      <c r="CC68" s="22"/>
      <c r="CD68" s="22"/>
      <c r="CE68" s="22"/>
      <c r="CF68" s="22"/>
      <c r="CG68" s="22"/>
      <c r="CH68" s="22"/>
      <c r="CI68" s="22"/>
      <c r="CJ68" s="22"/>
      <c r="CK68" s="22"/>
      <c r="CL68" s="22"/>
      <c r="CM68" s="22"/>
      <c r="CN68" s="22"/>
      <c r="CO68" s="22"/>
      <c r="CP68" s="22"/>
      <c r="CQ68" s="22"/>
      <c r="CR68" s="22"/>
      <c r="CS68" s="22"/>
      <c r="CT68" s="22"/>
      <c r="CU68" s="22"/>
      <c r="CV68" s="22"/>
      <c r="CW68" s="22"/>
      <c r="CX68" s="22"/>
      <c r="CY68" s="22"/>
      <c r="CZ68" s="22"/>
      <c r="DA68" s="22"/>
      <c r="DB68" s="22"/>
      <c r="DC68" s="22"/>
      <c r="DD68" s="22"/>
      <c r="DE68" s="22"/>
      <c r="DF68" s="22"/>
      <c r="DG68" s="22"/>
      <c r="DH68" s="22"/>
      <c r="DI68" s="22"/>
      <c r="DJ68" s="22"/>
      <c r="DK68" s="22"/>
      <c r="DL68" s="22"/>
      <c r="DM68" s="22"/>
      <c r="DN68" s="22"/>
      <c r="DO68" s="22"/>
      <c r="DP68" s="22"/>
      <c r="DQ68" s="22"/>
      <c r="DR68" s="22"/>
      <c r="DS68" s="22"/>
      <c r="DT68" s="22"/>
      <c r="DU68" s="22"/>
      <c r="DV68" s="22"/>
      <c r="DW68" s="22"/>
      <c r="DX68" s="22"/>
      <c r="DY68" s="22"/>
      <c r="DZ68" s="22"/>
      <c r="EA68" s="22"/>
      <c r="EB68" s="22"/>
      <c r="EC68" s="22"/>
      <c r="ED68" s="22"/>
      <c r="EE68" s="22"/>
      <c r="EF68" s="22"/>
      <c r="EG68" s="22"/>
      <c r="EH68" s="22"/>
      <c r="EI68" s="22"/>
      <c r="EJ68" s="22"/>
      <c r="EK68" s="22"/>
      <c r="EL68" s="22"/>
      <c r="EM68" s="22"/>
      <c r="EN68" s="22"/>
      <c r="EO68" s="22"/>
      <c r="EP68" s="22"/>
      <c r="EQ68" s="22"/>
      <c r="ER68" s="22"/>
      <c r="ES68" s="22"/>
      <c r="ET68" s="22"/>
      <c r="EU68" s="22"/>
      <c r="EV68" s="22"/>
      <c r="EW68" s="22"/>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c r="GL68" s="22"/>
      <c r="GM68" s="22"/>
      <c r="GN68" s="22"/>
      <c r="GO68" s="22"/>
      <c r="GP68" s="22"/>
      <c r="GQ68" s="22"/>
      <c r="GR68" s="22"/>
      <c r="GS68" s="22"/>
      <c r="GT68" s="22"/>
      <c r="GU68" s="22"/>
      <c r="GV68" s="22"/>
      <c r="GW68" s="22"/>
      <c r="GX68" s="22"/>
      <c r="GY68" s="22"/>
      <c r="GZ68" s="22"/>
      <c r="HA68" s="22"/>
      <c r="HB68" s="22"/>
      <c r="HC68" s="22"/>
      <c r="HD68" s="22"/>
      <c r="HE68" s="22"/>
      <c r="HF68" s="22"/>
      <c r="HG68" s="22"/>
      <c r="HH68" s="22"/>
      <c r="HI68" s="22"/>
      <c r="HJ68" s="22"/>
      <c r="HK68" s="22"/>
      <c r="HL68" s="22"/>
      <c r="HM68" s="22"/>
      <c r="HN68" s="22"/>
      <c r="HO68" s="22"/>
      <c r="HP68" s="22"/>
      <c r="HQ68" s="22"/>
      <c r="HR68" s="22"/>
      <c r="HS68" s="22"/>
      <c r="HT68" s="22"/>
      <c r="HU68" s="22"/>
      <c r="HV68" s="22"/>
      <c r="HW68" s="22"/>
      <c r="HX68" s="22"/>
      <c r="HY68" s="22"/>
      <c r="HZ68" s="22"/>
      <c r="IA68" s="22"/>
      <c r="IB68" s="22"/>
      <c r="IC68" s="22"/>
      <c r="ID68" s="22"/>
      <c r="IE68" s="22"/>
      <c r="IF68" s="22"/>
      <c r="IG68" s="22"/>
      <c r="IH68" s="22"/>
      <c r="II68" s="22"/>
      <c r="IJ68" s="22"/>
      <c r="IK68" s="22"/>
      <c r="IL68" s="22"/>
      <c r="IM68" s="22"/>
      <c r="IN68" s="22"/>
      <c r="IO68" s="22"/>
      <c r="IP68" s="22"/>
      <c r="IQ68" s="22"/>
      <c r="IR68" s="22"/>
      <c r="IS68" s="22"/>
      <c r="IT68" s="22"/>
      <c r="IU68" s="22"/>
      <c r="IV68" s="22"/>
    </row>
    <row r="69" spans="1:256" s="31" customFormat="1" ht="15" customHeight="1">
      <c r="A69" s="31" t="s">
        <v>1094</v>
      </c>
    </row>
    <row r="70" spans="1:256" s="17" customFormat="1" ht="15" customHeight="1">
      <c r="A70" s="27" t="s">
        <v>1095</v>
      </c>
      <c r="B70" s="14"/>
      <c r="C70" s="20"/>
      <c r="D70" s="20"/>
      <c r="E70" s="20"/>
      <c r="F70" s="20"/>
      <c r="G70" s="20"/>
      <c r="H70" s="20"/>
      <c r="I70" s="20"/>
      <c r="J70" s="45"/>
      <c r="K70" s="45"/>
      <c r="L70" s="45"/>
      <c r="M70" s="45"/>
      <c r="N70" s="45"/>
      <c r="O70" s="45"/>
      <c r="P70" s="45"/>
      <c r="Q70" s="45"/>
      <c r="R70" s="45"/>
      <c r="S70" s="45"/>
      <c r="T70" s="20"/>
      <c r="U70" s="20"/>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c r="BF70" s="45"/>
      <c r="BG70" s="45"/>
      <c r="BH70" s="45"/>
      <c r="BI70" s="45"/>
      <c r="BJ70" s="45"/>
      <c r="BK70" s="45"/>
      <c r="BL70" s="45"/>
      <c r="BM70" s="45"/>
      <c r="BN70" s="45"/>
      <c r="BO70" s="45"/>
      <c r="BP70" s="45"/>
      <c r="BQ70" s="45"/>
      <c r="BR70" s="45"/>
      <c r="BS70" s="45"/>
      <c r="BT70" s="45"/>
      <c r="BU70" s="45"/>
      <c r="BV70" s="45"/>
      <c r="BW70" s="45"/>
      <c r="BX70" s="45"/>
    </row>
    <row r="71" spans="1:256" s="41" customFormat="1" ht="15" customHeight="1">
      <c r="A71" s="25" t="s">
        <v>1096</v>
      </c>
      <c r="B71" s="22"/>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c r="BH71" s="22"/>
      <c r="BI71" s="22"/>
      <c r="BJ71" s="22"/>
      <c r="BK71" s="22"/>
      <c r="BL71" s="22"/>
      <c r="BM71" s="22"/>
      <c r="BN71" s="22"/>
      <c r="BO71" s="22"/>
      <c r="BP71" s="22"/>
      <c r="BQ71" s="22"/>
      <c r="BR71" s="22"/>
      <c r="BS71" s="22"/>
      <c r="BT71" s="22"/>
      <c r="BU71" s="22"/>
      <c r="BV71" s="22"/>
      <c r="BW71" s="22"/>
      <c r="BX71" s="22"/>
      <c r="BY71" s="22"/>
      <c r="BZ71" s="22"/>
      <c r="CA71" s="22"/>
      <c r="CB71" s="22"/>
      <c r="CC71" s="22"/>
      <c r="CD71" s="22"/>
      <c r="CE71" s="22"/>
      <c r="CF71" s="22"/>
      <c r="CG71" s="22"/>
      <c r="CH71" s="22"/>
      <c r="CI71" s="22"/>
      <c r="CJ71" s="22"/>
      <c r="CK71" s="22"/>
      <c r="CL71" s="22"/>
      <c r="CM71" s="22"/>
      <c r="CN71" s="22"/>
      <c r="CO71" s="22"/>
      <c r="CP71" s="22"/>
      <c r="CQ71" s="22"/>
      <c r="CR71" s="22"/>
      <c r="CS71" s="22"/>
      <c r="CT71" s="22"/>
      <c r="CU71" s="22"/>
      <c r="CV71" s="22"/>
      <c r="CW71" s="22"/>
      <c r="CX71" s="22"/>
      <c r="CY71" s="22"/>
      <c r="CZ71" s="22"/>
      <c r="DA71" s="22"/>
      <c r="DB71" s="22"/>
      <c r="DC71" s="22"/>
      <c r="DD71" s="22"/>
      <c r="DE71" s="22"/>
      <c r="DF71" s="22"/>
      <c r="DG71" s="22"/>
      <c r="DH71" s="22"/>
      <c r="DI71" s="22"/>
      <c r="DJ71" s="22"/>
      <c r="DK71" s="22"/>
      <c r="DL71" s="22"/>
      <c r="DM71" s="22"/>
      <c r="DN71" s="22"/>
      <c r="DO71" s="22"/>
      <c r="DP71" s="22"/>
      <c r="DQ71" s="22"/>
      <c r="DR71" s="22"/>
      <c r="DS71" s="22"/>
      <c r="DT71" s="22"/>
      <c r="DU71" s="22"/>
      <c r="DV71" s="22"/>
      <c r="DW71" s="22"/>
      <c r="DX71" s="22"/>
      <c r="DY71" s="22"/>
      <c r="DZ71" s="22"/>
      <c r="EA71" s="22"/>
      <c r="EB71" s="22"/>
      <c r="EC71" s="22"/>
      <c r="ED71" s="22"/>
      <c r="EE71" s="22"/>
      <c r="EF71" s="22"/>
      <c r="EG71" s="22"/>
      <c r="EH71" s="22"/>
      <c r="EI71" s="22"/>
      <c r="EJ71" s="22"/>
      <c r="EK71" s="22"/>
      <c r="EL71" s="22"/>
      <c r="EM71" s="22"/>
      <c r="EN71" s="22"/>
      <c r="EO71" s="22"/>
      <c r="EP71" s="22"/>
      <c r="EQ71" s="22"/>
      <c r="ER71" s="22"/>
      <c r="ES71" s="22"/>
      <c r="ET71" s="22"/>
      <c r="EU71" s="22"/>
      <c r="EV71" s="22"/>
      <c r="EW71" s="22"/>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c r="GL71" s="22"/>
      <c r="GM71" s="22"/>
      <c r="GN71" s="22"/>
      <c r="GO71" s="22"/>
      <c r="GP71" s="22"/>
      <c r="GQ71" s="22"/>
      <c r="GR71" s="22"/>
      <c r="GS71" s="22"/>
      <c r="GT71" s="22"/>
      <c r="GU71" s="22"/>
      <c r="GV71" s="22"/>
      <c r="GW71" s="22"/>
      <c r="GX71" s="22"/>
      <c r="GY71" s="22"/>
      <c r="GZ71" s="22"/>
      <c r="HA71" s="22"/>
      <c r="HB71" s="22"/>
      <c r="HC71" s="22"/>
      <c r="HD71" s="22"/>
      <c r="HE71" s="22"/>
      <c r="HF71" s="22"/>
      <c r="HG71" s="22"/>
      <c r="HH71" s="22"/>
      <c r="HI71" s="22"/>
      <c r="HJ71" s="22"/>
      <c r="HK71" s="22"/>
      <c r="HL71" s="22"/>
      <c r="HM71" s="22"/>
      <c r="HN71" s="22"/>
      <c r="HO71" s="22"/>
      <c r="HP71" s="22"/>
      <c r="HQ71" s="22"/>
      <c r="HR71" s="22"/>
      <c r="HS71" s="22"/>
      <c r="HT71" s="22"/>
      <c r="HU71" s="22"/>
      <c r="HV71" s="22"/>
      <c r="HW71" s="22"/>
      <c r="HX71" s="22"/>
      <c r="HY71" s="22"/>
      <c r="HZ71" s="22"/>
      <c r="IA71" s="22"/>
      <c r="IB71" s="22"/>
      <c r="IC71" s="22"/>
      <c r="ID71" s="22"/>
      <c r="IE71" s="22"/>
      <c r="IF71" s="22"/>
      <c r="IG71" s="22"/>
      <c r="IH71" s="22"/>
      <c r="II71" s="22"/>
      <c r="IJ71" s="22"/>
      <c r="IK71" s="22"/>
      <c r="IL71" s="22"/>
      <c r="IM71" s="22"/>
      <c r="IN71" s="22"/>
      <c r="IO71" s="22"/>
      <c r="IP71" s="22"/>
      <c r="IQ71" s="22"/>
      <c r="IR71" s="22"/>
      <c r="IS71" s="22"/>
      <c r="IT71" s="22"/>
      <c r="IU71" s="22"/>
      <c r="IV71" s="22"/>
    </row>
    <row r="72" spans="1:256" s="41" customFormat="1" ht="15" customHeight="1">
      <c r="A72" s="25" t="s">
        <v>1097</v>
      </c>
      <c r="B72" s="22"/>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c r="BH72" s="22"/>
      <c r="BI72" s="22"/>
      <c r="BJ72" s="22"/>
      <c r="BK72" s="22"/>
      <c r="BL72" s="22"/>
      <c r="BM72" s="22"/>
      <c r="BN72" s="22"/>
      <c r="BO72" s="22"/>
      <c r="BP72" s="22"/>
      <c r="BQ72" s="22"/>
      <c r="BR72" s="22"/>
      <c r="BS72" s="22"/>
      <c r="BT72" s="22"/>
      <c r="BU72" s="22"/>
      <c r="BV72" s="22"/>
      <c r="BW72" s="22"/>
      <c r="BX72" s="22"/>
      <c r="BY72" s="22"/>
      <c r="BZ72" s="22"/>
      <c r="CA72" s="22"/>
      <c r="CB72" s="22"/>
      <c r="CC72" s="22"/>
      <c r="CD72" s="22"/>
      <c r="CE72" s="22"/>
      <c r="CF72" s="22"/>
      <c r="CG72" s="22"/>
      <c r="CH72" s="22"/>
      <c r="CI72" s="22"/>
      <c r="CJ72" s="22"/>
      <c r="CK72" s="22"/>
      <c r="CL72" s="22"/>
      <c r="CM72" s="22"/>
      <c r="CN72" s="22"/>
      <c r="CO72" s="22"/>
      <c r="CP72" s="22"/>
      <c r="CQ72" s="22"/>
      <c r="CR72" s="22"/>
      <c r="CS72" s="22"/>
      <c r="CT72" s="22"/>
      <c r="CU72" s="22"/>
      <c r="CV72" s="22"/>
      <c r="CW72" s="22"/>
      <c r="CX72" s="22"/>
      <c r="CY72" s="22"/>
      <c r="CZ72" s="22"/>
      <c r="DA72" s="22"/>
      <c r="DB72" s="22"/>
      <c r="DC72" s="22"/>
      <c r="DD72" s="22"/>
      <c r="DE72" s="22"/>
      <c r="DF72" s="22"/>
      <c r="DG72" s="22"/>
      <c r="DH72" s="22"/>
      <c r="DI72" s="22"/>
      <c r="DJ72" s="22"/>
      <c r="DK72" s="22"/>
      <c r="DL72" s="22"/>
      <c r="DM72" s="22"/>
      <c r="DN72" s="22"/>
      <c r="DO72" s="22"/>
      <c r="DP72" s="22"/>
      <c r="DQ72" s="22"/>
      <c r="DR72" s="22"/>
      <c r="DS72" s="22"/>
      <c r="DT72" s="22"/>
      <c r="DU72" s="22"/>
      <c r="DV72" s="22"/>
      <c r="DW72" s="22"/>
      <c r="DX72" s="22"/>
      <c r="DY72" s="22"/>
      <c r="DZ72" s="22"/>
      <c r="EA72" s="22"/>
      <c r="EB72" s="22"/>
      <c r="EC72" s="22"/>
      <c r="ED72" s="22"/>
      <c r="EE72" s="22"/>
      <c r="EF72" s="22"/>
      <c r="EG72" s="22"/>
      <c r="EH72" s="22"/>
      <c r="EI72" s="22"/>
      <c r="EJ72" s="22"/>
      <c r="EK72" s="22"/>
      <c r="EL72" s="22"/>
      <c r="EM72" s="22"/>
      <c r="EN72" s="22"/>
      <c r="EO72" s="22"/>
      <c r="EP72" s="22"/>
      <c r="EQ72" s="22"/>
      <c r="ER72" s="22"/>
      <c r="ES72" s="22"/>
      <c r="ET72" s="22"/>
      <c r="EU72" s="22"/>
      <c r="EV72" s="22"/>
      <c r="EW72" s="22"/>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c r="GL72" s="22"/>
      <c r="GM72" s="22"/>
      <c r="GN72" s="22"/>
      <c r="GO72" s="22"/>
      <c r="GP72" s="22"/>
      <c r="GQ72" s="22"/>
      <c r="GR72" s="22"/>
      <c r="GS72" s="22"/>
      <c r="GT72" s="22"/>
      <c r="GU72" s="22"/>
      <c r="GV72" s="22"/>
      <c r="GW72" s="22"/>
      <c r="GX72" s="22"/>
      <c r="GY72" s="22"/>
      <c r="GZ72" s="22"/>
      <c r="HA72" s="22"/>
      <c r="HB72" s="22"/>
      <c r="HC72" s="22"/>
      <c r="HD72" s="22"/>
      <c r="HE72" s="22"/>
      <c r="HF72" s="22"/>
      <c r="HG72" s="22"/>
      <c r="HH72" s="22"/>
      <c r="HI72" s="22"/>
      <c r="HJ72" s="22"/>
      <c r="HK72" s="22"/>
      <c r="HL72" s="22"/>
      <c r="HM72" s="22"/>
      <c r="HN72" s="22"/>
      <c r="HO72" s="22"/>
      <c r="HP72" s="22"/>
      <c r="HQ72" s="22"/>
      <c r="HR72" s="22"/>
      <c r="HS72" s="22"/>
      <c r="HT72" s="22"/>
      <c r="HU72" s="22"/>
      <c r="HV72" s="22"/>
      <c r="HW72" s="22"/>
      <c r="HX72" s="22"/>
      <c r="HY72" s="22"/>
      <c r="HZ72" s="22"/>
      <c r="IA72" s="22"/>
      <c r="IB72" s="22"/>
      <c r="IC72" s="22"/>
      <c r="ID72" s="22"/>
      <c r="IE72" s="22"/>
      <c r="IF72" s="22"/>
      <c r="IG72" s="22"/>
      <c r="IH72" s="22"/>
      <c r="II72" s="22"/>
      <c r="IJ72" s="22"/>
      <c r="IK72" s="22"/>
      <c r="IL72" s="22"/>
      <c r="IM72" s="22"/>
      <c r="IN72" s="22"/>
      <c r="IO72" s="22"/>
      <c r="IP72" s="22"/>
      <c r="IQ72" s="22"/>
      <c r="IR72" s="22"/>
      <c r="IS72" s="22"/>
      <c r="IT72" s="22"/>
      <c r="IU72" s="22"/>
      <c r="IV72" s="22"/>
    </row>
    <row r="73" spans="1:256" s="41" customFormat="1" ht="24">
      <c r="A73" s="25" t="s">
        <v>1098</v>
      </c>
      <c r="B73" s="22"/>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c r="BH73" s="22"/>
      <c r="BI73" s="22"/>
      <c r="BJ73" s="22"/>
      <c r="BK73" s="22"/>
      <c r="BL73" s="22"/>
      <c r="BM73" s="22"/>
      <c r="BN73" s="22"/>
      <c r="BO73" s="22"/>
      <c r="BP73" s="22"/>
      <c r="BQ73" s="22"/>
      <c r="BR73" s="22"/>
      <c r="BS73" s="22"/>
      <c r="BT73" s="22"/>
      <c r="BU73" s="22"/>
      <c r="BV73" s="22"/>
      <c r="BW73" s="22"/>
      <c r="BX73" s="22"/>
      <c r="BY73" s="22"/>
      <c r="BZ73" s="22"/>
      <c r="CA73" s="22"/>
      <c r="CB73" s="22"/>
      <c r="CC73" s="22"/>
      <c r="CD73" s="22"/>
      <c r="CE73" s="22"/>
      <c r="CF73" s="22"/>
      <c r="CG73" s="22"/>
      <c r="CH73" s="22"/>
      <c r="CI73" s="22"/>
      <c r="CJ73" s="22"/>
      <c r="CK73" s="22"/>
      <c r="CL73" s="22"/>
      <c r="CM73" s="22"/>
      <c r="CN73" s="22"/>
      <c r="CO73" s="22"/>
      <c r="CP73" s="22"/>
      <c r="CQ73" s="22"/>
      <c r="CR73" s="22"/>
      <c r="CS73" s="22"/>
      <c r="CT73" s="22"/>
      <c r="CU73" s="22"/>
      <c r="CV73" s="22"/>
      <c r="CW73" s="22"/>
      <c r="CX73" s="22"/>
      <c r="CY73" s="22"/>
      <c r="CZ73" s="22"/>
      <c r="DA73" s="22"/>
      <c r="DB73" s="22"/>
      <c r="DC73" s="22"/>
      <c r="DD73" s="22"/>
      <c r="DE73" s="22"/>
      <c r="DF73" s="22"/>
      <c r="DG73" s="22"/>
      <c r="DH73" s="22"/>
      <c r="DI73" s="22"/>
      <c r="DJ73" s="22"/>
      <c r="DK73" s="22"/>
      <c r="DL73" s="22"/>
      <c r="DM73" s="22"/>
      <c r="DN73" s="22"/>
      <c r="DO73" s="22"/>
      <c r="DP73" s="22"/>
      <c r="DQ73" s="22"/>
      <c r="DR73" s="22"/>
      <c r="DS73" s="22"/>
      <c r="DT73" s="22"/>
      <c r="DU73" s="22"/>
      <c r="DV73" s="22"/>
      <c r="DW73" s="22"/>
      <c r="DX73" s="22"/>
      <c r="DY73" s="22"/>
      <c r="DZ73" s="22"/>
      <c r="EA73" s="22"/>
      <c r="EB73" s="22"/>
      <c r="EC73" s="22"/>
      <c r="ED73" s="22"/>
      <c r="EE73" s="22"/>
      <c r="EF73" s="22"/>
      <c r="EG73" s="22"/>
      <c r="EH73" s="22"/>
      <c r="EI73" s="22"/>
      <c r="EJ73" s="22"/>
      <c r="EK73" s="22"/>
      <c r="EL73" s="22"/>
      <c r="EM73" s="22"/>
      <c r="EN73" s="22"/>
      <c r="EO73" s="22"/>
      <c r="EP73" s="22"/>
      <c r="EQ73" s="22"/>
      <c r="ER73" s="22"/>
      <c r="ES73" s="22"/>
      <c r="ET73" s="22"/>
      <c r="EU73" s="22"/>
      <c r="EV73" s="22"/>
      <c r="EW73" s="22"/>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c r="GL73" s="22"/>
      <c r="GM73" s="22"/>
      <c r="GN73" s="22"/>
      <c r="GO73" s="22"/>
      <c r="GP73" s="22"/>
      <c r="GQ73" s="22"/>
      <c r="GR73" s="22"/>
      <c r="GS73" s="22"/>
      <c r="GT73" s="22"/>
      <c r="GU73" s="22"/>
      <c r="GV73" s="22"/>
      <c r="GW73" s="22"/>
      <c r="GX73" s="22"/>
      <c r="GY73" s="22"/>
      <c r="GZ73" s="22"/>
      <c r="HA73" s="22"/>
      <c r="HB73" s="22"/>
      <c r="HC73" s="22"/>
      <c r="HD73" s="22"/>
      <c r="HE73" s="22"/>
      <c r="HF73" s="22"/>
      <c r="HG73" s="22"/>
      <c r="HH73" s="22"/>
      <c r="HI73" s="22"/>
      <c r="HJ73" s="22"/>
      <c r="HK73" s="22"/>
      <c r="HL73" s="22"/>
      <c r="HM73" s="22"/>
      <c r="HN73" s="22"/>
      <c r="HO73" s="22"/>
      <c r="HP73" s="22"/>
      <c r="HQ73" s="22"/>
      <c r="HR73" s="22"/>
      <c r="HS73" s="22"/>
      <c r="HT73" s="22"/>
      <c r="HU73" s="22"/>
      <c r="HV73" s="22"/>
      <c r="HW73" s="22"/>
      <c r="HX73" s="22"/>
      <c r="HY73" s="22"/>
      <c r="HZ73" s="22"/>
      <c r="IA73" s="22"/>
      <c r="IB73" s="22"/>
      <c r="IC73" s="22"/>
      <c r="ID73" s="22"/>
      <c r="IE73" s="22"/>
      <c r="IF73" s="22"/>
      <c r="IG73" s="22"/>
      <c r="IH73" s="22"/>
      <c r="II73" s="22"/>
      <c r="IJ73" s="22"/>
      <c r="IK73" s="22"/>
      <c r="IL73" s="22"/>
      <c r="IM73" s="22"/>
      <c r="IN73" s="22"/>
      <c r="IO73" s="22"/>
      <c r="IP73" s="22"/>
      <c r="IQ73" s="22"/>
      <c r="IR73" s="22"/>
      <c r="IS73" s="22"/>
      <c r="IT73" s="22"/>
      <c r="IU73" s="22"/>
      <c r="IV73" s="22"/>
    </row>
    <row r="74" spans="1:256" s="41" customFormat="1" ht="15">
      <c r="A74" s="25" t="s">
        <v>1099</v>
      </c>
      <c r="B74" s="22"/>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c r="BH74" s="22"/>
      <c r="BI74" s="22"/>
      <c r="BJ74" s="22"/>
      <c r="BK74" s="22"/>
      <c r="BL74" s="22"/>
      <c r="BM74" s="22"/>
      <c r="BN74" s="22"/>
      <c r="BO74" s="22"/>
      <c r="BP74" s="22"/>
      <c r="BQ74" s="22"/>
      <c r="BR74" s="22"/>
      <c r="BS74" s="22"/>
      <c r="BT74" s="22"/>
      <c r="BU74" s="22"/>
      <c r="BV74" s="22"/>
      <c r="BW74" s="22"/>
      <c r="BX74" s="22"/>
      <c r="BY74" s="22"/>
      <c r="BZ74" s="22"/>
      <c r="CA74" s="22"/>
      <c r="CB74" s="22"/>
      <c r="CC74" s="22"/>
      <c r="CD74" s="22"/>
      <c r="CE74" s="22"/>
      <c r="CF74" s="22"/>
      <c r="CG74" s="22"/>
      <c r="CH74" s="22"/>
      <c r="CI74" s="22"/>
      <c r="CJ74" s="22"/>
      <c r="CK74" s="22"/>
      <c r="CL74" s="22"/>
      <c r="CM74" s="22"/>
      <c r="CN74" s="22"/>
      <c r="CO74" s="22"/>
      <c r="CP74" s="22"/>
      <c r="CQ74" s="22"/>
      <c r="CR74" s="22"/>
      <c r="CS74" s="22"/>
      <c r="CT74" s="22"/>
      <c r="CU74" s="22"/>
      <c r="CV74" s="22"/>
      <c r="CW74" s="22"/>
      <c r="CX74" s="22"/>
      <c r="CY74" s="22"/>
      <c r="CZ74" s="22"/>
      <c r="DA74" s="22"/>
      <c r="DB74" s="22"/>
      <c r="DC74" s="22"/>
      <c r="DD74" s="22"/>
      <c r="DE74" s="22"/>
      <c r="DF74" s="22"/>
      <c r="DG74" s="22"/>
      <c r="DH74" s="22"/>
      <c r="DI74" s="22"/>
      <c r="DJ74" s="22"/>
      <c r="DK74" s="22"/>
      <c r="DL74" s="22"/>
      <c r="DM74" s="22"/>
      <c r="DN74" s="22"/>
      <c r="DO74" s="22"/>
      <c r="DP74" s="22"/>
      <c r="DQ74" s="22"/>
      <c r="DR74" s="22"/>
      <c r="DS74" s="22"/>
      <c r="DT74" s="22"/>
      <c r="DU74" s="22"/>
      <c r="DV74" s="22"/>
      <c r="DW74" s="22"/>
      <c r="DX74" s="22"/>
      <c r="DY74" s="22"/>
      <c r="DZ74" s="22"/>
      <c r="EA74" s="22"/>
      <c r="EB74" s="22"/>
      <c r="EC74" s="22"/>
      <c r="ED74" s="22"/>
      <c r="EE74" s="22"/>
      <c r="EF74" s="22"/>
      <c r="EG74" s="22"/>
      <c r="EH74" s="22"/>
      <c r="EI74" s="22"/>
      <c r="EJ74" s="22"/>
      <c r="EK74" s="22"/>
      <c r="EL74" s="22"/>
      <c r="EM74" s="22"/>
      <c r="EN74" s="22"/>
      <c r="EO74" s="22"/>
      <c r="EP74" s="22"/>
      <c r="EQ74" s="22"/>
      <c r="ER74" s="22"/>
      <c r="ES74" s="22"/>
      <c r="ET74" s="22"/>
      <c r="EU74" s="22"/>
      <c r="EV74" s="22"/>
      <c r="EW74" s="22"/>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c r="GL74" s="22"/>
      <c r="GM74" s="22"/>
      <c r="GN74" s="22"/>
      <c r="GO74" s="22"/>
      <c r="GP74" s="22"/>
      <c r="GQ74" s="22"/>
      <c r="GR74" s="22"/>
      <c r="GS74" s="22"/>
      <c r="GT74" s="22"/>
      <c r="GU74" s="22"/>
      <c r="GV74" s="22"/>
      <c r="GW74" s="22"/>
      <c r="GX74" s="22"/>
      <c r="GY74" s="22"/>
      <c r="GZ74" s="22"/>
      <c r="HA74" s="22"/>
      <c r="HB74" s="22"/>
      <c r="HC74" s="22"/>
      <c r="HD74" s="22"/>
      <c r="HE74" s="22"/>
      <c r="HF74" s="22"/>
      <c r="HG74" s="22"/>
      <c r="HH74" s="22"/>
      <c r="HI74" s="22"/>
      <c r="HJ74" s="22"/>
      <c r="HK74" s="22"/>
      <c r="HL74" s="22"/>
      <c r="HM74" s="22"/>
      <c r="HN74" s="22"/>
      <c r="HO74" s="22"/>
      <c r="HP74" s="22"/>
      <c r="HQ74" s="22"/>
      <c r="HR74" s="22"/>
      <c r="HS74" s="22"/>
      <c r="HT74" s="22"/>
      <c r="HU74" s="22"/>
      <c r="HV74" s="22"/>
      <c r="HW74" s="22"/>
      <c r="HX74" s="22"/>
      <c r="HY74" s="22"/>
      <c r="HZ74" s="22"/>
      <c r="IA74" s="22"/>
      <c r="IB74" s="22"/>
      <c r="IC74" s="22"/>
      <c r="ID74" s="22"/>
      <c r="IE74" s="22"/>
      <c r="IF74" s="22"/>
      <c r="IG74" s="22"/>
      <c r="IH74" s="22"/>
      <c r="II74" s="22"/>
      <c r="IJ74" s="22"/>
      <c r="IK74" s="22"/>
      <c r="IL74" s="22"/>
      <c r="IM74" s="22"/>
      <c r="IN74" s="22"/>
      <c r="IO74" s="22"/>
      <c r="IP74" s="22"/>
      <c r="IQ74" s="22"/>
      <c r="IR74" s="22"/>
      <c r="IS74" s="22"/>
      <c r="IT74" s="22"/>
      <c r="IU74" s="22"/>
      <c r="IV74" s="22"/>
    </row>
    <row r="75" spans="1:256" s="41" customFormat="1" ht="15" customHeight="1">
      <c r="A75" s="25" t="s">
        <v>1100</v>
      </c>
      <c r="B75" s="22"/>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c r="BH75" s="22"/>
      <c r="BI75" s="22"/>
      <c r="BJ75" s="22"/>
      <c r="BK75" s="22"/>
      <c r="BL75" s="22"/>
      <c r="BM75" s="22"/>
      <c r="BN75" s="22"/>
      <c r="BO75" s="22"/>
      <c r="BP75" s="22"/>
      <c r="BQ75" s="22"/>
      <c r="BR75" s="22"/>
      <c r="BS75" s="22"/>
      <c r="BT75" s="22"/>
      <c r="BU75" s="22"/>
      <c r="BV75" s="22"/>
      <c r="BW75" s="22"/>
      <c r="BX75" s="22"/>
      <c r="BY75" s="22"/>
      <c r="BZ75" s="22"/>
      <c r="CA75" s="22"/>
      <c r="CB75" s="22"/>
      <c r="CC75" s="22"/>
      <c r="CD75" s="22"/>
      <c r="CE75" s="22"/>
      <c r="CF75" s="22"/>
      <c r="CG75" s="22"/>
      <c r="CH75" s="22"/>
      <c r="CI75" s="22"/>
      <c r="CJ75" s="22"/>
      <c r="CK75" s="22"/>
      <c r="CL75" s="22"/>
      <c r="CM75" s="22"/>
      <c r="CN75" s="22"/>
      <c r="CO75" s="22"/>
      <c r="CP75" s="22"/>
      <c r="CQ75" s="22"/>
      <c r="CR75" s="22"/>
      <c r="CS75" s="22"/>
      <c r="CT75" s="22"/>
      <c r="CU75" s="22"/>
      <c r="CV75" s="22"/>
      <c r="CW75" s="22"/>
      <c r="CX75" s="22"/>
      <c r="CY75" s="22"/>
      <c r="CZ75" s="22"/>
      <c r="DA75" s="22"/>
      <c r="DB75" s="22"/>
      <c r="DC75" s="22"/>
      <c r="DD75" s="22"/>
      <c r="DE75" s="22"/>
      <c r="DF75" s="22"/>
      <c r="DG75" s="22"/>
      <c r="DH75" s="22"/>
      <c r="DI75" s="22"/>
      <c r="DJ75" s="22"/>
      <c r="DK75" s="22"/>
      <c r="DL75" s="22"/>
      <c r="DM75" s="22"/>
      <c r="DN75" s="22"/>
      <c r="DO75" s="22"/>
      <c r="DP75" s="22"/>
      <c r="DQ75" s="22"/>
      <c r="DR75" s="22"/>
      <c r="DS75" s="22"/>
      <c r="DT75" s="22"/>
      <c r="DU75" s="22"/>
      <c r="DV75" s="22"/>
      <c r="DW75" s="22"/>
      <c r="DX75" s="22"/>
      <c r="DY75" s="22"/>
      <c r="DZ75" s="22"/>
      <c r="EA75" s="22"/>
      <c r="EB75" s="22"/>
      <c r="EC75" s="22"/>
      <c r="ED75" s="22"/>
      <c r="EE75" s="22"/>
      <c r="EF75" s="22"/>
      <c r="EG75" s="22"/>
      <c r="EH75" s="22"/>
      <c r="EI75" s="22"/>
      <c r="EJ75" s="22"/>
      <c r="EK75" s="22"/>
      <c r="EL75" s="22"/>
      <c r="EM75" s="22"/>
      <c r="EN75" s="22"/>
      <c r="EO75" s="22"/>
      <c r="EP75" s="22"/>
      <c r="EQ75" s="22"/>
      <c r="ER75" s="22"/>
      <c r="ES75" s="22"/>
      <c r="ET75" s="22"/>
      <c r="EU75" s="22"/>
      <c r="EV75" s="22"/>
      <c r="EW75" s="22"/>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c r="GL75" s="22"/>
      <c r="GM75" s="22"/>
      <c r="GN75" s="22"/>
      <c r="GO75" s="22"/>
      <c r="GP75" s="22"/>
      <c r="GQ75" s="22"/>
      <c r="GR75" s="22"/>
      <c r="GS75" s="22"/>
      <c r="GT75" s="22"/>
      <c r="GU75" s="22"/>
      <c r="GV75" s="22"/>
      <c r="GW75" s="22"/>
      <c r="GX75" s="22"/>
      <c r="GY75" s="22"/>
      <c r="GZ75" s="22"/>
      <c r="HA75" s="22"/>
      <c r="HB75" s="22"/>
      <c r="HC75" s="22"/>
      <c r="HD75" s="22"/>
      <c r="HE75" s="22"/>
      <c r="HF75" s="22"/>
      <c r="HG75" s="22"/>
      <c r="HH75" s="22"/>
      <c r="HI75" s="22"/>
      <c r="HJ75" s="22"/>
      <c r="HK75" s="22"/>
      <c r="HL75" s="22"/>
      <c r="HM75" s="22"/>
      <c r="HN75" s="22"/>
      <c r="HO75" s="22"/>
      <c r="HP75" s="22"/>
      <c r="HQ75" s="22"/>
      <c r="HR75" s="22"/>
      <c r="HS75" s="22"/>
      <c r="HT75" s="22"/>
      <c r="HU75" s="22"/>
      <c r="HV75" s="22"/>
      <c r="HW75" s="22"/>
      <c r="HX75" s="22"/>
      <c r="HY75" s="22"/>
      <c r="HZ75" s="22"/>
      <c r="IA75" s="22"/>
      <c r="IB75" s="22"/>
      <c r="IC75" s="22"/>
      <c r="ID75" s="22"/>
      <c r="IE75" s="22"/>
      <c r="IF75" s="22"/>
      <c r="IG75" s="22"/>
      <c r="IH75" s="22"/>
      <c r="II75" s="22"/>
      <c r="IJ75" s="22"/>
      <c r="IK75" s="22"/>
      <c r="IL75" s="22"/>
      <c r="IM75" s="22"/>
      <c r="IN75" s="22"/>
      <c r="IO75" s="22"/>
      <c r="IP75" s="22"/>
      <c r="IQ75" s="22"/>
      <c r="IR75" s="22"/>
      <c r="IS75" s="22"/>
      <c r="IT75" s="22"/>
      <c r="IU75" s="22"/>
      <c r="IV75" s="22"/>
    </row>
    <row r="76" spans="1:256" s="41" customFormat="1" ht="15" customHeight="1">
      <c r="A76" s="25" t="s">
        <v>1101</v>
      </c>
      <c r="B76" s="22"/>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c r="BH76" s="22"/>
      <c r="BI76" s="22"/>
      <c r="BJ76" s="22"/>
      <c r="BK76" s="22"/>
      <c r="BL76" s="22"/>
      <c r="BM76" s="22"/>
      <c r="BN76" s="22"/>
      <c r="BO76" s="22"/>
      <c r="BP76" s="22"/>
      <c r="BQ76" s="22"/>
      <c r="BR76" s="22"/>
      <c r="BS76" s="22"/>
      <c r="BT76" s="22"/>
      <c r="BU76" s="22"/>
      <c r="BV76" s="22"/>
      <c r="BW76" s="22"/>
      <c r="BX76" s="22"/>
      <c r="BY76" s="22"/>
      <c r="BZ76" s="22"/>
      <c r="CA76" s="22"/>
      <c r="CB76" s="22"/>
      <c r="CC76" s="22"/>
      <c r="CD76" s="22"/>
      <c r="CE76" s="22"/>
      <c r="CF76" s="22"/>
      <c r="CG76" s="22"/>
      <c r="CH76" s="22"/>
      <c r="CI76" s="22"/>
      <c r="CJ76" s="22"/>
      <c r="CK76" s="22"/>
      <c r="CL76" s="22"/>
      <c r="CM76" s="22"/>
      <c r="CN76" s="22"/>
      <c r="CO76" s="22"/>
      <c r="CP76" s="22"/>
      <c r="CQ76" s="22"/>
      <c r="CR76" s="22"/>
      <c r="CS76" s="22"/>
      <c r="CT76" s="22"/>
      <c r="CU76" s="22"/>
      <c r="CV76" s="22"/>
      <c r="CW76" s="22"/>
      <c r="CX76" s="22"/>
      <c r="CY76" s="22"/>
      <c r="CZ76" s="22"/>
      <c r="DA76" s="22"/>
      <c r="DB76" s="22"/>
      <c r="DC76" s="22"/>
      <c r="DD76" s="22"/>
      <c r="DE76" s="22"/>
      <c r="DF76" s="22"/>
      <c r="DG76" s="22"/>
      <c r="DH76" s="22"/>
      <c r="DI76" s="22"/>
      <c r="DJ76" s="22"/>
      <c r="DK76" s="22"/>
      <c r="DL76" s="22"/>
      <c r="DM76" s="22"/>
      <c r="DN76" s="22"/>
      <c r="DO76" s="22"/>
      <c r="DP76" s="22"/>
      <c r="DQ76" s="22"/>
      <c r="DR76" s="22"/>
      <c r="DS76" s="22"/>
      <c r="DT76" s="22"/>
      <c r="DU76" s="22"/>
      <c r="DV76" s="22"/>
      <c r="DW76" s="22"/>
      <c r="DX76" s="22"/>
      <c r="DY76" s="22"/>
      <c r="DZ76" s="22"/>
      <c r="EA76" s="22"/>
      <c r="EB76" s="22"/>
      <c r="EC76" s="22"/>
      <c r="ED76" s="22"/>
      <c r="EE76" s="22"/>
      <c r="EF76" s="22"/>
      <c r="EG76" s="22"/>
      <c r="EH76" s="22"/>
      <c r="EI76" s="22"/>
      <c r="EJ76" s="22"/>
      <c r="EK76" s="22"/>
      <c r="EL76" s="22"/>
      <c r="EM76" s="22"/>
      <c r="EN76" s="22"/>
      <c r="EO76" s="22"/>
      <c r="EP76" s="22"/>
      <c r="EQ76" s="22"/>
      <c r="ER76" s="22"/>
      <c r="ES76" s="22"/>
      <c r="ET76" s="22"/>
      <c r="EU76" s="22"/>
      <c r="EV76" s="22"/>
      <c r="EW76" s="22"/>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c r="GL76" s="22"/>
      <c r="GM76" s="22"/>
      <c r="GN76" s="22"/>
      <c r="GO76" s="22"/>
      <c r="GP76" s="22"/>
      <c r="GQ76" s="22"/>
      <c r="GR76" s="22"/>
      <c r="GS76" s="22"/>
      <c r="GT76" s="22"/>
      <c r="GU76" s="22"/>
      <c r="GV76" s="22"/>
      <c r="GW76" s="22"/>
      <c r="GX76" s="22"/>
      <c r="GY76" s="22"/>
      <c r="GZ76" s="22"/>
      <c r="HA76" s="22"/>
      <c r="HB76" s="22"/>
      <c r="HC76" s="22"/>
      <c r="HD76" s="22"/>
      <c r="HE76" s="22"/>
      <c r="HF76" s="22"/>
      <c r="HG76" s="22"/>
      <c r="HH76" s="22"/>
      <c r="HI76" s="22"/>
      <c r="HJ76" s="22"/>
      <c r="HK76" s="22"/>
      <c r="HL76" s="22"/>
      <c r="HM76" s="22"/>
      <c r="HN76" s="22"/>
      <c r="HO76" s="22"/>
      <c r="HP76" s="22"/>
      <c r="HQ76" s="22"/>
      <c r="HR76" s="22"/>
      <c r="HS76" s="22"/>
      <c r="HT76" s="22"/>
      <c r="HU76" s="22"/>
      <c r="HV76" s="22"/>
      <c r="HW76" s="22"/>
      <c r="HX76" s="22"/>
      <c r="HY76" s="22"/>
      <c r="HZ76" s="22"/>
      <c r="IA76" s="22"/>
      <c r="IB76" s="22"/>
      <c r="IC76" s="22"/>
      <c r="ID76" s="22"/>
      <c r="IE76" s="22"/>
      <c r="IF76" s="22"/>
      <c r="IG76" s="22"/>
      <c r="IH76" s="22"/>
      <c r="II76" s="22"/>
      <c r="IJ76" s="22"/>
      <c r="IK76" s="22"/>
      <c r="IL76" s="22"/>
      <c r="IM76" s="22"/>
      <c r="IN76" s="22"/>
      <c r="IO76" s="22"/>
      <c r="IP76" s="22"/>
      <c r="IQ76" s="22"/>
      <c r="IR76" s="22"/>
      <c r="IS76" s="22"/>
      <c r="IT76" s="22"/>
      <c r="IU76" s="22"/>
      <c r="IV76" s="22"/>
    </row>
    <row r="77" spans="1:256" s="41" customFormat="1" ht="15" customHeight="1">
      <c r="A77" s="25" t="s">
        <v>1102</v>
      </c>
      <c r="B77" s="22"/>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c r="BG77" s="22"/>
      <c r="BH77" s="22"/>
      <c r="BI77" s="22"/>
      <c r="BJ77" s="22"/>
      <c r="BK77" s="22"/>
      <c r="BL77" s="22"/>
      <c r="BM77" s="22"/>
      <c r="BN77" s="22"/>
      <c r="BO77" s="22"/>
      <c r="BP77" s="22"/>
      <c r="BQ77" s="22"/>
      <c r="BR77" s="22"/>
      <c r="BS77" s="22"/>
      <c r="BT77" s="22"/>
      <c r="BU77" s="22"/>
      <c r="BV77" s="22"/>
      <c r="BW77" s="22"/>
      <c r="BX77" s="22"/>
      <c r="BY77" s="22"/>
      <c r="BZ77" s="22"/>
      <c r="CA77" s="22"/>
      <c r="CB77" s="22"/>
      <c r="CC77" s="22"/>
      <c r="CD77" s="22"/>
      <c r="CE77" s="22"/>
      <c r="CF77" s="22"/>
      <c r="CG77" s="22"/>
      <c r="CH77" s="22"/>
      <c r="CI77" s="22"/>
      <c r="CJ77" s="22"/>
      <c r="CK77" s="22"/>
      <c r="CL77" s="22"/>
      <c r="CM77" s="22"/>
      <c r="CN77" s="22"/>
      <c r="CO77" s="22"/>
      <c r="CP77" s="22"/>
      <c r="CQ77" s="22"/>
      <c r="CR77" s="22"/>
      <c r="CS77" s="22"/>
      <c r="CT77" s="22"/>
      <c r="CU77" s="22"/>
      <c r="CV77" s="22"/>
      <c r="CW77" s="22"/>
      <c r="CX77" s="22"/>
      <c r="CY77" s="22"/>
      <c r="CZ77" s="22"/>
      <c r="DA77" s="22"/>
      <c r="DB77" s="22"/>
      <c r="DC77" s="22"/>
      <c r="DD77" s="22"/>
      <c r="DE77" s="22"/>
      <c r="DF77" s="22"/>
      <c r="DG77" s="22"/>
      <c r="DH77" s="22"/>
      <c r="DI77" s="22"/>
      <c r="DJ77" s="22"/>
      <c r="DK77" s="22"/>
      <c r="DL77" s="22"/>
      <c r="DM77" s="22"/>
      <c r="DN77" s="22"/>
      <c r="DO77" s="22"/>
      <c r="DP77" s="22"/>
      <c r="DQ77" s="22"/>
      <c r="DR77" s="22"/>
      <c r="DS77" s="22"/>
      <c r="DT77" s="22"/>
      <c r="DU77" s="22"/>
      <c r="DV77" s="22"/>
      <c r="DW77" s="22"/>
      <c r="DX77" s="22"/>
      <c r="DY77" s="22"/>
      <c r="DZ77" s="22"/>
      <c r="EA77" s="22"/>
      <c r="EB77" s="22"/>
      <c r="EC77" s="22"/>
      <c r="ED77" s="22"/>
      <c r="EE77" s="22"/>
      <c r="EF77" s="22"/>
      <c r="EG77" s="22"/>
      <c r="EH77" s="22"/>
      <c r="EI77" s="22"/>
      <c r="EJ77" s="22"/>
      <c r="EK77" s="22"/>
      <c r="EL77" s="22"/>
      <c r="EM77" s="22"/>
      <c r="EN77" s="22"/>
      <c r="EO77" s="22"/>
      <c r="EP77" s="22"/>
      <c r="EQ77" s="22"/>
      <c r="ER77" s="22"/>
      <c r="ES77" s="22"/>
      <c r="ET77" s="22"/>
      <c r="EU77" s="22"/>
      <c r="EV77" s="22"/>
      <c r="EW77" s="22"/>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c r="GL77" s="22"/>
      <c r="GM77" s="22"/>
      <c r="GN77" s="22"/>
      <c r="GO77" s="22"/>
      <c r="GP77" s="22"/>
      <c r="GQ77" s="22"/>
      <c r="GR77" s="22"/>
      <c r="GS77" s="22"/>
      <c r="GT77" s="22"/>
      <c r="GU77" s="22"/>
      <c r="GV77" s="22"/>
      <c r="GW77" s="22"/>
      <c r="GX77" s="22"/>
      <c r="GY77" s="22"/>
      <c r="GZ77" s="22"/>
      <c r="HA77" s="22"/>
      <c r="HB77" s="22"/>
      <c r="HC77" s="22"/>
      <c r="HD77" s="22"/>
      <c r="HE77" s="22"/>
      <c r="HF77" s="22"/>
      <c r="HG77" s="22"/>
      <c r="HH77" s="22"/>
      <c r="HI77" s="22"/>
      <c r="HJ77" s="22"/>
      <c r="HK77" s="22"/>
      <c r="HL77" s="22"/>
      <c r="HM77" s="22"/>
      <c r="HN77" s="22"/>
      <c r="HO77" s="22"/>
      <c r="HP77" s="22"/>
      <c r="HQ77" s="22"/>
      <c r="HR77" s="22"/>
      <c r="HS77" s="22"/>
      <c r="HT77" s="22"/>
      <c r="HU77" s="22"/>
      <c r="HV77" s="22"/>
      <c r="HW77" s="22"/>
      <c r="HX77" s="22"/>
      <c r="HY77" s="22"/>
      <c r="HZ77" s="22"/>
      <c r="IA77" s="22"/>
      <c r="IB77" s="22"/>
      <c r="IC77" s="22"/>
      <c r="ID77" s="22"/>
      <c r="IE77" s="22"/>
      <c r="IF77" s="22"/>
      <c r="IG77" s="22"/>
      <c r="IH77" s="22"/>
      <c r="II77" s="22"/>
      <c r="IJ77" s="22"/>
      <c r="IK77" s="22"/>
      <c r="IL77" s="22"/>
      <c r="IM77" s="22"/>
      <c r="IN77" s="22"/>
      <c r="IO77" s="22"/>
      <c r="IP77" s="22"/>
      <c r="IQ77" s="22"/>
      <c r="IR77" s="22"/>
      <c r="IS77" s="22"/>
      <c r="IT77" s="22"/>
      <c r="IU77" s="22"/>
      <c r="IV77" s="22"/>
    </row>
    <row r="78" spans="1:256" s="26" customFormat="1" ht="15" customHeight="1">
      <c r="A78" s="26" t="s">
        <v>1103</v>
      </c>
    </row>
    <row r="79" spans="1:256" s="41" customFormat="1" ht="24">
      <c r="A79" s="25" t="s">
        <v>1104</v>
      </c>
      <c r="B79" s="22"/>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c r="BH79" s="22"/>
      <c r="BI79" s="22"/>
      <c r="BJ79" s="22"/>
      <c r="BK79" s="22"/>
      <c r="BL79" s="22"/>
      <c r="BM79" s="22"/>
      <c r="BN79" s="22"/>
      <c r="BO79" s="22"/>
      <c r="BP79" s="22"/>
      <c r="BQ79" s="22"/>
      <c r="BR79" s="22"/>
      <c r="BS79" s="22"/>
      <c r="BT79" s="22"/>
      <c r="BU79" s="22"/>
      <c r="BV79" s="22"/>
      <c r="BW79" s="22"/>
      <c r="BX79" s="22"/>
      <c r="BY79" s="22"/>
      <c r="BZ79" s="22"/>
      <c r="CA79" s="22"/>
      <c r="CB79" s="22"/>
      <c r="CC79" s="22"/>
      <c r="CD79" s="22"/>
      <c r="CE79" s="22"/>
      <c r="CF79" s="22"/>
      <c r="CG79" s="22"/>
      <c r="CH79" s="22"/>
      <c r="CI79" s="22"/>
      <c r="CJ79" s="22"/>
      <c r="CK79" s="22"/>
      <c r="CL79" s="22"/>
      <c r="CM79" s="22"/>
      <c r="CN79" s="22"/>
      <c r="CO79" s="22"/>
      <c r="CP79" s="22"/>
      <c r="CQ79" s="22"/>
      <c r="CR79" s="22"/>
      <c r="CS79" s="22"/>
      <c r="CT79" s="22"/>
      <c r="CU79" s="22"/>
      <c r="CV79" s="22"/>
      <c r="CW79" s="22"/>
      <c r="CX79" s="22"/>
      <c r="CY79" s="22"/>
      <c r="CZ79" s="22"/>
      <c r="DA79" s="22"/>
      <c r="DB79" s="22"/>
      <c r="DC79" s="22"/>
      <c r="DD79" s="22"/>
      <c r="DE79" s="22"/>
      <c r="DF79" s="22"/>
      <c r="DG79" s="22"/>
      <c r="DH79" s="22"/>
      <c r="DI79" s="22"/>
      <c r="DJ79" s="22"/>
      <c r="DK79" s="22"/>
      <c r="DL79" s="22"/>
      <c r="DM79" s="22"/>
      <c r="DN79" s="22"/>
      <c r="DO79" s="22"/>
      <c r="DP79" s="22"/>
      <c r="DQ79" s="22"/>
      <c r="DR79" s="22"/>
      <c r="DS79" s="22"/>
      <c r="DT79" s="22"/>
      <c r="DU79" s="22"/>
      <c r="DV79" s="22"/>
      <c r="DW79" s="22"/>
      <c r="DX79" s="22"/>
      <c r="DY79" s="22"/>
      <c r="DZ79" s="22"/>
      <c r="EA79" s="22"/>
      <c r="EB79" s="22"/>
      <c r="EC79" s="22"/>
      <c r="ED79" s="22"/>
      <c r="EE79" s="22"/>
      <c r="EF79" s="22"/>
      <c r="EG79" s="22"/>
      <c r="EH79" s="22"/>
      <c r="EI79" s="22"/>
      <c r="EJ79" s="22"/>
      <c r="EK79" s="22"/>
      <c r="EL79" s="22"/>
      <c r="EM79" s="22"/>
      <c r="EN79" s="22"/>
      <c r="EO79" s="22"/>
      <c r="EP79" s="22"/>
      <c r="EQ79" s="22"/>
      <c r="ER79" s="22"/>
      <c r="ES79" s="22"/>
      <c r="ET79" s="22"/>
      <c r="EU79" s="22"/>
      <c r="EV79" s="22"/>
      <c r="EW79" s="22"/>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c r="GL79" s="22"/>
      <c r="GM79" s="22"/>
      <c r="GN79" s="22"/>
      <c r="GO79" s="22"/>
      <c r="GP79" s="22"/>
      <c r="GQ79" s="22"/>
      <c r="GR79" s="22"/>
      <c r="GS79" s="22"/>
      <c r="GT79" s="22"/>
      <c r="GU79" s="22"/>
      <c r="GV79" s="22"/>
      <c r="GW79" s="22"/>
      <c r="GX79" s="22"/>
      <c r="GY79" s="22"/>
      <c r="GZ79" s="22"/>
      <c r="HA79" s="22"/>
      <c r="HB79" s="22"/>
      <c r="HC79" s="22"/>
      <c r="HD79" s="22"/>
      <c r="HE79" s="22"/>
      <c r="HF79" s="22"/>
      <c r="HG79" s="22"/>
      <c r="HH79" s="22"/>
      <c r="HI79" s="22"/>
      <c r="HJ79" s="22"/>
      <c r="HK79" s="22"/>
      <c r="HL79" s="22"/>
      <c r="HM79" s="22"/>
      <c r="HN79" s="22"/>
      <c r="HO79" s="22"/>
      <c r="HP79" s="22"/>
      <c r="HQ79" s="22"/>
      <c r="HR79" s="22"/>
      <c r="HS79" s="22"/>
      <c r="HT79" s="22"/>
      <c r="HU79" s="22"/>
      <c r="HV79" s="22"/>
      <c r="HW79" s="22"/>
      <c r="HX79" s="22"/>
      <c r="HY79" s="22"/>
      <c r="HZ79" s="22"/>
      <c r="IA79" s="22"/>
      <c r="IB79" s="22"/>
      <c r="IC79" s="22"/>
      <c r="ID79" s="22"/>
      <c r="IE79" s="22"/>
      <c r="IF79" s="22"/>
      <c r="IG79" s="22"/>
      <c r="IH79" s="22"/>
      <c r="II79" s="22"/>
      <c r="IJ79" s="22"/>
      <c r="IK79" s="22"/>
      <c r="IL79" s="22"/>
      <c r="IM79" s="22"/>
      <c r="IN79" s="22"/>
      <c r="IO79" s="22"/>
      <c r="IP79" s="22"/>
      <c r="IQ79" s="22"/>
      <c r="IR79" s="22"/>
      <c r="IS79" s="22"/>
      <c r="IT79" s="22"/>
      <c r="IU79" s="22"/>
      <c r="IV79" s="22"/>
    </row>
    <row r="80" spans="1:256" s="41" customFormat="1" ht="15" customHeight="1">
      <c r="A80" s="25" t="s">
        <v>1105</v>
      </c>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c r="BU80" s="22"/>
      <c r="BV80" s="22"/>
      <c r="BW80" s="22"/>
      <c r="BX80" s="22"/>
      <c r="BY80" s="22"/>
      <c r="BZ80" s="22"/>
      <c r="CA80" s="22"/>
      <c r="CB80" s="22"/>
      <c r="CC80" s="22"/>
      <c r="CD80" s="22"/>
      <c r="CE80" s="22"/>
      <c r="CF80" s="22"/>
      <c r="CG80" s="22"/>
      <c r="CH80" s="22"/>
      <c r="CI80" s="22"/>
      <c r="CJ80" s="22"/>
      <c r="CK80" s="22"/>
      <c r="CL80" s="22"/>
      <c r="CM80" s="22"/>
      <c r="CN80" s="22"/>
      <c r="CO80" s="22"/>
      <c r="CP80" s="22"/>
      <c r="CQ80" s="22"/>
      <c r="CR80" s="22"/>
      <c r="CS80" s="22"/>
      <c r="CT80" s="22"/>
      <c r="CU80" s="22"/>
      <c r="CV80" s="22"/>
      <c r="CW80" s="22"/>
      <c r="CX80" s="22"/>
      <c r="CY80" s="22"/>
      <c r="CZ80" s="22"/>
      <c r="DA80" s="22"/>
      <c r="DB80" s="22"/>
      <c r="DC80" s="22"/>
      <c r="DD80" s="22"/>
      <c r="DE80" s="22"/>
      <c r="DF80" s="22"/>
      <c r="DG80" s="22"/>
      <c r="DH80" s="22"/>
      <c r="DI80" s="22"/>
      <c r="DJ80" s="22"/>
      <c r="DK80" s="22"/>
      <c r="DL80" s="22"/>
      <c r="DM80" s="22"/>
      <c r="DN80" s="22"/>
      <c r="DO80" s="22"/>
      <c r="DP80" s="22"/>
      <c r="DQ80" s="22"/>
      <c r="DR80" s="22"/>
      <c r="DS80" s="22"/>
      <c r="DT80" s="22"/>
      <c r="DU80" s="22"/>
      <c r="DV80" s="22"/>
      <c r="DW80" s="22"/>
      <c r="DX80" s="22"/>
      <c r="DY80" s="22"/>
      <c r="DZ80" s="22"/>
      <c r="EA80" s="22"/>
      <c r="EB80" s="22"/>
      <c r="EC80" s="22"/>
      <c r="ED80" s="22"/>
      <c r="EE80" s="22"/>
      <c r="EF80" s="22"/>
      <c r="EG80" s="22"/>
      <c r="EH80" s="22"/>
      <c r="EI80" s="22"/>
      <c r="EJ80" s="22"/>
      <c r="EK80" s="22"/>
      <c r="EL80" s="22"/>
      <c r="EM80" s="22"/>
      <c r="EN80" s="22"/>
      <c r="EO80" s="22"/>
      <c r="EP80" s="22"/>
      <c r="EQ80" s="22"/>
      <c r="ER80" s="22"/>
      <c r="ES80" s="22"/>
      <c r="ET80" s="22"/>
      <c r="EU80" s="22"/>
      <c r="EV80" s="22"/>
      <c r="EW80" s="22"/>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c r="GL80" s="22"/>
      <c r="GM80" s="22"/>
      <c r="GN80" s="22"/>
      <c r="GO80" s="22"/>
      <c r="GP80" s="22"/>
      <c r="GQ80" s="22"/>
      <c r="GR80" s="22"/>
      <c r="GS80" s="22"/>
      <c r="GT80" s="22"/>
      <c r="GU80" s="22"/>
      <c r="GV80" s="22"/>
      <c r="GW80" s="22"/>
      <c r="GX80" s="22"/>
      <c r="GY80" s="22"/>
      <c r="GZ80" s="22"/>
      <c r="HA80" s="22"/>
      <c r="HB80" s="22"/>
      <c r="HC80" s="22"/>
      <c r="HD80" s="22"/>
      <c r="HE80" s="22"/>
      <c r="HF80" s="22"/>
      <c r="HG80" s="22"/>
      <c r="HH80" s="22"/>
      <c r="HI80" s="22"/>
      <c r="HJ80" s="22"/>
      <c r="HK80" s="22"/>
      <c r="HL80" s="22"/>
      <c r="HM80" s="22"/>
      <c r="HN80" s="22"/>
      <c r="HO80" s="22"/>
      <c r="HP80" s="22"/>
      <c r="HQ80" s="22"/>
      <c r="HR80" s="22"/>
      <c r="HS80" s="22"/>
      <c r="HT80" s="22"/>
      <c r="HU80" s="22"/>
      <c r="HV80" s="22"/>
      <c r="HW80" s="22"/>
      <c r="HX80" s="22"/>
      <c r="HY80" s="22"/>
      <c r="HZ80" s="22"/>
      <c r="IA80" s="22"/>
      <c r="IB80" s="22"/>
      <c r="IC80" s="22"/>
      <c r="ID80" s="22"/>
      <c r="IE80" s="22"/>
      <c r="IF80" s="22"/>
      <c r="IG80" s="22"/>
      <c r="IH80" s="22"/>
      <c r="II80" s="22"/>
      <c r="IJ80" s="22"/>
      <c r="IK80" s="22"/>
      <c r="IL80" s="22"/>
      <c r="IM80" s="22"/>
      <c r="IN80" s="22"/>
      <c r="IO80" s="22"/>
      <c r="IP80" s="22"/>
      <c r="IQ80" s="22"/>
      <c r="IR80" s="22"/>
      <c r="IS80" s="22"/>
      <c r="IT80" s="22"/>
      <c r="IU80" s="22"/>
      <c r="IV80" s="22"/>
    </row>
    <row r="81" spans="1:256" s="41" customFormat="1" ht="15">
      <c r="A81" s="25" t="s">
        <v>1106</v>
      </c>
      <c r="B81" s="22"/>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c r="BH81" s="22"/>
      <c r="BI81" s="22"/>
      <c r="BJ81" s="22"/>
      <c r="BK81" s="22"/>
      <c r="BL81" s="22"/>
      <c r="BM81" s="22"/>
      <c r="BN81" s="22"/>
      <c r="BO81" s="22"/>
      <c r="BP81" s="22"/>
      <c r="BQ81" s="22"/>
      <c r="BR81" s="22"/>
      <c r="BS81" s="22"/>
      <c r="BT81" s="22"/>
      <c r="BU81" s="22"/>
      <c r="BV81" s="22"/>
      <c r="BW81" s="22"/>
      <c r="BX81" s="22"/>
      <c r="BY81" s="22"/>
      <c r="BZ81" s="22"/>
      <c r="CA81" s="22"/>
      <c r="CB81" s="22"/>
      <c r="CC81" s="22"/>
      <c r="CD81" s="22"/>
      <c r="CE81" s="22"/>
      <c r="CF81" s="22"/>
      <c r="CG81" s="22"/>
      <c r="CH81" s="22"/>
      <c r="CI81" s="22"/>
      <c r="CJ81" s="22"/>
      <c r="CK81" s="22"/>
      <c r="CL81" s="22"/>
      <c r="CM81" s="22"/>
      <c r="CN81" s="22"/>
      <c r="CO81" s="22"/>
      <c r="CP81" s="22"/>
      <c r="CQ81" s="22"/>
      <c r="CR81" s="22"/>
      <c r="CS81" s="22"/>
      <c r="CT81" s="22"/>
      <c r="CU81" s="22"/>
      <c r="CV81" s="22"/>
      <c r="CW81" s="22"/>
      <c r="CX81" s="22"/>
      <c r="CY81" s="22"/>
      <c r="CZ81" s="22"/>
      <c r="DA81" s="22"/>
      <c r="DB81" s="22"/>
      <c r="DC81" s="22"/>
      <c r="DD81" s="22"/>
      <c r="DE81" s="22"/>
      <c r="DF81" s="22"/>
      <c r="DG81" s="22"/>
      <c r="DH81" s="22"/>
      <c r="DI81" s="22"/>
      <c r="DJ81" s="22"/>
      <c r="DK81" s="22"/>
      <c r="DL81" s="22"/>
      <c r="DM81" s="22"/>
      <c r="DN81" s="22"/>
      <c r="DO81" s="22"/>
      <c r="DP81" s="22"/>
      <c r="DQ81" s="22"/>
      <c r="DR81" s="22"/>
      <c r="DS81" s="22"/>
      <c r="DT81" s="22"/>
      <c r="DU81" s="22"/>
      <c r="DV81" s="22"/>
      <c r="DW81" s="22"/>
      <c r="DX81" s="22"/>
      <c r="DY81" s="22"/>
      <c r="DZ81" s="22"/>
      <c r="EA81" s="22"/>
      <c r="EB81" s="22"/>
      <c r="EC81" s="22"/>
      <c r="ED81" s="22"/>
      <c r="EE81" s="22"/>
      <c r="EF81" s="22"/>
      <c r="EG81" s="22"/>
      <c r="EH81" s="22"/>
      <c r="EI81" s="22"/>
      <c r="EJ81" s="22"/>
      <c r="EK81" s="22"/>
      <c r="EL81" s="22"/>
      <c r="EM81" s="22"/>
      <c r="EN81" s="22"/>
      <c r="EO81" s="22"/>
      <c r="EP81" s="22"/>
      <c r="EQ81" s="22"/>
      <c r="ER81" s="22"/>
      <c r="ES81" s="22"/>
      <c r="ET81" s="22"/>
      <c r="EU81" s="22"/>
      <c r="EV81" s="22"/>
      <c r="EW81" s="22"/>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c r="GL81" s="22"/>
      <c r="GM81" s="22"/>
      <c r="GN81" s="22"/>
      <c r="GO81" s="22"/>
      <c r="GP81" s="22"/>
      <c r="GQ81" s="22"/>
      <c r="GR81" s="22"/>
      <c r="GS81" s="22"/>
      <c r="GT81" s="22"/>
      <c r="GU81" s="22"/>
      <c r="GV81" s="22"/>
      <c r="GW81" s="22"/>
      <c r="GX81" s="22"/>
      <c r="GY81" s="22"/>
      <c r="GZ81" s="22"/>
      <c r="HA81" s="22"/>
      <c r="HB81" s="22"/>
      <c r="HC81" s="22"/>
      <c r="HD81" s="22"/>
      <c r="HE81" s="22"/>
      <c r="HF81" s="22"/>
      <c r="HG81" s="22"/>
      <c r="HH81" s="22"/>
      <c r="HI81" s="22"/>
      <c r="HJ81" s="22"/>
      <c r="HK81" s="22"/>
      <c r="HL81" s="22"/>
      <c r="HM81" s="22"/>
      <c r="HN81" s="22"/>
      <c r="HO81" s="22"/>
      <c r="HP81" s="22"/>
      <c r="HQ81" s="22"/>
      <c r="HR81" s="22"/>
      <c r="HS81" s="22"/>
      <c r="HT81" s="22"/>
      <c r="HU81" s="22"/>
      <c r="HV81" s="22"/>
      <c r="HW81" s="22"/>
      <c r="HX81" s="22"/>
      <c r="HY81" s="22"/>
      <c r="HZ81" s="22"/>
      <c r="IA81" s="22"/>
      <c r="IB81" s="22"/>
      <c r="IC81" s="22"/>
      <c r="ID81" s="22"/>
      <c r="IE81" s="22"/>
      <c r="IF81" s="22"/>
      <c r="IG81" s="22"/>
      <c r="IH81" s="22"/>
      <c r="II81" s="22"/>
      <c r="IJ81" s="22"/>
      <c r="IK81" s="22"/>
      <c r="IL81" s="22"/>
      <c r="IM81" s="22"/>
      <c r="IN81" s="22"/>
      <c r="IO81" s="22"/>
      <c r="IP81" s="22"/>
      <c r="IQ81" s="22"/>
      <c r="IR81" s="22"/>
      <c r="IS81" s="22"/>
      <c r="IT81" s="22"/>
      <c r="IU81" s="22"/>
      <c r="IV81" s="22"/>
    </row>
    <row r="82" spans="1:256" s="41" customFormat="1" ht="15" customHeight="1">
      <c r="A82" s="25" t="s">
        <v>1107</v>
      </c>
      <c r="B82" s="22"/>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c r="BH82" s="22"/>
      <c r="BI82" s="22"/>
      <c r="BJ82" s="22"/>
      <c r="BK82" s="22"/>
      <c r="BL82" s="22"/>
      <c r="BM82" s="22"/>
      <c r="BN82" s="22"/>
      <c r="BO82" s="22"/>
      <c r="BP82" s="22"/>
      <c r="BQ82" s="22"/>
      <c r="BR82" s="22"/>
      <c r="BS82" s="22"/>
      <c r="BT82" s="22"/>
      <c r="BU82" s="22"/>
      <c r="BV82" s="22"/>
      <c r="BW82" s="22"/>
      <c r="BX82" s="22"/>
      <c r="BY82" s="22"/>
      <c r="BZ82" s="22"/>
      <c r="CA82" s="22"/>
      <c r="CB82" s="22"/>
      <c r="CC82" s="22"/>
      <c r="CD82" s="22"/>
      <c r="CE82" s="22"/>
      <c r="CF82" s="22"/>
      <c r="CG82" s="22"/>
      <c r="CH82" s="22"/>
      <c r="CI82" s="22"/>
      <c r="CJ82" s="22"/>
      <c r="CK82" s="22"/>
      <c r="CL82" s="22"/>
      <c r="CM82" s="22"/>
      <c r="CN82" s="22"/>
      <c r="CO82" s="22"/>
      <c r="CP82" s="22"/>
      <c r="CQ82" s="22"/>
      <c r="CR82" s="22"/>
      <c r="CS82" s="22"/>
      <c r="CT82" s="22"/>
      <c r="CU82" s="22"/>
      <c r="CV82" s="22"/>
      <c r="CW82" s="22"/>
      <c r="CX82" s="22"/>
      <c r="CY82" s="22"/>
      <c r="CZ82" s="22"/>
      <c r="DA82" s="22"/>
      <c r="DB82" s="22"/>
      <c r="DC82" s="22"/>
      <c r="DD82" s="22"/>
      <c r="DE82" s="22"/>
      <c r="DF82" s="22"/>
      <c r="DG82" s="22"/>
      <c r="DH82" s="22"/>
      <c r="DI82" s="22"/>
      <c r="DJ82" s="22"/>
      <c r="DK82" s="22"/>
      <c r="DL82" s="22"/>
      <c r="DM82" s="22"/>
      <c r="DN82" s="22"/>
      <c r="DO82" s="22"/>
      <c r="DP82" s="22"/>
      <c r="DQ82" s="22"/>
      <c r="DR82" s="22"/>
      <c r="DS82" s="22"/>
      <c r="DT82" s="22"/>
      <c r="DU82" s="22"/>
      <c r="DV82" s="22"/>
      <c r="DW82" s="22"/>
      <c r="DX82" s="22"/>
      <c r="DY82" s="22"/>
      <c r="DZ82" s="22"/>
      <c r="EA82" s="22"/>
      <c r="EB82" s="22"/>
      <c r="EC82" s="22"/>
      <c r="ED82" s="22"/>
      <c r="EE82" s="22"/>
      <c r="EF82" s="22"/>
      <c r="EG82" s="22"/>
      <c r="EH82" s="22"/>
      <c r="EI82" s="22"/>
      <c r="EJ82" s="22"/>
      <c r="EK82" s="22"/>
      <c r="EL82" s="22"/>
      <c r="EM82" s="22"/>
      <c r="EN82" s="22"/>
      <c r="EO82" s="22"/>
      <c r="EP82" s="22"/>
      <c r="EQ82" s="22"/>
      <c r="ER82" s="22"/>
      <c r="ES82" s="22"/>
      <c r="ET82" s="22"/>
      <c r="EU82" s="22"/>
      <c r="EV82" s="22"/>
      <c r="EW82" s="22"/>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c r="GL82" s="22"/>
      <c r="GM82" s="22"/>
      <c r="GN82" s="22"/>
      <c r="GO82" s="22"/>
      <c r="GP82" s="22"/>
      <c r="GQ82" s="22"/>
      <c r="GR82" s="22"/>
      <c r="GS82" s="22"/>
      <c r="GT82" s="22"/>
      <c r="GU82" s="22"/>
      <c r="GV82" s="22"/>
      <c r="GW82" s="22"/>
      <c r="GX82" s="22"/>
      <c r="GY82" s="22"/>
      <c r="GZ82" s="22"/>
      <c r="HA82" s="22"/>
      <c r="HB82" s="22"/>
      <c r="HC82" s="22"/>
      <c r="HD82" s="22"/>
      <c r="HE82" s="22"/>
      <c r="HF82" s="22"/>
      <c r="HG82" s="22"/>
      <c r="HH82" s="22"/>
      <c r="HI82" s="22"/>
      <c r="HJ82" s="22"/>
      <c r="HK82" s="22"/>
      <c r="HL82" s="22"/>
      <c r="HM82" s="22"/>
      <c r="HN82" s="22"/>
      <c r="HO82" s="22"/>
      <c r="HP82" s="22"/>
      <c r="HQ82" s="22"/>
      <c r="HR82" s="22"/>
      <c r="HS82" s="22"/>
      <c r="HT82" s="22"/>
      <c r="HU82" s="22"/>
      <c r="HV82" s="22"/>
      <c r="HW82" s="22"/>
      <c r="HX82" s="22"/>
      <c r="HY82" s="22"/>
      <c r="HZ82" s="22"/>
      <c r="IA82" s="22"/>
      <c r="IB82" s="22"/>
      <c r="IC82" s="22"/>
      <c r="ID82" s="22"/>
      <c r="IE82" s="22"/>
      <c r="IF82" s="22"/>
      <c r="IG82" s="22"/>
      <c r="IH82" s="22"/>
      <c r="II82" s="22"/>
      <c r="IJ82" s="22"/>
      <c r="IK82" s="22"/>
      <c r="IL82" s="22"/>
      <c r="IM82" s="22"/>
      <c r="IN82" s="22"/>
      <c r="IO82" s="22"/>
      <c r="IP82" s="22"/>
      <c r="IQ82" s="22"/>
      <c r="IR82" s="22"/>
      <c r="IS82" s="22"/>
      <c r="IT82" s="22"/>
      <c r="IU82" s="22"/>
      <c r="IV82" s="22"/>
    </row>
    <row r="83" spans="1:256" s="41" customFormat="1" ht="15" customHeight="1">
      <c r="A83" s="25" t="s">
        <v>1108</v>
      </c>
      <c r="B83" s="22"/>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c r="BH83" s="22"/>
      <c r="BI83" s="22"/>
      <c r="BJ83" s="22"/>
      <c r="BK83" s="22"/>
      <c r="BL83" s="22"/>
      <c r="BM83" s="22"/>
      <c r="BN83" s="22"/>
      <c r="BO83" s="22"/>
      <c r="BP83" s="22"/>
      <c r="BQ83" s="22"/>
      <c r="BR83" s="22"/>
      <c r="BS83" s="22"/>
      <c r="BT83" s="22"/>
      <c r="BU83" s="22"/>
      <c r="BV83" s="22"/>
      <c r="BW83" s="22"/>
      <c r="BX83" s="22"/>
      <c r="BY83" s="22"/>
      <c r="BZ83" s="22"/>
      <c r="CA83" s="22"/>
      <c r="CB83" s="22"/>
      <c r="CC83" s="22"/>
      <c r="CD83" s="22"/>
      <c r="CE83" s="22"/>
      <c r="CF83" s="22"/>
      <c r="CG83" s="22"/>
      <c r="CH83" s="22"/>
      <c r="CI83" s="22"/>
      <c r="CJ83" s="22"/>
      <c r="CK83" s="22"/>
      <c r="CL83" s="22"/>
      <c r="CM83" s="22"/>
      <c r="CN83" s="22"/>
      <c r="CO83" s="22"/>
      <c r="CP83" s="22"/>
      <c r="CQ83" s="22"/>
      <c r="CR83" s="22"/>
      <c r="CS83" s="22"/>
      <c r="CT83" s="22"/>
      <c r="CU83" s="22"/>
      <c r="CV83" s="22"/>
      <c r="CW83" s="22"/>
      <c r="CX83" s="22"/>
      <c r="CY83" s="22"/>
      <c r="CZ83" s="22"/>
      <c r="DA83" s="22"/>
      <c r="DB83" s="22"/>
      <c r="DC83" s="22"/>
      <c r="DD83" s="22"/>
      <c r="DE83" s="22"/>
      <c r="DF83" s="22"/>
      <c r="DG83" s="22"/>
      <c r="DH83" s="22"/>
      <c r="DI83" s="22"/>
      <c r="DJ83" s="22"/>
      <c r="DK83" s="22"/>
      <c r="DL83" s="22"/>
      <c r="DM83" s="22"/>
      <c r="DN83" s="22"/>
      <c r="DO83" s="22"/>
      <c r="DP83" s="22"/>
      <c r="DQ83" s="22"/>
      <c r="DR83" s="22"/>
      <c r="DS83" s="22"/>
      <c r="DT83" s="22"/>
      <c r="DU83" s="22"/>
      <c r="DV83" s="22"/>
      <c r="DW83" s="22"/>
      <c r="DX83" s="22"/>
      <c r="DY83" s="22"/>
      <c r="DZ83" s="22"/>
      <c r="EA83" s="22"/>
      <c r="EB83" s="22"/>
      <c r="EC83" s="22"/>
      <c r="ED83" s="22"/>
      <c r="EE83" s="22"/>
      <c r="EF83" s="22"/>
      <c r="EG83" s="22"/>
      <c r="EH83" s="22"/>
      <c r="EI83" s="22"/>
      <c r="EJ83" s="22"/>
      <c r="EK83" s="22"/>
      <c r="EL83" s="22"/>
      <c r="EM83" s="22"/>
      <c r="EN83" s="22"/>
      <c r="EO83" s="22"/>
      <c r="EP83" s="22"/>
      <c r="EQ83" s="22"/>
      <c r="ER83" s="22"/>
      <c r="ES83" s="22"/>
      <c r="ET83" s="22"/>
      <c r="EU83" s="22"/>
      <c r="EV83" s="22"/>
      <c r="EW83" s="22"/>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c r="GL83" s="22"/>
      <c r="GM83" s="22"/>
      <c r="GN83" s="22"/>
      <c r="GO83" s="22"/>
      <c r="GP83" s="22"/>
      <c r="GQ83" s="22"/>
      <c r="GR83" s="22"/>
      <c r="GS83" s="22"/>
      <c r="GT83" s="22"/>
      <c r="GU83" s="22"/>
      <c r="GV83" s="22"/>
      <c r="GW83" s="22"/>
      <c r="GX83" s="22"/>
      <c r="GY83" s="22"/>
      <c r="GZ83" s="22"/>
      <c r="HA83" s="22"/>
      <c r="HB83" s="22"/>
      <c r="HC83" s="22"/>
      <c r="HD83" s="22"/>
      <c r="HE83" s="22"/>
      <c r="HF83" s="22"/>
      <c r="HG83" s="22"/>
      <c r="HH83" s="22"/>
      <c r="HI83" s="22"/>
      <c r="HJ83" s="22"/>
      <c r="HK83" s="22"/>
      <c r="HL83" s="22"/>
      <c r="HM83" s="22"/>
      <c r="HN83" s="22"/>
      <c r="HO83" s="22"/>
      <c r="HP83" s="22"/>
      <c r="HQ83" s="22"/>
      <c r="HR83" s="22"/>
      <c r="HS83" s="22"/>
      <c r="HT83" s="22"/>
      <c r="HU83" s="22"/>
      <c r="HV83" s="22"/>
      <c r="HW83" s="22"/>
      <c r="HX83" s="22"/>
      <c r="HY83" s="22"/>
      <c r="HZ83" s="22"/>
      <c r="IA83" s="22"/>
      <c r="IB83" s="22"/>
      <c r="IC83" s="22"/>
      <c r="ID83" s="22"/>
      <c r="IE83" s="22"/>
      <c r="IF83" s="22"/>
      <c r="IG83" s="22"/>
      <c r="IH83" s="22"/>
      <c r="II83" s="22"/>
      <c r="IJ83" s="22"/>
      <c r="IK83" s="22"/>
      <c r="IL83" s="22"/>
      <c r="IM83" s="22"/>
      <c r="IN83" s="22"/>
      <c r="IO83" s="22"/>
      <c r="IP83" s="22"/>
      <c r="IQ83" s="22"/>
      <c r="IR83" s="22"/>
      <c r="IS83" s="22"/>
      <c r="IT83" s="22"/>
      <c r="IU83" s="22"/>
      <c r="IV83" s="22"/>
    </row>
    <row r="84" spans="1:256" s="41" customFormat="1" ht="15" customHeight="1">
      <c r="A84" s="25" t="s">
        <v>1109</v>
      </c>
      <c r="B84" s="22"/>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c r="BH84" s="22"/>
      <c r="BI84" s="22"/>
      <c r="BJ84" s="22"/>
      <c r="BK84" s="22"/>
      <c r="BL84" s="22"/>
      <c r="BM84" s="22"/>
      <c r="BN84" s="22"/>
      <c r="BO84" s="22"/>
      <c r="BP84" s="22"/>
      <c r="BQ84" s="22"/>
      <c r="BR84" s="22"/>
      <c r="BS84" s="22"/>
      <c r="BT84" s="22"/>
      <c r="BU84" s="22"/>
      <c r="BV84" s="22"/>
      <c r="BW84" s="22"/>
      <c r="BX84" s="22"/>
      <c r="BY84" s="22"/>
      <c r="BZ84" s="22"/>
      <c r="CA84" s="22"/>
      <c r="CB84" s="22"/>
      <c r="CC84" s="22"/>
      <c r="CD84" s="22"/>
      <c r="CE84" s="22"/>
      <c r="CF84" s="22"/>
      <c r="CG84" s="22"/>
      <c r="CH84" s="22"/>
      <c r="CI84" s="22"/>
      <c r="CJ84" s="22"/>
      <c r="CK84" s="22"/>
      <c r="CL84" s="22"/>
      <c r="CM84" s="22"/>
      <c r="CN84" s="22"/>
      <c r="CO84" s="22"/>
      <c r="CP84" s="22"/>
      <c r="CQ84" s="22"/>
      <c r="CR84" s="22"/>
      <c r="CS84" s="22"/>
      <c r="CT84" s="22"/>
      <c r="CU84" s="22"/>
      <c r="CV84" s="22"/>
      <c r="CW84" s="22"/>
      <c r="CX84" s="22"/>
      <c r="CY84" s="22"/>
      <c r="CZ84" s="22"/>
      <c r="DA84" s="22"/>
      <c r="DB84" s="22"/>
      <c r="DC84" s="22"/>
      <c r="DD84" s="22"/>
      <c r="DE84" s="22"/>
      <c r="DF84" s="22"/>
      <c r="DG84" s="22"/>
      <c r="DH84" s="22"/>
      <c r="DI84" s="22"/>
      <c r="DJ84" s="22"/>
      <c r="DK84" s="22"/>
      <c r="DL84" s="22"/>
      <c r="DM84" s="22"/>
      <c r="DN84" s="22"/>
      <c r="DO84" s="22"/>
      <c r="DP84" s="22"/>
      <c r="DQ84" s="22"/>
      <c r="DR84" s="22"/>
      <c r="DS84" s="22"/>
      <c r="DT84" s="22"/>
      <c r="DU84" s="22"/>
      <c r="DV84" s="22"/>
      <c r="DW84" s="22"/>
      <c r="DX84" s="22"/>
      <c r="DY84" s="22"/>
      <c r="DZ84" s="22"/>
      <c r="EA84" s="22"/>
      <c r="EB84" s="22"/>
      <c r="EC84" s="22"/>
      <c r="ED84" s="22"/>
      <c r="EE84" s="22"/>
      <c r="EF84" s="22"/>
      <c r="EG84" s="22"/>
      <c r="EH84" s="22"/>
      <c r="EI84" s="22"/>
      <c r="EJ84" s="22"/>
      <c r="EK84" s="22"/>
      <c r="EL84" s="22"/>
      <c r="EM84" s="22"/>
      <c r="EN84" s="22"/>
      <c r="EO84" s="22"/>
      <c r="EP84" s="22"/>
      <c r="EQ84" s="22"/>
      <c r="ER84" s="22"/>
      <c r="ES84" s="22"/>
      <c r="ET84" s="22"/>
      <c r="EU84" s="22"/>
      <c r="EV84" s="22"/>
      <c r="EW84" s="22"/>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c r="GL84" s="22"/>
      <c r="GM84" s="22"/>
      <c r="GN84" s="22"/>
      <c r="GO84" s="22"/>
      <c r="GP84" s="22"/>
      <c r="GQ84" s="22"/>
      <c r="GR84" s="22"/>
      <c r="GS84" s="22"/>
      <c r="GT84" s="22"/>
      <c r="GU84" s="22"/>
      <c r="GV84" s="22"/>
      <c r="GW84" s="22"/>
      <c r="GX84" s="22"/>
      <c r="GY84" s="22"/>
      <c r="GZ84" s="22"/>
      <c r="HA84" s="22"/>
      <c r="HB84" s="22"/>
      <c r="HC84" s="22"/>
      <c r="HD84" s="22"/>
      <c r="HE84" s="22"/>
      <c r="HF84" s="22"/>
      <c r="HG84" s="22"/>
      <c r="HH84" s="22"/>
      <c r="HI84" s="22"/>
      <c r="HJ84" s="22"/>
      <c r="HK84" s="22"/>
      <c r="HL84" s="22"/>
      <c r="HM84" s="22"/>
      <c r="HN84" s="22"/>
      <c r="HO84" s="22"/>
      <c r="HP84" s="22"/>
      <c r="HQ84" s="22"/>
      <c r="HR84" s="22"/>
      <c r="HS84" s="22"/>
      <c r="HT84" s="22"/>
      <c r="HU84" s="22"/>
      <c r="HV84" s="22"/>
      <c r="HW84" s="22"/>
      <c r="HX84" s="22"/>
      <c r="HY84" s="22"/>
      <c r="HZ84" s="22"/>
      <c r="IA84" s="22"/>
      <c r="IB84" s="22"/>
      <c r="IC84" s="22"/>
      <c r="ID84" s="22"/>
      <c r="IE84" s="22"/>
      <c r="IF84" s="22"/>
      <c r="IG84" s="22"/>
      <c r="IH84" s="22"/>
      <c r="II84" s="22"/>
      <c r="IJ84" s="22"/>
      <c r="IK84" s="22"/>
      <c r="IL84" s="22"/>
      <c r="IM84" s="22"/>
      <c r="IN84" s="22"/>
      <c r="IO84" s="22"/>
      <c r="IP84" s="22"/>
      <c r="IQ84" s="22"/>
      <c r="IR84" s="22"/>
      <c r="IS84" s="22"/>
      <c r="IT84" s="22"/>
      <c r="IU84" s="22"/>
      <c r="IV84" s="22"/>
    </row>
    <row r="85" spans="1:256" s="41" customFormat="1" ht="15" customHeight="1">
      <c r="A85" s="25" t="s">
        <v>1110</v>
      </c>
      <c r="B85" s="22"/>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c r="BH85" s="22"/>
      <c r="BI85" s="22"/>
      <c r="BJ85" s="22"/>
      <c r="BK85" s="22"/>
      <c r="BL85" s="22"/>
      <c r="BM85" s="22"/>
      <c r="BN85" s="22"/>
      <c r="BO85" s="22"/>
      <c r="BP85" s="22"/>
      <c r="BQ85" s="22"/>
      <c r="BR85" s="22"/>
      <c r="BS85" s="22"/>
      <c r="BT85" s="22"/>
      <c r="BU85" s="22"/>
      <c r="BV85" s="22"/>
      <c r="BW85" s="22"/>
      <c r="BX85" s="22"/>
      <c r="BY85" s="22"/>
      <c r="BZ85" s="22"/>
      <c r="CA85" s="22"/>
      <c r="CB85" s="22"/>
      <c r="CC85" s="22"/>
      <c r="CD85" s="22"/>
      <c r="CE85" s="22"/>
      <c r="CF85" s="22"/>
      <c r="CG85" s="22"/>
      <c r="CH85" s="22"/>
      <c r="CI85" s="22"/>
      <c r="CJ85" s="22"/>
      <c r="CK85" s="22"/>
      <c r="CL85" s="22"/>
      <c r="CM85" s="22"/>
      <c r="CN85" s="22"/>
      <c r="CO85" s="22"/>
      <c r="CP85" s="22"/>
      <c r="CQ85" s="22"/>
      <c r="CR85" s="22"/>
      <c r="CS85" s="22"/>
      <c r="CT85" s="22"/>
      <c r="CU85" s="22"/>
      <c r="CV85" s="22"/>
      <c r="CW85" s="22"/>
      <c r="CX85" s="22"/>
      <c r="CY85" s="22"/>
      <c r="CZ85" s="22"/>
      <c r="DA85" s="22"/>
      <c r="DB85" s="22"/>
      <c r="DC85" s="22"/>
      <c r="DD85" s="22"/>
      <c r="DE85" s="22"/>
      <c r="DF85" s="22"/>
      <c r="DG85" s="22"/>
      <c r="DH85" s="22"/>
      <c r="DI85" s="22"/>
      <c r="DJ85" s="22"/>
      <c r="DK85" s="22"/>
      <c r="DL85" s="22"/>
      <c r="DM85" s="22"/>
      <c r="DN85" s="22"/>
      <c r="DO85" s="22"/>
      <c r="DP85" s="22"/>
      <c r="DQ85" s="22"/>
      <c r="DR85" s="22"/>
      <c r="DS85" s="22"/>
      <c r="DT85" s="22"/>
      <c r="DU85" s="22"/>
      <c r="DV85" s="22"/>
      <c r="DW85" s="22"/>
      <c r="DX85" s="22"/>
      <c r="DY85" s="22"/>
      <c r="DZ85" s="22"/>
      <c r="EA85" s="22"/>
      <c r="EB85" s="22"/>
      <c r="EC85" s="22"/>
      <c r="ED85" s="22"/>
      <c r="EE85" s="22"/>
      <c r="EF85" s="22"/>
      <c r="EG85" s="22"/>
      <c r="EH85" s="22"/>
      <c r="EI85" s="22"/>
      <c r="EJ85" s="22"/>
      <c r="EK85" s="22"/>
      <c r="EL85" s="22"/>
      <c r="EM85" s="22"/>
      <c r="EN85" s="22"/>
      <c r="EO85" s="22"/>
      <c r="EP85" s="22"/>
      <c r="EQ85" s="22"/>
      <c r="ER85" s="22"/>
      <c r="ES85" s="22"/>
      <c r="ET85" s="22"/>
      <c r="EU85" s="22"/>
      <c r="EV85" s="22"/>
      <c r="EW85" s="22"/>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c r="GL85" s="22"/>
      <c r="GM85" s="22"/>
      <c r="GN85" s="22"/>
      <c r="GO85" s="22"/>
      <c r="GP85" s="22"/>
      <c r="GQ85" s="22"/>
      <c r="GR85" s="22"/>
      <c r="GS85" s="22"/>
      <c r="GT85" s="22"/>
      <c r="GU85" s="22"/>
      <c r="GV85" s="22"/>
      <c r="GW85" s="22"/>
      <c r="GX85" s="22"/>
      <c r="GY85" s="22"/>
      <c r="GZ85" s="22"/>
      <c r="HA85" s="22"/>
      <c r="HB85" s="22"/>
      <c r="HC85" s="22"/>
      <c r="HD85" s="22"/>
      <c r="HE85" s="22"/>
      <c r="HF85" s="22"/>
      <c r="HG85" s="22"/>
      <c r="HH85" s="22"/>
      <c r="HI85" s="22"/>
      <c r="HJ85" s="22"/>
      <c r="HK85" s="22"/>
      <c r="HL85" s="22"/>
      <c r="HM85" s="22"/>
      <c r="HN85" s="22"/>
      <c r="HO85" s="22"/>
      <c r="HP85" s="22"/>
      <c r="HQ85" s="22"/>
      <c r="HR85" s="22"/>
      <c r="HS85" s="22"/>
      <c r="HT85" s="22"/>
      <c r="HU85" s="22"/>
      <c r="HV85" s="22"/>
      <c r="HW85" s="22"/>
      <c r="HX85" s="22"/>
      <c r="HY85" s="22"/>
      <c r="HZ85" s="22"/>
      <c r="IA85" s="22"/>
      <c r="IB85" s="22"/>
      <c r="IC85" s="22"/>
      <c r="ID85" s="22"/>
      <c r="IE85" s="22"/>
      <c r="IF85" s="22"/>
      <c r="IG85" s="22"/>
      <c r="IH85" s="22"/>
      <c r="II85" s="22"/>
      <c r="IJ85" s="22"/>
      <c r="IK85" s="22"/>
      <c r="IL85" s="22"/>
      <c r="IM85" s="22"/>
      <c r="IN85" s="22"/>
      <c r="IO85" s="22"/>
      <c r="IP85" s="22"/>
      <c r="IQ85" s="22"/>
      <c r="IR85" s="22"/>
      <c r="IS85" s="22"/>
      <c r="IT85" s="22"/>
      <c r="IU85" s="22"/>
      <c r="IV85" s="22"/>
    </row>
    <row r="86" spans="1:256" s="26" customFormat="1" ht="15" customHeight="1">
      <c r="A86" s="26" t="s">
        <v>1111</v>
      </c>
    </row>
    <row r="87" spans="1:256" s="41" customFormat="1" ht="15" customHeight="1">
      <c r="A87" s="25" t="s">
        <v>1146</v>
      </c>
      <c r="B87" s="22"/>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c r="BH87" s="22"/>
      <c r="BI87" s="22"/>
      <c r="BJ87" s="22"/>
      <c r="BK87" s="22"/>
      <c r="BL87" s="22"/>
      <c r="BM87" s="22"/>
      <c r="BN87" s="22"/>
      <c r="BO87" s="22"/>
      <c r="BP87" s="22"/>
      <c r="BQ87" s="22"/>
      <c r="BR87" s="22"/>
      <c r="BS87" s="22"/>
      <c r="BT87" s="22"/>
      <c r="BU87" s="22"/>
      <c r="BV87" s="22"/>
      <c r="BW87" s="22"/>
      <c r="BX87" s="22"/>
      <c r="BY87" s="22"/>
      <c r="BZ87" s="22"/>
      <c r="CA87" s="22"/>
      <c r="CB87" s="22"/>
      <c r="CC87" s="22"/>
      <c r="CD87" s="22"/>
      <c r="CE87" s="22"/>
      <c r="CF87" s="22"/>
      <c r="CG87" s="22"/>
      <c r="CH87" s="22"/>
      <c r="CI87" s="22"/>
      <c r="CJ87" s="22"/>
      <c r="CK87" s="22"/>
      <c r="CL87" s="22"/>
      <c r="CM87" s="22"/>
      <c r="CN87" s="22"/>
      <c r="CO87" s="22"/>
      <c r="CP87" s="22"/>
      <c r="CQ87" s="22"/>
      <c r="CR87" s="22"/>
      <c r="CS87" s="22"/>
      <c r="CT87" s="22"/>
      <c r="CU87" s="22"/>
      <c r="CV87" s="22"/>
      <c r="CW87" s="22"/>
      <c r="CX87" s="22"/>
      <c r="CY87" s="22"/>
      <c r="CZ87" s="22"/>
      <c r="DA87" s="22"/>
      <c r="DB87" s="22"/>
      <c r="DC87" s="22"/>
      <c r="DD87" s="22"/>
      <c r="DE87" s="22"/>
      <c r="DF87" s="22"/>
      <c r="DG87" s="22"/>
      <c r="DH87" s="22"/>
      <c r="DI87" s="22"/>
      <c r="DJ87" s="22"/>
      <c r="DK87" s="22"/>
      <c r="DL87" s="22"/>
      <c r="DM87" s="22"/>
      <c r="DN87" s="22"/>
      <c r="DO87" s="22"/>
      <c r="DP87" s="22"/>
      <c r="DQ87" s="22"/>
      <c r="DR87" s="22"/>
      <c r="DS87" s="22"/>
      <c r="DT87" s="22"/>
      <c r="DU87" s="22"/>
      <c r="DV87" s="22"/>
      <c r="DW87" s="22"/>
      <c r="DX87" s="22"/>
      <c r="DY87" s="22"/>
      <c r="DZ87" s="22"/>
      <c r="EA87" s="22"/>
      <c r="EB87" s="22"/>
      <c r="EC87" s="22"/>
      <c r="ED87" s="22"/>
      <c r="EE87" s="22"/>
      <c r="EF87" s="22"/>
      <c r="EG87" s="22"/>
      <c r="EH87" s="22"/>
      <c r="EI87" s="22"/>
      <c r="EJ87" s="22"/>
      <c r="EK87" s="22"/>
      <c r="EL87" s="22"/>
      <c r="EM87" s="22"/>
      <c r="EN87" s="22"/>
      <c r="EO87" s="22"/>
      <c r="EP87" s="22"/>
      <c r="EQ87" s="22"/>
      <c r="ER87" s="22"/>
      <c r="ES87" s="22"/>
      <c r="ET87" s="22"/>
      <c r="EU87" s="22"/>
      <c r="EV87" s="22"/>
      <c r="EW87" s="22"/>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c r="GL87" s="22"/>
      <c r="GM87" s="22"/>
      <c r="GN87" s="22"/>
      <c r="GO87" s="22"/>
      <c r="GP87" s="22"/>
      <c r="GQ87" s="22"/>
      <c r="GR87" s="22"/>
      <c r="GS87" s="22"/>
      <c r="GT87" s="22"/>
      <c r="GU87" s="22"/>
      <c r="GV87" s="22"/>
      <c r="GW87" s="22"/>
      <c r="GX87" s="22"/>
      <c r="GY87" s="22"/>
      <c r="GZ87" s="22"/>
      <c r="HA87" s="22"/>
      <c r="HB87" s="22"/>
      <c r="HC87" s="22"/>
      <c r="HD87" s="22"/>
      <c r="HE87" s="22"/>
      <c r="HF87" s="22"/>
      <c r="HG87" s="22"/>
      <c r="HH87" s="22"/>
      <c r="HI87" s="22"/>
      <c r="HJ87" s="22"/>
      <c r="HK87" s="22"/>
      <c r="HL87" s="22"/>
      <c r="HM87" s="22"/>
      <c r="HN87" s="22"/>
      <c r="HO87" s="22"/>
      <c r="HP87" s="22"/>
      <c r="HQ87" s="22"/>
      <c r="HR87" s="22"/>
      <c r="HS87" s="22"/>
      <c r="HT87" s="22"/>
      <c r="HU87" s="22"/>
      <c r="HV87" s="22"/>
      <c r="HW87" s="22"/>
      <c r="HX87" s="22"/>
      <c r="HY87" s="22"/>
      <c r="HZ87" s="22"/>
      <c r="IA87" s="22"/>
      <c r="IB87" s="22"/>
      <c r="IC87" s="22"/>
      <c r="ID87" s="22"/>
      <c r="IE87" s="22"/>
      <c r="IF87" s="22"/>
      <c r="IG87" s="22"/>
      <c r="IH87" s="22"/>
      <c r="II87" s="22"/>
      <c r="IJ87" s="22"/>
      <c r="IK87" s="22"/>
      <c r="IL87" s="22"/>
      <c r="IM87" s="22"/>
      <c r="IN87" s="22"/>
      <c r="IO87" s="22"/>
      <c r="IP87" s="22"/>
      <c r="IQ87" s="22"/>
      <c r="IR87" s="22"/>
      <c r="IS87" s="22"/>
      <c r="IT87" s="22"/>
      <c r="IU87" s="22"/>
      <c r="IV87" s="22"/>
    </row>
    <row r="88" spans="1:256" s="31" customFormat="1" ht="15" customHeight="1">
      <c r="A88" s="31" t="s">
        <v>1147</v>
      </c>
    </row>
    <row r="89" spans="1:256" s="19" customFormat="1" ht="15" customHeight="1">
      <c r="A89" s="27" t="s">
        <v>1148</v>
      </c>
      <c r="B89" s="48"/>
      <c r="C89" s="29"/>
      <c r="D89" s="29"/>
      <c r="E89" s="29"/>
      <c r="F89" s="29"/>
      <c r="G89" s="29"/>
      <c r="H89" s="29"/>
      <c r="I89" s="29"/>
      <c r="J89" s="45"/>
      <c r="K89" s="45"/>
      <c r="L89" s="45"/>
      <c r="M89" s="45"/>
      <c r="N89" s="45"/>
      <c r="O89" s="45"/>
      <c r="P89" s="45"/>
      <c r="Q89" s="45"/>
      <c r="R89" s="45"/>
      <c r="S89" s="45"/>
      <c r="T89" s="29"/>
      <c r="U89" s="29"/>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c r="BF89" s="45"/>
      <c r="BG89" s="45"/>
      <c r="BH89" s="45"/>
      <c r="BI89" s="45"/>
      <c r="BJ89" s="45"/>
      <c r="BK89" s="45"/>
      <c r="BL89" s="45"/>
      <c r="BM89" s="45"/>
      <c r="BN89" s="45"/>
      <c r="BO89" s="45"/>
      <c r="BP89" s="45"/>
      <c r="BQ89" s="45"/>
      <c r="BR89" s="45"/>
      <c r="BS89" s="45"/>
      <c r="BT89" s="45"/>
      <c r="BU89" s="45"/>
      <c r="BV89" s="45"/>
      <c r="BW89" s="45"/>
      <c r="BX89" s="45"/>
    </row>
    <row r="90" spans="1:256" s="41" customFormat="1" ht="15" customHeight="1">
      <c r="A90" s="25" t="s">
        <v>1149</v>
      </c>
      <c r="B90" s="22"/>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c r="BH90" s="22"/>
      <c r="BI90" s="22"/>
      <c r="BJ90" s="22"/>
      <c r="BK90" s="22"/>
      <c r="BL90" s="22"/>
      <c r="BM90" s="22"/>
      <c r="BN90" s="22"/>
      <c r="BO90" s="22"/>
      <c r="BP90" s="22"/>
      <c r="BQ90" s="22"/>
      <c r="BR90" s="22"/>
      <c r="BS90" s="22"/>
      <c r="BT90" s="22"/>
      <c r="BU90" s="22"/>
      <c r="BV90" s="22"/>
      <c r="BW90" s="22"/>
      <c r="BX90" s="22"/>
      <c r="BY90" s="22"/>
      <c r="BZ90" s="22"/>
      <c r="CA90" s="22"/>
      <c r="CB90" s="22"/>
      <c r="CC90" s="22"/>
      <c r="CD90" s="22"/>
      <c r="CE90" s="22"/>
      <c r="CF90" s="22"/>
      <c r="CG90" s="22"/>
      <c r="CH90" s="22"/>
      <c r="CI90" s="22"/>
      <c r="CJ90" s="22"/>
      <c r="CK90" s="22"/>
      <c r="CL90" s="22"/>
      <c r="CM90" s="22"/>
      <c r="CN90" s="22"/>
      <c r="CO90" s="22"/>
      <c r="CP90" s="22"/>
      <c r="CQ90" s="22"/>
      <c r="CR90" s="22"/>
      <c r="CS90" s="22"/>
      <c r="CT90" s="22"/>
      <c r="CU90" s="22"/>
      <c r="CV90" s="22"/>
      <c r="CW90" s="22"/>
      <c r="CX90" s="22"/>
      <c r="CY90" s="22"/>
      <c r="CZ90" s="22"/>
      <c r="DA90" s="22"/>
      <c r="DB90" s="22"/>
      <c r="DC90" s="22"/>
      <c r="DD90" s="22"/>
      <c r="DE90" s="22"/>
      <c r="DF90" s="22"/>
      <c r="DG90" s="22"/>
      <c r="DH90" s="22"/>
      <c r="DI90" s="22"/>
      <c r="DJ90" s="22"/>
      <c r="DK90" s="22"/>
      <c r="DL90" s="22"/>
      <c r="DM90" s="22"/>
      <c r="DN90" s="22"/>
      <c r="DO90" s="22"/>
      <c r="DP90" s="22"/>
      <c r="DQ90" s="22"/>
      <c r="DR90" s="22"/>
      <c r="DS90" s="22"/>
      <c r="DT90" s="22"/>
      <c r="DU90" s="22"/>
      <c r="DV90" s="22"/>
      <c r="DW90" s="22"/>
      <c r="DX90" s="22"/>
      <c r="DY90" s="22"/>
      <c r="DZ90" s="22"/>
      <c r="EA90" s="22"/>
      <c r="EB90" s="22"/>
      <c r="EC90" s="22"/>
      <c r="ED90" s="22"/>
      <c r="EE90" s="22"/>
      <c r="EF90" s="22"/>
      <c r="EG90" s="22"/>
      <c r="EH90" s="22"/>
      <c r="EI90" s="22"/>
      <c r="EJ90" s="22"/>
      <c r="EK90" s="22"/>
      <c r="EL90" s="22"/>
      <c r="EM90" s="22"/>
      <c r="EN90" s="22"/>
      <c r="EO90" s="22"/>
      <c r="EP90" s="22"/>
      <c r="EQ90" s="22"/>
      <c r="ER90" s="22"/>
      <c r="ES90" s="22"/>
      <c r="ET90" s="22"/>
      <c r="EU90" s="22"/>
      <c r="EV90" s="22"/>
      <c r="EW90" s="22"/>
      <c r="EX90" s="22"/>
      <c r="EY90" s="22"/>
      <c r="EZ90" s="22"/>
      <c r="FA90" s="22"/>
      <c r="FB90" s="22"/>
      <c r="FC90" s="22"/>
      <c r="FD90" s="22"/>
      <c r="FE90" s="22"/>
      <c r="FF90" s="22"/>
      <c r="FG90" s="22"/>
      <c r="FH90" s="22"/>
      <c r="FI90" s="22"/>
      <c r="FJ90" s="22"/>
      <c r="FK90" s="22"/>
      <c r="FL90" s="22"/>
      <c r="FM90" s="22"/>
      <c r="FN90" s="22"/>
      <c r="FO90" s="22"/>
      <c r="FP90" s="22"/>
      <c r="FQ90" s="22"/>
      <c r="FR90" s="22"/>
      <c r="FS90" s="22"/>
      <c r="FT90" s="22"/>
      <c r="FU90" s="22"/>
      <c r="FV90" s="22"/>
      <c r="FW90" s="22"/>
      <c r="FX90" s="22"/>
      <c r="FY90" s="22"/>
      <c r="FZ90" s="22"/>
      <c r="GA90" s="22"/>
      <c r="GB90" s="22"/>
      <c r="GC90" s="22"/>
      <c r="GD90" s="22"/>
      <c r="GE90" s="22"/>
      <c r="GF90" s="22"/>
      <c r="GG90" s="22"/>
      <c r="GH90" s="22"/>
      <c r="GI90" s="22"/>
      <c r="GJ90" s="22"/>
      <c r="GK90" s="22"/>
      <c r="GL90" s="22"/>
      <c r="GM90" s="22"/>
      <c r="GN90" s="22"/>
      <c r="GO90" s="22"/>
      <c r="GP90" s="22"/>
      <c r="GQ90" s="22"/>
      <c r="GR90" s="22"/>
      <c r="GS90" s="22"/>
      <c r="GT90" s="22"/>
      <c r="GU90" s="22"/>
      <c r="GV90" s="22"/>
      <c r="GW90" s="22"/>
      <c r="GX90" s="22"/>
      <c r="GY90" s="22"/>
      <c r="GZ90" s="22"/>
      <c r="HA90" s="22"/>
      <c r="HB90" s="22"/>
      <c r="HC90" s="22"/>
      <c r="HD90" s="22"/>
      <c r="HE90" s="22"/>
      <c r="HF90" s="22"/>
      <c r="HG90" s="22"/>
      <c r="HH90" s="22"/>
      <c r="HI90" s="22"/>
      <c r="HJ90" s="22"/>
      <c r="HK90" s="22"/>
      <c r="HL90" s="22"/>
      <c r="HM90" s="22"/>
      <c r="HN90" s="22"/>
      <c r="HO90" s="22"/>
      <c r="HP90" s="22"/>
      <c r="HQ90" s="22"/>
      <c r="HR90" s="22"/>
      <c r="HS90" s="22"/>
      <c r="HT90" s="22"/>
      <c r="HU90" s="22"/>
      <c r="HV90" s="22"/>
      <c r="HW90" s="22"/>
      <c r="HX90" s="22"/>
      <c r="HY90" s="22"/>
      <c r="HZ90" s="22"/>
      <c r="IA90" s="22"/>
      <c r="IB90" s="22"/>
      <c r="IC90" s="22"/>
      <c r="ID90" s="22"/>
      <c r="IE90" s="22"/>
      <c r="IF90" s="22"/>
      <c r="IG90" s="22"/>
      <c r="IH90" s="22"/>
      <c r="II90" s="22"/>
      <c r="IJ90" s="22"/>
      <c r="IK90" s="22"/>
      <c r="IL90" s="22"/>
      <c r="IM90" s="22"/>
      <c r="IN90" s="22"/>
      <c r="IO90" s="22"/>
      <c r="IP90" s="22"/>
      <c r="IQ90" s="22"/>
      <c r="IR90" s="22"/>
      <c r="IS90" s="22"/>
      <c r="IT90" s="22"/>
      <c r="IU90" s="22"/>
      <c r="IV90" s="22"/>
    </row>
    <row r="91" spans="1:256" s="41" customFormat="1" ht="15" customHeight="1">
      <c r="A91" s="25" t="s">
        <v>1150</v>
      </c>
      <c r="B91" s="22"/>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c r="BH91" s="22"/>
      <c r="BI91" s="22"/>
      <c r="BJ91" s="22"/>
      <c r="BK91" s="22"/>
      <c r="BL91" s="22"/>
      <c r="BM91" s="22"/>
      <c r="BN91" s="22"/>
      <c r="BO91" s="22"/>
      <c r="BP91" s="22"/>
      <c r="BQ91" s="22"/>
      <c r="BR91" s="22"/>
      <c r="BS91" s="22"/>
      <c r="BT91" s="22"/>
      <c r="BU91" s="22"/>
      <c r="BV91" s="22"/>
      <c r="BW91" s="22"/>
      <c r="BX91" s="22"/>
      <c r="BY91" s="22"/>
      <c r="BZ91" s="22"/>
      <c r="CA91" s="22"/>
      <c r="CB91" s="22"/>
      <c r="CC91" s="22"/>
      <c r="CD91" s="22"/>
      <c r="CE91" s="22"/>
      <c r="CF91" s="22"/>
      <c r="CG91" s="22"/>
      <c r="CH91" s="22"/>
      <c r="CI91" s="22"/>
      <c r="CJ91" s="22"/>
      <c r="CK91" s="22"/>
      <c r="CL91" s="22"/>
      <c r="CM91" s="22"/>
      <c r="CN91" s="22"/>
      <c r="CO91" s="22"/>
      <c r="CP91" s="22"/>
      <c r="CQ91" s="22"/>
      <c r="CR91" s="22"/>
      <c r="CS91" s="22"/>
      <c r="CT91" s="22"/>
      <c r="CU91" s="22"/>
      <c r="CV91" s="22"/>
      <c r="CW91" s="22"/>
      <c r="CX91" s="22"/>
      <c r="CY91" s="22"/>
      <c r="CZ91" s="22"/>
      <c r="DA91" s="22"/>
      <c r="DB91" s="22"/>
      <c r="DC91" s="22"/>
      <c r="DD91" s="22"/>
      <c r="DE91" s="22"/>
      <c r="DF91" s="22"/>
      <c r="DG91" s="22"/>
      <c r="DH91" s="22"/>
      <c r="DI91" s="22"/>
      <c r="DJ91" s="22"/>
      <c r="DK91" s="22"/>
      <c r="DL91" s="22"/>
      <c r="DM91" s="22"/>
      <c r="DN91" s="22"/>
      <c r="DO91" s="22"/>
      <c r="DP91" s="22"/>
      <c r="DQ91" s="22"/>
      <c r="DR91" s="22"/>
      <c r="DS91" s="22"/>
      <c r="DT91" s="22"/>
      <c r="DU91" s="22"/>
      <c r="DV91" s="22"/>
      <c r="DW91" s="22"/>
      <c r="DX91" s="22"/>
      <c r="DY91" s="22"/>
      <c r="DZ91" s="22"/>
      <c r="EA91" s="22"/>
      <c r="EB91" s="22"/>
      <c r="EC91" s="22"/>
      <c r="ED91" s="22"/>
      <c r="EE91" s="22"/>
      <c r="EF91" s="22"/>
      <c r="EG91" s="22"/>
      <c r="EH91" s="22"/>
      <c r="EI91" s="22"/>
      <c r="EJ91" s="22"/>
      <c r="EK91" s="22"/>
      <c r="EL91" s="22"/>
      <c r="EM91" s="22"/>
      <c r="EN91" s="22"/>
      <c r="EO91" s="22"/>
      <c r="EP91" s="22"/>
      <c r="EQ91" s="22"/>
      <c r="ER91" s="22"/>
      <c r="ES91" s="22"/>
      <c r="ET91" s="22"/>
      <c r="EU91" s="22"/>
      <c r="EV91" s="22"/>
      <c r="EW91" s="22"/>
      <c r="EX91" s="22"/>
      <c r="EY91" s="22"/>
      <c r="EZ91" s="22"/>
      <c r="FA91" s="22"/>
      <c r="FB91" s="22"/>
      <c r="FC91" s="22"/>
      <c r="FD91" s="22"/>
      <c r="FE91" s="22"/>
      <c r="FF91" s="22"/>
      <c r="FG91" s="22"/>
      <c r="FH91" s="22"/>
      <c r="FI91" s="22"/>
      <c r="FJ91" s="22"/>
      <c r="FK91" s="22"/>
      <c r="FL91" s="22"/>
      <c r="FM91" s="22"/>
      <c r="FN91" s="22"/>
      <c r="FO91" s="22"/>
      <c r="FP91" s="22"/>
      <c r="FQ91" s="22"/>
      <c r="FR91" s="22"/>
      <c r="FS91" s="22"/>
      <c r="FT91" s="22"/>
      <c r="FU91" s="22"/>
      <c r="FV91" s="22"/>
      <c r="FW91" s="22"/>
      <c r="FX91" s="22"/>
      <c r="FY91" s="22"/>
      <c r="FZ91" s="22"/>
      <c r="GA91" s="22"/>
      <c r="GB91" s="22"/>
      <c r="GC91" s="22"/>
      <c r="GD91" s="22"/>
      <c r="GE91" s="22"/>
      <c r="GF91" s="22"/>
      <c r="GG91" s="22"/>
      <c r="GH91" s="22"/>
      <c r="GI91" s="22"/>
      <c r="GJ91" s="22"/>
      <c r="GK91" s="22"/>
      <c r="GL91" s="22"/>
      <c r="GM91" s="22"/>
      <c r="GN91" s="22"/>
      <c r="GO91" s="22"/>
      <c r="GP91" s="22"/>
      <c r="GQ91" s="22"/>
      <c r="GR91" s="22"/>
      <c r="GS91" s="22"/>
      <c r="GT91" s="22"/>
      <c r="GU91" s="22"/>
      <c r="GV91" s="22"/>
      <c r="GW91" s="22"/>
      <c r="GX91" s="22"/>
      <c r="GY91" s="22"/>
      <c r="GZ91" s="22"/>
      <c r="HA91" s="22"/>
      <c r="HB91" s="22"/>
      <c r="HC91" s="22"/>
      <c r="HD91" s="22"/>
      <c r="HE91" s="22"/>
      <c r="HF91" s="22"/>
      <c r="HG91" s="22"/>
      <c r="HH91" s="22"/>
      <c r="HI91" s="22"/>
      <c r="HJ91" s="22"/>
      <c r="HK91" s="22"/>
      <c r="HL91" s="22"/>
      <c r="HM91" s="22"/>
      <c r="HN91" s="22"/>
      <c r="HO91" s="22"/>
      <c r="HP91" s="22"/>
      <c r="HQ91" s="22"/>
      <c r="HR91" s="22"/>
      <c r="HS91" s="22"/>
      <c r="HT91" s="22"/>
      <c r="HU91" s="22"/>
      <c r="HV91" s="22"/>
      <c r="HW91" s="22"/>
      <c r="HX91" s="22"/>
      <c r="HY91" s="22"/>
      <c r="HZ91" s="22"/>
      <c r="IA91" s="22"/>
      <c r="IB91" s="22"/>
      <c r="IC91" s="22"/>
      <c r="ID91" s="22"/>
      <c r="IE91" s="22"/>
      <c r="IF91" s="22"/>
      <c r="IG91" s="22"/>
      <c r="IH91" s="22"/>
      <c r="II91" s="22"/>
      <c r="IJ91" s="22"/>
      <c r="IK91" s="22"/>
      <c r="IL91" s="22"/>
      <c r="IM91" s="22"/>
      <c r="IN91" s="22"/>
      <c r="IO91" s="22"/>
      <c r="IP91" s="22"/>
      <c r="IQ91" s="22"/>
      <c r="IR91" s="22"/>
      <c r="IS91" s="22"/>
      <c r="IT91" s="22"/>
      <c r="IU91" s="22"/>
      <c r="IV91" s="22"/>
    </row>
    <row r="92" spans="1:256" s="41" customFormat="1" ht="15" customHeight="1">
      <c r="A92" s="25" t="s">
        <v>1151</v>
      </c>
      <c r="B92" s="22"/>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c r="BH92" s="22"/>
      <c r="BI92" s="22"/>
      <c r="BJ92" s="22"/>
      <c r="BK92" s="22"/>
      <c r="BL92" s="22"/>
      <c r="BM92" s="22"/>
      <c r="BN92" s="22"/>
      <c r="BO92" s="22"/>
      <c r="BP92" s="22"/>
      <c r="BQ92" s="22"/>
      <c r="BR92" s="22"/>
      <c r="BS92" s="22"/>
      <c r="BT92" s="22"/>
      <c r="BU92" s="22"/>
      <c r="BV92" s="22"/>
      <c r="BW92" s="22"/>
      <c r="BX92" s="22"/>
      <c r="BY92" s="22"/>
      <c r="BZ92" s="22"/>
      <c r="CA92" s="22"/>
      <c r="CB92" s="22"/>
      <c r="CC92" s="22"/>
      <c r="CD92" s="22"/>
      <c r="CE92" s="22"/>
      <c r="CF92" s="22"/>
      <c r="CG92" s="22"/>
      <c r="CH92" s="22"/>
      <c r="CI92" s="22"/>
      <c r="CJ92" s="22"/>
      <c r="CK92" s="22"/>
      <c r="CL92" s="22"/>
      <c r="CM92" s="22"/>
      <c r="CN92" s="22"/>
      <c r="CO92" s="22"/>
      <c r="CP92" s="22"/>
      <c r="CQ92" s="22"/>
      <c r="CR92" s="22"/>
      <c r="CS92" s="22"/>
      <c r="CT92" s="22"/>
      <c r="CU92" s="22"/>
      <c r="CV92" s="22"/>
      <c r="CW92" s="22"/>
      <c r="CX92" s="22"/>
      <c r="CY92" s="22"/>
      <c r="CZ92" s="22"/>
      <c r="DA92" s="22"/>
      <c r="DB92" s="22"/>
      <c r="DC92" s="22"/>
      <c r="DD92" s="22"/>
      <c r="DE92" s="22"/>
      <c r="DF92" s="22"/>
      <c r="DG92" s="22"/>
      <c r="DH92" s="22"/>
      <c r="DI92" s="22"/>
      <c r="DJ92" s="22"/>
      <c r="DK92" s="22"/>
      <c r="DL92" s="22"/>
      <c r="DM92" s="22"/>
      <c r="DN92" s="22"/>
      <c r="DO92" s="22"/>
      <c r="DP92" s="22"/>
      <c r="DQ92" s="22"/>
      <c r="DR92" s="22"/>
      <c r="DS92" s="22"/>
      <c r="DT92" s="22"/>
      <c r="DU92" s="22"/>
      <c r="DV92" s="22"/>
      <c r="DW92" s="22"/>
      <c r="DX92" s="22"/>
      <c r="DY92" s="22"/>
      <c r="DZ92" s="22"/>
      <c r="EA92" s="22"/>
      <c r="EB92" s="22"/>
      <c r="EC92" s="22"/>
      <c r="ED92" s="22"/>
      <c r="EE92" s="22"/>
      <c r="EF92" s="22"/>
      <c r="EG92" s="22"/>
      <c r="EH92" s="22"/>
      <c r="EI92" s="22"/>
      <c r="EJ92" s="22"/>
      <c r="EK92" s="22"/>
      <c r="EL92" s="22"/>
      <c r="EM92" s="22"/>
      <c r="EN92" s="22"/>
      <c r="EO92" s="22"/>
      <c r="EP92" s="22"/>
      <c r="EQ92" s="22"/>
      <c r="ER92" s="22"/>
      <c r="ES92" s="22"/>
      <c r="ET92" s="22"/>
      <c r="EU92" s="22"/>
      <c r="EV92" s="22"/>
      <c r="EW92" s="22"/>
      <c r="EX92" s="22"/>
      <c r="EY92" s="22"/>
      <c r="EZ92" s="22"/>
      <c r="FA92" s="22"/>
      <c r="FB92" s="22"/>
      <c r="FC92" s="22"/>
      <c r="FD92" s="22"/>
      <c r="FE92" s="22"/>
      <c r="FF92" s="22"/>
      <c r="FG92" s="22"/>
      <c r="FH92" s="22"/>
      <c r="FI92" s="22"/>
      <c r="FJ92" s="22"/>
      <c r="FK92" s="22"/>
      <c r="FL92" s="22"/>
      <c r="FM92" s="22"/>
      <c r="FN92" s="22"/>
      <c r="FO92" s="22"/>
      <c r="FP92" s="22"/>
      <c r="FQ92" s="22"/>
      <c r="FR92" s="22"/>
      <c r="FS92" s="22"/>
      <c r="FT92" s="22"/>
      <c r="FU92" s="22"/>
      <c r="FV92" s="22"/>
      <c r="FW92" s="22"/>
      <c r="FX92" s="22"/>
      <c r="FY92" s="22"/>
      <c r="FZ92" s="22"/>
      <c r="GA92" s="22"/>
      <c r="GB92" s="22"/>
      <c r="GC92" s="22"/>
      <c r="GD92" s="22"/>
      <c r="GE92" s="22"/>
      <c r="GF92" s="22"/>
      <c r="GG92" s="22"/>
      <c r="GH92" s="22"/>
      <c r="GI92" s="22"/>
      <c r="GJ92" s="22"/>
      <c r="GK92" s="22"/>
      <c r="GL92" s="22"/>
      <c r="GM92" s="22"/>
      <c r="GN92" s="22"/>
      <c r="GO92" s="22"/>
      <c r="GP92" s="22"/>
      <c r="GQ92" s="22"/>
      <c r="GR92" s="22"/>
      <c r="GS92" s="22"/>
      <c r="GT92" s="22"/>
      <c r="GU92" s="22"/>
      <c r="GV92" s="22"/>
      <c r="GW92" s="22"/>
      <c r="GX92" s="22"/>
      <c r="GY92" s="22"/>
      <c r="GZ92" s="22"/>
      <c r="HA92" s="22"/>
      <c r="HB92" s="22"/>
      <c r="HC92" s="22"/>
      <c r="HD92" s="22"/>
      <c r="HE92" s="22"/>
      <c r="HF92" s="22"/>
      <c r="HG92" s="22"/>
      <c r="HH92" s="22"/>
      <c r="HI92" s="22"/>
      <c r="HJ92" s="22"/>
      <c r="HK92" s="22"/>
      <c r="HL92" s="22"/>
      <c r="HM92" s="22"/>
      <c r="HN92" s="22"/>
      <c r="HO92" s="22"/>
      <c r="HP92" s="22"/>
      <c r="HQ92" s="22"/>
      <c r="HR92" s="22"/>
      <c r="HS92" s="22"/>
      <c r="HT92" s="22"/>
      <c r="HU92" s="22"/>
      <c r="HV92" s="22"/>
      <c r="HW92" s="22"/>
      <c r="HX92" s="22"/>
      <c r="HY92" s="22"/>
      <c r="HZ92" s="22"/>
      <c r="IA92" s="22"/>
      <c r="IB92" s="22"/>
      <c r="IC92" s="22"/>
      <c r="ID92" s="22"/>
      <c r="IE92" s="22"/>
      <c r="IF92" s="22"/>
      <c r="IG92" s="22"/>
      <c r="IH92" s="22"/>
      <c r="II92" s="22"/>
      <c r="IJ92" s="22"/>
      <c r="IK92" s="22"/>
      <c r="IL92" s="22"/>
      <c r="IM92" s="22"/>
      <c r="IN92" s="22"/>
      <c r="IO92" s="22"/>
      <c r="IP92" s="22"/>
      <c r="IQ92" s="22"/>
      <c r="IR92" s="22"/>
      <c r="IS92" s="22"/>
      <c r="IT92" s="22"/>
      <c r="IU92" s="22"/>
      <c r="IV92" s="22"/>
    </row>
    <row r="93" spans="1:256" s="41" customFormat="1" ht="15" customHeight="1">
      <c r="A93" s="25" t="s">
        <v>1152</v>
      </c>
      <c r="B93" s="22"/>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c r="BH93" s="22"/>
      <c r="BI93" s="22"/>
      <c r="BJ93" s="22"/>
      <c r="BK93" s="22"/>
      <c r="BL93" s="22"/>
      <c r="BM93" s="22"/>
      <c r="BN93" s="22"/>
      <c r="BO93" s="22"/>
      <c r="BP93" s="22"/>
      <c r="BQ93" s="22"/>
      <c r="BR93" s="22"/>
      <c r="BS93" s="22"/>
      <c r="BT93" s="22"/>
      <c r="BU93" s="22"/>
      <c r="BV93" s="22"/>
      <c r="BW93" s="22"/>
      <c r="BX93" s="22"/>
      <c r="BY93" s="22"/>
      <c r="BZ93" s="22"/>
      <c r="CA93" s="22"/>
      <c r="CB93" s="22"/>
      <c r="CC93" s="22"/>
      <c r="CD93" s="22"/>
      <c r="CE93" s="22"/>
      <c r="CF93" s="22"/>
      <c r="CG93" s="22"/>
      <c r="CH93" s="22"/>
      <c r="CI93" s="22"/>
      <c r="CJ93" s="22"/>
      <c r="CK93" s="22"/>
      <c r="CL93" s="22"/>
      <c r="CM93" s="22"/>
      <c r="CN93" s="22"/>
      <c r="CO93" s="22"/>
      <c r="CP93" s="22"/>
      <c r="CQ93" s="22"/>
      <c r="CR93" s="22"/>
      <c r="CS93" s="22"/>
      <c r="CT93" s="22"/>
      <c r="CU93" s="22"/>
      <c r="CV93" s="22"/>
      <c r="CW93" s="22"/>
      <c r="CX93" s="22"/>
      <c r="CY93" s="22"/>
      <c r="CZ93" s="22"/>
      <c r="DA93" s="22"/>
      <c r="DB93" s="22"/>
      <c r="DC93" s="22"/>
      <c r="DD93" s="22"/>
      <c r="DE93" s="22"/>
      <c r="DF93" s="22"/>
      <c r="DG93" s="22"/>
      <c r="DH93" s="22"/>
      <c r="DI93" s="22"/>
      <c r="DJ93" s="22"/>
      <c r="DK93" s="22"/>
      <c r="DL93" s="22"/>
      <c r="DM93" s="22"/>
      <c r="DN93" s="22"/>
      <c r="DO93" s="22"/>
      <c r="DP93" s="22"/>
      <c r="DQ93" s="22"/>
      <c r="DR93" s="22"/>
      <c r="DS93" s="22"/>
      <c r="DT93" s="22"/>
      <c r="DU93" s="22"/>
      <c r="DV93" s="22"/>
      <c r="DW93" s="22"/>
      <c r="DX93" s="22"/>
      <c r="DY93" s="22"/>
      <c r="DZ93" s="22"/>
      <c r="EA93" s="22"/>
      <c r="EB93" s="22"/>
      <c r="EC93" s="22"/>
      <c r="ED93" s="22"/>
      <c r="EE93" s="22"/>
      <c r="EF93" s="22"/>
      <c r="EG93" s="22"/>
      <c r="EH93" s="22"/>
      <c r="EI93" s="22"/>
      <c r="EJ93" s="22"/>
      <c r="EK93" s="22"/>
      <c r="EL93" s="22"/>
      <c r="EM93" s="22"/>
      <c r="EN93" s="22"/>
      <c r="EO93" s="22"/>
      <c r="EP93" s="22"/>
      <c r="EQ93" s="22"/>
      <c r="ER93" s="22"/>
      <c r="ES93" s="22"/>
      <c r="ET93" s="22"/>
      <c r="EU93" s="22"/>
      <c r="EV93" s="22"/>
      <c r="EW93" s="22"/>
      <c r="EX93" s="22"/>
      <c r="EY93" s="22"/>
      <c r="EZ93" s="22"/>
      <c r="FA93" s="22"/>
      <c r="FB93" s="22"/>
      <c r="FC93" s="22"/>
      <c r="FD93" s="22"/>
      <c r="FE93" s="22"/>
      <c r="FF93" s="22"/>
      <c r="FG93" s="22"/>
      <c r="FH93" s="22"/>
      <c r="FI93" s="22"/>
      <c r="FJ93" s="22"/>
      <c r="FK93" s="22"/>
      <c r="FL93" s="22"/>
      <c r="FM93" s="22"/>
      <c r="FN93" s="22"/>
      <c r="FO93" s="22"/>
      <c r="FP93" s="22"/>
      <c r="FQ93" s="22"/>
      <c r="FR93" s="22"/>
      <c r="FS93" s="22"/>
      <c r="FT93" s="22"/>
      <c r="FU93" s="22"/>
      <c r="FV93" s="22"/>
      <c r="FW93" s="22"/>
      <c r="FX93" s="22"/>
      <c r="FY93" s="22"/>
      <c r="FZ93" s="22"/>
      <c r="GA93" s="22"/>
      <c r="GB93" s="22"/>
      <c r="GC93" s="22"/>
      <c r="GD93" s="22"/>
      <c r="GE93" s="22"/>
      <c r="GF93" s="22"/>
      <c r="GG93" s="22"/>
      <c r="GH93" s="22"/>
      <c r="GI93" s="22"/>
      <c r="GJ93" s="22"/>
      <c r="GK93" s="22"/>
      <c r="GL93" s="22"/>
      <c r="GM93" s="22"/>
      <c r="GN93" s="22"/>
      <c r="GO93" s="22"/>
      <c r="GP93" s="22"/>
      <c r="GQ93" s="22"/>
      <c r="GR93" s="22"/>
      <c r="GS93" s="22"/>
      <c r="GT93" s="22"/>
      <c r="GU93" s="22"/>
      <c r="GV93" s="22"/>
      <c r="GW93" s="22"/>
      <c r="GX93" s="22"/>
      <c r="GY93" s="22"/>
      <c r="GZ93" s="22"/>
      <c r="HA93" s="22"/>
      <c r="HB93" s="22"/>
      <c r="HC93" s="22"/>
      <c r="HD93" s="22"/>
      <c r="HE93" s="22"/>
      <c r="HF93" s="22"/>
      <c r="HG93" s="22"/>
      <c r="HH93" s="22"/>
      <c r="HI93" s="22"/>
      <c r="HJ93" s="22"/>
      <c r="HK93" s="22"/>
      <c r="HL93" s="22"/>
      <c r="HM93" s="22"/>
      <c r="HN93" s="22"/>
      <c r="HO93" s="22"/>
      <c r="HP93" s="22"/>
      <c r="HQ93" s="22"/>
      <c r="HR93" s="22"/>
      <c r="HS93" s="22"/>
      <c r="HT93" s="22"/>
      <c r="HU93" s="22"/>
      <c r="HV93" s="22"/>
      <c r="HW93" s="22"/>
      <c r="HX93" s="22"/>
      <c r="HY93" s="22"/>
      <c r="HZ93" s="22"/>
      <c r="IA93" s="22"/>
      <c r="IB93" s="22"/>
      <c r="IC93" s="22"/>
      <c r="ID93" s="22"/>
      <c r="IE93" s="22"/>
      <c r="IF93" s="22"/>
      <c r="IG93" s="22"/>
      <c r="IH93" s="22"/>
      <c r="II93" s="22"/>
      <c r="IJ93" s="22"/>
      <c r="IK93" s="22"/>
      <c r="IL93" s="22"/>
      <c r="IM93" s="22"/>
      <c r="IN93" s="22"/>
      <c r="IO93" s="22"/>
      <c r="IP93" s="22"/>
      <c r="IQ93" s="22"/>
      <c r="IR93" s="22"/>
      <c r="IS93" s="22"/>
      <c r="IT93" s="22"/>
      <c r="IU93" s="22"/>
      <c r="IV93" s="22"/>
    </row>
    <row r="94" spans="1:256" s="41" customFormat="1" ht="15" customHeight="1">
      <c r="A94" s="25" t="s">
        <v>1153</v>
      </c>
      <c r="B94" s="22"/>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c r="BH94" s="22"/>
      <c r="BI94" s="22"/>
      <c r="BJ94" s="22"/>
      <c r="BK94" s="22"/>
      <c r="BL94" s="22"/>
      <c r="BM94" s="22"/>
      <c r="BN94" s="22"/>
      <c r="BO94" s="22"/>
      <c r="BP94" s="22"/>
      <c r="BQ94" s="22"/>
      <c r="BR94" s="22"/>
      <c r="BS94" s="22"/>
      <c r="BT94" s="22"/>
      <c r="BU94" s="22"/>
      <c r="BV94" s="22"/>
      <c r="BW94" s="22"/>
      <c r="BX94" s="22"/>
      <c r="BY94" s="22"/>
      <c r="BZ94" s="22"/>
      <c r="CA94" s="22"/>
      <c r="CB94" s="22"/>
      <c r="CC94" s="22"/>
      <c r="CD94" s="22"/>
      <c r="CE94" s="22"/>
      <c r="CF94" s="22"/>
      <c r="CG94" s="22"/>
      <c r="CH94" s="22"/>
      <c r="CI94" s="22"/>
      <c r="CJ94" s="22"/>
      <c r="CK94" s="22"/>
      <c r="CL94" s="22"/>
      <c r="CM94" s="22"/>
      <c r="CN94" s="22"/>
      <c r="CO94" s="22"/>
      <c r="CP94" s="22"/>
      <c r="CQ94" s="22"/>
      <c r="CR94" s="22"/>
      <c r="CS94" s="22"/>
      <c r="CT94" s="22"/>
      <c r="CU94" s="22"/>
      <c r="CV94" s="22"/>
      <c r="CW94" s="22"/>
      <c r="CX94" s="22"/>
      <c r="CY94" s="22"/>
      <c r="CZ94" s="22"/>
      <c r="DA94" s="22"/>
      <c r="DB94" s="22"/>
      <c r="DC94" s="22"/>
      <c r="DD94" s="22"/>
      <c r="DE94" s="22"/>
      <c r="DF94" s="22"/>
      <c r="DG94" s="22"/>
      <c r="DH94" s="22"/>
      <c r="DI94" s="22"/>
      <c r="DJ94" s="22"/>
      <c r="DK94" s="22"/>
      <c r="DL94" s="22"/>
      <c r="DM94" s="22"/>
      <c r="DN94" s="22"/>
      <c r="DO94" s="22"/>
      <c r="DP94" s="22"/>
      <c r="DQ94" s="22"/>
      <c r="DR94" s="22"/>
      <c r="DS94" s="22"/>
      <c r="DT94" s="22"/>
      <c r="DU94" s="22"/>
      <c r="DV94" s="22"/>
      <c r="DW94" s="22"/>
      <c r="DX94" s="22"/>
      <c r="DY94" s="22"/>
      <c r="DZ94" s="22"/>
      <c r="EA94" s="22"/>
      <c r="EB94" s="22"/>
      <c r="EC94" s="22"/>
      <c r="ED94" s="22"/>
      <c r="EE94" s="22"/>
      <c r="EF94" s="22"/>
      <c r="EG94" s="22"/>
      <c r="EH94" s="22"/>
      <c r="EI94" s="22"/>
      <c r="EJ94" s="22"/>
      <c r="EK94" s="22"/>
      <c r="EL94" s="22"/>
      <c r="EM94" s="22"/>
      <c r="EN94" s="22"/>
      <c r="EO94" s="22"/>
      <c r="EP94" s="22"/>
      <c r="EQ94" s="22"/>
      <c r="ER94" s="22"/>
      <c r="ES94" s="22"/>
      <c r="ET94" s="22"/>
      <c r="EU94" s="22"/>
      <c r="EV94" s="22"/>
      <c r="EW94" s="22"/>
      <c r="EX94" s="22"/>
      <c r="EY94" s="22"/>
      <c r="EZ94" s="22"/>
      <c r="FA94" s="22"/>
      <c r="FB94" s="22"/>
      <c r="FC94" s="22"/>
      <c r="FD94" s="22"/>
      <c r="FE94" s="22"/>
      <c r="FF94" s="22"/>
      <c r="FG94" s="22"/>
      <c r="FH94" s="22"/>
      <c r="FI94" s="22"/>
      <c r="FJ94" s="22"/>
      <c r="FK94" s="22"/>
      <c r="FL94" s="22"/>
      <c r="FM94" s="22"/>
      <c r="FN94" s="22"/>
      <c r="FO94" s="22"/>
      <c r="FP94" s="22"/>
      <c r="FQ94" s="22"/>
      <c r="FR94" s="22"/>
      <c r="FS94" s="22"/>
      <c r="FT94" s="22"/>
      <c r="FU94" s="22"/>
      <c r="FV94" s="22"/>
      <c r="FW94" s="22"/>
      <c r="FX94" s="22"/>
      <c r="FY94" s="22"/>
      <c r="FZ94" s="22"/>
      <c r="GA94" s="22"/>
      <c r="GB94" s="22"/>
      <c r="GC94" s="22"/>
      <c r="GD94" s="22"/>
      <c r="GE94" s="22"/>
      <c r="GF94" s="22"/>
      <c r="GG94" s="22"/>
      <c r="GH94" s="22"/>
      <c r="GI94" s="22"/>
      <c r="GJ94" s="22"/>
      <c r="GK94" s="22"/>
      <c r="GL94" s="22"/>
      <c r="GM94" s="22"/>
      <c r="GN94" s="22"/>
      <c r="GO94" s="22"/>
      <c r="GP94" s="22"/>
      <c r="GQ94" s="22"/>
      <c r="GR94" s="22"/>
      <c r="GS94" s="22"/>
      <c r="GT94" s="22"/>
      <c r="GU94" s="22"/>
      <c r="GV94" s="22"/>
      <c r="GW94" s="22"/>
      <c r="GX94" s="22"/>
      <c r="GY94" s="22"/>
      <c r="GZ94" s="22"/>
      <c r="HA94" s="22"/>
      <c r="HB94" s="22"/>
      <c r="HC94" s="22"/>
      <c r="HD94" s="22"/>
      <c r="HE94" s="22"/>
      <c r="HF94" s="22"/>
      <c r="HG94" s="22"/>
      <c r="HH94" s="22"/>
      <c r="HI94" s="22"/>
      <c r="HJ94" s="22"/>
      <c r="HK94" s="22"/>
      <c r="HL94" s="22"/>
      <c r="HM94" s="22"/>
      <c r="HN94" s="22"/>
      <c r="HO94" s="22"/>
      <c r="HP94" s="22"/>
      <c r="HQ94" s="22"/>
      <c r="HR94" s="22"/>
      <c r="HS94" s="22"/>
      <c r="HT94" s="22"/>
      <c r="HU94" s="22"/>
      <c r="HV94" s="22"/>
      <c r="HW94" s="22"/>
      <c r="HX94" s="22"/>
      <c r="HY94" s="22"/>
      <c r="HZ94" s="22"/>
      <c r="IA94" s="22"/>
      <c r="IB94" s="22"/>
      <c r="IC94" s="22"/>
      <c r="ID94" s="22"/>
      <c r="IE94" s="22"/>
      <c r="IF94" s="22"/>
      <c r="IG94" s="22"/>
      <c r="IH94" s="22"/>
      <c r="II94" s="22"/>
      <c r="IJ94" s="22"/>
      <c r="IK94" s="22"/>
      <c r="IL94" s="22"/>
      <c r="IM94" s="22"/>
      <c r="IN94" s="22"/>
      <c r="IO94" s="22"/>
      <c r="IP94" s="22"/>
      <c r="IQ94" s="22"/>
      <c r="IR94" s="22"/>
      <c r="IS94" s="22"/>
      <c r="IT94" s="22"/>
      <c r="IU94" s="22"/>
      <c r="IV94" s="22"/>
    </row>
    <row r="95" spans="1:256" s="41" customFormat="1" ht="15" customHeight="1">
      <c r="A95" s="25" t="s">
        <v>1154</v>
      </c>
      <c r="B95" s="22"/>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c r="BH95" s="22"/>
      <c r="BI95" s="22"/>
      <c r="BJ95" s="22"/>
      <c r="BK95" s="22"/>
      <c r="BL95" s="22"/>
      <c r="BM95" s="22"/>
      <c r="BN95" s="22"/>
      <c r="BO95" s="22"/>
      <c r="BP95" s="22"/>
      <c r="BQ95" s="22"/>
      <c r="BR95" s="22"/>
      <c r="BS95" s="22"/>
      <c r="BT95" s="22"/>
      <c r="BU95" s="22"/>
      <c r="BV95" s="22"/>
      <c r="BW95" s="22"/>
      <c r="BX95" s="22"/>
      <c r="BY95" s="22"/>
      <c r="BZ95" s="22"/>
      <c r="CA95" s="22"/>
      <c r="CB95" s="22"/>
      <c r="CC95" s="22"/>
      <c r="CD95" s="22"/>
      <c r="CE95" s="22"/>
      <c r="CF95" s="22"/>
      <c r="CG95" s="22"/>
      <c r="CH95" s="22"/>
      <c r="CI95" s="22"/>
      <c r="CJ95" s="22"/>
      <c r="CK95" s="22"/>
      <c r="CL95" s="22"/>
      <c r="CM95" s="22"/>
      <c r="CN95" s="22"/>
      <c r="CO95" s="22"/>
      <c r="CP95" s="22"/>
      <c r="CQ95" s="22"/>
      <c r="CR95" s="22"/>
      <c r="CS95" s="22"/>
      <c r="CT95" s="22"/>
      <c r="CU95" s="22"/>
      <c r="CV95" s="22"/>
      <c r="CW95" s="22"/>
      <c r="CX95" s="22"/>
      <c r="CY95" s="22"/>
      <c r="CZ95" s="22"/>
      <c r="DA95" s="22"/>
      <c r="DB95" s="22"/>
      <c r="DC95" s="22"/>
      <c r="DD95" s="22"/>
      <c r="DE95" s="22"/>
      <c r="DF95" s="22"/>
      <c r="DG95" s="22"/>
      <c r="DH95" s="22"/>
      <c r="DI95" s="22"/>
      <c r="DJ95" s="22"/>
      <c r="DK95" s="22"/>
      <c r="DL95" s="22"/>
      <c r="DM95" s="22"/>
      <c r="DN95" s="22"/>
      <c r="DO95" s="22"/>
      <c r="DP95" s="22"/>
      <c r="DQ95" s="22"/>
      <c r="DR95" s="22"/>
      <c r="DS95" s="22"/>
      <c r="DT95" s="22"/>
      <c r="DU95" s="22"/>
      <c r="DV95" s="22"/>
      <c r="DW95" s="22"/>
      <c r="DX95" s="22"/>
      <c r="DY95" s="22"/>
      <c r="DZ95" s="22"/>
      <c r="EA95" s="22"/>
      <c r="EB95" s="22"/>
      <c r="EC95" s="22"/>
      <c r="ED95" s="22"/>
      <c r="EE95" s="22"/>
      <c r="EF95" s="22"/>
      <c r="EG95" s="22"/>
      <c r="EH95" s="22"/>
      <c r="EI95" s="22"/>
      <c r="EJ95" s="22"/>
      <c r="EK95" s="22"/>
      <c r="EL95" s="22"/>
      <c r="EM95" s="22"/>
      <c r="EN95" s="22"/>
      <c r="EO95" s="22"/>
      <c r="EP95" s="22"/>
      <c r="EQ95" s="22"/>
      <c r="ER95" s="22"/>
      <c r="ES95" s="22"/>
      <c r="ET95" s="22"/>
      <c r="EU95" s="22"/>
      <c r="EV95" s="22"/>
      <c r="EW95" s="22"/>
      <c r="EX95" s="22"/>
      <c r="EY95" s="22"/>
      <c r="EZ95" s="22"/>
      <c r="FA95" s="22"/>
      <c r="FB95" s="22"/>
      <c r="FC95" s="22"/>
      <c r="FD95" s="22"/>
      <c r="FE95" s="22"/>
      <c r="FF95" s="22"/>
      <c r="FG95" s="22"/>
      <c r="FH95" s="22"/>
      <c r="FI95" s="22"/>
      <c r="FJ95" s="22"/>
      <c r="FK95" s="22"/>
      <c r="FL95" s="22"/>
      <c r="FM95" s="22"/>
      <c r="FN95" s="22"/>
      <c r="FO95" s="22"/>
      <c r="FP95" s="22"/>
      <c r="FQ95" s="22"/>
      <c r="FR95" s="22"/>
      <c r="FS95" s="22"/>
      <c r="FT95" s="22"/>
      <c r="FU95" s="22"/>
      <c r="FV95" s="22"/>
      <c r="FW95" s="22"/>
      <c r="FX95" s="22"/>
      <c r="FY95" s="22"/>
      <c r="FZ95" s="22"/>
      <c r="GA95" s="22"/>
      <c r="GB95" s="22"/>
      <c r="GC95" s="22"/>
      <c r="GD95" s="22"/>
      <c r="GE95" s="22"/>
      <c r="GF95" s="22"/>
      <c r="GG95" s="22"/>
      <c r="GH95" s="22"/>
      <c r="GI95" s="22"/>
      <c r="GJ95" s="22"/>
      <c r="GK95" s="22"/>
      <c r="GL95" s="22"/>
      <c r="GM95" s="22"/>
      <c r="GN95" s="22"/>
      <c r="GO95" s="22"/>
      <c r="GP95" s="22"/>
      <c r="GQ95" s="22"/>
      <c r="GR95" s="22"/>
      <c r="GS95" s="22"/>
      <c r="GT95" s="22"/>
      <c r="GU95" s="22"/>
      <c r="GV95" s="22"/>
      <c r="GW95" s="22"/>
      <c r="GX95" s="22"/>
      <c r="GY95" s="22"/>
      <c r="GZ95" s="22"/>
      <c r="HA95" s="22"/>
      <c r="HB95" s="22"/>
      <c r="HC95" s="22"/>
      <c r="HD95" s="22"/>
      <c r="HE95" s="22"/>
      <c r="HF95" s="22"/>
      <c r="HG95" s="22"/>
      <c r="HH95" s="22"/>
      <c r="HI95" s="22"/>
      <c r="HJ95" s="22"/>
      <c r="HK95" s="22"/>
      <c r="HL95" s="22"/>
      <c r="HM95" s="22"/>
      <c r="HN95" s="22"/>
      <c r="HO95" s="22"/>
      <c r="HP95" s="22"/>
      <c r="HQ95" s="22"/>
      <c r="HR95" s="22"/>
      <c r="HS95" s="22"/>
      <c r="HT95" s="22"/>
      <c r="HU95" s="22"/>
      <c r="HV95" s="22"/>
      <c r="HW95" s="22"/>
      <c r="HX95" s="22"/>
      <c r="HY95" s="22"/>
      <c r="HZ95" s="22"/>
      <c r="IA95" s="22"/>
      <c r="IB95" s="22"/>
      <c r="IC95" s="22"/>
      <c r="ID95" s="22"/>
      <c r="IE95" s="22"/>
      <c r="IF95" s="22"/>
      <c r="IG95" s="22"/>
      <c r="IH95" s="22"/>
      <c r="II95" s="22"/>
      <c r="IJ95" s="22"/>
      <c r="IK95" s="22"/>
      <c r="IL95" s="22"/>
      <c r="IM95" s="22"/>
      <c r="IN95" s="22"/>
      <c r="IO95" s="22"/>
      <c r="IP95" s="22"/>
      <c r="IQ95" s="22"/>
      <c r="IR95" s="22"/>
      <c r="IS95" s="22"/>
      <c r="IT95" s="22"/>
      <c r="IU95" s="22"/>
      <c r="IV95" s="22"/>
    </row>
    <row r="96" spans="1:256" s="41" customFormat="1" ht="15" customHeight="1">
      <c r="A96" s="25" t="s">
        <v>1155</v>
      </c>
      <c r="B96" s="22"/>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c r="BH96" s="22"/>
      <c r="BI96" s="22"/>
      <c r="BJ96" s="22"/>
      <c r="BK96" s="22"/>
      <c r="BL96" s="22"/>
      <c r="BM96" s="22"/>
      <c r="BN96" s="22"/>
      <c r="BO96" s="22"/>
      <c r="BP96" s="22"/>
      <c r="BQ96" s="22"/>
      <c r="BR96" s="22"/>
      <c r="BS96" s="22"/>
      <c r="BT96" s="22"/>
      <c r="BU96" s="22"/>
      <c r="BV96" s="22"/>
      <c r="BW96" s="22"/>
      <c r="BX96" s="22"/>
      <c r="BY96" s="22"/>
      <c r="BZ96" s="22"/>
      <c r="CA96" s="22"/>
      <c r="CB96" s="22"/>
      <c r="CC96" s="22"/>
      <c r="CD96" s="22"/>
      <c r="CE96" s="22"/>
      <c r="CF96" s="22"/>
      <c r="CG96" s="22"/>
      <c r="CH96" s="22"/>
      <c r="CI96" s="22"/>
      <c r="CJ96" s="22"/>
      <c r="CK96" s="22"/>
      <c r="CL96" s="22"/>
      <c r="CM96" s="22"/>
      <c r="CN96" s="22"/>
      <c r="CO96" s="22"/>
      <c r="CP96" s="22"/>
      <c r="CQ96" s="22"/>
      <c r="CR96" s="22"/>
      <c r="CS96" s="22"/>
      <c r="CT96" s="22"/>
      <c r="CU96" s="22"/>
      <c r="CV96" s="22"/>
      <c r="CW96" s="22"/>
      <c r="CX96" s="22"/>
      <c r="CY96" s="22"/>
      <c r="CZ96" s="22"/>
      <c r="DA96" s="22"/>
      <c r="DB96" s="22"/>
      <c r="DC96" s="22"/>
      <c r="DD96" s="22"/>
      <c r="DE96" s="22"/>
      <c r="DF96" s="22"/>
      <c r="DG96" s="22"/>
      <c r="DH96" s="22"/>
      <c r="DI96" s="22"/>
      <c r="DJ96" s="22"/>
      <c r="DK96" s="22"/>
      <c r="DL96" s="22"/>
      <c r="DM96" s="22"/>
      <c r="DN96" s="22"/>
      <c r="DO96" s="22"/>
      <c r="DP96" s="22"/>
      <c r="DQ96" s="22"/>
      <c r="DR96" s="22"/>
      <c r="DS96" s="22"/>
      <c r="DT96" s="22"/>
      <c r="DU96" s="22"/>
      <c r="DV96" s="22"/>
      <c r="DW96" s="22"/>
      <c r="DX96" s="22"/>
      <c r="DY96" s="22"/>
      <c r="DZ96" s="22"/>
      <c r="EA96" s="22"/>
      <c r="EB96" s="22"/>
      <c r="EC96" s="22"/>
      <c r="ED96" s="22"/>
      <c r="EE96" s="22"/>
      <c r="EF96" s="22"/>
      <c r="EG96" s="22"/>
      <c r="EH96" s="22"/>
      <c r="EI96" s="22"/>
      <c r="EJ96" s="22"/>
      <c r="EK96" s="22"/>
      <c r="EL96" s="22"/>
      <c r="EM96" s="22"/>
      <c r="EN96" s="22"/>
      <c r="EO96" s="22"/>
      <c r="EP96" s="22"/>
      <c r="EQ96" s="22"/>
      <c r="ER96" s="22"/>
      <c r="ES96" s="22"/>
      <c r="ET96" s="22"/>
      <c r="EU96" s="22"/>
      <c r="EV96" s="22"/>
      <c r="EW96" s="22"/>
      <c r="EX96" s="22"/>
      <c r="EY96" s="22"/>
      <c r="EZ96" s="22"/>
      <c r="FA96" s="22"/>
      <c r="FB96" s="22"/>
      <c r="FC96" s="22"/>
      <c r="FD96" s="22"/>
      <c r="FE96" s="22"/>
      <c r="FF96" s="22"/>
      <c r="FG96" s="22"/>
      <c r="FH96" s="22"/>
      <c r="FI96" s="22"/>
      <c r="FJ96" s="22"/>
      <c r="FK96" s="22"/>
      <c r="FL96" s="22"/>
      <c r="FM96" s="22"/>
      <c r="FN96" s="22"/>
      <c r="FO96" s="22"/>
      <c r="FP96" s="22"/>
      <c r="FQ96" s="22"/>
      <c r="FR96" s="22"/>
      <c r="FS96" s="22"/>
      <c r="FT96" s="22"/>
      <c r="FU96" s="22"/>
      <c r="FV96" s="22"/>
      <c r="FW96" s="22"/>
      <c r="FX96" s="22"/>
      <c r="FY96" s="22"/>
      <c r="FZ96" s="22"/>
      <c r="GA96" s="22"/>
      <c r="GB96" s="22"/>
      <c r="GC96" s="22"/>
      <c r="GD96" s="22"/>
      <c r="GE96" s="22"/>
      <c r="GF96" s="22"/>
      <c r="GG96" s="22"/>
      <c r="GH96" s="22"/>
      <c r="GI96" s="22"/>
      <c r="GJ96" s="22"/>
      <c r="GK96" s="22"/>
      <c r="GL96" s="22"/>
      <c r="GM96" s="22"/>
      <c r="GN96" s="22"/>
      <c r="GO96" s="22"/>
      <c r="GP96" s="22"/>
      <c r="GQ96" s="22"/>
      <c r="GR96" s="22"/>
      <c r="GS96" s="22"/>
      <c r="GT96" s="22"/>
      <c r="GU96" s="22"/>
      <c r="GV96" s="22"/>
      <c r="GW96" s="22"/>
      <c r="GX96" s="22"/>
      <c r="GY96" s="22"/>
      <c r="GZ96" s="22"/>
      <c r="HA96" s="22"/>
      <c r="HB96" s="22"/>
      <c r="HC96" s="22"/>
      <c r="HD96" s="22"/>
      <c r="HE96" s="22"/>
      <c r="HF96" s="22"/>
      <c r="HG96" s="22"/>
      <c r="HH96" s="22"/>
      <c r="HI96" s="22"/>
      <c r="HJ96" s="22"/>
      <c r="HK96" s="22"/>
      <c r="HL96" s="22"/>
      <c r="HM96" s="22"/>
      <c r="HN96" s="22"/>
      <c r="HO96" s="22"/>
      <c r="HP96" s="22"/>
      <c r="HQ96" s="22"/>
      <c r="HR96" s="22"/>
      <c r="HS96" s="22"/>
      <c r="HT96" s="22"/>
      <c r="HU96" s="22"/>
      <c r="HV96" s="22"/>
      <c r="HW96" s="22"/>
      <c r="HX96" s="22"/>
      <c r="HY96" s="22"/>
      <c r="HZ96" s="22"/>
      <c r="IA96" s="22"/>
      <c r="IB96" s="22"/>
      <c r="IC96" s="22"/>
      <c r="ID96" s="22"/>
      <c r="IE96" s="22"/>
      <c r="IF96" s="22"/>
      <c r="IG96" s="22"/>
      <c r="IH96" s="22"/>
      <c r="II96" s="22"/>
      <c r="IJ96" s="22"/>
      <c r="IK96" s="22"/>
      <c r="IL96" s="22"/>
      <c r="IM96" s="22"/>
      <c r="IN96" s="22"/>
      <c r="IO96" s="22"/>
      <c r="IP96" s="22"/>
      <c r="IQ96" s="22"/>
      <c r="IR96" s="22"/>
      <c r="IS96" s="22"/>
      <c r="IT96" s="22"/>
      <c r="IU96" s="22"/>
      <c r="IV96" s="22"/>
    </row>
    <row r="97" spans="1:256" s="26" customFormat="1" ht="15" customHeight="1">
      <c r="A97" s="26" t="s">
        <v>1156</v>
      </c>
    </row>
    <row r="98" spans="1:256" s="41" customFormat="1" ht="15" customHeight="1">
      <c r="A98" s="25" t="s">
        <v>1157</v>
      </c>
      <c r="B98" s="22"/>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c r="BH98" s="22"/>
      <c r="BI98" s="22"/>
      <c r="BJ98" s="22"/>
      <c r="BK98" s="22"/>
      <c r="BL98" s="22"/>
      <c r="BM98" s="22"/>
      <c r="BN98" s="22"/>
      <c r="BO98" s="22"/>
      <c r="BP98" s="22"/>
      <c r="BQ98" s="22"/>
      <c r="BR98" s="22"/>
      <c r="BS98" s="22"/>
      <c r="BT98" s="22"/>
      <c r="BU98" s="22"/>
      <c r="BV98" s="22"/>
      <c r="BW98" s="22"/>
      <c r="BX98" s="22"/>
      <c r="BY98" s="22"/>
      <c r="BZ98" s="22"/>
      <c r="CA98" s="22"/>
      <c r="CB98" s="22"/>
      <c r="CC98" s="22"/>
      <c r="CD98" s="22"/>
      <c r="CE98" s="22"/>
      <c r="CF98" s="22"/>
      <c r="CG98" s="22"/>
      <c r="CH98" s="22"/>
      <c r="CI98" s="22"/>
      <c r="CJ98" s="22"/>
      <c r="CK98" s="22"/>
      <c r="CL98" s="22"/>
      <c r="CM98" s="22"/>
      <c r="CN98" s="22"/>
      <c r="CO98" s="22"/>
      <c r="CP98" s="22"/>
      <c r="CQ98" s="22"/>
      <c r="CR98" s="22"/>
      <c r="CS98" s="22"/>
      <c r="CT98" s="22"/>
      <c r="CU98" s="22"/>
      <c r="CV98" s="22"/>
      <c r="CW98" s="22"/>
      <c r="CX98" s="22"/>
      <c r="CY98" s="22"/>
      <c r="CZ98" s="22"/>
      <c r="DA98" s="22"/>
      <c r="DB98" s="22"/>
      <c r="DC98" s="22"/>
      <c r="DD98" s="22"/>
      <c r="DE98" s="22"/>
      <c r="DF98" s="22"/>
      <c r="DG98" s="22"/>
      <c r="DH98" s="22"/>
      <c r="DI98" s="22"/>
      <c r="DJ98" s="22"/>
      <c r="DK98" s="22"/>
      <c r="DL98" s="22"/>
      <c r="DM98" s="22"/>
      <c r="DN98" s="22"/>
      <c r="DO98" s="22"/>
      <c r="DP98" s="22"/>
      <c r="DQ98" s="22"/>
      <c r="DR98" s="22"/>
      <c r="DS98" s="22"/>
      <c r="DT98" s="22"/>
      <c r="DU98" s="22"/>
      <c r="DV98" s="22"/>
      <c r="DW98" s="22"/>
      <c r="DX98" s="22"/>
      <c r="DY98" s="22"/>
      <c r="DZ98" s="22"/>
      <c r="EA98" s="22"/>
      <c r="EB98" s="22"/>
      <c r="EC98" s="22"/>
      <c r="ED98" s="22"/>
      <c r="EE98" s="22"/>
      <c r="EF98" s="22"/>
      <c r="EG98" s="22"/>
      <c r="EH98" s="22"/>
      <c r="EI98" s="22"/>
      <c r="EJ98" s="22"/>
      <c r="EK98" s="22"/>
      <c r="EL98" s="22"/>
      <c r="EM98" s="22"/>
      <c r="EN98" s="22"/>
      <c r="EO98" s="22"/>
      <c r="EP98" s="22"/>
      <c r="EQ98" s="22"/>
      <c r="ER98" s="22"/>
      <c r="ES98" s="22"/>
      <c r="ET98" s="22"/>
      <c r="EU98" s="22"/>
      <c r="EV98" s="22"/>
      <c r="EW98" s="22"/>
      <c r="EX98" s="22"/>
      <c r="EY98" s="22"/>
      <c r="EZ98" s="22"/>
      <c r="FA98" s="22"/>
      <c r="FB98" s="22"/>
      <c r="FC98" s="22"/>
      <c r="FD98" s="22"/>
      <c r="FE98" s="22"/>
      <c r="FF98" s="22"/>
      <c r="FG98" s="22"/>
      <c r="FH98" s="22"/>
      <c r="FI98" s="22"/>
      <c r="FJ98" s="22"/>
      <c r="FK98" s="22"/>
      <c r="FL98" s="22"/>
      <c r="FM98" s="22"/>
      <c r="FN98" s="22"/>
      <c r="FO98" s="22"/>
      <c r="FP98" s="22"/>
      <c r="FQ98" s="22"/>
      <c r="FR98" s="22"/>
      <c r="FS98" s="22"/>
      <c r="FT98" s="22"/>
      <c r="FU98" s="22"/>
      <c r="FV98" s="22"/>
      <c r="FW98" s="22"/>
      <c r="FX98" s="22"/>
      <c r="FY98" s="22"/>
      <c r="FZ98" s="22"/>
      <c r="GA98" s="22"/>
      <c r="GB98" s="22"/>
      <c r="GC98" s="22"/>
      <c r="GD98" s="22"/>
      <c r="GE98" s="22"/>
      <c r="GF98" s="22"/>
      <c r="GG98" s="22"/>
      <c r="GH98" s="22"/>
      <c r="GI98" s="22"/>
      <c r="GJ98" s="22"/>
      <c r="GK98" s="22"/>
      <c r="GL98" s="22"/>
      <c r="GM98" s="22"/>
      <c r="GN98" s="22"/>
      <c r="GO98" s="22"/>
      <c r="GP98" s="22"/>
      <c r="GQ98" s="22"/>
      <c r="GR98" s="22"/>
      <c r="GS98" s="22"/>
      <c r="GT98" s="22"/>
      <c r="GU98" s="22"/>
      <c r="GV98" s="22"/>
      <c r="GW98" s="22"/>
      <c r="GX98" s="22"/>
      <c r="GY98" s="22"/>
      <c r="GZ98" s="22"/>
      <c r="HA98" s="22"/>
      <c r="HB98" s="22"/>
      <c r="HC98" s="22"/>
      <c r="HD98" s="22"/>
      <c r="HE98" s="22"/>
      <c r="HF98" s="22"/>
      <c r="HG98" s="22"/>
      <c r="HH98" s="22"/>
      <c r="HI98" s="22"/>
      <c r="HJ98" s="22"/>
      <c r="HK98" s="22"/>
      <c r="HL98" s="22"/>
      <c r="HM98" s="22"/>
      <c r="HN98" s="22"/>
      <c r="HO98" s="22"/>
      <c r="HP98" s="22"/>
      <c r="HQ98" s="22"/>
      <c r="HR98" s="22"/>
      <c r="HS98" s="22"/>
      <c r="HT98" s="22"/>
      <c r="HU98" s="22"/>
      <c r="HV98" s="22"/>
      <c r="HW98" s="22"/>
      <c r="HX98" s="22"/>
      <c r="HY98" s="22"/>
      <c r="HZ98" s="22"/>
      <c r="IA98" s="22"/>
      <c r="IB98" s="22"/>
      <c r="IC98" s="22"/>
      <c r="ID98" s="22"/>
      <c r="IE98" s="22"/>
      <c r="IF98" s="22"/>
      <c r="IG98" s="22"/>
      <c r="IH98" s="22"/>
      <c r="II98" s="22"/>
      <c r="IJ98" s="22"/>
      <c r="IK98" s="22"/>
      <c r="IL98" s="22"/>
      <c r="IM98" s="22"/>
      <c r="IN98" s="22"/>
      <c r="IO98" s="22"/>
      <c r="IP98" s="22"/>
      <c r="IQ98" s="22"/>
      <c r="IR98" s="22"/>
      <c r="IS98" s="22"/>
      <c r="IT98" s="22"/>
      <c r="IU98" s="22"/>
      <c r="IV98" s="22"/>
    </row>
    <row r="99" spans="1:256" s="41" customFormat="1" ht="15">
      <c r="A99" s="25" t="s">
        <v>1158</v>
      </c>
      <c r="B99" s="22"/>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c r="BH99" s="22"/>
      <c r="BI99" s="22"/>
      <c r="BJ99" s="22"/>
      <c r="BK99" s="22"/>
      <c r="BL99" s="22"/>
      <c r="BM99" s="22"/>
      <c r="BN99" s="22"/>
      <c r="BO99" s="22"/>
      <c r="BP99" s="22"/>
      <c r="BQ99" s="22"/>
      <c r="BR99" s="22"/>
      <c r="BS99" s="22"/>
      <c r="BT99" s="22"/>
      <c r="BU99" s="22"/>
      <c r="BV99" s="22"/>
      <c r="BW99" s="22"/>
      <c r="BX99" s="22"/>
      <c r="BY99" s="22"/>
      <c r="BZ99" s="22"/>
      <c r="CA99" s="22"/>
      <c r="CB99" s="22"/>
      <c r="CC99" s="22"/>
      <c r="CD99" s="22"/>
      <c r="CE99" s="22"/>
      <c r="CF99" s="22"/>
      <c r="CG99" s="22"/>
      <c r="CH99" s="22"/>
      <c r="CI99" s="22"/>
      <c r="CJ99" s="22"/>
      <c r="CK99" s="22"/>
      <c r="CL99" s="22"/>
      <c r="CM99" s="22"/>
      <c r="CN99" s="22"/>
      <c r="CO99" s="22"/>
      <c r="CP99" s="22"/>
      <c r="CQ99" s="22"/>
      <c r="CR99" s="22"/>
      <c r="CS99" s="22"/>
      <c r="CT99" s="22"/>
      <c r="CU99" s="22"/>
      <c r="CV99" s="22"/>
      <c r="CW99" s="22"/>
      <c r="CX99" s="22"/>
      <c r="CY99" s="22"/>
      <c r="CZ99" s="22"/>
      <c r="DA99" s="22"/>
      <c r="DB99" s="22"/>
      <c r="DC99" s="22"/>
      <c r="DD99" s="22"/>
      <c r="DE99" s="22"/>
      <c r="DF99" s="22"/>
      <c r="DG99" s="22"/>
      <c r="DH99" s="22"/>
      <c r="DI99" s="22"/>
      <c r="DJ99" s="22"/>
      <c r="DK99" s="22"/>
      <c r="DL99" s="22"/>
      <c r="DM99" s="22"/>
      <c r="DN99" s="22"/>
      <c r="DO99" s="22"/>
      <c r="DP99" s="22"/>
      <c r="DQ99" s="22"/>
      <c r="DR99" s="22"/>
      <c r="DS99" s="22"/>
      <c r="DT99" s="22"/>
      <c r="DU99" s="22"/>
      <c r="DV99" s="22"/>
      <c r="DW99" s="22"/>
      <c r="DX99" s="22"/>
      <c r="DY99" s="22"/>
      <c r="DZ99" s="22"/>
      <c r="EA99" s="22"/>
      <c r="EB99" s="22"/>
      <c r="EC99" s="22"/>
      <c r="ED99" s="22"/>
      <c r="EE99" s="22"/>
      <c r="EF99" s="22"/>
      <c r="EG99" s="22"/>
      <c r="EH99" s="22"/>
      <c r="EI99" s="22"/>
      <c r="EJ99" s="22"/>
      <c r="EK99" s="22"/>
      <c r="EL99" s="22"/>
      <c r="EM99" s="22"/>
      <c r="EN99" s="22"/>
      <c r="EO99" s="22"/>
      <c r="EP99" s="22"/>
      <c r="EQ99" s="22"/>
      <c r="ER99" s="22"/>
      <c r="ES99" s="22"/>
      <c r="ET99" s="22"/>
      <c r="EU99" s="22"/>
      <c r="EV99" s="22"/>
      <c r="EW99" s="22"/>
      <c r="EX99" s="22"/>
      <c r="EY99" s="22"/>
      <c r="EZ99" s="22"/>
      <c r="FA99" s="22"/>
      <c r="FB99" s="22"/>
      <c r="FC99" s="22"/>
      <c r="FD99" s="22"/>
      <c r="FE99" s="22"/>
      <c r="FF99" s="22"/>
      <c r="FG99" s="22"/>
      <c r="FH99" s="22"/>
      <c r="FI99" s="22"/>
      <c r="FJ99" s="22"/>
      <c r="FK99" s="22"/>
      <c r="FL99" s="22"/>
      <c r="FM99" s="22"/>
      <c r="FN99" s="22"/>
      <c r="FO99" s="22"/>
      <c r="FP99" s="22"/>
      <c r="FQ99" s="22"/>
      <c r="FR99" s="22"/>
      <c r="FS99" s="22"/>
      <c r="FT99" s="22"/>
      <c r="FU99" s="22"/>
      <c r="FV99" s="22"/>
      <c r="FW99" s="22"/>
      <c r="FX99" s="22"/>
      <c r="FY99" s="22"/>
      <c r="FZ99" s="22"/>
      <c r="GA99" s="22"/>
      <c r="GB99" s="22"/>
      <c r="GC99" s="22"/>
      <c r="GD99" s="22"/>
      <c r="GE99" s="22"/>
      <c r="GF99" s="22"/>
      <c r="GG99" s="22"/>
      <c r="GH99" s="22"/>
      <c r="GI99" s="22"/>
      <c r="GJ99" s="22"/>
      <c r="GK99" s="22"/>
      <c r="GL99" s="22"/>
      <c r="GM99" s="22"/>
      <c r="GN99" s="22"/>
      <c r="GO99" s="22"/>
      <c r="GP99" s="22"/>
      <c r="GQ99" s="22"/>
      <c r="GR99" s="22"/>
      <c r="GS99" s="22"/>
      <c r="GT99" s="22"/>
      <c r="GU99" s="22"/>
      <c r="GV99" s="22"/>
      <c r="GW99" s="22"/>
      <c r="GX99" s="22"/>
      <c r="GY99" s="22"/>
      <c r="GZ99" s="22"/>
      <c r="HA99" s="22"/>
      <c r="HB99" s="22"/>
      <c r="HC99" s="22"/>
      <c r="HD99" s="22"/>
      <c r="HE99" s="22"/>
      <c r="HF99" s="22"/>
      <c r="HG99" s="22"/>
      <c r="HH99" s="22"/>
      <c r="HI99" s="22"/>
      <c r="HJ99" s="22"/>
      <c r="HK99" s="22"/>
      <c r="HL99" s="22"/>
      <c r="HM99" s="22"/>
      <c r="HN99" s="22"/>
      <c r="HO99" s="22"/>
      <c r="HP99" s="22"/>
      <c r="HQ99" s="22"/>
      <c r="HR99" s="22"/>
      <c r="HS99" s="22"/>
      <c r="HT99" s="22"/>
      <c r="HU99" s="22"/>
      <c r="HV99" s="22"/>
      <c r="HW99" s="22"/>
      <c r="HX99" s="22"/>
      <c r="HY99" s="22"/>
      <c r="HZ99" s="22"/>
      <c r="IA99" s="22"/>
      <c r="IB99" s="22"/>
      <c r="IC99" s="22"/>
      <c r="ID99" s="22"/>
      <c r="IE99" s="22"/>
      <c r="IF99" s="22"/>
      <c r="IG99" s="22"/>
      <c r="IH99" s="22"/>
      <c r="II99" s="22"/>
      <c r="IJ99" s="22"/>
      <c r="IK99" s="22"/>
      <c r="IL99" s="22"/>
      <c r="IM99" s="22"/>
      <c r="IN99" s="22"/>
      <c r="IO99" s="22"/>
      <c r="IP99" s="22"/>
      <c r="IQ99" s="22"/>
      <c r="IR99" s="22"/>
      <c r="IS99" s="22"/>
      <c r="IT99" s="22"/>
      <c r="IU99" s="22"/>
      <c r="IV99" s="22"/>
    </row>
    <row r="100" spans="1:256" s="41" customFormat="1" ht="15" customHeight="1">
      <c r="A100" s="25" t="s">
        <v>1159</v>
      </c>
      <c r="B100" s="22"/>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c r="BH100" s="22"/>
      <c r="BI100" s="22"/>
      <c r="BJ100" s="22"/>
      <c r="BK100" s="22"/>
      <c r="BL100" s="22"/>
      <c r="BM100" s="22"/>
      <c r="BN100" s="22"/>
      <c r="BO100" s="22"/>
      <c r="BP100" s="22"/>
      <c r="BQ100" s="22"/>
      <c r="BR100" s="22"/>
      <c r="BS100" s="22"/>
      <c r="BT100" s="22"/>
      <c r="BU100" s="22"/>
      <c r="BV100" s="22"/>
      <c r="BW100" s="22"/>
      <c r="BX100" s="22"/>
      <c r="BY100" s="22"/>
      <c r="BZ100" s="22"/>
      <c r="CA100" s="22"/>
      <c r="CB100" s="22"/>
      <c r="CC100" s="22"/>
      <c r="CD100" s="22"/>
      <c r="CE100" s="22"/>
      <c r="CF100" s="22"/>
      <c r="CG100" s="22"/>
      <c r="CH100" s="22"/>
      <c r="CI100" s="22"/>
      <c r="CJ100" s="22"/>
      <c r="CK100" s="22"/>
      <c r="CL100" s="22"/>
      <c r="CM100" s="22"/>
      <c r="CN100" s="22"/>
      <c r="CO100" s="22"/>
      <c r="CP100" s="22"/>
      <c r="CQ100" s="22"/>
      <c r="CR100" s="22"/>
      <c r="CS100" s="22"/>
      <c r="CT100" s="22"/>
      <c r="CU100" s="22"/>
      <c r="CV100" s="22"/>
      <c r="CW100" s="22"/>
      <c r="CX100" s="22"/>
      <c r="CY100" s="22"/>
      <c r="CZ100" s="22"/>
      <c r="DA100" s="22"/>
      <c r="DB100" s="22"/>
      <c r="DC100" s="22"/>
      <c r="DD100" s="22"/>
      <c r="DE100" s="22"/>
      <c r="DF100" s="22"/>
      <c r="DG100" s="22"/>
      <c r="DH100" s="22"/>
      <c r="DI100" s="22"/>
      <c r="DJ100" s="22"/>
      <c r="DK100" s="22"/>
      <c r="DL100" s="22"/>
      <c r="DM100" s="22"/>
      <c r="DN100" s="22"/>
      <c r="DO100" s="22"/>
      <c r="DP100" s="22"/>
      <c r="DQ100" s="22"/>
      <c r="DR100" s="22"/>
      <c r="DS100" s="22"/>
      <c r="DT100" s="22"/>
      <c r="DU100" s="22"/>
      <c r="DV100" s="22"/>
      <c r="DW100" s="22"/>
      <c r="DX100" s="22"/>
      <c r="DY100" s="22"/>
      <c r="DZ100" s="22"/>
      <c r="EA100" s="22"/>
      <c r="EB100" s="22"/>
      <c r="EC100" s="22"/>
      <c r="ED100" s="22"/>
      <c r="EE100" s="22"/>
      <c r="EF100" s="22"/>
      <c r="EG100" s="22"/>
      <c r="EH100" s="22"/>
      <c r="EI100" s="22"/>
      <c r="EJ100" s="22"/>
      <c r="EK100" s="22"/>
      <c r="EL100" s="22"/>
      <c r="EM100" s="22"/>
      <c r="EN100" s="22"/>
      <c r="EO100" s="22"/>
      <c r="EP100" s="22"/>
      <c r="EQ100" s="22"/>
      <c r="ER100" s="22"/>
      <c r="ES100" s="22"/>
      <c r="ET100" s="22"/>
      <c r="EU100" s="22"/>
      <c r="EV100" s="22"/>
      <c r="EW100" s="22"/>
      <c r="EX100" s="22"/>
      <c r="EY100" s="22"/>
      <c r="EZ100" s="22"/>
      <c r="FA100" s="22"/>
      <c r="FB100" s="22"/>
      <c r="FC100" s="22"/>
      <c r="FD100" s="22"/>
      <c r="FE100" s="22"/>
      <c r="FF100" s="22"/>
      <c r="FG100" s="22"/>
      <c r="FH100" s="22"/>
      <c r="FI100" s="22"/>
      <c r="FJ100" s="22"/>
      <c r="FK100" s="22"/>
      <c r="FL100" s="22"/>
      <c r="FM100" s="22"/>
      <c r="FN100" s="22"/>
      <c r="FO100" s="22"/>
      <c r="FP100" s="22"/>
      <c r="FQ100" s="22"/>
      <c r="FR100" s="22"/>
      <c r="FS100" s="22"/>
      <c r="FT100" s="22"/>
      <c r="FU100" s="22"/>
      <c r="FV100" s="22"/>
      <c r="FW100" s="22"/>
      <c r="FX100" s="22"/>
      <c r="FY100" s="22"/>
      <c r="FZ100" s="22"/>
      <c r="GA100" s="22"/>
      <c r="GB100" s="22"/>
      <c r="GC100" s="22"/>
      <c r="GD100" s="22"/>
      <c r="GE100" s="22"/>
      <c r="GF100" s="22"/>
      <c r="GG100" s="22"/>
      <c r="GH100" s="22"/>
      <c r="GI100" s="22"/>
      <c r="GJ100" s="22"/>
      <c r="GK100" s="22"/>
      <c r="GL100" s="22"/>
      <c r="GM100" s="22"/>
      <c r="GN100" s="22"/>
      <c r="GO100" s="22"/>
      <c r="GP100" s="22"/>
      <c r="GQ100" s="22"/>
      <c r="GR100" s="22"/>
      <c r="GS100" s="22"/>
      <c r="GT100" s="22"/>
      <c r="GU100" s="22"/>
      <c r="GV100" s="22"/>
      <c r="GW100" s="22"/>
      <c r="GX100" s="22"/>
      <c r="GY100" s="22"/>
      <c r="GZ100" s="22"/>
      <c r="HA100" s="22"/>
      <c r="HB100" s="22"/>
      <c r="HC100" s="22"/>
      <c r="HD100" s="22"/>
      <c r="HE100" s="22"/>
      <c r="HF100" s="22"/>
      <c r="HG100" s="22"/>
      <c r="HH100" s="22"/>
      <c r="HI100" s="22"/>
      <c r="HJ100" s="22"/>
      <c r="HK100" s="22"/>
      <c r="HL100" s="22"/>
      <c r="HM100" s="22"/>
      <c r="HN100" s="22"/>
      <c r="HO100" s="22"/>
      <c r="HP100" s="22"/>
      <c r="HQ100" s="22"/>
      <c r="HR100" s="22"/>
      <c r="HS100" s="22"/>
      <c r="HT100" s="22"/>
      <c r="HU100" s="22"/>
      <c r="HV100" s="22"/>
      <c r="HW100" s="22"/>
      <c r="HX100" s="22"/>
      <c r="HY100" s="22"/>
      <c r="HZ100" s="22"/>
      <c r="IA100" s="22"/>
      <c r="IB100" s="22"/>
      <c r="IC100" s="22"/>
      <c r="ID100" s="22"/>
      <c r="IE100" s="22"/>
      <c r="IF100" s="22"/>
      <c r="IG100" s="22"/>
      <c r="IH100" s="22"/>
      <c r="II100" s="22"/>
      <c r="IJ100" s="22"/>
      <c r="IK100" s="22"/>
      <c r="IL100" s="22"/>
      <c r="IM100" s="22"/>
      <c r="IN100" s="22"/>
      <c r="IO100" s="22"/>
      <c r="IP100" s="22"/>
      <c r="IQ100" s="22"/>
      <c r="IR100" s="22"/>
      <c r="IS100" s="22"/>
      <c r="IT100" s="22"/>
      <c r="IU100" s="22"/>
      <c r="IV100" s="22"/>
    </row>
    <row r="101" spans="1:256" s="41" customFormat="1" ht="15" customHeight="1">
      <c r="A101" s="25" t="s">
        <v>1160</v>
      </c>
      <c r="B101" s="22"/>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c r="BH101" s="22"/>
      <c r="BI101" s="22"/>
      <c r="BJ101" s="22"/>
      <c r="BK101" s="22"/>
      <c r="BL101" s="22"/>
      <c r="BM101" s="22"/>
      <c r="BN101" s="22"/>
      <c r="BO101" s="22"/>
      <c r="BP101" s="22"/>
      <c r="BQ101" s="22"/>
      <c r="BR101" s="22"/>
      <c r="BS101" s="22"/>
      <c r="BT101" s="22"/>
      <c r="BU101" s="22"/>
      <c r="BV101" s="22"/>
      <c r="BW101" s="22"/>
      <c r="BX101" s="22"/>
      <c r="BY101" s="22"/>
      <c r="BZ101" s="22"/>
      <c r="CA101" s="22"/>
      <c r="CB101" s="22"/>
      <c r="CC101" s="22"/>
      <c r="CD101" s="22"/>
      <c r="CE101" s="22"/>
      <c r="CF101" s="22"/>
      <c r="CG101" s="22"/>
      <c r="CH101" s="22"/>
      <c r="CI101" s="22"/>
      <c r="CJ101" s="22"/>
      <c r="CK101" s="22"/>
      <c r="CL101" s="22"/>
      <c r="CM101" s="22"/>
      <c r="CN101" s="22"/>
      <c r="CO101" s="22"/>
      <c r="CP101" s="22"/>
      <c r="CQ101" s="22"/>
      <c r="CR101" s="22"/>
      <c r="CS101" s="22"/>
      <c r="CT101" s="22"/>
      <c r="CU101" s="22"/>
      <c r="CV101" s="22"/>
      <c r="CW101" s="22"/>
      <c r="CX101" s="22"/>
      <c r="CY101" s="22"/>
      <c r="CZ101" s="22"/>
      <c r="DA101" s="22"/>
      <c r="DB101" s="22"/>
      <c r="DC101" s="22"/>
      <c r="DD101" s="22"/>
      <c r="DE101" s="22"/>
      <c r="DF101" s="22"/>
      <c r="DG101" s="22"/>
      <c r="DH101" s="22"/>
      <c r="DI101" s="22"/>
      <c r="DJ101" s="22"/>
      <c r="DK101" s="22"/>
      <c r="DL101" s="22"/>
      <c r="DM101" s="22"/>
      <c r="DN101" s="22"/>
      <c r="DO101" s="22"/>
      <c r="DP101" s="22"/>
      <c r="DQ101" s="22"/>
      <c r="DR101" s="22"/>
      <c r="DS101" s="22"/>
      <c r="DT101" s="22"/>
      <c r="DU101" s="22"/>
      <c r="DV101" s="22"/>
      <c r="DW101" s="22"/>
      <c r="DX101" s="22"/>
      <c r="DY101" s="22"/>
      <c r="DZ101" s="22"/>
      <c r="EA101" s="22"/>
      <c r="EB101" s="22"/>
      <c r="EC101" s="22"/>
      <c r="ED101" s="22"/>
      <c r="EE101" s="22"/>
      <c r="EF101" s="22"/>
      <c r="EG101" s="22"/>
      <c r="EH101" s="22"/>
      <c r="EI101" s="22"/>
      <c r="EJ101" s="22"/>
      <c r="EK101" s="22"/>
      <c r="EL101" s="22"/>
      <c r="EM101" s="22"/>
      <c r="EN101" s="22"/>
      <c r="EO101" s="22"/>
      <c r="EP101" s="22"/>
      <c r="EQ101" s="22"/>
      <c r="ER101" s="22"/>
      <c r="ES101" s="22"/>
      <c r="ET101" s="22"/>
      <c r="EU101" s="22"/>
      <c r="EV101" s="22"/>
      <c r="EW101" s="22"/>
      <c r="EX101" s="22"/>
      <c r="EY101" s="22"/>
      <c r="EZ101" s="22"/>
      <c r="FA101" s="22"/>
      <c r="FB101" s="22"/>
      <c r="FC101" s="22"/>
      <c r="FD101" s="22"/>
      <c r="FE101" s="22"/>
      <c r="FF101" s="22"/>
      <c r="FG101" s="22"/>
      <c r="FH101" s="22"/>
      <c r="FI101" s="22"/>
      <c r="FJ101" s="22"/>
      <c r="FK101" s="22"/>
      <c r="FL101" s="22"/>
      <c r="FM101" s="22"/>
      <c r="FN101" s="22"/>
      <c r="FO101" s="22"/>
      <c r="FP101" s="22"/>
      <c r="FQ101" s="22"/>
      <c r="FR101" s="22"/>
      <c r="FS101" s="22"/>
      <c r="FT101" s="22"/>
      <c r="FU101" s="22"/>
      <c r="FV101" s="22"/>
      <c r="FW101" s="22"/>
      <c r="FX101" s="22"/>
      <c r="FY101" s="22"/>
      <c r="FZ101" s="22"/>
      <c r="GA101" s="22"/>
      <c r="GB101" s="22"/>
      <c r="GC101" s="22"/>
      <c r="GD101" s="22"/>
      <c r="GE101" s="22"/>
      <c r="GF101" s="22"/>
      <c r="GG101" s="22"/>
      <c r="GH101" s="22"/>
      <c r="GI101" s="22"/>
      <c r="GJ101" s="22"/>
      <c r="GK101" s="22"/>
      <c r="GL101" s="22"/>
      <c r="GM101" s="22"/>
      <c r="GN101" s="22"/>
      <c r="GO101" s="22"/>
      <c r="GP101" s="22"/>
      <c r="GQ101" s="22"/>
      <c r="GR101" s="22"/>
      <c r="GS101" s="22"/>
      <c r="GT101" s="22"/>
      <c r="GU101" s="22"/>
      <c r="GV101" s="22"/>
      <c r="GW101" s="22"/>
      <c r="GX101" s="22"/>
      <c r="GY101" s="22"/>
      <c r="GZ101" s="22"/>
      <c r="HA101" s="22"/>
      <c r="HB101" s="22"/>
      <c r="HC101" s="22"/>
      <c r="HD101" s="22"/>
      <c r="HE101" s="22"/>
      <c r="HF101" s="22"/>
      <c r="HG101" s="22"/>
      <c r="HH101" s="22"/>
      <c r="HI101" s="22"/>
      <c r="HJ101" s="22"/>
      <c r="HK101" s="22"/>
      <c r="HL101" s="22"/>
      <c r="HM101" s="22"/>
      <c r="HN101" s="22"/>
      <c r="HO101" s="22"/>
      <c r="HP101" s="22"/>
      <c r="HQ101" s="22"/>
      <c r="HR101" s="22"/>
      <c r="HS101" s="22"/>
      <c r="HT101" s="22"/>
      <c r="HU101" s="22"/>
      <c r="HV101" s="22"/>
      <c r="HW101" s="22"/>
      <c r="HX101" s="22"/>
      <c r="HY101" s="22"/>
      <c r="HZ101" s="22"/>
      <c r="IA101" s="22"/>
      <c r="IB101" s="22"/>
      <c r="IC101" s="22"/>
      <c r="ID101" s="22"/>
      <c r="IE101" s="22"/>
      <c r="IF101" s="22"/>
      <c r="IG101" s="22"/>
      <c r="IH101" s="22"/>
      <c r="II101" s="22"/>
      <c r="IJ101" s="22"/>
      <c r="IK101" s="22"/>
      <c r="IL101" s="22"/>
      <c r="IM101" s="22"/>
      <c r="IN101" s="22"/>
      <c r="IO101" s="22"/>
      <c r="IP101" s="22"/>
      <c r="IQ101" s="22"/>
      <c r="IR101" s="22"/>
      <c r="IS101" s="22"/>
      <c r="IT101" s="22"/>
      <c r="IU101" s="22"/>
      <c r="IV101" s="22"/>
    </row>
    <row r="102" spans="1:256" s="41" customFormat="1" ht="15" customHeight="1">
      <c r="A102" s="25" t="s">
        <v>1161</v>
      </c>
      <c r="B102" s="22"/>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c r="BH102" s="22"/>
      <c r="BI102" s="22"/>
      <c r="BJ102" s="22"/>
      <c r="BK102" s="22"/>
      <c r="BL102" s="22"/>
      <c r="BM102" s="22"/>
      <c r="BN102" s="22"/>
      <c r="BO102" s="22"/>
      <c r="BP102" s="22"/>
      <c r="BQ102" s="22"/>
      <c r="BR102" s="22"/>
      <c r="BS102" s="22"/>
      <c r="BT102" s="22"/>
      <c r="BU102" s="22"/>
      <c r="BV102" s="22"/>
      <c r="BW102" s="22"/>
      <c r="BX102" s="22"/>
      <c r="BY102" s="22"/>
      <c r="BZ102" s="22"/>
      <c r="CA102" s="22"/>
      <c r="CB102" s="22"/>
      <c r="CC102" s="22"/>
      <c r="CD102" s="22"/>
      <c r="CE102" s="22"/>
      <c r="CF102" s="22"/>
      <c r="CG102" s="22"/>
      <c r="CH102" s="22"/>
      <c r="CI102" s="22"/>
      <c r="CJ102" s="22"/>
      <c r="CK102" s="22"/>
      <c r="CL102" s="22"/>
      <c r="CM102" s="22"/>
      <c r="CN102" s="22"/>
      <c r="CO102" s="22"/>
      <c r="CP102" s="22"/>
      <c r="CQ102" s="22"/>
      <c r="CR102" s="22"/>
      <c r="CS102" s="22"/>
      <c r="CT102" s="22"/>
      <c r="CU102" s="22"/>
      <c r="CV102" s="22"/>
      <c r="CW102" s="22"/>
      <c r="CX102" s="22"/>
      <c r="CY102" s="22"/>
      <c r="CZ102" s="22"/>
      <c r="DA102" s="22"/>
      <c r="DB102" s="22"/>
      <c r="DC102" s="22"/>
      <c r="DD102" s="22"/>
      <c r="DE102" s="22"/>
      <c r="DF102" s="22"/>
      <c r="DG102" s="22"/>
      <c r="DH102" s="22"/>
      <c r="DI102" s="22"/>
      <c r="DJ102" s="22"/>
      <c r="DK102" s="22"/>
      <c r="DL102" s="22"/>
      <c r="DM102" s="22"/>
      <c r="DN102" s="22"/>
      <c r="DO102" s="22"/>
      <c r="DP102" s="22"/>
      <c r="DQ102" s="22"/>
      <c r="DR102" s="22"/>
      <c r="DS102" s="22"/>
      <c r="DT102" s="22"/>
      <c r="DU102" s="22"/>
      <c r="DV102" s="22"/>
      <c r="DW102" s="22"/>
      <c r="DX102" s="22"/>
      <c r="DY102" s="22"/>
      <c r="DZ102" s="22"/>
      <c r="EA102" s="22"/>
      <c r="EB102" s="22"/>
      <c r="EC102" s="22"/>
      <c r="ED102" s="22"/>
      <c r="EE102" s="22"/>
      <c r="EF102" s="22"/>
      <c r="EG102" s="22"/>
      <c r="EH102" s="22"/>
      <c r="EI102" s="22"/>
      <c r="EJ102" s="22"/>
      <c r="EK102" s="22"/>
      <c r="EL102" s="22"/>
      <c r="EM102" s="22"/>
      <c r="EN102" s="22"/>
      <c r="EO102" s="22"/>
      <c r="EP102" s="22"/>
      <c r="EQ102" s="22"/>
      <c r="ER102" s="22"/>
      <c r="ES102" s="22"/>
      <c r="ET102" s="22"/>
      <c r="EU102" s="22"/>
      <c r="EV102" s="22"/>
      <c r="EW102" s="22"/>
      <c r="EX102" s="22"/>
      <c r="EY102" s="22"/>
      <c r="EZ102" s="22"/>
      <c r="FA102" s="22"/>
      <c r="FB102" s="22"/>
      <c r="FC102" s="22"/>
      <c r="FD102" s="22"/>
      <c r="FE102" s="22"/>
      <c r="FF102" s="22"/>
      <c r="FG102" s="22"/>
      <c r="FH102" s="22"/>
      <c r="FI102" s="22"/>
      <c r="FJ102" s="22"/>
      <c r="FK102" s="22"/>
      <c r="FL102" s="22"/>
      <c r="FM102" s="22"/>
      <c r="FN102" s="22"/>
      <c r="FO102" s="22"/>
      <c r="FP102" s="22"/>
      <c r="FQ102" s="22"/>
      <c r="FR102" s="22"/>
      <c r="FS102" s="22"/>
      <c r="FT102" s="22"/>
      <c r="FU102" s="22"/>
      <c r="FV102" s="22"/>
      <c r="FW102" s="22"/>
      <c r="FX102" s="22"/>
      <c r="FY102" s="22"/>
      <c r="FZ102" s="22"/>
      <c r="GA102" s="22"/>
      <c r="GB102" s="22"/>
      <c r="GC102" s="22"/>
      <c r="GD102" s="22"/>
      <c r="GE102" s="22"/>
      <c r="GF102" s="22"/>
      <c r="GG102" s="22"/>
      <c r="GH102" s="22"/>
      <c r="GI102" s="22"/>
      <c r="GJ102" s="22"/>
      <c r="GK102" s="22"/>
      <c r="GL102" s="22"/>
      <c r="GM102" s="22"/>
      <c r="GN102" s="22"/>
      <c r="GO102" s="22"/>
      <c r="GP102" s="22"/>
      <c r="GQ102" s="22"/>
      <c r="GR102" s="22"/>
      <c r="GS102" s="22"/>
      <c r="GT102" s="22"/>
      <c r="GU102" s="22"/>
      <c r="GV102" s="22"/>
      <c r="GW102" s="22"/>
      <c r="GX102" s="22"/>
      <c r="GY102" s="22"/>
      <c r="GZ102" s="22"/>
      <c r="HA102" s="22"/>
      <c r="HB102" s="22"/>
      <c r="HC102" s="22"/>
      <c r="HD102" s="22"/>
      <c r="HE102" s="22"/>
      <c r="HF102" s="22"/>
      <c r="HG102" s="22"/>
      <c r="HH102" s="22"/>
      <c r="HI102" s="22"/>
      <c r="HJ102" s="22"/>
      <c r="HK102" s="22"/>
      <c r="HL102" s="22"/>
      <c r="HM102" s="22"/>
      <c r="HN102" s="22"/>
      <c r="HO102" s="22"/>
      <c r="HP102" s="22"/>
      <c r="HQ102" s="22"/>
      <c r="HR102" s="22"/>
      <c r="HS102" s="22"/>
      <c r="HT102" s="22"/>
      <c r="HU102" s="22"/>
      <c r="HV102" s="22"/>
      <c r="HW102" s="22"/>
      <c r="HX102" s="22"/>
      <c r="HY102" s="22"/>
      <c r="HZ102" s="22"/>
      <c r="IA102" s="22"/>
      <c r="IB102" s="22"/>
      <c r="IC102" s="22"/>
      <c r="ID102" s="22"/>
      <c r="IE102" s="22"/>
      <c r="IF102" s="22"/>
      <c r="IG102" s="22"/>
      <c r="IH102" s="22"/>
      <c r="II102" s="22"/>
      <c r="IJ102" s="22"/>
      <c r="IK102" s="22"/>
      <c r="IL102" s="22"/>
      <c r="IM102" s="22"/>
      <c r="IN102" s="22"/>
      <c r="IO102" s="22"/>
      <c r="IP102" s="22"/>
      <c r="IQ102" s="22"/>
      <c r="IR102" s="22"/>
      <c r="IS102" s="22"/>
      <c r="IT102" s="22"/>
      <c r="IU102" s="22"/>
      <c r="IV102" s="22"/>
    </row>
    <row r="103" spans="1:256" s="41" customFormat="1" ht="15" customHeight="1">
      <c r="A103" s="25" t="s">
        <v>1162</v>
      </c>
      <c r="B103" s="22"/>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c r="BH103" s="22"/>
      <c r="BI103" s="22"/>
      <c r="BJ103" s="22"/>
      <c r="BK103" s="22"/>
      <c r="BL103" s="22"/>
      <c r="BM103" s="22"/>
      <c r="BN103" s="22"/>
      <c r="BO103" s="22"/>
      <c r="BP103" s="22"/>
      <c r="BQ103" s="22"/>
      <c r="BR103" s="22"/>
      <c r="BS103" s="22"/>
      <c r="BT103" s="22"/>
      <c r="BU103" s="22"/>
      <c r="BV103" s="22"/>
      <c r="BW103" s="22"/>
      <c r="BX103" s="22"/>
      <c r="BY103" s="22"/>
      <c r="BZ103" s="22"/>
      <c r="CA103" s="22"/>
      <c r="CB103" s="22"/>
      <c r="CC103" s="22"/>
      <c r="CD103" s="22"/>
      <c r="CE103" s="22"/>
      <c r="CF103" s="22"/>
      <c r="CG103" s="22"/>
      <c r="CH103" s="22"/>
      <c r="CI103" s="22"/>
      <c r="CJ103" s="22"/>
      <c r="CK103" s="22"/>
      <c r="CL103" s="22"/>
      <c r="CM103" s="22"/>
      <c r="CN103" s="22"/>
      <c r="CO103" s="22"/>
      <c r="CP103" s="22"/>
      <c r="CQ103" s="22"/>
      <c r="CR103" s="22"/>
      <c r="CS103" s="22"/>
      <c r="CT103" s="22"/>
      <c r="CU103" s="22"/>
      <c r="CV103" s="22"/>
      <c r="CW103" s="22"/>
      <c r="CX103" s="22"/>
      <c r="CY103" s="22"/>
      <c r="CZ103" s="22"/>
      <c r="DA103" s="22"/>
      <c r="DB103" s="22"/>
      <c r="DC103" s="22"/>
      <c r="DD103" s="22"/>
      <c r="DE103" s="22"/>
      <c r="DF103" s="22"/>
      <c r="DG103" s="22"/>
      <c r="DH103" s="22"/>
      <c r="DI103" s="22"/>
      <c r="DJ103" s="22"/>
      <c r="DK103" s="22"/>
      <c r="DL103" s="22"/>
      <c r="DM103" s="22"/>
      <c r="DN103" s="22"/>
      <c r="DO103" s="22"/>
      <c r="DP103" s="22"/>
      <c r="DQ103" s="22"/>
      <c r="DR103" s="22"/>
      <c r="DS103" s="22"/>
      <c r="DT103" s="22"/>
      <c r="DU103" s="22"/>
      <c r="DV103" s="22"/>
      <c r="DW103" s="22"/>
      <c r="DX103" s="22"/>
      <c r="DY103" s="22"/>
      <c r="DZ103" s="22"/>
      <c r="EA103" s="22"/>
      <c r="EB103" s="22"/>
      <c r="EC103" s="22"/>
      <c r="ED103" s="22"/>
      <c r="EE103" s="22"/>
      <c r="EF103" s="22"/>
      <c r="EG103" s="22"/>
      <c r="EH103" s="22"/>
      <c r="EI103" s="22"/>
      <c r="EJ103" s="22"/>
      <c r="EK103" s="22"/>
      <c r="EL103" s="22"/>
      <c r="EM103" s="22"/>
      <c r="EN103" s="22"/>
      <c r="EO103" s="22"/>
      <c r="EP103" s="22"/>
      <c r="EQ103" s="22"/>
      <c r="ER103" s="22"/>
      <c r="ES103" s="22"/>
      <c r="ET103" s="22"/>
      <c r="EU103" s="22"/>
      <c r="EV103" s="22"/>
      <c r="EW103" s="22"/>
      <c r="EX103" s="22"/>
      <c r="EY103" s="22"/>
      <c r="EZ103" s="22"/>
      <c r="FA103" s="22"/>
      <c r="FB103" s="22"/>
      <c r="FC103" s="22"/>
      <c r="FD103" s="22"/>
      <c r="FE103" s="22"/>
      <c r="FF103" s="22"/>
      <c r="FG103" s="22"/>
      <c r="FH103" s="22"/>
      <c r="FI103" s="22"/>
      <c r="FJ103" s="22"/>
      <c r="FK103" s="22"/>
      <c r="FL103" s="22"/>
      <c r="FM103" s="22"/>
      <c r="FN103" s="22"/>
      <c r="FO103" s="22"/>
      <c r="FP103" s="22"/>
      <c r="FQ103" s="22"/>
      <c r="FR103" s="22"/>
      <c r="FS103" s="22"/>
      <c r="FT103" s="22"/>
      <c r="FU103" s="22"/>
      <c r="FV103" s="22"/>
      <c r="FW103" s="22"/>
      <c r="FX103" s="22"/>
      <c r="FY103" s="22"/>
      <c r="FZ103" s="22"/>
      <c r="GA103" s="22"/>
      <c r="GB103" s="22"/>
      <c r="GC103" s="22"/>
      <c r="GD103" s="22"/>
      <c r="GE103" s="22"/>
      <c r="GF103" s="22"/>
      <c r="GG103" s="22"/>
      <c r="GH103" s="22"/>
      <c r="GI103" s="22"/>
      <c r="GJ103" s="22"/>
      <c r="GK103" s="22"/>
      <c r="GL103" s="22"/>
      <c r="GM103" s="22"/>
      <c r="GN103" s="22"/>
      <c r="GO103" s="22"/>
      <c r="GP103" s="22"/>
      <c r="GQ103" s="22"/>
      <c r="GR103" s="22"/>
      <c r="GS103" s="22"/>
      <c r="GT103" s="22"/>
      <c r="GU103" s="22"/>
      <c r="GV103" s="22"/>
      <c r="GW103" s="22"/>
      <c r="GX103" s="22"/>
      <c r="GY103" s="22"/>
      <c r="GZ103" s="22"/>
      <c r="HA103" s="22"/>
      <c r="HB103" s="22"/>
      <c r="HC103" s="22"/>
      <c r="HD103" s="22"/>
      <c r="HE103" s="22"/>
      <c r="HF103" s="22"/>
      <c r="HG103" s="22"/>
      <c r="HH103" s="22"/>
      <c r="HI103" s="22"/>
      <c r="HJ103" s="22"/>
      <c r="HK103" s="22"/>
      <c r="HL103" s="22"/>
      <c r="HM103" s="22"/>
      <c r="HN103" s="22"/>
      <c r="HO103" s="22"/>
      <c r="HP103" s="22"/>
      <c r="HQ103" s="22"/>
      <c r="HR103" s="22"/>
      <c r="HS103" s="22"/>
      <c r="HT103" s="22"/>
      <c r="HU103" s="22"/>
      <c r="HV103" s="22"/>
      <c r="HW103" s="22"/>
      <c r="HX103" s="22"/>
      <c r="HY103" s="22"/>
      <c r="HZ103" s="22"/>
      <c r="IA103" s="22"/>
      <c r="IB103" s="22"/>
      <c r="IC103" s="22"/>
      <c r="ID103" s="22"/>
      <c r="IE103" s="22"/>
      <c r="IF103" s="22"/>
      <c r="IG103" s="22"/>
      <c r="IH103" s="22"/>
      <c r="II103" s="22"/>
      <c r="IJ103" s="22"/>
      <c r="IK103" s="22"/>
      <c r="IL103" s="22"/>
      <c r="IM103" s="22"/>
      <c r="IN103" s="22"/>
      <c r="IO103" s="22"/>
      <c r="IP103" s="22"/>
      <c r="IQ103" s="22"/>
      <c r="IR103" s="22"/>
      <c r="IS103" s="22"/>
      <c r="IT103" s="22"/>
      <c r="IU103" s="22"/>
      <c r="IV103" s="22"/>
    </row>
    <row r="104" spans="1:256" s="26" customFormat="1" ht="15" customHeight="1">
      <c r="A104" s="26" t="s">
        <v>1170</v>
      </c>
    </row>
    <row r="105" spans="1:256" s="41" customFormat="1" ht="15" customHeight="1">
      <c r="A105" s="25" t="s">
        <v>1171</v>
      </c>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2"/>
      <c r="AP105" s="22"/>
      <c r="AQ105" s="22"/>
      <c r="AR105" s="22"/>
      <c r="AS105" s="22"/>
      <c r="AT105" s="22"/>
      <c r="AU105" s="22"/>
      <c r="AV105" s="22"/>
      <c r="AW105" s="22"/>
      <c r="AX105" s="22"/>
      <c r="AY105" s="22"/>
      <c r="AZ105" s="22"/>
      <c r="BA105" s="22"/>
      <c r="BB105" s="22"/>
      <c r="BC105" s="22"/>
      <c r="BD105" s="22"/>
      <c r="BE105" s="22"/>
      <c r="BF105" s="22"/>
      <c r="BG105" s="22"/>
      <c r="BH105" s="22"/>
      <c r="BI105" s="22"/>
      <c r="BJ105" s="22"/>
      <c r="BK105" s="22"/>
      <c r="BL105" s="22"/>
      <c r="BM105" s="22"/>
      <c r="BN105" s="22"/>
      <c r="BO105" s="22"/>
      <c r="BP105" s="22"/>
      <c r="BQ105" s="22"/>
      <c r="BR105" s="22"/>
      <c r="BS105" s="22"/>
      <c r="BT105" s="22"/>
      <c r="BU105" s="22"/>
      <c r="BV105" s="22"/>
      <c r="BW105" s="22"/>
      <c r="BX105" s="22"/>
      <c r="BY105" s="22"/>
      <c r="BZ105" s="22"/>
      <c r="CA105" s="22"/>
      <c r="CB105" s="22"/>
      <c r="CC105" s="22"/>
      <c r="CD105" s="22"/>
      <c r="CE105" s="22"/>
      <c r="CF105" s="22"/>
      <c r="CG105" s="22"/>
      <c r="CH105" s="22"/>
      <c r="CI105" s="22"/>
      <c r="CJ105" s="22"/>
      <c r="CK105" s="22"/>
      <c r="CL105" s="22"/>
      <c r="CM105" s="22"/>
      <c r="CN105" s="22"/>
      <c r="CO105" s="22"/>
      <c r="CP105" s="22"/>
      <c r="CQ105" s="22"/>
      <c r="CR105" s="22"/>
      <c r="CS105" s="22"/>
      <c r="CT105" s="22"/>
      <c r="CU105" s="22"/>
      <c r="CV105" s="22"/>
      <c r="CW105" s="22"/>
      <c r="CX105" s="22"/>
      <c r="CY105" s="22"/>
      <c r="CZ105" s="22"/>
      <c r="DA105" s="22"/>
      <c r="DB105" s="22"/>
      <c r="DC105" s="22"/>
      <c r="DD105" s="22"/>
      <c r="DE105" s="22"/>
      <c r="DF105" s="22"/>
      <c r="DG105" s="22"/>
      <c r="DH105" s="22"/>
      <c r="DI105" s="22"/>
      <c r="DJ105" s="22"/>
      <c r="DK105" s="22"/>
      <c r="DL105" s="22"/>
      <c r="DM105" s="22"/>
      <c r="DN105" s="22"/>
      <c r="DO105" s="22"/>
      <c r="DP105" s="22"/>
      <c r="DQ105" s="22"/>
      <c r="DR105" s="22"/>
      <c r="DS105" s="22"/>
      <c r="DT105" s="22"/>
      <c r="DU105" s="22"/>
      <c r="DV105" s="22"/>
      <c r="DW105" s="22"/>
      <c r="DX105" s="22"/>
      <c r="DY105" s="22"/>
      <c r="DZ105" s="22"/>
      <c r="EA105" s="22"/>
      <c r="EB105" s="22"/>
      <c r="EC105" s="22"/>
      <c r="ED105" s="22"/>
      <c r="EE105" s="22"/>
      <c r="EF105" s="22"/>
      <c r="EG105" s="22"/>
      <c r="EH105" s="22"/>
      <c r="EI105" s="22"/>
      <c r="EJ105" s="22"/>
      <c r="EK105" s="22"/>
      <c r="EL105" s="22"/>
      <c r="EM105" s="22"/>
      <c r="EN105" s="22"/>
      <c r="EO105" s="22"/>
      <c r="EP105" s="22"/>
      <c r="EQ105" s="22"/>
      <c r="ER105" s="22"/>
      <c r="ES105" s="22"/>
      <c r="ET105" s="22"/>
      <c r="EU105" s="22"/>
      <c r="EV105" s="22"/>
      <c r="EW105" s="22"/>
      <c r="EX105" s="22"/>
      <c r="EY105" s="22"/>
      <c r="EZ105" s="22"/>
      <c r="FA105" s="22"/>
      <c r="FB105" s="22"/>
      <c r="FC105" s="22"/>
      <c r="FD105" s="22"/>
      <c r="FE105" s="22"/>
      <c r="FF105" s="22"/>
      <c r="FG105" s="22"/>
      <c r="FH105" s="22"/>
      <c r="FI105" s="22"/>
      <c r="FJ105" s="22"/>
      <c r="FK105" s="22"/>
      <c r="FL105" s="22"/>
      <c r="FM105" s="22"/>
      <c r="FN105" s="22"/>
      <c r="FO105" s="22"/>
      <c r="FP105" s="22"/>
      <c r="FQ105" s="22"/>
      <c r="FR105" s="22"/>
      <c r="FS105" s="22"/>
      <c r="FT105" s="22"/>
      <c r="FU105" s="22"/>
      <c r="FV105" s="22"/>
      <c r="FW105" s="22"/>
      <c r="FX105" s="22"/>
      <c r="FY105" s="22"/>
      <c r="FZ105" s="22"/>
      <c r="GA105" s="22"/>
      <c r="GB105" s="22"/>
      <c r="GC105" s="22"/>
      <c r="GD105" s="22"/>
      <c r="GE105" s="22"/>
      <c r="GF105" s="22"/>
      <c r="GG105" s="22"/>
      <c r="GH105" s="22"/>
      <c r="GI105" s="22"/>
      <c r="GJ105" s="22"/>
      <c r="GK105" s="22"/>
      <c r="GL105" s="22"/>
      <c r="GM105" s="22"/>
      <c r="GN105" s="22"/>
      <c r="GO105" s="22"/>
      <c r="GP105" s="22"/>
      <c r="GQ105" s="22"/>
      <c r="GR105" s="22"/>
      <c r="GS105" s="22"/>
      <c r="GT105" s="22"/>
      <c r="GU105" s="22"/>
      <c r="GV105" s="22"/>
      <c r="GW105" s="22"/>
      <c r="GX105" s="22"/>
      <c r="GY105" s="22"/>
      <c r="GZ105" s="22"/>
      <c r="HA105" s="22"/>
      <c r="HB105" s="22"/>
      <c r="HC105" s="22"/>
      <c r="HD105" s="22"/>
      <c r="HE105" s="22"/>
      <c r="HF105" s="22"/>
      <c r="HG105" s="22"/>
      <c r="HH105" s="22"/>
      <c r="HI105" s="22"/>
      <c r="HJ105" s="22"/>
      <c r="HK105" s="22"/>
      <c r="HL105" s="22"/>
      <c r="HM105" s="22"/>
      <c r="HN105" s="22"/>
      <c r="HO105" s="22"/>
      <c r="HP105" s="22"/>
      <c r="HQ105" s="22"/>
      <c r="HR105" s="22"/>
      <c r="HS105" s="22"/>
      <c r="HT105" s="22"/>
      <c r="HU105" s="22"/>
      <c r="HV105" s="22"/>
      <c r="HW105" s="22"/>
      <c r="HX105" s="22"/>
      <c r="HY105" s="22"/>
      <c r="HZ105" s="22"/>
      <c r="IA105" s="22"/>
      <c r="IB105" s="22"/>
      <c r="IC105" s="22"/>
      <c r="ID105" s="22"/>
      <c r="IE105" s="22"/>
      <c r="IF105" s="22"/>
      <c r="IG105" s="22"/>
      <c r="IH105" s="22"/>
      <c r="II105" s="22"/>
      <c r="IJ105" s="22"/>
      <c r="IK105" s="22"/>
      <c r="IL105" s="22"/>
      <c r="IM105" s="22"/>
      <c r="IN105" s="22"/>
      <c r="IO105" s="22"/>
      <c r="IP105" s="22"/>
      <c r="IQ105" s="22"/>
      <c r="IR105" s="22"/>
      <c r="IS105" s="22"/>
      <c r="IT105" s="22"/>
      <c r="IU105" s="22"/>
      <c r="IV105" s="22"/>
    </row>
    <row r="106" spans="1:256" s="31" customFormat="1" ht="15" customHeight="1">
      <c r="A106" s="31" t="s">
        <v>1172</v>
      </c>
    </row>
    <row r="107" spans="1:256" s="41" customFormat="1" ht="15" customHeight="1">
      <c r="A107" s="25" t="s">
        <v>1173</v>
      </c>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c r="BH107" s="22"/>
      <c r="BI107" s="22"/>
      <c r="BJ107" s="22"/>
      <c r="BK107" s="22"/>
      <c r="BL107" s="22"/>
      <c r="BM107" s="22"/>
      <c r="BN107" s="22"/>
      <c r="BO107" s="22"/>
      <c r="BP107" s="22"/>
      <c r="BQ107" s="22"/>
      <c r="BR107" s="22"/>
      <c r="BS107" s="22"/>
      <c r="BT107" s="22"/>
      <c r="BU107" s="22"/>
      <c r="BV107" s="22"/>
      <c r="BW107" s="22"/>
      <c r="BX107" s="22"/>
      <c r="BY107" s="22"/>
      <c r="BZ107" s="22"/>
      <c r="CA107" s="22"/>
      <c r="CB107" s="22"/>
      <c r="CC107" s="22"/>
      <c r="CD107" s="22"/>
      <c r="CE107" s="22"/>
      <c r="CF107" s="22"/>
      <c r="CG107" s="22"/>
      <c r="CH107" s="22"/>
      <c r="CI107" s="22"/>
      <c r="CJ107" s="22"/>
      <c r="CK107" s="22"/>
      <c r="CL107" s="22"/>
      <c r="CM107" s="22"/>
      <c r="CN107" s="22"/>
      <c r="CO107" s="22"/>
      <c r="CP107" s="22"/>
      <c r="CQ107" s="22"/>
      <c r="CR107" s="22"/>
      <c r="CS107" s="22"/>
      <c r="CT107" s="22"/>
      <c r="CU107" s="22"/>
      <c r="CV107" s="22"/>
      <c r="CW107" s="22"/>
      <c r="CX107" s="22"/>
      <c r="CY107" s="22"/>
      <c r="CZ107" s="22"/>
      <c r="DA107" s="22"/>
      <c r="DB107" s="22"/>
      <c r="DC107" s="22"/>
      <c r="DD107" s="22"/>
      <c r="DE107" s="22"/>
      <c r="DF107" s="22"/>
      <c r="DG107" s="22"/>
      <c r="DH107" s="22"/>
      <c r="DI107" s="22"/>
      <c r="DJ107" s="22"/>
      <c r="DK107" s="22"/>
      <c r="DL107" s="22"/>
      <c r="DM107" s="22"/>
      <c r="DN107" s="22"/>
      <c r="DO107" s="22"/>
      <c r="DP107" s="22"/>
      <c r="DQ107" s="22"/>
      <c r="DR107" s="22"/>
      <c r="DS107" s="22"/>
      <c r="DT107" s="22"/>
      <c r="DU107" s="22"/>
      <c r="DV107" s="22"/>
      <c r="DW107" s="22"/>
      <c r="DX107" s="22"/>
      <c r="DY107" s="22"/>
      <c r="DZ107" s="22"/>
      <c r="EA107" s="22"/>
      <c r="EB107" s="22"/>
      <c r="EC107" s="22"/>
      <c r="ED107" s="22"/>
      <c r="EE107" s="22"/>
      <c r="EF107" s="22"/>
      <c r="EG107" s="22"/>
      <c r="EH107" s="22"/>
      <c r="EI107" s="22"/>
      <c r="EJ107" s="22"/>
      <c r="EK107" s="22"/>
      <c r="EL107" s="22"/>
      <c r="EM107" s="22"/>
      <c r="EN107" s="22"/>
      <c r="EO107" s="22"/>
      <c r="EP107" s="22"/>
      <c r="EQ107" s="22"/>
      <c r="ER107" s="22"/>
      <c r="ES107" s="22"/>
      <c r="ET107" s="22"/>
      <c r="EU107" s="22"/>
      <c r="EV107" s="22"/>
      <c r="EW107" s="22"/>
      <c r="EX107" s="22"/>
      <c r="EY107" s="22"/>
      <c r="EZ107" s="22"/>
      <c r="FA107" s="22"/>
      <c r="FB107" s="22"/>
      <c r="FC107" s="22"/>
      <c r="FD107" s="22"/>
      <c r="FE107" s="22"/>
      <c r="FF107" s="22"/>
      <c r="FG107" s="22"/>
      <c r="FH107" s="22"/>
      <c r="FI107" s="22"/>
      <c r="FJ107" s="22"/>
      <c r="FK107" s="22"/>
      <c r="FL107" s="22"/>
      <c r="FM107" s="22"/>
      <c r="FN107" s="22"/>
      <c r="FO107" s="22"/>
      <c r="FP107" s="22"/>
      <c r="FQ107" s="22"/>
      <c r="FR107" s="22"/>
      <c r="FS107" s="22"/>
      <c r="FT107" s="22"/>
      <c r="FU107" s="22"/>
      <c r="FV107" s="22"/>
      <c r="FW107" s="22"/>
      <c r="FX107" s="22"/>
      <c r="FY107" s="22"/>
      <c r="FZ107" s="22"/>
      <c r="GA107" s="22"/>
      <c r="GB107" s="22"/>
      <c r="GC107" s="22"/>
      <c r="GD107" s="22"/>
      <c r="GE107" s="22"/>
      <c r="GF107" s="22"/>
      <c r="GG107" s="22"/>
      <c r="GH107" s="22"/>
      <c r="GI107" s="22"/>
      <c r="GJ107" s="22"/>
      <c r="GK107" s="22"/>
      <c r="GL107" s="22"/>
      <c r="GM107" s="22"/>
      <c r="GN107" s="22"/>
      <c r="GO107" s="22"/>
      <c r="GP107" s="22"/>
      <c r="GQ107" s="22"/>
      <c r="GR107" s="22"/>
      <c r="GS107" s="22"/>
      <c r="GT107" s="22"/>
      <c r="GU107" s="22"/>
      <c r="GV107" s="22"/>
      <c r="GW107" s="22"/>
      <c r="GX107" s="22"/>
      <c r="GY107" s="22"/>
      <c r="GZ107" s="22"/>
      <c r="HA107" s="22"/>
      <c r="HB107" s="22"/>
      <c r="HC107" s="22"/>
      <c r="HD107" s="22"/>
      <c r="HE107" s="22"/>
      <c r="HF107" s="22"/>
      <c r="HG107" s="22"/>
      <c r="HH107" s="22"/>
      <c r="HI107" s="22"/>
      <c r="HJ107" s="22"/>
      <c r="HK107" s="22"/>
      <c r="HL107" s="22"/>
      <c r="HM107" s="22"/>
      <c r="HN107" s="22"/>
      <c r="HO107" s="22"/>
      <c r="HP107" s="22"/>
      <c r="HQ107" s="22"/>
      <c r="HR107" s="22"/>
      <c r="HS107" s="22"/>
      <c r="HT107" s="22"/>
      <c r="HU107" s="22"/>
      <c r="HV107" s="22"/>
      <c r="HW107" s="22"/>
      <c r="HX107" s="22"/>
      <c r="HY107" s="22"/>
      <c r="HZ107" s="22"/>
      <c r="IA107" s="22"/>
      <c r="IB107" s="22"/>
      <c r="IC107" s="22"/>
      <c r="ID107" s="22"/>
      <c r="IE107" s="22"/>
      <c r="IF107" s="22"/>
      <c r="IG107" s="22"/>
      <c r="IH107" s="22"/>
      <c r="II107" s="22"/>
      <c r="IJ107" s="22"/>
      <c r="IK107" s="22"/>
      <c r="IL107" s="22"/>
      <c r="IM107" s="22"/>
      <c r="IN107" s="22"/>
      <c r="IO107" s="22"/>
      <c r="IP107" s="22"/>
      <c r="IQ107" s="22"/>
      <c r="IR107" s="22"/>
      <c r="IS107" s="22"/>
      <c r="IT107" s="22"/>
      <c r="IU107" s="22"/>
      <c r="IV107" s="22"/>
    </row>
    <row r="108" spans="1:256" s="17" customFormat="1" ht="15" customHeight="1">
      <c r="A108" s="27" t="s">
        <v>1174</v>
      </c>
      <c r="B108" s="49"/>
      <c r="C108" s="20"/>
      <c r="D108" s="20"/>
      <c r="E108" s="20"/>
      <c r="F108" s="20"/>
      <c r="G108" s="20"/>
      <c r="H108" s="20"/>
      <c r="I108" s="20"/>
      <c r="J108" s="45"/>
      <c r="K108" s="45"/>
      <c r="L108" s="45"/>
      <c r="M108" s="45"/>
      <c r="N108" s="45"/>
      <c r="O108" s="45"/>
      <c r="P108" s="45"/>
      <c r="Q108" s="45"/>
      <c r="R108" s="45"/>
      <c r="S108" s="45"/>
      <c r="T108" s="20"/>
      <c r="U108" s="20"/>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c r="BF108" s="45"/>
      <c r="BG108" s="45"/>
      <c r="BH108" s="45"/>
      <c r="BI108" s="45"/>
      <c r="BJ108" s="45"/>
      <c r="BK108" s="45"/>
      <c r="BL108" s="45"/>
      <c r="BM108" s="45"/>
      <c r="BN108" s="45"/>
      <c r="BO108" s="45"/>
      <c r="BP108" s="45"/>
      <c r="BQ108" s="45"/>
      <c r="BR108" s="45"/>
      <c r="BS108" s="45"/>
      <c r="BT108" s="45"/>
      <c r="BU108" s="45"/>
      <c r="BV108" s="45"/>
      <c r="BW108" s="45"/>
      <c r="BX108" s="45"/>
    </row>
    <row r="109" spans="1:256" s="41" customFormat="1" ht="15" customHeight="1">
      <c r="A109" s="25" t="s">
        <v>1175</v>
      </c>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2"/>
      <c r="AP109" s="22"/>
      <c r="AQ109" s="22"/>
      <c r="AR109" s="22"/>
      <c r="AS109" s="22"/>
      <c r="AT109" s="22"/>
      <c r="AU109" s="22"/>
      <c r="AV109" s="22"/>
      <c r="AW109" s="22"/>
      <c r="AX109" s="22"/>
      <c r="AY109" s="22"/>
      <c r="AZ109" s="22"/>
      <c r="BA109" s="22"/>
      <c r="BB109" s="22"/>
      <c r="BC109" s="22"/>
      <c r="BD109" s="22"/>
      <c r="BE109" s="22"/>
      <c r="BF109" s="22"/>
      <c r="BG109" s="22"/>
      <c r="BH109" s="22"/>
      <c r="BI109" s="22"/>
      <c r="BJ109" s="22"/>
      <c r="BK109" s="22"/>
      <c r="BL109" s="22"/>
      <c r="BM109" s="22"/>
      <c r="BN109" s="22"/>
      <c r="BO109" s="22"/>
      <c r="BP109" s="22"/>
      <c r="BQ109" s="22"/>
      <c r="BR109" s="22"/>
      <c r="BS109" s="22"/>
      <c r="BT109" s="22"/>
      <c r="BU109" s="22"/>
      <c r="BV109" s="22"/>
      <c r="BW109" s="22"/>
      <c r="BX109" s="22"/>
      <c r="BY109" s="22"/>
      <c r="BZ109" s="22"/>
      <c r="CA109" s="22"/>
      <c r="CB109" s="22"/>
      <c r="CC109" s="22"/>
      <c r="CD109" s="22"/>
      <c r="CE109" s="22"/>
      <c r="CF109" s="22"/>
      <c r="CG109" s="22"/>
      <c r="CH109" s="22"/>
      <c r="CI109" s="22"/>
      <c r="CJ109" s="22"/>
      <c r="CK109" s="22"/>
      <c r="CL109" s="22"/>
      <c r="CM109" s="22"/>
      <c r="CN109" s="22"/>
      <c r="CO109" s="22"/>
      <c r="CP109" s="22"/>
      <c r="CQ109" s="22"/>
      <c r="CR109" s="22"/>
      <c r="CS109" s="22"/>
      <c r="CT109" s="22"/>
      <c r="CU109" s="22"/>
      <c r="CV109" s="22"/>
      <c r="CW109" s="22"/>
      <c r="CX109" s="22"/>
      <c r="CY109" s="22"/>
      <c r="CZ109" s="22"/>
      <c r="DA109" s="22"/>
      <c r="DB109" s="22"/>
      <c r="DC109" s="22"/>
      <c r="DD109" s="22"/>
      <c r="DE109" s="22"/>
      <c r="DF109" s="22"/>
      <c r="DG109" s="22"/>
      <c r="DH109" s="22"/>
      <c r="DI109" s="22"/>
      <c r="DJ109" s="22"/>
      <c r="DK109" s="22"/>
      <c r="DL109" s="22"/>
      <c r="DM109" s="22"/>
      <c r="DN109" s="22"/>
      <c r="DO109" s="22"/>
      <c r="DP109" s="22"/>
      <c r="DQ109" s="22"/>
      <c r="DR109" s="22"/>
      <c r="DS109" s="22"/>
      <c r="DT109" s="22"/>
      <c r="DU109" s="22"/>
      <c r="DV109" s="22"/>
      <c r="DW109" s="22"/>
      <c r="DX109" s="22"/>
      <c r="DY109" s="22"/>
      <c r="DZ109" s="22"/>
      <c r="EA109" s="22"/>
      <c r="EB109" s="22"/>
      <c r="EC109" s="22"/>
      <c r="ED109" s="22"/>
      <c r="EE109" s="22"/>
      <c r="EF109" s="22"/>
      <c r="EG109" s="22"/>
      <c r="EH109" s="22"/>
      <c r="EI109" s="22"/>
      <c r="EJ109" s="22"/>
      <c r="EK109" s="22"/>
      <c r="EL109" s="22"/>
      <c r="EM109" s="22"/>
      <c r="EN109" s="22"/>
      <c r="EO109" s="22"/>
      <c r="EP109" s="22"/>
      <c r="EQ109" s="22"/>
      <c r="ER109" s="22"/>
      <c r="ES109" s="22"/>
      <c r="ET109" s="22"/>
      <c r="EU109" s="22"/>
      <c r="EV109" s="22"/>
      <c r="EW109" s="22"/>
      <c r="EX109" s="22"/>
      <c r="EY109" s="22"/>
      <c r="EZ109" s="22"/>
      <c r="FA109" s="22"/>
      <c r="FB109" s="22"/>
      <c r="FC109" s="22"/>
      <c r="FD109" s="22"/>
      <c r="FE109" s="22"/>
      <c r="FF109" s="22"/>
      <c r="FG109" s="22"/>
      <c r="FH109" s="22"/>
      <c r="FI109" s="22"/>
      <c r="FJ109" s="22"/>
      <c r="FK109" s="22"/>
      <c r="FL109" s="22"/>
      <c r="FM109" s="22"/>
      <c r="FN109" s="22"/>
      <c r="FO109" s="22"/>
      <c r="FP109" s="22"/>
      <c r="FQ109" s="22"/>
      <c r="FR109" s="22"/>
      <c r="FS109" s="22"/>
      <c r="FT109" s="22"/>
      <c r="FU109" s="22"/>
      <c r="FV109" s="22"/>
      <c r="FW109" s="22"/>
      <c r="FX109" s="22"/>
      <c r="FY109" s="22"/>
      <c r="FZ109" s="22"/>
      <c r="GA109" s="22"/>
      <c r="GB109" s="22"/>
      <c r="GC109" s="22"/>
      <c r="GD109" s="22"/>
      <c r="GE109" s="22"/>
      <c r="GF109" s="22"/>
      <c r="GG109" s="22"/>
      <c r="GH109" s="22"/>
      <c r="GI109" s="22"/>
      <c r="GJ109" s="22"/>
      <c r="GK109" s="22"/>
      <c r="GL109" s="22"/>
      <c r="GM109" s="22"/>
      <c r="GN109" s="22"/>
      <c r="GO109" s="22"/>
      <c r="GP109" s="22"/>
      <c r="GQ109" s="22"/>
      <c r="GR109" s="22"/>
      <c r="GS109" s="22"/>
      <c r="GT109" s="22"/>
      <c r="GU109" s="22"/>
      <c r="GV109" s="22"/>
      <c r="GW109" s="22"/>
      <c r="GX109" s="22"/>
      <c r="GY109" s="22"/>
      <c r="GZ109" s="22"/>
      <c r="HA109" s="22"/>
      <c r="HB109" s="22"/>
      <c r="HC109" s="22"/>
      <c r="HD109" s="22"/>
      <c r="HE109" s="22"/>
      <c r="HF109" s="22"/>
      <c r="HG109" s="22"/>
      <c r="HH109" s="22"/>
      <c r="HI109" s="22"/>
      <c r="HJ109" s="22"/>
      <c r="HK109" s="22"/>
      <c r="HL109" s="22"/>
      <c r="HM109" s="22"/>
      <c r="HN109" s="22"/>
      <c r="HO109" s="22"/>
      <c r="HP109" s="22"/>
      <c r="HQ109" s="22"/>
      <c r="HR109" s="22"/>
      <c r="HS109" s="22"/>
      <c r="HT109" s="22"/>
      <c r="HU109" s="22"/>
      <c r="HV109" s="22"/>
      <c r="HW109" s="22"/>
      <c r="HX109" s="22"/>
      <c r="HY109" s="22"/>
      <c r="HZ109" s="22"/>
      <c r="IA109" s="22"/>
      <c r="IB109" s="22"/>
      <c r="IC109" s="22"/>
      <c r="ID109" s="22"/>
      <c r="IE109" s="22"/>
      <c r="IF109" s="22"/>
      <c r="IG109" s="22"/>
      <c r="IH109" s="22"/>
      <c r="II109" s="22"/>
      <c r="IJ109" s="22"/>
      <c r="IK109" s="22"/>
      <c r="IL109" s="22"/>
      <c r="IM109" s="22"/>
      <c r="IN109" s="22"/>
      <c r="IO109" s="22"/>
      <c r="IP109" s="22"/>
      <c r="IQ109" s="22"/>
      <c r="IR109" s="22"/>
      <c r="IS109" s="22"/>
      <c r="IT109" s="22"/>
      <c r="IU109" s="22"/>
      <c r="IV109" s="22"/>
    </row>
    <row r="110" spans="1:256" s="41" customFormat="1" ht="15" customHeight="1">
      <c r="A110" s="25" t="s">
        <v>1176</v>
      </c>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2"/>
      <c r="AP110" s="22"/>
      <c r="AQ110" s="22"/>
      <c r="AR110" s="22"/>
      <c r="AS110" s="22"/>
      <c r="AT110" s="22"/>
      <c r="AU110" s="22"/>
      <c r="AV110" s="22"/>
      <c r="AW110" s="22"/>
      <c r="AX110" s="22"/>
      <c r="AY110" s="22"/>
      <c r="AZ110" s="22"/>
      <c r="BA110" s="22"/>
      <c r="BB110" s="22"/>
      <c r="BC110" s="22"/>
      <c r="BD110" s="22"/>
      <c r="BE110" s="22"/>
      <c r="BF110" s="22"/>
      <c r="BG110" s="22"/>
      <c r="BH110" s="22"/>
      <c r="BI110" s="22"/>
      <c r="BJ110" s="22"/>
      <c r="BK110" s="22"/>
      <c r="BL110" s="22"/>
      <c r="BM110" s="22"/>
      <c r="BN110" s="22"/>
      <c r="BO110" s="22"/>
      <c r="BP110" s="22"/>
      <c r="BQ110" s="22"/>
      <c r="BR110" s="22"/>
      <c r="BS110" s="22"/>
      <c r="BT110" s="22"/>
      <c r="BU110" s="22"/>
      <c r="BV110" s="22"/>
      <c r="BW110" s="22"/>
      <c r="BX110" s="22"/>
      <c r="BY110" s="22"/>
      <c r="BZ110" s="22"/>
      <c r="CA110" s="22"/>
      <c r="CB110" s="22"/>
      <c r="CC110" s="22"/>
      <c r="CD110" s="22"/>
      <c r="CE110" s="22"/>
      <c r="CF110" s="22"/>
      <c r="CG110" s="22"/>
      <c r="CH110" s="22"/>
      <c r="CI110" s="22"/>
      <c r="CJ110" s="22"/>
      <c r="CK110" s="22"/>
      <c r="CL110" s="22"/>
      <c r="CM110" s="22"/>
      <c r="CN110" s="22"/>
      <c r="CO110" s="22"/>
      <c r="CP110" s="22"/>
      <c r="CQ110" s="22"/>
      <c r="CR110" s="22"/>
      <c r="CS110" s="22"/>
      <c r="CT110" s="22"/>
      <c r="CU110" s="22"/>
      <c r="CV110" s="22"/>
      <c r="CW110" s="22"/>
      <c r="CX110" s="22"/>
      <c r="CY110" s="22"/>
      <c r="CZ110" s="22"/>
      <c r="DA110" s="22"/>
      <c r="DB110" s="22"/>
      <c r="DC110" s="22"/>
      <c r="DD110" s="22"/>
      <c r="DE110" s="22"/>
      <c r="DF110" s="22"/>
      <c r="DG110" s="22"/>
      <c r="DH110" s="22"/>
      <c r="DI110" s="22"/>
      <c r="DJ110" s="22"/>
      <c r="DK110" s="22"/>
      <c r="DL110" s="22"/>
      <c r="DM110" s="22"/>
      <c r="DN110" s="22"/>
      <c r="DO110" s="22"/>
      <c r="DP110" s="22"/>
      <c r="DQ110" s="22"/>
      <c r="DR110" s="22"/>
      <c r="DS110" s="22"/>
      <c r="DT110" s="22"/>
      <c r="DU110" s="22"/>
      <c r="DV110" s="22"/>
      <c r="DW110" s="22"/>
      <c r="DX110" s="22"/>
      <c r="DY110" s="22"/>
      <c r="DZ110" s="22"/>
      <c r="EA110" s="22"/>
      <c r="EB110" s="22"/>
      <c r="EC110" s="22"/>
      <c r="ED110" s="22"/>
      <c r="EE110" s="22"/>
      <c r="EF110" s="22"/>
      <c r="EG110" s="22"/>
      <c r="EH110" s="22"/>
      <c r="EI110" s="22"/>
      <c r="EJ110" s="22"/>
      <c r="EK110" s="22"/>
      <c r="EL110" s="22"/>
      <c r="EM110" s="22"/>
      <c r="EN110" s="22"/>
      <c r="EO110" s="22"/>
      <c r="EP110" s="22"/>
      <c r="EQ110" s="22"/>
      <c r="ER110" s="22"/>
      <c r="ES110" s="22"/>
      <c r="ET110" s="22"/>
      <c r="EU110" s="22"/>
      <c r="EV110" s="22"/>
      <c r="EW110" s="22"/>
      <c r="EX110" s="22"/>
      <c r="EY110" s="22"/>
      <c r="EZ110" s="22"/>
      <c r="FA110" s="22"/>
      <c r="FB110" s="22"/>
      <c r="FC110" s="22"/>
      <c r="FD110" s="22"/>
      <c r="FE110" s="22"/>
      <c r="FF110" s="22"/>
      <c r="FG110" s="22"/>
      <c r="FH110" s="22"/>
      <c r="FI110" s="22"/>
      <c r="FJ110" s="22"/>
      <c r="FK110" s="22"/>
      <c r="FL110" s="22"/>
      <c r="FM110" s="22"/>
      <c r="FN110" s="22"/>
      <c r="FO110" s="22"/>
      <c r="FP110" s="22"/>
      <c r="FQ110" s="22"/>
      <c r="FR110" s="22"/>
      <c r="FS110" s="22"/>
      <c r="FT110" s="22"/>
      <c r="FU110" s="22"/>
      <c r="FV110" s="22"/>
      <c r="FW110" s="22"/>
      <c r="FX110" s="22"/>
      <c r="FY110" s="22"/>
      <c r="FZ110" s="22"/>
      <c r="GA110" s="22"/>
      <c r="GB110" s="22"/>
      <c r="GC110" s="22"/>
      <c r="GD110" s="22"/>
      <c r="GE110" s="22"/>
      <c r="GF110" s="22"/>
      <c r="GG110" s="22"/>
      <c r="GH110" s="22"/>
      <c r="GI110" s="22"/>
      <c r="GJ110" s="22"/>
      <c r="GK110" s="22"/>
      <c r="GL110" s="22"/>
      <c r="GM110" s="22"/>
      <c r="GN110" s="22"/>
      <c r="GO110" s="22"/>
      <c r="GP110" s="22"/>
      <c r="GQ110" s="22"/>
      <c r="GR110" s="22"/>
      <c r="GS110" s="22"/>
      <c r="GT110" s="22"/>
      <c r="GU110" s="22"/>
      <c r="GV110" s="22"/>
      <c r="GW110" s="22"/>
      <c r="GX110" s="22"/>
      <c r="GY110" s="22"/>
      <c r="GZ110" s="22"/>
      <c r="HA110" s="22"/>
      <c r="HB110" s="22"/>
      <c r="HC110" s="22"/>
      <c r="HD110" s="22"/>
      <c r="HE110" s="22"/>
      <c r="HF110" s="22"/>
      <c r="HG110" s="22"/>
      <c r="HH110" s="22"/>
      <c r="HI110" s="22"/>
      <c r="HJ110" s="22"/>
      <c r="HK110" s="22"/>
      <c r="HL110" s="22"/>
      <c r="HM110" s="22"/>
      <c r="HN110" s="22"/>
      <c r="HO110" s="22"/>
      <c r="HP110" s="22"/>
      <c r="HQ110" s="22"/>
      <c r="HR110" s="22"/>
      <c r="HS110" s="22"/>
      <c r="HT110" s="22"/>
      <c r="HU110" s="22"/>
      <c r="HV110" s="22"/>
      <c r="HW110" s="22"/>
      <c r="HX110" s="22"/>
      <c r="HY110" s="22"/>
      <c r="HZ110" s="22"/>
      <c r="IA110" s="22"/>
      <c r="IB110" s="22"/>
      <c r="IC110" s="22"/>
      <c r="ID110" s="22"/>
      <c r="IE110" s="22"/>
      <c r="IF110" s="22"/>
      <c r="IG110" s="22"/>
      <c r="IH110" s="22"/>
      <c r="II110" s="22"/>
      <c r="IJ110" s="22"/>
      <c r="IK110" s="22"/>
      <c r="IL110" s="22"/>
      <c r="IM110" s="22"/>
      <c r="IN110" s="22"/>
      <c r="IO110" s="22"/>
      <c r="IP110" s="22"/>
      <c r="IQ110" s="22"/>
      <c r="IR110" s="22"/>
      <c r="IS110" s="22"/>
      <c r="IT110" s="22"/>
      <c r="IU110" s="22"/>
      <c r="IV110" s="22"/>
    </row>
    <row r="111" spans="1:256" s="41" customFormat="1" ht="15" customHeight="1">
      <c r="A111" s="25" t="s">
        <v>1177</v>
      </c>
      <c r="B111" s="22"/>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2"/>
      <c r="AP111" s="22"/>
      <c r="AQ111" s="22"/>
      <c r="AR111" s="22"/>
      <c r="AS111" s="22"/>
      <c r="AT111" s="22"/>
      <c r="AU111" s="22"/>
      <c r="AV111" s="22"/>
      <c r="AW111" s="22"/>
      <c r="AX111" s="22"/>
      <c r="AY111" s="22"/>
      <c r="AZ111" s="22"/>
      <c r="BA111" s="22"/>
      <c r="BB111" s="22"/>
      <c r="BC111" s="22"/>
      <c r="BD111" s="22"/>
      <c r="BE111" s="22"/>
      <c r="BF111" s="22"/>
      <c r="BG111" s="22"/>
      <c r="BH111" s="22"/>
      <c r="BI111" s="22"/>
      <c r="BJ111" s="22"/>
      <c r="BK111" s="22"/>
      <c r="BL111" s="22"/>
      <c r="BM111" s="22"/>
      <c r="BN111" s="22"/>
      <c r="BO111" s="22"/>
      <c r="BP111" s="22"/>
      <c r="BQ111" s="22"/>
      <c r="BR111" s="22"/>
      <c r="BS111" s="22"/>
      <c r="BT111" s="22"/>
      <c r="BU111" s="22"/>
      <c r="BV111" s="22"/>
      <c r="BW111" s="22"/>
      <c r="BX111" s="22"/>
      <c r="BY111" s="22"/>
      <c r="BZ111" s="22"/>
      <c r="CA111" s="22"/>
      <c r="CB111" s="22"/>
      <c r="CC111" s="22"/>
      <c r="CD111" s="22"/>
      <c r="CE111" s="22"/>
      <c r="CF111" s="22"/>
      <c r="CG111" s="22"/>
      <c r="CH111" s="22"/>
      <c r="CI111" s="22"/>
      <c r="CJ111" s="22"/>
      <c r="CK111" s="22"/>
      <c r="CL111" s="22"/>
      <c r="CM111" s="22"/>
      <c r="CN111" s="22"/>
      <c r="CO111" s="22"/>
      <c r="CP111" s="22"/>
      <c r="CQ111" s="22"/>
      <c r="CR111" s="22"/>
      <c r="CS111" s="22"/>
      <c r="CT111" s="22"/>
      <c r="CU111" s="22"/>
      <c r="CV111" s="22"/>
      <c r="CW111" s="22"/>
      <c r="CX111" s="22"/>
      <c r="CY111" s="22"/>
      <c r="CZ111" s="22"/>
      <c r="DA111" s="22"/>
      <c r="DB111" s="22"/>
      <c r="DC111" s="22"/>
      <c r="DD111" s="22"/>
      <c r="DE111" s="22"/>
      <c r="DF111" s="22"/>
      <c r="DG111" s="22"/>
      <c r="DH111" s="22"/>
      <c r="DI111" s="22"/>
      <c r="DJ111" s="22"/>
      <c r="DK111" s="22"/>
      <c r="DL111" s="22"/>
      <c r="DM111" s="22"/>
      <c r="DN111" s="22"/>
      <c r="DO111" s="22"/>
      <c r="DP111" s="22"/>
      <c r="DQ111" s="22"/>
      <c r="DR111" s="22"/>
      <c r="DS111" s="22"/>
      <c r="DT111" s="22"/>
      <c r="DU111" s="22"/>
      <c r="DV111" s="22"/>
      <c r="DW111" s="22"/>
      <c r="DX111" s="22"/>
      <c r="DY111" s="22"/>
      <c r="DZ111" s="22"/>
      <c r="EA111" s="22"/>
      <c r="EB111" s="22"/>
      <c r="EC111" s="22"/>
      <c r="ED111" s="22"/>
      <c r="EE111" s="22"/>
      <c r="EF111" s="22"/>
      <c r="EG111" s="22"/>
      <c r="EH111" s="22"/>
      <c r="EI111" s="22"/>
      <c r="EJ111" s="22"/>
      <c r="EK111" s="22"/>
      <c r="EL111" s="22"/>
      <c r="EM111" s="22"/>
      <c r="EN111" s="22"/>
      <c r="EO111" s="22"/>
      <c r="EP111" s="22"/>
      <c r="EQ111" s="22"/>
      <c r="ER111" s="22"/>
      <c r="ES111" s="22"/>
      <c r="ET111" s="22"/>
      <c r="EU111" s="22"/>
      <c r="EV111" s="22"/>
      <c r="EW111" s="22"/>
      <c r="EX111" s="22"/>
      <c r="EY111" s="22"/>
      <c r="EZ111" s="22"/>
      <c r="FA111" s="22"/>
      <c r="FB111" s="22"/>
      <c r="FC111" s="22"/>
      <c r="FD111" s="22"/>
      <c r="FE111" s="22"/>
      <c r="FF111" s="22"/>
      <c r="FG111" s="22"/>
      <c r="FH111" s="22"/>
      <c r="FI111" s="22"/>
      <c r="FJ111" s="22"/>
      <c r="FK111" s="22"/>
      <c r="FL111" s="22"/>
      <c r="FM111" s="22"/>
      <c r="FN111" s="22"/>
      <c r="FO111" s="22"/>
      <c r="FP111" s="22"/>
      <c r="FQ111" s="22"/>
      <c r="FR111" s="22"/>
      <c r="FS111" s="22"/>
      <c r="FT111" s="22"/>
      <c r="FU111" s="22"/>
      <c r="FV111" s="22"/>
      <c r="FW111" s="22"/>
      <c r="FX111" s="22"/>
      <c r="FY111" s="22"/>
      <c r="FZ111" s="22"/>
      <c r="GA111" s="22"/>
      <c r="GB111" s="22"/>
      <c r="GC111" s="22"/>
      <c r="GD111" s="22"/>
      <c r="GE111" s="22"/>
      <c r="GF111" s="22"/>
      <c r="GG111" s="22"/>
      <c r="GH111" s="22"/>
      <c r="GI111" s="22"/>
      <c r="GJ111" s="22"/>
      <c r="GK111" s="22"/>
      <c r="GL111" s="22"/>
      <c r="GM111" s="22"/>
      <c r="GN111" s="22"/>
      <c r="GO111" s="22"/>
      <c r="GP111" s="22"/>
      <c r="GQ111" s="22"/>
      <c r="GR111" s="22"/>
      <c r="GS111" s="22"/>
      <c r="GT111" s="22"/>
      <c r="GU111" s="22"/>
      <c r="GV111" s="22"/>
      <c r="GW111" s="22"/>
      <c r="GX111" s="22"/>
      <c r="GY111" s="22"/>
      <c r="GZ111" s="22"/>
      <c r="HA111" s="22"/>
      <c r="HB111" s="22"/>
      <c r="HC111" s="22"/>
      <c r="HD111" s="22"/>
      <c r="HE111" s="22"/>
      <c r="HF111" s="22"/>
      <c r="HG111" s="22"/>
      <c r="HH111" s="22"/>
      <c r="HI111" s="22"/>
      <c r="HJ111" s="22"/>
      <c r="HK111" s="22"/>
      <c r="HL111" s="22"/>
      <c r="HM111" s="22"/>
      <c r="HN111" s="22"/>
      <c r="HO111" s="22"/>
      <c r="HP111" s="22"/>
      <c r="HQ111" s="22"/>
      <c r="HR111" s="22"/>
      <c r="HS111" s="22"/>
      <c r="HT111" s="22"/>
      <c r="HU111" s="22"/>
      <c r="HV111" s="22"/>
      <c r="HW111" s="22"/>
      <c r="HX111" s="22"/>
      <c r="HY111" s="22"/>
      <c r="HZ111" s="22"/>
      <c r="IA111" s="22"/>
      <c r="IB111" s="22"/>
      <c r="IC111" s="22"/>
      <c r="ID111" s="22"/>
      <c r="IE111" s="22"/>
      <c r="IF111" s="22"/>
      <c r="IG111" s="22"/>
      <c r="IH111" s="22"/>
      <c r="II111" s="22"/>
      <c r="IJ111" s="22"/>
      <c r="IK111" s="22"/>
      <c r="IL111" s="22"/>
      <c r="IM111" s="22"/>
      <c r="IN111" s="22"/>
      <c r="IO111" s="22"/>
      <c r="IP111" s="22"/>
      <c r="IQ111" s="22"/>
      <c r="IR111" s="22"/>
      <c r="IS111" s="22"/>
      <c r="IT111" s="22"/>
      <c r="IU111" s="22"/>
      <c r="IV111" s="22"/>
    </row>
    <row r="112" spans="1:256" s="41" customFormat="1" ht="15" customHeight="1">
      <c r="A112" s="25" t="s">
        <v>1178</v>
      </c>
      <c r="B112" s="22"/>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2"/>
      <c r="AP112" s="22"/>
      <c r="AQ112" s="22"/>
      <c r="AR112" s="22"/>
      <c r="AS112" s="22"/>
      <c r="AT112" s="22"/>
      <c r="AU112" s="22"/>
      <c r="AV112" s="22"/>
      <c r="AW112" s="22"/>
      <c r="AX112" s="22"/>
      <c r="AY112" s="22"/>
      <c r="AZ112" s="22"/>
      <c r="BA112" s="22"/>
      <c r="BB112" s="22"/>
      <c r="BC112" s="22"/>
      <c r="BD112" s="22"/>
      <c r="BE112" s="22"/>
      <c r="BF112" s="22"/>
      <c r="BG112" s="22"/>
      <c r="BH112" s="22"/>
      <c r="BI112" s="22"/>
      <c r="BJ112" s="22"/>
      <c r="BK112" s="22"/>
      <c r="BL112" s="22"/>
      <c r="BM112" s="22"/>
      <c r="BN112" s="22"/>
      <c r="BO112" s="22"/>
      <c r="BP112" s="22"/>
      <c r="BQ112" s="22"/>
      <c r="BR112" s="22"/>
      <c r="BS112" s="22"/>
      <c r="BT112" s="22"/>
      <c r="BU112" s="22"/>
      <c r="BV112" s="22"/>
      <c r="BW112" s="22"/>
      <c r="BX112" s="22"/>
      <c r="BY112" s="22"/>
      <c r="BZ112" s="22"/>
      <c r="CA112" s="22"/>
      <c r="CB112" s="22"/>
      <c r="CC112" s="22"/>
      <c r="CD112" s="22"/>
      <c r="CE112" s="22"/>
      <c r="CF112" s="22"/>
      <c r="CG112" s="22"/>
      <c r="CH112" s="22"/>
      <c r="CI112" s="22"/>
      <c r="CJ112" s="22"/>
      <c r="CK112" s="22"/>
      <c r="CL112" s="22"/>
      <c r="CM112" s="22"/>
      <c r="CN112" s="22"/>
      <c r="CO112" s="22"/>
      <c r="CP112" s="22"/>
      <c r="CQ112" s="22"/>
      <c r="CR112" s="22"/>
      <c r="CS112" s="22"/>
      <c r="CT112" s="22"/>
      <c r="CU112" s="22"/>
      <c r="CV112" s="22"/>
      <c r="CW112" s="22"/>
      <c r="CX112" s="22"/>
      <c r="CY112" s="22"/>
      <c r="CZ112" s="22"/>
      <c r="DA112" s="22"/>
      <c r="DB112" s="22"/>
      <c r="DC112" s="22"/>
      <c r="DD112" s="22"/>
      <c r="DE112" s="22"/>
      <c r="DF112" s="22"/>
      <c r="DG112" s="22"/>
      <c r="DH112" s="22"/>
      <c r="DI112" s="22"/>
      <c r="DJ112" s="22"/>
      <c r="DK112" s="22"/>
      <c r="DL112" s="22"/>
      <c r="DM112" s="22"/>
      <c r="DN112" s="22"/>
      <c r="DO112" s="22"/>
      <c r="DP112" s="22"/>
      <c r="DQ112" s="22"/>
      <c r="DR112" s="22"/>
      <c r="DS112" s="22"/>
      <c r="DT112" s="22"/>
      <c r="DU112" s="22"/>
      <c r="DV112" s="22"/>
      <c r="DW112" s="22"/>
      <c r="DX112" s="22"/>
      <c r="DY112" s="22"/>
      <c r="DZ112" s="22"/>
      <c r="EA112" s="22"/>
      <c r="EB112" s="22"/>
      <c r="EC112" s="22"/>
      <c r="ED112" s="22"/>
      <c r="EE112" s="22"/>
      <c r="EF112" s="22"/>
      <c r="EG112" s="22"/>
      <c r="EH112" s="22"/>
      <c r="EI112" s="22"/>
      <c r="EJ112" s="22"/>
      <c r="EK112" s="22"/>
      <c r="EL112" s="22"/>
      <c r="EM112" s="22"/>
      <c r="EN112" s="22"/>
      <c r="EO112" s="22"/>
      <c r="EP112" s="22"/>
      <c r="EQ112" s="22"/>
      <c r="ER112" s="22"/>
      <c r="ES112" s="22"/>
      <c r="ET112" s="22"/>
      <c r="EU112" s="22"/>
      <c r="EV112" s="22"/>
      <c r="EW112" s="22"/>
      <c r="EX112" s="22"/>
      <c r="EY112" s="22"/>
      <c r="EZ112" s="22"/>
      <c r="FA112" s="22"/>
      <c r="FB112" s="22"/>
      <c r="FC112" s="22"/>
      <c r="FD112" s="22"/>
      <c r="FE112" s="22"/>
      <c r="FF112" s="22"/>
      <c r="FG112" s="22"/>
      <c r="FH112" s="22"/>
      <c r="FI112" s="22"/>
      <c r="FJ112" s="22"/>
      <c r="FK112" s="22"/>
      <c r="FL112" s="22"/>
      <c r="FM112" s="22"/>
      <c r="FN112" s="22"/>
      <c r="FO112" s="22"/>
      <c r="FP112" s="22"/>
      <c r="FQ112" s="22"/>
      <c r="FR112" s="22"/>
      <c r="FS112" s="22"/>
      <c r="FT112" s="22"/>
      <c r="FU112" s="22"/>
      <c r="FV112" s="22"/>
      <c r="FW112" s="22"/>
      <c r="FX112" s="22"/>
      <c r="FY112" s="22"/>
      <c r="FZ112" s="22"/>
      <c r="GA112" s="22"/>
      <c r="GB112" s="22"/>
      <c r="GC112" s="22"/>
      <c r="GD112" s="22"/>
      <c r="GE112" s="22"/>
      <c r="GF112" s="22"/>
      <c r="GG112" s="22"/>
      <c r="GH112" s="22"/>
      <c r="GI112" s="22"/>
      <c r="GJ112" s="22"/>
      <c r="GK112" s="22"/>
      <c r="GL112" s="22"/>
      <c r="GM112" s="22"/>
      <c r="GN112" s="22"/>
      <c r="GO112" s="22"/>
      <c r="GP112" s="22"/>
      <c r="GQ112" s="22"/>
      <c r="GR112" s="22"/>
      <c r="GS112" s="22"/>
      <c r="GT112" s="22"/>
      <c r="GU112" s="22"/>
      <c r="GV112" s="22"/>
      <c r="GW112" s="22"/>
      <c r="GX112" s="22"/>
      <c r="GY112" s="22"/>
      <c r="GZ112" s="22"/>
      <c r="HA112" s="22"/>
      <c r="HB112" s="22"/>
      <c r="HC112" s="22"/>
      <c r="HD112" s="22"/>
      <c r="HE112" s="22"/>
      <c r="HF112" s="22"/>
      <c r="HG112" s="22"/>
      <c r="HH112" s="22"/>
      <c r="HI112" s="22"/>
      <c r="HJ112" s="22"/>
      <c r="HK112" s="22"/>
      <c r="HL112" s="22"/>
      <c r="HM112" s="22"/>
      <c r="HN112" s="22"/>
      <c r="HO112" s="22"/>
      <c r="HP112" s="22"/>
      <c r="HQ112" s="22"/>
      <c r="HR112" s="22"/>
      <c r="HS112" s="22"/>
      <c r="HT112" s="22"/>
      <c r="HU112" s="22"/>
      <c r="HV112" s="22"/>
      <c r="HW112" s="22"/>
      <c r="HX112" s="22"/>
      <c r="HY112" s="22"/>
      <c r="HZ112" s="22"/>
      <c r="IA112" s="22"/>
      <c r="IB112" s="22"/>
      <c r="IC112" s="22"/>
      <c r="ID112" s="22"/>
      <c r="IE112" s="22"/>
      <c r="IF112" s="22"/>
      <c r="IG112" s="22"/>
      <c r="IH112" s="22"/>
      <c r="II112" s="22"/>
      <c r="IJ112" s="22"/>
      <c r="IK112" s="22"/>
      <c r="IL112" s="22"/>
      <c r="IM112" s="22"/>
      <c r="IN112" s="22"/>
      <c r="IO112" s="22"/>
      <c r="IP112" s="22"/>
      <c r="IQ112" s="22"/>
      <c r="IR112" s="22"/>
      <c r="IS112" s="22"/>
      <c r="IT112" s="22"/>
      <c r="IU112" s="22"/>
      <c r="IV112" s="22"/>
    </row>
    <row r="113" spans="1:256" s="41" customFormat="1" ht="15" customHeight="1">
      <c r="A113" s="25" t="s">
        <v>1179</v>
      </c>
      <c r="B113" s="22"/>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2"/>
      <c r="AT113" s="22"/>
      <c r="AU113" s="22"/>
      <c r="AV113" s="22"/>
      <c r="AW113" s="22"/>
      <c r="AX113" s="22"/>
      <c r="AY113" s="22"/>
      <c r="AZ113" s="22"/>
      <c r="BA113" s="22"/>
      <c r="BB113" s="22"/>
      <c r="BC113" s="22"/>
      <c r="BD113" s="22"/>
      <c r="BE113" s="22"/>
      <c r="BF113" s="22"/>
      <c r="BG113" s="22"/>
      <c r="BH113" s="22"/>
      <c r="BI113" s="22"/>
      <c r="BJ113" s="22"/>
      <c r="BK113" s="22"/>
      <c r="BL113" s="22"/>
      <c r="BM113" s="22"/>
      <c r="BN113" s="22"/>
      <c r="BO113" s="22"/>
      <c r="BP113" s="22"/>
      <c r="BQ113" s="22"/>
      <c r="BR113" s="22"/>
      <c r="BS113" s="22"/>
      <c r="BT113" s="22"/>
      <c r="BU113" s="22"/>
      <c r="BV113" s="22"/>
      <c r="BW113" s="22"/>
      <c r="BX113" s="22"/>
      <c r="BY113" s="22"/>
      <c r="BZ113" s="22"/>
      <c r="CA113" s="22"/>
      <c r="CB113" s="22"/>
      <c r="CC113" s="22"/>
      <c r="CD113" s="22"/>
      <c r="CE113" s="22"/>
      <c r="CF113" s="22"/>
      <c r="CG113" s="22"/>
      <c r="CH113" s="22"/>
      <c r="CI113" s="22"/>
      <c r="CJ113" s="22"/>
      <c r="CK113" s="22"/>
      <c r="CL113" s="22"/>
      <c r="CM113" s="22"/>
      <c r="CN113" s="22"/>
      <c r="CO113" s="22"/>
      <c r="CP113" s="22"/>
      <c r="CQ113" s="22"/>
      <c r="CR113" s="22"/>
      <c r="CS113" s="22"/>
      <c r="CT113" s="22"/>
      <c r="CU113" s="22"/>
      <c r="CV113" s="22"/>
      <c r="CW113" s="22"/>
      <c r="CX113" s="22"/>
      <c r="CY113" s="22"/>
      <c r="CZ113" s="22"/>
      <c r="DA113" s="22"/>
      <c r="DB113" s="22"/>
      <c r="DC113" s="22"/>
      <c r="DD113" s="22"/>
      <c r="DE113" s="22"/>
      <c r="DF113" s="22"/>
      <c r="DG113" s="22"/>
      <c r="DH113" s="22"/>
      <c r="DI113" s="22"/>
      <c r="DJ113" s="22"/>
      <c r="DK113" s="22"/>
      <c r="DL113" s="22"/>
      <c r="DM113" s="22"/>
      <c r="DN113" s="22"/>
      <c r="DO113" s="22"/>
      <c r="DP113" s="22"/>
      <c r="DQ113" s="22"/>
      <c r="DR113" s="22"/>
      <c r="DS113" s="22"/>
      <c r="DT113" s="22"/>
      <c r="DU113" s="22"/>
      <c r="DV113" s="22"/>
      <c r="DW113" s="22"/>
      <c r="DX113" s="22"/>
      <c r="DY113" s="22"/>
      <c r="DZ113" s="22"/>
      <c r="EA113" s="22"/>
      <c r="EB113" s="22"/>
      <c r="EC113" s="22"/>
      <c r="ED113" s="22"/>
      <c r="EE113" s="22"/>
      <c r="EF113" s="22"/>
      <c r="EG113" s="22"/>
      <c r="EH113" s="22"/>
      <c r="EI113" s="22"/>
      <c r="EJ113" s="22"/>
      <c r="EK113" s="22"/>
      <c r="EL113" s="22"/>
      <c r="EM113" s="22"/>
      <c r="EN113" s="22"/>
      <c r="EO113" s="22"/>
      <c r="EP113" s="22"/>
      <c r="EQ113" s="22"/>
      <c r="ER113" s="22"/>
      <c r="ES113" s="22"/>
      <c r="ET113" s="22"/>
      <c r="EU113" s="22"/>
      <c r="EV113" s="22"/>
      <c r="EW113" s="22"/>
      <c r="EX113" s="22"/>
      <c r="EY113" s="22"/>
      <c r="EZ113" s="22"/>
      <c r="FA113" s="22"/>
      <c r="FB113" s="22"/>
      <c r="FC113" s="22"/>
      <c r="FD113" s="22"/>
      <c r="FE113" s="22"/>
      <c r="FF113" s="22"/>
      <c r="FG113" s="22"/>
      <c r="FH113" s="22"/>
      <c r="FI113" s="22"/>
      <c r="FJ113" s="22"/>
      <c r="FK113" s="22"/>
      <c r="FL113" s="22"/>
      <c r="FM113" s="22"/>
      <c r="FN113" s="22"/>
      <c r="FO113" s="22"/>
      <c r="FP113" s="22"/>
      <c r="FQ113" s="22"/>
      <c r="FR113" s="22"/>
      <c r="FS113" s="22"/>
      <c r="FT113" s="22"/>
      <c r="FU113" s="22"/>
      <c r="FV113" s="22"/>
      <c r="FW113" s="22"/>
      <c r="FX113" s="22"/>
      <c r="FY113" s="22"/>
      <c r="FZ113" s="22"/>
      <c r="GA113" s="22"/>
      <c r="GB113" s="22"/>
      <c r="GC113" s="22"/>
      <c r="GD113" s="22"/>
      <c r="GE113" s="22"/>
      <c r="GF113" s="22"/>
      <c r="GG113" s="22"/>
      <c r="GH113" s="22"/>
      <c r="GI113" s="22"/>
      <c r="GJ113" s="22"/>
      <c r="GK113" s="22"/>
      <c r="GL113" s="22"/>
      <c r="GM113" s="22"/>
      <c r="GN113" s="22"/>
      <c r="GO113" s="22"/>
      <c r="GP113" s="22"/>
      <c r="GQ113" s="22"/>
      <c r="GR113" s="22"/>
      <c r="GS113" s="22"/>
      <c r="GT113" s="22"/>
      <c r="GU113" s="22"/>
      <c r="GV113" s="22"/>
      <c r="GW113" s="22"/>
      <c r="GX113" s="22"/>
      <c r="GY113" s="22"/>
      <c r="GZ113" s="22"/>
      <c r="HA113" s="22"/>
      <c r="HB113" s="22"/>
      <c r="HC113" s="22"/>
      <c r="HD113" s="22"/>
      <c r="HE113" s="22"/>
      <c r="HF113" s="22"/>
      <c r="HG113" s="22"/>
      <c r="HH113" s="22"/>
      <c r="HI113" s="22"/>
      <c r="HJ113" s="22"/>
      <c r="HK113" s="22"/>
      <c r="HL113" s="22"/>
      <c r="HM113" s="22"/>
      <c r="HN113" s="22"/>
      <c r="HO113" s="22"/>
      <c r="HP113" s="22"/>
      <c r="HQ113" s="22"/>
      <c r="HR113" s="22"/>
      <c r="HS113" s="22"/>
      <c r="HT113" s="22"/>
      <c r="HU113" s="22"/>
      <c r="HV113" s="22"/>
      <c r="HW113" s="22"/>
      <c r="HX113" s="22"/>
      <c r="HY113" s="22"/>
      <c r="HZ113" s="22"/>
      <c r="IA113" s="22"/>
      <c r="IB113" s="22"/>
      <c r="IC113" s="22"/>
      <c r="ID113" s="22"/>
      <c r="IE113" s="22"/>
      <c r="IF113" s="22"/>
      <c r="IG113" s="22"/>
      <c r="IH113" s="22"/>
      <c r="II113" s="22"/>
      <c r="IJ113" s="22"/>
      <c r="IK113" s="22"/>
      <c r="IL113" s="22"/>
      <c r="IM113" s="22"/>
      <c r="IN113" s="22"/>
      <c r="IO113" s="22"/>
      <c r="IP113" s="22"/>
      <c r="IQ113" s="22"/>
      <c r="IR113" s="22"/>
      <c r="IS113" s="22"/>
      <c r="IT113" s="22"/>
      <c r="IU113" s="22"/>
      <c r="IV113" s="22"/>
    </row>
    <row r="114" spans="1:256" s="41" customFormat="1" ht="15" customHeight="1">
      <c r="A114" s="25" t="s">
        <v>1180</v>
      </c>
      <c r="B114" s="22"/>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c r="AZ114" s="22"/>
      <c r="BA114" s="22"/>
      <c r="BB114" s="22"/>
      <c r="BC114" s="22"/>
      <c r="BD114" s="22"/>
      <c r="BE114" s="22"/>
      <c r="BF114" s="22"/>
      <c r="BG114" s="22"/>
      <c r="BH114" s="22"/>
      <c r="BI114" s="22"/>
      <c r="BJ114" s="22"/>
      <c r="BK114" s="22"/>
      <c r="BL114" s="22"/>
      <c r="BM114" s="22"/>
      <c r="BN114" s="22"/>
      <c r="BO114" s="22"/>
      <c r="BP114" s="22"/>
      <c r="BQ114" s="22"/>
      <c r="BR114" s="22"/>
      <c r="BS114" s="22"/>
      <c r="BT114" s="22"/>
      <c r="BU114" s="22"/>
      <c r="BV114" s="22"/>
      <c r="BW114" s="22"/>
      <c r="BX114" s="22"/>
      <c r="BY114" s="22"/>
      <c r="BZ114" s="22"/>
      <c r="CA114" s="22"/>
      <c r="CB114" s="22"/>
      <c r="CC114" s="22"/>
      <c r="CD114" s="22"/>
      <c r="CE114" s="22"/>
      <c r="CF114" s="22"/>
      <c r="CG114" s="22"/>
      <c r="CH114" s="22"/>
      <c r="CI114" s="22"/>
      <c r="CJ114" s="22"/>
      <c r="CK114" s="22"/>
      <c r="CL114" s="22"/>
      <c r="CM114" s="22"/>
      <c r="CN114" s="22"/>
      <c r="CO114" s="22"/>
      <c r="CP114" s="22"/>
      <c r="CQ114" s="22"/>
      <c r="CR114" s="22"/>
      <c r="CS114" s="22"/>
      <c r="CT114" s="22"/>
      <c r="CU114" s="22"/>
      <c r="CV114" s="22"/>
      <c r="CW114" s="22"/>
      <c r="CX114" s="22"/>
      <c r="CY114" s="22"/>
      <c r="CZ114" s="22"/>
      <c r="DA114" s="22"/>
      <c r="DB114" s="22"/>
      <c r="DC114" s="22"/>
      <c r="DD114" s="22"/>
      <c r="DE114" s="22"/>
      <c r="DF114" s="22"/>
      <c r="DG114" s="22"/>
      <c r="DH114" s="22"/>
      <c r="DI114" s="22"/>
      <c r="DJ114" s="22"/>
      <c r="DK114" s="22"/>
      <c r="DL114" s="22"/>
      <c r="DM114" s="22"/>
      <c r="DN114" s="22"/>
      <c r="DO114" s="22"/>
      <c r="DP114" s="22"/>
      <c r="DQ114" s="22"/>
      <c r="DR114" s="22"/>
      <c r="DS114" s="22"/>
      <c r="DT114" s="22"/>
      <c r="DU114" s="22"/>
      <c r="DV114" s="22"/>
      <c r="DW114" s="22"/>
      <c r="DX114" s="22"/>
      <c r="DY114" s="22"/>
      <c r="DZ114" s="22"/>
      <c r="EA114" s="22"/>
      <c r="EB114" s="22"/>
      <c r="EC114" s="22"/>
      <c r="ED114" s="22"/>
      <c r="EE114" s="22"/>
      <c r="EF114" s="22"/>
      <c r="EG114" s="22"/>
      <c r="EH114" s="22"/>
      <c r="EI114" s="22"/>
      <c r="EJ114" s="22"/>
      <c r="EK114" s="22"/>
      <c r="EL114" s="22"/>
      <c r="EM114" s="22"/>
      <c r="EN114" s="22"/>
      <c r="EO114" s="22"/>
      <c r="EP114" s="22"/>
      <c r="EQ114" s="22"/>
      <c r="ER114" s="22"/>
      <c r="ES114" s="22"/>
      <c r="ET114" s="22"/>
      <c r="EU114" s="22"/>
      <c r="EV114" s="22"/>
      <c r="EW114" s="22"/>
      <c r="EX114" s="22"/>
      <c r="EY114" s="22"/>
      <c r="EZ114" s="22"/>
      <c r="FA114" s="22"/>
      <c r="FB114" s="22"/>
      <c r="FC114" s="22"/>
      <c r="FD114" s="22"/>
      <c r="FE114" s="22"/>
      <c r="FF114" s="22"/>
      <c r="FG114" s="22"/>
      <c r="FH114" s="22"/>
      <c r="FI114" s="22"/>
      <c r="FJ114" s="22"/>
      <c r="FK114" s="22"/>
      <c r="FL114" s="22"/>
      <c r="FM114" s="22"/>
      <c r="FN114" s="22"/>
      <c r="FO114" s="22"/>
      <c r="FP114" s="22"/>
      <c r="FQ114" s="22"/>
      <c r="FR114" s="22"/>
      <c r="FS114" s="22"/>
      <c r="FT114" s="22"/>
      <c r="FU114" s="22"/>
      <c r="FV114" s="22"/>
      <c r="FW114" s="22"/>
      <c r="FX114" s="22"/>
      <c r="FY114" s="22"/>
      <c r="FZ114" s="22"/>
      <c r="GA114" s="22"/>
      <c r="GB114" s="22"/>
      <c r="GC114" s="22"/>
      <c r="GD114" s="22"/>
      <c r="GE114" s="22"/>
      <c r="GF114" s="22"/>
      <c r="GG114" s="22"/>
      <c r="GH114" s="22"/>
      <c r="GI114" s="22"/>
      <c r="GJ114" s="22"/>
      <c r="GK114" s="22"/>
      <c r="GL114" s="22"/>
      <c r="GM114" s="22"/>
      <c r="GN114" s="22"/>
      <c r="GO114" s="22"/>
      <c r="GP114" s="22"/>
      <c r="GQ114" s="22"/>
      <c r="GR114" s="22"/>
      <c r="GS114" s="22"/>
      <c r="GT114" s="22"/>
      <c r="GU114" s="22"/>
      <c r="GV114" s="22"/>
      <c r="GW114" s="22"/>
      <c r="GX114" s="22"/>
      <c r="GY114" s="22"/>
      <c r="GZ114" s="22"/>
      <c r="HA114" s="22"/>
      <c r="HB114" s="22"/>
      <c r="HC114" s="22"/>
      <c r="HD114" s="22"/>
      <c r="HE114" s="22"/>
      <c r="HF114" s="22"/>
      <c r="HG114" s="22"/>
      <c r="HH114" s="22"/>
      <c r="HI114" s="22"/>
      <c r="HJ114" s="22"/>
      <c r="HK114" s="22"/>
      <c r="HL114" s="22"/>
      <c r="HM114" s="22"/>
      <c r="HN114" s="22"/>
      <c r="HO114" s="22"/>
      <c r="HP114" s="22"/>
      <c r="HQ114" s="22"/>
      <c r="HR114" s="22"/>
      <c r="HS114" s="22"/>
      <c r="HT114" s="22"/>
      <c r="HU114" s="22"/>
      <c r="HV114" s="22"/>
      <c r="HW114" s="22"/>
      <c r="HX114" s="22"/>
      <c r="HY114" s="22"/>
      <c r="HZ114" s="22"/>
      <c r="IA114" s="22"/>
      <c r="IB114" s="22"/>
      <c r="IC114" s="22"/>
      <c r="ID114" s="22"/>
      <c r="IE114" s="22"/>
      <c r="IF114" s="22"/>
      <c r="IG114" s="22"/>
      <c r="IH114" s="22"/>
      <c r="II114" s="22"/>
      <c r="IJ114" s="22"/>
      <c r="IK114" s="22"/>
      <c r="IL114" s="22"/>
      <c r="IM114" s="22"/>
      <c r="IN114" s="22"/>
      <c r="IO114" s="22"/>
      <c r="IP114" s="22"/>
      <c r="IQ114" s="22"/>
      <c r="IR114" s="22"/>
      <c r="IS114" s="22"/>
      <c r="IT114" s="22"/>
      <c r="IU114" s="22"/>
      <c r="IV114" s="22"/>
    </row>
    <row r="115" spans="1:256" s="56" customFormat="1" ht="15" customHeight="1">
      <c r="A115" s="54" t="s">
        <v>1181</v>
      </c>
      <c r="B115" s="55"/>
      <c r="C115" s="33"/>
      <c r="D115" s="33"/>
      <c r="E115" s="33"/>
      <c r="F115" s="33"/>
      <c r="G115" s="33"/>
      <c r="H115" s="33"/>
      <c r="I115" s="33"/>
      <c r="J115" s="55"/>
      <c r="K115" s="55"/>
      <c r="L115" s="55"/>
      <c r="M115" s="55"/>
      <c r="N115" s="55"/>
      <c r="O115" s="55"/>
      <c r="P115" s="55"/>
      <c r="Q115" s="55"/>
      <c r="R115" s="55"/>
      <c r="S115" s="55"/>
      <c r="T115" s="33"/>
      <c r="U115" s="33"/>
      <c r="V115" s="55"/>
      <c r="W115" s="55"/>
      <c r="X115" s="55"/>
      <c r="Y115" s="55"/>
      <c r="Z115" s="55"/>
      <c r="AA115" s="55"/>
      <c r="AB115" s="55"/>
      <c r="AC115" s="55"/>
      <c r="AD115" s="55"/>
      <c r="AE115" s="55"/>
      <c r="AF115" s="55"/>
      <c r="AG115" s="55"/>
      <c r="AH115" s="55"/>
      <c r="AI115" s="55"/>
      <c r="AJ115" s="55"/>
      <c r="AK115" s="55"/>
      <c r="AL115" s="55"/>
      <c r="AM115" s="55"/>
      <c r="AN115" s="55"/>
      <c r="AO115" s="55"/>
      <c r="AP115" s="55"/>
      <c r="AQ115" s="55"/>
      <c r="AR115" s="55"/>
      <c r="AS115" s="55"/>
      <c r="AT115" s="55"/>
      <c r="AU115" s="55"/>
      <c r="AV115" s="55"/>
      <c r="AW115" s="55"/>
      <c r="AX115" s="55"/>
      <c r="AY115" s="55"/>
      <c r="AZ115" s="55"/>
      <c r="BA115" s="55"/>
      <c r="BB115" s="55"/>
      <c r="BC115" s="55"/>
      <c r="BD115" s="55"/>
      <c r="BE115" s="55"/>
      <c r="BF115" s="55"/>
      <c r="BG115" s="55"/>
      <c r="BH115" s="55"/>
      <c r="BI115" s="55"/>
      <c r="BJ115" s="55"/>
      <c r="BK115" s="55"/>
      <c r="BL115" s="55"/>
      <c r="BM115" s="55"/>
      <c r="BN115" s="55"/>
      <c r="BO115" s="55"/>
      <c r="BP115" s="55"/>
      <c r="BQ115" s="55"/>
      <c r="BR115" s="55"/>
      <c r="BS115" s="55"/>
      <c r="BT115" s="55"/>
      <c r="BU115" s="55"/>
      <c r="BV115" s="55"/>
      <c r="BW115" s="55"/>
      <c r="BX115" s="55"/>
    </row>
    <row r="116" spans="1:256" s="19" customFormat="1" ht="15" customHeight="1">
      <c r="A116" s="27" t="s">
        <v>1182</v>
      </c>
      <c r="B116" s="49"/>
      <c r="C116" s="29"/>
      <c r="D116" s="29"/>
      <c r="E116" s="29"/>
      <c r="F116" s="29"/>
      <c r="G116" s="29"/>
      <c r="H116" s="29"/>
      <c r="I116" s="29"/>
      <c r="J116" s="45"/>
      <c r="K116" s="45"/>
      <c r="L116" s="45"/>
      <c r="M116" s="45"/>
      <c r="N116" s="45"/>
      <c r="O116" s="45"/>
      <c r="P116" s="45"/>
      <c r="Q116" s="45"/>
      <c r="R116" s="45"/>
      <c r="S116" s="45"/>
      <c r="T116" s="29"/>
      <c r="U116" s="29"/>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c r="BF116" s="45"/>
      <c r="BG116" s="45"/>
      <c r="BH116" s="45"/>
      <c r="BI116" s="45"/>
      <c r="BJ116" s="45"/>
      <c r="BK116" s="45"/>
      <c r="BL116" s="45"/>
      <c r="BM116" s="45"/>
      <c r="BN116" s="45"/>
      <c r="BO116" s="45"/>
      <c r="BP116" s="45"/>
      <c r="BQ116" s="45"/>
      <c r="BR116" s="45"/>
      <c r="BS116" s="45"/>
      <c r="BT116" s="45"/>
      <c r="BU116" s="45"/>
      <c r="BV116" s="45"/>
      <c r="BW116" s="45"/>
      <c r="BX116" s="45"/>
    </row>
    <row r="117" spans="1:256" s="41" customFormat="1" ht="15" customHeight="1">
      <c r="A117" s="25" t="s">
        <v>1183</v>
      </c>
      <c r="B117" s="22"/>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c r="BH117" s="22"/>
      <c r="BI117" s="22"/>
      <c r="BJ117" s="22"/>
      <c r="BK117" s="22"/>
      <c r="BL117" s="22"/>
      <c r="BM117" s="22"/>
      <c r="BN117" s="22"/>
      <c r="BO117" s="22"/>
      <c r="BP117" s="22"/>
      <c r="BQ117" s="22"/>
      <c r="BR117" s="22"/>
      <c r="BS117" s="22"/>
      <c r="BT117" s="22"/>
      <c r="BU117" s="22"/>
      <c r="BV117" s="22"/>
      <c r="BW117" s="22"/>
      <c r="BX117" s="22"/>
      <c r="BY117" s="22"/>
      <c r="BZ117" s="22"/>
      <c r="CA117" s="22"/>
      <c r="CB117" s="22"/>
      <c r="CC117" s="22"/>
      <c r="CD117" s="22"/>
      <c r="CE117" s="22"/>
      <c r="CF117" s="22"/>
      <c r="CG117" s="22"/>
      <c r="CH117" s="22"/>
      <c r="CI117" s="22"/>
      <c r="CJ117" s="22"/>
      <c r="CK117" s="22"/>
      <c r="CL117" s="22"/>
      <c r="CM117" s="22"/>
      <c r="CN117" s="22"/>
      <c r="CO117" s="22"/>
      <c r="CP117" s="22"/>
      <c r="CQ117" s="22"/>
      <c r="CR117" s="22"/>
      <c r="CS117" s="22"/>
      <c r="CT117" s="22"/>
      <c r="CU117" s="22"/>
      <c r="CV117" s="22"/>
      <c r="CW117" s="22"/>
      <c r="CX117" s="22"/>
      <c r="CY117" s="22"/>
      <c r="CZ117" s="22"/>
      <c r="DA117" s="22"/>
      <c r="DB117" s="22"/>
      <c r="DC117" s="22"/>
      <c r="DD117" s="22"/>
      <c r="DE117" s="22"/>
      <c r="DF117" s="22"/>
      <c r="DG117" s="22"/>
      <c r="DH117" s="22"/>
      <c r="DI117" s="22"/>
      <c r="DJ117" s="22"/>
      <c r="DK117" s="22"/>
      <c r="DL117" s="22"/>
      <c r="DM117" s="22"/>
      <c r="DN117" s="22"/>
      <c r="DO117" s="22"/>
      <c r="DP117" s="22"/>
      <c r="DQ117" s="22"/>
      <c r="DR117" s="22"/>
      <c r="DS117" s="22"/>
      <c r="DT117" s="22"/>
      <c r="DU117" s="22"/>
      <c r="DV117" s="22"/>
      <c r="DW117" s="22"/>
      <c r="DX117" s="22"/>
      <c r="DY117" s="22"/>
      <c r="DZ117" s="22"/>
      <c r="EA117" s="22"/>
      <c r="EB117" s="22"/>
      <c r="EC117" s="22"/>
      <c r="ED117" s="22"/>
      <c r="EE117" s="22"/>
      <c r="EF117" s="22"/>
      <c r="EG117" s="22"/>
      <c r="EH117" s="22"/>
      <c r="EI117" s="22"/>
      <c r="EJ117" s="22"/>
      <c r="EK117" s="22"/>
      <c r="EL117" s="22"/>
      <c r="EM117" s="22"/>
      <c r="EN117" s="22"/>
      <c r="EO117" s="22"/>
      <c r="EP117" s="22"/>
      <c r="EQ117" s="22"/>
      <c r="ER117" s="22"/>
      <c r="ES117" s="22"/>
      <c r="ET117" s="22"/>
      <c r="EU117" s="22"/>
      <c r="EV117" s="22"/>
      <c r="EW117" s="22"/>
      <c r="EX117" s="22"/>
      <c r="EY117" s="22"/>
      <c r="EZ117" s="22"/>
      <c r="FA117" s="22"/>
      <c r="FB117" s="22"/>
      <c r="FC117" s="22"/>
      <c r="FD117" s="22"/>
      <c r="FE117" s="22"/>
      <c r="FF117" s="22"/>
      <c r="FG117" s="22"/>
      <c r="FH117" s="22"/>
      <c r="FI117" s="22"/>
      <c r="FJ117" s="22"/>
      <c r="FK117" s="22"/>
      <c r="FL117" s="22"/>
      <c r="FM117" s="22"/>
      <c r="FN117" s="22"/>
      <c r="FO117" s="22"/>
      <c r="FP117" s="22"/>
      <c r="FQ117" s="22"/>
      <c r="FR117" s="22"/>
      <c r="FS117" s="22"/>
      <c r="FT117" s="22"/>
      <c r="FU117" s="22"/>
      <c r="FV117" s="22"/>
      <c r="FW117" s="22"/>
      <c r="FX117" s="22"/>
      <c r="FY117" s="22"/>
      <c r="FZ117" s="22"/>
      <c r="GA117" s="22"/>
      <c r="GB117" s="22"/>
      <c r="GC117" s="22"/>
      <c r="GD117" s="22"/>
      <c r="GE117" s="22"/>
      <c r="GF117" s="22"/>
      <c r="GG117" s="22"/>
      <c r="GH117" s="22"/>
      <c r="GI117" s="22"/>
      <c r="GJ117" s="22"/>
      <c r="GK117" s="22"/>
      <c r="GL117" s="22"/>
      <c r="GM117" s="22"/>
      <c r="GN117" s="22"/>
      <c r="GO117" s="22"/>
      <c r="GP117" s="22"/>
      <c r="GQ117" s="22"/>
      <c r="GR117" s="22"/>
      <c r="GS117" s="22"/>
      <c r="GT117" s="22"/>
      <c r="GU117" s="22"/>
      <c r="GV117" s="22"/>
      <c r="GW117" s="22"/>
      <c r="GX117" s="22"/>
      <c r="GY117" s="22"/>
      <c r="GZ117" s="22"/>
      <c r="HA117" s="22"/>
      <c r="HB117" s="22"/>
      <c r="HC117" s="22"/>
      <c r="HD117" s="22"/>
      <c r="HE117" s="22"/>
      <c r="HF117" s="22"/>
      <c r="HG117" s="22"/>
      <c r="HH117" s="22"/>
      <c r="HI117" s="22"/>
      <c r="HJ117" s="22"/>
      <c r="HK117" s="22"/>
      <c r="HL117" s="22"/>
      <c r="HM117" s="22"/>
      <c r="HN117" s="22"/>
      <c r="HO117" s="22"/>
      <c r="HP117" s="22"/>
      <c r="HQ117" s="22"/>
      <c r="HR117" s="22"/>
      <c r="HS117" s="22"/>
      <c r="HT117" s="22"/>
      <c r="HU117" s="22"/>
      <c r="HV117" s="22"/>
      <c r="HW117" s="22"/>
      <c r="HX117" s="22"/>
      <c r="HY117" s="22"/>
      <c r="HZ117" s="22"/>
      <c r="IA117" s="22"/>
      <c r="IB117" s="22"/>
      <c r="IC117" s="22"/>
      <c r="ID117" s="22"/>
      <c r="IE117" s="22"/>
      <c r="IF117" s="22"/>
      <c r="IG117" s="22"/>
      <c r="IH117" s="22"/>
      <c r="II117" s="22"/>
      <c r="IJ117" s="22"/>
      <c r="IK117" s="22"/>
      <c r="IL117" s="22"/>
      <c r="IM117" s="22"/>
      <c r="IN117" s="22"/>
      <c r="IO117" s="22"/>
      <c r="IP117" s="22"/>
      <c r="IQ117" s="22"/>
      <c r="IR117" s="22"/>
      <c r="IS117" s="22"/>
      <c r="IT117" s="22"/>
      <c r="IU117" s="22"/>
      <c r="IV117" s="22"/>
    </row>
    <row r="118" spans="1:256" s="41" customFormat="1" ht="15" customHeight="1">
      <c r="A118" s="25" t="s">
        <v>1184</v>
      </c>
      <c r="B118" s="22"/>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c r="BH118" s="22"/>
      <c r="BI118" s="22"/>
      <c r="BJ118" s="22"/>
      <c r="BK118" s="22"/>
      <c r="BL118" s="22"/>
      <c r="BM118" s="22"/>
      <c r="BN118" s="22"/>
      <c r="BO118" s="22"/>
      <c r="BP118" s="22"/>
      <c r="BQ118" s="22"/>
      <c r="BR118" s="22"/>
      <c r="BS118" s="22"/>
      <c r="BT118" s="22"/>
      <c r="BU118" s="22"/>
      <c r="BV118" s="22"/>
      <c r="BW118" s="22"/>
      <c r="BX118" s="22"/>
      <c r="BY118" s="22"/>
      <c r="BZ118" s="22"/>
      <c r="CA118" s="22"/>
      <c r="CB118" s="22"/>
      <c r="CC118" s="22"/>
      <c r="CD118" s="22"/>
      <c r="CE118" s="22"/>
      <c r="CF118" s="22"/>
      <c r="CG118" s="22"/>
      <c r="CH118" s="22"/>
      <c r="CI118" s="22"/>
      <c r="CJ118" s="22"/>
      <c r="CK118" s="22"/>
      <c r="CL118" s="22"/>
      <c r="CM118" s="22"/>
      <c r="CN118" s="22"/>
      <c r="CO118" s="22"/>
      <c r="CP118" s="22"/>
      <c r="CQ118" s="22"/>
      <c r="CR118" s="22"/>
      <c r="CS118" s="22"/>
      <c r="CT118" s="22"/>
      <c r="CU118" s="22"/>
      <c r="CV118" s="22"/>
      <c r="CW118" s="22"/>
      <c r="CX118" s="22"/>
      <c r="CY118" s="22"/>
      <c r="CZ118" s="22"/>
      <c r="DA118" s="22"/>
      <c r="DB118" s="22"/>
      <c r="DC118" s="22"/>
      <c r="DD118" s="22"/>
      <c r="DE118" s="22"/>
      <c r="DF118" s="22"/>
      <c r="DG118" s="22"/>
      <c r="DH118" s="22"/>
      <c r="DI118" s="22"/>
      <c r="DJ118" s="22"/>
      <c r="DK118" s="22"/>
      <c r="DL118" s="22"/>
      <c r="DM118" s="22"/>
      <c r="DN118" s="22"/>
      <c r="DO118" s="22"/>
      <c r="DP118" s="22"/>
      <c r="DQ118" s="22"/>
      <c r="DR118" s="22"/>
      <c r="DS118" s="22"/>
      <c r="DT118" s="22"/>
      <c r="DU118" s="22"/>
      <c r="DV118" s="22"/>
      <c r="DW118" s="22"/>
      <c r="DX118" s="22"/>
      <c r="DY118" s="22"/>
      <c r="DZ118" s="22"/>
      <c r="EA118" s="22"/>
      <c r="EB118" s="22"/>
      <c r="EC118" s="22"/>
      <c r="ED118" s="22"/>
      <c r="EE118" s="22"/>
      <c r="EF118" s="22"/>
      <c r="EG118" s="22"/>
      <c r="EH118" s="22"/>
      <c r="EI118" s="22"/>
      <c r="EJ118" s="22"/>
      <c r="EK118" s="22"/>
      <c r="EL118" s="22"/>
      <c r="EM118" s="22"/>
      <c r="EN118" s="22"/>
      <c r="EO118" s="22"/>
      <c r="EP118" s="22"/>
      <c r="EQ118" s="22"/>
      <c r="ER118" s="22"/>
      <c r="ES118" s="22"/>
      <c r="ET118" s="22"/>
      <c r="EU118" s="22"/>
      <c r="EV118" s="22"/>
      <c r="EW118" s="22"/>
      <c r="EX118" s="22"/>
      <c r="EY118" s="22"/>
      <c r="EZ118" s="22"/>
      <c r="FA118" s="22"/>
      <c r="FB118" s="22"/>
      <c r="FC118" s="22"/>
      <c r="FD118" s="22"/>
      <c r="FE118" s="22"/>
      <c r="FF118" s="22"/>
      <c r="FG118" s="22"/>
      <c r="FH118" s="22"/>
      <c r="FI118" s="22"/>
      <c r="FJ118" s="22"/>
      <c r="FK118" s="22"/>
      <c r="FL118" s="22"/>
      <c r="FM118" s="22"/>
      <c r="FN118" s="22"/>
      <c r="FO118" s="22"/>
      <c r="FP118" s="22"/>
      <c r="FQ118" s="22"/>
      <c r="FR118" s="22"/>
      <c r="FS118" s="22"/>
      <c r="FT118" s="22"/>
      <c r="FU118" s="22"/>
      <c r="FV118" s="22"/>
      <c r="FW118" s="22"/>
      <c r="FX118" s="22"/>
      <c r="FY118" s="22"/>
      <c r="FZ118" s="22"/>
      <c r="GA118" s="22"/>
      <c r="GB118" s="22"/>
      <c r="GC118" s="22"/>
      <c r="GD118" s="22"/>
      <c r="GE118" s="22"/>
      <c r="GF118" s="22"/>
      <c r="GG118" s="22"/>
      <c r="GH118" s="22"/>
      <c r="GI118" s="22"/>
      <c r="GJ118" s="22"/>
      <c r="GK118" s="22"/>
      <c r="GL118" s="22"/>
      <c r="GM118" s="22"/>
      <c r="GN118" s="22"/>
      <c r="GO118" s="22"/>
      <c r="GP118" s="22"/>
      <c r="GQ118" s="22"/>
      <c r="GR118" s="22"/>
      <c r="GS118" s="22"/>
      <c r="GT118" s="22"/>
      <c r="GU118" s="22"/>
      <c r="GV118" s="22"/>
      <c r="GW118" s="22"/>
      <c r="GX118" s="22"/>
      <c r="GY118" s="22"/>
      <c r="GZ118" s="22"/>
      <c r="HA118" s="22"/>
      <c r="HB118" s="22"/>
      <c r="HC118" s="22"/>
      <c r="HD118" s="22"/>
      <c r="HE118" s="22"/>
      <c r="HF118" s="22"/>
      <c r="HG118" s="22"/>
      <c r="HH118" s="22"/>
      <c r="HI118" s="22"/>
      <c r="HJ118" s="22"/>
      <c r="HK118" s="22"/>
      <c r="HL118" s="22"/>
      <c r="HM118" s="22"/>
      <c r="HN118" s="22"/>
      <c r="HO118" s="22"/>
      <c r="HP118" s="22"/>
      <c r="HQ118" s="22"/>
      <c r="HR118" s="22"/>
      <c r="HS118" s="22"/>
      <c r="HT118" s="22"/>
      <c r="HU118" s="22"/>
      <c r="HV118" s="22"/>
      <c r="HW118" s="22"/>
      <c r="HX118" s="22"/>
      <c r="HY118" s="22"/>
      <c r="HZ118" s="22"/>
      <c r="IA118" s="22"/>
      <c r="IB118" s="22"/>
      <c r="IC118" s="22"/>
      <c r="ID118" s="22"/>
      <c r="IE118" s="22"/>
      <c r="IF118" s="22"/>
      <c r="IG118" s="22"/>
      <c r="IH118" s="22"/>
      <c r="II118" s="22"/>
      <c r="IJ118" s="22"/>
      <c r="IK118" s="22"/>
      <c r="IL118" s="22"/>
      <c r="IM118" s="22"/>
      <c r="IN118" s="22"/>
      <c r="IO118" s="22"/>
      <c r="IP118" s="22"/>
      <c r="IQ118" s="22"/>
      <c r="IR118" s="22"/>
      <c r="IS118" s="22"/>
      <c r="IT118" s="22"/>
      <c r="IU118" s="22"/>
      <c r="IV118" s="22"/>
    </row>
    <row r="119" spans="1:256" s="41" customFormat="1" ht="15" customHeight="1">
      <c r="A119" s="25" t="s">
        <v>1185</v>
      </c>
      <c r="B119" s="22"/>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c r="BH119" s="22"/>
      <c r="BI119" s="22"/>
      <c r="BJ119" s="22"/>
      <c r="BK119" s="22"/>
      <c r="BL119" s="22"/>
      <c r="BM119" s="22"/>
      <c r="BN119" s="22"/>
      <c r="BO119" s="22"/>
      <c r="BP119" s="22"/>
      <c r="BQ119" s="22"/>
      <c r="BR119" s="22"/>
      <c r="BS119" s="22"/>
      <c r="BT119" s="22"/>
      <c r="BU119" s="22"/>
      <c r="BV119" s="22"/>
      <c r="BW119" s="22"/>
      <c r="BX119" s="22"/>
      <c r="BY119" s="22"/>
      <c r="BZ119" s="22"/>
      <c r="CA119" s="22"/>
      <c r="CB119" s="22"/>
      <c r="CC119" s="22"/>
      <c r="CD119" s="22"/>
      <c r="CE119" s="22"/>
      <c r="CF119" s="22"/>
      <c r="CG119" s="22"/>
      <c r="CH119" s="22"/>
      <c r="CI119" s="22"/>
      <c r="CJ119" s="22"/>
      <c r="CK119" s="22"/>
      <c r="CL119" s="22"/>
      <c r="CM119" s="22"/>
      <c r="CN119" s="22"/>
      <c r="CO119" s="22"/>
      <c r="CP119" s="22"/>
      <c r="CQ119" s="22"/>
      <c r="CR119" s="22"/>
      <c r="CS119" s="22"/>
      <c r="CT119" s="22"/>
      <c r="CU119" s="22"/>
      <c r="CV119" s="22"/>
      <c r="CW119" s="22"/>
      <c r="CX119" s="22"/>
      <c r="CY119" s="22"/>
      <c r="CZ119" s="22"/>
      <c r="DA119" s="22"/>
      <c r="DB119" s="22"/>
      <c r="DC119" s="22"/>
      <c r="DD119" s="22"/>
      <c r="DE119" s="22"/>
      <c r="DF119" s="22"/>
      <c r="DG119" s="22"/>
      <c r="DH119" s="22"/>
      <c r="DI119" s="22"/>
      <c r="DJ119" s="22"/>
      <c r="DK119" s="22"/>
      <c r="DL119" s="22"/>
      <c r="DM119" s="22"/>
      <c r="DN119" s="22"/>
      <c r="DO119" s="22"/>
      <c r="DP119" s="22"/>
      <c r="DQ119" s="22"/>
      <c r="DR119" s="22"/>
      <c r="DS119" s="22"/>
      <c r="DT119" s="22"/>
      <c r="DU119" s="22"/>
      <c r="DV119" s="22"/>
      <c r="DW119" s="22"/>
      <c r="DX119" s="22"/>
      <c r="DY119" s="22"/>
      <c r="DZ119" s="22"/>
      <c r="EA119" s="22"/>
      <c r="EB119" s="22"/>
      <c r="EC119" s="22"/>
      <c r="ED119" s="22"/>
      <c r="EE119" s="22"/>
      <c r="EF119" s="22"/>
      <c r="EG119" s="22"/>
      <c r="EH119" s="22"/>
      <c r="EI119" s="22"/>
      <c r="EJ119" s="22"/>
      <c r="EK119" s="22"/>
      <c r="EL119" s="22"/>
      <c r="EM119" s="22"/>
      <c r="EN119" s="22"/>
      <c r="EO119" s="22"/>
      <c r="EP119" s="22"/>
      <c r="EQ119" s="22"/>
      <c r="ER119" s="22"/>
      <c r="ES119" s="22"/>
      <c r="ET119" s="22"/>
      <c r="EU119" s="22"/>
      <c r="EV119" s="22"/>
      <c r="EW119" s="22"/>
      <c r="EX119" s="22"/>
      <c r="EY119" s="22"/>
      <c r="EZ119" s="22"/>
      <c r="FA119" s="22"/>
      <c r="FB119" s="22"/>
      <c r="FC119" s="22"/>
      <c r="FD119" s="22"/>
      <c r="FE119" s="22"/>
      <c r="FF119" s="22"/>
      <c r="FG119" s="22"/>
      <c r="FH119" s="22"/>
      <c r="FI119" s="22"/>
      <c r="FJ119" s="22"/>
      <c r="FK119" s="22"/>
      <c r="FL119" s="22"/>
      <c r="FM119" s="22"/>
      <c r="FN119" s="22"/>
      <c r="FO119" s="22"/>
      <c r="FP119" s="22"/>
      <c r="FQ119" s="22"/>
      <c r="FR119" s="22"/>
      <c r="FS119" s="22"/>
      <c r="FT119" s="22"/>
      <c r="FU119" s="22"/>
      <c r="FV119" s="22"/>
      <c r="FW119" s="22"/>
      <c r="FX119" s="22"/>
      <c r="FY119" s="22"/>
      <c r="FZ119" s="22"/>
      <c r="GA119" s="22"/>
      <c r="GB119" s="22"/>
      <c r="GC119" s="22"/>
      <c r="GD119" s="22"/>
      <c r="GE119" s="22"/>
      <c r="GF119" s="22"/>
      <c r="GG119" s="22"/>
      <c r="GH119" s="22"/>
      <c r="GI119" s="22"/>
      <c r="GJ119" s="22"/>
      <c r="GK119" s="22"/>
      <c r="GL119" s="22"/>
      <c r="GM119" s="22"/>
      <c r="GN119" s="22"/>
      <c r="GO119" s="22"/>
      <c r="GP119" s="22"/>
      <c r="GQ119" s="22"/>
      <c r="GR119" s="22"/>
      <c r="GS119" s="22"/>
      <c r="GT119" s="22"/>
      <c r="GU119" s="22"/>
      <c r="GV119" s="22"/>
      <c r="GW119" s="22"/>
      <c r="GX119" s="22"/>
      <c r="GY119" s="22"/>
      <c r="GZ119" s="22"/>
      <c r="HA119" s="22"/>
      <c r="HB119" s="22"/>
      <c r="HC119" s="22"/>
      <c r="HD119" s="22"/>
      <c r="HE119" s="22"/>
      <c r="HF119" s="22"/>
      <c r="HG119" s="22"/>
      <c r="HH119" s="22"/>
      <c r="HI119" s="22"/>
      <c r="HJ119" s="22"/>
      <c r="HK119" s="22"/>
      <c r="HL119" s="22"/>
      <c r="HM119" s="22"/>
      <c r="HN119" s="22"/>
      <c r="HO119" s="22"/>
      <c r="HP119" s="22"/>
      <c r="HQ119" s="22"/>
      <c r="HR119" s="22"/>
      <c r="HS119" s="22"/>
      <c r="HT119" s="22"/>
      <c r="HU119" s="22"/>
      <c r="HV119" s="22"/>
      <c r="HW119" s="22"/>
      <c r="HX119" s="22"/>
      <c r="HY119" s="22"/>
      <c r="HZ119" s="22"/>
      <c r="IA119" s="22"/>
      <c r="IB119" s="22"/>
      <c r="IC119" s="22"/>
      <c r="ID119" s="22"/>
      <c r="IE119" s="22"/>
      <c r="IF119" s="22"/>
      <c r="IG119" s="22"/>
      <c r="IH119" s="22"/>
      <c r="II119" s="22"/>
      <c r="IJ119" s="22"/>
      <c r="IK119" s="22"/>
      <c r="IL119" s="22"/>
      <c r="IM119" s="22"/>
      <c r="IN119" s="22"/>
      <c r="IO119" s="22"/>
      <c r="IP119" s="22"/>
      <c r="IQ119" s="22"/>
      <c r="IR119" s="22"/>
      <c r="IS119" s="22"/>
      <c r="IT119" s="22"/>
      <c r="IU119" s="22"/>
      <c r="IV119" s="22"/>
    </row>
    <row r="120" spans="1:256" s="41" customFormat="1" ht="15" customHeight="1">
      <c r="A120" s="25" t="s">
        <v>1186</v>
      </c>
      <c r="B120" s="22"/>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c r="BH120" s="22"/>
      <c r="BI120" s="22"/>
      <c r="BJ120" s="22"/>
      <c r="BK120" s="22"/>
      <c r="BL120" s="22"/>
      <c r="BM120" s="22"/>
      <c r="BN120" s="22"/>
      <c r="BO120" s="22"/>
      <c r="BP120" s="22"/>
      <c r="BQ120" s="22"/>
      <c r="BR120" s="22"/>
      <c r="BS120" s="22"/>
      <c r="BT120" s="22"/>
      <c r="BU120" s="22"/>
      <c r="BV120" s="22"/>
      <c r="BW120" s="22"/>
      <c r="BX120" s="22"/>
      <c r="BY120" s="22"/>
      <c r="BZ120" s="22"/>
      <c r="CA120" s="22"/>
      <c r="CB120" s="22"/>
      <c r="CC120" s="22"/>
      <c r="CD120" s="22"/>
      <c r="CE120" s="22"/>
      <c r="CF120" s="22"/>
      <c r="CG120" s="22"/>
      <c r="CH120" s="22"/>
      <c r="CI120" s="22"/>
      <c r="CJ120" s="22"/>
      <c r="CK120" s="22"/>
      <c r="CL120" s="22"/>
      <c r="CM120" s="22"/>
      <c r="CN120" s="22"/>
      <c r="CO120" s="22"/>
      <c r="CP120" s="22"/>
      <c r="CQ120" s="22"/>
      <c r="CR120" s="22"/>
      <c r="CS120" s="22"/>
      <c r="CT120" s="22"/>
      <c r="CU120" s="22"/>
      <c r="CV120" s="22"/>
      <c r="CW120" s="22"/>
      <c r="CX120" s="22"/>
      <c r="CY120" s="22"/>
      <c r="CZ120" s="22"/>
      <c r="DA120" s="22"/>
      <c r="DB120" s="22"/>
      <c r="DC120" s="22"/>
      <c r="DD120" s="22"/>
      <c r="DE120" s="22"/>
      <c r="DF120" s="22"/>
      <c r="DG120" s="22"/>
      <c r="DH120" s="22"/>
      <c r="DI120" s="22"/>
      <c r="DJ120" s="22"/>
      <c r="DK120" s="22"/>
      <c r="DL120" s="22"/>
      <c r="DM120" s="22"/>
      <c r="DN120" s="22"/>
      <c r="DO120" s="22"/>
      <c r="DP120" s="22"/>
      <c r="DQ120" s="22"/>
      <c r="DR120" s="22"/>
      <c r="DS120" s="22"/>
      <c r="DT120" s="22"/>
      <c r="DU120" s="22"/>
      <c r="DV120" s="22"/>
      <c r="DW120" s="22"/>
      <c r="DX120" s="22"/>
      <c r="DY120" s="22"/>
      <c r="DZ120" s="22"/>
      <c r="EA120" s="22"/>
      <c r="EB120" s="22"/>
      <c r="EC120" s="22"/>
      <c r="ED120" s="22"/>
      <c r="EE120" s="22"/>
      <c r="EF120" s="22"/>
      <c r="EG120" s="22"/>
      <c r="EH120" s="22"/>
      <c r="EI120" s="22"/>
      <c r="EJ120" s="22"/>
      <c r="EK120" s="22"/>
      <c r="EL120" s="22"/>
      <c r="EM120" s="22"/>
      <c r="EN120" s="22"/>
      <c r="EO120" s="22"/>
      <c r="EP120" s="22"/>
      <c r="EQ120" s="22"/>
      <c r="ER120" s="22"/>
      <c r="ES120" s="22"/>
      <c r="ET120" s="22"/>
      <c r="EU120" s="22"/>
      <c r="EV120" s="22"/>
      <c r="EW120" s="22"/>
      <c r="EX120" s="22"/>
      <c r="EY120" s="22"/>
      <c r="EZ120" s="22"/>
      <c r="FA120" s="22"/>
      <c r="FB120" s="22"/>
      <c r="FC120" s="22"/>
      <c r="FD120" s="22"/>
      <c r="FE120" s="22"/>
      <c r="FF120" s="22"/>
      <c r="FG120" s="22"/>
      <c r="FH120" s="22"/>
      <c r="FI120" s="22"/>
      <c r="FJ120" s="22"/>
      <c r="FK120" s="22"/>
      <c r="FL120" s="22"/>
      <c r="FM120" s="22"/>
      <c r="FN120" s="22"/>
      <c r="FO120" s="22"/>
      <c r="FP120" s="22"/>
      <c r="FQ120" s="22"/>
      <c r="FR120" s="22"/>
      <c r="FS120" s="22"/>
      <c r="FT120" s="22"/>
      <c r="FU120" s="22"/>
      <c r="FV120" s="22"/>
      <c r="FW120" s="22"/>
      <c r="FX120" s="22"/>
      <c r="FY120" s="22"/>
      <c r="FZ120" s="22"/>
      <c r="GA120" s="22"/>
      <c r="GB120" s="22"/>
      <c r="GC120" s="22"/>
      <c r="GD120" s="22"/>
      <c r="GE120" s="22"/>
      <c r="GF120" s="22"/>
      <c r="GG120" s="22"/>
      <c r="GH120" s="22"/>
      <c r="GI120" s="22"/>
      <c r="GJ120" s="22"/>
      <c r="GK120" s="22"/>
      <c r="GL120" s="22"/>
      <c r="GM120" s="22"/>
      <c r="GN120" s="22"/>
      <c r="GO120" s="22"/>
      <c r="GP120" s="22"/>
      <c r="GQ120" s="22"/>
      <c r="GR120" s="22"/>
      <c r="GS120" s="22"/>
      <c r="GT120" s="22"/>
      <c r="GU120" s="22"/>
      <c r="GV120" s="22"/>
      <c r="GW120" s="22"/>
      <c r="GX120" s="22"/>
      <c r="GY120" s="22"/>
      <c r="GZ120" s="22"/>
      <c r="HA120" s="22"/>
      <c r="HB120" s="22"/>
      <c r="HC120" s="22"/>
      <c r="HD120" s="22"/>
      <c r="HE120" s="22"/>
      <c r="HF120" s="22"/>
      <c r="HG120" s="22"/>
      <c r="HH120" s="22"/>
      <c r="HI120" s="22"/>
      <c r="HJ120" s="22"/>
      <c r="HK120" s="22"/>
      <c r="HL120" s="22"/>
      <c r="HM120" s="22"/>
      <c r="HN120" s="22"/>
      <c r="HO120" s="22"/>
      <c r="HP120" s="22"/>
      <c r="HQ120" s="22"/>
      <c r="HR120" s="22"/>
      <c r="HS120" s="22"/>
      <c r="HT120" s="22"/>
      <c r="HU120" s="22"/>
      <c r="HV120" s="22"/>
      <c r="HW120" s="22"/>
      <c r="HX120" s="22"/>
      <c r="HY120" s="22"/>
      <c r="HZ120" s="22"/>
      <c r="IA120" s="22"/>
      <c r="IB120" s="22"/>
      <c r="IC120" s="22"/>
      <c r="ID120" s="22"/>
      <c r="IE120" s="22"/>
      <c r="IF120" s="22"/>
      <c r="IG120" s="22"/>
      <c r="IH120" s="22"/>
      <c r="II120" s="22"/>
      <c r="IJ120" s="22"/>
      <c r="IK120" s="22"/>
      <c r="IL120" s="22"/>
      <c r="IM120" s="22"/>
      <c r="IN120" s="22"/>
      <c r="IO120" s="22"/>
      <c r="IP120" s="22"/>
      <c r="IQ120" s="22"/>
      <c r="IR120" s="22"/>
      <c r="IS120" s="22"/>
      <c r="IT120" s="22"/>
      <c r="IU120" s="22"/>
      <c r="IV120" s="22"/>
    </row>
    <row r="121" spans="1:256" s="41" customFormat="1" ht="15" customHeight="1">
      <c r="A121" s="25" t="s">
        <v>1187</v>
      </c>
      <c r="B121" s="22"/>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c r="BH121" s="22"/>
      <c r="BI121" s="22"/>
      <c r="BJ121" s="22"/>
      <c r="BK121" s="22"/>
      <c r="BL121" s="22"/>
      <c r="BM121" s="22"/>
      <c r="BN121" s="22"/>
      <c r="BO121" s="22"/>
      <c r="BP121" s="22"/>
      <c r="BQ121" s="22"/>
      <c r="BR121" s="22"/>
      <c r="BS121" s="22"/>
      <c r="BT121" s="22"/>
      <c r="BU121" s="22"/>
      <c r="BV121" s="22"/>
      <c r="BW121" s="22"/>
      <c r="BX121" s="22"/>
      <c r="BY121" s="22"/>
      <c r="BZ121" s="22"/>
      <c r="CA121" s="22"/>
      <c r="CB121" s="22"/>
      <c r="CC121" s="22"/>
      <c r="CD121" s="22"/>
      <c r="CE121" s="22"/>
      <c r="CF121" s="22"/>
      <c r="CG121" s="22"/>
      <c r="CH121" s="22"/>
      <c r="CI121" s="22"/>
      <c r="CJ121" s="22"/>
      <c r="CK121" s="22"/>
      <c r="CL121" s="22"/>
      <c r="CM121" s="22"/>
      <c r="CN121" s="22"/>
      <c r="CO121" s="22"/>
      <c r="CP121" s="22"/>
      <c r="CQ121" s="22"/>
      <c r="CR121" s="22"/>
      <c r="CS121" s="22"/>
      <c r="CT121" s="22"/>
      <c r="CU121" s="22"/>
      <c r="CV121" s="22"/>
      <c r="CW121" s="22"/>
      <c r="CX121" s="22"/>
      <c r="CY121" s="22"/>
      <c r="CZ121" s="22"/>
      <c r="DA121" s="22"/>
      <c r="DB121" s="22"/>
      <c r="DC121" s="22"/>
      <c r="DD121" s="22"/>
      <c r="DE121" s="22"/>
      <c r="DF121" s="22"/>
      <c r="DG121" s="22"/>
      <c r="DH121" s="22"/>
      <c r="DI121" s="22"/>
      <c r="DJ121" s="22"/>
      <c r="DK121" s="22"/>
      <c r="DL121" s="22"/>
      <c r="DM121" s="22"/>
      <c r="DN121" s="22"/>
      <c r="DO121" s="22"/>
      <c r="DP121" s="22"/>
      <c r="DQ121" s="22"/>
      <c r="DR121" s="22"/>
      <c r="DS121" s="22"/>
      <c r="DT121" s="22"/>
      <c r="DU121" s="22"/>
      <c r="DV121" s="22"/>
      <c r="DW121" s="22"/>
      <c r="DX121" s="22"/>
      <c r="DY121" s="22"/>
      <c r="DZ121" s="22"/>
      <c r="EA121" s="22"/>
      <c r="EB121" s="22"/>
      <c r="EC121" s="22"/>
      <c r="ED121" s="22"/>
      <c r="EE121" s="22"/>
      <c r="EF121" s="22"/>
      <c r="EG121" s="22"/>
      <c r="EH121" s="22"/>
      <c r="EI121" s="22"/>
      <c r="EJ121" s="22"/>
      <c r="EK121" s="22"/>
      <c r="EL121" s="22"/>
      <c r="EM121" s="22"/>
      <c r="EN121" s="22"/>
      <c r="EO121" s="22"/>
      <c r="EP121" s="22"/>
      <c r="EQ121" s="22"/>
      <c r="ER121" s="22"/>
      <c r="ES121" s="22"/>
      <c r="ET121" s="22"/>
      <c r="EU121" s="22"/>
      <c r="EV121" s="22"/>
      <c r="EW121" s="22"/>
      <c r="EX121" s="22"/>
      <c r="EY121" s="22"/>
      <c r="EZ121" s="22"/>
      <c r="FA121" s="22"/>
      <c r="FB121" s="22"/>
      <c r="FC121" s="22"/>
      <c r="FD121" s="22"/>
      <c r="FE121" s="22"/>
      <c r="FF121" s="22"/>
      <c r="FG121" s="22"/>
      <c r="FH121" s="22"/>
      <c r="FI121" s="22"/>
      <c r="FJ121" s="22"/>
      <c r="FK121" s="22"/>
      <c r="FL121" s="22"/>
      <c r="FM121" s="22"/>
      <c r="FN121" s="22"/>
      <c r="FO121" s="22"/>
      <c r="FP121" s="22"/>
      <c r="FQ121" s="22"/>
      <c r="FR121" s="22"/>
      <c r="FS121" s="22"/>
      <c r="FT121" s="22"/>
      <c r="FU121" s="22"/>
      <c r="FV121" s="22"/>
      <c r="FW121" s="22"/>
      <c r="FX121" s="22"/>
      <c r="FY121" s="22"/>
      <c r="FZ121" s="22"/>
      <c r="GA121" s="22"/>
      <c r="GB121" s="22"/>
      <c r="GC121" s="22"/>
      <c r="GD121" s="22"/>
      <c r="GE121" s="22"/>
      <c r="GF121" s="22"/>
      <c r="GG121" s="22"/>
      <c r="GH121" s="22"/>
      <c r="GI121" s="22"/>
      <c r="GJ121" s="22"/>
      <c r="GK121" s="22"/>
      <c r="GL121" s="22"/>
      <c r="GM121" s="22"/>
      <c r="GN121" s="22"/>
      <c r="GO121" s="22"/>
      <c r="GP121" s="22"/>
      <c r="GQ121" s="22"/>
      <c r="GR121" s="22"/>
      <c r="GS121" s="22"/>
      <c r="GT121" s="22"/>
      <c r="GU121" s="22"/>
      <c r="GV121" s="22"/>
      <c r="GW121" s="22"/>
      <c r="GX121" s="22"/>
      <c r="GY121" s="22"/>
      <c r="GZ121" s="22"/>
      <c r="HA121" s="22"/>
      <c r="HB121" s="22"/>
      <c r="HC121" s="22"/>
      <c r="HD121" s="22"/>
      <c r="HE121" s="22"/>
      <c r="HF121" s="22"/>
      <c r="HG121" s="22"/>
      <c r="HH121" s="22"/>
      <c r="HI121" s="22"/>
      <c r="HJ121" s="22"/>
      <c r="HK121" s="22"/>
      <c r="HL121" s="22"/>
      <c r="HM121" s="22"/>
      <c r="HN121" s="22"/>
      <c r="HO121" s="22"/>
      <c r="HP121" s="22"/>
      <c r="HQ121" s="22"/>
      <c r="HR121" s="22"/>
      <c r="HS121" s="22"/>
      <c r="HT121" s="22"/>
      <c r="HU121" s="22"/>
      <c r="HV121" s="22"/>
      <c r="HW121" s="22"/>
      <c r="HX121" s="22"/>
      <c r="HY121" s="22"/>
      <c r="HZ121" s="22"/>
      <c r="IA121" s="22"/>
      <c r="IB121" s="22"/>
      <c r="IC121" s="22"/>
      <c r="ID121" s="22"/>
      <c r="IE121" s="22"/>
      <c r="IF121" s="22"/>
      <c r="IG121" s="22"/>
      <c r="IH121" s="22"/>
      <c r="II121" s="22"/>
      <c r="IJ121" s="22"/>
      <c r="IK121" s="22"/>
      <c r="IL121" s="22"/>
      <c r="IM121" s="22"/>
      <c r="IN121" s="22"/>
      <c r="IO121" s="22"/>
      <c r="IP121" s="22"/>
      <c r="IQ121" s="22"/>
      <c r="IR121" s="22"/>
      <c r="IS121" s="22"/>
      <c r="IT121" s="22"/>
      <c r="IU121" s="22"/>
      <c r="IV121" s="22"/>
    </row>
    <row r="122" spans="1:256" s="41" customFormat="1" ht="15" customHeight="1">
      <c r="A122" s="25" t="s">
        <v>1188</v>
      </c>
      <c r="B122" s="22"/>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c r="BH122" s="22"/>
      <c r="BI122" s="22"/>
      <c r="BJ122" s="22"/>
      <c r="BK122" s="22"/>
      <c r="BL122" s="22"/>
      <c r="BM122" s="22"/>
      <c r="BN122" s="22"/>
      <c r="BO122" s="22"/>
      <c r="BP122" s="22"/>
      <c r="BQ122" s="22"/>
      <c r="BR122" s="22"/>
      <c r="BS122" s="22"/>
      <c r="BT122" s="22"/>
      <c r="BU122" s="22"/>
      <c r="BV122" s="22"/>
      <c r="BW122" s="22"/>
      <c r="BX122" s="22"/>
      <c r="BY122" s="22"/>
      <c r="BZ122" s="22"/>
      <c r="CA122" s="22"/>
      <c r="CB122" s="22"/>
      <c r="CC122" s="22"/>
      <c r="CD122" s="22"/>
      <c r="CE122" s="22"/>
      <c r="CF122" s="22"/>
      <c r="CG122" s="22"/>
      <c r="CH122" s="22"/>
      <c r="CI122" s="22"/>
      <c r="CJ122" s="22"/>
      <c r="CK122" s="22"/>
      <c r="CL122" s="22"/>
      <c r="CM122" s="22"/>
      <c r="CN122" s="22"/>
      <c r="CO122" s="22"/>
      <c r="CP122" s="22"/>
      <c r="CQ122" s="22"/>
      <c r="CR122" s="22"/>
      <c r="CS122" s="22"/>
      <c r="CT122" s="22"/>
      <c r="CU122" s="22"/>
      <c r="CV122" s="22"/>
      <c r="CW122" s="22"/>
      <c r="CX122" s="22"/>
      <c r="CY122" s="22"/>
      <c r="CZ122" s="22"/>
      <c r="DA122" s="22"/>
      <c r="DB122" s="22"/>
      <c r="DC122" s="22"/>
      <c r="DD122" s="22"/>
      <c r="DE122" s="22"/>
      <c r="DF122" s="22"/>
      <c r="DG122" s="22"/>
      <c r="DH122" s="22"/>
      <c r="DI122" s="22"/>
      <c r="DJ122" s="22"/>
      <c r="DK122" s="22"/>
      <c r="DL122" s="22"/>
      <c r="DM122" s="22"/>
      <c r="DN122" s="22"/>
      <c r="DO122" s="22"/>
      <c r="DP122" s="22"/>
      <c r="DQ122" s="22"/>
      <c r="DR122" s="22"/>
      <c r="DS122" s="22"/>
      <c r="DT122" s="22"/>
      <c r="DU122" s="22"/>
      <c r="DV122" s="22"/>
      <c r="DW122" s="22"/>
      <c r="DX122" s="22"/>
      <c r="DY122" s="22"/>
      <c r="DZ122" s="22"/>
      <c r="EA122" s="22"/>
      <c r="EB122" s="22"/>
      <c r="EC122" s="22"/>
      <c r="ED122" s="22"/>
      <c r="EE122" s="22"/>
      <c r="EF122" s="22"/>
      <c r="EG122" s="22"/>
      <c r="EH122" s="22"/>
      <c r="EI122" s="22"/>
      <c r="EJ122" s="22"/>
      <c r="EK122" s="22"/>
      <c r="EL122" s="22"/>
      <c r="EM122" s="22"/>
      <c r="EN122" s="22"/>
      <c r="EO122" s="22"/>
      <c r="EP122" s="22"/>
      <c r="EQ122" s="22"/>
      <c r="ER122" s="22"/>
      <c r="ES122" s="22"/>
      <c r="ET122" s="22"/>
      <c r="EU122" s="22"/>
      <c r="EV122" s="22"/>
      <c r="EW122" s="22"/>
      <c r="EX122" s="22"/>
      <c r="EY122" s="22"/>
      <c r="EZ122" s="22"/>
      <c r="FA122" s="22"/>
      <c r="FB122" s="22"/>
      <c r="FC122" s="22"/>
      <c r="FD122" s="22"/>
      <c r="FE122" s="22"/>
      <c r="FF122" s="22"/>
      <c r="FG122" s="22"/>
      <c r="FH122" s="22"/>
      <c r="FI122" s="22"/>
      <c r="FJ122" s="22"/>
      <c r="FK122" s="22"/>
      <c r="FL122" s="22"/>
      <c r="FM122" s="22"/>
      <c r="FN122" s="22"/>
      <c r="FO122" s="22"/>
      <c r="FP122" s="22"/>
      <c r="FQ122" s="22"/>
      <c r="FR122" s="22"/>
      <c r="FS122" s="22"/>
      <c r="FT122" s="22"/>
      <c r="FU122" s="22"/>
      <c r="FV122" s="22"/>
      <c r="FW122" s="22"/>
      <c r="FX122" s="22"/>
      <c r="FY122" s="22"/>
      <c r="FZ122" s="22"/>
      <c r="GA122" s="22"/>
      <c r="GB122" s="22"/>
      <c r="GC122" s="22"/>
      <c r="GD122" s="22"/>
      <c r="GE122" s="22"/>
      <c r="GF122" s="22"/>
      <c r="GG122" s="22"/>
      <c r="GH122" s="22"/>
      <c r="GI122" s="22"/>
      <c r="GJ122" s="22"/>
      <c r="GK122" s="22"/>
      <c r="GL122" s="22"/>
      <c r="GM122" s="22"/>
      <c r="GN122" s="22"/>
      <c r="GO122" s="22"/>
      <c r="GP122" s="22"/>
      <c r="GQ122" s="22"/>
      <c r="GR122" s="22"/>
      <c r="GS122" s="22"/>
      <c r="GT122" s="22"/>
      <c r="GU122" s="22"/>
      <c r="GV122" s="22"/>
      <c r="GW122" s="22"/>
      <c r="GX122" s="22"/>
      <c r="GY122" s="22"/>
      <c r="GZ122" s="22"/>
      <c r="HA122" s="22"/>
      <c r="HB122" s="22"/>
      <c r="HC122" s="22"/>
      <c r="HD122" s="22"/>
      <c r="HE122" s="22"/>
      <c r="HF122" s="22"/>
      <c r="HG122" s="22"/>
      <c r="HH122" s="22"/>
      <c r="HI122" s="22"/>
      <c r="HJ122" s="22"/>
      <c r="HK122" s="22"/>
      <c r="HL122" s="22"/>
      <c r="HM122" s="22"/>
      <c r="HN122" s="22"/>
      <c r="HO122" s="22"/>
      <c r="HP122" s="22"/>
      <c r="HQ122" s="22"/>
      <c r="HR122" s="22"/>
      <c r="HS122" s="22"/>
      <c r="HT122" s="22"/>
      <c r="HU122" s="22"/>
      <c r="HV122" s="22"/>
      <c r="HW122" s="22"/>
      <c r="HX122" s="22"/>
      <c r="HY122" s="22"/>
      <c r="HZ122" s="22"/>
      <c r="IA122" s="22"/>
      <c r="IB122" s="22"/>
      <c r="IC122" s="22"/>
      <c r="ID122" s="22"/>
      <c r="IE122" s="22"/>
      <c r="IF122" s="22"/>
      <c r="IG122" s="22"/>
      <c r="IH122" s="22"/>
      <c r="II122" s="22"/>
      <c r="IJ122" s="22"/>
      <c r="IK122" s="22"/>
      <c r="IL122" s="22"/>
      <c r="IM122" s="22"/>
      <c r="IN122" s="22"/>
      <c r="IO122" s="22"/>
      <c r="IP122" s="22"/>
      <c r="IQ122" s="22"/>
      <c r="IR122" s="22"/>
      <c r="IS122" s="22"/>
      <c r="IT122" s="22"/>
      <c r="IU122" s="22"/>
      <c r="IV122" s="22"/>
    </row>
    <row r="123" spans="1:256" s="41" customFormat="1" ht="15" customHeight="1">
      <c r="A123" s="25" t="s">
        <v>1189</v>
      </c>
      <c r="B123" s="22"/>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c r="BH123" s="22"/>
      <c r="BI123" s="22"/>
      <c r="BJ123" s="22"/>
      <c r="BK123" s="22"/>
      <c r="BL123" s="22"/>
      <c r="BM123" s="22"/>
      <c r="BN123" s="22"/>
      <c r="BO123" s="22"/>
      <c r="BP123" s="22"/>
      <c r="BQ123" s="22"/>
      <c r="BR123" s="22"/>
      <c r="BS123" s="22"/>
      <c r="BT123" s="22"/>
      <c r="BU123" s="22"/>
      <c r="BV123" s="22"/>
      <c r="BW123" s="22"/>
      <c r="BX123" s="22"/>
      <c r="BY123" s="22"/>
      <c r="BZ123" s="22"/>
      <c r="CA123" s="22"/>
      <c r="CB123" s="22"/>
      <c r="CC123" s="22"/>
      <c r="CD123" s="22"/>
      <c r="CE123" s="22"/>
      <c r="CF123" s="22"/>
      <c r="CG123" s="22"/>
      <c r="CH123" s="22"/>
      <c r="CI123" s="22"/>
      <c r="CJ123" s="22"/>
      <c r="CK123" s="22"/>
      <c r="CL123" s="22"/>
      <c r="CM123" s="22"/>
      <c r="CN123" s="22"/>
      <c r="CO123" s="22"/>
      <c r="CP123" s="22"/>
      <c r="CQ123" s="22"/>
      <c r="CR123" s="22"/>
      <c r="CS123" s="22"/>
      <c r="CT123" s="22"/>
      <c r="CU123" s="22"/>
      <c r="CV123" s="22"/>
      <c r="CW123" s="22"/>
      <c r="CX123" s="22"/>
      <c r="CY123" s="22"/>
      <c r="CZ123" s="22"/>
      <c r="DA123" s="22"/>
      <c r="DB123" s="22"/>
      <c r="DC123" s="22"/>
      <c r="DD123" s="22"/>
      <c r="DE123" s="22"/>
      <c r="DF123" s="22"/>
      <c r="DG123" s="22"/>
      <c r="DH123" s="22"/>
      <c r="DI123" s="22"/>
      <c r="DJ123" s="22"/>
      <c r="DK123" s="22"/>
      <c r="DL123" s="22"/>
      <c r="DM123" s="22"/>
      <c r="DN123" s="22"/>
      <c r="DO123" s="22"/>
      <c r="DP123" s="22"/>
      <c r="DQ123" s="22"/>
      <c r="DR123" s="22"/>
      <c r="DS123" s="22"/>
      <c r="DT123" s="22"/>
      <c r="DU123" s="22"/>
      <c r="DV123" s="22"/>
      <c r="DW123" s="22"/>
      <c r="DX123" s="22"/>
      <c r="DY123" s="22"/>
      <c r="DZ123" s="22"/>
      <c r="EA123" s="22"/>
      <c r="EB123" s="22"/>
      <c r="EC123" s="22"/>
      <c r="ED123" s="22"/>
      <c r="EE123" s="22"/>
      <c r="EF123" s="22"/>
      <c r="EG123" s="22"/>
      <c r="EH123" s="22"/>
      <c r="EI123" s="22"/>
      <c r="EJ123" s="22"/>
      <c r="EK123" s="22"/>
      <c r="EL123" s="22"/>
      <c r="EM123" s="22"/>
      <c r="EN123" s="22"/>
      <c r="EO123" s="22"/>
      <c r="EP123" s="22"/>
      <c r="EQ123" s="22"/>
      <c r="ER123" s="22"/>
      <c r="ES123" s="22"/>
      <c r="ET123" s="22"/>
      <c r="EU123" s="22"/>
      <c r="EV123" s="22"/>
      <c r="EW123" s="22"/>
      <c r="EX123" s="22"/>
      <c r="EY123" s="22"/>
      <c r="EZ123" s="22"/>
      <c r="FA123" s="22"/>
      <c r="FB123" s="22"/>
      <c r="FC123" s="22"/>
      <c r="FD123" s="22"/>
      <c r="FE123" s="22"/>
      <c r="FF123" s="22"/>
      <c r="FG123" s="22"/>
      <c r="FH123" s="22"/>
      <c r="FI123" s="22"/>
      <c r="FJ123" s="22"/>
      <c r="FK123" s="22"/>
      <c r="FL123" s="22"/>
      <c r="FM123" s="22"/>
      <c r="FN123" s="22"/>
      <c r="FO123" s="22"/>
      <c r="FP123" s="22"/>
      <c r="FQ123" s="22"/>
      <c r="FR123" s="22"/>
      <c r="FS123" s="22"/>
      <c r="FT123" s="22"/>
      <c r="FU123" s="22"/>
      <c r="FV123" s="22"/>
      <c r="FW123" s="22"/>
      <c r="FX123" s="22"/>
      <c r="FY123" s="22"/>
      <c r="FZ123" s="22"/>
      <c r="GA123" s="22"/>
      <c r="GB123" s="22"/>
      <c r="GC123" s="22"/>
      <c r="GD123" s="22"/>
      <c r="GE123" s="22"/>
      <c r="GF123" s="22"/>
      <c r="GG123" s="22"/>
      <c r="GH123" s="22"/>
      <c r="GI123" s="22"/>
      <c r="GJ123" s="22"/>
      <c r="GK123" s="22"/>
      <c r="GL123" s="22"/>
      <c r="GM123" s="22"/>
      <c r="GN123" s="22"/>
      <c r="GO123" s="22"/>
      <c r="GP123" s="22"/>
      <c r="GQ123" s="22"/>
      <c r="GR123" s="22"/>
      <c r="GS123" s="22"/>
      <c r="GT123" s="22"/>
      <c r="GU123" s="22"/>
      <c r="GV123" s="22"/>
      <c r="GW123" s="22"/>
      <c r="GX123" s="22"/>
      <c r="GY123" s="22"/>
      <c r="GZ123" s="22"/>
      <c r="HA123" s="22"/>
      <c r="HB123" s="22"/>
      <c r="HC123" s="22"/>
      <c r="HD123" s="22"/>
      <c r="HE123" s="22"/>
      <c r="HF123" s="22"/>
      <c r="HG123" s="22"/>
      <c r="HH123" s="22"/>
      <c r="HI123" s="22"/>
      <c r="HJ123" s="22"/>
      <c r="HK123" s="22"/>
      <c r="HL123" s="22"/>
      <c r="HM123" s="22"/>
      <c r="HN123" s="22"/>
      <c r="HO123" s="22"/>
      <c r="HP123" s="22"/>
      <c r="HQ123" s="22"/>
      <c r="HR123" s="22"/>
      <c r="HS123" s="22"/>
      <c r="HT123" s="22"/>
      <c r="HU123" s="22"/>
      <c r="HV123" s="22"/>
      <c r="HW123" s="22"/>
      <c r="HX123" s="22"/>
      <c r="HY123" s="22"/>
      <c r="HZ123" s="22"/>
      <c r="IA123" s="22"/>
      <c r="IB123" s="22"/>
      <c r="IC123" s="22"/>
      <c r="ID123" s="22"/>
      <c r="IE123" s="22"/>
      <c r="IF123" s="22"/>
      <c r="IG123" s="22"/>
      <c r="IH123" s="22"/>
      <c r="II123" s="22"/>
      <c r="IJ123" s="22"/>
      <c r="IK123" s="22"/>
      <c r="IL123" s="22"/>
      <c r="IM123" s="22"/>
      <c r="IN123" s="22"/>
      <c r="IO123" s="22"/>
      <c r="IP123" s="22"/>
      <c r="IQ123" s="22"/>
      <c r="IR123" s="22"/>
      <c r="IS123" s="22"/>
      <c r="IT123" s="22"/>
      <c r="IU123" s="22"/>
      <c r="IV123" s="22"/>
    </row>
    <row r="124" spans="1:256" s="41" customFormat="1" ht="15">
      <c r="A124" s="25" t="s">
        <v>1190</v>
      </c>
      <c r="B124" s="22"/>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c r="BH124" s="22"/>
      <c r="BI124" s="22"/>
      <c r="BJ124" s="22"/>
      <c r="BK124" s="22"/>
      <c r="BL124" s="22"/>
      <c r="BM124" s="22"/>
      <c r="BN124" s="22"/>
      <c r="BO124" s="22"/>
      <c r="BP124" s="22"/>
      <c r="BQ124" s="22"/>
      <c r="BR124" s="22"/>
      <c r="BS124" s="22"/>
      <c r="BT124" s="22"/>
      <c r="BU124" s="22"/>
      <c r="BV124" s="22"/>
      <c r="BW124" s="22"/>
      <c r="BX124" s="22"/>
      <c r="BY124" s="22"/>
      <c r="BZ124" s="22"/>
      <c r="CA124" s="22"/>
      <c r="CB124" s="22"/>
      <c r="CC124" s="22"/>
      <c r="CD124" s="22"/>
      <c r="CE124" s="22"/>
      <c r="CF124" s="22"/>
      <c r="CG124" s="22"/>
      <c r="CH124" s="22"/>
      <c r="CI124" s="22"/>
      <c r="CJ124" s="22"/>
      <c r="CK124" s="22"/>
      <c r="CL124" s="22"/>
      <c r="CM124" s="22"/>
      <c r="CN124" s="22"/>
      <c r="CO124" s="22"/>
      <c r="CP124" s="22"/>
      <c r="CQ124" s="22"/>
      <c r="CR124" s="22"/>
      <c r="CS124" s="22"/>
      <c r="CT124" s="22"/>
      <c r="CU124" s="22"/>
      <c r="CV124" s="22"/>
      <c r="CW124" s="22"/>
      <c r="CX124" s="22"/>
      <c r="CY124" s="22"/>
      <c r="CZ124" s="22"/>
      <c r="DA124" s="22"/>
      <c r="DB124" s="22"/>
      <c r="DC124" s="22"/>
      <c r="DD124" s="22"/>
      <c r="DE124" s="22"/>
      <c r="DF124" s="22"/>
      <c r="DG124" s="22"/>
      <c r="DH124" s="22"/>
      <c r="DI124" s="22"/>
      <c r="DJ124" s="22"/>
      <c r="DK124" s="22"/>
      <c r="DL124" s="22"/>
      <c r="DM124" s="22"/>
      <c r="DN124" s="22"/>
      <c r="DO124" s="22"/>
      <c r="DP124" s="22"/>
      <c r="DQ124" s="22"/>
      <c r="DR124" s="22"/>
      <c r="DS124" s="22"/>
      <c r="DT124" s="22"/>
      <c r="DU124" s="22"/>
      <c r="DV124" s="22"/>
      <c r="DW124" s="22"/>
      <c r="DX124" s="22"/>
      <c r="DY124" s="22"/>
      <c r="DZ124" s="22"/>
      <c r="EA124" s="22"/>
      <c r="EB124" s="22"/>
      <c r="EC124" s="22"/>
      <c r="ED124" s="22"/>
      <c r="EE124" s="22"/>
      <c r="EF124" s="22"/>
      <c r="EG124" s="22"/>
      <c r="EH124" s="22"/>
      <c r="EI124" s="22"/>
      <c r="EJ124" s="22"/>
      <c r="EK124" s="22"/>
      <c r="EL124" s="22"/>
      <c r="EM124" s="22"/>
      <c r="EN124" s="22"/>
      <c r="EO124" s="22"/>
      <c r="EP124" s="22"/>
      <c r="EQ124" s="22"/>
      <c r="ER124" s="22"/>
      <c r="ES124" s="22"/>
      <c r="ET124" s="22"/>
      <c r="EU124" s="22"/>
      <c r="EV124" s="22"/>
      <c r="EW124" s="22"/>
      <c r="EX124" s="22"/>
      <c r="EY124" s="22"/>
      <c r="EZ124" s="22"/>
      <c r="FA124" s="22"/>
      <c r="FB124" s="22"/>
      <c r="FC124" s="22"/>
      <c r="FD124" s="22"/>
      <c r="FE124" s="22"/>
      <c r="FF124" s="22"/>
      <c r="FG124" s="22"/>
      <c r="FH124" s="22"/>
      <c r="FI124" s="22"/>
      <c r="FJ124" s="22"/>
      <c r="FK124" s="22"/>
      <c r="FL124" s="22"/>
      <c r="FM124" s="22"/>
      <c r="FN124" s="22"/>
      <c r="FO124" s="22"/>
      <c r="FP124" s="22"/>
      <c r="FQ124" s="22"/>
      <c r="FR124" s="22"/>
      <c r="FS124" s="22"/>
      <c r="FT124" s="22"/>
      <c r="FU124" s="22"/>
      <c r="FV124" s="22"/>
      <c r="FW124" s="22"/>
      <c r="FX124" s="22"/>
      <c r="FY124" s="22"/>
      <c r="FZ124" s="22"/>
      <c r="GA124" s="22"/>
      <c r="GB124" s="22"/>
      <c r="GC124" s="22"/>
      <c r="GD124" s="22"/>
      <c r="GE124" s="22"/>
      <c r="GF124" s="22"/>
      <c r="GG124" s="22"/>
      <c r="GH124" s="22"/>
      <c r="GI124" s="22"/>
      <c r="GJ124" s="22"/>
      <c r="GK124" s="22"/>
      <c r="GL124" s="22"/>
      <c r="GM124" s="22"/>
      <c r="GN124" s="22"/>
      <c r="GO124" s="22"/>
      <c r="GP124" s="22"/>
      <c r="GQ124" s="22"/>
      <c r="GR124" s="22"/>
      <c r="GS124" s="22"/>
      <c r="GT124" s="22"/>
      <c r="GU124" s="22"/>
      <c r="GV124" s="22"/>
      <c r="GW124" s="22"/>
      <c r="GX124" s="22"/>
      <c r="GY124" s="22"/>
      <c r="GZ124" s="22"/>
      <c r="HA124" s="22"/>
      <c r="HB124" s="22"/>
      <c r="HC124" s="22"/>
      <c r="HD124" s="22"/>
      <c r="HE124" s="22"/>
      <c r="HF124" s="22"/>
      <c r="HG124" s="22"/>
      <c r="HH124" s="22"/>
      <c r="HI124" s="22"/>
      <c r="HJ124" s="22"/>
      <c r="HK124" s="22"/>
      <c r="HL124" s="22"/>
      <c r="HM124" s="22"/>
      <c r="HN124" s="22"/>
      <c r="HO124" s="22"/>
      <c r="HP124" s="22"/>
      <c r="HQ124" s="22"/>
      <c r="HR124" s="22"/>
      <c r="HS124" s="22"/>
      <c r="HT124" s="22"/>
      <c r="HU124" s="22"/>
      <c r="HV124" s="22"/>
      <c r="HW124" s="22"/>
      <c r="HX124" s="22"/>
      <c r="HY124" s="22"/>
      <c r="HZ124" s="22"/>
      <c r="IA124" s="22"/>
      <c r="IB124" s="22"/>
      <c r="IC124" s="22"/>
      <c r="ID124" s="22"/>
      <c r="IE124" s="22"/>
      <c r="IF124" s="22"/>
      <c r="IG124" s="22"/>
      <c r="IH124" s="22"/>
      <c r="II124" s="22"/>
      <c r="IJ124" s="22"/>
      <c r="IK124" s="22"/>
      <c r="IL124" s="22"/>
      <c r="IM124" s="22"/>
      <c r="IN124" s="22"/>
      <c r="IO124" s="22"/>
      <c r="IP124" s="22"/>
      <c r="IQ124" s="22"/>
      <c r="IR124" s="22"/>
      <c r="IS124" s="22"/>
      <c r="IT124" s="22"/>
      <c r="IU124" s="22"/>
      <c r="IV124" s="22"/>
    </row>
    <row r="125" spans="1:256" s="41" customFormat="1" ht="15" customHeight="1">
      <c r="A125" s="25" t="s">
        <v>1191</v>
      </c>
      <c r="B125" s="22"/>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c r="BH125" s="22"/>
      <c r="BI125" s="22"/>
      <c r="BJ125" s="22"/>
      <c r="BK125" s="22"/>
      <c r="BL125" s="22"/>
      <c r="BM125" s="22"/>
      <c r="BN125" s="22"/>
      <c r="BO125" s="22"/>
      <c r="BP125" s="22"/>
      <c r="BQ125" s="22"/>
      <c r="BR125" s="22"/>
      <c r="BS125" s="22"/>
      <c r="BT125" s="22"/>
      <c r="BU125" s="22"/>
      <c r="BV125" s="22"/>
      <c r="BW125" s="22"/>
      <c r="BX125" s="22"/>
      <c r="BY125" s="22"/>
      <c r="BZ125" s="22"/>
      <c r="CA125" s="22"/>
      <c r="CB125" s="22"/>
      <c r="CC125" s="22"/>
      <c r="CD125" s="22"/>
      <c r="CE125" s="22"/>
      <c r="CF125" s="22"/>
      <c r="CG125" s="22"/>
      <c r="CH125" s="22"/>
      <c r="CI125" s="22"/>
      <c r="CJ125" s="22"/>
      <c r="CK125" s="22"/>
      <c r="CL125" s="22"/>
      <c r="CM125" s="22"/>
      <c r="CN125" s="22"/>
      <c r="CO125" s="22"/>
      <c r="CP125" s="22"/>
      <c r="CQ125" s="22"/>
      <c r="CR125" s="22"/>
      <c r="CS125" s="22"/>
      <c r="CT125" s="22"/>
      <c r="CU125" s="22"/>
      <c r="CV125" s="22"/>
      <c r="CW125" s="22"/>
      <c r="CX125" s="22"/>
      <c r="CY125" s="22"/>
      <c r="CZ125" s="22"/>
      <c r="DA125" s="22"/>
      <c r="DB125" s="22"/>
      <c r="DC125" s="22"/>
      <c r="DD125" s="22"/>
      <c r="DE125" s="22"/>
      <c r="DF125" s="22"/>
      <c r="DG125" s="22"/>
      <c r="DH125" s="22"/>
      <c r="DI125" s="22"/>
      <c r="DJ125" s="22"/>
      <c r="DK125" s="22"/>
      <c r="DL125" s="22"/>
      <c r="DM125" s="22"/>
      <c r="DN125" s="22"/>
      <c r="DO125" s="22"/>
      <c r="DP125" s="22"/>
      <c r="DQ125" s="22"/>
      <c r="DR125" s="22"/>
      <c r="DS125" s="22"/>
      <c r="DT125" s="22"/>
      <c r="DU125" s="22"/>
      <c r="DV125" s="22"/>
      <c r="DW125" s="22"/>
      <c r="DX125" s="22"/>
      <c r="DY125" s="22"/>
      <c r="DZ125" s="22"/>
      <c r="EA125" s="22"/>
      <c r="EB125" s="22"/>
      <c r="EC125" s="22"/>
      <c r="ED125" s="22"/>
      <c r="EE125" s="22"/>
      <c r="EF125" s="22"/>
      <c r="EG125" s="22"/>
      <c r="EH125" s="22"/>
      <c r="EI125" s="22"/>
      <c r="EJ125" s="22"/>
      <c r="EK125" s="22"/>
      <c r="EL125" s="22"/>
      <c r="EM125" s="22"/>
      <c r="EN125" s="22"/>
      <c r="EO125" s="22"/>
      <c r="EP125" s="22"/>
      <c r="EQ125" s="22"/>
      <c r="ER125" s="22"/>
      <c r="ES125" s="22"/>
      <c r="ET125" s="22"/>
      <c r="EU125" s="22"/>
      <c r="EV125" s="22"/>
      <c r="EW125" s="22"/>
      <c r="EX125" s="22"/>
      <c r="EY125" s="22"/>
      <c r="EZ125" s="22"/>
      <c r="FA125" s="22"/>
      <c r="FB125" s="22"/>
      <c r="FC125" s="22"/>
      <c r="FD125" s="22"/>
      <c r="FE125" s="22"/>
      <c r="FF125" s="22"/>
      <c r="FG125" s="22"/>
      <c r="FH125" s="22"/>
      <c r="FI125" s="22"/>
      <c r="FJ125" s="22"/>
      <c r="FK125" s="22"/>
      <c r="FL125" s="22"/>
      <c r="FM125" s="22"/>
      <c r="FN125" s="22"/>
      <c r="FO125" s="22"/>
      <c r="FP125" s="22"/>
      <c r="FQ125" s="22"/>
      <c r="FR125" s="22"/>
      <c r="FS125" s="22"/>
      <c r="FT125" s="22"/>
      <c r="FU125" s="22"/>
      <c r="FV125" s="22"/>
      <c r="FW125" s="22"/>
      <c r="FX125" s="22"/>
      <c r="FY125" s="22"/>
      <c r="FZ125" s="22"/>
      <c r="GA125" s="22"/>
      <c r="GB125" s="22"/>
      <c r="GC125" s="22"/>
      <c r="GD125" s="22"/>
      <c r="GE125" s="22"/>
      <c r="GF125" s="22"/>
      <c r="GG125" s="22"/>
      <c r="GH125" s="22"/>
      <c r="GI125" s="22"/>
      <c r="GJ125" s="22"/>
      <c r="GK125" s="22"/>
      <c r="GL125" s="22"/>
      <c r="GM125" s="22"/>
      <c r="GN125" s="22"/>
      <c r="GO125" s="22"/>
      <c r="GP125" s="22"/>
      <c r="GQ125" s="22"/>
      <c r="GR125" s="22"/>
      <c r="GS125" s="22"/>
      <c r="GT125" s="22"/>
      <c r="GU125" s="22"/>
      <c r="GV125" s="22"/>
      <c r="GW125" s="22"/>
      <c r="GX125" s="22"/>
      <c r="GY125" s="22"/>
      <c r="GZ125" s="22"/>
      <c r="HA125" s="22"/>
      <c r="HB125" s="22"/>
      <c r="HC125" s="22"/>
      <c r="HD125" s="22"/>
      <c r="HE125" s="22"/>
      <c r="HF125" s="22"/>
      <c r="HG125" s="22"/>
      <c r="HH125" s="22"/>
      <c r="HI125" s="22"/>
      <c r="HJ125" s="22"/>
      <c r="HK125" s="22"/>
      <c r="HL125" s="22"/>
      <c r="HM125" s="22"/>
      <c r="HN125" s="22"/>
      <c r="HO125" s="22"/>
      <c r="HP125" s="22"/>
      <c r="HQ125" s="22"/>
      <c r="HR125" s="22"/>
      <c r="HS125" s="22"/>
      <c r="HT125" s="22"/>
      <c r="HU125" s="22"/>
      <c r="HV125" s="22"/>
      <c r="HW125" s="22"/>
      <c r="HX125" s="22"/>
      <c r="HY125" s="22"/>
      <c r="HZ125" s="22"/>
      <c r="IA125" s="22"/>
      <c r="IB125" s="22"/>
      <c r="IC125" s="22"/>
      <c r="ID125" s="22"/>
      <c r="IE125" s="22"/>
      <c r="IF125" s="22"/>
      <c r="IG125" s="22"/>
      <c r="IH125" s="22"/>
      <c r="II125" s="22"/>
      <c r="IJ125" s="22"/>
      <c r="IK125" s="22"/>
      <c r="IL125" s="22"/>
      <c r="IM125" s="22"/>
      <c r="IN125" s="22"/>
      <c r="IO125" s="22"/>
      <c r="IP125" s="22"/>
      <c r="IQ125" s="22"/>
      <c r="IR125" s="22"/>
      <c r="IS125" s="22"/>
      <c r="IT125" s="22"/>
      <c r="IU125" s="22"/>
      <c r="IV125" s="22"/>
    </row>
    <row r="126" spans="1:256" s="41" customFormat="1" ht="15" customHeight="1">
      <c r="A126" s="25" t="s">
        <v>1192</v>
      </c>
      <c r="B126" s="22"/>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c r="BH126" s="22"/>
      <c r="BI126" s="22"/>
      <c r="BJ126" s="22"/>
      <c r="BK126" s="22"/>
      <c r="BL126" s="22"/>
      <c r="BM126" s="22"/>
      <c r="BN126" s="22"/>
      <c r="BO126" s="22"/>
      <c r="BP126" s="22"/>
      <c r="BQ126" s="22"/>
      <c r="BR126" s="22"/>
      <c r="BS126" s="22"/>
      <c r="BT126" s="22"/>
      <c r="BU126" s="22"/>
      <c r="BV126" s="22"/>
      <c r="BW126" s="22"/>
      <c r="BX126" s="22"/>
      <c r="BY126" s="22"/>
      <c r="BZ126" s="22"/>
      <c r="CA126" s="22"/>
      <c r="CB126" s="22"/>
      <c r="CC126" s="22"/>
      <c r="CD126" s="22"/>
      <c r="CE126" s="22"/>
      <c r="CF126" s="22"/>
      <c r="CG126" s="22"/>
      <c r="CH126" s="22"/>
      <c r="CI126" s="22"/>
      <c r="CJ126" s="22"/>
      <c r="CK126" s="22"/>
      <c r="CL126" s="22"/>
      <c r="CM126" s="22"/>
      <c r="CN126" s="22"/>
      <c r="CO126" s="22"/>
      <c r="CP126" s="22"/>
      <c r="CQ126" s="22"/>
      <c r="CR126" s="22"/>
      <c r="CS126" s="22"/>
      <c r="CT126" s="22"/>
      <c r="CU126" s="22"/>
      <c r="CV126" s="22"/>
      <c r="CW126" s="22"/>
      <c r="CX126" s="22"/>
      <c r="CY126" s="22"/>
      <c r="CZ126" s="22"/>
      <c r="DA126" s="22"/>
      <c r="DB126" s="22"/>
      <c r="DC126" s="22"/>
      <c r="DD126" s="22"/>
      <c r="DE126" s="22"/>
      <c r="DF126" s="22"/>
      <c r="DG126" s="22"/>
      <c r="DH126" s="22"/>
      <c r="DI126" s="22"/>
      <c r="DJ126" s="22"/>
      <c r="DK126" s="22"/>
      <c r="DL126" s="22"/>
      <c r="DM126" s="22"/>
      <c r="DN126" s="22"/>
      <c r="DO126" s="22"/>
      <c r="DP126" s="22"/>
      <c r="DQ126" s="22"/>
      <c r="DR126" s="22"/>
      <c r="DS126" s="22"/>
      <c r="DT126" s="22"/>
      <c r="DU126" s="22"/>
      <c r="DV126" s="22"/>
      <c r="DW126" s="22"/>
      <c r="DX126" s="22"/>
      <c r="DY126" s="22"/>
      <c r="DZ126" s="22"/>
      <c r="EA126" s="22"/>
      <c r="EB126" s="22"/>
      <c r="EC126" s="22"/>
      <c r="ED126" s="22"/>
      <c r="EE126" s="22"/>
      <c r="EF126" s="22"/>
      <c r="EG126" s="22"/>
      <c r="EH126" s="22"/>
      <c r="EI126" s="22"/>
      <c r="EJ126" s="22"/>
      <c r="EK126" s="22"/>
      <c r="EL126" s="22"/>
      <c r="EM126" s="22"/>
      <c r="EN126" s="22"/>
      <c r="EO126" s="22"/>
      <c r="EP126" s="22"/>
      <c r="EQ126" s="22"/>
      <c r="ER126" s="22"/>
      <c r="ES126" s="22"/>
      <c r="ET126" s="22"/>
      <c r="EU126" s="22"/>
      <c r="EV126" s="22"/>
      <c r="EW126" s="22"/>
      <c r="EX126" s="22"/>
      <c r="EY126" s="22"/>
      <c r="EZ126" s="22"/>
      <c r="FA126" s="22"/>
      <c r="FB126" s="22"/>
      <c r="FC126" s="22"/>
      <c r="FD126" s="22"/>
      <c r="FE126" s="22"/>
      <c r="FF126" s="22"/>
      <c r="FG126" s="22"/>
      <c r="FH126" s="22"/>
      <c r="FI126" s="22"/>
      <c r="FJ126" s="22"/>
      <c r="FK126" s="22"/>
      <c r="FL126" s="22"/>
      <c r="FM126" s="22"/>
      <c r="FN126" s="22"/>
      <c r="FO126" s="22"/>
      <c r="FP126" s="22"/>
      <c r="FQ126" s="22"/>
      <c r="FR126" s="22"/>
      <c r="FS126" s="22"/>
      <c r="FT126" s="22"/>
      <c r="FU126" s="22"/>
      <c r="FV126" s="22"/>
      <c r="FW126" s="22"/>
      <c r="FX126" s="22"/>
      <c r="FY126" s="22"/>
      <c r="FZ126" s="22"/>
      <c r="GA126" s="22"/>
      <c r="GB126" s="22"/>
      <c r="GC126" s="22"/>
      <c r="GD126" s="22"/>
      <c r="GE126" s="22"/>
      <c r="GF126" s="22"/>
      <c r="GG126" s="22"/>
      <c r="GH126" s="22"/>
      <c r="GI126" s="22"/>
      <c r="GJ126" s="22"/>
      <c r="GK126" s="22"/>
      <c r="GL126" s="22"/>
      <c r="GM126" s="22"/>
      <c r="GN126" s="22"/>
      <c r="GO126" s="22"/>
      <c r="GP126" s="22"/>
      <c r="GQ126" s="22"/>
      <c r="GR126" s="22"/>
      <c r="GS126" s="22"/>
      <c r="GT126" s="22"/>
      <c r="GU126" s="22"/>
      <c r="GV126" s="22"/>
      <c r="GW126" s="22"/>
      <c r="GX126" s="22"/>
      <c r="GY126" s="22"/>
      <c r="GZ126" s="22"/>
      <c r="HA126" s="22"/>
      <c r="HB126" s="22"/>
      <c r="HC126" s="22"/>
      <c r="HD126" s="22"/>
      <c r="HE126" s="22"/>
      <c r="HF126" s="22"/>
      <c r="HG126" s="22"/>
      <c r="HH126" s="22"/>
      <c r="HI126" s="22"/>
      <c r="HJ126" s="22"/>
      <c r="HK126" s="22"/>
      <c r="HL126" s="22"/>
      <c r="HM126" s="22"/>
      <c r="HN126" s="22"/>
      <c r="HO126" s="22"/>
      <c r="HP126" s="22"/>
      <c r="HQ126" s="22"/>
      <c r="HR126" s="22"/>
      <c r="HS126" s="22"/>
      <c r="HT126" s="22"/>
      <c r="HU126" s="22"/>
      <c r="HV126" s="22"/>
      <c r="HW126" s="22"/>
      <c r="HX126" s="22"/>
      <c r="HY126" s="22"/>
      <c r="HZ126" s="22"/>
      <c r="IA126" s="22"/>
      <c r="IB126" s="22"/>
      <c r="IC126" s="22"/>
      <c r="ID126" s="22"/>
      <c r="IE126" s="22"/>
      <c r="IF126" s="22"/>
      <c r="IG126" s="22"/>
      <c r="IH126" s="22"/>
      <c r="II126" s="22"/>
      <c r="IJ126" s="22"/>
      <c r="IK126" s="22"/>
      <c r="IL126" s="22"/>
      <c r="IM126" s="22"/>
      <c r="IN126" s="22"/>
      <c r="IO126" s="22"/>
      <c r="IP126" s="22"/>
      <c r="IQ126" s="22"/>
      <c r="IR126" s="22"/>
      <c r="IS126" s="22"/>
      <c r="IT126" s="22"/>
      <c r="IU126" s="22"/>
      <c r="IV126" s="22"/>
    </row>
    <row r="127" spans="1:256" s="41" customFormat="1" ht="15" customHeight="1">
      <c r="A127" s="25" t="s">
        <v>1193</v>
      </c>
      <c r="B127" s="22"/>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c r="BH127" s="22"/>
      <c r="BI127" s="22"/>
      <c r="BJ127" s="22"/>
      <c r="BK127" s="22"/>
      <c r="BL127" s="22"/>
      <c r="BM127" s="22"/>
      <c r="BN127" s="22"/>
      <c r="BO127" s="22"/>
      <c r="BP127" s="22"/>
      <c r="BQ127" s="22"/>
      <c r="BR127" s="22"/>
      <c r="BS127" s="22"/>
      <c r="BT127" s="22"/>
      <c r="BU127" s="22"/>
      <c r="BV127" s="22"/>
      <c r="BW127" s="22"/>
      <c r="BX127" s="22"/>
      <c r="BY127" s="22"/>
      <c r="BZ127" s="22"/>
      <c r="CA127" s="22"/>
      <c r="CB127" s="22"/>
      <c r="CC127" s="22"/>
      <c r="CD127" s="22"/>
      <c r="CE127" s="22"/>
      <c r="CF127" s="22"/>
      <c r="CG127" s="22"/>
      <c r="CH127" s="22"/>
      <c r="CI127" s="22"/>
      <c r="CJ127" s="22"/>
      <c r="CK127" s="22"/>
      <c r="CL127" s="22"/>
      <c r="CM127" s="22"/>
      <c r="CN127" s="22"/>
      <c r="CO127" s="22"/>
      <c r="CP127" s="22"/>
      <c r="CQ127" s="22"/>
      <c r="CR127" s="22"/>
      <c r="CS127" s="22"/>
      <c r="CT127" s="22"/>
      <c r="CU127" s="22"/>
      <c r="CV127" s="22"/>
      <c r="CW127" s="22"/>
      <c r="CX127" s="22"/>
      <c r="CY127" s="22"/>
      <c r="CZ127" s="22"/>
      <c r="DA127" s="22"/>
      <c r="DB127" s="22"/>
      <c r="DC127" s="22"/>
      <c r="DD127" s="22"/>
      <c r="DE127" s="22"/>
      <c r="DF127" s="22"/>
      <c r="DG127" s="22"/>
      <c r="DH127" s="22"/>
      <c r="DI127" s="22"/>
      <c r="DJ127" s="22"/>
      <c r="DK127" s="22"/>
      <c r="DL127" s="22"/>
      <c r="DM127" s="22"/>
      <c r="DN127" s="22"/>
      <c r="DO127" s="22"/>
      <c r="DP127" s="22"/>
      <c r="DQ127" s="22"/>
      <c r="DR127" s="22"/>
      <c r="DS127" s="22"/>
      <c r="DT127" s="22"/>
      <c r="DU127" s="22"/>
      <c r="DV127" s="22"/>
      <c r="DW127" s="22"/>
      <c r="DX127" s="22"/>
      <c r="DY127" s="22"/>
      <c r="DZ127" s="22"/>
      <c r="EA127" s="22"/>
      <c r="EB127" s="22"/>
      <c r="EC127" s="22"/>
      <c r="ED127" s="22"/>
      <c r="EE127" s="22"/>
      <c r="EF127" s="22"/>
      <c r="EG127" s="22"/>
      <c r="EH127" s="22"/>
      <c r="EI127" s="22"/>
      <c r="EJ127" s="22"/>
      <c r="EK127" s="22"/>
      <c r="EL127" s="22"/>
      <c r="EM127" s="22"/>
      <c r="EN127" s="22"/>
      <c r="EO127" s="22"/>
      <c r="EP127" s="22"/>
      <c r="EQ127" s="22"/>
      <c r="ER127" s="22"/>
      <c r="ES127" s="22"/>
      <c r="ET127" s="22"/>
      <c r="EU127" s="22"/>
      <c r="EV127" s="22"/>
      <c r="EW127" s="22"/>
      <c r="EX127" s="22"/>
      <c r="EY127" s="22"/>
      <c r="EZ127" s="22"/>
      <c r="FA127" s="22"/>
      <c r="FB127" s="22"/>
      <c r="FC127" s="22"/>
      <c r="FD127" s="22"/>
      <c r="FE127" s="22"/>
      <c r="FF127" s="22"/>
      <c r="FG127" s="22"/>
      <c r="FH127" s="22"/>
      <c r="FI127" s="22"/>
      <c r="FJ127" s="22"/>
      <c r="FK127" s="22"/>
      <c r="FL127" s="22"/>
      <c r="FM127" s="22"/>
      <c r="FN127" s="22"/>
      <c r="FO127" s="22"/>
      <c r="FP127" s="22"/>
      <c r="FQ127" s="22"/>
      <c r="FR127" s="22"/>
      <c r="FS127" s="22"/>
      <c r="FT127" s="22"/>
      <c r="FU127" s="22"/>
      <c r="FV127" s="22"/>
      <c r="FW127" s="22"/>
      <c r="FX127" s="22"/>
      <c r="FY127" s="22"/>
      <c r="FZ127" s="22"/>
      <c r="GA127" s="22"/>
      <c r="GB127" s="22"/>
      <c r="GC127" s="22"/>
      <c r="GD127" s="22"/>
      <c r="GE127" s="22"/>
      <c r="GF127" s="22"/>
      <c r="GG127" s="22"/>
      <c r="GH127" s="22"/>
      <c r="GI127" s="22"/>
      <c r="GJ127" s="22"/>
      <c r="GK127" s="22"/>
      <c r="GL127" s="22"/>
      <c r="GM127" s="22"/>
      <c r="GN127" s="22"/>
      <c r="GO127" s="22"/>
      <c r="GP127" s="22"/>
      <c r="GQ127" s="22"/>
      <c r="GR127" s="22"/>
      <c r="GS127" s="22"/>
      <c r="GT127" s="22"/>
      <c r="GU127" s="22"/>
      <c r="GV127" s="22"/>
      <c r="GW127" s="22"/>
      <c r="GX127" s="22"/>
      <c r="GY127" s="22"/>
      <c r="GZ127" s="22"/>
      <c r="HA127" s="22"/>
      <c r="HB127" s="22"/>
      <c r="HC127" s="22"/>
      <c r="HD127" s="22"/>
      <c r="HE127" s="22"/>
      <c r="HF127" s="22"/>
      <c r="HG127" s="22"/>
      <c r="HH127" s="22"/>
      <c r="HI127" s="22"/>
      <c r="HJ127" s="22"/>
      <c r="HK127" s="22"/>
      <c r="HL127" s="22"/>
      <c r="HM127" s="22"/>
      <c r="HN127" s="22"/>
      <c r="HO127" s="22"/>
      <c r="HP127" s="22"/>
      <c r="HQ127" s="22"/>
      <c r="HR127" s="22"/>
      <c r="HS127" s="22"/>
      <c r="HT127" s="22"/>
      <c r="HU127" s="22"/>
      <c r="HV127" s="22"/>
      <c r="HW127" s="22"/>
      <c r="HX127" s="22"/>
      <c r="HY127" s="22"/>
      <c r="HZ127" s="22"/>
      <c r="IA127" s="22"/>
      <c r="IB127" s="22"/>
      <c r="IC127" s="22"/>
      <c r="ID127" s="22"/>
      <c r="IE127" s="22"/>
      <c r="IF127" s="22"/>
      <c r="IG127" s="22"/>
      <c r="IH127" s="22"/>
      <c r="II127" s="22"/>
      <c r="IJ127" s="22"/>
      <c r="IK127" s="22"/>
      <c r="IL127" s="22"/>
      <c r="IM127" s="22"/>
      <c r="IN127" s="22"/>
      <c r="IO127" s="22"/>
      <c r="IP127" s="22"/>
      <c r="IQ127" s="22"/>
      <c r="IR127" s="22"/>
      <c r="IS127" s="22"/>
      <c r="IT127" s="22"/>
      <c r="IU127" s="22"/>
      <c r="IV127" s="22"/>
    </row>
    <row r="128" spans="1:256" s="41" customFormat="1" ht="15" customHeight="1">
      <c r="A128" s="25" t="s">
        <v>1194</v>
      </c>
      <c r="B128" s="22"/>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c r="BH128" s="22"/>
      <c r="BI128" s="22"/>
      <c r="BJ128" s="22"/>
      <c r="BK128" s="22"/>
      <c r="BL128" s="22"/>
      <c r="BM128" s="22"/>
      <c r="BN128" s="22"/>
      <c r="BO128" s="22"/>
      <c r="BP128" s="22"/>
      <c r="BQ128" s="22"/>
      <c r="BR128" s="22"/>
      <c r="BS128" s="22"/>
      <c r="BT128" s="22"/>
      <c r="BU128" s="22"/>
      <c r="BV128" s="22"/>
      <c r="BW128" s="22"/>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c r="CV128" s="22"/>
      <c r="CW128" s="22"/>
      <c r="CX128" s="22"/>
      <c r="CY128" s="22"/>
      <c r="CZ128" s="22"/>
      <c r="DA128" s="22"/>
      <c r="DB128" s="22"/>
      <c r="DC128" s="22"/>
      <c r="DD128" s="22"/>
      <c r="DE128" s="22"/>
      <c r="DF128" s="22"/>
      <c r="DG128" s="22"/>
      <c r="DH128" s="22"/>
      <c r="DI128" s="22"/>
      <c r="DJ128" s="22"/>
      <c r="DK128" s="22"/>
      <c r="DL128" s="22"/>
      <c r="DM128" s="22"/>
      <c r="DN128" s="22"/>
      <c r="DO128" s="22"/>
      <c r="DP128" s="22"/>
      <c r="DQ128" s="22"/>
      <c r="DR128" s="22"/>
      <c r="DS128" s="22"/>
      <c r="DT128" s="22"/>
      <c r="DU128" s="22"/>
      <c r="DV128" s="22"/>
      <c r="DW128" s="22"/>
      <c r="DX128" s="22"/>
      <c r="DY128" s="22"/>
      <c r="DZ128" s="22"/>
      <c r="EA128" s="22"/>
      <c r="EB128" s="22"/>
      <c r="EC128" s="22"/>
      <c r="ED128" s="22"/>
      <c r="EE128" s="22"/>
      <c r="EF128" s="22"/>
      <c r="EG128" s="22"/>
      <c r="EH128" s="22"/>
      <c r="EI128" s="22"/>
      <c r="EJ128" s="22"/>
      <c r="EK128" s="22"/>
      <c r="EL128" s="22"/>
      <c r="EM128" s="22"/>
      <c r="EN128" s="22"/>
      <c r="EO128" s="22"/>
      <c r="EP128" s="22"/>
      <c r="EQ128" s="22"/>
      <c r="ER128" s="22"/>
      <c r="ES128" s="22"/>
      <c r="ET128" s="22"/>
      <c r="EU128" s="22"/>
      <c r="EV128" s="22"/>
      <c r="EW128" s="22"/>
      <c r="EX128" s="22"/>
      <c r="EY128" s="22"/>
      <c r="EZ128" s="22"/>
      <c r="FA128" s="22"/>
      <c r="FB128" s="22"/>
      <c r="FC128" s="22"/>
      <c r="FD128" s="22"/>
      <c r="FE128" s="22"/>
      <c r="FF128" s="22"/>
      <c r="FG128" s="22"/>
      <c r="FH128" s="22"/>
      <c r="FI128" s="22"/>
      <c r="FJ128" s="22"/>
      <c r="FK128" s="22"/>
      <c r="FL128" s="22"/>
      <c r="FM128" s="22"/>
      <c r="FN128" s="22"/>
      <c r="FO128" s="22"/>
      <c r="FP128" s="22"/>
      <c r="FQ128" s="22"/>
      <c r="FR128" s="22"/>
      <c r="FS128" s="22"/>
      <c r="FT128" s="22"/>
      <c r="FU128" s="22"/>
      <c r="FV128" s="22"/>
      <c r="FW128" s="22"/>
      <c r="FX128" s="22"/>
      <c r="FY128" s="22"/>
      <c r="FZ128" s="22"/>
      <c r="GA128" s="22"/>
      <c r="GB128" s="22"/>
      <c r="GC128" s="22"/>
      <c r="GD128" s="22"/>
      <c r="GE128" s="22"/>
      <c r="GF128" s="22"/>
      <c r="GG128" s="22"/>
      <c r="GH128" s="22"/>
      <c r="GI128" s="22"/>
      <c r="GJ128" s="22"/>
      <c r="GK128" s="22"/>
      <c r="GL128" s="22"/>
      <c r="GM128" s="22"/>
      <c r="GN128" s="22"/>
      <c r="GO128" s="22"/>
      <c r="GP128" s="22"/>
      <c r="GQ128" s="22"/>
      <c r="GR128" s="22"/>
      <c r="GS128" s="22"/>
      <c r="GT128" s="22"/>
      <c r="GU128" s="22"/>
      <c r="GV128" s="22"/>
      <c r="GW128" s="22"/>
      <c r="GX128" s="22"/>
      <c r="GY128" s="22"/>
      <c r="GZ128" s="22"/>
      <c r="HA128" s="22"/>
      <c r="HB128" s="22"/>
      <c r="HC128" s="22"/>
      <c r="HD128" s="22"/>
      <c r="HE128" s="22"/>
      <c r="HF128" s="22"/>
      <c r="HG128" s="22"/>
      <c r="HH128" s="22"/>
      <c r="HI128" s="22"/>
      <c r="HJ128" s="22"/>
      <c r="HK128" s="22"/>
      <c r="HL128" s="22"/>
      <c r="HM128" s="22"/>
      <c r="HN128" s="22"/>
      <c r="HO128" s="22"/>
      <c r="HP128" s="22"/>
      <c r="HQ128" s="22"/>
      <c r="HR128" s="22"/>
      <c r="HS128" s="22"/>
      <c r="HT128" s="22"/>
      <c r="HU128" s="22"/>
      <c r="HV128" s="22"/>
      <c r="HW128" s="22"/>
      <c r="HX128" s="22"/>
      <c r="HY128" s="22"/>
      <c r="HZ128" s="22"/>
      <c r="IA128" s="22"/>
      <c r="IB128" s="22"/>
      <c r="IC128" s="22"/>
      <c r="ID128" s="22"/>
      <c r="IE128" s="22"/>
      <c r="IF128" s="22"/>
      <c r="IG128" s="22"/>
      <c r="IH128" s="22"/>
      <c r="II128" s="22"/>
      <c r="IJ128" s="22"/>
      <c r="IK128" s="22"/>
      <c r="IL128" s="22"/>
      <c r="IM128" s="22"/>
      <c r="IN128" s="22"/>
      <c r="IO128" s="22"/>
      <c r="IP128" s="22"/>
      <c r="IQ128" s="22"/>
      <c r="IR128" s="22"/>
      <c r="IS128" s="22"/>
      <c r="IT128" s="22"/>
      <c r="IU128" s="22"/>
      <c r="IV128" s="22"/>
    </row>
    <row r="129" spans="1:256" s="41" customFormat="1" ht="15" customHeight="1">
      <c r="A129" s="25" t="s">
        <v>1195</v>
      </c>
      <c r="B129" s="22"/>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c r="BH129" s="22"/>
      <c r="BI129" s="22"/>
      <c r="BJ129" s="22"/>
      <c r="BK129" s="22"/>
      <c r="BL129" s="22"/>
      <c r="BM129" s="22"/>
      <c r="BN129" s="22"/>
      <c r="BO129" s="22"/>
      <c r="BP129" s="22"/>
      <c r="BQ129" s="22"/>
      <c r="BR129" s="22"/>
      <c r="BS129" s="22"/>
      <c r="BT129" s="22"/>
      <c r="BU129" s="22"/>
      <c r="BV129" s="22"/>
      <c r="BW129" s="22"/>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c r="CV129" s="22"/>
      <c r="CW129" s="22"/>
      <c r="CX129" s="22"/>
      <c r="CY129" s="22"/>
      <c r="CZ129" s="22"/>
      <c r="DA129" s="22"/>
      <c r="DB129" s="22"/>
      <c r="DC129" s="22"/>
      <c r="DD129" s="22"/>
      <c r="DE129" s="22"/>
      <c r="DF129" s="22"/>
      <c r="DG129" s="22"/>
      <c r="DH129" s="22"/>
      <c r="DI129" s="22"/>
      <c r="DJ129" s="22"/>
      <c r="DK129" s="22"/>
      <c r="DL129" s="22"/>
      <c r="DM129" s="22"/>
      <c r="DN129" s="22"/>
      <c r="DO129" s="22"/>
      <c r="DP129" s="22"/>
      <c r="DQ129" s="22"/>
      <c r="DR129" s="22"/>
      <c r="DS129" s="22"/>
      <c r="DT129" s="22"/>
      <c r="DU129" s="22"/>
      <c r="DV129" s="22"/>
      <c r="DW129" s="22"/>
      <c r="DX129" s="22"/>
      <c r="DY129" s="22"/>
      <c r="DZ129" s="22"/>
      <c r="EA129" s="22"/>
      <c r="EB129" s="22"/>
      <c r="EC129" s="22"/>
      <c r="ED129" s="22"/>
      <c r="EE129" s="22"/>
      <c r="EF129" s="22"/>
      <c r="EG129" s="22"/>
      <c r="EH129" s="22"/>
      <c r="EI129" s="22"/>
      <c r="EJ129" s="22"/>
      <c r="EK129" s="22"/>
      <c r="EL129" s="22"/>
      <c r="EM129" s="22"/>
      <c r="EN129" s="22"/>
      <c r="EO129" s="22"/>
      <c r="EP129" s="22"/>
      <c r="EQ129" s="22"/>
      <c r="ER129" s="22"/>
      <c r="ES129" s="22"/>
      <c r="ET129" s="22"/>
      <c r="EU129" s="22"/>
      <c r="EV129" s="22"/>
      <c r="EW129" s="22"/>
      <c r="EX129" s="22"/>
      <c r="EY129" s="22"/>
      <c r="EZ129" s="22"/>
      <c r="FA129" s="22"/>
      <c r="FB129" s="22"/>
      <c r="FC129" s="22"/>
      <c r="FD129" s="22"/>
      <c r="FE129" s="22"/>
      <c r="FF129" s="22"/>
      <c r="FG129" s="22"/>
      <c r="FH129" s="22"/>
      <c r="FI129" s="22"/>
      <c r="FJ129" s="22"/>
      <c r="FK129" s="22"/>
      <c r="FL129" s="22"/>
      <c r="FM129" s="22"/>
      <c r="FN129" s="22"/>
      <c r="FO129" s="22"/>
      <c r="FP129" s="22"/>
      <c r="FQ129" s="22"/>
      <c r="FR129" s="22"/>
      <c r="FS129" s="22"/>
      <c r="FT129" s="22"/>
      <c r="FU129" s="22"/>
      <c r="FV129" s="22"/>
      <c r="FW129" s="22"/>
      <c r="FX129" s="22"/>
      <c r="FY129" s="22"/>
      <c r="FZ129" s="22"/>
      <c r="GA129" s="22"/>
      <c r="GB129" s="22"/>
      <c r="GC129" s="22"/>
      <c r="GD129" s="22"/>
      <c r="GE129" s="22"/>
      <c r="GF129" s="22"/>
      <c r="GG129" s="22"/>
      <c r="GH129" s="22"/>
      <c r="GI129" s="22"/>
      <c r="GJ129" s="22"/>
      <c r="GK129" s="22"/>
      <c r="GL129" s="22"/>
      <c r="GM129" s="22"/>
      <c r="GN129" s="22"/>
      <c r="GO129" s="22"/>
      <c r="GP129" s="22"/>
      <c r="GQ129" s="22"/>
      <c r="GR129" s="22"/>
      <c r="GS129" s="22"/>
      <c r="GT129" s="22"/>
      <c r="GU129" s="22"/>
      <c r="GV129" s="22"/>
      <c r="GW129" s="22"/>
      <c r="GX129" s="22"/>
      <c r="GY129" s="22"/>
      <c r="GZ129" s="22"/>
      <c r="HA129" s="22"/>
      <c r="HB129" s="22"/>
      <c r="HC129" s="22"/>
      <c r="HD129" s="22"/>
      <c r="HE129" s="22"/>
      <c r="HF129" s="22"/>
      <c r="HG129" s="22"/>
      <c r="HH129" s="22"/>
      <c r="HI129" s="22"/>
      <c r="HJ129" s="22"/>
      <c r="HK129" s="22"/>
      <c r="HL129" s="22"/>
      <c r="HM129" s="22"/>
      <c r="HN129" s="22"/>
      <c r="HO129" s="22"/>
      <c r="HP129" s="22"/>
      <c r="HQ129" s="22"/>
      <c r="HR129" s="22"/>
      <c r="HS129" s="22"/>
      <c r="HT129" s="22"/>
      <c r="HU129" s="22"/>
      <c r="HV129" s="22"/>
      <c r="HW129" s="22"/>
      <c r="HX129" s="22"/>
      <c r="HY129" s="22"/>
      <c r="HZ129" s="22"/>
      <c r="IA129" s="22"/>
      <c r="IB129" s="22"/>
      <c r="IC129" s="22"/>
      <c r="ID129" s="22"/>
      <c r="IE129" s="22"/>
      <c r="IF129" s="22"/>
      <c r="IG129" s="22"/>
      <c r="IH129" s="22"/>
      <c r="II129" s="22"/>
      <c r="IJ129" s="22"/>
      <c r="IK129" s="22"/>
      <c r="IL129" s="22"/>
      <c r="IM129" s="22"/>
      <c r="IN129" s="22"/>
      <c r="IO129" s="22"/>
      <c r="IP129" s="22"/>
      <c r="IQ129" s="22"/>
      <c r="IR129" s="22"/>
      <c r="IS129" s="22"/>
      <c r="IT129" s="22"/>
      <c r="IU129" s="22"/>
      <c r="IV129" s="22"/>
    </row>
    <row r="130" spans="1:256" s="41" customFormat="1" ht="15" customHeight="1">
      <c r="A130" s="25" t="s">
        <v>1196</v>
      </c>
      <c r="B130" s="22"/>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c r="BH130" s="22"/>
      <c r="BI130" s="22"/>
      <c r="BJ130" s="22"/>
      <c r="BK130" s="22"/>
      <c r="BL130" s="22"/>
      <c r="BM130" s="22"/>
      <c r="BN130" s="22"/>
      <c r="BO130" s="22"/>
      <c r="BP130" s="22"/>
      <c r="BQ130" s="22"/>
      <c r="BR130" s="22"/>
      <c r="BS130" s="22"/>
      <c r="BT130" s="22"/>
      <c r="BU130" s="22"/>
      <c r="BV130" s="22"/>
      <c r="BW130" s="22"/>
      <c r="BX130" s="22"/>
      <c r="BY130" s="22"/>
      <c r="BZ130" s="22"/>
      <c r="CA130" s="22"/>
      <c r="CB130" s="22"/>
      <c r="CC130" s="22"/>
      <c r="CD130" s="22"/>
      <c r="CE130" s="22"/>
      <c r="CF130" s="22"/>
      <c r="CG130" s="22"/>
      <c r="CH130" s="22"/>
      <c r="CI130" s="22"/>
      <c r="CJ130" s="22"/>
      <c r="CK130" s="22"/>
      <c r="CL130" s="22"/>
      <c r="CM130" s="22"/>
      <c r="CN130" s="22"/>
      <c r="CO130" s="22"/>
      <c r="CP130" s="22"/>
      <c r="CQ130" s="22"/>
      <c r="CR130" s="22"/>
      <c r="CS130" s="22"/>
      <c r="CT130" s="22"/>
      <c r="CU130" s="22"/>
      <c r="CV130" s="22"/>
      <c r="CW130" s="22"/>
      <c r="CX130" s="22"/>
      <c r="CY130" s="22"/>
      <c r="CZ130" s="22"/>
      <c r="DA130" s="22"/>
      <c r="DB130" s="22"/>
      <c r="DC130" s="22"/>
      <c r="DD130" s="22"/>
      <c r="DE130" s="22"/>
      <c r="DF130" s="22"/>
      <c r="DG130" s="22"/>
      <c r="DH130" s="22"/>
      <c r="DI130" s="22"/>
      <c r="DJ130" s="22"/>
      <c r="DK130" s="22"/>
      <c r="DL130" s="22"/>
      <c r="DM130" s="22"/>
      <c r="DN130" s="22"/>
      <c r="DO130" s="22"/>
      <c r="DP130" s="22"/>
      <c r="DQ130" s="22"/>
      <c r="DR130" s="22"/>
      <c r="DS130" s="22"/>
      <c r="DT130" s="22"/>
      <c r="DU130" s="22"/>
      <c r="DV130" s="22"/>
      <c r="DW130" s="22"/>
      <c r="DX130" s="22"/>
      <c r="DY130" s="22"/>
      <c r="DZ130" s="22"/>
      <c r="EA130" s="22"/>
      <c r="EB130" s="22"/>
      <c r="EC130" s="22"/>
      <c r="ED130" s="22"/>
      <c r="EE130" s="22"/>
      <c r="EF130" s="22"/>
      <c r="EG130" s="22"/>
      <c r="EH130" s="22"/>
      <c r="EI130" s="22"/>
      <c r="EJ130" s="22"/>
      <c r="EK130" s="22"/>
      <c r="EL130" s="22"/>
      <c r="EM130" s="22"/>
      <c r="EN130" s="22"/>
      <c r="EO130" s="22"/>
      <c r="EP130" s="22"/>
      <c r="EQ130" s="22"/>
      <c r="ER130" s="22"/>
      <c r="ES130" s="22"/>
      <c r="ET130" s="22"/>
      <c r="EU130" s="22"/>
      <c r="EV130" s="22"/>
      <c r="EW130" s="22"/>
      <c r="EX130" s="22"/>
      <c r="EY130" s="22"/>
      <c r="EZ130" s="22"/>
      <c r="FA130" s="22"/>
      <c r="FB130" s="22"/>
      <c r="FC130" s="22"/>
      <c r="FD130" s="22"/>
      <c r="FE130" s="22"/>
      <c r="FF130" s="22"/>
      <c r="FG130" s="22"/>
      <c r="FH130" s="22"/>
      <c r="FI130" s="22"/>
      <c r="FJ130" s="22"/>
      <c r="FK130" s="22"/>
      <c r="FL130" s="22"/>
      <c r="FM130" s="22"/>
      <c r="FN130" s="22"/>
      <c r="FO130" s="22"/>
      <c r="FP130" s="22"/>
      <c r="FQ130" s="22"/>
      <c r="FR130" s="22"/>
      <c r="FS130" s="22"/>
      <c r="FT130" s="22"/>
      <c r="FU130" s="22"/>
      <c r="FV130" s="22"/>
      <c r="FW130" s="22"/>
      <c r="FX130" s="22"/>
      <c r="FY130" s="22"/>
      <c r="FZ130" s="22"/>
      <c r="GA130" s="22"/>
      <c r="GB130" s="22"/>
      <c r="GC130" s="22"/>
      <c r="GD130" s="22"/>
      <c r="GE130" s="22"/>
      <c r="GF130" s="22"/>
      <c r="GG130" s="22"/>
      <c r="GH130" s="22"/>
      <c r="GI130" s="22"/>
      <c r="GJ130" s="22"/>
      <c r="GK130" s="22"/>
      <c r="GL130" s="22"/>
      <c r="GM130" s="22"/>
      <c r="GN130" s="22"/>
      <c r="GO130" s="22"/>
      <c r="GP130" s="22"/>
      <c r="GQ130" s="22"/>
      <c r="GR130" s="22"/>
      <c r="GS130" s="22"/>
      <c r="GT130" s="22"/>
      <c r="GU130" s="22"/>
      <c r="GV130" s="22"/>
      <c r="GW130" s="22"/>
      <c r="GX130" s="22"/>
      <c r="GY130" s="22"/>
      <c r="GZ130" s="22"/>
      <c r="HA130" s="22"/>
      <c r="HB130" s="22"/>
      <c r="HC130" s="22"/>
      <c r="HD130" s="22"/>
      <c r="HE130" s="22"/>
      <c r="HF130" s="22"/>
      <c r="HG130" s="22"/>
      <c r="HH130" s="22"/>
      <c r="HI130" s="22"/>
      <c r="HJ130" s="22"/>
      <c r="HK130" s="22"/>
      <c r="HL130" s="22"/>
      <c r="HM130" s="22"/>
      <c r="HN130" s="22"/>
      <c r="HO130" s="22"/>
      <c r="HP130" s="22"/>
      <c r="HQ130" s="22"/>
      <c r="HR130" s="22"/>
      <c r="HS130" s="22"/>
      <c r="HT130" s="22"/>
      <c r="HU130" s="22"/>
      <c r="HV130" s="22"/>
      <c r="HW130" s="22"/>
      <c r="HX130" s="22"/>
      <c r="HY130" s="22"/>
      <c r="HZ130" s="22"/>
      <c r="IA130" s="22"/>
      <c r="IB130" s="22"/>
      <c r="IC130" s="22"/>
      <c r="ID130" s="22"/>
      <c r="IE130" s="22"/>
      <c r="IF130" s="22"/>
      <c r="IG130" s="22"/>
      <c r="IH130" s="22"/>
      <c r="II130" s="22"/>
      <c r="IJ130" s="22"/>
      <c r="IK130" s="22"/>
      <c r="IL130" s="22"/>
      <c r="IM130" s="22"/>
      <c r="IN130" s="22"/>
      <c r="IO130" s="22"/>
      <c r="IP130" s="22"/>
      <c r="IQ130" s="22"/>
      <c r="IR130" s="22"/>
      <c r="IS130" s="22"/>
      <c r="IT130" s="22"/>
      <c r="IU130" s="22"/>
      <c r="IV130" s="22"/>
    </row>
    <row r="131" spans="1:256" s="41" customFormat="1" ht="15" customHeight="1">
      <c r="A131" s="25" t="s">
        <v>1197</v>
      </c>
      <c r="B131" s="22"/>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c r="BH131" s="22"/>
      <c r="BI131" s="22"/>
      <c r="BJ131" s="22"/>
      <c r="BK131" s="22"/>
      <c r="BL131" s="22"/>
      <c r="BM131" s="22"/>
      <c r="BN131" s="22"/>
      <c r="BO131" s="22"/>
      <c r="BP131" s="22"/>
      <c r="BQ131" s="22"/>
      <c r="BR131" s="22"/>
      <c r="BS131" s="22"/>
      <c r="BT131" s="22"/>
      <c r="BU131" s="22"/>
      <c r="BV131" s="22"/>
      <c r="BW131" s="22"/>
      <c r="BX131" s="22"/>
      <c r="BY131" s="22"/>
      <c r="BZ131" s="22"/>
      <c r="CA131" s="22"/>
      <c r="CB131" s="22"/>
      <c r="CC131" s="22"/>
      <c r="CD131" s="22"/>
      <c r="CE131" s="22"/>
      <c r="CF131" s="22"/>
      <c r="CG131" s="22"/>
      <c r="CH131" s="22"/>
      <c r="CI131" s="22"/>
      <c r="CJ131" s="22"/>
      <c r="CK131" s="22"/>
      <c r="CL131" s="22"/>
      <c r="CM131" s="22"/>
      <c r="CN131" s="22"/>
      <c r="CO131" s="22"/>
      <c r="CP131" s="22"/>
      <c r="CQ131" s="22"/>
      <c r="CR131" s="22"/>
      <c r="CS131" s="22"/>
      <c r="CT131" s="22"/>
      <c r="CU131" s="22"/>
      <c r="CV131" s="22"/>
      <c r="CW131" s="22"/>
      <c r="CX131" s="22"/>
      <c r="CY131" s="22"/>
      <c r="CZ131" s="22"/>
      <c r="DA131" s="22"/>
      <c r="DB131" s="22"/>
      <c r="DC131" s="22"/>
      <c r="DD131" s="22"/>
      <c r="DE131" s="22"/>
      <c r="DF131" s="22"/>
      <c r="DG131" s="22"/>
      <c r="DH131" s="22"/>
      <c r="DI131" s="22"/>
      <c r="DJ131" s="22"/>
      <c r="DK131" s="22"/>
      <c r="DL131" s="22"/>
      <c r="DM131" s="22"/>
      <c r="DN131" s="22"/>
      <c r="DO131" s="22"/>
      <c r="DP131" s="22"/>
      <c r="DQ131" s="22"/>
      <c r="DR131" s="22"/>
      <c r="DS131" s="22"/>
      <c r="DT131" s="22"/>
      <c r="DU131" s="22"/>
      <c r="DV131" s="22"/>
      <c r="DW131" s="22"/>
      <c r="DX131" s="22"/>
      <c r="DY131" s="22"/>
      <c r="DZ131" s="22"/>
      <c r="EA131" s="22"/>
      <c r="EB131" s="22"/>
      <c r="EC131" s="22"/>
      <c r="ED131" s="22"/>
      <c r="EE131" s="22"/>
      <c r="EF131" s="22"/>
      <c r="EG131" s="22"/>
      <c r="EH131" s="22"/>
      <c r="EI131" s="22"/>
      <c r="EJ131" s="22"/>
      <c r="EK131" s="22"/>
      <c r="EL131" s="22"/>
      <c r="EM131" s="22"/>
      <c r="EN131" s="22"/>
      <c r="EO131" s="22"/>
      <c r="EP131" s="22"/>
      <c r="EQ131" s="22"/>
      <c r="ER131" s="22"/>
      <c r="ES131" s="22"/>
      <c r="ET131" s="22"/>
      <c r="EU131" s="22"/>
      <c r="EV131" s="22"/>
      <c r="EW131" s="22"/>
      <c r="EX131" s="22"/>
      <c r="EY131" s="22"/>
      <c r="EZ131" s="22"/>
      <c r="FA131" s="22"/>
      <c r="FB131" s="22"/>
      <c r="FC131" s="22"/>
      <c r="FD131" s="22"/>
      <c r="FE131" s="22"/>
      <c r="FF131" s="22"/>
      <c r="FG131" s="22"/>
      <c r="FH131" s="22"/>
      <c r="FI131" s="22"/>
      <c r="FJ131" s="22"/>
      <c r="FK131" s="22"/>
      <c r="FL131" s="22"/>
      <c r="FM131" s="22"/>
      <c r="FN131" s="22"/>
      <c r="FO131" s="22"/>
      <c r="FP131" s="22"/>
      <c r="FQ131" s="22"/>
      <c r="FR131" s="22"/>
      <c r="FS131" s="22"/>
      <c r="FT131" s="22"/>
      <c r="FU131" s="22"/>
      <c r="FV131" s="22"/>
      <c r="FW131" s="22"/>
      <c r="FX131" s="22"/>
      <c r="FY131" s="22"/>
      <c r="FZ131" s="22"/>
      <c r="GA131" s="22"/>
      <c r="GB131" s="22"/>
      <c r="GC131" s="22"/>
      <c r="GD131" s="22"/>
      <c r="GE131" s="22"/>
      <c r="GF131" s="22"/>
      <c r="GG131" s="22"/>
      <c r="GH131" s="22"/>
      <c r="GI131" s="22"/>
      <c r="GJ131" s="22"/>
      <c r="GK131" s="22"/>
      <c r="GL131" s="22"/>
      <c r="GM131" s="22"/>
      <c r="GN131" s="22"/>
      <c r="GO131" s="22"/>
      <c r="GP131" s="22"/>
      <c r="GQ131" s="22"/>
      <c r="GR131" s="22"/>
      <c r="GS131" s="22"/>
      <c r="GT131" s="22"/>
      <c r="GU131" s="22"/>
      <c r="GV131" s="22"/>
      <c r="GW131" s="22"/>
      <c r="GX131" s="22"/>
      <c r="GY131" s="22"/>
      <c r="GZ131" s="22"/>
      <c r="HA131" s="22"/>
      <c r="HB131" s="22"/>
      <c r="HC131" s="22"/>
      <c r="HD131" s="22"/>
      <c r="HE131" s="22"/>
      <c r="HF131" s="22"/>
      <c r="HG131" s="22"/>
      <c r="HH131" s="22"/>
      <c r="HI131" s="22"/>
      <c r="HJ131" s="22"/>
      <c r="HK131" s="22"/>
      <c r="HL131" s="22"/>
      <c r="HM131" s="22"/>
      <c r="HN131" s="22"/>
      <c r="HO131" s="22"/>
      <c r="HP131" s="22"/>
      <c r="HQ131" s="22"/>
      <c r="HR131" s="22"/>
      <c r="HS131" s="22"/>
      <c r="HT131" s="22"/>
      <c r="HU131" s="22"/>
      <c r="HV131" s="22"/>
      <c r="HW131" s="22"/>
      <c r="HX131" s="22"/>
      <c r="HY131" s="22"/>
      <c r="HZ131" s="22"/>
      <c r="IA131" s="22"/>
      <c r="IB131" s="22"/>
      <c r="IC131" s="22"/>
      <c r="ID131" s="22"/>
      <c r="IE131" s="22"/>
      <c r="IF131" s="22"/>
      <c r="IG131" s="22"/>
      <c r="IH131" s="22"/>
      <c r="II131" s="22"/>
      <c r="IJ131" s="22"/>
      <c r="IK131" s="22"/>
      <c r="IL131" s="22"/>
      <c r="IM131" s="22"/>
      <c r="IN131" s="22"/>
      <c r="IO131" s="22"/>
      <c r="IP131" s="22"/>
      <c r="IQ131" s="22"/>
      <c r="IR131" s="22"/>
      <c r="IS131" s="22"/>
      <c r="IT131" s="22"/>
      <c r="IU131" s="22"/>
      <c r="IV131" s="22"/>
    </row>
    <row r="132" spans="1:256" s="41" customFormat="1" ht="15" customHeight="1">
      <c r="A132" s="25" t="s">
        <v>1198</v>
      </c>
      <c r="B132" s="22"/>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BB132" s="22"/>
      <c r="BC132" s="22"/>
      <c r="BD132" s="22"/>
      <c r="BE132" s="22"/>
      <c r="BF132" s="22"/>
      <c r="BG132" s="22"/>
      <c r="BH132" s="22"/>
      <c r="BI132" s="22"/>
      <c r="BJ132" s="22"/>
      <c r="BK132" s="22"/>
      <c r="BL132" s="22"/>
      <c r="BM132" s="22"/>
      <c r="BN132" s="22"/>
      <c r="BO132" s="22"/>
      <c r="BP132" s="22"/>
      <c r="BQ132" s="22"/>
      <c r="BR132" s="22"/>
      <c r="BS132" s="22"/>
      <c r="BT132" s="22"/>
      <c r="BU132" s="22"/>
      <c r="BV132" s="22"/>
      <c r="BW132" s="22"/>
      <c r="BX132" s="22"/>
      <c r="BY132" s="22"/>
      <c r="BZ132" s="22"/>
      <c r="CA132" s="22"/>
      <c r="CB132" s="22"/>
      <c r="CC132" s="22"/>
      <c r="CD132" s="22"/>
      <c r="CE132" s="22"/>
      <c r="CF132" s="22"/>
      <c r="CG132" s="22"/>
      <c r="CH132" s="22"/>
      <c r="CI132" s="22"/>
      <c r="CJ132" s="22"/>
      <c r="CK132" s="22"/>
      <c r="CL132" s="22"/>
      <c r="CM132" s="22"/>
      <c r="CN132" s="22"/>
      <c r="CO132" s="22"/>
      <c r="CP132" s="22"/>
      <c r="CQ132" s="22"/>
      <c r="CR132" s="22"/>
      <c r="CS132" s="22"/>
      <c r="CT132" s="22"/>
      <c r="CU132" s="22"/>
      <c r="CV132" s="22"/>
      <c r="CW132" s="22"/>
      <c r="CX132" s="22"/>
      <c r="CY132" s="22"/>
      <c r="CZ132" s="22"/>
      <c r="DA132" s="22"/>
      <c r="DB132" s="22"/>
      <c r="DC132" s="22"/>
      <c r="DD132" s="22"/>
      <c r="DE132" s="22"/>
      <c r="DF132" s="22"/>
      <c r="DG132" s="22"/>
      <c r="DH132" s="22"/>
      <c r="DI132" s="22"/>
      <c r="DJ132" s="22"/>
      <c r="DK132" s="22"/>
      <c r="DL132" s="22"/>
      <c r="DM132" s="22"/>
      <c r="DN132" s="22"/>
      <c r="DO132" s="22"/>
      <c r="DP132" s="22"/>
      <c r="DQ132" s="22"/>
      <c r="DR132" s="22"/>
      <c r="DS132" s="22"/>
      <c r="DT132" s="22"/>
      <c r="DU132" s="22"/>
      <c r="DV132" s="22"/>
      <c r="DW132" s="22"/>
      <c r="DX132" s="22"/>
      <c r="DY132" s="22"/>
      <c r="DZ132" s="22"/>
      <c r="EA132" s="22"/>
      <c r="EB132" s="22"/>
      <c r="EC132" s="22"/>
      <c r="ED132" s="22"/>
      <c r="EE132" s="22"/>
      <c r="EF132" s="22"/>
      <c r="EG132" s="22"/>
      <c r="EH132" s="22"/>
      <c r="EI132" s="22"/>
      <c r="EJ132" s="22"/>
      <c r="EK132" s="22"/>
      <c r="EL132" s="22"/>
      <c r="EM132" s="22"/>
      <c r="EN132" s="22"/>
      <c r="EO132" s="22"/>
      <c r="EP132" s="22"/>
      <c r="EQ132" s="22"/>
      <c r="ER132" s="22"/>
      <c r="ES132" s="22"/>
      <c r="ET132" s="22"/>
      <c r="EU132" s="22"/>
      <c r="EV132" s="22"/>
      <c r="EW132" s="22"/>
      <c r="EX132" s="22"/>
      <c r="EY132" s="22"/>
      <c r="EZ132" s="22"/>
      <c r="FA132" s="22"/>
      <c r="FB132" s="22"/>
      <c r="FC132" s="22"/>
      <c r="FD132" s="22"/>
      <c r="FE132" s="22"/>
      <c r="FF132" s="22"/>
      <c r="FG132" s="22"/>
      <c r="FH132" s="22"/>
      <c r="FI132" s="22"/>
      <c r="FJ132" s="22"/>
      <c r="FK132" s="22"/>
      <c r="FL132" s="22"/>
      <c r="FM132" s="22"/>
      <c r="FN132" s="22"/>
      <c r="FO132" s="22"/>
      <c r="FP132" s="22"/>
      <c r="FQ132" s="22"/>
      <c r="FR132" s="22"/>
      <c r="FS132" s="22"/>
      <c r="FT132" s="22"/>
      <c r="FU132" s="22"/>
      <c r="FV132" s="22"/>
      <c r="FW132" s="22"/>
      <c r="FX132" s="22"/>
      <c r="FY132" s="22"/>
      <c r="FZ132" s="22"/>
      <c r="GA132" s="22"/>
      <c r="GB132" s="22"/>
      <c r="GC132" s="22"/>
      <c r="GD132" s="22"/>
      <c r="GE132" s="22"/>
      <c r="GF132" s="22"/>
      <c r="GG132" s="22"/>
      <c r="GH132" s="22"/>
      <c r="GI132" s="22"/>
      <c r="GJ132" s="22"/>
      <c r="GK132" s="22"/>
      <c r="GL132" s="22"/>
      <c r="GM132" s="22"/>
      <c r="GN132" s="22"/>
      <c r="GO132" s="22"/>
      <c r="GP132" s="22"/>
      <c r="GQ132" s="22"/>
      <c r="GR132" s="22"/>
      <c r="GS132" s="22"/>
      <c r="GT132" s="22"/>
      <c r="GU132" s="22"/>
      <c r="GV132" s="22"/>
      <c r="GW132" s="22"/>
      <c r="GX132" s="22"/>
      <c r="GY132" s="22"/>
      <c r="GZ132" s="22"/>
      <c r="HA132" s="22"/>
      <c r="HB132" s="22"/>
      <c r="HC132" s="22"/>
      <c r="HD132" s="22"/>
      <c r="HE132" s="22"/>
      <c r="HF132" s="22"/>
      <c r="HG132" s="22"/>
      <c r="HH132" s="22"/>
      <c r="HI132" s="22"/>
      <c r="HJ132" s="22"/>
      <c r="HK132" s="22"/>
      <c r="HL132" s="22"/>
      <c r="HM132" s="22"/>
      <c r="HN132" s="22"/>
      <c r="HO132" s="22"/>
      <c r="HP132" s="22"/>
      <c r="HQ132" s="22"/>
      <c r="HR132" s="22"/>
      <c r="HS132" s="22"/>
      <c r="HT132" s="22"/>
      <c r="HU132" s="22"/>
      <c r="HV132" s="22"/>
      <c r="HW132" s="22"/>
      <c r="HX132" s="22"/>
      <c r="HY132" s="22"/>
      <c r="HZ132" s="22"/>
      <c r="IA132" s="22"/>
      <c r="IB132" s="22"/>
      <c r="IC132" s="22"/>
      <c r="ID132" s="22"/>
      <c r="IE132" s="22"/>
      <c r="IF132" s="22"/>
      <c r="IG132" s="22"/>
      <c r="IH132" s="22"/>
      <c r="II132" s="22"/>
      <c r="IJ132" s="22"/>
      <c r="IK132" s="22"/>
      <c r="IL132" s="22"/>
      <c r="IM132" s="22"/>
      <c r="IN132" s="22"/>
      <c r="IO132" s="22"/>
      <c r="IP132" s="22"/>
      <c r="IQ132" s="22"/>
      <c r="IR132" s="22"/>
      <c r="IS132" s="22"/>
      <c r="IT132" s="22"/>
      <c r="IU132" s="22"/>
      <c r="IV132" s="22"/>
    </row>
    <row r="133" spans="1:256" s="41" customFormat="1" ht="15" customHeight="1">
      <c r="A133" s="25" t="s">
        <v>1199</v>
      </c>
      <c r="B133" s="22"/>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c r="BH133" s="22"/>
      <c r="BI133" s="22"/>
      <c r="BJ133" s="22"/>
      <c r="BK133" s="22"/>
      <c r="BL133" s="22"/>
      <c r="BM133" s="22"/>
      <c r="BN133" s="22"/>
      <c r="BO133" s="22"/>
      <c r="BP133" s="22"/>
      <c r="BQ133" s="22"/>
      <c r="BR133" s="22"/>
      <c r="BS133" s="22"/>
      <c r="BT133" s="22"/>
      <c r="BU133" s="22"/>
      <c r="BV133" s="22"/>
      <c r="BW133" s="22"/>
      <c r="BX133" s="22"/>
      <c r="BY133" s="22"/>
      <c r="BZ133" s="22"/>
      <c r="CA133" s="22"/>
      <c r="CB133" s="22"/>
      <c r="CC133" s="22"/>
      <c r="CD133" s="22"/>
      <c r="CE133" s="22"/>
      <c r="CF133" s="22"/>
      <c r="CG133" s="22"/>
      <c r="CH133" s="22"/>
      <c r="CI133" s="22"/>
      <c r="CJ133" s="22"/>
      <c r="CK133" s="22"/>
      <c r="CL133" s="22"/>
      <c r="CM133" s="22"/>
      <c r="CN133" s="22"/>
      <c r="CO133" s="22"/>
      <c r="CP133" s="22"/>
      <c r="CQ133" s="22"/>
      <c r="CR133" s="22"/>
      <c r="CS133" s="22"/>
      <c r="CT133" s="22"/>
      <c r="CU133" s="22"/>
      <c r="CV133" s="22"/>
      <c r="CW133" s="22"/>
      <c r="CX133" s="22"/>
      <c r="CY133" s="22"/>
      <c r="CZ133" s="22"/>
      <c r="DA133" s="22"/>
      <c r="DB133" s="22"/>
      <c r="DC133" s="22"/>
      <c r="DD133" s="22"/>
      <c r="DE133" s="22"/>
      <c r="DF133" s="22"/>
      <c r="DG133" s="22"/>
      <c r="DH133" s="22"/>
      <c r="DI133" s="22"/>
      <c r="DJ133" s="22"/>
      <c r="DK133" s="22"/>
      <c r="DL133" s="22"/>
      <c r="DM133" s="22"/>
      <c r="DN133" s="22"/>
      <c r="DO133" s="22"/>
      <c r="DP133" s="22"/>
      <c r="DQ133" s="22"/>
      <c r="DR133" s="22"/>
      <c r="DS133" s="22"/>
      <c r="DT133" s="22"/>
      <c r="DU133" s="22"/>
      <c r="DV133" s="22"/>
      <c r="DW133" s="22"/>
      <c r="DX133" s="22"/>
      <c r="DY133" s="22"/>
      <c r="DZ133" s="22"/>
      <c r="EA133" s="22"/>
      <c r="EB133" s="22"/>
      <c r="EC133" s="22"/>
      <c r="ED133" s="22"/>
      <c r="EE133" s="22"/>
      <c r="EF133" s="22"/>
      <c r="EG133" s="22"/>
      <c r="EH133" s="22"/>
      <c r="EI133" s="22"/>
      <c r="EJ133" s="22"/>
      <c r="EK133" s="22"/>
      <c r="EL133" s="22"/>
      <c r="EM133" s="22"/>
      <c r="EN133" s="22"/>
      <c r="EO133" s="22"/>
      <c r="EP133" s="22"/>
      <c r="EQ133" s="22"/>
      <c r="ER133" s="22"/>
      <c r="ES133" s="22"/>
      <c r="ET133" s="22"/>
      <c r="EU133" s="22"/>
      <c r="EV133" s="22"/>
      <c r="EW133" s="22"/>
      <c r="EX133" s="22"/>
      <c r="EY133" s="22"/>
      <c r="EZ133" s="22"/>
      <c r="FA133" s="22"/>
      <c r="FB133" s="22"/>
      <c r="FC133" s="22"/>
      <c r="FD133" s="22"/>
      <c r="FE133" s="22"/>
      <c r="FF133" s="22"/>
      <c r="FG133" s="22"/>
      <c r="FH133" s="22"/>
      <c r="FI133" s="22"/>
      <c r="FJ133" s="22"/>
      <c r="FK133" s="22"/>
      <c r="FL133" s="22"/>
      <c r="FM133" s="22"/>
      <c r="FN133" s="22"/>
      <c r="FO133" s="22"/>
      <c r="FP133" s="22"/>
      <c r="FQ133" s="22"/>
      <c r="FR133" s="22"/>
      <c r="FS133" s="22"/>
      <c r="FT133" s="22"/>
      <c r="FU133" s="22"/>
      <c r="FV133" s="22"/>
      <c r="FW133" s="22"/>
      <c r="FX133" s="22"/>
      <c r="FY133" s="22"/>
      <c r="FZ133" s="22"/>
      <c r="GA133" s="22"/>
      <c r="GB133" s="22"/>
      <c r="GC133" s="22"/>
      <c r="GD133" s="22"/>
      <c r="GE133" s="22"/>
      <c r="GF133" s="22"/>
      <c r="GG133" s="22"/>
      <c r="GH133" s="22"/>
      <c r="GI133" s="22"/>
      <c r="GJ133" s="22"/>
      <c r="GK133" s="22"/>
      <c r="GL133" s="22"/>
      <c r="GM133" s="22"/>
      <c r="GN133" s="22"/>
      <c r="GO133" s="22"/>
      <c r="GP133" s="22"/>
      <c r="GQ133" s="22"/>
      <c r="GR133" s="22"/>
      <c r="GS133" s="22"/>
      <c r="GT133" s="22"/>
      <c r="GU133" s="22"/>
      <c r="GV133" s="22"/>
      <c r="GW133" s="22"/>
      <c r="GX133" s="22"/>
      <c r="GY133" s="22"/>
      <c r="GZ133" s="22"/>
      <c r="HA133" s="22"/>
      <c r="HB133" s="22"/>
      <c r="HC133" s="22"/>
      <c r="HD133" s="22"/>
      <c r="HE133" s="22"/>
      <c r="HF133" s="22"/>
      <c r="HG133" s="22"/>
      <c r="HH133" s="22"/>
      <c r="HI133" s="22"/>
      <c r="HJ133" s="22"/>
      <c r="HK133" s="22"/>
      <c r="HL133" s="22"/>
      <c r="HM133" s="22"/>
      <c r="HN133" s="22"/>
      <c r="HO133" s="22"/>
      <c r="HP133" s="22"/>
      <c r="HQ133" s="22"/>
      <c r="HR133" s="22"/>
      <c r="HS133" s="22"/>
      <c r="HT133" s="22"/>
      <c r="HU133" s="22"/>
      <c r="HV133" s="22"/>
      <c r="HW133" s="22"/>
      <c r="HX133" s="22"/>
      <c r="HY133" s="22"/>
      <c r="HZ133" s="22"/>
      <c r="IA133" s="22"/>
      <c r="IB133" s="22"/>
      <c r="IC133" s="22"/>
      <c r="ID133" s="22"/>
      <c r="IE133" s="22"/>
      <c r="IF133" s="22"/>
      <c r="IG133" s="22"/>
      <c r="IH133" s="22"/>
      <c r="II133" s="22"/>
      <c r="IJ133" s="22"/>
      <c r="IK133" s="22"/>
      <c r="IL133" s="22"/>
      <c r="IM133" s="22"/>
      <c r="IN133" s="22"/>
      <c r="IO133" s="22"/>
      <c r="IP133" s="22"/>
      <c r="IQ133" s="22"/>
      <c r="IR133" s="22"/>
      <c r="IS133" s="22"/>
      <c r="IT133" s="22"/>
      <c r="IU133" s="22"/>
      <c r="IV133" s="22"/>
    </row>
    <row r="134" spans="1:256" s="41" customFormat="1" ht="15" customHeight="1">
      <c r="A134" s="25" t="s">
        <v>1200</v>
      </c>
      <c r="B134" s="22"/>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c r="BH134" s="22"/>
      <c r="BI134" s="22"/>
      <c r="BJ134" s="22"/>
      <c r="BK134" s="22"/>
      <c r="BL134" s="22"/>
      <c r="BM134" s="22"/>
      <c r="BN134" s="22"/>
      <c r="BO134" s="22"/>
      <c r="BP134" s="22"/>
      <c r="BQ134" s="22"/>
      <c r="BR134" s="22"/>
      <c r="BS134" s="22"/>
      <c r="BT134" s="22"/>
      <c r="BU134" s="22"/>
      <c r="BV134" s="22"/>
      <c r="BW134" s="22"/>
      <c r="BX134" s="22"/>
      <c r="BY134" s="22"/>
      <c r="BZ134" s="22"/>
      <c r="CA134" s="22"/>
      <c r="CB134" s="22"/>
      <c r="CC134" s="22"/>
      <c r="CD134" s="22"/>
      <c r="CE134" s="22"/>
      <c r="CF134" s="22"/>
      <c r="CG134" s="22"/>
      <c r="CH134" s="22"/>
      <c r="CI134" s="22"/>
      <c r="CJ134" s="22"/>
      <c r="CK134" s="22"/>
      <c r="CL134" s="22"/>
      <c r="CM134" s="22"/>
      <c r="CN134" s="22"/>
      <c r="CO134" s="22"/>
      <c r="CP134" s="22"/>
      <c r="CQ134" s="22"/>
      <c r="CR134" s="22"/>
      <c r="CS134" s="22"/>
      <c r="CT134" s="22"/>
      <c r="CU134" s="22"/>
      <c r="CV134" s="22"/>
      <c r="CW134" s="22"/>
      <c r="CX134" s="22"/>
      <c r="CY134" s="22"/>
      <c r="CZ134" s="22"/>
      <c r="DA134" s="22"/>
      <c r="DB134" s="22"/>
      <c r="DC134" s="22"/>
      <c r="DD134" s="22"/>
      <c r="DE134" s="22"/>
      <c r="DF134" s="22"/>
      <c r="DG134" s="22"/>
      <c r="DH134" s="22"/>
      <c r="DI134" s="22"/>
      <c r="DJ134" s="22"/>
      <c r="DK134" s="22"/>
      <c r="DL134" s="22"/>
      <c r="DM134" s="22"/>
      <c r="DN134" s="22"/>
      <c r="DO134" s="22"/>
      <c r="DP134" s="22"/>
      <c r="DQ134" s="22"/>
      <c r="DR134" s="22"/>
      <c r="DS134" s="22"/>
      <c r="DT134" s="22"/>
      <c r="DU134" s="22"/>
      <c r="DV134" s="22"/>
      <c r="DW134" s="22"/>
      <c r="DX134" s="22"/>
      <c r="DY134" s="22"/>
      <c r="DZ134" s="22"/>
      <c r="EA134" s="22"/>
      <c r="EB134" s="22"/>
      <c r="EC134" s="22"/>
      <c r="ED134" s="22"/>
      <c r="EE134" s="22"/>
      <c r="EF134" s="22"/>
      <c r="EG134" s="22"/>
      <c r="EH134" s="22"/>
      <c r="EI134" s="22"/>
      <c r="EJ134" s="22"/>
      <c r="EK134" s="22"/>
      <c r="EL134" s="22"/>
      <c r="EM134" s="22"/>
      <c r="EN134" s="22"/>
      <c r="EO134" s="22"/>
      <c r="EP134" s="22"/>
      <c r="EQ134" s="22"/>
      <c r="ER134" s="22"/>
      <c r="ES134" s="22"/>
      <c r="ET134" s="22"/>
      <c r="EU134" s="22"/>
      <c r="EV134" s="22"/>
      <c r="EW134" s="22"/>
      <c r="EX134" s="22"/>
      <c r="EY134" s="22"/>
      <c r="EZ134" s="22"/>
      <c r="FA134" s="22"/>
      <c r="FB134" s="22"/>
      <c r="FC134" s="22"/>
      <c r="FD134" s="22"/>
      <c r="FE134" s="22"/>
      <c r="FF134" s="22"/>
      <c r="FG134" s="22"/>
      <c r="FH134" s="22"/>
      <c r="FI134" s="22"/>
      <c r="FJ134" s="22"/>
      <c r="FK134" s="22"/>
      <c r="FL134" s="22"/>
      <c r="FM134" s="22"/>
      <c r="FN134" s="22"/>
      <c r="FO134" s="22"/>
      <c r="FP134" s="22"/>
      <c r="FQ134" s="22"/>
      <c r="FR134" s="22"/>
      <c r="FS134" s="22"/>
      <c r="FT134" s="22"/>
      <c r="FU134" s="22"/>
      <c r="FV134" s="22"/>
      <c r="FW134" s="22"/>
      <c r="FX134" s="22"/>
      <c r="FY134" s="22"/>
      <c r="FZ134" s="22"/>
      <c r="GA134" s="22"/>
      <c r="GB134" s="22"/>
      <c r="GC134" s="22"/>
      <c r="GD134" s="22"/>
      <c r="GE134" s="22"/>
      <c r="GF134" s="22"/>
      <c r="GG134" s="22"/>
      <c r="GH134" s="22"/>
      <c r="GI134" s="22"/>
      <c r="GJ134" s="22"/>
      <c r="GK134" s="22"/>
      <c r="GL134" s="22"/>
      <c r="GM134" s="22"/>
      <c r="GN134" s="22"/>
      <c r="GO134" s="22"/>
      <c r="GP134" s="22"/>
      <c r="GQ134" s="22"/>
      <c r="GR134" s="22"/>
      <c r="GS134" s="22"/>
      <c r="GT134" s="22"/>
      <c r="GU134" s="22"/>
      <c r="GV134" s="22"/>
      <c r="GW134" s="22"/>
      <c r="GX134" s="22"/>
      <c r="GY134" s="22"/>
      <c r="GZ134" s="22"/>
      <c r="HA134" s="22"/>
      <c r="HB134" s="22"/>
      <c r="HC134" s="22"/>
      <c r="HD134" s="22"/>
      <c r="HE134" s="22"/>
      <c r="HF134" s="22"/>
      <c r="HG134" s="22"/>
      <c r="HH134" s="22"/>
      <c r="HI134" s="22"/>
      <c r="HJ134" s="22"/>
      <c r="HK134" s="22"/>
      <c r="HL134" s="22"/>
      <c r="HM134" s="22"/>
      <c r="HN134" s="22"/>
      <c r="HO134" s="22"/>
      <c r="HP134" s="22"/>
      <c r="HQ134" s="22"/>
      <c r="HR134" s="22"/>
      <c r="HS134" s="22"/>
      <c r="HT134" s="22"/>
      <c r="HU134" s="22"/>
      <c r="HV134" s="22"/>
      <c r="HW134" s="22"/>
      <c r="HX134" s="22"/>
      <c r="HY134" s="22"/>
      <c r="HZ134" s="22"/>
      <c r="IA134" s="22"/>
      <c r="IB134" s="22"/>
      <c r="IC134" s="22"/>
      <c r="ID134" s="22"/>
      <c r="IE134" s="22"/>
      <c r="IF134" s="22"/>
      <c r="IG134" s="22"/>
      <c r="IH134" s="22"/>
      <c r="II134" s="22"/>
      <c r="IJ134" s="22"/>
      <c r="IK134" s="22"/>
      <c r="IL134" s="22"/>
      <c r="IM134" s="22"/>
      <c r="IN134" s="22"/>
      <c r="IO134" s="22"/>
      <c r="IP134" s="22"/>
      <c r="IQ134" s="22"/>
      <c r="IR134" s="22"/>
      <c r="IS134" s="22"/>
      <c r="IT134" s="22"/>
      <c r="IU134" s="22"/>
      <c r="IV134" s="22"/>
    </row>
    <row r="135" spans="1:256" s="41" customFormat="1" ht="15" customHeight="1">
      <c r="A135" s="25" t="s">
        <v>1201</v>
      </c>
      <c r="B135" s="22"/>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c r="BH135" s="22"/>
      <c r="BI135" s="22"/>
      <c r="BJ135" s="22"/>
      <c r="BK135" s="22"/>
      <c r="BL135" s="22"/>
      <c r="BM135" s="22"/>
      <c r="BN135" s="22"/>
      <c r="BO135" s="22"/>
      <c r="BP135" s="22"/>
      <c r="BQ135" s="22"/>
      <c r="BR135" s="22"/>
      <c r="BS135" s="22"/>
      <c r="BT135" s="22"/>
      <c r="BU135" s="22"/>
      <c r="BV135" s="22"/>
      <c r="BW135" s="22"/>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c r="CV135" s="22"/>
      <c r="CW135" s="22"/>
      <c r="CX135" s="22"/>
      <c r="CY135" s="22"/>
      <c r="CZ135" s="22"/>
      <c r="DA135" s="22"/>
      <c r="DB135" s="22"/>
      <c r="DC135" s="22"/>
      <c r="DD135" s="22"/>
      <c r="DE135" s="22"/>
      <c r="DF135" s="22"/>
      <c r="DG135" s="22"/>
      <c r="DH135" s="22"/>
      <c r="DI135" s="22"/>
      <c r="DJ135" s="22"/>
      <c r="DK135" s="22"/>
      <c r="DL135" s="22"/>
      <c r="DM135" s="22"/>
      <c r="DN135" s="22"/>
      <c r="DO135" s="22"/>
      <c r="DP135" s="22"/>
      <c r="DQ135" s="22"/>
      <c r="DR135" s="22"/>
      <c r="DS135" s="22"/>
      <c r="DT135" s="22"/>
      <c r="DU135" s="22"/>
      <c r="DV135" s="22"/>
      <c r="DW135" s="22"/>
      <c r="DX135" s="22"/>
      <c r="DY135" s="22"/>
      <c r="DZ135" s="22"/>
      <c r="EA135" s="22"/>
      <c r="EB135" s="22"/>
      <c r="EC135" s="22"/>
      <c r="ED135" s="22"/>
      <c r="EE135" s="22"/>
      <c r="EF135" s="22"/>
      <c r="EG135" s="22"/>
      <c r="EH135" s="22"/>
      <c r="EI135" s="22"/>
      <c r="EJ135" s="22"/>
      <c r="EK135" s="22"/>
      <c r="EL135" s="22"/>
      <c r="EM135" s="22"/>
      <c r="EN135" s="22"/>
      <c r="EO135" s="22"/>
      <c r="EP135" s="22"/>
      <c r="EQ135" s="22"/>
      <c r="ER135" s="22"/>
      <c r="ES135" s="22"/>
      <c r="ET135" s="22"/>
      <c r="EU135" s="22"/>
      <c r="EV135" s="22"/>
      <c r="EW135" s="22"/>
      <c r="EX135" s="22"/>
      <c r="EY135" s="22"/>
      <c r="EZ135" s="22"/>
      <c r="FA135" s="22"/>
      <c r="FB135" s="22"/>
      <c r="FC135" s="22"/>
      <c r="FD135" s="22"/>
      <c r="FE135" s="22"/>
      <c r="FF135" s="22"/>
      <c r="FG135" s="22"/>
      <c r="FH135" s="22"/>
      <c r="FI135" s="22"/>
      <c r="FJ135" s="22"/>
      <c r="FK135" s="22"/>
      <c r="FL135" s="22"/>
      <c r="FM135" s="22"/>
      <c r="FN135" s="22"/>
      <c r="FO135" s="22"/>
      <c r="FP135" s="22"/>
      <c r="FQ135" s="22"/>
      <c r="FR135" s="22"/>
      <c r="FS135" s="22"/>
      <c r="FT135" s="22"/>
      <c r="FU135" s="22"/>
      <c r="FV135" s="22"/>
      <c r="FW135" s="22"/>
      <c r="FX135" s="22"/>
      <c r="FY135" s="22"/>
      <c r="FZ135" s="22"/>
      <c r="GA135" s="22"/>
      <c r="GB135" s="22"/>
      <c r="GC135" s="22"/>
      <c r="GD135" s="22"/>
      <c r="GE135" s="22"/>
      <c r="GF135" s="22"/>
      <c r="GG135" s="22"/>
      <c r="GH135" s="22"/>
      <c r="GI135" s="22"/>
      <c r="GJ135" s="22"/>
      <c r="GK135" s="22"/>
      <c r="GL135" s="22"/>
      <c r="GM135" s="22"/>
      <c r="GN135" s="22"/>
      <c r="GO135" s="22"/>
      <c r="GP135" s="22"/>
      <c r="GQ135" s="22"/>
      <c r="GR135" s="22"/>
      <c r="GS135" s="22"/>
      <c r="GT135" s="22"/>
      <c r="GU135" s="22"/>
      <c r="GV135" s="22"/>
      <c r="GW135" s="22"/>
      <c r="GX135" s="22"/>
      <c r="GY135" s="22"/>
      <c r="GZ135" s="22"/>
      <c r="HA135" s="22"/>
      <c r="HB135" s="22"/>
      <c r="HC135" s="22"/>
      <c r="HD135" s="22"/>
      <c r="HE135" s="22"/>
      <c r="HF135" s="22"/>
      <c r="HG135" s="22"/>
      <c r="HH135" s="22"/>
      <c r="HI135" s="22"/>
      <c r="HJ135" s="22"/>
      <c r="HK135" s="22"/>
      <c r="HL135" s="22"/>
      <c r="HM135" s="22"/>
      <c r="HN135" s="22"/>
      <c r="HO135" s="22"/>
      <c r="HP135" s="22"/>
      <c r="HQ135" s="22"/>
      <c r="HR135" s="22"/>
      <c r="HS135" s="22"/>
      <c r="HT135" s="22"/>
      <c r="HU135" s="22"/>
      <c r="HV135" s="22"/>
      <c r="HW135" s="22"/>
      <c r="HX135" s="22"/>
      <c r="HY135" s="22"/>
      <c r="HZ135" s="22"/>
      <c r="IA135" s="22"/>
      <c r="IB135" s="22"/>
      <c r="IC135" s="22"/>
      <c r="ID135" s="22"/>
      <c r="IE135" s="22"/>
      <c r="IF135" s="22"/>
      <c r="IG135" s="22"/>
      <c r="IH135" s="22"/>
      <c r="II135" s="22"/>
      <c r="IJ135" s="22"/>
      <c r="IK135" s="22"/>
      <c r="IL135" s="22"/>
      <c r="IM135" s="22"/>
      <c r="IN135" s="22"/>
      <c r="IO135" s="22"/>
      <c r="IP135" s="22"/>
      <c r="IQ135" s="22"/>
      <c r="IR135" s="22"/>
      <c r="IS135" s="22"/>
      <c r="IT135" s="22"/>
      <c r="IU135" s="22"/>
      <c r="IV135" s="22"/>
    </row>
    <row r="136" spans="1:256" s="41" customFormat="1" ht="15" customHeight="1">
      <c r="A136" s="25" t="s">
        <v>1093</v>
      </c>
      <c r="B136" s="22"/>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c r="BH136" s="22"/>
      <c r="BI136" s="22"/>
      <c r="BJ136" s="22"/>
      <c r="BK136" s="22"/>
      <c r="BL136" s="22"/>
      <c r="BM136" s="22"/>
      <c r="BN136" s="22"/>
      <c r="BO136" s="22"/>
      <c r="BP136" s="22"/>
      <c r="BQ136" s="22"/>
      <c r="BR136" s="22"/>
      <c r="BS136" s="22"/>
      <c r="BT136" s="22"/>
      <c r="BU136" s="22"/>
      <c r="BV136" s="22"/>
      <c r="BW136" s="22"/>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c r="CV136" s="22"/>
      <c r="CW136" s="22"/>
      <c r="CX136" s="22"/>
      <c r="CY136" s="22"/>
      <c r="CZ136" s="22"/>
      <c r="DA136" s="22"/>
      <c r="DB136" s="22"/>
      <c r="DC136" s="22"/>
      <c r="DD136" s="22"/>
      <c r="DE136" s="22"/>
      <c r="DF136" s="22"/>
      <c r="DG136" s="22"/>
      <c r="DH136" s="22"/>
      <c r="DI136" s="22"/>
      <c r="DJ136" s="22"/>
      <c r="DK136" s="22"/>
      <c r="DL136" s="22"/>
      <c r="DM136" s="22"/>
      <c r="DN136" s="22"/>
      <c r="DO136" s="22"/>
      <c r="DP136" s="22"/>
      <c r="DQ136" s="22"/>
      <c r="DR136" s="22"/>
      <c r="DS136" s="22"/>
      <c r="DT136" s="22"/>
      <c r="DU136" s="22"/>
      <c r="DV136" s="22"/>
      <c r="DW136" s="22"/>
      <c r="DX136" s="22"/>
      <c r="DY136" s="22"/>
      <c r="DZ136" s="22"/>
      <c r="EA136" s="22"/>
      <c r="EB136" s="22"/>
      <c r="EC136" s="22"/>
      <c r="ED136" s="22"/>
      <c r="EE136" s="22"/>
      <c r="EF136" s="22"/>
      <c r="EG136" s="22"/>
      <c r="EH136" s="22"/>
      <c r="EI136" s="22"/>
      <c r="EJ136" s="22"/>
      <c r="EK136" s="22"/>
      <c r="EL136" s="22"/>
      <c r="EM136" s="22"/>
      <c r="EN136" s="22"/>
      <c r="EO136" s="22"/>
      <c r="EP136" s="22"/>
      <c r="EQ136" s="22"/>
      <c r="ER136" s="22"/>
      <c r="ES136" s="22"/>
      <c r="ET136" s="22"/>
      <c r="EU136" s="22"/>
      <c r="EV136" s="22"/>
      <c r="EW136" s="22"/>
      <c r="EX136" s="22"/>
      <c r="EY136" s="22"/>
      <c r="EZ136" s="22"/>
      <c r="FA136" s="22"/>
      <c r="FB136" s="22"/>
      <c r="FC136" s="22"/>
      <c r="FD136" s="22"/>
      <c r="FE136" s="22"/>
      <c r="FF136" s="22"/>
      <c r="FG136" s="22"/>
      <c r="FH136" s="22"/>
      <c r="FI136" s="22"/>
      <c r="FJ136" s="22"/>
      <c r="FK136" s="22"/>
      <c r="FL136" s="22"/>
      <c r="FM136" s="22"/>
      <c r="FN136" s="22"/>
      <c r="FO136" s="22"/>
      <c r="FP136" s="22"/>
      <c r="FQ136" s="22"/>
      <c r="FR136" s="22"/>
      <c r="FS136" s="22"/>
      <c r="FT136" s="22"/>
      <c r="FU136" s="22"/>
      <c r="FV136" s="22"/>
      <c r="FW136" s="22"/>
      <c r="FX136" s="22"/>
      <c r="FY136" s="22"/>
      <c r="FZ136" s="22"/>
      <c r="GA136" s="22"/>
      <c r="GB136" s="22"/>
      <c r="GC136" s="22"/>
      <c r="GD136" s="22"/>
      <c r="GE136" s="22"/>
      <c r="GF136" s="22"/>
      <c r="GG136" s="22"/>
      <c r="GH136" s="22"/>
      <c r="GI136" s="22"/>
      <c r="GJ136" s="22"/>
      <c r="GK136" s="22"/>
      <c r="GL136" s="22"/>
      <c r="GM136" s="22"/>
      <c r="GN136" s="22"/>
      <c r="GO136" s="22"/>
      <c r="GP136" s="22"/>
      <c r="GQ136" s="22"/>
      <c r="GR136" s="22"/>
      <c r="GS136" s="22"/>
      <c r="GT136" s="22"/>
      <c r="GU136" s="22"/>
      <c r="GV136" s="22"/>
      <c r="GW136" s="22"/>
      <c r="GX136" s="22"/>
      <c r="GY136" s="22"/>
      <c r="GZ136" s="22"/>
      <c r="HA136" s="22"/>
      <c r="HB136" s="22"/>
      <c r="HC136" s="22"/>
      <c r="HD136" s="22"/>
      <c r="HE136" s="22"/>
      <c r="HF136" s="22"/>
      <c r="HG136" s="22"/>
      <c r="HH136" s="22"/>
      <c r="HI136" s="22"/>
      <c r="HJ136" s="22"/>
      <c r="HK136" s="22"/>
      <c r="HL136" s="22"/>
      <c r="HM136" s="22"/>
      <c r="HN136" s="22"/>
      <c r="HO136" s="22"/>
      <c r="HP136" s="22"/>
      <c r="HQ136" s="22"/>
      <c r="HR136" s="22"/>
      <c r="HS136" s="22"/>
      <c r="HT136" s="22"/>
      <c r="HU136" s="22"/>
      <c r="HV136" s="22"/>
      <c r="HW136" s="22"/>
      <c r="HX136" s="22"/>
      <c r="HY136" s="22"/>
      <c r="HZ136" s="22"/>
      <c r="IA136" s="22"/>
      <c r="IB136" s="22"/>
      <c r="IC136" s="22"/>
      <c r="ID136" s="22"/>
      <c r="IE136" s="22"/>
      <c r="IF136" s="22"/>
      <c r="IG136" s="22"/>
      <c r="IH136" s="22"/>
      <c r="II136" s="22"/>
      <c r="IJ136" s="22"/>
      <c r="IK136" s="22"/>
      <c r="IL136" s="22"/>
      <c r="IM136" s="22"/>
      <c r="IN136" s="22"/>
      <c r="IO136" s="22"/>
      <c r="IP136" s="22"/>
      <c r="IQ136" s="22"/>
      <c r="IR136" s="22"/>
      <c r="IS136" s="22"/>
      <c r="IT136" s="22"/>
      <c r="IU136" s="22"/>
      <c r="IV136" s="22"/>
    </row>
    <row r="137" spans="1:256" s="41" customFormat="1" ht="15" customHeight="1">
      <c r="A137" s="25" t="s">
        <v>1202</v>
      </c>
      <c r="B137" s="22"/>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c r="BH137" s="22"/>
      <c r="BI137" s="22"/>
      <c r="BJ137" s="22"/>
      <c r="BK137" s="22"/>
      <c r="BL137" s="22"/>
      <c r="BM137" s="22"/>
      <c r="BN137" s="22"/>
      <c r="BO137" s="22"/>
      <c r="BP137" s="22"/>
      <c r="BQ137" s="22"/>
      <c r="BR137" s="22"/>
      <c r="BS137" s="22"/>
      <c r="BT137" s="22"/>
      <c r="BU137" s="22"/>
      <c r="BV137" s="22"/>
      <c r="BW137" s="22"/>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c r="CV137" s="22"/>
      <c r="CW137" s="22"/>
      <c r="CX137" s="22"/>
      <c r="CY137" s="22"/>
      <c r="CZ137" s="22"/>
      <c r="DA137" s="22"/>
      <c r="DB137" s="22"/>
      <c r="DC137" s="22"/>
      <c r="DD137" s="22"/>
      <c r="DE137" s="22"/>
      <c r="DF137" s="22"/>
      <c r="DG137" s="22"/>
      <c r="DH137" s="22"/>
      <c r="DI137" s="22"/>
      <c r="DJ137" s="22"/>
      <c r="DK137" s="22"/>
      <c r="DL137" s="22"/>
      <c r="DM137" s="22"/>
      <c r="DN137" s="22"/>
      <c r="DO137" s="22"/>
      <c r="DP137" s="22"/>
      <c r="DQ137" s="22"/>
      <c r="DR137" s="22"/>
      <c r="DS137" s="22"/>
      <c r="DT137" s="22"/>
      <c r="DU137" s="22"/>
      <c r="DV137" s="22"/>
      <c r="DW137" s="22"/>
      <c r="DX137" s="22"/>
      <c r="DY137" s="22"/>
      <c r="DZ137" s="22"/>
      <c r="EA137" s="22"/>
      <c r="EB137" s="22"/>
      <c r="EC137" s="22"/>
      <c r="ED137" s="22"/>
      <c r="EE137" s="22"/>
      <c r="EF137" s="22"/>
      <c r="EG137" s="22"/>
      <c r="EH137" s="22"/>
      <c r="EI137" s="22"/>
      <c r="EJ137" s="22"/>
      <c r="EK137" s="22"/>
      <c r="EL137" s="22"/>
      <c r="EM137" s="22"/>
      <c r="EN137" s="22"/>
      <c r="EO137" s="22"/>
      <c r="EP137" s="22"/>
      <c r="EQ137" s="22"/>
      <c r="ER137" s="22"/>
      <c r="ES137" s="22"/>
      <c r="ET137" s="22"/>
      <c r="EU137" s="22"/>
      <c r="EV137" s="22"/>
      <c r="EW137" s="22"/>
      <c r="EX137" s="22"/>
      <c r="EY137" s="22"/>
      <c r="EZ137" s="22"/>
      <c r="FA137" s="22"/>
      <c r="FB137" s="22"/>
      <c r="FC137" s="22"/>
      <c r="FD137" s="22"/>
      <c r="FE137" s="22"/>
      <c r="FF137" s="22"/>
      <c r="FG137" s="22"/>
      <c r="FH137" s="22"/>
      <c r="FI137" s="22"/>
      <c r="FJ137" s="22"/>
      <c r="FK137" s="22"/>
      <c r="FL137" s="22"/>
      <c r="FM137" s="22"/>
      <c r="FN137" s="22"/>
      <c r="FO137" s="22"/>
      <c r="FP137" s="22"/>
      <c r="FQ137" s="22"/>
      <c r="FR137" s="22"/>
      <c r="FS137" s="22"/>
      <c r="FT137" s="22"/>
      <c r="FU137" s="22"/>
      <c r="FV137" s="22"/>
      <c r="FW137" s="22"/>
      <c r="FX137" s="22"/>
      <c r="FY137" s="22"/>
      <c r="FZ137" s="22"/>
      <c r="GA137" s="22"/>
      <c r="GB137" s="22"/>
      <c r="GC137" s="22"/>
      <c r="GD137" s="22"/>
      <c r="GE137" s="22"/>
      <c r="GF137" s="22"/>
      <c r="GG137" s="22"/>
      <c r="GH137" s="22"/>
      <c r="GI137" s="22"/>
      <c r="GJ137" s="22"/>
      <c r="GK137" s="22"/>
      <c r="GL137" s="22"/>
      <c r="GM137" s="22"/>
      <c r="GN137" s="22"/>
      <c r="GO137" s="22"/>
      <c r="GP137" s="22"/>
      <c r="GQ137" s="22"/>
      <c r="GR137" s="22"/>
      <c r="GS137" s="22"/>
      <c r="GT137" s="22"/>
      <c r="GU137" s="22"/>
      <c r="GV137" s="22"/>
      <c r="GW137" s="22"/>
      <c r="GX137" s="22"/>
      <c r="GY137" s="22"/>
      <c r="GZ137" s="22"/>
      <c r="HA137" s="22"/>
      <c r="HB137" s="22"/>
      <c r="HC137" s="22"/>
      <c r="HD137" s="22"/>
      <c r="HE137" s="22"/>
      <c r="HF137" s="22"/>
      <c r="HG137" s="22"/>
      <c r="HH137" s="22"/>
      <c r="HI137" s="22"/>
      <c r="HJ137" s="22"/>
      <c r="HK137" s="22"/>
      <c r="HL137" s="22"/>
      <c r="HM137" s="22"/>
      <c r="HN137" s="22"/>
      <c r="HO137" s="22"/>
      <c r="HP137" s="22"/>
      <c r="HQ137" s="22"/>
      <c r="HR137" s="22"/>
      <c r="HS137" s="22"/>
      <c r="HT137" s="22"/>
      <c r="HU137" s="22"/>
      <c r="HV137" s="22"/>
      <c r="HW137" s="22"/>
      <c r="HX137" s="22"/>
      <c r="HY137" s="22"/>
      <c r="HZ137" s="22"/>
      <c r="IA137" s="22"/>
      <c r="IB137" s="22"/>
      <c r="IC137" s="22"/>
      <c r="ID137" s="22"/>
      <c r="IE137" s="22"/>
      <c r="IF137" s="22"/>
      <c r="IG137" s="22"/>
      <c r="IH137" s="22"/>
      <c r="II137" s="22"/>
      <c r="IJ137" s="22"/>
      <c r="IK137" s="22"/>
      <c r="IL137" s="22"/>
      <c r="IM137" s="22"/>
      <c r="IN137" s="22"/>
      <c r="IO137" s="22"/>
      <c r="IP137" s="22"/>
      <c r="IQ137" s="22"/>
      <c r="IR137" s="22"/>
      <c r="IS137" s="22"/>
      <c r="IT137" s="22"/>
      <c r="IU137" s="22"/>
      <c r="IV137" s="22"/>
    </row>
    <row r="138" spans="1:256" s="31" customFormat="1" ht="15" customHeight="1">
      <c r="A138" s="31" t="s">
        <v>1094</v>
      </c>
    </row>
    <row r="139" spans="1:256" s="17" customFormat="1" ht="15" customHeight="1">
      <c r="A139" s="25" t="s">
        <v>925</v>
      </c>
      <c r="B139" s="49"/>
      <c r="C139" s="20"/>
      <c r="D139" s="20"/>
      <c r="E139" s="20"/>
      <c r="F139" s="20"/>
      <c r="G139" s="20"/>
      <c r="H139" s="20"/>
      <c r="I139" s="20"/>
      <c r="J139" s="45"/>
      <c r="K139" s="45"/>
      <c r="L139" s="45"/>
      <c r="M139" s="45"/>
      <c r="N139" s="45"/>
      <c r="O139" s="45"/>
      <c r="P139" s="45"/>
      <c r="Q139" s="45"/>
      <c r="R139" s="45"/>
      <c r="S139" s="45"/>
      <c r="T139" s="20"/>
      <c r="U139" s="20"/>
      <c r="V139" s="45"/>
      <c r="W139" s="45"/>
      <c r="X139" s="45"/>
      <c r="Y139" s="45"/>
      <c r="Z139" s="45"/>
      <c r="AA139" s="45"/>
      <c r="AB139" s="45"/>
      <c r="AC139" s="45"/>
      <c r="AD139" s="45"/>
      <c r="AE139" s="45"/>
      <c r="AF139" s="45"/>
      <c r="AG139" s="45"/>
      <c r="AH139" s="45"/>
      <c r="AI139" s="45"/>
      <c r="AJ139" s="45"/>
      <c r="AK139" s="45"/>
      <c r="AL139" s="45"/>
      <c r="AM139" s="45"/>
      <c r="AN139" s="45"/>
      <c r="AO139" s="45"/>
      <c r="AP139" s="45"/>
      <c r="AQ139" s="45"/>
      <c r="AR139" s="45"/>
      <c r="AS139" s="45"/>
      <c r="AT139" s="45"/>
      <c r="AU139" s="45"/>
      <c r="AV139" s="45"/>
      <c r="AW139" s="45"/>
      <c r="AX139" s="45"/>
      <c r="AY139" s="45"/>
      <c r="AZ139" s="45"/>
      <c r="BA139" s="45"/>
      <c r="BB139" s="45"/>
      <c r="BC139" s="45"/>
      <c r="BD139" s="45"/>
      <c r="BE139" s="45"/>
      <c r="BF139" s="45"/>
      <c r="BG139" s="45"/>
      <c r="BH139" s="45"/>
      <c r="BI139" s="45"/>
      <c r="BJ139" s="45"/>
      <c r="BK139" s="45"/>
      <c r="BL139" s="45"/>
      <c r="BM139" s="45"/>
      <c r="BN139" s="45"/>
      <c r="BO139" s="45"/>
      <c r="BP139" s="45"/>
      <c r="BQ139" s="45"/>
      <c r="BR139" s="45"/>
      <c r="BS139" s="45"/>
      <c r="BT139" s="45"/>
      <c r="BU139" s="45"/>
      <c r="BV139" s="45"/>
      <c r="BW139" s="45"/>
      <c r="BX139" s="45"/>
    </row>
    <row r="140" spans="1:256" s="32" customFormat="1" ht="15" customHeight="1">
      <c r="A140" s="40" t="s">
        <v>1223</v>
      </c>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c r="AA140" s="41"/>
      <c r="AB140" s="41"/>
      <c r="AC140" s="41"/>
      <c r="AD140" s="41"/>
      <c r="AE140" s="41"/>
      <c r="AF140" s="41"/>
      <c r="AG140" s="41"/>
      <c r="AH140" s="41"/>
      <c r="AI140" s="41"/>
      <c r="AJ140" s="41"/>
      <c r="AK140" s="41"/>
      <c r="AL140" s="41"/>
      <c r="AM140" s="41"/>
      <c r="AN140" s="41"/>
      <c r="AO140" s="41"/>
      <c r="AP140" s="41"/>
      <c r="AQ140" s="41"/>
      <c r="AR140" s="41"/>
      <c r="AS140" s="41"/>
      <c r="AT140" s="41"/>
      <c r="AU140" s="41"/>
      <c r="AV140" s="41"/>
      <c r="AW140" s="41"/>
      <c r="AX140" s="41"/>
      <c r="AY140" s="41"/>
      <c r="AZ140" s="41"/>
      <c r="BA140" s="41"/>
      <c r="BB140" s="41"/>
      <c r="BC140" s="41"/>
      <c r="BD140" s="41"/>
      <c r="BE140" s="41"/>
      <c r="BF140" s="41"/>
      <c r="BG140" s="41"/>
      <c r="BH140" s="41"/>
      <c r="BI140" s="41"/>
      <c r="BJ140" s="41"/>
      <c r="BK140" s="41"/>
      <c r="BL140" s="41"/>
      <c r="BM140" s="41"/>
      <c r="BN140" s="41"/>
      <c r="BO140" s="41"/>
      <c r="BP140" s="41"/>
      <c r="BQ140" s="41"/>
      <c r="BR140" s="41"/>
      <c r="BS140" s="41"/>
      <c r="BT140" s="41"/>
      <c r="BU140" s="41"/>
      <c r="BV140" s="41"/>
      <c r="BW140" s="41"/>
      <c r="BX140" s="41"/>
      <c r="BY140" s="41"/>
      <c r="BZ140" s="41"/>
      <c r="CA140" s="41"/>
      <c r="CB140" s="41"/>
      <c r="CC140" s="41"/>
      <c r="CD140" s="41"/>
      <c r="CE140" s="41"/>
      <c r="CF140" s="41"/>
      <c r="CG140" s="41"/>
      <c r="CH140" s="41"/>
      <c r="CI140" s="41"/>
      <c r="CJ140" s="41"/>
      <c r="CK140" s="41"/>
      <c r="CL140" s="41"/>
      <c r="CM140" s="41"/>
      <c r="CN140" s="41"/>
      <c r="CO140" s="41"/>
      <c r="CP140" s="41"/>
      <c r="CQ140" s="41"/>
      <c r="CR140" s="41"/>
      <c r="CS140" s="41"/>
      <c r="CT140" s="41"/>
      <c r="CU140" s="41"/>
      <c r="CV140" s="41"/>
      <c r="CW140" s="41"/>
      <c r="CX140" s="41"/>
      <c r="CY140" s="41"/>
      <c r="CZ140" s="41"/>
      <c r="DA140" s="41"/>
      <c r="DB140" s="41"/>
      <c r="DC140" s="41"/>
      <c r="DD140" s="41"/>
      <c r="DE140" s="41"/>
      <c r="DF140" s="41"/>
      <c r="DG140" s="41"/>
      <c r="DH140" s="41"/>
      <c r="DI140" s="41"/>
      <c r="DJ140" s="41"/>
      <c r="DK140" s="41"/>
      <c r="DL140" s="41"/>
      <c r="DM140" s="41"/>
      <c r="DN140" s="41"/>
      <c r="DO140" s="41"/>
      <c r="DP140" s="41"/>
      <c r="DQ140" s="41"/>
      <c r="DR140" s="41"/>
      <c r="DS140" s="41"/>
      <c r="DT140" s="41"/>
      <c r="DU140" s="41"/>
      <c r="DV140" s="41"/>
      <c r="DW140" s="41"/>
      <c r="DX140" s="41"/>
      <c r="DY140" s="41"/>
      <c r="DZ140" s="41"/>
      <c r="EA140" s="41"/>
      <c r="EB140" s="41"/>
      <c r="EC140" s="41"/>
      <c r="ED140" s="41"/>
      <c r="EE140" s="41"/>
      <c r="EF140" s="41"/>
      <c r="EG140" s="41"/>
      <c r="EH140" s="41"/>
      <c r="EI140" s="41"/>
      <c r="EJ140" s="41"/>
      <c r="EK140" s="41"/>
      <c r="EL140" s="41"/>
      <c r="EM140" s="41"/>
      <c r="EN140" s="41"/>
      <c r="EO140" s="41"/>
      <c r="EP140" s="41"/>
      <c r="EQ140" s="41"/>
      <c r="ER140" s="41"/>
      <c r="ES140" s="41"/>
      <c r="ET140" s="41"/>
      <c r="EU140" s="41"/>
      <c r="EV140" s="41"/>
      <c r="EW140" s="41"/>
      <c r="EX140" s="41"/>
      <c r="EY140" s="41"/>
      <c r="EZ140" s="41"/>
      <c r="FA140" s="41"/>
      <c r="FB140" s="41"/>
      <c r="FC140" s="41"/>
      <c r="FD140" s="41"/>
      <c r="FE140" s="41"/>
      <c r="FF140" s="41"/>
      <c r="FG140" s="41"/>
      <c r="FH140" s="41"/>
      <c r="FI140" s="41"/>
      <c r="FJ140" s="41"/>
      <c r="FK140" s="41"/>
      <c r="FL140" s="41"/>
      <c r="FM140" s="41"/>
      <c r="FN140" s="41"/>
      <c r="FO140" s="41"/>
      <c r="FP140" s="41"/>
      <c r="FQ140" s="41"/>
      <c r="FR140" s="41"/>
      <c r="FS140" s="41"/>
      <c r="FT140" s="41"/>
      <c r="FU140" s="41"/>
      <c r="FV140" s="41"/>
      <c r="FW140" s="41"/>
      <c r="FX140" s="41"/>
      <c r="FY140" s="41"/>
      <c r="FZ140" s="41"/>
      <c r="GA140" s="41"/>
      <c r="GB140" s="41"/>
      <c r="GC140" s="41"/>
      <c r="GD140" s="41"/>
      <c r="GE140" s="41"/>
      <c r="GF140" s="41"/>
      <c r="GG140" s="41"/>
      <c r="GH140" s="41"/>
      <c r="GI140" s="41"/>
      <c r="GJ140" s="41"/>
      <c r="GK140" s="41"/>
      <c r="GL140" s="41"/>
      <c r="GM140" s="41"/>
      <c r="GN140" s="41"/>
      <c r="GO140" s="41"/>
      <c r="GP140" s="41"/>
      <c r="GQ140" s="41"/>
      <c r="GR140" s="41"/>
      <c r="GS140" s="41"/>
      <c r="GT140" s="41"/>
    </row>
    <row r="141" spans="1:256" s="35" customFormat="1" ht="15" hidden="1" customHeight="1"/>
    <row r="142" spans="1:256" s="41" customFormat="1" ht="15" customHeight="1">
      <c r="A142" s="27" t="s">
        <v>938</v>
      </c>
      <c r="B142" s="22"/>
      <c r="C142" s="22"/>
      <c r="D142" s="22"/>
      <c r="E142" s="22"/>
      <c r="F142" s="22"/>
      <c r="G142" s="22"/>
      <c r="H142" s="22"/>
      <c r="I142" s="35"/>
      <c r="J142" s="45"/>
      <c r="K142" s="45"/>
      <c r="L142" s="45"/>
      <c r="M142" s="45"/>
      <c r="N142" s="45"/>
      <c r="O142" s="45"/>
      <c r="P142" s="45"/>
      <c r="Q142" s="45"/>
      <c r="R142" s="45"/>
      <c r="S142" s="45"/>
      <c r="T142" s="22"/>
      <c r="U142" s="22"/>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c r="AV142" s="45"/>
      <c r="AW142" s="45"/>
      <c r="AX142" s="45"/>
      <c r="AY142" s="45"/>
      <c r="AZ142" s="45"/>
      <c r="BA142" s="45"/>
      <c r="BB142" s="45"/>
      <c r="BC142" s="45"/>
      <c r="BD142" s="45"/>
      <c r="BE142" s="45"/>
      <c r="BF142" s="45"/>
      <c r="BG142" s="45"/>
      <c r="BH142" s="45"/>
      <c r="BI142" s="45"/>
      <c r="BJ142" s="45"/>
      <c r="BK142" s="45"/>
      <c r="BL142" s="45"/>
      <c r="BM142" s="45"/>
      <c r="BN142" s="45"/>
      <c r="BO142" s="45"/>
      <c r="BP142" s="45"/>
      <c r="BQ142" s="45"/>
      <c r="BR142" s="45"/>
      <c r="BS142" s="45"/>
      <c r="BT142" s="45"/>
      <c r="BU142" s="45"/>
      <c r="BV142" s="45"/>
      <c r="BW142" s="45"/>
      <c r="BX142" s="45"/>
    </row>
    <row r="143" spans="1:256" s="26" customFormat="1" ht="15" customHeight="1">
      <c r="A143" s="26" t="s">
        <v>939</v>
      </c>
    </row>
    <row r="144" spans="1:256" s="64" customFormat="1" ht="15" customHeight="1">
      <c r="A144" s="25" t="s">
        <v>928</v>
      </c>
      <c r="B144" s="22"/>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c r="BH144" s="22"/>
      <c r="BI144" s="22"/>
      <c r="BJ144" s="22"/>
      <c r="BK144" s="22"/>
      <c r="BL144" s="22"/>
      <c r="BM144" s="22"/>
      <c r="BN144" s="22"/>
      <c r="BO144" s="22"/>
      <c r="BP144" s="22"/>
      <c r="BQ144" s="22"/>
      <c r="BR144" s="22"/>
      <c r="BS144" s="22"/>
      <c r="BT144" s="22"/>
      <c r="BU144" s="22"/>
      <c r="BV144" s="22"/>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c r="CV144" s="22"/>
      <c r="CW144" s="22"/>
      <c r="CX144" s="22"/>
      <c r="CY144" s="22"/>
      <c r="CZ144" s="22"/>
      <c r="DA144" s="22"/>
      <c r="DB144" s="22"/>
      <c r="DC144" s="22"/>
      <c r="DD144" s="22"/>
      <c r="DE144" s="22"/>
      <c r="DF144" s="22"/>
      <c r="DG144" s="22"/>
      <c r="DH144" s="22"/>
      <c r="DI144" s="22"/>
      <c r="DJ144" s="22"/>
      <c r="DK144" s="22"/>
      <c r="DL144" s="22"/>
      <c r="DM144" s="22"/>
      <c r="DN144" s="22"/>
      <c r="DO144" s="22"/>
      <c r="DP144" s="22"/>
      <c r="DQ144" s="22"/>
      <c r="DR144" s="22"/>
      <c r="DS144" s="22"/>
      <c r="DT144" s="22"/>
      <c r="DU144" s="22"/>
      <c r="DV144" s="22"/>
      <c r="DW144" s="22"/>
      <c r="DX144" s="22"/>
      <c r="DY144" s="22"/>
      <c r="DZ144" s="22"/>
      <c r="EA144" s="22"/>
      <c r="EB144" s="22"/>
      <c r="EC144" s="22"/>
      <c r="ED144" s="22"/>
      <c r="EE144" s="22"/>
      <c r="EF144" s="22"/>
      <c r="EG144" s="22"/>
      <c r="EH144" s="22"/>
      <c r="EI144" s="22"/>
      <c r="EJ144" s="22"/>
      <c r="EK144" s="22"/>
      <c r="EL144" s="22"/>
      <c r="EM144" s="22"/>
      <c r="EN144" s="22"/>
      <c r="EO144" s="22"/>
      <c r="EP144" s="22"/>
      <c r="EQ144" s="22"/>
      <c r="ER144" s="22"/>
      <c r="ES144" s="22"/>
      <c r="ET144" s="22"/>
      <c r="EU144" s="22"/>
      <c r="EV144" s="22"/>
      <c r="EW144" s="22"/>
      <c r="EX144" s="22"/>
      <c r="EY144" s="22"/>
      <c r="EZ144" s="22"/>
      <c r="FA144" s="22"/>
      <c r="FB144" s="22"/>
      <c r="FC144" s="22"/>
      <c r="FD144" s="22"/>
      <c r="FE144" s="22"/>
      <c r="FF144" s="22"/>
      <c r="FG144" s="22"/>
      <c r="FH144" s="22"/>
      <c r="FI144" s="22"/>
      <c r="FJ144" s="22"/>
      <c r="FK144" s="22"/>
      <c r="FL144" s="22"/>
      <c r="FM144" s="22"/>
      <c r="FN144" s="22"/>
      <c r="FO144" s="22"/>
      <c r="FP144" s="22"/>
      <c r="FQ144" s="22"/>
      <c r="FR144" s="22"/>
      <c r="FS144" s="22"/>
      <c r="FT144" s="22"/>
      <c r="FU144" s="22"/>
      <c r="FV144" s="22"/>
      <c r="FW144" s="22"/>
      <c r="FX144" s="22"/>
      <c r="FY144" s="22"/>
      <c r="FZ144" s="22"/>
      <c r="GA144" s="22"/>
      <c r="GB144" s="22"/>
      <c r="GC144" s="22"/>
      <c r="GD144" s="22"/>
      <c r="GE144" s="22"/>
      <c r="GF144" s="22"/>
      <c r="GG144" s="22"/>
      <c r="GH144" s="22"/>
      <c r="GI144" s="22"/>
      <c r="GJ144" s="22"/>
      <c r="GK144" s="22"/>
      <c r="GL144" s="22"/>
      <c r="GM144" s="22"/>
      <c r="GN144" s="22"/>
      <c r="GO144" s="22"/>
      <c r="GP144" s="22"/>
      <c r="GQ144" s="22"/>
      <c r="GR144" s="22"/>
      <c r="GS144" s="22"/>
      <c r="GT144" s="22"/>
      <c r="GU144" s="22"/>
      <c r="GV144" s="22"/>
      <c r="GW144" s="22"/>
      <c r="GX144" s="22"/>
      <c r="GY144" s="22"/>
      <c r="GZ144" s="22"/>
      <c r="HA144" s="22"/>
      <c r="HB144" s="22"/>
      <c r="HC144" s="22"/>
      <c r="HD144" s="22"/>
      <c r="HE144" s="22"/>
      <c r="HF144" s="22"/>
      <c r="HG144" s="22"/>
      <c r="HH144" s="22"/>
      <c r="HI144" s="22"/>
      <c r="HJ144" s="22"/>
      <c r="HK144" s="22"/>
      <c r="HL144" s="22"/>
      <c r="HM144" s="22"/>
      <c r="HN144" s="22"/>
      <c r="HO144" s="22"/>
      <c r="HP144" s="22"/>
      <c r="HQ144" s="22"/>
      <c r="HR144" s="22"/>
      <c r="HS144" s="22"/>
      <c r="HT144" s="22"/>
      <c r="HU144" s="22"/>
      <c r="HV144" s="22"/>
      <c r="HW144" s="22"/>
      <c r="HX144" s="22"/>
      <c r="HY144" s="22"/>
      <c r="HZ144" s="22"/>
      <c r="IA144" s="22"/>
      <c r="IB144" s="22"/>
      <c r="IC144" s="22"/>
      <c r="ID144" s="22"/>
      <c r="IE144" s="22"/>
      <c r="IF144" s="22"/>
      <c r="IG144" s="22"/>
      <c r="IH144" s="22"/>
      <c r="II144" s="22"/>
      <c r="IJ144" s="22"/>
      <c r="IK144" s="22"/>
      <c r="IL144" s="22"/>
      <c r="IM144" s="22"/>
      <c r="IN144" s="22"/>
      <c r="IO144" s="22"/>
      <c r="IP144" s="22"/>
      <c r="IQ144" s="22"/>
      <c r="IR144" s="22"/>
      <c r="IS144" s="22"/>
      <c r="IT144" s="22"/>
      <c r="IU144" s="22"/>
      <c r="IV144" s="22"/>
    </row>
    <row r="145" spans="1:256" s="64" customFormat="1" ht="15" customHeight="1">
      <c r="A145" s="25" t="s">
        <v>901</v>
      </c>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c r="BH145" s="22"/>
      <c r="BI145" s="22"/>
      <c r="BJ145" s="22"/>
      <c r="BK145" s="22"/>
      <c r="BL145" s="22"/>
      <c r="BM145" s="22"/>
      <c r="BN145" s="22"/>
      <c r="BO145" s="22"/>
      <c r="BP145" s="22"/>
      <c r="BQ145" s="22"/>
      <c r="BR145" s="22"/>
      <c r="BS145" s="22"/>
      <c r="BT145" s="22"/>
      <c r="BU145" s="22"/>
      <c r="BV145" s="22"/>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c r="CV145" s="22"/>
      <c r="CW145" s="22"/>
      <c r="CX145" s="22"/>
      <c r="CY145" s="22"/>
      <c r="CZ145" s="22"/>
      <c r="DA145" s="22"/>
      <c r="DB145" s="22"/>
      <c r="DC145" s="22"/>
      <c r="DD145" s="22"/>
      <c r="DE145" s="22"/>
      <c r="DF145" s="22"/>
      <c r="DG145" s="22"/>
      <c r="DH145" s="22"/>
      <c r="DI145" s="22"/>
      <c r="DJ145" s="22"/>
      <c r="DK145" s="22"/>
      <c r="DL145" s="22"/>
      <c r="DM145" s="22"/>
      <c r="DN145" s="22"/>
      <c r="DO145" s="22"/>
      <c r="DP145" s="22"/>
      <c r="DQ145" s="22"/>
      <c r="DR145" s="22"/>
      <c r="DS145" s="22"/>
      <c r="DT145" s="22"/>
      <c r="DU145" s="22"/>
      <c r="DV145" s="22"/>
      <c r="DW145" s="22"/>
      <c r="DX145" s="22"/>
      <c r="DY145" s="22"/>
      <c r="DZ145" s="22"/>
      <c r="EA145" s="22"/>
      <c r="EB145" s="22"/>
      <c r="EC145" s="22"/>
      <c r="ED145" s="22"/>
      <c r="EE145" s="22"/>
      <c r="EF145" s="22"/>
      <c r="EG145" s="22"/>
      <c r="EH145" s="22"/>
      <c r="EI145" s="22"/>
      <c r="EJ145" s="22"/>
      <c r="EK145" s="22"/>
      <c r="EL145" s="22"/>
      <c r="EM145" s="22"/>
      <c r="EN145" s="22"/>
      <c r="EO145" s="22"/>
      <c r="EP145" s="22"/>
      <c r="EQ145" s="22"/>
      <c r="ER145" s="22"/>
      <c r="ES145" s="22"/>
      <c r="ET145" s="22"/>
      <c r="EU145" s="22"/>
      <c r="EV145" s="22"/>
      <c r="EW145" s="22"/>
      <c r="EX145" s="22"/>
      <c r="EY145" s="22"/>
      <c r="EZ145" s="22"/>
      <c r="FA145" s="22"/>
      <c r="FB145" s="22"/>
      <c r="FC145" s="22"/>
      <c r="FD145" s="22"/>
      <c r="FE145" s="22"/>
      <c r="FF145" s="22"/>
      <c r="FG145" s="22"/>
      <c r="FH145" s="22"/>
      <c r="FI145" s="22"/>
      <c r="FJ145" s="22"/>
      <c r="FK145" s="22"/>
      <c r="FL145" s="22"/>
      <c r="FM145" s="22"/>
      <c r="FN145" s="22"/>
      <c r="FO145" s="22"/>
      <c r="FP145" s="22"/>
      <c r="FQ145" s="22"/>
      <c r="FR145" s="22"/>
      <c r="FS145" s="22"/>
      <c r="FT145" s="22"/>
      <c r="FU145" s="22"/>
      <c r="FV145" s="22"/>
      <c r="FW145" s="22"/>
      <c r="FX145" s="22"/>
      <c r="FY145" s="22"/>
      <c r="FZ145" s="22"/>
      <c r="GA145" s="22"/>
      <c r="GB145" s="22"/>
      <c r="GC145" s="22"/>
      <c r="GD145" s="22"/>
      <c r="GE145" s="22"/>
      <c r="GF145" s="22"/>
      <c r="GG145" s="22"/>
      <c r="GH145" s="22"/>
      <c r="GI145" s="22"/>
      <c r="GJ145" s="22"/>
      <c r="GK145" s="22"/>
      <c r="GL145" s="22"/>
      <c r="GM145" s="22"/>
      <c r="GN145" s="22"/>
      <c r="GO145" s="22"/>
      <c r="GP145" s="22"/>
      <c r="GQ145" s="22"/>
      <c r="GR145" s="22"/>
      <c r="GS145" s="22"/>
      <c r="GT145" s="22"/>
      <c r="GU145" s="22"/>
      <c r="GV145" s="22"/>
      <c r="GW145" s="22"/>
      <c r="GX145" s="22"/>
      <c r="GY145" s="22"/>
      <c r="GZ145" s="22"/>
      <c r="HA145" s="22"/>
      <c r="HB145" s="22"/>
      <c r="HC145" s="22"/>
      <c r="HD145" s="22"/>
      <c r="HE145" s="22"/>
      <c r="HF145" s="22"/>
      <c r="HG145" s="22"/>
      <c r="HH145" s="22"/>
      <c r="HI145" s="22"/>
      <c r="HJ145" s="22"/>
      <c r="HK145" s="22"/>
      <c r="HL145" s="22"/>
      <c r="HM145" s="22"/>
      <c r="HN145" s="22"/>
      <c r="HO145" s="22"/>
      <c r="HP145" s="22"/>
      <c r="HQ145" s="22"/>
      <c r="HR145" s="22"/>
      <c r="HS145" s="22"/>
      <c r="HT145" s="22"/>
      <c r="HU145" s="22"/>
      <c r="HV145" s="22"/>
      <c r="HW145" s="22"/>
      <c r="HX145" s="22"/>
      <c r="HY145" s="22"/>
      <c r="HZ145" s="22"/>
      <c r="IA145" s="22"/>
      <c r="IB145" s="22"/>
      <c r="IC145" s="22"/>
      <c r="ID145" s="22"/>
      <c r="IE145" s="22"/>
      <c r="IF145" s="22"/>
      <c r="IG145" s="22"/>
      <c r="IH145" s="22"/>
      <c r="II145" s="22"/>
      <c r="IJ145" s="22"/>
      <c r="IK145" s="22"/>
      <c r="IL145" s="22"/>
      <c r="IM145" s="22"/>
      <c r="IN145" s="22"/>
      <c r="IO145" s="22"/>
      <c r="IP145" s="22"/>
      <c r="IQ145" s="22"/>
      <c r="IR145" s="22"/>
      <c r="IS145" s="22"/>
      <c r="IT145" s="22"/>
      <c r="IU145" s="22"/>
      <c r="IV145" s="22"/>
    </row>
    <row r="146" spans="1:256" s="26" customFormat="1" ht="15" customHeight="1">
      <c r="A146" s="26" t="s">
        <v>940</v>
      </c>
    </row>
    <row r="147" spans="1:256" s="64" customFormat="1" ht="15" customHeight="1">
      <c r="A147" s="25" t="s">
        <v>1241</v>
      </c>
      <c r="B147" s="22"/>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c r="BH147" s="22"/>
      <c r="BI147" s="22"/>
      <c r="BJ147" s="22"/>
      <c r="BK147" s="22"/>
      <c r="BL147" s="22"/>
      <c r="BM147" s="22"/>
      <c r="BN147" s="22"/>
      <c r="BO147" s="22"/>
      <c r="BP147" s="22"/>
      <c r="BQ147" s="22"/>
      <c r="BR147" s="22"/>
      <c r="BS147" s="22"/>
      <c r="BT147" s="22"/>
      <c r="BU147" s="22"/>
      <c r="BV147" s="22"/>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c r="CV147" s="22"/>
      <c r="CW147" s="22"/>
      <c r="CX147" s="22"/>
      <c r="CY147" s="22"/>
      <c r="CZ147" s="22"/>
      <c r="DA147" s="22"/>
      <c r="DB147" s="22"/>
      <c r="DC147" s="22"/>
      <c r="DD147" s="22"/>
      <c r="DE147" s="22"/>
      <c r="DF147" s="22"/>
      <c r="DG147" s="22"/>
      <c r="DH147" s="22"/>
      <c r="DI147" s="22"/>
      <c r="DJ147" s="22"/>
      <c r="DK147" s="22"/>
      <c r="DL147" s="22"/>
      <c r="DM147" s="22"/>
      <c r="DN147" s="22"/>
      <c r="DO147" s="22"/>
      <c r="DP147" s="22"/>
      <c r="DQ147" s="22"/>
      <c r="DR147" s="22"/>
      <c r="DS147" s="22"/>
      <c r="DT147" s="22"/>
      <c r="DU147" s="22"/>
      <c r="DV147" s="22"/>
      <c r="DW147" s="22"/>
      <c r="DX147" s="22"/>
      <c r="DY147" s="22"/>
      <c r="DZ147" s="22"/>
      <c r="EA147" s="22"/>
      <c r="EB147" s="22"/>
      <c r="EC147" s="22"/>
      <c r="ED147" s="22"/>
      <c r="EE147" s="22"/>
      <c r="EF147" s="22"/>
      <c r="EG147" s="22"/>
      <c r="EH147" s="22"/>
      <c r="EI147" s="22"/>
      <c r="EJ147" s="22"/>
      <c r="EK147" s="22"/>
      <c r="EL147" s="22"/>
      <c r="EM147" s="22"/>
      <c r="EN147" s="22"/>
      <c r="EO147" s="22"/>
      <c r="EP147" s="22"/>
      <c r="EQ147" s="22"/>
      <c r="ER147" s="22"/>
      <c r="ES147" s="22"/>
      <c r="ET147" s="22"/>
      <c r="EU147" s="22"/>
      <c r="EV147" s="22"/>
      <c r="EW147" s="22"/>
      <c r="EX147" s="22"/>
      <c r="EY147" s="22"/>
      <c r="EZ147" s="22"/>
      <c r="FA147" s="22"/>
      <c r="FB147" s="22"/>
      <c r="FC147" s="22"/>
      <c r="FD147" s="22"/>
      <c r="FE147" s="22"/>
      <c r="FF147" s="22"/>
      <c r="FG147" s="22"/>
      <c r="FH147" s="22"/>
      <c r="FI147" s="22"/>
      <c r="FJ147" s="22"/>
      <c r="FK147" s="22"/>
      <c r="FL147" s="22"/>
      <c r="FM147" s="22"/>
      <c r="FN147" s="22"/>
      <c r="FO147" s="22"/>
      <c r="FP147" s="22"/>
      <c r="FQ147" s="22"/>
      <c r="FR147" s="22"/>
      <c r="FS147" s="22"/>
      <c r="FT147" s="22"/>
      <c r="FU147" s="22"/>
      <c r="FV147" s="22"/>
      <c r="FW147" s="22"/>
      <c r="FX147" s="22"/>
      <c r="FY147" s="22"/>
      <c r="FZ147" s="22"/>
      <c r="GA147" s="22"/>
      <c r="GB147" s="22"/>
      <c r="GC147" s="22"/>
      <c r="GD147" s="22"/>
      <c r="GE147" s="22"/>
      <c r="GF147" s="22"/>
      <c r="GG147" s="22"/>
      <c r="GH147" s="22"/>
      <c r="GI147" s="22"/>
      <c r="GJ147" s="22"/>
      <c r="GK147" s="22"/>
      <c r="GL147" s="22"/>
      <c r="GM147" s="22"/>
      <c r="GN147" s="22"/>
      <c r="GO147" s="22"/>
      <c r="GP147" s="22"/>
      <c r="GQ147" s="22"/>
      <c r="GR147" s="22"/>
      <c r="GS147" s="22"/>
      <c r="GT147" s="22"/>
      <c r="GU147" s="22"/>
      <c r="GV147" s="22"/>
      <c r="GW147" s="22"/>
      <c r="GX147" s="22"/>
      <c r="GY147" s="22"/>
      <c r="GZ147" s="22"/>
      <c r="HA147" s="22"/>
      <c r="HB147" s="22"/>
      <c r="HC147" s="22"/>
      <c r="HD147" s="22"/>
      <c r="HE147" s="22"/>
      <c r="HF147" s="22"/>
      <c r="HG147" s="22"/>
      <c r="HH147" s="22"/>
      <c r="HI147" s="22"/>
      <c r="HJ147" s="22"/>
      <c r="HK147" s="22"/>
      <c r="HL147" s="22"/>
      <c r="HM147" s="22"/>
      <c r="HN147" s="22"/>
      <c r="HO147" s="22"/>
      <c r="HP147" s="22"/>
      <c r="HQ147" s="22"/>
      <c r="HR147" s="22"/>
      <c r="HS147" s="22"/>
      <c r="HT147" s="22"/>
      <c r="HU147" s="22"/>
      <c r="HV147" s="22"/>
      <c r="HW147" s="22"/>
      <c r="HX147" s="22"/>
      <c r="HY147" s="22"/>
      <c r="HZ147" s="22"/>
      <c r="IA147" s="22"/>
      <c r="IB147" s="22"/>
      <c r="IC147" s="22"/>
      <c r="ID147" s="22"/>
      <c r="IE147" s="22"/>
      <c r="IF147" s="22"/>
      <c r="IG147" s="22"/>
      <c r="IH147" s="22"/>
      <c r="II147" s="22"/>
      <c r="IJ147" s="22"/>
      <c r="IK147" s="22"/>
      <c r="IL147" s="22"/>
      <c r="IM147" s="22"/>
      <c r="IN147" s="22"/>
      <c r="IO147" s="22"/>
      <c r="IP147" s="22"/>
      <c r="IQ147" s="22"/>
      <c r="IR147" s="22"/>
      <c r="IS147" s="22"/>
      <c r="IT147" s="22"/>
      <c r="IU147" s="22"/>
      <c r="IV147" s="22"/>
    </row>
    <row r="148" spans="1:256" s="64" customFormat="1" ht="15" customHeight="1">
      <c r="A148" s="25" t="s">
        <v>1363</v>
      </c>
      <c r="B148" s="22"/>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c r="BH148" s="22"/>
      <c r="BI148" s="22"/>
      <c r="BJ148" s="22"/>
      <c r="BK148" s="22"/>
      <c r="BL148" s="22"/>
      <c r="BM148" s="22"/>
      <c r="BN148" s="22"/>
      <c r="BO148" s="22"/>
      <c r="BP148" s="22"/>
      <c r="BQ148" s="22"/>
      <c r="BR148" s="22"/>
      <c r="BS148" s="22"/>
      <c r="BT148" s="22"/>
      <c r="BU148" s="22"/>
      <c r="BV148" s="22"/>
      <c r="BW148" s="22"/>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c r="CV148" s="22"/>
      <c r="CW148" s="22"/>
      <c r="CX148" s="22"/>
      <c r="CY148" s="22"/>
      <c r="CZ148" s="22"/>
      <c r="DA148" s="22"/>
      <c r="DB148" s="22"/>
      <c r="DC148" s="22"/>
      <c r="DD148" s="22"/>
      <c r="DE148" s="22"/>
      <c r="DF148" s="22"/>
      <c r="DG148" s="22"/>
      <c r="DH148" s="22"/>
      <c r="DI148" s="22"/>
      <c r="DJ148" s="22"/>
      <c r="DK148" s="22"/>
      <c r="DL148" s="22"/>
      <c r="DM148" s="22"/>
      <c r="DN148" s="22"/>
      <c r="DO148" s="22"/>
      <c r="DP148" s="22"/>
      <c r="DQ148" s="22"/>
      <c r="DR148" s="22"/>
      <c r="DS148" s="22"/>
      <c r="DT148" s="22"/>
      <c r="DU148" s="22"/>
      <c r="DV148" s="22"/>
      <c r="DW148" s="22"/>
      <c r="DX148" s="22"/>
      <c r="DY148" s="22"/>
      <c r="DZ148" s="22"/>
      <c r="EA148" s="22"/>
      <c r="EB148" s="22"/>
      <c r="EC148" s="22"/>
      <c r="ED148" s="22"/>
      <c r="EE148" s="22"/>
      <c r="EF148" s="22"/>
      <c r="EG148" s="22"/>
      <c r="EH148" s="22"/>
      <c r="EI148" s="22"/>
      <c r="EJ148" s="22"/>
      <c r="EK148" s="22"/>
      <c r="EL148" s="22"/>
      <c r="EM148" s="22"/>
      <c r="EN148" s="22"/>
      <c r="EO148" s="22"/>
      <c r="EP148" s="22"/>
      <c r="EQ148" s="22"/>
      <c r="ER148" s="22"/>
      <c r="ES148" s="22"/>
      <c r="ET148" s="22"/>
      <c r="EU148" s="22"/>
      <c r="EV148" s="22"/>
      <c r="EW148" s="22"/>
      <c r="EX148" s="22"/>
      <c r="EY148" s="22"/>
      <c r="EZ148" s="22"/>
      <c r="FA148" s="22"/>
      <c r="FB148" s="22"/>
      <c r="FC148" s="22"/>
      <c r="FD148" s="22"/>
      <c r="FE148" s="22"/>
      <c r="FF148" s="22"/>
      <c r="FG148" s="22"/>
      <c r="FH148" s="22"/>
      <c r="FI148" s="22"/>
      <c r="FJ148" s="22"/>
      <c r="FK148" s="22"/>
      <c r="FL148" s="22"/>
      <c r="FM148" s="22"/>
      <c r="FN148" s="22"/>
      <c r="FO148" s="22"/>
      <c r="FP148" s="22"/>
      <c r="FQ148" s="22"/>
      <c r="FR148" s="22"/>
      <c r="FS148" s="22"/>
      <c r="FT148" s="22"/>
      <c r="FU148" s="22"/>
      <c r="FV148" s="22"/>
      <c r="FW148" s="22"/>
      <c r="FX148" s="22"/>
      <c r="FY148" s="22"/>
      <c r="FZ148" s="22"/>
      <c r="GA148" s="22"/>
      <c r="GB148" s="22"/>
      <c r="GC148" s="22"/>
      <c r="GD148" s="22"/>
      <c r="GE148" s="22"/>
      <c r="GF148" s="22"/>
      <c r="GG148" s="22"/>
      <c r="GH148" s="22"/>
      <c r="GI148" s="22"/>
      <c r="GJ148" s="22"/>
      <c r="GK148" s="22"/>
      <c r="GL148" s="22"/>
      <c r="GM148" s="22"/>
      <c r="GN148" s="22"/>
      <c r="GO148" s="22"/>
      <c r="GP148" s="22"/>
      <c r="GQ148" s="22"/>
      <c r="GR148" s="22"/>
      <c r="GS148" s="22"/>
      <c r="GT148" s="22"/>
      <c r="GU148" s="22"/>
      <c r="GV148" s="22"/>
      <c r="GW148" s="22"/>
      <c r="GX148" s="22"/>
      <c r="GY148" s="22"/>
      <c r="GZ148" s="22"/>
      <c r="HA148" s="22"/>
      <c r="HB148" s="22"/>
      <c r="HC148" s="22"/>
      <c r="HD148" s="22"/>
      <c r="HE148" s="22"/>
      <c r="HF148" s="22"/>
      <c r="HG148" s="22"/>
      <c r="HH148" s="22"/>
      <c r="HI148" s="22"/>
      <c r="HJ148" s="22"/>
      <c r="HK148" s="22"/>
      <c r="HL148" s="22"/>
      <c r="HM148" s="22"/>
      <c r="HN148" s="22"/>
      <c r="HO148" s="22"/>
      <c r="HP148" s="22"/>
      <c r="HQ148" s="22"/>
      <c r="HR148" s="22"/>
      <c r="HS148" s="22"/>
      <c r="HT148" s="22"/>
      <c r="HU148" s="22"/>
      <c r="HV148" s="22"/>
      <c r="HW148" s="22"/>
      <c r="HX148" s="22"/>
      <c r="HY148" s="22"/>
      <c r="HZ148" s="22"/>
      <c r="IA148" s="22"/>
      <c r="IB148" s="22"/>
      <c r="IC148" s="22"/>
      <c r="ID148" s="22"/>
      <c r="IE148" s="22"/>
      <c r="IF148" s="22"/>
      <c r="IG148" s="22"/>
      <c r="IH148" s="22"/>
      <c r="II148" s="22"/>
      <c r="IJ148" s="22"/>
      <c r="IK148" s="22"/>
      <c r="IL148" s="22"/>
      <c r="IM148" s="22"/>
      <c r="IN148" s="22"/>
      <c r="IO148" s="22"/>
      <c r="IP148" s="22"/>
      <c r="IQ148" s="22"/>
      <c r="IR148" s="22"/>
      <c r="IS148" s="22"/>
      <c r="IT148" s="22"/>
      <c r="IU148" s="22"/>
      <c r="IV148" s="22"/>
    </row>
    <row r="149" spans="1:256" s="64" customFormat="1" ht="15" customHeight="1">
      <c r="A149" s="25" t="s">
        <v>1242</v>
      </c>
      <c r="B149" s="22"/>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c r="CV149" s="22"/>
      <c r="CW149" s="22"/>
      <c r="CX149" s="22"/>
      <c r="CY149" s="22"/>
      <c r="CZ149" s="22"/>
      <c r="DA149" s="22"/>
      <c r="DB149" s="22"/>
      <c r="DC149" s="22"/>
      <c r="DD149" s="22"/>
      <c r="DE149" s="22"/>
      <c r="DF149" s="22"/>
      <c r="DG149" s="22"/>
      <c r="DH149" s="22"/>
      <c r="DI149" s="22"/>
      <c r="DJ149" s="22"/>
      <c r="DK149" s="22"/>
      <c r="DL149" s="22"/>
      <c r="DM149" s="22"/>
      <c r="DN149" s="22"/>
      <c r="DO149" s="22"/>
      <c r="DP149" s="22"/>
      <c r="DQ149" s="22"/>
      <c r="DR149" s="22"/>
      <c r="DS149" s="22"/>
      <c r="DT149" s="22"/>
      <c r="DU149" s="22"/>
      <c r="DV149" s="22"/>
      <c r="DW149" s="22"/>
      <c r="DX149" s="22"/>
      <c r="DY149" s="22"/>
      <c r="DZ149" s="22"/>
      <c r="EA149" s="22"/>
      <c r="EB149" s="22"/>
      <c r="EC149" s="22"/>
      <c r="ED149" s="22"/>
      <c r="EE149" s="22"/>
      <c r="EF149" s="22"/>
      <c r="EG149" s="22"/>
      <c r="EH149" s="22"/>
      <c r="EI149" s="22"/>
      <c r="EJ149" s="22"/>
      <c r="EK149" s="22"/>
      <c r="EL149" s="22"/>
      <c r="EM149" s="22"/>
      <c r="EN149" s="22"/>
      <c r="EO149" s="22"/>
      <c r="EP149" s="22"/>
      <c r="EQ149" s="22"/>
      <c r="ER149" s="22"/>
      <c r="ES149" s="22"/>
      <c r="ET149" s="22"/>
      <c r="EU149" s="22"/>
      <c r="EV149" s="22"/>
      <c r="EW149" s="22"/>
      <c r="EX149" s="22"/>
      <c r="EY149" s="22"/>
      <c r="EZ149" s="22"/>
      <c r="FA149" s="22"/>
      <c r="FB149" s="22"/>
      <c r="FC149" s="22"/>
      <c r="FD149" s="22"/>
      <c r="FE149" s="22"/>
      <c r="FF149" s="22"/>
      <c r="FG149" s="22"/>
      <c r="FH149" s="22"/>
      <c r="FI149" s="22"/>
      <c r="FJ149" s="22"/>
      <c r="FK149" s="22"/>
      <c r="FL149" s="22"/>
      <c r="FM149" s="22"/>
      <c r="FN149" s="22"/>
      <c r="FO149" s="22"/>
      <c r="FP149" s="22"/>
      <c r="FQ149" s="22"/>
      <c r="FR149" s="22"/>
      <c r="FS149" s="22"/>
      <c r="FT149" s="22"/>
      <c r="FU149" s="22"/>
      <c r="FV149" s="22"/>
      <c r="FW149" s="22"/>
      <c r="FX149" s="22"/>
      <c r="FY149" s="22"/>
      <c r="FZ149" s="22"/>
      <c r="GA149" s="22"/>
      <c r="GB149" s="22"/>
      <c r="GC149" s="22"/>
      <c r="GD149" s="22"/>
      <c r="GE149" s="22"/>
      <c r="GF149" s="22"/>
      <c r="GG149" s="22"/>
      <c r="GH149" s="22"/>
      <c r="GI149" s="22"/>
      <c r="GJ149" s="22"/>
      <c r="GK149" s="22"/>
      <c r="GL149" s="22"/>
      <c r="GM149" s="22"/>
      <c r="GN149" s="22"/>
      <c r="GO149" s="22"/>
      <c r="GP149" s="22"/>
      <c r="GQ149" s="22"/>
      <c r="GR149" s="22"/>
      <c r="GS149" s="22"/>
      <c r="GT149" s="22"/>
      <c r="GU149" s="22"/>
      <c r="GV149" s="22"/>
      <c r="GW149" s="22"/>
      <c r="GX149" s="22"/>
      <c r="GY149" s="22"/>
      <c r="GZ149" s="22"/>
      <c r="HA149" s="22"/>
      <c r="HB149" s="22"/>
      <c r="HC149" s="22"/>
      <c r="HD149" s="22"/>
      <c r="HE149" s="22"/>
      <c r="HF149" s="22"/>
      <c r="HG149" s="22"/>
      <c r="HH149" s="22"/>
      <c r="HI149" s="22"/>
      <c r="HJ149" s="22"/>
      <c r="HK149" s="22"/>
      <c r="HL149" s="22"/>
      <c r="HM149" s="22"/>
      <c r="HN149" s="22"/>
      <c r="HO149" s="22"/>
      <c r="HP149" s="22"/>
      <c r="HQ149" s="22"/>
      <c r="HR149" s="22"/>
      <c r="HS149" s="22"/>
      <c r="HT149" s="22"/>
      <c r="HU149" s="22"/>
      <c r="HV149" s="22"/>
      <c r="HW149" s="22"/>
      <c r="HX149" s="22"/>
      <c r="HY149" s="22"/>
      <c r="HZ149" s="22"/>
      <c r="IA149" s="22"/>
      <c r="IB149" s="22"/>
      <c r="IC149" s="22"/>
      <c r="ID149" s="22"/>
      <c r="IE149" s="22"/>
      <c r="IF149" s="22"/>
      <c r="IG149" s="22"/>
      <c r="IH149" s="22"/>
      <c r="II149" s="22"/>
      <c r="IJ149" s="22"/>
      <c r="IK149" s="22"/>
      <c r="IL149" s="22"/>
      <c r="IM149" s="22"/>
      <c r="IN149" s="22"/>
      <c r="IO149" s="22"/>
      <c r="IP149" s="22"/>
      <c r="IQ149" s="22"/>
      <c r="IR149" s="22"/>
      <c r="IS149" s="22"/>
      <c r="IT149" s="22"/>
      <c r="IU149" s="22"/>
      <c r="IV149" s="22"/>
    </row>
    <row r="150" spans="1:256" s="64" customFormat="1" ht="15" customHeight="1">
      <c r="A150" s="25" t="s">
        <v>1243</v>
      </c>
      <c r="B150" s="22"/>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c r="CV150" s="22"/>
      <c r="CW150" s="22"/>
      <c r="CX150" s="22"/>
      <c r="CY150" s="22"/>
      <c r="CZ150" s="22"/>
      <c r="DA150" s="22"/>
      <c r="DB150" s="22"/>
      <c r="DC150" s="22"/>
      <c r="DD150" s="22"/>
      <c r="DE150" s="22"/>
      <c r="DF150" s="22"/>
      <c r="DG150" s="22"/>
      <c r="DH150" s="22"/>
      <c r="DI150" s="22"/>
      <c r="DJ150" s="22"/>
      <c r="DK150" s="22"/>
      <c r="DL150" s="22"/>
      <c r="DM150" s="22"/>
      <c r="DN150" s="22"/>
      <c r="DO150" s="22"/>
      <c r="DP150" s="22"/>
      <c r="DQ150" s="22"/>
      <c r="DR150" s="22"/>
      <c r="DS150" s="22"/>
      <c r="DT150" s="22"/>
      <c r="DU150" s="22"/>
      <c r="DV150" s="22"/>
      <c r="DW150" s="22"/>
      <c r="DX150" s="22"/>
      <c r="DY150" s="22"/>
      <c r="DZ150" s="22"/>
      <c r="EA150" s="22"/>
      <c r="EB150" s="22"/>
      <c r="EC150" s="22"/>
      <c r="ED150" s="22"/>
      <c r="EE150" s="22"/>
      <c r="EF150" s="22"/>
      <c r="EG150" s="22"/>
      <c r="EH150" s="22"/>
      <c r="EI150" s="22"/>
      <c r="EJ150" s="22"/>
      <c r="EK150" s="22"/>
      <c r="EL150" s="22"/>
      <c r="EM150" s="22"/>
      <c r="EN150" s="22"/>
      <c r="EO150" s="22"/>
      <c r="EP150" s="22"/>
      <c r="EQ150" s="22"/>
      <c r="ER150" s="22"/>
      <c r="ES150" s="22"/>
      <c r="ET150" s="22"/>
      <c r="EU150" s="22"/>
      <c r="EV150" s="22"/>
      <c r="EW150" s="22"/>
      <c r="EX150" s="22"/>
      <c r="EY150" s="22"/>
      <c r="EZ150" s="22"/>
      <c r="FA150" s="22"/>
      <c r="FB150" s="22"/>
      <c r="FC150" s="22"/>
      <c r="FD150" s="22"/>
      <c r="FE150" s="22"/>
      <c r="FF150" s="22"/>
      <c r="FG150" s="22"/>
      <c r="FH150" s="22"/>
      <c r="FI150" s="22"/>
      <c r="FJ150" s="22"/>
      <c r="FK150" s="22"/>
      <c r="FL150" s="22"/>
      <c r="FM150" s="22"/>
      <c r="FN150" s="22"/>
      <c r="FO150" s="22"/>
      <c r="FP150" s="22"/>
      <c r="FQ150" s="22"/>
      <c r="FR150" s="22"/>
      <c r="FS150" s="22"/>
      <c r="FT150" s="22"/>
      <c r="FU150" s="22"/>
      <c r="FV150" s="22"/>
      <c r="FW150" s="22"/>
      <c r="FX150" s="22"/>
      <c r="FY150" s="22"/>
      <c r="FZ150" s="22"/>
      <c r="GA150" s="22"/>
      <c r="GB150" s="22"/>
      <c r="GC150" s="22"/>
      <c r="GD150" s="22"/>
      <c r="GE150" s="22"/>
      <c r="GF150" s="22"/>
      <c r="GG150" s="22"/>
      <c r="GH150" s="22"/>
      <c r="GI150" s="22"/>
      <c r="GJ150" s="22"/>
      <c r="GK150" s="22"/>
      <c r="GL150" s="22"/>
      <c r="GM150" s="22"/>
      <c r="GN150" s="22"/>
      <c r="GO150" s="22"/>
      <c r="GP150" s="22"/>
      <c r="GQ150" s="22"/>
      <c r="GR150" s="22"/>
      <c r="GS150" s="22"/>
      <c r="GT150" s="22"/>
      <c r="GU150" s="22"/>
      <c r="GV150" s="22"/>
      <c r="GW150" s="22"/>
      <c r="GX150" s="22"/>
      <c r="GY150" s="22"/>
      <c r="GZ150" s="22"/>
      <c r="HA150" s="22"/>
      <c r="HB150" s="22"/>
      <c r="HC150" s="22"/>
      <c r="HD150" s="22"/>
      <c r="HE150" s="22"/>
      <c r="HF150" s="22"/>
      <c r="HG150" s="22"/>
      <c r="HH150" s="22"/>
      <c r="HI150" s="22"/>
      <c r="HJ150" s="22"/>
      <c r="HK150" s="22"/>
      <c r="HL150" s="22"/>
      <c r="HM150" s="22"/>
      <c r="HN150" s="22"/>
      <c r="HO150" s="22"/>
      <c r="HP150" s="22"/>
      <c r="HQ150" s="22"/>
      <c r="HR150" s="22"/>
      <c r="HS150" s="22"/>
      <c r="HT150" s="22"/>
      <c r="HU150" s="22"/>
      <c r="HV150" s="22"/>
      <c r="HW150" s="22"/>
      <c r="HX150" s="22"/>
      <c r="HY150" s="22"/>
      <c r="HZ150" s="22"/>
      <c r="IA150" s="22"/>
      <c r="IB150" s="22"/>
      <c r="IC150" s="22"/>
      <c r="ID150" s="22"/>
      <c r="IE150" s="22"/>
      <c r="IF150" s="22"/>
      <c r="IG150" s="22"/>
      <c r="IH150" s="22"/>
      <c r="II150" s="22"/>
      <c r="IJ150" s="22"/>
      <c r="IK150" s="22"/>
      <c r="IL150" s="22"/>
      <c r="IM150" s="22"/>
      <c r="IN150" s="22"/>
      <c r="IO150" s="22"/>
      <c r="IP150" s="22"/>
      <c r="IQ150" s="22"/>
      <c r="IR150" s="22"/>
      <c r="IS150" s="22"/>
      <c r="IT150" s="22"/>
      <c r="IU150" s="22"/>
      <c r="IV150" s="22"/>
    </row>
    <row r="151" spans="1:256" s="64" customFormat="1" ht="15" customHeight="1">
      <c r="A151" s="25" t="s">
        <v>1245</v>
      </c>
      <c r="B151" s="22"/>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c r="CV151" s="22"/>
      <c r="CW151" s="22"/>
      <c r="CX151" s="22"/>
      <c r="CY151" s="22"/>
      <c r="CZ151" s="22"/>
      <c r="DA151" s="22"/>
      <c r="DB151" s="22"/>
      <c r="DC151" s="22"/>
      <c r="DD151" s="22"/>
      <c r="DE151" s="22"/>
      <c r="DF151" s="22"/>
      <c r="DG151" s="22"/>
      <c r="DH151" s="22"/>
      <c r="DI151" s="22"/>
      <c r="DJ151" s="22"/>
      <c r="DK151" s="22"/>
      <c r="DL151" s="22"/>
      <c r="DM151" s="22"/>
      <c r="DN151" s="22"/>
      <c r="DO151" s="22"/>
      <c r="DP151" s="22"/>
      <c r="DQ151" s="22"/>
      <c r="DR151" s="22"/>
      <c r="DS151" s="22"/>
      <c r="DT151" s="22"/>
      <c r="DU151" s="22"/>
      <c r="DV151" s="22"/>
      <c r="DW151" s="22"/>
      <c r="DX151" s="22"/>
      <c r="DY151" s="22"/>
      <c r="DZ151" s="22"/>
      <c r="EA151" s="22"/>
      <c r="EB151" s="22"/>
      <c r="EC151" s="22"/>
      <c r="ED151" s="22"/>
      <c r="EE151" s="22"/>
      <c r="EF151" s="22"/>
      <c r="EG151" s="22"/>
      <c r="EH151" s="22"/>
      <c r="EI151" s="22"/>
      <c r="EJ151" s="22"/>
      <c r="EK151" s="22"/>
      <c r="EL151" s="22"/>
      <c r="EM151" s="22"/>
      <c r="EN151" s="22"/>
      <c r="EO151" s="22"/>
      <c r="EP151" s="22"/>
      <c r="EQ151" s="22"/>
      <c r="ER151" s="22"/>
      <c r="ES151" s="22"/>
      <c r="ET151" s="22"/>
      <c r="EU151" s="22"/>
      <c r="EV151" s="22"/>
      <c r="EW151" s="22"/>
      <c r="EX151" s="22"/>
      <c r="EY151" s="22"/>
      <c r="EZ151" s="22"/>
      <c r="FA151" s="22"/>
      <c r="FB151" s="22"/>
      <c r="FC151" s="22"/>
      <c r="FD151" s="22"/>
      <c r="FE151" s="22"/>
      <c r="FF151" s="22"/>
      <c r="FG151" s="22"/>
      <c r="FH151" s="22"/>
      <c r="FI151" s="22"/>
      <c r="FJ151" s="22"/>
      <c r="FK151" s="22"/>
      <c r="FL151" s="22"/>
      <c r="FM151" s="22"/>
      <c r="FN151" s="22"/>
      <c r="FO151" s="22"/>
      <c r="FP151" s="22"/>
      <c r="FQ151" s="22"/>
      <c r="FR151" s="22"/>
      <c r="FS151" s="22"/>
      <c r="FT151" s="22"/>
      <c r="FU151" s="22"/>
      <c r="FV151" s="22"/>
      <c r="FW151" s="22"/>
      <c r="FX151" s="22"/>
      <c r="FY151" s="22"/>
      <c r="FZ151" s="22"/>
      <c r="GA151" s="22"/>
      <c r="GB151" s="22"/>
      <c r="GC151" s="22"/>
      <c r="GD151" s="22"/>
      <c r="GE151" s="22"/>
      <c r="GF151" s="22"/>
      <c r="GG151" s="22"/>
      <c r="GH151" s="22"/>
      <c r="GI151" s="22"/>
      <c r="GJ151" s="22"/>
      <c r="GK151" s="22"/>
      <c r="GL151" s="22"/>
      <c r="GM151" s="22"/>
      <c r="GN151" s="22"/>
      <c r="GO151" s="22"/>
      <c r="GP151" s="22"/>
      <c r="GQ151" s="22"/>
      <c r="GR151" s="22"/>
      <c r="GS151" s="22"/>
      <c r="GT151" s="22"/>
      <c r="GU151" s="22"/>
      <c r="GV151" s="22"/>
      <c r="GW151" s="22"/>
      <c r="GX151" s="22"/>
      <c r="GY151" s="22"/>
      <c r="GZ151" s="22"/>
      <c r="HA151" s="22"/>
      <c r="HB151" s="22"/>
      <c r="HC151" s="22"/>
      <c r="HD151" s="22"/>
      <c r="HE151" s="22"/>
      <c r="HF151" s="22"/>
      <c r="HG151" s="22"/>
      <c r="HH151" s="22"/>
      <c r="HI151" s="22"/>
      <c r="HJ151" s="22"/>
      <c r="HK151" s="22"/>
      <c r="HL151" s="22"/>
      <c r="HM151" s="22"/>
      <c r="HN151" s="22"/>
      <c r="HO151" s="22"/>
      <c r="HP151" s="22"/>
      <c r="HQ151" s="22"/>
      <c r="HR151" s="22"/>
      <c r="HS151" s="22"/>
      <c r="HT151" s="22"/>
      <c r="HU151" s="22"/>
      <c r="HV151" s="22"/>
      <c r="HW151" s="22"/>
      <c r="HX151" s="22"/>
      <c r="HY151" s="22"/>
      <c r="HZ151" s="22"/>
      <c r="IA151" s="22"/>
      <c r="IB151" s="22"/>
      <c r="IC151" s="22"/>
      <c r="ID151" s="22"/>
      <c r="IE151" s="22"/>
      <c r="IF151" s="22"/>
      <c r="IG151" s="22"/>
      <c r="IH151" s="22"/>
      <c r="II151" s="22"/>
      <c r="IJ151" s="22"/>
      <c r="IK151" s="22"/>
      <c r="IL151" s="22"/>
      <c r="IM151" s="22"/>
      <c r="IN151" s="22"/>
      <c r="IO151" s="22"/>
      <c r="IP151" s="22"/>
      <c r="IQ151" s="22"/>
      <c r="IR151" s="22"/>
      <c r="IS151" s="22"/>
      <c r="IT151" s="22"/>
      <c r="IU151" s="22"/>
      <c r="IV151" s="22"/>
    </row>
    <row r="152" spans="1:256" s="26" customFormat="1" ht="15" customHeight="1">
      <c r="A152" s="26" t="s">
        <v>941</v>
      </c>
    </row>
    <row r="153" spans="1:256" s="64" customFormat="1" ht="15" customHeight="1">
      <c r="A153" s="25" t="s">
        <v>1013</v>
      </c>
      <c r="B153" s="22"/>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c r="BH153" s="22"/>
      <c r="BI153" s="22"/>
      <c r="BJ153" s="22"/>
      <c r="BK153" s="22"/>
      <c r="BL153" s="22"/>
      <c r="BM153" s="22"/>
      <c r="BN153" s="22"/>
      <c r="BO153" s="22"/>
      <c r="BP153" s="22"/>
      <c r="BQ153" s="22"/>
      <c r="BR153" s="22"/>
      <c r="BS153" s="22"/>
      <c r="BT153" s="22"/>
      <c r="BU153" s="22"/>
      <c r="BV153" s="22"/>
      <c r="BW153" s="22"/>
      <c r="BX153" s="22"/>
      <c r="BY153" s="22"/>
      <c r="BZ153" s="22"/>
      <c r="CA153" s="22"/>
      <c r="CB153" s="22"/>
      <c r="CC153" s="22"/>
      <c r="CD153" s="22"/>
      <c r="CE153" s="22"/>
      <c r="CF153" s="22"/>
      <c r="CG153" s="22"/>
      <c r="CH153" s="22"/>
      <c r="CI153" s="22"/>
      <c r="CJ153" s="22"/>
      <c r="CK153" s="22"/>
      <c r="CL153" s="22"/>
      <c r="CM153" s="22"/>
      <c r="CN153" s="22"/>
      <c r="CO153" s="22"/>
      <c r="CP153" s="22"/>
      <c r="CQ153" s="22"/>
      <c r="CR153" s="22"/>
      <c r="CS153" s="22"/>
      <c r="CT153" s="22"/>
      <c r="CU153" s="22"/>
      <c r="CV153" s="22"/>
      <c r="CW153" s="22"/>
      <c r="CX153" s="22"/>
      <c r="CY153" s="22"/>
      <c r="CZ153" s="22"/>
      <c r="DA153" s="22"/>
      <c r="DB153" s="22"/>
      <c r="DC153" s="22"/>
      <c r="DD153" s="22"/>
      <c r="DE153" s="22"/>
      <c r="DF153" s="22"/>
      <c r="DG153" s="22"/>
      <c r="DH153" s="22"/>
      <c r="DI153" s="22"/>
      <c r="DJ153" s="22"/>
      <c r="DK153" s="22"/>
      <c r="DL153" s="22"/>
      <c r="DM153" s="22"/>
      <c r="DN153" s="22"/>
      <c r="DO153" s="22"/>
      <c r="DP153" s="22"/>
      <c r="DQ153" s="22"/>
      <c r="DR153" s="22"/>
      <c r="DS153" s="22"/>
      <c r="DT153" s="22"/>
      <c r="DU153" s="22"/>
      <c r="DV153" s="22"/>
      <c r="DW153" s="22"/>
      <c r="DX153" s="22"/>
      <c r="DY153" s="22"/>
      <c r="DZ153" s="22"/>
      <c r="EA153" s="22"/>
      <c r="EB153" s="22"/>
      <c r="EC153" s="22"/>
      <c r="ED153" s="22"/>
      <c r="EE153" s="22"/>
      <c r="EF153" s="22"/>
      <c r="EG153" s="22"/>
      <c r="EH153" s="22"/>
      <c r="EI153" s="22"/>
      <c r="EJ153" s="22"/>
      <c r="EK153" s="22"/>
      <c r="EL153" s="22"/>
      <c r="EM153" s="22"/>
      <c r="EN153" s="22"/>
      <c r="EO153" s="22"/>
      <c r="EP153" s="22"/>
      <c r="EQ153" s="22"/>
      <c r="ER153" s="22"/>
      <c r="ES153" s="22"/>
      <c r="ET153" s="22"/>
      <c r="EU153" s="22"/>
      <c r="EV153" s="22"/>
      <c r="EW153" s="22"/>
      <c r="EX153" s="22"/>
      <c r="EY153" s="22"/>
      <c r="EZ153" s="22"/>
      <c r="FA153" s="22"/>
      <c r="FB153" s="22"/>
      <c r="FC153" s="22"/>
      <c r="FD153" s="22"/>
      <c r="FE153" s="22"/>
      <c r="FF153" s="22"/>
      <c r="FG153" s="22"/>
      <c r="FH153" s="22"/>
      <c r="FI153" s="22"/>
      <c r="FJ153" s="22"/>
      <c r="FK153" s="22"/>
      <c r="FL153" s="22"/>
      <c r="FM153" s="22"/>
      <c r="FN153" s="22"/>
      <c r="FO153" s="22"/>
      <c r="FP153" s="22"/>
      <c r="FQ153" s="22"/>
      <c r="FR153" s="22"/>
      <c r="FS153" s="22"/>
      <c r="FT153" s="22"/>
      <c r="FU153" s="22"/>
      <c r="FV153" s="22"/>
      <c r="FW153" s="22"/>
      <c r="FX153" s="22"/>
      <c r="FY153" s="22"/>
      <c r="FZ153" s="22"/>
      <c r="GA153" s="22"/>
      <c r="GB153" s="22"/>
      <c r="GC153" s="22"/>
      <c r="GD153" s="22"/>
      <c r="GE153" s="22"/>
      <c r="GF153" s="22"/>
      <c r="GG153" s="22"/>
      <c r="GH153" s="22"/>
      <c r="GI153" s="22"/>
      <c r="GJ153" s="22"/>
      <c r="GK153" s="22"/>
      <c r="GL153" s="22"/>
      <c r="GM153" s="22"/>
      <c r="GN153" s="22"/>
      <c r="GO153" s="22"/>
      <c r="GP153" s="22"/>
      <c r="GQ153" s="22"/>
      <c r="GR153" s="22"/>
      <c r="GS153" s="22"/>
      <c r="GT153" s="22"/>
      <c r="GU153" s="22"/>
      <c r="GV153" s="22"/>
      <c r="GW153" s="22"/>
      <c r="GX153" s="22"/>
      <c r="GY153" s="22"/>
      <c r="GZ153" s="22"/>
      <c r="HA153" s="22"/>
      <c r="HB153" s="22"/>
      <c r="HC153" s="22"/>
      <c r="HD153" s="22"/>
      <c r="HE153" s="22"/>
      <c r="HF153" s="22"/>
      <c r="HG153" s="22"/>
      <c r="HH153" s="22"/>
      <c r="HI153" s="22"/>
      <c r="HJ153" s="22"/>
      <c r="HK153" s="22"/>
      <c r="HL153" s="22"/>
      <c r="HM153" s="22"/>
      <c r="HN153" s="22"/>
      <c r="HO153" s="22"/>
      <c r="HP153" s="22"/>
      <c r="HQ153" s="22"/>
      <c r="HR153" s="22"/>
      <c r="HS153" s="22"/>
      <c r="HT153" s="22"/>
      <c r="HU153" s="22"/>
      <c r="HV153" s="22"/>
      <c r="HW153" s="22"/>
      <c r="HX153" s="22"/>
      <c r="HY153" s="22"/>
      <c r="HZ153" s="22"/>
      <c r="IA153" s="22"/>
      <c r="IB153" s="22"/>
      <c r="IC153" s="22"/>
      <c r="ID153" s="22"/>
      <c r="IE153" s="22"/>
      <c r="IF153" s="22"/>
      <c r="IG153" s="22"/>
      <c r="IH153" s="22"/>
      <c r="II153" s="22"/>
      <c r="IJ153" s="22"/>
      <c r="IK153" s="22"/>
      <c r="IL153" s="22"/>
      <c r="IM153" s="22"/>
      <c r="IN153" s="22"/>
      <c r="IO153" s="22"/>
      <c r="IP153" s="22"/>
      <c r="IQ153" s="22"/>
      <c r="IR153" s="22"/>
      <c r="IS153" s="22"/>
      <c r="IT153" s="22"/>
      <c r="IU153" s="22"/>
      <c r="IV153" s="22"/>
    </row>
    <row r="154" spans="1:256" s="64" customFormat="1" ht="15" customHeight="1">
      <c r="A154" s="25" t="s">
        <v>1246</v>
      </c>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c r="CV154" s="22"/>
      <c r="CW154" s="22"/>
      <c r="CX154" s="22"/>
      <c r="CY154" s="22"/>
      <c r="CZ154" s="22"/>
      <c r="DA154" s="22"/>
      <c r="DB154" s="22"/>
      <c r="DC154" s="22"/>
      <c r="DD154" s="22"/>
      <c r="DE154" s="22"/>
      <c r="DF154" s="22"/>
      <c r="DG154" s="22"/>
      <c r="DH154" s="22"/>
      <c r="DI154" s="22"/>
      <c r="DJ154" s="22"/>
      <c r="DK154" s="22"/>
      <c r="DL154" s="22"/>
      <c r="DM154" s="22"/>
      <c r="DN154" s="22"/>
      <c r="DO154" s="22"/>
      <c r="DP154" s="22"/>
      <c r="DQ154" s="22"/>
      <c r="DR154" s="22"/>
      <c r="DS154" s="22"/>
      <c r="DT154" s="22"/>
      <c r="DU154" s="22"/>
      <c r="DV154" s="22"/>
      <c r="DW154" s="22"/>
      <c r="DX154" s="22"/>
      <c r="DY154" s="22"/>
      <c r="DZ154" s="22"/>
      <c r="EA154" s="22"/>
      <c r="EB154" s="22"/>
      <c r="EC154" s="22"/>
      <c r="ED154" s="22"/>
      <c r="EE154" s="22"/>
      <c r="EF154" s="22"/>
      <c r="EG154" s="22"/>
      <c r="EH154" s="22"/>
      <c r="EI154" s="22"/>
      <c r="EJ154" s="22"/>
      <c r="EK154" s="22"/>
      <c r="EL154" s="22"/>
      <c r="EM154" s="22"/>
      <c r="EN154" s="22"/>
      <c r="EO154" s="22"/>
      <c r="EP154" s="22"/>
      <c r="EQ154" s="22"/>
      <c r="ER154" s="22"/>
      <c r="ES154" s="22"/>
      <c r="ET154" s="22"/>
      <c r="EU154" s="22"/>
      <c r="EV154" s="22"/>
      <c r="EW154" s="22"/>
      <c r="EX154" s="22"/>
      <c r="EY154" s="22"/>
      <c r="EZ154" s="22"/>
      <c r="FA154" s="22"/>
      <c r="FB154" s="22"/>
      <c r="FC154" s="22"/>
      <c r="FD154" s="22"/>
      <c r="FE154" s="22"/>
      <c r="FF154" s="22"/>
      <c r="FG154" s="22"/>
      <c r="FH154" s="22"/>
      <c r="FI154" s="22"/>
      <c r="FJ154" s="22"/>
      <c r="FK154" s="22"/>
      <c r="FL154" s="22"/>
      <c r="FM154" s="22"/>
      <c r="FN154" s="22"/>
      <c r="FO154" s="22"/>
      <c r="FP154" s="22"/>
      <c r="FQ154" s="22"/>
      <c r="FR154" s="22"/>
      <c r="FS154" s="22"/>
      <c r="FT154" s="22"/>
      <c r="FU154" s="22"/>
      <c r="FV154" s="22"/>
      <c r="FW154" s="22"/>
      <c r="FX154" s="22"/>
      <c r="FY154" s="22"/>
      <c r="FZ154" s="22"/>
      <c r="GA154" s="22"/>
      <c r="GB154" s="22"/>
      <c r="GC154" s="22"/>
      <c r="GD154" s="22"/>
      <c r="GE154" s="22"/>
      <c r="GF154" s="22"/>
      <c r="GG154" s="22"/>
      <c r="GH154" s="22"/>
      <c r="GI154" s="22"/>
      <c r="GJ154" s="22"/>
      <c r="GK154" s="22"/>
      <c r="GL154" s="22"/>
      <c r="GM154" s="22"/>
      <c r="GN154" s="22"/>
      <c r="GO154" s="22"/>
      <c r="GP154" s="22"/>
      <c r="GQ154" s="22"/>
      <c r="GR154" s="22"/>
      <c r="GS154" s="22"/>
      <c r="GT154" s="22"/>
      <c r="GU154" s="22"/>
      <c r="GV154" s="22"/>
      <c r="GW154" s="22"/>
      <c r="GX154" s="22"/>
      <c r="GY154" s="22"/>
      <c r="GZ154" s="22"/>
      <c r="HA154" s="22"/>
      <c r="HB154" s="22"/>
      <c r="HC154" s="22"/>
      <c r="HD154" s="22"/>
      <c r="HE154" s="22"/>
      <c r="HF154" s="22"/>
      <c r="HG154" s="22"/>
      <c r="HH154" s="22"/>
      <c r="HI154" s="22"/>
      <c r="HJ154" s="22"/>
      <c r="HK154" s="22"/>
      <c r="HL154" s="22"/>
      <c r="HM154" s="22"/>
      <c r="HN154" s="22"/>
      <c r="HO154" s="22"/>
      <c r="HP154" s="22"/>
      <c r="HQ154" s="22"/>
      <c r="HR154" s="22"/>
      <c r="HS154" s="22"/>
      <c r="HT154" s="22"/>
      <c r="HU154" s="22"/>
      <c r="HV154" s="22"/>
      <c r="HW154" s="22"/>
      <c r="HX154" s="22"/>
      <c r="HY154" s="22"/>
      <c r="HZ154" s="22"/>
      <c r="IA154" s="22"/>
      <c r="IB154" s="22"/>
      <c r="IC154" s="22"/>
      <c r="ID154" s="22"/>
      <c r="IE154" s="22"/>
      <c r="IF154" s="22"/>
      <c r="IG154" s="22"/>
      <c r="IH154" s="22"/>
      <c r="II154" s="22"/>
      <c r="IJ154" s="22"/>
      <c r="IK154" s="22"/>
      <c r="IL154" s="22"/>
      <c r="IM154" s="22"/>
      <c r="IN154" s="22"/>
      <c r="IO154" s="22"/>
      <c r="IP154" s="22"/>
      <c r="IQ154" s="22"/>
      <c r="IR154" s="22"/>
      <c r="IS154" s="22"/>
      <c r="IT154" s="22"/>
      <c r="IU154" s="22"/>
      <c r="IV154" s="22"/>
    </row>
    <row r="155" spans="1:256" s="26" customFormat="1" ht="15" customHeight="1">
      <c r="A155" s="26" t="s">
        <v>942</v>
      </c>
    </row>
    <row r="156" spans="1:256" s="64" customFormat="1" ht="15" customHeight="1">
      <c r="A156" s="25" t="s">
        <v>1247</v>
      </c>
      <c r="B156" s="22"/>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c r="BH156" s="22"/>
      <c r="BI156" s="22"/>
      <c r="BJ156" s="22"/>
      <c r="BK156" s="22"/>
      <c r="BL156" s="22"/>
      <c r="BM156" s="22"/>
      <c r="BN156" s="22"/>
      <c r="BO156" s="22"/>
      <c r="BP156" s="22"/>
      <c r="BQ156" s="22"/>
      <c r="BR156" s="22"/>
      <c r="BS156" s="22"/>
      <c r="BT156" s="22"/>
      <c r="BU156" s="22"/>
      <c r="BV156" s="22"/>
      <c r="BW156" s="22"/>
      <c r="BX156" s="22"/>
      <c r="BY156" s="22"/>
      <c r="BZ156" s="22"/>
      <c r="CA156" s="22"/>
      <c r="CB156" s="22"/>
      <c r="CC156" s="22"/>
      <c r="CD156" s="22"/>
      <c r="CE156" s="22"/>
      <c r="CF156" s="22"/>
      <c r="CG156" s="22"/>
      <c r="CH156" s="22"/>
      <c r="CI156" s="22"/>
      <c r="CJ156" s="22"/>
      <c r="CK156" s="22"/>
      <c r="CL156" s="22"/>
      <c r="CM156" s="22"/>
      <c r="CN156" s="22"/>
      <c r="CO156" s="22"/>
      <c r="CP156" s="22"/>
      <c r="CQ156" s="22"/>
      <c r="CR156" s="22"/>
      <c r="CS156" s="22"/>
      <c r="CT156" s="22"/>
      <c r="CU156" s="22"/>
      <c r="CV156" s="22"/>
      <c r="CW156" s="22"/>
      <c r="CX156" s="22"/>
      <c r="CY156" s="22"/>
      <c r="CZ156" s="22"/>
      <c r="DA156" s="22"/>
      <c r="DB156" s="22"/>
      <c r="DC156" s="22"/>
      <c r="DD156" s="22"/>
      <c r="DE156" s="22"/>
      <c r="DF156" s="22"/>
      <c r="DG156" s="22"/>
      <c r="DH156" s="22"/>
      <c r="DI156" s="22"/>
      <c r="DJ156" s="22"/>
      <c r="DK156" s="22"/>
      <c r="DL156" s="22"/>
      <c r="DM156" s="22"/>
      <c r="DN156" s="22"/>
      <c r="DO156" s="22"/>
      <c r="DP156" s="22"/>
      <c r="DQ156" s="22"/>
      <c r="DR156" s="22"/>
      <c r="DS156" s="22"/>
      <c r="DT156" s="22"/>
      <c r="DU156" s="22"/>
      <c r="DV156" s="22"/>
      <c r="DW156" s="22"/>
      <c r="DX156" s="22"/>
      <c r="DY156" s="22"/>
      <c r="DZ156" s="22"/>
      <c r="EA156" s="22"/>
      <c r="EB156" s="22"/>
      <c r="EC156" s="22"/>
      <c r="ED156" s="22"/>
      <c r="EE156" s="22"/>
      <c r="EF156" s="22"/>
      <c r="EG156" s="22"/>
      <c r="EH156" s="22"/>
      <c r="EI156" s="22"/>
      <c r="EJ156" s="22"/>
      <c r="EK156" s="22"/>
      <c r="EL156" s="22"/>
      <c r="EM156" s="22"/>
      <c r="EN156" s="22"/>
      <c r="EO156" s="22"/>
      <c r="EP156" s="22"/>
      <c r="EQ156" s="22"/>
      <c r="ER156" s="22"/>
      <c r="ES156" s="22"/>
      <c r="ET156" s="22"/>
      <c r="EU156" s="22"/>
      <c r="EV156" s="22"/>
      <c r="EW156" s="22"/>
      <c r="EX156" s="22"/>
      <c r="EY156" s="22"/>
      <c r="EZ156" s="22"/>
      <c r="FA156" s="22"/>
      <c r="FB156" s="22"/>
      <c r="FC156" s="22"/>
      <c r="FD156" s="22"/>
      <c r="FE156" s="22"/>
      <c r="FF156" s="22"/>
      <c r="FG156" s="22"/>
      <c r="FH156" s="22"/>
      <c r="FI156" s="22"/>
      <c r="FJ156" s="22"/>
      <c r="FK156" s="22"/>
      <c r="FL156" s="22"/>
      <c r="FM156" s="22"/>
      <c r="FN156" s="22"/>
      <c r="FO156" s="22"/>
      <c r="FP156" s="22"/>
      <c r="FQ156" s="22"/>
      <c r="FR156" s="22"/>
      <c r="FS156" s="22"/>
      <c r="FT156" s="22"/>
      <c r="FU156" s="22"/>
      <c r="FV156" s="22"/>
      <c r="FW156" s="22"/>
      <c r="FX156" s="22"/>
      <c r="FY156" s="22"/>
      <c r="FZ156" s="22"/>
      <c r="GA156" s="22"/>
      <c r="GB156" s="22"/>
      <c r="GC156" s="22"/>
      <c r="GD156" s="22"/>
      <c r="GE156" s="22"/>
      <c r="GF156" s="22"/>
      <c r="GG156" s="22"/>
      <c r="GH156" s="22"/>
      <c r="GI156" s="22"/>
      <c r="GJ156" s="22"/>
      <c r="GK156" s="22"/>
      <c r="GL156" s="22"/>
      <c r="GM156" s="22"/>
      <c r="GN156" s="22"/>
      <c r="GO156" s="22"/>
      <c r="GP156" s="22"/>
      <c r="GQ156" s="22"/>
      <c r="GR156" s="22"/>
      <c r="GS156" s="22"/>
      <c r="GT156" s="22"/>
      <c r="GU156" s="22"/>
      <c r="GV156" s="22"/>
      <c r="GW156" s="22"/>
      <c r="GX156" s="22"/>
      <c r="GY156" s="22"/>
      <c r="GZ156" s="22"/>
      <c r="HA156" s="22"/>
      <c r="HB156" s="22"/>
      <c r="HC156" s="22"/>
      <c r="HD156" s="22"/>
      <c r="HE156" s="22"/>
      <c r="HF156" s="22"/>
      <c r="HG156" s="22"/>
      <c r="HH156" s="22"/>
      <c r="HI156" s="22"/>
      <c r="HJ156" s="22"/>
      <c r="HK156" s="22"/>
      <c r="HL156" s="22"/>
      <c r="HM156" s="22"/>
      <c r="HN156" s="22"/>
      <c r="HO156" s="22"/>
      <c r="HP156" s="22"/>
      <c r="HQ156" s="22"/>
      <c r="HR156" s="22"/>
      <c r="HS156" s="22"/>
      <c r="HT156" s="22"/>
      <c r="HU156" s="22"/>
      <c r="HV156" s="22"/>
      <c r="HW156" s="22"/>
      <c r="HX156" s="22"/>
      <c r="HY156" s="22"/>
      <c r="HZ156" s="22"/>
      <c r="IA156" s="22"/>
      <c r="IB156" s="22"/>
      <c r="IC156" s="22"/>
      <c r="ID156" s="22"/>
      <c r="IE156" s="22"/>
      <c r="IF156" s="22"/>
      <c r="IG156" s="22"/>
      <c r="IH156" s="22"/>
      <c r="II156" s="22"/>
      <c r="IJ156" s="22"/>
      <c r="IK156" s="22"/>
      <c r="IL156" s="22"/>
      <c r="IM156" s="22"/>
      <c r="IN156" s="22"/>
      <c r="IO156" s="22"/>
      <c r="IP156" s="22"/>
      <c r="IQ156" s="22"/>
      <c r="IR156" s="22"/>
      <c r="IS156" s="22"/>
      <c r="IT156" s="22"/>
      <c r="IU156" s="22"/>
      <c r="IV156" s="22"/>
    </row>
    <row r="157" spans="1:256" s="64" customFormat="1" ht="15" customHeight="1">
      <c r="A157" s="25" t="s">
        <v>1248</v>
      </c>
      <c r="B157" s="22"/>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c r="BH157" s="22"/>
      <c r="BI157" s="22"/>
      <c r="BJ157" s="22"/>
      <c r="BK157" s="22"/>
      <c r="BL157" s="22"/>
      <c r="BM157" s="22"/>
      <c r="BN157" s="22"/>
      <c r="BO157" s="22"/>
      <c r="BP157" s="22"/>
      <c r="BQ157" s="22"/>
      <c r="BR157" s="22"/>
      <c r="BS157" s="22"/>
      <c r="BT157" s="22"/>
      <c r="BU157" s="22"/>
      <c r="BV157" s="22"/>
      <c r="BW157" s="22"/>
      <c r="BX157" s="22"/>
      <c r="BY157" s="22"/>
      <c r="BZ157" s="22"/>
      <c r="CA157" s="22"/>
      <c r="CB157" s="22"/>
      <c r="CC157" s="22"/>
      <c r="CD157" s="22"/>
      <c r="CE157" s="22"/>
      <c r="CF157" s="22"/>
      <c r="CG157" s="22"/>
      <c r="CH157" s="22"/>
      <c r="CI157" s="22"/>
      <c r="CJ157" s="22"/>
      <c r="CK157" s="22"/>
      <c r="CL157" s="22"/>
      <c r="CM157" s="22"/>
      <c r="CN157" s="22"/>
      <c r="CO157" s="22"/>
      <c r="CP157" s="22"/>
      <c r="CQ157" s="22"/>
      <c r="CR157" s="22"/>
      <c r="CS157" s="22"/>
      <c r="CT157" s="22"/>
      <c r="CU157" s="22"/>
      <c r="CV157" s="22"/>
      <c r="CW157" s="22"/>
      <c r="CX157" s="22"/>
      <c r="CY157" s="22"/>
      <c r="CZ157" s="22"/>
      <c r="DA157" s="22"/>
      <c r="DB157" s="22"/>
      <c r="DC157" s="22"/>
      <c r="DD157" s="22"/>
      <c r="DE157" s="22"/>
      <c r="DF157" s="22"/>
      <c r="DG157" s="22"/>
      <c r="DH157" s="22"/>
      <c r="DI157" s="22"/>
      <c r="DJ157" s="22"/>
      <c r="DK157" s="22"/>
      <c r="DL157" s="22"/>
      <c r="DM157" s="22"/>
      <c r="DN157" s="22"/>
      <c r="DO157" s="22"/>
      <c r="DP157" s="22"/>
      <c r="DQ157" s="22"/>
      <c r="DR157" s="22"/>
      <c r="DS157" s="22"/>
      <c r="DT157" s="22"/>
      <c r="DU157" s="22"/>
      <c r="DV157" s="22"/>
      <c r="DW157" s="22"/>
      <c r="DX157" s="22"/>
      <c r="DY157" s="22"/>
      <c r="DZ157" s="22"/>
      <c r="EA157" s="22"/>
      <c r="EB157" s="22"/>
      <c r="EC157" s="22"/>
      <c r="ED157" s="22"/>
      <c r="EE157" s="22"/>
      <c r="EF157" s="22"/>
      <c r="EG157" s="22"/>
      <c r="EH157" s="22"/>
      <c r="EI157" s="22"/>
      <c r="EJ157" s="22"/>
      <c r="EK157" s="22"/>
      <c r="EL157" s="22"/>
      <c r="EM157" s="22"/>
      <c r="EN157" s="22"/>
      <c r="EO157" s="22"/>
      <c r="EP157" s="22"/>
      <c r="EQ157" s="22"/>
      <c r="ER157" s="22"/>
      <c r="ES157" s="22"/>
      <c r="ET157" s="22"/>
      <c r="EU157" s="22"/>
      <c r="EV157" s="22"/>
      <c r="EW157" s="22"/>
      <c r="EX157" s="22"/>
      <c r="EY157" s="22"/>
      <c r="EZ157" s="22"/>
      <c r="FA157" s="22"/>
      <c r="FB157" s="22"/>
      <c r="FC157" s="22"/>
      <c r="FD157" s="22"/>
      <c r="FE157" s="22"/>
      <c r="FF157" s="22"/>
      <c r="FG157" s="22"/>
      <c r="FH157" s="22"/>
      <c r="FI157" s="22"/>
      <c r="FJ157" s="22"/>
      <c r="FK157" s="22"/>
      <c r="FL157" s="22"/>
      <c r="FM157" s="22"/>
      <c r="FN157" s="22"/>
      <c r="FO157" s="22"/>
      <c r="FP157" s="22"/>
      <c r="FQ157" s="22"/>
      <c r="FR157" s="22"/>
      <c r="FS157" s="22"/>
      <c r="FT157" s="22"/>
      <c r="FU157" s="22"/>
      <c r="FV157" s="22"/>
      <c r="FW157" s="22"/>
      <c r="FX157" s="22"/>
      <c r="FY157" s="22"/>
      <c r="FZ157" s="22"/>
      <c r="GA157" s="22"/>
      <c r="GB157" s="22"/>
      <c r="GC157" s="22"/>
      <c r="GD157" s="22"/>
      <c r="GE157" s="22"/>
      <c r="GF157" s="22"/>
      <c r="GG157" s="22"/>
      <c r="GH157" s="22"/>
      <c r="GI157" s="22"/>
      <c r="GJ157" s="22"/>
      <c r="GK157" s="22"/>
      <c r="GL157" s="22"/>
      <c r="GM157" s="22"/>
      <c r="GN157" s="22"/>
      <c r="GO157" s="22"/>
      <c r="GP157" s="22"/>
      <c r="GQ157" s="22"/>
      <c r="GR157" s="22"/>
      <c r="GS157" s="22"/>
      <c r="GT157" s="22"/>
      <c r="GU157" s="22"/>
      <c r="GV157" s="22"/>
      <c r="GW157" s="22"/>
      <c r="GX157" s="22"/>
      <c r="GY157" s="22"/>
      <c r="GZ157" s="22"/>
      <c r="HA157" s="22"/>
      <c r="HB157" s="22"/>
      <c r="HC157" s="22"/>
      <c r="HD157" s="22"/>
      <c r="HE157" s="22"/>
      <c r="HF157" s="22"/>
      <c r="HG157" s="22"/>
      <c r="HH157" s="22"/>
      <c r="HI157" s="22"/>
      <c r="HJ157" s="22"/>
      <c r="HK157" s="22"/>
      <c r="HL157" s="22"/>
      <c r="HM157" s="22"/>
      <c r="HN157" s="22"/>
      <c r="HO157" s="22"/>
      <c r="HP157" s="22"/>
      <c r="HQ157" s="22"/>
      <c r="HR157" s="22"/>
      <c r="HS157" s="22"/>
      <c r="HT157" s="22"/>
      <c r="HU157" s="22"/>
      <c r="HV157" s="22"/>
      <c r="HW157" s="22"/>
      <c r="HX157" s="22"/>
      <c r="HY157" s="22"/>
      <c r="HZ157" s="22"/>
      <c r="IA157" s="22"/>
      <c r="IB157" s="22"/>
      <c r="IC157" s="22"/>
      <c r="ID157" s="22"/>
      <c r="IE157" s="22"/>
      <c r="IF157" s="22"/>
      <c r="IG157" s="22"/>
      <c r="IH157" s="22"/>
      <c r="II157" s="22"/>
      <c r="IJ157" s="22"/>
      <c r="IK157" s="22"/>
      <c r="IL157" s="22"/>
      <c r="IM157" s="22"/>
      <c r="IN157" s="22"/>
      <c r="IO157" s="22"/>
      <c r="IP157" s="22"/>
      <c r="IQ157" s="22"/>
      <c r="IR157" s="22"/>
      <c r="IS157" s="22"/>
      <c r="IT157" s="22"/>
      <c r="IU157" s="22"/>
      <c r="IV157" s="22"/>
    </row>
    <row r="158" spans="1:256" s="64" customFormat="1" ht="15" customHeight="1">
      <c r="A158" s="25" t="s">
        <v>1249</v>
      </c>
      <c r="B158" s="22"/>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c r="BH158" s="22"/>
      <c r="BI158" s="22"/>
      <c r="BJ158" s="22"/>
      <c r="BK158" s="22"/>
      <c r="BL158" s="22"/>
      <c r="BM158" s="22"/>
      <c r="BN158" s="22"/>
      <c r="BO158" s="22"/>
      <c r="BP158" s="22"/>
      <c r="BQ158" s="22"/>
      <c r="BR158" s="22"/>
      <c r="BS158" s="22"/>
      <c r="BT158" s="22"/>
      <c r="BU158" s="22"/>
      <c r="BV158" s="22"/>
      <c r="BW158" s="22"/>
      <c r="BX158" s="22"/>
      <c r="BY158" s="22"/>
      <c r="BZ158" s="22"/>
      <c r="CA158" s="22"/>
      <c r="CB158" s="22"/>
      <c r="CC158" s="22"/>
      <c r="CD158" s="22"/>
      <c r="CE158" s="22"/>
      <c r="CF158" s="22"/>
      <c r="CG158" s="22"/>
      <c r="CH158" s="22"/>
      <c r="CI158" s="22"/>
      <c r="CJ158" s="22"/>
      <c r="CK158" s="22"/>
      <c r="CL158" s="22"/>
      <c r="CM158" s="22"/>
      <c r="CN158" s="22"/>
      <c r="CO158" s="22"/>
      <c r="CP158" s="22"/>
      <c r="CQ158" s="22"/>
      <c r="CR158" s="22"/>
      <c r="CS158" s="22"/>
      <c r="CT158" s="22"/>
      <c r="CU158" s="22"/>
      <c r="CV158" s="22"/>
      <c r="CW158" s="22"/>
      <c r="CX158" s="22"/>
      <c r="CY158" s="22"/>
      <c r="CZ158" s="22"/>
      <c r="DA158" s="22"/>
      <c r="DB158" s="22"/>
      <c r="DC158" s="22"/>
      <c r="DD158" s="22"/>
      <c r="DE158" s="22"/>
      <c r="DF158" s="22"/>
      <c r="DG158" s="22"/>
      <c r="DH158" s="22"/>
      <c r="DI158" s="22"/>
      <c r="DJ158" s="22"/>
      <c r="DK158" s="22"/>
      <c r="DL158" s="22"/>
      <c r="DM158" s="22"/>
      <c r="DN158" s="22"/>
      <c r="DO158" s="22"/>
      <c r="DP158" s="22"/>
      <c r="DQ158" s="22"/>
      <c r="DR158" s="22"/>
      <c r="DS158" s="22"/>
      <c r="DT158" s="22"/>
      <c r="DU158" s="22"/>
      <c r="DV158" s="22"/>
      <c r="DW158" s="22"/>
      <c r="DX158" s="22"/>
      <c r="DY158" s="22"/>
      <c r="DZ158" s="22"/>
      <c r="EA158" s="22"/>
      <c r="EB158" s="22"/>
      <c r="EC158" s="22"/>
      <c r="ED158" s="22"/>
      <c r="EE158" s="22"/>
      <c r="EF158" s="22"/>
      <c r="EG158" s="22"/>
      <c r="EH158" s="22"/>
      <c r="EI158" s="22"/>
      <c r="EJ158" s="22"/>
      <c r="EK158" s="22"/>
      <c r="EL158" s="22"/>
      <c r="EM158" s="22"/>
      <c r="EN158" s="22"/>
      <c r="EO158" s="22"/>
      <c r="EP158" s="22"/>
      <c r="EQ158" s="22"/>
      <c r="ER158" s="22"/>
      <c r="ES158" s="22"/>
      <c r="ET158" s="22"/>
      <c r="EU158" s="22"/>
      <c r="EV158" s="22"/>
      <c r="EW158" s="22"/>
      <c r="EX158" s="22"/>
      <c r="EY158" s="22"/>
      <c r="EZ158" s="22"/>
      <c r="FA158" s="22"/>
      <c r="FB158" s="22"/>
      <c r="FC158" s="22"/>
      <c r="FD158" s="22"/>
      <c r="FE158" s="22"/>
      <c r="FF158" s="22"/>
      <c r="FG158" s="22"/>
      <c r="FH158" s="22"/>
      <c r="FI158" s="22"/>
      <c r="FJ158" s="22"/>
      <c r="FK158" s="22"/>
      <c r="FL158" s="22"/>
      <c r="FM158" s="22"/>
      <c r="FN158" s="22"/>
      <c r="FO158" s="22"/>
      <c r="FP158" s="22"/>
      <c r="FQ158" s="22"/>
      <c r="FR158" s="22"/>
      <c r="FS158" s="22"/>
      <c r="FT158" s="22"/>
      <c r="FU158" s="22"/>
      <c r="FV158" s="22"/>
      <c r="FW158" s="22"/>
      <c r="FX158" s="22"/>
      <c r="FY158" s="22"/>
      <c r="FZ158" s="22"/>
      <c r="GA158" s="22"/>
      <c r="GB158" s="22"/>
      <c r="GC158" s="22"/>
      <c r="GD158" s="22"/>
      <c r="GE158" s="22"/>
      <c r="GF158" s="22"/>
      <c r="GG158" s="22"/>
      <c r="GH158" s="22"/>
      <c r="GI158" s="22"/>
      <c r="GJ158" s="22"/>
      <c r="GK158" s="22"/>
      <c r="GL158" s="22"/>
      <c r="GM158" s="22"/>
      <c r="GN158" s="22"/>
      <c r="GO158" s="22"/>
      <c r="GP158" s="22"/>
      <c r="GQ158" s="22"/>
      <c r="GR158" s="22"/>
      <c r="GS158" s="22"/>
      <c r="GT158" s="22"/>
      <c r="GU158" s="22"/>
      <c r="GV158" s="22"/>
      <c r="GW158" s="22"/>
      <c r="GX158" s="22"/>
      <c r="GY158" s="22"/>
      <c r="GZ158" s="22"/>
      <c r="HA158" s="22"/>
      <c r="HB158" s="22"/>
      <c r="HC158" s="22"/>
      <c r="HD158" s="22"/>
      <c r="HE158" s="22"/>
      <c r="HF158" s="22"/>
      <c r="HG158" s="22"/>
      <c r="HH158" s="22"/>
      <c r="HI158" s="22"/>
      <c r="HJ158" s="22"/>
      <c r="HK158" s="22"/>
      <c r="HL158" s="22"/>
      <c r="HM158" s="22"/>
      <c r="HN158" s="22"/>
      <c r="HO158" s="22"/>
      <c r="HP158" s="22"/>
      <c r="HQ158" s="22"/>
      <c r="HR158" s="22"/>
      <c r="HS158" s="22"/>
      <c r="HT158" s="22"/>
      <c r="HU158" s="22"/>
      <c r="HV158" s="22"/>
      <c r="HW158" s="22"/>
      <c r="HX158" s="22"/>
      <c r="HY158" s="22"/>
      <c r="HZ158" s="22"/>
      <c r="IA158" s="22"/>
      <c r="IB158" s="22"/>
      <c r="IC158" s="22"/>
      <c r="ID158" s="22"/>
      <c r="IE158" s="22"/>
      <c r="IF158" s="22"/>
      <c r="IG158" s="22"/>
      <c r="IH158" s="22"/>
      <c r="II158" s="22"/>
      <c r="IJ158" s="22"/>
      <c r="IK158" s="22"/>
      <c r="IL158" s="22"/>
      <c r="IM158" s="22"/>
      <c r="IN158" s="22"/>
      <c r="IO158" s="22"/>
      <c r="IP158" s="22"/>
      <c r="IQ158" s="22"/>
      <c r="IR158" s="22"/>
      <c r="IS158" s="22"/>
      <c r="IT158" s="22"/>
      <c r="IU158" s="22"/>
      <c r="IV158" s="22"/>
    </row>
    <row r="159" spans="1:256" s="64" customFormat="1" ht="15" customHeight="1">
      <c r="A159" s="25" t="s">
        <v>1250</v>
      </c>
      <c r="B159" s="22"/>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c r="BG159" s="22"/>
      <c r="BH159" s="22"/>
      <c r="BI159" s="22"/>
      <c r="BJ159" s="22"/>
      <c r="BK159" s="22"/>
      <c r="BL159" s="22"/>
      <c r="BM159" s="22"/>
      <c r="BN159" s="22"/>
      <c r="BO159" s="22"/>
      <c r="BP159" s="22"/>
      <c r="BQ159" s="22"/>
      <c r="BR159" s="22"/>
      <c r="BS159" s="22"/>
      <c r="BT159" s="22"/>
      <c r="BU159" s="22"/>
      <c r="BV159" s="22"/>
      <c r="BW159" s="22"/>
      <c r="BX159" s="22"/>
      <c r="BY159" s="22"/>
      <c r="BZ159" s="22"/>
      <c r="CA159" s="22"/>
      <c r="CB159" s="22"/>
      <c r="CC159" s="22"/>
      <c r="CD159" s="22"/>
      <c r="CE159" s="22"/>
      <c r="CF159" s="22"/>
      <c r="CG159" s="22"/>
      <c r="CH159" s="22"/>
      <c r="CI159" s="22"/>
      <c r="CJ159" s="22"/>
      <c r="CK159" s="22"/>
      <c r="CL159" s="22"/>
      <c r="CM159" s="22"/>
      <c r="CN159" s="22"/>
      <c r="CO159" s="22"/>
      <c r="CP159" s="22"/>
      <c r="CQ159" s="22"/>
      <c r="CR159" s="22"/>
      <c r="CS159" s="22"/>
      <c r="CT159" s="22"/>
      <c r="CU159" s="22"/>
      <c r="CV159" s="22"/>
      <c r="CW159" s="22"/>
      <c r="CX159" s="22"/>
      <c r="CY159" s="22"/>
      <c r="CZ159" s="22"/>
      <c r="DA159" s="22"/>
      <c r="DB159" s="22"/>
      <c r="DC159" s="22"/>
      <c r="DD159" s="22"/>
      <c r="DE159" s="22"/>
      <c r="DF159" s="22"/>
      <c r="DG159" s="22"/>
      <c r="DH159" s="22"/>
      <c r="DI159" s="22"/>
      <c r="DJ159" s="22"/>
      <c r="DK159" s="22"/>
      <c r="DL159" s="22"/>
      <c r="DM159" s="22"/>
      <c r="DN159" s="22"/>
      <c r="DO159" s="22"/>
      <c r="DP159" s="22"/>
      <c r="DQ159" s="22"/>
      <c r="DR159" s="22"/>
      <c r="DS159" s="22"/>
      <c r="DT159" s="22"/>
      <c r="DU159" s="22"/>
      <c r="DV159" s="22"/>
      <c r="DW159" s="22"/>
      <c r="DX159" s="22"/>
      <c r="DY159" s="22"/>
      <c r="DZ159" s="22"/>
      <c r="EA159" s="22"/>
      <c r="EB159" s="22"/>
      <c r="EC159" s="22"/>
      <c r="ED159" s="22"/>
      <c r="EE159" s="22"/>
      <c r="EF159" s="22"/>
      <c r="EG159" s="22"/>
      <c r="EH159" s="22"/>
      <c r="EI159" s="22"/>
      <c r="EJ159" s="22"/>
      <c r="EK159" s="22"/>
      <c r="EL159" s="22"/>
      <c r="EM159" s="22"/>
      <c r="EN159" s="22"/>
      <c r="EO159" s="22"/>
      <c r="EP159" s="22"/>
      <c r="EQ159" s="22"/>
      <c r="ER159" s="22"/>
      <c r="ES159" s="22"/>
      <c r="ET159" s="22"/>
      <c r="EU159" s="22"/>
      <c r="EV159" s="22"/>
      <c r="EW159" s="22"/>
      <c r="EX159" s="22"/>
      <c r="EY159" s="22"/>
      <c r="EZ159" s="22"/>
      <c r="FA159" s="22"/>
      <c r="FB159" s="22"/>
      <c r="FC159" s="22"/>
      <c r="FD159" s="22"/>
      <c r="FE159" s="22"/>
      <c r="FF159" s="22"/>
      <c r="FG159" s="22"/>
      <c r="FH159" s="22"/>
      <c r="FI159" s="22"/>
      <c r="FJ159" s="22"/>
      <c r="FK159" s="22"/>
      <c r="FL159" s="22"/>
      <c r="FM159" s="22"/>
      <c r="FN159" s="22"/>
      <c r="FO159" s="22"/>
      <c r="FP159" s="22"/>
      <c r="FQ159" s="22"/>
      <c r="FR159" s="22"/>
      <c r="FS159" s="22"/>
      <c r="FT159" s="22"/>
      <c r="FU159" s="22"/>
      <c r="FV159" s="22"/>
      <c r="FW159" s="22"/>
      <c r="FX159" s="22"/>
      <c r="FY159" s="22"/>
      <c r="FZ159" s="22"/>
      <c r="GA159" s="22"/>
      <c r="GB159" s="22"/>
      <c r="GC159" s="22"/>
      <c r="GD159" s="22"/>
      <c r="GE159" s="22"/>
      <c r="GF159" s="22"/>
      <c r="GG159" s="22"/>
      <c r="GH159" s="22"/>
      <c r="GI159" s="22"/>
      <c r="GJ159" s="22"/>
      <c r="GK159" s="22"/>
      <c r="GL159" s="22"/>
      <c r="GM159" s="22"/>
      <c r="GN159" s="22"/>
      <c r="GO159" s="22"/>
      <c r="GP159" s="22"/>
      <c r="GQ159" s="22"/>
      <c r="GR159" s="22"/>
      <c r="GS159" s="22"/>
      <c r="GT159" s="22"/>
      <c r="GU159" s="22"/>
      <c r="GV159" s="22"/>
      <c r="GW159" s="22"/>
      <c r="GX159" s="22"/>
      <c r="GY159" s="22"/>
      <c r="GZ159" s="22"/>
      <c r="HA159" s="22"/>
      <c r="HB159" s="22"/>
      <c r="HC159" s="22"/>
      <c r="HD159" s="22"/>
      <c r="HE159" s="22"/>
      <c r="HF159" s="22"/>
      <c r="HG159" s="22"/>
      <c r="HH159" s="22"/>
      <c r="HI159" s="22"/>
      <c r="HJ159" s="22"/>
      <c r="HK159" s="22"/>
      <c r="HL159" s="22"/>
      <c r="HM159" s="22"/>
      <c r="HN159" s="22"/>
      <c r="HO159" s="22"/>
      <c r="HP159" s="22"/>
      <c r="HQ159" s="22"/>
      <c r="HR159" s="22"/>
      <c r="HS159" s="22"/>
      <c r="HT159" s="22"/>
      <c r="HU159" s="22"/>
      <c r="HV159" s="22"/>
      <c r="HW159" s="22"/>
      <c r="HX159" s="22"/>
      <c r="HY159" s="22"/>
      <c r="HZ159" s="22"/>
      <c r="IA159" s="22"/>
      <c r="IB159" s="22"/>
      <c r="IC159" s="22"/>
      <c r="ID159" s="22"/>
      <c r="IE159" s="22"/>
      <c r="IF159" s="22"/>
      <c r="IG159" s="22"/>
      <c r="IH159" s="22"/>
      <c r="II159" s="22"/>
      <c r="IJ159" s="22"/>
      <c r="IK159" s="22"/>
      <c r="IL159" s="22"/>
      <c r="IM159" s="22"/>
      <c r="IN159" s="22"/>
      <c r="IO159" s="22"/>
      <c r="IP159" s="22"/>
      <c r="IQ159" s="22"/>
      <c r="IR159" s="22"/>
      <c r="IS159" s="22"/>
      <c r="IT159" s="22"/>
      <c r="IU159" s="22"/>
      <c r="IV159" s="22"/>
    </row>
    <row r="160" spans="1:256" s="64" customFormat="1" ht="15" customHeight="1">
      <c r="A160" s="25" t="s">
        <v>1072</v>
      </c>
      <c r="B160" s="22"/>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c r="BG160" s="22"/>
      <c r="BH160" s="22"/>
      <c r="BI160" s="22"/>
      <c r="BJ160" s="22"/>
      <c r="BK160" s="22"/>
      <c r="BL160" s="22"/>
      <c r="BM160" s="22"/>
      <c r="BN160" s="22"/>
      <c r="BO160" s="22"/>
      <c r="BP160" s="22"/>
      <c r="BQ160" s="22"/>
      <c r="BR160" s="22"/>
      <c r="BS160" s="22"/>
      <c r="BT160" s="22"/>
      <c r="BU160" s="22"/>
      <c r="BV160" s="22"/>
      <c r="BW160" s="22"/>
      <c r="BX160" s="22"/>
      <c r="BY160" s="22"/>
      <c r="BZ160" s="22"/>
      <c r="CA160" s="22"/>
      <c r="CB160" s="22"/>
      <c r="CC160" s="22"/>
      <c r="CD160" s="22"/>
      <c r="CE160" s="22"/>
      <c r="CF160" s="22"/>
      <c r="CG160" s="22"/>
      <c r="CH160" s="22"/>
      <c r="CI160" s="22"/>
      <c r="CJ160" s="22"/>
      <c r="CK160" s="22"/>
      <c r="CL160" s="22"/>
      <c r="CM160" s="22"/>
      <c r="CN160" s="22"/>
      <c r="CO160" s="22"/>
      <c r="CP160" s="22"/>
      <c r="CQ160" s="22"/>
      <c r="CR160" s="22"/>
      <c r="CS160" s="22"/>
      <c r="CT160" s="22"/>
      <c r="CU160" s="22"/>
      <c r="CV160" s="22"/>
      <c r="CW160" s="22"/>
      <c r="CX160" s="22"/>
      <c r="CY160" s="22"/>
      <c r="CZ160" s="22"/>
      <c r="DA160" s="22"/>
      <c r="DB160" s="22"/>
      <c r="DC160" s="22"/>
      <c r="DD160" s="22"/>
      <c r="DE160" s="22"/>
      <c r="DF160" s="22"/>
      <c r="DG160" s="22"/>
      <c r="DH160" s="22"/>
      <c r="DI160" s="22"/>
      <c r="DJ160" s="22"/>
      <c r="DK160" s="22"/>
      <c r="DL160" s="22"/>
      <c r="DM160" s="22"/>
      <c r="DN160" s="22"/>
      <c r="DO160" s="22"/>
      <c r="DP160" s="22"/>
      <c r="DQ160" s="22"/>
      <c r="DR160" s="22"/>
      <c r="DS160" s="22"/>
      <c r="DT160" s="22"/>
      <c r="DU160" s="22"/>
      <c r="DV160" s="22"/>
      <c r="DW160" s="22"/>
      <c r="DX160" s="22"/>
      <c r="DY160" s="22"/>
      <c r="DZ160" s="22"/>
      <c r="EA160" s="22"/>
      <c r="EB160" s="22"/>
      <c r="EC160" s="22"/>
      <c r="ED160" s="22"/>
      <c r="EE160" s="22"/>
      <c r="EF160" s="22"/>
      <c r="EG160" s="22"/>
      <c r="EH160" s="22"/>
      <c r="EI160" s="22"/>
      <c r="EJ160" s="22"/>
      <c r="EK160" s="22"/>
      <c r="EL160" s="22"/>
      <c r="EM160" s="22"/>
      <c r="EN160" s="22"/>
      <c r="EO160" s="22"/>
      <c r="EP160" s="22"/>
      <c r="EQ160" s="22"/>
      <c r="ER160" s="22"/>
      <c r="ES160" s="22"/>
      <c r="ET160" s="22"/>
      <c r="EU160" s="22"/>
      <c r="EV160" s="22"/>
      <c r="EW160" s="22"/>
      <c r="EX160" s="22"/>
      <c r="EY160" s="22"/>
      <c r="EZ160" s="22"/>
      <c r="FA160" s="22"/>
      <c r="FB160" s="22"/>
      <c r="FC160" s="22"/>
      <c r="FD160" s="22"/>
      <c r="FE160" s="22"/>
      <c r="FF160" s="22"/>
      <c r="FG160" s="22"/>
      <c r="FH160" s="22"/>
      <c r="FI160" s="22"/>
      <c r="FJ160" s="22"/>
      <c r="FK160" s="22"/>
      <c r="FL160" s="22"/>
      <c r="FM160" s="22"/>
      <c r="FN160" s="22"/>
      <c r="FO160" s="22"/>
      <c r="FP160" s="22"/>
      <c r="FQ160" s="22"/>
      <c r="FR160" s="22"/>
      <c r="FS160" s="22"/>
      <c r="FT160" s="22"/>
      <c r="FU160" s="22"/>
      <c r="FV160" s="22"/>
      <c r="FW160" s="22"/>
      <c r="FX160" s="22"/>
      <c r="FY160" s="22"/>
      <c r="FZ160" s="22"/>
      <c r="GA160" s="22"/>
      <c r="GB160" s="22"/>
      <c r="GC160" s="22"/>
      <c r="GD160" s="22"/>
      <c r="GE160" s="22"/>
      <c r="GF160" s="22"/>
      <c r="GG160" s="22"/>
      <c r="GH160" s="22"/>
      <c r="GI160" s="22"/>
      <c r="GJ160" s="22"/>
      <c r="GK160" s="22"/>
      <c r="GL160" s="22"/>
      <c r="GM160" s="22"/>
      <c r="GN160" s="22"/>
      <c r="GO160" s="22"/>
      <c r="GP160" s="22"/>
      <c r="GQ160" s="22"/>
      <c r="GR160" s="22"/>
      <c r="GS160" s="22"/>
      <c r="GT160" s="22"/>
      <c r="GU160" s="22"/>
      <c r="GV160" s="22"/>
      <c r="GW160" s="22"/>
      <c r="GX160" s="22"/>
      <c r="GY160" s="22"/>
      <c r="GZ160" s="22"/>
      <c r="HA160" s="22"/>
      <c r="HB160" s="22"/>
      <c r="HC160" s="22"/>
      <c r="HD160" s="22"/>
      <c r="HE160" s="22"/>
      <c r="HF160" s="22"/>
      <c r="HG160" s="22"/>
      <c r="HH160" s="22"/>
      <c r="HI160" s="22"/>
      <c r="HJ160" s="22"/>
      <c r="HK160" s="22"/>
      <c r="HL160" s="22"/>
      <c r="HM160" s="22"/>
      <c r="HN160" s="22"/>
      <c r="HO160" s="22"/>
      <c r="HP160" s="22"/>
      <c r="HQ160" s="22"/>
      <c r="HR160" s="22"/>
      <c r="HS160" s="22"/>
      <c r="HT160" s="22"/>
      <c r="HU160" s="22"/>
      <c r="HV160" s="22"/>
      <c r="HW160" s="22"/>
      <c r="HX160" s="22"/>
      <c r="HY160" s="22"/>
      <c r="HZ160" s="22"/>
      <c r="IA160" s="22"/>
      <c r="IB160" s="22"/>
      <c r="IC160" s="22"/>
      <c r="ID160" s="22"/>
      <c r="IE160" s="22"/>
      <c r="IF160" s="22"/>
      <c r="IG160" s="22"/>
      <c r="IH160" s="22"/>
      <c r="II160" s="22"/>
      <c r="IJ160" s="22"/>
      <c r="IK160" s="22"/>
      <c r="IL160" s="22"/>
      <c r="IM160" s="22"/>
      <c r="IN160" s="22"/>
      <c r="IO160" s="22"/>
      <c r="IP160" s="22"/>
      <c r="IQ160" s="22"/>
      <c r="IR160" s="22"/>
      <c r="IS160" s="22"/>
      <c r="IT160" s="22"/>
      <c r="IU160" s="22"/>
      <c r="IV160" s="22"/>
    </row>
    <row r="161" spans="1:256" s="26" customFormat="1" ht="15" customHeight="1">
      <c r="A161" s="26" t="s">
        <v>943</v>
      </c>
    </row>
    <row r="162" spans="1:256" s="64" customFormat="1" ht="15" customHeight="1">
      <c r="A162" s="25" t="s">
        <v>868</v>
      </c>
      <c r="B162" s="22"/>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c r="BH162" s="22"/>
      <c r="BI162" s="22"/>
      <c r="BJ162" s="22"/>
      <c r="BK162" s="22"/>
      <c r="BL162" s="22"/>
      <c r="BM162" s="22"/>
      <c r="BN162" s="22"/>
      <c r="BO162" s="22"/>
      <c r="BP162" s="22"/>
      <c r="BQ162" s="22"/>
      <c r="BR162" s="22"/>
      <c r="BS162" s="22"/>
      <c r="BT162" s="22"/>
      <c r="BU162" s="22"/>
      <c r="BV162" s="22"/>
      <c r="BW162" s="22"/>
      <c r="BX162" s="22"/>
      <c r="BY162" s="22"/>
      <c r="BZ162" s="22"/>
      <c r="CA162" s="22"/>
      <c r="CB162" s="22"/>
      <c r="CC162" s="22"/>
      <c r="CD162" s="22"/>
      <c r="CE162" s="22"/>
      <c r="CF162" s="22"/>
      <c r="CG162" s="22"/>
      <c r="CH162" s="22"/>
      <c r="CI162" s="22"/>
      <c r="CJ162" s="22"/>
      <c r="CK162" s="22"/>
      <c r="CL162" s="22"/>
      <c r="CM162" s="22"/>
      <c r="CN162" s="22"/>
      <c r="CO162" s="22"/>
      <c r="CP162" s="22"/>
      <c r="CQ162" s="22"/>
      <c r="CR162" s="22"/>
      <c r="CS162" s="22"/>
      <c r="CT162" s="22"/>
      <c r="CU162" s="22"/>
      <c r="CV162" s="22"/>
      <c r="CW162" s="22"/>
      <c r="CX162" s="22"/>
      <c r="CY162" s="22"/>
      <c r="CZ162" s="22"/>
      <c r="DA162" s="22"/>
      <c r="DB162" s="22"/>
      <c r="DC162" s="22"/>
      <c r="DD162" s="22"/>
      <c r="DE162" s="22"/>
      <c r="DF162" s="22"/>
      <c r="DG162" s="22"/>
      <c r="DH162" s="22"/>
      <c r="DI162" s="22"/>
      <c r="DJ162" s="22"/>
      <c r="DK162" s="22"/>
      <c r="DL162" s="22"/>
      <c r="DM162" s="22"/>
      <c r="DN162" s="22"/>
      <c r="DO162" s="22"/>
      <c r="DP162" s="22"/>
      <c r="DQ162" s="22"/>
      <c r="DR162" s="22"/>
      <c r="DS162" s="22"/>
      <c r="DT162" s="22"/>
      <c r="DU162" s="22"/>
      <c r="DV162" s="22"/>
      <c r="DW162" s="22"/>
      <c r="DX162" s="22"/>
      <c r="DY162" s="22"/>
      <c r="DZ162" s="22"/>
      <c r="EA162" s="22"/>
      <c r="EB162" s="22"/>
      <c r="EC162" s="22"/>
      <c r="ED162" s="22"/>
      <c r="EE162" s="22"/>
      <c r="EF162" s="22"/>
      <c r="EG162" s="22"/>
      <c r="EH162" s="22"/>
      <c r="EI162" s="22"/>
      <c r="EJ162" s="22"/>
      <c r="EK162" s="22"/>
      <c r="EL162" s="22"/>
      <c r="EM162" s="22"/>
      <c r="EN162" s="22"/>
      <c r="EO162" s="22"/>
      <c r="EP162" s="22"/>
      <c r="EQ162" s="22"/>
      <c r="ER162" s="22"/>
      <c r="ES162" s="22"/>
      <c r="ET162" s="22"/>
      <c r="EU162" s="22"/>
      <c r="EV162" s="22"/>
      <c r="EW162" s="22"/>
      <c r="EX162" s="22"/>
      <c r="EY162" s="22"/>
      <c r="EZ162" s="22"/>
      <c r="FA162" s="22"/>
      <c r="FB162" s="22"/>
      <c r="FC162" s="22"/>
      <c r="FD162" s="22"/>
      <c r="FE162" s="22"/>
      <c r="FF162" s="22"/>
      <c r="FG162" s="22"/>
      <c r="FH162" s="22"/>
      <c r="FI162" s="22"/>
      <c r="FJ162" s="22"/>
      <c r="FK162" s="22"/>
      <c r="FL162" s="22"/>
      <c r="FM162" s="22"/>
      <c r="FN162" s="22"/>
      <c r="FO162" s="22"/>
      <c r="FP162" s="22"/>
      <c r="FQ162" s="22"/>
      <c r="FR162" s="22"/>
      <c r="FS162" s="22"/>
      <c r="FT162" s="22"/>
      <c r="FU162" s="22"/>
      <c r="FV162" s="22"/>
      <c r="FW162" s="22"/>
      <c r="FX162" s="22"/>
      <c r="FY162" s="22"/>
      <c r="FZ162" s="22"/>
      <c r="GA162" s="22"/>
      <c r="GB162" s="22"/>
      <c r="GC162" s="22"/>
      <c r="GD162" s="22"/>
      <c r="GE162" s="22"/>
      <c r="GF162" s="22"/>
      <c r="GG162" s="22"/>
      <c r="GH162" s="22"/>
      <c r="GI162" s="22"/>
      <c r="GJ162" s="22"/>
      <c r="GK162" s="22"/>
      <c r="GL162" s="22"/>
      <c r="GM162" s="22"/>
      <c r="GN162" s="22"/>
      <c r="GO162" s="22"/>
      <c r="GP162" s="22"/>
      <c r="GQ162" s="22"/>
      <c r="GR162" s="22"/>
      <c r="GS162" s="22"/>
      <c r="GT162" s="22"/>
      <c r="GU162" s="22"/>
      <c r="GV162" s="22"/>
      <c r="GW162" s="22"/>
      <c r="GX162" s="22"/>
      <c r="GY162" s="22"/>
      <c r="GZ162" s="22"/>
      <c r="HA162" s="22"/>
      <c r="HB162" s="22"/>
      <c r="HC162" s="22"/>
      <c r="HD162" s="22"/>
      <c r="HE162" s="22"/>
      <c r="HF162" s="22"/>
      <c r="HG162" s="22"/>
      <c r="HH162" s="22"/>
      <c r="HI162" s="22"/>
      <c r="HJ162" s="22"/>
      <c r="HK162" s="22"/>
      <c r="HL162" s="22"/>
      <c r="HM162" s="22"/>
      <c r="HN162" s="22"/>
      <c r="HO162" s="22"/>
      <c r="HP162" s="22"/>
      <c r="HQ162" s="22"/>
      <c r="HR162" s="22"/>
      <c r="HS162" s="22"/>
      <c r="HT162" s="22"/>
      <c r="HU162" s="22"/>
      <c r="HV162" s="22"/>
      <c r="HW162" s="22"/>
      <c r="HX162" s="22"/>
      <c r="HY162" s="22"/>
      <c r="HZ162" s="22"/>
      <c r="IA162" s="22"/>
      <c r="IB162" s="22"/>
      <c r="IC162" s="22"/>
      <c r="ID162" s="22"/>
      <c r="IE162" s="22"/>
      <c r="IF162" s="22"/>
      <c r="IG162" s="22"/>
      <c r="IH162" s="22"/>
      <c r="II162" s="22"/>
      <c r="IJ162" s="22"/>
      <c r="IK162" s="22"/>
      <c r="IL162" s="22"/>
      <c r="IM162" s="22"/>
      <c r="IN162" s="22"/>
      <c r="IO162" s="22"/>
      <c r="IP162" s="22"/>
      <c r="IQ162" s="22"/>
      <c r="IR162" s="22"/>
      <c r="IS162" s="22"/>
      <c r="IT162" s="22"/>
      <c r="IU162" s="22"/>
      <c r="IV162" s="22"/>
    </row>
    <row r="163" spans="1:256" s="64" customFormat="1" ht="15" customHeight="1">
      <c r="A163" s="25" t="s">
        <v>1251</v>
      </c>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c r="BH163" s="22"/>
      <c r="BI163" s="22"/>
      <c r="BJ163" s="22"/>
      <c r="BK163" s="22"/>
      <c r="BL163" s="22"/>
      <c r="BM163" s="22"/>
      <c r="BN163" s="22"/>
      <c r="BO163" s="22"/>
      <c r="BP163" s="22"/>
      <c r="BQ163" s="22"/>
      <c r="BR163" s="22"/>
      <c r="BS163" s="22"/>
      <c r="BT163" s="22"/>
      <c r="BU163" s="22"/>
      <c r="BV163" s="22"/>
      <c r="BW163" s="22"/>
      <c r="BX163" s="22"/>
      <c r="BY163" s="22"/>
      <c r="BZ163" s="22"/>
      <c r="CA163" s="22"/>
      <c r="CB163" s="22"/>
      <c r="CC163" s="22"/>
      <c r="CD163" s="22"/>
      <c r="CE163" s="22"/>
      <c r="CF163" s="22"/>
      <c r="CG163" s="22"/>
      <c r="CH163" s="22"/>
      <c r="CI163" s="22"/>
      <c r="CJ163" s="22"/>
      <c r="CK163" s="22"/>
      <c r="CL163" s="22"/>
      <c r="CM163" s="22"/>
      <c r="CN163" s="22"/>
      <c r="CO163" s="22"/>
      <c r="CP163" s="22"/>
      <c r="CQ163" s="22"/>
      <c r="CR163" s="22"/>
      <c r="CS163" s="22"/>
      <c r="CT163" s="22"/>
      <c r="CU163" s="22"/>
      <c r="CV163" s="22"/>
      <c r="CW163" s="22"/>
      <c r="CX163" s="22"/>
      <c r="CY163" s="22"/>
      <c r="CZ163" s="22"/>
      <c r="DA163" s="22"/>
      <c r="DB163" s="22"/>
      <c r="DC163" s="22"/>
      <c r="DD163" s="22"/>
      <c r="DE163" s="22"/>
      <c r="DF163" s="22"/>
      <c r="DG163" s="22"/>
      <c r="DH163" s="22"/>
      <c r="DI163" s="22"/>
      <c r="DJ163" s="22"/>
      <c r="DK163" s="22"/>
      <c r="DL163" s="22"/>
      <c r="DM163" s="22"/>
      <c r="DN163" s="22"/>
      <c r="DO163" s="22"/>
      <c r="DP163" s="22"/>
      <c r="DQ163" s="22"/>
      <c r="DR163" s="22"/>
      <c r="DS163" s="22"/>
      <c r="DT163" s="22"/>
      <c r="DU163" s="22"/>
      <c r="DV163" s="22"/>
      <c r="DW163" s="22"/>
      <c r="DX163" s="22"/>
      <c r="DY163" s="22"/>
      <c r="DZ163" s="22"/>
      <c r="EA163" s="22"/>
      <c r="EB163" s="22"/>
      <c r="EC163" s="22"/>
      <c r="ED163" s="22"/>
      <c r="EE163" s="22"/>
      <c r="EF163" s="22"/>
      <c r="EG163" s="22"/>
      <c r="EH163" s="22"/>
      <c r="EI163" s="22"/>
      <c r="EJ163" s="22"/>
      <c r="EK163" s="22"/>
      <c r="EL163" s="22"/>
      <c r="EM163" s="22"/>
      <c r="EN163" s="22"/>
      <c r="EO163" s="22"/>
      <c r="EP163" s="22"/>
      <c r="EQ163" s="22"/>
      <c r="ER163" s="22"/>
      <c r="ES163" s="22"/>
      <c r="ET163" s="22"/>
      <c r="EU163" s="22"/>
      <c r="EV163" s="22"/>
      <c r="EW163" s="22"/>
      <c r="EX163" s="22"/>
      <c r="EY163" s="22"/>
      <c r="EZ163" s="22"/>
      <c r="FA163" s="22"/>
      <c r="FB163" s="22"/>
      <c r="FC163" s="22"/>
      <c r="FD163" s="22"/>
      <c r="FE163" s="22"/>
      <c r="FF163" s="22"/>
      <c r="FG163" s="22"/>
      <c r="FH163" s="22"/>
      <c r="FI163" s="22"/>
      <c r="FJ163" s="22"/>
      <c r="FK163" s="22"/>
      <c r="FL163" s="22"/>
      <c r="FM163" s="22"/>
      <c r="FN163" s="22"/>
      <c r="FO163" s="22"/>
      <c r="FP163" s="22"/>
      <c r="FQ163" s="22"/>
      <c r="FR163" s="22"/>
      <c r="FS163" s="22"/>
      <c r="FT163" s="22"/>
      <c r="FU163" s="22"/>
      <c r="FV163" s="22"/>
      <c r="FW163" s="22"/>
      <c r="FX163" s="22"/>
      <c r="FY163" s="22"/>
      <c r="FZ163" s="22"/>
      <c r="GA163" s="22"/>
      <c r="GB163" s="22"/>
      <c r="GC163" s="22"/>
      <c r="GD163" s="22"/>
      <c r="GE163" s="22"/>
      <c r="GF163" s="22"/>
      <c r="GG163" s="22"/>
      <c r="GH163" s="22"/>
      <c r="GI163" s="22"/>
      <c r="GJ163" s="22"/>
      <c r="GK163" s="22"/>
      <c r="GL163" s="22"/>
      <c r="GM163" s="22"/>
      <c r="GN163" s="22"/>
      <c r="GO163" s="22"/>
      <c r="GP163" s="22"/>
      <c r="GQ163" s="22"/>
      <c r="GR163" s="22"/>
      <c r="GS163" s="22"/>
      <c r="GT163" s="22"/>
      <c r="GU163" s="22"/>
      <c r="GV163" s="22"/>
      <c r="GW163" s="22"/>
      <c r="GX163" s="22"/>
      <c r="GY163" s="22"/>
      <c r="GZ163" s="22"/>
      <c r="HA163" s="22"/>
      <c r="HB163" s="22"/>
      <c r="HC163" s="22"/>
      <c r="HD163" s="22"/>
      <c r="HE163" s="22"/>
      <c r="HF163" s="22"/>
      <c r="HG163" s="22"/>
      <c r="HH163" s="22"/>
      <c r="HI163" s="22"/>
      <c r="HJ163" s="22"/>
      <c r="HK163" s="22"/>
      <c r="HL163" s="22"/>
      <c r="HM163" s="22"/>
      <c r="HN163" s="22"/>
      <c r="HO163" s="22"/>
      <c r="HP163" s="22"/>
      <c r="HQ163" s="22"/>
      <c r="HR163" s="22"/>
      <c r="HS163" s="22"/>
      <c r="HT163" s="22"/>
      <c r="HU163" s="22"/>
      <c r="HV163" s="22"/>
      <c r="HW163" s="22"/>
      <c r="HX163" s="22"/>
      <c r="HY163" s="22"/>
      <c r="HZ163" s="22"/>
      <c r="IA163" s="22"/>
      <c r="IB163" s="22"/>
      <c r="IC163" s="22"/>
      <c r="ID163" s="22"/>
      <c r="IE163" s="22"/>
      <c r="IF163" s="22"/>
      <c r="IG163" s="22"/>
      <c r="IH163" s="22"/>
      <c r="II163" s="22"/>
      <c r="IJ163" s="22"/>
      <c r="IK163" s="22"/>
      <c r="IL163" s="22"/>
      <c r="IM163" s="22"/>
      <c r="IN163" s="22"/>
      <c r="IO163" s="22"/>
      <c r="IP163" s="22"/>
      <c r="IQ163" s="22"/>
      <c r="IR163" s="22"/>
      <c r="IS163" s="22"/>
      <c r="IT163" s="22"/>
      <c r="IU163" s="22"/>
      <c r="IV163" s="22"/>
    </row>
    <row r="164" spans="1:256" s="64" customFormat="1" ht="15" customHeight="1">
      <c r="A164" s="25" t="s">
        <v>927</v>
      </c>
      <c r="B164" s="22"/>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c r="BB164" s="22"/>
      <c r="BC164" s="22"/>
      <c r="BD164" s="22"/>
      <c r="BE164" s="22"/>
      <c r="BF164" s="22"/>
      <c r="BG164" s="22"/>
      <c r="BH164" s="22"/>
      <c r="BI164" s="22"/>
      <c r="BJ164" s="22"/>
      <c r="BK164" s="22"/>
      <c r="BL164" s="22"/>
      <c r="BM164" s="22"/>
      <c r="BN164" s="22"/>
      <c r="BO164" s="22"/>
      <c r="BP164" s="22"/>
      <c r="BQ164" s="22"/>
      <c r="BR164" s="22"/>
      <c r="BS164" s="22"/>
      <c r="BT164" s="22"/>
      <c r="BU164" s="22"/>
      <c r="BV164" s="22"/>
      <c r="BW164" s="22"/>
      <c r="BX164" s="22"/>
      <c r="BY164" s="22"/>
      <c r="BZ164" s="22"/>
      <c r="CA164" s="22"/>
      <c r="CB164" s="22"/>
      <c r="CC164" s="22"/>
      <c r="CD164" s="22"/>
      <c r="CE164" s="22"/>
      <c r="CF164" s="22"/>
      <c r="CG164" s="22"/>
      <c r="CH164" s="22"/>
      <c r="CI164" s="22"/>
      <c r="CJ164" s="22"/>
      <c r="CK164" s="22"/>
      <c r="CL164" s="22"/>
      <c r="CM164" s="22"/>
      <c r="CN164" s="22"/>
      <c r="CO164" s="22"/>
      <c r="CP164" s="22"/>
      <c r="CQ164" s="22"/>
      <c r="CR164" s="22"/>
      <c r="CS164" s="22"/>
      <c r="CT164" s="22"/>
      <c r="CU164" s="22"/>
      <c r="CV164" s="22"/>
      <c r="CW164" s="22"/>
      <c r="CX164" s="22"/>
      <c r="CY164" s="22"/>
      <c r="CZ164" s="22"/>
      <c r="DA164" s="22"/>
      <c r="DB164" s="22"/>
      <c r="DC164" s="22"/>
      <c r="DD164" s="22"/>
      <c r="DE164" s="22"/>
      <c r="DF164" s="22"/>
      <c r="DG164" s="22"/>
      <c r="DH164" s="22"/>
      <c r="DI164" s="22"/>
      <c r="DJ164" s="22"/>
      <c r="DK164" s="22"/>
      <c r="DL164" s="22"/>
      <c r="DM164" s="22"/>
      <c r="DN164" s="22"/>
      <c r="DO164" s="22"/>
      <c r="DP164" s="22"/>
      <c r="DQ164" s="22"/>
      <c r="DR164" s="22"/>
      <c r="DS164" s="22"/>
      <c r="DT164" s="22"/>
      <c r="DU164" s="22"/>
      <c r="DV164" s="22"/>
      <c r="DW164" s="22"/>
      <c r="DX164" s="22"/>
      <c r="DY164" s="22"/>
      <c r="DZ164" s="22"/>
      <c r="EA164" s="22"/>
      <c r="EB164" s="22"/>
      <c r="EC164" s="22"/>
      <c r="ED164" s="22"/>
      <c r="EE164" s="22"/>
      <c r="EF164" s="22"/>
      <c r="EG164" s="22"/>
      <c r="EH164" s="22"/>
      <c r="EI164" s="22"/>
      <c r="EJ164" s="22"/>
      <c r="EK164" s="22"/>
      <c r="EL164" s="22"/>
      <c r="EM164" s="22"/>
      <c r="EN164" s="22"/>
      <c r="EO164" s="22"/>
      <c r="EP164" s="22"/>
      <c r="EQ164" s="22"/>
      <c r="ER164" s="22"/>
      <c r="ES164" s="22"/>
      <c r="ET164" s="22"/>
      <c r="EU164" s="22"/>
      <c r="EV164" s="22"/>
      <c r="EW164" s="22"/>
      <c r="EX164" s="22"/>
      <c r="EY164" s="22"/>
      <c r="EZ164" s="22"/>
      <c r="FA164" s="22"/>
      <c r="FB164" s="22"/>
      <c r="FC164" s="22"/>
      <c r="FD164" s="22"/>
      <c r="FE164" s="22"/>
      <c r="FF164" s="22"/>
      <c r="FG164" s="22"/>
      <c r="FH164" s="22"/>
      <c r="FI164" s="22"/>
      <c r="FJ164" s="22"/>
      <c r="FK164" s="22"/>
      <c r="FL164" s="22"/>
      <c r="FM164" s="22"/>
      <c r="FN164" s="22"/>
      <c r="FO164" s="22"/>
      <c r="FP164" s="22"/>
      <c r="FQ164" s="22"/>
      <c r="FR164" s="22"/>
      <c r="FS164" s="22"/>
      <c r="FT164" s="22"/>
      <c r="FU164" s="22"/>
      <c r="FV164" s="22"/>
      <c r="FW164" s="22"/>
      <c r="FX164" s="22"/>
      <c r="FY164" s="22"/>
      <c r="FZ164" s="22"/>
      <c r="GA164" s="22"/>
      <c r="GB164" s="22"/>
      <c r="GC164" s="22"/>
      <c r="GD164" s="22"/>
      <c r="GE164" s="22"/>
      <c r="GF164" s="22"/>
      <c r="GG164" s="22"/>
      <c r="GH164" s="22"/>
      <c r="GI164" s="22"/>
      <c r="GJ164" s="22"/>
      <c r="GK164" s="22"/>
      <c r="GL164" s="22"/>
      <c r="GM164" s="22"/>
      <c r="GN164" s="22"/>
      <c r="GO164" s="22"/>
      <c r="GP164" s="22"/>
      <c r="GQ164" s="22"/>
      <c r="GR164" s="22"/>
      <c r="GS164" s="22"/>
      <c r="GT164" s="22"/>
      <c r="GU164" s="22"/>
      <c r="GV164" s="22"/>
      <c r="GW164" s="22"/>
      <c r="GX164" s="22"/>
      <c r="GY164" s="22"/>
      <c r="GZ164" s="22"/>
      <c r="HA164" s="22"/>
      <c r="HB164" s="22"/>
      <c r="HC164" s="22"/>
      <c r="HD164" s="22"/>
      <c r="HE164" s="22"/>
      <c r="HF164" s="22"/>
      <c r="HG164" s="22"/>
      <c r="HH164" s="22"/>
      <c r="HI164" s="22"/>
      <c r="HJ164" s="22"/>
      <c r="HK164" s="22"/>
      <c r="HL164" s="22"/>
      <c r="HM164" s="22"/>
      <c r="HN164" s="22"/>
      <c r="HO164" s="22"/>
      <c r="HP164" s="22"/>
      <c r="HQ164" s="22"/>
      <c r="HR164" s="22"/>
      <c r="HS164" s="22"/>
      <c r="HT164" s="22"/>
      <c r="HU164" s="22"/>
      <c r="HV164" s="22"/>
      <c r="HW164" s="22"/>
      <c r="HX164" s="22"/>
      <c r="HY164" s="22"/>
      <c r="HZ164" s="22"/>
      <c r="IA164" s="22"/>
      <c r="IB164" s="22"/>
      <c r="IC164" s="22"/>
      <c r="ID164" s="22"/>
      <c r="IE164" s="22"/>
      <c r="IF164" s="22"/>
      <c r="IG164" s="22"/>
      <c r="IH164" s="22"/>
      <c r="II164" s="22"/>
      <c r="IJ164" s="22"/>
      <c r="IK164" s="22"/>
      <c r="IL164" s="22"/>
      <c r="IM164" s="22"/>
      <c r="IN164" s="22"/>
      <c r="IO164" s="22"/>
      <c r="IP164" s="22"/>
      <c r="IQ164" s="22"/>
      <c r="IR164" s="22"/>
      <c r="IS164" s="22"/>
      <c r="IT164" s="22"/>
      <c r="IU164" s="22"/>
      <c r="IV164" s="22"/>
    </row>
    <row r="165" spans="1:256" s="64" customFormat="1" ht="15" customHeight="1">
      <c r="A165" s="25" t="s">
        <v>1235</v>
      </c>
      <c r="B165" s="22"/>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c r="CV165" s="22"/>
      <c r="CW165" s="22"/>
      <c r="CX165" s="22"/>
      <c r="CY165" s="22"/>
      <c r="CZ165" s="22"/>
      <c r="DA165" s="22"/>
      <c r="DB165" s="22"/>
      <c r="DC165" s="22"/>
      <c r="DD165" s="22"/>
      <c r="DE165" s="22"/>
      <c r="DF165" s="22"/>
      <c r="DG165" s="22"/>
      <c r="DH165" s="22"/>
      <c r="DI165" s="22"/>
      <c r="DJ165" s="22"/>
      <c r="DK165" s="22"/>
      <c r="DL165" s="22"/>
      <c r="DM165" s="22"/>
      <c r="DN165" s="22"/>
      <c r="DO165" s="22"/>
      <c r="DP165" s="22"/>
      <c r="DQ165" s="22"/>
      <c r="DR165" s="22"/>
      <c r="DS165" s="22"/>
      <c r="DT165" s="22"/>
      <c r="DU165" s="22"/>
      <c r="DV165" s="22"/>
      <c r="DW165" s="22"/>
      <c r="DX165" s="22"/>
      <c r="DY165" s="22"/>
      <c r="DZ165" s="22"/>
      <c r="EA165" s="22"/>
      <c r="EB165" s="22"/>
      <c r="EC165" s="22"/>
      <c r="ED165" s="22"/>
      <c r="EE165" s="22"/>
      <c r="EF165" s="22"/>
      <c r="EG165" s="22"/>
      <c r="EH165" s="22"/>
      <c r="EI165" s="22"/>
      <c r="EJ165" s="22"/>
      <c r="EK165" s="22"/>
      <c r="EL165" s="22"/>
      <c r="EM165" s="22"/>
      <c r="EN165" s="22"/>
      <c r="EO165" s="22"/>
      <c r="EP165" s="22"/>
      <c r="EQ165" s="22"/>
      <c r="ER165" s="22"/>
      <c r="ES165" s="22"/>
      <c r="ET165" s="22"/>
      <c r="EU165" s="22"/>
      <c r="EV165" s="22"/>
      <c r="EW165" s="22"/>
      <c r="EX165" s="22"/>
      <c r="EY165" s="22"/>
      <c r="EZ165" s="22"/>
      <c r="FA165" s="22"/>
      <c r="FB165" s="22"/>
      <c r="FC165" s="22"/>
      <c r="FD165" s="22"/>
      <c r="FE165" s="22"/>
      <c r="FF165" s="22"/>
      <c r="FG165" s="22"/>
      <c r="FH165" s="22"/>
      <c r="FI165" s="22"/>
      <c r="FJ165" s="22"/>
      <c r="FK165" s="22"/>
      <c r="FL165" s="22"/>
      <c r="FM165" s="22"/>
      <c r="FN165" s="22"/>
      <c r="FO165" s="22"/>
      <c r="FP165" s="22"/>
      <c r="FQ165" s="22"/>
      <c r="FR165" s="22"/>
      <c r="FS165" s="22"/>
      <c r="FT165" s="22"/>
      <c r="FU165" s="22"/>
      <c r="FV165" s="22"/>
      <c r="FW165" s="22"/>
      <c r="FX165" s="22"/>
      <c r="FY165" s="22"/>
      <c r="FZ165" s="22"/>
      <c r="GA165" s="22"/>
      <c r="GB165" s="22"/>
      <c r="GC165" s="22"/>
      <c r="GD165" s="22"/>
      <c r="GE165" s="22"/>
      <c r="GF165" s="22"/>
      <c r="GG165" s="22"/>
      <c r="GH165" s="22"/>
      <c r="GI165" s="22"/>
      <c r="GJ165" s="22"/>
      <c r="GK165" s="22"/>
      <c r="GL165" s="22"/>
      <c r="GM165" s="22"/>
      <c r="GN165" s="22"/>
      <c r="GO165" s="22"/>
      <c r="GP165" s="22"/>
      <c r="GQ165" s="22"/>
      <c r="GR165" s="22"/>
      <c r="GS165" s="22"/>
      <c r="GT165" s="22"/>
      <c r="GU165" s="22"/>
      <c r="GV165" s="22"/>
      <c r="GW165" s="22"/>
      <c r="GX165" s="22"/>
      <c r="GY165" s="22"/>
      <c r="GZ165" s="22"/>
      <c r="HA165" s="22"/>
      <c r="HB165" s="22"/>
      <c r="HC165" s="22"/>
      <c r="HD165" s="22"/>
      <c r="HE165" s="22"/>
      <c r="HF165" s="22"/>
      <c r="HG165" s="22"/>
      <c r="HH165" s="22"/>
      <c r="HI165" s="22"/>
      <c r="HJ165" s="22"/>
      <c r="HK165" s="22"/>
      <c r="HL165" s="22"/>
      <c r="HM165" s="22"/>
      <c r="HN165" s="22"/>
      <c r="HO165" s="22"/>
      <c r="HP165" s="22"/>
      <c r="HQ165" s="22"/>
      <c r="HR165" s="22"/>
      <c r="HS165" s="22"/>
      <c r="HT165" s="22"/>
      <c r="HU165" s="22"/>
      <c r="HV165" s="22"/>
      <c r="HW165" s="22"/>
      <c r="HX165" s="22"/>
      <c r="HY165" s="22"/>
      <c r="HZ165" s="22"/>
      <c r="IA165" s="22"/>
      <c r="IB165" s="22"/>
      <c r="IC165" s="22"/>
      <c r="ID165" s="22"/>
      <c r="IE165" s="22"/>
      <c r="IF165" s="22"/>
      <c r="IG165" s="22"/>
      <c r="IH165" s="22"/>
      <c r="II165" s="22"/>
      <c r="IJ165" s="22"/>
      <c r="IK165" s="22"/>
      <c r="IL165" s="22"/>
      <c r="IM165" s="22"/>
      <c r="IN165" s="22"/>
      <c r="IO165" s="22"/>
      <c r="IP165" s="22"/>
      <c r="IQ165" s="22"/>
      <c r="IR165" s="22"/>
      <c r="IS165" s="22"/>
      <c r="IT165" s="22"/>
      <c r="IU165" s="22"/>
      <c r="IV165" s="22"/>
    </row>
    <row r="166" spans="1:256" s="64" customFormat="1" ht="15" customHeight="1">
      <c r="A166" s="25" t="s">
        <v>885</v>
      </c>
      <c r="B166" s="22"/>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c r="BB166" s="22"/>
      <c r="BC166" s="22"/>
      <c r="BD166" s="22"/>
      <c r="BE166" s="22"/>
      <c r="BF166" s="22"/>
      <c r="BG166" s="22"/>
      <c r="BH166" s="22"/>
      <c r="BI166" s="22"/>
      <c r="BJ166" s="22"/>
      <c r="BK166" s="22"/>
      <c r="BL166" s="22"/>
      <c r="BM166" s="22"/>
      <c r="BN166" s="22"/>
      <c r="BO166" s="22"/>
      <c r="BP166" s="22"/>
      <c r="BQ166" s="22"/>
      <c r="BR166" s="22"/>
      <c r="BS166" s="22"/>
      <c r="BT166" s="22"/>
      <c r="BU166" s="22"/>
      <c r="BV166" s="22"/>
      <c r="BW166" s="22"/>
      <c r="BX166" s="22"/>
      <c r="BY166" s="22"/>
      <c r="BZ166" s="22"/>
      <c r="CA166" s="22"/>
      <c r="CB166" s="22"/>
      <c r="CC166" s="22"/>
      <c r="CD166" s="22"/>
      <c r="CE166" s="22"/>
      <c r="CF166" s="22"/>
      <c r="CG166" s="22"/>
      <c r="CH166" s="22"/>
      <c r="CI166" s="22"/>
      <c r="CJ166" s="22"/>
      <c r="CK166" s="22"/>
      <c r="CL166" s="22"/>
      <c r="CM166" s="22"/>
      <c r="CN166" s="22"/>
      <c r="CO166" s="22"/>
      <c r="CP166" s="22"/>
      <c r="CQ166" s="22"/>
      <c r="CR166" s="22"/>
      <c r="CS166" s="22"/>
      <c r="CT166" s="22"/>
      <c r="CU166" s="22"/>
      <c r="CV166" s="22"/>
      <c r="CW166" s="22"/>
      <c r="CX166" s="22"/>
      <c r="CY166" s="22"/>
      <c r="CZ166" s="22"/>
      <c r="DA166" s="22"/>
      <c r="DB166" s="22"/>
      <c r="DC166" s="22"/>
      <c r="DD166" s="22"/>
      <c r="DE166" s="22"/>
      <c r="DF166" s="22"/>
      <c r="DG166" s="22"/>
      <c r="DH166" s="22"/>
      <c r="DI166" s="22"/>
      <c r="DJ166" s="22"/>
      <c r="DK166" s="22"/>
      <c r="DL166" s="22"/>
      <c r="DM166" s="22"/>
      <c r="DN166" s="22"/>
      <c r="DO166" s="22"/>
      <c r="DP166" s="22"/>
      <c r="DQ166" s="22"/>
      <c r="DR166" s="22"/>
      <c r="DS166" s="22"/>
      <c r="DT166" s="22"/>
      <c r="DU166" s="22"/>
      <c r="DV166" s="22"/>
      <c r="DW166" s="22"/>
      <c r="DX166" s="22"/>
      <c r="DY166" s="22"/>
      <c r="DZ166" s="22"/>
      <c r="EA166" s="22"/>
      <c r="EB166" s="22"/>
      <c r="EC166" s="22"/>
      <c r="ED166" s="22"/>
      <c r="EE166" s="22"/>
      <c r="EF166" s="22"/>
      <c r="EG166" s="22"/>
      <c r="EH166" s="22"/>
      <c r="EI166" s="22"/>
      <c r="EJ166" s="22"/>
      <c r="EK166" s="22"/>
      <c r="EL166" s="22"/>
      <c r="EM166" s="22"/>
      <c r="EN166" s="22"/>
      <c r="EO166" s="22"/>
      <c r="EP166" s="22"/>
      <c r="EQ166" s="22"/>
      <c r="ER166" s="22"/>
      <c r="ES166" s="22"/>
      <c r="ET166" s="22"/>
      <c r="EU166" s="22"/>
      <c r="EV166" s="22"/>
      <c r="EW166" s="22"/>
      <c r="EX166" s="22"/>
      <c r="EY166" s="22"/>
      <c r="EZ166" s="22"/>
      <c r="FA166" s="22"/>
      <c r="FB166" s="22"/>
      <c r="FC166" s="22"/>
      <c r="FD166" s="22"/>
      <c r="FE166" s="22"/>
      <c r="FF166" s="22"/>
      <c r="FG166" s="22"/>
      <c r="FH166" s="22"/>
      <c r="FI166" s="22"/>
      <c r="FJ166" s="22"/>
      <c r="FK166" s="22"/>
      <c r="FL166" s="22"/>
      <c r="FM166" s="22"/>
      <c r="FN166" s="22"/>
      <c r="FO166" s="22"/>
      <c r="FP166" s="22"/>
      <c r="FQ166" s="22"/>
      <c r="FR166" s="22"/>
      <c r="FS166" s="22"/>
      <c r="FT166" s="22"/>
      <c r="FU166" s="22"/>
      <c r="FV166" s="22"/>
      <c r="FW166" s="22"/>
      <c r="FX166" s="22"/>
      <c r="FY166" s="22"/>
      <c r="FZ166" s="22"/>
      <c r="GA166" s="22"/>
      <c r="GB166" s="22"/>
      <c r="GC166" s="22"/>
      <c r="GD166" s="22"/>
      <c r="GE166" s="22"/>
      <c r="GF166" s="22"/>
      <c r="GG166" s="22"/>
      <c r="GH166" s="22"/>
      <c r="GI166" s="22"/>
      <c r="GJ166" s="22"/>
      <c r="GK166" s="22"/>
      <c r="GL166" s="22"/>
      <c r="GM166" s="22"/>
      <c r="GN166" s="22"/>
      <c r="GO166" s="22"/>
      <c r="GP166" s="22"/>
      <c r="GQ166" s="22"/>
      <c r="GR166" s="22"/>
      <c r="GS166" s="22"/>
      <c r="GT166" s="22"/>
      <c r="GU166" s="22"/>
      <c r="GV166" s="22"/>
      <c r="GW166" s="22"/>
      <c r="GX166" s="22"/>
      <c r="GY166" s="22"/>
      <c r="GZ166" s="22"/>
      <c r="HA166" s="22"/>
      <c r="HB166" s="22"/>
      <c r="HC166" s="22"/>
      <c r="HD166" s="22"/>
      <c r="HE166" s="22"/>
      <c r="HF166" s="22"/>
      <c r="HG166" s="22"/>
      <c r="HH166" s="22"/>
      <c r="HI166" s="22"/>
      <c r="HJ166" s="22"/>
      <c r="HK166" s="22"/>
      <c r="HL166" s="22"/>
      <c r="HM166" s="22"/>
      <c r="HN166" s="22"/>
      <c r="HO166" s="22"/>
      <c r="HP166" s="22"/>
      <c r="HQ166" s="22"/>
      <c r="HR166" s="22"/>
      <c r="HS166" s="22"/>
      <c r="HT166" s="22"/>
      <c r="HU166" s="22"/>
      <c r="HV166" s="22"/>
      <c r="HW166" s="22"/>
      <c r="HX166" s="22"/>
      <c r="HY166" s="22"/>
      <c r="HZ166" s="22"/>
      <c r="IA166" s="22"/>
      <c r="IB166" s="22"/>
      <c r="IC166" s="22"/>
      <c r="ID166" s="22"/>
      <c r="IE166" s="22"/>
      <c r="IF166" s="22"/>
      <c r="IG166" s="22"/>
      <c r="IH166" s="22"/>
      <c r="II166" s="22"/>
      <c r="IJ166" s="22"/>
      <c r="IK166" s="22"/>
      <c r="IL166" s="22"/>
      <c r="IM166" s="22"/>
      <c r="IN166" s="22"/>
      <c r="IO166" s="22"/>
      <c r="IP166" s="22"/>
      <c r="IQ166" s="22"/>
      <c r="IR166" s="22"/>
      <c r="IS166" s="22"/>
      <c r="IT166" s="22"/>
      <c r="IU166" s="22"/>
      <c r="IV166" s="22"/>
    </row>
    <row r="167" spans="1:256" s="64" customFormat="1" ht="15" customHeight="1">
      <c r="A167" s="25" t="s">
        <v>886</v>
      </c>
      <c r="B167" s="22"/>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c r="BH167" s="22"/>
      <c r="BI167" s="22"/>
      <c r="BJ167" s="22"/>
      <c r="BK167" s="22"/>
      <c r="BL167" s="22"/>
      <c r="BM167" s="22"/>
      <c r="BN167" s="22"/>
      <c r="BO167" s="22"/>
      <c r="BP167" s="22"/>
      <c r="BQ167" s="22"/>
      <c r="BR167" s="22"/>
      <c r="BS167" s="22"/>
      <c r="BT167" s="22"/>
      <c r="BU167" s="22"/>
      <c r="BV167" s="22"/>
      <c r="BW167" s="22"/>
      <c r="BX167" s="22"/>
      <c r="BY167" s="22"/>
      <c r="BZ167" s="22"/>
      <c r="CA167" s="22"/>
      <c r="CB167" s="22"/>
      <c r="CC167" s="22"/>
      <c r="CD167" s="22"/>
      <c r="CE167" s="22"/>
      <c r="CF167" s="22"/>
      <c r="CG167" s="22"/>
      <c r="CH167" s="22"/>
      <c r="CI167" s="22"/>
      <c r="CJ167" s="22"/>
      <c r="CK167" s="22"/>
      <c r="CL167" s="22"/>
      <c r="CM167" s="22"/>
      <c r="CN167" s="22"/>
      <c r="CO167" s="22"/>
      <c r="CP167" s="22"/>
      <c r="CQ167" s="22"/>
      <c r="CR167" s="22"/>
      <c r="CS167" s="22"/>
      <c r="CT167" s="22"/>
      <c r="CU167" s="22"/>
      <c r="CV167" s="22"/>
      <c r="CW167" s="22"/>
      <c r="CX167" s="22"/>
      <c r="CY167" s="22"/>
      <c r="CZ167" s="22"/>
      <c r="DA167" s="22"/>
      <c r="DB167" s="22"/>
      <c r="DC167" s="22"/>
      <c r="DD167" s="22"/>
      <c r="DE167" s="22"/>
      <c r="DF167" s="22"/>
      <c r="DG167" s="22"/>
      <c r="DH167" s="22"/>
      <c r="DI167" s="22"/>
      <c r="DJ167" s="22"/>
      <c r="DK167" s="22"/>
      <c r="DL167" s="22"/>
      <c r="DM167" s="22"/>
      <c r="DN167" s="22"/>
      <c r="DO167" s="22"/>
      <c r="DP167" s="22"/>
      <c r="DQ167" s="22"/>
      <c r="DR167" s="22"/>
      <c r="DS167" s="22"/>
      <c r="DT167" s="22"/>
      <c r="DU167" s="22"/>
      <c r="DV167" s="22"/>
      <c r="DW167" s="22"/>
      <c r="DX167" s="22"/>
      <c r="DY167" s="22"/>
      <c r="DZ167" s="22"/>
      <c r="EA167" s="22"/>
      <c r="EB167" s="22"/>
      <c r="EC167" s="22"/>
      <c r="ED167" s="22"/>
      <c r="EE167" s="22"/>
      <c r="EF167" s="22"/>
      <c r="EG167" s="22"/>
      <c r="EH167" s="22"/>
      <c r="EI167" s="22"/>
      <c r="EJ167" s="22"/>
      <c r="EK167" s="22"/>
      <c r="EL167" s="22"/>
      <c r="EM167" s="22"/>
      <c r="EN167" s="22"/>
      <c r="EO167" s="22"/>
      <c r="EP167" s="22"/>
      <c r="EQ167" s="22"/>
      <c r="ER167" s="22"/>
      <c r="ES167" s="22"/>
      <c r="ET167" s="22"/>
      <c r="EU167" s="22"/>
      <c r="EV167" s="22"/>
      <c r="EW167" s="22"/>
      <c r="EX167" s="22"/>
      <c r="EY167" s="22"/>
      <c r="EZ167" s="22"/>
      <c r="FA167" s="22"/>
      <c r="FB167" s="22"/>
      <c r="FC167" s="22"/>
      <c r="FD167" s="22"/>
      <c r="FE167" s="22"/>
      <c r="FF167" s="22"/>
      <c r="FG167" s="22"/>
      <c r="FH167" s="22"/>
      <c r="FI167" s="22"/>
      <c r="FJ167" s="22"/>
      <c r="FK167" s="22"/>
      <c r="FL167" s="22"/>
      <c r="FM167" s="22"/>
      <c r="FN167" s="22"/>
      <c r="FO167" s="22"/>
      <c r="FP167" s="22"/>
      <c r="FQ167" s="22"/>
      <c r="FR167" s="22"/>
      <c r="FS167" s="22"/>
      <c r="FT167" s="22"/>
      <c r="FU167" s="22"/>
      <c r="FV167" s="22"/>
      <c r="FW167" s="22"/>
      <c r="FX167" s="22"/>
      <c r="FY167" s="22"/>
      <c r="FZ167" s="22"/>
      <c r="GA167" s="22"/>
      <c r="GB167" s="22"/>
      <c r="GC167" s="22"/>
      <c r="GD167" s="22"/>
      <c r="GE167" s="22"/>
      <c r="GF167" s="22"/>
      <c r="GG167" s="22"/>
      <c r="GH167" s="22"/>
      <c r="GI167" s="22"/>
      <c r="GJ167" s="22"/>
      <c r="GK167" s="22"/>
      <c r="GL167" s="22"/>
      <c r="GM167" s="22"/>
      <c r="GN167" s="22"/>
      <c r="GO167" s="22"/>
      <c r="GP167" s="22"/>
      <c r="GQ167" s="22"/>
      <c r="GR167" s="22"/>
      <c r="GS167" s="22"/>
      <c r="GT167" s="22"/>
      <c r="GU167" s="22"/>
      <c r="GV167" s="22"/>
      <c r="GW167" s="22"/>
      <c r="GX167" s="22"/>
      <c r="GY167" s="22"/>
      <c r="GZ167" s="22"/>
      <c r="HA167" s="22"/>
      <c r="HB167" s="22"/>
      <c r="HC167" s="22"/>
      <c r="HD167" s="22"/>
      <c r="HE167" s="22"/>
      <c r="HF167" s="22"/>
      <c r="HG167" s="22"/>
      <c r="HH167" s="22"/>
      <c r="HI167" s="22"/>
      <c r="HJ167" s="22"/>
      <c r="HK167" s="22"/>
      <c r="HL167" s="22"/>
      <c r="HM167" s="22"/>
      <c r="HN167" s="22"/>
      <c r="HO167" s="22"/>
      <c r="HP167" s="22"/>
      <c r="HQ167" s="22"/>
      <c r="HR167" s="22"/>
      <c r="HS167" s="22"/>
      <c r="HT167" s="22"/>
      <c r="HU167" s="22"/>
      <c r="HV167" s="22"/>
      <c r="HW167" s="22"/>
      <c r="HX167" s="22"/>
      <c r="HY167" s="22"/>
      <c r="HZ167" s="22"/>
      <c r="IA167" s="22"/>
      <c r="IB167" s="22"/>
      <c r="IC167" s="22"/>
      <c r="ID167" s="22"/>
      <c r="IE167" s="22"/>
      <c r="IF167" s="22"/>
      <c r="IG167" s="22"/>
      <c r="IH167" s="22"/>
      <c r="II167" s="22"/>
      <c r="IJ167" s="22"/>
      <c r="IK167" s="22"/>
      <c r="IL167" s="22"/>
      <c r="IM167" s="22"/>
      <c r="IN167" s="22"/>
      <c r="IO167" s="22"/>
      <c r="IP167" s="22"/>
      <c r="IQ167" s="22"/>
      <c r="IR167" s="22"/>
      <c r="IS167" s="22"/>
      <c r="IT167" s="22"/>
      <c r="IU167" s="22"/>
      <c r="IV167" s="22"/>
    </row>
    <row r="168" spans="1:256" s="31" customFormat="1" ht="15" customHeight="1">
      <c r="A168" s="31" t="s">
        <v>944</v>
      </c>
      <c r="O168" s="26"/>
      <c r="P168" s="26"/>
    </row>
    <row r="169" spans="1:256" s="41" customFormat="1" ht="15" customHeight="1">
      <c r="A169" s="27" t="s">
        <v>945</v>
      </c>
      <c r="B169" s="22"/>
      <c r="C169" s="22"/>
      <c r="D169" s="22"/>
      <c r="E169" s="22"/>
      <c r="F169" s="22"/>
      <c r="G169" s="22"/>
      <c r="H169" s="22"/>
      <c r="I169" s="35"/>
      <c r="J169" s="45"/>
      <c r="K169" s="45"/>
      <c r="L169" s="45"/>
      <c r="M169" s="45"/>
      <c r="N169" s="45"/>
      <c r="O169" s="26"/>
      <c r="P169" s="26"/>
      <c r="Q169" s="45"/>
      <c r="R169" s="45"/>
      <c r="S169" s="45"/>
      <c r="T169" s="22"/>
      <c r="U169" s="22"/>
      <c r="V169" s="45"/>
      <c r="W169" s="45"/>
      <c r="X169" s="45"/>
      <c r="Y169" s="45"/>
      <c r="Z169" s="45"/>
      <c r="AA169" s="45"/>
      <c r="AB169" s="45"/>
      <c r="AC169" s="45"/>
      <c r="AD169" s="45"/>
      <c r="AE169" s="45"/>
      <c r="AF169" s="45"/>
      <c r="AG169" s="45"/>
      <c r="AH169" s="45"/>
      <c r="AI169" s="45"/>
      <c r="AJ169" s="45"/>
      <c r="AK169" s="45"/>
      <c r="AL169" s="45"/>
      <c r="AM169" s="45"/>
      <c r="AN169" s="45"/>
      <c r="AO169" s="45"/>
      <c r="AP169" s="45"/>
      <c r="AQ169" s="45"/>
      <c r="AR169" s="45"/>
      <c r="AS169" s="45"/>
      <c r="AT169" s="45"/>
      <c r="AU169" s="45"/>
      <c r="AV169" s="45"/>
      <c r="AW169" s="45"/>
      <c r="AX169" s="45"/>
      <c r="AY169" s="45"/>
      <c r="AZ169" s="45"/>
      <c r="BA169" s="45"/>
      <c r="BB169" s="45"/>
      <c r="BC169" s="45"/>
      <c r="BD169" s="45"/>
      <c r="BE169" s="45"/>
      <c r="BF169" s="45"/>
      <c r="BG169" s="45"/>
      <c r="BH169" s="45"/>
      <c r="BI169" s="45"/>
      <c r="BJ169" s="45"/>
      <c r="BK169" s="45"/>
      <c r="BL169" s="45"/>
      <c r="BM169" s="45"/>
      <c r="BN169" s="45"/>
      <c r="BO169" s="45"/>
      <c r="BP169" s="45"/>
      <c r="BQ169" s="45"/>
      <c r="BR169" s="45"/>
      <c r="BS169" s="45"/>
      <c r="BT169" s="45"/>
      <c r="BU169" s="45"/>
      <c r="BV169" s="45"/>
      <c r="BW169" s="45"/>
      <c r="BX169" s="45"/>
    </row>
    <row r="170" spans="1:256" s="64" customFormat="1" ht="15" customHeight="1">
      <c r="A170" s="25" t="s">
        <v>1252</v>
      </c>
      <c r="B170" s="22"/>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c r="BH170" s="22"/>
      <c r="BI170" s="22"/>
      <c r="BJ170" s="22"/>
      <c r="BK170" s="22"/>
      <c r="BL170" s="22"/>
      <c r="BM170" s="22"/>
      <c r="BN170" s="22"/>
      <c r="BO170" s="22"/>
      <c r="BP170" s="22"/>
      <c r="BQ170" s="22"/>
      <c r="BR170" s="22"/>
      <c r="BS170" s="22"/>
      <c r="BT170" s="22"/>
      <c r="BU170" s="22"/>
      <c r="BV170" s="22"/>
      <c r="BW170" s="22"/>
      <c r="BX170" s="22"/>
      <c r="BY170" s="22"/>
      <c r="BZ170" s="22"/>
      <c r="CA170" s="22"/>
      <c r="CB170" s="22"/>
      <c r="CC170" s="22"/>
      <c r="CD170" s="22"/>
      <c r="CE170" s="22"/>
      <c r="CF170" s="22"/>
      <c r="CG170" s="22"/>
      <c r="CH170" s="22"/>
      <c r="CI170" s="22"/>
      <c r="CJ170" s="22"/>
      <c r="CK170" s="22"/>
      <c r="CL170" s="22"/>
      <c r="CM170" s="22"/>
      <c r="CN170" s="22"/>
      <c r="CO170" s="22"/>
      <c r="CP170" s="22"/>
      <c r="CQ170" s="22"/>
      <c r="CR170" s="22"/>
      <c r="CS170" s="22"/>
      <c r="CT170" s="22"/>
      <c r="CU170" s="22"/>
      <c r="CV170" s="22"/>
      <c r="CW170" s="22"/>
      <c r="CX170" s="22"/>
      <c r="CY170" s="22"/>
      <c r="CZ170" s="22"/>
      <c r="DA170" s="22"/>
      <c r="DB170" s="22"/>
      <c r="DC170" s="22"/>
      <c r="DD170" s="22"/>
      <c r="DE170" s="22"/>
      <c r="DF170" s="22"/>
      <c r="DG170" s="22"/>
      <c r="DH170" s="22"/>
      <c r="DI170" s="22"/>
      <c r="DJ170" s="22"/>
      <c r="DK170" s="22"/>
      <c r="DL170" s="22"/>
      <c r="DM170" s="22"/>
      <c r="DN170" s="22"/>
      <c r="DO170" s="22"/>
      <c r="DP170" s="22"/>
      <c r="DQ170" s="22"/>
      <c r="DR170" s="22"/>
      <c r="DS170" s="22"/>
      <c r="DT170" s="22"/>
      <c r="DU170" s="22"/>
      <c r="DV170" s="22"/>
      <c r="DW170" s="22"/>
      <c r="DX170" s="22"/>
      <c r="DY170" s="22"/>
      <c r="DZ170" s="22"/>
      <c r="EA170" s="22"/>
      <c r="EB170" s="22"/>
      <c r="EC170" s="22"/>
      <c r="ED170" s="22"/>
      <c r="EE170" s="22"/>
      <c r="EF170" s="22"/>
      <c r="EG170" s="22"/>
      <c r="EH170" s="22"/>
      <c r="EI170" s="22"/>
      <c r="EJ170" s="22"/>
      <c r="EK170" s="22"/>
      <c r="EL170" s="22"/>
      <c r="EM170" s="22"/>
      <c r="EN170" s="22"/>
      <c r="EO170" s="22"/>
      <c r="EP170" s="22"/>
      <c r="EQ170" s="22"/>
      <c r="ER170" s="22"/>
      <c r="ES170" s="22"/>
      <c r="ET170" s="22"/>
      <c r="EU170" s="22"/>
      <c r="EV170" s="22"/>
      <c r="EW170" s="22"/>
      <c r="EX170" s="22"/>
      <c r="EY170" s="22"/>
      <c r="EZ170" s="22"/>
      <c r="FA170" s="22"/>
      <c r="FB170" s="22"/>
      <c r="FC170" s="22"/>
      <c r="FD170" s="22"/>
      <c r="FE170" s="22"/>
      <c r="FF170" s="22"/>
      <c r="FG170" s="22"/>
      <c r="FH170" s="22"/>
      <c r="FI170" s="22"/>
      <c r="FJ170" s="22"/>
      <c r="FK170" s="22"/>
      <c r="FL170" s="22"/>
      <c r="FM170" s="22"/>
      <c r="FN170" s="22"/>
      <c r="FO170" s="22"/>
      <c r="FP170" s="22"/>
      <c r="FQ170" s="22"/>
      <c r="FR170" s="22"/>
      <c r="FS170" s="22"/>
      <c r="FT170" s="22"/>
      <c r="FU170" s="22"/>
      <c r="FV170" s="22"/>
      <c r="FW170" s="22"/>
      <c r="FX170" s="22"/>
      <c r="FY170" s="22"/>
      <c r="FZ170" s="22"/>
      <c r="GA170" s="22"/>
      <c r="GB170" s="22"/>
      <c r="GC170" s="22"/>
      <c r="GD170" s="22"/>
      <c r="GE170" s="22"/>
      <c r="GF170" s="22"/>
      <c r="GG170" s="22"/>
      <c r="GH170" s="22"/>
      <c r="GI170" s="22"/>
      <c r="GJ170" s="22"/>
      <c r="GK170" s="22"/>
      <c r="GL170" s="22"/>
      <c r="GM170" s="22"/>
      <c r="GN170" s="22"/>
      <c r="GO170" s="22"/>
      <c r="GP170" s="22"/>
      <c r="GQ170" s="22"/>
      <c r="GR170" s="22"/>
      <c r="GS170" s="22"/>
      <c r="GT170" s="22"/>
      <c r="GU170" s="22"/>
      <c r="GV170" s="22"/>
      <c r="GW170" s="22"/>
      <c r="GX170" s="22"/>
      <c r="GY170" s="22"/>
      <c r="GZ170" s="22"/>
      <c r="HA170" s="22"/>
      <c r="HB170" s="22"/>
      <c r="HC170" s="22"/>
      <c r="HD170" s="22"/>
      <c r="HE170" s="22"/>
      <c r="HF170" s="22"/>
      <c r="HG170" s="22"/>
      <c r="HH170" s="22"/>
      <c r="HI170" s="22"/>
      <c r="HJ170" s="22"/>
      <c r="HK170" s="22"/>
      <c r="HL170" s="22"/>
      <c r="HM170" s="22"/>
      <c r="HN170" s="22"/>
      <c r="HO170" s="22"/>
      <c r="HP170" s="22"/>
      <c r="HQ170" s="22"/>
      <c r="HR170" s="22"/>
      <c r="HS170" s="22"/>
      <c r="HT170" s="22"/>
      <c r="HU170" s="22"/>
      <c r="HV170" s="22"/>
      <c r="HW170" s="22"/>
      <c r="HX170" s="22"/>
      <c r="HY170" s="22"/>
      <c r="HZ170" s="22"/>
      <c r="IA170" s="22"/>
      <c r="IB170" s="22"/>
      <c r="IC170" s="22"/>
      <c r="ID170" s="22"/>
      <c r="IE170" s="22"/>
      <c r="IF170" s="22"/>
      <c r="IG170" s="22"/>
      <c r="IH170" s="22"/>
      <c r="II170" s="22"/>
      <c r="IJ170" s="22"/>
      <c r="IK170" s="22"/>
      <c r="IL170" s="22"/>
      <c r="IM170" s="22"/>
      <c r="IN170" s="22"/>
      <c r="IO170" s="22"/>
      <c r="IP170" s="22"/>
      <c r="IQ170" s="22"/>
      <c r="IR170" s="22"/>
      <c r="IS170" s="22"/>
      <c r="IT170" s="22"/>
      <c r="IU170" s="22"/>
      <c r="IV170" s="22"/>
    </row>
    <row r="171" spans="1:256" s="64" customFormat="1" ht="15" customHeight="1">
      <c r="A171" s="25" t="s">
        <v>1253</v>
      </c>
      <c r="B171" s="22"/>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c r="BB171" s="22"/>
      <c r="BC171" s="22"/>
      <c r="BD171" s="22"/>
      <c r="BE171" s="22"/>
      <c r="BF171" s="22"/>
      <c r="BG171" s="22"/>
      <c r="BH171" s="22"/>
      <c r="BI171" s="22"/>
      <c r="BJ171" s="22"/>
      <c r="BK171" s="22"/>
      <c r="BL171" s="22"/>
      <c r="BM171" s="22"/>
      <c r="BN171" s="22"/>
      <c r="BO171" s="22"/>
      <c r="BP171" s="22"/>
      <c r="BQ171" s="22"/>
      <c r="BR171" s="22"/>
      <c r="BS171" s="22"/>
      <c r="BT171" s="22"/>
      <c r="BU171" s="22"/>
      <c r="BV171" s="22"/>
      <c r="BW171" s="22"/>
      <c r="BX171" s="22"/>
      <c r="BY171" s="22"/>
      <c r="BZ171" s="22"/>
      <c r="CA171" s="22"/>
      <c r="CB171" s="22"/>
      <c r="CC171" s="22"/>
      <c r="CD171" s="22"/>
      <c r="CE171" s="22"/>
      <c r="CF171" s="22"/>
      <c r="CG171" s="22"/>
      <c r="CH171" s="22"/>
      <c r="CI171" s="22"/>
      <c r="CJ171" s="22"/>
      <c r="CK171" s="22"/>
      <c r="CL171" s="22"/>
      <c r="CM171" s="22"/>
      <c r="CN171" s="22"/>
      <c r="CO171" s="22"/>
      <c r="CP171" s="22"/>
      <c r="CQ171" s="22"/>
      <c r="CR171" s="22"/>
      <c r="CS171" s="22"/>
      <c r="CT171" s="22"/>
      <c r="CU171" s="22"/>
      <c r="CV171" s="22"/>
      <c r="CW171" s="22"/>
      <c r="CX171" s="22"/>
      <c r="CY171" s="22"/>
      <c r="CZ171" s="22"/>
      <c r="DA171" s="22"/>
      <c r="DB171" s="22"/>
      <c r="DC171" s="22"/>
      <c r="DD171" s="22"/>
      <c r="DE171" s="22"/>
      <c r="DF171" s="22"/>
      <c r="DG171" s="22"/>
      <c r="DH171" s="22"/>
      <c r="DI171" s="22"/>
      <c r="DJ171" s="22"/>
      <c r="DK171" s="22"/>
      <c r="DL171" s="22"/>
      <c r="DM171" s="22"/>
      <c r="DN171" s="22"/>
      <c r="DO171" s="22"/>
      <c r="DP171" s="22"/>
      <c r="DQ171" s="22"/>
      <c r="DR171" s="22"/>
      <c r="DS171" s="22"/>
      <c r="DT171" s="22"/>
      <c r="DU171" s="22"/>
      <c r="DV171" s="22"/>
      <c r="DW171" s="22"/>
      <c r="DX171" s="22"/>
      <c r="DY171" s="22"/>
      <c r="DZ171" s="22"/>
      <c r="EA171" s="22"/>
      <c r="EB171" s="22"/>
      <c r="EC171" s="22"/>
      <c r="ED171" s="22"/>
      <c r="EE171" s="22"/>
      <c r="EF171" s="22"/>
      <c r="EG171" s="22"/>
      <c r="EH171" s="22"/>
      <c r="EI171" s="22"/>
      <c r="EJ171" s="22"/>
      <c r="EK171" s="22"/>
      <c r="EL171" s="22"/>
      <c r="EM171" s="22"/>
      <c r="EN171" s="22"/>
      <c r="EO171" s="22"/>
      <c r="EP171" s="22"/>
      <c r="EQ171" s="22"/>
      <c r="ER171" s="22"/>
      <c r="ES171" s="22"/>
      <c r="ET171" s="22"/>
      <c r="EU171" s="22"/>
      <c r="EV171" s="22"/>
      <c r="EW171" s="22"/>
      <c r="EX171" s="22"/>
      <c r="EY171" s="22"/>
      <c r="EZ171" s="22"/>
      <c r="FA171" s="22"/>
      <c r="FB171" s="22"/>
      <c r="FC171" s="22"/>
      <c r="FD171" s="22"/>
      <c r="FE171" s="22"/>
      <c r="FF171" s="22"/>
      <c r="FG171" s="22"/>
      <c r="FH171" s="22"/>
      <c r="FI171" s="22"/>
      <c r="FJ171" s="22"/>
      <c r="FK171" s="22"/>
      <c r="FL171" s="22"/>
      <c r="FM171" s="22"/>
      <c r="FN171" s="22"/>
      <c r="FO171" s="22"/>
      <c r="FP171" s="22"/>
      <c r="FQ171" s="22"/>
      <c r="FR171" s="22"/>
      <c r="FS171" s="22"/>
      <c r="FT171" s="22"/>
      <c r="FU171" s="22"/>
      <c r="FV171" s="22"/>
      <c r="FW171" s="22"/>
      <c r="FX171" s="22"/>
      <c r="FY171" s="22"/>
      <c r="FZ171" s="22"/>
      <c r="GA171" s="22"/>
      <c r="GB171" s="22"/>
      <c r="GC171" s="22"/>
      <c r="GD171" s="22"/>
      <c r="GE171" s="22"/>
      <c r="GF171" s="22"/>
      <c r="GG171" s="22"/>
      <c r="GH171" s="22"/>
      <c r="GI171" s="22"/>
      <c r="GJ171" s="22"/>
      <c r="GK171" s="22"/>
      <c r="GL171" s="22"/>
      <c r="GM171" s="22"/>
      <c r="GN171" s="22"/>
      <c r="GO171" s="22"/>
      <c r="GP171" s="22"/>
      <c r="GQ171" s="22"/>
      <c r="GR171" s="22"/>
      <c r="GS171" s="22"/>
      <c r="GT171" s="22"/>
      <c r="GU171" s="22"/>
      <c r="GV171" s="22"/>
      <c r="GW171" s="22"/>
      <c r="GX171" s="22"/>
      <c r="GY171" s="22"/>
      <c r="GZ171" s="22"/>
      <c r="HA171" s="22"/>
      <c r="HB171" s="22"/>
      <c r="HC171" s="22"/>
      <c r="HD171" s="22"/>
      <c r="HE171" s="22"/>
      <c r="HF171" s="22"/>
      <c r="HG171" s="22"/>
      <c r="HH171" s="22"/>
      <c r="HI171" s="22"/>
      <c r="HJ171" s="22"/>
      <c r="HK171" s="22"/>
      <c r="HL171" s="22"/>
      <c r="HM171" s="22"/>
      <c r="HN171" s="22"/>
      <c r="HO171" s="22"/>
      <c r="HP171" s="22"/>
      <c r="HQ171" s="22"/>
      <c r="HR171" s="22"/>
      <c r="HS171" s="22"/>
      <c r="HT171" s="22"/>
      <c r="HU171" s="22"/>
      <c r="HV171" s="22"/>
      <c r="HW171" s="22"/>
      <c r="HX171" s="22"/>
      <c r="HY171" s="22"/>
      <c r="HZ171" s="22"/>
      <c r="IA171" s="22"/>
      <c r="IB171" s="22"/>
      <c r="IC171" s="22"/>
      <c r="ID171" s="22"/>
      <c r="IE171" s="22"/>
      <c r="IF171" s="22"/>
      <c r="IG171" s="22"/>
      <c r="IH171" s="22"/>
      <c r="II171" s="22"/>
      <c r="IJ171" s="22"/>
      <c r="IK171" s="22"/>
      <c r="IL171" s="22"/>
      <c r="IM171" s="22"/>
      <c r="IN171" s="22"/>
      <c r="IO171" s="22"/>
      <c r="IP171" s="22"/>
      <c r="IQ171" s="22"/>
      <c r="IR171" s="22"/>
      <c r="IS171" s="22"/>
      <c r="IT171" s="22"/>
      <c r="IU171" s="22"/>
      <c r="IV171" s="22"/>
    </row>
    <row r="172" spans="1:256" s="26" customFormat="1" ht="15" customHeight="1">
      <c r="A172" s="26" t="s">
        <v>946</v>
      </c>
    </row>
    <row r="173" spans="1:256" s="64" customFormat="1" ht="15" customHeight="1">
      <c r="A173" s="25" t="s">
        <v>1254</v>
      </c>
      <c r="B173" s="22"/>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c r="BB173" s="22"/>
      <c r="BC173" s="22"/>
      <c r="BD173" s="22"/>
      <c r="BE173" s="22"/>
      <c r="BF173" s="22"/>
      <c r="BG173" s="22"/>
      <c r="BH173" s="22"/>
      <c r="BI173" s="22"/>
      <c r="BJ173" s="22"/>
      <c r="BK173" s="22"/>
      <c r="BL173" s="22"/>
      <c r="BM173" s="22"/>
      <c r="BN173" s="22"/>
      <c r="BO173" s="22"/>
      <c r="BP173" s="22"/>
      <c r="BQ173" s="22"/>
      <c r="BR173" s="22"/>
      <c r="BS173" s="22"/>
      <c r="BT173" s="22"/>
      <c r="BU173" s="22"/>
      <c r="BV173" s="22"/>
      <c r="BW173" s="22"/>
      <c r="BX173" s="22"/>
      <c r="BY173" s="22"/>
      <c r="BZ173" s="22"/>
      <c r="CA173" s="22"/>
      <c r="CB173" s="22"/>
      <c r="CC173" s="22"/>
      <c r="CD173" s="22"/>
      <c r="CE173" s="22"/>
      <c r="CF173" s="22"/>
      <c r="CG173" s="22"/>
      <c r="CH173" s="22"/>
      <c r="CI173" s="22"/>
      <c r="CJ173" s="22"/>
      <c r="CK173" s="22"/>
      <c r="CL173" s="22"/>
      <c r="CM173" s="22"/>
      <c r="CN173" s="22"/>
      <c r="CO173" s="22"/>
      <c r="CP173" s="22"/>
      <c r="CQ173" s="22"/>
      <c r="CR173" s="22"/>
      <c r="CS173" s="22"/>
      <c r="CT173" s="22"/>
      <c r="CU173" s="22"/>
      <c r="CV173" s="22"/>
      <c r="CW173" s="22"/>
      <c r="CX173" s="22"/>
      <c r="CY173" s="22"/>
      <c r="CZ173" s="22"/>
      <c r="DA173" s="22"/>
      <c r="DB173" s="22"/>
      <c r="DC173" s="22"/>
      <c r="DD173" s="22"/>
      <c r="DE173" s="22"/>
      <c r="DF173" s="22"/>
      <c r="DG173" s="22"/>
      <c r="DH173" s="22"/>
      <c r="DI173" s="22"/>
      <c r="DJ173" s="22"/>
      <c r="DK173" s="22"/>
      <c r="DL173" s="22"/>
      <c r="DM173" s="22"/>
      <c r="DN173" s="22"/>
      <c r="DO173" s="22"/>
      <c r="DP173" s="22"/>
      <c r="DQ173" s="22"/>
      <c r="DR173" s="22"/>
      <c r="DS173" s="22"/>
      <c r="DT173" s="22"/>
      <c r="DU173" s="22"/>
      <c r="DV173" s="22"/>
      <c r="DW173" s="22"/>
      <c r="DX173" s="22"/>
      <c r="DY173" s="22"/>
      <c r="DZ173" s="22"/>
      <c r="EA173" s="22"/>
      <c r="EB173" s="22"/>
      <c r="EC173" s="22"/>
      <c r="ED173" s="22"/>
      <c r="EE173" s="22"/>
      <c r="EF173" s="22"/>
      <c r="EG173" s="22"/>
      <c r="EH173" s="22"/>
      <c r="EI173" s="22"/>
      <c r="EJ173" s="22"/>
      <c r="EK173" s="22"/>
      <c r="EL173" s="22"/>
      <c r="EM173" s="22"/>
      <c r="EN173" s="22"/>
      <c r="EO173" s="22"/>
      <c r="EP173" s="22"/>
      <c r="EQ173" s="22"/>
      <c r="ER173" s="22"/>
      <c r="ES173" s="22"/>
      <c r="ET173" s="22"/>
      <c r="EU173" s="22"/>
      <c r="EV173" s="22"/>
      <c r="EW173" s="22"/>
      <c r="EX173" s="22"/>
      <c r="EY173" s="22"/>
      <c r="EZ173" s="22"/>
      <c r="FA173" s="22"/>
      <c r="FB173" s="22"/>
      <c r="FC173" s="22"/>
      <c r="FD173" s="22"/>
      <c r="FE173" s="22"/>
      <c r="FF173" s="22"/>
      <c r="FG173" s="22"/>
      <c r="FH173" s="22"/>
      <c r="FI173" s="22"/>
      <c r="FJ173" s="22"/>
      <c r="FK173" s="22"/>
      <c r="FL173" s="22"/>
      <c r="FM173" s="22"/>
      <c r="FN173" s="22"/>
      <c r="FO173" s="22"/>
      <c r="FP173" s="22"/>
      <c r="FQ173" s="22"/>
      <c r="FR173" s="22"/>
      <c r="FS173" s="22"/>
      <c r="FT173" s="22"/>
      <c r="FU173" s="22"/>
      <c r="FV173" s="22"/>
      <c r="FW173" s="22"/>
      <c r="FX173" s="22"/>
      <c r="FY173" s="22"/>
      <c r="FZ173" s="22"/>
      <c r="GA173" s="22"/>
      <c r="GB173" s="22"/>
      <c r="GC173" s="22"/>
      <c r="GD173" s="22"/>
      <c r="GE173" s="22"/>
      <c r="GF173" s="22"/>
      <c r="GG173" s="22"/>
      <c r="GH173" s="22"/>
      <c r="GI173" s="22"/>
      <c r="GJ173" s="22"/>
      <c r="GK173" s="22"/>
      <c r="GL173" s="22"/>
      <c r="GM173" s="22"/>
      <c r="GN173" s="22"/>
      <c r="GO173" s="22"/>
      <c r="GP173" s="22"/>
      <c r="GQ173" s="22"/>
      <c r="GR173" s="22"/>
      <c r="GS173" s="22"/>
      <c r="GT173" s="22"/>
      <c r="GU173" s="22"/>
      <c r="GV173" s="22"/>
      <c r="GW173" s="22"/>
      <c r="GX173" s="22"/>
      <c r="GY173" s="22"/>
      <c r="GZ173" s="22"/>
      <c r="HA173" s="22"/>
      <c r="HB173" s="22"/>
      <c r="HC173" s="22"/>
      <c r="HD173" s="22"/>
      <c r="HE173" s="22"/>
      <c r="HF173" s="22"/>
      <c r="HG173" s="22"/>
      <c r="HH173" s="22"/>
      <c r="HI173" s="22"/>
      <c r="HJ173" s="22"/>
      <c r="HK173" s="22"/>
      <c r="HL173" s="22"/>
      <c r="HM173" s="22"/>
      <c r="HN173" s="22"/>
      <c r="HO173" s="22"/>
      <c r="HP173" s="22"/>
      <c r="HQ173" s="22"/>
      <c r="HR173" s="22"/>
      <c r="HS173" s="22"/>
      <c r="HT173" s="22"/>
      <c r="HU173" s="22"/>
      <c r="HV173" s="22"/>
      <c r="HW173" s="22"/>
      <c r="HX173" s="22"/>
      <c r="HY173" s="22"/>
      <c r="HZ173" s="22"/>
      <c r="IA173" s="22"/>
      <c r="IB173" s="22"/>
      <c r="IC173" s="22"/>
      <c r="ID173" s="22"/>
      <c r="IE173" s="22"/>
      <c r="IF173" s="22"/>
      <c r="IG173" s="22"/>
      <c r="IH173" s="22"/>
      <c r="II173" s="22"/>
      <c r="IJ173" s="22"/>
      <c r="IK173" s="22"/>
      <c r="IL173" s="22"/>
      <c r="IM173" s="22"/>
      <c r="IN173" s="22"/>
      <c r="IO173" s="22"/>
      <c r="IP173" s="22"/>
      <c r="IQ173" s="22"/>
      <c r="IR173" s="22"/>
      <c r="IS173" s="22"/>
      <c r="IT173" s="22"/>
      <c r="IU173" s="22"/>
      <c r="IV173" s="22"/>
    </row>
    <row r="174" spans="1:256" s="64" customFormat="1" ht="15" customHeight="1">
      <c r="A174" s="25" t="s">
        <v>1255</v>
      </c>
      <c r="B174" s="22"/>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c r="BB174" s="22"/>
      <c r="BC174" s="22"/>
      <c r="BD174" s="22"/>
      <c r="BE174" s="22"/>
      <c r="BF174" s="22"/>
      <c r="BG174" s="22"/>
      <c r="BH174" s="22"/>
      <c r="BI174" s="22"/>
      <c r="BJ174" s="22"/>
      <c r="BK174" s="22"/>
      <c r="BL174" s="22"/>
      <c r="BM174" s="22"/>
      <c r="BN174" s="22"/>
      <c r="BO174" s="22"/>
      <c r="BP174" s="22"/>
      <c r="BQ174" s="22"/>
      <c r="BR174" s="22"/>
      <c r="BS174" s="22"/>
      <c r="BT174" s="22"/>
      <c r="BU174" s="22"/>
      <c r="BV174" s="22"/>
      <c r="BW174" s="22"/>
      <c r="BX174" s="22"/>
      <c r="BY174" s="22"/>
      <c r="BZ174" s="22"/>
      <c r="CA174" s="22"/>
      <c r="CB174" s="22"/>
      <c r="CC174" s="22"/>
      <c r="CD174" s="22"/>
      <c r="CE174" s="22"/>
      <c r="CF174" s="22"/>
      <c r="CG174" s="22"/>
      <c r="CH174" s="22"/>
      <c r="CI174" s="22"/>
      <c r="CJ174" s="22"/>
      <c r="CK174" s="22"/>
      <c r="CL174" s="22"/>
      <c r="CM174" s="22"/>
      <c r="CN174" s="22"/>
      <c r="CO174" s="22"/>
      <c r="CP174" s="22"/>
      <c r="CQ174" s="22"/>
      <c r="CR174" s="22"/>
      <c r="CS174" s="22"/>
      <c r="CT174" s="22"/>
      <c r="CU174" s="22"/>
      <c r="CV174" s="22"/>
      <c r="CW174" s="22"/>
      <c r="CX174" s="22"/>
      <c r="CY174" s="22"/>
      <c r="CZ174" s="22"/>
      <c r="DA174" s="22"/>
      <c r="DB174" s="22"/>
      <c r="DC174" s="22"/>
      <c r="DD174" s="22"/>
      <c r="DE174" s="22"/>
      <c r="DF174" s="22"/>
      <c r="DG174" s="22"/>
      <c r="DH174" s="22"/>
      <c r="DI174" s="22"/>
      <c r="DJ174" s="22"/>
      <c r="DK174" s="22"/>
      <c r="DL174" s="22"/>
      <c r="DM174" s="22"/>
      <c r="DN174" s="22"/>
      <c r="DO174" s="22"/>
      <c r="DP174" s="22"/>
      <c r="DQ174" s="22"/>
      <c r="DR174" s="22"/>
      <c r="DS174" s="22"/>
      <c r="DT174" s="22"/>
      <c r="DU174" s="22"/>
      <c r="DV174" s="22"/>
      <c r="DW174" s="22"/>
      <c r="DX174" s="22"/>
      <c r="DY174" s="22"/>
      <c r="DZ174" s="22"/>
      <c r="EA174" s="22"/>
      <c r="EB174" s="22"/>
      <c r="EC174" s="22"/>
      <c r="ED174" s="22"/>
      <c r="EE174" s="22"/>
      <c r="EF174" s="22"/>
      <c r="EG174" s="22"/>
      <c r="EH174" s="22"/>
      <c r="EI174" s="22"/>
      <c r="EJ174" s="22"/>
      <c r="EK174" s="22"/>
      <c r="EL174" s="22"/>
      <c r="EM174" s="22"/>
      <c r="EN174" s="22"/>
      <c r="EO174" s="22"/>
      <c r="EP174" s="22"/>
      <c r="EQ174" s="22"/>
      <c r="ER174" s="22"/>
      <c r="ES174" s="22"/>
      <c r="ET174" s="22"/>
      <c r="EU174" s="22"/>
      <c r="EV174" s="22"/>
      <c r="EW174" s="22"/>
      <c r="EX174" s="22"/>
      <c r="EY174" s="22"/>
      <c r="EZ174" s="22"/>
      <c r="FA174" s="22"/>
      <c r="FB174" s="22"/>
      <c r="FC174" s="22"/>
      <c r="FD174" s="22"/>
      <c r="FE174" s="22"/>
      <c r="FF174" s="22"/>
      <c r="FG174" s="22"/>
      <c r="FH174" s="22"/>
      <c r="FI174" s="22"/>
      <c r="FJ174" s="22"/>
      <c r="FK174" s="22"/>
      <c r="FL174" s="22"/>
      <c r="FM174" s="22"/>
      <c r="FN174" s="22"/>
      <c r="FO174" s="22"/>
      <c r="FP174" s="22"/>
      <c r="FQ174" s="22"/>
      <c r="FR174" s="22"/>
      <c r="FS174" s="22"/>
      <c r="FT174" s="22"/>
      <c r="FU174" s="22"/>
      <c r="FV174" s="22"/>
      <c r="FW174" s="22"/>
      <c r="FX174" s="22"/>
      <c r="FY174" s="22"/>
      <c r="FZ174" s="22"/>
      <c r="GA174" s="22"/>
      <c r="GB174" s="22"/>
      <c r="GC174" s="22"/>
      <c r="GD174" s="22"/>
      <c r="GE174" s="22"/>
      <c r="GF174" s="22"/>
      <c r="GG174" s="22"/>
      <c r="GH174" s="22"/>
      <c r="GI174" s="22"/>
      <c r="GJ174" s="22"/>
      <c r="GK174" s="22"/>
      <c r="GL174" s="22"/>
      <c r="GM174" s="22"/>
      <c r="GN174" s="22"/>
      <c r="GO174" s="22"/>
      <c r="GP174" s="22"/>
      <c r="GQ174" s="22"/>
      <c r="GR174" s="22"/>
      <c r="GS174" s="22"/>
      <c r="GT174" s="22"/>
      <c r="GU174" s="22"/>
      <c r="GV174" s="22"/>
      <c r="GW174" s="22"/>
      <c r="GX174" s="22"/>
      <c r="GY174" s="22"/>
      <c r="GZ174" s="22"/>
      <c r="HA174" s="22"/>
      <c r="HB174" s="22"/>
      <c r="HC174" s="22"/>
      <c r="HD174" s="22"/>
      <c r="HE174" s="22"/>
      <c r="HF174" s="22"/>
      <c r="HG174" s="22"/>
      <c r="HH174" s="22"/>
      <c r="HI174" s="22"/>
      <c r="HJ174" s="22"/>
      <c r="HK174" s="22"/>
      <c r="HL174" s="22"/>
      <c r="HM174" s="22"/>
      <c r="HN174" s="22"/>
      <c r="HO174" s="22"/>
      <c r="HP174" s="22"/>
      <c r="HQ174" s="22"/>
      <c r="HR174" s="22"/>
      <c r="HS174" s="22"/>
      <c r="HT174" s="22"/>
      <c r="HU174" s="22"/>
      <c r="HV174" s="22"/>
      <c r="HW174" s="22"/>
      <c r="HX174" s="22"/>
      <c r="HY174" s="22"/>
      <c r="HZ174" s="22"/>
      <c r="IA174" s="22"/>
      <c r="IB174" s="22"/>
      <c r="IC174" s="22"/>
      <c r="ID174" s="22"/>
      <c r="IE174" s="22"/>
      <c r="IF174" s="22"/>
      <c r="IG174" s="22"/>
      <c r="IH174" s="22"/>
      <c r="II174" s="22"/>
      <c r="IJ174" s="22"/>
      <c r="IK174" s="22"/>
      <c r="IL174" s="22"/>
      <c r="IM174" s="22"/>
      <c r="IN174" s="22"/>
      <c r="IO174" s="22"/>
      <c r="IP174" s="22"/>
      <c r="IQ174" s="22"/>
      <c r="IR174" s="22"/>
      <c r="IS174" s="22"/>
      <c r="IT174" s="22"/>
      <c r="IU174" s="22"/>
      <c r="IV174" s="22"/>
    </row>
    <row r="175" spans="1:256" s="26" customFormat="1" ht="15" customHeight="1">
      <c r="A175" s="26" t="s">
        <v>947</v>
      </c>
    </row>
    <row r="176" spans="1:256" s="64" customFormat="1" ht="15" customHeight="1">
      <c r="A176" s="25" t="s">
        <v>929</v>
      </c>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c r="BH176" s="22"/>
      <c r="BI176" s="22"/>
      <c r="BJ176" s="22"/>
      <c r="BK176" s="22"/>
      <c r="BL176" s="22"/>
      <c r="BM176" s="22"/>
      <c r="BN176" s="22"/>
      <c r="BO176" s="22"/>
      <c r="BP176" s="22"/>
      <c r="BQ176" s="22"/>
      <c r="BR176" s="22"/>
      <c r="BS176" s="22"/>
      <c r="BT176" s="22"/>
      <c r="BU176" s="22"/>
      <c r="BV176" s="22"/>
      <c r="BW176" s="22"/>
      <c r="BX176" s="22"/>
      <c r="BY176" s="22"/>
      <c r="BZ176" s="22"/>
      <c r="CA176" s="22"/>
      <c r="CB176" s="22"/>
      <c r="CC176" s="22"/>
      <c r="CD176" s="22"/>
      <c r="CE176" s="22"/>
      <c r="CF176" s="22"/>
      <c r="CG176" s="22"/>
      <c r="CH176" s="22"/>
      <c r="CI176" s="22"/>
      <c r="CJ176" s="22"/>
      <c r="CK176" s="22"/>
      <c r="CL176" s="22"/>
      <c r="CM176" s="22"/>
      <c r="CN176" s="22"/>
      <c r="CO176" s="22"/>
      <c r="CP176" s="22"/>
      <c r="CQ176" s="22"/>
      <c r="CR176" s="22"/>
      <c r="CS176" s="22"/>
      <c r="CT176" s="22"/>
      <c r="CU176" s="22"/>
      <c r="CV176" s="22"/>
      <c r="CW176" s="22"/>
      <c r="CX176" s="22"/>
      <c r="CY176" s="22"/>
      <c r="CZ176" s="22"/>
      <c r="DA176" s="22"/>
      <c r="DB176" s="22"/>
      <c r="DC176" s="22"/>
      <c r="DD176" s="22"/>
      <c r="DE176" s="22"/>
      <c r="DF176" s="22"/>
      <c r="DG176" s="22"/>
      <c r="DH176" s="22"/>
      <c r="DI176" s="22"/>
      <c r="DJ176" s="22"/>
      <c r="DK176" s="22"/>
      <c r="DL176" s="22"/>
      <c r="DM176" s="22"/>
      <c r="DN176" s="22"/>
      <c r="DO176" s="22"/>
      <c r="DP176" s="22"/>
      <c r="DQ176" s="22"/>
      <c r="DR176" s="22"/>
      <c r="DS176" s="22"/>
      <c r="DT176" s="22"/>
      <c r="DU176" s="22"/>
      <c r="DV176" s="22"/>
      <c r="DW176" s="22"/>
      <c r="DX176" s="22"/>
      <c r="DY176" s="22"/>
      <c r="DZ176" s="22"/>
      <c r="EA176" s="22"/>
      <c r="EB176" s="22"/>
      <c r="EC176" s="22"/>
      <c r="ED176" s="22"/>
      <c r="EE176" s="22"/>
      <c r="EF176" s="22"/>
      <c r="EG176" s="22"/>
      <c r="EH176" s="22"/>
      <c r="EI176" s="22"/>
      <c r="EJ176" s="22"/>
      <c r="EK176" s="22"/>
      <c r="EL176" s="22"/>
      <c r="EM176" s="22"/>
      <c r="EN176" s="22"/>
      <c r="EO176" s="22"/>
      <c r="EP176" s="22"/>
      <c r="EQ176" s="22"/>
      <c r="ER176" s="22"/>
      <c r="ES176" s="22"/>
      <c r="ET176" s="22"/>
      <c r="EU176" s="22"/>
      <c r="EV176" s="22"/>
      <c r="EW176" s="22"/>
      <c r="EX176" s="22"/>
      <c r="EY176" s="22"/>
      <c r="EZ176" s="22"/>
      <c r="FA176" s="22"/>
      <c r="FB176" s="22"/>
      <c r="FC176" s="22"/>
      <c r="FD176" s="22"/>
      <c r="FE176" s="22"/>
      <c r="FF176" s="22"/>
      <c r="FG176" s="22"/>
      <c r="FH176" s="22"/>
      <c r="FI176" s="22"/>
      <c r="FJ176" s="22"/>
      <c r="FK176" s="22"/>
      <c r="FL176" s="22"/>
      <c r="FM176" s="22"/>
      <c r="FN176" s="22"/>
      <c r="FO176" s="22"/>
      <c r="FP176" s="22"/>
      <c r="FQ176" s="22"/>
      <c r="FR176" s="22"/>
      <c r="FS176" s="22"/>
      <c r="FT176" s="22"/>
      <c r="FU176" s="22"/>
      <c r="FV176" s="22"/>
      <c r="FW176" s="22"/>
      <c r="FX176" s="22"/>
      <c r="FY176" s="22"/>
      <c r="FZ176" s="22"/>
      <c r="GA176" s="22"/>
      <c r="GB176" s="22"/>
      <c r="GC176" s="22"/>
      <c r="GD176" s="22"/>
      <c r="GE176" s="22"/>
      <c r="GF176" s="22"/>
      <c r="GG176" s="22"/>
      <c r="GH176" s="22"/>
      <c r="GI176" s="22"/>
      <c r="GJ176" s="22"/>
      <c r="GK176" s="22"/>
      <c r="GL176" s="22"/>
      <c r="GM176" s="22"/>
      <c r="GN176" s="22"/>
      <c r="GO176" s="22"/>
      <c r="GP176" s="22"/>
      <c r="GQ176" s="22"/>
      <c r="GR176" s="22"/>
      <c r="GS176" s="22"/>
      <c r="GT176" s="22"/>
      <c r="GU176" s="22"/>
      <c r="GV176" s="22"/>
      <c r="GW176" s="22"/>
      <c r="GX176" s="22"/>
      <c r="GY176" s="22"/>
      <c r="GZ176" s="22"/>
      <c r="HA176" s="22"/>
      <c r="HB176" s="22"/>
      <c r="HC176" s="22"/>
      <c r="HD176" s="22"/>
      <c r="HE176" s="22"/>
      <c r="HF176" s="22"/>
      <c r="HG176" s="22"/>
      <c r="HH176" s="22"/>
      <c r="HI176" s="22"/>
      <c r="HJ176" s="22"/>
      <c r="HK176" s="22"/>
      <c r="HL176" s="22"/>
      <c r="HM176" s="22"/>
      <c r="HN176" s="22"/>
      <c r="HO176" s="22"/>
      <c r="HP176" s="22"/>
      <c r="HQ176" s="22"/>
      <c r="HR176" s="22"/>
      <c r="HS176" s="22"/>
      <c r="HT176" s="22"/>
      <c r="HU176" s="22"/>
      <c r="HV176" s="22"/>
      <c r="HW176" s="22"/>
      <c r="HX176" s="22"/>
      <c r="HY176" s="22"/>
      <c r="HZ176" s="22"/>
      <c r="IA176" s="22"/>
      <c r="IB176" s="22"/>
      <c r="IC176" s="22"/>
      <c r="ID176" s="22"/>
      <c r="IE176" s="22"/>
      <c r="IF176" s="22"/>
      <c r="IG176" s="22"/>
      <c r="IH176" s="22"/>
      <c r="II176" s="22"/>
      <c r="IJ176" s="22"/>
      <c r="IK176" s="22"/>
      <c r="IL176" s="22"/>
      <c r="IM176" s="22"/>
      <c r="IN176" s="22"/>
      <c r="IO176" s="22"/>
      <c r="IP176" s="22"/>
      <c r="IQ176" s="22"/>
      <c r="IR176" s="22"/>
      <c r="IS176" s="22"/>
      <c r="IT176" s="22"/>
      <c r="IU176" s="22"/>
      <c r="IV176" s="22"/>
    </row>
    <row r="177" spans="1:256" s="64" customFormat="1" ht="15" customHeight="1">
      <c r="A177" s="25" t="s">
        <v>1256</v>
      </c>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c r="CV177" s="22"/>
      <c r="CW177" s="22"/>
      <c r="CX177" s="22"/>
      <c r="CY177" s="22"/>
      <c r="CZ177" s="22"/>
      <c r="DA177" s="22"/>
      <c r="DB177" s="22"/>
      <c r="DC177" s="22"/>
      <c r="DD177" s="22"/>
      <c r="DE177" s="22"/>
      <c r="DF177" s="22"/>
      <c r="DG177" s="22"/>
      <c r="DH177" s="22"/>
      <c r="DI177" s="22"/>
      <c r="DJ177" s="22"/>
      <c r="DK177" s="22"/>
      <c r="DL177" s="22"/>
      <c r="DM177" s="22"/>
      <c r="DN177" s="22"/>
      <c r="DO177" s="22"/>
      <c r="DP177" s="22"/>
      <c r="DQ177" s="22"/>
      <c r="DR177" s="22"/>
      <c r="DS177" s="22"/>
      <c r="DT177" s="22"/>
      <c r="DU177" s="22"/>
      <c r="DV177" s="22"/>
      <c r="DW177" s="22"/>
      <c r="DX177" s="22"/>
      <c r="DY177" s="22"/>
      <c r="DZ177" s="22"/>
      <c r="EA177" s="22"/>
      <c r="EB177" s="22"/>
      <c r="EC177" s="22"/>
      <c r="ED177" s="22"/>
      <c r="EE177" s="22"/>
      <c r="EF177" s="22"/>
      <c r="EG177" s="22"/>
      <c r="EH177" s="22"/>
      <c r="EI177" s="22"/>
      <c r="EJ177" s="22"/>
      <c r="EK177" s="22"/>
      <c r="EL177" s="22"/>
      <c r="EM177" s="22"/>
      <c r="EN177" s="22"/>
      <c r="EO177" s="22"/>
      <c r="EP177" s="22"/>
      <c r="EQ177" s="22"/>
      <c r="ER177" s="22"/>
      <c r="ES177" s="22"/>
      <c r="ET177" s="22"/>
      <c r="EU177" s="22"/>
      <c r="EV177" s="22"/>
      <c r="EW177" s="22"/>
      <c r="EX177" s="22"/>
      <c r="EY177" s="22"/>
      <c r="EZ177" s="22"/>
      <c r="FA177" s="22"/>
      <c r="FB177" s="22"/>
      <c r="FC177" s="22"/>
      <c r="FD177" s="22"/>
      <c r="FE177" s="22"/>
      <c r="FF177" s="22"/>
      <c r="FG177" s="22"/>
      <c r="FH177" s="22"/>
      <c r="FI177" s="22"/>
      <c r="FJ177" s="22"/>
      <c r="FK177" s="22"/>
      <c r="FL177" s="22"/>
      <c r="FM177" s="22"/>
      <c r="FN177" s="22"/>
      <c r="FO177" s="22"/>
      <c r="FP177" s="22"/>
      <c r="FQ177" s="22"/>
      <c r="FR177" s="22"/>
      <c r="FS177" s="22"/>
      <c r="FT177" s="22"/>
      <c r="FU177" s="22"/>
      <c r="FV177" s="22"/>
      <c r="FW177" s="22"/>
      <c r="FX177" s="22"/>
      <c r="FY177" s="22"/>
      <c r="FZ177" s="22"/>
      <c r="GA177" s="22"/>
      <c r="GB177" s="22"/>
      <c r="GC177" s="22"/>
      <c r="GD177" s="22"/>
      <c r="GE177" s="22"/>
      <c r="GF177" s="22"/>
      <c r="GG177" s="22"/>
      <c r="GH177" s="22"/>
      <c r="GI177" s="22"/>
      <c r="GJ177" s="22"/>
      <c r="GK177" s="22"/>
      <c r="GL177" s="22"/>
      <c r="GM177" s="22"/>
      <c r="GN177" s="22"/>
      <c r="GO177" s="22"/>
      <c r="GP177" s="22"/>
      <c r="GQ177" s="22"/>
      <c r="GR177" s="22"/>
      <c r="GS177" s="22"/>
      <c r="GT177" s="22"/>
      <c r="GU177" s="22"/>
      <c r="GV177" s="22"/>
      <c r="GW177" s="22"/>
      <c r="GX177" s="22"/>
      <c r="GY177" s="22"/>
      <c r="GZ177" s="22"/>
      <c r="HA177" s="22"/>
      <c r="HB177" s="22"/>
      <c r="HC177" s="22"/>
      <c r="HD177" s="22"/>
      <c r="HE177" s="22"/>
      <c r="HF177" s="22"/>
      <c r="HG177" s="22"/>
      <c r="HH177" s="22"/>
      <c r="HI177" s="22"/>
      <c r="HJ177" s="22"/>
      <c r="HK177" s="22"/>
      <c r="HL177" s="22"/>
      <c r="HM177" s="22"/>
      <c r="HN177" s="22"/>
      <c r="HO177" s="22"/>
      <c r="HP177" s="22"/>
      <c r="HQ177" s="22"/>
      <c r="HR177" s="22"/>
      <c r="HS177" s="22"/>
      <c r="HT177" s="22"/>
      <c r="HU177" s="22"/>
      <c r="HV177" s="22"/>
      <c r="HW177" s="22"/>
      <c r="HX177" s="22"/>
      <c r="HY177" s="22"/>
      <c r="HZ177" s="22"/>
      <c r="IA177" s="22"/>
      <c r="IB177" s="22"/>
      <c r="IC177" s="22"/>
      <c r="ID177" s="22"/>
      <c r="IE177" s="22"/>
      <c r="IF177" s="22"/>
      <c r="IG177" s="22"/>
      <c r="IH177" s="22"/>
      <c r="II177" s="22"/>
      <c r="IJ177" s="22"/>
      <c r="IK177" s="22"/>
      <c r="IL177" s="22"/>
      <c r="IM177" s="22"/>
      <c r="IN177" s="22"/>
      <c r="IO177" s="22"/>
      <c r="IP177" s="22"/>
      <c r="IQ177" s="22"/>
      <c r="IR177" s="22"/>
      <c r="IS177" s="22"/>
      <c r="IT177" s="22"/>
      <c r="IU177" s="22"/>
      <c r="IV177" s="22"/>
    </row>
    <row r="178" spans="1:256" s="26" customFormat="1" ht="15" customHeight="1">
      <c r="A178" s="26" t="s">
        <v>948</v>
      </c>
    </row>
    <row r="179" spans="1:256" s="64" customFormat="1" ht="15" customHeight="1">
      <c r="A179" s="25" t="s">
        <v>930</v>
      </c>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c r="CV179" s="22"/>
      <c r="CW179" s="22"/>
      <c r="CX179" s="22"/>
      <c r="CY179" s="22"/>
      <c r="CZ179" s="22"/>
      <c r="DA179" s="22"/>
      <c r="DB179" s="22"/>
      <c r="DC179" s="22"/>
      <c r="DD179" s="22"/>
      <c r="DE179" s="22"/>
      <c r="DF179" s="22"/>
      <c r="DG179" s="22"/>
      <c r="DH179" s="22"/>
      <c r="DI179" s="22"/>
      <c r="DJ179" s="22"/>
      <c r="DK179" s="22"/>
      <c r="DL179" s="22"/>
      <c r="DM179" s="22"/>
      <c r="DN179" s="22"/>
      <c r="DO179" s="22"/>
      <c r="DP179" s="22"/>
      <c r="DQ179" s="22"/>
      <c r="DR179" s="22"/>
      <c r="DS179" s="22"/>
      <c r="DT179" s="22"/>
      <c r="DU179" s="22"/>
      <c r="DV179" s="22"/>
      <c r="DW179" s="22"/>
      <c r="DX179" s="22"/>
      <c r="DY179" s="22"/>
      <c r="DZ179" s="22"/>
      <c r="EA179" s="22"/>
      <c r="EB179" s="22"/>
      <c r="EC179" s="22"/>
      <c r="ED179" s="22"/>
      <c r="EE179" s="22"/>
      <c r="EF179" s="22"/>
      <c r="EG179" s="22"/>
      <c r="EH179" s="22"/>
      <c r="EI179" s="22"/>
      <c r="EJ179" s="22"/>
      <c r="EK179" s="22"/>
      <c r="EL179" s="22"/>
      <c r="EM179" s="22"/>
      <c r="EN179" s="22"/>
      <c r="EO179" s="22"/>
      <c r="EP179" s="22"/>
      <c r="EQ179" s="22"/>
      <c r="ER179" s="22"/>
      <c r="ES179" s="22"/>
      <c r="ET179" s="22"/>
      <c r="EU179" s="22"/>
      <c r="EV179" s="22"/>
      <c r="EW179" s="22"/>
      <c r="EX179" s="22"/>
      <c r="EY179" s="22"/>
      <c r="EZ179" s="22"/>
      <c r="FA179" s="22"/>
      <c r="FB179" s="22"/>
      <c r="FC179" s="22"/>
      <c r="FD179" s="22"/>
      <c r="FE179" s="22"/>
      <c r="FF179" s="22"/>
      <c r="FG179" s="22"/>
      <c r="FH179" s="22"/>
      <c r="FI179" s="22"/>
      <c r="FJ179" s="22"/>
      <c r="FK179" s="22"/>
      <c r="FL179" s="22"/>
      <c r="FM179" s="22"/>
      <c r="FN179" s="22"/>
      <c r="FO179" s="22"/>
      <c r="FP179" s="22"/>
      <c r="FQ179" s="22"/>
      <c r="FR179" s="22"/>
      <c r="FS179" s="22"/>
      <c r="FT179" s="22"/>
      <c r="FU179" s="22"/>
      <c r="FV179" s="22"/>
      <c r="FW179" s="22"/>
      <c r="FX179" s="22"/>
      <c r="FY179" s="22"/>
      <c r="FZ179" s="22"/>
      <c r="GA179" s="22"/>
      <c r="GB179" s="22"/>
      <c r="GC179" s="22"/>
      <c r="GD179" s="22"/>
      <c r="GE179" s="22"/>
      <c r="GF179" s="22"/>
      <c r="GG179" s="22"/>
      <c r="GH179" s="22"/>
      <c r="GI179" s="22"/>
      <c r="GJ179" s="22"/>
      <c r="GK179" s="22"/>
      <c r="GL179" s="22"/>
      <c r="GM179" s="22"/>
      <c r="GN179" s="22"/>
      <c r="GO179" s="22"/>
      <c r="GP179" s="22"/>
      <c r="GQ179" s="22"/>
      <c r="GR179" s="22"/>
      <c r="GS179" s="22"/>
      <c r="GT179" s="22"/>
      <c r="GU179" s="22"/>
      <c r="GV179" s="22"/>
      <c r="GW179" s="22"/>
      <c r="GX179" s="22"/>
      <c r="GY179" s="22"/>
      <c r="GZ179" s="22"/>
      <c r="HA179" s="22"/>
      <c r="HB179" s="22"/>
      <c r="HC179" s="22"/>
      <c r="HD179" s="22"/>
      <c r="HE179" s="22"/>
      <c r="HF179" s="22"/>
      <c r="HG179" s="22"/>
      <c r="HH179" s="22"/>
      <c r="HI179" s="22"/>
      <c r="HJ179" s="22"/>
      <c r="HK179" s="22"/>
      <c r="HL179" s="22"/>
      <c r="HM179" s="22"/>
      <c r="HN179" s="22"/>
      <c r="HO179" s="22"/>
      <c r="HP179" s="22"/>
      <c r="HQ179" s="22"/>
      <c r="HR179" s="22"/>
      <c r="HS179" s="22"/>
      <c r="HT179" s="22"/>
      <c r="HU179" s="22"/>
      <c r="HV179" s="22"/>
      <c r="HW179" s="22"/>
      <c r="HX179" s="22"/>
      <c r="HY179" s="22"/>
      <c r="HZ179" s="22"/>
      <c r="IA179" s="22"/>
      <c r="IB179" s="22"/>
      <c r="IC179" s="22"/>
      <c r="ID179" s="22"/>
      <c r="IE179" s="22"/>
      <c r="IF179" s="22"/>
      <c r="IG179" s="22"/>
      <c r="IH179" s="22"/>
      <c r="II179" s="22"/>
      <c r="IJ179" s="22"/>
      <c r="IK179" s="22"/>
      <c r="IL179" s="22"/>
      <c r="IM179" s="22"/>
      <c r="IN179" s="22"/>
      <c r="IO179" s="22"/>
      <c r="IP179" s="22"/>
      <c r="IQ179" s="22"/>
      <c r="IR179" s="22"/>
      <c r="IS179" s="22"/>
      <c r="IT179" s="22"/>
      <c r="IU179" s="22"/>
      <c r="IV179" s="22"/>
    </row>
    <row r="180" spans="1:256" s="64" customFormat="1" ht="15" customHeight="1">
      <c r="A180" s="25" t="s">
        <v>1257</v>
      </c>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c r="CV180" s="22"/>
      <c r="CW180" s="22"/>
      <c r="CX180" s="22"/>
      <c r="CY180" s="22"/>
      <c r="CZ180" s="22"/>
      <c r="DA180" s="22"/>
      <c r="DB180" s="22"/>
      <c r="DC180" s="22"/>
      <c r="DD180" s="22"/>
      <c r="DE180" s="22"/>
      <c r="DF180" s="22"/>
      <c r="DG180" s="22"/>
      <c r="DH180" s="22"/>
      <c r="DI180" s="22"/>
      <c r="DJ180" s="22"/>
      <c r="DK180" s="22"/>
      <c r="DL180" s="22"/>
      <c r="DM180" s="22"/>
      <c r="DN180" s="22"/>
      <c r="DO180" s="22"/>
      <c r="DP180" s="22"/>
      <c r="DQ180" s="22"/>
      <c r="DR180" s="22"/>
      <c r="DS180" s="22"/>
      <c r="DT180" s="22"/>
      <c r="DU180" s="22"/>
      <c r="DV180" s="22"/>
      <c r="DW180" s="22"/>
      <c r="DX180" s="22"/>
      <c r="DY180" s="22"/>
      <c r="DZ180" s="22"/>
      <c r="EA180" s="22"/>
      <c r="EB180" s="22"/>
      <c r="EC180" s="22"/>
      <c r="ED180" s="22"/>
      <c r="EE180" s="22"/>
      <c r="EF180" s="22"/>
      <c r="EG180" s="22"/>
      <c r="EH180" s="22"/>
      <c r="EI180" s="22"/>
      <c r="EJ180" s="22"/>
      <c r="EK180" s="22"/>
      <c r="EL180" s="22"/>
      <c r="EM180" s="22"/>
      <c r="EN180" s="22"/>
      <c r="EO180" s="22"/>
      <c r="EP180" s="22"/>
      <c r="EQ180" s="22"/>
      <c r="ER180" s="22"/>
      <c r="ES180" s="22"/>
      <c r="ET180" s="22"/>
      <c r="EU180" s="22"/>
      <c r="EV180" s="22"/>
      <c r="EW180" s="22"/>
      <c r="EX180" s="22"/>
      <c r="EY180" s="22"/>
      <c r="EZ180" s="22"/>
      <c r="FA180" s="22"/>
      <c r="FB180" s="22"/>
      <c r="FC180" s="22"/>
      <c r="FD180" s="22"/>
      <c r="FE180" s="22"/>
      <c r="FF180" s="22"/>
      <c r="FG180" s="22"/>
      <c r="FH180" s="22"/>
      <c r="FI180" s="22"/>
      <c r="FJ180" s="22"/>
      <c r="FK180" s="22"/>
      <c r="FL180" s="22"/>
      <c r="FM180" s="22"/>
      <c r="FN180" s="22"/>
      <c r="FO180" s="22"/>
      <c r="FP180" s="22"/>
      <c r="FQ180" s="22"/>
      <c r="FR180" s="22"/>
      <c r="FS180" s="22"/>
      <c r="FT180" s="22"/>
      <c r="FU180" s="22"/>
      <c r="FV180" s="22"/>
      <c r="FW180" s="22"/>
      <c r="FX180" s="22"/>
      <c r="FY180" s="22"/>
      <c r="FZ180" s="22"/>
      <c r="GA180" s="22"/>
      <c r="GB180" s="22"/>
      <c r="GC180" s="22"/>
      <c r="GD180" s="22"/>
      <c r="GE180" s="22"/>
      <c r="GF180" s="22"/>
      <c r="GG180" s="22"/>
      <c r="GH180" s="22"/>
      <c r="GI180" s="22"/>
      <c r="GJ180" s="22"/>
      <c r="GK180" s="22"/>
      <c r="GL180" s="22"/>
      <c r="GM180" s="22"/>
      <c r="GN180" s="22"/>
      <c r="GO180" s="22"/>
      <c r="GP180" s="22"/>
      <c r="GQ180" s="22"/>
      <c r="GR180" s="22"/>
      <c r="GS180" s="22"/>
      <c r="GT180" s="22"/>
      <c r="GU180" s="22"/>
      <c r="GV180" s="22"/>
      <c r="GW180" s="22"/>
      <c r="GX180" s="22"/>
      <c r="GY180" s="22"/>
      <c r="GZ180" s="22"/>
      <c r="HA180" s="22"/>
      <c r="HB180" s="22"/>
      <c r="HC180" s="22"/>
      <c r="HD180" s="22"/>
      <c r="HE180" s="22"/>
      <c r="HF180" s="22"/>
      <c r="HG180" s="22"/>
      <c r="HH180" s="22"/>
      <c r="HI180" s="22"/>
      <c r="HJ180" s="22"/>
      <c r="HK180" s="22"/>
      <c r="HL180" s="22"/>
      <c r="HM180" s="22"/>
      <c r="HN180" s="22"/>
      <c r="HO180" s="22"/>
      <c r="HP180" s="22"/>
      <c r="HQ180" s="22"/>
      <c r="HR180" s="22"/>
      <c r="HS180" s="22"/>
      <c r="HT180" s="22"/>
      <c r="HU180" s="22"/>
      <c r="HV180" s="22"/>
      <c r="HW180" s="22"/>
      <c r="HX180" s="22"/>
      <c r="HY180" s="22"/>
      <c r="HZ180" s="22"/>
      <c r="IA180" s="22"/>
      <c r="IB180" s="22"/>
      <c r="IC180" s="22"/>
      <c r="ID180" s="22"/>
      <c r="IE180" s="22"/>
      <c r="IF180" s="22"/>
      <c r="IG180" s="22"/>
      <c r="IH180" s="22"/>
      <c r="II180" s="22"/>
      <c r="IJ180" s="22"/>
      <c r="IK180" s="22"/>
      <c r="IL180" s="22"/>
      <c r="IM180" s="22"/>
      <c r="IN180" s="22"/>
      <c r="IO180" s="22"/>
      <c r="IP180" s="22"/>
      <c r="IQ180" s="22"/>
      <c r="IR180" s="22"/>
      <c r="IS180" s="22"/>
      <c r="IT180" s="22"/>
      <c r="IU180" s="22"/>
      <c r="IV180" s="22"/>
    </row>
    <row r="181" spans="1:256" s="26" customFormat="1" ht="15" customHeight="1">
      <c r="A181" s="26" t="s">
        <v>949</v>
      </c>
    </row>
    <row r="182" spans="1:256" s="64" customFormat="1" ht="15" customHeight="1">
      <c r="A182" s="25" t="s">
        <v>1023</v>
      </c>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c r="CV182" s="22"/>
      <c r="CW182" s="22"/>
      <c r="CX182" s="22"/>
      <c r="CY182" s="22"/>
      <c r="CZ182" s="22"/>
      <c r="DA182" s="22"/>
      <c r="DB182" s="22"/>
      <c r="DC182" s="22"/>
      <c r="DD182" s="22"/>
      <c r="DE182" s="22"/>
      <c r="DF182" s="22"/>
      <c r="DG182" s="22"/>
      <c r="DH182" s="22"/>
      <c r="DI182" s="22"/>
      <c r="DJ182" s="22"/>
      <c r="DK182" s="22"/>
      <c r="DL182" s="22"/>
      <c r="DM182" s="22"/>
      <c r="DN182" s="22"/>
      <c r="DO182" s="22"/>
      <c r="DP182" s="22"/>
      <c r="DQ182" s="22"/>
      <c r="DR182" s="22"/>
      <c r="DS182" s="22"/>
      <c r="DT182" s="22"/>
      <c r="DU182" s="22"/>
      <c r="DV182" s="22"/>
      <c r="DW182" s="22"/>
      <c r="DX182" s="22"/>
      <c r="DY182" s="22"/>
      <c r="DZ182" s="22"/>
      <c r="EA182" s="22"/>
      <c r="EB182" s="22"/>
      <c r="EC182" s="22"/>
      <c r="ED182" s="22"/>
      <c r="EE182" s="22"/>
      <c r="EF182" s="22"/>
      <c r="EG182" s="22"/>
      <c r="EH182" s="22"/>
      <c r="EI182" s="22"/>
      <c r="EJ182" s="22"/>
      <c r="EK182" s="22"/>
      <c r="EL182" s="22"/>
      <c r="EM182" s="22"/>
      <c r="EN182" s="22"/>
      <c r="EO182" s="22"/>
      <c r="EP182" s="22"/>
      <c r="EQ182" s="22"/>
      <c r="ER182" s="22"/>
      <c r="ES182" s="22"/>
      <c r="ET182" s="22"/>
      <c r="EU182" s="22"/>
      <c r="EV182" s="22"/>
      <c r="EW182" s="22"/>
      <c r="EX182" s="22"/>
      <c r="EY182" s="22"/>
      <c r="EZ182" s="22"/>
      <c r="FA182" s="22"/>
      <c r="FB182" s="22"/>
      <c r="FC182" s="22"/>
      <c r="FD182" s="22"/>
      <c r="FE182" s="22"/>
      <c r="FF182" s="22"/>
      <c r="FG182" s="22"/>
      <c r="FH182" s="22"/>
      <c r="FI182" s="22"/>
      <c r="FJ182" s="22"/>
      <c r="FK182" s="22"/>
      <c r="FL182" s="22"/>
      <c r="FM182" s="22"/>
      <c r="FN182" s="22"/>
      <c r="FO182" s="22"/>
      <c r="FP182" s="22"/>
      <c r="FQ182" s="22"/>
      <c r="FR182" s="22"/>
      <c r="FS182" s="22"/>
      <c r="FT182" s="22"/>
      <c r="FU182" s="22"/>
      <c r="FV182" s="22"/>
      <c r="FW182" s="22"/>
      <c r="FX182" s="22"/>
      <c r="FY182" s="22"/>
      <c r="FZ182" s="22"/>
      <c r="GA182" s="22"/>
      <c r="GB182" s="22"/>
      <c r="GC182" s="22"/>
      <c r="GD182" s="22"/>
      <c r="GE182" s="22"/>
      <c r="GF182" s="22"/>
      <c r="GG182" s="22"/>
      <c r="GH182" s="22"/>
      <c r="GI182" s="22"/>
      <c r="GJ182" s="22"/>
      <c r="GK182" s="22"/>
      <c r="GL182" s="22"/>
      <c r="GM182" s="22"/>
      <c r="GN182" s="22"/>
      <c r="GO182" s="22"/>
      <c r="GP182" s="22"/>
      <c r="GQ182" s="22"/>
      <c r="GR182" s="22"/>
      <c r="GS182" s="22"/>
      <c r="GT182" s="22"/>
      <c r="GU182" s="22"/>
      <c r="GV182" s="22"/>
      <c r="GW182" s="22"/>
      <c r="GX182" s="22"/>
      <c r="GY182" s="22"/>
      <c r="GZ182" s="22"/>
      <c r="HA182" s="22"/>
      <c r="HB182" s="22"/>
      <c r="HC182" s="22"/>
      <c r="HD182" s="22"/>
      <c r="HE182" s="22"/>
      <c r="HF182" s="22"/>
      <c r="HG182" s="22"/>
      <c r="HH182" s="22"/>
      <c r="HI182" s="22"/>
      <c r="HJ182" s="22"/>
      <c r="HK182" s="22"/>
      <c r="HL182" s="22"/>
      <c r="HM182" s="22"/>
      <c r="HN182" s="22"/>
      <c r="HO182" s="22"/>
      <c r="HP182" s="22"/>
      <c r="HQ182" s="22"/>
      <c r="HR182" s="22"/>
      <c r="HS182" s="22"/>
      <c r="HT182" s="22"/>
      <c r="HU182" s="22"/>
      <c r="HV182" s="22"/>
      <c r="HW182" s="22"/>
      <c r="HX182" s="22"/>
      <c r="HY182" s="22"/>
      <c r="HZ182" s="22"/>
      <c r="IA182" s="22"/>
      <c r="IB182" s="22"/>
      <c r="IC182" s="22"/>
      <c r="ID182" s="22"/>
      <c r="IE182" s="22"/>
      <c r="IF182" s="22"/>
      <c r="IG182" s="22"/>
      <c r="IH182" s="22"/>
      <c r="II182" s="22"/>
      <c r="IJ182" s="22"/>
      <c r="IK182" s="22"/>
      <c r="IL182" s="22"/>
      <c r="IM182" s="22"/>
      <c r="IN182" s="22"/>
      <c r="IO182" s="22"/>
      <c r="IP182" s="22"/>
      <c r="IQ182" s="22"/>
      <c r="IR182" s="22"/>
      <c r="IS182" s="22"/>
      <c r="IT182" s="22"/>
      <c r="IU182" s="22"/>
      <c r="IV182" s="22"/>
    </row>
    <row r="183" spans="1:256" s="64" customFormat="1" ht="15" customHeight="1">
      <c r="A183" s="25" t="s">
        <v>1004</v>
      </c>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c r="BH183" s="22"/>
      <c r="BI183" s="22"/>
      <c r="BJ183" s="22"/>
      <c r="BK183" s="22"/>
      <c r="BL183" s="22"/>
      <c r="BM183" s="22"/>
      <c r="BN183" s="22"/>
      <c r="BO183" s="22"/>
      <c r="BP183" s="22"/>
      <c r="BQ183" s="22"/>
      <c r="BR183" s="22"/>
      <c r="BS183" s="22"/>
      <c r="BT183" s="22"/>
      <c r="BU183" s="22"/>
      <c r="BV183" s="22"/>
      <c r="BW183" s="22"/>
      <c r="BX183" s="22"/>
      <c r="BY183" s="22"/>
      <c r="BZ183" s="22"/>
      <c r="CA183" s="22"/>
      <c r="CB183" s="22"/>
      <c r="CC183" s="22"/>
      <c r="CD183" s="22"/>
      <c r="CE183" s="22"/>
      <c r="CF183" s="22"/>
      <c r="CG183" s="22"/>
      <c r="CH183" s="22"/>
      <c r="CI183" s="22"/>
      <c r="CJ183" s="22"/>
      <c r="CK183" s="22"/>
      <c r="CL183" s="22"/>
      <c r="CM183" s="22"/>
      <c r="CN183" s="22"/>
      <c r="CO183" s="22"/>
      <c r="CP183" s="22"/>
      <c r="CQ183" s="22"/>
      <c r="CR183" s="22"/>
      <c r="CS183" s="22"/>
      <c r="CT183" s="22"/>
      <c r="CU183" s="22"/>
      <c r="CV183" s="22"/>
      <c r="CW183" s="22"/>
      <c r="CX183" s="22"/>
      <c r="CY183" s="22"/>
      <c r="CZ183" s="22"/>
      <c r="DA183" s="22"/>
      <c r="DB183" s="22"/>
      <c r="DC183" s="22"/>
      <c r="DD183" s="22"/>
      <c r="DE183" s="22"/>
      <c r="DF183" s="22"/>
      <c r="DG183" s="22"/>
      <c r="DH183" s="22"/>
      <c r="DI183" s="22"/>
      <c r="DJ183" s="22"/>
      <c r="DK183" s="22"/>
      <c r="DL183" s="22"/>
      <c r="DM183" s="22"/>
      <c r="DN183" s="22"/>
      <c r="DO183" s="22"/>
      <c r="DP183" s="22"/>
      <c r="DQ183" s="22"/>
      <c r="DR183" s="22"/>
      <c r="DS183" s="22"/>
      <c r="DT183" s="22"/>
      <c r="DU183" s="22"/>
      <c r="DV183" s="22"/>
      <c r="DW183" s="22"/>
      <c r="DX183" s="22"/>
      <c r="DY183" s="22"/>
      <c r="DZ183" s="22"/>
      <c r="EA183" s="22"/>
      <c r="EB183" s="22"/>
      <c r="EC183" s="22"/>
      <c r="ED183" s="22"/>
      <c r="EE183" s="22"/>
      <c r="EF183" s="22"/>
      <c r="EG183" s="22"/>
      <c r="EH183" s="22"/>
      <c r="EI183" s="22"/>
      <c r="EJ183" s="22"/>
      <c r="EK183" s="22"/>
      <c r="EL183" s="22"/>
      <c r="EM183" s="22"/>
      <c r="EN183" s="22"/>
      <c r="EO183" s="22"/>
      <c r="EP183" s="22"/>
      <c r="EQ183" s="22"/>
      <c r="ER183" s="22"/>
      <c r="ES183" s="22"/>
      <c r="ET183" s="22"/>
      <c r="EU183" s="22"/>
      <c r="EV183" s="22"/>
      <c r="EW183" s="22"/>
      <c r="EX183" s="22"/>
      <c r="EY183" s="22"/>
      <c r="EZ183" s="22"/>
      <c r="FA183" s="22"/>
      <c r="FB183" s="22"/>
      <c r="FC183" s="22"/>
      <c r="FD183" s="22"/>
      <c r="FE183" s="22"/>
      <c r="FF183" s="22"/>
      <c r="FG183" s="22"/>
      <c r="FH183" s="22"/>
      <c r="FI183" s="22"/>
      <c r="FJ183" s="22"/>
      <c r="FK183" s="22"/>
      <c r="FL183" s="22"/>
      <c r="FM183" s="22"/>
      <c r="FN183" s="22"/>
      <c r="FO183" s="22"/>
      <c r="FP183" s="22"/>
      <c r="FQ183" s="22"/>
      <c r="FR183" s="22"/>
      <c r="FS183" s="22"/>
      <c r="FT183" s="22"/>
      <c r="FU183" s="22"/>
      <c r="FV183" s="22"/>
      <c r="FW183" s="22"/>
      <c r="FX183" s="22"/>
      <c r="FY183" s="22"/>
      <c r="FZ183" s="22"/>
      <c r="GA183" s="22"/>
      <c r="GB183" s="22"/>
      <c r="GC183" s="22"/>
      <c r="GD183" s="22"/>
      <c r="GE183" s="22"/>
      <c r="GF183" s="22"/>
      <c r="GG183" s="22"/>
      <c r="GH183" s="22"/>
      <c r="GI183" s="22"/>
      <c r="GJ183" s="22"/>
      <c r="GK183" s="22"/>
      <c r="GL183" s="22"/>
      <c r="GM183" s="22"/>
      <c r="GN183" s="22"/>
      <c r="GO183" s="22"/>
      <c r="GP183" s="22"/>
      <c r="GQ183" s="22"/>
      <c r="GR183" s="22"/>
      <c r="GS183" s="22"/>
      <c r="GT183" s="22"/>
      <c r="GU183" s="22"/>
      <c r="GV183" s="22"/>
      <c r="GW183" s="22"/>
      <c r="GX183" s="22"/>
      <c r="GY183" s="22"/>
      <c r="GZ183" s="22"/>
      <c r="HA183" s="22"/>
      <c r="HB183" s="22"/>
      <c r="HC183" s="22"/>
      <c r="HD183" s="22"/>
      <c r="HE183" s="22"/>
      <c r="HF183" s="22"/>
      <c r="HG183" s="22"/>
      <c r="HH183" s="22"/>
      <c r="HI183" s="22"/>
      <c r="HJ183" s="22"/>
      <c r="HK183" s="22"/>
      <c r="HL183" s="22"/>
      <c r="HM183" s="22"/>
      <c r="HN183" s="22"/>
      <c r="HO183" s="22"/>
      <c r="HP183" s="22"/>
      <c r="HQ183" s="22"/>
      <c r="HR183" s="22"/>
      <c r="HS183" s="22"/>
      <c r="HT183" s="22"/>
      <c r="HU183" s="22"/>
      <c r="HV183" s="22"/>
      <c r="HW183" s="22"/>
      <c r="HX183" s="22"/>
      <c r="HY183" s="22"/>
      <c r="HZ183" s="22"/>
      <c r="IA183" s="22"/>
      <c r="IB183" s="22"/>
      <c r="IC183" s="22"/>
      <c r="ID183" s="22"/>
      <c r="IE183" s="22"/>
      <c r="IF183" s="22"/>
      <c r="IG183" s="22"/>
      <c r="IH183" s="22"/>
      <c r="II183" s="22"/>
      <c r="IJ183" s="22"/>
      <c r="IK183" s="22"/>
      <c r="IL183" s="22"/>
      <c r="IM183" s="22"/>
      <c r="IN183" s="22"/>
      <c r="IO183" s="22"/>
      <c r="IP183" s="22"/>
      <c r="IQ183" s="22"/>
      <c r="IR183" s="22"/>
      <c r="IS183" s="22"/>
      <c r="IT183" s="22"/>
      <c r="IU183" s="22"/>
      <c r="IV183" s="22"/>
    </row>
    <row r="184" spans="1:256" s="64" customFormat="1" ht="15" customHeight="1">
      <c r="A184" s="25" t="s">
        <v>1077</v>
      </c>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c r="BH184" s="22"/>
      <c r="BI184" s="22"/>
      <c r="BJ184" s="22"/>
      <c r="BK184" s="22"/>
      <c r="BL184" s="22"/>
      <c r="BM184" s="22"/>
      <c r="BN184" s="22"/>
      <c r="BO184" s="22"/>
      <c r="BP184" s="22"/>
      <c r="BQ184" s="22"/>
      <c r="BR184" s="22"/>
      <c r="BS184" s="22"/>
      <c r="BT184" s="22"/>
      <c r="BU184" s="22"/>
      <c r="BV184" s="22"/>
      <c r="BW184" s="22"/>
      <c r="BX184" s="22"/>
      <c r="BY184" s="22"/>
      <c r="BZ184" s="22"/>
      <c r="CA184" s="22"/>
      <c r="CB184" s="22"/>
      <c r="CC184" s="22"/>
      <c r="CD184" s="22"/>
      <c r="CE184" s="22"/>
      <c r="CF184" s="22"/>
      <c r="CG184" s="22"/>
      <c r="CH184" s="22"/>
      <c r="CI184" s="22"/>
      <c r="CJ184" s="22"/>
      <c r="CK184" s="22"/>
      <c r="CL184" s="22"/>
      <c r="CM184" s="22"/>
      <c r="CN184" s="22"/>
      <c r="CO184" s="22"/>
      <c r="CP184" s="22"/>
      <c r="CQ184" s="22"/>
      <c r="CR184" s="22"/>
      <c r="CS184" s="22"/>
      <c r="CT184" s="22"/>
      <c r="CU184" s="22"/>
      <c r="CV184" s="22"/>
      <c r="CW184" s="22"/>
      <c r="CX184" s="22"/>
      <c r="CY184" s="22"/>
      <c r="CZ184" s="22"/>
      <c r="DA184" s="22"/>
      <c r="DB184" s="22"/>
      <c r="DC184" s="22"/>
      <c r="DD184" s="22"/>
      <c r="DE184" s="22"/>
      <c r="DF184" s="22"/>
      <c r="DG184" s="22"/>
      <c r="DH184" s="22"/>
      <c r="DI184" s="22"/>
      <c r="DJ184" s="22"/>
      <c r="DK184" s="22"/>
      <c r="DL184" s="22"/>
      <c r="DM184" s="22"/>
      <c r="DN184" s="22"/>
      <c r="DO184" s="22"/>
      <c r="DP184" s="22"/>
      <c r="DQ184" s="22"/>
      <c r="DR184" s="22"/>
      <c r="DS184" s="22"/>
      <c r="DT184" s="22"/>
      <c r="DU184" s="22"/>
      <c r="DV184" s="22"/>
      <c r="DW184" s="22"/>
      <c r="DX184" s="22"/>
      <c r="DY184" s="22"/>
      <c r="DZ184" s="22"/>
      <c r="EA184" s="22"/>
      <c r="EB184" s="22"/>
      <c r="EC184" s="22"/>
      <c r="ED184" s="22"/>
      <c r="EE184" s="22"/>
      <c r="EF184" s="22"/>
      <c r="EG184" s="22"/>
      <c r="EH184" s="22"/>
      <c r="EI184" s="22"/>
      <c r="EJ184" s="22"/>
      <c r="EK184" s="22"/>
      <c r="EL184" s="22"/>
      <c r="EM184" s="22"/>
      <c r="EN184" s="22"/>
      <c r="EO184" s="22"/>
      <c r="EP184" s="22"/>
      <c r="EQ184" s="22"/>
      <c r="ER184" s="22"/>
      <c r="ES184" s="22"/>
      <c r="ET184" s="22"/>
      <c r="EU184" s="22"/>
      <c r="EV184" s="22"/>
      <c r="EW184" s="22"/>
      <c r="EX184" s="22"/>
      <c r="EY184" s="22"/>
      <c r="EZ184" s="22"/>
      <c r="FA184" s="22"/>
      <c r="FB184" s="22"/>
      <c r="FC184" s="22"/>
      <c r="FD184" s="22"/>
      <c r="FE184" s="22"/>
      <c r="FF184" s="22"/>
      <c r="FG184" s="22"/>
      <c r="FH184" s="22"/>
      <c r="FI184" s="22"/>
      <c r="FJ184" s="22"/>
      <c r="FK184" s="22"/>
      <c r="FL184" s="22"/>
      <c r="FM184" s="22"/>
      <c r="FN184" s="22"/>
      <c r="FO184" s="22"/>
      <c r="FP184" s="22"/>
      <c r="FQ184" s="22"/>
      <c r="FR184" s="22"/>
      <c r="FS184" s="22"/>
      <c r="FT184" s="22"/>
      <c r="FU184" s="22"/>
      <c r="FV184" s="22"/>
      <c r="FW184" s="22"/>
      <c r="FX184" s="22"/>
      <c r="FY184" s="22"/>
      <c r="FZ184" s="22"/>
      <c r="GA184" s="22"/>
      <c r="GB184" s="22"/>
      <c r="GC184" s="22"/>
      <c r="GD184" s="22"/>
      <c r="GE184" s="22"/>
      <c r="GF184" s="22"/>
      <c r="GG184" s="22"/>
      <c r="GH184" s="22"/>
      <c r="GI184" s="22"/>
      <c r="GJ184" s="22"/>
      <c r="GK184" s="22"/>
      <c r="GL184" s="22"/>
      <c r="GM184" s="22"/>
      <c r="GN184" s="22"/>
      <c r="GO184" s="22"/>
      <c r="GP184" s="22"/>
      <c r="GQ184" s="22"/>
      <c r="GR184" s="22"/>
      <c r="GS184" s="22"/>
      <c r="GT184" s="22"/>
      <c r="GU184" s="22"/>
      <c r="GV184" s="22"/>
      <c r="GW184" s="22"/>
      <c r="GX184" s="22"/>
      <c r="GY184" s="22"/>
      <c r="GZ184" s="22"/>
      <c r="HA184" s="22"/>
      <c r="HB184" s="22"/>
      <c r="HC184" s="22"/>
      <c r="HD184" s="22"/>
      <c r="HE184" s="22"/>
      <c r="HF184" s="22"/>
      <c r="HG184" s="22"/>
      <c r="HH184" s="22"/>
      <c r="HI184" s="22"/>
      <c r="HJ184" s="22"/>
      <c r="HK184" s="22"/>
      <c r="HL184" s="22"/>
      <c r="HM184" s="22"/>
      <c r="HN184" s="22"/>
      <c r="HO184" s="22"/>
      <c r="HP184" s="22"/>
      <c r="HQ184" s="22"/>
      <c r="HR184" s="22"/>
      <c r="HS184" s="22"/>
      <c r="HT184" s="22"/>
      <c r="HU184" s="22"/>
      <c r="HV184" s="22"/>
      <c r="HW184" s="22"/>
      <c r="HX184" s="22"/>
      <c r="HY184" s="22"/>
      <c r="HZ184" s="22"/>
      <c r="IA184" s="22"/>
      <c r="IB184" s="22"/>
      <c r="IC184" s="22"/>
      <c r="ID184" s="22"/>
      <c r="IE184" s="22"/>
      <c r="IF184" s="22"/>
      <c r="IG184" s="22"/>
      <c r="IH184" s="22"/>
      <c r="II184" s="22"/>
      <c r="IJ184" s="22"/>
      <c r="IK184" s="22"/>
      <c r="IL184" s="22"/>
      <c r="IM184" s="22"/>
      <c r="IN184" s="22"/>
      <c r="IO184" s="22"/>
      <c r="IP184" s="22"/>
      <c r="IQ184" s="22"/>
      <c r="IR184" s="22"/>
      <c r="IS184" s="22"/>
      <c r="IT184" s="22"/>
      <c r="IU184" s="22"/>
      <c r="IV184" s="22"/>
    </row>
    <row r="185" spans="1:256" s="64" customFormat="1" ht="15" customHeight="1">
      <c r="A185" s="25" t="s">
        <v>1258</v>
      </c>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c r="CV185" s="22"/>
      <c r="CW185" s="22"/>
      <c r="CX185" s="22"/>
      <c r="CY185" s="22"/>
      <c r="CZ185" s="22"/>
      <c r="DA185" s="22"/>
      <c r="DB185" s="22"/>
      <c r="DC185" s="22"/>
      <c r="DD185" s="22"/>
      <c r="DE185" s="22"/>
      <c r="DF185" s="22"/>
      <c r="DG185" s="22"/>
      <c r="DH185" s="22"/>
      <c r="DI185" s="22"/>
      <c r="DJ185" s="22"/>
      <c r="DK185" s="22"/>
      <c r="DL185" s="22"/>
      <c r="DM185" s="22"/>
      <c r="DN185" s="22"/>
      <c r="DO185" s="22"/>
      <c r="DP185" s="22"/>
      <c r="DQ185" s="22"/>
      <c r="DR185" s="22"/>
      <c r="DS185" s="22"/>
      <c r="DT185" s="22"/>
      <c r="DU185" s="22"/>
      <c r="DV185" s="22"/>
      <c r="DW185" s="22"/>
      <c r="DX185" s="22"/>
      <c r="DY185" s="22"/>
      <c r="DZ185" s="22"/>
      <c r="EA185" s="22"/>
      <c r="EB185" s="22"/>
      <c r="EC185" s="22"/>
      <c r="ED185" s="22"/>
      <c r="EE185" s="22"/>
      <c r="EF185" s="22"/>
      <c r="EG185" s="22"/>
      <c r="EH185" s="22"/>
      <c r="EI185" s="22"/>
      <c r="EJ185" s="22"/>
      <c r="EK185" s="22"/>
      <c r="EL185" s="22"/>
      <c r="EM185" s="22"/>
      <c r="EN185" s="22"/>
      <c r="EO185" s="22"/>
      <c r="EP185" s="22"/>
      <c r="EQ185" s="22"/>
      <c r="ER185" s="22"/>
      <c r="ES185" s="22"/>
      <c r="ET185" s="22"/>
      <c r="EU185" s="22"/>
      <c r="EV185" s="22"/>
      <c r="EW185" s="22"/>
      <c r="EX185" s="22"/>
      <c r="EY185" s="22"/>
      <c r="EZ185" s="22"/>
      <c r="FA185" s="22"/>
      <c r="FB185" s="22"/>
      <c r="FC185" s="22"/>
      <c r="FD185" s="22"/>
      <c r="FE185" s="22"/>
      <c r="FF185" s="22"/>
      <c r="FG185" s="22"/>
      <c r="FH185" s="22"/>
      <c r="FI185" s="22"/>
      <c r="FJ185" s="22"/>
      <c r="FK185" s="22"/>
      <c r="FL185" s="22"/>
      <c r="FM185" s="22"/>
      <c r="FN185" s="22"/>
      <c r="FO185" s="22"/>
      <c r="FP185" s="22"/>
      <c r="FQ185" s="22"/>
      <c r="FR185" s="22"/>
      <c r="FS185" s="22"/>
      <c r="FT185" s="22"/>
      <c r="FU185" s="22"/>
      <c r="FV185" s="22"/>
      <c r="FW185" s="22"/>
      <c r="FX185" s="22"/>
      <c r="FY185" s="22"/>
      <c r="FZ185" s="22"/>
      <c r="GA185" s="22"/>
      <c r="GB185" s="22"/>
      <c r="GC185" s="22"/>
      <c r="GD185" s="22"/>
      <c r="GE185" s="22"/>
      <c r="GF185" s="22"/>
      <c r="GG185" s="22"/>
      <c r="GH185" s="22"/>
      <c r="GI185" s="22"/>
      <c r="GJ185" s="22"/>
      <c r="GK185" s="22"/>
      <c r="GL185" s="22"/>
      <c r="GM185" s="22"/>
      <c r="GN185" s="22"/>
      <c r="GO185" s="22"/>
      <c r="GP185" s="22"/>
      <c r="GQ185" s="22"/>
      <c r="GR185" s="22"/>
      <c r="GS185" s="22"/>
      <c r="GT185" s="22"/>
      <c r="GU185" s="22"/>
      <c r="GV185" s="22"/>
      <c r="GW185" s="22"/>
      <c r="GX185" s="22"/>
      <c r="GY185" s="22"/>
      <c r="GZ185" s="22"/>
      <c r="HA185" s="22"/>
      <c r="HB185" s="22"/>
      <c r="HC185" s="22"/>
      <c r="HD185" s="22"/>
      <c r="HE185" s="22"/>
      <c r="HF185" s="22"/>
      <c r="HG185" s="22"/>
      <c r="HH185" s="22"/>
      <c r="HI185" s="22"/>
      <c r="HJ185" s="22"/>
      <c r="HK185" s="22"/>
      <c r="HL185" s="22"/>
      <c r="HM185" s="22"/>
      <c r="HN185" s="22"/>
      <c r="HO185" s="22"/>
      <c r="HP185" s="22"/>
      <c r="HQ185" s="22"/>
      <c r="HR185" s="22"/>
      <c r="HS185" s="22"/>
      <c r="HT185" s="22"/>
      <c r="HU185" s="22"/>
      <c r="HV185" s="22"/>
      <c r="HW185" s="22"/>
      <c r="HX185" s="22"/>
      <c r="HY185" s="22"/>
      <c r="HZ185" s="22"/>
      <c r="IA185" s="22"/>
      <c r="IB185" s="22"/>
      <c r="IC185" s="22"/>
      <c r="ID185" s="22"/>
      <c r="IE185" s="22"/>
      <c r="IF185" s="22"/>
      <c r="IG185" s="22"/>
      <c r="IH185" s="22"/>
      <c r="II185" s="22"/>
      <c r="IJ185" s="22"/>
      <c r="IK185" s="22"/>
      <c r="IL185" s="22"/>
      <c r="IM185" s="22"/>
      <c r="IN185" s="22"/>
      <c r="IO185" s="22"/>
      <c r="IP185" s="22"/>
      <c r="IQ185" s="22"/>
      <c r="IR185" s="22"/>
      <c r="IS185" s="22"/>
      <c r="IT185" s="22"/>
      <c r="IU185" s="22"/>
      <c r="IV185" s="22"/>
    </row>
    <row r="186" spans="1:256" s="26" customFormat="1" ht="15" customHeight="1">
      <c r="A186" s="26" t="s">
        <v>950</v>
      </c>
    </row>
    <row r="187" spans="1:256" s="64" customFormat="1" ht="15" customHeight="1">
      <c r="A187" s="25" t="s">
        <v>902</v>
      </c>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c r="BH187" s="22"/>
      <c r="BI187" s="22"/>
      <c r="BJ187" s="22"/>
      <c r="BK187" s="22"/>
      <c r="BL187" s="22"/>
      <c r="BM187" s="22"/>
      <c r="BN187" s="22"/>
      <c r="BO187" s="22"/>
      <c r="BP187" s="22"/>
      <c r="BQ187" s="22"/>
      <c r="BR187" s="22"/>
      <c r="BS187" s="22"/>
      <c r="BT187" s="22"/>
      <c r="BU187" s="22"/>
      <c r="BV187" s="22"/>
      <c r="BW187" s="22"/>
      <c r="BX187" s="22"/>
      <c r="BY187" s="22"/>
      <c r="BZ187" s="22"/>
      <c r="CA187" s="22"/>
      <c r="CB187" s="22"/>
      <c r="CC187" s="22"/>
      <c r="CD187" s="22"/>
      <c r="CE187" s="22"/>
      <c r="CF187" s="22"/>
      <c r="CG187" s="22"/>
      <c r="CH187" s="22"/>
      <c r="CI187" s="22"/>
      <c r="CJ187" s="22"/>
      <c r="CK187" s="22"/>
      <c r="CL187" s="22"/>
      <c r="CM187" s="22"/>
      <c r="CN187" s="22"/>
      <c r="CO187" s="22"/>
      <c r="CP187" s="22"/>
      <c r="CQ187" s="22"/>
      <c r="CR187" s="22"/>
      <c r="CS187" s="22"/>
      <c r="CT187" s="22"/>
      <c r="CU187" s="22"/>
      <c r="CV187" s="22"/>
      <c r="CW187" s="22"/>
      <c r="CX187" s="22"/>
      <c r="CY187" s="22"/>
      <c r="CZ187" s="22"/>
      <c r="DA187" s="22"/>
      <c r="DB187" s="22"/>
      <c r="DC187" s="22"/>
      <c r="DD187" s="22"/>
      <c r="DE187" s="22"/>
      <c r="DF187" s="22"/>
      <c r="DG187" s="22"/>
      <c r="DH187" s="22"/>
      <c r="DI187" s="22"/>
      <c r="DJ187" s="22"/>
      <c r="DK187" s="22"/>
      <c r="DL187" s="22"/>
      <c r="DM187" s="22"/>
      <c r="DN187" s="22"/>
      <c r="DO187" s="22"/>
      <c r="DP187" s="22"/>
      <c r="DQ187" s="22"/>
      <c r="DR187" s="22"/>
      <c r="DS187" s="22"/>
      <c r="DT187" s="22"/>
      <c r="DU187" s="22"/>
      <c r="DV187" s="22"/>
      <c r="DW187" s="22"/>
      <c r="DX187" s="22"/>
      <c r="DY187" s="22"/>
      <c r="DZ187" s="22"/>
      <c r="EA187" s="22"/>
      <c r="EB187" s="22"/>
      <c r="EC187" s="22"/>
      <c r="ED187" s="22"/>
      <c r="EE187" s="22"/>
      <c r="EF187" s="22"/>
      <c r="EG187" s="22"/>
      <c r="EH187" s="22"/>
      <c r="EI187" s="22"/>
      <c r="EJ187" s="22"/>
      <c r="EK187" s="22"/>
      <c r="EL187" s="22"/>
      <c r="EM187" s="22"/>
      <c r="EN187" s="22"/>
      <c r="EO187" s="22"/>
      <c r="EP187" s="22"/>
      <c r="EQ187" s="22"/>
      <c r="ER187" s="22"/>
      <c r="ES187" s="22"/>
      <c r="ET187" s="22"/>
      <c r="EU187" s="22"/>
      <c r="EV187" s="22"/>
      <c r="EW187" s="22"/>
      <c r="EX187" s="22"/>
      <c r="EY187" s="22"/>
      <c r="EZ187" s="22"/>
      <c r="FA187" s="22"/>
      <c r="FB187" s="22"/>
      <c r="FC187" s="22"/>
      <c r="FD187" s="22"/>
      <c r="FE187" s="22"/>
      <c r="FF187" s="22"/>
      <c r="FG187" s="22"/>
      <c r="FH187" s="22"/>
      <c r="FI187" s="22"/>
      <c r="FJ187" s="22"/>
      <c r="FK187" s="22"/>
      <c r="FL187" s="22"/>
      <c r="FM187" s="22"/>
      <c r="FN187" s="22"/>
      <c r="FO187" s="22"/>
      <c r="FP187" s="22"/>
      <c r="FQ187" s="22"/>
      <c r="FR187" s="22"/>
      <c r="FS187" s="22"/>
      <c r="FT187" s="22"/>
      <c r="FU187" s="22"/>
      <c r="FV187" s="22"/>
      <c r="FW187" s="22"/>
      <c r="FX187" s="22"/>
      <c r="FY187" s="22"/>
      <c r="FZ187" s="22"/>
      <c r="GA187" s="22"/>
      <c r="GB187" s="22"/>
      <c r="GC187" s="22"/>
      <c r="GD187" s="22"/>
      <c r="GE187" s="22"/>
      <c r="GF187" s="22"/>
      <c r="GG187" s="22"/>
      <c r="GH187" s="22"/>
      <c r="GI187" s="22"/>
      <c r="GJ187" s="22"/>
      <c r="GK187" s="22"/>
      <c r="GL187" s="22"/>
      <c r="GM187" s="22"/>
      <c r="GN187" s="22"/>
      <c r="GO187" s="22"/>
      <c r="GP187" s="22"/>
      <c r="GQ187" s="22"/>
      <c r="GR187" s="22"/>
      <c r="GS187" s="22"/>
      <c r="GT187" s="22"/>
      <c r="GU187" s="22"/>
      <c r="GV187" s="22"/>
      <c r="GW187" s="22"/>
      <c r="GX187" s="22"/>
      <c r="GY187" s="22"/>
      <c r="GZ187" s="22"/>
      <c r="HA187" s="22"/>
      <c r="HB187" s="22"/>
      <c r="HC187" s="22"/>
      <c r="HD187" s="22"/>
      <c r="HE187" s="22"/>
      <c r="HF187" s="22"/>
      <c r="HG187" s="22"/>
      <c r="HH187" s="22"/>
      <c r="HI187" s="22"/>
      <c r="HJ187" s="22"/>
      <c r="HK187" s="22"/>
      <c r="HL187" s="22"/>
      <c r="HM187" s="22"/>
      <c r="HN187" s="22"/>
      <c r="HO187" s="22"/>
      <c r="HP187" s="22"/>
      <c r="HQ187" s="22"/>
      <c r="HR187" s="22"/>
      <c r="HS187" s="22"/>
      <c r="HT187" s="22"/>
      <c r="HU187" s="22"/>
      <c r="HV187" s="22"/>
      <c r="HW187" s="22"/>
      <c r="HX187" s="22"/>
      <c r="HY187" s="22"/>
      <c r="HZ187" s="22"/>
      <c r="IA187" s="22"/>
      <c r="IB187" s="22"/>
      <c r="IC187" s="22"/>
      <c r="ID187" s="22"/>
      <c r="IE187" s="22"/>
      <c r="IF187" s="22"/>
      <c r="IG187" s="22"/>
      <c r="IH187" s="22"/>
      <c r="II187" s="22"/>
      <c r="IJ187" s="22"/>
      <c r="IK187" s="22"/>
      <c r="IL187" s="22"/>
      <c r="IM187" s="22"/>
      <c r="IN187" s="22"/>
      <c r="IO187" s="22"/>
      <c r="IP187" s="22"/>
      <c r="IQ187" s="22"/>
      <c r="IR187" s="22"/>
      <c r="IS187" s="22"/>
      <c r="IT187" s="22"/>
      <c r="IU187" s="22"/>
      <c r="IV187" s="22"/>
    </row>
    <row r="188" spans="1:256" s="64" customFormat="1" ht="15" customHeight="1">
      <c r="A188" s="25" t="s">
        <v>1259</v>
      </c>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c r="CV188" s="22"/>
      <c r="CW188" s="22"/>
      <c r="CX188" s="22"/>
      <c r="CY188" s="22"/>
      <c r="CZ188" s="22"/>
      <c r="DA188" s="22"/>
      <c r="DB188" s="22"/>
      <c r="DC188" s="22"/>
      <c r="DD188" s="22"/>
      <c r="DE188" s="22"/>
      <c r="DF188" s="22"/>
      <c r="DG188" s="22"/>
      <c r="DH188" s="22"/>
      <c r="DI188" s="22"/>
      <c r="DJ188" s="22"/>
      <c r="DK188" s="22"/>
      <c r="DL188" s="22"/>
      <c r="DM188" s="22"/>
      <c r="DN188" s="22"/>
      <c r="DO188" s="22"/>
      <c r="DP188" s="22"/>
      <c r="DQ188" s="22"/>
      <c r="DR188" s="22"/>
      <c r="DS188" s="22"/>
      <c r="DT188" s="22"/>
      <c r="DU188" s="22"/>
      <c r="DV188" s="22"/>
      <c r="DW188" s="22"/>
      <c r="DX188" s="22"/>
      <c r="DY188" s="22"/>
      <c r="DZ188" s="22"/>
      <c r="EA188" s="22"/>
      <c r="EB188" s="22"/>
      <c r="EC188" s="22"/>
      <c r="ED188" s="22"/>
      <c r="EE188" s="22"/>
      <c r="EF188" s="22"/>
      <c r="EG188" s="22"/>
      <c r="EH188" s="22"/>
      <c r="EI188" s="22"/>
      <c r="EJ188" s="22"/>
      <c r="EK188" s="22"/>
      <c r="EL188" s="22"/>
      <c r="EM188" s="22"/>
      <c r="EN188" s="22"/>
      <c r="EO188" s="22"/>
      <c r="EP188" s="22"/>
      <c r="EQ188" s="22"/>
      <c r="ER188" s="22"/>
      <c r="ES188" s="22"/>
      <c r="ET188" s="22"/>
      <c r="EU188" s="22"/>
      <c r="EV188" s="22"/>
      <c r="EW188" s="22"/>
      <c r="EX188" s="22"/>
      <c r="EY188" s="22"/>
      <c r="EZ188" s="22"/>
      <c r="FA188" s="22"/>
      <c r="FB188" s="22"/>
      <c r="FC188" s="22"/>
      <c r="FD188" s="22"/>
      <c r="FE188" s="22"/>
      <c r="FF188" s="22"/>
      <c r="FG188" s="22"/>
      <c r="FH188" s="22"/>
      <c r="FI188" s="22"/>
      <c r="FJ188" s="22"/>
      <c r="FK188" s="22"/>
      <c r="FL188" s="22"/>
      <c r="FM188" s="22"/>
      <c r="FN188" s="22"/>
      <c r="FO188" s="22"/>
      <c r="FP188" s="22"/>
      <c r="FQ188" s="22"/>
      <c r="FR188" s="22"/>
      <c r="FS188" s="22"/>
      <c r="FT188" s="22"/>
      <c r="FU188" s="22"/>
      <c r="FV188" s="22"/>
      <c r="FW188" s="22"/>
      <c r="FX188" s="22"/>
      <c r="FY188" s="22"/>
      <c r="FZ188" s="22"/>
      <c r="GA188" s="22"/>
      <c r="GB188" s="22"/>
      <c r="GC188" s="22"/>
      <c r="GD188" s="22"/>
      <c r="GE188" s="22"/>
      <c r="GF188" s="22"/>
      <c r="GG188" s="22"/>
      <c r="GH188" s="22"/>
      <c r="GI188" s="22"/>
      <c r="GJ188" s="22"/>
      <c r="GK188" s="22"/>
      <c r="GL188" s="22"/>
      <c r="GM188" s="22"/>
      <c r="GN188" s="22"/>
      <c r="GO188" s="22"/>
      <c r="GP188" s="22"/>
      <c r="GQ188" s="22"/>
      <c r="GR188" s="22"/>
      <c r="GS188" s="22"/>
      <c r="GT188" s="22"/>
      <c r="GU188" s="22"/>
      <c r="GV188" s="22"/>
      <c r="GW188" s="22"/>
      <c r="GX188" s="22"/>
      <c r="GY188" s="22"/>
      <c r="GZ188" s="22"/>
      <c r="HA188" s="22"/>
      <c r="HB188" s="22"/>
      <c r="HC188" s="22"/>
      <c r="HD188" s="22"/>
      <c r="HE188" s="22"/>
      <c r="HF188" s="22"/>
      <c r="HG188" s="22"/>
      <c r="HH188" s="22"/>
      <c r="HI188" s="22"/>
      <c r="HJ188" s="22"/>
      <c r="HK188" s="22"/>
      <c r="HL188" s="22"/>
      <c r="HM188" s="22"/>
      <c r="HN188" s="22"/>
      <c r="HO188" s="22"/>
      <c r="HP188" s="22"/>
      <c r="HQ188" s="22"/>
      <c r="HR188" s="22"/>
      <c r="HS188" s="22"/>
      <c r="HT188" s="22"/>
      <c r="HU188" s="22"/>
      <c r="HV188" s="22"/>
      <c r="HW188" s="22"/>
      <c r="HX188" s="22"/>
      <c r="HY188" s="22"/>
      <c r="HZ188" s="22"/>
      <c r="IA188" s="22"/>
      <c r="IB188" s="22"/>
      <c r="IC188" s="22"/>
      <c r="ID188" s="22"/>
      <c r="IE188" s="22"/>
      <c r="IF188" s="22"/>
      <c r="IG188" s="22"/>
      <c r="IH188" s="22"/>
      <c r="II188" s="22"/>
      <c r="IJ188" s="22"/>
      <c r="IK188" s="22"/>
      <c r="IL188" s="22"/>
      <c r="IM188" s="22"/>
      <c r="IN188" s="22"/>
      <c r="IO188" s="22"/>
      <c r="IP188" s="22"/>
      <c r="IQ188" s="22"/>
      <c r="IR188" s="22"/>
      <c r="IS188" s="22"/>
      <c r="IT188" s="22"/>
      <c r="IU188" s="22"/>
      <c r="IV188" s="22"/>
    </row>
    <row r="189" spans="1:256" s="64" customFormat="1" ht="15" customHeight="1">
      <c r="A189" s="25" t="s">
        <v>1260</v>
      </c>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c r="BH189" s="22"/>
      <c r="BI189" s="22"/>
      <c r="BJ189" s="22"/>
      <c r="BK189" s="22"/>
      <c r="BL189" s="22"/>
      <c r="BM189" s="22"/>
      <c r="BN189" s="22"/>
      <c r="BO189" s="22"/>
      <c r="BP189" s="22"/>
      <c r="BQ189" s="22"/>
      <c r="BR189" s="22"/>
      <c r="BS189" s="22"/>
      <c r="BT189" s="22"/>
      <c r="BU189" s="22"/>
      <c r="BV189" s="22"/>
      <c r="BW189" s="22"/>
      <c r="BX189" s="22"/>
      <c r="BY189" s="22"/>
      <c r="BZ189" s="22"/>
      <c r="CA189" s="22"/>
      <c r="CB189" s="22"/>
      <c r="CC189" s="22"/>
      <c r="CD189" s="22"/>
      <c r="CE189" s="22"/>
      <c r="CF189" s="22"/>
      <c r="CG189" s="22"/>
      <c r="CH189" s="22"/>
      <c r="CI189" s="22"/>
      <c r="CJ189" s="22"/>
      <c r="CK189" s="22"/>
      <c r="CL189" s="22"/>
      <c r="CM189" s="22"/>
      <c r="CN189" s="22"/>
      <c r="CO189" s="22"/>
      <c r="CP189" s="22"/>
      <c r="CQ189" s="22"/>
      <c r="CR189" s="22"/>
      <c r="CS189" s="22"/>
      <c r="CT189" s="22"/>
      <c r="CU189" s="22"/>
      <c r="CV189" s="22"/>
      <c r="CW189" s="22"/>
      <c r="CX189" s="22"/>
      <c r="CY189" s="22"/>
      <c r="CZ189" s="22"/>
      <c r="DA189" s="22"/>
      <c r="DB189" s="22"/>
      <c r="DC189" s="22"/>
      <c r="DD189" s="22"/>
      <c r="DE189" s="22"/>
      <c r="DF189" s="22"/>
      <c r="DG189" s="22"/>
      <c r="DH189" s="22"/>
      <c r="DI189" s="22"/>
      <c r="DJ189" s="22"/>
      <c r="DK189" s="22"/>
      <c r="DL189" s="22"/>
      <c r="DM189" s="22"/>
      <c r="DN189" s="22"/>
      <c r="DO189" s="22"/>
      <c r="DP189" s="22"/>
      <c r="DQ189" s="22"/>
      <c r="DR189" s="22"/>
      <c r="DS189" s="22"/>
      <c r="DT189" s="22"/>
      <c r="DU189" s="22"/>
      <c r="DV189" s="22"/>
      <c r="DW189" s="22"/>
      <c r="DX189" s="22"/>
      <c r="DY189" s="22"/>
      <c r="DZ189" s="22"/>
      <c r="EA189" s="22"/>
      <c r="EB189" s="22"/>
      <c r="EC189" s="22"/>
      <c r="ED189" s="22"/>
      <c r="EE189" s="22"/>
      <c r="EF189" s="22"/>
      <c r="EG189" s="22"/>
      <c r="EH189" s="22"/>
      <c r="EI189" s="22"/>
      <c r="EJ189" s="22"/>
      <c r="EK189" s="22"/>
      <c r="EL189" s="22"/>
      <c r="EM189" s="22"/>
      <c r="EN189" s="22"/>
      <c r="EO189" s="22"/>
      <c r="EP189" s="22"/>
      <c r="EQ189" s="22"/>
      <c r="ER189" s="22"/>
      <c r="ES189" s="22"/>
      <c r="ET189" s="22"/>
      <c r="EU189" s="22"/>
      <c r="EV189" s="22"/>
      <c r="EW189" s="22"/>
      <c r="EX189" s="22"/>
      <c r="EY189" s="22"/>
      <c r="EZ189" s="22"/>
      <c r="FA189" s="22"/>
      <c r="FB189" s="22"/>
      <c r="FC189" s="22"/>
      <c r="FD189" s="22"/>
      <c r="FE189" s="22"/>
      <c r="FF189" s="22"/>
      <c r="FG189" s="22"/>
      <c r="FH189" s="22"/>
      <c r="FI189" s="22"/>
      <c r="FJ189" s="22"/>
      <c r="FK189" s="22"/>
      <c r="FL189" s="22"/>
      <c r="FM189" s="22"/>
      <c r="FN189" s="22"/>
      <c r="FO189" s="22"/>
      <c r="FP189" s="22"/>
      <c r="FQ189" s="22"/>
      <c r="FR189" s="22"/>
      <c r="FS189" s="22"/>
      <c r="FT189" s="22"/>
      <c r="FU189" s="22"/>
      <c r="FV189" s="22"/>
      <c r="FW189" s="22"/>
      <c r="FX189" s="22"/>
      <c r="FY189" s="22"/>
      <c r="FZ189" s="22"/>
      <c r="GA189" s="22"/>
      <c r="GB189" s="22"/>
      <c r="GC189" s="22"/>
      <c r="GD189" s="22"/>
      <c r="GE189" s="22"/>
      <c r="GF189" s="22"/>
      <c r="GG189" s="22"/>
      <c r="GH189" s="22"/>
      <c r="GI189" s="22"/>
      <c r="GJ189" s="22"/>
      <c r="GK189" s="22"/>
      <c r="GL189" s="22"/>
      <c r="GM189" s="22"/>
      <c r="GN189" s="22"/>
      <c r="GO189" s="22"/>
      <c r="GP189" s="22"/>
      <c r="GQ189" s="22"/>
      <c r="GR189" s="22"/>
      <c r="GS189" s="22"/>
      <c r="GT189" s="22"/>
      <c r="GU189" s="22"/>
      <c r="GV189" s="22"/>
      <c r="GW189" s="22"/>
      <c r="GX189" s="22"/>
      <c r="GY189" s="22"/>
      <c r="GZ189" s="22"/>
      <c r="HA189" s="22"/>
      <c r="HB189" s="22"/>
      <c r="HC189" s="22"/>
      <c r="HD189" s="22"/>
      <c r="HE189" s="22"/>
      <c r="HF189" s="22"/>
      <c r="HG189" s="22"/>
      <c r="HH189" s="22"/>
      <c r="HI189" s="22"/>
      <c r="HJ189" s="22"/>
      <c r="HK189" s="22"/>
      <c r="HL189" s="22"/>
      <c r="HM189" s="22"/>
      <c r="HN189" s="22"/>
      <c r="HO189" s="22"/>
      <c r="HP189" s="22"/>
      <c r="HQ189" s="22"/>
      <c r="HR189" s="22"/>
      <c r="HS189" s="22"/>
      <c r="HT189" s="22"/>
      <c r="HU189" s="22"/>
      <c r="HV189" s="22"/>
      <c r="HW189" s="22"/>
      <c r="HX189" s="22"/>
      <c r="HY189" s="22"/>
      <c r="HZ189" s="22"/>
      <c r="IA189" s="22"/>
      <c r="IB189" s="22"/>
      <c r="IC189" s="22"/>
      <c r="ID189" s="22"/>
      <c r="IE189" s="22"/>
      <c r="IF189" s="22"/>
      <c r="IG189" s="22"/>
      <c r="IH189" s="22"/>
      <c r="II189" s="22"/>
      <c r="IJ189" s="22"/>
      <c r="IK189" s="22"/>
      <c r="IL189" s="22"/>
      <c r="IM189" s="22"/>
      <c r="IN189" s="22"/>
      <c r="IO189" s="22"/>
      <c r="IP189" s="22"/>
      <c r="IQ189" s="22"/>
      <c r="IR189" s="22"/>
      <c r="IS189" s="22"/>
      <c r="IT189" s="22"/>
      <c r="IU189" s="22"/>
      <c r="IV189" s="22"/>
    </row>
    <row r="190" spans="1:256" s="26" customFormat="1" ht="15" customHeight="1">
      <c r="A190" s="26" t="s">
        <v>951</v>
      </c>
    </row>
    <row r="191" spans="1:256" s="64" customFormat="1" ht="15" customHeight="1">
      <c r="A191" s="25" t="s">
        <v>911</v>
      </c>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c r="BH191" s="22"/>
      <c r="BI191" s="22"/>
      <c r="BJ191" s="22"/>
      <c r="BK191" s="22"/>
      <c r="BL191" s="22"/>
      <c r="BM191" s="22"/>
      <c r="BN191" s="22"/>
      <c r="BO191" s="22"/>
      <c r="BP191" s="22"/>
      <c r="BQ191" s="22"/>
      <c r="BR191" s="22"/>
      <c r="BS191" s="22"/>
      <c r="BT191" s="22"/>
      <c r="BU191" s="22"/>
      <c r="BV191" s="22"/>
      <c r="BW191" s="22"/>
      <c r="BX191" s="22"/>
      <c r="BY191" s="22"/>
      <c r="BZ191" s="22"/>
      <c r="CA191" s="22"/>
      <c r="CB191" s="22"/>
      <c r="CC191" s="22"/>
      <c r="CD191" s="22"/>
      <c r="CE191" s="22"/>
      <c r="CF191" s="22"/>
      <c r="CG191" s="22"/>
      <c r="CH191" s="22"/>
      <c r="CI191" s="22"/>
      <c r="CJ191" s="22"/>
      <c r="CK191" s="22"/>
      <c r="CL191" s="22"/>
      <c r="CM191" s="22"/>
      <c r="CN191" s="22"/>
      <c r="CO191" s="22"/>
      <c r="CP191" s="22"/>
      <c r="CQ191" s="22"/>
      <c r="CR191" s="22"/>
      <c r="CS191" s="22"/>
      <c r="CT191" s="22"/>
      <c r="CU191" s="22"/>
      <c r="CV191" s="22"/>
      <c r="CW191" s="22"/>
      <c r="CX191" s="22"/>
      <c r="CY191" s="22"/>
      <c r="CZ191" s="22"/>
      <c r="DA191" s="22"/>
      <c r="DB191" s="22"/>
      <c r="DC191" s="22"/>
      <c r="DD191" s="22"/>
      <c r="DE191" s="22"/>
      <c r="DF191" s="22"/>
      <c r="DG191" s="22"/>
      <c r="DH191" s="22"/>
      <c r="DI191" s="22"/>
      <c r="DJ191" s="22"/>
      <c r="DK191" s="22"/>
      <c r="DL191" s="22"/>
      <c r="DM191" s="22"/>
      <c r="DN191" s="22"/>
      <c r="DO191" s="22"/>
      <c r="DP191" s="22"/>
      <c r="DQ191" s="22"/>
      <c r="DR191" s="22"/>
      <c r="DS191" s="22"/>
      <c r="DT191" s="22"/>
      <c r="DU191" s="22"/>
      <c r="DV191" s="22"/>
      <c r="DW191" s="22"/>
      <c r="DX191" s="22"/>
      <c r="DY191" s="22"/>
      <c r="DZ191" s="22"/>
      <c r="EA191" s="22"/>
      <c r="EB191" s="22"/>
      <c r="EC191" s="22"/>
      <c r="ED191" s="22"/>
      <c r="EE191" s="22"/>
      <c r="EF191" s="22"/>
      <c r="EG191" s="22"/>
      <c r="EH191" s="22"/>
      <c r="EI191" s="22"/>
      <c r="EJ191" s="22"/>
      <c r="EK191" s="22"/>
      <c r="EL191" s="22"/>
      <c r="EM191" s="22"/>
      <c r="EN191" s="22"/>
      <c r="EO191" s="22"/>
      <c r="EP191" s="22"/>
      <c r="EQ191" s="22"/>
      <c r="ER191" s="22"/>
      <c r="ES191" s="22"/>
      <c r="ET191" s="22"/>
      <c r="EU191" s="22"/>
      <c r="EV191" s="22"/>
      <c r="EW191" s="22"/>
      <c r="EX191" s="22"/>
      <c r="EY191" s="22"/>
      <c r="EZ191" s="22"/>
      <c r="FA191" s="22"/>
      <c r="FB191" s="22"/>
      <c r="FC191" s="22"/>
      <c r="FD191" s="22"/>
      <c r="FE191" s="22"/>
      <c r="FF191" s="22"/>
      <c r="FG191" s="22"/>
      <c r="FH191" s="22"/>
      <c r="FI191" s="22"/>
      <c r="FJ191" s="22"/>
      <c r="FK191" s="22"/>
      <c r="FL191" s="22"/>
      <c r="FM191" s="22"/>
      <c r="FN191" s="22"/>
      <c r="FO191" s="22"/>
      <c r="FP191" s="22"/>
      <c r="FQ191" s="22"/>
      <c r="FR191" s="22"/>
      <c r="FS191" s="22"/>
      <c r="FT191" s="22"/>
      <c r="FU191" s="22"/>
      <c r="FV191" s="22"/>
      <c r="FW191" s="22"/>
      <c r="FX191" s="22"/>
      <c r="FY191" s="22"/>
      <c r="FZ191" s="22"/>
      <c r="GA191" s="22"/>
      <c r="GB191" s="22"/>
      <c r="GC191" s="22"/>
      <c r="GD191" s="22"/>
      <c r="GE191" s="22"/>
      <c r="GF191" s="22"/>
      <c r="GG191" s="22"/>
      <c r="GH191" s="22"/>
      <c r="GI191" s="22"/>
      <c r="GJ191" s="22"/>
      <c r="GK191" s="22"/>
      <c r="GL191" s="22"/>
      <c r="GM191" s="22"/>
      <c r="GN191" s="22"/>
      <c r="GO191" s="22"/>
      <c r="GP191" s="22"/>
      <c r="GQ191" s="22"/>
      <c r="GR191" s="22"/>
      <c r="GS191" s="22"/>
      <c r="GT191" s="22"/>
      <c r="GU191" s="22"/>
      <c r="GV191" s="22"/>
      <c r="GW191" s="22"/>
      <c r="GX191" s="22"/>
      <c r="GY191" s="22"/>
      <c r="GZ191" s="22"/>
      <c r="HA191" s="22"/>
      <c r="HB191" s="22"/>
      <c r="HC191" s="22"/>
      <c r="HD191" s="22"/>
      <c r="HE191" s="22"/>
      <c r="HF191" s="22"/>
      <c r="HG191" s="22"/>
      <c r="HH191" s="22"/>
      <c r="HI191" s="22"/>
      <c r="HJ191" s="22"/>
      <c r="HK191" s="22"/>
      <c r="HL191" s="22"/>
      <c r="HM191" s="22"/>
      <c r="HN191" s="22"/>
      <c r="HO191" s="22"/>
      <c r="HP191" s="22"/>
      <c r="HQ191" s="22"/>
      <c r="HR191" s="22"/>
      <c r="HS191" s="22"/>
      <c r="HT191" s="22"/>
      <c r="HU191" s="22"/>
      <c r="HV191" s="22"/>
      <c r="HW191" s="22"/>
      <c r="HX191" s="22"/>
      <c r="HY191" s="22"/>
      <c r="HZ191" s="22"/>
      <c r="IA191" s="22"/>
      <c r="IB191" s="22"/>
      <c r="IC191" s="22"/>
      <c r="ID191" s="22"/>
      <c r="IE191" s="22"/>
      <c r="IF191" s="22"/>
      <c r="IG191" s="22"/>
      <c r="IH191" s="22"/>
      <c r="II191" s="22"/>
      <c r="IJ191" s="22"/>
      <c r="IK191" s="22"/>
      <c r="IL191" s="22"/>
      <c r="IM191" s="22"/>
      <c r="IN191" s="22"/>
      <c r="IO191" s="22"/>
      <c r="IP191" s="22"/>
      <c r="IQ191" s="22"/>
      <c r="IR191" s="22"/>
      <c r="IS191" s="22"/>
      <c r="IT191" s="22"/>
      <c r="IU191" s="22"/>
      <c r="IV191" s="22"/>
    </row>
    <row r="192" spans="1:256" s="64" customFormat="1" ht="15" customHeight="1">
      <c r="A192" s="25" t="s">
        <v>903</v>
      </c>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c r="BH192" s="22"/>
      <c r="BI192" s="22"/>
      <c r="BJ192" s="22"/>
      <c r="BK192" s="22"/>
      <c r="BL192" s="22"/>
      <c r="BM192" s="22"/>
      <c r="BN192" s="22"/>
      <c r="BO192" s="22"/>
      <c r="BP192" s="22"/>
      <c r="BQ192" s="22"/>
      <c r="BR192" s="22"/>
      <c r="BS192" s="22"/>
      <c r="BT192" s="22"/>
      <c r="BU192" s="22"/>
      <c r="BV192" s="22"/>
      <c r="BW192" s="22"/>
      <c r="BX192" s="22"/>
      <c r="BY192" s="22"/>
      <c r="BZ192" s="22"/>
      <c r="CA192" s="22"/>
      <c r="CB192" s="22"/>
      <c r="CC192" s="22"/>
      <c r="CD192" s="22"/>
      <c r="CE192" s="22"/>
      <c r="CF192" s="22"/>
      <c r="CG192" s="22"/>
      <c r="CH192" s="22"/>
      <c r="CI192" s="22"/>
      <c r="CJ192" s="22"/>
      <c r="CK192" s="22"/>
      <c r="CL192" s="22"/>
      <c r="CM192" s="22"/>
      <c r="CN192" s="22"/>
      <c r="CO192" s="22"/>
      <c r="CP192" s="22"/>
      <c r="CQ192" s="22"/>
      <c r="CR192" s="22"/>
      <c r="CS192" s="22"/>
      <c r="CT192" s="22"/>
      <c r="CU192" s="22"/>
      <c r="CV192" s="22"/>
      <c r="CW192" s="22"/>
      <c r="CX192" s="22"/>
      <c r="CY192" s="22"/>
      <c r="CZ192" s="22"/>
      <c r="DA192" s="22"/>
      <c r="DB192" s="22"/>
      <c r="DC192" s="22"/>
      <c r="DD192" s="22"/>
      <c r="DE192" s="22"/>
      <c r="DF192" s="22"/>
      <c r="DG192" s="22"/>
      <c r="DH192" s="22"/>
      <c r="DI192" s="22"/>
      <c r="DJ192" s="22"/>
      <c r="DK192" s="22"/>
      <c r="DL192" s="22"/>
      <c r="DM192" s="22"/>
      <c r="DN192" s="22"/>
      <c r="DO192" s="22"/>
      <c r="DP192" s="22"/>
      <c r="DQ192" s="22"/>
      <c r="DR192" s="22"/>
      <c r="DS192" s="22"/>
      <c r="DT192" s="22"/>
      <c r="DU192" s="22"/>
      <c r="DV192" s="22"/>
      <c r="DW192" s="22"/>
      <c r="DX192" s="22"/>
      <c r="DY192" s="22"/>
      <c r="DZ192" s="22"/>
      <c r="EA192" s="22"/>
      <c r="EB192" s="22"/>
      <c r="EC192" s="22"/>
      <c r="ED192" s="22"/>
      <c r="EE192" s="22"/>
      <c r="EF192" s="22"/>
      <c r="EG192" s="22"/>
      <c r="EH192" s="22"/>
      <c r="EI192" s="22"/>
      <c r="EJ192" s="22"/>
      <c r="EK192" s="22"/>
      <c r="EL192" s="22"/>
      <c r="EM192" s="22"/>
      <c r="EN192" s="22"/>
      <c r="EO192" s="22"/>
      <c r="EP192" s="22"/>
      <c r="EQ192" s="22"/>
      <c r="ER192" s="22"/>
      <c r="ES192" s="22"/>
      <c r="ET192" s="22"/>
      <c r="EU192" s="22"/>
      <c r="EV192" s="22"/>
      <c r="EW192" s="22"/>
      <c r="EX192" s="22"/>
      <c r="EY192" s="22"/>
      <c r="EZ192" s="22"/>
      <c r="FA192" s="22"/>
      <c r="FB192" s="22"/>
      <c r="FC192" s="22"/>
      <c r="FD192" s="22"/>
      <c r="FE192" s="22"/>
      <c r="FF192" s="22"/>
      <c r="FG192" s="22"/>
      <c r="FH192" s="22"/>
      <c r="FI192" s="22"/>
      <c r="FJ192" s="22"/>
      <c r="FK192" s="22"/>
      <c r="FL192" s="22"/>
      <c r="FM192" s="22"/>
      <c r="FN192" s="22"/>
      <c r="FO192" s="22"/>
      <c r="FP192" s="22"/>
      <c r="FQ192" s="22"/>
      <c r="FR192" s="22"/>
      <c r="FS192" s="22"/>
      <c r="FT192" s="22"/>
      <c r="FU192" s="22"/>
      <c r="FV192" s="22"/>
      <c r="FW192" s="22"/>
      <c r="FX192" s="22"/>
      <c r="FY192" s="22"/>
      <c r="FZ192" s="22"/>
      <c r="GA192" s="22"/>
      <c r="GB192" s="22"/>
      <c r="GC192" s="22"/>
      <c r="GD192" s="22"/>
      <c r="GE192" s="22"/>
      <c r="GF192" s="22"/>
      <c r="GG192" s="22"/>
      <c r="GH192" s="22"/>
      <c r="GI192" s="22"/>
      <c r="GJ192" s="22"/>
      <c r="GK192" s="22"/>
      <c r="GL192" s="22"/>
      <c r="GM192" s="22"/>
      <c r="GN192" s="22"/>
      <c r="GO192" s="22"/>
      <c r="GP192" s="22"/>
      <c r="GQ192" s="22"/>
      <c r="GR192" s="22"/>
      <c r="GS192" s="22"/>
      <c r="GT192" s="22"/>
      <c r="GU192" s="22"/>
      <c r="GV192" s="22"/>
      <c r="GW192" s="22"/>
      <c r="GX192" s="22"/>
      <c r="GY192" s="22"/>
      <c r="GZ192" s="22"/>
      <c r="HA192" s="22"/>
      <c r="HB192" s="22"/>
      <c r="HC192" s="22"/>
      <c r="HD192" s="22"/>
      <c r="HE192" s="22"/>
      <c r="HF192" s="22"/>
      <c r="HG192" s="22"/>
      <c r="HH192" s="22"/>
      <c r="HI192" s="22"/>
      <c r="HJ192" s="22"/>
      <c r="HK192" s="22"/>
      <c r="HL192" s="22"/>
      <c r="HM192" s="22"/>
      <c r="HN192" s="22"/>
      <c r="HO192" s="22"/>
      <c r="HP192" s="22"/>
      <c r="HQ192" s="22"/>
      <c r="HR192" s="22"/>
      <c r="HS192" s="22"/>
      <c r="HT192" s="22"/>
      <c r="HU192" s="22"/>
      <c r="HV192" s="22"/>
      <c r="HW192" s="22"/>
      <c r="HX192" s="22"/>
      <c r="HY192" s="22"/>
      <c r="HZ192" s="22"/>
      <c r="IA192" s="22"/>
      <c r="IB192" s="22"/>
      <c r="IC192" s="22"/>
      <c r="ID192" s="22"/>
      <c r="IE192" s="22"/>
      <c r="IF192" s="22"/>
      <c r="IG192" s="22"/>
      <c r="IH192" s="22"/>
      <c r="II192" s="22"/>
      <c r="IJ192" s="22"/>
      <c r="IK192" s="22"/>
      <c r="IL192" s="22"/>
      <c r="IM192" s="22"/>
      <c r="IN192" s="22"/>
      <c r="IO192" s="22"/>
      <c r="IP192" s="22"/>
      <c r="IQ192" s="22"/>
      <c r="IR192" s="22"/>
      <c r="IS192" s="22"/>
      <c r="IT192" s="22"/>
      <c r="IU192" s="22"/>
      <c r="IV192" s="22"/>
    </row>
    <row r="193" spans="1:256" s="64" customFormat="1" ht="15" customHeight="1">
      <c r="A193" s="25" t="s">
        <v>907</v>
      </c>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c r="AZ193" s="22"/>
      <c r="BA193" s="22"/>
      <c r="BB193" s="22"/>
      <c r="BC193" s="22"/>
      <c r="BD193" s="22"/>
      <c r="BE193" s="22"/>
      <c r="BF193" s="22"/>
      <c r="BG193" s="22"/>
      <c r="BH193" s="22"/>
      <c r="BI193" s="22"/>
      <c r="BJ193" s="22"/>
      <c r="BK193" s="22"/>
      <c r="BL193" s="22"/>
      <c r="BM193" s="22"/>
      <c r="BN193" s="22"/>
      <c r="BO193" s="22"/>
      <c r="BP193" s="22"/>
      <c r="BQ193" s="22"/>
      <c r="BR193" s="22"/>
      <c r="BS193" s="22"/>
      <c r="BT193" s="22"/>
      <c r="BU193" s="22"/>
      <c r="BV193" s="22"/>
      <c r="BW193" s="22"/>
      <c r="BX193" s="22"/>
      <c r="BY193" s="22"/>
      <c r="BZ193" s="22"/>
      <c r="CA193" s="22"/>
      <c r="CB193" s="22"/>
      <c r="CC193" s="22"/>
      <c r="CD193" s="22"/>
      <c r="CE193" s="22"/>
      <c r="CF193" s="22"/>
      <c r="CG193" s="22"/>
      <c r="CH193" s="22"/>
      <c r="CI193" s="22"/>
      <c r="CJ193" s="22"/>
      <c r="CK193" s="22"/>
      <c r="CL193" s="22"/>
      <c r="CM193" s="22"/>
      <c r="CN193" s="22"/>
      <c r="CO193" s="22"/>
      <c r="CP193" s="22"/>
      <c r="CQ193" s="22"/>
      <c r="CR193" s="22"/>
      <c r="CS193" s="22"/>
      <c r="CT193" s="22"/>
      <c r="CU193" s="22"/>
      <c r="CV193" s="22"/>
      <c r="CW193" s="22"/>
      <c r="CX193" s="22"/>
      <c r="CY193" s="22"/>
      <c r="CZ193" s="22"/>
      <c r="DA193" s="22"/>
      <c r="DB193" s="22"/>
      <c r="DC193" s="22"/>
      <c r="DD193" s="22"/>
      <c r="DE193" s="22"/>
      <c r="DF193" s="22"/>
      <c r="DG193" s="22"/>
      <c r="DH193" s="22"/>
      <c r="DI193" s="22"/>
      <c r="DJ193" s="22"/>
      <c r="DK193" s="22"/>
      <c r="DL193" s="22"/>
      <c r="DM193" s="22"/>
      <c r="DN193" s="22"/>
      <c r="DO193" s="22"/>
      <c r="DP193" s="22"/>
      <c r="DQ193" s="22"/>
      <c r="DR193" s="22"/>
      <c r="DS193" s="22"/>
      <c r="DT193" s="22"/>
      <c r="DU193" s="22"/>
      <c r="DV193" s="22"/>
      <c r="DW193" s="22"/>
      <c r="DX193" s="22"/>
      <c r="DY193" s="22"/>
      <c r="DZ193" s="22"/>
      <c r="EA193" s="22"/>
      <c r="EB193" s="22"/>
      <c r="EC193" s="22"/>
      <c r="ED193" s="22"/>
      <c r="EE193" s="22"/>
      <c r="EF193" s="22"/>
      <c r="EG193" s="22"/>
      <c r="EH193" s="22"/>
      <c r="EI193" s="22"/>
      <c r="EJ193" s="22"/>
      <c r="EK193" s="22"/>
      <c r="EL193" s="22"/>
      <c r="EM193" s="22"/>
      <c r="EN193" s="22"/>
      <c r="EO193" s="22"/>
      <c r="EP193" s="22"/>
      <c r="EQ193" s="22"/>
      <c r="ER193" s="22"/>
      <c r="ES193" s="22"/>
      <c r="ET193" s="22"/>
      <c r="EU193" s="22"/>
      <c r="EV193" s="22"/>
      <c r="EW193" s="22"/>
      <c r="EX193" s="22"/>
      <c r="EY193" s="22"/>
      <c r="EZ193" s="22"/>
      <c r="FA193" s="22"/>
      <c r="FB193" s="22"/>
      <c r="FC193" s="22"/>
      <c r="FD193" s="22"/>
      <c r="FE193" s="22"/>
      <c r="FF193" s="22"/>
      <c r="FG193" s="22"/>
      <c r="FH193" s="22"/>
      <c r="FI193" s="22"/>
      <c r="FJ193" s="22"/>
      <c r="FK193" s="22"/>
      <c r="FL193" s="22"/>
      <c r="FM193" s="22"/>
      <c r="FN193" s="22"/>
      <c r="FO193" s="22"/>
      <c r="FP193" s="22"/>
      <c r="FQ193" s="22"/>
      <c r="FR193" s="22"/>
      <c r="FS193" s="22"/>
      <c r="FT193" s="22"/>
      <c r="FU193" s="22"/>
      <c r="FV193" s="22"/>
      <c r="FW193" s="22"/>
      <c r="FX193" s="22"/>
      <c r="FY193" s="22"/>
      <c r="FZ193" s="22"/>
      <c r="GA193" s="22"/>
      <c r="GB193" s="22"/>
      <c r="GC193" s="22"/>
      <c r="GD193" s="22"/>
      <c r="GE193" s="22"/>
      <c r="GF193" s="22"/>
      <c r="GG193" s="22"/>
      <c r="GH193" s="22"/>
      <c r="GI193" s="22"/>
      <c r="GJ193" s="22"/>
      <c r="GK193" s="22"/>
      <c r="GL193" s="22"/>
      <c r="GM193" s="22"/>
      <c r="GN193" s="22"/>
      <c r="GO193" s="22"/>
      <c r="GP193" s="22"/>
      <c r="GQ193" s="22"/>
      <c r="GR193" s="22"/>
      <c r="GS193" s="22"/>
      <c r="GT193" s="22"/>
      <c r="GU193" s="22"/>
      <c r="GV193" s="22"/>
      <c r="GW193" s="22"/>
      <c r="GX193" s="22"/>
      <c r="GY193" s="22"/>
      <c r="GZ193" s="22"/>
      <c r="HA193" s="22"/>
      <c r="HB193" s="22"/>
      <c r="HC193" s="22"/>
      <c r="HD193" s="22"/>
      <c r="HE193" s="22"/>
      <c r="HF193" s="22"/>
      <c r="HG193" s="22"/>
      <c r="HH193" s="22"/>
      <c r="HI193" s="22"/>
      <c r="HJ193" s="22"/>
      <c r="HK193" s="22"/>
      <c r="HL193" s="22"/>
      <c r="HM193" s="22"/>
      <c r="HN193" s="22"/>
      <c r="HO193" s="22"/>
      <c r="HP193" s="22"/>
      <c r="HQ193" s="22"/>
      <c r="HR193" s="22"/>
      <c r="HS193" s="22"/>
      <c r="HT193" s="22"/>
      <c r="HU193" s="22"/>
      <c r="HV193" s="22"/>
      <c r="HW193" s="22"/>
      <c r="HX193" s="22"/>
      <c r="HY193" s="22"/>
      <c r="HZ193" s="22"/>
      <c r="IA193" s="22"/>
      <c r="IB193" s="22"/>
      <c r="IC193" s="22"/>
      <c r="ID193" s="22"/>
      <c r="IE193" s="22"/>
      <c r="IF193" s="22"/>
      <c r="IG193" s="22"/>
      <c r="IH193" s="22"/>
      <c r="II193" s="22"/>
      <c r="IJ193" s="22"/>
      <c r="IK193" s="22"/>
      <c r="IL193" s="22"/>
      <c r="IM193" s="22"/>
      <c r="IN193" s="22"/>
      <c r="IO193" s="22"/>
      <c r="IP193" s="22"/>
      <c r="IQ193" s="22"/>
      <c r="IR193" s="22"/>
      <c r="IS193" s="22"/>
      <c r="IT193" s="22"/>
      <c r="IU193" s="22"/>
      <c r="IV193" s="22"/>
    </row>
    <row r="194" spans="1:256" s="26" customFormat="1" ht="15" customHeight="1">
      <c r="A194" s="26" t="s">
        <v>952</v>
      </c>
    </row>
    <row r="195" spans="1:256" s="64" customFormat="1" ht="15" customHeight="1">
      <c r="A195" s="25" t="s">
        <v>1261</v>
      </c>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c r="AZ195" s="22"/>
      <c r="BA195" s="22"/>
      <c r="BB195" s="22"/>
      <c r="BC195" s="22"/>
      <c r="BD195" s="22"/>
      <c r="BE195" s="22"/>
      <c r="BF195" s="22"/>
      <c r="BG195" s="22"/>
      <c r="BH195" s="22"/>
      <c r="BI195" s="22"/>
      <c r="BJ195" s="22"/>
      <c r="BK195" s="22"/>
      <c r="BL195" s="22"/>
      <c r="BM195" s="22"/>
      <c r="BN195" s="22"/>
      <c r="BO195" s="22"/>
      <c r="BP195" s="22"/>
      <c r="BQ195" s="22"/>
      <c r="BR195" s="22"/>
      <c r="BS195" s="22"/>
      <c r="BT195" s="22"/>
      <c r="BU195" s="22"/>
      <c r="BV195" s="22"/>
      <c r="BW195" s="22"/>
      <c r="BX195" s="22"/>
      <c r="BY195" s="22"/>
      <c r="BZ195" s="22"/>
      <c r="CA195" s="22"/>
      <c r="CB195" s="22"/>
      <c r="CC195" s="22"/>
      <c r="CD195" s="22"/>
      <c r="CE195" s="22"/>
      <c r="CF195" s="22"/>
      <c r="CG195" s="22"/>
      <c r="CH195" s="22"/>
      <c r="CI195" s="22"/>
      <c r="CJ195" s="22"/>
      <c r="CK195" s="22"/>
      <c r="CL195" s="22"/>
      <c r="CM195" s="22"/>
      <c r="CN195" s="22"/>
      <c r="CO195" s="22"/>
      <c r="CP195" s="22"/>
      <c r="CQ195" s="22"/>
      <c r="CR195" s="22"/>
      <c r="CS195" s="22"/>
      <c r="CT195" s="22"/>
      <c r="CU195" s="22"/>
      <c r="CV195" s="22"/>
      <c r="CW195" s="22"/>
      <c r="CX195" s="22"/>
      <c r="CY195" s="22"/>
      <c r="CZ195" s="22"/>
      <c r="DA195" s="22"/>
      <c r="DB195" s="22"/>
      <c r="DC195" s="22"/>
      <c r="DD195" s="22"/>
      <c r="DE195" s="22"/>
      <c r="DF195" s="22"/>
      <c r="DG195" s="22"/>
      <c r="DH195" s="22"/>
      <c r="DI195" s="22"/>
      <c r="DJ195" s="22"/>
      <c r="DK195" s="22"/>
      <c r="DL195" s="22"/>
      <c r="DM195" s="22"/>
      <c r="DN195" s="22"/>
      <c r="DO195" s="22"/>
      <c r="DP195" s="22"/>
      <c r="DQ195" s="22"/>
      <c r="DR195" s="22"/>
      <c r="DS195" s="22"/>
      <c r="DT195" s="22"/>
      <c r="DU195" s="22"/>
      <c r="DV195" s="22"/>
      <c r="DW195" s="22"/>
      <c r="DX195" s="22"/>
      <c r="DY195" s="22"/>
      <c r="DZ195" s="22"/>
      <c r="EA195" s="22"/>
      <c r="EB195" s="22"/>
      <c r="EC195" s="22"/>
      <c r="ED195" s="22"/>
      <c r="EE195" s="22"/>
      <c r="EF195" s="22"/>
      <c r="EG195" s="22"/>
      <c r="EH195" s="22"/>
      <c r="EI195" s="22"/>
      <c r="EJ195" s="22"/>
      <c r="EK195" s="22"/>
      <c r="EL195" s="22"/>
      <c r="EM195" s="22"/>
      <c r="EN195" s="22"/>
      <c r="EO195" s="22"/>
      <c r="EP195" s="22"/>
      <c r="EQ195" s="22"/>
      <c r="ER195" s="22"/>
      <c r="ES195" s="22"/>
      <c r="ET195" s="22"/>
      <c r="EU195" s="22"/>
      <c r="EV195" s="22"/>
      <c r="EW195" s="22"/>
      <c r="EX195" s="22"/>
      <c r="EY195" s="22"/>
      <c r="EZ195" s="22"/>
      <c r="FA195" s="22"/>
      <c r="FB195" s="22"/>
      <c r="FC195" s="22"/>
      <c r="FD195" s="22"/>
      <c r="FE195" s="22"/>
      <c r="FF195" s="22"/>
      <c r="FG195" s="22"/>
      <c r="FH195" s="22"/>
      <c r="FI195" s="22"/>
      <c r="FJ195" s="22"/>
      <c r="FK195" s="22"/>
      <c r="FL195" s="22"/>
      <c r="FM195" s="22"/>
      <c r="FN195" s="22"/>
      <c r="FO195" s="22"/>
      <c r="FP195" s="22"/>
      <c r="FQ195" s="22"/>
      <c r="FR195" s="22"/>
      <c r="FS195" s="22"/>
      <c r="FT195" s="22"/>
      <c r="FU195" s="22"/>
      <c r="FV195" s="22"/>
      <c r="FW195" s="22"/>
      <c r="FX195" s="22"/>
      <c r="FY195" s="22"/>
      <c r="FZ195" s="22"/>
      <c r="GA195" s="22"/>
      <c r="GB195" s="22"/>
      <c r="GC195" s="22"/>
      <c r="GD195" s="22"/>
      <c r="GE195" s="22"/>
      <c r="GF195" s="22"/>
      <c r="GG195" s="22"/>
      <c r="GH195" s="22"/>
      <c r="GI195" s="22"/>
      <c r="GJ195" s="22"/>
      <c r="GK195" s="22"/>
      <c r="GL195" s="22"/>
      <c r="GM195" s="22"/>
      <c r="GN195" s="22"/>
      <c r="GO195" s="22"/>
      <c r="GP195" s="22"/>
      <c r="GQ195" s="22"/>
      <c r="GR195" s="22"/>
      <c r="GS195" s="22"/>
      <c r="GT195" s="22"/>
      <c r="GU195" s="22"/>
      <c r="GV195" s="22"/>
      <c r="GW195" s="22"/>
      <c r="GX195" s="22"/>
      <c r="GY195" s="22"/>
      <c r="GZ195" s="22"/>
      <c r="HA195" s="22"/>
      <c r="HB195" s="22"/>
      <c r="HC195" s="22"/>
      <c r="HD195" s="22"/>
      <c r="HE195" s="22"/>
      <c r="HF195" s="22"/>
      <c r="HG195" s="22"/>
      <c r="HH195" s="22"/>
      <c r="HI195" s="22"/>
      <c r="HJ195" s="22"/>
      <c r="HK195" s="22"/>
      <c r="HL195" s="22"/>
      <c r="HM195" s="22"/>
      <c r="HN195" s="22"/>
      <c r="HO195" s="22"/>
      <c r="HP195" s="22"/>
      <c r="HQ195" s="22"/>
      <c r="HR195" s="22"/>
      <c r="HS195" s="22"/>
      <c r="HT195" s="22"/>
      <c r="HU195" s="22"/>
      <c r="HV195" s="22"/>
      <c r="HW195" s="22"/>
      <c r="HX195" s="22"/>
      <c r="HY195" s="22"/>
      <c r="HZ195" s="22"/>
      <c r="IA195" s="22"/>
      <c r="IB195" s="22"/>
      <c r="IC195" s="22"/>
      <c r="ID195" s="22"/>
      <c r="IE195" s="22"/>
      <c r="IF195" s="22"/>
      <c r="IG195" s="22"/>
      <c r="IH195" s="22"/>
      <c r="II195" s="22"/>
      <c r="IJ195" s="22"/>
      <c r="IK195" s="22"/>
      <c r="IL195" s="22"/>
      <c r="IM195" s="22"/>
      <c r="IN195" s="22"/>
      <c r="IO195" s="22"/>
      <c r="IP195" s="22"/>
      <c r="IQ195" s="22"/>
      <c r="IR195" s="22"/>
      <c r="IS195" s="22"/>
      <c r="IT195" s="22"/>
      <c r="IU195" s="22"/>
      <c r="IV195" s="22"/>
    </row>
    <row r="196" spans="1:256" s="64" customFormat="1" ht="15" customHeight="1">
      <c r="A196" s="25" t="s">
        <v>1262</v>
      </c>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c r="BH196" s="22"/>
      <c r="BI196" s="22"/>
      <c r="BJ196" s="22"/>
      <c r="BK196" s="22"/>
      <c r="BL196" s="22"/>
      <c r="BM196" s="22"/>
      <c r="BN196" s="22"/>
      <c r="BO196" s="22"/>
      <c r="BP196" s="22"/>
      <c r="BQ196" s="22"/>
      <c r="BR196" s="22"/>
      <c r="BS196" s="22"/>
      <c r="BT196" s="22"/>
      <c r="BU196" s="22"/>
      <c r="BV196" s="22"/>
      <c r="BW196" s="22"/>
      <c r="BX196" s="22"/>
      <c r="BY196" s="22"/>
      <c r="BZ196" s="22"/>
      <c r="CA196" s="22"/>
      <c r="CB196" s="22"/>
      <c r="CC196" s="22"/>
      <c r="CD196" s="22"/>
      <c r="CE196" s="22"/>
      <c r="CF196" s="22"/>
      <c r="CG196" s="22"/>
      <c r="CH196" s="22"/>
      <c r="CI196" s="22"/>
      <c r="CJ196" s="22"/>
      <c r="CK196" s="22"/>
      <c r="CL196" s="22"/>
      <c r="CM196" s="22"/>
      <c r="CN196" s="22"/>
      <c r="CO196" s="22"/>
      <c r="CP196" s="22"/>
      <c r="CQ196" s="22"/>
      <c r="CR196" s="22"/>
      <c r="CS196" s="22"/>
      <c r="CT196" s="22"/>
      <c r="CU196" s="22"/>
      <c r="CV196" s="22"/>
      <c r="CW196" s="22"/>
      <c r="CX196" s="22"/>
      <c r="CY196" s="22"/>
      <c r="CZ196" s="22"/>
      <c r="DA196" s="22"/>
      <c r="DB196" s="22"/>
      <c r="DC196" s="22"/>
      <c r="DD196" s="22"/>
      <c r="DE196" s="22"/>
      <c r="DF196" s="22"/>
      <c r="DG196" s="22"/>
      <c r="DH196" s="22"/>
      <c r="DI196" s="22"/>
      <c r="DJ196" s="22"/>
      <c r="DK196" s="22"/>
      <c r="DL196" s="22"/>
      <c r="DM196" s="22"/>
      <c r="DN196" s="22"/>
      <c r="DO196" s="22"/>
      <c r="DP196" s="22"/>
      <c r="DQ196" s="22"/>
      <c r="DR196" s="22"/>
      <c r="DS196" s="22"/>
      <c r="DT196" s="22"/>
      <c r="DU196" s="22"/>
      <c r="DV196" s="22"/>
      <c r="DW196" s="22"/>
      <c r="DX196" s="22"/>
      <c r="DY196" s="22"/>
      <c r="DZ196" s="22"/>
      <c r="EA196" s="22"/>
      <c r="EB196" s="22"/>
      <c r="EC196" s="22"/>
      <c r="ED196" s="22"/>
      <c r="EE196" s="22"/>
      <c r="EF196" s="22"/>
      <c r="EG196" s="22"/>
      <c r="EH196" s="22"/>
      <c r="EI196" s="22"/>
      <c r="EJ196" s="22"/>
      <c r="EK196" s="22"/>
      <c r="EL196" s="22"/>
      <c r="EM196" s="22"/>
      <c r="EN196" s="22"/>
      <c r="EO196" s="22"/>
      <c r="EP196" s="22"/>
      <c r="EQ196" s="22"/>
      <c r="ER196" s="22"/>
      <c r="ES196" s="22"/>
      <c r="ET196" s="22"/>
      <c r="EU196" s="22"/>
      <c r="EV196" s="22"/>
      <c r="EW196" s="22"/>
      <c r="EX196" s="22"/>
      <c r="EY196" s="22"/>
      <c r="EZ196" s="22"/>
      <c r="FA196" s="22"/>
      <c r="FB196" s="22"/>
      <c r="FC196" s="22"/>
      <c r="FD196" s="22"/>
      <c r="FE196" s="22"/>
      <c r="FF196" s="22"/>
      <c r="FG196" s="22"/>
      <c r="FH196" s="22"/>
      <c r="FI196" s="22"/>
      <c r="FJ196" s="22"/>
      <c r="FK196" s="22"/>
      <c r="FL196" s="22"/>
      <c r="FM196" s="22"/>
      <c r="FN196" s="22"/>
      <c r="FO196" s="22"/>
      <c r="FP196" s="22"/>
      <c r="FQ196" s="22"/>
      <c r="FR196" s="22"/>
      <c r="FS196" s="22"/>
      <c r="FT196" s="22"/>
      <c r="FU196" s="22"/>
      <c r="FV196" s="22"/>
      <c r="FW196" s="22"/>
      <c r="FX196" s="22"/>
      <c r="FY196" s="22"/>
      <c r="FZ196" s="22"/>
      <c r="GA196" s="22"/>
      <c r="GB196" s="22"/>
      <c r="GC196" s="22"/>
      <c r="GD196" s="22"/>
      <c r="GE196" s="22"/>
      <c r="GF196" s="22"/>
      <c r="GG196" s="22"/>
      <c r="GH196" s="22"/>
      <c r="GI196" s="22"/>
      <c r="GJ196" s="22"/>
      <c r="GK196" s="22"/>
      <c r="GL196" s="22"/>
      <c r="GM196" s="22"/>
      <c r="GN196" s="22"/>
      <c r="GO196" s="22"/>
      <c r="GP196" s="22"/>
      <c r="GQ196" s="22"/>
      <c r="GR196" s="22"/>
      <c r="GS196" s="22"/>
      <c r="GT196" s="22"/>
      <c r="GU196" s="22"/>
      <c r="GV196" s="22"/>
      <c r="GW196" s="22"/>
      <c r="GX196" s="22"/>
      <c r="GY196" s="22"/>
      <c r="GZ196" s="22"/>
      <c r="HA196" s="22"/>
      <c r="HB196" s="22"/>
      <c r="HC196" s="22"/>
      <c r="HD196" s="22"/>
      <c r="HE196" s="22"/>
      <c r="HF196" s="22"/>
      <c r="HG196" s="22"/>
      <c r="HH196" s="22"/>
      <c r="HI196" s="22"/>
      <c r="HJ196" s="22"/>
      <c r="HK196" s="22"/>
      <c r="HL196" s="22"/>
      <c r="HM196" s="22"/>
      <c r="HN196" s="22"/>
      <c r="HO196" s="22"/>
      <c r="HP196" s="22"/>
      <c r="HQ196" s="22"/>
      <c r="HR196" s="22"/>
      <c r="HS196" s="22"/>
      <c r="HT196" s="22"/>
      <c r="HU196" s="22"/>
      <c r="HV196" s="22"/>
      <c r="HW196" s="22"/>
      <c r="HX196" s="22"/>
      <c r="HY196" s="22"/>
      <c r="HZ196" s="22"/>
      <c r="IA196" s="22"/>
      <c r="IB196" s="22"/>
      <c r="IC196" s="22"/>
      <c r="ID196" s="22"/>
      <c r="IE196" s="22"/>
      <c r="IF196" s="22"/>
      <c r="IG196" s="22"/>
      <c r="IH196" s="22"/>
      <c r="II196" s="22"/>
      <c r="IJ196" s="22"/>
      <c r="IK196" s="22"/>
      <c r="IL196" s="22"/>
      <c r="IM196" s="22"/>
      <c r="IN196" s="22"/>
      <c r="IO196" s="22"/>
      <c r="IP196" s="22"/>
      <c r="IQ196" s="22"/>
      <c r="IR196" s="22"/>
      <c r="IS196" s="22"/>
      <c r="IT196" s="22"/>
      <c r="IU196" s="22"/>
      <c r="IV196" s="22"/>
    </row>
    <row r="197" spans="1:256" s="26" customFormat="1" ht="15" customHeight="1">
      <c r="A197" s="26" t="s">
        <v>953</v>
      </c>
    </row>
    <row r="198" spans="1:256" s="64" customFormat="1" ht="15" customHeight="1">
      <c r="A198" s="25" t="s">
        <v>1263</v>
      </c>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c r="AZ198" s="22"/>
      <c r="BA198" s="22"/>
      <c r="BB198" s="22"/>
      <c r="BC198" s="22"/>
      <c r="BD198" s="22"/>
      <c r="BE198" s="22"/>
      <c r="BF198" s="22"/>
      <c r="BG198" s="22"/>
      <c r="BH198" s="22"/>
      <c r="BI198" s="22"/>
      <c r="BJ198" s="22"/>
      <c r="BK198" s="22"/>
      <c r="BL198" s="22"/>
      <c r="BM198" s="22"/>
      <c r="BN198" s="22"/>
      <c r="BO198" s="22"/>
      <c r="BP198" s="22"/>
      <c r="BQ198" s="22"/>
      <c r="BR198" s="22"/>
      <c r="BS198" s="22"/>
      <c r="BT198" s="22"/>
      <c r="BU198" s="22"/>
      <c r="BV198" s="22"/>
      <c r="BW198" s="22"/>
      <c r="BX198" s="22"/>
      <c r="BY198" s="22"/>
      <c r="BZ198" s="22"/>
      <c r="CA198" s="22"/>
      <c r="CB198" s="22"/>
      <c r="CC198" s="22"/>
      <c r="CD198" s="22"/>
      <c r="CE198" s="22"/>
      <c r="CF198" s="22"/>
      <c r="CG198" s="22"/>
      <c r="CH198" s="22"/>
      <c r="CI198" s="22"/>
      <c r="CJ198" s="22"/>
      <c r="CK198" s="22"/>
      <c r="CL198" s="22"/>
      <c r="CM198" s="22"/>
      <c r="CN198" s="22"/>
      <c r="CO198" s="22"/>
      <c r="CP198" s="22"/>
      <c r="CQ198" s="22"/>
      <c r="CR198" s="22"/>
      <c r="CS198" s="22"/>
      <c r="CT198" s="22"/>
      <c r="CU198" s="22"/>
      <c r="CV198" s="22"/>
      <c r="CW198" s="22"/>
      <c r="CX198" s="22"/>
      <c r="CY198" s="22"/>
      <c r="CZ198" s="22"/>
      <c r="DA198" s="22"/>
      <c r="DB198" s="22"/>
      <c r="DC198" s="22"/>
      <c r="DD198" s="22"/>
      <c r="DE198" s="22"/>
      <c r="DF198" s="22"/>
      <c r="DG198" s="22"/>
      <c r="DH198" s="22"/>
      <c r="DI198" s="22"/>
      <c r="DJ198" s="22"/>
      <c r="DK198" s="22"/>
      <c r="DL198" s="22"/>
      <c r="DM198" s="22"/>
      <c r="DN198" s="22"/>
      <c r="DO198" s="22"/>
      <c r="DP198" s="22"/>
      <c r="DQ198" s="22"/>
      <c r="DR198" s="22"/>
      <c r="DS198" s="22"/>
      <c r="DT198" s="22"/>
      <c r="DU198" s="22"/>
      <c r="DV198" s="22"/>
      <c r="DW198" s="22"/>
      <c r="DX198" s="22"/>
      <c r="DY198" s="22"/>
      <c r="DZ198" s="22"/>
      <c r="EA198" s="22"/>
      <c r="EB198" s="22"/>
      <c r="EC198" s="22"/>
      <c r="ED198" s="22"/>
      <c r="EE198" s="22"/>
      <c r="EF198" s="22"/>
      <c r="EG198" s="22"/>
      <c r="EH198" s="22"/>
      <c r="EI198" s="22"/>
      <c r="EJ198" s="22"/>
      <c r="EK198" s="22"/>
      <c r="EL198" s="22"/>
      <c r="EM198" s="22"/>
      <c r="EN198" s="22"/>
      <c r="EO198" s="22"/>
      <c r="EP198" s="22"/>
      <c r="EQ198" s="22"/>
      <c r="ER198" s="22"/>
      <c r="ES198" s="22"/>
      <c r="ET198" s="22"/>
      <c r="EU198" s="22"/>
      <c r="EV198" s="22"/>
      <c r="EW198" s="22"/>
      <c r="EX198" s="22"/>
      <c r="EY198" s="22"/>
      <c r="EZ198" s="22"/>
      <c r="FA198" s="22"/>
      <c r="FB198" s="22"/>
      <c r="FC198" s="22"/>
      <c r="FD198" s="22"/>
      <c r="FE198" s="22"/>
      <c r="FF198" s="22"/>
      <c r="FG198" s="22"/>
      <c r="FH198" s="22"/>
      <c r="FI198" s="22"/>
      <c r="FJ198" s="22"/>
      <c r="FK198" s="22"/>
      <c r="FL198" s="22"/>
      <c r="FM198" s="22"/>
      <c r="FN198" s="22"/>
      <c r="FO198" s="22"/>
      <c r="FP198" s="22"/>
      <c r="FQ198" s="22"/>
      <c r="FR198" s="22"/>
      <c r="FS198" s="22"/>
      <c r="FT198" s="22"/>
      <c r="FU198" s="22"/>
      <c r="FV198" s="22"/>
      <c r="FW198" s="22"/>
      <c r="FX198" s="22"/>
      <c r="FY198" s="22"/>
      <c r="FZ198" s="22"/>
      <c r="GA198" s="22"/>
      <c r="GB198" s="22"/>
      <c r="GC198" s="22"/>
      <c r="GD198" s="22"/>
      <c r="GE198" s="22"/>
      <c r="GF198" s="22"/>
      <c r="GG198" s="22"/>
      <c r="GH198" s="22"/>
      <c r="GI198" s="22"/>
      <c r="GJ198" s="22"/>
      <c r="GK198" s="22"/>
      <c r="GL198" s="22"/>
      <c r="GM198" s="22"/>
      <c r="GN198" s="22"/>
      <c r="GO198" s="22"/>
      <c r="GP198" s="22"/>
      <c r="GQ198" s="22"/>
      <c r="GR198" s="22"/>
      <c r="GS198" s="22"/>
      <c r="GT198" s="22"/>
      <c r="GU198" s="22"/>
      <c r="GV198" s="22"/>
      <c r="GW198" s="22"/>
      <c r="GX198" s="22"/>
      <c r="GY198" s="22"/>
      <c r="GZ198" s="22"/>
      <c r="HA198" s="22"/>
      <c r="HB198" s="22"/>
      <c r="HC198" s="22"/>
      <c r="HD198" s="22"/>
      <c r="HE198" s="22"/>
      <c r="HF198" s="22"/>
      <c r="HG198" s="22"/>
      <c r="HH198" s="22"/>
      <c r="HI198" s="22"/>
      <c r="HJ198" s="22"/>
      <c r="HK198" s="22"/>
      <c r="HL198" s="22"/>
      <c r="HM198" s="22"/>
      <c r="HN198" s="22"/>
      <c r="HO198" s="22"/>
      <c r="HP198" s="22"/>
      <c r="HQ198" s="22"/>
      <c r="HR198" s="22"/>
      <c r="HS198" s="22"/>
      <c r="HT198" s="22"/>
      <c r="HU198" s="22"/>
      <c r="HV198" s="22"/>
      <c r="HW198" s="22"/>
      <c r="HX198" s="22"/>
      <c r="HY198" s="22"/>
      <c r="HZ198" s="22"/>
      <c r="IA198" s="22"/>
      <c r="IB198" s="22"/>
      <c r="IC198" s="22"/>
      <c r="ID198" s="22"/>
      <c r="IE198" s="22"/>
      <c r="IF198" s="22"/>
      <c r="IG198" s="22"/>
      <c r="IH198" s="22"/>
      <c r="II198" s="22"/>
      <c r="IJ198" s="22"/>
      <c r="IK198" s="22"/>
      <c r="IL198" s="22"/>
      <c r="IM198" s="22"/>
      <c r="IN198" s="22"/>
      <c r="IO198" s="22"/>
      <c r="IP198" s="22"/>
      <c r="IQ198" s="22"/>
      <c r="IR198" s="22"/>
      <c r="IS198" s="22"/>
      <c r="IT198" s="22"/>
      <c r="IU198" s="22"/>
      <c r="IV198" s="22"/>
    </row>
    <row r="199" spans="1:256" s="64" customFormat="1" ht="15" customHeight="1">
      <c r="A199" s="25" t="s">
        <v>1264</v>
      </c>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c r="BE199" s="22"/>
      <c r="BF199" s="22"/>
      <c r="BG199" s="22"/>
      <c r="BH199" s="22"/>
      <c r="BI199" s="22"/>
      <c r="BJ199" s="22"/>
      <c r="BK199" s="22"/>
      <c r="BL199" s="22"/>
      <c r="BM199" s="22"/>
      <c r="BN199" s="22"/>
      <c r="BO199" s="22"/>
      <c r="BP199" s="22"/>
      <c r="BQ199" s="22"/>
      <c r="BR199" s="22"/>
      <c r="BS199" s="22"/>
      <c r="BT199" s="22"/>
      <c r="BU199" s="22"/>
      <c r="BV199" s="22"/>
      <c r="BW199" s="22"/>
      <c r="BX199" s="22"/>
      <c r="BY199" s="22"/>
      <c r="BZ199" s="22"/>
      <c r="CA199" s="22"/>
      <c r="CB199" s="22"/>
      <c r="CC199" s="22"/>
      <c r="CD199" s="22"/>
      <c r="CE199" s="22"/>
      <c r="CF199" s="22"/>
      <c r="CG199" s="22"/>
      <c r="CH199" s="22"/>
      <c r="CI199" s="22"/>
      <c r="CJ199" s="22"/>
      <c r="CK199" s="22"/>
      <c r="CL199" s="22"/>
      <c r="CM199" s="22"/>
      <c r="CN199" s="22"/>
      <c r="CO199" s="22"/>
      <c r="CP199" s="22"/>
      <c r="CQ199" s="22"/>
      <c r="CR199" s="22"/>
      <c r="CS199" s="22"/>
      <c r="CT199" s="22"/>
      <c r="CU199" s="22"/>
      <c r="CV199" s="22"/>
      <c r="CW199" s="22"/>
      <c r="CX199" s="22"/>
      <c r="CY199" s="22"/>
      <c r="CZ199" s="22"/>
      <c r="DA199" s="22"/>
      <c r="DB199" s="22"/>
      <c r="DC199" s="22"/>
      <c r="DD199" s="22"/>
      <c r="DE199" s="22"/>
      <c r="DF199" s="22"/>
      <c r="DG199" s="22"/>
      <c r="DH199" s="22"/>
      <c r="DI199" s="22"/>
      <c r="DJ199" s="22"/>
      <c r="DK199" s="22"/>
      <c r="DL199" s="22"/>
      <c r="DM199" s="22"/>
      <c r="DN199" s="22"/>
      <c r="DO199" s="22"/>
      <c r="DP199" s="22"/>
      <c r="DQ199" s="22"/>
      <c r="DR199" s="22"/>
      <c r="DS199" s="22"/>
      <c r="DT199" s="22"/>
      <c r="DU199" s="22"/>
      <c r="DV199" s="22"/>
      <c r="DW199" s="22"/>
      <c r="DX199" s="22"/>
      <c r="DY199" s="22"/>
      <c r="DZ199" s="22"/>
      <c r="EA199" s="22"/>
      <c r="EB199" s="22"/>
      <c r="EC199" s="22"/>
      <c r="ED199" s="22"/>
      <c r="EE199" s="22"/>
      <c r="EF199" s="22"/>
      <c r="EG199" s="22"/>
      <c r="EH199" s="22"/>
      <c r="EI199" s="22"/>
      <c r="EJ199" s="22"/>
      <c r="EK199" s="22"/>
      <c r="EL199" s="22"/>
      <c r="EM199" s="22"/>
      <c r="EN199" s="22"/>
      <c r="EO199" s="22"/>
      <c r="EP199" s="22"/>
      <c r="EQ199" s="22"/>
      <c r="ER199" s="22"/>
      <c r="ES199" s="22"/>
      <c r="ET199" s="22"/>
      <c r="EU199" s="22"/>
      <c r="EV199" s="22"/>
      <c r="EW199" s="22"/>
      <c r="EX199" s="22"/>
      <c r="EY199" s="22"/>
      <c r="EZ199" s="22"/>
      <c r="FA199" s="22"/>
      <c r="FB199" s="22"/>
      <c r="FC199" s="22"/>
      <c r="FD199" s="22"/>
      <c r="FE199" s="22"/>
      <c r="FF199" s="22"/>
      <c r="FG199" s="22"/>
      <c r="FH199" s="22"/>
      <c r="FI199" s="22"/>
      <c r="FJ199" s="22"/>
      <c r="FK199" s="22"/>
      <c r="FL199" s="22"/>
      <c r="FM199" s="22"/>
      <c r="FN199" s="22"/>
      <c r="FO199" s="22"/>
      <c r="FP199" s="22"/>
      <c r="FQ199" s="22"/>
      <c r="FR199" s="22"/>
      <c r="FS199" s="22"/>
      <c r="FT199" s="22"/>
      <c r="FU199" s="22"/>
      <c r="FV199" s="22"/>
      <c r="FW199" s="22"/>
      <c r="FX199" s="22"/>
      <c r="FY199" s="22"/>
      <c r="FZ199" s="22"/>
      <c r="GA199" s="22"/>
      <c r="GB199" s="22"/>
      <c r="GC199" s="22"/>
      <c r="GD199" s="22"/>
      <c r="GE199" s="22"/>
      <c r="GF199" s="22"/>
      <c r="GG199" s="22"/>
      <c r="GH199" s="22"/>
      <c r="GI199" s="22"/>
      <c r="GJ199" s="22"/>
      <c r="GK199" s="22"/>
      <c r="GL199" s="22"/>
      <c r="GM199" s="22"/>
      <c r="GN199" s="22"/>
      <c r="GO199" s="22"/>
      <c r="GP199" s="22"/>
      <c r="GQ199" s="22"/>
      <c r="GR199" s="22"/>
      <c r="GS199" s="22"/>
      <c r="GT199" s="22"/>
      <c r="GU199" s="22"/>
      <c r="GV199" s="22"/>
      <c r="GW199" s="22"/>
      <c r="GX199" s="22"/>
      <c r="GY199" s="22"/>
      <c r="GZ199" s="22"/>
      <c r="HA199" s="22"/>
      <c r="HB199" s="22"/>
      <c r="HC199" s="22"/>
      <c r="HD199" s="22"/>
      <c r="HE199" s="22"/>
      <c r="HF199" s="22"/>
      <c r="HG199" s="22"/>
      <c r="HH199" s="22"/>
      <c r="HI199" s="22"/>
      <c r="HJ199" s="22"/>
      <c r="HK199" s="22"/>
      <c r="HL199" s="22"/>
      <c r="HM199" s="22"/>
      <c r="HN199" s="22"/>
      <c r="HO199" s="22"/>
      <c r="HP199" s="22"/>
      <c r="HQ199" s="22"/>
      <c r="HR199" s="22"/>
      <c r="HS199" s="22"/>
      <c r="HT199" s="22"/>
      <c r="HU199" s="22"/>
      <c r="HV199" s="22"/>
      <c r="HW199" s="22"/>
      <c r="HX199" s="22"/>
      <c r="HY199" s="22"/>
      <c r="HZ199" s="22"/>
      <c r="IA199" s="22"/>
      <c r="IB199" s="22"/>
      <c r="IC199" s="22"/>
      <c r="ID199" s="22"/>
      <c r="IE199" s="22"/>
      <c r="IF199" s="22"/>
      <c r="IG199" s="22"/>
      <c r="IH199" s="22"/>
      <c r="II199" s="22"/>
      <c r="IJ199" s="22"/>
      <c r="IK199" s="22"/>
      <c r="IL199" s="22"/>
      <c r="IM199" s="22"/>
      <c r="IN199" s="22"/>
      <c r="IO199" s="22"/>
      <c r="IP199" s="22"/>
      <c r="IQ199" s="22"/>
      <c r="IR199" s="22"/>
      <c r="IS199" s="22"/>
      <c r="IT199" s="22"/>
      <c r="IU199" s="22"/>
      <c r="IV199" s="22"/>
    </row>
    <row r="200" spans="1:256" s="26" customFormat="1" ht="15" customHeight="1">
      <c r="A200" s="26" t="s">
        <v>954</v>
      </c>
    </row>
    <row r="201" spans="1:256" s="64" customFormat="1" ht="15" customHeight="1">
      <c r="A201" s="25" t="s">
        <v>1265</v>
      </c>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c r="AZ201" s="22"/>
      <c r="BA201" s="22"/>
      <c r="BB201" s="22"/>
      <c r="BC201" s="22"/>
      <c r="BD201" s="22"/>
      <c r="BE201" s="22"/>
      <c r="BF201" s="22"/>
      <c r="BG201" s="22"/>
      <c r="BH201" s="22"/>
      <c r="BI201" s="22"/>
      <c r="BJ201" s="22"/>
      <c r="BK201" s="22"/>
      <c r="BL201" s="22"/>
      <c r="BM201" s="22"/>
      <c r="BN201" s="22"/>
      <c r="BO201" s="22"/>
      <c r="BP201" s="22"/>
      <c r="BQ201" s="22"/>
      <c r="BR201" s="22"/>
      <c r="BS201" s="22"/>
      <c r="BT201" s="22"/>
      <c r="BU201" s="22"/>
      <c r="BV201" s="22"/>
      <c r="BW201" s="22"/>
      <c r="BX201" s="22"/>
      <c r="BY201" s="22"/>
      <c r="BZ201" s="22"/>
      <c r="CA201" s="22"/>
      <c r="CB201" s="22"/>
      <c r="CC201" s="22"/>
      <c r="CD201" s="22"/>
      <c r="CE201" s="22"/>
      <c r="CF201" s="22"/>
      <c r="CG201" s="22"/>
      <c r="CH201" s="22"/>
      <c r="CI201" s="22"/>
      <c r="CJ201" s="22"/>
      <c r="CK201" s="22"/>
      <c r="CL201" s="22"/>
      <c r="CM201" s="22"/>
      <c r="CN201" s="22"/>
      <c r="CO201" s="22"/>
      <c r="CP201" s="22"/>
      <c r="CQ201" s="22"/>
      <c r="CR201" s="22"/>
      <c r="CS201" s="22"/>
      <c r="CT201" s="22"/>
      <c r="CU201" s="22"/>
      <c r="CV201" s="22"/>
      <c r="CW201" s="22"/>
      <c r="CX201" s="22"/>
      <c r="CY201" s="22"/>
      <c r="CZ201" s="22"/>
      <c r="DA201" s="22"/>
      <c r="DB201" s="22"/>
      <c r="DC201" s="22"/>
      <c r="DD201" s="22"/>
      <c r="DE201" s="22"/>
      <c r="DF201" s="22"/>
      <c r="DG201" s="22"/>
      <c r="DH201" s="22"/>
      <c r="DI201" s="22"/>
      <c r="DJ201" s="22"/>
      <c r="DK201" s="22"/>
      <c r="DL201" s="22"/>
      <c r="DM201" s="22"/>
      <c r="DN201" s="22"/>
      <c r="DO201" s="22"/>
      <c r="DP201" s="22"/>
      <c r="DQ201" s="22"/>
      <c r="DR201" s="22"/>
      <c r="DS201" s="22"/>
      <c r="DT201" s="22"/>
      <c r="DU201" s="22"/>
      <c r="DV201" s="22"/>
      <c r="DW201" s="22"/>
      <c r="DX201" s="22"/>
      <c r="DY201" s="22"/>
      <c r="DZ201" s="22"/>
      <c r="EA201" s="22"/>
      <c r="EB201" s="22"/>
      <c r="EC201" s="22"/>
      <c r="ED201" s="22"/>
      <c r="EE201" s="22"/>
      <c r="EF201" s="22"/>
      <c r="EG201" s="22"/>
      <c r="EH201" s="22"/>
      <c r="EI201" s="22"/>
      <c r="EJ201" s="22"/>
      <c r="EK201" s="22"/>
      <c r="EL201" s="22"/>
      <c r="EM201" s="22"/>
      <c r="EN201" s="22"/>
      <c r="EO201" s="22"/>
      <c r="EP201" s="22"/>
      <c r="EQ201" s="22"/>
      <c r="ER201" s="22"/>
      <c r="ES201" s="22"/>
      <c r="ET201" s="22"/>
      <c r="EU201" s="22"/>
      <c r="EV201" s="22"/>
      <c r="EW201" s="22"/>
      <c r="EX201" s="22"/>
      <c r="EY201" s="22"/>
      <c r="EZ201" s="22"/>
      <c r="FA201" s="22"/>
      <c r="FB201" s="22"/>
      <c r="FC201" s="22"/>
      <c r="FD201" s="22"/>
      <c r="FE201" s="22"/>
      <c r="FF201" s="22"/>
      <c r="FG201" s="22"/>
      <c r="FH201" s="22"/>
      <c r="FI201" s="22"/>
      <c r="FJ201" s="22"/>
      <c r="FK201" s="22"/>
      <c r="FL201" s="22"/>
      <c r="FM201" s="22"/>
      <c r="FN201" s="22"/>
      <c r="FO201" s="22"/>
      <c r="FP201" s="22"/>
      <c r="FQ201" s="22"/>
      <c r="FR201" s="22"/>
      <c r="FS201" s="22"/>
      <c r="FT201" s="22"/>
      <c r="FU201" s="22"/>
      <c r="FV201" s="22"/>
      <c r="FW201" s="22"/>
      <c r="FX201" s="22"/>
      <c r="FY201" s="22"/>
      <c r="FZ201" s="22"/>
      <c r="GA201" s="22"/>
      <c r="GB201" s="22"/>
      <c r="GC201" s="22"/>
      <c r="GD201" s="22"/>
      <c r="GE201" s="22"/>
      <c r="GF201" s="22"/>
      <c r="GG201" s="22"/>
      <c r="GH201" s="22"/>
      <c r="GI201" s="22"/>
      <c r="GJ201" s="22"/>
      <c r="GK201" s="22"/>
      <c r="GL201" s="22"/>
      <c r="GM201" s="22"/>
      <c r="GN201" s="22"/>
      <c r="GO201" s="22"/>
      <c r="GP201" s="22"/>
      <c r="GQ201" s="22"/>
      <c r="GR201" s="22"/>
      <c r="GS201" s="22"/>
      <c r="GT201" s="22"/>
      <c r="GU201" s="22"/>
      <c r="GV201" s="22"/>
      <c r="GW201" s="22"/>
      <c r="GX201" s="22"/>
      <c r="GY201" s="22"/>
      <c r="GZ201" s="22"/>
      <c r="HA201" s="22"/>
      <c r="HB201" s="22"/>
      <c r="HC201" s="22"/>
      <c r="HD201" s="22"/>
      <c r="HE201" s="22"/>
      <c r="HF201" s="22"/>
      <c r="HG201" s="22"/>
      <c r="HH201" s="22"/>
      <c r="HI201" s="22"/>
      <c r="HJ201" s="22"/>
      <c r="HK201" s="22"/>
      <c r="HL201" s="22"/>
      <c r="HM201" s="22"/>
      <c r="HN201" s="22"/>
      <c r="HO201" s="22"/>
      <c r="HP201" s="22"/>
      <c r="HQ201" s="22"/>
      <c r="HR201" s="22"/>
      <c r="HS201" s="22"/>
      <c r="HT201" s="22"/>
      <c r="HU201" s="22"/>
      <c r="HV201" s="22"/>
      <c r="HW201" s="22"/>
      <c r="HX201" s="22"/>
      <c r="HY201" s="22"/>
      <c r="HZ201" s="22"/>
      <c r="IA201" s="22"/>
      <c r="IB201" s="22"/>
      <c r="IC201" s="22"/>
      <c r="ID201" s="22"/>
      <c r="IE201" s="22"/>
      <c r="IF201" s="22"/>
      <c r="IG201" s="22"/>
      <c r="IH201" s="22"/>
      <c r="II201" s="22"/>
      <c r="IJ201" s="22"/>
      <c r="IK201" s="22"/>
      <c r="IL201" s="22"/>
      <c r="IM201" s="22"/>
      <c r="IN201" s="22"/>
      <c r="IO201" s="22"/>
      <c r="IP201" s="22"/>
      <c r="IQ201" s="22"/>
      <c r="IR201" s="22"/>
      <c r="IS201" s="22"/>
      <c r="IT201" s="22"/>
      <c r="IU201" s="22"/>
      <c r="IV201" s="22"/>
    </row>
    <row r="202" spans="1:256" s="64" customFormat="1" ht="15" customHeight="1">
      <c r="A202" s="25" t="s">
        <v>1266</v>
      </c>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c r="AZ202" s="22"/>
      <c r="BA202" s="22"/>
      <c r="BB202" s="22"/>
      <c r="BC202" s="22"/>
      <c r="BD202" s="22"/>
      <c r="BE202" s="22"/>
      <c r="BF202" s="22"/>
      <c r="BG202" s="22"/>
      <c r="BH202" s="22"/>
      <c r="BI202" s="22"/>
      <c r="BJ202" s="22"/>
      <c r="BK202" s="22"/>
      <c r="BL202" s="22"/>
      <c r="BM202" s="22"/>
      <c r="BN202" s="22"/>
      <c r="BO202" s="22"/>
      <c r="BP202" s="22"/>
      <c r="BQ202" s="22"/>
      <c r="BR202" s="22"/>
      <c r="BS202" s="22"/>
      <c r="BT202" s="22"/>
      <c r="BU202" s="22"/>
      <c r="BV202" s="22"/>
      <c r="BW202" s="22"/>
      <c r="BX202" s="22"/>
      <c r="BY202" s="22"/>
      <c r="BZ202" s="22"/>
      <c r="CA202" s="22"/>
      <c r="CB202" s="22"/>
      <c r="CC202" s="22"/>
      <c r="CD202" s="22"/>
      <c r="CE202" s="22"/>
      <c r="CF202" s="22"/>
      <c r="CG202" s="22"/>
      <c r="CH202" s="22"/>
      <c r="CI202" s="22"/>
      <c r="CJ202" s="22"/>
      <c r="CK202" s="22"/>
      <c r="CL202" s="22"/>
      <c r="CM202" s="22"/>
      <c r="CN202" s="22"/>
      <c r="CO202" s="22"/>
      <c r="CP202" s="22"/>
      <c r="CQ202" s="22"/>
      <c r="CR202" s="22"/>
      <c r="CS202" s="22"/>
      <c r="CT202" s="22"/>
      <c r="CU202" s="22"/>
      <c r="CV202" s="22"/>
      <c r="CW202" s="22"/>
      <c r="CX202" s="22"/>
      <c r="CY202" s="22"/>
      <c r="CZ202" s="22"/>
      <c r="DA202" s="22"/>
      <c r="DB202" s="22"/>
      <c r="DC202" s="22"/>
      <c r="DD202" s="22"/>
      <c r="DE202" s="22"/>
      <c r="DF202" s="22"/>
      <c r="DG202" s="22"/>
      <c r="DH202" s="22"/>
      <c r="DI202" s="22"/>
      <c r="DJ202" s="22"/>
      <c r="DK202" s="22"/>
      <c r="DL202" s="22"/>
      <c r="DM202" s="22"/>
      <c r="DN202" s="22"/>
      <c r="DO202" s="22"/>
      <c r="DP202" s="22"/>
      <c r="DQ202" s="22"/>
      <c r="DR202" s="22"/>
      <c r="DS202" s="22"/>
      <c r="DT202" s="22"/>
      <c r="DU202" s="22"/>
      <c r="DV202" s="22"/>
      <c r="DW202" s="22"/>
      <c r="DX202" s="22"/>
      <c r="DY202" s="22"/>
      <c r="DZ202" s="22"/>
      <c r="EA202" s="22"/>
      <c r="EB202" s="22"/>
      <c r="EC202" s="22"/>
      <c r="ED202" s="22"/>
      <c r="EE202" s="22"/>
      <c r="EF202" s="22"/>
      <c r="EG202" s="22"/>
      <c r="EH202" s="22"/>
      <c r="EI202" s="22"/>
      <c r="EJ202" s="22"/>
      <c r="EK202" s="22"/>
      <c r="EL202" s="22"/>
      <c r="EM202" s="22"/>
      <c r="EN202" s="22"/>
      <c r="EO202" s="22"/>
      <c r="EP202" s="22"/>
      <c r="EQ202" s="22"/>
      <c r="ER202" s="22"/>
      <c r="ES202" s="22"/>
      <c r="ET202" s="22"/>
      <c r="EU202" s="22"/>
      <c r="EV202" s="22"/>
      <c r="EW202" s="22"/>
      <c r="EX202" s="22"/>
      <c r="EY202" s="22"/>
      <c r="EZ202" s="22"/>
      <c r="FA202" s="22"/>
      <c r="FB202" s="22"/>
      <c r="FC202" s="22"/>
      <c r="FD202" s="22"/>
      <c r="FE202" s="22"/>
      <c r="FF202" s="22"/>
      <c r="FG202" s="22"/>
      <c r="FH202" s="22"/>
      <c r="FI202" s="22"/>
      <c r="FJ202" s="22"/>
      <c r="FK202" s="22"/>
      <c r="FL202" s="22"/>
      <c r="FM202" s="22"/>
      <c r="FN202" s="22"/>
      <c r="FO202" s="22"/>
      <c r="FP202" s="22"/>
      <c r="FQ202" s="22"/>
      <c r="FR202" s="22"/>
      <c r="FS202" s="22"/>
      <c r="FT202" s="22"/>
      <c r="FU202" s="22"/>
      <c r="FV202" s="22"/>
      <c r="FW202" s="22"/>
      <c r="FX202" s="22"/>
      <c r="FY202" s="22"/>
      <c r="FZ202" s="22"/>
      <c r="GA202" s="22"/>
      <c r="GB202" s="22"/>
      <c r="GC202" s="22"/>
      <c r="GD202" s="22"/>
      <c r="GE202" s="22"/>
      <c r="GF202" s="22"/>
      <c r="GG202" s="22"/>
      <c r="GH202" s="22"/>
      <c r="GI202" s="22"/>
      <c r="GJ202" s="22"/>
      <c r="GK202" s="22"/>
      <c r="GL202" s="22"/>
      <c r="GM202" s="22"/>
      <c r="GN202" s="22"/>
      <c r="GO202" s="22"/>
      <c r="GP202" s="22"/>
      <c r="GQ202" s="22"/>
      <c r="GR202" s="22"/>
      <c r="GS202" s="22"/>
      <c r="GT202" s="22"/>
      <c r="GU202" s="22"/>
      <c r="GV202" s="22"/>
      <c r="GW202" s="22"/>
      <c r="GX202" s="22"/>
      <c r="GY202" s="22"/>
      <c r="GZ202" s="22"/>
      <c r="HA202" s="22"/>
      <c r="HB202" s="22"/>
      <c r="HC202" s="22"/>
      <c r="HD202" s="22"/>
      <c r="HE202" s="22"/>
      <c r="HF202" s="22"/>
      <c r="HG202" s="22"/>
      <c r="HH202" s="22"/>
      <c r="HI202" s="22"/>
      <c r="HJ202" s="22"/>
      <c r="HK202" s="22"/>
      <c r="HL202" s="22"/>
      <c r="HM202" s="22"/>
      <c r="HN202" s="22"/>
      <c r="HO202" s="22"/>
      <c r="HP202" s="22"/>
      <c r="HQ202" s="22"/>
      <c r="HR202" s="22"/>
      <c r="HS202" s="22"/>
      <c r="HT202" s="22"/>
      <c r="HU202" s="22"/>
      <c r="HV202" s="22"/>
      <c r="HW202" s="22"/>
      <c r="HX202" s="22"/>
      <c r="HY202" s="22"/>
      <c r="HZ202" s="22"/>
      <c r="IA202" s="22"/>
      <c r="IB202" s="22"/>
      <c r="IC202" s="22"/>
      <c r="ID202" s="22"/>
      <c r="IE202" s="22"/>
      <c r="IF202" s="22"/>
      <c r="IG202" s="22"/>
      <c r="IH202" s="22"/>
      <c r="II202" s="22"/>
      <c r="IJ202" s="22"/>
      <c r="IK202" s="22"/>
      <c r="IL202" s="22"/>
      <c r="IM202" s="22"/>
      <c r="IN202" s="22"/>
      <c r="IO202" s="22"/>
      <c r="IP202" s="22"/>
      <c r="IQ202" s="22"/>
      <c r="IR202" s="22"/>
      <c r="IS202" s="22"/>
      <c r="IT202" s="22"/>
      <c r="IU202" s="22"/>
      <c r="IV202" s="22"/>
    </row>
    <row r="203" spans="1:256" s="64" customFormat="1" ht="15" customHeight="1">
      <c r="A203" s="25" t="s">
        <v>1267</v>
      </c>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c r="AZ203" s="22"/>
      <c r="BA203" s="22"/>
      <c r="BB203" s="22"/>
      <c r="BC203" s="22"/>
      <c r="BD203" s="22"/>
      <c r="BE203" s="22"/>
      <c r="BF203" s="22"/>
      <c r="BG203" s="22"/>
      <c r="BH203" s="22"/>
      <c r="BI203" s="22"/>
      <c r="BJ203" s="22"/>
      <c r="BK203" s="22"/>
      <c r="BL203" s="22"/>
      <c r="BM203" s="22"/>
      <c r="BN203" s="22"/>
      <c r="BO203" s="22"/>
      <c r="BP203" s="22"/>
      <c r="BQ203" s="22"/>
      <c r="BR203" s="22"/>
      <c r="BS203" s="22"/>
      <c r="BT203" s="22"/>
      <c r="BU203" s="22"/>
      <c r="BV203" s="22"/>
      <c r="BW203" s="22"/>
      <c r="BX203" s="22"/>
      <c r="BY203" s="22"/>
      <c r="BZ203" s="22"/>
      <c r="CA203" s="22"/>
      <c r="CB203" s="22"/>
      <c r="CC203" s="22"/>
      <c r="CD203" s="22"/>
      <c r="CE203" s="22"/>
      <c r="CF203" s="22"/>
      <c r="CG203" s="22"/>
      <c r="CH203" s="22"/>
      <c r="CI203" s="22"/>
      <c r="CJ203" s="22"/>
      <c r="CK203" s="22"/>
      <c r="CL203" s="22"/>
      <c r="CM203" s="22"/>
      <c r="CN203" s="22"/>
      <c r="CO203" s="22"/>
      <c r="CP203" s="22"/>
      <c r="CQ203" s="22"/>
      <c r="CR203" s="22"/>
      <c r="CS203" s="22"/>
      <c r="CT203" s="22"/>
      <c r="CU203" s="22"/>
      <c r="CV203" s="22"/>
      <c r="CW203" s="22"/>
      <c r="CX203" s="22"/>
      <c r="CY203" s="22"/>
      <c r="CZ203" s="22"/>
      <c r="DA203" s="22"/>
      <c r="DB203" s="22"/>
      <c r="DC203" s="22"/>
      <c r="DD203" s="22"/>
      <c r="DE203" s="22"/>
      <c r="DF203" s="22"/>
      <c r="DG203" s="22"/>
      <c r="DH203" s="22"/>
      <c r="DI203" s="22"/>
      <c r="DJ203" s="22"/>
      <c r="DK203" s="22"/>
      <c r="DL203" s="22"/>
      <c r="DM203" s="22"/>
      <c r="DN203" s="22"/>
      <c r="DO203" s="22"/>
      <c r="DP203" s="22"/>
      <c r="DQ203" s="22"/>
      <c r="DR203" s="22"/>
      <c r="DS203" s="22"/>
      <c r="DT203" s="22"/>
      <c r="DU203" s="22"/>
      <c r="DV203" s="22"/>
      <c r="DW203" s="22"/>
      <c r="DX203" s="22"/>
      <c r="DY203" s="22"/>
      <c r="DZ203" s="22"/>
      <c r="EA203" s="22"/>
      <c r="EB203" s="22"/>
      <c r="EC203" s="22"/>
      <c r="ED203" s="22"/>
      <c r="EE203" s="22"/>
      <c r="EF203" s="22"/>
      <c r="EG203" s="22"/>
      <c r="EH203" s="22"/>
      <c r="EI203" s="22"/>
      <c r="EJ203" s="22"/>
      <c r="EK203" s="22"/>
      <c r="EL203" s="22"/>
      <c r="EM203" s="22"/>
      <c r="EN203" s="22"/>
      <c r="EO203" s="22"/>
      <c r="EP203" s="22"/>
      <c r="EQ203" s="22"/>
      <c r="ER203" s="22"/>
      <c r="ES203" s="22"/>
      <c r="ET203" s="22"/>
      <c r="EU203" s="22"/>
      <c r="EV203" s="22"/>
      <c r="EW203" s="22"/>
      <c r="EX203" s="22"/>
      <c r="EY203" s="22"/>
      <c r="EZ203" s="22"/>
      <c r="FA203" s="22"/>
      <c r="FB203" s="22"/>
      <c r="FC203" s="22"/>
      <c r="FD203" s="22"/>
      <c r="FE203" s="22"/>
      <c r="FF203" s="22"/>
      <c r="FG203" s="22"/>
      <c r="FH203" s="22"/>
      <c r="FI203" s="22"/>
      <c r="FJ203" s="22"/>
      <c r="FK203" s="22"/>
      <c r="FL203" s="22"/>
      <c r="FM203" s="22"/>
      <c r="FN203" s="22"/>
      <c r="FO203" s="22"/>
      <c r="FP203" s="22"/>
      <c r="FQ203" s="22"/>
      <c r="FR203" s="22"/>
      <c r="FS203" s="22"/>
      <c r="FT203" s="22"/>
      <c r="FU203" s="22"/>
      <c r="FV203" s="22"/>
      <c r="FW203" s="22"/>
      <c r="FX203" s="22"/>
      <c r="FY203" s="22"/>
      <c r="FZ203" s="22"/>
      <c r="GA203" s="22"/>
      <c r="GB203" s="22"/>
      <c r="GC203" s="22"/>
      <c r="GD203" s="22"/>
      <c r="GE203" s="22"/>
      <c r="GF203" s="22"/>
      <c r="GG203" s="22"/>
      <c r="GH203" s="22"/>
      <c r="GI203" s="22"/>
      <c r="GJ203" s="22"/>
      <c r="GK203" s="22"/>
      <c r="GL203" s="22"/>
      <c r="GM203" s="22"/>
      <c r="GN203" s="22"/>
      <c r="GO203" s="22"/>
      <c r="GP203" s="22"/>
      <c r="GQ203" s="22"/>
      <c r="GR203" s="22"/>
      <c r="GS203" s="22"/>
      <c r="GT203" s="22"/>
      <c r="GU203" s="22"/>
      <c r="GV203" s="22"/>
      <c r="GW203" s="22"/>
      <c r="GX203" s="22"/>
      <c r="GY203" s="22"/>
      <c r="GZ203" s="22"/>
      <c r="HA203" s="22"/>
      <c r="HB203" s="22"/>
      <c r="HC203" s="22"/>
      <c r="HD203" s="22"/>
      <c r="HE203" s="22"/>
      <c r="HF203" s="22"/>
      <c r="HG203" s="22"/>
      <c r="HH203" s="22"/>
      <c r="HI203" s="22"/>
      <c r="HJ203" s="22"/>
      <c r="HK203" s="22"/>
      <c r="HL203" s="22"/>
      <c r="HM203" s="22"/>
      <c r="HN203" s="22"/>
      <c r="HO203" s="22"/>
      <c r="HP203" s="22"/>
      <c r="HQ203" s="22"/>
      <c r="HR203" s="22"/>
      <c r="HS203" s="22"/>
      <c r="HT203" s="22"/>
      <c r="HU203" s="22"/>
      <c r="HV203" s="22"/>
      <c r="HW203" s="22"/>
      <c r="HX203" s="22"/>
      <c r="HY203" s="22"/>
      <c r="HZ203" s="22"/>
      <c r="IA203" s="22"/>
      <c r="IB203" s="22"/>
      <c r="IC203" s="22"/>
      <c r="ID203" s="22"/>
      <c r="IE203" s="22"/>
      <c r="IF203" s="22"/>
      <c r="IG203" s="22"/>
      <c r="IH203" s="22"/>
      <c r="II203" s="22"/>
      <c r="IJ203" s="22"/>
      <c r="IK203" s="22"/>
      <c r="IL203" s="22"/>
      <c r="IM203" s="22"/>
      <c r="IN203" s="22"/>
      <c r="IO203" s="22"/>
      <c r="IP203" s="22"/>
      <c r="IQ203" s="22"/>
      <c r="IR203" s="22"/>
      <c r="IS203" s="22"/>
      <c r="IT203" s="22"/>
      <c r="IU203" s="22"/>
      <c r="IV203" s="22"/>
    </row>
    <row r="204" spans="1:256" s="26" customFormat="1" ht="15" customHeight="1">
      <c r="A204" s="26" t="s">
        <v>955</v>
      </c>
    </row>
    <row r="205" spans="1:256" s="64" customFormat="1" ht="15" customHeight="1">
      <c r="A205" s="25" t="s">
        <v>1268</v>
      </c>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c r="BN205" s="22"/>
      <c r="BO205" s="22"/>
      <c r="BP205" s="22"/>
      <c r="BQ205" s="22"/>
      <c r="BR205" s="22"/>
      <c r="BS205" s="22"/>
      <c r="BT205" s="22"/>
      <c r="BU205" s="22"/>
      <c r="BV205" s="22"/>
      <c r="BW205" s="22"/>
      <c r="BX205" s="22"/>
      <c r="BY205" s="22"/>
      <c r="BZ205" s="22"/>
      <c r="CA205" s="22"/>
      <c r="CB205" s="22"/>
      <c r="CC205" s="22"/>
      <c r="CD205" s="22"/>
      <c r="CE205" s="22"/>
      <c r="CF205" s="22"/>
      <c r="CG205" s="22"/>
      <c r="CH205" s="22"/>
      <c r="CI205" s="22"/>
      <c r="CJ205" s="22"/>
      <c r="CK205" s="22"/>
      <c r="CL205" s="22"/>
      <c r="CM205" s="22"/>
      <c r="CN205" s="22"/>
      <c r="CO205" s="22"/>
      <c r="CP205" s="22"/>
      <c r="CQ205" s="22"/>
      <c r="CR205" s="22"/>
      <c r="CS205" s="22"/>
      <c r="CT205" s="22"/>
      <c r="CU205" s="22"/>
      <c r="CV205" s="22"/>
      <c r="CW205" s="22"/>
      <c r="CX205" s="22"/>
      <c r="CY205" s="22"/>
      <c r="CZ205" s="22"/>
      <c r="DA205" s="22"/>
      <c r="DB205" s="22"/>
      <c r="DC205" s="22"/>
      <c r="DD205" s="22"/>
      <c r="DE205" s="22"/>
      <c r="DF205" s="22"/>
      <c r="DG205" s="22"/>
      <c r="DH205" s="22"/>
      <c r="DI205" s="22"/>
      <c r="DJ205" s="22"/>
      <c r="DK205" s="22"/>
      <c r="DL205" s="22"/>
      <c r="DM205" s="22"/>
      <c r="DN205" s="22"/>
      <c r="DO205" s="22"/>
      <c r="DP205" s="22"/>
      <c r="DQ205" s="22"/>
      <c r="DR205" s="22"/>
      <c r="DS205" s="22"/>
      <c r="DT205" s="22"/>
      <c r="DU205" s="22"/>
      <c r="DV205" s="22"/>
      <c r="DW205" s="22"/>
      <c r="DX205" s="22"/>
      <c r="DY205" s="22"/>
      <c r="DZ205" s="22"/>
      <c r="EA205" s="22"/>
      <c r="EB205" s="22"/>
      <c r="EC205" s="22"/>
      <c r="ED205" s="22"/>
      <c r="EE205" s="22"/>
      <c r="EF205" s="22"/>
      <c r="EG205" s="22"/>
      <c r="EH205" s="22"/>
      <c r="EI205" s="22"/>
      <c r="EJ205" s="22"/>
      <c r="EK205" s="22"/>
      <c r="EL205" s="22"/>
      <c r="EM205" s="22"/>
      <c r="EN205" s="22"/>
      <c r="EO205" s="22"/>
      <c r="EP205" s="22"/>
      <c r="EQ205" s="22"/>
      <c r="ER205" s="22"/>
      <c r="ES205" s="22"/>
      <c r="ET205" s="22"/>
      <c r="EU205" s="22"/>
      <c r="EV205" s="22"/>
      <c r="EW205" s="22"/>
      <c r="EX205" s="22"/>
      <c r="EY205" s="22"/>
      <c r="EZ205" s="22"/>
      <c r="FA205" s="22"/>
      <c r="FB205" s="22"/>
      <c r="FC205" s="22"/>
      <c r="FD205" s="22"/>
      <c r="FE205" s="22"/>
      <c r="FF205" s="22"/>
      <c r="FG205" s="22"/>
      <c r="FH205" s="22"/>
      <c r="FI205" s="22"/>
      <c r="FJ205" s="22"/>
      <c r="FK205" s="22"/>
      <c r="FL205" s="22"/>
      <c r="FM205" s="22"/>
      <c r="FN205" s="22"/>
      <c r="FO205" s="22"/>
      <c r="FP205" s="22"/>
      <c r="FQ205" s="22"/>
      <c r="FR205" s="22"/>
      <c r="FS205" s="22"/>
      <c r="FT205" s="22"/>
      <c r="FU205" s="22"/>
      <c r="FV205" s="22"/>
      <c r="FW205" s="22"/>
      <c r="FX205" s="22"/>
      <c r="FY205" s="22"/>
      <c r="FZ205" s="22"/>
      <c r="GA205" s="22"/>
      <c r="GB205" s="22"/>
      <c r="GC205" s="22"/>
      <c r="GD205" s="22"/>
      <c r="GE205" s="22"/>
      <c r="GF205" s="22"/>
      <c r="GG205" s="22"/>
      <c r="GH205" s="22"/>
      <c r="GI205" s="22"/>
      <c r="GJ205" s="22"/>
      <c r="GK205" s="22"/>
      <c r="GL205" s="22"/>
      <c r="GM205" s="22"/>
      <c r="GN205" s="22"/>
      <c r="GO205" s="22"/>
      <c r="GP205" s="22"/>
      <c r="GQ205" s="22"/>
      <c r="GR205" s="22"/>
      <c r="GS205" s="22"/>
      <c r="GT205" s="22"/>
      <c r="GU205" s="22"/>
      <c r="GV205" s="22"/>
      <c r="GW205" s="22"/>
      <c r="GX205" s="22"/>
      <c r="GY205" s="22"/>
      <c r="GZ205" s="22"/>
      <c r="HA205" s="22"/>
      <c r="HB205" s="22"/>
      <c r="HC205" s="22"/>
      <c r="HD205" s="22"/>
      <c r="HE205" s="22"/>
      <c r="HF205" s="22"/>
      <c r="HG205" s="22"/>
      <c r="HH205" s="22"/>
      <c r="HI205" s="22"/>
      <c r="HJ205" s="22"/>
      <c r="HK205" s="22"/>
      <c r="HL205" s="22"/>
      <c r="HM205" s="22"/>
      <c r="HN205" s="22"/>
      <c r="HO205" s="22"/>
      <c r="HP205" s="22"/>
      <c r="HQ205" s="22"/>
      <c r="HR205" s="22"/>
      <c r="HS205" s="22"/>
      <c r="HT205" s="22"/>
      <c r="HU205" s="22"/>
      <c r="HV205" s="22"/>
      <c r="HW205" s="22"/>
      <c r="HX205" s="22"/>
      <c r="HY205" s="22"/>
      <c r="HZ205" s="22"/>
      <c r="IA205" s="22"/>
      <c r="IB205" s="22"/>
      <c r="IC205" s="22"/>
      <c r="ID205" s="22"/>
      <c r="IE205" s="22"/>
      <c r="IF205" s="22"/>
      <c r="IG205" s="22"/>
      <c r="IH205" s="22"/>
      <c r="II205" s="22"/>
      <c r="IJ205" s="22"/>
      <c r="IK205" s="22"/>
      <c r="IL205" s="22"/>
      <c r="IM205" s="22"/>
      <c r="IN205" s="22"/>
      <c r="IO205" s="22"/>
      <c r="IP205" s="22"/>
      <c r="IQ205" s="22"/>
      <c r="IR205" s="22"/>
      <c r="IS205" s="22"/>
      <c r="IT205" s="22"/>
      <c r="IU205" s="22"/>
      <c r="IV205" s="22"/>
    </row>
    <row r="206" spans="1:256" s="64" customFormat="1" ht="15" customHeight="1">
      <c r="A206" s="25" t="s">
        <v>908</v>
      </c>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c r="AZ206" s="22"/>
      <c r="BA206" s="22"/>
      <c r="BB206" s="22"/>
      <c r="BC206" s="22"/>
      <c r="BD206" s="22"/>
      <c r="BE206" s="22"/>
      <c r="BF206" s="22"/>
      <c r="BG206" s="22"/>
      <c r="BH206" s="22"/>
      <c r="BI206" s="22"/>
      <c r="BJ206" s="22"/>
      <c r="BK206" s="22"/>
      <c r="BL206" s="22"/>
      <c r="BM206" s="22"/>
      <c r="BN206" s="22"/>
      <c r="BO206" s="22"/>
      <c r="BP206" s="22"/>
      <c r="BQ206" s="22"/>
      <c r="BR206" s="22"/>
      <c r="BS206" s="22"/>
      <c r="BT206" s="22"/>
      <c r="BU206" s="22"/>
      <c r="BV206" s="22"/>
      <c r="BW206" s="22"/>
      <c r="BX206" s="22"/>
      <c r="BY206" s="22"/>
      <c r="BZ206" s="22"/>
      <c r="CA206" s="22"/>
      <c r="CB206" s="22"/>
      <c r="CC206" s="22"/>
      <c r="CD206" s="22"/>
      <c r="CE206" s="22"/>
      <c r="CF206" s="22"/>
      <c r="CG206" s="22"/>
      <c r="CH206" s="22"/>
      <c r="CI206" s="22"/>
      <c r="CJ206" s="22"/>
      <c r="CK206" s="22"/>
      <c r="CL206" s="22"/>
      <c r="CM206" s="22"/>
      <c r="CN206" s="22"/>
      <c r="CO206" s="22"/>
      <c r="CP206" s="22"/>
      <c r="CQ206" s="22"/>
      <c r="CR206" s="22"/>
      <c r="CS206" s="22"/>
      <c r="CT206" s="22"/>
      <c r="CU206" s="22"/>
      <c r="CV206" s="22"/>
      <c r="CW206" s="22"/>
      <c r="CX206" s="22"/>
      <c r="CY206" s="22"/>
      <c r="CZ206" s="22"/>
      <c r="DA206" s="22"/>
      <c r="DB206" s="22"/>
      <c r="DC206" s="22"/>
      <c r="DD206" s="22"/>
      <c r="DE206" s="22"/>
      <c r="DF206" s="22"/>
      <c r="DG206" s="22"/>
      <c r="DH206" s="22"/>
      <c r="DI206" s="22"/>
      <c r="DJ206" s="22"/>
      <c r="DK206" s="22"/>
      <c r="DL206" s="22"/>
      <c r="DM206" s="22"/>
      <c r="DN206" s="22"/>
      <c r="DO206" s="22"/>
      <c r="DP206" s="22"/>
      <c r="DQ206" s="22"/>
      <c r="DR206" s="22"/>
      <c r="DS206" s="22"/>
      <c r="DT206" s="22"/>
      <c r="DU206" s="22"/>
      <c r="DV206" s="22"/>
      <c r="DW206" s="22"/>
      <c r="DX206" s="22"/>
      <c r="DY206" s="22"/>
      <c r="DZ206" s="22"/>
      <c r="EA206" s="22"/>
      <c r="EB206" s="22"/>
      <c r="EC206" s="22"/>
      <c r="ED206" s="22"/>
      <c r="EE206" s="22"/>
      <c r="EF206" s="22"/>
      <c r="EG206" s="22"/>
      <c r="EH206" s="22"/>
      <c r="EI206" s="22"/>
      <c r="EJ206" s="22"/>
      <c r="EK206" s="22"/>
      <c r="EL206" s="22"/>
      <c r="EM206" s="22"/>
      <c r="EN206" s="22"/>
      <c r="EO206" s="22"/>
      <c r="EP206" s="22"/>
      <c r="EQ206" s="22"/>
      <c r="ER206" s="22"/>
      <c r="ES206" s="22"/>
      <c r="ET206" s="22"/>
      <c r="EU206" s="22"/>
      <c r="EV206" s="22"/>
      <c r="EW206" s="22"/>
      <c r="EX206" s="22"/>
      <c r="EY206" s="22"/>
      <c r="EZ206" s="22"/>
      <c r="FA206" s="22"/>
      <c r="FB206" s="22"/>
      <c r="FC206" s="22"/>
      <c r="FD206" s="22"/>
      <c r="FE206" s="22"/>
      <c r="FF206" s="22"/>
      <c r="FG206" s="22"/>
      <c r="FH206" s="22"/>
      <c r="FI206" s="22"/>
      <c r="FJ206" s="22"/>
      <c r="FK206" s="22"/>
      <c r="FL206" s="22"/>
      <c r="FM206" s="22"/>
      <c r="FN206" s="22"/>
      <c r="FO206" s="22"/>
      <c r="FP206" s="22"/>
      <c r="FQ206" s="22"/>
      <c r="FR206" s="22"/>
      <c r="FS206" s="22"/>
      <c r="FT206" s="22"/>
      <c r="FU206" s="22"/>
      <c r="FV206" s="22"/>
      <c r="FW206" s="22"/>
      <c r="FX206" s="22"/>
      <c r="FY206" s="22"/>
      <c r="FZ206" s="22"/>
      <c r="GA206" s="22"/>
      <c r="GB206" s="22"/>
      <c r="GC206" s="22"/>
      <c r="GD206" s="22"/>
      <c r="GE206" s="22"/>
      <c r="GF206" s="22"/>
      <c r="GG206" s="22"/>
      <c r="GH206" s="22"/>
      <c r="GI206" s="22"/>
      <c r="GJ206" s="22"/>
      <c r="GK206" s="22"/>
      <c r="GL206" s="22"/>
      <c r="GM206" s="22"/>
      <c r="GN206" s="22"/>
      <c r="GO206" s="22"/>
      <c r="GP206" s="22"/>
      <c r="GQ206" s="22"/>
      <c r="GR206" s="22"/>
      <c r="GS206" s="22"/>
      <c r="GT206" s="22"/>
      <c r="GU206" s="22"/>
      <c r="GV206" s="22"/>
      <c r="GW206" s="22"/>
      <c r="GX206" s="22"/>
      <c r="GY206" s="22"/>
      <c r="GZ206" s="22"/>
      <c r="HA206" s="22"/>
      <c r="HB206" s="22"/>
      <c r="HC206" s="22"/>
      <c r="HD206" s="22"/>
      <c r="HE206" s="22"/>
      <c r="HF206" s="22"/>
      <c r="HG206" s="22"/>
      <c r="HH206" s="22"/>
      <c r="HI206" s="22"/>
      <c r="HJ206" s="22"/>
      <c r="HK206" s="22"/>
      <c r="HL206" s="22"/>
      <c r="HM206" s="22"/>
      <c r="HN206" s="22"/>
      <c r="HO206" s="22"/>
      <c r="HP206" s="22"/>
      <c r="HQ206" s="22"/>
      <c r="HR206" s="22"/>
      <c r="HS206" s="22"/>
      <c r="HT206" s="22"/>
      <c r="HU206" s="22"/>
      <c r="HV206" s="22"/>
      <c r="HW206" s="22"/>
      <c r="HX206" s="22"/>
      <c r="HY206" s="22"/>
      <c r="HZ206" s="22"/>
      <c r="IA206" s="22"/>
      <c r="IB206" s="22"/>
      <c r="IC206" s="22"/>
      <c r="ID206" s="22"/>
      <c r="IE206" s="22"/>
      <c r="IF206" s="22"/>
      <c r="IG206" s="22"/>
      <c r="IH206" s="22"/>
      <c r="II206" s="22"/>
      <c r="IJ206" s="22"/>
      <c r="IK206" s="22"/>
      <c r="IL206" s="22"/>
      <c r="IM206" s="22"/>
      <c r="IN206" s="22"/>
      <c r="IO206" s="22"/>
      <c r="IP206" s="22"/>
      <c r="IQ206" s="22"/>
      <c r="IR206" s="22"/>
      <c r="IS206" s="22"/>
      <c r="IT206" s="22"/>
      <c r="IU206" s="22"/>
      <c r="IV206" s="22"/>
    </row>
    <row r="207" spans="1:256" s="64" customFormat="1" ht="15" customHeight="1">
      <c r="A207" s="25" t="s">
        <v>909</v>
      </c>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c r="AZ207" s="22"/>
      <c r="BA207" s="22"/>
      <c r="BB207" s="22"/>
      <c r="BC207" s="22"/>
      <c r="BD207" s="22"/>
      <c r="BE207" s="22"/>
      <c r="BF207" s="22"/>
      <c r="BG207" s="22"/>
      <c r="BH207" s="22"/>
      <c r="BI207" s="22"/>
      <c r="BJ207" s="22"/>
      <c r="BK207" s="22"/>
      <c r="BL207" s="22"/>
      <c r="BM207" s="22"/>
      <c r="BN207" s="22"/>
      <c r="BO207" s="22"/>
      <c r="BP207" s="22"/>
      <c r="BQ207" s="22"/>
      <c r="BR207" s="22"/>
      <c r="BS207" s="22"/>
      <c r="BT207" s="22"/>
      <c r="BU207" s="22"/>
      <c r="BV207" s="22"/>
      <c r="BW207" s="22"/>
      <c r="BX207" s="22"/>
      <c r="BY207" s="22"/>
      <c r="BZ207" s="22"/>
      <c r="CA207" s="22"/>
      <c r="CB207" s="22"/>
      <c r="CC207" s="22"/>
      <c r="CD207" s="22"/>
      <c r="CE207" s="22"/>
      <c r="CF207" s="22"/>
      <c r="CG207" s="22"/>
      <c r="CH207" s="22"/>
      <c r="CI207" s="22"/>
      <c r="CJ207" s="22"/>
      <c r="CK207" s="22"/>
      <c r="CL207" s="22"/>
      <c r="CM207" s="22"/>
      <c r="CN207" s="22"/>
      <c r="CO207" s="22"/>
      <c r="CP207" s="22"/>
      <c r="CQ207" s="22"/>
      <c r="CR207" s="22"/>
      <c r="CS207" s="22"/>
      <c r="CT207" s="22"/>
      <c r="CU207" s="22"/>
      <c r="CV207" s="22"/>
      <c r="CW207" s="22"/>
      <c r="CX207" s="22"/>
      <c r="CY207" s="22"/>
      <c r="CZ207" s="22"/>
      <c r="DA207" s="22"/>
      <c r="DB207" s="22"/>
      <c r="DC207" s="22"/>
      <c r="DD207" s="22"/>
      <c r="DE207" s="22"/>
      <c r="DF207" s="22"/>
      <c r="DG207" s="22"/>
      <c r="DH207" s="22"/>
      <c r="DI207" s="22"/>
      <c r="DJ207" s="22"/>
      <c r="DK207" s="22"/>
      <c r="DL207" s="22"/>
      <c r="DM207" s="22"/>
      <c r="DN207" s="22"/>
      <c r="DO207" s="22"/>
      <c r="DP207" s="22"/>
      <c r="DQ207" s="22"/>
      <c r="DR207" s="22"/>
      <c r="DS207" s="22"/>
      <c r="DT207" s="22"/>
      <c r="DU207" s="22"/>
      <c r="DV207" s="22"/>
      <c r="DW207" s="22"/>
      <c r="DX207" s="22"/>
      <c r="DY207" s="22"/>
      <c r="DZ207" s="22"/>
      <c r="EA207" s="22"/>
      <c r="EB207" s="22"/>
      <c r="EC207" s="22"/>
      <c r="ED207" s="22"/>
      <c r="EE207" s="22"/>
      <c r="EF207" s="22"/>
      <c r="EG207" s="22"/>
      <c r="EH207" s="22"/>
      <c r="EI207" s="22"/>
      <c r="EJ207" s="22"/>
      <c r="EK207" s="22"/>
      <c r="EL207" s="22"/>
      <c r="EM207" s="22"/>
      <c r="EN207" s="22"/>
      <c r="EO207" s="22"/>
      <c r="EP207" s="22"/>
      <c r="EQ207" s="22"/>
      <c r="ER207" s="22"/>
      <c r="ES207" s="22"/>
      <c r="ET207" s="22"/>
      <c r="EU207" s="22"/>
      <c r="EV207" s="22"/>
      <c r="EW207" s="22"/>
      <c r="EX207" s="22"/>
      <c r="EY207" s="22"/>
      <c r="EZ207" s="22"/>
      <c r="FA207" s="22"/>
      <c r="FB207" s="22"/>
      <c r="FC207" s="22"/>
      <c r="FD207" s="22"/>
      <c r="FE207" s="22"/>
      <c r="FF207" s="22"/>
      <c r="FG207" s="22"/>
      <c r="FH207" s="22"/>
      <c r="FI207" s="22"/>
      <c r="FJ207" s="22"/>
      <c r="FK207" s="22"/>
      <c r="FL207" s="22"/>
      <c r="FM207" s="22"/>
      <c r="FN207" s="22"/>
      <c r="FO207" s="22"/>
      <c r="FP207" s="22"/>
      <c r="FQ207" s="22"/>
      <c r="FR207" s="22"/>
      <c r="FS207" s="22"/>
      <c r="FT207" s="22"/>
      <c r="FU207" s="22"/>
      <c r="FV207" s="22"/>
      <c r="FW207" s="22"/>
      <c r="FX207" s="22"/>
      <c r="FY207" s="22"/>
      <c r="FZ207" s="22"/>
      <c r="GA207" s="22"/>
      <c r="GB207" s="22"/>
      <c r="GC207" s="22"/>
      <c r="GD207" s="22"/>
      <c r="GE207" s="22"/>
      <c r="GF207" s="22"/>
      <c r="GG207" s="22"/>
      <c r="GH207" s="22"/>
      <c r="GI207" s="22"/>
      <c r="GJ207" s="22"/>
      <c r="GK207" s="22"/>
      <c r="GL207" s="22"/>
      <c r="GM207" s="22"/>
      <c r="GN207" s="22"/>
      <c r="GO207" s="22"/>
      <c r="GP207" s="22"/>
      <c r="GQ207" s="22"/>
      <c r="GR207" s="22"/>
      <c r="GS207" s="22"/>
      <c r="GT207" s="22"/>
      <c r="GU207" s="22"/>
      <c r="GV207" s="22"/>
      <c r="GW207" s="22"/>
      <c r="GX207" s="22"/>
      <c r="GY207" s="22"/>
      <c r="GZ207" s="22"/>
      <c r="HA207" s="22"/>
      <c r="HB207" s="22"/>
      <c r="HC207" s="22"/>
      <c r="HD207" s="22"/>
      <c r="HE207" s="22"/>
      <c r="HF207" s="22"/>
      <c r="HG207" s="22"/>
      <c r="HH207" s="22"/>
      <c r="HI207" s="22"/>
      <c r="HJ207" s="22"/>
      <c r="HK207" s="22"/>
      <c r="HL207" s="22"/>
      <c r="HM207" s="22"/>
      <c r="HN207" s="22"/>
      <c r="HO207" s="22"/>
      <c r="HP207" s="22"/>
      <c r="HQ207" s="22"/>
      <c r="HR207" s="22"/>
      <c r="HS207" s="22"/>
      <c r="HT207" s="22"/>
      <c r="HU207" s="22"/>
      <c r="HV207" s="22"/>
      <c r="HW207" s="22"/>
      <c r="HX207" s="22"/>
      <c r="HY207" s="22"/>
      <c r="HZ207" s="22"/>
      <c r="IA207" s="22"/>
      <c r="IB207" s="22"/>
      <c r="IC207" s="22"/>
      <c r="ID207" s="22"/>
      <c r="IE207" s="22"/>
      <c r="IF207" s="22"/>
      <c r="IG207" s="22"/>
      <c r="IH207" s="22"/>
      <c r="II207" s="22"/>
      <c r="IJ207" s="22"/>
      <c r="IK207" s="22"/>
      <c r="IL207" s="22"/>
      <c r="IM207" s="22"/>
      <c r="IN207" s="22"/>
      <c r="IO207" s="22"/>
      <c r="IP207" s="22"/>
      <c r="IQ207" s="22"/>
      <c r="IR207" s="22"/>
      <c r="IS207" s="22"/>
      <c r="IT207" s="22"/>
      <c r="IU207" s="22"/>
      <c r="IV207" s="22"/>
    </row>
    <row r="208" spans="1:256" s="64" customFormat="1" ht="15" customHeight="1">
      <c r="A208" s="25" t="s">
        <v>913</v>
      </c>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c r="AV208" s="22"/>
      <c r="AW208" s="22"/>
      <c r="AX208" s="22"/>
      <c r="AY208" s="22"/>
      <c r="AZ208" s="22"/>
      <c r="BA208" s="22"/>
      <c r="BB208" s="22"/>
      <c r="BC208" s="22"/>
      <c r="BD208" s="22"/>
      <c r="BE208" s="22"/>
      <c r="BF208" s="22"/>
      <c r="BG208" s="22"/>
      <c r="BH208" s="22"/>
      <c r="BI208" s="22"/>
      <c r="BJ208" s="22"/>
      <c r="BK208" s="22"/>
      <c r="BL208" s="22"/>
      <c r="BM208" s="22"/>
      <c r="BN208" s="22"/>
      <c r="BO208" s="22"/>
      <c r="BP208" s="22"/>
      <c r="BQ208" s="22"/>
      <c r="BR208" s="22"/>
      <c r="BS208" s="22"/>
      <c r="BT208" s="22"/>
      <c r="BU208" s="22"/>
      <c r="BV208" s="22"/>
      <c r="BW208" s="22"/>
      <c r="BX208" s="22"/>
      <c r="BY208" s="22"/>
      <c r="BZ208" s="22"/>
      <c r="CA208" s="22"/>
      <c r="CB208" s="22"/>
      <c r="CC208" s="22"/>
      <c r="CD208" s="22"/>
      <c r="CE208" s="22"/>
      <c r="CF208" s="22"/>
      <c r="CG208" s="22"/>
      <c r="CH208" s="22"/>
      <c r="CI208" s="22"/>
      <c r="CJ208" s="22"/>
      <c r="CK208" s="22"/>
      <c r="CL208" s="22"/>
      <c r="CM208" s="22"/>
      <c r="CN208" s="22"/>
      <c r="CO208" s="22"/>
      <c r="CP208" s="22"/>
      <c r="CQ208" s="22"/>
      <c r="CR208" s="22"/>
      <c r="CS208" s="22"/>
      <c r="CT208" s="22"/>
      <c r="CU208" s="22"/>
      <c r="CV208" s="22"/>
      <c r="CW208" s="22"/>
      <c r="CX208" s="22"/>
      <c r="CY208" s="22"/>
      <c r="CZ208" s="22"/>
      <c r="DA208" s="22"/>
      <c r="DB208" s="22"/>
      <c r="DC208" s="22"/>
      <c r="DD208" s="22"/>
      <c r="DE208" s="22"/>
      <c r="DF208" s="22"/>
      <c r="DG208" s="22"/>
      <c r="DH208" s="22"/>
      <c r="DI208" s="22"/>
      <c r="DJ208" s="22"/>
      <c r="DK208" s="22"/>
      <c r="DL208" s="22"/>
      <c r="DM208" s="22"/>
      <c r="DN208" s="22"/>
      <c r="DO208" s="22"/>
      <c r="DP208" s="22"/>
      <c r="DQ208" s="22"/>
      <c r="DR208" s="22"/>
      <c r="DS208" s="22"/>
      <c r="DT208" s="22"/>
      <c r="DU208" s="22"/>
      <c r="DV208" s="22"/>
      <c r="DW208" s="22"/>
      <c r="DX208" s="22"/>
      <c r="DY208" s="22"/>
      <c r="DZ208" s="22"/>
      <c r="EA208" s="22"/>
      <c r="EB208" s="22"/>
      <c r="EC208" s="22"/>
      <c r="ED208" s="22"/>
      <c r="EE208" s="22"/>
      <c r="EF208" s="22"/>
      <c r="EG208" s="22"/>
      <c r="EH208" s="22"/>
      <c r="EI208" s="22"/>
      <c r="EJ208" s="22"/>
      <c r="EK208" s="22"/>
      <c r="EL208" s="22"/>
      <c r="EM208" s="22"/>
      <c r="EN208" s="22"/>
      <c r="EO208" s="22"/>
      <c r="EP208" s="22"/>
      <c r="EQ208" s="22"/>
      <c r="ER208" s="22"/>
      <c r="ES208" s="22"/>
      <c r="ET208" s="22"/>
      <c r="EU208" s="22"/>
      <c r="EV208" s="22"/>
      <c r="EW208" s="22"/>
      <c r="EX208" s="22"/>
      <c r="EY208" s="22"/>
      <c r="EZ208" s="22"/>
      <c r="FA208" s="22"/>
      <c r="FB208" s="22"/>
      <c r="FC208" s="22"/>
      <c r="FD208" s="22"/>
      <c r="FE208" s="22"/>
      <c r="FF208" s="22"/>
      <c r="FG208" s="22"/>
      <c r="FH208" s="22"/>
      <c r="FI208" s="22"/>
      <c r="FJ208" s="22"/>
      <c r="FK208" s="22"/>
      <c r="FL208" s="22"/>
      <c r="FM208" s="22"/>
      <c r="FN208" s="22"/>
      <c r="FO208" s="22"/>
      <c r="FP208" s="22"/>
      <c r="FQ208" s="22"/>
      <c r="FR208" s="22"/>
      <c r="FS208" s="22"/>
      <c r="FT208" s="22"/>
      <c r="FU208" s="22"/>
      <c r="FV208" s="22"/>
      <c r="FW208" s="22"/>
      <c r="FX208" s="22"/>
      <c r="FY208" s="22"/>
      <c r="FZ208" s="22"/>
      <c r="GA208" s="22"/>
      <c r="GB208" s="22"/>
      <c r="GC208" s="22"/>
      <c r="GD208" s="22"/>
      <c r="GE208" s="22"/>
      <c r="GF208" s="22"/>
      <c r="GG208" s="22"/>
      <c r="GH208" s="22"/>
      <c r="GI208" s="22"/>
      <c r="GJ208" s="22"/>
      <c r="GK208" s="22"/>
      <c r="GL208" s="22"/>
      <c r="GM208" s="22"/>
      <c r="GN208" s="22"/>
      <c r="GO208" s="22"/>
      <c r="GP208" s="22"/>
      <c r="GQ208" s="22"/>
      <c r="GR208" s="22"/>
      <c r="GS208" s="22"/>
      <c r="GT208" s="22"/>
      <c r="GU208" s="22"/>
      <c r="GV208" s="22"/>
      <c r="GW208" s="22"/>
      <c r="GX208" s="22"/>
      <c r="GY208" s="22"/>
      <c r="GZ208" s="22"/>
      <c r="HA208" s="22"/>
      <c r="HB208" s="22"/>
      <c r="HC208" s="22"/>
      <c r="HD208" s="22"/>
      <c r="HE208" s="22"/>
      <c r="HF208" s="22"/>
      <c r="HG208" s="22"/>
      <c r="HH208" s="22"/>
      <c r="HI208" s="22"/>
      <c r="HJ208" s="22"/>
      <c r="HK208" s="22"/>
      <c r="HL208" s="22"/>
      <c r="HM208" s="22"/>
      <c r="HN208" s="22"/>
      <c r="HO208" s="22"/>
      <c r="HP208" s="22"/>
      <c r="HQ208" s="22"/>
      <c r="HR208" s="22"/>
      <c r="HS208" s="22"/>
      <c r="HT208" s="22"/>
      <c r="HU208" s="22"/>
      <c r="HV208" s="22"/>
      <c r="HW208" s="22"/>
      <c r="HX208" s="22"/>
      <c r="HY208" s="22"/>
      <c r="HZ208" s="22"/>
      <c r="IA208" s="22"/>
      <c r="IB208" s="22"/>
      <c r="IC208" s="22"/>
      <c r="ID208" s="22"/>
      <c r="IE208" s="22"/>
      <c r="IF208" s="22"/>
      <c r="IG208" s="22"/>
      <c r="IH208" s="22"/>
      <c r="II208" s="22"/>
      <c r="IJ208" s="22"/>
      <c r="IK208" s="22"/>
      <c r="IL208" s="22"/>
      <c r="IM208" s="22"/>
      <c r="IN208" s="22"/>
      <c r="IO208" s="22"/>
      <c r="IP208" s="22"/>
      <c r="IQ208" s="22"/>
      <c r="IR208" s="22"/>
      <c r="IS208" s="22"/>
      <c r="IT208" s="22"/>
      <c r="IU208" s="22"/>
      <c r="IV208" s="22"/>
    </row>
    <row r="209" spans="1:256" s="64" customFormat="1" ht="15" customHeight="1">
      <c r="A209" s="25" t="s">
        <v>887</v>
      </c>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c r="BG209" s="22"/>
      <c r="BH209" s="22"/>
      <c r="BI209" s="22"/>
      <c r="BJ209" s="22"/>
      <c r="BK209" s="22"/>
      <c r="BL209" s="22"/>
      <c r="BM209" s="22"/>
      <c r="BN209" s="22"/>
      <c r="BO209" s="22"/>
      <c r="BP209" s="22"/>
      <c r="BQ209" s="22"/>
      <c r="BR209" s="22"/>
      <c r="BS209" s="22"/>
      <c r="BT209" s="22"/>
      <c r="BU209" s="22"/>
      <c r="BV209" s="22"/>
      <c r="BW209" s="22"/>
      <c r="BX209" s="22"/>
      <c r="BY209" s="22"/>
      <c r="BZ209" s="22"/>
      <c r="CA209" s="22"/>
      <c r="CB209" s="22"/>
      <c r="CC209" s="22"/>
      <c r="CD209" s="22"/>
      <c r="CE209" s="22"/>
      <c r="CF209" s="22"/>
      <c r="CG209" s="22"/>
      <c r="CH209" s="22"/>
      <c r="CI209" s="22"/>
      <c r="CJ209" s="22"/>
      <c r="CK209" s="22"/>
      <c r="CL209" s="22"/>
      <c r="CM209" s="22"/>
      <c r="CN209" s="22"/>
      <c r="CO209" s="22"/>
      <c r="CP209" s="22"/>
      <c r="CQ209" s="22"/>
      <c r="CR209" s="22"/>
      <c r="CS209" s="22"/>
      <c r="CT209" s="22"/>
      <c r="CU209" s="22"/>
      <c r="CV209" s="22"/>
      <c r="CW209" s="22"/>
      <c r="CX209" s="22"/>
      <c r="CY209" s="22"/>
      <c r="CZ209" s="22"/>
      <c r="DA209" s="22"/>
      <c r="DB209" s="22"/>
      <c r="DC209" s="22"/>
      <c r="DD209" s="22"/>
      <c r="DE209" s="22"/>
      <c r="DF209" s="22"/>
      <c r="DG209" s="22"/>
      <c r="DH209" s="22"/>
      <c r="DI209" s="22"/>
      <c r="DJ209" s="22"/>
      <c r="DK209" s="22"/>
      <c r="DL209" s="22"/>
      <c r="DM209" s="22"/>
      <c r="DN209" s="22"/>
      <c r="DO209" s="22"/>
      <c r="DP209" s="22"/>
      <c r="DQ209" s="22"/>
      <c r="DR209" s="22"/>
      <c r="DS209" s="22"/>
      <c r="DT209" s="22"/>
      <c r="DU209" s="22"/>
      <c r="DV209" s="22"/>
      <c r="DW209" s="22"/>
      <c r="DX209" s="22"/>
      <c r="DY209" s="22"/>
      <c r="DZ209" s="22"/>
      <c r="EA209" s="22"/>
      <c r="EB209" s="22"/>
      <c r="EC209" s="22"/>
      <c r="ED209" s="22"/>
      <c r="EE209" s="22"/>
      <c r="EF209" s="22"/>
      <c r="EG209" s="22"/>
      <c r="EH209" s="22"/>
      <c r="EI209" s="22"/>
      <c r="EJ209" s="22"/>
      <c r="EK209" s="22"/>
      <c r="EL209" s="22"/>
      <c r="EM209" s="22"/>
      <c r="EN209" s="22"/>
      <c r="EO209" s="22"/>
      <c r="EP209" s="22"/>
      <c r="EQ209" s="22"/>
      <c r="ER209" s="22"/>
      <c r="ES209" s="22"/>
      <c r="ET209" s="22"/>
      <c r="EU209" s="22"/>
      <c r="EV209" s="22"/>
      <c r="EW209" s="22"/>
      <c r="EX209" s="22"/>
      <c r="EY209" s="22"/>
      <c r="EZ209" s="22"/>
      <c r="FA209" s="22"/>
      <c r="FB209" s="22"/>
      <c r="FC209" s="22"/>
      <c r="FD209" s="22"/>
      <c r="FE209" s="22"/>
      <c r="FF209" s="22"/>
      <c r="FG209" s="22"/>
      <c r="FH209" s="22"/>
      <c r="FI209" s="22"/>
      <c r="FJ209" s="22"/>
      <c r="FK209" s="22"/>
      <c r="FL209" s="22"/>
      <c r="FM209" s="22"/>
      <c r="FN209" s="22"/>
      <c r="FO209" s="22"/>
      <c r="FP209" s="22"/>
      <c r="FQ209" s="22"/>
      <c r="FR209" s="22"/>
      <c r="FS209" s="22"/>
      <c r="FT209" s="22"/>
      <c r="FU209" s="22"/>
      <c r="FV209" s="22"/>
      <c r="FW209" s="22"/>
      <c r="FX209" s="22"/>
      <c r="FY209" s="22"/>
      <c r="FZ209" s="22"/>
      <c r="GA209" s="22"/>
      <c r="GB209" s="22"/>
      <c r="GC209" s="22"/>
      <c r="GD209" s="22"/>
      <c r="GE209" s="22"/>
      <c r="GF209" s="22"/>
      <c r="GG209" s="22"/>
      <c r="GH209" s="22"/>
      <c r="GI209" s="22"/>
      <c r="GJ209" s="22"/>
      <c r="GK209" s="22"/>
      <c r="GL209" s="22"/>
      <c r="GM209" s="22"/>
      <c r="GN209" s="22"/>
      <c r="GO209" s="22"/>
      <c r="GP209" s="22"/>
      <c r="GQ209" s="22"/>
      <c r="GR209" s="22"/>
      <c r="GS209" s="22"/>
      <c r="GT209" s="22"/>
      <c r="GU209" s="22"/>
      <c r="GV209" s="22"/>
      <c r="GW209" s="22"/>
      <c r="GX209" s="22"/>
      <c r="GY209" s="22"/>
      <c r="GZ209" s="22"/>
      <c r="HA209" s="22"/>
      <c r="HB209" s="22"/>
      <c r="HC209" s="22"/>
      <c r="HD209" s="22"/>
      <c r="HE209" s="22"/>
      <c r="HF209" s="22"/>
      <c r="HG209" s="22"/>
      <c r="HH209" s="22"/>
      <c r="HI209" s="22"/>
      <c r="HJ209" s="22"/>
      <c r="HK209" s="22"/>
      <c r="HL209" s="22"/>
      <c r="HM209" s="22"/>
      <c r="HN209" s="22"/>
      <c r="HO209" s="22"/>
      <c r="HP209" s="22"/>
      <c r="HQ209" s="22"/>
      <c r="HR209" s="22"/>
      <c r="HS209" s="22"/>
      <c r="HT209" s="22"/>
      <c r="HU209" s="22"/>
      <c r="HV209" s="22"/>
      <c r="HW209" s="22"/>
      <c r="HX209" s="22"/>
      <c r="HY209" s="22"/>
      <c r="HZ209" s="22"/>
      <c r="IA209" s="22"/>
      <c r="IB209" s="22"/>
      <c r="IC209" s="22"/>
      <c r="ID209" s="22"/>
      <c r="IE209" s="22"/>
      <c r="IF209" s="22"/>
      <c r="IG209" s="22"/>
      <c r="IH209" s="22"/>
      <c r="II209" s="22"/>
      <c r="IJ209" s="22"/>
      <c r="IK209" s="22"/>
      <c r="IL209" s="22"/>
      <c r="IM209" s="22"/>
      <c r="IN209" s="22"/>
      <c r="IO209" s="22"/>
      <c r="IP209" s="22"/>
      <c r="IQ209" s="22"/>
      <c r="IR209" s="22"/>
      <c r="IS209" s="22"/>
      <c r="IT209" s="22"/>
      <c r="IU209" s="22"/>
      <c r="IV209" s="22"/>
    </row>
    <row r="210" spans="1:256" s="64" customFormat="1" ht="15" customHeight="1">
      <c r="A210" s="25" t="s">
        <v>888</v>
      </c>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c r="BH210" s="22"/>
      <c r="BI210" s="22"/>
      <c r="BJ210" s="22"/>
      <c r="BK210" s="22"/>
      <c r="BL210" s="22"/>
      <c r="BM210" s="22"/>
      <c r="BN210" s="22"/>
      <c r="BO210" s="22"/>
      <c r="BP210" s="22"/>
      <c r="BQ210" s="22"/>
      <c r="BR210" s="22"/>
      <c r="BS210" s="22"/>
      <c r="BT210" s="22"/>
      <c r="BU210" s="22"/>
      <c r="BV210" s="22"/>
      <c r="BW210" s="22"/>
      <c r="BX210" s="22"/>
      <c r="BY210" s="22"/>
      <c r="BZ210" s="22"/>
      <c r="CA210" s="22"/>
      <c r="CB210" s="22"/>
      <c r="CC210" s="22"/>
      <c r="CD210" s="22"/>
      <c r="CE210" s="22"/>
      <c r="CF210" s="22"/>
      <c r="CG210" s="22"/>
      <c r="CH210" s="22"/>
      <c r="CI210" s="22"/>
      <c r="CJ210" s="22"/>
      <c r="CK210" s="22"/>
      <c r="CL210" s="22"/>
      <c r="CM210" s="22"/>
      <c r="CN210" s="22"/>
      <c r="CO210" s="22"/>
      <c r="CP210" s="22"/>
      <c r="CQ210" s="22"/>
      <c r="CR210" s="22"/>
      <c r="CS210" s="22"/>
      <c r="CT210" s="22"/>
      <c r="CU210" s="22"/>
      <c r="CV210" s="22"/>
      <c r="CW210" s="22"/>
      <c r="CX210" s="22"/>
      <c r="CY210" s="22"/>
      <c r="CZ210" s="22"/>
      <c r="DA210" s="22"/>
      <c r="DB210" s="22"/>
      <c r="DC210" s="22"/>
      <c r="DD210" s="22"/>
      <c r="DE210" s="22"/>
      <c r="DF210" s="22"/>
      <c r="DG210" s="22"/>
      <c r="DH210" s="22"/>
      <c r="DI210" s="22"/>
      <c r="DJ210" s="22"/>
      <c r="DK210" s="22"/>
      <c r="DL210" s="22"/>
      <c r="DM210" s="22"/>
      <c r="DN210" s="22"/>
      <c r="DO210" s="22"/>
      <c r="DP210" s="22"/>
      <c r="DQ210" s="22"/>
      <c r="DR210" s="22"/>
      <c r="DS210" s="22"/>
      <c r="DT210" s="22"/>
      <c r="DU210" s="22"/>
      <c r="DV210" s="22"/>
      <c r="DW210" s="22"/>
      <c r="DX210" s="22"/>
      <c r="DY210" s="22"/>
      <c r="DZ210" s="22"/>
      <c r="EA210" s="22"/>
      <c r="EB210" s="22"/>
      <c r="EC210" s="22"/>
      <c r="ED210" s="22"/>
      <c r="EE210" s="22"/>
      <c r="EF210" s="22"/>
      <c r="EG210" s="22"/>
      <c r="EH210" s="22"/>
      <c r="EI210" s="22"/>
      <c r="EJ210" s="22"/>
      <c r="EK210" s="22"/>
      <c r="EL210" s="22"/>
      <c r="EM210" s="22"/>
      <c r="EN210" s="22"/>
      <c r="EO210" s="22"/>
      <c r="EP210" s="22"/>
      <c r="EQ210" s="22"/>
      <c r="ER210" s="22"/>
      <c r="ES210" s="22"/>
      <c r="ET210" s="22"/>
      <c r="EU210" s="22"/>
      <c r="EV210" s="22"/>
      <c r="EW210" s="22"/>
      <c r="EX210" s="22"/>
      <c r="EY210" s="22"/>
      <c r="EZ210" s="22"/>
      <c r="FA210" s="22"/>
      <c r="FB210" s="22"/>
      <c r="FC210" s="22"/>
      <c r="FD210" s="22"/>
      <c r="FE210" s="22"/>
      <c r="FF210" s="22"/>
      <c r="FG210" s="22"/>
      <c r="FH210" s="22"/>
      <c r="FI210" s="22"/>
      <c r="FJ210" s="22"/>
      <c r="FK210" s="22"/>
      <c r="FL210" s="22"/>
      <c r="FM210" s="22"/>
      <c r="FN210" s="22"/>
      <c r="FO210" s="22"/>
      <c r="FP210" s="22"/>
      <c r="FQ210" s="22"/>
      <c r="FR210" s="22"/>
      <c r="FS210" s="22"/>
      <c r="FT210" s="22"/>
      <c r="FU210" s="22"/>
      <c r="FV210" s="22"/>
      <c r="FW210" s="22"/>
      <c r="FX210" s="22"/>
      <c r="FY210" s="22"/>
      <c r="FZ210" s="22"/>
      <c r="GA210" s="22"/>
      <c r="GB210" s="22"/>
      <c r="GC210" s="22"/>
      <c r="GD210" s="22"/>
      <c r="GE210" s="22"/>
      <c r="GF210" s="22"/>
      <c r="GG210" s="22"/>
      <c r="GH210" s="22"/>
      <c r="GI210" s="22"/>
      <c r="GJ210" s="22"/>
      <c r="GK210" s="22"/>
      <c r="GL210" s="22"/>
      <c r="GM210" s="22"/>
      <c r="GN210" s="22"/>
      <c r="GO210" s="22"/>
      <c r="GP210" s="22"/>
      <c r="GQ210" s="22"/>
      <c r="GR210" s="22"/>
      <c r="GS210" s="22"/>
      <c r="GT210" s="22"/>
      <c r="GU210" s="22"/>
      <c r="GV210" s="22"/>
      <c r="GW210" s="22"/>
      <c r="GX210" s="22"/>
      <c r="GY210" s="22"/>
      <c r="GZ210" s="22"/>
      <c r="HA210" s="22"/>
      <c r="HB210" s="22"/>
      <c r="HC210" s="22"/>
      <c r="HD210" s="22"/>
      <c r="HE210" s="22"/>
      <c r="HF210" s="22"/>
      <c r="HG210" s="22"/>
      <c r="HH210" s="22"/>
      <c r="HI210" s="22"/>
      <c r="HJ210" s="22"/>
      <c r="HK210" s="22"/>
      <c r="HL210" s="22"/>
      <c r="HM210" s="22"/>
      <c r="HN210" s="22"/>
      <c r="HO210" s="22"/>
      <c r="HP210" s="22"/>
      <c r="HQ210" s="22"/>
      <c r="HR210" s="22"/>
      <c r="HS210" s="22"/>
      <c r="HT210" s="22"/>
      <c r="HU210" s="22"/>
      <c r="HV210" s="22"/>
      <c r="HW210" s="22"/>
      <c r="HX210" s="22"/>
      <c r="HY210" s="22"/>
      <c r="HZ210" s="22"/>
      <c r="IA210" s="22"/>
      <c r="IB210" s="22"/>
      <c r="IC210" s="22"/>
      <c r="ID210" s="22"/>
      <c r="IE210" s="22"/>
      <c r="IF210" s="22"/>
      <c r="IG210" s="22"/>
      <c r="IH210" s="22"/>
      <c r="II210" s="22"/>
      <c r="IJ210" s="22"/>
      <c r="IK210" s="22"/>
      <c r="IL210" s="22"/>
      <c r="IM210" s="22"/>
      <c r="IN210" s="22"/>
      <c r="IO210" s="22"/>
      <c r="IP210" s="22"/>
      <c r="IQ210" s="22"/>
      <c r="IR210" s="22"/>
      <c r="IS210" s="22"/>
      <c r="IT210" s="22"/>
      <c r="IU210" s="22"/>
      <c r="IV210" s="22"/>
    </row>
    <row r="211" spans="1:256" s="31" customFormat="1" ht="15" customHeight="1">
      <c r="A211" s="31" t="s">
        <v>956</v>
      </c>
      <c r="O211" s="26"/>
      <c r="P211" s="26"/>
    </row>
    <row r="212" spans="1:256" s="46" customFormat="1" ht="15" customHeight="1">
      <c r="A212" s="5" t="s">
        <v>957</v>
      </c>
      <c r="B212" s="26"/>
      <c r="C212" s="26"/>
      <c r="D212" s="26"/>
      <c r="E212" s="26"/>
      <c r="F212" s="26"/>
      <c r="G212" s="26"/>
      <c r="H212" s="26"/>
      <c r="I212" s="36"/>
      <c r="J212" s="45"/>
      <c r="K212" s="45"/>
      <c r="L212" s="45"/>
      <c r="M212" s="45"/>
      <c r="N212" s="45"/>
      <c r="O212" s="26"/>
      <c r="P212" s="26"/>
      <c r="Q212" s="45"/>
      <c r="R212" s="45"/>
      <c r="S212" s="45"/>
      <c r="T212" s="26"/>
      <c r="U212" s="26"/>
      <c r="V212" s="45"/>
      <c r="W212" s="45"/>
      <c r="X212" s="45"/>
      <c r="Y212" s="45"/>
      <c r="Z212" s="45"/>
      <c r="AA212" s="45"/>
      <c r="AB212" s="45"/>
      <c r="AC212" s="45"/>
      <c r="AD212" s="45"/>
      <c r="AE212" s="45"/>
      <c r="AF212" s="45"/>
      <c r="AG212" s="45"/>
      <c r="AH212" s="45"/>
      <c r="AI212" s="45"/>
      <c r="AJ212" s="45"/>
      <c r="AK212" s="45"/>
      <c r="AL212" s="45"/>
      <c r="AM212" s="45"/>
      <c r="AN212" s="45"/>
      <c r="AO212" s="45"/>
      <c r="AP212" s="45"/>
      <c r="AQ212" s="45"/>
      <c r="AR212" s="45"/>
      <c r="AS212" s="45"/>
      <c r="AT212" s="45"/>
      <c r="AU212" s="45"/>
      <c r="AV212" s="45"/>
      <c r="AW212" s="45"/>
      <c r="AX212" s="45"/>
      <c r="AY212" s="45"/>
      <c r="AZ212" s="45"/>
      <c r="BA212" s="45"/>
      <c r="BB212" s="45"/>
      <c r="BC212" s="45"/>
      <c r="BD212" s="45"/>
      <c r="BE212" s="45"/>
      <c r="BF212" s="45"/>
      <c r="BG212" s="45"/>
      <c r="BH212" s="45"/>
      <c r="BI212" s="45"/>
      <c r="BJ212" s="45"/>
      <c r="BK212" s="45"/>
      <c r="BL212" s="45"/>
      <c r="BM212" s="45"/>
      <c r="BN212" s="45"/>
      <c r="BO212" s="45"/>
      <c r="BP212" s="45"/>
      <c r="BQ212" s="45"/>
      <c r="BR212" s="45"/>
      <c r="BS212" s="45"/>
      <c r="BT212" s="45"/>
      <c r="BU212" s="45"/>
      <c r="BV212" s="45"/>
      <c r="BW212" s="45"/>
      <c r="BX212" s="45"/>
    </row>
    <row r="213" spans="1:256" s="64" customFormat="1" ht="15" customHeight="1">
      <c r="A213" s="25" t="s">
        <v>889</v>
      </c>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c r="BH213" s="22"/>
      <c r="BI213" s="22"/>
      <c r="BJ213" s="22"/>
      <c r="BK213" s="22"/>
      <c r="BL213" s="22"/>
      <c r="BM213" s="22"/>
      <c r="BN213" s="22"/>
      <c r="BO213" s="22"/>
      <c r="BP213" s="22"/>
      <c r="BQ213" s="22"/>
      <c r="BR213" s="22"/>
      <c r="BS213" s="22"/>
      <c r="BT213" s="22"/>
      <c r="BU213" s="22"/>
      <c r="BV213" s="22"/>
      <c r="BW213" s="22"/>
      <c r="BX213" s="22"/>
      <c r="BY213" s="22"/>
      <c r="BZ213" s="22"/>
      <c r="CA213" s="22"/>
      <c r="CB213" s="22"/>
      <c r="CC213" s="22"/>
      <c r="CD213" s="22"/>
      <c r="CE213" s="22"/>
      <c r="CF213" s="22"/>
      <c r="CG213" s="22"/>
      <c r="CH213" s="22"/>
      <c r="CI213" s="22"/>
      <c r="CJ213" s="22"/>
      <c r="CK213" s="22"/>
      <c r="CL213" s="22"/>
      <c r="CM213" s="22"/>
      <c r="CN213" s="22"/>
      <c r="CO213" s="22"/>
      <c r="CP213" s="22"/>
      <c r="CQ213" s="22"/>
      <c r="CR213" s="22"/>
      <c r="CS213" s="22"/>
      <c r="CT213" s="22"/>
      <c r="CU213" s="22"/>
      <c r="CV213" s="22"/>
      <c r="CW213" s="22"/>
      <c r="CX213" s="22"/>
      <c r="CY213" s="22"/>
      <c r="CZ213" s="22"/>
      <c r="DA213" s="22"/>
      <c r="DB213" s="22"/>
      <c r="DC213" s="22"/>
      <c r="DD213" s="22"/>
      <c r="DE213" s="22"/>
      <c r="DF213" s="22"/>
      <c r="DG213" s="22"/>
      <c r="DH213" s="22"/>
      <c r="DI213" s="22"/>
      <c r="DJ213" s="22"/>
      <c r="DK213" s="22"/>
      <c r="DL213" s="22"/>
      <c r="DM213" s="22"/>
      <c r="DN213" s="22"/>
      <c r="DO213" s="22"/>
      <c r="DP213" s="22"/>
      <c r="DQ213" s="22"/>
      <c r="DR213" s="22"/>
      <c r="DS213" s="22"/>
      <c r="DT213" s="22"/>
      <c r="DU213" s="22"/>
      <c r="DV213" s="22"/>
      <c r="DW213" s="22"/>
      <c r="DX213" s="22"/>
      <c r="DY213" s="22"/>
      <c r="DZ213" s="22"/>
      <c r="EA213" s="22"/>
      <c r="EB213" s="22"/>
      <c r="EC213" s="22"/>
      <c r="ED213" s="22"/>
      <c r="EE213" s="22"/>
      <c r="EF213" s="22"/>
      <c r="EG213" s="22"/>
      <c r="EH213" s="22"/>
      <c r="EI213" s="22"/>
      <c r="EJ213" s="22"/>
      <c r="EK213" s="22"/>
      <c r="EL213" s="22"/>
      <c r="EM213" s="22"/>
      <c r="EN213" s="22"/>
      <c r="EO213" s="22"/>
      <c r="EP213" s="22"/>
      <c r="EQ213" s="22"/>
      <c r="ER213" s="22"/>
      <c r="ES213" s="22"/>
      <c r="ET213" s="22"/>
      <c r="EU213" s="22"/>
      <c r="EV213" s="22"/>
      <c r="EW213" s="22"/>
      <c r="EX213" s="22"/>
      <c r="EY213" s="22"/>
      <c r="EZ213" s="22"/>
      <c r="FA213" s="22"/>
      <c r="FB213" s="22"/>
      <c r="FC213" s="22"/>
      <c r="FD213" s="22"/>
      <c r="FE213" s="22"/>
      <c r="FF213" s="22"/>
      <c r="FG213" s="22"/>
      <c r="FH213" s="22"/>
      <c r="FI213" s="22"/>
      <c r="FJ213" s="22"/>
      <c r="FK213" s="22"/>
      <c r="FL213" s="22"/>
      <c r="FM213" s="22"/>
      <c r="FN213" s="22"/>
      <c r="FO213" s="22"/>
      <c r="FP213" s="22"/>
      <c r="FQ213" s="22"/>
      <c r="FR213" s="22"/>
      <c r="FS213" s="22"/>
      <c r="FT213" s="22"/>
      <c r="FU213" s="22"/>
      <c r="FV213" s="22"/>
      <c r="FW213" s="22"/>
      <c r="FX213" s="22"/>
      <c r="FY213" s="22"/>
      <c r="FZ213" s="22"/>
      <c r="GA213" s="22"/>
      <c r="GB213" s="22"/>
      <c r="GC213" s="22"/>
      <c r="GD213" s="22"/>
      <c r="GE213" s="22"/>
      <c r="GF213" s="22"/>
      <c r="GG213" s="22"/>
      <c r="GH213" s="22"/>
      <c r="GI213" s="22"/>
      <c r="GJ213" s="22"/>
      <c r="GK213" s="22"/>
      <c r="GL213" s="22"/>
      <c r="GM213" s="22"/>
      <c r="GN213" s="22"/>
      <c r="GO213" s="22"/>
      <c r="GP213" s="22"/>
      <c r="GQ213" s="22"/>
      <c r="GR213" s="22"/>
      <c r="GS213" s="22"/>
      <c r="GT213" s="22"/>
      <c r="GU213" s="22"/>
      <c r="GV213" s="22"/>
      <c r="GW213" s="22"/>
      <c r="GX213" s="22"/>
      <c r="GY213" s="22"/>
      <c r="GZ213" s="22"/>
      <c r="HA213" s="22"/>
      <c r="HB213" s="22"/>
      <c r="HC213" s="22"/>
      <c r="HD213" s="22"/>
      <c r="HE213" s="22"/>
      <c r="HF213" s="22"/>
      <c r="HG213" s="22"/>
      <c r="HH213" s="22"/>
      <c r="HI213" s="22"/>
      <c r="HJ213" s="22"/>
      <c r="HK213" s="22"/>
      <c r="HL213" s="22"/>
      <c r="HM213" s="22"/>
      <c r="HN213" s="22"/>
      <c r="HO213" s="22"/>
      <c r="HP213" s="22"/>
      <c r="HQ213" s="22"/>
      <c r="HR213" s="22"/>
      <c r="HS213" s="22"/>
      <c r="HT213" s="22"/>
      <c r="HU213" s="22"/>
      <c r="HV213" s="22"/>
      <c r="HW213" s="22"/>
      <c r="HX213" s="22"/>
      <c r="HY213" s="22"/>
      <c r="HZ213" s="22"/>
      <c r="IA213" s="22"/>
      <c r="IB213" s="22"/>
      <c r="IC213" s="22"/>
      <c r="ID213" s="22"/>
      <c r="IE213" s="22"/>
      <c r="IF213" s="22"/>
      <c r="IG213" s="22"/>
      <c r="IH213" s="22"/>
      <c r="II213" s="22"/>
      <c r="IJ213" s="22"/>
      <c r="IK213" s="22"/>
      <c r="IL213" s="22"/>
      <c r="IM213" s="22"/>
      <c r="IN213" s="22"/>
      <c r="IO213" s="22"/>
      <c r="IP213" s="22"/>
      <c r="IQ213" s="22"/>
      <c r="IR213" s="22"/>
      <c r="IS213" s="22"/>
      <c r="IT213" s="22"/>
      <c r="IU213" s="22"/>
      <c r="IV213" s="22"/>
    </row>
    <row r="214" spans="1:256" s="64" customFormat="1" ht="15" customHeight="1">
      <c r="A214" s="25" t="s">
        <v>890</v>
      </c>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c r="BH214" s="22"/>
      <c r="BI214" s="22"/>
      <c r="BJ214" s="22"/>
      <c r="BK214" s="22"/>
      <c r="BL214" s="22"/>
      <c r="BM214" s="22"/>
      <c r="BN214" s="22"/>
      <c r="BO214" s="22"/>
      <c r="BP214" s="22"/>
      <c r="BQ214" s="22"/>
      <c r="BR214" s="22"/>
      <c r="BS214" s="22"/>
      <c r="BT214" s="22"/>
      <c r="BU214" s="22"/>
      <c r="BV214" s="22"/>
      <c r="BW214" s="22"/>
      <c r="BX214" s="22"/>
      <c r="BY214" s="22"/>
      <c r="BZ214" s="22"/>
      <c r="CA214" s="22"/>
      <c r="CB214" s="22"/>
      <c r="CC214" s="22"/>
      <c r="CD214" s="22"/>
      <c r="CE214" s="22"/>
      <c r="CF214" s="22"/>
      <c r="CG214" s="22"/>
      <c r="CH214" s="22"/>
      <c r="CI214" s="22"/>
      <c r="CJ214" s="22"/>
      <c r="CK214" s="22"/>
      <c r="CL214" s="22"/>
      <c r="CM214" s="22"/>
      <c r="CN214" s="22"/>
      <c r="CO214" s="22"/>
      <c r="CP214" s="22"/>
      <c r="CQ214" s="22"/>
      <c r="CR214" s="22"/>
      <c r="CS214" s="22"/>
      <c r="CT214" s="22"/>
      <c r="CU214" s="22"/>
      <c r="CV214" s="22"/>
      <c r="CW214" s="22"/>
      <c r="CX214" s="22"/>
      <c r="CY214" s="22"/>
      <c r="CZ214" s="22"/>
      <c r="DA214" s="22"/>
      <c r="DB214" s="22"/>
      <c r="DC214" s="22"/>
      <c r="DD214" s="22"/>
      <c r="DE214" s="22"/>
      <c r="DF214" s="22"/>
      <c r="DG214" s="22"/>
      <c r="DH214" s="22"/>
      <c r="DI214" s="22"/>
      <c r="DJ214" s="22"/>
      <c r="DK214" s="22"/>
      <c r="DL214" s="22"/>
      <c r="DM214" s="22"/>
      <c r="DN214" s="22"/>
      <c r="DO214" s="22"/>
      <c r="DP214" s="22"/>
      <c r="DQ214" s="22"/>
      <c r="DR214" s="22"/>
      <c r="DS214" s="22"/>
      <c r="DT214" s="22"/>
      <c r="DU214" s="22"/>
      <c r="DV214" s="22"/>
      <c r="DW214" s="22"/>
      <c r="DX214" s="22"/>
      <c r="DY214" s="22"/>
      <c r="DZ214" s="22"/>
      <c r="EA214" s="22"/>
      <c r="EB214" s="22"/>
      <c r="EC214" s="22"/>
      <c r="ED214" s="22"/>
      <c r="EE214" s="22"/>
      <c r="EF214" s="22"/>
      <c r="EG214" s="22"/>
      <c r="EH214" s="22"/>
      <c r="EI214" s="22"/>
      <c r="EJ214" s="22"/>
      <c r="EK214" s="22"/>
      <c r="EL214" s="22"/>
      <c r="EM214" s="22"/>
      <c r="EN214" s="22"/>
      <c r="EO214" s="22"/>
      <c r="EP214" s="22"/>
      <c r="EQ214" s="22"/>
      <c r="ER214" s="22"/>
      <c r="ES214" s="22"/>
      <c r="ET214" s="22"/>
      <c r="EU214" s="22"/>
      <c r="EV214" s="22"/>
      <c r="EW214" s="22"/>
      <c r="EX214" s="22"/>
      <c r="EY214" s="22"/>
      <c r="EZ214" s="22"/>
      <c r="FA214" s="22"/>
      <c r="FB214" s="22"/>
      <c r="FC214" s="22"/>
      <c r="FD214" s="22"/>
      <c r="FE214" s="22"/>
      <c r="FF214" s="22"/>
      <c r="FG214" s="22"/>
      <c r="FH214" s="22"/>
      <c r="FI214" s="22"/>
      <c r="FJ214" s="22"/>
      <c r="FK214" s="22"/>
      <c r="FL214" s="22"/>
      <c r="FM214" s="22"/>
      <c r="FN214" s="22"/>
      <c r="FO214" s="22"/>
      <c r="FP214" s="22"/>
      <c r="FQ214" s="22"/>
      <c r="FR214" s="22"/>
      <c r="FS214" s="22"/>
      <c r="FT214" s="22"/>
      <c r="FU214" s="22"/>
      <c r="FV214" s="22"/>
      <c r="FW214" s="22"/>
      <c r="FX214" s="22"/>
      <c r="FY214" s="22"/>
      <c r="FZ214" s="22"/>
      <c r="GA214" s="22"/>
      <c r="GB214" s="22"/>
      <c r="GC214" s="22"/>
      <c r="GD214" s="22"/>
      <c r="GE214" s="22"/>
      <c r="GF214" s="22"/>
      <c r="GG214" s="22"/>
      <c r="GH214" s="22"/>
      <c r="GI214" s="22"/>
      <c r="GJ214" s="22"/>
      <c r="GK214" s="22"/>
      <c r="GL214" s="22"/>
      <c r="GM214" s="22"/>
      <c r="GN214" s="22"/>
      <c r="GO214" s="22"/>
      <c r="GP214" s="22"/>
      <c r="GQ214" s="22"/>
      <c r="GR214" s="22"/>
      <c r="GS214" s="22"/>
      <c r="GT214" s="22"/>
      <c r="GU214" s="22"/>
      <c r="GV214" s="22"/>
      <c r="GW214" s="22"/>
      <c r="GX214" s="22"/>
      <c r="GY214" s="22"/>
      <c r="GZ214" s="22"/>
      <c r="HA214" s="22"/>
      <c r="HB214" s="22"/>
      <c r="HC214" s="22"/>
      <c r="HD214" s="22"/>
      <c r="HE214" s="22"/>
      <c r="HF214" s="22"/>
      <c r="HG214" s="22"/>
      <c r="HH214" s="22"/>
      <c r="HI214" s="22"/>
      <c r="HJ214" s="22"/>
      <c r="HK214" s="22"/>
      <c r="HL214" s="22"/>
      <c r="HM214" s="22"/>
      <c r="HN214" s="22"/>
      <c r="HO214" s="22"/>
      <c r="HP214" s="22"/>
      <c r="HQ214" s="22"/>
      <c r="HR214" s="22"/>
      <c r="HS214" s="22"/>
      <c r="HT214" s="22"/>
      <c r="HU214" s="22"/>
      <c r="HV214" s="22"/>
      <c r="HW214" s="22"/>
      <c r="HX214" s="22"/>
      <c r="HY214" s="22"/>
      <c r="HZ214" s="22"/>
      <c r="IA214" s="22"/>
      <c r="IB214" s="22"/>
      <c r="IC214" s="22"/>
      <c r="ID214" s="22"/>
      <c r="IE214" s="22"/>
      <c r="IF214" s="22"/>
      <c r="IG214" s="22"/>
      <c r="IH214" s="22"/>
      <c r="II214" s="22"/>
      <c r="IJ214" s="22"/>
      <c r="IK214" s="22"/>
      <c r="IL214" s="22"/>
      <c r="IM214" s="22"/>
      <c r="IN214" s="22"/>
      <c r="IO214" s="22"/>
      <c r="IP214" s="22"/>
      <c r="IQ214" s="22"/>
      <c r="IR214" s="22"/>
      <c r="IS214" s="22"/>
      <c r="IT214" s="22"/>
      <c r="IU214" s="22"/>
      <c r="IV214" s="22"/>
    </row>
    <row r="215" spans="1:256" s="31" customFormat="1" ht="15" customHeight="1">
      <c r="A215" s="31" t="s">
        <v>958</v>
      </c>
      <c r="O215" s="26"/>
      <c r="P215" s="26"/>
    </row>
    <row r="216" spans="1:256" s="46" customFormat="1" ht="15" customHeight="1">
      <c r="A216" s="5" t="s">
        <v>959</v>
      </c>
      <c r="B216" s="26"/>
      <c r="C216" s="30"/>
      <c r="D216" s="30"/>
      <c r="E216" s="30"/>
      <c r="F216" s="30"/>
      <c r="G216" s="30"/>
      <c r="H216" s="30"/>
      <c r="I216" s="37"/>
      <c r="J216" s="45"/>
      <c r="K216" s="45"/>
      <c r="L216" s="45"/>
      <c r="M216" s="45"/>
      <c r="N216" s="45"/>
      <c r="O216" s="26"/>
      <c r="P216" s="26"/>
      <c r="Q216" s="45"/>
      <c r="R216" s="45"/>
      <c r="S216" s="45"/>
      <c r="T216" s="30"/>
      <c r="U216" s="30"/>
      <c r="V216" s="45"/>
      <c r="W216" s="45"/>
      <c r="X216" s="45"/>
      <c r="Y216" s="45"/>
      <c r="Z216" s="45"/>
      <c r="AA216" s="45"/>
      <c r="AB216" s="45"/>
      <c r="AC216" s="45"/>
      <c r="AD216" s="45"/>
      <c r="AE216" s="45"/>
      <c r="AF216" s="45"/>
      <c r="AG216" s="45"/>
      <c r="AH216" s="45"/>
      <c r="AI216" s="45"/>
      <c r="AJ216" s="45"/>
      <c r="AK216" s="45"/>
      <c r="AL216" s="45"/>
      <c r="AM216" s="45"/>
      <c r="AN216" s="45"/>
      <c r="AO216" s="45"/>
      <c r="AP216" s="45"/>
      <c r="AQ216" s="45"/>
      <c r="AR216" s="45"/>
      <c r="AS216" s="45"/>
      <c r="AT216" s="45"/>
      <c r="AU216" s="45"/>
      <c r="AV216" s="45"/>
      <c r="AW216" s="45"/>
      <c r="AX216" s="45"/>
      <c r="AY216" s="45"/>
      <c r="AZ216" s="45"/>
      <c r="BA216" s="45"/>
      <c r="BB216" s="45"/>
      <c r="BC216" s="45"/>
      <c r="BD216" s="45"/>
      <c r="BE216" s="45"/>
      <c r="BF216" s="45"/>
      <c r="BG216" s="45"/>
      <c r="BH216" s="45"/>
      <c r="BI216" s="45"/>
      <c r="BJ216" s="45"/>
      <c r="BK216" s="45"/>
      <c r="BL216" s="45"/>
      <c r="BM216" s="45"/>
      <c r="BN216" s="45"/>
      <c r="BO216" s="45"/>
      <c r="BP216" s="45"/>
      <c r="BQ216" s="45"/>
      <c r="BR216" s="45"/>
      <c r="BS216" s="45"/>
      <c r="BT216" s="45"/>
      <c r="BU216" s="45"/>
      <c r="BV216" s="45"/>
      <c r="BW216" s="45"/>
      <c r="BX216" s="45"/>
    </row>
    <row r="217" spans="1:256" s="64" customFormat="1" ht="15" customHeight="1">
      <c r="A217" s="25" t="s">
        <v>1239</v>
      </c>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c r="AZ217" s="22"/>
      <c r="BA217" s="22"/>
      <c r="BB217" s="22"/>
      <c r="BC217" s="22"/>
      <c r="BD217" s="22"/>
      <c r="BE217" s="22"/>
      <c r="BF217" s="22"/>
      <c r="BG217" s="22"/>
      <c r="BH217" s="22"/>
      <c r="BI217" s="22"/>
      <c r="BJ217" s="22"/>
      <c r="BK217" s="22"/>
      <c r="BL217" s="22"/>
      <c r="BM217" s="22"/>
      <c r="BN217" s="22"/>
      <c r="BO217" s="22"/>
      <c r="BP217" s="22"/>
      <c r="BQ217" s="22"/>
      <c r="BR217" s="22"/>
      <c r="BS217" s="22"/>
      <c r="BT217" s="22"/>
      <c r="BU217" s="22"/>
      <c r="BV217" s="22"/>
      <c r="BW217" s="22"/>
      <c r="BX217" s="22"/>
      <c r="BY217" s="22"/>
      <c r="BZ217" s="22"/>
      <c r="CA217" s="22"/>
      <c r="CB217" s="22"/>
      <c r="CC217" s="22"/>
      <c r="CD217" s="22"/>
      <c r="CE217" s="22"/>
      <c r="CF217" s="22"/>
      <c r="CG217" s="22"/>
      <c r="CH217" s="22"/>
      <c r="CI217" s="22"/>
      <c r="CJ217" s="22"/>
      <c r="CK217" s="22"/>
      <c r="CL217" s="22"/>
      <c r="CM217" s="22"/>
      <c r="CN217" s="22"/>
      <c r="CO217" s="22"/>
      <c r="CP217" s="22"/>
      <c r="CQ217" s="22"/>
      <c r="CR217" s="22"/>
      <c r="CS217" s="22"/>
      <c r="CT217" s="22"/>
      <c r="CU217" s="22"/>
      <c r="CV217" s="22"/>
      <c r="CW217" s="22"/>
      <c r="CX217" s="22"/>
      <c r="CY217" s="22"/>
      <c r="CZ217" s="22"/>
      <c r="DA217" s="22"/>
      <c r="DB217" s="22"/>
      <c r="DC217" s="22"/>
      <c r="DD217" s="22"/>
      <c r="DE217" s="22"/>
      <c r="DF217" s="22"/>
      <c r="DG217" s="22"/>
      <c r="DH217" s="22"/>
      <c r="DI217" s="22"/>
      <c r="DJ217" s="22"/>
      <c r="DK217" s="22"/>
      <c r="DL217" s="22"/>
      <c r="DM217" s="22"/>
      <c r="DN217" s="22"/>
      <c r="DO217" s="22"/>
      <c r="DP217" s="22"/>
      <c r="DQ217" s="22"/>
      <c r="DR217" s="22"/>
      <c r="DS217" s="22"/>
      <c r="DT217" s="22"/>
      <c r="DU217" s="22"/>
      <c r="DV217" s="22"/>
      <c r="DW217" s="22"/>
      <c r="DX217" s="22"/>
      <c r="DY217" s="22"/>
      <c r="DZ217" s="22"/>
      <c r="EA217" s="22"/>
      <c r="EB217" s="22"/>
      <c r="EC217" s="22"/>
      <c r="ED217" s="22"/>
      <c r="EE217" s="22"/>
      <c r="EF217" s="22"/>
      <c r="EG217" s="22"/>
      <c r="EH217" s="22"/>
      <c r="EI217" s="22"/>
      <c r="EJ217" s="22"/>
      <c r="EK217" s="22"/>
      <c r="EL217" s="22"/>
      <c r="EM217" s="22"/>
      <c r="EN217" s="22"/>
      <c r="EO217" s="22"/>
      <c r="EP217" s="22"/>
      <c r="EQ217" s="22"/>
      <c r="ER217" s="22"/>
      <c r="ES217" s="22"/>
      <c r="ET217" s="22"/>
      <c r="EU217" s="22"/>
      <c r="EV217" s="22"/>
      <c r="EW217" s="22"/>
      <c r="EX217" s="22"/>
      <c r="EY217" s="22"/>
      <c r="EZ217" s="22"/>
      <c r="FA217" s="22"/>
      <c r="FB217" s="22"/>
      <c r="FC217" s="22"/>
      <c r="FD217" s="22"/>
      <c r="FE217" s="22"/>
      <c r="FF217" s="22"/>
      <c r="FG217" s="22"/>
      <c r="FH217" s="22"/>
      <c r="FI217" s="22"/>
      <c r="FJ217" s="22"/>
      <c r="FK217" s="22"/>
      <c r="FL217" s="22"/>
      <c r="FM217" s="22"/>
      <c r="FN217" s="22"/>
      <c r="FO217" s="22"/>
      <c r="FP217" s="22"/>
      <c r="FQ217" s="22"/>
      <c r="FR217" s="22"/>
      <c r="FS217" s="22"/>
      <c r="FT217" s="22"/>
      <c r="FU217" s="22"/>
      <c r="FV217" s="22"/>
      <c r="FW217" s="22"/>
      <c r="FX217" s="22"/>
      <c r="FY217" s="22"/>
      <c r="FZ217" s="22"/>
      <c r="GA217" s="22"/>
      <c r="GB217" s="22"/>
      <c r="GC217" s="22"/>
      <c r="GD217" s="22"/>
      <c r="GE217" s="22"/>
      <c r="GF217" s="22"/>
      <c r="GG217" s="22"/>
      <c r="GH217" s="22"/>
      <c r="GI217" s="22"/>
      <c r="GJ217" s="22"/>
      <c r="GK217" s="22"/>
      <c r="GL217" s="22"/>
      <c r="GM217" s="22"/>
      <c r="GN217" s="22"/>
      <c r="GO217" s="22"/>
      <c r="GP217" s="22"/>
      <c r="GQ217" s="22"/>
      <c r="GR217" s="22"/>
      <c r="GS217" s="22"/>
      <c r="GT217" s="22"/>
      <c r="GU217" s="22"/>
      <c r="GV217" s="22"/>
      <c r="GW217" s="22"/>
      <c r="GX217" s="22"/>
      <c r="GY217" s="22"/>
      <c r="GZ217" s="22"/>
      <c r="HA217" s="22"/>
      <c r="HB217" s="22"/>
      <c r="HC217" s="22"/>
      <c r="HD217" s="22"/>
      <c r="HE217" s="22"/>
      <c r="HF217" s="22"/>
      <c r="HG217" s="22"/>
      <c r="HH217" s="22"/>
      <c r="HI217" s="22"/>
      <c r="HJ217" s="22"/>
      <c r="HK217" s="22"/>
      <c r="HL217" s="22"/>
      <c r="HM217" s="22"/>
      <c r="HN217" s="22"/>
      <c r="HO217" s="22"/>
      <c r="HP217" s="22"/>
      <c r="HQ217" s="22"/>
      <c r="HR217" s="22"/>
      <c r="HS217" s="22"/>
      <c r="HT217" s="22"/>
      <c r="HU217" s="22"/>
      <c r="HV217" s="22"/>
      <c r="HW217" s="22"/>
      <c r="HX217" s="22"/>
      <c r="HY217" s="22"/>
      <c r="HZ217" s="22"/>
      <c r="IA217" s="22"/>
      <c r="IB217" s="22"/>
      <c r="IC217" s="22"/>
      <c r="ID217" s="22"/>
      <c r="IE217" s="22"/>
      <c r="IF217" s="22"/>
      <c r="IG217" s="22"/>
      <c r="IH217" s="22"/>
      <c r="II217" s="22"/>
      <c r="IJ217" s="22"/>
      <c r="IK217" s="22"/>
      <c r="IL217" s="22"/>
      <c r="IM217" s="22"/>
      <c r="IN217" s="22"/>
      <c r="IO217" s="22"/>
      <c r="IP217" s="22"/>
      <c r="IQ217" s="22"/>
      <c r="IR217" s="22"/>
      <c r="IS217" s="22"/>
      <c r="IT217" s="22"/>
      <c r="IU217" s="22"/>
      <c r="IV217" s="22"/>
    </row>
    <row r="218" spans="1:256" s="64" customFormat="1" ht="15" customHeight="1">
      <c r="A218" s="25" t="s">
        <v>1269</v>
      </c>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c r="AZ218" s="22"/>
      <c r="BA218" s="22"/>
      <c r="BB218" s="22"/>
      <c r="BC218" s="22"/>
      <c r="BD218" s="22"/>
      <c r="BE218" s="22"/>
      <c r="BF218" s="22"/>
      <c r="BG218" s="22"/>
      <c r="BH218" s="22"/>
      <c r="BI218" s="22"/>
      <c r="BJ218" s="22"/>
      <c r="BK218" s="22"/>
      <c r="BL218" s="22"/>
      <c r="BM218" s="22"/>
      <c r="BN218" s="22"/>
      <c r="BO218" s="22"/>
      <c r="BP218" s="22"/>
      <c r="BQ218" s="22"/>
      <c r="BR218" s="22"/>
      <c r="BS218" s="22"/>
      <c r="BT218" s="22"/>
      <c r="BU218" s="22"/>
      <c r="BV218" s="22"/>
      <c r="BW218" s="22"/>
      <c r="BX218" s="22"/>
      <c r="BY218" s="22"/>
      <c r="BZ218" s="22"/>
      <c r="CA218" s="22"/>
      <c r="CB218" s="22"/>
      <c r="CC218" s="22"/>
      <c r="CD218" s="22"/>
      <c r="CE218" s="22"/>
      <c r="CF218" s="22"/>
      <c r="CG218" s="22"/>
      <c r="CH218" s="22"/>
      <c r="CI218" s="22"/>
      <c r="CJ218" s="22"/>
      <c r="CK218" s="22"/>
      <c r="CL218" s="22"/>
      <c r="CM218" s="22"/>
      <c r="CN218" s="22"/>
      <c r="CO218" s="22"/>
      <c r="CP218" s="22"/>
      <c r="CQ218" s="22"/>
      <c r="CR218" s="22"/>
      <c r="CS218" s="22"/>
      <c r="CT218" s="22"/>
      <c r="CU218" s="22"/>
      <c r="CV218" s="22"/>
      <c r="CW218" s="22"/>
      <c r="CX218" s="22"/>
      <c r="CY218" s="22"/>
      <c r="CZ218" s="22"/>
      <c r="DA218" s="22"/>
      <c r="DB218" s="22"/>
      <c r="DC218" s="22"/>
      <c r="DD218" s="22"/>
      <c r="DE218" s="22"/>
      <c r="DF218" s="22"/>
      <c r="DG218" s="22"/>
      <c r="DH218" s="22"/>
      <c r="DI218" s="22"/>
      <c r="DJ218" s="22"/>
      <c r="DK218" s="22"/>
      <c r="DL218" s="22"/>
      <c r="DM218" s="22"/>
      <c r="DN218" s="22"/>
      <c r="DO218" s="22"/>
      <c r="DP218" s="22"/>
      <c r="DQ218" s="22"/>
      <c r="DR218" s="22"/>
      <c r="DS218" s="22"/>
      <c r="DT218" s="22"/>
      <c r="DU218" s="22"/>
      <c r="DV218" s="22"/>
      <c r="DW218" s="22"/>
      <c r="DX218" s="22"/>
      <c r="DY218" s="22"/>
      <c r="DZ218" s="22"/>
      <c r="EA218" s="22"/>
      <c r="EB218" s="22"/>
      <c r="EC218" s="22"/>
      <c r="ED218" s="22"/>
      <c r="EE218" s="22"/>
      <c r="EF218" s="22"/>
      <c r="EG218" s="22"/>
      <c r="EH218" s="22"/>
      <c r="EI218" s="22"/>
      <c r="EJ218" s="22"/>
      <c r="EK218" s="22"/>
      <c r="EL218" s="22"/>
      <c r="EM218" s="22"/>
      <c r="EN218" s="22"/>
      <c r="EO218" s="22"/>
      <c r="EP218" s="22"/>
      <c r="EQ218" s="22"/>
      <c r="ER218" s="22"/>
      <c r="ES218" s="22"/>
      <c r="ET218" s="22"/>
      <c r="EU218" s="22"/>
      <c r="EV218" s="22"/>
      <c r="EW218" s="22"/>
      <c r="EX218" s="22"/>
      <c r="EY218" s="22"/>
      <c r="EZ218" s="22"/>
      <c r="FA218" s="22"/>
      <c r="FB218" s="22"/>
      <c r="FC218" s="22"/>
      <c r="FD218" s="22"/>
      <c r="FE218" s="22"/>
      <c r="FF218" s="22"/>
      <c r="FG218" s="22"/>
      <c r="FH218" s="22"/>
      <c r="FI218" s="22"/>
      <c r="FJ218" s="22"/>
      <c r="FK218" s="22"/>
      <c r="FL218" s="22"/>
      <c r="FM218" s="22"/>
      <c r="FN218" s="22"/>
      <c r="FO218" s="22"/>
      <c r="FP218" s="22"/>
      <c r="FQ218" s="22"/>
      <c r="FR218" s="22"/>
      <c r="FS218" s="22"/>
      <c r="FT218" s="22"/>
      <c r="FU218" s="22"/>
      <c r="FV218" s="22"/>
      <c r="FW218" s="22"/>
      <c r="FX218" s="22"/>
      <c r="FY218" s="22"/>
      <c r="FZ218" s="22"/>
      <c r="GA218" s="22"/>
      <c r="GB218" s="22"/>
      <c r="GC218" s="22"/>
      <c r="GD218" s="22"/>
      <c r="GE218" s="22"/>
      <c r="GF218" s="22"/>
      <c r="GG218" s="22"/>
      <c r="GH218" s="22"/>
      <c r="GI218" s="22"/>
      <c r="GJ218" s="22"/>
      <c r="GK218" s="22"/>
      <c r="GL218" s="22"/>
      <c r="GM218" s="22"/>
      <c r="GN218" s="22"/>
      <c r="GO218" s="22"/>
      <c r="GP218" s="22"/>
      <c r="GQ218" s="22"/>
      <c r="GR218" s="22"/>
      <c r="GS218" s="22"/>
      <c r="GT218" s="22"/>
      <c r="GU218" s="22"/>
      <c r="GV218" s="22"/>
      <c r="GW218" s="22"/>
      <c r="GX218" s="22"/>
      <c r="GY218" s="22"/>
      <c r="GZ218" s="22"/>
      <c r="HA218" s="22"/>
      <c r="HB218" s="22"/>
      <c r="HC218" s="22"/>
      <c r="HD218" s="22"/>
      <c r="HE218" s="22"/>
      <c r="HF218" s="22"/>
      <c r="HG218" s="22"/>
      <c r="HH218" s="22"/>
      <c r="HI218" s="22"/>
      <c r="HJ218" s="22"/>
      <c r="HK218" s="22"/>
      <c r="HL218" s="22"/>
      <c r="HM218" s="22"/>
      <c r="HN218" s="22"/>
      <c r="HO218" s="22"/>
      <c r="HP218" s="22"/>
      <c r="HQ218" s="22"/>
      <c r="HR218" s="22"/>
      <c r="HS218" s="22"/>
      <c r="HT218" s="22"/>
      <c r="HU218" s="22"/>
      <c r="HV218" s="22"/>
      <c r="HW218" s="22"/>
      <c r="HX218" s="22"/>
      <c r="HY218" s="22"/>
      <c r="HZ218" s="22"/>
      <c r="IA218" s="22"/>
      <c r="IB218" s="22"/>
      <c r="IC218" s="22"/>
      <c r="ID218" s="22"/>
      <c r="IE218" s="22"/>
      <c r="IF218" s="22"/>
      <c r="IG218" s="22"/>
      <c r="IH218" s="22"/>
      <c r="II218" s="22"/>
      <c r="IJ218" s="22"/>
      <c r="IK218" s="22"/>
      <c r="IL218" s="22"/>
      <c r="IM218" s="22"/>
      <c r="IN218" s="22"/>
      <c r="IO218" s="22"/>
      <c r="IP218" s="22"/>
      <c r="IQ218" s="22"/>
      <c r="IR218" s="22"/>
      <c r="IS218" s="22"/>
      <c r="IT218" s="22"/>
      <c r="IU218" s="22"/>
      <c r="IV218" s="22"/>
    </row>
    <row r="219" spans="1:256" s="64" customFormat="1" ht="15" customHeight="1">
      <c r="A219" s="25" t="s">
        <v>1236</v>
      </c>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c r="BH219" s="22"/>
      <c r="BI219" s="22"/>
      <c r="BJ219" s="22"/>
      <c r="BK219" s="22"/>
      <c r="BL219" s="22"/>
      <c r="BM219" s="22"/>
      <c r="BN219" s="22"/>
      <c r="BO219" s="22"/>
      <c r="BP219" s="22"/>
      <c r="BQ219" s="22"/>
      <c r="BR219" s="22"/>
      <c r="BS219" s="22"/>
      <c r="BT219" s="22"/>
      <c r="BU219" s="22"/>
      <c r="BV219" s="22"/>
      <c r="BW219" s="22"/>
      <c r="BX219" s="22"/>
      <c r="BY219" s="22"/>
      <c r="BZ219" s="22"/>
      <c r="CA219" s="22"/>
      <c r="CB219" s="22"/>
      <c r="CC219" s="22"/>
      <c r="CD219" s="22"/>
      <c r="CE219" s="22"/>
      <c r="CF219" s="22"/>
      <c r="CG219" s="22"/>
      <c r="CH219" s="22"/>
      <c r="CI219" s="22"/>
      <c r="CJ219" s="22"/>
      <c r="CK219" s="22"/>
      <c r="CL219" s="22"/>
      <c r="CM219" s="22"/>
      <c r="CN219" s="22"/>
      <c r="CO219" s="22"/>
      <c r="CP219" s="22"/>
      <c r="CQ219" s="22"/>
      <c r="CR219" s="22"/>
      <c r="CS219" s="22"/>
      <c r="CT219" s="22"/>
      <c r="CU219" s="22"/>
      <c r="CV219" s="22"/>
      <c r="CW219" s="22"/>
      <c r="CX219" s="22"/>
      <c r="CY219" s="22"/>
      <c r="CZ219" s="22"/>
      <c r="DA219" s="22"/>
      <c r="DB219" s="22"/>
      <c r="DC219" s="22"/>
      <c r="DD219" s="22"/>
      <c r="DE219" s="22"/>
      <c r="DF219" s="22"/>
      <c r="DG219" s="22"/>
      <c r="DH219" s="22"/>
      <c r="DI219" s="22"/>
      <c r="DJ219" s="22"/>
      <c r="DK219" s="22"/>
      <c r="DL219" s="22"/>
      <c r="DM219" s="22"/>
      <c r="DN219" s="22"/>
      <c r="DO219" s="22"/>
      <c r="DP219" s="22"/>
      <c r="DQ219" s="22"/>
      <c r="DR219" s="22"/>
      <c r="DS219" s="22"/>
      <c r="DT219" s="22"/>
      <c r="DU219" s="22"/>
      <c r="DV219" s="22"/>
      <c r="DW219" s="22"/>
      <c r="DX219" s="22"/>
      <c r="DY219" s="22"/>
      <c r="DZ219" s="22"/>
      <c r="EA219" s="22"/>
      <c r="EB219" s="22"/>
      <c r="EC219" s="22"/>
      <c r="ED219" s="22"/>
      <c r="EE219" s="22"/>
      <c r="EF219" s="22"/>
      <c r="EG219" s="22"/>
      <c r="EH219" s="22"/>
      <c r="EI219" s="22"/>
      <c r="EJ219" s="22"/>
      <c r="EK219" s="22"/>
      <c r="EL219" s="22"/>
      <c r="EM219" s="22"/>
      <c r="EN219" s="22"/>
      <c r="EO219" s="22"/>
      <c r="EP219" s="22"/>
      <c r="EQ219" s="22"/>
      <c r="ER219" s="22"/>
      <c r="ES219" s="22"/>
      <c r="ET219" s="22"/>
      <c r="EU219" s="22"/>
      <c r="EV219" s="22"/>
      <c r="EW219" s="22"/>
      <c r="EX219" s="22"/>
      <c r="EY219" s="22"/>
      <c r="EZ219" s="22"/>
      <c r="FA219" s="22"/>
      <c r="FB219" s="22"/>
      <c r="FC219" s="22"/>
      <c r="FD219" s="22"/>
      <c r="FE219" s="22"/>
      <c r="FF219" s="22"/>
      <c r="FG219" s="22"/>
      <c r="FH219" s="22"/>
      <c r="FI219" s="22"/>
      <c r="FJ219" s="22"/>
      <c r="FK219" s="22"/>
      <c r="FL219" s="22"/>
      <c r="FM219" s="22"/>
      <c r="FN219" s="22"/>
      <c r="FO219" s="22"/>
      <c r="FP219" s="22"/>
      <c r="FQ219" s="22"/>
      <c r="FR219" s="22"/>
      <c r="FS219" s="22"/>
      <c r="FT219" s="22"/>
      <c r="FU219" s="22"/>
      <c r="FV219" s="22"/>
      <c r="FW219" s="22"/>
      <c r="FX219" s="22"/>
      <c r="FY219" s="22"/>
      <c r="FZ219" s="22"/>
      <c r="GA219" s="22"/>
      <c r="GB219" s="22"/>
      <c r="GC219" s="22"/>
      <c r="GD219" s="22"/>
      <c r="GE219" s="22"/>
      <c r="GF219" s="22"/>
      <c r="GG219" s="22"/>
      <c r="GH219" s="22"/>
      <c r="GI219" s="22"/>
      <c r="GJ219" s="22"/>
      <c r="GK219" s="22"/>
      <c r="GL219" s="22"/>
      <c r="GM219" s="22"/>
      <c r="GN219" s="22"/>
      <c r="GO219" s="22"/>
      <c r="GP219" s="22"/>
      <c r="GQ219" s="22"/>
      <c r="GR219" s="22"/>
      <c r="GS219" s="22"/>
      <c r="GT219" s="22"/>
      <c r="GU219" s="22"/>
      <c r="GV219" s="22"/>
      <c r="GW219" s="22"/>
      <c r="GX219" s="22"/>
      <c r="GY219" s="22"/>
      <c r="GZ219" s="22"/>
      <c r="HA219" s="22"/>
      <c r="HB219" s="22"/>
      <c r="HC219" s="22"/>
      <c r="HD219" s="22"/>
      <c r="HE219" s="22"/>
      <c r="HF219" s="22"/>
      <c r="HG219" s="22"/>
      <c r="HH219" s="22"/>
      <c r="HI219" s="22"/>
      <c r="HJ219" s="22"/>
      <c r="HK219" s="22"/>
      <c r="HL219" s="22"/>
      <c r="HM219" s="22"/>
      <c r="HN219" s="22"/>
      <c r="HO219" s="22"/>
      <c r="HP219" s="22"/>
      <c r="HQ219" s="22"/>
      <c r="HR219" s="22"/>
      <c r="HS219" s="22"/>
      <c r="HT219" s="22"/>
      <c r="HU219" s="22"/>
      <c r="HV219" s="22"/>
      <c r="HW219" s="22"/>
      <c r="HX219" s="22"/>
      <c r="HY219" s="22"/>
      <c r="HZ219" s="22"/>
      <c r="IA219" s="22"/>
      <c r="IB219" s="22"/>
      <c r="IC219" s="22"/>
      <c r="ID219" s="22"/>
      <c r="IE219" s="22"/>
      <c r="IF219" s="22"/>
      <c r="IG219" s="22"/>
      <c r="IH219" s="22"/>
      <c r="II219" s="22"/>
      <c r="IJ219" s="22"/>
      <c r="IK219" s="22"/>
      <c r="IL219" s="22"/>
      <c r="IM219" s="22"/>
      <c r="IN219" s="22"/>
      <c r="IO219" s="22"/>
      <c r="IP219" s="22"/>
      <c r="IQ219" s="22"/>
      <c r="IR219" s="22"/>
      <c r="IS219" s="22"/>
      <c r="IT219" s="22"/>
      <c r="IU219" s="22"/>
      <c r="IV219" s="22"/>
    </row>
    <row r="220" spans="1:256" s="64" customFormat="1" ht="15" customHeight="1">
      <c r="A220" s="25" t="s">
        <v>1270</v>
      </c>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2"/>
      <c r="BA220" s="22"/>
      <c r="BB220" s="22"/>
      <c r="BC220" s="22"/>
      <c r="BD220" s="22"/>
      <c r="BE220" s="22"/>
      <c r="BF220" s="22"/>
      <c r="BG220" s="22"/>
      <c r="BH220" s="22"/>
      <c r="BI220" s="22"/>
      <c r="BJ220" s="22"/>
      <c r="BK220" s="22"/>
      <c r="BL220" s="22"/>
      <c r="BM220" s="22"/>
      <c r="BN220" s="22"/>
      <c r="BO220" s="22"/>
      <c r="BP220" s="22"/>
      <c r="BQ220" s="22"/>
      <c r="BR220" s="22"/>
      <c r="BS220" s="22"/>
      <c r="BT220" s="22"/>
      <c r="BU220" s="22"/>
      <c r="BV220" s="22"/>
      <c r="BW220" s="22"/>
      <c r="BX220" s="22"/>
      <c r="BY220" s="22"/>
      <c r="BZ220" s="22"/>
      <c r="CA220" s="22"/>
      <c r="CB220" s="22"/>
      <c r="CC220" s="22"/>
      <c r="CD220" s="22"/>
      <c r="CE220" s="22"/>
      <c r="CF220" s="22"/>
      <c r="CG220" s="22"/>
      <c r="CH220" s="22"/>
      <c r="CI220" s="22"/>
      <c r="CJ220" s="22"/>
      <c r="CK220" s="22"/>
      <c r="CL220" s="22"/>
      <c r="CM220" s="22"/>
      <c r="CN220" s="22"/>
      <c r="CO220" s="22"/>
      <c r="CP220" s="22"/>
      <c r="CQ220" s="22"/>
      <c r="CR220" s="22"/>
      <c r="CS220" s="22"/>
      <c r="CT220" s="22"/>
      <c r="CU220" s="22"/>
      <c r="CV220" s="22"/>
      <c r="CW220" s="22"/>
      <c r="CX220" s="22"/>
      <c r="CY220" s="22"/>
      <c r="CZ220" s="22"/>
      <c r="DA220" s="22"/>
      <c r="DB220" s="22"/>
      <c r="DC220" s="22"/>
      <c r="DD220" s="22"/>
      <c r="DE220" s="22"/>
      <c r="DF220" s="22"/>
      <c r="DG220" s="22"/>
      <c r="DH220" s="22"/>
      <c r="DI220" s="22"/>
      <c r="DJ220" s="22"/>
      <c r="DK220" s="22"/>
      <c r="DL220" s="22"/>
      <c r="DM220" s="22"/>
      <c r="DN220" s="22"/>
      <c r="DO220" s="22"/>
      <c r="DP220" s="22"/>
      <c r="DQ220" s="22"/>
      <c r="DR220" s="22"/>
      <c r="DS220" s="22"/>
      <c r="DT220" s="22"/>
      <c r="DU220" s="22"/>
      <c r="DV220" s="22"/>
      <c r="DW220" s="22"/>
      <c r="DX220" s="22"/>
      <c r="DY220" s="22"/>
      <c r="DZ220" s="22"/>
      <c r="EA220" s="22"/>
      <c r="EB220" s="22"/>
      <c r="EC220" s="22"/>
      <c r="ED220" s="22"/>
      <c r="EE220" s="22"/>
      <c r="EF220" s="22"/>
      <c r="EG220" s="22"/>
      <c r="EH220" s="22"/>
      <c r="EI220" s="22"/>
      <c r="EJ220" s="22"/>
      <c r="EK220" s="22"/>
      <c r="EL220" s="22"/>
      <c r="EM220" s="22"/>
      <c r="EN220" s="22"/>
      <c r="EO220" s="22"/>
      <c r="EP220" s="22"/>
      <c r="EQ220" s="22"/>
      <c r="ER220" s="22"/>
      <c r="ES220" s="22"/>
      <c r="ET220" s="22"/>
      <c r="EU220" s="22"/>
      <c r="EV220" s="22"/>
      <c r="EW220" s="22"/>
      <c r="EX220" s="22"/>
      <c r="EY220" s="22"/>
      <c r="EZ220" s="22"/>
      <c r="FA220" s="22"/>
      <c r="FB220" s="22"/>
      <c r="FC220" s="22"/>
      <c r="FD220" s="22"/>
      <c r="FE220" s="22"/>
      <c r="FF220" s="22"/>
      <c r="FG220" s="22"/>
      <c r="FH220" s="22"/>
      <c r="FI220" s="22"/>
      <c r="FJ220" s="22"/>
      <c r="FK220" s="22"/>
      <c r="FL220" s="22"/>
      <c r="FM220" s="22"/>
      <c r="FN220" s="22"/>
      <c r="FO220" s="22"/>
      <c r="FP220" s="22"/>
      <c r="FQ220" s="22"/>
      <c r="FR220" s="22"/>
      <c r="FS220" s="22"/>
      <c r="FT220" s="22"/>
      <c r="FU220" s="22"/>
      <c r="FV220" s="22"/>
      <c r="FW220" s="22"/>
      <c r="FX220" s="22"/>
      <c r="FY220" s="22"/>
      <c r="FZ220" s="22"/>
      <c r="GA220" s="22"/>
      <c r="GB220" s="22"/>
      <c r="GC220" s="22"/>
      <c r="GD220" s="22"/>
      <c r="GE220" s="22"/>
      <c r="GF220" s="22"/>
      <c r="GG220" s="22"/>
      <c r="GH220" s="22"/>
      <c r="GI220" s="22"/>
      <c r="GJ220" s="22"/>
      <c r="GK220" s="22"/>
      <c r="GL220" s="22"/>
      <c r="GM220" s="22"/>
      <c r="GN220" s="22"/>
      <c r="GO220" s="22"/>
      <c r="GP220" s="22"/>
      <c r="GQ220" s="22"/>
      <c r="GR220" s="22"/>
      <c r="GS220" s="22"/>
      <c r="GT220" s="22"/>
      <c r="GU220" s="22"/>
      <c r="GV220" s="22"/>
      <c r="GW220" s="22"/>
      <c r="GX220" s="22"/>
      <c r="GY220" s="22"/>
      <c r="GZ220" s="22"/>
      <c r="HA220" s="22"/>
      <c r="HB220" s="22"/>
      <c r="HC220" s="22"/>
      <c r="HD220" s="22"/>
      <c r="HE220" s="22"/>
      <c r="HF220" s="22"/>
      <c r="HG220" s="22"/>
      <c r="HH220" s="22"/>
      <c r="HI220" s="22"/>
      <c r="HJ220" s="22"/>
      <c r="HK220" s="22"/>
      <c r="HL220" s="22"/>
      <c r="HM220" s="22"/>
      <c r="HN220" s="22"/>
      <c r="HO220" s="22"/>
      <c r="HP220" s="22"/>
      <c r="HQ220" s="22"/>
      <c r="HR220" s="22"/>
      <c r="HS220" s="22"/>
      <c r="HT220" s="22"/>
      <c r="HU220" s="22"/>
      <c r="HV220" s="22"/>
      <c r="HW220" s="22"/>
      <c r="HX220" s="22"/>
      <c r="HY220" s="22"/>
      <c r="HZ220" s="22"/>
      <c r="IA220" s="22"/>
      <c r="IB220" s="22"/>
      <c r="IC220" s="22"/>
      <c r="ID220" s="22"/>
      <c r="IE220" s="22"/>
      <c r="IF220" s="22"/>
      <c r="IG220" s="22"/>
      <c r="IH220" s="22"/>
      <c r="II220" s="22"/>
      <c r="IJ220" s="22"/>
      <c r="IK220" s="22"/>
      <c r="IL220" s="22"/>
      <c r="IM220" s="22"/>
      <c r="IN220" s="22"/>
      <c r="IO220" s="22"/>
      <c r="IP220" s="22"/>
      <c r="IQ220" s="22"/>
      <c r="IR220" s="22"/>
      <c r="IS220" s="22"/>
      <c r="IT220" s="22"/>
      <c r="IU220" s="22"/>
      <c r="IV220" s="22"/>
    </row>
    <row r="221" spans="1:256" s="64" customFormat="1" ht="15" customHeight="1">
      <c r="A221" s="25" t="s">
        <v>1271</v>
      </c>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c r="AZ221" s="22"/>
      <c r="BA221" s="22"/>
      <c r="BB221" s="22"/>
      <c r="BC221" s="22"/>
      <c r="BD221" s="22"/>
      <c r="BE221" s="22"/>
      <c r="BF221" s="22"/>
      <c r="BG221" s="22"/>
      <c r="BH221" s="22"/>
      <c r="BI221" s="22"/>
      <c r="BJ221" s="22"/>
      <c r="BK221" s="22"/>
      <c r="BL221" s="22"/>
      <c r="BM221" s="22"/>
      <c r="BN221" s="22"/>
      <c r="BO221" s="22"/>
      <c r="BP221" s="22"/>
      <c r="BQ221" s="22"/>
      <c r="BR221" s="22"/>
      <c r="BS221" s="22"/>
      <c r="BT221" s="22"/>
      <c r="BU221" s="22"/>
      <c r="BV221" s="22"/>
      <c r="BW221" s="22"/>
      <c r="BX221" s="22"/>
      <c r="BY221" s="22"/>
      <c r="BZ221" s="22"/>
      <c r="CA221" s="22"/>
      <c r="CB221" s="22"/>
      <c r="CC221" s="22"/>
      <c r="CD221" s="22"/>
      <c r="CE221" s="22"/>
      <c r="CF221" s="22"/>
      <c r="CG221" s="22"/>
      <c r="CH221" s="22"/>
      <c r="CI221" s="22"/>
      <c r="CJ221" s="22"/>
      <c r="CK221" s="22"/>
      <c r="CL221" s="22"/>
      <c r="CM221" s="22"/>
      <c r="CN221" s="22"/>
      <c r="CO221" s="22"/>
      <c r="CP221" s="22"/>
      <c r="CQ221" s="22"/>
      <c r="CR221" s="22"/>
      <c r="CS221" s="22"/>
      <c r="CT221" s="22"/>
      <c r="CU221" s="22"/>
      <c r="CV221" s="22"/>
      <c r="CW221" s="22"/>
      <c r="CX221" s="22"/>
      <c r="CY221" s="22"/>
      <c r="CZ221" s="22"/>
      <c r="DA221" s="22"/>
      <c r="DB221" s="22"/>
      <c r="DC221" s="22"/>
      <c r="DD221" s="22"/>
      <c r="DE221" s="22"/>
      <c r="DF221" s="22"/>
      <c r="DG221" s="22"/>
      <c r="DH221" s="22"/>
      <c r="DI221" s="22"/>
      <c r="DJ221" s="22"/>
      <c r="DK221" s="22"/>
      <c r="DL221" s="22"/>
      <c r="DM221" s="22"/>
      <c r="DN221" s="22"/>
      <c r="DO221" s="22"/>
      <c r="DP221" s="22"/>
      <c r="DQ221" s="22"/>
      <c r="DR221" s="22"/>
      <c r="DS221" s="22"/>
      <c r="DT221" s="22"/>
      <c r="DU221" s="22"/>
      <c r="DV221" s="22"/>
      <c r="DW221" s="22"/>
      <c r="DX221" s="22"/>
      <c r="DY221" s="22"/>
      <c r="DZ221" s="22"/>
      <c r="EA221" s="22"/>
      <c r="EB221" s="22"/>
      <c r="EC221" s="22"/>
      <c r="ED221" s="22"/>
      <c r="EE221" s="22"/>
      <c r="EF221" s="22"/>
      <c r="EG221" s="22"/>
      <c r="EH221" s="22"/>
      <c r="EI221" s="22"/>
      <c r="EJ221" s="22"/>
      <c r="EK221" s="22"/>
      <c r="EL221" s="22"/>
      <c r="EM221" s="22"/>
      <c r="EN221" s="22"/>
      <c r="EO221" s="22"/>
      <c r="EP221" s="22"/>
      <c r="EQ221" s="22"/>
      <c r="ER221" s="22"/>
      <c r="ES221" s="22"/>
      <c r="ET221" s="22"/>
      <c r="EU221" s="22"/>
      <c r="EV221" s="22"/>
      <c r="EW221" s="22"/>
      <c r="EX221" s="22"/>
      <c r="EY221" s="22"/>
      <c r="EZ221" s="22"/>
      <c r="FA221" s="22"/>
      <c r="FB221" s="22"/>
      <c r="FC221" s="22"/>
      <c r="FD221" s="22"/>
      <c r="FE221" s="22"/>
      <c r="FF221" s="22"/>
      <c r="FG221" s="22"/>
      <c r="FH221" s="22"/>
      <c r="FI221" s="22"/>
      <c r="FJ221" s="22"/>
      <c r="FK221" s="22"/>
      <c r="FL221" s="22"/>
      <c r="FM221" s="22"/>
      <c r="FN221" s="22"/>
      <c r="FO221" s="22"/>
      <c r="FP221" s="22"/>
      <c r="FQ221" s="22"/>
      <c r="FR221" s="22"/>
      <c r="FS221" s="22"/>
      <c r="FT221" s="22"/>
      <c r="FU221" s="22"/>
      <c r="FV221" s="22"/>
      <c r="FW221" s="22"/>
      <c r="FX221" s="22"/>
      <c r="FY221" s="22"/>
      <c r="FZ221" s="22"/>
      <c r="GA221" s="22"/>
      <c r="GB221" s="22"/>
      <c r="GC221" s="22"/>
      <c r="GD221" s="22"/>
      <c r="GE221" s="22"/>
      <c r="GF221" s="22"/>
      <c r="GG221" s="22"/>
      <c r="GH221" s="22"/>
      <c r="GI221" s="22"/>
      <c r="GJ221" s="22"/>
      <c r="GK221" s="22"/>
      <c r="GL221" s="22"/>
      <c r="GM221" s="22"/>
      <c r="GN221" s="22"/>
      <c r="GO221" s="22"/>
      <c r="GP221" s="22"/>
      <c r="GQ221" s="22"/>
      <c r="GR221" s="22"/>
      <c r="GS221" s="22"/>
      <c r="GT221" s="22"/>
      <c r="GU221" s="22"/>
      <c r="GV221" s="22"/>
      <c r="GW221" s="22"/>
      <c r="GX221" s="22"/>
      <c r="GY221" s="22"/>
      <c r="GZ221" s="22"/>
      <c r="HA221" s="22"/>
      <c r="HB221" s="22"/>
      <c r="HC221" s="22"/>
      <c r="HD221" s="22"/>
      <c r="HE221" s="22"/>
      <c r="HF221" s="22"/>
      <c r="HG221" s="22"/>
      <c r="HH221" s="22"/>
      <c r="HI221" s="22"/>
      <c r="HJ221" s="22"/>
      <c r="HK221" s="22"/>
      <c r="HL221" s="22"/>
      <c r="HM221" s="22"/>
      <c r="HN221" s="22"/>
      <c r="HO221" s="22"/>
      <c r="HP221" s="22"/>
      <c r="HQ221" s="22"/>
      <c r="HR221" s="22"/>
      <c r="HS221" s="22"/>
      <c r="HT221" s="22"/>
      <c r="HU221" s="22"/>
      <c r="HV221" s="22"/>
      <c r="HW221" s="22"/>
      <c r="HX221" s="22"/>
      <c r="HY221" s="22"/>
      <c r="HZ221" s="22"/>
      <c r="IA221" s="22"/>
      <c r="IB221" s="22"/>
      <c r="IC221" s="22"/>
      <c r="ID221" s="22"/>
      <c r="IE221" s="22"/>
      <c r="IF221" s="22"/>
      <c r="IG221" s="22"/>
      <c r="IH221" s="22"/>
      <c r="II221" s="22"/>
      <c r="IJ221" s="22"/>
      <c r="IK221" s="22"/>
      <c r="IL221" s="22"/>
      <c r="IM221" s="22"/>
      <c r="IN221" s="22"/>
      <c r="IO221" s="22"/>
      <c r="IP221" s="22"/>
      <c r="IQ221" s="22"/>
      <c r="IR221" s="22"/>
      <c r="IS221" s="22"/>
      <c r="IT221" s="22"/>
      <c r="IU221" s="22"/>
      <c r="IV221" s="22"/>
    </row>
    <row r="222" spans="1:256" s="64" customFormat="1" ht="15" customHeight="1">
      <c r="A222" s="25" t="s">
        <v>1272</v>
      </c>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c r="AZ222" s="22"/>
      <c r="BA222" s="22"/>
      <c r="BB222" s="22"/>
      <c r="BC222" s="22"/>
      <c r="BD222" s="22"/>
      <c r="BE222" s="22"/>
      <c r="BF222" s="22"/>
      <c r="BG222" s="22"/>
      <c r="BH222" s="22"/>
      <c r="BI222" s="22"/>
      <c r="BJ222" s="22"/>
      <c r="BK222" s="22"/>
      <c r="BL222" s="22"/>
      <c r="BM222" s="22"/>
      <c r="BN222" s="22"/>
      <c r="BO222" s="22"/>
      <c r="BP222" s="22"/>
      <c r="BQ222" s="22"/>
      <c r="BR222" s="22"/>
      <c r="BS222" s="22"/>
      <c r="BT222" s="22"/>
      <c r="BU222" s="22"/>
      <c r="BV222" s="22"/>
      <c r="BW222" s="22"/>
      <c r="BX222" s="22"/>
      <c r="BY222" s="22"/>
      <c r="BZ222" s="22"/>
      <c r="CA222" s="22"/>
      <c r="CB222" s="22"/>
      <c r="CC222" s="22"/>
      <c r="CD222" s="22"/>
      <c r="CE222" s="22"/>
      <c r="CF222" s="22"/>
      <c r="CG222" s="22"/>
      <c r="CH222" s="22"/>
      <c r="CI222" s="22"/>
      <c r="CJ222" s="22"/>
      <c r="CK222" s="22"/>
      <c r="CL222" s="22"/>
      <c r="CM222" s="22"/>
      <c r="CN222" s="22"/>
      <c r="CO222" s="22"/>
      <c r="CP222" s="22"/>
      <c r="CQ222" s="22"/>
      <c r="CR222" s="22"/>
      <c r="CS222" s="22"/>
      <c r="CT222" s="22"/>
      <c r="CU222" s="22"/>
      <c r="CV222" s="22"/>
      <c r="CW222" s="22"/>
      <c r="CX222" s="22"/>
      <c r="CY222" s="22"/>
      <c r="CZ222" s="22"/>
      <c r="DA222" s="22"/>
      <c r="DB222" s="22"/>
      <c r="DC222" s="22"/>
      <c r="DD222" s="22"/>
      <c r="DE222" s="22"/>
      <c r="DF222" s="22"/>
      <c r="DG222" s="22"/>
      <c r="DH222" s="22"/>
      <c r="DI222" s="22"/>
      <c r="DJ222" s="22"/>
      <c r="DK222" s="22"/>
      <c r="DL222" s="22"/>
      <c r="DM222" s="22"/>
      <c r="DN222" s="22"/>
      <c r="DO222" s="22"/>
      <c r="DP222" s="22"/>
      <c r="DQ222" s="22"/>
      <c r="DR222" s="22"/>
      <c r="DS222" s="22"/>
      <c r="DT222" s="22"/>
      <c r="DU222" s="22"/>
      <c r="DV222" s="22"/>
      <c r="DW222" s="22"/>
      <c r="DX222" s="22"/>
      <c r="DY222" s="22"/>
      <c r="DZ222" s="22"/>
      <c r="EA222" s="22"/>
      <c r="EB222" s="22"/>
      <c r="EC222" s="22"/>
      <c r="ED222" s="22"/>
      <c r="EE222" s="22"/>
      <c r="EF222" s="22"/>
      <c r="EG222" s="22"/>
      <c r="EH222" s="22"/>
      <c r="EI222" s="22"/>
      <c r="EJ222" s="22"/>
      <c r="EK222" s="22"/>
      <c r="EL222" s="22"/>
      <c r="EM222" s="22"/>
      <c r="EN222" s="22"/>
      <c r="EO222" s="22"/>
      <c r="EP222" s="22"/>
      <c r="EQ222" s="22"/>
      <c r="ER222" s="22"/>
      <c r="ES222" s="22"/>
      <c r="ET222" s="22"/>
      <c r="EU222" s="22"/>
      <c r="EV222" s="22"/>
      <c r="EW222" s="22"/>
      <c r="EX222" s="22"/>
      <c r="EY222" s="22"/>
      <c r="EZ222" s="22"/>
      <c r="FA222" s="22"/>
      <c r="FB222" s="22"/>
      <c r="FC222" s="22"/>
      <c r="FD222" s="22"/>
      <c r="FE222" s="22"/>
      <c r="FF222" s="22"/>
      <c r="FG222" s="22"/>
      <c r="FH222" s="22"/>
      <c r="FI222" s="22"/>
      <c r="FJ222" s="22"/>
      <c r="FK222" s="22"/>
      <c r="FL222" s="22"/>
      <c r="FM222" s="22"/>
      <c r="FN222" s="22"/>
      <c r="FO222" s="22"/>
      <c r="FP222" s="22"/>
      <c r="FQ222" s="22"/>
      <c r="FR222" s="22"/>
      <c r="FS222" s="22"/>
      <c r="FT222" s="22"/>
      <c r="FU222" s="22"/>
      <c r="FV222" s="22"/>
      <c r="FW222" s="22"/>
      <c r="FX222" s="22"/>
      <c r="FY222" s="22"/>
      <c r="FZ222" s="22"/>
      <c r="GA222" s="22"/>
      <c r="GB222" s="22"/>
      <c r="GC222" s="22"/>
      <c r="GD222" s="22"/>
      <c r="GE222" s="22"/>
      <c r="GF222" s="22"/>
      <c r="GG222" s="22"/>
      <c r="GH222" s="22"/>
      <c r="GI222" s="22"/>
      <c r="GJ222" s="22"/>
      <c r="GK222" s="22"/>
      <c r="GL222" s="22"/>
      <c r="GM222" s="22"/>
      <c r="GN222" s="22"/>
      <c r="GO222" s="22"/>
      <c r="GP222" s="22"/>
      <c r="GQ222" s="22"/>
      <c r="GR222" s="22"/>
      <c r="GS222" s="22"/>
      <c r="GT222" s="22"/>
      <c r="GU222" s="22"/>
      <c r="GV222" s="22"/>
      <c r="GW222" s="22"/>
      <c r="GX222" s="22"/>
      <c r="GY222" s="22"/>
      <c r="GZ222" s="22"/>
      <c r="HA222" s="22"/>
      <c r="HB222" s="22"/>
      <c r="HC222" s="22"/>
      <c r="HD222" s="22"/>
      <c r="HE222" s="22"/>
      <c r="HF222" s="22"/>
      <c r="HG222" s="22"/>
      <c r="HH222" s="22"/>
      <c r="HI222" s="22"/>
      <c r="HJ222" s="22"/>
      <c r="HK222" s="22"/>
      <c r="HL222" s="22"/>
      <c r="HM222" s="22"/>
      <c r="HN222" s="22"/>
      <c r="HO222" s="22"/>
      <c r="HP222" s="22"/>
      <c r="HQ222" s="22"/>
      <c r="HR222" s="22"/>
      <c r="HS222" s="22"/>
      <c r="HT222" s="22"/>
      <c r="HU222" s="22"/>
      <c r="HV222" s="22"/>
      <c r="HW222" s="22"/>
      <c r="HX222" s="22"/>
      <c r="HY222" s="22"/>
      <c r="HZ222" s="22"/>
      <c r="IA222" s="22"/>
      <c r="IB222" s="22"/>
      <c r="IC222" s="22"/>
      <c r="ID222" s="22"/>
      <c r="IE222" s="22"/>
      <c r="IF222" s="22"/>
      <c r="IG222" s="22"/>
      <c r="IH222" s="22"/>
      <c r="II222" s="22"/>
      <c r="IJ222" s="22"/>
      <c r="IK222" s="22"/>
      <c r="IL222" s="22"/>
      <c r="IM222" s="22"/>
      <c r="IN222" s="22"/>
      <c r="IO222" s="22"/>
      <c r="IP222" s="22"/>
      <c r="IQ222" s="22"/>
      <c r="IR222" s="22"/>
      <c r="IS222" s="22"/>
      <c r="IT222" s="22"/>
      <c r="IU222" s="22"/>
      <c r="IV222" s="22"/>
    </row>
    <row r="223" spans="1:256" s="64" customFormat="1" ht="15" customHeight="1">
      <c r="A223" s="25" t="s">
        <v>936</v>
      </c>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c r="AZ223" s="22"/>
      <c r="BA223" s="22"/>
      <c r="BB223" s="22"/>
      <c r="BC223" s="22"/>
      <c r="BD223" s="22"/>
      <c r="BE223" s="22"/>
      <c r="BF223" s="22"/>
      <c r="BG223" s="22"/>
      <c r="BH223" s="22"/>
      <c r="BI223" s="22"/>
      <c r="BJ223" s="22"/>
      <c r="BK223" s="22"/>
      <c r="BL223" s="22"/>
      <c r="BM223" s="22"/>
      <c r="BN223" s="22"/>
      <c r="BO223" s="22"/>
      <c r="BP223" s="22"/>
      <c r="BQ223" s="22"/>
      <c r="BR223" s="22"/>
      <c r="BS223" s="22"/>
      <c r="BT223" s="22"/>
      <c r="BU223" s="22"/>
      <c r="BV223" s="22"/>
      <c r="BW223" s="22"/>
      <c r="BX223" s="22"/>
      <c r="BY223" s="22"/>
      <c r="BZ223" s="22"/>
      <c r="CA223" s="22"/>
      <c r="CB223" s="22"/>
      <c r="CC223" s="22"/>
      <c r="CD223" s="22"/>
      <c r="CE223" s="22"/>
      <c r="CF223" s="22"/>
      <c r="CG223" s="22"/>
      <c r="CH223" s="22"/>
      <c r="CI223" s="22"/>
      <c r="CJ223" s="22"/>
      <c r="CK223" s="22"/>
      <c r="CL223" s="22"/>
      <c r="CM223" s="22"/>
      <c r="CN223" s="22"/>
      <c r="CO223" s="22"/>
      <c r="CP223" s="22"/>
      <c r="CQ223" s="22"/>
      <c r="CR223" s="22"/>
      <c r="CS223" s="22"/>
      <c r="CT223" s="22"/>
      <c r="CU223" s="22"/>
      <c r="CV223" s="22"/>
      <c r="CW223" s="22"/>
      <c r="CX223" s="22"/>
      <c r="CY223" s="22"/>
      <c r="CZ223" s="22"/>
      <c r="DA223" s="22"/>
      <c r="DB223" s="22"/>
      <c r="DC223" s="22"/>
      <c r="DD223" s="22"/>
      <c r="DE223" s="22"/>
      <c r="DF223" s="22"/>
      <c r="DG223" s="22"/>
      <c r="DH223" s="22"/>
      <c r="DI223" s="22"/>
      <c r="DJ223" s="22"/>
      <c r="DK223" s="22"/>
      <c r="DL223" s="22"/>
      <c r="DM223" s="22"/>
      <c r="DN223" s="22"/>
      <c r="DO223" s="22"/>
      <c r="DP223" s="22"/>
      <c r="DQ223" s="22"/>
      <c r="DR223" s="22"/>
      <c r="DS223" s="22"/>
      <c r="DT223" s="22"/>
      <c r="DU223" s="22"/>
      <c r="DV223" s="22"/>
      <c r="DW223" s="22"/>
      <c r="DX223" s="22"/>
      <c r="DY223" s="22"/>
      <c r="DZ223" s="22"/>
      <c r="EA223" s="22"/>
      <c r="EB223" s="22"/>
      <c r="EC223" s="22"/>
      <c r="ED223" s="22"/>
      <c r="EE223" s="22"/>
      <c r="EF223" s="22"/>
      <c r="EG223" s="22"/>
      <c r="EH223" s="22"/>
      <c r="EI223" s="22"/>
      <c r="EJ223" s="22"/>
      <c r="EK223" s="22"/>
      <c r="EL223" s="22"/>
      <c r="EM223" s="22"/>
      <c r="EN223" s="22"/>
      <c r="EO223" s="22"/>
      <c r="EP223" s="22"/>
      <c r="EQ223" s="22"/>
      <c r="ER223" s="22"/>
      <c r="ES223" s="22"/>
      <c r="ET223" s="22"/>
      <c r="EU223" s="22"/>
      <c r="EV223" s="22"/>
      <c r="EW223" s="22"/>
      <c r="EX223" s="22"/>
      <c r="EY223" s="22"/>
      <c r="EZ223" s="22"/>
      <c r="FA223" s="22"/>
      <c r="FB223" s="22"/>
      <c r="FC223" s="22"/>
      <c r="FD223" s="22"/>
      <c r="FE223" s="22"/>
      <c r="FF223" s="22"/>
      <c r="FG223" s="22"/>
      <c r="FH223" s="22"/>
      <c r="FI223" s="22"/>
      <c r="FJ223" s="22"/>
      <c r="FK223" s="22"/>
      <c r="FL223" s="22"/>
      <c r="FM223" s="22"/>
      <c r="FN223" s="22"/>
      <c r="FO223" s="22"/>
      <c r="FP223" s="22"/>
      <c r="FQ223" s="22"/>
      <c r="FR223" s="22"/>
      <c r="FS223" s="22"/>
      <c r="FT223" s="22"/>
      <c r="FU223" s="22"/>
      <c r="FV223" s="22"/>
      <c r="FW223" s="22"/>
      <c r="FX223" s="22"/>
      <c r="FY223" s="22"/>
      <c r="FZ223" s="22"/>
      <c r="GA223" s="22"/>
      <c r="GB223" s="22"/>
      <c r="GC223" s="22"/>
      <c r="GD223" s="22"/>
      <c r="GE223" s="22"/>
      <c r="GF223" s="22"/>
      <c r="GG223" s="22"/>
      <c r="GH223" s="22"/>
      <c r="GI223" s="22"/>
      <c r="GJ223" s="22"/>
      <c r="GK223" s="22"/>
      <c r="GL223" s="22"/>
      <c r="GM223" s="22"/>
      <c r="GN223" s="22"/>
      <c r="GO223" s="22"/>
      <c r="GP223" s="22"/>
      <c r="GQ223" s="22"/>
      <c r="GR223" s="22"/>
      <c r="GS223" s="22"/>
      <c r="GT223" s="22"/>
      <c r="GU223" s="22"/>
      <c r="GV223" s="22"/>
      <c r="GW223" s="22"/>
      <c r="GX223" s="22"/>
      <c r="GY223" s="22"/>
      <c r="GZ223" s="22"/>
      <c r="HA223" s="22"/>
      <c r="HB223" s="22"/>
      <c r="HC223" s="22"/>
      <c r="HD223" s="22"/>
      <c r="HE223" s="22"/>
      <c r="HF223" s="22"/>
      <c r="HG223" s="22"/>
      <c r="HH223" s="22"/>
      <c r="HI223" s="22"/>
      <c r="HJ223" s="22"/>
      <c r="HK223" s="22"/>
      <c r="HL223" s="22"/>
      <c r="HM223" s="22"/>
      <c r="HN223" s="22"/>
      <c r="HO223" s="22"/>
      <c r="HP223" s="22"/>
      <c r="HQ223" s="22"/>
      <c r="HR223" s="22"/>
      <c r="HS223" s="22"/>
      <c r="HT223" s="22"/>
      <c r="HU223" s="22"/>
      <c r="HV223" s="22"/>
      <c r="HW223" s="22"/>
      <c r="HX223" s="22"/>
      <c r="HY223" s="22"/>
      <c r="HZ223" s="22"/>
      <c r="IA223" s="22"/>
      <c r="IB223" s="22"/>
      <c r="IC223" s="22"/>
      <c r="ID223" s="22"/>
      <c r="IE223" s="22"/>
      <c r="IF223" s="22"/>
      <c r="IG223" s="22"/>
      <c r="IH223" s="22"/>
      <c r="II223" s="22"/>
      <c r="IJ223" s="22"/>
      <c r="IK223" s="22"/>
      <c r="IL223" s="22"/>
      <c r="IM223" s="22"/>
      <c r="IN223" s="22"/>
      <c r="IO223" s="22"/>
      <c r="IP223" s="22"/>
      <c r="IQ223" s="22"/>
      <c r="IR223" s="22"/>
      <c r="IS223" s="22"/>
      <c r="IT223" s="22"/>
      <c r="IU223" s="22"/>
      <c r="IV223" s="22"/>
    </row>
    <row r="224" spans="1:256" s="64" customFormat="1" ht="15" customHeight="1">
      <c r="A224" s="25" t="s">
        <v>915</v>
      </c>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c r="AZ224" s="22"/>
      <c r="BA224" s="22"/>
      <c r="BB224" s="22"/>
      <c r="BC224" s="22"/>
      <c r="BD224" s="22"/>
      <c r="BE224" s="22"/>
      <c r="BF224" s="22"/>
      <c r="BG224" s="22"/>
      <c r="BH224" s="22"/>
      <c r="BI224" s="22"/>
      <c r="BJ224" s="22"/>
      <c r="BK224" s="22"/>
      <c r="BL224" s="22"/>
      <c r="BM224" s="22"/>
      <c r="BN224" s="22"/>
      <c r="BO224" s="22"/>
      <c r="BP224" s="22"/>
      <c r="BQ224" s="22"/>
      <c r="BR224" s="22"/>
      <c r="BS224" s="22"/>
      <c r="BT224" s="22"/>
      <c r="BU224" s="22"/>
      <c r="BV224" s="22"/>
      <c r="BW224" s="22"/>
      <c r="BX224" s="22"/>
      <c r="BY224" s="22"/>
      <c r="BZ224" s="22"/>
      <c r="CA224" s="22"/>
      <c r="CB224" s="22"/>
      <c r="CC224" s="22"/>
      <c r="CD224" s="22"/>
      <c r="CE224" s="22"/>
      <c r="CF224" s="22"/>
      <c r="CG224" s="22"/>
      <c r="CH224" s="22"/>
      <c r="CI224" s="22"/>
      <c r="CJ224" s="22"/>
      <c r="CK224" s="22"/>
      <c r="CL224" s="22"/>
      <c r="CM224" s="22"/>
      <c r="CN224" s="22"/>
      <c r="CO224" s="22"/>
      <c r="CP224" s="22"/>
      <c r="CQ224" s="22"/>
      <c r="CR224" s="22"/>
      <c r="CS224" s="22"/>
      <c r="CT224" s="22"/>
      <c r="CU224" s="22"/>
      <c r="CV224" s="22"/>
      <c r="CW224" s="22"/>
      <c r="CX224" s="22"/>
      <c r="CY224" s="22"/>
      <c r="CZ224" s="22"/>
      <c r="DA224" s="22"/>
      <c r="DB224" s="22"/>
      <c r="DC224" s="22"/>
      <c r="DD224" s="22"/>
      <c r="DE224" s="22"/>
      <c r="DF224" s="22"/>
      <c r="DG224" s="22"/>
      <c r="DH224" s="22"/>
      <c r="DI224" s="22"/>
      <c r="DJ224" s="22"/>
      <c r="DK224" s="22"/>
      <c r="DL224" s="22"/>
      <c r="DM224" s="22"/>
      <c r="DN224" s="22"/>
      <c r="DO224" s="22"/>
      <c r="DP224" s="22"/>
      <c r="DQ224" s="22"/>
      <c r="DR224" s="22"/>
      <c r="DS224" s="22"/>
      <c r="DT224" s="22"/>
      <c r="DU224" s="22"/>
      <c r="DV224" s="22"/>
      <c r="DW224" s="22"/>
      <c r="DX224" s="22"/>
      <c r="DY224" s="22"/>
      <c r="DZ224" s="22"/>
      <c r="EA224" s="22"/>
      <c r="EB224" s="22"/>
      <c r="EC224" s="22"/>
      <c r="ED224" s="22"/>
      <c r="EE224" s="22"/>
      <c r="EF224" s="22"/>
      <c r="EG224" s="22"/>
      <c r="EH224" s="22"/>
      <c r="EI224" s="22"/>
      <c r="EJ224" s="22"/>
      <c r="EK224" s="22"/>
      <c r="EL224" s="22"/>
      <c r="EM224" s="22"/>
      <c r="EN224" s="22"/>
      <c r="EO224" s="22"/>
      <c r="EP224" s="22"/>
      <c r="EQ224" s="22"/>
      <c r="ER224" s="22"/>
      <c r="ES224" s="22"/>
      <c r="ET224" s="22"/>
      <c r="EU224" s="22"/>
      <c r="EV224" s="22"/>
      <c r="EW224" s="22"/>
      <c r="EX224" s="22"/>
      <c r="EY224" s="22"/>
      <c r="EZ224" s="22"/>
      <c r="FA224" s="22"/>
      <c r="FB224" s="22"/>
      <c r="FC224" s="22"/>
      <c r="FD224" s="22"/>
      <c r="FE224" s="22"/>
      <c r="FF224" s="22"/>
      <c r="FG224" s="22"/>
      <c r="FH224" s="22"/>
      <c r="FI224" s="22"/>
      <c r="FJ224" s="22"/>
      <c r="FK224" s="22"/>
      <c r="FL224" s="22"/>
      <c r="FM224" s="22"/>
      <c r="FN224" s="22"/>
      <c r="FO224" s="22"/>
      <c r="FP224" s="22"/>
      <c r="FQ224" s="22"/>
      <c r="FR224" s="22"/>
      <c r="FS224" s="22"/>
      <c r="FT224" s="22"/>
      <c r="FU224" s="22"/>
      <c r="FV224" s="22"/>
      <c r="FW224" s="22"/>
      <c r="FX224" s="22"/>
      <c r="FY224" s="22"/>
      <c r="FZ224" s="22"/>
      <c r="GA224" s="22"/>
      <c r="GB224" s="22"/>
      <c r="GC224" s="22"/>
      <c r="GD224" s="22"/>
      <c r="GE224" s="22"/>
      <c r="GF224" s="22"/>
      <c r="GG224" s="22"/>
      <c r="GH224" s="22"/>
      <c r="GI224" s="22"/>
      <c r="GJ224" s="22"/>
      <c r="GK224" s="22"/>
      <c r="GL224" s="22"/>
      <c r="GM224" s="22"/>
      <c r="GN224" s="22"/>
      <c r="GO224" s="22"/>
      <c r="GP224" s="22"/>
      <c r="GQ224" s="22"/>
      <c r="GR224" s="22"/>
      <c r="GS224" s="22"/>
      <c r="GT224" s="22"/>
      <c r="GU224" s="22"/>
      <c r="GV224" s="22"/>
      <c r="GW224" s="22"/>
      <c r="GX224" s="22"/>
      <c r="GY224" s="22"/>
      <c r="GZ224" s="22"/>
      <c r="HA224" s="22"/>
      <c r="HB224" s="22"/>
      <c r="HC224" s="22"/>
      <c r="HD224" s="22"/>
      <c r="HE224" s="22"/>
      <c r="HF224" s="22"/>
      <c r="HG224" s="22"/>
      <c r="HH224" s="22"/>
      <c r="HI224" s="22"/>
      <c r="HJ224" s="22"/>
      <c r="HK224" s="22"/>
      <c r="HL224" s="22"/>
      <c r="HM224" s="22"/>
      <c r="HN224" s="22"/>
      <c r="HO224" s="22"/>
      <c r="HP224" s="22"/>
      <c r="HQ224" s="22"/>
      <c r="HR224" s="22"/>
      <c r="HS224" s="22"/>
      <c r="HT224" s="22"/>
      <c r="HU224" s="22"/>
      <c r="HV224" s="22"/>
      <c r="HW224" s="22"/>
      <c r="HX224" s="22"/>
      <c r="HY224" s="22"/>
      <c r="HZ224" s="22"/>
      <c r="IA224" s="22"/>
      <c r="IB224" s="22"/>
      <c r="IC224" s="22"/>
      <c r="ID224" s="22"/>
      <c r="IE224" s="22"/>
      <c r="IF224" s="22"/>
      <c r="IG224" s="22"/>
      <c r="IH224" s="22"/>
      <c r="II224" s="22"/>
      <c r="IJ224" s="22"/>
      <c r="IK224" s="22"/>
      <c r="IL224" s="22"/>
      <c r="IM224" s="22"/>
      <c r="IN224" s="22"/>
      <c r="IO224" s="22"/>
      <c r="IP224" s="22"/>
      <c r="IQ224" s="22"/>
      <c r="IR224" s="22"/>
      <c r="IS224" s="22"/>
      <c r="IT224" s="22"/>
      <c r="IU224" s="22"/>
      <c r="IV224" s="22"/>
    </row>
    <row r="225" spans="1:256" s="64" customFormat="1" ht="15" customHeight="1">
      <c r="A225" s="25" t="s">
        <v>937</v>
      </c>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c r="AZ225" s="22"/>
      <c r="BA225" s="22"/>
      <c r="BB225" s="22"/>
      <c r="BC225" s="22"/>
      <c r="BD225" s="22"/>
      <c r="BE225" s="22"/>
      <c r="BF225" s="22"/>
      <c r="BG225" s="22"/>
      <c r="BH225" s="22"/>
      <c r="BI225" s="22"/>
      <c r="BJ225" s="22"/>
      <c r="BK225" s="22"/>
      <c r="BL225" s="22"/>
      <c r="BM225" s="22"/>
      <c r="BN225" s="22"/>
      <c r="BO225" s="22"/>
      <c r="BP225" s="22"/>
      <c r="BQ225" s="22"/>
      <c r="BR225" s="22"/>
      <c r="BS225" s="22"/>
      <c r="BT225" s="22"/>
      <c r="BU225" s="22"/>
      <c r="BV225" s="22"/>
      <c r="BW225" s="22"/>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c r="CV225" s="22"/>
      <c r="CW225" s="22"/>
      <c r="CX225" s="22"/>
      <c r="CY225" s="22"/>
      <c r="CZ225" s="22"/>
      <c r="DA225" s="22"/>
      <c r="DB225" s="22"/>
      <c r="DC225" s="22"/>
      <c r="DD225" s="22"/>
      <c r="DE225" s="22"/>
      <c r="DF225" s="22"/>
      <c r="DG225" s="22"/>
      <c r="DH225" s="22"/>
      <c r="DI225" s="22"/>
      <c r="DJ225" s="22"/>
      <c r="DK225" s="22"/>
      <c r="DL225" s="22"/>
      <c r="DM225" s="22"/>
      <c r="DN225" s="22"/>
      <c r="DO225" s="22"/>
      <c r="DP225" s="22"/>
      <c r="DQ225" s="22"/>
      <c r="DR225" s="22"/>
      <c r="DS225" s="22"/>
      <c r="DT225" s="22"/>
      <c r="DU225" s="22"/>
      <c r="DV225" s="22"/>
      <c r="DW225" s="22"/>
      <c r="DX225" s="22"/>
      <c r="DY225" s="22"/>
      <c r="DZ225" s="22"/>
      <c r="EA225" s="22"/>
      <c r="EB225" s="22"/>
      <c r="EC225" s="22"/>
      <c r="ED225" s="22"/>
      <c r="EE225" s="22"/>
      <c r="EF225" s="22"/>
      <c r="EG225" s="22"/>
      <c r="EH225" s="22"/>
      <c r="EI225" s="22"/>
      <c r="EJ225" s="22"/>
      <c r="EK225" s="22"/>
      <c r="EL225" s="22"/>
      <c r="EM225" s="22"/>
      <c r="EN225" s="22"/>
      <c r="EO225" s="22"/>
      <c r="EP225" s="22"/>
      <c r="EQ225" s="22"/>
      <c r="ER225" s="22"/>
      <c r="ES225" s="22"/>
      <c r="ET225" s="22"/>
      <c r="EU225" s="22"/>
      <c r="EV225" s="22"/>
      <c r="EW225" s="22"/>
      <c r="EX225" s="22"/>
      <c r="EY225" s="22"/>
      <c r="EZ225" s="22"/>
      <c r="FA225" s="22"/>
      <c r="FB225" s="22"/>
      <c r="FC225" s="22"/>
      <c r="FD225" s="22"/>
      <c r="FE225" s="22"/>
      <c r="FF225" s="22"/>
      <c r="FG225" s="22"/>
      <c r="FH225" s="22"/>
      <c r="FI225" s="22"/>
      <c r="FJ225" s="22"/>
      <c r="FK225" s="22"/>
      <c r="FL225" s="22"/>
      <c r="FM225" s="22"/>
      <c r="FN225" s="22"/>
      <c r="FO225" s="22"/>
      <c r="FP225" s="22"/>
      <c r="FQ225" s="22"/>
      <c r="FR225" s="22"/>
      <c r="FS225" s="22"/>
      <c r="FT225" s="22"/>
      <c r="FU225" s="22"/>
      <c r="FV225" s="22"/>
      <c r="FW225" s="22"/>
      <c r="FX225" s="22"/>
      <c r="FY225" s="22"/>
      <c r="FZ225" s="22"/>
      <c r="GA225" s="22"/>
      <c r="GB225" s="22"/>
      <c r="GC225" s="22"/>
      <c r="GD225" s="22"/>
      <c r="GE225" s="22"/>
      <c r="GF225" s="22"/>
      <c r="GG225" s="22"/>
      <c r="GH225" s="22"/>
      <c r="GI225" s="22"/>
      <c r="GJ225" s="22"/>
      <c r="GK225" s="22"/>
      <c r="GL225" s="22"/>
      <c r="GM225" s="22"/>
      <c r="GN225" s="22"/>
      <c r="GO225" s="22"/>
      <c r="GP225" s="22"/>
      <c r="GQ225" s="22"/>
      <c r="GR225" s="22"/>
      <c r="GS225" s="22"/>
      <c r="GT225" s="22"/>
      <c r="GU225" s="22"/>
      <c r="GV225" s="22"/>
      <c r="GW225" s="22"/>
      <c r="GX225" s="22"/>
      <c r="GY225" s="22"/>
      <c r="GZ225" s="22"/>
      <c r="HA225" s="22"/>
      <c r="HB225" s="22"/>
      <c r="HC225" s="22"/>
      <c r="HD225" s="22"/>
      <c r="HE225" s="22"/>
      <c r="HF225" s="22"/>
      <c r="HG225" s="22"/>
      <c r="HH225" s="22"/>
      <c r="HI225" s="22"/>
      <c r="HJ225" s="22"/>
      <c r="HK225" s="22"/>
      <c r="HL225" s="22"/>
      <c r="HM225" s="22"/>
      <c r="HN225" s="22"/>
      <c r="HO225" s="22"/>
      <c r="HP225" s="22"/>
      <c r="HQ225" s="22"/>
      <c r="HR225" s="22"/>
      <c r="HS225" s="22"/>
      <c r="HT225" s="22"/>
      <c r="HU225" s="22"/>
      <c r="HV225" s="22"/>
      <c r="HW225" s="22"/>
      <c r="HX225" s="22"/>
      <c r="HY225" s="22"/>
      <c r="HZ225" s="22"/>
      <c r="IA225" s="22"/>
      <c r="IB225" s="22"/>
      <c r="IC225" s="22"/>
      <c r="ID225" s="22"/>
      <c r="IE225" s="22"/>
      <c r="IF225" s="22"/>
      <c r="IG225" s="22"/>
      <c r="IH225" s="22"/>
      <c r="II225" s="22"/>
      <c r="IJ225" s="22"/>
      <c r="IK225" s="22"/>
      <c r="IL225" s="22"/>
      <c r="IM225" s="22"/>
      <c r="IN225" s="22"/>
      <c r="IO225" s="22"/>
      <c r="IP225" s="22"/>
      <c r="IQ225" s="22"/>
      <c r="IR225" s="22"/>
      <c r="IS225" s="22"/>
      <c r="IT225" s="22"/>
      <c r="IU225" s="22"/>
      <c r="IV225" s="22"/>
    </row>
    <row r="226" spans="1:256" s="64" customFormat="1" ht="15" customHeight="1">
      <c r="A226" s="25" t="s">
        <v>1273</v>
      </c>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c r="AZ226" s="22"/>
      <c r="BA226" s="22"/>
      <c r="BB226" s="22"/>
      <c r="BC226" s="22"/>
      <c r="BD226" s="22"/>
      <c r="BE226" s="22"/>
      <c r="BF226" s="22"/>
      <c r="BG226" s="22"/>
      <c r="BH226" s="22"/>
      <c r="BI226" s="22"/>
      <c r="BJ226" s="22"/>
      <c r="BK226" s="22"/>
      <c r="BL226" s="22"/>
      <c r="BM226" s="22"/>
      <c r="BN226" s="22"/>
      <c r="BO226" s="22"/>
      <c r="BP226" s="22"/>
      <c r="BQ226" s="22"/>
      <c r="BR226" s="22"/>
      <c r="BS226" s="22"/>
      <c r="BT226" s="22"/>
      <c r="BU226" s="22"/>
      <c r="BV226" s="22"/>
      <c r="BW226" s="22"/>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c r="CV226" s="22"/>
      <c r="CW226" s="22"/>
      <c r="CX226" s="22"/>
      <c r="CY226" s="22"/>
      <c r="CZ226" s="22"/>
      <c r="DA226" s="22"/>
      <c r="DB226" s="22"/>
      <c r="DC226" s="22"/>
      <c r="DD226" s="22"/>
      <c r="DE226" s="22"/>
      <c r="DF226" s="22"/>
      <c r="DG226" s="22"/>
      <c r="DH226" s="22"/>
      <c r="DI226" s="22"/>
      <c r="DJ226" s="22"/>
      <c r="DK226" s="22"/>
      <c r="DL226" s="22"/>
      <c r="DM226" s="22"/>
      <c r="DN226" s="22"/>
      <c r="DO226" s="22"/>
      <c r="DP226" s="22"/>
      <c r="DQ226" s="22"/>
      <c r="DR226" s="22"/>
      <c r="DS226" s="22"/>
      <c r="DT226" s="22"/>
      <c r="DU226" s="22"/>
      <c r="DV226" s="22"/>
      <c r="DW226" s="22"/>
      <c r="DX226" s="22"/>
      <c r="DY226" s="22"/>
      <c r="DZ226" s="22"/>
      <c r="EA226" s="22"/>
      <c r="EB226" s="22"/>
      <c r="EC226" s="22"/>
      <c r="ED226" s="22"/>
      <c r="EE226" s="22"/>
      <c r="EF226" s="22"/>
      <c r="EG226" s="22"/>
      <c r="EH226" s="22"/>
      <c r="EI226" s="22"/>
      <c r="EJ226" s="22"/>
      <c r="EK226" s="22"/>
      <c r="EL226" s="22"/>
      <c r="EM226" s="22"/>
      <c r="EN226" s="22"/>
      <c r="EO226" s="22"/>
      <c r="EP226" s="22"/>
      <c r="EQ226" s="22"/>
      <c r="ER226" s="22"/>
      <c r="ES226" s="22"/>
      <c r="ET226" s="22"/>
      <c r="EU226" s="22"/>
      <c r="EV226" s="22"/>
      <c r="EW226" s="22"/>
      <c r="EX226" s="22"/>
      <c r="EY226" s="22"/>
      <c r="EZ226" s="22"/>
      <c r="FA226" s="22"/>
      <c r="FB226" s="22"/>
      <c r="FC226" s="22"/>
      <c r="FD226" s="22"/>
      <c r="FE226" s="22"/>
      <c r="FF226" s="22"/>
      <c r="FG226" s="22"/>
      <c r="FH226" s="22"/>
      <c r="FI226" s="22"/>
      <c r="FJ226" s="22"/>
      <c r="FK226" s="22"/>
      <c r="FL226" s="22"/>
      <c r="FM226" s="22"/>
      <c r="FN226" s="22"/>
      <c r="FO226" s="22"/>
      <c r="FP226" s="22"/>
      <c r="FQ226" s="22"/>
      <c r="FR226" s="22"/>
      <c r="FS226" s="22"/>
      <c r="FT226" s="22"/>
      <c r="FU226" s="22"/>
      <c r="FV226" s="22"/>
      <c r="FW226" s="22"/>
      <c r="FX226" s="22"/>
      <c r="FY226" s="22"/>
      <c r="FZ226" s="22"/>
      <c r="GA226" s="22"/>
      <c r="GB226" s="22"/>
      <c r="GC226" s="22"/>
      <c r="GD226" s="22"/>
      <c r="GE226" s="22"/>
      <c r="GF226" s="22"/>
      <c r="GG226" s="22"/>
      <c r="GH226" s="22"/>
      <c r="GI226" s="22"/>
      <c r="GJ226" s="22"/>
      <c r="GK226" s="22"/>
      <c r="GL226" s="22"/>
      <c r="GM226" s="22"/>
      <c r="GN226" s="22"/>
      <c r="GO226" s="22"/>
      <c r="GP226" s="22"/>
      <c r="GQ226" s="22"/>
      <c r="GR226" s="22"/>
      <c r="GS226" s="22"/>
      <c r="GT226" s="22"/>
      <c r="GU226" s="22"/>
      <c r="GV226" s="22"/>
      <c r="GW226" s="22"/>
      <c r="GX226" s="22"/>
      <c r="GY226" s="22"/>
      <c r="GZ226" s="22"/>
      <c r="HA226" s="22"/>
      <c r="HB226" s="22"/>
      <c r="HC226" s="22"/>
      <c r="HD226" s="22"/>
      <c r="HE226" s="22"/>
      <c r="HF226" s="22"/>
      <c r="HG226" s="22"/>
      <c r="HH226" s="22"/>
      <c r="HI226" s="22"/>
      <c r="HJ226" s="22"/>
      <c r="HK226" s="22"/>
      <c r="HL226" s="22"/>
      <c r="HM226" s="22"/>
      <c r="HN226" s="22"/>
      <c r="HO226" s="22"/>
      <c r="HP226" s="22"/>
      <c r="HQ226" s="22"/>
      <c r="HR226" s="22"/>
      <c r="HS226" s="22"/>
      <c r="HT226" s="22"/>
      <c r="HU226" s="22"/>
      <c r="HV226" s="22"/>
      <c r="HW226" s="22"/>
      <c r="HX226" s="22"/>
      <c r="HY226" s="22"/>
      <c r="HZ226" s="22"/>
      <c r="IA226" s="22"/>
      <c r="IB226" s="22"/>
      <c r="IC226" s="22"/>
      <c r="ID226" s="22"/>
      <c r="IE226" s="22"/>
      <c r="IF226" s="22"/>
      <c r="IG226" s="22"/>
      <c r="IH226" s="22"/>
      <c r="II226" s="22"/>
      <c r="IJ226" s="22"/>
      <c r="IK226" s="22"/>
      <c r="IL226" s="22"/>
      <c r="IM226" s="22"/>
      <c r="IN226" s="22"/>
      <c r="IO226" s="22"/>
      <c r="IP226" s="22"/>
      <c r="IQ226" s="22"/>
      <c r="IR226" s="22"/>
      <c r="IS226" s="22"/>
      <c r="IT226" s="22"/>
      <c r="IU226" s="22"/>
      <c r="IV226" s="22"/>
    </row>
    <row r="227" spans="1:256" s="64" customFormat="1" ht="15" customHeight="1">
      <c r="A227" s="25" t="s">
        <v>1274</v>
      </c>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c r="AZ227" s="22"/>
      <c r="BA227" s="22"/>
      <c r="BB227" s="22"/>
      <c r="BC227" s="22"/>
      <c r="BD227" s="22"/>
      <c r="BE227" s="22"/>
      <c r="BF227" s="22"/>
      <c r="BG227" s="22"/>
      <c r="BH227" s="22"/>
      <c r="BI227" s="22"/>
      <c r="BJ227" s="22"/>
      <c r="BK227" s="22"/>
      <c r="BL227" s="22"/>
      <c r="BM227" s="22"/>
      <c r="BN227" s="22"/>
      <c r="BO227" s="22"/>
      <c r="BP227" s="22"/>
      <c r="BQ227" s="22"/>
      <c r="BR227" s="22"/>
      <c r="BS227" s="22"/>
      <c r="BT227" s="22"/>
      <c r="BU227" s="22"/>
      <c r="BV227" s="22"/>
      <c r="BW227" s="22"/>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c r="CV227" s="22"/>
      <c r="CW227" s="22"/>
      <c r="CX227" s="22"/>
      <c r="CY227" s="22"/>
      <c r="CZ227" s="22"/>
      <c r="DA227" s="22"/>
      <c r="DB227" s="22"/>
      <c r="DC227" s="22"/>
      <c r="DD227" s="22"/>
      <c r="DE227" s="22"/>
      <c r="DF227" s="22"/>
      <c r="DG227" s="22"/>
      <c r="DH227" s="22"/>
      <c r="DI227" s="22"/>
      <c r="DJ227" s="22"/>
      <c r="DK227" s="22"/>
      <c r="DL227" s="22"/>
      <c r="DM227" s="22"/>
      <c r="DN227" s="22"/>
      <c r="DO227" s="22"/>
      <c r="DP227" s="22"/>
      <c r="DQ227" s="22"/>
      <c r="DR227" s="22"/>
      <c r="DS227" s="22"/>
      <c r="DT227" s="22"/>
      <c r="DU227" s="22"/>
      <c r="DV227" s="22"/>
      <c r="DW227" s="22"/>
      <c r="DX227" s="22"/>
      <c r="DY227" s="22"/>
      <c r="DZ227" s="22"/>
      <c r="EA227" s="22"/>
      <c r="EB227" s="22"/>
      <c r="EC227" s="22"/>
      <c r="ED227" s="22"/>
      <c r="EE227" s="22"/>
      <c r="EF227" s="22"/>
      <c r="EG227" s="22"/>
      <c r="EH227" s="22"/>
      <c r="EI227" s="22"/>
      <c r="EJ227" s="22"/>
      <c r="EK227" s="22"/>
      <c r="EL227" s="22"/>
      <c r="EM227" s="22"/>
      <c r="EN227" s="22"/>
      <c r="EO227" s="22"/>
      <c r="EP227" s="22"/>
      <c r="EQ227" s="22"/>
      <c r="ER227" s="22"/>
      <c r="ES227" s="22"/>
      <c r="ET227" s="22"/>
      <c r="EU227" s="22"/>
      <c r="EV227" s="22"/>
      <c r="EW227" s="22"/>
      <c r="EX227" s="22"/>
      <c r="EY227" s="22"/>
      <c r="EZ227" s="22"/>
      <c r="FA227" s="22"/>
      <c r="FB227" s="22"/>
      <c r="FC227" s="22"/>
      <c r="FD227" s="22"/>
      <c r="FE227" s="22"/>
      <c r="FF227" s="22"/>
      <c r="FG227" s="22"/>
      <c r="FH227" s="22"/>
      <c r="FI227" s="22"/>
      <c r="FJ227" s="22"/>
      <c r="FK227" s="22"/>
      <c r="FL227" s="22"/>
      <c r="FM227" s="22"/>
      <c r="FN227" s="22"/>
      <c r="FO227" s="22"/>
      <c r="FP227" s="22"/>
      <c r="FQ227" s="22"/>
      <c r="FR227" s="22"/>
      <c r="FS227" s="22"/>
      <c r="FT227" s="22"/>
      <c r="FU227" s="22"/>
      <c r="FV227" s="22"/>
      <c r="FW227" s="22"/>
      <c r="FX227" s="22"/>
      <c r="FY227" s="22"/>
      <c r="FZ227" s="22"/>
      <c r="GA227" s="22"/>
      <c r="GB227" s="22"/>
      <c r="GC227" s="22"/>
      <c r="GD227" s="22"/>
      <c r="GE227" s="22"/>
      <c r="GF227" s="22"/>
      <c r="GG227" s="22"/>
      <c r="GH227" s="22"/>
      <c r="GI227" s="22"/>
      <c r="GJ227" s="22"/>
      <c r="GK227" s="22"/>
      <c r="GL227" s="22"/>
      <c r="GM227" s="22"/>
      <c r="GN227" s="22"/>
      <c r="GO227" s="22"/>
      <c r="GP227" s="22"/>
      <c r="GQ227" s="22"/>
      <c r="GR227" s="22"/>
      <c r="GS227" s="22"/>
      <c r="GT227" s="22"/>
      <c r="GU227" s="22"/>
      <c r="GV227" s="22"/>
      <c r="GW227" s="22"/>
      <c r="GX227" s="22"/>
      <c r="GY227" s="22"/>
      <c r="GZ227" s="22"/>
      <c r="HA227" s="22"/>
      <c r="HB227" s="22"/>
      <c r="HC227" s="22"/>
      <c r="HD227" s="22"/>
      <c r="HE227" s="22"/>
      <c r="HF227" s="22"/>
      <c r="HG227" s="22"/>
      <c r="HH227" s="22"/>
      <c r="HI227" s="22"/>
      <c r="HJ227" s="22"/>
      <c r="HK227" s="22"/>
      <c r="HL227" s="22"/>
      <c r="HM227" s="22"/>
      <c r="HN227" s="22"/>
      <c r="HO227" s="22"/>
      <c r="HP227" s="22"/>
      <c r="HQ227" s="22"/>
      <c r="HR227" s="22"/>
      <c r="HS227" s="22"/>
      <c r="HT227" s="22"/>
      <c r="HU227" s="22"/>
      <c r="HV227" s="22"/>
      <c r="HW227" s="22"/>
      <c r="HX227" s="22"/>
      <c r="HY227" s="22"/>
      <c r="HZ227" s="22"/>
      <c r="IA227" s="22"/>
      <c r="IB227" s="22"/>
      <c r="IC227" s="22"/>
      <c r="ID227" s="22"/>
      <c r="IE227" s="22"/>
      <c r="IF227" s="22"/>
      <c r="IG227" s="22"/>
      <c r="IH227" s="22"/>
      <c r="II227" s="22"/>
      <c r="IJ227" s="22"/>
      <c r="IK227" s="22"/>
      <c r="IL227" s="22"/>
      <c r="IM227" s="22"/>
      <c r="IN227" s="22"/>
      <c r="IO227" s="22"/>
      <c r="IP227" s="22"/>
      <c r="IQ227" s="22"/>
      <c r="IR227" s="22"/>
      <c r="IS227" s="22"/>
      <c r="IT227" s="22"/>
      <c r="IU227" s="22"/>
      <c r="IV227" s="22"/>
    </row>
    <row r="228" spans="1:256" s="64" customFormat="1" ht="15" customHeight="1">
      <c r="A228" s="25" t="s">
        <v>914</v>
      </c>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c r="BG228" s="22"/>
      <c r="BH228" s="22"/>
      <c r="BI228" s="22"/>
      <c r="BJ228" s="22"/>
      <c r="BK228" s="22"/>
      <c r="BL228" s="22"/>
      <c r="BM228" s="22"/>
      <c r="BN228" s="22"/>
      <c r="BO228" s="22"/>
      <c r="BP228" s="22"/>
      <c r="BQ228" s="22"/>
      <c r="BR228" s="22"/>
      <c r="BS228" s="22"/>
      <c r="BT228" s="22"/>
      <c r="BU228" s="22"/>
      <c r="BV228" s="22"/>
      <c r="BW228" s="22"/>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c r="CV228" s="22"/>
      <c r="CW228" s="22"/>
      <c r="CX228" s="22"/>
      <c r="CY228" s="22"/>
      <c r="CZ228" s="22"/>
      <c r="DA228" s="22"/>
      <c r="DB228" s="22"/>
      <c r="DC228" s="22"/>
      <c r="DD228" s="22"/>
      <c r="DE228" s="22"/>
      <c r="DF228" s="22"/>
      <c r="DG228" s="22"/>
      <c r="DH228" s="22"/>
      <c r="DI228" s="22"/>
      <c r="DJ228" s="22"/>
      <c r="DK228" s="22"/>
      <c r="DL228" s="22"/>
      <c r="DM228" s="22"/>
      <c r="DN228" s="22"/>
      <c r="DO228" s="22"/>
      <c r="DP228" s="22"/>
      <c r="DQ228" s="22"/>
      <c r="DR228" s="22"/>
      <c r="DS228" s="22"/>
      <c r="DT228" s="22"/>
      <c r="DU228" s="22"/>
      <c r="DV228" s="22"/>
      <c r="DW228" s="22"/>
      <c r="DX228" s="22"/>
      <c r="DY228" s="22"/>
      <c r="DZ228" s="22"/>
      <c r="EA228" s="22"/>
      <c r="EB228" s="22"/>
      <c r="EC228" s="22"/>
      <c r="ED228" s="22"/>
      <c r="EE228" s="22"/>
      <c r="EF228" s="22"/>
      <c r="EG228" s="22"/>
      <c r="EH228" s="22"/>
      <c r="EI228" s="22"/>
      <c r="EJ228" s="22"/>
      <c r="EK228" s="22"/>
      <c r="EL228" s="22"/>
      <c r="EM228" s="22"/>
      <c r="EN228" s="22"/>
      <c r="EO228" s="22"/>
      <c r="EP228" s="22"/>
      <c r="EQ228" s="22"/>
      <c r="ER228" s="22"/>
      <c r="ES228" s="22"/>
      <c r="ET228" s="22"/>
      <c r="EU228" s="22"/>
      <c r="EV228" s="22"/>
      <c r="EW228" s="22"/>
      <c r="EX228" s="22"/>
      <c r="EY228" s="22"/>
      <c r="EZ228" s="22"/>
      <c r="FA228" s="22"/>
      <c r="FB228" s="22"/>
      <c r="FC228" s="22"/>
      <c r="FD228" s="22"/>
      <c r="FE228" s="22"/>
      <c r="FF228" s="22"/>
      <c r="FG228" s="22"/>
      <c r="FH228" s="22"/>
      <c r="FI228" s="22"/>
      <c r="FJ228" s="22"/>
      <c r="FK228" s="22"/>
      <c r="FL228" s="22"/>
      <c r="FM228" s="22"/>
      <c r="FN228" s="22"/>
      <c r="FO228" s="22"/>
      <c r="FP228" s="22"/>
      <c r="FQ228" s="22"/>
      <c r="FR228" s="22"/>
      <c r="FS228" s="22"/>
      <c r="FT228" s="22"/>
      <c r="FU228" s="22"/>
      <c r="FV228" s="22"/>
      <c r="FW228" s="22"/>
      <c r="FX228" s="22"/>
      <c r="FY228" s="22"/>
      <c r="FZ228" s="22"/>
      <c r="GA228" s="22"/>
      <c r="GB228" s="22"/>
      <c r="GC228" s="22"/>
      <c r="GD228" s="22"/>
      <c r="GE228" s="22"/>
      <c r="GF228" s="22"/>
      <c r="GG228" s="22"/>
      <c r="GH228" s="22"/>
      <c r="GI228" s="22"/>
      <c r="GJ228" s="22"/>
      <c r="GK228" s="22"/>
      <c r="GL228" s="22"/>
      <c r="GM228" s="22"/>
      <c r="GN228" s="22"/>
      <c r="GO228" s="22"/>
      <c r="GP228" s="22"/>
      <c r="GQ228" s="22"/>
      <c r="GR228" s="22"/>
      <c r="GS228" s="22"/>
      <c r="GT228" s="22"/>
      <c r="GU228" s="22"/>
      <c r="GV228" s="22"/>
      <c r="GW228" s="22"/>
      <c r="GX228" s="22"/>
      <c r="GY228" s="22"/>
      <c r="GZ228" s="22"/>
      <c r="HA228" s="22"/>
      <c r="HB228" s="22"/>
      <c r="HC228" s="22"/>
      <c r="HD228" s="22"/>
      <c r="HE228" s="22"/>
      <c r="HF228" s="22"/>
      <c r="HG228" s="22"/>
      <c r="HH228" s="22"/>
      <c r="HI228" s="22"/>
      <c r="HJ228" s="22"/>
      <c r="HK228" s="22"/>
      <c r="HL228" s="22"/>
      <c r="HM228" s="22"/>
      <c r="HN228" s="22"/>
      <c r="HO228" s="22"/>
      <c r="HP228" s="22"/>
      <c r="HQ228" s="22"/>
      <c r="HR228" s="22"/>
      <c r="HS228" s="22"/>
      <c r="HT228" s="22"/>
      <c r="HU228" s="22"/>
      <c r="HV228" s="22"/>
      <c r="HW228" s="22"/>
      <c r="HX228" s="22"/>
      <c r="HY228" s="22"/>
      <c r="HZ228" s="22"/>
      <c r="IA228" s="22"/>
      <c r="IB228" s="22"/>
      <c r="IC228" s="22"/>
      <c r="ID228" s="22"/>
      <c r="IE228" s="22"/>
      <c r="IF228" s="22"/>
      <c r="IG228" s="22"/>
      <c r="IH228" s="22"/>
      <c r="II228" s="22"/>
      <c r="IJ228" s="22"/>
      <c r="IK228" s="22"/>
      <c r="IL228" s="22"/>
      <c r="IM228" s="22"/>
      <c r="IN228" s="22"/>
      <c r="IO228" s="22"/>
      <c r="IP228" s="22"/>
      <c r="IQ228" s="22"/>
      <c r="IR228" s="22"/>
      <c r="IS228" s="22"/>
      <c r="IT228" s="22"/>
      <c r="IU228" s="22"/>
      <c r="IV228" s="22"/>
    </row>
    <row r="229" spans="1:256" s="64" customFormat="1" ht="15" customHeight="1">
      <c r="A229" s="25" t="s">
        <v>1275</v>
      </c>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c r="AZ229" s="22"/>
      <c r="BA229" s="22"/>
      <c r="BB229" s="22"/>
      <c r="BC229" s="22"/>
      <c r="BD229" s="22"/>
      <c r="BE229" s="22"/>
      <c r="BF229" s="22"/>
      <c r="BG229" s="22"/>
      <c r="BH229" s="22"/>
      <c r="BI229" s="22"/>
      <c r="BJ229" s="22"/>
      <c r="BK229" s="22"/>
      <c r="BL229" s="22"/>
      <c r="BM229" s="22"/>
      <c r="BN229" s="22"/>
      <c r="BO229" s="22"/>
      <c r="BP229" s="22"/>
      <c r="BQ229" s="22"/>
      <c r="BR229" s="22"/>
      <c r="BS229" s="22"/>
      <c r="BT229" s="22"/>
      <c r="BU229" s="22"/>
      <c r="BV229" s="22"/>
      <c r="BW229" s="22"/>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c r="CV229" s="22"/>
      <c r="CW229" s="22"/>
      <c r="CX229" s="22"/>
      <c r="CY229" s="22"/>
      <c r="CZ229" s="22"/>
      <c r="DA229" s="22"/>
      <c r="DB229" s="22"/>
      <c r="DC229" s="22"/>
      <c r="DD229" s="22"/>
      <c r="DE229" s="22"/>
      <c r="DF229" s="22"/>
      <c r="DG229" s="22"/>
      <c r="DH229" s="22"/>
      <c r="DI229" s="22"/>
      <c r="DJ229" s="22"/>
      <c r="DK229" s="22"/>
      <c r="DL229" s="22"/>
      <c r="DM229" s="22"/>
      <c r="DN229" s="22"/>
      <c r="DO229" s="22"/>
      <c r="DP229" s="22"/>
      <c r="DQ229" s="22"/>
      <c r="DR229" s="22"/>
      <c r="DS229" s="22"/>
      <c r="DT229" s="22"/>
      <c r="DU229" s="22"/>
      <c r="DV229" s="22"/>
      <c r="DW229" s="22"/>
      <c r="DX229" s="22"/>
      <c r="DY229" s="22"/>
      <c r="DZ229" s="22"/>
      <c r="EA229" s="22"/>
      <c r="EB229" s="22"/>
      <c r="EC229" s="22"/>
      <c r="ED229" s="22"/>
      <c r="EE229" s="22"/>
      <c r="EF229" s="22"/>
      <c r="EG229" s="22"/>
      <c r="EH229" s="22"/>
      <c r="EI229" s="22"/>
      <c r="EJ229" s="22"/>
      <c r="EK229" s="22"/>
      <c r="EL229" s="22"/>
      <c r="EM229" s="22"/>
      <c r="EN229" s="22"/>
      <c r="EO229" s="22"/>
      <c r="EP229" s="22"/>
      <c r="EQ229" s="22"/>
      <c r="ER229" s="22"/>
      <c r="ES229" s="22"/>
      <c r="ET229" s="22"/>
      <c r="EU229" s="22"/>
      <c r="EV229" s="22"/>
      <c r="EW229" s="22"/>
      <c r="EX229" s="22"/>
      <c r="EY229" s="22"/>
      <c r="EZ229" s="22"/>
      <c r="FA229" s="22"/>
      <c r="FB229" s="22"/>
      <c r="FC229" s="22"/>
      <c r="FD229" s="22"/>
      <c r="FE229" s="22"/>
      <c r="FF229" s="22"/>
      <c r="FG229" s="22"/>
      <c r="FH229" s="22"/>
      <c r="FI229" s="22"/>
      <c r="FJ229" s="22"/>
      <c r="FK229" s="22"/>
      <c r="FL229" s="22"/>
      <c r="FM229" s="22"/>
      <c r="FN229" s="22"/>
      <c r="FO229" s="22"/>
      <c r="FP229" s="22"/>
      <c r="FQ229" s="22"/>
      <c r="FR229" s="22"/>
      <c r="FS229" s="22"/>
      <c r="FT229" s="22"/>
      <c r="FU229" s="22"/>
      <c r="FV229" s="22"/>
      <c r="FW229" s="22"/>
      <c r="FX229" s="22"/>
      <c r="FY229" s="22"/>
      <c r="FZ229" s="22"/>
      <c r="GA229" s="22"/>
      <c r="GB229" s="22"/>
      <c r="GC229" s="22"/>
      <c r="GD229" s="22"/>
      <c r="GE229" s="22"/>
      <c r="GF229" s="22"/>
      <c r="GG229" s="22"/>
      <c r="GH229" s="22"/>
      <c r="GI229" s="22"/>
      <c r="GJ229" s="22"/>
      <c r="GK229" s="22"/>
      <c r="GL229" s="22"/>
      <c r="GM229" s="22"/>
      <c r="GN229" s="22"/>
      <c r="GO229" s="22"/>
      <c r="GP229" s="22"/>
      <c r="GQ229" s="22"/>
      <c r="GR229" s="22"/>
      <c r="GS229" s="22"/>
      <c r="GT229" s="22"/>
      <c r="GU229" s="22"/>
      <c r="GV229" s="22"/>
      <c r="GW229" s="22"/>
      <c r="GX229" s="22"/>
      <c r="GY229" s="22"/>
      <c r="GZ229" s="22"/>
      <c r="HA229" s="22"/>
      <c r="HB229" s="22"/>
      <c r="HC229" s="22"/>
      <c r="HD229" s="22"/>
      <c r="HE229" s="22"/>
      <c r="HF229" s="22"/>
      <c r="HG229" s="22"/>
      <c r="HH229" s="22"/>
      <c r="HI229" s="22"/>
      <c r="HJ229" s="22"/>
      <c r="HK229" s="22"/>
      <c r="HL229" s="22"/>
      <c r="HM229" s="22"/>
      <c r="HN229" s="22"/>
      <c r="HO229" s="22"/>
      <c r="HP229" s="22"/>
      <c r="HQ229" s="22"/>
      <c r="HR229" s="22"/>
      <c r="HS229" s="22"/>
      <c r="HT229" s="22"/>
      <c r="HU229" s="22"/>
      <c r="HV229" s="22"/>
      <c r="HW229" s="22"/>
      <c r="HX229" s="22"/>
      <c r="HY229" s="22"/>
      <c r="HZ229" s="22"/>
      <c r="IA229" s="22"/>
      <c r="IB229" s="22"/>
      <c r="IC229" s="22"/>
      <c r="ID229" s="22"/>
      <c r="IE229" s="22"/>
      <c r="IF229" s="22"/>
      <c r="IG229" s="22"/>
      <c r="IH229" s="22"/>
      <c r="II229" s="22"/>
      <c r="IJ229" s="22"/>
      <c r="IK229" s="22"/>
      <c r="IL229" s="22"/>
      <c r="IM229" s="22"/>
      <c r="IN229" s="22"/>
      <c r="IO229" s="22"/>
      <c r="IP229" s="22"/>
      <c r="IQ229" s="22"/>
      <c r="IR229" s="22"/>
      <c r="IS229" s="22"/>
      <c r="IT229" s="22"/>
      <c r="IU229" s="22"/>
      <c r="IV229" s="22"/>
    </row>
    <row r="230" spans="1:256" s="64" customFormat="1" ht="15" customHeight="1">
      <c r="A230" s="25" t="s">
        <v>1276</v>
      </c>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c r="AZ230" s="22"/>
      <c r="BA230" s="22"/>
      <c r="BB230" s="22"/>
      <c r="BC230" s="22"/>
      <c r="BD230" s="22"/>
      <c r="BE230" s="22"/>
      <c r="BF230" s="22"/>
      <c r="BG230" s="22"/>
      <c r="BH230" s="22"/>
      <c r="BI230" s="22"/>
      <c r="BJ230" s="22"/>
      <c r="BK230" s="22"/>
      <c r="BL230" s="22"/>
      <c r="BM230" s="22"/>
      <c r="BN230" s="22"/>
      <c r="BO230" s="22"/>
      <c r="BP230" s="22"/>
      <c r="BQ230" s="22"/>
      <c r="BR230" s="22"/>
      <c r="BS230" s="22"/>
      <c r="BT230" s="22"/>
      <c r="BU230" s="22"/>
      <c r="BV230" s="22"/>
      <c r="BW230" s="22"/>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c r="CV230" s="22"/>
      <c r="CW230" s="22"/>
      <c r="CX230" s="22"/>
      <c r="CY230" s="22"/>
      <c r="CZ230" s="22"/>
      <c r="DA230" s="22"/>
      <c r="DB230" s="22"/>
      <c r="DC230" s="22"/>
      <c r="DD230" s="22"/>
      <c r="DE230" s="22"/>
      <c r="DF230" s="22"/>
      <c r="DG230" s="22"/>
      <c r="DH230" s="22"/>
      <c r="DI230" s="22"/>
      <c r="DJ230" s="22"/>
      <c r="DK230" s="22"/>
      <c r="DL230" s="22"/>
      <c r="DM230" s="22"/>
      <c r="DN230" s="22"/>
      <c r="DO230" s="22"/>
      <c r="DP230" s="22"/>
      <c r="DQ230" s="22"/>
      <c r="DR230" s="22"/>
      <c r="DS230" s="22"/>
      <c r="DT230" s="22"/>
      <c r="DU230" s="22"/>
      <c r="DV230" s="22"/>
      <c r="DW230" s="22"/>
      <c r="DX230" s="22"/>
      <c r="DY230" s="22"/>
      <c r="DZ230" s="22"/>
      <c r="EA230" s="22"/>
      <c r="EB230" s="22"/>
      <c r="EC230" s="22"/>
      <c r="ED230" s="22"/>
      <c r="EE230" s="22"/>
      <c r="EF230" s="22"/>
      <c r="EG230" s="22"/>
      <c r="EH230" s="22"/>
      <c r="EI230" s="22"/>
      <c r="EJ230" s="22"/>
      <c r="EK230" s="22"/>
      <c r="EL230" s="22"/>
      <c r="EM230" s="22"/>
      <c r="EN230" s="22"/>
      <c r="EO230" s="22"/>
      <c r="EP230" s="22"/>
      <c r="EQ230" s="22"/>
      <c r="ER230" s="22"/>
      <c r="ES230" s="22"/>
      <c r="ET230" s="22"/>
      <c r="EU230" s="22"/>
      <c r="EV230" s="22"/>
      <c r="EW230" s="22"/>
      <c r="EX230" s="22"/>
      <c r="EY230" s="22"/>
      <c r="EZ230" s="22"/>
      <c r="FA230" s="22"/>
      <c r="FB230" s="22"/>
      <c r="FC230" s="22"/>
      <c r="FD230" s="22"/>
      <c r="FE230" s="22"/>
      <c r="FF230" s="22"/>
      <c r="FG230" s="22"/>
      <c r="FH230" s="22"/>
      <c r="FI230" s="22"/>
      <c r="FJ230" s="22"/>
      <c r="FK230" s="22"/>
      <c r="FL230" s="22"/>
      <c r="FM230" s="22"/>
      <c r="FN230" s="22"/>
      <c r="FO230" s="22"/>
      <c r="FP230" s="22"/>
      <c r="FQ230" s="22"/>
      <c r="FR230" s="22"/>
      <c r="FS230" s="22"/>
      <c r="FT230" s="22"/>
      <c r="FU230" s="22"/>
      <c r="FV230" s="22"/>
      <c r="FW230" s="22"/>
      <c r="FX230" s="22"/>
      <c r="FY230" s="22"/>
      <c r="FZ230" s="22"/>
      <c r="GA230" s="22"/>
      <c r="GB230" s="22"/>
      <c r="GC230" s="22"/>
      <c r="GD230" s="22"/>
      <c r="GE230" s="22"/>
      <c r="GF230" s="22"/>
      <c r="GG230" s="22"/>
      <c r="GH230" s="22"/>
      <c r="GI230" s="22"/>
      <c r="GJ230" s="22"/>
      <c r="GK230" s="22"/>
      <c r="GL230" s="22"/>
      <c r="GM230" s="22"/>
      <c r="GN230" s="22"/>
      <c r="GO230" s="22"/>
      <c r="GP230" s="22"/>
      <c r="GQ230" s="22"/>
      <c r="GR230" s="22"/>
      <c r="GS230" s="22"/>
      <c r="GT230" s="22"/>
      <c r="GU230" s="22"/>
      <c r="GV230" s="22"/>
      <c r="GW230" s="22"/>
      <c r="GX230" s="22"/>
      <c r="GY230" s="22"/>
      <c r="GZ230" s="22"/>
      <c r="HA230" s="22"/>
      <c r="HB230" s="22"/>
      <c r="HC230" s="22"/>
      <c r="HD230" s="22"/>
      <c r="HE230" s="22"/>
      <c r="HF230" s="22"/>
      <c r="HG230" s="22"/>
      <c r="HH230" s="22"/>
      <c r="HI230" s="22"/>
      <c r="HJ230" s="22"/>
      <c r="HK230" s="22"/>
      <c r="HL230" s="22"/>
      <c r="HM230" s="22"/>
      <c r="HN230" s="22"/>
      <c r="HO230" s="22"/>
      <c r="HP230" s="22"/>
      <c r="HQ230" s="22"/>
      <c r="HR230" s="22"/>
      <c r="HS230" s="22"/>
      <c r="HT230" s="22"/>
      <c r="HU230" s="22"/>
      <c r="HV230" s="22"/>
      <c r="HW230" s="22"/>
      <c r="HX230" s="22"/>
      <c r="HY230" s="22"/>
      <c r="HZ230" s="22"/>
      <c r="IA230" s="22"/>
      <c r="IB230" s="22"/>
      <c r="IC230" s="22"/>
      <c r="ID230" s="22"/>
      <c r="IE230" s="22"/>
      <c r="IF230" s="22"/>
      <c r="IG230" s="22"/>
      <c r="IH230" s="22"/>
      <c r="II230" s="22"/>
      <c r="IJ230" s="22"/>
      <c r="IK230" s="22"/>
      <c r="IL230" s="22"/>
      <c r="IM230" s="22"/>
      <c r="IN230" s="22"/>
      <c r="IO230" s="22"/>
      <c r="IP230" s="22"/>
      <c r="IQ230" s="22"/>
      <c r="IR230" s="22"/>
      <c r="IS230" s="22"/>
      <c r="IT230" s="22"/>
      <c r="IU230" s="22"/>
      <c r="IV230" s="22"/>
    </row>
    <row r="231" spans="1:256" s="64" customFormat="1" ht="15" customHeight="1">
      <c r="A231" s="25" t="s">
        <v>1277</v>
      </c>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c r="AZ231" s="22"/>
      <c r="BA231" s="22"/>
      <c r="BB231" s="22"/>
      <c r="BC231" s="22"/>
      <c r="BD231" s="22"/>
      <c r="BE231" s="22"/>
      <c r="BF231" s="22"/>
      <c r="BG231" s="22"/>
      <c r="BH231" s="22"/>
      <c r="BI231" s="22"/>
      <c r="BJ231" s="22"/>
      <c r="BK231" s="22"/>
      <c r="BL231" s="22"/>
      <c r="BM231" s="22"/>
      <c r="BN231" s="22"/>
      <c r="BO231" s="22"/>
      <c r="BP231" s="22"/>
      <c r="BQ231" s="22"/>
      <c r="BR231" s="22"/>
      <c r="BS231" s="22"/>
      <c r="BT231" s="22"/>
      <c r="BU231" s="22"/>
      <c r="BV231" s="22"/>
      <c r="BW231" s="22"/>
      <c r="BX231" s="22"/>
      <c r="BY231" s="22"/>
      <c r="BZ231" s="22"/>
      <c r="CA231" s="22"/>
      <c r="CB231" s="22"/>
      <c r="CC231" s="22"/>
      <c r="CD231" s="22"/>
      <c r="CE231" s="22"/>
      <c r="CF231" s="22"/>
      <c r="CG231" s="22"/>
      <c r="CH231" s="22"/>
      <c r="CI231" s="22"/>
      <c r="CJ231" s="22"/>
      <c r="CK231" s="22"/>
      <c r="CL231" s="22"/>
      <c r="CM231" s="22"/>
      <c r="CN231" s="22"/>
      <c r="CO231" s="22"/>
      <c r="CP231" s="22"/>
      <c r="CQ231" s="22"/>
      <c r="CR231" s="22"/>
      <c r="CS231" s="22"/>
      <c r="CT231" s="22"/>
      <c r="CU231" s="22"/>
      <c r="CV231" s="22"/>
      <c r="CW231" s="22"/>
      <c r="CX231" s="22"/>
      <c r="CY231" s="22"/>
      <c r="CZ231" s="22"/>
      <c r="DA231" s="22"/>
      <c r="DB231" s="22"/>
      <c r="DC231" s="22"/>
      <c r="DD231" s="22"/>
      <c r="DE231" s="22"/>
      <c r="DF231" s="22"/>
      <c r="DG231" s="22"/>
      <c r="DH231" s="22"/>
      <c r="DI231" s="22"/>
      <c r="DJ231" s="22"/>
      <c r="DK231" s="22"/>
      <c r="DL231" s="22"/>
      <c r="DM231" s="22"/>
      <c r="DN231" s="22"/>
      <c r="DO231" s="22"/>
      <c r="DP231" s="22"/>
      <c r="DQ231" s="22"/>
      <c r="DR231" s="22"/>
      <c r="DS231" s="22"/>
      <c r="DT231" s="22"/>
      <c r="DU231" s="22"/>
      <c r="DV231" s="22"/>
      <c r="DW231" s="22"/>
      <c r="DX231" s="22"/>
      <c r="DY231" s="22"/>
      <c r="DZ231" s="22"/>
      <c r="EA231" s="22"/>
      <c r="EB231" s="22"/>
      <c r="EC231" s="22"/>
      <c r="ED231" s="22"/>
      <c r="EE231" s="22"/>
      <c r="EF231" s="22"/>
      <c r="EG231" s="22"/>
      <c r="EH231" s="22"/>
      <c r="EI231" s="22"/>
      <c r="EJ231" s="22"/>
      <c r="EK231" s="22"/>
      <c r="EL231" s="22"/>
      <c r="EM231" s="22"/>
      <c r="EN231" s="22"/>
      <c r="EO231" s="22"/>
      <c r="EP231" s="22"/>
      <c r="EQ231" s="22"/>
      <c r="ER231" s="22"/>
      <c r="ES231" s="22"/>
      <c r="ET231" s="22"/>
      <c r="EU231" s="22"/>
      <c r="EV231" s="22"/>
      <c r="EW231" s="22"/>
      <c r="EX231" s="22"/>
      <c r="EY231" s="22"/>
      <c r="EZ231" s="22"/>
      <c r="FA231" s="22"/>
      <c r="FB231" s="22"/>
      <c r="FC231" s="22"/>
      <c r="FD231" s="22"/>
      <c r="FE231" s="22"/>
      <c r="FF231" s="22"/>
      <c r="FG231" s="22"/>
      <c r="FH231" s="22"/>
      <c r="FI231" s="22"/>
      <c r="FJ231" s="22"/>
      <c r="FK231" s="22"/>
      <c r="FL231" s="22"/>
      <c r="FM231" s="22"/>
      <c r="FN231" s="22"/>
      <c r="FO231" s="22"/>
      <c r="FP231" s="22"/>
      <c r="FQ231" s="22"/>
      <c r="FR231" s="22"/>
      <c r="FS231" s="22"/>
      <c r="FT231" s="22"/>
      <c r="FU231" s="22"/>
      <c r="FV231" s="22"/>
      <c r="FW231" s="22"/>
      <c r="FX231" s="22"/>
      <c r="FY231" s="22"/>
      <c r="FZ231" s="22"/>
      <c r="GA231" s="22"/>
      <c r="GB231" s="22"/>
      <c r="GC231" s="22"/>
      <c r="GD231" s="22"/>
      <c r="GE231" s="22"/>
      <c r="GF231" s="22"/>
      <c r="GG231" s="22"/>
      <c r="GH231" s="22"/>
      <c r="GI231" s="22"/>
      <c r="GJ231" s="22"/>
      <c r="GK231" s="22"/>
      <c r="GL231" s="22"/>
      <c r="GM231" s="22"/>
      <c r="GN231" s="22"/>
      <c r="GO231" s="22"/>
      <c r="GP231" s="22"/>
      <c r="GQ231" s="22"/>
      <c r="GR231" s="22"/>
      <c r="GS231" s="22"/>
      <c r="GT231" s="22"/>
      <c r="GU231" s="22"/>
      <c r="GV231" s="22"/>
      <c r="GW231" s="22"/>
      <c r="GX231" s="22"/>
      <c r="GY231" s="22"/>
      <c r="GZ231" s="22"/>
      <c r="HA231" s="22"/>
      <c r="HB231" s="22"/>
      <c r="HC231" s="22"/>
      <c r="HD231" s="22"/>
      <c r="HE231" s="22"/>
      <c r="HF231" s="22"/>
      <c r="HG231" s="22"/>
      <c r="HH231" s="22"/>
      <c r="HI231" s="22"/>
      <c r="HJ231" s="22"/>
      <c r="HK231" s="22"/>
      <c r="HL231" s="22"/>
      <c r="HM231" s="22"/>
      <c r="HN231" s="22"/>
      <c r="HO231" s="22"/>
      <c r="HP231" s="22"/>
      <c r="HQ231" s="22"/>
      <c r="HR231" s="22"/>
      <c r="HS231" s="22"/>
      <c r="HT231" s="22"/>
      <c r="HU231" s="22"/>
      <c r="HV231" s="22"/>
      <c r="HW231" s="22"/>
      <c r="HX231" s="22"/>
      <c r="HY231" s="22"/>
      <c r="HZ231" s="22"/>
      <c r="IA231" s="22"/>
      <c r="IB231" s="22"/>
      <c r="IC231" s="22"/>
      <c r="ID231" s="22"/>
      <c r="IE231" s="22"/>
      <c r="IF231" s="22"/>
      <c r="IG231" s="22"/>
      <c r="IH231" s="22"/>
      <c r="II231" s="22"/>
      <c r="IJ231" s="22"/>
      <c r="IK231" s="22"/>
      <c r="IL231" s="22"/>
      <c r="IM231" s="22"/>
      <c r="IN231" s="22"/>
      <c r="IO231" s="22"/>
      <c r="IP231" s="22"/>
      <c r="IQ231" s="22"/>
      <c r="IR231" s="22"/>
      <c r="IS231" s="22"/>
      <c r="IT231" s="22"/>
      <c r="IU231" s="22"/>
      <c r="IV231" s="22"/>
    </row>
    <row r="232" spans="1:256" s="64" customFormat="1" ht="15" customHeight="1">
      <c r="A232" s="25" t="s">
        <v>1278</v>
      </c>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c r="BH232" s="22"/>
      <c r="BI232" s="22"/>
      <c r="BJ232" s="22"/>
      <c r="BK232" s="22"/>
      <c r="BL232" s="22"/>
      <c r="BM232" s="22"/>
      <c r="BN232" s="22"/>
      <c r="BO232" s="22"/>
      <c r="BP232" s="22"/>
      <c r="BQ232" s="22"/>
      <c r="BR232" s="22"/>
      <c r="BS232" s="22"/>
      <c r="BT232" s="22"/>
      <c r="BU232" s="22"/>
      <c r="BV232" s="22"/>
      <c r="BW232" s="22"/>
      <c r="BX232" s="22"/>
      <c r="BY232" s="22"/>
      <c r="BZ232" s="22"/>
      <c r="CA232" s="22"/>
      <c r="CB232" s="22"/>
      <c r="CC232" s="22"/>
      <c r="CD232" s="22"/>
      <c r="CE232" s="22"/>
      <c r="CF232" s="22"/>
      <c r="CG232" s="22"/>
      <c r="CH232" s="22"/>
      <c r="CI232" s="22"/>
      <c r="CJ232" s="22"/>
      <c r="CK232" s="22"/>
      <c r="CL232" s="22"/>
      <c r="CM232" s="22"/>
      <c r="CN232" s="22"/>
      <c r="CO232" s="22"/>
      <c r="CP232" s="22"/>
      <c r="CQ232" s="22"/>
      <c r="CR232" s="22"/>
      <c r="CS232" s="22"/>
      <c r="CT232" s="22"/>
      <c r="CU232" s="22"/>
      <c r="CV232" s="22"/>
      <c r="CW232" s="22"/>
      <c r="CX232" s="22"/>
      <c r="CY232" s="22"/>
      <c r="CZ232" s="22"/>
      <c r="DA232" s="22"/>
      <c r="DB232" s="22"/>
      <c r="DC232" s="22"/>
      <c r="DD232" s="22"/>
      <c r="DE232" s="22"/>
      <c r="DF232" s="22"/>
      <c r="DG232" s="22"/>
      <c r="DH232" s="22"/>
      <c r="DI232" s="22"/>
      <c r="DJ232" s="22"/>
      <c r="DK232" s="22"/>
      <c r="DL232" s="22"/>
      <c r="DM232" s="22"/>
      <c r="DN232" s="22"/>
      <c r="DO232" s="22"/>
      <c r="DP232" s="22"/>
      <c r="DQ232" s="22"/>
      <c r="DR232" s="22"/>
      <c r="DS232" s="22"/>
      <c r="DT232" s="22"/>
      <c r="DU232" s="22"/>
      <c r="DV232" s="22"/>
      <c r="DW232" s="22"/>
      <c r="DX232" s="22"/>
      <c r="DY232" s="22"/>
      <c r="DZ232" s="22"/>
      <c r="EA232" s="22"/>
      <c r="EB232" s="22"/>
      <c r="EC232" s="22"/>
      <c r="ED232" s="22"/>
      <c r="EE232" s="22"/>
      <c r="EF232" s="22"/>
      <c r="EG232" s="22"/>
      <c r="EH232" s="22"/>
      <c r="EI232" s="22"/>
      <c r="EJ232" s="22"/>
      <c r="EK232" s="22"/>
      <c r="EL232" s="22"/>
      <c r="EM232" s="22"/>
      <c r="EN232" s="22"/>
      <c r="EO232" s="22"/>
      <c r="EP232" s="22"/>
      <c r="EQ232" s="22"/>
      <c r="ER232" s="22"/>
      <c r="ES232" s="22"/>
      <c r="ET232" s="22"/>
      <c r="EU232" s="22"/>
      <c r="EV232" s="22"/>
      <c r="EW232" s="22"/>
      <c r="EX232" s="22"/>
      <c r="EY232" s="22"/>
      <c r="EZ232" s="22"/>
      <c r="FA232" s="22"/>
      <c r="FB232" s="22"/>
      <c r="FC232" s="22"/>
      <c r="FD232" s="22"/>
      <c r="FE232" s="22"/>
      <c r="FF232" s="22"/>
      <c r="FG232" s="22"/>
      <c r="FH232" s="22"/>
      <c r="FI232" s="22"/>
      <c r="FJ232" s="22"/>
      <c r="FK232" s="22"/>
      <c r="FL232" s="22"/>
      <c r="FM232" s="22"/>
      <c r="FN232" s="22"/>
      <c r="FO232" s="22"/>
      <c r="FP232" s="22"/>
      <c r="FQ232" s="22"/>
      <c r="FR232" s="22"/>
      <c r="FS232" s="22"/>
      <c r="FT232" s="22"/>
      <c r="FU232" s="22"/>
      <c r="FV232" s="22"/>
      <c r="FW232" s="22"/>
      <c r="FX232" s="22"/>
      <c r="FY232" s="22"/>
      <c r="FZ232" s="22"/>
      <c r="GA232" s="22"/>
      <c r="GB232" s="22"/>
      <c r="GC232" s="22"/>
      <c r="GD232" s="22"/>
      <c r="GE232" s="22"/>
      <c r="GF232" s="22"/>
      <c r="GG232" s="22"/>
      <c r="GH232" s="22"/>
      <c r="GI232" s="22"/>
      <c r="GJ232" s="22"/>
      <c r="GK232" s="22"/>
      <c r="GL232" s="22"/>
      <c r="GM232" s="22"/>
      <c r="GN232" s="22"/>
      <c r="GO232" s="22"/>
      <c r="GP232" s="22"/>
      <c r="GQ232" s="22"/>
      <c r="GR232" s="22"/>
      <c r="GS232" s="22"/>
      <c r="GT232" s="22"/>
      <c r="GU232" s="22"/>
      <c r="GV232" s="22"/>
      <c r="GW232" s="22"/>
      <c r="GX232" s="22"/>
      <c r="GY232" s="22"/>
      <c r="GZ232" s="22"/>
      <c r="HA232" s="22"/>
      <c r="HB232" s="22"/>
      <c r="HC232" s="22"/>
      <c r="HD232" s="22"/>
      <c r="HE232" s="22"/>
      <c r="HF232" s="22"/>
      <c r="HG232" s="22"/>
      <c r="HH232" s="22"/>
      <c r="HI232" s="22"/>
      <c r="HJ232" s="22"/>
      <c r="HK232" s="22"/>
      <c r="HL232" s="22"/>
      <c r="HM232" s="22"/>
      <c r="HN232" s="22"/>
      <c r="HO232" s="22"/>
      <c r="HP232" s="22"/>
      <c r="HQ232" s="22"/>
      <c r="HR232" s="22"/>
      <c r="HS232" s="22"/>
      <c r="HT232" s="22"/>
      <c r="HU232" s="22"/>
      <c r="HV232" s="22"/>
      <c r="HW232" s="22"/>
      <c r="HX232" s="22"/>
      <c r="HY232" s="22"/>
      <c r="HZ232" s="22"/>
      <c r="IA232" s="22"/>
      <c r="IB232" s="22"/>
      <c r="IC232" s="22"/>
      <c r="ID232" s="22"/>
      <c r="IE232" s="22"/>
      <c r="IF232" s="22"/>
      <c r="IG232" s="22"/>
      <c r="IH232" s="22"/>
      <c r="II232" s="22"/>
      <c r="IJ232" s="22"/>
      <c r="IK232" s="22"/>
      <c r="IL232" s="22"/>
      <c r="IM232" s="22"/>
      <c r="IN232" s="22"/>
      <c r="IO232" s="22"/>
      <c r="IP232" s="22"/>
      <c r="IQ232" s="22"/>
      <c r="IR232" s="22"/>
      <c r="IS232" s="22"/>
      <c r="IT232" s="22"/>
      <c r="IU232" s="22"/>
      <c r="IV232" s="22"/>
    </row>
    <row r="233" spans="1:256" s="64" customFormat="1" ht="15" customHeight="1">
      <c r="A233" s="25" t="s">
        <v>1287</v>
      </c>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c r="BH233" s="22"/>
      <c r="BI233" s="22"/>
      <c r="BJ233" s="22"/>
      <c r="BK233" s="22"/>
      <c r="BL233" s="22"/>
      <c r="BM233" s="22"/>
      <c r="BN233" s="22"/>
      <c r="BO233" s="22"/>
      <c r="BP233" s="22"/>
      <c r="BQ233" s="22"/>
      <c r="BR233" s="22"/>
      <c r="BS233" s="22"/>
      <c r="BT233" s="22"/>
      <c r="BU233" s="22"/>
      <c r="BV233" s="22"/>
      <c r="BW233" s="22"/>
      <c r="BX233" s="22"/>
      <c r="BY233" s="22"/>
      <c r="BZ233" s="22"/>
      <c r="CA233" s="22"/>
      <c r="CB233" s="22"/>
      <c r="CC233" s="22"/>
      <c r="CD233" s="22"/>
      <c r="CE233" s="22"/>
      <c r="CF233" s="22"/>
      <c r="CG233" s="22"/>
      <c r="CH233" s="22"/>
      <c r="CI233" s="22"/>
      <c r="CJ233" s="22"/>
      <c r="CK233" s="22"/>
      <c r="CL233" s="22"/>
      <c r="CM233" s="22"/>
      <c r="CN233" s="22"/>
      <c r="CO233" s="22"/>
      <c r="CP233" s="22"/>
      <c r="CQ233" s="22"/>
      <c r="CR233" s="22"/>
      <c r="CS233" s="22"/>
      <c r="CT233" s="22"/>
      <c r="CU233" s="22"/>
      <c r="CV233" s="22"/>
      <c r="CW233" s="22"/>
      <c r="CX233" s="22"/>
      <c r="CY233" s="22"/>
      <c r="CZ233" s="22"/>
      <c r="DA233" s="22"/>
      <c r="DB233" s="22"/>
      <c r="DC233" s="22"/>
      <c r="DD233" s="22"/>
      <c r="DE233" s="22"/>
      <c r="DF233" s="22"/>
      <c r="DG233" s="22"/>
      <c r="DH233" s="22"/>
      <c r="DI233" s="22"/>
      <c r="DJ233" s="22"/>
      <c r="DK233" s="22"/>
      <c r="DL233" s="22"/>
      <c r="DM233" s="22"/>
      <c r="DN233" s="22"/>
      <c r="DO233" s="22"/>
      <c r="DP233" s="22"/>
      <c r="DQ233" s="22"/>
      <c r="DR233" s="22"/>
      <c r="DS233" s="22"/>
      <c r="DT233" s="22"/>
      <c r="DU233" s="22"/>
      <c r="DV233" s="22"/>
      <c r="DW233" s="22"/>
      <c r="DX233" s="22"/>
      <c r="DY233" s="22"/>
      <c r="DZ233" s="22"/>
      <c r="EA233" s="22"/>
      <c r="EB233" s="22"/>
      <c r="EC233" s="22"/>
      <c r="ED233" s="22"/>
      <c r="EE233" s="22"/>
      <c r="EF233" s="22"/>
      <c r="EG233" s="22"/>
      <c r="EH233" s="22"/>
      <c r="EI233" s="22"/>
      <c r="EJ233" s="22"/>
      <c r="EK233" s="22"/>
      <c r="EL233" s="22"/>
      <c r="EM233" s="22"/>
      <c r="EN233" s="22"/>
      <c r="EO233" s="22"/>
      <c r="EP233" s="22"/>
      <c r="EQ233" s="22"/>
      <c r="ER233" s="22"/>
      <c r="ES233" s="22"/>
      <c r="ET233" s="22"/>
      <c r="EU233" s="22"/>
      <c r="EV233" s="22"/>
      <c r="EW233" s="22"/>
      <c r="EX233" s="22"/>
      <c r="EY233" s="22"/>
      <c r="EZ233" s="22"/>
      <c r="FA233" s="22"/>
      <c r="FB233" s="22"/>
      <c r="FC233" s="22"/>
      <c r="FD233" s="22"/>
      <c r="FE233" s="22"/>
      <c r="FF233" s="22"/>
      <c r="FG233" s="22"/>
      <c r="FH233" s="22"/>
      <c r="FI233" s="22"/>
      <c r="FJ233" s="22"/>
      <c r="FK233" s="22"/>
      <c r="FL233" s="22"/>
      <c r="FM233" s="22"/>
      <c r="FN233" s="22"/>
      <c r="FO233" s="22"/>
      <c r="FP233" s="22"/>
      <c r="FQ233" s="22"/>
      <c r="FR233" s="22"/>
      <c r="FS233" s="22"/>
      <c r="FT233" s="22"/>
      <c r="FU233" s="22"/>
      <c r="FV233" s="22"/>
      <c r="FW233" s="22"/>
      <c r="FX233" s="22"/>
      <c r="FY233" s="22"/>
      <c r="FZ233" s="22"/>
      <c r="GA233" s="22"/>
      <c r="GB233" s="22"/>
      <c r="GC233" s="22"/>
      <c r="GD233" s="22"/>
      <c r="GE233" s="22"/>
      <c r="GF233" s="22"/>
      <c r="GG233" s="22"/>
      <c r="GH233" s="22"/>
      <c r="GI233" s="22"/>
      <c r="GJ233" s="22"/>
      <c r="GK233" s="22"/>
      <c r="GL233" s="22"/>
      <c r="GM233" s="22"/>
      <c r="GN233" s="22"/>
      <c r="GO233" s="22"/>
      <c r="GP233" s="22"/>
      <c r="GQ233" s="22"/>
      <c r="GR233" s="22"/>
      <c r="GS233" s="22"/>
      <c r="GT233" s="22"/>
      <c r="GU233" s="22"/>
      <c r="GV233" s="22"/>
      <c r="GW233" s="22"/>
      <c r="GX233" s="22"/>
      <c r="GY233" s="22"/>
      <c r="GZ233" s="22"/>
      <c r="HA233" s="22"/>
      <c r="HB233" s="22"/>
      <c r="HC233" s="22"/>
      <c r="HD233" s="22"/>
      <c r="HE233" s="22"/>
      <c r="HF233" s="22"/>
      <c r="HG233" s="22"/>
      <c r="HH233" s="22"/>
      <c r="HI233" s="22"/>
      <c r="HJ233" s="22"/>
      <c r="HK233" s="22"/>
      <c r="HL233" s="22"/>
      <c r="HM233" s="22"/>
      <c r="HN233" s="22"/>
      <c r="HO233" s="22"/>
      <c r="HP233" s="22"/>
      <c r="HQ233" s="22"/>
      <c r="HR233" s="22"/>
      <c r="HS233" s="22"/>
      <c r="HT233" s="22"/>
      <c r="HU233" s="22"/>
      <c r="HV233" s="22"/>
      <c r="HW233" s="22"/>
      <c r="HX233" s="22"/>
      <c r="HY233" s="22"/>
      <c r="HZ233" s="22"/>
      <c r="IA233" s="22"/>
      <c r="IB233" s="22"/>
      <c r="IC233" s="22"/>
      <c r="ID233" s="22"/>
      <c r="IE233" s="22"/>
      <c r="IF233" s="22"/>
      <c r="IG233" s="22"/>
      <c r="IH233" s="22"/>
      <c r="II233" s="22"/>
      <c r="IJ233" s="22"/>
      <c r="IK233" s="22"/>
      <c r="IL233" s="22"/>
      <c r="IM233" s="22"/>
      <c r="IN233" s="22"/>
      <c r="IO233" s="22"/>
      <c r="IP233" s="22"/>
      <c r="IQ233" s="22"/>
      <c r="IR233" s="22"/>
      <c r="IS233" s="22"/>
      <c r="IT233" s="22"/>
      <c r="IU233" s="22"/>
      <c r="IV233" s="22"/>
    </row>
    <row r="234" spans="1:256" s="64" customFormat="1" ht="15" customHeight="1">
      <c r="A234" s="25" t="s">
        <v>891</v>
      </c>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c r="BH234" s="22"/>
      <c r="BI234" s="22"/>
      <c r="BJ234" s="22"/>
      <c r="BK234" s="22"/>
      <c r="BL234" s="22"/>
      <c r="BM234" s="22"/>
      <c r="BN234" s="22"/>
      <c r="BO234" s="22"/>
      <c r="BP234" s="22"/>
      <c r="BQ234" s="22"/>
      <c r="BR234" s="22"/>
      <c r="BS234" s="22"/>
      <c r="BT234" s="22"/>
      <c r="BU234" s="22"/>
      <c r="BV234" s="22"/>
      <c r="BW234" s="22"/>
      <c r="BX234" s="22"/>
      <c r="BY234" s="22"/>
      <c r="BZ234" s="22"/>
      <c r="CA234" s="22"/>
      <c r="CB234" s="22"/>
      <c r="CC234" s="22"/>
      <c r="CD234" s="22"/>
      <c r="CE234" s="22"/>
      <c r="CF234" s="22"/>
      <c r="CG234" s="22"/>
      <c r="CH234" s="22"/>
      <c r="CI234" s="22"/>
      <c r="CJ234" s="22"/>
      <c r="CK234" s="22"/>
      <c r="CL234" s="22"/>
      <c r="CM234" s="22"/>
      <c r="CN234" s="22"/>
      <c r="CO234" s="22"/>
      <c r="CP234" s="22"/>
      <c r="CQ234" s="22"/>
      <c r="CR234" s="22"/>
      <c r="CS234" s="22"/>
      <c r="CT234" s="22"/>
      <c r="CU234" s="22"/>
      <c r="CV234" s="22"/>
      <c r="CW234" s="22"/>
      <c r="CX234" s="22"/>
      <c r="CY234" s="22"/>
      <c r="CZ234" s="22"/>
      <c r="DA234" s="22"/>
      <c r="DB234" s="22"/>
      <c r="DC234" s="22"/>
      <c r="DD234" s="22"/>
      <c r="DE234" s="22"/>
      <c r="DF234" s="22"/>
      <c r="DG234" s="22"/>
      <c r="DH234" s="22"/>
      <c r="DI234" s="22"/>
      <c r="DJ234" s="22"/>
      <c r="DK234" s="22"/>
      <c r="DL234" s="22"/>
      <c r="DM234" s="22"/>
      <c r="DN234" s="22"/>
      <c r="DO234" s="22"/>
      <c r="DP234" s="22"/>
      <c r="DQ234" s="22"/>
      <c r="DR234" s="22"/>
      <c r="DS234" s="22"/>
      <c r="DT234" s="22"/>
      <c r="DU234" s="22"/>
      <c r="DV234" s="22"/>
      <c r="DW234" s="22"/>
      <c r="DX234" s="22"/>
      <c r="DY234" s="22"/>
      <c r="DZ234" s="22"/>
      <c r="EA234" s="22"/>
      <c r="EB234" s="22"/>
      <c r="EC234" s="22"/>
      <c r="ED234" s="22"/>
      <c r="EE234" s="22"/>
      <c r="EF234" s="22"/>
      <c r="EG234" s="22"/>
      <c r="EH234" s="22"/>
      <c r="EI234" s="22"/>
      <c r="EJ234" s="22"/>
      <c r="EK234" s="22"/>
      <c r="EL234" s="22"/>
      <c r="EM234" s="22"/>
      <c r="EN234" s="22"/>
      <c r="EO234" s="22"/>
      <c r="EP234" s="22"/>
      <c r="EQ234" s="22"/>
      <c r="ER234" s="22"/>
      <c r="ES234" s="22"/>
      <c r="ET234" s="22"/>
      <c r="EU234" s="22"/>
      <c r="EV234" s="22"/>
      <c r="EW234" s="22"/>
      <c r="EX234" s="22"/>
      <c r="EY234" s="22"/>
      <c r="EZ234" s="22"/>
      <c r="FA234" s="22"/>
      <c r="FB234" s="22"/>
      <c r="FC234" s="22"/>
      <c r="FD234" s="22"/>
      <c r="FE234" s="22"/>
      <c r="FF234" s="22"/>
      <c r="FG234" s="22"/>
      <c r="FH234" s="22"/>
      <c r="FI234" s="22"/>
      <c r="FJ234" s="22"/>
      <c r="FK234" s="22"/>
      <c r="FL234" s="22"/>
      <c r="FM234" s="22"/>
      <c r="FN234" s="22"/>
      <c r="FO234" s="22"/>
      <c r="FP234" s="22"/>
      <c r="FQ234" s="22"/>
      <c r="FR234" s="22"/>
      <c r="FS234" s="22"/>
      <c r="FT234" s="22"/>
      <c r="FU234" s="22"/>
      <c r="FV234" s="22"/>
      <c r="FW234" s="22"/>
      <c r="FX234" s="22"/>
      <c r="FY234" s="22"/>
      <c r="FZ234" s="22"/>
      <c r="GA234" s="22"/>
      <c r="GB234" s="22"/>
      <c r="GC234" s="22"/>
      <c r="GD234" s="22"/>
      <c r="GE234" s="22"/>
      <c r="GF234" s="22"/>
      <c r="GG234" s="22"/>
      <c r="GH234" s="22"/>
      <c r="GI234" s="22"/>
      <c r="GJ234" s="22"/>
      <c r="GK234" s="22"/>
      <c r="GL234" s="22"/>
      <c r="GM234" s="22"/>
      <c r="GN234" s="22"/>
      <c r="GO234" s="22"/>
      <c r="GP234" s="22"/>
      <c r="GQ234" s="22"/>
      <c r="GR234" s="22"/>
      <c r="GS234" s="22"/>
      <c r="GT234" s="22"/>
      <c r="GU234" s="22"/>
      <c r="GV234" s="22"/>
      <c r="GW234" s="22"/>
      <c r="GX234" s="22"/>
      <c r="GY234" s="22"/>
      <c r="GZ234" s="22"/>
      <c r="HA234" s="22"/>
      <c r="HB234" s="22"/>
      <c r="HC234" s="22"/>
      <c r="HD234" s="22"/>
      <c r="HE234" s="22"/>
      <c r="HF234" s="22"/>
      <c r="HG234" s="22"/>
      <c r="HH234" s="22"/>
      <c r="HI234" s="22"/>
      <c r="HJ234" s="22"/>
      <c r="HK234" s="22"/>
      <c r="HL234" s="22"/>
      <c r="HM234" s="22"/>
      <c r="HN234" s="22"/>
      <c r="HO234" s="22"/>
      <c r="HP234" s="22"/>
      <c r="HQ234" s="22"/>
      <c r="HR234" s="22"/>
      <c r="HS234" s="22"/>
      <c r="HT234" s="22"/>
      <c r="HU234" s="22"/>
      <c r="HV234" s="22"/>
      <c r="HW234" s="22"/>
      <c r="HX234" s="22"/>
      <c r="HY234" s="22"/>
      <c r="HZ234" s="22"/>
      <c r="IA234" s="22"/>
      <c r="IB234" s="22"/>
      <c r="IC234" s="22"/>
      <c r="ID234" s="22"/>
      <c r="IE234" s="22"/>
      <c r="IF234" s="22"/>
      <c r="IG234" s="22"/>
      <c r="IH234" s="22"/>
      <c r="II234" s="22"/>
      <c r="IJ234" s="22"/>
      <c r="IK234" s="22"/>
      <c r="IL234" s="22"/>
      <c r="IM234" s="22"/>
      <c r="IN234" s="22"/>
      <c r="IO234" s="22"/>
      <c r="IP234" s="22"/>
      <c r="IQ234" s="22"/>
      <c r="IR234" s="22"/>
      <c r="IS234" s="22"/>
      <c r="IT234" s="22"/>
      <c r="IU234" s="22"/>
      <c r="IV234" s="22"/>
    </row>
    <row r="235" spans="1:256" s="64" customFormat="1" ht="15" customHeight="1">
      <c r="A235" s="25" t="s">
        <v>892</v>
      </c>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c r="BH235" s="22"/>
      <c r="BI235" s="22"/>
      <c r="BJ235" s="22"/>
      <c r="BK235" s="22"/>
      <c r="BL235" s="22"/>
      <c r="BM235" s="22"/>
      <c r="BN235" s="22"/>
      <c r="BO235" s="22"/>
      <c r="BP235" s="22"/>
      <c r="BQ235" s="22"/>
      <c r="BR235" s="22"/>
      <c r="BS235" s="22"/>
      <c r="BT235" s="22"/>
      <c r="BU235" s="22"/>
      <c r="BV235" s="22"/>
      <c r="BW235" s="22"/>
      <c r="BX235" s="22"/>
      <c r="BY235" s="22"/>
      <c r="BZ235" s="22"/>
      <c r="CA235" s="22"/>
      <c r="CB235" s="22"/>
      <c r="CC235" s="22"/>
      <c r="CD235" s="22"/>
      <c r="CE235" s="22"/>
      <c r="CF235" s="22"/>
      <c r="CG235" s="22"/>
      <c r="CH235" s="22"/>
      <c r="CI235" s="22"/>
      <c r="CJ235" s="22"/>
      <c r="CK235" s="22"/>
      <c r="CL235" s="22"/>
      <c r="CM235" s="22"/>
      <c r="CN235" s="22"/>
      <c r="CO235" s="22"/>
      <c r="CP235" s="22"/>
      <c r="CQ235" s="22"/>
      <c r="CR235" s="22"/>
      <c r="CS235" s="22"/>
      <c r="CT235" s="22"/>
      <c r="CU235" s="22"/>
      <c r="CV235" s="22"/>
      <c r="CW235" s="22"/>
      <c r="CX235" s="22"/>
      <c r="CY235" s="22"/>
      <c r="CZ235" s="22"/>
      <c r="DA235" s="22"/>
      <c r="DB235" s="22"/>
      <c r="DC235" s="22"/>
      <c r="DD235" s="22"/>
      <c r="DE235" s="22"/>
      <c r="DF235" s="22"/>
      <c r="DG235" s="22"/>
      <c r="DH235" s="22"/>
      <c r="DI235" s="22"/>
      <c r="DJ235" s="22"/>
      <c r="DK235" s="22"/>
      <c r="DL235" s="22"/>
      <c r="DM235" s="22"/>
      <c r="DN235" s="22"/>
      <c r="DO235" s="22"/>
      <c r="DP235" s="22"/>
      <c r="DQ235" s="22"/>
      <c r="DR235" s="22"/>
      <c r="DS235" s="22"/>
      <c r="DT235" s="22"/>
      <c r="DU235" s="22"/>
      <c r="DV235" s="22"/>
      <c r="DW235" s="22"/>
      <c r="DX235" s="22"/>
      <c r="DY235" s="22"/>
      <c r="DZ235" s="22"/>
      <c r="EA235" s="22"/>
      <c r="EB235" s="22"/>
      <c r="EC235" s="22"/>
      <c r="ED235" s="22"/>
      <c r="EE235" s="22"/>
      <c r="EF235" s="22"/>
      <c r="EG235" s="22"/>
      <c r="EH235" s="22"/>
      <c r="EI235" s="22"/>
      <c r="EJ235" s="22"/>
      <c r="EK235" s="22"/>
      <c r="EL235" s="22"/>
      <c r="EM235" s="22"/>
      <c r="EN235" s="22"/>
      <c r="EO235" s="22"/>
      <c r="EP235" s="22"/>
      <c r="EQ235" s="22"/>
      <c r="ER235" s="22"/>
      <c r="ES235" s="22"/>
      <c r="ET235" s="22"/>
      <c r="EU235" s="22"/>
      <c r="EV235" s="22"/>
      <c r="EW235" s="22"/>
      <c r="EX235" s="22"/>
      <c r="EY235" s="22"/>
      <c r="EZ235" s="22"/>
      <c r="FA235" s="22"/>
      <c r="FB235" s="22"/>
      <c r="FC235" s="22"/>
      <c r="FD235" s="22"/>
      <c r="FE235" s="22"/>
      <c r="FF235" s="22"/>
      <c r="FG235" s="22"/>
      <c r="FH235" s="22"/>
      <c r="FI235" s="22"/>
      <c r="FJ235" s="22"/>
      <c r="FK235" s="22"/>
      <c r="FL235" s="22"/>
      <c r="FM235" s="22"/>
      <c r="FN235" s="22"/>
      <c r="FO235" s="22"/>
      <c r="FP235" s="22"/>
      <c r="FQ235" s="22"/>
      <c r="FR235" s="22"/>
      <c r="FS235" s="22"/>
      <c r="FT235" s="22"/>
      <c r="FU235" s="22"/>
      <c r="FV235" s="22"/>
      <c r="FW235" s="22"/>
      <c r="FX235" s="22"/>
      <c r="FY235" s="22"/>
      <c r="FZ235" s="22"/>
      <c r="GA235" s="22"/>
      <c r="GB235" s="22"/>
      <c r="GC235" s="22"/>
      <c r="GD235" s="22"/>
      <c r="GE235" s="22"/>
      <c r="GF235" s="22"/>
      <c r="GG235" s="22"/>
      <c r="GH235" s="22"/>
      <c r="GI235" s="22"/>
      <c r="GJ235" s="22"/>
      <c r="GK235" s="22"/>
      <c r="GL235" s="22"/>
      <c r="GM235" s="22"/>
      <c r="GN235" s="22"/>
      <c r="GO235" s="22"/>
      <c r="GP235" s="22"/>
      <c r="GQ235" s="22"/>
      <c r="GR235" s="22"/>
      <c r="GS235" s="22"/>
      <c r="GT235" s="22"/>
      <c r="GU235" s="22"/>
      <c r="GV235" s="22"/>
      <c r="GW235" s="22"/>
      <c r="GX235" s="22"/>
      <c r="GY235" s="22"/>
      <c r="GZ235" s="22"/>
      <c r="HA235" s="22"/>
      <c r="HB235" s="22"/>
      <c r="HC235" s="22"/>
      <c r="HD235" s="22"/>
      <c r="HE235" s="22"/>
      <c r="HF235" s="22"/>
      <c r="HG235" s="22"/>
      <c r="HH235" s="22"/>
      <c r="HI235" s="22"/>
      <c r="HJ235" s="22"/>
      <c r="HK235" s="22"/>
      <c r="HL235" s="22"/>
      <c r="HM235" s="22"/>
      <c r="HN235" s="22"/>
      <c r="HO235" s="22"/>
      <c r="HP235" s="22"/>
      <c r="HQ235" s="22"/>
      <c r="HR235" s="22"/>
      <c r="HS235" s="22"/>
      <c r="HT235" s="22"/>
      <c r="HU235" s="22"/>
      <c r="HV235" s="22"/>
      <c r="HW235" s="22"/>
      <c r="HX235" s="22"/>
      <c r="HY235" s="22"/>
      <c r="HZ235" s="22"/>
      <c r="IA235" s="22"/>
      <c r="IB235" s="22"/>
      <c r="IC235" s="22"/>
      <c r="ID235" s="22"/>
      <c r="IE235" s="22"/>
      <c r="IF235" s="22"/>
      <c r="IG235" s="22"/>
      <c r="IH235" s="22"/>
      <c r="II235" s="22"/>
      <c r="IJ235" s="22"/>
      <c r="IK235" s="22"/>
      <c r="IL235" s="22"/>
      <c r="IM235" s="22"/>
      <c r="IN235" s="22"/>
      <c r="IO235" s="22"/>
      <c r="IP235" s="22"/>
      <c r="IQ235" s="22"/>
      <c r="IR235" s="22"/>
      <c r="IS235" s="22"/>
      <c r="IT235" s="22"/>
      <c r="IU235" s="22"/>
      <c r="IV235" s="22"/>
    </row>
    <row r="236" spans="1:256" s="31" customFormat="1" ht="15" customHeight="1">
      <c r="A236" s="31" t="s">
        <v>960</v>
      </c>
      <c r="O236" s="26"/>
      <c r="P236" s="26"/>
    </row>
    <row r="237" spans="1:256" s="46" customFormat="1" ht="15" customHeight="1">
      <c r="A237" s="27" t="s">
        <v>961</v>
      </c>
      <c r="B237" s="26"/>
      <c r="C237" s="26"/>
      <c r="D237" s="26"/>
      <c r="E237" s="26"/>
      <c r="F237" s="26"/>
      <c r="G237" s="26"/>
      <c r="H237" s="26"/>
      <c r="I237" s="36"/>
      <c r="J237" s="45"/>
      <c r="K237" s="45"/>
      <c r="L237" s="45"/>
      <c r="M237" s="45"/>
      <c r="N237" s="45"/>
      <c r="O237" s="26"/>
      <c r="P237" s="26"/>
      <c r="Q237" s="45"/>
      <c r="R237" s="45"/>
      <c r="S237" s="45"/>
      <c r="T237" s="26"/>
      <c r="U237" s="26"/>
      <c r="V237" s="45"/>
      <c r="W237" s="45"/>
      <c r="X237" s="45"/>
      <c r="Y237" s="45"/>
      <c r="Z237" s="45"/>
      <c r="AA237" s="45"/>
      <c r="AB237" s="45"/>
      <c r="AC237" s="45"/>
      <c r="AD237" s="45"/>
      <c r="AE237" s="45"/>
      <c r="AF237" s="45"/>
      <c r="AG237" s="45"/>
      <c r="AH237" s="45"/>
      <c r="AI237" s="45"/>
      <c r="AJ237" s="45"/>
      <c r="AK237" s="45"/>
      <c r="AL237" s="45"/>
      <c r="AM237" s="45"/>
      <c r="AN237" s="45"/>
      <c r="AO237" s="45"/>
      <c r="AP237" s="45"/>
      <c r="AQ237" s="45"/>
      <c r="AR237" s="45"/>
      <c r="AS237" s="45"/>
      <c r="AT237" s="45"/>
      <c r="AU237" s="45"/>
      <c r="AV237" s="45"/>
      <c r="AW237" s="45"/>
      <c r="AX237" s="45"/>
      <c r="AY237" s="45"/>
      <c r="AZ237" s="45"/>
      <c r="BA237" s="45"/>
      <c r="BB237" s="45"/>
      <c r="BC237" s="45"/>
      <c r="BD237" s="45"/>
      <c r="BE237" s="45"/>
      <c r="BF237" s="45"/>
      <c r="BG237" s="45"/>
      <c r="BH237" s="45"/>
      <c r="BI237" s="45"/>
      <c r="BJ237" s="45"/>
      <c r="BK237" s="45"/>
      <c r="BL237" s="45"/>
      <c r="BM237" s="45"/>
      <c r="BN237" s="45"/>
      <c r="BO237" s="45"/>
      <c r="BP237" s="45"/>
      <c r="BQ237" s="45"/>
      <c r="BR237" s="45"/>
      <c r="BS237" s="45"/>
      <c r="BT237" s="45"/>
      <c r="BU237" s="45"/>
      <c r="BV237" s="45"/>
      <c r="BW237" s="45"/>
      <c r="BX237" s="45"/>
    </row>
    <row r="238" spans="1:256" s="64" customFormat="1" ht="15" customHeight="1">
      <c r="A238" s="25" t="s">
        <v>1288</v>
      </c>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c r="BH238" s="22"/>
      <c r="BI238" s="22"/>
      <c r="BJ238" s="22"/>
      <c r="BK238" s="22"/>
      <c r="BL238" s="22"/>
      <c r="BM238" s="22"/>
      <c r="BN238" s="22"/>
      <c r="BO238" s="22"/>
      <c r="BP238" s="22"/>
      <c r="BQ238" s="22"/>
      <c r="BR238" s="22"/>
      <c r="BS238" s="22"/>
      <c r="BT238" s="22"/>
      <c r="BU238" s="22"/>
      <c r="BV238" s="22"/>
      <c r="BW238" s="22"/>
      <c r="BX238" s="22"/>
      <c r="BY238" s="22"/>
      <c r="BZ238" s="22"/>
      <c r="CA238" s="22"/>
      <c r="CB238" s="22"/>
      <c r="CC238" s="22"/>
      <c r="CD238" s="22"/>
      <c r="CE238" s="22"/>
      <c r="CF238" s="22"/>
      <c r="CG238" s="22"/>
      <c r="CH238" s="22"/>
      <c r="CI238" s="22"/>
      <c r="CJ238" s="22"/>
      <c r="CK238" s="22"/>
      <c r="CL238" s="22"/>
      <c r="CM238" s="22"/>
      <c r="CN238" s="22"/>
      <c r="CO238" s="22"/>
      <c r="CP238" s="22"/>
      <c r="CQ238" s="22"/>
      <c r="CR238" s="22"/>
      <c r="CS238" s="22"/>
      <c r="CT238" s="22"/>
      <c r="CU238" s="22"/>
      <c r="CV238" s="22"/>
      <c r="CW238" s="22"/>
      <c r="CX238" s="22"/>
      <c r="CY238" s="22"/>
      <c r="CZ238" s="22"/>
      <c r="DA238" s="22"/>
      <c r="DB238" s="22"/>
      <c r="DC238" s="22"/>
      <c r="DD238" s="22"/>
      <c r="DE238" s="22"/>
      <c r="DF238" s="22"/>
      <c r="DG238" s="22"/>
      <c r="DH238" s="22"/>
      <c r="DI238" s="22"/>
      <c r="DJ238" s="22"/>
      <c r="DK238" s="22"/>
      <c r="DL238" s="22"/>
      <c r="DM238" s="22"/>
      <c r="DN238" s="22"/>
      <c r="DO238" s="22"/>
      <c r="DP238" s="22"/>
      <c r="DQ238" s="22"/>
      <c r="DR238" s="22"/>
      <c r="DS238" s="22"/>
      <c r="DT238" s="22"/>
      <c r="DU238" s="22"/>
      <c r="DV238" s="22"/>
      <c r="DW238" s="22"/>
      <c r="DX238" s="22"/>
      <c r="DY238" s="22"/>
      <c r="DZ238" s="22"/>
      <c r="EA238" s="22"/>
      <c r="EB238" s="22"/>
      <c r="EC238" s="22"/>
      <c r="ED238" s="22"/>
      <c r="EE238" s="22"/>
      <c r="EF238" s="22"/>
      <c r="EG238" s="22"/>
      <c r="EH238" s="22"/>
      <c r="EI238" s="22"/>
      <c r="EJ238" s="22"/>
      <c r="EK238" s="22"/>
      <c r="EL238" s="22"/>
      <c r="EM238" s="22"/>
      <c r="EN238" s="22"/>
      <c r="EO238" s="22"/>
      <c r="EP238" s="22"/>
      <c r="EQ238" s="22"/>
      <c r="ER238" s="22"/>
      <c r="ES238" s="22"/>
      <c r="ET238" s="22"/>
      <c r="EU238" s="22"/>
      <c r="EV238" s="22"/>
      <c r="EW238" s="22"/>
      <c r="EX238" s="22"/>
      <c r="EY238" s="22"/>
      <c r="EZ238" s="22"/>
      <c r="FA238" s="22"/>
      <c r="FB238" s="22"/>
      <c r="FC238" s="22"/>
      <c r="FD238" s="22"/>
      <c r="FE238" s="22"/>
      <c r="FF238" s="22"/>
      <c r="FG238" s="22"/>
      <c r="FH238" s="22"/>
      <c r="FI238" s="22"/>
      <c r="FJ238" s="22"/>
      <c r="FK238" s="22"/>
      <c r="FL238" s="22"/>
      <c r="FM238" s="22"/>
      <c r="FN238" s="22"/>
      <c r="FO238" s="22"/>
      <c r="FP238" s="22"/>
      <c r="FQ238" s="22"/>
      <c r="FR238" s="22"/>
      <c r="FS238" s="22"/>
      <c r="FT238" s="22"/>
      <c r="FU238" s="22"/>
      <c r="FV238" s="22"/>
      <c r="FW238" s="22"/>
      <c r="FX238" s="22"/>
      <c r="FY238" s="22"/>
      <c r="FZ238" s="22"/>
      <c r="GA238" s="22"/>
      <c r="GB238" s="22"/>
      <c r="GC238" s="22"/>
      <c r="GD238" s="22"/>
      <c r="GE238" s="22"/>
      <c r="GF238" s="22"/>
      <c r="GG238" s="22"/>
      <c r="GH238" s="22"/>
      <c r="GI238" s="22"/>
      <c r="GJ238" s="22"/>
      <c r="GK238" s="22"/>
      <c r="GL238" s="22"/>
      <c r="GM238" s="22"/>
      <c r="GN238" s="22"/>
      <c r="GO238" s="22"/>
      <c r="GP238" s="22"/>
      <c r="GQ238" s="22"/>
      <c r="GR238" s="22"/>
      <c r="GS238" s="22"/>
      <c r="GT238" s="22"/>
      <c r="GU238" s="22"/>
      <c r="GV238" s="22"/>
      <c r="GW238" s="22"/>
      <c r="GX238" s="22"/>
      <c r="GY238" s="22"/>
      <c r="GZ238" s="22"/>
      <c r="HA238" s="22"/>
      <c r="HB238" s="22"/>
      <c r="HC238" s="22"/>
      <c r="HD238" s="22"/>
      <c r="HE238" s="22"/>
      <c r="HF238" s="22"/>
      <c r="HG238" s="22"/>
      <c r="HH238" s="22"/>
      <c r="HI238" s="22"/>
      <c r="HJ238" s="22"/>
      <c r="HK238" s="22"/>
      <c r="HL238" s="22"/>
      <c r="HM238" s="22"/>
      <c r="HN238" s="22"/>
      <c r="HO238" s="22"/>
      <c r="HP238" s="22"/>
      <c r="HQ238" s="22"/>
      <c r="HR238" s="22"/>
      <c r="HS238" s="22"/>
      <c r="HT238" s="22"/>
      <c r="HU238" s="22"/>
      <c r="HV238" s="22"/>
      <c r="HW238" s="22"/>
      <c r="HX238" s="22"/>
      <c r="HY238" s="22"/>
      <c r="HZ238" s="22"/>
      <c r="IA238" s="22"/>
      <c r="IB238" s="22"/>
      <c r="IC238" s="22"/>
      <c r="ID238" s="22"/>
      <c r="IE238" s="22"/>
      <c r="IF238" s="22"/>
      <c r="IG238" s="22"/>
      <c r="IH238" s="22"/>
      <c r="II238" s="22"/>
      <c r="IJ238" s="22"/>
      <c r="IK238" s="22"/>
      <c r="IL238" s="22"/>
      <c r="IM238" s="22"/>
      <c r="IN238" s="22"/>
      <c r="IO238" s="22"/>
      <c r="IP238" s="22"/>
      <c r="IQ238" s="22"/>
      <c r="IR238" s="22"/>
      <c r="IS238" s="22"/>
      <c r="IT238" s="22"/>
      <c r="IU238" s="22"/>
      <c r="IV238" s="22"/>
    </row>
    <row r="239" spans="1:256" s="64" customFormat="1" ht="15" customHeight="1">
      <c r="A239" s="25" t="s">
        <v>1289</v>
      </c>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c r="BH239" s="22"/>
      <c r="BI239" s="22"/>
      <c r="BJ239" s="22"/>
      <c r="BK239" s="22"/>
      <c r="BL239" s="22"/>
      <c r="BM239" s="22"/>
      <c r="BN239" s="22"/>
      <c r="BO239" s="22"/>
      <c r="BP239" s="22"/>
      <c r="BQ239" s="22"/>
      <c r="BR239" s="22"/>
      <c r="BS239" s="22"/>
      <c r="BT239" s="22"/>
      <c r="BU239" s="22"/>
      <c r="BV239" s="22"/>
      <c r="BW239" s="22"/>
      <c r="BX239" s="22"/>
      <c r="BY239" s="22"/>
      <c r="BZ239" s="22"/>
      <c r="CA239" s="22"/>
      <c r="CB239" s="22"/>
      <c r="CC239" s="22"/>
      <c r="CD239" s="22"/>
      <c r="CE239" s="22"/>
      <c r="CF239" s="22"/>
      <c r="CG239" s="22"/>
      <c r="CH239" s="22"/>
      <c r="CI239" s="22"/>
      <c r="CJ239" s="22"/>
      <c r="CK239" s="22"/>
      <c r="CL239" s="22"/>
      <c r="CM239" s="22"/>
      <c r="CN239" s="22"/>
      <c r="CO239" s="22"/>
      <c r="CP239" s="22"/>
      <c r="CQ239" s="22"/>
      <c r="CR239" s="22"/>
      <c r="CS239" s="22"/>
      <c r="CT239" s="22"/>
      <c r="CU239" s="22"/>
      <c r="CV239" s="22"/>
      <c r="CW239" s="22"/>
      <c r="CX239" s="22"/>
      <c r="CY239" s="22"/>
      <c r="CZ239" s="22"/>
      <c r="DA239" s="22"/>
      <c r="DB239" s="22"/>
      <c r="DC239" s="22"/>
      <c r="DD239" s="22"/>
      <c r="DE239" s="22"/>
      <c r="DF239" s="22"/>
      <c r="DG239" s="22"/>
      <c r="DH239" s="22"/>
      <c r="DI239" s="22"/>
      <c r="DJ239" s="22"/>
      <c r="DK239" s="22"/>
      <c r="DL239" s="22"/>
      <c r="DM239" s="22"/>
      <c r="DN239" s="22"/>
      <c r="DO239" s="22"/>
      <c r="DP239" s="22"/>
      <c r="DQ239" s="22"/>
      <c r="DR239" s="22"/>
      <c r="DS239" s="22"/>
      <c r="DT239" s="22"/>
      <c r="DU239" s="22"/>
      <c r="DV239" s="22"/>
      <c r="DW239" s="22"/>
      <c r="DX239" s="22"/>
      <c r="DY239" s="22"/>
      <c r="DZ239" s="22"/>
      <c r="EA239" s="22"/>
      <c r="EB239" s="22"/>
      <c r="EC239" s="22"/>
      <c r="ED239" s="22"/>
      <c r="EE239" s="22"/>
      <c r="EF239" s="22"/>
      <c r="EG239" s="22"/>
      <c r="EH239" s="22"/>
      <c r="EI239" s="22"/>
      <c r="EJ239" s="22"/>
      <c r="EK239" s="22"/>
      <c r="EL239" s="22"/>
      <c r="EM239" s="22"/>
      <c r="EN239" s="22"/>
      <c r="EO239" s="22"/>
      <c r="EP239" s="22"/>
      <c r="EQ239" s="22"/>
      <c r="ER239" s="22"/>
      <c r="ES239" s="22"/>
      <c r="ET239" s="22"/>
      <c r="EU239" s="22"/>
      <c r="EV239" s="22"/>
      <c r="EW239" s="22"/>
      <c r="EX239" s="22"/>
      <c r="EY239" s="22"/>
      <c r="EZ239" s="22"/>
      <c r="FA239" s="22"/>
      <c r="FB239" s="22"/>
      <c r="FC239" s="22"/>
      <c r="FD239" s="22"/>
      <c r="FE239" s="22"/>
      <c r="FF239" s="22"/>
      <c r="FG239" s="22"/>
      <c r="FH239" s="22"/>
      <c r="FI239" s="22"/>
      <c r="FJ239" s="22"/>
      <c r="FK239" s="22"/>
      <c r="FL239" s="22"/>
      <c r="FM239" s="22"/>
      <c r="FN239" s="22"/>
      <c r="FO239" s="22"/>
      <c r="FP239" s="22"/>
      <c r="FQ239" s="22"/>
      <c r="FR239" s="22"/>
      <c r="FS239" s="22"/>
      <c r="FT239" s="22"/>
      <c r="FU239" s="22"/>
      <c r="FV239" s="22"/>
      <c r="FW239" s="22"/>
      <c r="FX239" s="22"/>
      <c r="FY239" s="22"/>
      <c r="FZ239" s="22"/>
      <c r="GA239" s="22"/>
      <c r="GB239" s="22"/>
      <c r="GC239" s="22"/>
      <c r="GD239" s="22"/>
      <c r="GE239" s="22"/>
      <c r="GF239" s="22"/>
      <c r="GG239" s="22"/>
      <c r="GH239" s="22"/>
      <c r="GI239" s="22"/>
      <c r="GJ239" s="22"/>
      <c r="GK239" s="22"/>
      <c r="GL239" s="22"/>
      <c r="GM239" s="22"/>
      <c r="GN239" s="22"/>
      <c r="GO239" s="22"/>
      <c r="GP239" s="22"/>
      <c r="GQ239" s="22"/>
      <c r="GR239" s="22"/>
      <c r="GS239" s="22"/>
      <c r="GT239" s="22"/>
      <c r="GU239" s="22"/>
      <c r="GV239" s="22"/>
      <c r="GW239" s="22"/>
      <c r="GX239" s="22"/>
      <c r="GY239" s="22"/>
      <c r="GZ239" s="22"/>
      <c r="HA239" s="22"/>
      <c r="HB239" s="22"/>
      <c r="HC239" s="22"/>
      <c r="HD239" s="22"/>
      <c r="HE239" s="22"/>
      <c r="HF239" s="22"/>
      <c r="HG239" s="22"/>
      <c r="HH239" s="22"/>
      <c r="HI239" s="22"/>
      <c r="HJ239" s="22"/>
      <c r="HK239" s="22"/>
      <c r="HL239" s="22"/>
      <c r="HM239" s="22"/>
      <c r="HN239" s="22"/>
      <c r="HO239" s="22"/>
      <c r="HP239" s="22"/>
      <c r="HQ239" s="22"/>
      <c r="HR239" s="22"/>
      <c r="HS239" s="22"/>
      <c r="HT239" s="22"/>
      <c r="HU239" s="22"/>
      <c r="HV239" s="22"/>
      <c r="HW239" s="22"/>
      <c r="HX239" s="22"/>
      <c r="HY239" s="22"/>
      <c r="HZ239" s="22"/>
      <c r="IA239" s="22"/>
      <c r="IB239" s="22"/>
      <c r="IC239" s="22"/>
      <c r="ID239" s="22"/>
      <c r="IE239" s="22"/>
      <c r="IF239" s="22"/>
      <c r="IG239" s="22"/>
      <c r="IH239" s="22"/>
      <c r="II239" s="22"/>
      <c r="IJ239" s="22"/>
      <c r="IK239" s="22"/>
      <c r="IL239" s="22"/>
      <c r="IM239" s="22"/>
      <c r="IN239" s="22"/>
      <c r="IO239" s="22"/>
      <c r="IP239" s="22"/>
      <c r="IQ239" s="22"/>
      <c r="IR239" s="22"/>
      <c r="IS239" s="22"/>
      <c r="IT239" s="22"/>
      <c r="IU239" s="22"/>
      <c r="IV239" s="22"/>
    </row>
    <row r="240" spans="1:256" s="64" customFormat="1" ht="15" customHeight="1">
      <c r="A240" s="25" t="s">
        <v>1290</v>
      </c>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c r="AZ240" s="22"/>
      <c r="BA240" s="22"/>
      <c r="BB240" s="22"/>
      <c r="BC240" s="22"/>
      <c r="BD240" s="22"/>
      <c r="BE240" s="22"/>
      <c r="BF240" s="22"/>
      <c r="BG240" s="22"/>
      <c r="BH240" s="22"/>
      <c r="BI240" s="22"/>
      <c r="BJ240" s="22"/>
      <c r="BK240" s="22"/>
      <c r="BL240" s="22"/>
      <c r="BM240" s="22"/>
      <c r="BN240" s="22"/>
      <c r="BO240" s="22"/>
      <c r="BP240" s="22"/>
      <c r="BQ240" s="22"/>
      <c r="BR240" s="22"/>
      <c r="BS240" s="22"/>
      <c r="BT240" s="22"/>
      <c r="BU240" s="22"/>
      <c r="BV240" s="22"/>
      <c r="BW240" s="22"/>
      <c r="BX240" s="22"/>
      <c r="BY240" s="22"/>
      <c r="BZ240" s="22"/>
      <c r="CA240" s="22"/>
      <c r="CB240" s="22"/>
      <c r="CC240" s="22"/>
      <c r="CD240" s="22"/>
      <c r="CE240" s="22"/>
      <c r="CF240" s="22"/>
      <c r="CG240" s="22"/>
      <c r="CH240" s="22"/>
      <c r="CI240" s="22"/>
      <c r="CJ240" s="22"/>
      <c r="CK240" s="22"/>
      <c r="CL240" s="22"/>
      <c r="CM240" s="22"/>
      <c r="CN240" s="22"/>
      <c r="CO240" s="22"/>
      <c r="CP240" s="22"/>
      <c r="CQ240" s="22"/>
      <c r="CR240" s="22"/>
      <c r="CS240" s="22"/>
      <c r="CT240" s="22"/>
      <c r="CU240" s="22"/>
      <c r="CV240" s="22"/>
      <c r="CW240" s="22"/>
      <c r="CX240" s="22"/>
      <c r="CY240" s="22"/>
      <c r="CZ240" s="22"/>
      <c r="DA240" s="22"/>
      <c r="DB240" s="22"/>
      <c r="DC240" s="22"/>
      <c r="DD240" s="22"/>
      <c r="DE240" s="22"/>
      <c r="DF240" s="22"/>
      <c r="DG240" s="22"/>
      <c r="DH240" s="22"/>
      <c r="DI240" s="22"/>
      <c r="DJ240" s="22"/>
      <c r="DK240" s="22"/>
      <c r="DL240" s="22"/>
      <c r="DM240" s="22"/>
      <c r="DN240" s="22"/>
      <c r="DO240" s="22"/>
      <c r="DP240" s="22"/>
      <c r="DQ240" s="22"/>
      <c r="DR240" s="22"/>
      <c r="DS240" s="22"/>
      <c r="DT240" s="22"/>
      <c r="DU240" s="22"/>
      <c r="DV240" s="22"/>
      <c r="DW240" s="22"/>
      <c r="DX240" s="22"/>
      <c r="DY240" s="22"/>
      <c r="DZ240" s="22"/>
      <c r="EA240" s="22"/>
      <c r="EB240" s="22"/>
      <c r="EC240" s="22"/>
      <c r="ED240" s="22"/>
      <c r="EE240" s="22"/>
      <c r="EF240" s="22"/>
      <c r="EG240" s="22"/>
      <c r="EH240" s="22"/>
      <c r="EI240" s="22"/>
      <c r="EJ240" s="22"/>
      <c r="EK240" s="22"/>
      <c r="EL240" s="22"/>
      <c r="EM240" s="22"/>
      <c r="EN240" s="22"/>
      <c r="EO240" s="22"/>
      <c r="EP240" s="22"/>
      <c r="EQ240" s="22"/>
      <c r="ER240" s="22"/>
      <c r="ES240" s="22"/>
      <c r="ET240" s="22"/>
      <c r="EU240" s="22"/>
      <c r="EV240" s="22"/>
      <c r="EW240" s="22"/>
      <c r="EX240" s="22"/>
      <c r="EY240" s="22"/>
      <c r="EZ240" s="22"/>
      <c r="FA240" s="22"/>
      <c r="FB240" s="22"/>
      <c r="FC240" s="22"/>
      <c r="FD240" s="22"/>
      <c r="FE240" s="22"/>
      <c r="FF240" s="22"/>
      <c r="FG240" s="22"/>
      <c r="FH240" s="22"/>
      <c r="FI240" s="22"/>
      <c r="FJ240" s="22"/>
      <c r="FK240" s="22"/>
      <c r="FL240" s="22"/>
      <c r="FM240" s="22"/>
      <c r="FN240" s="22"/>
      <c r="FO240" s="22"/>
      <c r="FP240" s="22"/>
      <c r="FQ240" s="22"/>
      <c r="FR240" s="22"/>
      <c r="FS240" s="22"/>
      <c r="FT240" s="22"/>
      <c r="FU240" s="22"/>
      <c r="FV240" s="22"/>
      <c r="FW240" s="22"/>
      <c r="FX240" s="22"/>
      <c r="FY240" s="22"/>
      <c r="FZ240" s="22"/>
      <c r="GA240" s="22"/>
      <c r="GB240" s="22"/>
      <c r="GC240" s="22"/>
      <c r="GD240" s="22"/>
      <c r="GE240" s="22"/>
      <c r="GF240" s="22"/>
      <c r="GG240" s="22"/>
      <c r="GH240" s="22"/>
      <c r="GI240" s="22"/>
      <c r="GJ240" s="22"/>
      <c r="GK240" s="22"/>
      <c r="GL240" s="22"/>
      <c r="GM240" s="22"/>
      <c r="GN240" s="22"/>
      <c r="GO240" s="22"/>
      <c r="GP240" s="22"/>
      <c r="GQ240" s="22"/>
      <c r="GR240" s="22"/>
      <c r="GS240" s="22"/>
      <c r="GT240" s="22"/>
      <c r="GU240" s="22"/>
      <c r="GV240" s="22"/>
      <c r="GW240" s="22"/>
      <c r="GX240" s="22"/>
      <c r="GY240" s="22"/>
      <c r="GZ240" s="22"/>
      <c r="HA240" s="22"/>
      <c r="HB240" s="22"/>
      <c r="HC240" s="22"/>
      <c r="HD240" s="22"/>
      <c r="HE240" s="22"/>
      <c r="HF240" s="22"/>
      <c r="HG240" s="22"/>
      <c r="HH240" s="22"/>
      <c r="HI240" s="22"/>
      <c r="HJ240" s="22"/>
      <c r="HK240" s="22"/>
      <c r="HL240" s="22"/>
      <c r="HM240" s="22"/>
      <c r="HN240" s="22"/>
      <c r="HO240" s="22"/>
      <c r="HP240" s="22"/>
      <c r="HQ240" s="22"/>
      <c r="HR240" s="22"/>
      <c r="HS240" s="22"/>
      <c r="HT240" s="22"/>
      <c r="HU240" s="22"/>
      <c r="HV240" s="22"/>
      <c r="HW240" s="22"/>
      <c r="HX240" s="22"/>
      <c r="HY240" s="22"/>
      <c r="HZ240" s="22"/>
      <c r="IA240" s="22"/>
      <c r="IB240" s="22"/>
      <c r="IC240" s="22"/>
      <c r="ID240" s="22"/>
      <c r="IE240" s="22"/>
      <c r="IF240" s="22"/>
      <c r="IG240" s="22"/>
      <c r="IH240" s="22"/>
      <c r="II240" s="22"/>
      <c r="IJ240" s="22"/>
      <c r="IK240" s="22"/>
      <c r="IL240" s="22"/>
      <c r="IM240" s="22"/>
      <c r="IN240" s="22"/>
      <c r="IO240" s="22"/>
      <c r="IP240" s="22"/>
      <c r="IQ240" s="22"/>
      <c r="IR240" s="22"/>
      <c r="IS240" s="22"/>
      <c r="IT240" s="22"/>
      <c r="IU240" s="22"/>
      <c r="IV240" s="22"/>
    </row>
    <row r="241" spans="1:256" s="64" customFormat="1" ht="15" customHeight="1">
      <c r="A241" s="25" t="s">
        <v>1036</v>
      </c>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c r="AZ241" s="22"/>
      <c r="BA241" s="22"/>
      <c r="BB241" s="22"/>
      <c r="BC241" s="22"/>
      <c r="BD241" s="22"/>
      <c r="BE241" s="22"/>
      <c r="BF241" s="22"/>
      <c r="BG241" s="22"/>
      <c r="BH241" s="22"/>
      <c r="BI241" s="22"/>
      <c r="BJ241" s="22"/>
      <c r="BK241" s="22"/>
      <c r="BL241" s="22"/>
      <c r="BM241" s="22"/>
      <c r="BN241" s="22"/>
      <c r="BO241" s="22"/>
      <c r="BP241" s="22"/>
      <c r="BQ241" s="22"/>
      <c r="BR241" s="22"/>
      <c r="BS241" s="22"/>
      <c r="BT241" s="22"/>
      <c r="BU241" s="22"/>
      <c r="BV241" s="22"/>
      <c r="BW241" s="22"/>
      <c r="BX241" s="22"/>
      <c r="BY241" s="22"/>
      <c r="BZ241" s="22"/>
      <c r="CA241" s="22"/>
      <c r="CB241" s="22"/>
      <c r="CC241" s="22"/>
      <c r="CD241" s="22"/>
      <c r="CE241" s="22"/>
      <c r="CF241" s="22"/>
      <c r="CG241" s="22"/>
      <c r="CH241" s="22"/>
      <c r="CI241" s="22"/>
      <c r="CJ241" s="22"/>
      <c r="CK241" s="22"/>
      <c r="CL241" s="22"/>
      <c r="CM241" s="22"/>
      <c r="CN241" s="22"/>
      <c r="CO241" s="22"/>
      <c r="CP241" s="22"/>
      <c r="CQ241" s="22"/>
      <c r="CR241" s="22"/>
      <c r="CS241" s="22"/>
      <c r="CT241" s="22"/>
      <c r="CU241" s="22"/>
      <c r="CV241" s="22"/>
      <c r="CW241" s="22"/>
      <c r="CX241" s="22"/>
      <c r="CY241" s="22"/>
      <c r="CZ241" s="22"/>
      <c r="DA241" s="22"/>
      <c r="DB241" s="22"/>
      <c r="DC241" s="22"/>
      <c r="DD241" s="22"/>
      <c r="DE241" s="22"/>
      <c r="DF241" s="22"/>
      <c r="DG241" s="22"/>
      <c r="DH241" s="22"/>
      <c r="DI241" s="22"/>
      <c r="DJ241" s="22"/>
      <c r="DK241" s="22"/>
      <c r="DL241" s="22"/>
      <c r="DM241" s="22"/>
      <c r="DN241" s="22"/>
      <c r="DO241" s="22"/>
      <c r="DP241" s="22"/>
      <c r="DQ241" s="22"/>
      <c r="DR241" s="22"/>
      <c r="DS241" s="22"/>
      <c r="DT241" s="22"/>
      <c r="DU241" s="22"/>
      <c r="DV241" s="22"/>
      <c r="DW241" s="22"/>
      <c r="DX241" s="22"/>
      <c r="DY241" s="22"/>
      <c r="DZ241" s="22"/>
      <c r="EA241" s="22"/>
      <c r="EB241" s="22"/>
      <c r="EC241" s="22"/>
      <c r="ED241" s="22"/>
      <c r="EE241" s="22"/>
      <c r="EF241" s="22"/>
      <c r="EG241" s="22"/>
      <c r="EH241" s="22"/>
      <c r="EI241" s="22"/>
      <c r="EJ241" s="22"/>
      <c r="EK241" s="22"/>
      <c r="EL241" s="22"/>
      <c r="EM241" s="22"/>
      <c r="EN241" s="22"/>
      <c r="EO241" s="22"/>
      <c r="EP241" s="22"/>
      <c r="EQ241" s="22"/>
      <c r="ER241" s="22"/>
      <c r="ES241" s="22"/>
      <c r="ET241" s="22"/>
      <c r="EU241" s="22"/>
      <c r="EV241" s="22"/>
      <c r="EW241" s="22"/>
      <c r="EX241" s="22"/>
      <c r="EY241" s="22"/>
      <c r="EZ241" s="22"/>
      <c r="FA241" s="22"/>
      <c r="FB241" s="22"/>
      <c r="FC241" s="22"/>
      <c r="FD241" s="22"/>
      <c r="FE241" s="22"/>
      <c r="FF241" s="22"/>
      <c r="FG241" s="22"/>
      <c r="FH241" s="22"/>
      <c r="FI241" s="22"/>
      <c r="FJ241" s="22"/>
      <c r="FK241" s="22"/>
      <c r="FL241" s="22"/>
      <c r="FM241" s="22"/>
      <c r="FN241" s="22"/>
      <c r="FO241" s="22"/>
      <c r="FP241" s="22"/>
      <c r="FQ241" s="22"/>
      <c r="FR241" s="22"/>
      <c r="FS241" s="22"/>
      <c r="FT241" s="22"/>
      <c r="FU241" s="22"/>
      <c r="FV241" s="22"/>
      <c r="FW241" s="22"/>
      <c r="FX241" s="22"/>
      <c r="FY241" s="22"/>
      <c r="FZ241" s="22"/>
      <c r="GA241" s="22"/>
      <c r="GB241" s="22"/>
      <c r="GC241" s="22"/>
      <c r="GD241" s="22"/>
      <c r="GE241" s="22"/>
      <c r="GF241" s="22"/>
      <c r="GG241" s="22"/>
      <c r="GH241" s="22"/>
      <c r="GI241" s="22"/>
      <c r="GJ241" s="22"/>
      <c r="GK241" s="22"/>
      <c r="GL241" s="22"/>
      <c r="GM241" s="22"/>
      <c r="GN241" s="22"/>
      <c r="GO241" s="22"/>
      <c r="GP241" s="22"/>
      <c r="GQ241" s="22"/>
      <c r="GR241" s="22"/>
      <c r="GS241" s="22"/>
      <c r="GT241" s="22"/>
      <c r="GU241" s="22"/>
      <c r="GV241" s="22"/>
      <c r="GW241" s="22"/>
      <c r="GX241" s="22"/>
      <c r="GY241" s="22"/>
      <c r="GZ241" s="22"/>
      <c r="HA241" s="22"/>
      <c r="HB241" s="22"/>
      <c r="HC241" s="22"/>
      <c r="HD241" s="22"/>
      <c r="HE241" s="22"/>
      <c r="HF241" s="22"/>
      <c r="HG241" s="22"/>
      <c r="HH241" s="22"/>
      <c r="HI241" s="22"/>
      <c r="HJ241" s="22"/>
      <c r="HK241" s="22"/>
      <c r="HL241" s="22"/>
      <c r="HM241" s="22"/>
      <c r="HN241" s="22"/>
      <c r="HO241" s="22"/>
      <c r="HP241" s="22"/>
      <c r="HQ241" s="22"/>
      <c r="HR241" s="22"/>
      <c r="HS241" s="22"/>
      <c r="HT241" s="22"/>
      <c r="HU241" s="22"/>
      <c r="HV241" s="22"/>
      <c r="HW241" s="22"/>
      <c r="HX241" s="22"/>
      <c r="HY241" s="22"/>
      <c r="HZ241" s="22"/>
      <c r="IA241" s="22"/>
      <c r="IB241" s="22"/>
      <c r="IC241" s="22"/>
      <c r="ID241" s="22"/>
      <c r="IE241" s="22"/>
      <c r="IF241" s="22"/>
      <c r="IG241" s="22"/>
      <c r="IH241" s="22"/>
      <c r="II241" s="22"/>
      <c r="IJ241" s="22"/>
      <c r="IK241" s="22"/>
      <c r="IL241" s="22"/>
      <c r="IM241" s="22"/>
      <c r="IN241" s="22"/>
      <c r="IO241" s="22"/>
      <c r="IP241" s="22"/>
      <c r="IQ241" s="22"/>
      <c r="IR241" s="22"/>
      <c r="IS241" s="22"/>
      <c r="IT241" s="22"/>
      <c r="IU241" s="22"/>
      <c r="IV241" s="22"/>
    </row>
    <row r="242" spans="1:256" s="64" customFormat="1" ht="15" customHeight="1">
      <c r="A242" s="25" t="s">
        <v>917</v>
      </c>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c r="AZ242" s="22"/>
      <c r="BA242" s="22"/>
      <c r="BB242" s="22"/>
      <c r="BC242" s="22"/>
      <c r="BD242" s="22"/>
      <c r="BE242" s="22"/>
      <c r="BF242" s="22"/>
      <c r="BG242" s="22"/>
      <c r="BH242" s="22"/>
      <c r="BI242" s="22"/>
      <c r="BJ242" s="22"/>
      <c r="BK242" s="22"/>
      <c r="BL242" s="22"/>
      <c r="BM242" s="22"/>
      <c r="BN242" s="22"/>
      <c r="BO242" s="22"/>
      <c r="BP242" s="22"/>
      <c r="BQ242" s="22"/>
      <c r="BR242" s="22"/>
      <c r="BS242" s="22"/>
      <c r="BT242" s="22"/>
      <c r="BU242" s="22"/>
      <c r="BV242" s="22"/>
      <c r="BW242" s="22"/>
      <c r="BX242" s="22"/>
      <c r="BY242" s="22"/>
      <c r="BZ242" s="22"/>
      <c r="CA242" s="22"/>
      <c r="CB242" s="22"/>
      <c r="CC242" s="22"/>
      <c r="CD242" s="22"/>
      <c r="CE242" s="22"/>
      <c r="CF242" s="22"/>
      <c r="CG242" s="22"/>
      <c r="CH242" s="22"/>
      <c r="CI242" s="22"/>
      <c r="CJ242" s="22"/>
      <c r="CK242" s="22"/>
      <c r="CL242" s="22"/>
      <c r="CM242" s="22"/>
      <c r="CN242" s="22"/>
      <c r="CO242" s="22"/>
      <c r="CP242" s="22"/>
      <c r="CQ242" s="22"/>
      <c r="CR242" s="22"/>
      <c r="CS242" s="22"/>
      <c r="CT242" s="22"/>
      <c r="CU242" s="22"/>
      <c r="CV242" s="22"/>
      <c r="CW242" s="22"/>
      <c r="CX242" s="22"/>
      <c r="CY242" s="22"/>
      <c r="CZ242" s="22"/>
      <c r="DA242" s="22"/>
      <c r="DB242" s="22"/>
      <c r="DC242" s="22"/>
      <c r="DD242" s="22"/>
      <c r="DE242" s="22"/>
      <c r="DF242" s="22"/>
      <c r="DG242" s="22"/>
      <c r="DH242" s="22"/>
      <c r="DI242" s="22"/>
      <c r="DJ242" s="22"/>
      <c r="DK242" s="22"/>
      <c r="DL242" s="22"/>
      <c r="DM242" s="22"/>
      <c r="DN242" s="22"/>
      <c r="DO242" s="22"/>
      <c r="DP242" s="22"/>
      <c r="DQ242" s="22"/>
      <c r="DR242" s="22"/>
      <c r="DS242" s="22"/>
      <c r="DT242" s="22"/>
      <c r="DU242" s="22"/>
      <c r="DV242" s="22"/>
      <c r="DW242" s="22"/>
      <c r="DX242" s="22"/>
      <c r="DY242" s="22"/>
      <c r="DZ242" s="22"/>
      <c r="EA242" s="22"/>
      <c r="EB242" s="22"/>
      <c r="EC242" s="22"/>
      <c r="ED242" s="22"/>
      <c r="EE242" s="22"/>
      <c r="EF242" s="22"/>
      <c r="EG242" s="22"/>
      <c r="EH242" s="22"/>
      <c r="EI242" s="22"/>
      <c r="EJ242" s="22"/>
      <c r="EK242" s="22"/>
      <c r="EL242" s="22"/>
      <c r="EM242" s="22"/>
      <c r="EN242" s="22"/>
      <c r="EO242" s="22"/>
      <c r="EP242" s="22"/>
      <c r="EQ242" s="22"/>
      <c r="ER242" s="22"/>
      <c r="ES242" s="22"/>
      <c r="ET242" s="22"/>
      <c r="EU242" s="22"/>
      <c r="EV242" s="22"/>
      <c r="EW242" s="22"/>
      <c r="EX242" s="22"/>
      <c r="EY242" s="22"/>
      <c r="EZ242" s="22"/>
      <c r="FA242" s="22"/>
      <c r="FB242" s="22"/>
      <c r="FC242" s="22"/>
      <c r="FD242" s="22"/>
      <c r="FE242" s="22"/>
      <c r="FF242" s="22"/>
      <c r="FG242" s="22"/>
      <c r="FH242" s="22"/>
      <c r="FI242" s="22"/>
      <c r="FJ242" s="22"/>
      <c r="FK242" s="22"/>
      <c r="FL242" s="22"/>
      <c r="FM242" s="22"/>
      <c r="FN242" s="22"/>
      <c r="FO242" s="22"/>
      <c r="FP242" s="22"/>
      <c r="FQ242" s="22"/>
      <c r="FR242" s="22"/>
      <c r="FS242" s="22"/>
      <c r="FT242" s="22"/>
      <c r="FU242" s="22"/>
      <c r="FV242" s="22"/>
      <c r="FW242" s="22"/>
      <c r="FX242" s="22"/>
      <c r="FY242" s="22"/>
      <c r="FZ242" s="22"/>
      <c r="GA242" s="22"/>
      <c r="GB242" s="22"/>
      <c r="GC242" s="22"/>
      <c r="GD242" s="22"/>
      <c r="GE242" s="22"/>
      <c r="GF242" s="22"/>
      <c r="GG242" s="22"/>
      <c r="GH242" s="22"/>
      <c r="GI242" s="22"/>
      <c r="GJ242" s="22"/>
      <c r="GK242" s="22"/>
      <c r="GL242" s="22"/>
      <c r="GM242" s="22"/>
      <c r="GN242" s="22"/>
      <c r="GO242" s="22"/>
      <c r="GP242" s="22"/>
      <c r="GQ242" s="22"/>
      <c r="GR242" s="22"/>
      <c r="GS242" s="22"/>
      <c r="GT242" s="22"/>
      <c r="GU242" s="22"/>
      <c r="GV242" s="22"/>
      <c r="GW242" s="22"/>
      <c r="GX242" s="22"/>
      <c r="GY242" s="22"/>
      <c r="GZ242" s="22"/>
      <c r="HA242" s="22"/>
      <c r="HB242" s="22"/>
      <c r="HC242" s="22"/>
      <c r="HD242" s="22"/>
      <c r="HE242" s="22"/>
      <c r="HF242" s="22"/>
      <c r="HG242" s="22"/>
      <c r="HH242" s="22"/>
      <c r="HI242" s="22"/>
      <c r="HJ242" s="22"/>
      <c r="HK242" s="22"/>
      <c r="HL242" s="22"/>
      <c r="HM242" s="22"/>
      <c r="HN242" s="22"/>
      <c r="HO242" s="22"/>
      <c r="HP242" s="22"/>
      <c r="HQ242" s="22"/>
      <c r="HR242" s="22"/>
      <c r="HS242" s="22"/>
      <c r="HT242" s="22"/>
      <c r="HU242" s="22"/>
      <c r="HV242" s="22"/>
      <c r="HW242" s="22"/>
      <c r="HX242" s="22"/>
      <c r="HY242" s="22"/>
      <c r="HZ242" s="22"/>
      <c r="IA242" s="22"/>
      <c r="IB242" s="22"/>
      <c r="IC242" s="22"/>
      <c r="ID242" s="22"/>
      <c r="IE242" s="22"/>
      <c r="IF242" s="22"/>
      <c r="IG242" s="22"/>
      <c r="IH242" s="22"/>
      <c r="II242" s="22"/>
      <c r="IJ242" s="22"/>
      <c r="IK242" s="22"/>
      <c r="IL242" s="22"/>
      <c r="IM242" s="22"/>
      <c r="IN242" s="22"/>
      <c r="IO242" s="22"/>
      <c r="IP242" s="22"/>
      <c r="IQ242" s="22"/>
      <c r="IR242" s="22"/>
      <c r="IS242" s="22"/>
      <c r="IT242" s="22"/>
      <c r="IU242" s="22"/>
      <c r="IV242" s="22"/>
    </row>
    <row r="243" spans="1:256" s="64" customFormat="1" ht="15" customHeight="1">
      <c r="A243" s="25" t="s">
        <v>910</v>
      </c>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c r="BH243" s="22"/>
      <c r="BI243" s="22"/>
      <c r="BJ243" s="22"/>
      <c r="BK243" s="22"/>
      <c r="BL243" s="22"/>
      <c r="BM243" s="22"/>
      <c r="BN243" s="22"/>
      <c r="BO243" s="22"/>
      <c r="BP243" s="22"/>
      <c r="BQ243" s="22"/>
      <c r="BR243" s="22"/>
      <c r="BS243" s="22"/>
      <c r="BT243" s="22"/>
      <c r="BU243" s="22"/>
      <c r="BV243" s="22"/>
      <c r="BW243" s="22"/>
      <c r="BX243" s="22"/>
      <c r="BY243" s="22"/>
      <c r="BZ243" s="22"/>
      <c r="CA243" s="22"/>
      <c r="CB243" s="22"/>
      <c r="CC243" s="22"/>
      <c r="CD243" s="22"/>
      <c r="CE243" s="22"/>
      <c r="CF243" s="22"/>
      <c r="CG243" s="22"/>
      <c r="CH243" s="22"/>
      <c r="CI243" s="22"/>
      <c r="CJ243" s="22"/>
      <c r="CK243" s="22"/>
      <c r="CL243" s="22"/>
      <c r="CM243" s="22"/>
      <c r="CN243" s="22"/>
      <c r="CO243" s="22"/>
      <c r="CP243" s="22"/>
      <c r="CQ243" s="22"/>
      <c r="CR243" s="22"/>
      <c r="CS243" s="22"/>
      <c r="CT243" s="22"/>
      <c r="CU243" s="22"/>
      <c r="CV243" s="22"/>
      <c r="CW243" s="22"/>
      <c r="CX243" s="22"/>
      <c r="CY243" s="22"/>
      <c r="CZ243" s="22"/>
      <c r="DA243" s="22"/>
      <c r="DB243" s="22"/>
      <c r="DC243" s="22"/>
      <c r="DD243" s="22"/>
      <c r="DE243" s="22"/>
      <c r="DF243" s="22"/>
      <c r="DG243" s="22"/>
      <c r="DH243" s="22"/>
      <c r="DI243" s="22"/>
      <c r="DJ243" s="22"/>
      <c r="DK243" s="22"/>
      <c r="DL243" s="22"/>
      <c r="DM243" s="22"/>
      <c r="DN243" s="22"/>
      <c r="DO243" s="22"/>
      <c r="DP243" s="22"/>
      <c r="DQ243" s="22"/>
      <c r="DR243" s="22"/>
      <c r="DS243" s="22"/>
      <c r="DT243" s="22"/>
      <c r="DU243" s="22"/>
      <c r="DV243" s="22"/>
      <c r="DW243" s="22"/>
      <c r="DX243" s="22"/>
      <c r="DY243" s="22"/>
      <c r="DZ243" s="22"/>
      <c r="EA243" s="22"/>
      <c r="EB243" s="22"/>
      <c r="EC243" s="22"/>
      <c r="ED243" s="22"/>
      <c r="EE243" s="22"/>
      <c r="EF243" s="22"/>
      <c r="EG243" s="22"/>
      <c r="EH243" s="22"/>
      <c r="EI243" s="22"/>
      <c r="EJ243" s="22"/>
      <c r="EK243" s="22"/>
      <c r="EL243" s="22"/>
      <c r="EM243" s="22"/>
      <c r="EN243" s="22"/>
      <c r="EO243" s="22"/>
      <c r="EP243" s="22"/>
      <c r="EQ243" s="22"/>
      <c r="ER243" s="22"/>
      <c r="ES243" s="22"/>
      <c r="ET243" s="22"/>
      <c r="EU243" s="22"/>
      <c r="EV243" s="22"/>
      <c r="EW243" s="22"/>
      <c r="EX243" s="22"/>
      <c r="EY243" s="22"/>
      <c r="EZ243" s="22"/>
      <c r="FA243" s="22"/>
      <c r="FB243" s="22"/>
      <c r="FC243" s="22"/>
      <c r="FD243" s="22"/>
      <c r="FE243" s="22"/>
      <c r="FF243" s="22"/>
      <c r="FG243" s="22"/>
      <c r="FH243" s="22"/>
      <c r="FI243" s="22"/>
      <c r="FJ243" s="22"/>
      <c r="FK243" s="22"/>
      <c r="FL243" s="22"/>
      <c r="FM243" s="22"/>
      <c r="FN243" s="22"/>
      <c r="FO243" s="22"/>
      <c r="FP243" s="22"/>
      <c r="FQ243" s="22"/>
      <c r="FR243" s="22"/>
      <c r="FS243" s="22"/>
      <c r="FT243" s="22"/>
      <c r="FU243" s="22"/>
      <c r="FV243" s="22"/>
      <c r="FW243" s="22"/>
      <c r="FX243" s="22"/>
      <c r="FY243" s="22"/>
      <c r="FZ243" s="22"/>
      <c r="GA243" s="22"/>
      <c r="GB243" s="22"/>
      <c r="GC243" s="22"/>
      <c r="GD243" s="22"/>
      <c r="GE243" s="22"/>
      <c r="GF243" s="22"/>
      <c r="GG243" s="22"/>
      <c r="GH243" s="22"/>
      <c r="GI243" s="22"/>
      <c r="GJ243" s="22"/>
      <c r="GK243" s="22"/>
      <c r="GL243" s="22"/>
      <c r="GM243" s="22"/>
      <c r="GN243" s="22"/>
      <c r="GO243" s="22"/>
      <c r="GP243" s="22"/>
      <c r="GQ243" s="22"/>
      <c r="GR243" s="22"/>
      <c r="GS243" s="22"/>
      <c r="GT243" s="22"/>
      <c r="GU243" s="22"/>
      <c r="GV243" s="22"/>
      <c r="GW243" s="22"/>
      <c r="GX243" s="22"/>
      <c r="GY243" s="22"/>
      <c r="GZ243" s="22"/>
      <c r="HA243" s="22"/>
      <c r="HB243" s="22"/>
      <c r="HC243" s="22"/>
      <c r="HD243" s="22"/>
      <c r="HE243" s="22"/>
      <c r="HF243" s="22"/>
      <c r="HG243" s="22"/>
      <c r="HH243" s="22"/>
      <c r="HI243" s="22"/>
      <c r="HJ243" s="22"/>
      <c r="HK243" s="22"/>
      <c r="HL243" s="22"/>
      <c r="HM243" s="22"/>
      <c r="HN243" s="22"/>
      <c r="HO243" s="22"/>
      <c r="HP243" s="22"/>
      <c r="HQ243" s="22"/>
      <c r="HR243" s="22"/>
      <c r="HS243" s="22"/>
      <c r="HT243" s="22"/>
      <c r="HU243" s="22"/>
      <c r="HV243" s="22"/>
      <c r="HW243" s="22"/>
      <c r="HX243" s="22"/>
      <c r="HY243" s="22"/>
      <c r="HZ243" s="22"/>
      <c r="IA243" s="22"/>
      <c r="IB243" s="22"/>
      <c r="IC243" s="22"/>
      <c r="ID243" s="22"/>
      <c r="IE243" s="22"/>
      <c r="IF243" s="22"/>
      <c r="IG243" s="22"/>
      <c r="IH243" s="22"/>
      <c r="II243" s="22"/>
      <c r="IJ243" s="22"/>
      <c r="IK243" s="22"/>
      <c r="IL243" s="22"/>
      <c r="IM243" s="22"/>
      <c r="IN243" s="22"/>
      <c r="IO243" s="22"/>
      <c r="IP243" s="22"/>
      <c r="IQ243" s="22"/>
      <c r="IR243" s="22"/>
      <c r="IS243" s="22"/>
      <c r="IT243" s="22"/>
      <c r="IU243" s="22"/>
      <c r="IV243" s="22"/>
    </row>
    <row r="244" spans="1:256" s="64" customFormat="1" ht="15" customHeight="1">
      <c r="A244" s="25" t="s">
        <v>1291</v>
      </c>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c r="BH244" s="22"/>
      <c r="BI244" s="22"/>
      <c r="BJ244" s="22"/>
      <c r="BK244" s="22"/>
      <c r="BL244" s="22"/>
      <c r="BM244" s="22"/>
      <c r="BN244" s="22"/>
      <c r="BO244" s="22"/>
      <c r="BP244" s="22"/>
      <c r="BQ244" s="22"/>
      <c r="BR244" s="22"/>
      <c r="BS244" s="22"/>
      <c r="BT244" s="22"/>
      <c r="BU244" s="22"/>
      <c r="BV244" s="22"/>
      <c r="BW244" s="22"/>
      <c r="BX244" s="22"/>
      <c r="BY244" s="22"/>
      <c r="BZ244" s="22"/>
      <c r="CA244" s="22"/>
      <c r="CB244" s="22"/>
      <c r="CC244" s="22"/>
      <c r="CD244" s="22"/>
      <c r="CE244" s="22"/>
      <c r="CF244" s="22"/>
      <c r="CG244" s="22"/>
      <c r="CH244" s="22"/>
      <c r="CI244" s="22"/>
      <c r="CJ244" s="22"/>
      <c r="CK244" s="22"/>
      <c r="CL244" s="22"/>
      <c r="CM244" s="22"/>
      <c r="CN244" s="22"/>
      <c r="CO244" s="22"/>
      <c r="CP244" s="22"/>
      <c r="CQ244" s="22"/>
      <c r="CR244" s="22"/>
      <c r="CS244" s="22"/>
      <c r="CT244" s="22"/>
      <c r="CU244" s="22"/>
      <c r="CV244" s="22"/>
      <c r="CW244" s="22"/>
      <c r="CX244" s="22"/>
      <c r="CY244" s="22"/>
      <c r="CZ244" s="22"/>
      <c r="DA244" s="22"/>
      <c r="DB244" s="22"/>
      <c r="DC244" s="22"/>
      <c r="DD244" s="22"/>
      <c r="DE244" s="22"/>
      <c r="DF244" s="22"/>
      <c r="DG244" s="22"/>
      <c r="DH244" s="22"/>
      <c r="DI244" s="22"/>
      <c r="DJ244" s="22"/>
      <c r="DK244" s="22"/>
      <c r="DL244" s="22"/>
      <c r="DM244" s="22"/>
      <c r="DN244" s="22"/>
      <c r="DO244" s="22"/>
      <c r="DP244" s="22"/>
      <c r="DQ244" s="22"/>
      <c r="DR244" s="22"/>
      <c r="DS244" s="22"/>
      <c r="DT244" s="22"/>
      <c r="DU244" s="22"/>
      <c r="DV244" s="22"/>
      <c r="DW244" s="22"/>
      <c r="DX244" s="22"/>
      <c r="DY244" s="22"/>
      <c r="DZ244" s="22"/>
      <c r="EA244" s="22"/>
      <c r="EB244" s="22"/>
      <c r="EC244" s="22"/>
      <c r="ED244" s="22"/>
      <c r="EE244" s="22"/>
      <c r="EF244" s="22"/>
      <c r="EG244" s="22"/>
      <c r="EH244" s="22"/>
      <c r="EI244" s="22"/>
      <c r="EJ244" s="22"/>
      <c r="EK244" s="22"/>
      <c r="EL244" s="22"/>
      <c r="EM244" s="22"/>
      <c r="EN244" s="22"/>
      <c r="EO244" s="22"/>
      <c r="EP244" s="22"/>
      <c r="EQ244" s="22"/>
      <c r="ER244" s="22"/>
      <c r="ES244" s="22"/>
      <c r="ET244" s="22"/>
      <c r="EU244" s="22"/>
      <c r="EV244" s="22"/>
      <c r="EW244" s="22"/>
      <c r="EX244" s="22"/>
      <c r="EY244" s="22"/>
      <c r="EZ244" s="22"/>
      <c r="FA244" s="22"/>
      <c r="FB244" s="22"/>
      <c r="FC244" s="22"/>
      <c r="FD244" s="22"/>
      <c r="FE244" s="22"/>
      <c r="FF244" s="22"/>
      <c r="FG244" s="22"/>
      <c r="FH244" s="22"/>
      <c r="FI244" s="22"/>
      <c r="FJ244" s="22"/>
      <c r="FK244" s="22"/>
      <c r="FL244" s="22"/>
      <c r="FM244" s="22"/>
      <c r="FN244" s="22"/>
      <c r="FO244" s="22"/>
      <c r="FP244" s="22"/>
      <c r="FQ244" s="22"/>
      <c r="FR244" s="22"/>
      <c r="FS244" s="22"/>
      <c r="FT244" s="22"/>
      <c r="FU244" s="22"/>
      <c r="FV244" s="22"/>
      <c r="FW244" s="22"/>
      <c r="FX244" s="22"/>
      <c r="FY244" s="22"/>
      <c r="FZ244" s="22"/>
      <c r="GA244" s="22"/>
      <c r="GB244" s="22"/>
      <c r="GC244" s="22"/>
      <c r="GD244" s="22"/>
      <c r="GE244" s="22"/>
      <c r="GF244" s="22"/>
      <c r="GG244" s="22"/>
      <c r="GH244" s="22"/>
      <c r="GI244" s="22"/>
      <c r="GJ244" s="22"/>
      <c r="GK244" s="22"/>
      <c r="GL244" s="22"/>
      <c r="GM244" s="22"/>
      <c r="GN244" s="22"/>
      <c r="GO244" s="22"/>
      <c r="GP244" s="22"/>
      <c r="GQ244" s="22"/>
      <c r="GR244" s="22"/>
      <c r="GS244" s="22"/>
      <c r="GT244" s="22"/>
      <c r="GU244" s="22"/>
      <c r="GV244" s="22"/>
      <c r="GW244" s="22"/>
      <c r="GX244" s="22"/>
      <c r="GY244" s="22"/>
      <c r="GZ244" s="22"/>
      <c r="HA244" s="22"/>
      <c r="HB244" s="22"/>
      <c r="HC244" s="22"/>
      <c r="HD244" s="22"/>
      <c r="HE244" s="22"/>
      <c r="HF244" s="22"/>
      <c r="HG244" s="22"/>
      <c r="HH244" s="22"/>
      <c r="HI244" s="22"/>
      <c r="HJ244" s="22"/>
      <c r="HK244" s="22"/>
      <c r="HL244" s="22"/>
      <c r="HM244" s="22"/>
      <c r="HN244" s="22"/>
      <c r="HO244" s="22"/>
      <c r="HP244" s="22"/>
      <c r="HQ244" s="22"/>
      <c r="HR244" s="22"/>
      <c r="HS244" s="22"/>
      <c r="HT244" s="22"/>
      <c r="HU244" s="22"/>
      <c r="HV244" s="22"/>
      <c r="HW244" s="22"/>
      <c r="HX244" s="22"/>
      <c r="HY244" s="22"/>
      <c r="HZ244" s="22"/>
      <c r="IA244" s="22"/>
      <c r="IB244" s="22"/>
      <c r="IC244" s="22"/>
      <c r="ID244" s="22"/>
      <c r="IE244" s="22"/>
      <c r="IF244" s="22"/>
      <c r="IG244" s="22"/>
      <c r="IH244" s="22"/>
      <c r="II244" s="22"/>
      <c r="IJ244" s="22"/>
      <c r="IK244" s="22"/>
      <c r="IL244" s="22"/>
      <c r="IM244" s="22"/>
      <c r="IN244" s="22"/>
      <c r="IO244" s="22"/>
      <c r="IP244" s="22"/>
      <c r="IQ244" s="22"/>
      <c r="IR244" s="22"/>
      <c r="IS244" s="22"/>
      <c r="IT244" s="22"/>
      <c r="IU244" s="22"/>
      <c r="IV244" s="22"/>
    </row>
    <row r="245" spans="1:256" s="64" customFormat="1" ht="15" customHeight="1">
      <c r="A245" s="25" t="s">
        <v>893</v>
      </c>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c r="BH245" s="22"/>
      <c r="BI245" s="22"/>
      <c r="BJ245" s="22"/>
      <c r="BK245" s="22"/>
      <c r="BL245" s="22"/>
      <c r="BM245" s="22"/>
      <c r="BN245" s="22"/>
      <c r="BO245" s="22"/>
      <c r="BP245" s="22"/>
      <c r="BQ245" s="22"/>
      <c r="BR245" s="22"/>
      <c r="BS245" s="22"/>
      <c r="BT245" s="22"/>
      <c r="BU245" s="22"/>
      <c r="BV245" s="22"/>
      <c r="BW245" s="22"/>
      <c r="BX245" s="22"/>
      <c r="BY245" s="22"/>
      <c r="BZ245" s="22"/>
      <c r="CA245" s="22"/>
      <c r="CB245" s="22"/>
      <c r="CC245" s="22"/>
      <c r="CD245" s="22"/>
      <c r="CE245" s="22"/>
      <c r="CF245" s="22"/>
      <c r="CG245" s="22"/>
      <c r="CH245" s="22"/>
      <c r="CI245" s="22"/>
      <c r="CJ245" s="22"/>
      <c r="CK245" s="22"/>
      <c r="CL245" s="22"/>
      <c r="CM245" s="22"/>
      <c r="CN245" s="22"/>
      <c r="CO245" s="22"/>
      <c r="CP245" s="22"/>
      <c r="CQ245" s="22"/>
      <c r="CR245" s="22"/>
      <c r="CS245" s="22"/>
      <c r="CT245" s="22"/>
      <c r="CU245" s="22"/>
      <c r="CV245" s="22"/>
      <c r="CW245" s="22"/>
      <c r="CX245" s="22"/>
      <c r="CY245" s="22"/>
      <c r="CZ245" s="22"/>
      <c r="DA245" s="22"/>
      <c r="DB245" s="22"/>
      <c r="DC245" s="22"/>
      <c r="DD245" s="22"/>
      <c r="DE245" s="22"/>
      <c r="DF245" s="22"/>
      <c r="DG245" s="22"/>
      <c r="DH245" s="22"/>
      <c r="DI245" s="22"/>
      <c r="DJ245" s="22"/>
      <c r="DK245" s="22"/>
      <c r="DL245" s="22"/>
      <c r="DM245" s="22"/>
      <c r="DN245" s="22"/>
      <c r="DO245" s="22"/>
      <c r="DP245" s="22"/>
      <c r="DQ245" s="22"/>
      <c r="DR245" s="22"/>
      <c r="DS245" s="22"/>
      <c r="DT245" s="22"/>
      <c r="DU245" s="22"/>
      <c r="DV245" s="22"/>
      <c r="DW245" s="22"/>
      <c r="DX245" s="22"/>
      <c r="DY245" s="22"/>
      <c r="DZ245" s="22"/>
      <c r="EA245" s="22"/>
      <c r="EB245" s="22"/>
      <c r="EC245" s="22"/>
      <c r="ED245" s="22"/>
      <c r="EE245" s="22"/>
      <c r="EF245" s="22"/>
      <c r="EG245" s="22"/>
      <c r="EH245" s="22"/>
      <c r="EI245" s="22"/>
      <c r="EJ245" s="22"/>
      <c r="EK245" s="22"/>
      <c r="EL245" s="22"/>
      <c r="EM245" s="22"/>
      <c r="EN245" s="22"/>
      <c r="EO245" s="22"/>
      <c r="EP245" s="22"/>
      <c r="EQ245" s="22"/>
      <c r="ER245" s="22"/>
      <c r="ES245" s="22"/>
      <c r="ET245" s="22"/>
      <c r="EU245" s="22"/>
      <c r="EV245" s="22"/>
      <c r="EW245" s="22"/>
      <c r="EX245" s="22"/>
      <c r="EY245" s="22"/>
      <c r="EZ245" s="22"/>
      <c r="FA245" s="22"/>
      <c r="FB245" s="22"/>
      <c r="FC245" s="22"/>
      <c r="FD245" s="22"/>
      <c r="FE245" s="22"/>
      <c r="FF245" s="22"/>
      <c r="FG245" s="22"/>
      <c r="FH245" s="22"/>
      <c r="FI245" s="22"/>
      <c r="FJ245" s="22"/>
      <c r="FK245" s="22"/>
      <c r="FL245" s="22"/>
      <c r="FM245" s="22"/>
      <c r="FN245" s="22"/>
      <c r="FO245" s="22"/>
      <c r="FP245" s="22"/>
      <c r="FQ245" s="22"/>
      <c r="FR245" s="22"/>
      <c r="FS245" s="22"/>
      <c r="FT245" s="22"/>
      <c r="FU245" s="22"/>
      <c r="FV245" s="22"/>
      <c r="FW245" s="22"/>
      <c r="FX245" s="22"/>
      <c r="FY245" s="22"/>
      <c r="FZ245" s="22"/>
      <c r="GA245" s="22"/>
      <c r="GB245" s="22"/>
      <c r="GC245" s="22"/>
      <c r="GD245" s="22"/>
      <c r="GE245" s="22"/>
      <c r="GF245" s="22"/>
      <c r="GG245" s="22"/>
      <c r="GH245" s="22"/>
      <c r="GI245" s="22"/>
      <c r="GJ245" s="22"/>
      <c r="GK245" s="22"/>
      <c r="GL245" s="22"/>
      <c r="GM245" s="22"/>
      <c r="GN245" s="22"/>
      <c r="GO245" s="22"/>
      <c r="GP245" s="22"/>
      <c r="GQ245" s="22"/>
      <c r="GR245" s="22"/>
      <c r="GS245" s="22"/>
      <c r="GT245" s="22"/>
      <c r="GU245" s="22"/>
      <c r="GV245" s="22"/>
      <c r="GW245" s="22"/>
      <c r="GX245" s="22"/>
      <c r="GY245" s="22"/>
      <c r="GZ245" s="22"/>
      <c r="HA245" s="22"/>
      <c r="HB245" s="22"/>
      <c r="HC245" s="22"/>
      <c r="HD245" s="22"/>
      <c r="HE245" s="22"/>
      <c r="HF245" s="22"/>
      <c r="HG245" s="22"/>
      <c r="HH245" s="22"/>
      <c r="HI245" s="22"/>
      <c r="HJ245" s="22"/>
      <c r="HK245" s="22"/>
      <c r="HL245" s="22"/>
      <c r="HM245" s="22"/>
      <c r="HN245" s="22"/>
      <c r="HO245" s="22"/>
      <c r="HP245" s="22"/>
      <c r="HQ245" s="22"/>
      <c r="HR245" s="22"/>
      <c r="HS245" s="22"/>
      <c r="HT245" s="22"/>
      <c r="HU245" s="22"/>
      <c r="HV245" s="22"/>
      <c r="HW245" s="22"/>
      <c r="HX245" s="22"/>
      <c r="HY245" s="22"/>
      <c r="HZ245" s="22"/>
      <c r="IA245" s="22"/>
      <c r="IB245" s="22"/>
      <c r="IC245" s="22"/>
      <c r="ID245" s="22"/>
      <c r="IE245" s="22"/>
      <c r="IF245" s="22"/>
      <c r="IG245" s="22"/>
      <c r="IH245" s="22"/>
      <c r="II245" s="22"/>
      <c r="IJ245" s="22"/>
      <c r="IK245" s="22"/>
      <c r="IL245" s="22"/>
      <c r="IM245" s="22"/>
      <c r="IN245" s="22"/>
      <c r="IO245" s="22"/>
      <c r="IP245" s="22"/>
      <c r="IQ245" s="22"/>
      <c r="IR245" s="22"/>
      <c r="IS245" s="22"/>
      <c r="IT245" s="22"/>
      <c r="IU245" s="22"/>
      <c r="IV245" s="22"/>
    </row>
    <row r="246" spans="1:256" s="64" customFormat="1" ht="15" customHeight="1">
      <c r="A246" s="25" t="s">
        <v>894</v>
      </c>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c r="BH246" s="22"/>
      <c r="BI246" s="22"/>
      <c r="BJ246" s="22"/>
      <c r="BK246" s="22"/>
      <c r="BL246" s="22"/>
      <c r="BM246" s="22"/>
      <c r="BN246" s="22"/>
      <c r="BO246" s="22"/>
      <c r="BP246" s="22"/>
      <c r="BQ246" s="22"/>
      <c r="BR246" s="22"/>
      <c r="BS246" s="22"/>
      <c r="BT246" s="22"/>
      <c r="BU246" s="22"/>
      <c r="BV246" s="22"/>
      <c r="BW246" s="22"/>
      <c r="BX246" s="22"/>
      <c r="BY246" s="22"/>
      <c r="BZ246" s="22"/>
      <c r="CA246" s="22"/>
      <c r="CB246" s="22"/>
      <c r="CC246" s="22"/>
      <c r="CD246" s="22"/>
      <c r="CE246" s="22"/>
      <c r="CF246" s="22"/>
      <c r="CG246" s="22"/>
      <c r="CH246" s="22"/>
      <c r="CI246" s="22"/>
      <c r="CJ246" s="22"/>
      <c r="CK246" s="22"/>
      <c r="CL246" s="22"/>
      <c r="CM246" s="22"/>
      <c r="CN246" s="22"/>
      <c r="CO246" s="22"/>
      <c r="CP246" s="22"/>
      <c r="CQ246" s="22"/>
      <c r="CR246" s="22"/>
      <c r="CS246" s="22"/>
      <c r="CT246" s="22"/>
      <c r="CU246" s="22"/>
      <c r="CV246" s="22"/>
      <c r="CW246" s="22"/>
      <c r="CX246" s="22"/>
      <c r="CY246" s="22"/>
      <c r="CZ246" s="22"/>
      <c r="DA246" s="22"/>
      <c r="DB246" s="22"/>
      <c r="DC246" s="22"/>
      <c r="DD246" s="22"/>
      <c r="DE246" s="22"/>
      <c r="DF246" s="22"/>
      <c r="DG246" s="22"/>
      <c r="DH246" s="22"/>
      <c r="DI246" s="22"/>
      <c r="DJ246" s="22"/>
      <c r="DK246" s="22"/>
      <c r="DL246" s="22"/>
      <c r="DM246" s="22"/>
      <c r="DN246" s="22"/>
      <c r="DO246" s="22"/>
      <c r="DP246" s="22"/>
      <c r="DQ246" s="22"/>
      <c r="DR246" s="22"/>
      <c r="DS246" s="22"/>
      <c r="DT246" s="22"/>
      <c r="DU246" s="22"/>
      <c r="DV246" s="22"/>
      <c r="DW246" s="22"/>
      <c r="DX246" s="22"/>
      <c r="DY246" s="22"/>
      <c r="DZ246" s="22"/>
      <c r="EA246" s="22"/>
      <c r="EB246" s="22"/>
      <c r="EC246" s="22"/>
      <c r="ED246" s="22"/>
      <c r="EE246" s="22"/>
      <c r="EF246" s="22"/>
      <c r="EG246" s="22"/>
      <c r="EH246" s="22"/>
      <c r="EI246" s="22"/>
      <c r="EJ246" s="22"/>
      <c r="EK246" s="22"/>
      <c r="EL246" s="22"/>
      <c r="EM246" s="22"/>
      <c r="EN246" s="22"/>
      <c r="EO246" s="22"/>
      <c r="EP246" s="22"/>
      <c r="EQ246" s="22"/>
      <c r="ER246" s="22"/>
      <c r="ES246" s="22"/>
      <c r="ET246" s="22"/>
      <c r="EU246" s="22"/>
      <c r="EV246" s="22"/>
      <c r="EW246" s="22"/>
      <c r="EX246" s="22"/>
      <c r="EY246" s="22"/>
      <c r="EZ246" s="22"/>
      <c r="FA246" s="22"/>
      <c r="FB246" s="22"/>
      <c r="FC246" s="22"/>
      <c r="FD246" s="22"/>
      <c r="FE246" s="22"/>
      <c r="FF246" s="22"/>
      <c r="FG246" s="22"/>
      <c r="FH246" s="22"/>
      <c r="FI246" s="22"/>
      <c r="FJ246" s="22"/>
      <c r="FK246" s="22"/>
      <c r="FL246" s="22"/>
      <c r="FM246" s="22"/>
      <c r="FN246" s="22"/>
      <c r="FO246" s="22"/>
      <c r="FP246" s="22"/>
      <c r="FQ246" s="22"/>
      <c r="FR246" s="22"/>
      <c r="FS246" s="22"/>
      <c r="FT246" s="22"/>
      <c r="FU246" s="22"/>
      <c r="FV246" s="22"/>
      <c r="FW246" s="22"/>
      <c r="FX246" s="22"/>
      <c r="FY246" s="22"/>
      <c r="FZ246" s="22"/>
      <c r="GA246" s="22"/>
      <c r="GB246" s="22"/>
      <c r="GC246" s="22"/>
      <c r="GD246" s="22"/>
      <c r="GE246" s="22"/>
      <c r="GF246" s="22"/>
      <c r="GG246" s="22"/>
      <c r="GH246" s="22"/>
      <c r="GI246" s="22"/>
      <c r="GJ246" s="22"/>
      <c r="GK246" s="22"/>
      <c r="GL246" s="22"/>
      <c r="GM246" s="22"/>
      <c r="GN246" s="22"/>
      <c r="GO246" s="22"/>
      <c r="GP246" s="22"/>
      <c r="GQ246" s="22"/>
      <c r="GR246" s="22"/>
      <c r="GS246" s="22"/>
      <c r="GT246" s="22"/>
      <c r="GU246" s="22"/>
      <c r="GV246" s="22"/>
      <c r="GW246" s="22"/>
      <c r="GX246" s="22"/>
      <c r="GY246" s="22"/>
      <c r="GZ246" s="22"/>
      <c r="HA246" s="22"/>
      <c r="HB246" s="22"/>
      <c r="HC246" s="22"/>
      <c r="HD246" s="22"/>
      <c r="HE246" s="22"/>
      <c r="HF246" s="22"/>
      <c r="HG246" s="22"/>
      <c r="HH246" s="22"/>
      <c r="HI246" s="22"/>
      <c r="HJ246" s="22"/>
      <c r="HK246" s="22"/>
      <c r="HL246" s="22"/>
      <c r="HM246" s="22"/>
      <c r="HN246" s="22"/>
      <c r="HO246" s="22"/>
      <c r="HP246" s="22"/>
      <c r="HQ246" s="22"/>
      <c r="HR246" s="22"/>
      <c r="HS246" s="22"/>
      <c r="HT246" s="22"/>
      <c r="HU246" s="22"/>
      <c r="HV246" s="22"/>
      <c r="HW246" s="22"/>
      <c r="HX246" s="22"/>
      <c r="HY246" s="22"/>
      <c r="HZ246" s="22"/>
      <c r="IA246" s="22"/>
      <c r="IB246" s="22"/>
      <c r="IC246" s="22"/>
      <c r="ID246" s="22"/>
      <c r="IE246" s="22"/>
      <c r="IF246" s="22"/>
      <c r="IG246" s="22"/>
      <c r="IH246" s="22"/>
      <c r="II246" s="22"/>
      <c r="IJ246" s="22"/>
      <c r="IK246" s="22"/>
      <c r="IL246" s="22"/>
      <c r="IM246" s="22"/>
      <c r="IN246" s="22"/>
      <c r="IO246" s="22"/>
      <c r="IP246" s="22"/>
      <c r="IQ246" s="22"/>
      <c r="IR246" s="22"/>
      <c r="IS246" s="22"/>
      <c r="IT246" s="22"/>
      <c r="IU246" s="22"/>
      <c r="IV246" s="22"/>
    </row>
    <row r="247" spans="1:256" s="31" customFormat="1" ht="15" customHeight="1">
      <c r="A247" s="31" t="s">
        <v>962</v>
      </c>
      <c r="O247" s="26"/>
      <c r="P247" s="26"/>
    </row>
    <row r="248" spans="1:256" s="46" customFormat="1" ht="15" customHeight="1">
      <c r="A248" s="27" t="s">
        <v>963</v>
      </c>
      <c r="B248" s="26"/>
      <c r="C248" s="26"/>
      <c r="D248" s="26"/>
      <c r="E248" s="26"/>
      <c r="F248" s="26"/>
      <c r="G248" s="26"/>
      <c r="H248" s="26"/>
      <c r="I248" s="36"/>
      <c r="J248" s="45"/>
      <c r="K248" s="45"/>
      <c r="L248" s="45"/>
      <c r="M248" s="45"/>
      <c r="N248" s="45"/>
      <c r="O248" s="26"/>
      <c r="P248" s="26"/>
      <c r="Q248" s="45"/>
      <c r="R248" s="45"/>
      <c r="S248" s="45"/>
      <c r="T248" s="26"/>
      <c r="U248" s="26"/>
      <c r="V248" s="45"/>
      <c r="W248" s="45"/>
      <c r="X248" s="45"/>
      <c r="Y248" s="45"/>
      <c r="Z248" s="45"/>
      <c r="AA248" s="45"/>
      <c r="AB248" s="45"/>
      <c r="AC248" s="45"/>
      <c r="AD248" s="45"/>
      <c r="AE248" s="45"/>
      <c r="AF248" s="45"/>
      <c r="AG248" s="45"/>
      <c r="AH248" s="45"/>
      <c r="AI248" s="45"/>
      <c r="AJ248" s="45"/>
      <c r="AK248" s="45"/>
      <c r="AL248" s="45"/>
      <c r="AM248" s="45"/>
      <c r="AN248" s="45"/>
      <c r="AO248" s="45"/>
      <c r="AP248" s="45"/>
      <c r="AQ248" s="45"/>
      <c r="AR248" s="45"/>
      <c r="AS248" s="45"/>
      <c r="AT248" s="45"/>
      <c r="AU248" s="45"/>
      <c r="AV248" s="45"/>
      <c r="AW248" s="45"/>
      <c r="AX248" s="45"/>
      <c r="AY248" s="45"/>
      <c r="AZ248" s="45"/>
      <c r="BA248" s="45"/>
      <c r="BB248" s="45"/>
      <c r="BC248" s="45"/>
      <c r="BD248" s="45"/>
      <c r="BE248" s="45"/>
      <c r="BF248" s="45"/>
      <c r="BG248" s="45"/>
      <c r="BH248" s="45"/>
      <c r="BI248" s="45"/>
      <c r="BJ248" s="45"/>
      <c r="BK248" s="45"/>
      <c r="BL248" s="45"/>
      <c r="BM248" s="45"/>
      <c r="BN248" s="45"/>
      <c r="BO248" s="45"/>
      <c r="BP248" s="45"/>
      <c r="BQ248" s="45"/>
      <c r="BR248" s="45"/>
      <c r="BS248" s="45"/>
      <c r="BT248" s="45"/>
      <c r="BU248" s="45"/>
      <c r="BV248" s="45"/>
      <c r="BW248" s="45"/>
      <c r="BX248" s="45"/>
    </row>
    <row r="249" spans="1:256" s="64" customFormat="1" ht="15" customHeight="1">
      <c r="A249" s="25" t="s">
        <v>895</v>
      </c>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c r="BH249" s="22"/>
      <c r="BI249" s="22"/>
      <c r="BJ249" s="22"/>
      <c r="BK249" s="22"/>
      <c r="BL249" s="22"/>
      <c r="BM249" s="22"/>
      <c r="BN249" s="22"/>
      <c r="BO249" s="22"/>
      <c r="BP249" s="22"/>
      <c r="BQ249" s="22"/>
      <c r="BR249" s="22"/>
      <c r="BS249" s="22"/>
      <c r="BT249" s="22"/>
      <c r="BU249" s="22"/>
      <c r="BV249" s="22"/>
      <c r="BW249" s="22"/>
      <c r="BX249" s="22"/>
      <c r="BY249" s="22"/>
      <c r="BZ249" s="22"/>
      <c r="CA249" s="22"/>
      <c r="CB249" s="22"/>
      <c r="CC249" s="22"/>
      <c r="CD249" s="22"/>
      <c r="CE249" s="22"/>
      <c r="CF249" s="22"/>
      <c r="CG249" s="22"/>
      <c r="CH249" s="22"/>
      <c r="CI249" s="22"/>
      <c r="CJ249" s="22"/>
      <c r="CK249" s="22"/>
      <c r="CL249" s="22"/>
      <c r="CM249" s="22"/>
      <c r="CN249" s="22"/>
      <c r="CO249" s="22"/>
      <c r="CP249" s="22"/>
      <c r="CQ249" s="22"/>
      <c r="CR249" s="22"/>
      <c r="CS249" s="22"/>
      <c r="CT249" s="22"/>
      <c r="CU249" s="22"/>
      <c r="CV249" s="22"/>
      <c r="CW249" s="22"/>
      <c r="CX249" s="22"/>
      <c r="CY249" s="22"/>
      <c r="CZ249" s="22"/>
      <c r="DA249" s="22"/>
      <c r="DB249" s="22"/>
      <c r="DC249" s="22"/>
      <c r="DD249" s="22"/>
      <c r="DE249" s="22"/>
      <c r="DF249" s="22"/>
      <c r="DG249" s="22"/>
      <c r="DH249" s="22"/>
      <c r="DI249" s="22"/>
      <c r="DJ249" s="22"/>
      <c r="DK249" s="22"/>
      <c r="DL249" s="22"/>
      <c r="DM249" s="22"/>
      <c r="DN249" s="22"/>
      <c r="DO249" s="22"/>
      <c r="DP249" s="22"/>
      <c r="DQ249" s="22"/>
      <c r="DR249" s="22"/>
      <c r="DS249" s="22"/>
      <c r="DT249" s="22"/>
      <c r="DU249" s="22"/>
      <c r="DV249" s="22"/>
      <c r="DW249" s="22"/>
      <c r="DX249" s="22"/>
      <c r="DY249" s="22"/>
      <c r="DZ249" s="22"/>
      <c r="EA249" s="22"/>
      <c r="EB249" s="22"/>
      <c r="EC249" s="22"/>
      <c r="ED249" s="22"/>
      <c r="EE249" s="22"/>
      <c r="EF249" s="22"/>
      <c r="EG249" s="22"/>
      <c r="EH249" s="22"/>
      <c r="EI249" s="22"/>
      <c r="EJ249" s="22"/>
      <c r="EK249" s="22"/>
      <c r="EL249" s="22"/>
      <c r="EM249" s="22"/>
      <c r="EN249" s="22"/>
      <c r="EO249" s="22"/>
      <c r="EP249" s="22"/>
      <c r="EQ249" s="22"/>
      <c r="ER249" s="22"/>
      <c r="ES249" s="22"/>
      <c r="ET249" s="22"/>
      <c r="EU249" s="22"/>
      <c r="EV249" s="22"/>
      <c r="EW249" s="22"/>
      <c r="EX249" s="22"/>
      <c r="EY249" s="22"/>
      <c r="EZ249" s="22"/>
      <c r="FA249" s="22"/>
      <c r="FB249" s="22"/>
      <c r="FC249" s="22"/>
      <c r="FD249" s="22"/>
      <c r="FE249" s="22"/>
      <c r="FF249" s="22"/>
      <c r="FG249" s="22"/>
      <c r="FH249" s="22"/>
      <c r="FI249" s="22"/>
      <c r="FJ249" s="22"/>
      <c r="FK249" s="22"/>
      <c r="FL249" s="22"/>
      <c r="FM249" s="22"/>
      <c r="FN249" s="22"/>
      <c r="FO249" s="22"/>
      <c r="FP249" s="22"/>
      <c r="FQ249" s="22"/>
      <c r="FR249" s="22"/>
      <c r="FS249" s="22"/>
      <c r="FT249" s="22"/>
      <c r="FU249" s="22"/>
      <c r="FV249" s="22"/>
      <c r="FW249" s="22"/>
      <c r="FX249" s="22"/>
      <c r="FY249" s="22"/>
      <c r="FZ249" s="22"/>
      <c r="GA249" s="22"/>
      <c r="GB249" s="22"/>
      <c r="GC249" s="22"/>
      <c r="GD249" s="22"/>
      <c r="GE249" s="22"/>
      <c r="GF249" s="22"/>
      <c r="GG249" s="22"/>
      <c r="GH249" s="22"/>
      <c r="GI249" s="22"/>
      <c r="GJ249" s="22"/>
      <c r="GK249" s="22"/>
      <c r="GL249" s="22"/>
      <c r="GM249" s="22"/>
      <c r="GN249" s="22"/>
      <c r="GO249" s="22"/>
      <c r="GP249" s="22"/>
      <c r="GQ249" s="22"/>
      <c r="GR249" s="22"/>
      <c r="GS249" s="22"/>
      <c r="GT249" s="22"/>
      <c r="GU249" s="22"/>
      <c r="GV249" s="22"/>
      <c r="GW249" s="22"/>
      <c r="GX249" s="22"/>
      <c r="GY249" s="22"/>
      <c r="GZ249" s="22"/>
      <c r="HA249" s="22"/>
      <c r="HB249" s="22"/>
      <c r="HC249" s="22"/>
      <c r="HD249" s="22"/>
      <c r="HE249" s="22"/>
      <c r="HF249" s="22"/>
      <c r="HG249" s="22"/>
      <c r="HH249" s="22"/>
      <c r="HI249" s="22"/>
      <c r="HJ249" s="22"/>
      <c r="HK249" s="22"/>
      <c r="HL249" s="22"/>
      <c r="HM249" s="22"/>
      <c r="HN249" s="22"/>
      <c r="HO249" s="22"/>
      <c r="HP249" s="22"/>
      <c r="HQ249" s="22"/>
      <c r="HR249" s="22"/>
      <c r="HS249" s="22"/>
      <c r="HT249" s="22"/>
      <c r="HU249" s="22"/>
      <c r="HV249" s="22"/>
      <c r="HW249" s="22"/>
      <c r="HX249" s="22"/>
      <c r="HY249" s="22"/>
      <c r="HZ249" s="22"/>
      <c r="IA249" s="22"/>
      <c r="IB249" s="22"/>
      <c r="IC249" s="22"/>
      <c r="ID249" s="22"/>
      <c r="IE249" s="22"/>
      <c r="IF249" s="22"/>
      <c r="IG249" s="22"/>
      <c r="IH249" s="22"/>
      <c r="II249" s="22"/>
      <c r="IJ249" s="22"/>
      <c r="IK249" s="22"/>
      <c r="IL249" s="22"/>
      <c r="IM249" s="22"/>
      <c r="IN249" s="22"/>
      <c r="IO249" s="22"/>
      <c r="IP249" s="22"/>
      <c r="IQ249" s="22"/>
      <c r="IR249" s="22"/>
      <c r="IS249" s="22"/>
      <c r="IT249" s="22"/>
      <c r="IU249" s="22"/>
      <c r="IV249" s="22"/>
    </row>
    <row r="250" spans="1:256" s="64" customFormat="1" ht="15" customHeight="1">
      <c r="A250" s="25" t="s">
        <v>896</v>
      </c>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c r="BH250" s="22"/>
      <c r="BI250" s="22"/>
      <c r="BJ250" s="22"/>
      <c r="BK250" s="22"/>
      <c r="BL250" s="22"/>
      <c r="BM250" s="22"/>
      <c r="BN250" s="22"/>
      <c r="BO250" s="22"/>
      <c r="BP250" s="22"/>
      <c r="BQ250" s="22"/>
      <c r="BR250" s="22"/>
      <c r="BS250" s="22"/>
      <c r="BT250" s="22"/>
      <c r="BU250" s="22"/>
      <c r="BV250" s="22"/>
      <c r="BW250" s="22"/>
      <c r="BX250" s="22"/>
      <c r="BY250" s="22"/>
      <c r="BZ250" s="22"/>
      <c r="CA250" s="22"/>
      <c r="CB250" s="22"/>
      <c r="CC250" s="22"/>
      <c r="CD250" s="22"/>
      <c r="CE250" s="22"/>
      <c r="CF250" s="22"/>
      <c r="CG250" s="22"/>
      <c r="CH250" s="22"/>
      <c r="CI250" s="22"/>
      <c r="CJ250" s="22"/>
      <c r="CK250" s="22"/>
      <c r="CL250" s="22"/>
      <c r="CM250" s="22"/>
      <c r="CN250" s="22"/>
      <c r="CO250" s="22"/>
      <c r="CP250" s="22"/>
      <c r="CQ250" s="22"/>
      <c r="CR250" s="22"/>
      <c r="CS250" s="22"/>
      <c r="CT250" s="22"/>
      <c r="CU250" s="22"/>
      <c r="CV250" s="22"/>
      <c r="CW250" s="22"/>
      <c r="CX250" s="22"/>
      <c r="CY250" s="22"/>
      <c r="CZ250" s="22"/>
      <c r="DA250" s="22"/>
      <c r="DB250" s="22"/>
      <c r="DC250" s="22"/>
      <c r="DD250" s="22"/>
      <c r="DE250" s="22"/>
      <c r="DF250" s="22"/>
      <c r="DG250" s="22"/>
      <c r="DH250" s="22"/>
      <c r="DI250" s="22"/>
      <c r="DJ250" s="22"/>
      <c r="DK250" s="22"/>
      <c r="DL250" s="22"/>
      <c r="DM250" s="22"/>
      <c r="DN250" s="22"/>
      <c r="DO250" s="22"/>
      <c r="DP250" s="22"/>
      <c r="DQ250" s="22"/>
      <c r="DR250" s="22"/>
      <c r="DS250" s="22"/>
      <c r="DT250" s="22"/>
      <c r="DU250" s="22"/>
      <c r="DV250" s="22"/>
      <c r="DW250" s="22"/>
      <c r="DX250" s="22"/>
      <c r="DY250" s="22"/>
      <c r="DZ250" s="22"/>
      <c r="EA250" s="22"/>
      <c r="EB250" s="22"/>
      <c r="EC250" s="22"/>
      <c r="ED250" s="22"/>
      <c r="EE250" s="22"/>
      <c r="EF250" s="22"/>
      <c r="EG250" s="22"/>
      <c r="EH250" s="22"/>
      <c r="EI250" s="22"/>
      <c r="EJ250" s="22"/>
      <c r="EK250" s="22"/>
      <c r="EL250" s="22"/>
      <c r="EM250" s="22"/>
      <c r="EN250" s="22"/>
      <c r="EO250" s="22"/>
      <c r="EP250" s="22"/>
      <c r="EQ250" s="22"/>
      <c r="ER250" s="22"/>
      <c r="ES250" s="22"/>
      <c r="ET250" s="22"/>
      <c r="EU250" s="22"/>
      <c r="EV250" s="22"/>
      <c r="EW250" s="22"/>
      <c r="EX250" s="22"/>
      <c r="EY250" s="22"/>
      <c r="EZ250" s="22"/>
      <c r="FA250" s="22"/>
      <c r="FB250" s="22"/>
      <c r="FC250" s="22"/>
      <c r="FD250" s="22"/>
      <c r="FE250" s="22"/>
      <c r="FF250" s="22"/>
      <c r="FG250" s="22"/>
      <c r="FH250" s="22"/>
      <c r="FI250" s="22"/>
      <c r="FJ250" s="22"/>
      <c r="FK250" s="22"/>
      <c r="FL250" s="22"/>
      <c r="FM250" s="22"/>
      <c r="FN250" s="22"/>
      <c r="FO250" s="22"/>
      <c r="FP250" s="22"/>
      <c r="FQ250" s="22"/>
      <c r="FR250" s="22"/>
      <c r="FS250" s="22"/>
      <c r="FT250" s="22"/>
      <c r="FU250" s="22"/>
      <c r="FV250" s="22"/>
      <c r="FW250" s="22"/>
      <c r="FX250" s="22"/>
      <c r="FY250" s="22"/>
      <c r="FZ250" s="22"/>
      <c r="GA250" s="22"/>
      <c r="GB250" s="22"/>
      <c r="GC250" s="22"/>
      <c r="GD250" s="22"/>
      <c r="GE250" s="22"/>
      <c r="GF250" s="22"/>
      <c r="GG250" s="22"/>
      <c r="GH250" s="22"/>
      <c r="GI250" s="22"/>
      <c r="GJ250" s="22"/>
      <c r="GK250" s="22"/>
      <c r="GL250" s="22"/>
      <c r="GM250" s="22"/>
      <c r="GN250" s="22"/>
      <c r="GO250" s="22"/>
      <c r="GP250" s="22"/>
      <c r="GQ250" s="22"/>
      <c r="GR250" s="22"/>
      <c r="GS250" s="22"/>
      <c r="GT250" s="22"/>
      <c r="GU250" s="22"/>
      <c r="GV250" s="22"/>
      <c r="GW250" s="22"/>
      <c r="GX250" s="22"/>
      <c r="GY250" s="22"/>
      <c r="GZ250" s="22"/>
      <c r="HA250" s="22"/>
      <c r="HB250" s="22"/>
      <c r="HC250" s="22"/>
      <c r="HD250" s="22"/>
      <c r="HE250" s="22"/>
      <c r="HF250" s="22"/>
      <c r="HG250" s="22"/>
      <c r="HH250" s="22"/>
      <c r="HI250" s="22"/>
      <c r="HJ250" s="22"/>
      <c r="HK250" s="22"/>
      <c r="HL250" s="22"/>
      <c r="HM250" s="22"/>
      <c r="HN250" s="22"/>
      <c r="HO250" s="22"/>
      <c r="HP250" s="22"/>
      <c r="HQ250" s="22"/>
      <c r="HR250" s="22"/>
      <c r="HS250" s="22"/>
      <c r="HT250" s="22"/>
      <c r="HU250" s="22"/>
      <c r="HV250" s="22"/>
      <c r="HW250" s="22"/>
      <c r="HX250" s="22"/>
      <c r="HY250" s="22"/>
      <c r="HZ250" s="22"/>
      <c r="IA250" s="22"/>
      <c r="IB250" s="22"/>
      <c r="IC250" s="22"/>
      <c r="ID250" s="22"/>
      <c r="IE250" s="22"/>
      <c r="IF250" s="22"/>
      <c r="IG250" s="22"/>
      <c r="IH250" s="22"/>
      <c r="II250" s="22"/>
      <c r="IJ250" s="22"/>
      <c r="IK250" s="22"/>
      <c r="IL250" s="22"/>
      <c r="IM250" s="22"/>
      <c r="IN250" s="22"/>
      <c r="IO250" s="22"/>
      <c r="IP250" s="22"/>
      <c r="IQ250" s="22"/>
      <c r="IR250" s="22"/>
      <c r="IS250" s="22"/>
      <c r="IT250" s="22"/>
      <c r="IU250" s="22"/>
      <c r="IV250" s="22"/>
    </row>
    <row r="251" spans="1:256" s="31" customFormat="1" ht="15" customHeight="1">
      <c r="A251" s="31" t="s">
        <v>1295</v>
      </c>
      <c r="O251" s="26"/>
      <c r="P251" s="26"/>
    </row>
    <row r="252" spans="1:256" s="46" customFormat="1" ht="15" customHeight="1">
      <c r="A252" s="1311" t="s">
        <v>964</v>
      </c>
      <c r="B252" s="1312"/>
      <c r="C252" s="26"/>
      <c r="D252" s="26"/>
      <c r="E252" s="26"/>
      <c r="F252" s="26"/>
      <c r="G252" s="26"/>
      <c r="H252" s="26"/>
      <c r="I252" s="36"/>
      <c r="J252" s="45"/>
      <c r="K252" s="45"/>
      <c r="L252" s="45"/>
      <c r="M252" s="45"/>
      <c r="N252" s="45"/>
      <c r="O252" s="26"/>
      <c r="P252" s="26"/>
      <c r="Q252" s="45"/>
      <c r="R252" s="45"/>
      <c r="S252" s="45"/>
      <c r="T252" s="26"/>
      <c r="U252" s="26"/>
      <c r="V252" s="45"/>
      <c r="W252" s="45"/>
      <c r="X252" s="45"/>
      <c r="Y252" s="45"/>
      <c r="Z252" s="45"/>
      <c r="AA252" s="45"/>
      <c r="AB252" s="45"/>
      <c r="AC252" s="45"/>
      <c r="AD252" s="45"/>
      <c r="AE252" s="45"/>
      <c r="AF252" s="45"/>
      <c r="AG252" s="45"/>
      <c r="AH252" s="45"/>
      <c r="AI252" s="45"/>
      <c r="AJ252" s="45"/>
      <c r="AK252" s="45"/>
      <c r="AL252" s="45"/>
      <c r="AM252" s="45"/>
      <c r="AN252" s="45"/>
      <c r="AO252" s="45"/>
      <c r="AP252" s="45"/>
      <c r="AQ252" s="45"/>
      <c r="AR252" s="45"/>
      <c r="AS252" s="45"/>
      <c r="AT252" s="45"/>
      <c r="AU252" s="45"/>
      <c r="AV252" s="45"/>
      <c r="AW252" s="45"/>
      <c r="AX252" s="45"/>
      <c r="AY252" s="45"/>
      <c r="AZ252" s="45"/>
      <c r="BA252" s="45"/>
      <c r="BB252" s="45"/>
      <c r="BC252" s="45"/>
      <c r="BD252" s="45"/>
      <c r="BE252" s="45"/>
      <c r="BF252" s="45"/>
      <c r="BG252" s="45"/>
      <c r="BH252" s="45"/>
      <c r="BI252" s="45"/>
      <c r="BJ252" s="45"/>
      <c r="BK252" s="45"/>
      <c r="BL252" s="45"/>
      <c r="BM252" s="45"/>
      <c r="BN252" s="45"/>
      <c r="BO252" s="45"/>
      <c r="BP252" s="45"/>
      <c r="BQ252" s="45"/>
      <c r="BR252" s="45"/>
      <c r="BS252" s="45"/>
      <c r="BT252" s="45"/>
      <c r="BU252" s="45"/>
      <c r="BV252" s="45"/>
      <c r="BW252" s="45"/>
      <c r="BX252" s="45"/>
    </row>
    <row r="253" spans="1:256" s="64" customFormat="1" ht="15" customHeight="1">
      <c r="A253" s="25" t="s">
        <v>969</v>
      </c>
      <c r="B253" s="22"/>
      <c r="C253" s="22"/>
      <c r="D253" s="22"/>
      <c r="E253" s="22"/>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c r="AI253" s="22"/>
      <c r="AJ253" s="22"/>
      <c r="AK253" s="22"/>
      <c r="AL253" s="22"/>
      <c r="AM253" s="22"/>
      <c r="AN253" s="22"/>
      <c r="AO253" s="22"/>
      <c r="AP253" s="22"/>
      <c r="AQ253" s="22"/>
      <c r="AR253" s="22"/>
      <c r="AS253" s="22"/>
      <c r="AT253" s="22"/>
      <c r="AU253" s="22"/>
      <c r="AV253" s="22"/>
      <c r="AW253" s="22"/>
      <c r="AX253" s="22"/>
      <c r="AY253" s="22"/>
      <c r="AZ253" s="22"/>
      <c r="BA253" s="22"/>
      <c r="BB253" s="22"/>
      <c r="BC253" s="22"/>
      <c r="BD253" s="22"/>
      <c r="BE253" s="22"/>
      <c r="BF253" s="22"/>
      <c r="BG253" s="22"/>
      <c r="BH253" s="22"/>
      <c r="BI253" s="22"/>
      <c r="BJ253" s="22"/>
      <c r="BK253" s="22"/>
      <c r="BL253" s="22"/>
      <c r="BM253" s="22"/>
      <c r="BN253" s="22"/>
      <c r="BO253" s="22"/>
      <c r="BP253" s="22"/>
      <c r="BQ253" s="22"/>
      <c r="BR253" s="22"/>
      <c r="BS253" s="22"/>
      <c r="BT253" s="22"/>
      <c r="BU253" s="22"/>
      <c r="BV253" s="22"/>
      <c r="BW253" s="22"/>
      <c r="BX253" s="22"/>
      <c r="BY253" s="22"/>
      <c r="BZ253" s="22"/>
      <c r="CA253" s="22"/>
      <c r="CB253" s="22"/>
      <c r="CC253" s="22"/>
      <c r="CD253" s="22"/>
      <c r="CE253" s="22"/>
      <c r="CF253" s="22"/>
      <c r="CG253" s="22"/>
      <c r="CH253" s="22"/>
      <c r="CI253" s="22"/>
      <c r="CJ253" s="22"/>
      <c r="CK253" s="22"/>
      <c r="CL253" s="22"/>
      <c r="CM253" s="22"/>
      <c r="CN253" s="22"/>
      <c r="CO253" s="22"/>
      <c r="CP253" s="22"/>
      <c r="CQ253" s="22"/>
      <c r="CR253" s="22"/>
      <c r="CS253" s="22"/>
      <c r="CT253" s="22"/>
      <c r="CU253" s="22"/>
      <c r="CV253" s="22"/>
      <c r="CW253" s="22"/>
      <c r="CX253" s="22"/>
      <c r="CY253" s="22"/>
      <c r="CZ253" s="22"/>
      <c r="DA253" s="22"/>
      <c r="DB253" s="22"/>
      <c r="DC253" s="22"/>
      <c r="DD253" s="22"/>
      <c r="DE253" s="22"/>
      <c r="DF253" s="22"/>
      <c r="DG253" s="22"/>
      <c r="DH253" s="22"/>
      <c r="DI253" s="22"/>
      <c r="DJ253" s="22"/>
      <c r="DK253" s="22"/>
      <c r="DL253" s="22"/>
      <c r="DM253" s="22"/>
      <c r="DN253" s="22"/>
      <c r="DO253" s="22"/>
      <c r="DP253" s="22"/>
      <c r="DQ253" s="22"/>
      <c r="DR253" s="22"/>
      <c r="DS253" s="22"/>
      <c r="DT253" s="22"/>
      <c r="DU253" s="22"/>
      <c r="DV253" s="22"/>
      <c r="DW253" s="22"/>
      <c r="DX253" s="22"/>
      <c r="DY253" s="22"/>
      <c r="DZ253" s="22"/>
      <c r="EA253" s="22"/>
      <c r="EB253" s="22"/>
      <c r="EC253" s="22"/>
      <c r="ED253" s="22"/>
      <c r="EE253" s="22"/>
      <c r="EF253" s="22"/>
      <c r="EG253" s="22"/>
      <c r="EH253" s="22"/>
      <c r="EI253" s="22"/>
      <c r="EJ253" s="22"/>
      <c r="EK253" s="22"/>
      <c r="EL253" s="22"/>
      <c r="EM253" s="22"/>
      <c r="EN253" s="22"/>
      <c r="EO253" s="22"/>
      <c r="EP253" s="22"/>
      <c r="EQ253" s="22"/>
      <c r="ER253" s="22"/>
      <c r="ES253" s="22"/>
      <c r="ET253" s="22"/>
      <c r="EU253" s="22"/>
      <c r="EV253" s="22"/>
      <c r="EW253" s="22"/>
      <c r="EX253" s="22"/>
      <c r="EY253" s="22"/>
      <c r="EZ253" s="22"/>
      <c r="FA253" s="22"/>
      <c r="FB253" s="22"/>
      <c r="FC253" s="22"/>
      <c r="FD253" s="22"/>
      <c r="FE253" s="22"/>
      <c r="FF253" s="22"/>
      <c r="FG253" s="22"/>
      <c r="FH253" s="22"/>
      <c r="FI253" s="22"/>
      <c r="FJ253" s="22"/>
      <c r="FK253" s="22"/>
      <c r="FL253" s="22"/>
      <c r="FM253" s="22"/>
      <c r="FN253" s="22"/>
      <c r="FO253" s="22"/>
      <c r="FP253" s="22"/>
      <c r="FQ253" s="22"/>
      <c r="FR253" s="22"/>
      <c r="FS253" s="22"/>
      <c r="FT253" s="22"/>
      <c r="FU253" s="22"/>
      <c r="FV253" s="22"/>
      <c r="FW253" s="22"/>
      <c r="FX253" s="22"/>
      <c r="FY253" s="22"/>
      <c r="FZ253" s="22"/>
      <c r="GA253" s="22"/>
      <c r="GB253" s="22"/>
      <c r="GC253" s="22"/>
      <c r="GD253" s="22"/>
      <c r="GE253" s="22"/>
      <c r="GF253" s="22"/>
      <c r="GG253" s="22"/>
      <c r="GH253" s="22"/>
      <c r="GI253" s="22"/>
      <c r="GJ253" s="22"/>
      <c r="GK253" s="22"/>
      <c r="GL253" s="22"/>
      <c r="GM253" s="22"/>
      <c r="GN253" s="22"/>
      <c r="GO253" s="22"/>
      <c r="GP253" s="22"/>
      <c r="GQ253" s="22"/>
      <c r="GR253" s="22"/>
      <c r="GS253" s="22"/>
      <c r="GT253" s="22"/>
      <c r="GU253" s="22"/>
      <c r="GV253" s="22"/>
      <c r="GW253" s="22"/>
      <c r="GX253" s="22"/>
      <c r="GY253" s="22"/>
      <c r="GZ253" s="22"/>
      <c r="HA253" s="22"/>
      <c r="HB253" s="22"/>
      <c r="HC253" s="22"/>
      <c r="HD253" s="22"/>
      <c r="HE253" s="22"/>
      <c r="HF253" s="22"/>
      <c r="HG253" s="22"/>
      <c r="HH253" s="22"/>
      <c r="HI253" s="22"/>
      <c r="HJ253" s="22"/>
      <c r="HK253" s="22"/>
      <c r="HL253" s="22"/>
      <c r="HM253" s="22"/>
      <c r="HN253" s="22"/>
      <c r="HO253" s="22"/>
      <c r="HP253" s="22"/>
      <c r="HQ253" s="22"/>
      <c r="HR253" s="22"/>
      <c r="HS253" s="22"/>
      <c r="HT253" s="22"/>
      <c r="HU253" s="22"/>
      <c r="HV253" s="22"/>
      <c r="HW253" s="22"/>
      <c r="HX253" s="22"/>
      <c r="HY253" s="22"/>
      <c r="HZ253" s="22"/>
      <c r="IA253" s="22"/>
      <c r="IB253" s="22"/>
      <c r="IC253" s="22"/>
      <c r="ID253" s="22"/>
      <c r="IE253" s="22"/>
      <c r="IF253" s="22"/>
      <c r="IG253" s="22"/>
      <c r="IH253" s="22"/>
      <c r="II253" s="22"/>
      <c r="IJ253" s="22"/>
      <c r="IK253" s="22"/>
      <c r="IL253" s="22"/>
      <c r="IM253" s="22"/>
      <c r="IN253" s="22"/>
      <c r="IO253" s="22"/>
      <c r="IP253" s="22"/>
      <c r="IQ253" s="22"/>
      <c r="IR253" s="22"/>
      <c r="IS253" s="22"/>
      <c r="IT253" s="22"/>
      <c r="IU253" s="22"/>
      <c r="IV253" s="22"/>
    </row>
    <row r="254" spans="1:256" s="64" customFormat="1" ht="15" customHeight="1">
      <c r="A254" s="25" t="s">
        <v>1019</v>
      </c>
      <c r="B254" s="22"/>
      <c r="C254" s="22"/>
      <c r="D254" s="22"/>
      <c r="E254" s="22"/>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2"/>
      <c r="AP254" s="22"/>
      <c r="AQ254" s="22"/>
      <c r="AR254" s="22"/>
      <c r="AS254" s="22"/>
      <c r="AT254" s="22"/>
      <c r="AU254" s="22"/>
      <c r="AV254" s="22"/>
      <c r="AW254" s="22"/>
      <c r="AX254" s="22"/>
      <c r="AY254" s="22"/>
      <c r="AZ254" s="22"/>
      <c r="BA254" s="22"/>
      <c r="BB254" s="22"/>
      <c r="BC254" s="22"/>
      <c r="BD254" s="22"/>
      <c r="BE254" s="22"/>
      <c r="BF254" s="22"/>
      <c r="BG254" s="22"/>
      <c r="BH254" s="22"/>
      <c r="BI254" s="22"/>
      <c r="BJ254" s="22"/>
      <c r="BK254" s="22"/>
      <c r="BL254" s="22"/>
      <c r="BM254" s="22"/>
      <c r="BN254" s="22"/>
      <c r="BO254" s="22"/>
      <c r="BP254" s="22"/>
      <c r="BQ254" s="22"/>
      <c r="BR254" s="22"/>
      <c r="BS254" s="22"/>
      <c r="BT254" s="22"/>
      <c r="BU254" s="22"/>
      <c r="BV254" s="22"/>
      <c r="BW254" s="22"/>
      <c r="BX254" s="22"/>
      <c r="BY254" s="22"/>
      <c r="BZ254" s="22"/>
      <c r="CA254" s="22"/>
      <c r="CB254" s="22"/>
      <c r="CC254" s="22"/>
      <c r="CD254" s="22"/>
      <c r="CE254" s="22"/>
      <c r="CF254" s="22"/>
      <c r="CG254" s="22"/>
      <c r="CH254" s="22"/>
      <c r="CI254" s="22"/>
      <c r="CJ254" s="22"/>
      <c r="CK254" s="22"/>
      <c r="CL254" s="22"/>
      <c r="CM254" s="22"/>
      <c r="CN254" s="22"/>
      <c r="CO254" s="22"/>
      <c r="CP254" s="22"/>
      <c r="CQ254" s="22"/>
      <c r="CR254" s="22"/>
      <c r="CS254" s="22"/>
      <c r="CT254" s="22"/>
      <c r="CU254" s="22"/>
      <c r="CV254" s="22"/>
      <c r="CW254" s="22"/>
      <c r="CX254" s="22"/>
      <c r="CY254" s="22"/>
      <c r="CZ254" s="22"/>
      <c r="DA254" s="22"/>
      <c r="DB254" s="22"/>
      <c r="DC254" s="22"/>
      <c r="DD254" s="22"/>
      <c r="DE254" s="22"/>
      <c r="DF254" s="22"/>
      <c r="DG254" s="22"/>
      <c r="DH254" s="22"/>
      <c r="DI254" s="22"/>
      <c r="DJ254" s="22"/>
      <c r="DK254" s="22"/>
      <c r="DL254" s="22"/>
      <c r="DM254" s="22"/>
      <c r="DN254" s="22"/>
      <c r="DO254" s="22"/>
      <c r="DP254" s="22"/>
      <c r="DQ254" s="22"/>
      <c r="DR254" s="22"/>
      <c r="DS254" s="22"/>
      <c r="DT254" s="22"/>
      <c r="DU254" s="22"/>
      <c r="DV254" s="22"/>
      <c r="DW254" s="22"/>
      <c r="DX254" s="22"/>
      <c r="DY254" s="22"/>
      <c r="DZ254" s="22"/>
      <c r="EA254" s="22"/>
      <c r="EB254" s="22"/>
      <c r="EC254" s="22"/>
      <c r="ED254" s="22"/>
      <c r="EE254" s="22"/>
      <c r="EF254" s="22"/>
      <c r="EG254" s="22"/>
      <c r="EH254" s="22"/>
      <c r="EI254" s="22"/>
      <c r="EJ254" s="22"/>
      <c r="EK254" s="22"/>
      <c r="EL254" s="22"/>
      <c r="EM254" s="22"/>
      <c r="EN254" s="22"/>
      <c r="EO254" s="22"/>
      <c r="EP254" s="22"/>
      <c r="EQ254" s="22"/>
      <c r="ER254" s="22"/>
      <c r="ES254" s="22"/>
      <c r="ET254" s="22"/>
      <c r="EU254" s="22"/>
      <c r="EV254" s="22"/>
      <c r="EW254" s="22"/>
      <c r="EX254" s="22"/>
      <c r="EY254" s="22"/>
      <c r="EZ254" s="22"/>
      <c r="FA254" s="22"/>
      <c r="FB254" s="22"/>
      <c r="FC254" s="22"/>
      <c r="FD254" s="22"/>
      <c r="FE254" s="22"/>
      <c r="FF254" s="22"/>
      <c r="FG254" s="22"/>
      <c r="FH254" s="22"/>
      <c r="FI254" s="22"/>
      <c r="FJ254" s="22"/>
      <c r="FK254" s="22"/>
      <c r="FL254" s="22"/>
      <c r="FM254" s="22"/>
      <c r="FN254" s="22"/>
      <c r="FO254" s="22"/>
      <c r="FP254" s="22"/>
      <c r="FQ254" s="22"/>
      <c r="FR254" s="22"/>
      <c r="FS254" s="22"/>
      <c r="FT254" s="22"/>
      <c r="FU254" s="22"/>
      <c r="FV254" s="22"/>
      <c r="FW254" s="22"/>
      <c r="FX254" s="22"/>
      <c r="FY254" s="22"/>
      <c r="FZ254" s="22"/>
      <c r="GA254" s="22"/>
      <c r="GB254" s="22"/>
      <c r="GC254" s="22"/>
      <c r="GD254" s="22"/>
      <c r="GE254" s="22"/>
      <c r="GF254" s="22"/>
      <c r="GG254" s="22"/>
      <c r="GH254" s="22"/>
      <c r="GI254" s="22"/>
      <c r="GJ254" s="22"/>
      <c r="GK254" s="22"/>
      <c r="GL254" s="22"/>
      <c r="GM254" s="22"/>
      <c r="GN254" s="22"/>
      <c r="GO254" s="22"/>
      <c r="GP254" s="22"/>
      <c r="GQ254" s="22"/>
      <c r="GR254" s="22"/>
      <c r="GS254" s="22"/>
      <c r="GT254" s="22"/>
      <c r="GU254" s="22"/>
      <c r="GV254" s="22"/>
      <c r="GW254" s="22"/>
      <c r="GX254" s="22"/>
      <c r="GY254" s="22"/>
      <c r="GZ254" s="22"/>
      <c r="HA254" s="22"/>
      <c r="HB254" s="22"/>
      <c r="HC254" s="22"/>
      <c r="HD254" s="22"/>
      <c r="HE254" s="22"/>
      <c r="HF254" s="22"/>
      <c r="HG254" s="22"/>
      <c r="HH254" s="22"/>
      <c r="HI254" s="22"/>
      <c r="HJ254" s="22"/>
      <c r="HK254" s="22"/>
      <c r="HL254" s="22"/>
      <c r="HM254" s="22"/>
      <c r="HN254" s="22"/>
      <c r="HO254" s="22"/>
      <c r="HP254" s="22"/>
      <c r="HQ254" s="22"/>
      <c r="HR254" s="22"/>
      <c r="HS254" s="22"/>
      <c r="HT254" s="22"/>
      <c r="HU254" s="22"/>
      <c r="HV254" s="22"/>
      <c r="HW254" s="22"/>
      <c r="HX254" s="22"/>
      <c r="HY254" s="22"/>
      <c r="HZ254" s="22"/>
      <c r="IA254" s="22"/>
      <c r="IB254" s="22"/>
      <c r="IC254" s="22"/>
      <c r="ID254" s="22"/>
      <c r="IE254" s="22"/>
      <c r="IF254" s="22"/>
      <c r="IG254" s="22"/>
      <c r="IH254" s="22"/>
      <c r="II254" s="22"/>
      <c r="IJ254" s="22"/>
      <c r="IK254" s="22"/>
      <c r="IL254" s="22"/>
      <c r="IM254" s="22"/>
      <c r="IN254" s="22"/>
      <c r="IO254" s="22"/>
      <c r="IP254" s="22"/>
      <c r="IQ254" s="22"/>
      <c r="IR254" s="22"/>
      <c r="IS254" s="22"/>
      <c r="IT254" s="22"/>
      <c r="IU254" s="22"/>
      <c r="IV254" s="22"/>
    </row>
    <row r="255" spans="1:256" s="64" customFormat="1" ht="15" customHeight="1">
      <c r="A255" s="25" t="s">
        <v>1020</v>
      </c>
      <c r="B255" s="22"/>
      <c r="C255" s="22"/>
      <c r="D255" s="22"/>
      <c r="E255" s="22"/>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c r="AV255" s="22"/>
      <c r="AW255" s="22"/>
      <c r="AX255" s="22"/>
      <c r="AY255" s="22"/>
      <c r="AZ255" s="22"/>
      <c r="BA255" s="22"/>
      <c r="BB255" s="22"/>
      <c r="BC255" s="22"/>
      <c r="BD255" s="22"/>
      <c r="BE255" s="22"/>
      <c r="BF255" s="22"/>
      <c r="BG255" s="22"/>
      <c r="BH255" s="22"/>
      <c r="BI255" s="22"/>
      <c r="BJ255" s="22"/>
      <c r="BK255" s="22"/>
      <c r="BL255" s="22"/>
      <c r="BM255" s="22"/>
      <c r="BN255" s="22"/>
      <c r="BO255" s="22"/>
      <c r="BP255" s="22"/>
      <c r="BQ255" s="22"/>
      <c r="BR255" s="22"/>
      <c r="BS255" s="22"/>
      <c r="BT255" s="22"/>
      <c r="BU255" s="22"/>
      <c r="BV255" s="22"/>
      <c r="BW255" s="22"/>
      <c r="BX255" s="22"/>
      <c r="BY255" s="22"/>
      <c r="BZ255" s="22"/>
      <c r="CA255" s="22"/>
      <c r="CB255" s="22"/>
      <c r="CC255" s="22"/>
      <c r="CD255" s="22"/>
      <c r="CE255" s="22"/>
      <c r="CF255" s="22"/>
      <c r="CG255" s="22"/>
      <c r="CH255" s="22"/>
      <c r="CI255" s="22"/>
      <c r="CJ255" s="22"/>
      <c r="CK255" s="22"/>
      <c r="CL255" s="22"/>
      <c r="CM255" s="22"/>
      <c r="CN255" s="22"/>
      <c r="CO255" s="22"/>
      <c r="CP255" s="22"/>
      <c r="CQ255" s="22"/>
      <c r="CR255" s="22"/>
      <c r="CS255" s="22"/>
      <c r="CT255" s="22"/>
      <c r="CU255" s="22"/>
      <c r="CV255" s="22"/>
      <c r="CW255" s="22"/>
      <c r="CX255" s="22"/>
      <c r="CY255" s="22"/>
      <c r="CZ255" s="22"/>
      <c r="DA255" s="22"/>
      <c r="DB255" s="22"/>
      <c r="DC255" s="22"/>
      <c r="DD255" s="22"/>
      <c r="DE255" s="22"/>
      <c r="DF255" s="22"/>
      <c r="DG255" s="22"/>
      <c r="DH255" s="22"/>
      <c r="DI255" s="22"/>
      <c r="DJ255" s="22"/>
      <c r="DK255" s="22"/>
      <c r="DL255" s="22"/>
      <c r="DM255" s="22"/>
      <c r="DN255" s="22"/>
      <c r="DO255" s="22"/>
      <c r="DP255" s="22"/>
      <c r="DQ255" s="22"/>
      <c r="DR255" s="22"/>
      <c r="DS255" s="22"/>
      <c r="DT255" s="22"/>
      <c r="DU255" s="22"/>
      <c r="DV255" s="22"/>
      <c r="DW255" s="22"/>
      <c r="DX255" s="22"/>
      <c r="DY255" s="22"/>
      <c r="DZ255" s="22"/>
      <c r="EA255" s="22"/>
      <c r="EB255" s="22"/>
      <c r="EC255" s="22"/>
      <c r="ED255" s="22"/>
      <c r="EE255" s="22"/>
      <c r="EF255" s="22"/>
      <c r="EG255" s="22"/>
      <c r="EH255" s="22"/>
      <c r="EI255" s="22"/>
      <c r="EJ255" s="22"/>
      <c r="EK255" s="22"/>
      <c r="EL255" s="22"/>
      <c r="EM255" s="22"/>
      <c r="EN255" s="22"/>
      <c r="EO255" s="22"/>
      <c r="EP255" s="22"/>
      <c r="EQ255" s="22"/>
      <c r="ER255" s="22"/>
      <c r="ES255" s="22"/>
      <c r="ET255" s="22"/>
      <c r="EU255" s="22"/>
      <c r="EV255" s="22"/>
      <c r="EW255" s="22"/>
      <c r="EX255" s="22"/>
      <c r="EY255" s="22"/>
      <c r="EZ255" s="22"/>
      <c r="FA255" s="22"/>
      <c r="FB255" s="22"/>
      <c r="FC255" s="22"/>
      <c r="FD255" s="22"/>
      <c r="FE255" s="22"/>
      <c r="FF255" s="22"/>
      <c r="FG255" s="22"/>
      <c r="FH255" s="22"/>
      <c r="FI255" s="22"/>
      <c r="FJ255" s="22"/>
      <c r="FK255" s="22"/>
      <c r="FL255" s="22"/>
      <c r="FM255" s="22"/>
      <c r="FN255" s="22"/>
      <c r="FO255" s="22"/>
      <c r="FP255" s="22"/>
      <c r="FQ255" s="22"/>
      <c r="FR255" s="22"/>
      <c r="FS255" s="22"/>
      <c r="FT255" s="22"/>
      <c r="FU255" s="22"/>
      <c r="FV255" s="22"/>
      <c r="FW255" s="22"/>
      <c r="FX255" s="22"/>
      <c r="FY255" s="22"/>
      <c r="FZ255" s="22"/>
      <c r="GA255" s="22"/>
      <c r="GB255" s="22"/>
      <c r="GC255" s="22"/>
      <c r="GD255" s="22"/>
      <c r="GE255" s="22"/>
      <c r="GF255" s="22"/>
      <c r="GG255" s="22"/>
      <c r="GH255" s="22"/>
      <c r="GI255" s="22"/>
      <c r="GJ255" s="22"/>
      <c r="GK255" s="22"/>
      <c r="GL255" s="22"/>
      <c r="GM255" s="22"/>
      <c r="GN255" s="22"/>
      <c r="GO255" s="22"/>
      <c r="GP255" s="22"/>
      <c r="GQ255" s="22"/>
      <c r="GR255" s="22"/>
      <c r="GS255" s="22"/>
      <c r="GT255" s="22"/>
      <c r="GU255" s="22"/>
      <c r="GV255" s="22"/>
      <c r="GW255" s="22"/>
      <c r="GX255" s="22"/>
      <c r="GY255" s="22"/>
      <c r="GZ255" s="22"/>
      <c r="HA255" s="22"/>
      <c r="HB255" s="22"/>
      <c r="HC255" s="22"/>
      <c r="HD255" s="22"/>
      <c r="HE255" s="22"/>
      <c r="HF255" s="22"/>
      <c r="HG255" s="22"/>
      <c r="HH255" s="22"/>
      <c r="HI255" s="22"/>
      <c r="HJ255" s="22"/>
      <c r="HK255" s="22"/>
      <c r="HL255" s="22"/>
      <c r="HM255" s="22"/>
      <c r="HN255" s="22"/>
      <c r="HO255" s="22"/>
      <c r="HP255" s="22"/>
      <c r="HQ255" s="22"/>
      <c r="HR255" s="22"/>
      <c r="HS255" s="22"/>
      <c r="HT255" s="22"/>
      <c r="HU255" s="22"/>
      <c r="HV255" s="22"/>
      <c r="HW255" s="22"/>
      <c r="HX255" s="22"/>
      <c r="HY255" s="22"/>
      <c r="HZ255" s="22"/>
      <c r="IA255" s="22"/>
      <c r="IB255" s="22"/>
      <c r="IC255" s="22"/>
      <c r="ID255" s="22"/>
      <c r="IE255" s="22"/>
      <c r="IF255" s="22"/>
      <c r="IG255" s="22"/>
      <c r="IH255" s="22"/>
      <c r="II255" s="22"/>
      <c r="IJ255" s="22"/>
      <c r="IK255" s="22"/>
      <c r="IL255" s="22"/>
      <c r="IM255" s="22"/>
      <c r="IN255" s="22"/>
      <c r="IO255" s="22"/>
      <c r="IP255" s="22"/>
      <c r="IQ255" s="22"/>
      <c r="IR255" s="22"/>
      <c r="IS255" s="22"/>
      <c r="IT255" s="22"/>
      <c r="IU255" s="22"/>
      <c r="IV255" s="22"/>
    </row>
    <row r="256" spans="1:256" s="64" customFormat="1" ht="15" customHeight="1">
      <c r="A256" s="25" t="s">
        <v>1021</v>
      </c>
      <c r="B256" s="22"/>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c r="AV256" s="22"/>
      <c r="AW256" s="22"/>
      <c r="AX256" s="22"/>
      <c r="AY256" s="22"/>
      <c r="AZ256" s="22"/>
      <c r="BA256" s="22"/>
      <c r="BB256" s="22"/>
      <c r="BC256" s="22"/>
      <c r="BD256" s="22"/>
      <c r="BE256" s="22"/>
      <c r="BF256" s="22"/>
      <c r="BG256" s="22"/>
      <c r="BH256" s="22"/>
      <c r="BI256" s="22"/>
      <c r="BJ256" s="22"/>
      <c r="BK256" s="22"/>
      <c r="BL256" s="22"/>
      <c r="BM256" s="22"/>
      <c r="BN256" s="22"/>
      <c r="BO256" s="22"/>
      <c r="BP256" s="22"/>
      <c r="BQ256" s="22"/>
      <c r="BR256" s="22"/>
      <c r="BS256" s="22"/>
      <c r="BT256" s="22"/>
      <c r="BU256" s="22"/>
      <c r="BV256" s="22"/>
      <c r="BW256" s="22"/>
      <c r="BX256" s="22"/>
      <c r="BY256" s="22"/>
      <c r="BZ256" s="22"/>
      <c r="CA256" s="22"/>
      <c r="CB256" s="22"/>
      <c r="CC256" s="22"/>
      <c r="CD256" s="22"/>
      <c r="CE256" s="22"/>
      <c r="CF256" s="22"/>
      <c r="CG256" s="22"/>
      <c r="CH256" s="22"/>
      <c r="CI256" s="22"/>
      <c r="CJ256" s="22"/>
      <c r="CK256" s="22"/>
      <c r="CL256" s="22"/>
      <c r="CM256" s="22"/>
      <c r="CN256" s="22"/>
      <c r="CO256" s="22"/>
      <c r="CP256" s="22"/>
      <c r="CQ256" s="22"/>
      <c r="CR256" s="22"/>
      <c r="CS256" s="22"/>
      <c r="CT256" s="22"/>
      <c r="CU256" s="22"/>
      <c r="CV256" s="22"/>
      <c r="CW256" s="22"/>
      <c r="CX256" s="22"/>
      <c r="CY256" s="22"/>
      <c r="CZ256" s="22"/>
      <c r="DA256" s="22"/>
      <c r="DB256" s="22"/>
      <c r="DC256" s="22"/>
      <c r="DD256" s="22"/>
      <c r="DE256" s="22"/>
      <c r="DF256" s="22"/>
      <c r="DG256" s="22"/>
      <c r="DH256" s="22"/>
      <c r="DI256" s="22"/>
      <c r="DJ256" s="22"/>
      <c r="DK256" s="22"/>
      <c r="DL256" s="22"/>
      <c r="DM256" s="22"/>
      <c r="DN256" s="22"/>
      <c r="DO256" s="22"/>
      <c r="DP256" s="22"/>
      <c r="DQ256" s="22"/>
      <c r="DR256" s="22"/>
      <c r="DS256" s="22"/>
      <c r="DT256" s="22"/>
      <c r="DU256" s="22"/>
      <c r="DV256" s="22"/>
      <c r="DW256" s="22"/>
      <c r="DX256" s="22"/>
      <c r="DY256" s="22"/>
      <c r="DZ256" s="22"/>
      <c r="EA256" s="22"/>
      <c r="EB256" s="22"/>
      <c r="EC256" s="22"/>
      <c r="ED256" s="22"/>
      <c r="EE256" s="22"/>
      <c r="EF256" s="22"/>
      <c r="EG256" s="22"/>
      <c r="EH256" s="22"/>
      <c r="EI256" s="22"/>
      <c r="EJ256" s="22"/>
      <c r="EK256" s="22"/>
      <c r="EL256" s="22"/>
      <c r="EM256" s="22"/>
      <c r="EN256" s="22"/>
      <c r="EO256" s="22"/>
      <c r="EP256" s="22"/>
      <c r="EQ256" s="22"/>
      <c r="ER256" s="22"/>
      <c r="ES256" s="22"/>
      <c r="ET256" s="22"/>
      <c r="EU256" s="22"/>
      <c r="EV256" s="22"/>
      <c r="EW256" s="22"/>
      <c r="EX256" s="22"/>
      <c r="EY256" s="22"/>
      <c r="EZ256" s="22"/>
      <c r="FA256" s="22"/>
      <c r="FB256" s="22"/>
      <c r="FC256" s="22"/>
      <c r="FD256" s="22"/>
      <c r="FE256" s="22"/>
      <c r="FF256" s="22"/>
      <c r="FG256" s="22"/>
      <c r="FH256" s="22"/>
      <c r="FI256" s="22"/>
      <c r="FJ256" s="22"/>
      <c r="FK256" s="22"/>
      <c r="FL256" s="22"/>
      <c r="FM256" s="22"/>
      <c r="FN256" s="22"/>
      <c r="FO256" s="22"/>
      <c r="FP256" s="22"/>
      <c r="FQ256" s="22"/>
      <c r="FR256" s="22"/>
      <c r="FS256" s="22"/>
      <c r="FT256" s="22"/>
      <c r="FU256" s="22"/>
      <c r="FV256" s="22"/>
      <c r="FW256" s="22"/>
      <c r="FX256" s="22"/>
      <c r="FY256" s="22"/>
      <c r="FZ256" s="22"/>
      <c r="GA256" s="22"/>
      <c r="GB256" s="22"/>
      <c r="GC256" s="22"/>
      <c r="GD256" s="22"/>
      <c r="GE256" s="22"/>
      <c r="GF256" s="22"/>
      <c r="GG256" s="22"/>
      <c r="GH256" s="22"/>
      <c r="GI256" s="22"/>
      <c r="GJ256" s="22"/>
      <c r="GK256" s="22"/>
      <c r="GL256" s="22"/>
      <c r="GM256" s="22"/>
      <c r="GN256" s="22"/>
      <c r="GO256" s="22"/>
      <c r="GP256" s="22"/>
      <c r="GQ256" s="22"/>
      <c r="GR256" s="22"/>
      <c r="GS256" s="22"/>
      <c r="GT256" s="22"/>
      <c r="GU256" s="22"/>
      <c r="GV256" s="22"/>
      <c r="GW256" s="22"/>
      <c r="GX256" s="22"/>
      <c r="GY256" s="22"/>
      <c r="GZ256" s="22"/>
      <c r="HA256" s="22"/>
      <c r="HB256" s="22"/>
      <c r="HC256" s="22"/>
      <c r="HD256" s="22"/>
      <c r="HE256" s="22"/>
      <c r="HF256" s="22"/>
      <c r="HG256" s="22"/>
      <c r="HH256" s="22"/>
      <c r="HI256" s="22"/>
      <c r="HJ256" s="22"/>
      <c r="HK256" s="22"/>
      <c r="HL256" s="22"/>
      <c r="HM256" s="22"/>
      <c r="HN256" s="22"/>
      <c r="HO256" s="22"/>
      <c r="HP256" s="22"/>
      <c r="HQ256" s="22"/>
      <c r="HR256" s="22"/>
      <c r="HS256" s="22"/>
      <c r="HT256" s="22"/>
      <c r="HU256" s="22"/>
      <c r="HV256" s="22"/>
      <c r="HW256" s="22"/>
      <c r="HX256" s="22"/>
      <c r="HY256" s="22"/>
      <c r="HZ256" s="22"/>
      <c r="IA256" s="22"/>
      <c r="IB256" s="22"/>
      <c r="IC256" s="22"/>
      <c r="ID256" s="22"/>
      <c r="IE256" s="22"/>
      <c r="IF256" s="22"/>
      <c r="IG256" s="22"/>
      <c r="IH256" s="22"/>
      <c r="II256" s="22"/>
      <c r="IJ256" s="22"/>
      <c r="IK256" s="22"/>
      <c r="IL256" s="22"/>
      <c r="IM256" s="22"/>
      <c r="IN256" s="22"/>
      <c r="IO256" s="22"/>
      <c r="IP256" s="22"/>
      <c r="IQ256" s="22"/>
      <c r="IR256" s="22"/>
      <c r="IS256" s="22"/>
      <c r="IT256" s="22"/>
      <c r="IU256" s="22"/>
      <c r="IV256" s="22"/>
    </row>
    <row r="257" spans="1:256" s="64" customFormat="1" ht="15" customHeight="1">
      <c r="A257" s="25" t="s">
        <v>1022</v>
      </c>
      <c r="B257" s="22"/>
      <c r="C257" s="22"/>
      <c r="D257" s="22"/>
      <c r="E257" s="22"/>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c r="AV257" s="22"/>
      <c r="AW257" s="22"/>
      <c r="AX257" s="22"/>
      <c r="AY257" s="22"/>
      <c r="AZ257" s="22"/>
      <c r="BA257" s="22"/>
      <c r="BB257" s="22"/>
      <c r="BC257" s="22"/>
      <c r="BD257" s="22"/>
      <c r="BE257" s="22"/>
      <c r="BF257" s="22"/>
      <c r="BG257" s="22"/>
      <c r="BH257" s="22"/>
      <c r="BI257" s="22"/>
      <c r="BJ257" s="22"/>
      <c r="BK257" s="22"/>
      <c r="BL257" s="22"/>
      <c r="BM257" s="22"/>
      <c r="BN257" s="22"/>
      <c r="BO257" s="22"/>
      <c r="BP257" s="22"/>
      <c r="BQ257" s="22"/>
      <c r="BR257" s="22"/>
      <c r="BS257" s="22"/>
      <c r="BT257" s="22"/>
      <c r="BU257" s="22"/>
      <c r="BV257" s="22"/>
      <c r="BW257" s="22"/>
      <c r="BX257" s="22"/>
      <c r="BY257" s="22"/>
      <c r="BZ257" s="22"/>
      <c r="CA257" s="22"/>
      <c r="CB257" s="22"/>
      <c r="CC257" s="22"/>
      <c r="CD257" s="22"/>
      <c r="CE257" s="22"/>
      <c r="CF257" s="22"/>
      <c r="CG257" s="22"/>
      <c r="CH257" s="22"/>
      <c r="CI257" s="22"/>
      <c r="CJ257" s="22"/>
      <c r="CK257" s="22"/>
      <c r="CL257" s="22"/>
      <c r="CM257" s="22"/>
      <c r="CN257" s="22"/>
      <c r="CO257" s="22"/>
      <c r="CP257" s="22"/>
      <c r="CQ257" s="22"/>
      <c r="CR257" s="22"/>
      <c r="CS257" s="22"/>
      <c r="CT257" s="22"/>
      <c r="CU257" s="22"/>
      <c r="CV257" s="22"/>
      <c r="CW257" s="22"/>
      <c r="CX257" s="22"/>
      <c r="CY257" s="22"/>
      <c r="CZ257" s="22"/>
      <c r="DA257" s="22"/>
      <c r="DB257" s="22"/>
      <c r="DC257" s="22"/>
      <c r="DD257" s="22"/>
      <c r="DE257" s="22"/>
      <c r="DF257" s="22"/>
      <c r="DG257" s="22"/>
      <c r="DH257" s="22"/>
      <c r="DI257" s="22"/>
      <c r="DJ257" s="22"/>
      <c r="DK257" s="22"/>
      <c r="DL257" s="22"/>
      <c r="DM257" s="22"/>
      <c r="DN257" s="22"/>
      <c r="DO257" s="22"/>
      <c r="DP257" s="22"/>
      <c r="DQ257" s="22"/>
      <c r="DR257" s="22"/>
      <c r="DS257" s="22"/>
      <c r="DT257" s="22"/>
      <c r="DU257" s="22"/>
      <c r="DV257" s="22"/>
      <c r="DW257" s="22"/>
      <c r="DX257" s="22"/>
      <c r="DY257" s="22"/>
      <c r="DZ257" s="22"/>
      <c r="EA257" s="22"/>
      <c r="EB257" s="22"/>
      <c r="EC257" s="22"/>
      <c r="ED257" s="22"/>
      <c r="EE257" s="22"/>
      <c r="EF257" s="22"/>
      <c r="EG257" s="22"/>
      <c r="EH257" s="22"/>
      <c r="EI257" s="22"/>
      <c r="EJ257" s="22"/>
      <c r="EK257" s="22"/>
      <c r="EL257" s="22"/>
      <c r="EM257" s="22"/>
      <c r="EN257" s="22"/>
      <c r="EO257" s="22"/>
      <c r="EP257" s="22"/>
      <c r="EQ257" s="22"/>
      <c r="ER257" s="22"/>
      <c r="ES257" s="22"/>
      <c r="ET257" s="22"/>
      <c r="EU257" s="22"/>
      <c r="EV257" s="22"/>
      <c r="EW257" s="22"/>
      <c r="EX257" s="22"/>
      <c r="EY257" s="22"/>
      <c r="EZ257" s="22"/>
      <c r="FA257" s="22"/>
      <c r="FB257" s="22"/>
      <c r="FC257" s="22"/>
      <c r="FD257" s="22"/>
      <c r="FE257" s="22"/>
      <c r="FF257" s="22"/>
      <c r="FG257" s="22"/>
      <c r="FH257" s="22"/>
      <c r="FI257" s="22"/>
      <c r="FJ257" s="22"/>
      <c r="FK257" s="22"/>
      <c r="FL257" s="22"/>
      <c r="FM257" s="22"/>
      <c r="FN257" s="22"/>
      <c r="FO257" s="22"/>
      <c r="FP257" s="22"/>
      <c r="FQ257" s="22"/>
      <c r="FR257" s="22"/>
      <c r="FS257" s="22"/>
      <c r="FT257" s="22"/>
      <c r="FU257" s="22"/>
      <c r="FV257" s="22"/>
      <c r="FW257" s="22"/>
      <c r="FX257" s="22"/>
      <c r="FY257" s="22"/>
      <c r="FZ257" s="22"/>
      <c r="GA257" s="22"/>
      <c r="GB257" s="22"/>
      <c r="GC257" s="22"/>
      <c r="GD257" s="22"/>
      <c r="GE257" s="22"/>
      <c r="GF257" s="22"/>
      <c r="GG257" s="22"/>
      <c r="GH257" s="22"/>
      <c r="GI257" s="22"/>
      <c r="GJ257" s="22"/>
      <c r="GK257" s="22"/>
      <c r="GL257" s="22"/>
      <c r="GM257" s="22"/>
      <c r="GN257" s="22"/>
      <c r="GO257" s="22"/>
      <c r="GP257" s="22"/>
      <c r="GQ257" s="22"/>
      <c r="GR257" s="22"/>
      <c r="GS257" s="22"/>
      <c r="GT257" s="22"/>
      <c r="GU257" s="22"/>
      <c r="GV257" s="22"/>
      <c r="GW257" s="22"/>
      <c r="GX257" s="22"/>
      <c r="GY257" s="22"/>
      <c r="GZ257" s="22"/>
      <c r="HA257" s="22"/>
      <c r="HB257" s="22"/>
      <c r="HC257" s="22"/>
      <c r="HD257" s="22"/>
      <c r="HE257" s="22"/>
      <c r="HF257" s="22"/>
      <c r="HG257" s="22"/>
      <c r="HH257" s="22"/>
      <c r="HI257" s="22"/>
      <c r="HJ257" s="22"/>
      <c r="HK257" s="22"/>
      <c r="HL257" s="22"/>
      <c r="HM257" s="22"/>
      <c r="HN257" s="22"/>
      <c r="HO257" s="22"/>
      <c r="HP257" s="22"/>
      <c r="HQ257" s="22"/>
      <c r="HR257" s="22"/>
      <c r="HS257" s="22"/>
      <c r="HT257" s="22"/>
      <c r="HU257" s="22"/>
      <c r="HV257" s="22"/>
      <c r="HW257" s="22"/>
      <c r="HX257" s="22"/>
      <c r="HY257" s="22"/>
      <c r="HZ257" s="22"/>
      <c r="IA257" s="22"/>
      <c r="IB257" s="22"/>
      <c r="IC257" s="22"/>
      <c r="ID257" s="22"/>
      <c r="IE257" s="22"/>
      <c r="IF257" s="22"/>
      <c r="IG257" s="22"/>
      <c r="IH257" s="22"/>
      <c r="II257" s="22"/>
      <c r="IJ257" s="22"/>
      <c r="IK257" s="22"/>
      <c r="IL257" s="22"/>
      <c r="IM257" s="22"/>
      <c r="IN257" s="22"/>
      <c r="IO257" s="22"/>
      <c r="IP257" s="22"/>
      <c r="IQ257" s="22"/>
      <c r="IR257" s="22"/>
      <c r="IS257" s="22"/>
      <c r="IT257" s="22"/>
      <c r="IU257" s="22"/>
      <c r="IV257" s="22"/>
    </row>
    <row r="258" spans="1:256" s="64" customFormat="1" ht="15" customHeight="1">
      <c r="A258" s="25" t="s">
        <v>970</v>
      </c>
      <c r="B258" s="22"/>
      <c r="C258" s="22"/>
      <c r="D258" s="22"/>
      <c r="E258" s="22"/>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c r="AI258" s="22"/>
      <c r="AJ258" s="22"/>
      <c r="AK258" s="22"/>
      <c r="AL258" s="22"/>
      <c r="AM258" s="22"/>
      <c r="AN258" s="22"/>
      <c r="AO258" s="22"/>
      <c r="AP258" s="22"/>
      <c r="AQ258" s="22"/>
      <c r="AR258" s="22"/>
      <c r="AS258" s="22"/>
      <c r="AT258" s="22"/>
      <c r="AU258" s="22"/>
      <c r="AV258" s="22"/>
      <c r="AW258" s="22"/>
      <c r="AX258" s="22"/>
      <c r="AY258" s="22"/>
      <c r="AZ258" s="22"/>
      <c r="BA258" s="22"/>
      <c r="BB258" s="22"/>
      <c r="BC258" s="22"/>
      <c r="BD258" s="22"/>
      <c r="BE258" s="22"/>
      <c r="BF258" s="22"/>
      <c r="BG258" s="22"/>
      <c r="BH258" s="22"/>
      <c r="BI258" s="22"/>
      <c r="BJ258" s="22"/>
      <c r="BK258" s="22"/>
      <c r="BL258" s="22"/>
      <c r="BM258" s="22"/>
      <c r="BN258" s="22"/>
      <c r="BO258" s="22"/>
      <c r="BP258" s="22"/>
      <c r="BQ258" s="22"/>
      <c r="BR258" s="22"/>
      <c r="BS258" s="22"/>
      <c r="BT258" s="22"/>
      <c r="BU258" s="22"/>
      <c r="BV258" s="22"/>
      <c r="BW258" s="22"/>
      <c r="BX258" s="22"/>
      <c r="BY258" s="22"/>
      <c r="BZ258" s="22"/>
      <c r="CA258" s="22"/>
      <c r="CB258" s="22"/>
      <c r="CC258" s="22"/>
      <c r="CD258" s="22"/>
      <c r="CE258" s="22"/>
      <c r="CF258" s="22"/>
      <c r="CG258" s="22"/>
      <c r="CH258" s="22"/>
      <c r="CI258" s="22"/>
      <c r="CJ258" s="22"/>
      <c r="CK258" s="22"/>
      <c r="CL258" s="22"/>
      <c r="CM258" s="22"/>
      <c r="CN258" s="22"/>
      <c r="CO258" s="22"/>
      <c r="CP258" s="22"/>
      <c r="CQ258" s="22"/>
      <c r="CR258" s="22"/>
      <c r="CS258" s="22"/>
      <c r="CT258" s="22"/>
      <c r="CU258" s="22"/>
      <c r="CV258" s="22"/>
      <c r="CW258" s="22"/>
      <c r="CX258" s="22"/>
      <c r="CY258" s="22"/>
      <c r="CZ258" s="22"/>
      <c r="DA258" s="22"/>
      <c r="DB258" s="22"/>
      <c r="DC258" s="22"/>
      <c r="DD258" s="22"/>
      <c r="DE258" s="22"/>
      <c r="DF258" s="22"/>
      <c r="DG258" s="22"/>
      <c r="DH258" s="22"/>
      <c r="DI258" s="22"/>
      <c r="DJ258" s="22"/>
      <c r="DK258" s="22"/>
      <c r="DL258" s="22"/>
      <c r="DM258" s="22"/>
      <c r="DN258" s="22"/>
      <c r="DO258" s="22"/>
      <c r="DP258" s="22"/>
      <c r="DQ258" s="22"/>
      <c r="DR258" s="22"/>
      <c r="DS258" s="22"/>
      <c r="DT258" s="22"/>
      <c r="DU258" s="22"/>
      <c r="DV258" s="22"/>
      <c r="DW258" s="22"/>
      <c r="DX258" s="22"/>
      <c r="DY258" s="22"/>
      <c r="DZ258" s="22"/>
      <c r="EA258" s="22"/>
      <c r="EB258" s="22"/>
      <c r="EC258" s="22"/>
      <c r="ED258" s="22"/>
      <c r="EE258" s="22"/>
      <c r="EF258" s="22"/>
      <c r="EG258" s="22"/>
      <c r="EH258" s="22"/>
      <c r="EI258" s="22"/>
      <c r="EJ258" s="22"/>
      <c r="EK258" s="22"/>
      <c r="EL258" s="22"/>
      <c r="EM258" s="22"/>
      <c r="EN258" s="22"/>
      <c r="EO258" s="22"/>
      <c r="EP258" s="22"/>
      <c r="EQ258" s="22"/>
      <c r="ER258" s="22"/>
      <c r="ES258" s="22"/>
      <c r="ET258" s="22"/>
      <c r="EU258" s="22"/>
      <c r="EV258" s="22"/>
      <c r="EW258" s="22"/>
      <c r="EX258" s="22"/>
      <c r="EY258" s="22"/>
      <c r="EZ258" s="22"/>
      <c r="FA258" s="22"/>
      <c r="FB258" s="22"/>
      <c r="FC258" s="22"/>
      <c r="FD258" s="22"/>
      <c r="FE258" s="22"/>
      <c r="FF258" s="22"/>
      <c r="FG258" s="22"/>
      <c r="FH258" s="22"/>
      <c r="FI258" s="22"/>
      <c r="FJ258" s="22"/>
      <c r="FK258" s="22"/>
      <c r="FL258" s="22"/>
      <c r="FM258" s="22"/>
      <c r="FN258" s="22"/>
      <c r="FO258" s="22"/>
      <c r="FP258" s="22"/>
      <c r="FQ258" s="22"/>
      <c r="FR258" s="22"/>
      <c r="FS258" s="22"/>
      <c r="FT258" s="22"/>
      <c r="FU258" s="22"/>
      <c r="FV258" s="22"/>
      <c r="FW258" s="22"/>
      <c r="FX258" s="22"/>
      <c r="FY258" s="22"/>
      <c r="FZ258" s="22"/>
      <c r="GA258" s="22"/>
      <c r="GB258" s="22"/>
      <c r="GC258" s="22"/>
      <c r="GD258" s="22"/>
      <c r="GE258" s="22"/>
      <c r="GF258" s="22"/>
      <c r="GG258" s="22"/>
      <c r="GH258" s="22"/>
      <c r="GI258" s="22"/>
      <c r="GJ258" s="22"/>
      <c r="GK258" s="22"/>
      <c r="GL258" s="22"/>
      <c r="GM258" s="22"/>
      <c r="GN258" s="22"/>
      <c r="GO258" s="22"/>
      <c r="GP258" s="22"/>
      <c r="GQ258" s="22"/>
      <c r="GR258" s="22"/>
      <c r="GS258" s="22"/>
      <c r="GT258" s="22"/>
      <c r="GU258" s="22"/>
      <c r="GV258" s="22"/>
      <c r="GW258" s="22"/>
      <c r="GX258" s="22"/>
      <c r="GY258" s="22"/>
      <c r="GZ258" s="22"/>
      <c r="HA258" s="22"/>
      <c r="HB258" s="22"/>
      <c r="HC258" s="22"/>
      <c r="HD258" s="22"/>
      <c r="HE258" s="22"/>
      <c r="HF258" s="22"/>
      <c r="HG258" s="22"/>
      <c r="HH258" s="22"/>
      <c r="HI258" s="22"/>
      <c r="HJ258" s="22"/>
      <c r="HK258" s="22"/>
      <c r="HL258" s="22"/>
      <c r="HM258" s="22"/>
      <c r="HN258" s="22"/>
      <c r="HO258" s="22"/>
      <c r="HP258" s="22"/>
      <c r="HQ258" s="22"/>
      <c r="HR258" s="22"/>
      <c r="HS258" s="22"/>
      <c r="HT258" s="22"/>
      <c r="HU258" s="22"/>
      <c r="HV258" s="22"/>
      <c r="HW258" s="22"/>
      <c r="HX258" s="22"/>
      <c r="HY258" s="22"/>
      <c r="HZ258" s="22"/>
      <c r="IA258" s="22"/>
      <c r="IB258" s="22"/>
      <c r="IC258" s="22"/>
      <c r="ID258" s="22"/>
      <c r="IE258" s="22"/>
      <c r="IF258" s="22"/>
      <c r="IG258" s="22"/>
      <c r="IH258" s="22"/>
      <c r="II258" s="22"/>
      <c r="IJ258" s="22"/>
      <c r="IK258" s="22"/>
      <c r="IL258" s="22"/>
      <c r="IM258" s="22"/>
      <c r="IN258" s="22"/>
      <c r="IO258" s="22"/>
      <c r="IP258" s="22"/>
      <c r="IQ258" s="22"/>
      <c r="IR258" s="22"/>
      <c r="IS258" s="22"/>
      <c r="IT258" s="22"/>
      <c r="IU258" s="22"/>
      <c r="IV258" s="22"/>
    </row>
    <row r="259" spans="1:256" s="64" customFormat="1" ht="15" customHeight="1">
      <c r="A259" s="25" t="s">
        <v>1292</v>
      </c>
      <c r="B259" s="22"/>
      <c r="C259" s="22"/>
      <c r="D259" s="22"/>
      <c r="E259" s="22"/>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c r="AI259" s="22"/>
      <c r="AJ259" s="22"/>
      <c r="AK259" s="22"/>
      <c r="AL259" s="22"/>
      <c r="AM259" s="22"/>
      <c r="AN259" s="22"/>
      <c r="AO259" s="22"/>
      <c r="AP259" s="22"/>
      <c r="AQ259" s="22"/>
      <c r="AR259" s="22"/>
      <c r="AS259" s="22"/>
      <c r="AT259" s="22"/>
      <c r="AU259" s="22"/>
      <c r="AV259" s="22"/>
      <c r="AW259" s="22"/>
      <c r="AX259" s="22"/>
      <c r="AY259" s="22"/>
      <c r="AZ259" s="22"/>
      <c r="BA259" s="22"/>
      <c r="BB259" s="22"/>
      <c r="BC259" s="22"/>
      <c r="BD259" s="22"/>
      <c r="BE259" s="22"/>
      <c r="BF259" s="22"/>
      <c r="BG259" s="22"/>
      <c r="BH259" s="22"/>
      <c r="BI259" s="22"/>
      <c r="BJ259" s="22"/>
      <c r="BK259" s="22"/>
      <c r="BL259" s="22"/>
      <c r="BM259" s="22"/>
      <c r="BN259" s="22"/>
      <c r="BO259" s="22"/>
      <c r="BP259" s="22"/>
      <c r="BQ259" s="22"/>
      <c r="BR259" s="22"/>
      <c r="BS259" s="22"/>
      <c r="BT259" s="22"/>
      <c r="BU259" s="22"/>
      <c r="BV259" s="22"/>
      <c r="BW259" s="22"/>
      <c r="BX259" s="22"/>
      <c r="BY259" s="22"/>
      <c r="BZ259" s="22"/>
      <c r="CA259" s="22"/>
      <c r="CB259" s="22"/>
      <c r="CC259" s="22"/>
      <c r="CD259" s="22"/>
      <c r="CE259" s="22"/>
      <c r="CF259" s="22"/>
      <c r="CG259" s="22"/>
      <c r="CH259" s="22"/>
      <c r="CI259" s="22"/>
      <c r="CJ259" s="22"/>
      <c r="CK259" s="22"/>
      <c r="CL259" s="22"/>
      <c r="CM259" s="22"/>
      <c r="CN259" s="22"/>
      <c r="CO259" s="22"/>
      <c r="CP259" s="22"/>
      <c r="CQ259" s="22"/>
      <c r="CR259" s="22"/>
      <c r="CS259" s="22"/>
      <c r="CT259" s="22"/>
      <c r="CU259" s="22"/>
      <c r="CV259" s="22"/>
      <c r="CW259" s="22"/>
      <c r="CX259" s="22"/>
      <c r="CY259" s="22"/>
      <c r="CZ259" s="22"/>
      <c r="DA259" s="22"/>
      <c r="DB259" s="22"/>
      <c r="DC259" s="22"/>
      <c r="DD259" s="22"/>
      <c r="DE259" s="22"/>
      <c r="DF259" s="22"/>
      <c r="DG259" s="22"/>
      <c r="DH259" s="22"/>
      <c r="DI259" s="22"/>
      <c r="DJ259" s="22"/>
      <c r="DK259" s="22"/>
      <c r="DL259" s="22"/>
      <c r="DM259" s="22"/>
      <c r="DN259" s="22"/>
      <c r="DO259" s="22"/>
      <c r="DP259" s="22"/>
      <c r="DQ259" s="22"/>
      <c r="DR259" s="22"/>
      <c r="DS259" s="22"/>
      <c r="DT259" s="22"/>
      <c r="DU259" s="22"/>
      <c r="DV259" s="22"/>
      <c r="DW259" s="22"/>
      <c r="DX259" s="22"/>
      <c r="DY259" s="22"/>
      <c r="DZ259" s="22"/>
      <c r="EA259" s="22"/>
      <c r="EB259" s="22"/>
      <c r="EC259" s="22"/>
      <c r="ED259" s="22"/>
      <c r="EE259" s="22"/>
      <c r="EF259" s="22"/>
      <c r="EG259" s="22"/>
      <c r="EH259" s="22"/>
      <c r="EI259" s="22"/>
      <c r="EJ259" s="22"/>
      <c r="EK259" s="22"/>
      <c r="EL259" s="22"/>
      <c r="EM259" s="22"/>
      <c r="EN259" s="22"/>
      <c r="EO259" s="22"/>
      <c r="EP259" s="22"/>
      <c r="EQ259" s="22"/>
      <c r="ER259" s="22"/>
      <c r="ES259" s="22"/>
      <c r="ET259" s="22"/>
      <c r="EU259" s="22"/>
      <c r="EV259" s="22"/>
      <c r="EW259" s="22"/>
      <c r="EX259" s="22"/>
      <c r="EY259" s="22"/>
      <c r="EZ259" s="22"/>
      <c r="FA259" s="22"/>
      <c r="FB259" s="22"/>
      <c r="FC259" s="22"/>
      <c r="FD259" s="22"/>
      <c r="FE259" s="22"/>
      <c r="FF259" s="22"/>
      <c r="FG259" s="22"/>
      <c r="FH259" s="22"/>
      <c r="FI259" s="22"/>
      <c r="FJ259" s="22"/>
      <c r="FK259" s="22"/>
      <c r="FL259" s="22"/>
      <c r="FM259" s="22"/>
      <c r="FN259" s="22"/>
      <c r="FO259" s="22"/>
      <c r="FP259" s="22"/>
      <c r="FQ259" s="22"/>
      <c r="FR259" s="22"/>
      <c r="FS259" s="22"/>
      <c r="FT259" s="22"/>
      <c r="FU259" s="22"/>
      <c r="FV259" s="22"/>
      <c r="FW259" s="22"/>
      <c r="FX259" s="22"/>
      <c r="FY259" s="22"/>
      <c r="FZ259" s="22"/>
      <c r="GA259" s="22"/>
      <c r="GB259" s="22"/>
      <c r="GC259" s="22"/>
      <c r="GD259" s="22"/>
      <c r="GE259" s="22"/>
      <c r="GF259" s="22"/>
      <c r="GG259" s="22"/>
      <c r="GH259" s="22"/>
      <c r="GI259" s="22"/>
      <c r="GJ259" s="22"/>
      <c r="GK259" s="22"/>
      <c r="GL259" s="22"/>
      <c r="GM259" s="22"/>
      <c r="GN259" s="22"/>
      <c r="GO259" s="22"/>
      <c r="GP259" s="22"/>
      <c r="GQ259" s="22"/>
      <c r="GR259" s="22"/>
      <c r="GS259" s="22"/>
      <c r="GT259" s="22"/>
      <c r="GU259" s="22"/>
      <c r="GV259" s="22"/>
      <c r="GW259" s="22"/>
      <c r="GX259" s="22"/>
      <c r="GY259" s="22"/>
      <c r="GZ259" s="22"/>
      <c r="HA259" s="22"/>
      <c r="HB259" s="22"/>
      <c r="HC259" s="22"/>
      <c r="HD259" s="22"/>
      <c r="HE259" s="22"/>
      <c r="HF259" s="22"/>
      <c r="HG259" s="22"/>
      <c r="HH259" s="22"/>
      <c r="HI259" s="22"/>
      <c r="HJ259" s="22"/>
      <c r="HK259" s="22"/>
      <c r="HL259" s="22"/>
      <c r="HM259" s="22"/>
      <c r="HN259" s="22"/>
      <c r="HO259" s="22"/>
      <c r="HP259" s="22"/>
      <c r="HQ259" s="22"/>
      <c r="HR259" s="22"/>
      <c r="HS259" s="22"/>
      <c r="HT259" s="22"/>
      <c r="HU259" s="22"/>
      <c r="HV259" s="22"/>
      <c r="HW259" s="22"/>
      <c r="HX259" s="22"/>
      <c r="HY259" s="22"/>
      <c r="HZ259" s="22"/>
      <c r="IA259" s="22"/>
      <c r="IB259" s="22"/>
      <c r="IC259" s="22"/>
      <c r="ID259" s="22"/>
      <c r="IE259" s="22"/>
      <c r="IF259" s="22"/>
      <c r="IG259" s="22"/>
      <c r="IH259" s="22"/>
      <c r="II259" s="22"/>
      <c r="IJ259" s="22"/>
      <c r="IK259" s="22"/>
      <c r="IL259" s="22"/>
      <c r="IM259" s="22"/>
      <c r="IN259" s="22"/>
      <c r="IO259" s="22"/>
      <c r="IP259" s="22"/>
      <c r="IQ259" s="22"/>
      <c r="IR259" s="22"/>
      <c r="IS259" s="22"/>
      <c r="IT259" s="22"/>
      <c r="IU259" s="22"/>
      <c r="IV259" s="22"/>
    </row>
    <row r="260" spans="1:256" s="64" customFormat="1" ht="15" customHeight="1">
      <c r="A260" s="25" t="s">
        <v>918</v>
      </c>
      <c r="B260" s="22"/>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c r="AI260" s="22"/>
      <c r="AJ260" s="22"/>
      <c r="AK260" s="22"/>
      <c r="AL260" s="22"/>
      <c r="AM260" s="22"/>
      <c r="AN260" s="22"/>
      <c r="AO260" s="22"/>
      <c r="AP260" s="22"/>
      <c r="AQ260" s="22"/>
      <c r="AR260" s="22"/>
      <c r="AS260" s="22"/>
      <c r="AT260" s="22"/>
      <c r="AU260" s="22"/>
      <c r="AV260" s="22"/>
      <c r="AW260" s="22"/>
      <c r="AX260" s="22"/>
      <c r="AY260" s="22"/>
      <c r="AZ260" s="22"/>
      <c r="BA260" s="22"/>
      <c r="BB260" s="22"/>
      <c r="BC260" s="22"/>
      <c r="BD260" s="22"/>
      <c r="BE260" s="22"/>
      <c r="BF260" s="22"/>
      <c r="BG260" s="22"/>
      <c r="BH260" s="22"/>
      <c r="BI260" s="22"/>
      <c r="BJ260" s="22"/>
      <c r="BK260" s="22"/>
      <c r="BL260" s="22"/>
      <c r="BM260" s="22"/>
      <c r="BN260" s="22"/>
      <c r="BO260" s="22"/>
      <c r="BP260" s="22"/>
      <c r="BQ260" s="22"/>
      <c r="BR260" s="22"/>
      <c r="BS260" s="22"/>
      <c r="BT260" s="22"/>
      <c r="BU260" s="22"/>
      <c r="BV260" s="22"/>
      <c r="BW260" s="22"/>
      <c r="BX260" s="22"/>
      <c r="BY260" s="22"/>
      <c r="BZ260" s="22"/>
      <c r="CA260" s="22"/>
      <c r="CB260" s="22"/>
      <c r="CC260" s="22"/>
      <c r="CD260" s="22"/>
      <c r="CE260" s="22"/>
      <c r="CF260" s="22"/>
      <c r="CG260" s="22"/>
      <c r="CH260" s="22"/>
      <c r="CI260" s="22"/>
      <c r="CJ260" s="22"/>
      <c r="CK260" s="22"/>
      <c r="CL260" s="22"/>
      <c r="CM260" s="22"/>
      <c r="CN260" s="22"/>
      <c r="CO260" s="22"/>
      <c r="CP260" s="22"/>
      <c r="CQ260" s="22"/>
      <c r="CR260" s="22"/>
      <c r="CS260" s="22"/>
      <c r="CT260" s="22"/>
      <c r="CU260" s="22"/>
      <c r="CV260" s="22"/>
      <c r="CW260" s="22"/>
      <c r="CX260" s="22"/>
      <c r="CY260" s="22"/>
      <c r="CZ260" s="22"/>
      <c r="DA260" s="22"/>
      <c r="DB260" s="22"/>
      <c r="DC260" s="22"/>
      <c r="DD260" s="22"/>
      <c r="DE260" s="22"/>
      <c r="DF260" s="22"/>
      <c r="DG260" s="22"/>
      <c r="DH260" s="22"/>
      <c r="DI260" s="22"/>
      <c r="DJ260" s="22"/>
      <c r="DK260" s="22"/>
      <c r="DL260" s="22"/>
      <c r="DM260" s="22"/>
      <c r="DN260" s="22"/>
      <c r="DO260" s="22"/>
      <c r="DP260" s="22"/>
      <c r="DQ260" s="22"/>
      <c r="DR260" s="22"/>
      <c r="DS260" s="22"/>
      <c r="DT260" s="22"/>
      <c r="DU260" s="22"/>
      <c r="DV260" s="22"/>
      <c r="DW260" s="22"/>
      <c r="DX260" s="22"/>
      <c r="DY260" s="22"/>
      <c r="DZ260" s="22"/>
      <c r="EA260" s="22"/>
      <c r="EB260" s="22"/>
      <c r="EC260" s="22"/>
      <c r="ED260" s="22"/>
      <c r="EE260" s="22"/>
      <c r="EF260" s="22"/>
      <c r="EG260" s="22"/>
      <c r="EH260" s="22"/>
      <c r="EI260" s="22"/>
      <c r="EJ260" s="22"/>
      <c r="EK260" s="22"/>
      <c r="EL260" s="22"/>
      <c r="EM260" s="22"/>
      <c r="EN260" s="22"/>
      <c r="EO260" s="22"/>
      <c r="EP260" s="22"/>
      <c r="EQ260" s="22"/>
      <c r="ER260" s="22"/>
      <c r="ES260" s="22"/>
      <c r="ET260" s="22"/>
      <c r="EU260" s="22"/>
      <c r="EV260" s="22"/>
      <c r="EW260" s="22"/>
      <c r="EX260" s="22"/>
      <c r="EY260" s="22"/>
      <c r="EZ260" s="22"/>
      <c r="FA260" s="22"/>
      <c r="FB260" s="22"/>
      <c r="FC260" s="22"/>
      <c r="FD260" s="22"/>
      <c r="FE260" s="22"/>
      <c r="FF260" s="22"/>
      <c r="FG260" s="22"/>
      <c r="FH260" s="22"/>
      <c r="FI260" s="22"/>
      <c r="FJ260" s="22"/>
      <c r="FK260" s="22"/>
      <c r="FL260" s="22"/>
      <c r="FM260" s="22"/>
      <c r="FN260" s="22"/>
      <c r="FO260" s="22"/>
      <c r="FP260" s="22"/>
      <c r="FQ260" s="22"/>
      <c r="FR260" s="22"/>
      <c r="FS260" s="22"/>
      <c r="FT260" s="22"/>
      <c r="FU260" s="22"/>
      <c r="FV260" s="22"/>
      <c r="FW260" s="22"/>
      <c r="FX260" s="22"/>
      <c r="FY260" s="22"/>
      <c r="FZ260" s="22"/>
      <c r="GA260" s="22"/>
      <c r="GB260" s="22"/>
      <c r="GC260" s="22"/>
      <c r="GD260" s="22"/>
      <c r="GE260" s="22"/>
      <c r="GF260" s="22"/>
      <c r="GG260" s="22"/>
      <c r="GH260" s="22"/>
      <c r="GI260" s="22"/>
      <c r="GJ260" s="22"/>
      <c r="GK260" s="22"/>
      <c r="GL260" s="22"/>
      <c r="GM260" s="22"/>
      <c r="GN260" s="22"/>
      <c r="GO260" s="22"/>
      <c r="GP260" s="22"/>
      <c r="GQ260" s="22"/>
      <c r="GR260" s="22"/>
      <c r="GS260" s="22"/>
      <c r="GT260" s="22"/>
      <c r="GU260" s="22"/>
      <c r="GV260" s="22"/>
      <c r="GW260" s="22"/>
      <c r="GX260" s="22"/>
      <c r="GY260" s="22"/>
      <c r="GZ260" s="22"/>
      <c r="HA260" s="22"/>
      <c r="HB260" s="22"/>
      <c r="HC260" s="22"/>
      <c r="HD260" s="22"/>
      <c r="HE260" s="22"/>
      <c r="HF260" s="22"/>
      <c r="HG260" s="22"/>
      <c r="HH260" s="22"/>
      <c r="HI260" s="22"/>
      <c r="HJ260" s="22"/>
      <c r="HK260" s="22"/>
      <c r="HL260" s="22"/>
      <c r="HM260" s="22"/>
      <c r="HN260" s="22"/>
      <c r="HO260" s="22"/>
      <c r="HP260" s="22"/>
      <c r="HQ260" s="22"/>
      <c r="HR260" s="22"/>
      <c r="HS260" s="22"/>
      <c r="HT260" s="22"/>
      <c r="HU260" s="22"/>
      <c r="HV260" s="22"/>
      <c r="HW260" s="22"/>
      <c r="HX260" s="22"/>
      <c r="HY260" s="22"/>
      <c r="HZ260" s="22"/>
      <c r="IA260" s="22"/>
      <c r="IB260" s="22"/>
      <c r="IC260" s="22"/>
      <c r="ID260" s="22"/>
      <c r="IE260" s="22"/>
      <c r="IF260" s="22"/>
      <c r="IG260" s="22"/>
      <c r="IH260" s="22"/>
      <c r="II260" s="22"/>
      <c r="IJ260" s="22"/>
      <c r="IK260" s="22"/>
      <c r="IL260" s="22"/>
      <c r="IM260" s="22"/>
      <c r="IN260" s="22"/>
      <c r="IO260" s="22"/>
      <c r="IP260" s="22"/>
      <c r="IQ260" s="22"/>
      <c r="IR260" s="22"/>
      <c r="IS260" s="22"/>
      <c r="IT260" s="22"/>
      <c r="IU260" s="22"/>
      <c r="IV260" s="22"/>
    </row>
    <row r="261" spans="1:256" s="64" customFormat="1" ht="15" customHeight="1">
      <c r="A261" s="25" t="s">
        <v>897</v>
      </c>
      <c r="B261" s="22"/>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c r="AI261" s="22"/>
      <c r="AJ261" s="22"/>
      <c r="AK261" s="22"/>
      <c r="AL261" s="22"/>
      <c r="AM261" s="22"/>
      <c r="AN261" s="22"/>
      <c r="AO261" s="22"/>
      <c r="AP261" s="22"/>
      <c r="AQ261" s="22"/>
      <c r="AR261" s="22"/>
      <c r="AS261" s="22"/>
      <c r="AT261" s="22"/>
      <c r="AU261" s="22"/>
      <c r="AV261" s="22"/>
      <c r="AW261" s="22"/>
      <c r="AX261" s="22"/>
      <c r="AY261" s="22"/>
      <c r="AZ261" s="22"/>
      <c r="BA261" s="22"/>
      <c r="BB261" s="22"/>
      <c r="BC261" s="22"/>
      <c r="BD261" s="22"/>
      <c r="BE261" s="22"/>
      <c r="BF261" s="22"/>
      <c r="BG261" s="22"/>
      <c r="BH261" s="22"/>
      <c r="BI261" s="22"/>
      <c r="BJ261" s="22"/>
      <c r="BK261" s="22"/>
      <c r="BL261" s="22"/>
      <c r="BM261" s="22"/>
      <c r="BN261" s="22"/>
      <c r="BO261" s="22"/>
      <c r="BP261" s="22"/>
      <c r="BQ261" s="22"/>
      <c r="BR261" s="22"/>
      <c r="BS261" s="22"/>
      <c r="BT261" s="22"/>
      <c r="BU261" s="22"/>
      <c r="BV261" s="22"/>
      <c r="BW261" s="22"/>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c r="CV261" s="22"/>
      <c r="CW261" s="22"/>
      <c r="CX261" s="22"/>
      <c r="CY261" s="22"/>
      <c r="CZ261" s="22"/>
      <c r="DA261" s="22"/>
      <c r="DB261" s="22"/>
      <c r="DC261" s="22"/>
      <c r="DD261" s="22"/>
      <c r="DE261" s="22"/>
      <c r="DF261" s="22"/>
      <c r="DG261" s="22"/>
      <c r="DH261" s="22"/>
      <c r="DI261" s="22"/>
      <c r="DJ261" s="22"/>
      <c r="DK261" s="22"/>
      <c r="DL261" s="22"/>
      <c r="DM261" s="22"/>
      <c r="DN261" s="22"/>
      <c r="DO261" s="22"/>
      <c r="DP261" s="22"/>
      <c r="DQ261" s="22"/>
      <c r="DR261" s="22"/>
      <c r="DS261" s="22"/>
      <c r="DT261" s="22"/>
      <c r="DU261" s="22"/>
      <c r="DV261" s="22"/>
      <c r="DW261" s="22"/>
      <c r="DX261" s="22"/>
      <c r="DY261" s="22"/>
      <c r="DZ261" s="22"/>
      <c r="EA261" s="22"/>
      <c r="EB261" s="22"/>
      <c r="EC261" s="22"/>
      <c r="ED261" s="22"/>
      <c r="EE261" s="22"/>
      <c r="EF261" s="22"/>
      <c r="EG261" s="22"/>
      <c r="EH261" s="22"/>
      <c r="EI261" s="22"/>
      <c r="EJ261" s="22"/>
      <c r="EK261" s="22"/>
      <c r="EL261" s="22"/>
      <c r="EM261" s="22"/>
      <c r="EN261" s="22"/>
      <c r="EO261" s="22"/>
      <c r="EP261" s="22"/>
      <c r="EQ261" s="22"/>
      <c r="ER261" s="22"/>
      <c r="ES261" s="22"/>
      <c r="ET261" s="22"/>
      <c r="EU261" s="22"/>
      <c r="EV261" s="22"/>
      <c r="EW261" s="22"/>
      <c r="EX261" s="22"/>
      <c r="EY261" s="22"/>
      <c r="EZ261" s="22"/>
      <c r="FA261" s="22"/>
      <c r="FB261" s="22"/>
      <c r="FC261" s="22"/>
      <c r="FD261" s="22"/>
      <c r="FE261" s="22"/>
      <c r="FF261" s="22"/>
      <c r="FG261" s="22"/>
      <c r="FH261" s="22"/>
      <c r="FI261" s="22"/>
      <c r="FJ261" s="22"/>
      <c r="FK261" s="22"/>
      <c r="FL261" s="22"/>
      <c r="FM261" s="22"/>
      <c r="FN261" s="22"/>
      <c r="FO261" s="22"/>
      <c r="FP261" s="22"/>
      <c r="FQ261" s="22"/>
      <c r="FR261" s="22"/>
      <c r="FS261" s="22"/>
      <c r="FT261" s="22"/>
      <c r="FU261" s="22"/>
      <c r="FV261" s="22"/>
      <c r="FW261" s="22"/>
      <c r="FX261" s="22"/>
      <c r="FY261" s="22"/>
      <c r="FZ261" s="22"/>
      <c r="GA261" s="22"/>
      <c r="GB261" s="22"/>
      <c r="GC261" s="22"/>
      <c r="GD261" s="22"/>
      <c r="GE261" s="22"/>
      <c r="GF261" s="22"/>
      <c r="GG261" s="22"/>
      <c r="GH261" s="22"/>
      <c r="GI261" s="22"/>
      <c r="GJ261" s="22"/>
      <c r="GK261" s="22"/>
      <c r="GL261" s="22"/>
      <c r="GM261" s="22"/>
      <c r="GN261" s="22"/>
      <c r="GO261" s="22"/>
      <c r="GP261" s="22"/>
      <c r="GQ261" s="22"/>
      <c r="GR261" s="22"/>
      <c r="GS261" s="22"/>
      <c r="GT261" s="22"/>
      <c r="GU261" s="22"/>
      <c r="GV261" s="22"/>
      <c r="GW261" s="22"/>
      <c r="GX261" s="22"/>
      <c r="GY261" s="22"/>
      <c r="GZ261" s="22"/>
      <c r="HA261" s="22"/>
      <c r="HB261" s="22"/>
      <c r="HC261" s="22"/>
      <c r="HD261" s="22"/>
      <c r="HE261" s="22"/>
      <c r="HF261" s="22"/>
      <c r="HG261" s="22"/>
      <c r="HH261" s="22"/>
      <c r="HI261" s="22"/>
      <c r="HJ261" s="22"/>
      <c r="HK261" s="22"/>
      <c r="HL261" s="22"/>
      <c r="HM261" s="22"/>
      <c r="HN261" s="22"/>
      <c r="HO261" s="22"/>
      <c r="HP261" s="22"/>
      <c r="HQ261" s="22"/>
      <c r="HR261" s="22"/>
      <c r="HS261" s="22"/>
      <c r="HT261" s="22"/>
      <c r="HU261" s="22"/>
      <c r="HV261" s="22"/>
      <c r="HW261" s="22"/>
      <c r="HX261" s="22"/>
      <c r="HY261" s="22"/>
      <c r="HZ261" s="22"/>
      <c r="IA261" s="22"/>
      <c r="IB261" s="22"/>
      <c r="IC261" s="22"/>
      <c r="ID261" s="22"/>
      <c r="IE261" s="22"/>
      <c r="IF261" s="22"/>
      <c r="IG261" s="22"/>
      <c r="IH261" s="22"/>
      <c r="II261" s="22"/>
      <c r="IJ261" s="22"/>
      <c r="IK261" s="22"/>
      <c r="IL261" s="22"/>
      <c r="IM261" s="22"/>
      <c r="IN261" s="22"/>
      <c r="IO261" s="22"/>
      <c r="IP261" s="22"/>
      <c r="IQ261" s="22"/>
      <c r="IR261" s="22"/>
      <c r="IS261" s="22"/>
      <c r="IT261" s="22"/>
      <c r="IU261" s="22"/>
      <c r="IV261" s="22"/>
    </row>
    <row r="262" spans="1:256" s="64" customFormat="1" ht="15" customHeight="1">
      <c r="A262" s="25" t="s">
        <v>898</v>
      </c>
      <c r="B262" s="22"/>
      <c r="C262" s="22"/>
      <c r="D262" s="22"/>
      <c r="E262" s="22"/>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c r="AI262" s="22"/>
      <c r="AJ262" s="22"/>
      <c r="AK262" s="22"/>
      <c r="AL262" s="22"/>
      <c r="AM262" s="22"/>
      <c r="AN262" s="22"/>
      <c r="AO262" s="22"/>
      <c r="AP262" s="22"/>
      <c r="AQ262" s="22"/>
      <c r="AR262" s="22"/>
      <c r="AS262" s="22"/>
      <c r="AT262" s="22"/>
      <c r="AU262" s="22"/>
      <c r="AV262" s="22"/>
      <c r="AW262" s="22"/>
      <c r="AX262" s="22"/>
      <c r="AY262" s="22"/>
      <c r="AZ262" s="22"/>
      <c r="BA262" s="22"/>
      <c r="BB262" s="22"/>
      <c r="BC262" s="22"/>
      <c r="BD262" s="22"/>
      <c r="BE262" s="22"/>
      <c r="BF262" s="22"/>
      <c r="BG262" s="22"/>
      <c r="BH262" s="22"/>
      <c r="BI262" s="22"/>
      <c r="BJ262" s="22"/>
      <c r="BK262" s="22"/>
      <c r="BL262" s="22"/>
      <c r="BM262" s="22"/>
      <c r="BN262" s="22"/>
      <c r="BO262" s="22"/>
      <c r="BP262" s="22"/>
      <c r="BQ262" s="22"/>
      <c r="BR262" s="22"/>
      <c r="BS262" s="22"/>
      <c r="BT262" s="22"/>
      <c r="BU262" s="22"/>
      <c r="BV262" s="22"/>
      <c r="BW262" s="22"/>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c r="CV262" s="22"/>
      <c r="CW262" s="22"/>
      <c r="CX262" s="22"/>
      <c r="CY262" s="22"/>
      <c r="CZ262" s="22"/>
      <c r="DA262" s="22"/>
      <c r="DB262" s="22"/>
      <c r="DC262" s="22"/>
      <c r="DD262" s="22"/>
      <c r="DE262" s="22"/>
      <c r="DF262" s="22"/>
      <c r="DG262" s="22"/>
      <c r="DH262" s="22"/>
      <c r="DI262" s="22"/>
      <c r="DJ262" s="22"/>
      <c r="DK262" s="22"/>
      <c r="DL262" s="22"/>
      <c r="DM262" s="22"/>
      <c r="DN262" s="22"/>
      <c r="DO262" s="22"/>
      <c r="DP262" s="22"/>
      <c r="DQ262" s="22"/>
      <c r="DR262" s="22"/>
      <c r="DS262" s="22"/>
      <c r="DT262" s="22"/>
      <c r="DU262" s="22"/>
      <c r="DV262" s="22"/>
      <c r="DW262" s="22"/>
      <c r="DX262" s="22"/>
      <c r="DY262" s="22"/>
      <c r="DZ262" s="22"/>
      <c r="EA262" s="22"/>
      <c r="EB262" s="22"/>
      <c r="EC262" s="22"/>
      <c r="ED262" s="22"/>
      <c r="EE262" s="22"/>
      <c r="EF262" s="22"/>
      <c r="EG262" s="22"/>
      <c r="EH262" s="22"/>
      <c r="EI262" s="22"/>
      <c r="EJ262" s="22"/>
      <c r="EK262" s="22"/>
      <c r="EL262" s="22"/>
      <c r="EM262" s="22"/>
      <c r="EN262" s="22"/>
      <c r="EO262" s="22"/>
      <c r="EP262" s="22"/>
      <c r="EQ262" s="22"/>
      <c r="ER262" s="22"/>
      <c r="ES262" s="22"/>
      <c r="ET262" s="22"/>
      <c r="EU262" s="22"/>
      <c r="EV262" s="22"/>
      <c r="EW262" s="22"/>
      <c r="EX262" s="22"/>
      <c r="EY262" s="22"/>
      <c r="EZ262" s="22"/>
      <c r="FA262" s="22"/>
      <c r="FB262" s="22"/>
      <c r="FC262" s="22"/>
      <c r="FD262" s="22"/>
      <c r="FE262" s="22"/>
      <c r="FF262" s="22"/>
      <c r="FG262" s="22"/>
      <c r="FH262" s="22"/>
      <c r="FI262" s="22"/>
      <c r="FJ262" s="22"/>
      <c r="FK262" s="22"/>
      <c r="FL262" s="22"/>
      <c r="FM262" s="22"/>
      <c r="FN262" s="22"/>
      <c r="FO262" s="22"/>
      <c r="FP262" s="22"/>
      <c r="FQ262" s="22"/>
      <c r="FR262" s="22"/>
      <c r="FS262" s="22"/>
      <c r="FT262" s="22"/>
      <c r="FU262" s="22"/>
      <c r="FV262" s="22"/>
      <c r="FW262" s="22"/>
      <c r="FX262" s="22"/>
      <c r="FY262" s="22"/>
      <c r="FZ262" s="22"/>
      <c r="GA262" s="22"/>
      <c r="GB262" s="22"/>
      <c r="GC262" s="22"/>
      <c r="GD262" s="22"/>
      <c r="GE262" s="22"/>
      <c r="GF262" s="22"/>
      <c r="GG262" s="22"/>
      <c r="GH262" s="22"/>
      <c r="GI262" s="22"/>
      <c r="GJ262" s="22"/>
      <c r="GK262" s="22"/>
      <c r="GL262" s="22"/>
      <c r="GM262" s="22"/>
      <c r="GN262" s="22"/>
      <c r="GO262" s="22"/>
      <c r="GP262" s="22"/>
      <c r="GQ262" s="22"/>
      <c r="GR262" s="22"/>
      <c r="GS262" s="22"/>
      <c r="GT262" s="22"/>
      <c r="GU262" s="22"/>
      <c r="GV262" s="22"/>
      <c r="GW262" s="22"/>
      <c r="GX262" s="22"/>
      <c r="GY262" s="22"/>
      <c r="GZ262" s="22"/>
      <c r="HA262" s="22"/>
      <c r="HB262" s="22"/>
      <c r="HC262" s="22"/>
      <c r="HD262" s="22"/>
      <c r="HE262" s="22"/>
      <c r="HF262" s="22"/>
      <c r="HG262" s="22"/>
      <c r="HH262" s="22"/>
      <c r="HI262" s="22"/>
      <c r="HJ262" s="22"/>
      <c r="HK262" s="22"/>
      <c r="HL262" s="22"/>
      <c r="HM262" s="22"/>
      <c r="HN262" s="22"/>
      <c r="HO262" s="22"/>
      <c r="HP262" s="22"/>
      <c r="HQ262" s="22"/>
      <c r="HR262" s="22"/>
      <c r="HS262" s="22"/>
      <c r="HT262" s="22"/>
      <c r="HU262" s="22"/>
      <c r="HV262" s="22"/>
      <c r="HW262" s="22"/>
      <c r="HX262" s="22"/>
      <c r="HY262" s="22"/>
      <c r="HZ262" s="22"/>
      <c r="IA262" s="22"/>
      <c r="IB262" s="22"/>
      <c r="IC262" s="22"/>
      <c r="ID262" s="22"/>
      <c r="IE262" s="22"/>
      <c r="IF262" s="22"/>
      <c r="IG262" s="22"/>
      <c r="IH262" s="22"/>
      <c r="II262" s="22"/>
      <c r="IJ262" s="22"/>
      <c r="IK262" s="22"/>
      <c r="IL262" s="22"/>
      <c r="IM262" s="22"/>
      <c r="IN262" s="22"/>
      <c r="IO262" s="22"/>
      <c r="IP262" s="22"/>
      <c r="IQ262" s="22"/>
      <c r="IR262" s="22"/>
      <c r="IS262" s="22"/>
      <c r="IT262" s="22"/>
      <c r="IU262" s="22"/>
      <c r="IV262" s="22"/>
    </row>
    <row r="263" spans="1:256" s="46" customFormat="1" ht="15" customHeight="1">
      <c r="A263" s="27" t="s">
        <v>1244</v>
      </c>
      <c r="B263" s="26"/>
      <c r="C263" s="26"/>
      <c r="D263" s="26"/>
      <c r="E263" s="26"/>
      <c r="F263" s="26"/>
      <c r="G263" s="26"/>
      <c r="H263" s="26"/>
      <c r="I263" s="36"/>
      <c r="J263" s="36"/>
      <c r="K263" s="36"/>
      <c r="L263" s="36"/>
      <c r="M263" s="36"/>
      <c r="N263" s="36"/>
      <c r="O263" s="26"/>
      <c r="P263" s="26"/>
      <c r="Q263" s="45"/>
      <c r="R263" s="45"/>
      <c r="S263" s="45"/>
      <c r="T263" s="26"/>
      <c r="U263" s="26"/>
      <c r="V263" s="45"/>
      <c r="W263" s="45"/>
      <c r="X263" s="45"/>
      <c r="Y263" s="45"/>
      <c r="Z263" s="45"/>
      <c r="AA263" s="45"/>
      <c r="AB263" s="45"/>
      <c r="AC263" s="45"/>
      <c r="AD263" s="45"/>
      <c r="AE263" s="45"/>
      <c r="AF263" s="45"/>
      <c r="AG263" s="45"/>
      <c r="AH263" s="45"/>
      <c r="AI263" s="45"/>
      <c r="AJ263" s="45"/>
      <c r="AK263" s="45"/>
      <c r="AL263" s="45"/>
      <c r="AM263" s="45"/>
      <c r="AN263" s="45"/>
      <c r="AO263" s="45"/>
      <c r="AP263" s="45"/>
      <c r="AQ263" s="45"/>
      <c r="AR263" s="45"/>
      <c r="AS263" s="45"/>
      <c r="AT263" s="45"/>
      <c r="AU263" s="45"/>
      <c r="AV263" s="45"/>
      <c r="AW263" s="45"/>
      <c r="AX263" s="45"/>
      <c r="AY263" s="45"/>
      <c r="AZ263" s="45"/>
      <c r="BA263" s="45"/>
      <c r="BB263" s="45"/>
      <c r="BC263" s="45"/>
      <c r="BD263" s="45"/>
      <c r="BE263" s="45"/>
      <c r="BF263" s="45"/>
      <c r="BG263" s="45"/>
      <c r="BH263" s="45"/>
      <c r="BI263" s="45"/>
      <c r="BJ263" s="45"/>
      <c r="BK263" s="45"/>
      <c r="BL263" s="45"/>
      <c r="BM263" s="45"/>
      <c r="BN263" s="45"/>
      <c r="BO263" s="45"/>
      <c r="BP263" s="45"/>
      <c r="BQ263" s="45"/>
      <c r="BR263" s="45"/>
      <c r="BS263" s="45"/>
      <c r="BT263" s="45"/>
      <c r="BU263" s="45"/>
      <c r="BV263" s="45"/>
      <c r="BW263" s="45"/>
      <c r="BX263" s="45"/>
    </row>
    <row r="264" spans="1:256" s="64" customFormat="1" ht="15" customHeight="1">
      <c r="A264" s="25" t="s">
        <v>1293</v>
      </c>
      <c r="B264" s="22"/>
      <c r="C264" s="22"/>
      <c r="D264" s="22"/>
      <c r="E264" s="22"/>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c r="AI264" s="22"/>
      <c r="AJ264" s="22"/>
      <c r="AK264" s="22"/>
      <c r="AL264" s="22"/>
      <c r="AM264" s="22"/>
      <c r="AN264" s="22"/>
      <c r="AO264" s="22"/>
      <c r="AP264" s="22"/>
      <c r="AQ264" s="22"/>
      <c r="AR264" s="22"/>
      <c r="AS264" s="22"/>
      <c r="AT264" s="22"/>
      <c r="AU264" s="22"/>
      <c r="AV264" s="22"/>
      <c r="AW264" s="22"/>
      <c r="AX264" s="22"/>
      <c r="AY264" s="22"/>
      <c r="AZ264" s="22"/>
      <c r="BA264" s="22"/>
      <c r="BB264" s="22"/>
      <c r="BC264" s="22"/>
      <c r="BD264" s="22"/>
      <c r="BE264" s="22"/>
      <c r="BF264" s="22"/>
      <c r="BG264" s="22"/>
      <c r="BH264" s="22"/>
      <c r="BI264" s="22"/>
      <c r="BJ264" s="22"/>
      <c r="BK264" s="22"/>
      <c r="BL264" s="22"/>
      <c r="BM264" s="22"/>
      <c r="BN264" s="22"/>
      <c r="BO264" s="22"/>
      <c r="BP264" s="22"/>
      <c r="BQ264" s="22"/>
      <c r="BR264" s="22"/>
      <c r="BS264" s="22"/>
      <c r="BT264" s="22"/>
      <c r="BU264" s="22"/>
      <c r="BV264" s="22"/>
      <c r="BW264" s="22"/>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c r="CV264" s="22"/>
      <c r="CW264" s="22"/>
      <c r="CX264" s="22"/>
      <c r="CY264" s="22"/>
      <c r="CZ264" s="22"/>
      <c r="DA264" s="22"/>
      <c r="DB264" s="22"/>
      <c r="DC264" s="22"/>
      <c r="DD264" s="22"/>
      <c r="DE264" s="22"/>
      <c r="DF264" s="22"/>
      <c r="DG264" s="22"/>
      <c r="DH264" s="22"/>
      <c r="DI264" s="22"/>
      <c r="DJ264" s="22"/>
      <c r="DK264" s="22"/>
      <c r="DL264" s="22"/>
      <c r="DM264" s="22"/>
      <c r="DN264" s="22"/>
      <c r="DO264" s="22"/>
      <c r="DP264" s="22"/>
      <c r="DQ264" s="22"/>
      <c r="DR264" s="22"/>
      <c r="DS264" s="22"/>
      <c r="DT264" s="22"/>
      <c r="DU264" s="22"/>
      <c r="DV264" s="22"/>
      <c r="DW264" s="22"/>
      <c r="DX264" s="22"/>
      <c r="DY264" s="22"/>
      <c r="DZ264" s="22"/>
      <c r="EA264" s="22"/>
      <c r="EB264" s="22"/>
      <c r="EC264" s="22"/>
      <c r="ED264" s="22"/>
      <c r="EE264" s="22"/>
      <c r="EF264" s="22"/>
      <c r="EG264" s="22"/>
      <c r="EH264" s="22"/>
      <c r="EI264" s="22"/>
      <c r="EJ264" s="22"/>
      <c r="EK264" s="22"/>
      <c r="EL264" s="22"/>
      <c r="EM264" s="22"/>
      <c r="EN264" s="22"/>
      <c r="EO264" s="22"/>
      <c r="EP264" s="22"/>
      <c r="EQ264" s="22"/>
      <c r="ER264" s="22"/>
      <c r="ES264" s="22"/>
      <c r="ET264" s="22"/>
      <c r="EU264" s="22"/>
      <c r="EV264" s="22"/>
      <c r="EW264" s="22"/>
      <c r="EX264" s="22"/>
      <c r="EY264" s="22"/>
      <c r="EZ264" s="22"/>
      <c r="FA264" s="22"/>
      <c r="FB264" s="22"/>
      <c r="FC264" s="22"/>
      <c r="FD264" s="22"/>
      <c r="FE264" s="22"/>
      <c r="FF264" s="22"/>
      <c r="FG264" s="22"/>
      <c r="FH264" s="22"/>
      <c r="FI264" s="22"/>
      <c r="FJ264" s="22"/>
      <c r="FK264" s="22"/>
      <c r="FL264" s="22"/>
      <c r="FM264" s="22"/>
      <c r="FN264" s="22"/>
      <c r="FO264" s="22"/>
      <c r="FP264" s="22"/>
      <c r="FQ264" s="22"/>
      <c r="FR264" s="22"/>
      <c r="FS264" s="22"/>
      <c r="FT264" s="22"/>
      <c r="FU264" s="22"/>
      <c r="FV264" s="22"/>
      <c r="FW264" s="22"/>
      <c r="FX264" s="22"/>
      <c r="FY264" s="22"/>
      <c r="FZ264" s="22"/>
      <c r="GA264" s="22"/>
      <c r="GB264" s="22"/>
      <c r="GC264" s="22"/>
      <c r="GD264" s="22"/>
      <c r="GE264" s="22"/>
      <c r="GF264" s="22"/>
      <c r="GG264" s="22"/>
      <c r="GH264" s="22"/>
      <c r="GI264" s="22"/>
      <c r="GJ264" s="22"/>
      <c r="GK264" s="22"/>
      <c r="GL264" s="22"/>
      <c r="GM264" s="22"/>
      <c r="GN264" s="22"/>
      <c r="GO264" s="22"/>
      <c r="GP264" s="22"/>
      <c r="GQ264" s="22"/>
      <c r="GR264" s="22"/>
      <c r="GS264" s="22"/>
      <c r="GT264" s="22"/>
      <c r="GU264" s="22"/>
      <c r="GV264" s="22"/>
      <c r="GW264" s="22"/>
      <c r="GX264" s="22"/>
      <c r="GY264" s="22"/>
      <c r="GZ264" s="22"/>
      <c r="HA264" s="22"/>
      <c r="HB264" s="22"/>
      <c r="HC264" s="22"/>
      <c r="HD264" s="22"/>
      <c r="HE264" s="22"/>
      <c r="HF264" s="22"/>
      <c r="HG264" s="22"/>
      <c r="HH264" s="22"/>
      <c r="HI264" s="22"/>
      <c r="HJ264" s="22"/>
      <c r="HK264" s="22"/>
      <c r="HL264" s="22"/>
      <c r="HM264" s="22"/>
      <c r="HN264" s="22"/>
      <c r="HO264" s="22"/>
      <c r="HP264" s="22"/>
      <c r="HQ264" s="22"/>
      <c r="HR264" s="22"/>
      <c r="HS264" s="22"/>
      <c r="HT264" s="22"/>
      <c r="HU264" s="22"/>
      <c r="HV264" s="22"/>
      <c r="HW264" s="22"/>
      <c r="HX264" s="22"/>
      <c r="HY264" s="22"/>
      <c r="HZ264" s="22"/>
      <c r="IA264" s="22"/>
      <c r="IB264" s="22"/>
      <c r="IC264" s="22"/>
      <c r="ID264" s="22"/>
      <c r="IE264" s="22"/>
      <c r="IF264" s="22"/>
      <c r="IG264" s="22"/>
      <c r="IH264" s="22"/>
      <c r="II264" s="22"/>
      <c r="IJ264" s="22"/>
      <c r="IK264" s="22"/>
      <c r="IL264" s="22"/>
      <c r="IM264" s="22"/>
      <c r="IN264" s="22"/>
      <c r="IO264" s="22"/>
      <c r="IP264" s="22"/>
      <c r="IQ264" s="22"/>
      <c r="IR264" s="22"/>
      <c r="IS264" s="22"/>
      <c r="IT264" s="22"/>
      <c r="IU264" s="22"/>
      <c r="IV264" s="22"/>
    </row>
    <row r="265" spans="1:256" s="64" customFormat="1" ht="15" customHeight="1">
      <c r="A265" s="25" t="s">
        <v>1294</v>
      </c>
      <c r="B265" s="22"/>
      <c r="C265" s="22"/>
      <c r="D265" s="22"/>
      <c r="E265" s="22"/>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c r="AI265" s="22"/>
      <c r="AJ265" s="22"/>
      <c r="AK265" s="22"/>
      <c r="AL265" s="22"/>
      <c r="AM265" s="22"/>
      <c r="AN265" s="22"/>
      <c r="AO265" s="22"/>
      <c r="AP265" s="22"/>
      <c r="AQ265" s="22"/>
      <c r="AR265" s="22"/>
      <c r="AS265" s="22"/>
      <c r="AT265" s="22"/>
      <c r="AU265" s="22"/>
      <c r="AV265" s="22"/>
      <c r="AW265" s="22"/>
      <c r="AX265" s="22"/>
      <c r="AY265" s="22"/>
      <c r="AZ265" s="22"/>
      <c r="BA265" s="22"/>
      <c r="BB265" s="22"/>
      <c r="BC265" s="22"/>
      <c r="BD265" s="22"/>
      <c r="BE265" s="22"/>
      <c r="BF265" s="22"/>
      <c r="BG265" s="22"/>
      <c r="BH265" s="22"/>
      <c r="BI265" s="22"/>
      <c r="BJ265" s="22"/>
      <c r="BK265" s="22"/>
      <c r="BL265" s="22"/>
      <c r="BM265" s="22"/>
      <c r="BN265" s="22"/>
      <c r="BO265" s="22"/>
      <c r="BP265" s="22"/>
      <c r="BQ265" s="22"/>
      <c r="BR265" s="22"/>
      <c r="BS265" s="22"/>
      <c r="BT265" s="22"/>
      <c r="BU265" s="22"/>
      <c r="BV265" s="22"/>
      <c r="BW265" s="22"/>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c r="CV265" s="22"/>
      <c r="CW265" s="22"/>
      <c r="CX265" s="22"/>
      <c r="CY265" s="22"/>
      <c r="CZ265" s="22"/>
      <c r="DA265" s="22"/>
      <c r="DB265" s="22"/>
      <c r="DC265" s="22"/>
      <c r="DD265" s="22"/>
      <c r="DE265" s="22"/>
      <c r="DF265" s="22"/>
      <c r="DG265" s="22"/>
      <c r="DH265" s="22"/>
      <c r="DI265" s="22"/>
      <c r="DJ265" s="22"/>
      <c r="DK265" s="22"/>
      <c r="DL265" s="22"/>
      <c r="DM265" s="22"/>
      <c r="DN265" s="22"/>
      <c r="DO265" s="22"/>
      <c r="DP265" s="22"/>
      <c r="DQ265" s="22"/>
      <c r="DR265" s="22"/>
      <c r="DS265" s="22"/>
      <c r="DT265" s="22"/>
      <c r="DU265" s="22"/>
      <c r="DV265" s="22"/>
      <c r="DW265" s="22"/>
      <c r="DX265" s="22"/>
      <c r="DY265" s="22"/>
      <c r="DZ265" s="22"/>
      <c r="EA265" s="22"/>
      <c r="EB265" s="22"/>
      <c r="EC265" s="22"/>
      <c r="ED265" s="22"/>
      <c r="EE265" s="22"/>
      <c r="EF265" s="22"/>
      <c r="EG265" s="22"/>
      <c r="EH265" s="22"/>
      <c r="EI265" s="22"/>
      <c r="EJ265" s="22"/>
      <c r="EK265" s="22"/>
      <c r="EL265" s="22"/>
      <c r="EM265" s="22"/>
      <c r="EN265" s="22"/>
      <c r="EO265" s="22"/>
      <c r="EP265" s="22"/>
      <c r="EQ265" s="22"/>
      <c r="ER265" s="22"/>
      <c r="ES265" s="22"/>
      <c r="ET265" s="22"/>
      <c r="EU265" s="22"/>
      <c r="EV265" s="22"/>
      <c r="EW265" s="22"/>
      <c r="EX265" s="22"/>
      <c r="EY265" s="22"/>
      <c r="EZ265" s="22"/>
      <c r="FA265" s="22"/>
      <c r="FB265" s="22"/>
      <c r="FC265" s="22"/>
      <c r="FD265" s="22"/>
      <c r="FE265" s="22"/>
      <c r="FF265" s="22"/>
      <c r="FG265" s="22"/>
      <c r="FH265" s="22"/>
      <c r="FI265" s="22"/>
      <c r="FJ265" s="22"/>
      <c r="FK265" s="22"/>
      <c r="FL265" s="22"/>
      <c r="FM265" s="22"/>
      <c r="FN265" s="22"/>
      <c r="FO265" s="22"/>
      <c r="FP265" s="22"/>
      <c r="FQ265" s="22"/>
      <c r="FR265" s="22"/>
      <c r="FS265" s="22"/>
      <c r="FT265" s="22"/>
      <c r="FU265" s="22"/>
      <c r="FV265" s="22"/>
      <c r="FW265" s="22"/>
      <c r="FX265" s="22"/>
      <c r="FY265" s="22"/>
      <c r="FZ265" s="22"/>
      <c r="GA265" s="22"/>
      <c r="GB265" s="22"/>
      <c r="GC265" s="22"/>
      <c r="GD265" s="22"/>
      <c r="GE265" s="22"/>
      <c r="GF265" s="22"/>
      <c r="GG265" s="22"/>
      <c r="GH265" s="22"/>
      <c r="GI265" s="22"/>
      <c r="GJ265" s="22"/>
      <c r="GK265" s="22"/>
      <c r="GL265" s="22"/>
      <c r="GM265" s="22"/>
      <c r="GN265" s="22"/>
      <c r="GO265" s="22"/>
      <c r="GP265" s="22"/>
      <c r="GQ265" s="22"/>
      <c r="GR265" s="22"/>
      <c r="GS265" s="22"/>
      <c r="GT265" s="22"/>
      <c r="GU265" s="22"/>
      <c r="GV265" s="22"/>
      <c r="GW265" s="22"/>
      <c r="GX265" s="22"/>
      <c r="GY265" s="22"/>
      <c r="GZ265" s="22"/>
      <c r="HA265" s="22"/>
      <c r="HB265" s="22"/>
      <c r="HC265" s="22"/>
      <c r="HD265" s="22"/>
      <c r="HE265" s="22"/>
      <c r="HF265" s="22"/>
      <c r="HG265" s="22"/>
      <c r="HH265" s="22"/>
      <c r="HI265" s="22"/>
      <c r="HJ265" s="22"/>
      <c r="HK265" s="22"/>
      <c r="HL265" s="22"/>
      <c r="HM265" s="22"/>
      <c r="HN265" s="22"/>
      <c r="HO265" s="22"/>
      <c r="HP265" s="22"/>
      <c r="HQ265" s="22"/>
      <c r="HR265" s="22"/>
      <c r="HS265" s="22"/>
      <c r="HT265" s="22"/>
      <c r="HU265" s="22"/>
      <c r="HV265" s="22"/>
      <c r="HW265" s="22"/>
      <c r="HX265" s="22"/>
      <c r="HY265" s="22"/>
      <c r="HZ265" s="22"/>
      <c r="IA265" s="22"/>
      <c r="IB265" s="22"/>
      <c r="IC265" s="22"/>
      <c r="ID265" s="22"/>
      <c r="IE265" s="22"/>
      <c r="IF265" s="22"/>
      <c r="IG265" s="22"/>
      <c r="IH265" s="22"/>
      <c r="II265" s="22"/>
      <c r="IJ265" s="22"/>
      <c r="IK265" s="22"/>
      <c r="IL265" s="22"/>
      <c r="IM265" s="22"/>
      <c r="IN265" s="22"/>
      <c r="IO265" s="22"/>
      <c r="IP265" s="22"/>
      <c r="IQ265" s="22"/>
      <c r="IR265" s="22"/>
      <c r="IS265" s="22"/>
      <c r="IT265" s="22"/>
      <c r="IU265" s="22"/>
      <c r="IV265" s="22"/>
    </row>
    <row r="266" spans="1:256" s="31" customFormat="1" ht="15" customHeight="1">
      <c r="A266" s="31" t="s">
        <v>965</v>
      </c>
      <c r="O266" s="26"/>
      <c r="P266" s="26"/>
    </row>
    <row r="267" spans="1:256" s="46" customFormat="1" ht="15" customHeight="1">
      <c r="A267" s="27" t="s">
        <v>966</v>
      </c>
      <c r="B267" s="26"/>
      <c r="C267" s="26"/>
      <c r="D267" s="26"/>
      <c r="E267" s="26"/>
      <c r="F267" s="26"/>
      <c r="G267" s="26"/>
      <c r="H267" s="26"/>
      <c r="I267" s="36"/>
      <c r="J267" s="45"/>
      <c r="K267" s="45"/>
      <c r="L267" s="45"/>
      <c r="M267" s="45"/>
      <c r="N267" s="45"/>
      <c r="O267" s="26"/>
      <c r="P267" s="26"/>
      <c r="Q267" s="45"/>
      <c r="R267" s="45"/>
      <c r="S267" s="45"/>
      <c r="T267" s="26"/>
      <c r="U267" s="26"/>
      <c r="V267" s="45"/>
      <c r="W267" s="45"/>
      <c r="X267" s="45"/>
      <c r="Y267" s="45"/>
      <c r="Z267" s="45"/>
      <c r="AA267" s="45"/>
      <c r="AB267" s="45"/>
      <c r="AC267" s="45"/>
      <c r="AD267" s="45"/>
      <c r="AE267" s="45"/>
      <c r="AF267" s="45"/>
      <c r="AG267" s="45"/>
      <c r="AH267" s="45"/>
      <c r="AI267" s="45"/>
      <c r="AJ267" s="45"/>
      <c r="AK267" s="45"/>
      <c r="AL267" s="45"/>
      <c r="AM267" s="45"/>
      <c r="AN267" s="45"/>
      <c r="AO267" s="45"/>
      <c r="AP267" s="45"/>
      <c r="AQ267" s="45"/>
      <c r="AR267" s="45"/>
      <c r="AS267" s="45"/>
      <c r="AT267" s="45"/>
      <c r="AU267" s="45"/>
      <c r="AV267" s="45"/>
      <c r="AW267" s="45"/>
      <c r="AX267" s="45"/>
      <c r="AY267" s="45"/>
      <c r="AZ267" s="45"/>
      <c r="BA267" s="45"/>
      <c r="BB267" s="45"/>
      <c r="BC267" s="45"/>
      <c r="BD267" s="45"/>
      <c r="BE267" s="45"/>
      <c r="BF267" s="45"/>
      <c r="BG267" s="45"/>
      <c r="BH267" s="45"/>
      <c r="BI267" s="45"/>
      <c r="BJ267" s="45"/>
      <c r="BK267" s="45"/>
      <c r="BL267" s="45"/>
      <c r="BM267" s="45"/>
      <c r="BN267" s="45"/>
      <c r="BO267" s="45"/>
      <c r="BP267" s="45"/>
      <c r="BQ267" s="45"/>
      <c r="BR267" s="45"/>
      <c r="BS267" s="45"/>
      <c r="BT267" s="45"/>
      <c r="BU267" s="45"/>
      <c r="BV267" s="45"/>
      <c r="BW267" s="45"/>
      <c r="BX267" s="45"/>
    </row>
    <row r="268" spans="1:256" s="64" customFormat="1" ht="15" customHeight="1">
      <c r="A268" s="25" t="s">
        <v>899</v>
      </c>
      <c r="B268" s="22"/>
      <c r="C268" s="22"/>
      <c r="D268" s="22"/>
      <c r="E268" s="22"/>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c r="AI268" s="22"/>
      <c r="AJ268" s="22"/>
      <c r="AK268" s="22"/>
      <c r="AL268" s="22"/>
      <c r="AM268" s="22"/>
      <c r="AN268" s="22"/>
      <c r="AO268" s="22"/>
      <c r="AP268" s="22"/>
      <c r="AQ268" s="22"/>
      <c r="AR268" s="22"/>
      <c r="AS268" s="22"/>
      <c r="AT268" s="22"/>
      <c r="AU268" s="22"/>
      <c r="AV268" s="22"/>
      <c r="AW268" s="22"/>
      <c r="AX268" s="22"/>
      <c r="AY268" s="22"/>
      <c r="AZ268" s="22"/>
      <c r="BA268" s="22"/>
      <c r="BB268" s="22"/>
      <c r="BC268" s="22"/>
      <c r="BD268" s="22"/>
      <c r="BE268" s="22"/>
      <c r="BF268" s="22"/>
      <c r="BG268" s="22"/>
      <c r="BH268" s="22"/>
      <c r="BI268" s="22"/>
      <c r="BJ268" s="22"/>
      <c r="BK268" s="22"/>
      <c r="BL268" s="22"/>
      <c r="BM268" s="22"/>
      <c r="BN268" s="22"/>
      <c r="BO268" s="22"/>
      <c r="BP268" s="22"/>
      <c r="BQ268" s="22"/>
      <c r="BR268" s="22"/>
      <c r="BS268" s="22"/>
      <c r="BT268" s="22"/>
      <c r="BU268" s="22"/>
      <c r="BV268" s="22"/>
      <c r="BW268" s="22"/>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c r="CV268" s="22"/>
      <c r="CW268" s="22"/>
      <c r="CX268" s="22"/>
      <c r="CY268" s="22"/>
      <c r="CZ268" s="22"/>
      <c r="DA268" s="22"/>
      <c r="DB268" s="22"/>
      <c r="DC268" s="22"/>
      <c r="DD268" s="22"/>
      <c r="DE268" s="22"/>
      <c r="DF268" s="22"/>
      <c r="DG268" s="22"/>
      <c r="DH268" s="22"/>
      <c r="DI268" s="22"/>
      <c r="DJ268" s="22"/>
      <c r="DK268" s="22"/>
      <c r="DL268" s="22"/>
      <c r="DM268" s="22"/>
      <c r="DN268" s="22"/>
      <c r="DO268" s="22"/>
      <c r="DP268" s="22"/>
      <c r="DQ268" s="22"/>
      <c r="DR268" s="22"/>
      <c r="DS268" s="22"/>
      <c r="DT268" s="22"/>
      <c r="DU268" s="22"/>
      <c r="DV268" s="22"/>
      <c r="DW268" s="22"/>
      <c r="DX268" s="22"/>
      <c r="DY268" s="22"/>
      <c r="DZ268" s="22"/>
      <c r="EA268" s="22"/>
      <c r="EB268" s="22"/>
      <c r="EC268" s="22"/>
      <c r="ED268" s="22"/>
      <c r="EE268" s="22"/>
      <c r="EF268" s="22"/>
      <c r="EG268" s="22"/>
      <c r="EH268" s="22"/>
      <c r="EI268" s="22"/>
      <c r="EJ268" s="22"/>
      <c r="EK268" s="22"/>
      <c r="EL268" s="22"/>
      <c r="EM268" s="22"/>
      <c r="EN268" s="22"/>
      <c r="EO268" s="22"/>
      <c r="EP268" s="22"/>
      <c r="EQ268" s="22"/>
      <c r="ER268" s="22"/>
      <c r="ES268" s="22"/>
      <c r="ET268" s="22"/>
      <c r="EU268" s="22"/>
      <c r="EV268" s="22"/>
      <c r="EW268" s="22"/>
      <c r="EX268" s="22"/>
      <c r="EY268" s="22"/>
      <c r="EZ268" s="22"/>
      <c r="FA268" s="22"/>
      <c r="FB268" s="22"/>
      <c r="FC268" s="22"/>
      <c r="FD268" s="22"/>
      <c r="FE268" s="22"/>
      <c r="FF268" s="22"/>
      <c r="FG268" s="22"/>
      <c r="FH268" s="22"/>
      <c r="FI268" s="22"/>
      <c r="FJ268" s="22"/>
      <c r="FK268" s="22"/>
      <c r="FL268" s="22"/>
      <c r="FM268" s="22"/>
      <c r="FN268" s="22"/>
      <c r="FO268" s="22"/>
      <c r="FP268" s="22"/>
      <c r="FQ268" s="22"/>
      <c r="FR268" s="22"/>
      <c r="FS268" s="22"/>
      <c r="FT268" s="22"/>
      <c r="FU268" s="22"/>
      <c r="FV268" s="22"/>
      <c r="FW268" s="22"/>
      <c r="FX268" s="22"/>
      <c r="FY268" s="22"/>
      <c r="FZ268" s="22"/>
      <c r="GA268" s="22"/>
      <c r="GB268" s="22"/>
      <c r="GC268" s="22"/>
      <c r="GD268" s="22"/>
      <c r="GE268" s="22"/>
      <c r="GF268" s="22"/>
      <c r="GG268" s="22"/>
      <c r="GH268" s="22"/>
      <c r="GI268" s="22"/>
      <c r="GJ268" s="22"/>
      <c r="GK268" s="22"/>
      <c r="GL268" s="22"/>
      <c r="GM268" s="22"/>
      <c r="GN268" s="22"/>
      <c r="GO268" s="22"/>
      <c r="GP268" s="22"/>
      <c r="GQ268" s="22"/>
      <c r="GR268" s="22"/>
      <c r="GS268" s="22"/>
      <c r="GT268" s="22"/>
      <c r="GU268" s="22"/>
      <c r="GV268" s="22"/>
      <c r="GW268" s="22"/>
      <c r="GX268" s="22"/>
      <c r="GY268" s="22"/>
      <c r="GZ268" s="22"/>
      <c r="HA268" s="22"/>
      <c r="HB268" s="22"/>
      <c r="HC268" s="22"/>
      <c r="HD268" s="22"/>
      <c r="HE268" s="22"/>
      <c r="HF268" s="22"/>
      <c r="HG268" s="22"/>
      <c r="HH268" s="22"/>
      <c r="HI268" s="22"/>
      <c r="HJ268" s="22"/>
      <c r="HK268" s="22"/>
      <c r="HL268" s="22"/>
      <c r="HM268" s="22"/>
      <c r="HN268" s="22"/>
      <c r="HO268" s="22"/>
      <c r="HP268" s="22"/>
      <c r="HQ268" s="22"/>
      <c r="HR268" s="22"/>
      <c r="HS268" s="22"/>
      <c r="HT268" s="22"/>
      <c r="HU268" s="22"/>
      <c r="HV268" s="22"/>
      <c r="HW268" s="22"/>
      <c r="HX268" s="22"/>
      <c r="HY268" s="22"/>
      <c r="HZ268" s="22"/>
      <c r="IA268" s="22"/>
      <c r="IB268" s="22"/>
      <c r="IC268" s="22"/>
      <c r="ID268" s="22"/>
      <c r="IE268" s="22"/>
      <c r="IF268" s="22"/>
      <c r="IG268" s="22"/>
      <c r="IH268" s="22"/>
      <c r="II268" s="22"/>
      <c r="IJ268" s="22"/>
      <c r="IK268" s="22"/>
      <c r="IL268" s="22"/>
      <c r="IM268" s="22"/>
      <c r="IN268" s="22"/>
      <c r="IO268" s="22"/>
      <c r="IP268" s="22"/>
      <c r="IQ268" s="22"/>
      <c r="IR268" s="22"/>
      <c r="IS268" s="22"/>
      <c r="IT268" s="22"/>
      <c r="IU268" s="22"/>
      <c r="IV268" s="22"/>
    </row>
    <row r="269" spans="1:256" s="64" customFormat="1" ht="15" customHeight="1">
      <c r="A269" s="25" t="s">
        <v>900</v>
      </c>
      <c r="B269" s="22"/>
      <c r="C269" s="22"/>
      <c r="D269" s="22"/>
      <c r="E269" s="22"/>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c r="AI269" s="22"/>
      <c r="AJ269" s="22"/>
      <c r="AK269" s="22"/>
      <c r="AL269" s="22"/>
      <c r="AM269" s="22"/>
      <c r="AN269" s="22"/>
      <c r="AO269" s="22"/>
      <c r="AP269" s="22"/>
      <c r="AQ269" s="22"/>
      <c r="AR269" s="22"/>
      <c r="AS269" s="22"/>
      <c r="AT269" s="22"/>
      <c r="AU269" s="22"/>
      <c r="AV269" s="22"/>
      <c r="AW269" s="22"/>
      <c r="AX269" s="22"/>
      <c r="AY269" s="22"/>
      <c r="AZ269" s="22"/>
      <c r="BA269" s="22"/>
      <c r="BB269" s="22"/>
      <c r="BC269" s="22"/>
      <c r="BD269" s="22"/>
      <c r="BE269" s="22"/>
      <c r="BF269" s="22"/>
      <c r="BG269" s="22"/>
      <c r="BH269" s="22"/>
      <c r="BI269" s="22"/>
      <c r="BJ269" s="22"/>
      <c r="BK269" s="22"/>
      <c r="BL269" s="22"/>
      <c r="BM269" s="22"/>
      <c r="BN269" s="22"/>
      <c r="BO269" s="22"/>
      <c r="BP269" s="22"/>
      <c r="BQ269" s="22"/>
      <c r="BR269" s="22"/>
      <c r="BS269" s="22"/>
      <c r="BT269" s="22"/>
      <c r="BU269" s="22"/>
      <c r="BV269" s="22"/>
      <c r="BW269" s="22"/>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c r="CV269" s="22"/>
      <c r="CW269" s="22"/>
      <c r="CX269" s="22"/>
      <c r="CY269" s="22"/>
      <c r="CZ269" s="22"/>
      <c r="DA269" s="22"/>
      <c r="DB269" s="22"/>
      <c r="DC269" s="22"/>
      <c r="DD269" s="22"/>
      <c r="DE269" s="22"/>
      <c r="DF269" s="22"/>
      <c r="DG269" s="22"/>
      <c r="DH269" s="22"/>
      <c r="DI269" s="22"/>
      <c r="DJ269" s="22"/>
      <c r="DK269" s="22"/>
      <c r="DL269" s="22"/>
      <c r="DM269" s="22"/>
      <c r="DN269" s="22"/>
      <c r="DO269" s="22"/>
      <c r="DP269" s="22"/>
      <c r="DQ269" s="22"/>
      <c r="DR269" s="22"/>
      <c r="DS269" s="22"/>
      <c r="DT269" s="22"/>
      <c r="DU269" s="22"/>
      <c r="DV269" s="22"/>
      <c r="DW269" s="22"/>
      <c r="DX269" s="22"/>
      <c r="DY269" s="22"/>
      <c r="DZ269" s="22"/>
      <c r="EA269" s="22"/>
      <c r="EB269" s="22"/>
      <c r="EC269" s="22"/>
      <c r="ED269" s="22"/>
      <c r="EE269" s="22"/>
      <c r="EF269" s="22"/>
      <c r="EG269" s="22"/>
      <c r="EH269" s="22"/>
      <c r="EI269" s="22"/>
      <c r="EJ269" s="22"/>
      <c r="EK269" s="22"/>
      <c r="EL269" s="22"/>
      <c r="EM269" s="22"/>
      <c r="EN269" s="22"/>
      <c r="EO269" s="22"/>
      <c r="EP269" s="22"/>
      <c r="EQ269" s="22"/>
      <c r="ER269" s="22"/>
      <c r="ES269" s="22"/>
      <c r="ET269" s="22"/>
      <c r="EU269" s="22"/>
      <c r="EV269" s="22"/>
      <c r="EW269" s="22"/>
      <c r="EX269" s="22"/>
      <c r="EY269" s="22"/>
      <c r="EZ269" s="22"/>
      <c r="FA269" s="22"/>
      <c r="FB269" s="22"/>
      <c r="FC269" s="22"/>
      <c r="FD269" s="22"/>
      <c r="FE269" s="22"/>
      <c r="FF269" s="22"/>
      <c r="FG269" s="22"/>
      <c r="FH269" s="22"/>
      <c r="FI269" s="22"/>
      <c r="FJ269" s="22"/>
      <c r="FK269" s="22"/>
      <c r="FL269" s="22"/>
      <c r="FM269" s="22"/>
      <c r="FN269" s="22"/>
      <c r="FO269" s="22"/>
      <c r="FP269" s="22"/>
      <c r="FQ269" s="22"/>
      <c r="FR269" s="22"/>
      <c r="FS269" s="22"/>
      <c r="FT269" s="22"/>
      <c r="FU269" s="22"/>
      <c r="FV269" s="22"/>
      <c r="FW269" s="22"/>
      <c r="FX269" s="22"/>
      <c r="FY269" s="22"/>
      <c r="FZ269" s="22"/>
      <c r="GA269" s="22"/>
      <c r="GB269" s="22"/>
      <c r="GC269" s="22"/>
      <c r="GD269" s="22"/>
      <c r="GE269" s="22"/>
      <c r="GF269" s="22"/>
      <c r="GG269" s="22"/>
      <c r="GH269" s="22"/>
      <c r="GI269" s="22"/>
      <c r="GJ269" s="22"/>
      <c r="GK269" s="22"/>
      <c r="GL269" s="22"/>
      <c r="GM269" s="22"/>
      <c r="GN269" s="22"/>
      <c r="GO269" s="22"/>
      <c r="GP269" s="22"/>
      <c r="GQ269" s="22"/>
      <c r="GR269" s="22"/>
      <c r="GS269" s="22"/>
      <c r="GT269" s="22"/>
      <c r="GU269" s="22"/>
      <c r="GV269" s="22"/>
      <c r="GW269" s="22"/>
      <c r="GX269" s="22"/>
      <c r="GY269" s="22"/>
      <c r="GZ269" s="22"/>
      <c r="HA269" s="22"/>
      <c r="HB269" s="22"/>
      <c r="HC269" s="22"/>
      <c r="HD269" s="22"/>
      <c r="HE269" s="22"/>
      <c r="HF269" s="22"/>
      <c r="HG269" s="22"/>
      <c r="HH269" s="22"/>
      <c r="HI269" s="22"/>
      <c r="HJ269" s="22"/>
      <c r="HK269" s="22"/>
      <c r="HL269" s="22"/>
      <c r="HM269" s="22"/>
      <c r="HN269" s="22"/>
      <c r="HO269" s="22"/>
      <c r="HP269" s="22"/>
      <c r="HQ269" s="22"/>
      <c r="HR269" s="22"/>
      <c r="HS269" s="22"/>
      <c r="HT269" s="22"/>
      <c r="HU269" s="22"/>
      <c r="HV269" s="22"/>
      <c r="HW269" s="22"/>
      <c r="HX269" s="22"/>
      <c r="HY269" s="22"/>
      <c r="HZ269" s="22"/>
      <c r="IA269" s="22"/>
      <c r="IB269" s="22"/>
      <c r="IC269" s="22"/>
      <c r="ID269" s="22"/>
      <c r="IE269" s="22"/>
      <c r="IF269" s="22"/>
      <c r="IG269" s="22"/>
      <c r="IH269" s="22"/>
      <c r="II269" s="22"/>
      <c r="IJ269" s="22"/>
      <c r="IK269" s="22"/>
      <c r="IL269" s="22"/>
      <c r="IM269" s="22"/>
      <c r="IN269" s="22"/>
      <c r="IO269" s="22"/>
      <c r="IP269" s="22"/>
      <c r="IQ269" s="22"/>
      <c r="IR269" s="22"/>
      <c r="IS269" s="22"/>
      <c r="IT269" s="22"/>
      <c r="IU269" s="22"/>
      <c r="IV269" s="22"/>
    </row>
    <row r="270" spans="1:256" s="31" customFormat="1" ht="15" customHeight="1">
      <c r="A270" s="31" t="s">
        <v>967</v>
      </c>
      <c r="O270" s="26"/>
      <c r="P270" s="26"/>
    </row>
    <row r="271" spans="1:256" s="64" customFormat="1" ht="15" customHeight="1">
      <c r="A271" s="25" t="s">
        <v>1164</v>
      </c>
      <c r="B271" s="22"/>
      <c r="C271" s="22"/>
      <c r="D271" s="22"/>
      <c r="E271" s="22"/>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c r="AI271" s="22"/>
      <c r="AJ271" s="22"/>
      <c r="AK271" s="22"/>
      <c r="AL271" s="22"/>
      <c r="AM271" s="22"/>
      <c r="AN271" s="22"/>
      <c r="AO271" s="22"/>
      <c r="AP271" s="22"/>
      <c r="AQ271" s="22"/>
      <c r="AR271" s="22"/>
      <c r="AS271" s="22"/>
      <c r="AT271" s="22"/>
      <c r="AU271" s="22"/>
      <c r="AV271" s="22"/>
      <c r="AW271" s="22"/>
      <c r="AX271" s="22"/>
      <c r="AY271" s="22"/>
      <c r="AZ271" s="22"/>
      <c r="BA271" s="22"/>
      <c r="BB271" s="22"/>
      <c r="BC271" s="22"/>
      <c r="BD271" s="22"/>
      <c r="BE271" s="22"/>
      <c r="BF271" s="22"/>
      <c r="BG271" s="22"/>
      <c r="BH271" s="22"/>
      <c r="BI271" s="22"/>
      <c r="BJ271" s="22"/>
      <c r="BK271" s="22"/>
      <c r="BL271" s="22"/>
      <c r="BM271" s="22"/>
      <c r="BN271" s="22"/>
      <c r="BO271" s="22"/>
      <c r="BP271" s="22"/>
      <c r="BQ271" s="22"/>
      <c r="BR271" s="22"/>
      <c r="BS271" s="22"/>
      <c r="BT271" s="22"/>
      <c r="BU271" s="22"/>
      <c r="BV271" s="22"/>
      <c r="BW271" s="22"/>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c r="CV271" s="22"/>
      <c r="CW271" s="22"/>
      <c r="CX271" s="22"/>
      <c r="CY271" s="22"/>
      <c r="CZ271" s="22"/>
      <c r="DA271" s="22"/>
      <c r="DB271" s="22"/>
      <c r="DC271" s="22"/>
      <c r="DD271" s="22"/>
      <c r="DE271" s="22"/>
      <c r="DF271" s="22"/>
      <c r="DG271" s="22"/>
      <c r="DH271" s="22"/>
      <c r="DI271" s="22"/>
      <c r="DJ271" s="22"/>
      <c r="DK271" s="22"/>
      <c r="DL271" s="22"/>
      <c r="DM271" s="22"/>
      <c r="DN271" s="22"/>
      <c r="DO271" s="22"/>
      <c r="DP271" s="22"/>
      <c r="DQ271" s="22"/>
      <c r="DR271" s="22"/>
      <c r="DS271" s="22"/>
      <c r="DT271" s="22"/>
      <c r="DU271" s="22"/>
      <c r="DV271" s="22"/>
      <c r="DW271" s="22"/>
      <c r="DX271" s="22"/>
      <c r="DY271" s="22"/>
      <c r="DZ271" s="22"/>
      <c r="EA271" s="22"/>
      <c r="EB271" s="22"/>
      <c r="EC271" s="22"/>
      <c r="ED271" s="22"/>
      <c r="EE271" s="22"/>
      <c r="EF271" s="22"/>
      <c r="EG271" s="22"/>
      <c r="EH271" s="22"/>
      <c r="EI271" s="22"/>
      <c r="EJ271" s="22"/>
      <c r="EK271" s="22"/>
      <c r="EL271" s="22"/>
      <c r="EM271" s="22"/>
      <c r="EN271" s="22"/>
      <c r="EO271" s="22"/>
      <c r="EP271" s="22"/>
      <c r="EQ271" s="22"/>
      <c r="ER271" s="22"/>
      <c r="ES271" s="22"/>
      <c r="ET271" s="22"/>
      <c r="EU271" s="22"/>
      <c r="EV271" s="22"/>
      <c r="EW271" s="22"/>
      <c r="EX271" s="22"/>
      <c r="EY271" s="22"/>
      <c r="EZ271" s="22"/>
      <c r="FA271" s="22"/>
      <c r="FB271" s="22"/>
      <c r="FC271" s="22"/>
      <c r="FD271" s="22"/>
      <c r="FE271" s="22"/>
      <c r="FF271" s="22"/>
      <c r="FG271" s="22"/>
      <c r="FH271" s="22"/>
      <c r="FI271" s="22"/>
      <c r="FJ271" s="22"/>
      <c r="FK271" s="22"/>
      <c r="FL271" s="22"/>
      <c r="FM271" s="22"/>
      <c r="FN271" s="22"/>
      <c r="FO271" s="22"/>
      <c r="FP271" s="22"/>
      <c r="FQ271" s="22"/>
      <c r="FR271" s="22"/>
      <c r="FS271" s="22"/>
      <c r="FT271" s="22"/>
      <c r="FU271" s="22"/>
      <c r="FV271" s="22"/>
      <c r="FW271" s="22"/>
      <c r="FX271" s="22"/>
      <c r="FY271" s="22"/>
      <c r="FZ271" s="22"/>
      <c r="GA271" s="22"/>
      <c r="GB271" s="22"/>
      <c r="GC271" s="22"/>
      <c r="GD271" s="22"/>
      <c r="GE271" s="22"/>
      <c r="GF271" s="22"/>
      <c r="GG271" s="22"/>
      <c r="GH271" s="22"/>
      <c r="GI271" s="22"/>
      <c r="GJ271" s="22"/>
      <c r="GK271" s="22"/>
      <c r="GL271" s="22"/>
      <c r="GM271" s="22"/>
      <c r="GN271" s="22"/>
      <c r="GO271" s="22"/>
      <c r="GP271" s="22"/>
      <c r="GQ271" s="22"/>
      <c r="GR271" s="22"/>
      <c r="GS271" s="22"/>
      <c r="GT271" s="22"/>
      <c r="GU271" s="22"/>
      <c r="GV271" s="22"/>
      <c r="GW271" s="22"/>
      <c r="GX271" s="22"/>
      <c r="GY271" s="22"/>
      <c r="GZ271" s="22"/>
      <c r="HA271" s="22"/>
      <c r="HB271" s="22"/>
      <c r="HC271" s="22"/>
      <c r="HD271" s="22"/>
      <c r="HE271" s="22"/>
      <c r="HF271" s="22"/>
      <c r="HG271" s="22"/>
      <c r="HH271" s="22"/>
      <c r="HI271" s="22"/>
      <c r="HJ271" s="22"/>
      <c r="HK271" s="22"/>
      <c r="HL271" s="22"/>
      <c r="HM271" s="22"/>
      <c r="HN271" s="22"/>
      <c r="HO271" s="22"/>
      <c r="HP271" s="22"/>
      <c r="HQ271" s="22"/>
      <c r="HR271" s="22"/>
      <c r="HS271" s="22"/>
      <c r="HT271" s="22"/>
      <c r="HU271" s="22"/>
      <c r="HV271" s="22"/>
      <c r="HW271" s="22"/>
      <c r="HX271" s="22"/>
      <c r="HY271" s="22"/>
      <c r="HZ271" s="22"/>
      <c r="IA271" s="22"/>
      <c r="IB271" s="22"/>
      <c r="IC271" s="22"/>
      <c r="ID271" s="22"/>
      <c r="IE271" s="22"/>
      <c r="IF271" s="22"/>
      <c r="IG271" s="22"/>
      <c r="IH271" s="22"/>
      <c r="II271" s="22"/>
      <c r="IJ271" s="22"/>
      <c r="IK271" s="22"/>
      <c r="IL271" s="22"/>
      <c r="IM271" s="22"/>
      <c r="IN271" s="22"/>
      <c r="IO271" s="22"/>
      <c r="IP271" s="22"/>
      <c r="IQ271" s="22"/>
      <c r="IR271" s="22"/>
      <c r="IS271" s="22"/>
      <c r="IT271" s="22"/>
      <c r="IU271" s="22"/>
      <c r="IV271" s="22"/>
    </row>
  </sheetData>
  <mergeCells count="1">
    <mergeCell ref="A252:B252"/>
  </mergeCells>
  <phoneticPr fontId="7" type="noConversion"/>
  <pageMargins left="0.75" right="0.75" top="1" bottom="1" header="0.5" footer="0.5"/>
  <headerFooter alignWithMargins="0"/>
  <drawing r:id="rId1"/>
  <legacyDrawing r:id="rId2"/>
  <controls>
    <mc:AlternateContent xmlns:mc="http://schemas.openxmlformats.org/markup-compatibility/2006">
      <mc:Choice Requires="x14">
        <control shapeId="105474" r:id="rId3" name="CBSortOrder">
          <controlPr print="0" autoLine="0" r:id="rId4">
            <anchor moveWithCells="1">
              <from>
                <xdr:col>8</xdr:col>
                <xdr:colOff>7620</xdr:colOff>
                <xdr:row>0</xdr:row>
                <xdr:rowOff>0</xdr:rowOff>
              </from>
              <to>
                <xdr:col>9</xdr:col>
                <xdr:colOff>190500</xdr:colOff>
                <xdr:row>1</xdr:row>
                <xdr:rowOff>15240</xdr:rowOff>
              </to>
            </anchor>
          </controlPr>
        </control>
      </mc:Choice>
      <mc:Fallback>
        <control shapeId="105474" r:id="rId3" name="CBSortOrder"/>
      </mc:Fallback>
    </mc:AlternateContent>
    <mc:AlternateContent xmlns:mc="http://schemas.openxmlformats.org/markup-compatibility/2006">
      <mc:Choice Requires="x14">
        <control shapeId="105473" r:id="rId5" name="CommandButton1">
          <controlPr defaultSize="0" autoFill="0" autoLine="0" r:id="rId6">
            <anchor moveWithCells="1">
              <from>
                <xdr:col>9</xdr:col>
                <xdr:colOff>419100</xdr:colOff>
                <xdr:row>0</xdr:row>
                <xdr:rowOff>76200</xdr:rowOff>
              </from>
              <to>
                <xdr:col>11</xdr:col>
                <xdr:colOff>0</xdr:colOff>
                <xdr:row>2</xdr:row>
                <xdr:rowOff>15240</xdr:rowOff>
              </to>
            </anchor>
          </controlPr>
        </control>
      </mc:Choice>
      <mc:Fallback>
        <control shapeId="105473" r:id="rId5" name="CommandButton1"/>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dimension ref="A1:U81"/>
  <sheetViews>
    <sheetView workbookViewId="0">
      <pane xSplit="1" ySplit="1" topLeftCell="H17" activePane="bottomRight" state="frozen"/>
      <selection pane="topRight" activeCell="B1" sqref="B1"/>
      <selection pane="bottomLeft" activeCell="A2" sqref="A2"/>
      <selection pane="bottomRight" activeCell="X42" sqref="X42"/>
    </sheetView>
  </sheetViews>
  <sheetFormatPr defaultRowHeight="10.8"/>
  <cols>
    <col min="1" max="1" width="32" customWidth="1"/>
    <col min="2" max="24" width="15.875" customWidth="1"/>
  </cols>
  <sheetData>
    <row r="1" spans="1:21" s="38" customFormat="1" ht="15" customHeight="1">
      <c r="A1" s="44" t="s">
        <v>1207</v>
      </c>
      <c r="B1" s="38" t="str">
        <f>季度数据!B3</f>
        <v>0033-1Q</v>
      </c>
      <c r="C1" s="38" t="str">
        <f>季度数据!C3</f>
        <v>0063-2Q</v>
      </c>
      <c r="D1" s="38" t="str">
        <f>季度数据!D3</f>
        <v>0093-3Q</v>
      </c>
      <c r="E1" s="38" t="str">
        <f>季度数据!E3</f>
        <v>0123-4Q</v>
      </c>
      <c r="F1" s="38" t="str">
        <f>季度数据!F3</f>
        <v>1033-1Q</v>
      </c>
      <c r="G1" s="38" t="str">
        <f>季度数据!G3</f>
        <v>1063-2Q</v>
      </c>
      <c r="H1" s="38" t="str">
        <f>季度数据!H3</f>
        <v>1093-3Q</v>
      </c>
      <c r="I1" s="38" t="str">
        <f>季度数据!I3</f>
        <v>1123-4Q</v>
      </c>
      <c r="J1" s="38" t="str">
        <f>季度数据!J3</f>
        <v>2033-1Q</v>
      </c>
      <c r="K1" s="38" t="str">
        <f>季度数据!K3</f>
        <v>2063-2Q</v>
      </c>
      <c r="L1" s="38" t="str">
        <f>季度数据!L3</f>
        <v>2093-3Q</v>
      </c>
      <c r="M1" s="38" t="str">
        <f>季度数据!M3</f>
        <v>2123-4Q</v>
      </c>
      <c r="N1" s="38" t="str">
        <f>季度数据!N3</f>
        <v>3033-1Q</v>
      </c>
      <c r="O1" s="38" t="str">
        <f>季度数据!O3</f>
        <v>3063-2Q</v>
      </c>
      <c r="P1" s="38" t="str">
        <f>季度数据!P3</f>
        <v>3093-3Q</v>
      </c>
      <c r="Q1" s="38" t="str">
        <f>季度数据!Q3</f>
        <v>3123-4Q</v>
      </c>
      <c r="R1" s="38" t="str">
        <f>季度数据!R3</f>
        <v>4033-1Q</v>
      </c>
      <c r="S1" s="38" t="str">
        <f>季度数据!S3</f>
        <v>4063-2Q</v>
      </c>
      <c r="T1" s="38" t="str">
        <f>季度数据!T3</f>
        <v>4093-3Q</v>
      </c>
      <c r="U1" s="38" t="str">
        <f>季度数据!U3</f>
        <v>4123-4Q</v>
      </c>
    </row>
    <row r="2" spans="1:21" ht="15" customHeight="1">
      <c r="A2" s="10" t="s">
        <v>1005</v>
      </c>
    </row>
    <row r="3" spans="1:21" s="67" customFormat="1" ht="15" customHeight="1">
      <c r="A3" s="10" t="s">
        <v>1222</v>
      </c>
      <c r="B3" s="67">
        <f>季度数据!B6</f>
        <v>0</v>
      </c>
      <c r="C3" s="67">
        <f>季度数据!C6</f>
        <v>0</v>
      </c>
      <c r="D3" s="67">
        <f>季度数据!D6</f>
        <v>0</v>
      </c>
      <c r="E3" s="67">
        <f>季度数据!E6</f>
        <v>0</v>
      </c>
      <c r="F3" s="67">
        <f>季度数据!F6</f>
        <v>0</v>
      </c>
      <c r="G3" s="67">
        <f>季度数据!G6</f>
        <v>0</v>
      </c>
      <c r="H3" s="67">
        <f>季度数据!H6</f>
        <v>0</v>
      </c>
      <c r="I3" s="67">
        <f>季度数据!I6</f>
        <v>0</v>
      </c>
      <c r="J3" s="67">
        <f>季度数据!J6</f>
        <v>0</v>
      </c>
      <c r="K3" s="67">
        <f>季度数据!K6</f>
        <v>0</v>
      </c>
      <c r="L3" s="67">
        <f>季度数据!L6</f>
        <v>0</v>
      </c>
      <c r="M3" s="67">
        <f>季度数据!M6</f>
        <v>0</v>
      </c>
      <c r="N3" s="67">
        <f>季度数据!N6</f>
        <v>0</v>
      </c>
      <c r="O3" s="67">
        <f>季度数据!O6</f>
        <v>0</v>
      </c>
      <c r="P3" s="67">
        <f>季度数据!P6</f>
        <v>0</v>
      </c>
      <c r="Q3" s="67">
        <f>季度数据!Q6</f>
        <v>0</v>
      </c>
      <c r="R3" s="67">
        <f>季度数据!R6</f>
        <v>0</v>
      </c>
      <c r="S3" s="67">
        <f>季度数据!S6</f>
        <v>0</v>
      </c>
      <c r="T3" s="67">
        <f>季度数据!T6</f>
        <v>0</v>
      </c>
      <c r="U3" s="67">
        <f>季度数据!U6</f>
        <v>0</v>
      </c>
    </row>
    <row r="4" spans="1:21" s="24" customFormat="1" ht="15" customHeight="1">
      <c r="A4" s="65" t="s">
        <v>1168</v>
      </c>
      <c r="F4" s="59" t="str">
        <f>IF(ISNUMBER(F3/ABS(B3)-1),F3/ABS(B3)-1,"-")</f>
        <v>-</v>
      </c>
      <c r="G4" s="59" t="str">
        <f t="shared" ref="G4:O4" si="0">IF(ISNUMBER(G3/ABS(C3)-1),G3/ABS(C3)-1,"-")</f>
        <v>-</v>
      </c>
      <c r="H4" s="59" t="str">
        <f t="shared" si="0"/>
        <v>-</v>
      </c>
      <c r="I4" s="59" t="str">
        <f t="shared" si="0"/>
        <v>-</v>
      </c>
      <c r="J4" s="59" t="str">
        <f t="shared" si="0"/>
        <v>-</v>
      </c>
      <c r="K4" s="59" t="str">
        <f t="shared" si="0"/>
        <v>-</v>
      </c>
      <c r="L4" s="59" t="str">
        <f t="shared" si="0"/>
        <v>-</v>
      </c>
      <c r="M4" s="59" t="str">
        <f t="shared" si="0"/>
        <v>-</v>
      </c>
      <c r="N4" s="59" t="str">
        <f t="shared" si="0"/>
        <v>-</v>
      </c>
      <c r="O4" s="59" t="str">
        <f t="shared" si="0"/>
        <v>-</v>
      </c>
      <c r="P4" s="24" t="str">
        <f t="shared" ref="P4:U4" si="1">IF(ISNUMBER(P3/ABS(L3)-1),P3/ABS(L3)-1,"-")</f>
        <v>-</v>
      </c>
      <c r="Q4" s="24" t="str">
        <f t="shared" si="1"/>
        <v>-</v>
      </c>
      <c r="R4" s="24" t="str">
        <f t="shared" si="1"/>
        <v>-</v>
      </c>
      <c r="S4" s="24" t="str">
        <f t="shared" si="1"/>
        <v>-</v>
      </c>
      <c r="T4" s="24" t="str">
        <f t="shared" si="1"/>
        <v>-</v>
      </c>
      <c r="U4" s="24" t="str">
        <f t="shared" si="1"/>
        <v>-</v>
      </c>
    </row>
    <row r="5" spans="1:21" s="59" customFormat="1" ht="15" customHeight="1">
      <c r="A5" s="65" t="s">
        <v>1169</v>
      </c>
      <c r="C5" s="59" t="str">
        <f>IF(ISNUMBER(C3/ABS(B3)-1),C3/ABS(B3)-1,"-")</f>
        <v>-</v>
      </c>
      <c r="D5" s="59" t="str">
        <f t="shared" ref="D5:O5" si="2">IF(ISNUMBER(D3/ABS(C3)-1),D3/ABS(C3)-1,"-")</f>
        <v>-</v>
      </c>
      <c r="E5" s="59" t="str">
        <f t="shared" si="2"/>
        <v>-</v>
      </c>
      <c r="F5" s="59" t="str">
        <f t="shared" si="2"/>
        <v>-</v>
      </c>
      <c r="G5" s="59" t="str">
        <f t="shared" si="2"/>
        <v>-</v>
      </c>
      <c r="H5" s="59" t="str">
        <f t="shared" si="2"/>
        <v>-</v>
      </c>
      <c r="I5" s="59" t="str">
        <f t="shared" si="2"/>
        <v>-</v>
      </c>
      <c r="J5" s="59" t="str">
        <f t="shared" si="2"/>
        <v>-</v>
      </c>
      <c r="K5" s="59" t="str">
        <f t="shared" si="2"/>
        <v>-</v>
      </c>
      <c r="L5" s="59" t="str">
        <f t="shared" si="2"/>
        <v>-</v>
      </c>
      <c r="M5" s="59" t="str">
        <f t="shared" si="2"/>
        <v>-</v>
      </c>
      <c r="N5" s="59" t="str">
        <f t="shared" si="2"/>
        <v>-</v>
      </c>
      <c r="O5" s="59" t="str">
        <f t="shared" si="2"/>
        <v>-</v>
      </c>
      <c r="P5" s="59" t="str">
        <f t="shared" ref="P5:U5" si="3">IF(ISNUMBER(P3/ABS(O3)-1),P3/ABS(O3)-1,"-")</f>
        <v>-</v>
      </c>
      <c r="Q5" s="59" t="str">
        <f t="shared" si="3"/>
        <v>-</v>
      </c>
      <c r="R5" s="59" t="str">
        <f t="shared" si="3"/>
        <v>-</v>
      </c>
      <c r="S5" s="59" t="str">
        <f t="shared" si="3"/>
        <v>-</v>
      </c>
      <c r="T5" s="59" t="str">
        <f t="shared" si="3"/>
        <v>-</v>
      </c>
      <c r="U5" s="59" t="str">
        <f t="shared" si="3"/>
        <v>-</v>
      </c>
    </row>
    <row r="6" spans="1:21" s="67" customFormat="1" ht="15" customHeight="1">
      <c r="A6" s="66" t="s">
        <v>1369</v>
      </c>
      <c r="B6" s="67">
        <f>季度数据!B8</f>
        <v>0</v>
      </c>
      <c r="C6" s="67">
        <f>季度数据!C8</f>
        <v>0</v>
      </c>
      <c r="D6" s="67">
        <f>季度数据!D8</f>
        <v>0</v>
      </c>
      <c r="E6" s="67">
        <f>季度数据!E8</f>
        <v>0</v>
      </c>
      <c r="F6" s="67">
        <f>季度数据!F8</f>
        <v>0</v>
      </c>
      <c r="G6" s="67">
        <f>季度数据!G8</f>
        <v>0</v>
      </c>
      <c r="H6" s="67">
        <f>季度数据!H8</f>
        <v>0</v>
      </c>
      <c r="I6" s="67">
        <f>季度数据!I8</f>
        <v>0</v>
      </c>
      <c r="J6" s="67">
        <f>季度数据!J8</f>
        <v>0</v>
      </c>
      <c r="K6" s="67">
        <f>季度数据!K8</f>
        <v>0</v>
      </c>
      <c r="L6" s="67">
        <f>季度数据!L8</f>
        <v>0</v>
      </c>
      <c r="M6" s="67">
        <f>季度数据!M8</f>
        <v>0</v>
      </c>
      <c r="N6" s="67">
        <f>季度数据!N8</f>
        <v>0</v>
      </c>
      <c r="O6" s="67">
        <f>季度数据!O8</f>
        <v>0</v>
      </c>
      <c r="P6" s="67">
        <f>季度数据!P8</f>
        <v>0</v>
      </c>
      <c r="Q6" s="67">
        <f>季度数据!Q8</f>
        <v>0</v>
      </c>
      <c r="R6" s="67">
        <f>季度数据!R8</f>
        <v>0</v>
      </c>
      <c r="S6" s="67">
        <f>季度数据!S8</f>
        <v>0</v>
      </c>
      <c r="T6" s="67">
        <f>季度数据!T8</f>
        <v>0</v>
      </c>
      <c r="U6" s="67">
        <f>季度数据!U8</f>
        <v>0</v>
      </c>
    </row>
    <row r="7" spans="1:21" s="67" customFormat="1" ht="15" customHeight="1">
      <c r="A7" s="58" t="s">
        <v>1049</v>
      </c>
      <c r="B7" s="59" t="str">
        <f>IF(ISNUMBER((B3-B6)/B3),(B3-B6)/B3,"-")</f>
        <v>-</v>
      </c>
      <c r="C7" s="59" t="str">
        <f t="shared" ref="C7:O7" si="4">IF(ISNUMBER((C3-C6)/C3),(C3-C6)/C3,"-")</f>
        <v>-</v>
      </c>
      <c r="D7" s="59" t="str">
        <f t="shared" si="4"/>
        <v>-</v>
      </c>
      <c r="E7" s="59" t="str">
        <f t="shared" si="4"/>
        <v>-</v>
      </c>
      <c r="F7" s="59" t="str">
        <f t="shared" si="4"/>
        <v>-</v>
      </c>
      <c r="G7" s="59" t="str">
        <f t="shared" si="4"/>
        <v>-</v>
      </c>
      <c r="H7" s="59" t="str">
        <f t="shared" si="4"/>
        <v>-</v>
      </c>
      <c r="I7" s="59" t="str">
        <f t="shared" si="4"/>
        <v>-</v>
      </c>
      <c r="J7" s="59" t="str">
        <f t="shared" si="4"/>
        <v>-</v>
      </c>
      <c r="K7" s="59" t="str">
        <f t="shared" si="4"/>
        <v>-</v>
      </c>
      <c r="L7" s="59" t="str">
        <f t="shared" si="4"/>
        <v>-</v>
      </c>
      <c r="M7" s="59" t="str">
        <f t="shared" si="4"/>
        <v>-</v>
      </c>
      <c r="N7" s="59" t="str">
        <f t="shared" si="4"/>
        <v>-</v>
      </c>
      <c r="O7" s="59" t="str">
        <f t="shared" si="4"/>
        <v>-</v>
      </c>
      <c r="P7" s="67" t="str">
        <f t="shared" ref="P7:U7" si="5">IF(ISNUMBER((P3-P6)/P3),(P3-P6)/P3,"-")</f>
        <v>-</v>
      </c>
      <c r="Q7" s="67" t="str">
        <f t="shared" si="5"/>
        <v>-</v>
      </c>
      <c r="R7" s="67" t="str">
        <f t="shared" si="5"/>
        <v>-</v>
      </c>
      <c r="S7" s="67" t="str">
        <f t="shared" si="5"/>
        <v>-</v>
      </c>
      <c r="T7" s="67" t="str">
        <f t="shared" si="5"/>
        <v>-</v>
      </c>
      <c r="U7" s="67" t="str">
        <f t="shared" si="5"/>
        <v>-</v>
      </c>
    </row>
    <row r="8" spans="1:21" s="67" customFormat="1" ht="15" customHeight="1">
      <c r="A8" s="58" t="s">
        <v>1046</v>
      </c>
      <c r="B8" s="59" t="str">
        <f>IF(ISNUMBER(B6/B$3),B6/B$3,"-")</f>
        <v>-</v>
      </c>
      <c r="C8" s="59" t="str">
        <f t="shared" ref="C8:O8" si="6">IF(ISNUMBER(C6/C$3),C6/C$3,"-")</f>
        <v>-</v>
      </c>
      <c r="D8" s="59" t="str">
        <f t="shared" si="6"/>
        <v>-</v>
      </c>
      <c r="E8" s="59" t="str">
        <f t="shared" si="6"/>
        <v>-</v>
      </c>
      <c r="F8" s="59" t="str">
        <f t="shared" si="6"/>
        <v>-</v>
      </c>
      <c r="G8" s="59" t="str">
        <f t="shared" si="6"/>
        <v>-</v>
      </c>
      <c r="H8" s="59" t="str">
        <f t="shared" si="6"/>
        <v>-</v>
      </c>
      <c r="I8" s="59" t="str">
        <f t="shared" si="6"/>
        <v>-</v>
      </c>
      <c r="J8" s="59" t="str">
        <f t="shared" si="6"/>
        <v>-</v>
      </c>
      <c r="K8" s="59" t="str">
        <f t="shared" si="6"/>
        <v>-</v>
      </c>
      <c r="L8" s="59" t="str">
        <f t="shared" si="6"/>
        <v>-</v>
      </c>
      <c r="M8" s="59" t="str">
        <f t="shared" si="6"/>
        <v>-</v>
      </c>
      <c r="N8" s="59" t="str">
        <f t="shared" si="6"/>
        <v>-</v>
      </c>
      <c r="O8" s="59" t="str">
        <f t="shared" si="6"/>
        <v>-</v>
      </c>
      <c r="P8" s="67" t="str">
        <f t="shared" ref="P8:U8" si="7">IF(ISNUMBER(P6/P$3),P6/P$3,"-")</f>
        <v>-</v>
      </c>
      <c r="Q8" s="67" t="str">
        <f t="shared" si="7"/>
        <v>-</v>
      </c>
      <c r="R8" s="67" t="str">
        <f t="shared" si="7"/>
        <v>-</v>
      </c>
      <c r="S8" s="67" t="str">
        <f t="shared" si="7"/>
        <v>-</v>
      </c>
      <c r="T8" s="67" t="str">
        <f t="shared" si="7"/>
        <v>-</v>
      </c>
      <c r="U8" s="67" t="str">
        <f t="shared" si="7"/>
        <v>-</v>
      </c>
    </row>
    <row r="9" spans="1:21" s="24" customFormat="1" ht="15" customHeight="1">
      <c r="A9" s="65" t="s">
        <v>1168</v>
      </c>
      <c r="F9" s="59" t="str">
        <f t="shared" ref="F9:O9" si="8">IF(ISNUMBER(F6/ABS(B6)-1),F6/ABS(B6)-1,"-")</f>
        <v>-</v>
      </c>
      <c r="G9" s="59" t="str">
        <f t="shared" si="8"/>
        <v>-</v>
      </c>
      <c r="H9" s="59" t="str">
        <f t="shared" si="8"/>
        <v>-</v>
      </c>
      <c r="I9" s="59" t="str">
        <f t="shared" si="8"/>
        <v>-</v>
      </c>
      <c r="J9" s="59" t="str">
        <f t="shared" si="8"/>
        <v>-</v>
      </c>
      <c r="K9" s="59" t="str">
        <f t="shared" si="8"/>
        <v>-</v>
      </c>
      <c r="L9" s="59" t="str">
        <f t="shared" si="8"/>
        <v>-</v>
      </c>
      <c r="M9" s="59" t="str">
        <f t="shared" si="8"/>
        <v>-</v>
      </c>
      <c r="N9" s="59" t="str">
        <f t="shared" si="8"/>
        <v>-</v>
      </c>
      <c r="O9" s="59" t="str">
        <f t="shared" si="8"/>
        <v>-</v>
      </c>
      <c r="P9" s="24" t="str">
        <f t="shared" ref="P9:U9" si="9">IF(ISNUMBER(P6/ABS(L6)-1),P6/ABS(L6)-1,"-")</f>
        <v>-</v>
      </c>
      <c r="Q9" s="24" t="str">
        <f t="shared" si="9"/>
        <v>-</v>
      </c>
      <c r="R9" s="24" t="str">
        <f t="shared" si="9"/>
        <v>-</v>
      </c>
      <c r="S9" s="24" t="str">
        <f t="shared" si="9"/>
        <v>-</v>
      </c>
      <c r="T9" s="24" t="str">
        <f t="shared" si="9"/>
        <v>-</v>
      </c>
      <c r="U9" s="24" t="str">
        <f t="shared" si="9"/>
        <v>-</v>
      </c>
    </row>
    <row r="10" spans="1:21" s="59" customFormat="1" ht="15" customHeight="1">
      <c r="A10" s="65" t="s">
        <v>1169</v>
      </c>
      <c r="C10" s="59" t="str">
        <f>IF(ISNUMBER(C6/ABS(B6)-1),C6/ABS(B6)-1,"-")</f>
        <v>-</v>
      </c>
      <c r="D10" s="59" t="str">
        <f t="shared" ref="D10:O10" si="10">IF(ISNUMBER(D6/ABS(C6)-1),D6/ABS(C6)-1,"-")</f>
        <v>-</v>
      </c>
      <c r="E10" s="59" t="str">
        <f t="shared" si="10"/>
        <v>-</v>
      </c>
      <c r="F10" s="59" t="str">
        <f t="shared" si="10"/>
        <v>-</v>
      </c>
      <c r="G10" s="59" t="str">
        <f t="shared" si="10"/>
        <v>-</v>
      </c>
      <c r="H10" s="59" t="str">
        <f t="shared" si="10"/>
        <v>-</v>
      </c>
      <c r="I10" s="59" t="str">
        <f t="shared" si="10"/>
        <v>-</v>
      </c>
      <c r="J10" s="59" t="str">
        <f t="shared" si="10"/>
        <v>-</v>
      </c>
      <c r="K10" s="59" t="str">
        <f t="shared" si="10"/>
        <v>-</v>
      </c>
      <c r="L10" s="59" t="str">
        <f t="shared" si="10"/>
        <v>-</v>
      </c>
      <c r="M10" s="59" t="str">
        <f t="shared" si="10"/>
        <v>-</v>
      </c>
      <c r="N10" s="59" t="str">
        <f t="shared" si="10"/>
        <v>-</v>
      </c>
      <c r="O10" s="59" t="str">
        <f t="shared" si="10"/>
        <v>-</v>
      </c>
      <c r="P10" s="59" t="str">
        <f t="shared" ref="P10:U10" si="11">IF(ISNUMBER(P6/ABS(O6)-1),P6/ABS(O6)-1,"-")</f>
        <v>-</v>
      </c>
      <c r="Q10" s="59" t="str">
        <f t="shared" si="11"/>
        <v>-</v>
      </c>
      <c r="R10" s="59" t="str">
        <f t="shared" si="11"/>
        <v>-</v>
      </c>
      <c r="S10" s="59" t="str">
        <f t="shared" si="11"/>
        <v>-</v>
      </c>
      <c r="T10" s="59" t="str">
        <f t="shared" si="11"/>
        <v>-</v>
      </c>
      <c r="U10" s="59" t="str">
        <f t="shared" si="11"/>
        <v>-</v>
      </c>
    </row>
    <row r="11" spans="1:21" s="67" customFormat="1" ht="15" customHeight="1">
      <c r="A11" s="66" t="s">
        <v>1064</v>
      </c>
      <c r="B11" s="67">
        <f>季度数据!B9</f>
        <v>0</v>
      </c>
      <c r="C11" s="67">
        <f>季度数据!C9</f>
        <v>0</v>
      </c>
      <c r="D11" s="67">
        <f>季度数据!D9</f>
        <v>0</v>
      </c>
      <c r="E11" s="67">
        <f>季度数据!E9</f>
        <v>0</v>
      </c>
      <c r="F11" s="67">
        <f>季度数据!F9</f>
        <v>0</v>
      </c>
      <c r="G11" s="67">
        <f>季度数据!G9</f>
        <v>0</v>
      </c>
      <c r="H11" s="67">
        <f>季度数据!H9</f>
        <v>0</v>
      </c>
      <c r="I11" s="67">
        <f>季度数据!I9</f>
        <v>0</v>
      </c>
      <c r="J11" s="67">
        <f>季度数据!J9</f>
        <v>0</v>
      </c>
      <c r="K11" s="67">
        <f>季度数据!K9</f>
        <v>0</v>
      </c>
      <c r="L11" s="67">
        <f>季度数据!L9</f>
        <v>0</v>
      </c>
      <c r="M11" s="67">
        <f>季度数据!M9</f>
        <v>0</v>
      </c>
      <c r="N11" s="67">
        <f>季度数据!N9</f>
        <v>0</v>
      </c>
      <c r="O11" s="67">
        <f>季度数据!O9</f>
        <v>0</v>
      </c>
      <c r="P11" s="67">
        <f>季度数据!P9</f>
        <v>0</v>
      </c>
      <c r="Q11" s="67">
        <f>季度数据!Q9</f>
        <v>0</v>
      </c>
      <c r="R11" s="67">
        <f>季度数据!R9</f>
        <v>0</v>
      </c>
      <c r="S11" s="67">
        <f>季度数据!S9</f>
        <v>0</v>
      </c>
      <c r="T11" s="67">
        <f>季度数据!T9</f>
        <v>0</v>
      </c>
      <c r="U11" s="67">
        <f>季度数据!U9</f>
        <v>0</v>
      </c>
    </row>
    <row r="12" spans="1:21" s="67" customFormat="1" ht="15" customHeight="1">
      <c r="A12" s="58" t="s">
        <v>1046</v>
      </c>
      <c r="B12" s="59" t="str">
        <f t="shared" ref="B12:O12" si="12">IF(ISNUMBER(B11/B$3),B11/B$3,"-")</f>
        <v>-</v>
      </c>
      <c r="C12" s="59" t="str">
        <f t="shared" si="12"/>
        <v>-</v>
      </c>
      <c r="D12" s="59" t="str">
        <f t="shared" si="12"/>
        <v>-</v>
      </c>
      <c r="E12" s="59" t="str">
        <f t="shared" si="12"/>
        <v>-</v>
      </c>
      <c r="F12" s="59" t="str">
        <f t="shared" si="12"/>
        <v>-</v>
      </c>
      <c r="G12" s="59" t="str">
        <f t="shared" si="12"/>
        <v>-</v>
      </c>
      <c r="H12" s="59" t="str">
        <f t="shared" si="12"/>
        <v>-</v>
      </c>
      <c r="I12" s="59" t="str">
        <f t="shared" si="12"/>
        <v>-</v>
      </c>
      <c r="J12" s="59" t="str">
        <f t="shared" si="12"/>
        <v>-</v>
      </c>
      <c r="K12" s="59" t="str">
        <f t="shared" si="12"/>
        <v>-</v>
      </c>
      <c r="L12" s="59" t="str">
        <f t="shared" si="12"/>
        <v>-</v>
      </c>
      <c r="M12" s="59" t="str">
        <f t="shared" si="12"/>
        <v>-</v>
      </c>
      <c r="N12" s="59" t="str">
        <f t="shared" si="12"/>
        <v>-</v>
      </c>
      <c r="O12" s="59" t="str">
        <f t="shared" si="12"/>
        <v>-</v>
      </c>
      <c r="P12" s="67" t="str">
        <f t="shared" ref="P12:U12" si="13">IF(ISNUMBER(P11/P$3),P11/P$3,"-")</f>
        <v>-</v>
      </c>
      <c r="Q12" s="67" t="str">
        <f t="shared" si="13"/>
        <v>-</v>
      </c>
      <c r="R12" s="67" t="str">
        <f t="shared" si="13"/>
        <v>-</v>
      </c>
      <c r="S12" s="67" t="str">
        <f t="shared" si="13"/>
        <v>-</v>
      </c>
      <c r="T12" s="67" t="str">
        <f t="shared" si="13"/>
        <v>-</v>
      </c>
      <c r="U12" s="67" t="str">
        <f t="shared" si="13"/>
        <v>-</v>
      </c>
    </row>
    <row r="13" spans="1:21" s="24" customFormat="1" ht="15" customHeight="1">
      <c r="A13" s="65" t="s">
        <v>1168</v>
      </c>
      <c r="F13" s="59" t="str">
        <f t="shared" ref="F13:O13" si="14">IF(ISNUMBER(F11/ABS(B11)-1),F11/ABS(B11)-1,"-")</f>
        <v>-</v>
      </c>
      <c r="G13" s="59" t="str">
        <f t="shared" si="14"/>
        <v>-</v>
      </c>
      <c r="H13" s="59" t="str">
        <f t="shared" si="14"/>
        <v>-</v>
      </c>
      <c r="I13" s="59" t="str">
        <f t="shared" si="14"/>
        <v>-</v>
      </c>
      <c r="J13" s="59" t="str">
        <f t="shared" si="14"/>
        <v>-</v>
      </c>
      <c r="K13" s="59" t="str">
        <f t="shared" si="14"/>
        <v>-</v>
      </c>
      <c r="L13" s="59" t="str">
        <f t="shared" si="14"/>
        <v>-</v>
      </c>
      <c r="M13" s="59" t="str">
        <f t="shared" si="14"/>
        <v>-</v>
      </c>
      <c r="N13" s="59" t="str">
        <f t="shared" si="14"/>
        <v>-</v>
      </c>
      <c r="O13" s="59" t="str">
        <f t="shared" si="14"/>
        <v>-</v>
      </c>
      <c r="P13" s="24" t="str">
        <f t="shared" ref="P13:U13" si="15">IF(ISNUMBER(P11/ABS(L11)-1),P11/ABS(L11)-1,"-")</f>
        <v>-</v>
      </c>
      <c r="Q13" s="24" t="str">
        <f t="shared" si="15"/>
        <v>-</v>
      </c>
      <c r="R13" s="24" t="str">
        <f t="shared" si="15"/>
        <v>-</v>
      </c>
      <c r="S13" s="24" t="str">
        <f t="shared" si="15"/>
        <v>-</v>
      </c>
      <c r="T13" s="24" t="str">
        <f t="shared" si="15"/>
        <v>-</v>
      </c>
      <c r="U13" s="24" t="str">
        <f t="shared" si="15"/>
        <v>-</v>
      </c>
    </row>
    <row r="14" spans="1:21" s="59" customFormat="1" ht="15" customHeight="1">
      <c r="A14" s="65" t="s">
        <v>1169</v>
      </c>
      <c r="C14" s="59" t="str">
        <f>IF(ISNUMBER(C11/ABS(B11)-1),C11/ABS(B11)-1,"-")</f>
        <v>-</v>
      </c>
      <c r="D14" s="59" t="str">
        <f t="shared" ref="D14:O14" si="16">IF(ISNUMBER(D11/ABS(C11)-1),D11/ABS(C11)-1,"-")</f>
        <v>-</v>
      </c>
      <c r="E14" s="59" t="str">
        <f t="shared" si="16"/>
        <v>-</v>
      </c>
      <c r="F14" s="59" t="str">
        <f t="shared" si="16"/>
        <v>-</v>
      </c>
      <c r="G14" s="59" t="str">
        <f t="shared" si="16"/>
        <v>-</v>
      </c>
      <c r="H14" s="59" t="str">
        <f t="shared" si="16"/>
        <v>-</v>
      </c>
      <c r="I14" s="59" t="str">
        <f t="shared" si="16"/>
        <v>-</v>
      </c>
      <c r="J14" s="59" t="str">
        <f t="shared" si="16"/>
        <v>-</v>
      </c>
      <c r="K14" s="59" t="str">
        <f t="shared" si="16"/>
        <v>-</v>
      </c>
      <c r="L14" s="59" t="str">
        <f t="shared" si="16"/>
        <v>-</v>
      </c>
      <c r="M14" s="59" t="str">
        <f t="shared" si="16"/>
        <v>-</v>
      </c>
      <c r="N14" s="59" t="str">
        <f t="shared" si="16"/>
        <v>-</v>
      </c>
      <c r="O14" s="59" t="str">
        <f t="shared" si="16"/>
        <v>-</v>
      </c>
      <c r="P14" s="59" t="str">
        <f t="shared" ref="P14:U14" si="17">IF(ISNUMBER(P11/ABS(O11)-1),P11/ABS(O11)-1,"-")</f>
        <v>-</v>
      </c>
      <c r="Q14" s="59" t="str">
        <f t="shared" si="17"/>
        <v>-</v>
      </c>
      <c r="R14" s="59" t="str">
        <f t="shared" si="17"/>
        <v>-</v>
      </c>
      <c r="S14" s="59" t="str">
        <f t="shared" si="17"/>
        <v>-</v>
      </c>
      <c r="T14" s="59" t="str">
        <f t="shared" si="17"/>
        <v>-</v>
      </c>
      <c r="U14" s="59" t="str">
        <f t="shared" si="17"/>
        <v>-</v>
      </c>
    </row>
    <row r="15" spans="1:21" s="67" customFormat="1" ht="15" customHeight="1">
      <c r="A15" s="66" t="s">
        <v>1165</v>
      </c>
      <c r="B15" s="67">
        <f>季度数据!B10</f>
        <v>0</v>
      </c>
      <c r="C15" s="67">
        <f>季度数据!C10</f>
        <v>0</v>
      </c>
      <c r="D15" s="67">
        <f>季度数据!D10</f>
        <v>0</v>
      </c>
      <c r="E15" s="67">
        <f>季度数据!E10</f>
        <v>0</v>
      </c>
      <c r="F15" s="67">
        <f>季度数据!F10</f>
        <v>0</v>
      </c>
      <c r="G15" s="67">
        <f>季度数据!G10</f>
        <v>0</v>
      </c>
      <c r="H15" s="67">
        <f>季度数据!H10</f>
        <v>0</v>
      </c>
      <c r="I15" s="67">
        <f>季度数据!I10</f>
        <v>0</v>
      </c>
      <c r="J15" s="67">
        <f>季度数据!J10</f>
        <v>0</v>
      </c>
      <c r="K15" s="67">
        <f>季度数据!K10</f>
        <v>0</v>
      </c>
      <c r="L15" s="67">
        <f>季度数据!L10</f>
        <v>0</v>
      </c>
      <c r="M15" s="67">
        <f>季度数据!M10</f>
        <v>0</v>
      </c>
      <c r="N15" s="67">
        <f>季度数据!N10</f>
        <v>0</v>
      </c>
      <c r="O15" s="67">
        <f>季度数据!O10</f>
        <v>0</v>
      </c>
      <c r="P15" s="67">
        <f>季度数据!P10</f>
        <v>0</v>
      </c>
      <c r="Q15" s="67">
        <f>季度数据!Q10</f>
        <v>0</v>
      </c>
      <c r="R15" s="67">
        <f>季度数据!R10</f>
        <v>0</v>
      </c>
      <c r="S15" s="67">
        <f>季度数据!S10</f>
        <v>0</v>
      </c>
      <c r="T15" s="67">
        <f>季度数据!T10</f>
        <v>0</v>
      </c>
      <c r="U15" s="67">
        <f>季度数据!U10</f>
        <v>0</v>
      </c>
    </row>
    <row r="16" spans="1:21" s="67" customFormat="1" ht="15" customHeight="1">
      <c r="A16" s="58" t="s">
        <v>1046</v>
      </c>
      <c r="B16" s="59" t="str">
        <f t="shared" ref="B16:O16" si="18">IF(ISNUMBER(B15/B$3),B15/B$3,"-")</f>
        <v>-</v>
      </c>
      <c r="C16" s="59" t="str">
        <f t="shared" si="18"/>
        <v>-</v>
      </c>
      <c r="D16" s="59" t="str">
        <f t="shared" si="18"/>
        <v>-</v>
      </c>
      <c r="E16" s="59" t="str">
        <f t="shared" si="18"/>
        <v>-</v>
      </c>
      <c r="F16" s="59" t="str">
        <f t="shared" si="18"/>
        <v>-</v>
      </c>
      <c r="G16" s="59" t="str">
        <f t="shared" si="18"/>
        <v>-</v>
      </c>
      <c r="H16" s="59" t="str">
        <f t="shared" si="18"/>
        <v>-</v>
      </c>
      <c r="I16" s="59" t="str">
        <f t="shared" si="18"/>
        <v>-</v>
      </c>
      <c r="J16" s="59" t="str">
        <f t="shared" si="18"/>
        <v>-</v>
      </c>
      <c r="K16" s="59" t="str">
        <f t="shared" si="18"/>
        <v>-</v>
      </c>
      <c r="L16" s="59" t="str">
        <f t="shared" si="18"/>
        <v>-</v>
      </c>
      <c r="M16" s="59" t="str">
        <f t="shared" si="18"/>
        <v>-</v>
      </c>
      <c r="N16" s="59" t="str">
        <f t="shared" si="18"/>
        <v>-</v>
      </c>
      <c r="O16" s="59" t="str">
        <f t="shared" si="18"/>
        <v>-</v>
      </c>
      <c r="P16" s="67" t="str">
        <f t="shared" ref="P16:U16" si="19">IF(ISNUMBER(P15/P$3),P15/P$3,"-")</f>
        <v>-</v>
      </c>
      <c r="Q16" s="67" t="str">
        <f t="shared" si="19"/>
        <v>-</v>
      </c>
      <c r="R16" s="67" t="str">
        <f t="shared" si="19"/>
        <v>-</v>
      </c>
      <c r="S16" s="67" t="str">
        <f t="shared" si="19"/>
        <v>-</v>
      </c>
      <c r="T16" s="67" t="str">
        <f t="shared" si="19"/>
        <v>-</v>
      </c>
      <c r="U16" s="67" t="str">
        <f t="shared" si="19"/>
        <v>-</v>
      </c>
    </row>
    <row r="17" spans="1:21" s="24" customFormat="1" ht="15" customHeight="1">
      <c r="A17" s="65" t="s">
        <v>1168</v>
      </c>
      <c r="F17" s="59" t="str">
        <f t="shared" ref="F17:O17" si="20">IF(ISNUMBER(F15/ABS(B15)-1),F15/ABS(B15)-1,"-")</f>
        <v>-</v>
      </c>
      <c r="G17" s="59" t="str">
        <f t="shared" si="20"/>
        <v>-</v>
      </c>
      <c r="H17" s="59" t="str">
        <f t="shared" si="20"/>
        <v>-</v>
      </c>
      <c r="I17" s="59" t="str">
        <f t="shared" si="20"/>
        <v>-</v>
      </c>
      <c r="J17" s="59" t="str">
        <f t="shared" si="20"/>
        <v>-</v>
      </c>
      <c r="K17" s="59" t="str">
        <f t="shared" si="20"/>
        <v>-</v>
      </c>
      <c r="L17" s="59" t="str">
        <f t="shared" si="20"/>
        <v>-</v>
      </c>
      <c r="M17" s="59" t="str">
        <f t="shared" si="20"/>
        <v>-</v>
      </c>
      <c r="N17" s="59" t="str">
        <f t="shared" si="20"/>
        <v>-</v>
      </c>
      <c r="O17" s="59" t="str">
        <f t="shared" si="20"/>
        <v>-</v>
      </c>
      <c r="P17" s="24" t="str">
        <f t="shared" ref="P17:U17" si="21">IF(ISNUMBER(P15/ABS(L15)-1),P15/ABS(L15)-1,"-")</f>
        <v>-</v>
      </c>
      <c r="Q17" s="24" t="str">
        <f t="shared" si="21"/>
        <v>-</v>
      </c>
      <c r="R17" s="24" t="str">
        <f t="shared" si="21"/>
        <v>-</v>
      </c>
      <c r="S17" s="24" t="str">
        <f t="shared" si="21"/>
        <v>-</v>
      </c>
      <c r="T17" s="24" t="str">
        <f t="shared" si="21"/>
        <v>-</v>
      </c>
      <c r="U17" s="24" t="str">
        <f t="shared" si="21"/>
        <v>-</v>
      </c>
    </row>
    <row r="18" spans="1:21" s="59" customFormat="1" ht="15" customHeight="1">
      <c r="A18" s="65" t="s">
        <v>1169</v>
      </c>
      <c r="C18" s="59" t="str">
        <f>IF(ISNUMBER(C15/ABS(B15)-1),C15/ABS(B15)-1,"-")</f>
        <v>-</v>
      </c>
      <c r="D18" s="59" t="str">
        <f t="shared" ref="D18:O18" si="22">IF(ISNUMBER(D15/ABS(C15)-1),D15/ABS(C15)-1,"-")</f>
        <v>-</v>
      </c>
      <c r="E18" s="59" t="str">
        <f t="shared" si="22"/>
        <v>-</v>
      </c>
      <c r="F18" s="59" t="str">
        <f t="shared" si="22"/>
        <v>-</v>
      </c>
      <c r="G18" s="59" t="str">
        <f t="shared" si="22"/>
        <v>-</v>
      </c>
      <c r="H18" s="59" t="str">
        <f t="shared" si="22"/>
        <v>-</v>
      </c>
      <c r="I18" s="59" t="str">
        <f t="shared" si="22"/>
        <v>-</v>
      </c>
      <c r="J18" s="59" t="str">
        <f t="shared" si="22"/>
        <v>-</v>
      </c>
      <c r="K18" s="59" t="str">
        <f t="shared" si="22"/>
        <v>-</v>
      </c>
      <c r="L18" s="59" t="str">
        <f t="shared" si="22"/>
        <v>-</v>
      </c>
      <c r="M18" s="59" t="str">
        <f t="shared" si="22"/>
        <v>-</v>
      </c>
      <c r="N18" s="59" t="str">
        <f t="shared" si="22"/>
        <v>-</v>
      </c>
      <c r="O18" s="59" t="str">
        <f t="shared" si="22"/>
        <v>-</v>
      </c>
      <c r="P18" s="59" t="str">
        <f t="shared" ref="P18:U18" si="23">IF(ISNUMBER(P15/ABS(O15)-1),P15/ABS(O15)-1,"-")</f>
        <v>-</v>
      </c>
      <c r="Q18" s="59" t="str">
        <f t="shared" si="23"/>
        <v>-</v>
      </c>
      <c r="R18" s="59" t="str">
        <f t="shared" si="23"/>
        <v>-</v>
      </c>
      <c r="S18" s="59" t="str">
        <f t="shared" si="23"/>
        <v>-</v>
      </c>
      <c r="T18" s="59" t="str">
        <f t="shared" si="23"/>
        <v>-</v>
      </c>
      <c r="U18" s="59" t="str">
        <f t="shared" si="23"/>
        <v>-</v>
      </c>
    </row>
    <row r="19" spans="1:21" s="67" customFormat="1" ht="15" customHeight="1">
      <c r="A19" s="66" t="s">
        <v>1166</v>
      </c>
      <c r="B19" s="67">
        <f>季度数据!B11</f>
        <v>0</v>
      </c>
      <c r="C19" s="67">
        <f>季度数据!C11</f>
        <v>0</v>
      </c>
      <c r="D19" s="67">
        <f>季度数据!D11</f>
        <v>0</v>
      </c>
      <c r="E19" s="67">
        <f>季度数据!E11</f>
        <v>0</v>
      </c>
      <c r="F19" s="67">
        <f>季度数据!F11</f>
        <v>0</v>
      </c>
      <c r="G19" s="67">
        <f>季度数据!G11</f>
        <v>0</v>
      </c>
      <c r="H19" s="67">
        <f>季度数据!H11</f>
        <v>0</v>
      </c>
      <c r="I19" s="67">
        <f>季度数据!I11</f>
        <v>0</v>
      </c>
      <c r="J19" s="67">
        <f>季度数据!J11</f>
        <v>0</v>
      </c>
      <c r="K19" s="67">
        <f>季度数据!K11</f>
        <v>0</v>
      </c>
      <c r="L19" s="67">
        <f>季度数据!L11</f>
        <v>0</v>
      </c>
      <c r="M19" s="67">
        <f>季度数据!M11</f>
        <v>0</v>
      </c>
      <c r="N19" s="67">
        <f>季度数据!N11</f>
        <v>0</v>
      </c>
      <c r="O19" s="67">
        <f>季度数据!O11</f>
        <v>0</v>
      </c>
      <c r="P19" s="67">
        <f>季度数据!P11</f>
        <v>0</v>
      </c>
      <c r="Q19" s="67">
        <f>季度数据!Q11</f>
        <v>0</v>
      </c>
      <c r="R19" s="67">
        <f>季度数据!R11</f>
        <v>0</v>
      </c>
      <c r="S19" s="67">
        <f>季度数据!S11</f>
        <v>0</v>
      </c>
      <c r="T19" s="67">
        <f>季度数据!T11</f>
        <v>0</v>
      </c>
      <c r="U19" s="67">
        <f>季度数据!U11</f>
        <v>0</v>
      </c>
    </row>
    <row r="20" spans="1:21" s="67" customFormat="1" ht="15" customHeight="1">
      <c r="A20" s="58" t="s">
        <v>1046</v>
      </c>
      <c r="B20" s="59" t="str">
        <f t="shared" ref="B20:O20" si="24">IF(ISNUMBER(B19/B$3),B19/B$3,"-")</f>
        <v>-</v>
      </c>
      <c r="C20" s="59" t="str">
        <f t="shared" si="24"/>
        <v>-</v>
      </c>
      <c r="D20" s="59" t="str">
        <f t="shared" si="24"/>
        <v>-</v>
      </c>
      <c r="E20" s="59" t="str">
        <f t="shared" si="24"/>
        <v>-</v>
      </c>
      <c r="F20" s="59" t="str">
        <f t="shared" si="24"/>
        <v>-</v>
      </c>
      <c r="G20" s="59" t="str">
        <f t="shared" si="24"/>
        <v>-</v>
      </c>
      <c r="H20" s="59" t="str">
        <f t="shared" si="24"/>
        <v>-</v>
      </c>
      <c r="I20" s="59" t="str">
        <f t="shared" si="24"/>
        <v>-</v>
      </c>
      <c r="J20" s="59" t="str">
        <f t="shared" si="24"/>
        <v>-</v>
      </c>
      <c r="K20" s="59" t="str">
        <f t="shared" si="24"/>
        <v>-</v>
      </c>
      <c r="L20" s="59" t="str">
        <f t="shared" si="24"/>
        <v>-</v>
      </c>
      <c r="M20" s="59" t="str">
        <f t="shared" si="24"/>
        <v>-</v>
      </c>
      <c r="N20" s="59" t="str">
        <f t="shared" si="24"/>
        <v>-</v>
      </c>
      <c r="O20" s="59" t="str">
        <f t="shared" si="24"/>
        <v>-</v>
      </c>
      <c r="P20" s="67" t="str">
        <f t="shared" ref="P20:U20" si="25">IF(ISNUMBER(P19/P$3),P19/P$3,"-")</f>
        <v>-</v>
      </c>
      <c r="Q20" s="67" t="str">
        <f t="shared" si="25"/>
        <v>-</v>
      </c>
      <c r="R20" s="67" t="str">
        <f t="shared" si="25"/>
        <v>-</v>
      </c>
      <c r="S20" s="67" t="str">
        <f t="shared" si="25"/>
        <v>-</v>
      </c>
      <c r="T20" s="67" t="str">
        <f t="shared" si="25"/>
        <v>-</v>
      </c>
      <c r="U20" s="67" t="str">
        <f t="shared" si="25"/>
        <v>-</v>
      </c>
    </row>
    <row r="21" spans="1:21" s="24" customFormat="1" ht="15" customHeight="1">
      <c r="A21" s="65" t="s">
        <v>1168</v>
      </c>
      <c r="F21" s="59" t="str">
        <f t="shared" ref="F21:O21" si="26">IF(ISNUMBER(F19/ABS(B19)-1),F19/ABS(B19)-1,"-")</f>
        <v>-</v>
      </c>
      <c r="G21" s="59" t="str">
        <f t="shared" si="26"/>
        <v>-</v>
      </c>
      <c r="H21" s="59" t="str">
        <f t="shared" si="26"/>
        <v>-</v>
      </c>
      <c r="I21" s="59" t="str">
        <f t="shared" si="26"/>
        <v>-</v>
      </c>
      <c r="J21" s="59" t="str">
        <f t="shared" si="26"/>
        <v>-</v>
      </c>
      <c r="K21" s="59" t="str">
        <f t="shared" si="26"/>
        <v>-</v>
      </c>
      <c r="L21" s="59" t="str">
        <f t="shared" si="26"/>
        <v>-</v>
      </c>
      <c r="M21" s="59" t="str">
        <f t="shared" si="26"/>
        <v>-</v>
      </c>
      <c r="N21" s="59" t="str">
        <f t="shared" si="26"/>
        <v>-</v>
      </c>
      <c r="O21" s="59" t="str">
        <f t="shared" si="26"/>
        <v>-</v>
      </c>
      <c r="P21" s="24" t="str">
        <f t="shared" ref="P21:U21" si="27">IF(ISNUMBER(P19/ABS(L19)-1),P19/ABS(L19)-1,"-")</f>
        <v>-</v>
      </c>
      <c r="Q21" s="24" t="str">
        <f t="shared" si="27"/>
        <v>-</v>
      </c>
      <c r="R21" s="24" t="str">
        <f t="shared" si="27"/>
        <v>-</v>
      </c>
      <c r="S21" s="24" t="str">
        <f t="shared" si="27"/>
        <v>-</v>
      </c>
      <c r="T21" s="24" t="str">
        <f t="shared" si="27"/>
        <v>-</v>
      </c>
      <c r="U21" s="24" t="str">
        <f t="shared" si="27"/>
        <v>-</v>
      </c>
    </row>
    <row r="22" spans="1:21" s="59" customFormat="1" ht="15" customHeight="1">
      <c r="A22" s="65" t="s">
        <v>1169</v>
      </c>
      <c r="C22" s="59" t="str">
        <f>IF(ISNUMBER(C19/ABS(B19)-1),C19/ABS(B19)-1,"-")</f>
        <v>-</v>
      </c>
      <c r="D22" s="59" t="str">
        <f t="shared" ref="D22:O22" si="28">IF(ISNUMBER(D19/ABS(C19)-1),D19/ABS(C19)-1,"-")</f>
        <v>-</v>
      </c>
      <c r="E22" s="59" t="str">
        <f t="shared" si="28"/>
        <v>-</v>
      </c>
      <c r="F22" s="59" t="str">
        <f t="shared" si="28"/>
        <v>-</v>
      </c>
      <c r="G22" s="59" t="str">
        <f t="shared" si="28"/>
        <v>-</v>
      </c>
      <c r="H22" s="59" t="str">
        <f t="shared" si="28"/>
        <v>-</v>
      </c>
      <c r="I22" s="59" t="str">
        <f t="shared" si="28"/>
        <v>-</v>
      </c>
      <c r="J22" s="59" t="str">
        <f t="shared" si="28"/>
        <v>-</v>
      </c>
      <c r="K22" s="59" t="str">
        <f t="shared" si="28"/>
        <v>-</v>
      </c>
      <c r="L22" s="59" t="str">
        <f t="shared" si="28"/>
        <v>-</v>
      </c>
      <c r="M22" s="59" t="str">
        <f t="shared" si="28"/>
        <v>-</v>
      </c>
      <c r="N22" s="59" t="str">
        <f t="shared" si="28"/>
        <v>-</v>
      </c>
      <c r="O22" s="59" t="str">
        <f t="shared" si="28"/>
        <v>-</v>
      </c>
      <c r="P22" s="59" t="str">
        <f t="shared" ref="P22:U22" si="29">IF(ISNUMBER(P19/ABS(O19)-1),P19/ABS(O19)-1,"-")</f>
        <v>-</v>
      </c>
      <c r="Q22" s="59" t="str">
        <f t="shared" si="29"/>
        <v>-</v>
      </c>
      <c r="R22" s="59" t="str">
        <f t="shared" si="29"/>
        <v>-</v>
      </c>
      <c r="S22" s="59" t="str">
        <f t="shared" si="29"/>
        <v>-</v>
      </c>
      <c r="T22" s="59" t="str">
        <f t="shared" si="29"/>
        <v>-</v>
      </c>
      <c r="U22" s="59" t="str">
        <f t="shared" si="29"/>
        <v>-</v>
      </c>
    </row>
    <row r="23" spans="1:21" s="67" customFormat="1" ht="15" customHeight="1">
      <c r="A23" s="66" t="s">
        <v>1167</v>
      </c>
      <c r="B23" s="67">
        <f>季度数据!B12</f>
        <v>0</v>
      </c>
      <c r="C23" s="67">
        <f>季度数据!C12</f>
        <v>0</v>
      </c>
      <c r="D23" s="67">
        <f>季度数据!D12</f>
        <v>0</v>
      </c>
      <c r="E23" s="67">
        <f>季度数据!E12</f>
        <v>0</v>
      </c>
      <c r="F23" s="67">
        <f>季度数据!F12</f>
        <v>0</v>
      </c>
      <c r="G23" s="67">
        <f>季度数据!G12</f>
        <v>0</v>
      </c>
      <c r="H23" s="67">
        <f>季度数据!H12</f>
        <v>0</v>
      </c>
      <c r="I23" s="67">
        <f>季度数据!I12</f>
        <v>0</v>
      </c>
      <c r="J23" s="67">
        <f>季度数据!J12</f>
        <v>0</v>
      </c>
      <c r="K23" s="67">
        <f>季度数据!K12</f>
        <v>0</v>
      </c>
      <c r="L23" s="67">
        <f>季度数据!L12</f>
        <v>0</v>
      </c>
      <c r="M23" s="67">
        <f>季度数据!M12</f>
        <v>0</v>
      </c>
      <c r="N23" s="67">
        <f>季度数据!N12</f>
        <v>0</v>
      </c>
      <c r="O23" s="67">
        <f>季度数据!O12</f>
        <v>0</v>
      </c>
      <c r="P23" s="67">
        <f>季度数据!P12</f>
        <v>0</v>
      </c>
      <c r="Q23" s="67">
        <f>季度数据!Q12</f>
        <v>0</v>
      </c>
      <c r="R23" s="67">
        <f>季度数据!R12</f>
        <v>0</v>
      </c>
      <c r="S23" s="67">
        <f>季度数据!S12</f>
        <v>0</v>
      </c>
      <c r="T23" s="67">
        <f>季度数据!T12</f>
        <v>0</v>
      </c>
      <c r="U23" s="67">
        <f>季度数据!U12</f>
        <v>0</v>
      </c>
    </row>
    <row r="24" spans="1:21" s="67" customFormat="1" ht="15" customHeight="1">
      <c r="A24" s="58" t="s">
        <v>1046</v>
      </c>
      <c r="B24" s="59" t="str">
        <f t="shared" ref="B24:O24" si="30">IF(ISNUMBER(B23/B$3),B23/B$3,"-")</f>
        <v>-</v>
      </c>
      <c r="C24" s="59" t="str">
        <f t="shared" si="30"/>
        <v>-</v>
      </c>
      <c r="D24" s="59" t="str">
        <f t="shared" si="30"/>
        <v>-</v>
      </c>
      <c r="E24" s="59" t="str">
        <f t="shared" si="30"/>
        <v>-</v>
      </c>
      <c r="F24" s="59" t="str">
        <f t="shared" si="30"/>
        <v>-</v>
      </c>
      <c r="G24" s="59" t="str">
        <f t="shared" si="30"/>
        <v>-</v>
      </c>
      <c r="H24" s="59" t="str">
        <f t="shared" si="30"/>
        <v>-</v>
      </c>
      <c r="I24" s="59" t="str">
        <f t="shared" si="30"/>
        <v>-</v>
      </c>
      <c r="J24" s="59" t="str">
        <f t="shared" si="30"/>
        <v>-</v>
      </c>
      <c r="K24" s="59" t="str">
        <f t="shared" si="30"/>
        <v>-</v>
      </c>
      <c r="L24" s="59" t="str">
        <f t="shared" si="30"/>
        <v>-</v>
      </c>
      <c r="M24" s="59" t="str">
        <f t="shared" si="30"/>
        <v>-</v>
      </c>
      <c r="N24" s="59" t="str">
        <f t="shared" si="30"/>
        <v>-</v>
      </c>
      <c r="O24" s="59" t="str">
        <f t="shared" si="30"/>
        <v>-</v>
      </c>
      <c r="P24" s="67" t="str">
        <f t="shared" ref="P24:U24" si="31">IF(ISNUMBER(P23/P$3),P23/P$3,"-")</f>
        <v>-</v>
      </c>
      <c r="Q24" s="67" t="str">
        <f t="shared" si="31"/>
        <v>-</v>
      </c>
      <c r="R24" s="67" t="str">
        <f t="shared" si="31"/>
        <v>-</v>
      </c>
      <c r="S24" s="67" t="str">
        <f t="shared" si="31"/>
        <v>-</v>
      </c>
      <c r="T24" s="67" t="str">
        <f t="shared" si="31"/>
        <v>-</v>
      </c>
      <c r="U24" s="67" t="str">
        <f t="shared" si="31"/>
        <v>-</v>
      </c>
    </row>
    <row r="25" spans="1:21" s="24" customFormat="1" ht="15" customHeight="1">
      <c r="A25" s="65" t="s">
        <v>1168</v>
      </c>
      <c r="F25" s="59" t="str">
        <f t="shared" ref="F25:O25" si="32">IF(ISNUMBER(F23/ABS(B23)-1),F23/ABS(B23)-1,"-")</f>
        <v>-</v>
      </c>
      <c r="G25" s="59" t="str">
        <f t="shared" si="32"/>
        <v>-</v>
      </c>
      <c r="H25" s="59" t="str">
        <f t="shared" si="32"/>
        <v>-</v>
      </c>
      <c r="I25" s="59" t="str">
        <f t="shared" si="32"/>
        <v>-</v>
      </c>
      <c r="J25" s="59" t="str">
        <f t="shared" si="32"/>
        <v>-</v>
      </c>
      <c r="K25" s="59" t="str">
        <f t="shared" si="32"/>
        <v>-</v>
      </c>
      <c r="L25" s="59" t="str">
        <f t="shared" si="32"/>
        <v>-</v>
      </c>
      <c r="M25" s="59" t="str">
        <f t="shared" si="32"/>
        <v>-</v>
      </c>
      <c r="N25" s="59" t="str">
        <f t="shared" si="32"/>
        <v>-</v>
      </c>
      <c r="O25" s="59" t="str">
        <f t="shared" si="32"/>
        <v>-</v>
      </c>
      <c r="P25" s="24" t="str">
        <f t="shared" ref="P25:U25" si="33">IF(ISNUMBER(P23/ABS(L23)-1),P23/ABS(L23)-1,"-")</f>
        <v>-</v>
      </c>
      <c r="Q25" s="24" t="str">
        <f t="shared" si="33"/>
        <v>-</v>
      </c>
      <c r="R25" s="24" t="str">
        <f t="shared" si="33"/>
        <v>-</v>
      </c>
      <c r="S25" s="24" t="str">
        <f t="shared" si="33"/>
        <v>-</v>
      </c>
      <c r="T25" s="24" t="str">
        <f t="shared" si="33"/>
        <v>-</v>
      </c>
      <c r="U25" s="24" t="str">
        <f t="shared" si="33"/>
        <v>-</v>
      </c>
    </row>
    <row r="26" spans="1:21" s="59" customFormat="1" ht="15" customHeight="1">
      <c r="A26" s="65" t="s">
        <v>1169</v>
      </c>
      <c r="C26" s="59" t="str">
        <f>IF(ISNUMBER(C23/ABS(B23)-1),C23/ABS(B23)-1,"-")</f>
        <v>-</v>
      </c>
      <c r="D26" s="59" t="str">
        <f t="shared" ref="D26:O26" si="34">IF(ISNUMBER(D23/ABS(C23)-1),D23/ABS(C23)-1,"-")</f>
        <v>-</v>
      </c>
      <c r="E26" s="59" t="str">
        <f t="shared" si="34"/>
        <v>-</v>
      </c>
      <c r="F26" s="59" t="str">
        <f t="shared" si="34"/>
        <v>-</v>
      </c>
      <c r="G26" s="59" t="str">
        <f t="shared" si="34"/>
        <v>-</v>
      </c>
      <c r="H26" s="59" t="str">
        <f t="shared" si="34"/>
        <v>-</v>
      </c>
      <c r="I26" s="59" t="str">
        <f t="shared" si="34"/>
        <v>-</v>
      </c>
      <c r="J26" s="59" t="str">
        <f t="shared" si="34"/>
        <v>-</v>
      </c>
      <c r="K26" s="59" t="str">
        <f t="shared" si="34"/>
        <v>-</v>
      </c>
      <c r="L26" s="59" t="str">
        <f t="shared" si="34"/>
        <v>-</v>
      </c>
      <c r="M26" s="59" t="str">
        <f t="shared" si="34"/>
        <v>-</v>
      </c>
      <c r="N26" s="59" t="str">
        <f t="shared" si="34"/>
        <v>-</v>
      </c>
      <c r="O26" s="59" t="str">
        <f t="shared" si="34"/>
        <v>-</v>
      </c>
      <c r="P26" s="59" t="str">
        <f t="shared" ref="P26:U26" si="35">IF(ISNUMBER(P23/ABS(O23)-1),P23/ABS(O23)-1,"-")</f>
        <v>-</v>
      </c>
      <c r="Q26" s="59" t="str">
        <f t="shared" si="35"/>
        <v>-</v>
      </c>
      <c r="R26" s="59" t="str">
        <f t="shared" si="35"/>
        <v>-</v>
      </c>
      <c r="S26" s="59" t="str">
        <f t="shared" si="35"/>
        <v>-</v>
      </c>
      <c r="T26" s="59" t="str">
        <f t="shared" si="35"/>
        <v>-</v>
      </c>
      <c r="U26" s="59" t="str">
        <f t="shared" si="35"/>
        <v>-</v>
      </c>
    </row>
    <row r="27" spans="1:21" s="67" customFormat="1" ht="15" customHeight="1">
      <c r="A27" s="66" t="s">
        <v>1007</v>
      </c>
      <c r="B27" s="67">
        <f>B15+B19+B23</f>
        <v>0</v>
      </c>
      <c r="C27" s="67">
        <f t="shared" ref="C27:O27" si="36">C15+C19+C23</f>
        <v>0</v>
      </c>
      <c r="D27" s="67">
        <f t="shared" si="36"/>
        <v>0</v>
      </c>
      <c r="E27" s="67">
        <f t="shared" si="36"/>
        <v>0</v>
      </c>
      <c r="F27" s="67">
        <f t="shared" si="36"/>
        <v>0</v>
      </c>
      <c r="G27" s="67">
        <f t="shared" si="36"/>
        <v>0</v>
      </c>
      <c r="H27" s="67">
        <f t="shared" si="36"/>
        <v>0</v>
      </c>
      <c r="I27" s="67">
        <f t="shared" si="36"/>
        <v>0</v>
      </c>
      <c r="J27" s="67">
        <f t="shared" si="36"/>
        <v>0</v>
      </c>
      <c r="K27" s="67">
        <f t="shared" si="36"/>
        <v>0</v>
      </c>
      <c r="L27" s="67">
        <f t="shared" si="36"/>
        <v>0</v>
      </c>
      <c r="M27" s="67">
        <f t="shared" si="36"/>
        <v>0</v>
      </c>
      <c r="N27" s="67">
        <f t="shared" si="36"/>
        <v>0</v>
      </c>
      <c r="O27" s="67">
        <f t="shared" si="36"/>
        <v>0</v>
      </c>
      <c r="P27" s="67">
        <f t="shared" ref="P27:U27" si="37">P15+P19+P23</f>
        <v>0</v>
      </c>
      <c r="Q27" s="67">
        <f t="shared" si="37"/>
        <v>0</v>
      </c>
      <c r="R27" s="67">
        <f t="shared" si="37"/>
        <v>0</v>
      </c>
      <c r="S27" s="67">
        <f t="shared" si="37"/>
        <v>0</v>
      </c>
      <c r="T27" s="67">
        <f t="shared" si="37"/>
        <v>0</v>
      </c>
      <c r="U27" s="67">
        <f t="shared" si="37"/>
        <v>0</v>
      </c>
    </row>
    <row r="28" spans="1:21" s="67" customFormat="1" ht="15" customHeight="1">
      <c r="A28" s="58" t="s">
        <v>1046</v>
      </c>
      <c r="B28" s="59" t="str">
        <f t="shared" ref="B28:O28" si="38">IF(ISNUMBER(B27/B$3),B27/B$3,"-")</f>
        <v>-</v>
      </c>
      <c r="C28" s="59" t="str">
        <f t="shared" si="38"/>
        <v>-</v>
      </c>
      <c r="D28" s="59" t="str">
        <f t="shared" si="38"/>
        <v>-</v>
      </c>
      <c r="E28" s="59" t="str">
        <f t="shared" si="38"/>
        <v>-</v>
      </c>
      <c r="F28" s="59" t="str">
        <f t="shared" si="38"/>
        <v>-</v>
      </c>
      <c r="G28" s="59" t="str">
        <f t="shared" si="38"/>
        <v>-</v>
      </c>
      <c r="H28" s="59" t="str">
        <f t="shared" si="38"/>
        <v>-</v>
      </c>
      <c r="I28" s="59" t="str">
        <f t="shared" si="38"/>
        <v>-</v>
      </c>
      <c r="J28" s="59" t="str">
        <f t="shared" si="38"/>
        <v>-</v>
      </c>
      <c r="K28" s="59" t="str">
        <f t="shared" si="38"/>
        <v>-</v>
      </c>
      <c r="L28" s="59" t="str">
        <f t="shared" si="38"/>
        <v>-</v>
      </c>
      <c r="M28" s="59" t="str">
        <f t="shared" si="38"/>
        <v>-</v>
      </c>
      <c r="N28" s="59" t="str">
        <f t="shared" si="38"/>
        <v>-</v>
      </c>
      <c r="O28" s="59" t="str">
        <f t="shared" si="38"/>
        <v>-</v>
      </c>
      <c r="P28" s="67" t="str">
        <f t="shared" ref="P28:U28" si="39">IF(ISNUMBER(P27/P$3),P27/P$3,"-")</f>
        <v>-</v>
      </c>
      <c r="Q28" s="67" t="str">
        <f t="shared" si="39"/>
        <v>-</v>
      </c>
      <c r="R28" s="67" t="str">
        <f t="shared" si="39"/>
        <v>-</v>
      </c>
      <c r="S28" s="67" t="str">
        <f t="shared" si="39"/>
        <v>-</v>
      </c>
      <c r="T28" s="67" t="str">
        <f t="shared" si="39"/>
        <v>-</v>
      </c>
      <c r="U28" s="67" t="str">
        <f t="shared" si="39"/>
        <v>-</v>
      </c>
    </row>
    <row r="29" spans="1:21" s="24" customFormat="1" ht="15" customHeight="1">
      <c r="A29" s="65" t="s">
        <v>1168</v>
      </c>
      <c r="F29" s="59" t="str">
        <f t="shared" ref="F29:O29" si="40">IF(ISNUMBER(F27/ABS(B27)-1),F27/ABS(B27)-1,"-")</f>
        <v>-</v>
      </c>
      <c r="G29" s="59" t="str">
        <f t="shared" si="40"/>
        <v>-</v>
      </c>
      <c r="H29" s="59" t="str">
        <f t="shared" si="40"/>
        <v>-</v>
      </c>
      <c r="I29" s="59" t="str">
        <f t="shared" si="40"/>
        <v>-</v>
      </c>
      <c r="J29" s="59" t="str">
        <f t="shared" si="40"/>
        <v>-</v>
      </c>
      <c r="K29" s="59" t="str">
        <f t="shared" si="40"/>
        <v>-</v>
      </c>
      <c r="L29" s="59" t="str">
        <f t="shared" si="40"/>
        <v>-</v>
      </c>
      <c r="M29" s="59" t="str">
        <f t="shared" si="40"/>
        <v>-</v>
      </c>
      <c r="N29" s="59" t="str">
        <f t="shared" si="40"/>
        <v>-</v>
      </c>
      <c r="O29" s="59" t="str">
        <f t="shared" si="40"/>
        <v>-</v>
      </c>
      <c r="P29" s="24" t="str">
        <f t="shared" ref="P29:U29" si="41">IF(ISNUMBER(P27/ABS(L27)-1),P27/ABS(L27)-1,"-")</f>
        <v>-</v>
      </c>
      <c r="Q29" s="24" t="str">
        <f t="shared" si="41"/>
        <v>-</v>
      </c>
      <c r="R29" s="24" t="str">
        <f t="shared" si="41"/>
        <v>-</v>
      </c>
      <c r="S29" s="24" t="str">
        <f t="shared" si="41"/>
        <v>-</v>
      </c>
      <c r="T29" s="24" t="str">
        <f t="shared" si="41"/>
        <v>-</v>
      </c>
      <c r="U29" s="24" t="str">
        <f t="shared" si="41"/>
        <v>-</v>
      </c>
    </row>
    <row r="30" spans="1:21" s="59" customFormat="1" ht="15" customHeight="1">
      <c r="A30" s="65" t="s">
        <v>1169</v>
      </c>
      <c r="C30" s="59" t="str">
        <f t="shared" ref="C30:O30" si="42">IF(ISNUMBER(C27/ABS(B27)-1),C27/ABS(B27)-1,"-")</f>
        <v>-</v>
      </c>
      <c r="D30" s="59" t="str">
        <f t="shared" si="42"/>
        <v>-</v>
      </c>
      <c r="E30" s="59" t="str">
        <f t="shared" si="42"/>
        <v>-</v>
      </c>
      <c r="F30" s="59" t="str">
        <f t="shared" si="42"/>
        <v>-</v>
      </c>
      <c r="G30" s="59" t="str">
        <f t="shared" si="42"/>
        <v>-</v>
      </c>
      <c r="H30" s="59" t="str">
        <f t="shared" si="42"/>
        <v>-</v>
      </c>
      <c r="I30" s="59" t="str">
        <f t="shared" si="42"/>
        <v>-</v>
      </c>
      <c r="J30" s="59" t="str">
        <f t="shared" si="42"/>
        <v>-</v>
      </c>
      <c r="K30" s="59" t="str">
        <f t="shared" si="42"/>
        <v>-</v>
      </c>
      <c r="L30" s="59" t="str">
        <f t="shared" si="42"/>
        <v>-</v>
      </c>
      <c r="M30" s="59" t="str">
        <f t="shared" si="42"/>
        <v>-</v>
      </c>
      <c r="N30" s="59" t="str">
        <f t="shared" si="42"/>
        <v>-</v>
      </c>
      <c r="O30" s="59" t="str">
        <f t="shared" si="42"/>
        <v>-</v>
      </c>
      <c r="P30" s="59" t="str">
        <f t="shared" ref="P30:U30" si="43">IF(ISNUMBER(P27/ABS(O27)-1),P27/ABS(O27)-1,"-")</f>
        <v>-</v>
      </c>
      <c r="Q30" s="59" t="str">
        <f t="shared" si="43"/>
        <v>-</v>
      </c>
      <c r="R30" s="59" t="str">
        <f t="shared" si="43"/>
        <v>-</v>
      </c>
      <c r="S30" s="59" t="str">
        <f t="shared" si="43"/>
        <v>-</v>
      </c>
      <c r="T30" s="59" t="str">
        <f t="shared" si="43"/>
        <v>-</v>
      </c>
      <c r="U30" s="59" t="str">
        <f t="shared" si="43"/>
        <v>-</v>
      </c>
    </row>
    <row r="31" spans="1:21" s="67" customFormat="1" ht="15" customHeight="1">
      <c r="A31" s="66" t="s">
        <v>984</v>
      </c>
      <c r="B31" s="67">
        <f>季度数据!B18</f>
        <v>0</v>
      </c>
      <c r="C31" s="67">
        <f>季度数据!C18</f>
        <v>0</v>
      </c>
      <c r="D31" s="67">
        <f>季度数据!D18</f>
        <v>0</v>
      </c>
      <c r="E31" s="67">
        <f>季度数据!E18</f>
        <v>0</v>
      </c>
      <c r="F31" s="67">
        <f>季度数据!F18</f>
        <v>0</v>
      </c>
      <c r="G31" s="67">
        <f>季度数据!G18</f>
        <v>0</v>
      </c>
      <c r="H31" s="67">
        <f>季度数据!H18</f>
        <v>0</v>
      </c>
      <c r="I31" s="67">
        <f>季度数据!I18</f>
        <v>0</v>
      </c>
      <c r="J31" s="67">
        <f>季度数据!J18</f>
        <v>0</v>
      </c>
      <c r="K31" s="67">
        <f>季度数据!K18</f>
        <v>0</v>
      </c>
      <c r="L31" s="67">
        <f>季度数据!L18</f>
        <v>0</v>
      </c>
      <c r="M31" s="67">
        <f>季度数据!M18</f>
        <v>0</v>
      </c>
      <c r="N31" s="67">
        <f>季度数据!N18</f>
        <v>0</v>
      </c>
      <c r="O31" s="67">
        <f>季度数据!O18</f>
        <v>0</v>
      </c>
      <c r="P31" s="67">
        <f>季度数据!P18</f>
        <v>0</v>
      </c>
      <c r="Q31" s="67">
        <f>季度数据!Q18</f>
        <v>0</v>
      </c>
      <c r="R31" s="67">
        <f>季度数据!R18</f>
        <v>0</v>
      </c>
      <c r="S31" s="67">
        <f>季度数据!S18</f>
        <v>0</v>
      </c>
      <c r="T31" s="67">
        <f>季度数据!T18</f>
        <v>0</v>
      </c>
      <c r="U31" s="67">
        <f>季度数据!U18</f>
        <v>0</v>
      </c>
    </row>
    <row r="32" spans="1:21" s="67" customFormat="1" ht="15" customHeight="1">
      <c r="A32" s="58" t="s">
        <v>1046</v>
      </c>
      <c r="B32" s="59" t="str">
        <f t="shared" ref="B32:O32" si="44">IF(ISNUMBER(B31/B$3),B31/B$3,"-")</f>
        <v>-</v>
      </c>
      <c r="C32" s="59" t="str">
        <f t="shared" si="44"/>
        <v>-</v>
      </c>
      <c r="D32" s="59" t="str">
        <f t="shared" si="44"/>
        <v>-</v>
      </c>
      <c r="E32" s="59" t="str">
        <f t="shared" si="44"/>
        <v>-</v>
      </c>
      <c r="F32" s="59" t="str">
        <f t="shared" si="44"/>
        <v>-</v>
      </c>
      <c r="G32" s="59" t="str">
        <f t="shared" si="44"/>
        <v>-</v>
      </c>
      <c r="H32" s="59" t="str">
        <f t="shared" si="44"/>
        <v>-</v>
      </c>
      <c r="I32" s="59" t="str">
        <f t="shared" si="44"/>
        <v>-</v>
      </c>
      <c r="J32" s="59" t="str">
        <f t="shared" si="44"/>
        <v>-</v>
      </c>
      <c r="K32" s="59" t="str">
        <f t="shared" si="44"/>
        <v>-</v>
      </c>
      <c r="L32" s="59" t="str">
        <f t="shared" si="44"/>
        <v>-</v>
      </c>
      <c r="M32" s="59" t="str">
        <f t="shared" si="44"/>
        <v>-</v>
      </c>
      <c r="N32" s="59" t="str">
        <f t="shared" si="44"/>
        <v>-</v>
      </c>
      <c r="O32" s="59" t="str">
        <f t="shared" si="44"/>
        <v>-</v>
      </c>
      <c r="P32" s="67" t="str">
        <f t="shared" ref="P32:U32" si="45">IF(ISNUMBER(P31/P$3),P31/P$3,"-")</f>
        <v>-</v>
      </c>
      <c r="Q32" s="67" t="str">
        <f t="shared" si="45"/>
        <v>-</v>
      </c>
      <c r="R32" s="67" t="str">
        <f t="shared" si="45"/>
        <v>-</v>
      </c>
      <c r="S32" s="67" t="str">
        <f t="shared" si="45"/>
        <v>-</v>
      </c>
      <c r="T32" s="67" t="str">
        <f t="shared" si="45"/>
        <v>-</v>
      </c>
      <c r="U32" s="67" t="str">
        <f t="shared" si="45"/>
        <v>-</v>
      </c>
    </row>
    <row r="33" spans="1:21" s="24" customFormat="1" ht="15" customHeight="1">
      <c r="A33" s="65" t="s">
        <v>1168</v>
      </c>
      <c r="F33" s="59" t="str">
        <f t="shared" ref="F33:O33" si="46">IF(ISNUMBER(F31/ABS(B31)-1),F31/ABS(B31)-1,"-")</f>
        <v>-</v>
      </c>
      <c r="G33" s="59" t="str">
        <f t="shared" si="46"/>
        <v>-</v>
      </c>
      <c r="H33" s="59" t="str">
        <f t="shared" si="46"/>
        <v>-</v>
      </c>
      <c r="I33" s="59" t="str">
        <f t="shared" si="46"/>
        <v>-</v>
      </c>
      <c r="J33" s="59" t="str">
        <f t="shared" si="46"/>
        <v>-</v>
      </c>
      <c r="K33" s="59" t="str">
        <f t="shared" si="46"/>
        <v>-</v>
      </c>
      <c r="L33" s="59" t="str">
        <f t="shared" si="46"/>
        <v>-</v>
      </c>
      <c r="M33" s="59" t="str">
        <f t="shared" si="46"/>
        <v>-</v>
      </c>
      <c r="N33" s="59" t="str">
        <f t="shared" si="46"/>
        <v>-</v>
      </c>
      <c r="O33" s="59" t="str">
        <f t="shared" si="46"/>
        <v>-</v>
      </c>
      <c r="P33" s="24" t="str">
        <f t="shared" ref="P33:U33" si="47">IF(ISNUMBER(P31/ABS(L31)-1),P31/ABS(L31)-1,"-")</f>
        <v>-</v>
      </c>
      <c r="Q33" s="24" t="str">
        <f t="shared" si="47"/>
        <v>-</v>
      </c>
      <c r="R33" s="24" t="str">
        <f t="shared" si="47"/>
        <v>-</v>
      </c>
      <c r="S33" s="24" t="str">
        <f t="shared" si="47"/>
        <v>-</v>
      </c>
      <c r="T33" s="24" t="str">
        <f t="shared" si="47"/>
        <v>-</v>
      </c>
      <c r="U33" s="24" t="str">
        <f t="shared" si="47"/>
        <v>-</v>
      </c>
    </row>
    <row r="34" spans="1:21" s="59" customFormat="1" ht="15" customHeight="1">
      <c r="A34" s="65" t="s">
        <v>1169</v>
      </c>
      <c r="C34" s="59" t="str">
        <f>IF(ISNUMBER(C31/ABS(B31)-1),C31/ABS(B31)-1,"-")</f>
        <v>-</v>
      </c>
      <c r="D34" s="59" t="str">
        <f t="shared" ref="D34:O34" si="48">IF(ISNUMBER(D31/ABS(C31)-1),D31/ABS(C31)-1,"-")</f>
        <v>-</v>
      </c>
      <c r="E34" s="59" t="str">
        <f t="shared" si="48"/>
        <v>-</v>
      </c>
      <c r="F34" s="59" t="str">
        <f t="shared" si="48"/>
        <v>-</v>
      </c>
      <c r="G34" s="59" t="str">
        <f t="shared" si="48"/>
        <v>-</v>
      </c>
      <c r="H34" s="59" t="str">
        <f t="shared" si="48"/>
        <v>-</v>
      </c>
      <c r="I34" s="59" t="str">
        <f t="shared" si="48"/>
        <v>-</v>
      </c>
      <c r="J34" s="59" t="str">
        <f t="shared" si="48"/>
        <v>-</v>
      </c>
      <c r="K34" s="59" t="str">
        <f t="shared" si="48"/>
        <v>-</v>
      </c>
      <c r="L34" s="59" t="str">
        <f t="shared" si="48"/>
        <v>-</v>
      </c>
      <c r="M34" s="59" t="str">
        <f t="shared" si="48"/>
        <v>-</v>
      </c>
      <c r="N34" s="59" t="str">
        <f t="shared" si="48"/>
        <v>-</v>
      </c>
      <c r="O34" s="59" t="str">
        <f t="shared" si="48"/>
        <v>-</v>
      </c>
      <c r="P34" s="59" t="str">
        <f t="shared" ref="P34:U34" si="49">IF(ISNUMBER(P31/ABS(O31)-1),P31/ABS(O31)-1,"-")</f>
        <v>-</v>
      </c>
      <c r="Q34" s="59" t="str">
        <f t="shared" si="49"/>
        <v>-</v>
      </c>
      <c r="R34" s="59" t="str">
        <f t="shared" si="49"/>
        <v>-</v>
      </c>
      <c r="S34" s="59" t="str">
        <f t="shared" si="49"/>
        <v>-</v>
      </c>
      <c r="T34" s="59" t="str">
        <f t="shared" si="49"/>
        <v>-</v>
      </c>
      <c r="U34" s="59" t="str">
        <f t="shared" si="49"/>
        <v>-</v>
      </c>
    </row>
    <row r="35" spans="1:21" s="67" customFormat="1" ht="15" customHeight="1">
      <c r="A35" s="66" t="s">
        <v>1370</v>
      </c>
      <c r="B35" s="67">
        <f>季度数据!B19</f>
        <v>0</v>
      </c>
      <c r="C35" s="67">
        <f>季度数据!C19</f>
        <v>0</v>
      </c>
      <c r="D35" s="67">
        <f>季度数据!D19</f>
        <v>0</v>
      </c>
      <c r="E35" s="67">
        <f>季度数据!E19</f>
        <v>0</v>
      </c>
      <c r="F35" s="67">
        <f>季度数据!F19</f>
        <v>0</v>
      </c>
      <c r="G35" s="67">
        <f>季度数据!G19</f>
        <v>0</v>
      </c>
      <c r="H35" s="67">
        <f>季度数据!H19</f>
        <v>0</v>
      </c>
      <c r="I35" s="67">
        <f>季度数据!I19</f>
        <v>0</v>
      </c>
      <c r="J35" s="67">
        <f>季度数据!J19</f>
        <v>0</v>
      </c>
      <c r="K35" s="67">
        <f>季度数据!K19</f>
        <v>0</v>
      </c>
      <c r="L35" s="67">
        <f>季度数据!L19</f>
        <v>0</v>
      </c>
      <c r="M35" s="67">
        <f>季度数据!M19</f>
        <v>0</v>
      </c>
      <c r="N35" s="67">
        <f>季度数据!N19</f>
        <v>0</v>
      </c>
      <c r="O35" s="67">
        <f>季度数据!O19</f>
        <v>0</v>
      </c>
      <c r="P35" s="67">
        <f>季度数据!P19</f>
        <v>0</v>
      </c>
      <c r="Q35" s="67">
        <f>季度数据!Q19</f>
        <v>0</v>
      </c>
      <c r="R35" s="67">
        <f>季度数据!R19</f>
        <v>0</v>
      </c>
      <c r="S35" s="67">
        <f>季度数据!S19</f>
        <v>0</v>
      </c>
      <c r="T35" s="67">
        <f>季度数据!T19</f>
        <v>0</v>
      </c>
      <c r="U35" s="67">
        <f>季度数据!U19</f>
        <v>0</v>
      </c>
    </row>
    <row r="36" spans="1:21" s="67" customFormat="1" ht="15" customHeight="1">
      <c r="A36" s="58" t="s">
        <v>1046</v>
      </c>
      <c r="B36" s="59" t="str">
        <f t="shared" ref="B36:O36" si="50">IF(ISNUMBER(B35/B$3),B35/B$3,"-")</f>
        <v>-</v>
      </c>
      <c r="C36" s="59" t="str">
        <f t="shared" si="50"/>
        <v>-</v>
      </c>
      <c r="D36" s="59" t="str">
        <f t="shared" si="50"/>
        <v>-</v>
      </c>
      <c r="E36" s="59" t="str">
        <f t="shared" si="50"/>
        <v>-</v>
      </c>
      <c r="F36" s="59" t="str">
        <f t="shared" si="50"/>
        <v>-</v>
      </c>
      <c r="G36" s="59" t="str">
        <f t="shared" si="50"/>
        <v>-</v>
      </c>
      <c r="H36" s="59" t="str">
        <f t="shared" si="50"/>
        <v>-</v>
      </c>
      <c r="I36" s="59" t="str">
        <f t="shared" si="50"/>
        <v>-</v>
      </c>
      <c r="J36" s="59" t="str">
        <f t="shared" si="50"/>
        <v>-</v>
      </c>
      <c r="K36" s="59" t="str">
        <f t="shared" si="50"/>
        <v>-</v>
      </c>
      <c r="L36" s="59" t="str">
        <f t="shared" si="50"/>
        <v>-</v>
      </c>
      <c r="M36" s="59" t="str">
        <f t="shared" si="50"/>
        <v>-</v>
      </c>
      <c r="N36" s="59" t="str">
        <f t="shared" si="50"/>
        <v>-</v>
      </c>
      <c r="O36" s="59" t="str">
        <f t="shared" si="50"/>
        <v>-</v>
      </c>
      <c r="P36" s="67" t="str">
        <f t="shared" ref="P36:U36" si="51">IF(ISNUMBER(P35/P$3),P35/P$3,"-")</f>
        <v>-</v>
      </c>
      <c r="Q36" s="67" t="str">
        <f t="shared" si="51"/>
        <v>-</v>
      </c>
      <c r="R36" s="67" t="str">
        <f t="shared" si="51"/>
        <v>-</v>
      </c>
      <c r="S36" s="67" t="str">
        <f t="shared" si="51"/>
        <v>-</v>
      </c>
      <c r="T36" s="67" t="str">
        <f t="shared" si="51"/>
        <v>-</v>
      </c>
      <c r="U36" s="67" t="str">
        <f t="shared" si="51"/>
        <v>-</v>
      </c>
    </row>
    <row r="37" spans="1:21" s="24" customFormat="1" ht="15" customHeight="1">
      <c r="A37" s="65" t="s">
        <v>1168</v>
      </c>
      <c r="F37" s="59" t="str">
        <f t="shared" ref="F37:O37" si="52">IF(ISNUMBER(F35/ABS(B35)-1),F35/ABS(B35)-1,"-")</f>
        <v>-</v>
      </c>
      <c r="G37" s="59" t="str">
        <f t="shared" si="52"/>
        <v>-</v>
      </c>
      <c r="H37" s="59" t="str">
        <f t="shared" si="52"/>
        <v>-</v>
      </c>
      <c r="I37" s="59" t="str">
        <f t="shared" si="52"/>
        <v>-</v>
      </c>
      <c r="J37" s="59" t="str">
        <f t="shared" si="52"/>
        <v>-</v>
      </c>
      <c r="K37" s="59" t="str">
        <f t="shared" si="52"/>
        <v>-</v>
      </c>
      <c r="L37" s="59" t="str">
        <f t="shared" si="52"/>
        <v>-</v>
      </c>
      <c r="M37" s="59" t="str">
        <f t="shared" si="52"/>
        <v>-</v>
      </c>
      <c r="N37" s="59" t="str">
        <f t="shared" si="52"/>
        <v>-</v>
      </c>
      <c r="O37" s="59" t="str">
        <f t="shared" si="52"/>
        <v>-</v>
      </c>
      <c r="P37" s="24" t="str">
        <f t="shared" ref="P37:U37" si="53">IF(ISNUMBER(P35/ABS(L35)-1),P35/ABS(L35)-1,"-")</f>
        <v>-</v>
      </c>
      <c r="Q37" s="24" t="str">
        <f t="shared" si="53"/>
        <v>-</v>
      </c>
      <c r="R37" s="24" t="str">
        <f t="shared" si="53"/>
        <v>-</v>
      </c>
      <c r="S37" s="24" t="str">
        <f t="shared" si="53"/>
        <v>-</v>
      </c>
      <c r="T37" s="24" t="str">
        <f t="shared" si="53"/>
        <v>-</v>
      </c>
      <c r="U37" s="24" t="str">
        <f t="shared" si="53"/>
        <v>-</v>
      </c>
    </row>
    <row r="38" spans="1:21" s="59" customFormat="1" ht="15" customHeight="1">
      <c r="A38" s="65" t="s">
        <v>1169</v>
      </c>
      <c r="C38" s="59" t="str">
        <f>IF(ISNUMBER(C35/ABS(B35)-1),C35/ABS(B35)-1,"-")</f>
        <v>-</v>
      </c>
      <c r="D38" s="59" t="str">
        <f t="shared" ref="D38:O38" si="54">IF(ISNUMBER(D35/ABS(C35)-1),D35/ABS(C35)-1,"-")</f>
        <v>-</v>
      </c>
      <c r="E38" s="59" t="str">
        <f t="shared" si="54"/>
        <v>-</v>
      </c>
      <c r="F38" s="59" t="str">
        <f t="shared" si="54"/>
        <v>-</v>
      </c>
      <c r="G38" s="59" t="str">
        <f t="shared" si="54"/>
        <v>-</v>
      </c>
      <c r="H38" s="59" t="str">
        <f t="shared" si="54"/>
        <v>-</v>
      </c>
      <c r="I38" s="59" t="str">
        <f t="shared" si="54"/>
        <v>-</v>
      </c>
      <c r="J38" s="59" t="str">
        <f t="shared" si="54"/>
        <v>-</v>
      </c>
      <c r="K38" s="59" t="str">
        <f t="shared" si="54"/>
        <v>-</v>
      </c>
      <c r="L38" s="59" t="str">
        <f t="shared" si="54"/>
        <v>-</v>
      </c>
      <c r="M38" s="59" t="str">
        <f t="shared" si="54"/>
        <v>-</v>
      </c>
      <c r="N38" s="59" t="str">
        <f t="shared" si="54"/>
        <v>-</v>
      </c>
      <c r="O38" s="59" t="str">
        <f t="shared" si="54"/>
        <v>-</v>
      </c>
      <c r="P38" s="59" t="str">
        <f t="shared" ref="P38:U38" si="55">IF(ISNUMBER(P35/ABS(O35)-1),P35/ABS(O35)-1,"-")</f>
        <v>-</v>
      </c>
      <c r="Q38" s="59" t="str">
        <f t="shared" si="55"/>
        <v>-</v>
      </c>
      <c r="R38" s="59" t="str">
        <f t="shared" si="55"/>
        <v>-</v>
      </c>
      <c r="S38" s="59" t="str">
        <f t="shared" si="55"/>
        <v>-</v>
      </c>
      <c r="T38" s="59" t="str">
        <f t="shared" si="55"/>
        <v>-</v>
      </c>
      <c r="U38" s="59" t="str">
        <f t="shared" si="55"/>
        <v>-</v>
      </c>
    </row>
    <row r="39" spans="1:21" s="67" customFormat="1" ht="15" customHeight="1">
      <c r="A39" s="66" t="s">
        <v>988</v>
      </c>
      <c r="B39" s="67">
        <f>季度数据!B20</f>
        <v>0</v>
      </c>
      <c r="C39" s="67">
        <f>季度数据!C20</f>
        <v>0</v>
      </c>
      <c r="D39" s="67">
        <f>季度数据!D20</f>
        <v>0</v>
      </c>
      <c r="E39" s="67">
        <f>季度数据!E20</f>
        <v>0</v>
      </c>
      <c r="F39" s="67">
        <f>季度数据!F20</f>
        <v>0</v>
      </c>
      <c r="G39" s="67">
        <f>季度数据!G20</f>
        <v>0</v>
      </c>
      <c r="H39" s="67">
        <f>季度数据!H20</f>
        <v>0</v>
      </c>
      <c r="I39" s="67">
        <f>季度数据!I20</f>
        <v>0</v>
      </c>
      <c r="J39" s="67">
        <f>季度数据!J20</f>
        <v>0</v>
      </c>
      <c r="K39" s="67">
        <f>季度数据!K20</f>
        <v>0</v>
      </c>
      <c r="L39" s="67">
        <f>季度数据!L20</f>
        <v>0</v>
      </c>
      <c r="M39" s="67">
        <f>季度数据!M20</f>
        <v>0</v>
      </c>
      <c r="N39" s="67">
        <f>季度数据!N20</f>
        <v>0</v>
      </c>
      <c r="O39" s="67">
        <f>季度数据!O20</f>
        <v>0</v>
      </c>
      <c r="P39" s="67">
        <f>季度数据!P20</f>
        <v>0</v>
      </c>
      <c r="Q39" s="67">
        <f>季度数据!Q20</f>
        <v>0</v>
      </c>
      <c r="R39" s="67">
        <f>季度数据!R20</f>
        <v>0</v>
      </c>
      <c r="S39" s="67">
        <f>季度数据!S20</f>
        <v>0</v>
      </c>
      <c r="T39" s="67">
        <f>季度数据!T20</f>
        <v>0</v>
      </c>
      <c r="U39" s="67">
        <f>季度数据!U20</f>
        <v>0</v>
      </c>
    </row>
    <row r="40" spans="1:21" s="67" customFormat="1" ht="15" customHeight="1">
      <c r="A40" s="58" t="s">
        <v>1046</v>
      </c>
      <c r="B40" s="59" t="str">
        <f t="shared" ref="B40:O40" si="56">IF(ISNUMBER(B39/B$3),B39/B$3,"-")</f>
        <v>-</v>
      </c>
      <c r="C40" s="59" t="str">
        <f t="shared" si="56"/>
        <v>-</v>
      </c>
      <c r="D40" s="59" t="str">
        <f t="shared" si="56"/>
        <v>-</v>
      </c>
      <c r="E40" s="59" t="str">
        <f t="shared" si="56"/>
        <v>-</v>
      </c>
      <c r="F40" s="59" t="str">
        <f t="shared" si="56"/>
        <v>-</v>
      </c>
      <c r="G40" s="59" t="str">
        <f t="shared" si="56"/>
        <v>-</v>
      </c>
      <c r="H40" s="59" t="str">
        <f t="shared" si="56"/>
        <v>-</v>
      </c>
      <c r="I40" s="59" t="str">
        <f t="shared" si="56"/>
        <v>-</v>
      </c>
      <c r="J40" s="59" t="str">
        <f t="shared" si="56"/>
        <v>-</v>
      </c>
      <c r="K40" s="59" t="str">
        <f t="shared" si="56"/>
        <v>-</v>
      </c>
      <c r="L40" s="59" t="str">
        <f t="shared" si="56"/>
        <v>-</v>
      </c>
      <c r="M40" s="59" t="str">
        <f t="shared" si="56"/>
        <v>-</v>
      </c>
      <c r="N40" s="59" t="str">
        <f t="shared" si="56"/>
        <v>-</v>
      </c>
      <c r="O40" s="59" t="str">
        <f t="shared" si="56"/>
        <v>-</v>
      </c>
      <c r="P40" s="67" t="str">
        <f t="shared" ref="P40:U40" si="57">IF(ISNUMBER(P39/P$3),P39/P$3,"-")</f>
        <v>-</v>
      </c>
      <c r="Q40" s="67" t="str">
        <f t="shared" si="57"/>
        <v>-</v>
      </c>
      <c r="R40" s="67" t="str">
        <f t="shared" si="57"/>
        <v>-</v>
      </c>
      <c r="S40" s="67" t="str">
        <f t="shared" si="57"/>
        <v>-</v>
      </c>
      <c r="T40" s="67" t="str">
        <f t="shared" si="57"/>
        <v>-</v>
      </c>
      <c r="U40" s="67" t="str">
        <f t="shared" si="57"/>
        <v>-</v>
      </c>
    </row>
    <row r="41" spans="1:21" s="24" customFormat="1" ht="15" customHeight="1">
      <c r="A41" s="65" t="s">
        <v>1168</v>
      </c>
      <c r="F41" s="59" t="str">
        <f t="shared" ref="F41:O41" si="58">IF(ISNUMBER(F39/ABS(B39)-1),F39/ABS(B39)-1,"-")</f>
        <v>-</v>
      </c>
      <c r="G41" s="59" t="str">
        <f t="shared" si="58"/>
        <v>-</v>
      </c>
      <c r="H41" s="59" t="str">
        <f t="shared" si="58"/>
        <v>-</v>
      </c>
      <c r="I41" s="59" t="str">
        <f t="shared" si="58"/>
        <v>-</v>
      </c>
      <c r="J41" s="59" t="str">
        <f t="shared" si="58"/>
        <v>-</v>
      </c>
      <c r="K41" s="59" t="str">
        <f t="shared" si="58"/>
        <v>-</v>
      </c>
      <c r="L41" s="59" t="str">
        <f t="shared" si="58"/>
        <v>-</v>
      </c>
      <c r="M41" s="59" t="str">
        <f t="shared" si="58"/>
        <v>-</v>
      </c>
      <c r="N41" s="59" t="str">
        <f t="shared" si="58"/>
        <v>-</v>
      </c>
      <c r="O41" s="59" t="str">
        <f t="shared" si="58"/>
        <v>-</v>
      </c>
      <c r="P41" s="24" t="str">
        <f t="shared" ref="P41:U41" si="59">IF(ISNUMBER(P39/ABS(L39)-1),P39/ABS(L39)-1,"-")</f>
        <v>-</v>
      </c>
      <c r="Q41" s="24" t="str">
        <f t="shared" si="59"/>
        <v>-</v>
      </c>
      <c r="R41" s="24" t="str">
        <f t="shared" si="59"/>
        <v>-</v>
      </c>
      <c r="S41" s="24" t="str">
        <f t="shared" si="59"/>
        <v>-</v>
      </c>
      <c r="T41" s="24" t="str">
        <f t="shared" si="59"/>
        <v>-</v>
      </c>
      <c r="U41" s="24" t="str">
        <f t="shared" si="59"/>
        <v>-</v>
      </c>
    </row>
    <row r="42" spans="1:21" s="59" customFormat="1" ht="15" customHeight="1">
      <c r="A42" s="65" t="s">
        <v>1169</v>
      </c>
      <c r="C42" s="59" t="str">
        <f>IF(ISNUMBER(C39/ABS(B39)-1),C39/ABS(B39)-1,"-")</f>
        <v>-</v>
      </c>
      <c r="D42" s="59" t="str">
        <f t="shared" ref="D42:O42" si="60">IF(ISNUMBER(D39/ABS(C39)-1),D39/ABS(C39)-1,"-")</f>
        <v>-</v>
      </c>
      <c r="E42" s="59" t="str">
        <f t="shared" si="60"/>
        <v>-</v>
      </c>
      <c r="F42" s="59" t="str">
        <f t="shared" si="60"/>
        <v>-</v>
      </c>
      <c r="G42" s="59" t="str">
        <f t="shared" si="60"/>
        <v>-</v>
      </c>
      <c r="H42" s="59" t="str">
        <f t="shared" si="60"/>
        <v>-</v>
      </c>
      <c r="I42" s="59" t="str">
        <f t="shared" si="60"/>
        <v>-</v>
      </c>
      <c r="J42" s="59" t="str">
        <f t="shared" si="60"/>
        <v>-</v>
      </c>
      <c r="K42" s="59" t="str">
        <f t="shared" si="60"/>
        <v>-</v>
      </c>
      <c r="L42" s="59" t="str">
        <f t="shared" si="60"/>
        <v>-</v>
      </c>
      <c r="M42" s="59" t="str">
        <f t="shared" si="60"/>
        <v>-</v>
      </c>
      <c r="N42" s="59" t="str">
        <f t="shared" si="60"/>
        <v>-</v>
      </c>
      <c r="O42" s="59" t="str">
        <f t="shared" si="60"/>
        <v>-</v>
      </c>
      <c r="P42" s="59" t="str">
        <f t="shared" ref="P42:U42" si="61">IF(ISNUMBER(P39/ABS(O39)-1),P39/ABS(O39)-1,"-")</f>
        <v>-</v>
      </c>
      <c r="Q42" s="59" t="str">
        <f t="shared" si="61"/>
        <v>-</v>
      </c>
      <c r="R42" s="59" t="str">
        <f t="shared" si="61"/>
        <v>-</v>
      </c>
      <c r="S42" s="59" t="str">
        <f t="shared" si="61"/>
        <v>-</v>
      </c>
      <c r="T42" s="59" t="str">
        <f t="shared" si="61"/>
        <v>-</v>
      </c>
      <c r="U42" s="59" t="str">
        <f t="shared" si="61"/>
        <v>-</v>
      </c>
    </row>
    <row r="43" spans="1:21" s="67" customFormat="1" ht="15" customHeight="1">
      <c r="A43" s="68" t="s">
        <v>1231</v>
      </c>
      <c r="B43" s="67">
        <f>季度数据!B25</f>
        <v>0</v>
      </c>
      <c r="C43" s="67">
        <f>季度数据!C25</f>
        <v>0</v>
      </c>
      <c r="D43" s="67">
        <f>季度数据!D25</f>
        <v>0</v>
      </c>
      <c r="E43" s="67">
        <f>季度数据!E25</f>
        <v>0</v>
      </c>
      <c r="F43" s="67">
        <f>季度数据!F25</f>
        <v>0</v>
      </c>
      <c r="G43" s="67">
        <f>季度数据!G25</f>
        <v>0</v>
      </c>
      <c r="H43" s="67">
        <f>季度数据!H25</f>
        <v>0</v>
      </c>
      <c r="I43" s="67">
        <f>季度数据!I25</f>
        <v>0</v>
      </c>
      <c r="J43" s="67">
        <f>季度数据!J25</f>
        <v>0</v>
      </c>
      <c r="K43" s="67">
        <f>季度数据!K25</f>
        <v>0</v>
      </c>
      <c r="L43" s="67">
        <f>季度数据!L25</f>
        <v>0</v>
      </c>
      <c r="M43" s="67">
        <f>季度数据!M25</f>
        <v>0</v>
      </c>
      <c r="N43" s="67">
        <f>季度数据!N25</f>
        <v>0</v>
      </c>
      <c r="O43" s="67">
        <f>季度数据!O25</f>
        <v>0</v>
      </c>
      <c r="P43" s="67">
        <f>季度数据!P25</f>
        <v>0</v>
      </c>
      <c r="Q43" s="67">
        <f>季度数据!Q25</f>
        <v>0</v>
      </c>
      <c r="R43" s="67">
        <f>季度数据!R25</f>
        <v>0</v>
      </c>
      <c r="S43" s="67">
        <f>季度数据!S25</f>
        <v>0</v>
      </c>
      <c r="T43" s="67">
        <f>季度数据!T25</f>
        <v>0</v>
      </c>
      <c r="U43" s="67">
        <f>季度数据!U25</f>
        <v>0</v>
      </c>
    </row>
    <row r="44" spans="1:21" s="67" customFormat="1" ht="15" customHeight="1">
      <c r="A44" s="58" t="s">
        <v>1046</v>
      </c>
      <c r="B44" s="59" t="str">
        <f t="shared" ref="B44:O44" si="62">IF(ISNUMBER(B43/B$3),B43/B$3,"-")</f>
        <v>-</v>
      </c>
      <c r="C44" s="59" t="str">
        <f t="shared" si="62"/>
        <v>-</v>
      </c>
      <c r="D44" s="59" t="str">
        <f t="shared" si="62"/>
        <v>-</v>
      </c>
      <c r="E44" s="59" t="str">
        <f t="shared" si="62"/>
        <v>-</v>
      </c>
      <c r="F44" s="59" t="str">
        <f t="shared" si="62"/>
        <v>-</v>
      </c>
      <c r="G44" s="59" t="str">
        <f t="shared" si="62"/>
        <v>-</v>
      </c>
      <c r="H44" s="59" t="str">
        <f t="shared" si="62"/>
        <v>-</v>
      </c>
      <c r="I44" s="59" t="str">
        <f t="shared" si="62"/>
        <v>-</v>
      </c>
      <c r="J44" s="59" t="str">
        <f t="shared" si="62"/>
        <v>-</v>
      </c>
      <c r="K44" s="59" t="str">
        <f t="shared" si="62"/>
        <v>-</v>
      </c>
      <c r="L44" s="59" t="str">
        <f t="shared" si="62"/>
        <v>-</v>
      </c>
      <c r="M44" s="59" t="str">
        <f t="shared" si="62"/>
        <v>-</v>
      </c>
      <c r="N44" s="59" t="str">
        <f t="shared" si="62"/>
        <v>-</v>
      </c>
      <c r="O44" s="59" t="str">
        <f t="shared" si="62"/>
        <v>-</v>
      </c>
      <c r="P44" s="67" t="str">
        <f t="shared" ref="P44:U44" si="63">IF(ISNUMBER(P43/P$3),P43/P$3,"-")</f>
        <v>-</v>
      </c>
      <c r="Q44" s="67" t="str">
        <f t="shared" si="63"/>
        <v>-</v>
      </c>
      <c r="R44" s="67" t="str">
        <f t="shared" si="63"/>
        <v>-</v>
      </c>
      <c r="S44" s="67" t="str">
        <f t="shared" si="63"/>
        <v>-</v>
      </c>
      <c r="T44" s="67" t="str">
        <f t="shared" si="63"/>
        <v>-</v>
      </c>
      <c r="U44" s="67" t="str">
        <f t="shared" si="63"/>
        <v>-</v>
      </c>
    </row>
    <row r="45" spans="1:21" s="24" customFormat="1" ht="15" customHeight="1">
      <c r="A45" s="65" t="s">
        <v>1168</v>
      </c>
      <c r="F45" s="59" t="str">
        <f t="shared" ref="F45:O45" si="64">IF(ISNUMBER(F43/ABS(B43)-1),F43/ABS(B43)-1,"-")</f>
        <v>-</v>
      </c>
      <c r="G45" s="59" t="str">
        <f t="shared" si="64"/>
        <v>-</v>
      </c>
      <c r="H45" s="59" t="str">
        <f t="shared" si="64"/>
        <v>-</v>
      </c>
      <c r="I45" s="59" t="str">
        <f t="shared" si="64"/>
        <v>-</v>
      </c>
      <c r="J45" s="59" t="str">
        <f t="shared" si="64"/>
        <v>-</v>
      </c>
      <c r="K45" s="59" t="str">
        <f t="shared" si="64"/>
        <v>-</v>
      </c>
      <c r="L45" s="59" t="str">
        <f t="shared" si="64"/>
        <v>-</v>
      </c>
      <c r="M45" s="59" t="str">
        <f t="shared" si="64"/>
        <v>-</v>
      </c>
      <c r="N45" s="59" t="str">
        <f t="shared" si="64"/>
        <v>-</v>
      </c>
      <c r="O45" s="59" t="str">
        <f t="shared" si="64"/>
        <v>-</v>
      </c>
      <c r="P45" s="24" t="str">
        <f t="shared" ref="P45:U45" si="65">IF(ISNUMBER(P43/ABS(L43)-1),P43/ABS(L43)-1,"-")</f>
        <v>-</v>
      </c>
      <c r="Q45" s="24" t="str">
        <f t="shared" si="65"/>
        <v>-</v>
      </c>
      <c r="R45" s="24" t="str">
        <f t="shared" si="65"/>
        <v>-</v>
      </c>
      <c r="S45" s="24" t="str">
        <f t="shared" si="65"/>
        <v>-</v>
      </c>
      <c r="T45" s="24" t="str">
        <f t="shared" si="65"/>
        <v>-</v>
      </c>
      <c r="U45" s="24" t="str">
        <f t="shared" si="65"/>
        <v>-</v>
      </c>
    </row>
    <row r="46" spans="1:21" s="59" customFormat="1" ht="15" customHeight="1">
      <c r="A46" s="65" t="s">
        <v>1169</v>
      </c>
      <c r="C46" s="59" t="str">
        <f>IF(ISNUMBER(C43/ABS(B43)-1),C43/ABS(B43)-1,"-")</f>
        <v>-</v>
      </c>
      <c r="D46" s="59" t="str">
        <f t="shared" ref="D46:O46" si="66">IF(ISNUMBER(D43/ABS(C43)-1),D43/ABS(C43)-1,"-")</f>
        <v>-</v>
      </c>
      <c r="E46" s="59" t="str">
        <f t="shared" si="66"/>
        <v>-</v>
      </c>
      <c r="F46" s="59" t="str">
        <f t="shared" si="66"/>
        <v>-</v>
      </c>
      <c r="G46" s="59" t="str">
        <f t="shared" si="66"/>
        <v>-</v>
      </c>
      <c r="H46" s="59" t="str">
        <f t="shared" si="66"/>
        <v>-</v>
      </c>
      <c r="I46" s="59" t="str">
        <f t="shared" si="66"/>
        <v>-</v>
      </c>
      <c r="J46" s="59" t="str">
        <f t="shared" si="66"/>
        <v>-</v>
      </c>
      <c r="K46" s="59" t="str">
        <f t="shared" si="66"/>
        <v>-</v>
      </c>
      <c r="L46" s="59" t="str">
        <f t="shared" si="66"/>
        <v>-</v>
      </c>
      <c r="M46" s="59" t="str">
        <f t="shared" si="66"/>
        <v>-</v>
      </c>
      <c r="N46" s="59" t="str">
        <f t="shared" si="66"/>
        <v>-</v>
      </c>
      <c r="O46" s="59" t="str">
        <f t="shared" si="66"/>
        <v>-</v>
      </c>
      <c r="P46" s="59" t="str">
        <f t="shared" ref="P46:U46" si="67">IF(ISNUMBER(P43/ABS(O43)-1),P43/ABS(O43)-1,"-")</f>
        <v>-</v>
      </c>
      <c r="Q46" s="59" t="str">
        <f t="shared" si="67"/>
        <v>-</v>
      </c>
      <c r="R46" s="59" t="str">
        <f t="shared" si="67"/>
        <v>-</v>
      </c>
      <c r="S46" s="59" t="str">
        <f t="shared" si="67"/>
        <v>-</v>
      </c>
      <c r="T46" s="59" t="str">
        <f t="shared" si="67"/>
        <v>-</v>
      </c>
      <c r="U46" s="59" t="str">
        <f t="shared" si="67"/>
        <v>-</v>
      </c>
    </row>
    <row r="47" spans="1:21" s="59" customFormat="1" ht="15" customHeight="1">
      <c r="A47" s="10" t="s">
        <v>1361</v>
      </c>
    </row>
    <row r="48" spans="1:21" s="67" customFormat="1" ht="15" customHeight="1">
      <c r="A48" s="66" t="s">
        <v>1060</v>
      </c>
      <c r="B48" s="67">
        <f>季度数据!B26</f>
        <v>0</v>
      </c>
      <c r="C48" s="67">
        <f>季度数据!C26</f>
        <v>0</v>
      </c>
      <c r="D48" s="67">
        <f>季度数据!D26</f>
        <v>0</v>
      </c>
      <c r="E48" s="67">
        <f>季度数据!E26</f>
        <v>0</v>
      </c>
      <c r="F48" s="67">
        <f>季度数据!F26</f>
        <v>0</v>
      </c>
      <c r="G48" s="67">
        <f>季度数据!G26</f>
        <v>0</v>
      </c>
      <c r="H48" s="67">
        <f>季度数据!H26</f>
        <v>0</v>
      </c>
      <c r="I48" s="67">
        <f>季度数据!I26</f>
        <v>0</v>
      </c>
      <c r="J48" s="67">
        <f>季度数据!J26</f>
        <v>0</v>
      </c>
      <c r="K48" s="67">
        <f>季度数据!K26</f>
        <v>0</v>
      </c>
      <c r="L48" s="67">
        <f>季度数据!L26</f>
        <v>0</v>
      </c>
      <c r="M48" s="67">
        <f>季度数据!M26</f>
        <v>0</v>
      </c>
      <c r="N48" s="67">
        <f>季度数据!N26</f>
        <v>0</v>
      </c>
      <c r="O48" s="67">
        <f>季度数据!O26</f>
        <v>0</v>
      </c>
      <c r="P48" s="67">
        <f>季度数据!P26</f>
        <v>0</v>
      </c>
      <c r="Q48" s="67">
        <f>季度数据!Q26</f>
        <v>0</v>
      </c>
      <c r="R48" s="67">
        <f>季度数据!R26</f>
        <v>0</v>
      </c>
      <c r="S48" s="67">
        <f>季度数据!S26</f>
        <v>0</v>
      </c>
      <c r="T48" s="67">
        <f>季度数据!T26</f>
        <v>0</v>
      </c>
      <c r="U48" s="67">
        <f>季度数据!U26</f>
        <v>0</v>
      </c>
    </row>
    <row r="49" spans="1:21" s="67" customFormat="1" ht="15" customHeight="1">
      <c r="A49" s="58" t="s">
        <v>1046</v>
      </c>
      <c r="B49" s="59" t="str">
        <f t="shared" ref="B49:O49" si="68">IF(ISNUMBER(B48/B$3),B48/B$3,"-")</f>
        <v>-</v>
      </c>
      <c r="C49" s="59" t="str">
        <f t="shared" si="68"/>
        <v>-</v>
      </c>
      <c r="D49" s="59" t="str">
        <f t="shared" si="68"/>
        <v>-</v>
      </c>
      <c r="E49" s="59" t="str">
        <f t="shared" si="68"/>
        <v>-</v>
      </c>
      <c r="F49" s="59" t="str">
        <f t="shared" si="68"/>
        <v>-</v>
      </c>
      <c r="G49" s="59" t="str">
        <f t="shared" si="68"/>
        <v>-</v>
      </c>
      <c r="H49" s="59" t="str">
        <f t="shared" si="68"/>
        <v>-</v>
      </c>
      <c r="I49" s="59" t="str">
        <f t="shared" si="68"/>
        <v>-</v>
      </c>
      <c r="J49" s="59" t="str">
        <f t="shared" si="68"/>
        <v>-</v>
      </c>
      <c r="K49" s="59" t="str">
        <f t="shared" si="68"/>
        <v>-</v>
      </c>
      <c r="L49" s="59" t="str">
        <f t="shared" si="68"/>
        <v>-</v>
      </c>
      <c r="M49" s="59" t="str">
        <f t="shared" si="68"/>
        <v>-</v>
      </c>
      <c r="N49" s="59" t="str">
        <f t="shared" si="68"/>
        <v>-</v>
      </c>
      <c r="O49" s="59" t="str">
        <f t="shared" si="68"/>
        <v>-</v>
      </c>
      <c r="P49" s="67" t="str">
        <f t="shared" ref="P49:U49" si="69">IF(ISNUMBER(P48/P$3),P48/P$3,"-")</f>
        <v>-</v>
      </c>
      <c r="Q49" s="67" t="str">
        <f t="shared" si="69"/>
        <v>-</v>
      </c>
      <c r="R49" s="67" t="str">
        <f t="shared" si="69"/>
        <v>-</v>
      </c>
      <c r="S49" s="67" t="str">
        <f t="shared" si="69"/>
        <v>-</v>
      </c>
      <c r="T49" s="67" t="str">
        <f t="shared" si="69"/>
        <v>-</v>
      </c>
      <c r="U49" s="67" t="str">
        <f t="shared" si="69"/>
        <v>-</v>
      </c>
    </row>
    <row r="50" spans="1:21" s="24" customFormat="1" ht="15" customHeight="1">
      <c r="A50" s="65" t="s">
        <v>1168</v>
      </c>
      <c r="F50" s="59" t="str">
        <f t="shared" ref="F50:O50" si="70">IF(ISNUMBER(F48/ABS(B48)-1),F48/ABS(B48)-1,"-")</f>
        <v>-</v>
      </c>
      <c r="G50" s="59" t="str">
        <f t="shared" si="70"/>
        <v>-</v>
      </c>
      <c r="H50" s="59" t="str">
        <f t="shared" si="70"/>
        <v>-</v>
      </c>
      <c r="I50" s="59" t="str">
        <f t="shared" si="70"/>
        <v>-</v>
      </c>
      <c r="J50" s="59" t="str">
        <f t="shared" si="70"/>
        <v>-</v>
      </c>
      <c r="K50" s="59" t="str">
        <f t="shared" si="70"/>
        <v>-</v>
      </c>
      <c r="L50" s="59" t="str">
        <f t="shared" si="70"/>
        <v>-</v>
      </c>
      <c r="M50" s="59" t="str">
        <f t="shared" si="70"/>
        <v>-</v>
      </c>
      <c r="N50" s="59" t="str">
        <f t="shared" si="70"/>
        <v>-</v>
      </c>
      <c r="O50" s="59" t="str">
        <f t="shared" si="70"/>
        <v>-</v>
      </c>
      <c r="P50" s="24" t="str">
        <f t="shared" ref="P50:U50" si="71">IF(ISNUMBER(P48/ABS(L48)-1),P48/ABS(L48)-1,"-")</f>
        <v>-</v>
      </c>
      <c r="Q50" s="24" t="str">
        <f t="shared" si="71"/>
        <v>-</v>
      </c>
      <c r="R50" s="24" t="str">
        <f t="shared" si="71"/>
        <v>-</v>
      </c>
      <c r="S50" s="24" t="str">
        <f t="shared" si="71"/>
        <v>-</v>
      </c>
      <c r="T50" s="24" t="str">
        <f t="shared" si="71"/>
        <v>-</v>
      </c>
      <c r="U50" s="24" t="str">
        <f t="shared" si="71"/>
        <v>-</v>
      </c>
    </row>
    <row r="51" spans="1:21" s="59" customFormat="1" ht="15" customHeight="1">
      <c r="A51" s="65" t="s">
        <v>1169</v>
      </c>
      <c r="C51" s="59" t="str">
        <f>IF(ISNUMBER(C48/ABS(B48)-1),C48/ABS(B48)-1,"-")</f>
        <v>-</v>
      </c>
      <c r="D51" s="59" t="str">
        <f t="shared" ref="D51:O51" si="72">IF(ISNUMBER(D48/ABS(C48)-1),D48/ABS(C48)-1,"-")</f>
        <v>-</v>
      </c>
      <c r="E51" s="59" t="str">
        <f t="shared" si="72"/>
        <v>-</v>
      </c>
      <c r="F51" s="59" t="str">
        <f t="shared" si="72"/>
        <v>-</v>
      </c>
      <c r="G51" s="59" t="str">
        <f t="shared" si="72"/>
        <v>-</v>
      </c>
      <c r="H51" s="59" t="str">
        <f t="shared" si="72"/>
        <v>-</v>
      </c>
      <c r="I51" s="59" t="str">
        <f t="shared" si="72"/>
        <v>-</v>
      </c>
      <c r="J51" s="59" t="str">
        <f t="shared" si="72"/>
        <v>-</v>
      </c>
      <c r="K51" s="59" t="str">
        <f t="shared" si="72"/>
        <v>-</v>
      </c>
      <c r="L51" s="59" t="str">
        <f t="shared" si="72"/>
        <v>-</v>
      </c>
      <c r="M51" s="59" t="str">
        <f t="shared" si="72"/>
        <v>-</v>
      </c>
      <c r="N51" s="59" t="str">
        <f t="shared" si="72"/>
        <v>-</v>
      </c>
      <c r="O51" s="59" t="str">
        <f t="shared" si="72"/>
        <v>-</v>
      </c>
      <c r="P51" s="59" t="str">
        <f t="shared" ref="P51:U51" si="73">IF(ISNUMBER(P48/ABS(O48)-1),P48/ABS(O48)-1,"-")</f>
        <v>-</v>
      </c>
      <c r="Q51" s="59" t="str">
        <f t="shared" si="73"/>
        <v>-</v>
      </c>
      <c r="R51" s="59" t="str">
        <f t="shared" si="73"/>
        <v>-</v>
      </c>
      <c r="S51" s="59" t="str">
        <f t="shared" si="73"/>
        <v>-</v>
      </c>
      <c r="T51" s="59" t="str">
        <f t="shared" si="73"/>
        <v>-</v>
      </c>
      <c r="U51" s="59" t="str">
        <f t="shared" si="73"/>
        <v>-</v>
      </c>
    </row>
    <row r="52" spans="1:21" s="67" customFormat="1" ht="15" customHeight="1">
      <c r="A52" s="66" t="s">
        <v>1372</v>
      </c>
      <c r="B52" s="67">
        <f>季度数据!B27</f>
        <v>0</v>
      </c>
      <c r="C52" s="67">
        <f>季度数据!C27</f>
        <v>0</v>
      </c>
      <c r="D52" s="67">
        <f>季度数据!D27</f>
        <v>0</v>
      </c>
      <c r="E52" s="67">
        <f>季度数据!E27</f>
        <v>0</v>
      </c>
      <c r="F52" s="67">
        <f>季度数据!F27</f>
        <v>0</v>
      </c>
      <c r="G52" s="67">
        <f>季度数据!G27</f>
        <v>0</v>
      </c>
      <c r="H52" s="67">
        <f>季度数据!H27</f>
        <v>0</v>
      </c>
      <c r="I52" s="67">
        <f>季度数据!I27</f>
        <v>0</v>
      </c>
      <c r="J52" s="67">
        <f>季度数据!J27</f>
        <v>0</v>
      </c>
      <c r="K52" s="67">
        <f>季度数据!K27</f>
        <v>0</v>
      </c>
      <c r="L52" s="67">
        <f>季度数据!L27</f>
        <v>0</v>
      </c>
      <c r="M52" s="67">
        <f>季度数据!M27</f>
        <v>0</v>
      </c>
      <c r="N52" s="67">
        <f>季度数据!N27</f>
        <v>0</v>
      </c>
      <c r="O52" s="67">
        <f>季度数据!O27</f>
        <v>0</v>
      </c>
      <c r="P52" s="67">
        <f>季度数据!P27</f>
        <v>0</v>
      </c>
      <c r="Q52" s="67">
        <f>季度数据!Q27</f>
        <v>0</v>
      </c>
      <c r="R52" s="67">
        <f>季度数据!R27</f>
        <v>0</v>
      </c>
      <c r="S52" s="67">
        <f>季度数据!S27</f>
        <v>0</v>
      </c>
      <c r="T52" s="67">
        <f>季度数据!T27</f>
        <v>0</v>
      </c>
      <c r="U52" s="67">
        <f>季度数据!U27</f>
        <v>0</v>
      </c>
    </row>
    <row r="53" spans="1:21" s="67" customFormat="1" ht="15" customHeight="1">
      <c r="A53" s="58" t="s">
        <v>1046</v>
      </c>
      <c r="B53" s="59" t="str">
        <f t="shared" ref="B53:O53" si="74">IF(ISNUMBER(B52/B$3),B52/B$3,"-")</f>
        <v>-</v>
      </c>
      <c r="C53" s="59" t="str">
        <f t="shared" si="74"/>
        <v>-</v>
      </c>
      <c r="D53" s="59" t="str">
        <f t="shared" si="74"/>
        <v>-</v>
      </c>
      <c r="E53" s="59" t="str">
        <f t="shared" si="74"/>
        <v>-</v>
      </c>
      <c r="F53" s="59" t="str">
        <f t="shared" si="74"/>
        <v>-</v>
      </c>
      <c r="G53" s="59" t="str">
        <f t="shared" si="74"/>
        <v>-</v>
      </c>
      <c r="H53" s="59" t="str">
        <f t="shared" si="74"/>
        <v>-</v>
      </c>
      <c r="I53" s="59" t="str">
        <f t="shared" si="74"/>
        <v>-</v>
      </c>
      <c r="J53" s="59" t="str">
        <f t="shared" si="74"/>
        <v>-</v>
      </c>
      <c r="K53" s="59" t="str">
        <f t="shared" si="74"/>
        <v>-</v>
      </c>
      <c r="L53" s="59" t="str">
        <f t="shared" si="74"/>
        <v>-</v>
      </c>
      <c r="M53" s="59" t="str">
        <f t="shared" si="74"/>
        <v>-</v>
      </c>
      <c r="N53" s="59" t="str">
        <f t="shared" si="74"/>
        <v>-</v>
      </c>
      <c r="O53" s="59" t="str">
        <f t="shared" si="74"/>
        <v>-</v>
      </c>
      <c r="P53" s="67" t="str">
        <f t="shared" ref="P53:U53" si="75">IF(ISNUMBER(P52/P$3),P52/P$3,"-")</f>
        <v>-</v>
      </c>
      <c r="Q53" s="67" t="str">
        <f t="shared" si="75"/>
        <v>-</v>
      </c>
      <c r="R53" s="67" t="str">
        <f t="shared" si="75"/>
        <v>-</v>
      </c>
      <c r="S53" s="67" t="str">
        <f t="shared" si="75"/>
        <v>-</v>
      </c>
      <c r="T53" s="67" t="str">
        <f t="shared" si="75"/>
        <v>-</v>
      </c>
      <c r="U53" s="67" t="str">
        <f t="shared" si="75"/>
        <v>-</v>
      </c>
    </row>
    <row r="54" spans="1:21" s="24" customFormat="1" ht="15" customHeight="1">
      <c r="A54" s="65" t="s">
        <v>1168</v>
      </c>
      <c r="F54" s="59" t="str">
        <f t="shared" ref="F54:O54" si="76">IF(ISNUMBER(F52/ABS(B52)-1),F52/ABS(B52)-1,"-")</f>
        <v>-</v>
      </c>
      <c r="G54" s="59" t="str">
        <f t="shared" si="76"/>
        <v>-</v>
      </c>
      <c r="H54" s="59" t="str">
        <f t="shared" si="76"/>
        <v>-</v>
      </c>
      <c r="I54" s="59" t="str">
        <f t="shared" si="76"/>
        <v>-</v>
      </c>
      <c r="J54" s="59" t="str">
        <f t="shared" si="76"/>
        <v>-</v>
      </c>
      <c r="K54" s="59" t="str">
        <f t="shared" si="76"/>
        <v>-</v>
      </c>
      <c r="L54" s="59" t="str">
        <f t="shared" si="76"/>
        <v>-</v>
      </c>
      <c r="M54" s="59" t="str">
        <f t="shared" si="76"/>
        <v>-</v>
      </c>
      <c r="N54" s="59" t="str">
        <f t="shared" si="76"/>
        <v>-</v>
      </c>
      <c r="O54" s="59" t="str">
        <f t="shared" si="76"/>
        <v>-</v>
      </c>
      <c r="P54" s="24" t="str">
        <f t="shared" ref="P54:U54" si="77">IF(ISNUMBER(P52/ABS(L52)-1),P52/ABS(L52)-1,"-")</f>
        <v>-</v>
      </c>
      <c r="Q54" s="24" t="str">
        <f t="shared" si="77"/>
        <v>-</v>
      </c>
      <c r="R54" s="24" t="str">
        <f t="shared" si="77"/>
        <v>-</v>
      </c>
      <c r="S54" s="24" t="str">
        <f t="shared" si="77"/>
        <v>-</v>
      </c>
      <c r="T54" s="24" t="str">
        <f t="shared" si="77"/>
        <v>-</v>
      </c>
      <c r="U54" s="24" t="str">
        <f t="shared" si="77"/>
        <v>-</v>
      </c>
    </row>
    <row r="55" spans="1:21" s="59" customFormat="1" ht="15" customHeight="1">
      <c r="A55" s="65" t="s">
        <v>1169</v>
      </c>
      <c r="C55" s="59" t="str">
        <f>IF(ISNUMBER(C52/ABS(B52)-1),C52/ABS(B52)-1,"-")</f>
        <v>-</v>
      </c>
      <c r="D55" s="59" t="str">
        <f t="shared" ref="D55:O55" si="78">IF(ISNUMBER(D52/ABS(C52)-1),D52/ABS(C52)-1,"-")</f>
        <v>-</v>
      </c>
      <c r="E55" s="59" t="str">
        <f t="shared" si="78"/>
        <v>-</v>
      </c>
      <c r="F55" s="59" t="str">
        <f t="shared" si="78"/>
        <v>-</v>
      </c>
      <c r="G55" s="59" t="str">
        <f t="shared" si="78"/>
        <v>-</v>
      </c>
      <c r="H55" s="59" t="str">
        <f t="shared" si="78"/>
        <v>-</v>
      </c>
      <c r="I55" s="59" t="str">
        <f t="shared" si="78"/>
        <v>-</v>
      </c>
      <c r="J55" s="59" t="str">
        <f t="shared" si="78"/>
        <v>-</v>
      </c>
      <c r="K55" s="59" t="str">
        <f t="shared" si="78"/>
        <v>-</v>
      </c>
      <c r="L55" s="59" t="str">
        <f t="shared" si="78"/>
        <v>-</v>
      </c>
      <c r="M55" s="59" t="str">
        <f t="shared" si="78"/>
        <v>-</v>
      </c>
      <c r="N55" s="59" t="str">
        <f t="shared" si="78"/>
        <v>-</v>
      </c>
      <c r="O55" s="59" t="str">
        <f t="shared" si="78"/>
        <v>-</v>
      </c>
      <c r="P55" s="59" t="str">
        <f t="shared" ref="P55:U55" si="79">IF(ISNUMBER(P52/ABS(O52)-1),P52/ABS(O52)-1,"-")</f>
        <v>-</v>
      </c>
      <c r="Q55" s="59" t="str">
        <f t="shared" si="79"/>
        <v>-</v>
      </c>
      <c r="R55" s="59" t="str">
        <f t="shared" si="79"/>
        <v>-</v>
      </c>
      <c r="S55" s="59" t="str">
        <f t="shared" si="79"/>
        <v>-</v>
      </c>
      <c r="T55" s="59" t="str">
        <f t="shared" si="79"/>
        <v>-</v>
      </c>
      <c r="U55" s="59" t="str">
        <f t="shared" si="79"/>
        <v>-</v>
      </c>
    </row>
    <row r="56" spans="1:21" s="67" customFormat="1" ht="15" customHeight="1">
      <c r="A56" s="68" t="s">
        <v>1366</v>
      </c>
      <c r="B56" s="67">
        <f>季度数据!B32</f>
        <v>0</v>
      </c>
      <c r="C56" s="67">
        <f>季度数据!C32</f>
        <v>0</v>
      </c>
      <c r="D56" s="67">
        <f>季度数据!D32</f>
        <v>0</v>
      </c>
      <c r="E56" s="67">
        <f>季度数据!E32</f>
        <v>0</v>
      </c>
      <c r="F56" s="67">
        <f>季度数据!F32</f>
        <v>0</v>
      </c>
      <c r="G56" s="67">
        <f>季度数据!G32</f>
        <v>0</v>
      </c>
      <c r="H56" s="67">
        <f>季度数据!H32</f>
        <v>0</v>
      </c>
      <c r="I56" s="67">
        <f>季度数据!I32</f>
        <v>0</v>
      </c>
      <c r="J56" s="67">
        <f>季度数据!J32</f>
        <v>0</v>
      </c>
      <c r="K56" s="67">
        <f>季度数据!K32</f>
        <v>0</v>
      </c>
      <c r="L56" s="67">
        <f>季度数据!L32</f>
        <v>0</v>
      </c>
      <c r="M56" s="67">
        <f>季度数据!M32</f>
        <v>0</v>
      </c>
      <c r="N56" s="67">
        <f>季度数据!N32</f>
        <v>0</v>
      </c>
      <c r="O56" s="67">
        <f>季度数据!O32</f>
        <v>0</v>
      </c>
      <c r="P56" s="67">
        <f>季度数据!P32</f>
        <v>0</v>
      </c>
      <c r="Q56" s="67">
        <f>季度数据!Q32</f>
        <v>0</v>
      </c>
      <c r="R56" s="67">
        <f>季度数据!R32</f>
        <v>0</v>
      </c>
      <c r="S56" s="67">
        <f>季度数据!S32</f>
        <v>0</v>
      </c>
      <c r="T56" s="67">
        <f>季度数据!T32</f>
        <v>0</v>
      </c>
      <c r="U56" s="67">
        <f>季度数据!U32</f>
        <v>0</v>
      </c>
    </row>
    <row r="57" spans="1:21" s="67" customFormat="1" ht="15" customHeight="1">
      <c r="A57" s="58" t="s">
        <v>1046</v>
      </c>
      <c r="B57" s="59" t="str">
        <f t="shared" ref="B57:O57" si="80">IF(ISNUMBER(B56/B$3),B56/B$3,"-")</f>
        <v>-</v>
      </c>
      <c r="C57" s="59" t="str">
        <f t="shared" si="80"/>
        <v>-</v>
      </c>
      <c r="D57" s="59" t="str">
        <f t="shared" si="80"/>
        <v>-</v>
      </c>
      <c r="E57" s="59" t="str">
        <f t="shared" si="80"/>
        <v>-</v>
      </c>
      <c r="F57" s="59" t="str">
        <f t="shared" si="80"/>
        <v>-</v>
      </c>
      <c r="G57" s="59" t="str">
        <f t="shared" si="80"/>
        <v>-</v>
      </c>
      <c r="H57" s="59" t="str">
        <f t="shared" si="80"/>
        <v>-</v>
      </c>
      <c r="I57" s="59" t="str">
        <f t="shared" si="80"/>
        <v>-</v>
      </c>
      <c r="J57" s="59" t="str">
        <f t="shared" si="80"/>
        <v>-</v>
      </c>
      <c r="K57" s="59" t="str">
        <f t="shared" si="80"/>
        <v>-</v>
      </c>
      <c r="L57" s="59" t="str">
        <f t="shared" si="80"/>
        <v>-</v>
      </c>
      <c r="M57" s="59" t="str">
        <f t="shared" si="80"/>
        <v>-</v>
      </c>
      <c r="N57" s="59" t="str">
        <f t="shared" si="80"/>
        <v>-</v>
      </c>
      <c r="O57" s="59" t="str">
        <f t="shared" si="80"/>
        <v>-</v>
      </c>
      <c r="P57" s="67" t="str">
        <f t="shared" ref="P57:U57" si="81">IF(ISNUMBER(P56/P$3),P56/P$3,"-")</f>
        <v>-</v>
      </c>
      <c r="Q57" s="67" t="str">
        <f t="shared" si="81"/>
        <v>-</v>
      </c>
      <c r="R57" s="67" t="str">
        <f t="shared" si="81"/>
        <v>-</v>
      </c>
      <c r="S57" s="67" t="str">
        <f t="shared" si="81"/>
        <v>-</v>
      </c>
      <c r="T57" s="67" t="str">
        <f t="shared" si="81"/>
        <v>-</v>
      </c>
      <c r="U57" s="67" t="str">
        <f t="shared" si="81"/>
        <v>-</v>
      </c>
    </row>
    <row r="58" spans="1:21" s="24" customFormat="1" ht="15" customHeight="1">
      <c r="A58" s="65" t="s">
        <v>1168</v>
      </c>
      <c r="F58" s="59" t="str">
        <f t="shared" ref="F58:O58" si="82">IF(ISNUMBER(F56/ABS(B56)-1),F56/ABS(B56)-1,"-")</f>
        <v>-</v>
      </c>
      <c r="G58" s="59" t="str">
        <f t="shared" si="82"/>
        <v>-</v>
      </c>
      <c r="H58" s="59" t="str">
        <f t="shared" si="82"/>
        <v>-</v>
      </c>
      <c r="I58" s="59" t="str">
        <f t="shared" si="82"/>
        <v>-</v>
      </c>
      <c r="J58" s="59" t="str">
        <f t="shared" si="82"/>
        <v>-</v>
      </c>
      <c r="K58" s="59" t="str">
        <f t="shared" si="82"/>
        <v>-</v>
      </c>
      <c r="L58" s="59" t="str">
        <f t="shared" si="82"/>
        <v>-</v>
      </c>
      <c r="M58" s="59" t="str">
        <f t="shared" si="82"/>
        <v>-</v>
      </c>
      <c r="N58" s="59" t="str">
        <f t="shared" si="82"/>
        <v>-</v>
      </c>
      <c r="O58" s="59" t="str">
        <f t="shared" si="82"/>
        <v>-</v>
      </c>
      <c r="P58" s="24" t="str">
        <f t="shared" ref="P58:U58" si="83">IF(ISNUMBER(P56/ABS(L56)-1),P56/ABS(L56)-1,"-")</f>
        <v>-</v>
      </c>
      <c r="Q58" s="24" t="str">
        <f t="shared" si="83"/>
        <v>-</v>
      </c>
      <c r="R58" s="24" t="str">
        <f t="shared" si="83"/>
        <v>-</v>
      </c>
      <c r="S58" s="24" t="str">
        <f t="shared" si="83"/>
        <v>-</v>
      </c>
      <c r="T58" s="24" t="str">
        <f t="shared" si="83"/>
        <v>-</v>
      </c>
      <c r="U58" s="24" t="str">
        <f t="shared" si="83"/>
        <v>-</v>
      </c>
    </row>
    <row r="59" spans="1:21" s="59" customFormat="1" ht="15" customHeight="1">
      <c r="A59" s="65" t="s">
        <v>1169</v>
      </c>
      <c r="C59" s="59" t="str">
        <f>IF(ISNUMBER(C56/ABS(B56)-1),C56/ABS(B56)-1,"-")</f>
        <v>-</v>
      </c>
      <c r="D59" s="59" t="str">
        <f t="shared" ref="D59:O59" si="84">IF(ISNUMBER(D56/ABS(C56)-1),D56/ABS(C56)-1,"-")</f>
        <v>-</v>
      </c>
      <c r="E59" s="59" t="str">
        <f t="shared" si="84"/>
        <v>-</v>
      </c>
      <c r="F59" s="59" t="str">
        <f t="shared" si="84"/>
        <v>-</v>
      </c>
      <c r="G59" s="59" t="str">
        <f t="shared" si="84"/>
        <v>-</v>
      </c>
      <c r="H59" s="59" t="str">
        <f t="shared" si="84"/>
        <v>-</v>
      </c>
      <c r="I59" s="59" t="str">
        <f t="shared" si="84"/>
        <v>-</v>
      </c>
      <c r="J59" s="59" t="str">
        <f t="shared" si="84"/>
        <v>-</v>
      </c>
      <c r="K59" s="59" t="str">
        <f t="shared" si="84"/>
        <v>-</v>
      </c>
      <c r="L59" s="59" t="str">
        <f t="shared" si="84"/>
        <v>-</v>
      </c>
      <c r="M59" s="59" t="str">
        <f t="shared" si="84"/>
        <v>-</v>
      </c>
      <c r="N59" s="59" t="str">
        <f t="shared" si="84"/>
        <v>-</v>
      </c>
      <c r="O59" s="59" t="str">
        <f t="shared" si="84"/>
        <v>-</v>
      </c>
      <c r="P59" s="59" t="str">
        <f t="shared" ref="P59:U59" si="85">IF(ISNUMBER(P56/ABS(O56)-1),P56/ABS(O56)-1,"-")</f>
        <v>-</v>
      </c>
      <c r="Q59" s="59" t="str">
        <f t="shared" si="85"/>
        <v>-</v>
      </c>
      <c r="R59" s="59" t="str">
        <f t="shared" si="85"/>
        <v>-</v>
      </c>
      <c r="S59" s="59" t="str">
        <f t="shared" si="85"/>
        <v>-</v>
      </c>
      <c r="T59" s="59" t="str">
        <f t="shared" si="85"/>
        <v>-</v>
      </c>
      <c r="U59" s="59" t="str">
        <f t="shared" si="85"/>
        <v>-</v>
      </c>
    </row>
    <row r="60" spans="1:21" s="59" customFormat="1" ht="15" customHeight="1">
      <c r="A60" s="10" t="s">
        <v>1006</v>
      </c>
    </row>
    <row r="61" spans="1:21" s="67" customFormat="1" ht="15" customHeight="1">
      <c r="A61" s="66" t="s">
        <v>884</v>
      </c>
      <c r="B61" s="67">
        <f>季度数据!B33</f>
        <v>0</v>
      </c>
      <c r="C61" s="67">
        <f>季度数据!C33</f>
        <v>0</v>
      </c>
      <c r="D61" s="67">
        <f>季度数据!D33</f>
        <v>0</v>
      </c>
      <c r="E61" s="67">
        <f>季度数据!E33</f>
        <v>0</v>
      </c>
      <c r="F61" s="67">
        <f>季度数据!F33</f>
        <v>0</v>
      </c>
      <c r="G61" s="67">
        <f>季度数据!G33</f>
        <v>0</v>
      </c>
      <c r="H61" s="67">
        <f>季度数据!H33</f>
        <v>0</v>
      </c>
      <c r="I61" s="67">
        <f>季度数据!I33</f>
        <v>0</v>
      </c>
      <c r="J61" s="67">
        <f>季度数据!J33</f>
        <v>0</v>
      </c>
      <c r="K61" s="67">
        <f>季度数据!K33</f>
        <v>0</v>
      </c>
      <c r="L61" s="67">
        <f>季度数据!L33</f>
        <v>0</v>
      </c>
      <c r="M61" s="67">
        <f>季度数据!M33</f>
        <v>0</v>
      </c>
      <c r="N61" s="67">
        <f>季度数据!N33</f>
        <v>0</v>
      </c>
      <c r="O61" s="67">
        <f>季度数据!O33</f>
        <v>0</v>
      </c>
      <c r="P61" s="67">
        <f>季度数据!P33</f>
        <v>0</v>
      </c>
      <c r="Q61" s="67">
        <f>季度数据!Q33</f>
        <v>0</v>
      </c>
      <c r="R61" s="67">
        <f>季度数据!R33</f>
        <v>0</v>
      </c>
      <c r="S61" s="67">
        <f>季度数据!S33</f>
        <v>0</v>
      </c>
      <c r="T61" s="67">
        <f>季度数据!T33</f>
        <v>0</v>
      </c>
      <c r="U61" s="67">
        <f>季度数据!U33</f>
        <v>0</v>
      </c>
    </row>
    <row r="62" spans="1:21" s="67" customFormat="1" ht="15" customHeight="1">
      <c r="A62" s="58" t="s">
        <v>1046</v>
      </c>
      <c r="B62" s="59" t="str">
        <f t="shared" ref="B62:O62" si="86">IF(ISNUMBER(B61/B$3),B61/B$3,"-")</f>
        <v>-</v>
      </c>
      <c r="C62" s="59" t="str">
        <f t="shared" si="86"/>
        <v>-</v>
      </c>
      <c r="D62" s="59" t="str">
        <f t="shared" si="86"/>
        <v>-</v>
      </c>
      <c r="E62" s="59" t="str">
        <f t="shared" si="86"/>
        <v>-</v>
      </c>
      <c r="F62" s="59" t="str">
        <f t="shared" si="86"/>
        <v>-</v>
      </c>
      <c r="G62" s="59" t="str">
        <f t="shared" si="86"/>
        <v>-</v>
      </c>
      <c r="H62" s="59" t="str">
        <f t="shared" si="86"/>
        <v>-</v>
      </c>
      <c r="I62" s="59" t="str">
        <f t="shared" si="86"/>
        <v>-</v>
      </c>
      <c r="J62" s="59" t="str">
        <f t="shared" si="86"/>
        <v>-</v>
      </c>
      <c r="K62" s="59" t="str">
        <f t="shared" si="86"/>
        <v>-</v>
      </c>
      <c r="L62" s="59" t="str">
        <f t="shared" si="86"/>
        <v>-</v>
      </c>
      <c r="M62" s="59" t="str">
        <f t="shared" si="86"/>
        <v>-</v>
      </c>
      <c r="N62" s="59" t="str">
        <f t="shared" si="86"/>
        <v>-</v>
      </c>
      <c r="O62" s="59" t="str">
        <f t="shared" si="86"/>
        <v>-</v>
      </c>
      <c r="P62" s="67" t="str">
        <f t="shared" ref="P62:U62" si="87">IF(ISNUMBER(P61/P$3),P61/P$3,"-")</f>
        <v>-</v>
      </c>
      <c r="Q62" s="67" t="str">
        <f t="shared" si="87"/>
        <v>-</v>
      </c>
      <c r="R62" s="67" t="str">
        <f t="shared" si="87"/>
        <v>-</v>
      </c>
      <c r="S62" s="67" t="str">
        <f t="shared" si="87"/>
        <v>-</v>
      </c>
      <c r="T62" s="67" t="str">
        <f t="shared" si="87"/>
        <v>-</v>
      </c>
      <c r="U62" s="67" t="str">
        <f t="shared" si="87"/>
        <v>-</v>
      </c>
    </row>
    <row r="63" spans="1:21" s="24" customFormat="1" ht="15" customHeight="1">
      <c r="A63" s="65" t="s">
        <v>1168</v>
      </c>
      <c r="F63" s="59" t="str">
        <f t="shared" ref="F63:O63" si="88">IF(ISNUMBER(F61/ABS(B61)-1),F61/ABS(B61)-1,"-")</f>
        <v>-</v>
      </c>
      <c r="G63" s="59" t="str">
        <f t="shared" si="88"/>
        <v>-</v>
      </c>
      <c r="H63" s="59" t="str">
        <f t="shared" si="88"/>
        <v>-</v>
      </c>
      <c r="I63" s="59" t="str">
        <f t="shared" si="88"/>
        <v>-</v>
      </c>
      <c r="J63" s="59" t="str">
        <f t="shared" si="88"/>
        <v>-</v>
      </c>
      <c r="K63" s="59" t="str">
        <f t="shared" si="88"/>
        <v>-</v>
      </c>
      <c r="L63" s="59" t="str">
        <f t="shared" si="88"/>
        <v>-</v>
      </c>
      <c r="M63" s="59" t="str">
        <f t="shared" si="88"/>
        <v>-</v>
      </c>
      <c r="N63" s="59" t="str">
        <f t="shared" si="88"/>
        <v>-</v>
      </c>
      <c r="O63" s="59" t="str">
        <f t="shared" si="88"/>
        <v>-</v>
      </c>
      <c r="P63" s="24" t="str">
        <f t="shared" ref="P63:U63" si="89">IF(ISNUMBER(P61/ABS(L61)-1),P61/ABS(L61)-1,"-")</f>
        <v>-</v>
      </c>
      <c r="Q63" s="24" t="str">
        <f t="shared" si="89"/>
        <v>-</v>
      </c>
      <c r="R63" s="24" t="str">
        <f t="shared" si="89"/>
        <v>-</v>
      </c>
      <c r="S63" s="24" t="str">
        <f t="shared" si="89"/>
        <v>-</v>
      </c>
      <c r="T63" s="24" t="str">
        <f t="shared" si="89"/>
        <v>-</v>
      </c>
      <c r="U63" s="24" t="str">
        <f t="shared" si="89"/>
        <v>-</v>
      </c>
    </row>
    <row r="64" spans="1:21" s="59" customFormat="1" ht="15" customHeight="1">
      <c r="A64" s="65" t="s">
        <v>1169</v>
      </c>
      <c r="C64" s="59" t="str">
        <f>IF(ISNUMBER(C61/ABS(B61)-1),C61/ABS(B61)-1,"-")</f>
        <v>-</v>
      </c>
      <c r="D64" s="59" t="str">
        <f t="shared" ref="D64:O64" si="90">IF(ISNUMBER(D61/ABS(C61)-1),D61/ABS(C61)-1,"-")</f>
        <v>-</v>
      </c>
      <c r="E64" s="59" t="str">
        <f t="shared" si="90"/>
        <v>-</v>
      </c>
      <c r="F64" s="59" t="str">
        <f t="shared" si="90"/>
        <v>-</v>
      </c>
      <c r="G64" s="59" t="str">
        <f t="shared" si="90"/>
        <v>-</v>
      </c>
      <c r="H64" s="59" t="str">
        <f t="shared" si="90"/>
        <v>-</v>
      </c>
      <c r="I64" s="59" t="str">
        <f t="shared" si="90"/>
        <v>-</v>
      </c>
      <c r="J64" s="59" t="str">
        <f t="shared" si="90"/>
        <v>-</v>
      </c>
      <c r="K64" s="59" t="str">
        <f t="shared" si="90"/>
        <v>-</v>
      </c>
      <c r="L64" s="59" t="str">
        <f t="shared" si="90"/>
        <v>-</v>
      </c>
      <c r="M64" s="59" t="str">
        <f t="shared" si="90"/>
        <v>-</v>
      </c>
      <c r="N64" s="59" t="str">
        <f t="shared" si="90"/>
        <v>-</v>
      </c>
      <c r="O64" s="59" t="str">
        <f t="shared" si="90"/>
        <v>-</v>
      </c>
      <c r="P64" s="59" t="str">
        <f t="shared" ref="P64:U64" si="91">IF(ISNUMBER(P61/ABS(O61)-1),P61/ABS(O61)-1,"-")</f>
        <v>-</v>
      </c>
      <c r="Q64" s="59" t="str">
        <f t="shared" si="91"/>
        <v>-</v>
      </c>
      <c r="R64" s="59" t="str">
        <f t="shared" si="91"/>
        <v>-</v>
      </c>
      <c r="S64" s="59" t="str">
        <f t="shared" si="91"/>
        <v>-</v>
      </c>
      <c r="T64" s="59" t="str">
        <f t="shared" si="91"/>
        <v>-</v>
      </c>
      <c r="U64" s="59" t="str">
        <f t="shared" si="91"/>
        <v>-</v>
      </c>
    </row>
    <row r="65" spans="1:21" s="67" customFormat="1" ht="15" customHeight="1">
      <c r="A65" s="66" t="s">
        <v>975</v>
      </c>
      <c r="B65" s="67">
        <f>季度数据!B34</f>
        <v>0</v>
      </c>
      <c r="C65" s="67">
        <f>季度数据!C34</f>
        <v>0</v>
      </c>
      <c r="D65" s="67">
        <f>季度数据!D34</f>
        <v>0</v>
      </c>
      <c r="E65" s="67">
        <f>季度数据!E34</f>
        <v>0</v>
      </c>
      <c r="F65" s="67">
        <f>季度数据!F34</f>
        <v>0</v>
      </c>
      <c r="G65" s="67">
        <f>季度数据!G34</f>
        <v>0</v>
      </c>
      <c r="H65" s="67">
        <f>季度数据!H34</f>
        <v>0</v>
      </c>
      <c r="I65" s="67">
        <f>季度数据!I34</f>
        <v>0</v>
      </c>
      <c r="J65" s="67">
        <f>季度数据!J34</f>
        <v>0</v>
      </c>
      <c r="K65" s="67">
        <f>季度数据!K34</f>
        <v>0</v>
      </c>
      <c r="L65" s="67">
        <f>季度数据!L34</f>
        <v>0</v>
      </c>
      <c r="M65" s="67">
        <f>季度数据!M34</f>
        <v>0</v>
      </c>
      <c r="N65" s="67">
        <f>季度数据!N34</f>
        <v>0</v>
      </c>
      <c r="O65" s="67">
        <f>季度数据!O34</f>
        <v>0</v>
      </c>
      <c r="P65" s="67">
        <f>季度数据!P34</f>
        <v>0</v>
      </c>
      <c r="Q65" s="67">
        <f>季度数据!Q34</f>
        <v>0</v>
      </c>
      <c r="R65" s="67">
        <f>季度数据!R34</f>
        <v>0</v>
      </c>
      <c r="S65" s="67">
        <f>季度数据!S34</f>
        <v>0</v>
      </c>
      <c r="T65" s="67">
        <f>季度数据!T34</f>
        <v>0</v>
      </c>
      <c r="U65" s="67">
        <f>季度数据!U34</f>
        <v>0</v>
      </c>
    </row>
    <row r="66" spans="1:21" s="67" customFormat="1" ht="15" customHeight="1">
      <c r="A66" s="58" t="s">
        <v>1046</v>
      </c>
      <c r="B66" s="59" t="str">
        <f t="shared" ref="B66:O66" si="92">IF(ISNUMBER(B65/B$3),B65/B$3,"-")</f>
        <v>-</v>
      </c>
      <c r="C66" s="59" t="str">
        <f t="shared" si="92"/>
        <v>-</v>
      </c>
      <c r="D66" s="59" t="str">
        <f t="shared" si="92"/>
        <v>-</v>
      </c>
      <c r="E66" s="59" t="str">
        <f t="shared" si="92"/>
        <v>-</v>
      </c>
      <c r="F66" s="59" t="str">
        <f t="shared" si="92"/>
        <v>-</v>
      </c>
      <c r="G66" s="59" t="str">
        <f t="shared" si="92"/>
        <v>-</v>
      </c>
      <c r="H66" s="59" t="str">
        <f t="shared" si="92"/>
        <v>-</v>
      </c>
      <c r="I66" s="59" t="str">
        <f t="shared" si="92"/>
        <v>-</v>
      </c>
      <c r="J66" s="59" t="str">
        <f t="shared" si="92"/>
        <v>-</v>
      </c>
      <c r="K66" s="59" t="str">
        <f t="shared" si="92"/>
        <v>-</v>
      </c>
      <c r="L66" s="59" t="str">
        <f t="shared" si="92"/>
        <v>-</v>
      </c>
      <c r="M66" s="59" t="str">
        <f t="shared" si="92"/>
        <v>-</v>
      </c>
      <c r="N66" s="59" t="str">
        <f t="shared" si="92"/>
        <v>-</v>
      </c>
      <c r="O66" s="59" t="str">
        <f t="shared" si="92"/>
        <v>-</v>
      </c>
      <c r="P66" s="67" t="str">
        <f t="shared" ref="P66:U66" si="93">IF(ISNUMBER(P65/P$3),P65/P$3,"-")</f>
        <v>-</v>
      </c>
      <c r="Q66" s="67" t="str">
        <f t="shared" si="93"/>
        <v>-</v>
      </c>
      <c r="R66" s="67" t="str">
        <f t="shared" si="93"/>
        <v>-</v>
      </c>
      <c r="S66" s="67" t="str">
        <f t="shared" si="93"/>
        <v>-</v>
      </c>
      <c r="T66" s="67" t="str">
        <f t="shared" si="93"/>
        <v>-</v>
      </c>
      <c r="U66" s="67" t="str">
        <f t="shared" si="93"/>
        <v>-</v>
      </c>
    </row>
    <row r="67" spans="1:21" s="24" customFormat="1" ht="15" customHeight="1">
      <c r="A67" s="65" t="s">
        <v>1168</v>
      </c>
      <c r="F67" s="59" t="str">
        <f t="shared" ref="F67:O67" si="94">IF(ISNUMBER(F65/ABS(B65)-1),F65/ABS(B65)-1,"-")</f>
        <v>-</v>
      </c>
      <c r="G67" s="59" t="str">
        <f t="shared" si="94"/>
        <v>-</v>
      </c>
      <c r="H67" s="59" t="str">
        <f t="shared" si="94"/>
        <v>-</v>
      </c>
      <c r="I67" s="59" t="str">
        <f t="shared" si="94"/>
        <v>-</v>
      </c>
      <c r="J67" s="59" t="str">
        <f t="shared" si="94"/>
        <v>-</v>
      </c>
      <c r="K67" s="59" t="str">
        <f t="shared" si="94"/>
        <v>-</v>
      </c>
      <c r="L67" s="59" t="str">
        <f t="shared" si="94"/>
        <v>-</v>
      </c>
      <c r="M67" s="59" t="str">
        <f t="shared" si="94"/>
        <v>-</v>
      </c>
      <c r="N67" s="59" t="str">
        <f t="shared" si="94"/>
        <v>-</v>
      </c>
      <c r="O67" s="59" t="str">
        <f t="shared" si="94"/>
        <v>-</v>
      </c>
      <c r="P67" s="24" t="str">
        <f t="shared" ref="P67:U67" si="95">IF(ISNUMBER(P65/ABS(L65)-1),P65/ABS(L65)-1,"-")</f>
        <v>-</v>
      </c>
      <c r="Q67" s="24" t="str">
        <f t="shared" si="95"/>
        <v>-</v>
      </c>
      <c r="R67" s="24" t="str">
        <f t="shared" si="95"/>
        <v>-</v>
      </c>
      <c r="S67" s="24" t="str">
        <f t="shared" si="95"/>
        <v>-</v>
      </c>
      <c r="T67" s="24" t="str">
        <f t="shared" si="95"/>
        <v>-</v>
      </c>
      <c r="U67" s="24" t="str">
        <f t="shared" si="95"/>
        <v>-</v>
      </c>
    </row>
    <row r="68" spans="1:21" s="59" customFormat="1" ht="15" customHeight="1">
      <c r="A68" s="65" t="s">
        <v>1169</v>
      </c>
      <c r="C68" s="59" t="str">
        <f>IF(ISNUMBER(C65/ABS(B65)-1),C65/ABS(B65)-1,"-")</f>
        <v>-</v>
      </c>
      <c r="D68" s="59" t="str">
        <f t="shared" ref="D68:O68" si="96">IF(ISNUMBER(D65/ABS(C65)-1),D65/ABS(C65)-1,"-")</f>
        <v>-</v>
      </c>
      <c r="E68" s="59" t="str">
        <f t="shared" si="96"/>
        <v>-</v>
      </c>
      <c r="F68" s="59" t="str">
        <f t="shared" si="96"/>
        <v>-</v>
      </c>
      <c r="G68" s="59" t="str">
        <f t="shared" si="96"/>
        <v>-</v>
      </c>
      <c r="H68" s="59" t="str">
        <f t="shared" si="96"/>
        <v>-</v>
      </c>
      <c r="I68" s="59" t="str">
        <f t="shared" si="96"/>
        <v>-</v>
      </c>
      <c r="J68" s="59" t="str">
        <f t="shared" si="96"/>
        <v>-</v>
      </c>
      <c r="K68" s="59" t="str">
        <f t="shared" si="96"/>
        <v>-</v>
      </c>
      <c r="L68" s="59" t="str">
        <f t="shared" si="96"/>
        <v>-</v>
      </c>
      <c r="M68" s="59" t="str">
        <f t="shared" si="96"/>
        <v>-</v>
      </c>
      <c r="N68" s="59" t="str">
        <f t="shared" si="96"/>
        <v>-</v>
      </c>
      <c r="O68" s="59" t="str">
        <f t="shared" si="96"/>
        <v>-</v>
      </c>
      <c r="P68" s="59" t="str">
        <f t="shared" ref="P68:U68" si="97">IF(ISNUMBER(P65/ABS(O65)-1),P65/ABS(O65)-1,"-")</f>
        <v>-</v>
      </c>
      <c r="Q68" s="59" t="str">
        <f t="shared" si="97"/>
        <v>-</v>
      </c>
      <c r="R68" s="59" t="str">
        <f t="shared" si="97"/>
        <v>-</v>
      </c>
      <c r="S68" s="59" t="str">
        <f t="shared" si="97"/>
        <v>-</v>
      </c>
      <c r="T68" s="59" t="str">
        <f t="shared" si="97"/>
        <v>-</v>
      </c>
      <c r="U68" s="59" t="str">
        <f t="shared" si="97"/>
        <v>-</v>
      </c>
    </row>
    <row r="69" spans="1:21" s="67" customFormat="1" ht="15" customHeight="1">
      <c r="A69" s="68" t="s">
        <v>1368</v>
      </c>
      <c r="B69" s="67">
        <f>季度数据!B38</f>
        <v>0</v>
      </c>
      <c r="C69" s="67">
        <f>季度数据!C38</f>
        <v>0</v>
      </c>
      <c r="D69" s="67">
        <f>季度数据!D38</f>
        <v>0</v>
      </c>
      <c r="E69" s="67">
        <f>季度数据!E38</f>
        <v>0</v>
      </c>
      <c r="F69" s="67">
        <f>季度数据!F38</f>
        <v>0</v>
      </c>
      <c r="G69" s="67">
        <f>季度数据!G38</f>
        <v>0</v>
      </c>
      <c r="H69" s="67">
        <f>季度数据!H38</f>
        <v>0</v>
      </c>
      <c r="I69" s="67">
        <f>季度数据!I38</f>
        <v>0</v>
      </c>
      <c r="J69" s="67">
        <f>季度数据!J38</f>
        <v>0</v>
      </c>
      <c r="K69" s="67">
        <f>季度数据!K38</f>
        <v>0</v>
      </c>
      <c r="L69" s="67">
        <f>季度数据!L38</f>
        <v>0</v>
      </c>
      <c r="M69" s="67">
        <f>季度数据!M38</f>
        <v>0</v>
      </c>
      <c r="N69" s="67">
        <f>季度数据!N38</f>
        <v>0</v>
      </c>
      <c r="O69" s="67">
        <f>季度数据!O38</f>
        <v>0</v>
      </c>
      <c r="P69" s="67">
        <f>季度数据!P38</f>
        <v>0</v>
      </c>
      <c r="Q69" s="67">
        <f>季度数据!Q38</f>
        <v>0</v>
      </c>
      <c r="R69" s="67">
        <f>季度数据!R38</f>
        <v>0</v>
      </c>
      <c r="S69" s="67">
        <f>季度数据!S38</f>
        <v>0</v>
      </c>
      <c r="T69" s="67">
        <f>季度数据!T38</f>
        <v>0</v>
      </c>
      <c r="U69" s="67">
        <f>季度数据!U38</f>
        <v>0</v>
      </c>
    </row>
    <row r="70" spans="1:21" s="67" customFormat="1" ht="15" customHeight="1">
      <c r="A70" s="58" t="s">
        <v>1046</v>
      </c>
      <c r="B70" s="59" t="str">
        <f t="shared" ref="B70:O70" si="98">IF(ISNUMBER(B69/B$3),B69/B$3,"-")</f>
        <v>-</v>
      </c>
      <c r="C70" s="59" t="str">
        <f t="shared" si="98"/>
        <v>-</v>
      </c>
      <c r="D70" s="59" t="str">
        <f t="shared" si="98"/>
        <v>-</v>
      </c>
      <c r="E70" s="59" t="str">
        <f t="shared" si="98"/>
        <v>-</v>
      </c>
      <c r="F70" s="59" t="str">
        <f t="shared" si="98"/>
        <v>-</v>
      </c>
      <c r="G70" s="59" t="str">
        <f t="shared" si="98"/>
        <v>-</v>
      </c>
      <c r="H70" s="59" t="str">
        <f t="shared" si="98"/>
        <v>-</v>
      </c>
      <c r="I70" s="59" t="str">
        <f t="shared" si="98"/>
        <v>-</v>
      </c>
      <c r="J70" s="59" t="str">
        <f t="shared" si="98"/>
        <v>-</v>
      </c>
      <c r="K70" s="59" t="str">
        <f t="shared" si="98"/>
        <v>-</v>
      </c>
      <c r="L70" s="59" t="str">
        <f t="shared" si="98"/>
        <v>-</v>
      </c>
      <c r="M70" s="59" t="str">
        <f t="shared" si="98"/>
        <v>-</v>
      </c>
      <c r="N70" s="59" t="str">
        <f t="shared" si="98"/>
        <v>-</v>
      </c>
      <c r="O70" s="59" t="str">
        <f t="shared" si="98"/>
        <v>-</v>
      </c>
      <c r="P70" s="67" t="str">
        <f t="shared" ref="P70:U70" si="99">IF(ISNUMBER(P69/P$3),P69/P$3,"-")</f>
        <v>-</v>
      </c>
      <c r="Q70" s="67" t="str">
        <f t="shared" si="99"/>
        <v>-</v>
      </c>
      <c r="R70" s="67" t="str">
        <f t="shared" si="99"/>
        <v>-</v>
      </c>
      <c r="S70" s="67" t="str">
        <f t="shared" si="99"/>
        <v>-</v>
      </c>
      <c r="T70" s="67" t="str">
        <f t="shared" si="99"/>
        <v>-</v>
      </c>
      <c r="U70" s="67" t="str">
        <f t="shared" si="99"/>
        <v>-</v>
      </c>
    </row>
    <row r="71" spans="1:21" s="24" customFormat="1" ht="15" customHeight="1">
      <c r="A71" s="65" t="s">
        <v>1168</v>
      </c>
      <c r="F71" s="59" t="str">
        <f t="shared" ref="F71:O71" si="100">IF(ISNUMBER(F69/ABS(B69)-1),F69/ABS(B69)-1,"-")</f>
        <v>-</v>
      </c>
      <c r="G71" s="59" t="str">
        <f t="shared" si="100"/>
        <v>-</v>
      </c>
      <c r="H71" s="59" t="str">
        <f t="shared" si="100"/>
        <v>-</v>
      </c>
      <c r="I71" s="59" t="str">
        <f t="shared" si="100"/>
        <v>-</v>
      </c>
      <c r="J71" s="59" t="str">
        <f t="shared" si="100"/>
        <v>-</v>
      </c>
      <c r="K71" s="59" t="str">
        <f t="shared" si="100"/>
        <v>-</v>
      </c>
      <c r="L71" s="59" t="str">
        <f t="shared" si="100"/>
        <v>-</v>
      </c>
      <c r="M71" s="59" t="str">
        <f t="shared" si="100"/>
        <v>-</v>
      </c>
      <c r="N71" s="59" t="str">
        <f t="shared" si="100"/>
        <v>-</v>
      </c>
      <c r="O71" s="59" t="str">
        <f t="shared" si="100"/>
        <v>-</v>
      </c>
      <c r="P71" s="24" t="str">
        <f t="shared" ref="P71:U71" si="101">IF(ISNUMBER(P69/ABS(L69)-1),P69/ABS(L69)-1,"-")</f>
        <v>-</v>
      </c>
      <c r="Q71" s="24" t="str">
        <f t="shared" si="101"/>
        <v>-</v>
      </c>
      <c r="R71" s="24" t="str">
        <f t="shared" si="101"/>
        <v>-</v>
      </c>
      <c r="S71" s="24" t="str">
        <f t="shared" si="101"/>
        <v>-</v>
      </c>
      <c r="T71" s="24" t="str">
        <f t="shared" si="101"/>
        <v>-</v>
      </c>
      <c r="U71" s="24" t="str">
        <f t="shared" si="101"/>
        <v>-</v>
      </c>
    </row>
    <row r="72" spans="1:21" s="59" customFormat="1" ht="15" customHeight="1">
      <c r="A72" s="65" t="s">
        <v>1169</v>
      </c>
      <c r="C72" s="59" t="str">
        <f>IF(ISNUMBER(C69/ABS(B69)-1),C69/ABS(B69)-1,"-")</f>
        <v>-</v>
      </c>
      <c r="D72" s="59" t="str">
        <f t="shared" ref="D72:O72" si="102">IF(ISNUMBER(D69/ABS(C69)-1),D69/ABS(C69)-1,"-")</f>
        <v>-</v>
      </c>
      <c r="E72" s="59" t="str">
        <f t="shared" si="102"/>
        <v>-</v>
      </c>
      <c r="F72" s="59" t="str">
        <f t="shared" si="102"/>
        <v>-</v>
      </c>
      <c r="G72" s="59" t="str">
        <f t="shared" si="102"/>
        <v>-</v>
      </c>
      <c r="H72" s="59" t="str">
        <f t="shared" si="102"/>
        <v>-</v>
      </c>
      <c r="I72" s="59" t="str">
        <f t="shared" si="102"/>
        <v>-</v>
      </c>
      <c r="J72" s="59" t="str">
        <f t="shared" si="102"/>
        <v>-</v>
      </c>
      <c r="K72" s="59" t="str">
        <f t="shared" si="102"/>
        <v>-</v>
      </c>
      <c r="L72" s="59" t="str">
        <f t="shared" si="102"/>
        <v>-</v>
      </c>
      <c r="M72" s="59" t="str">
        <f t="shared" si="102"/>
        <v>-</v>
      </c>
      <c r="N72" s="59" t="str">
        <f t="shared" si="102"/>
        <v>-</v>
      </c>
      <c r="O72" s="59" t="str">
        <f t="shared" si="102"/>
        <v>-</v>
      </c>
      <c r="P72" s="59" t="str">
        <f t="shared" ref="P72:U72" si="103">IF(ISNUMBER(P69/ABS(O69)-1),P69/ABS(O69)-1,"-")</f>
        <v>-</v>
      </c>
      <c r="Q72" s="59" t="str">
        <f t="shared" si="103"/>
        <v>-</v>
      </c>
      <c r="R72" s="59" t="str">
        <f t="shared" si="103"/>
        <v>-</v>
      </c>
      <c r="S72" s="59" t="str">
        <f t="shared" si="103"/>
        <v>-</v>
      </c>
      <c r="T72" s="59" t="str">
        <f t="shared" si="103"/>
        <v>-</v>
      </c>
      <c r="U72" s="59" t="str">
        <f t="shared" si="103"/>
        <v>-</v>
      </c>
    </row>
    <row r="73" spans="1:21" s="59" customFormat="1" ht="15" customHeight="1">
      <c r="A73" s="10" t="s">
        <v>1362</v>
      </c>
    </row>
    <row r="74" spans="1:21" s="67" customFormat="1" ht="15" customHeight="1">
      <c r="A74" s="66" t="s">
        <v>1356</v>
      </c>
      <c r="B74" s="67">
        <f>季度数据!B39</f>
        <v>0</v>
      </c>
      <c r="C74" s="67">
        <f>季度数据!C39</f>
        <v>0</v>
      </c>
      <c r="D74" s="67">
        <f>季度数据!D39</f>
        <v>0</v>
      </c>
      <c r="E74" s="67">
        <f>季度数据!E39</f>
        <v>0</v>
      </c>
      <c r="F74" s="67">
        <f>季度数据!F39</f>
        <v>0</v>
      </c>
      <c r="G74" s="67">
        <f>季度数据!G39</f>
        <v>0</v>
      </c>
      <c r="H74" s="67">
        <f>季度数据!H39</f>
        <v>0</v>
      </c>
      <c r="I74" s="67">
        <f>季度数据!I39</f>
        <v>0</v>
      </c>
      <c r="J74" s="67">
        <f>季度数据!J39</f>
        <v>0</v>
      </c>
      <c r="K74" s="67">
        <f>季度数据!K39</f>
        <v>0</v>
      </c>
      <c r="L74" s="67">
        <f>季度数据!L39</f>
        <v>0</v>
      </c>
      <c r="M74" s="67">
        <f>季度数据!M39</f>
        <v>0</v>
      </c>
      <c r="N74" s="67">
        <f>季度数据!N39</f>
        <v>0</v>
      </c>
      <c r="O74" s="67">
        <f>季度数据!O39</f>
        <v>0</v>
      </c>
      <c r="P74" s="67">
        <f>季度数据!P39</f>
        <v>0</v>
      </c>
      <c r="Q74" s="67">
        <f>季度数据!Q39</f>
        <v>0</v>
      </c>
      <c r="R74" s="67">
        <f>季度数据!R39</f>
        <v>0</v>
      </c>
      <c r="S74" s="67">
        <f>季度数据!S39</f>
        <v>0</v>
      </c>
      <c r="T74" s="67">
        <f>季度数据!T39</f>
        <v>0</v>
      </c>
      <c r="U74" s="67">
        <f>季度数据!U39</f>
        <v>0</v>
      </c>
    </row>
    <row r="75" spans="1:21" s="67" customFormat="1" ht="15" customHeight="1">
      <c r="A75" s="58" t="s">
        <v>1046</v>
      </c>
      <c r="B75" s="59" t="str">
        <f t="shared" ref="B75:O75" si="104">IF(ISNUMBER(B74/B$3),B74/B$3,"-")</f>
        <v>-</v>
      </c>
      <c r="C75" s="59" t="str">
        <f t="shared" si="104"/>
        <v>-</v>
      </c>
      <c r="D75" s="59" t="str">
        <f t="shared" si="104"/>
        <v>-</v>
      </c>
      <c r="E75" s="59" t="str">
        <f t="shared" si="104"/>
        <v>-</v>
      </c>
      <c r="F75" s="59" t="str">
        <f t="shared" si="104"/>
        <v>-</v>
      </c>
      <c r="G75" s="59" t="str">
        <f t="shared" si="104"/>
        <v>-</v>
      </c>
      <c r="H75" s="59" t="str">
        <f t="shared" si="104"/>
        <v>-</v>
      </c>
      <c r="I75" s="59" t="str">
        <f t="shared" si="104"/>
        <v>-</v>
      </c>
      <c r="J75" s="59" t="str">
        <f t="shared" si="104"/>
        <v>-</v>
      </c>
      <c r="K75" s="59" t="str">
        <f t="shared" si="104"/>
        <v>-</v>
      </c>
      <c r="L75" s="59" t="str">
        <f t="shared" si="104"/>
        <v>-</v>
      </c>
      <c r="M75" s="59" t="str">
        <f t="shared" si="104"/>
        <v>-</v>
      </c>
      <c r="N75" s="59" t="str">
        <f t="shared" si="104"/>
        <v>-</v>
      </c>
      <c r="O75" s="59" t="str">
        <f t="shared" si="104"/>
        <v>-</v>
      </c>
      <c r="P75" s="67" t="str">
        <f t="shared" ref="P75:U75" si="105">IF(ISNUMBER(P74/P$3),P74/P$3,"-")</f>
        <v>-</v>
      </c>
      <c r="Q75" s="67" t="str">
        <f t="shared" si="105"/>
        <v>-</v>
      </c>
      <c r="R75" s="67" t="str">
        <f t="shared" si="105"/>
        <v>-</v>
      </c>
      <c r="S75" s="67" t="str">
        <f t="shared" si="105"/>
        <v>-</v>
      </c>
      <c r="T75" s="67" t="str">
        <f t="shared" si="105"/>
        <v>-</v>
      </c>
      <c r="U75" s="67" t="str">
        <f t="shared" si="105"/>
        <v>-</v>
      </c>
    </row>
    <row r="76" spans="1:21" s="24" customFormat="1" ht="15" customHeight="1">
      <c r="A76" s="65" t="s">
        <v>1168</v>
      </c>
      <c r="F76" s="59" t="str">
        <f t="shared" ref="F76:O76" si="106">IF(ISNUMBER(F74/ABS(B74)-1),F74/ABS(B74)-1,"-")</f>
        <v>-</v>
      </c>
      <c r="G76" s="59" t="str">
        <f t="shared" si="106"/>
        <v>-</v>
      </c>
      <c r="H76" s="59" t="str">
        <f t="shared" si="106"/>
        <v>-</v>
      </c>
      <c r="I76" s="59" t="str">
        <f t="shared" si="106"/>
        <v>-</v>
      </c>
      <c r="J76" s="59" t="str">
        <f t="shared" si="106"/>
        <v>-</v>
      </c>
      <c r="K76" s="59" t="str">
        <f t="shared" si="106"/>
        <v>-</v>
      </c>
      <c r="L76" s="59" t="str">
        <f t="shared" si="106"/>
        <v>-</v>
      </c>
      <c r="M76" s="59" t="str">
        <f t="shared" si="106"/>
        <v>-</v>
      </c>
      <c r="N76" s="59" t="str">
        <f t="shared" si="106"/>
        <v>-</v>
      </c>
      <c r="O76" s="59" t="str">
        <f t="shared" si="106"/>
        <v>-</v>
      </c>
      <c r="P76" s="24" t="str">
        <f t="shared" ref="P76:U76" si="107">IF(ISNUMBER(P74/ABS(L74)-1),P74/ABS(L74)-1,"-")</f>
        <v>-</v>
      </c>
      <c r="Q76" s="24" t="str">
        <f t="shared" si="107"/>
        <v>-</v>
      </c>
      <c r="R76" s="24" t="str">
        <f t="shared" si="107"/>
        <v>-</v>
      </c>
      <c r="S76" s="24" t="str">
        <f t="shared" si="107"/>
        <v>-</v>
      </c>
      <c r="T76" s="24" t="str">
        <f t="shared" si="107"/>
        <v>-</v>
      </c>
      <c r="U76" s="24" t="str">
        <f t="shared" si="107"/>
        <v>-</v>
      </c>
    </row>
    <row r="77" spans="1:21" s="59" customFormat="1" ht="15" customHeight="1">
      <c r="A77" s="65" t="s">
        <v>1169</v>
      </c>
      <c r="C77" s="59" t="str">
        <f>IF(ISNUMBER(C74/ABS(B74)-1),C74/ABS(B74)-1,"-")</f>
        <v>-</v>
      </c>
      <c r="D77" s="59" t="str">
        <f t="shared" ref="D77:O77" si="108">IF(ISNUMBER(D74/ABS(C74)-1),D74/ABS(C74)-1,"-")</f>
        <v>-</v>
      </c>
      <c r="E77" s="59" t="str">
        <f t="shared" si="108"/>
        <v>-</v>
      </c>
      <c r="F77" s="59" t="str">
        <f t="shared" si="108"/>
        <v>-</v>
      </c>
      <c r="G77" s="59" t="str">
        <f t="shared" si="108"/>
        <v>-</v>
      </c>
      <c r="H77" s="59" t="str">
        <f t="shared" si="108"/>
        <v>-</v>
      </c>
      <c r="I77" s="59" t="str">
        <f t="shared" si="108"/>
        <v>-</v>
      </c>
      <c r="J77" s="59" t="str">
        <f t="shared" si="108"/>
        <v>-</v>
      </c>
      <c r="K77" s="59" t="str">
        <f t="shared" si="108"/>
        <v>-</v>
      </c>
      <c r="L77" s="59" t="str">
        <f t="shared" si="108"/>
        <v>-</v>
      </c>
      <c r="M77" s="59" t="str">
        <f t="shared" si="108"/>
        <v>-</v>
      </c>
      <c r="N77" s="59" t="str">
        <f t="shared" si="108"/>
        <v>-</v>
      </c>
      <c r="O77" s="59" t="str">
        <f t="shared" si="108"/>
        <v>-</v>
      </c>
      <c r="P77" s="59" t="str">
        <f t="shared" ref="P77:U77" si="109">IF(ISNUMBER(P74/ABS(O74)-1),P74/ABS(O74)-1,"-")</f>
        <v>-</v>
      </c>
      <c r="Q77" s="59" t="str">
        <f t="shared" si="109"/>
        <v>-</v>
      </c>
      <c r="R77" s="59" t="str">
        <f t="shared" si="109"/>
        <v>-</v>
      </c>
      <c r="S77" s="59" t="str">
        <f t="shared" si="109"/>
        <v>-</v>
      </c>
      <c r="T77" s="59" t="str">
        <f t="shared" si="109"/>
        <v>-</v>
      </c>
      <c r="U77" s="59" t="str">
        <f t="shared" si="109"/>
        <v>-</v>
      </c>
    </row>
    <row r="78" spans="1:21" s="67" customFormat="1" ht="15" customHeight="1">
      <c r="A78" s="68" t="s">
        <v>1365</v>
      </c>
      <c r="B78" s="67">
        <f>季度数据!B40</f>
        <v>0</v>
      </c>
      <c r="C78" s="67">
        <f>季度数据!C40</f>
        <v>0</v>
      </c>
      <c r="D78" s="67">
        <f>季度数据!D40</f>
        <v>0</v>
      </c>
      <c r="E78" s="67">
        <f>季度数据!E40</f>
        <v>0</v>
      </c>
      <c r="F78" s="67">
        <f>季度数据!F40</f>
        <v>0</v>
      </c>
      <c r="G78" s="67">
        <f>季度数据!G40</f>
        <v>0</v>
      </c>
      <c r="H78" s="67">
        <f>季度数据!H40</f>
        <v>0</v>
      </c>
      <c r="I78" s="67">
        <f>季度数据!I40</f>
        <v>0</v>
      </c>
      <c r="J78" s="67">
        <f>季度数据!J40</f>
        <v>0</v>
      </c>
      <c r="K78" s="67">
        <f>季度数据!K40</f>
        <v>0</v>
      </c>
      <c r="L78" s="67">
        <f>季度数据!L40</f>
        <v>0</v>
      </c>
      <c r="M78" s="67">
        <f>季度数据!M40</f>
        <v>0</v>
      </c>
      <c r="N78" s="67">
        <f>季度数据!N40</f>
        <v>0</v>
      </c>
      <c r="O78" s="67">
        <f>季度数据!O40</f>
        <v>0</v>
      </c>
      <c r="P78" s="67">
        <f>季度数据!P40</f>
        <v>0</v>
      </c>
      <c r="Q78" s="67">
        <f>季度数据!Q40</f>
        <v>0</v>
      </c>
      <c r="R78" s="67">
        <f>季度数据!R40</f>
        <v>0</v>
      </c>
      <c r="S78" s="67">
        <f>季度数据!S40</f>
        <v>0</v>
      </c>
      <c r="T78" s="67">
        <f>季度数据!T40</f>
        <v>0</v>
      </c>
      <c r="U78" s="67">
        <f>季度数据!U40</f>
        <v>0</v>
      </c>
    </row>
    <row r="79" spans="1:21" s="67" customFormat="1" ht="15" customHeight="1">
      <c r="A79" s="58" t="s">
        <v>1046</v>
      </c>
      <c r="B79" s="59" t="str">
        <f t="shared" ref="B79:O79" si="110">IF(ISNUMBER(B78/B$3),B78/B$3,"-")</f>
        <v>-</v>
      </c>
      <c r="C79" s="59" t="str">
        <f t="shared" si="110"/>
        <v>-</v>
      </c>
      <c r="D79" s="59" t="str">
        <f t="shared" si="110"/>
        <v>-</v>
      </c>
      <c r="E79" s="59" t="str">
        <f t="shared" si="110"/>
        <v>-</v>
      </c>
      <c r="F79" s="59" t="str">
        <f t="shared" si="110"/>
        <v>-</v>
      </c>
      <c r="G79" s="59" t="str">
        <f t="shared" si="110"/>
        <v>-</v>
      </c>
      <c r="H79" s="59" t="str">
        <f t="shared" si="110"/>
        <v>-</v>
      </c>
      <c r="I79" s="59" t="str">
        <f t="shared" si="110"/>
        <v>-</v>
      </c>
      <c r="J79" s="59" t="str">
        <f t="shared" si="110"/>
        <v>-</v>
      </c>
      <c r="K79" s="59" t="str">
        <f t="shared" si="110"/>
        <v>-</v>
      </c>
      <c r="L79" s="59" t="str">
        <f t="shared" si="110"/>
        <v>-</v>
      </c>
      <c r="M79" s="59" t="str">
        <f t="shared" si="110"/>
        <v>-</v>
      </c>
      <c r="N79" s="59" t="str">
        <f t="shared" si="110"/>
        <v>-</v>
      </c>
      <c r="O79" s="59" t="str">
        <f t="shared" si="110"/>
        <v>-</v>
      </c>
      <c r="P79" s="67" t="str">
        <f t="shared" ref="P79:U79" si="111">IF(ISNUMBER(P78/P$3),P78/P$3,"-")</f>
        <v>-</v>
      </c>
      <c r="Q79" s="67" t="str">
        <f t="shared" si="111"/>
        <v>-</v>
      </c>
      <c r="R79" s="67" t="str">
        <f t="shared" si="111"/>
        <v>-</v>
      </c>
      <c r="S79" s="67" t="str">
        <f t="shared" si="111"/>
        <v>-</v>
      </c>
      <c r="T79" s="67" t="str">
        <f t="shared" si="111"/>
        <v>-</v>
      </c>
      <c r="U79" s="67" t="str">
        <f t="shared" si="111"/>
        <v>-</v>
      </c>
    </row>
    <row r="80" spans="1:21" s="24" customFormat="1" ht="15" customHeight="1">
      <c r="A80" s="65" t="s">
        <v>1168</v>
      </c>
      <c r="F80" s="59" t="str">
        <f t="shared" ref="F80:O80" si="112">IF(ISNUMBER(F78/ABS(B78)-1),F78/ABS(B78)-1,"-")</f>
        <v>-</v>
      </c>
      <c r="G80" s="59" t="str">
        <f t="shared" si="112"/>
        <v>-</v>
      </c>
      <c r="H80" s="59" t="str">
        <f t="shared" si="112"/>
        <v>-</v>
      </c>
      <c r="I80" s="59" t="str">
        <f t="shared" si="112"/>
        <v>-</v>
      </c>
      <c r="J80" s="59" t="str">
        <f t="shared" si="112"/>
        <v>-</v>
      </c>
      <c r="K80" s="59" t="str">
        <f t="shared" si="112"/>
        <v>-</v>
      </c>
      <c r="L80" s="59" t="str">
        <f t="shared" si="112"/>
        <v>-</v>
      </c>
      <c r="M80" s="59" t="str">
        <f t="shared" si="112"/>
        <v>-</v>
      </c>
      <c r="N80" s="59" t="str">
        <f t="shared" si="112"/>
        <v>-</v>
      </c>
      <c r="O80" s="59" t="str">
        <f t="shared" si="112"/>
        <v>-</v>
      </c>
      <c r="P80" s="24" t="str">
        <f t="shared" ref="P80:U80" si="113">IF(ISNUMBER(P78/ABS(L78)-1),P78/ABS(L78)-1,"-")</f>
        <v>-</v>
      </c>
      <c r="Q80" s="24" t="str">
        <f t="shared" si="113"/>
        <v>-</v>
      </c>
      <c r="R80" s="24" t="str">
        <f t="shared" si="113"/>
        <v>-</v>
      </c>
      <c r="S80" s="24" t="str">
        <f t="shared" si="113"/>
        <v>-</v>
      </c>
      <c r="T80" s="24" t="str">
        <f t="shared" si="113"/>
        <v>-</v>
      </c>
      <c r="U80" s="24" t="str">
        <f t="shared" si="113"/>
        <v>-</v>
      </c>
    </row>
    <row r="81" spans="1:21" s="59" customFormat="1" ht="15" customHeight="1">
      <c r="A81" s="65" t="s">
        <v>1169</v>
      </c>
      <c r="C81" s="59" t="str">
        <f>IF(ISNUMBER(C78/ABS(B78)-1),C78/ABS(B78)-1,"-")</f>
        <v>-</v>
      </c>
      <c r="D81" s="59" t="str">
        <f t="shared" ref="D81:O81" si="114">IF(ISNUMBER(D78/ABS(C78)-1),D78/ABS(C78)-1,"-")</f>
        <v>-</v>
      </c>
      <c r="E81" s="59" t="str">
        <f t="shared" si="114"/>
        <v>-</v>
      </c>
      <c r="F81" s="59" t="str">
        <f t="shared" si="114"/>
        <v>-</v>
      </c>
      <c r="G81" s="59" t="str">
        <f t="shared" si="114"/>
        <v>-</v>
      </c>
      <c r="H81" s="59" t="str">
        <f t="shared" si="114"/>
        <v>-</v>
      </c>
      <c r="I81" s="59" t="str">
        <f t="shared" si="114"/>
        <v>-</v>
      </c>
      <c r="J81" s="59" t="str">
        <f t="shared" si="114"/>
        <v>-</v>
      </c>
      <c r="K81" s="59" t="str">
        <f t="shared" si="114"/>
        <v>-</v>
      </c>
      <c r="L81" s="59" t="str">
        <f t="shared" si="114"/>
        <v>-</v>
      </c>
      <c r="M81" s="59" t="str">
        <f t="shared" si="114"/>
        <v>-</v>
      </c>
      <c r="N81" s="59" t="str">
        <f t="shared" si="114"/>
        <v>-</v>
      </c>
      <c r="O81" s="59" t="str">
        <f t="shared" si="114"/>
        <v>-</v>
      </c>
      <c r="P81" s="59" t="str">
        <f t="shared" ref="P81:U81" si="115">IF(ISNUMBER(P78/ABS(O78)-1),P78/ABS(O78)-1,"-")</f>
        <v>-</v>
      </c>
      <c r="Q81" s="59" t="str">
        <f t="shared" si="115"/>
        <v>-</v>
      </c>
      <c r="R81" s="59" t="str">
        <f t="shared" si="115"/>
        <v>-</v>
      </c>
      <c r="S81" s="59" t="str">
        <f t="shared" si="115"/>
        <v>-</v>
      </c>
      <c r="T81" s="59" t="str">
        <f t="shared" si="115"/>
        <v>-</v>
      </c>
      <c r="U81" s="59" t="str">
        <f t="shared" si="115"/>
        <v>-</v>
      </c>
    </row>
  </sheetData>
  <phoneticPr fontId="7" type="noConversion"/>
  <pageMargins left="0.75" right="0.75" top="1" bottom="1" header="0.5" footer="0.5"/>
  <pageSetup paperSize="9" orientation="portrait" verticalDpi="1200" r:id="rId1"/>
  <headerFooter alignWithMargins="0"/>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tabColor theme="0"/>
  </sheetPr>
  <dimension ref="A1:IU636"/>
  <sheetViews>
    <sheetView workbookViewId="0">
      <pane xSplit="2" ySplit="2" topLeftCell="C3" activePane="bottomRight" state="frozen"/>
      <selection pane="topRight" activeCell="C1" sqref="C1"/>
      <selection pane="bottomLeft" activeCell="A4" sqref="A4"/>
      <selection pane="bottomRight"/>
    </sheetView>
  </sheetViews>
  <sheetFormatPr defaultColWidth="9.375" defaultRowHeight="13.2"/>
  <cols>
    <col min="1" max="1" width="29.625" style="591" customWidth="1"/>
    <col min="2" max="2" width="14.125" style="592" hidden="1" customWidth="1"/>
    <col min="3" max="3" width="17" style="593" customWidth="1"/>
    <col min="4" max="4" width="15.5" style="593" customWidth="1"/>
    <col min="5" max="8" width="14.125" style="593" customWidth="1"/>
    <col min="9" max="9" width="14.125" style="584" customWidth="1"/>
    <col min="10" max="10" width="14.125" style="592" customWidth="1"/>
    <col min="11" max="11" width="14.125" style="593" customWidth="1"/>
    <col min="12" max="14" width="14.125" style="593" hidden="1" customWidth="1"/>
    <col min="15" max="15" width="14.125" style="593" customWidth="1"/>
    <col min="16" max="16" width="27.125" style="593" hidden="1" customWidth="1"/>
    <col min="17" max="17" width="14.125" style="569" customWidth="1"/>
    <col min="18" max="39" width="15.875" style="569" customWidth="1"/>
    <col min="40" max="16384" width="9.375" style="569"/>
  </cols>
  <sheetData>
    <row r="1" spans="1:255" s="548" customFormat="1" ht="20.25" customHeight="1">
      <c r="A1" s="784"/>
      <c r="B1" s="784"/>
      <c r="C1" s="785"/>
      <c r="D1" s="786"/>
      <c r="E1" s="594"/>
      <c r="H1" s="549"/>
      <c r="I1" s="550"/>
      <c r="J1" s="551"/>
      <c r="K1" s="552"/>
      <c r="L1" s="553"/>
      <c r="M1" s="549"/>
      <c r="N1" s="549"/>
      <c r="O1" s="549"/>
      <c r="P1" s="549"/>
      <c r="Q1" s="549"/>
    </row>
    <row r="2" spans="1:255" s="558" customFormat="1" ht="12">
      <c r="A2" s="1073"/>
      <c r="B2" s="557"/>
      <c r="C2" s="1079" t="str">
        <f ca="1">CONCATENATE(数据输入!O5,"-12-","31")</f>
        <v>2021-12-31</v>
      </c>
      <c r="D2" s="1079" t="str">
        <f ca="1">CONCATENATE(数据输入!O4,"-03-","31")</f>
        <v>2022-03-31</v>
      </c>
      <c r="E2" s="1079" t="str">
        <f ca="1">CONCATENATE(数据输入!O4,"-06-","30")</f>
        <v>2022-06-30</v>
      </c>
      <c r="F2" s="1079" t="str">
        <f ca="1">CONCATENATE(数据输入!O4,"-09-","30")</f>
        <v>2022-09-30</v>
      </c>
      <c r="G2" s="1079" t="str">
        <f ca="1">CONCATENATE(数据输入!O4,"-12-","31")</f>
        <v>2022-12-31</v>
      </c>
      <c r="H2" s="1079" t="str">
        <f ca="1">CONCATENATE(数据输入!O3,"-03-","31")</f>
        <v>2023-03-31</v>
      </c>
      <c r="I2" s="1079" t="str">
        <f ca="1">CONCATENATE(数据输入!O3,"-06-","30")</f>
        <v>2023-06-30</v>
      </c>
      <c r="J2" s="1079" t="str">
        <f ca="1">CONCATENATE(数据输入!O3,"-09-","30")</f>
        <v>2023-09-30</v>
      </c>
      <c r="K2" s="1079" t="str">
        <f ca="1">CONCATENATE(数据输入!O3,"-12-","31")</f>
        <v>2023-12-31</v>
      </c>
      <c r="L2" s="1079" t="str">
        <f ca="1">CONCATENATE(数据输入!O2,"-03-","31")</f>
        <v>2024-03-31</v>
      </c>
      <c r="M2" s="1079" t="str">
        <f ca="1">CONCATENATE(数据输入!O2,"-06-","30")</f>
        <v>2024-06-30</v>
      </c>
      <c r="N2" s="1079" t="str">
        <f ca="1">CONCATENATE(数据输入!O2,"-09-","30")</f>
        <v>2024-09-30</v>
      </c>
      <c r="O2" s="557"/>
      <c r="P2" s="557"/>
      <c r="Q2" s="557"/>
      <c r="R2" s="557"/>
      <c r="S2" s="557"/>
      <c r="T2" s="557"/>
      <c r="U2" s="557"/>
      <c r="V2" s="557"/>
      <c r="W2" s="557"/>
      <c r="X2" s="557"/>
      <c r="Y2" s="557"/>
      <c r="Z2" s="557"/>
      <c r="AA2" s="557"/>
      <c r="AB2" s="557"/>
      <c r="AC2" s="557"/>
      <c r="AD2" s="557"/>
      <c r="AE2" s="557"/>
      <c r="AF2" s="557"/>
      <c r="AG2" s="557"/>
      <c r="AH2" s="557"/>
      <c r="AI2" s="557"/>
      <c r="AJ2" s="557"/>
      <c r="AK2" s="557"/>
      <c r="AL2" s="557"/>
      <c r="AM2" s="557"/>
      <c r="AN2" s="557"/>
      <c r="AO2" s="557"/>
      <c r="AP2" s="557"/>
      <c r="AQ2" s="557"/>
      <c r="AR2" s="557"/>
      <c r="AS2" s="557"/>
      <c r="AT2" s="557"/>
      <c r="AU2" s="557"/>
      <c r="AV2" s="557"/>
    </row>
    <row r="3" spans="1:255" hidden="1">
      <c r="A3" s="1074" t="s">
        <v>846</v>
      </c>
      <c r="B3" s="561"/>
      <c r="C3" s="1080">
        <f>报告期历史数据!C5</f>
        <v>7770.7241516800004</v>
      </c>
      <c r="D3" s="1080">
        <f>报告期历史数据!D5</f>
        <v>1734.63153848</v>
      </c>
      <c r="E3" s="1080">
        <f>报告期历史数据!E5</f>
        <v>4140.6018343099995</v>
      </c>
      <c r="F3" s="1080">
        <f>报告期历史数据!F5</f>
        <v>5956.5449686800002</v>
      </c>
      <c r="G3" s="1080">
        <f>报告期历史数据!G5</f>
        <v>7660.6405554399998</v>
      </c>
      <c r="H3" s="1080">
        <f>报告期历史数据!H5</f>
        <v>1866.3621105899999</v>
      </c>
      <c r="I3" s="1080">
        <f>报告期历史数据!I5</f>
        <v>4336.57805852</v>
      </c>
      <c r="J3" s="1080">
        <f>报告期历史数据!J5</f>
        <v>6240.7563878000001</v>
      </c>
      <c r="K3" s="1080">
        <f>报告期历史数据!K5</f>
        <v>0</v>
      </c>
      <c r="L3" s="1080">
        <f>报告期历史数据!L5</f>
        <v>0</v>
      </c>
      <c r="M3" s="1080">
        <f>报告期历史数据!M5</f>
        <v>0</v>
      </c>
      <c r="N3" s="1080">
        <f>报告期历史数据!N5</f>
        <v>0</v>
      </c>
      <c r="O3"/>
      <c r="P3" s="832" t="s">
        <v>1599</v>
      </c>
      <c r="Q3" s="561"/>
      <c r="R3" s="561"/>
      <c r="S3" s="561"/>
      <c r="T3" s="561"/>
      <c r="U3" s="561"/>
      <c r="V3" s="561"/>
      <c r="W3" s="561"/>
      <c r="X3" s="561"/>
      <c r="Y3" s="561"/>
      <c r="Z3" s="561"/>
      <c r="AA3" s="561"/>
      <c r="AB3" s="561"/>
      <c r="AC3" s="561"/>
      <c r="AD3" s="561"/>
      <c r="AE3" s="561"/>
      <c r="AF3" s="561"/>
      <c r="AG3" s="561"/>
      <c r="AH3" s="567"/>
      <c r="AI3" s="567"/>
      <c r="AJ3" s="567"/>
      <c r="AK3" s="567"/>
      <c r="AL3" s="567"/>
      <c r="AM3" s="567"/>
      <c r="AN3" s="567"/>
      <c r="AO3" s="567"/>
      <c r="AP3" s="567"/>
      <c r="AQ3" s="567"/>
      <c r="AR3" s="567"/>
      <c r="AS3" s="567"/>
      <c r="AT3" s="567"/>
      <c r="AU3" s="567"/>
      <c r="AV3" s="567"/>
      <c r="AW3" s="567"/>
      <c r="AX3" s="567"/>
      <c r="AY3" s="567"/>
      <c r="AZ3" s="567"/>
      <c r="BA3" s="567"/>
      <c r="BB3" s="567"/>
      <c r="BC3" s="567"/>
      <c r="BD3" s="568"/>
      <c r="BE3" s="568"/>
      <c r="BF3" s="568"/>
      <c r="BG3" s="568"/>
      <c r="BH3" s="568"/>
      <c r="BI3" s="568"/>
      <c r="BJ3" s="568"/>
      <c r="BK3" s="568"/>
      <c r="BL3" s="568"/>
      <c r="BM3" s="568"/>
      <c r="BN3" s="568"/>
      <c r="BO3" s="568"/>
      <c r="BP3" s="568"/>
      <c r="BQ3" s="568"/>
      <c r="BR3" s="568"/>
      <c r="BS3" s="568"/>
      <c r="BT3" s="568"/>
      <c r="BU3" s="568"/>
      <c r="BV3" s="568"/>
      <c r="BW3" s="568"/>
      <c r="BX3" s="568"/>
      <c r="BY3" s="568"/>
      <c r="BZ3" s="568"/>
      <c r="CA3" s="568"/>
      <c r="CB3" s="568"/>
      <c r="CC3" s="568"/>
      <c r="CD3" s="568"/>
      <c r="CE3" s="568"/>
      <c r="CF3" s="568"/>
      <c r="CG3" s="568"/>
      <c r="CH3" s="568"/>
      <c r="CI3" s="568"/>
      <c r="CJ3" s="568"/>
      <c r="CK3" s="568"/>
      <c r="CL3" s="568"/>
      <c r="CM3" s="568"/>
      <c r="CN3" s="568"/>
      <c r="CO3" s="568"/>
      <c r="CP3" s="568"/>
      <c r="CQ3" s="568"/>
      <c r="CR3" s="568"/>
      <c r="CS3" s="568"/>
      <c r="CT3" s="568"/>
      <c r="CU3" s="568"/>
      <c r="CV3" s="568"/>
      <c r="CW3" s="568"/>
      <c r="CX3" s="568"/>
      <c r="CY3" s="568"/>
      <c r="CZ3" s="568"/>
      <c r="DA3" s="568"/>
      <c r="DB3" s="568"/>
      <c r="DC3" s="568"/>
      <c r="DD3" s="568"/>
      <c r="DE3" s="568"/>
      <c r="DF3" s="568"/>
      <c r="DG3" s="568"/>
      <c r="DH3" s="568"/>
      <c r="DI3" s="568"/>
      <c r="DJ3" s="568"/>
      <c r="DK3" s="568"/>
      <c r="DL3" s="568"/>
      <c r="DM3" s="568"/>
      <c r="DN3" s="568"/>
      <c r="DO3" s="568"/>
      <c r="DP3" s="568"/>
      <c r="DQ3" s="568"/>
      <c r="DR3" s="568"/>
      <c r="DS3" s="568"/>
      <c r="DT3" s="568"/>
      <c r="DU3" s="568"/>
      <c r="DV3" s="568"/>
      <c r="DW3" s="568"/>
      <c r="DX3" s="568"/>
      <c r="DY3" s="568"/>
      <c r="DZ3" s="568"/>
      <c r="EA3" s="568"/>
      <c r="EB3" s="568"/>
      <c r="EC3" s="568"/>
      <c r="ED3" s="568"/>
      <c r="EE3" s="568"/>
      <c r="EF3" s="568"/>
      <c r="EG3" s="568"/>
      <c r="EH3" s="568"/>
      <c r="EI3" s="568"/>
      <c r="EJ3" s="568"/>
      <c r="EK3" s="568"/>
      <c r="EL3" s="568"/>
      <c r="EM3" s="568"/>
      <c r="EN3" s="568"/>
      <c r="EO3" s="568"/>
      <c r="EP3" s="568"/>
      <c r="EQ3" s="568"/>
      <c r="ER3" s="568"/>
      <c r="ES3" s="568"/>
      <c r="ET3" s="568"/>
      <c r="EU3" s="568"/>
      <c r="EV3" s="568"/>
      <c r="EW3" s="568"/>
      <c r="EX3" s="568"/>
      <c r="EY3" s="568"/>
      <c r="EZ3" s="568"/>
      <c r="FA3" s="568"/>
      <c r="FB3" s="568"/>
      <c r="FC3" s="568"/>
      <c r="FD3" s="568"/>
      <c r="FE3" s="568"/>
      <c r="FF3" s="568"/>
      <c r="FG3" s="568"/>
      <c r="FH3" s="568"/>
      <c r="FI3" s="568"/>
      <c r="FJ3" s="568"/>
      <c r="FK3" s="568"/>
      <c r="FL3" s="568"/>
      <c r="FM3" s="568"/>
      <c r="FN3" s="568"/>
      <c r="FO3" s="568"/>
      <c r="FP3" s="568"/>
      <c r="FQ3" s="568"/>
      <c r="FR3" s="568"/>
      <c r="FS3" s="568"/>
      <c r="FT3" s="568"/>
      <c r="FU3" s="568"/>
      <c r="FV3" s="568"/>
      <c r="FW3" s="568"/>
      <c r="FX3" s="568"/>
      <c r="FY3" s="568"/>
      <c r="FZ3" s="568"/>
      <c r="GA3" s="568"/>
      <c r="GB3" s="568"/>
      <c r="GC3" s="568"/>
      <c r="GD3" s="568"/>
      <c r="GE3" s="568"/>
      <c r="GF3" s="568"/>
      <c r="GG3" s="568"/>
      <c r="GH3" s="568"/>
      <c r="GI3" s="568"/>
      <c r="GJ3" s="568"/>
      <c r="GK3" s="568"/>
      <c r="GL3" s="568"/>
      <c r="GM3" s="568"/>
      <c r="GN3" s="568"/>
      <c r="GO3" s="568"/>
      <c r="GP3" s="568"/>
      <c r="GQ3" s="568"/>
      <c r="GR3" s="568"/>
      <c r="GS3" s="568"/>
      <c r="GT3" s="568"/>
      <c r="GU3" s="568"/>
      <c r="GV3" s="568"/>
      <c r="GW3" s="568"/>
      <c r="GX3" s="568"/>
      <c r="GY3" s="568"/>
      <c r="GZ3" s="568"/>
      <c r="HA3" s="568"/>
      <c r="HB3" s="568"/>
      <c r="HC3" s="568"/>
      <c r="HD3" s="568"/>
      <c r="HE3" s="568"/>
      <c r="HF3" s="568"/>
      <c r="HG3" s="568"/>
      <c r="HH3" s="568"/>
      <c r="HI3" s="568"/>
      <c r="HJ3" s="568"/>
      <c r="HK3" s="568"/>
      <c r="HL3" s="568"/>
      <c r="HM3" s="568"/>
      <c r="HN3" s="568"/>
      <c r="HO3" s="568"/>
      <c r="HP3" s="568"/>
      <c r="HQ3" s="568"/>
      <c r="HR3" s="568"/>
      <c r="HS3" s="568"/>
      <c r="HT3" s="568"/>
      <c r="HU3" s="568"/>
      <c r="HV3" s="568"/>
      <c r="HW3" s="568"/>
      <c r="HX3" s="568"/>
      <c r="HY3" s="568"/>
      <c r="HZ3" s="568"/>
      <c r="IA3" s="568"/>
      <c r="IB3" s="568"/>
      <c r="IC3" s="568"/>
      <c r="ID3" s="568"/>
      <c r="IE3" s="568"/>
      <c r="IF3" s="568"/>
      <c r="IG3" s="568"/>
      <c r="IH3" s="568"/>
      <c r="II3" s="568"/>
      <c r="IJ3" s="568"/>
      <c r="IK3" s="568"/>
      <c r="IL3" s="568"/>
      <c r="IM3" s="568"/>
      <c r="IN3" s="568"/>
      <c r="IO3" s="568"/>
      <c r="IP3" s="568"/>
      <c r="IQ3" s="568"/>
      <c r="IR3" s="568"/>
      <c r="IS3" s="568"/>
      <c r="IT3" s="568"/>
      <c r="IU3" s="568"/>
    </row>
    <row r="4" spans="1:255" hidden="1">
      <c r="A4" s="566" t="s">
        <v>985</v>
      </c>
      <c r="B4" s="561"/>
      <c r="C4" s="596">
        <f>报告期历史数据!C6</f>
        <v>5554.9510171599995</v>
      </c>
      <c r="D4" s="596">
        <f>报告期历史数据!D6</f>
        <v>1288.1157886300002</v>
      </c>
      <c r="E4" s="596">
        <f>报告期历史数据!E6</f>
        <v>3198.05150985</v>
      </c>
      <c r="F4" s="596">
        <f>报告期历史数据!F6</f>
        <v>4669.3169084900001</v>
      </c>
      <c r="G4" s="596">
        <f>报告期历史数据!G6</f>
        <v>6035.7600298300003</v>
      </c>
      <c r="H4" s="596">
        <f>报告期历史数据!H6</f>
        <v>1463.4160575999999</v>
      </c>
      <c r="I4" s="596">
        <f>报告期历史数据!I6</f>
        <v>3420.87600165</v>
      </c>
      <c r="J4" s="596">
        <f>报告期历史数据!J6</f>
        <v>4918.4441651099996</v>
      </c>
      <c r="K4" s="596">
        <f>报告期历史数据!K6</f>
        <v>0</v>
      </c>
      <c r="L4" s="596">
        <f>报告期历史数据!L6</f>
        <v>0</v>
      </c>
      <c r="M4" s="596">
        <f>报告期历史数据!M6</f>
        <v>0</v>
      </c>
      <c r="N4" s="596">
        <f>报告期历史数据!N6</f>
        <v>0</v>
      </c>
      <c r="O4"/>
      <c r="P4" s="832" t="s">
        <v>1604</v>
      </c>
      <c r="Q4" s="561"/>
      <c r="R4" s="561"/>
      <c r="S4" s="561"/>
      <c r="T4" s="561"/>
      <c r="U4" s="561"/>
      <c r="V4" s="561"/>
      <c r="W4" s="561"/>
      <c r="X4" s="561"/>
      <c r="Y4" s="561"/>
      <c r="Z4" s="561"/>
      <c r="AA4" s="561"/>
      <c r="AB4" s="561"/>
      <c r="AC4" s="561"/>
      <c r="AD4" s="561"/>
      <c r="AE4" s="561"/>
      <c r="AF4" s="561"/>
      <c r="AG4" s="561"/>
      <c r="AH4" s="567"/>
      <c r="AI4" s="567"/>
      <c r="AJ4" s="567"/>
      <c r="AK4" s="567"/>
      <c r="AL4" s="567"/>
      <c r="AM4" s="567"/>
      <c r="AN4" s="567"/>
      <c r="AO4" s="567"/>
      <c r="AP4" s="567"/>
      <c r="AQ4" s="567"/>
      <c r="AR4" s="567"/>
      <c r="AS4" s="567"/>
      <c r="AT4" s="567"/>
      <c r="AU4" s="567"/>
      <c r="AV4" s="567"/>
      <c r="AW4" s="567"/>
      <c r="AX4" s="567"/>
      <c r="AY4" s="567"/>
      <c r="AZ4" s="567"/>
      <c r="BA4" s="567"/>
      <c r="BB4" s="567"/>
      <c r="BC4" s="567"/>
      <c r="BD4" s="568"/>
      <c r="BE4" s="568"/>
      <c r="BF4" s="568"/>
      <c r="BG4" s="568"/>
      <c r="BH4" s="568"/>
      <c r="BI4" s="568"/>
      <c r="BJ4" s="568"/>
      <c r="BK4" s="568"/>
      <c r="BL4" s="568"/>
      <c r="BM4" s="568"/>
      <c r="BN4" s="568"/>
      <c r="BO4" s="568"/>
      <c r="BP4" s="568"/>
      <c r="BQ4" s="568"/>
      <c r="BR4" s="568"/>
      <c r="BS4" s="568"/>
      <c r="BT4" s="568"/>
      <c r="BU4" s="568"/>
      <c r="BV4" s="568"/>
      <c r="BW4" s="568"/>
      <c r="BX4" s="568"/>
      <c r="BY4" s="568"/>
      <c r="BZ4" s="568"/>
      <c r="CA4" s="568"/>
      <c r="CB4" s="568"/>
      <c r="CC4" s="568"/>
      <c r="CD4" s="568"/>
      <c r="CE4" s="568"/>
      <c r="CF4" s="568"/>
      <c r="CG4" s="568"/>
      <c r="CH4" s="568"/>
      <c r="CI4" s="568"/>
      <c r="CJ4" s="568"/>
      <c r="CK4" s="568"/>
      <c r="CL4" s="568"/>
      <c r="CM4" s="568"/>
      <c r="CN4" s="568"/>
      <c r="CO4" s="568"/>
      <c r="CP4" s="568"/>
      <c r="CQ4" s="568"/>
      <c r="CR4" s="568"/>
      <c r="CS4" s="568"/>
      <c r="CT4" s="568"/>
      <c r="CU4" s="568"/>
      <c r="CV4" s="568"/>
      <c r="CW4" s="568"/>
      <c r="CX4" s="568"/>
      <c r="CY4" s="568"/>
      <c r="CZ4" s="568"/>
      <c r="DA4" s="568"/>
      <c r="DB4" s="568"/>
      <c r="DC4" s="568"/>
      <c r="DD4" s="568"/>
      <c r="DE4" s="568"/>
      <c r="DF4" s="568"/>
      <c r="DG4" s="568"/>
      <c r="DH4" s="568"/>
      <c r="DI4" s="568"/>
      <c r="DJ4" s="568"/>
      <c r="DK4" s="568"/>
      <c r="DL4" s="568"/>
      <c r="DM4" s="568"/>
      <c r="DN4" s="568"/>
      <c r="DO4" s="568"/>
      <c r="DP4" s="568"/>
      <c r="DQ4" s="568"/>
      <c r="DR4" s="568"/>
      <c r="DS4" s="568"/>
      <c r="DT4" s="568"/>
      <c r="DU4" s="568"/>
      <c r="DV4" s="568"/>
      <c r="DW4" s="568"/>
      <c r="DX4" s="568"/>
      <c r="DY4" s="568"/>
      <c r="DZ4" s="568"/>
      <c r="EA4" s="568"/>
      <c r="EB4" s="568"/>
      <c r="EC4" s="568"/>
      <c r="ED4" s="568"/>
      <c r="EE4" s="568"/>
      <c r="EF4" s="568"/>
      <c r="EG4" s="568"/>
      <c r="EH4" s="568"/>
      <c r="EI4" s="568"/>
      <c r="EJ4" s="568"/>
      <c r="EK4" s="568"/>
      <c r="EL4" s="568"/>
      <c r="EM4" s="568"/>
      <c r="EN4" s="568"/>
      <c r="EO4" s="568"/>
      <c r="EP4" s="568"/>
      <c r="EQ4" s="568"/>
      <c r="ER4" s="568"/>
      <c r="ES4" s="568"/>
      <c r="ET4" s="568"/>
      <c r="EU4" s="568"/>
      <c r="EV4" s="568"/>
      <c r="EW4" s="568"/>
      <c r="EX4" s="568"/>
      <c r="EY4" s="568"/>
      <c r="EZ4" s="568"/>
      <c r="FA4" s="568"/>
      <c r="FB4" s="568"/>
      <c r="FC4" s="568"/>
      <c r="FD4" s="568"/>
      <c r="FE4" s="568"/>
      <c r="FF4" s="568"/>
      <c r="FG4" s="568"/>
      <c r="FH4" s="568"/>
      <c r="FI4" s="568"/>
      <c r="FJ4" s="568"/>
      <c r="FK4" s="568"/>
      <c r="FL4" s="568"/>
      <c r="FM4" s="568"/>
      <c r="FN4" s="568"/>
      <c r="FO4" s="568"/>
      <c r="FP4" s="568"/>
      <c r="FQ4" s="568"/>
      <c r="FR4" s="568"/>
      <c r="FS4" s="568"/>
      <c r="FT4" s="568"/>
      <c r="FU4" s="568"/>
      <c r="FV4" s="568"/>
      <c r="FW4" s="568"/>
      <c r="FX4" s="568"/>
      <c r="FY4" s="568"/>
      <c r="FZ4" s="568"/>
      <c r="GA4" s="568"/>
      <c r="GB4" s="568"/>
      <c r="GC4" s="568"/>
      <c r="GD4" s="568"/>
      <c r="GE4" s="568"/>
      <c r="GF4" s="568"/>
      <c r="GG4" s="568"/>
      <c r="GH4" s="568"/>
      <c r="GI4" s="568"/>
      <c r="GJ4" s="568"/>
      <c r="GK4" s="568"/>
      <c r="GL4" s="568"/>
      <c r="GM4" s="568"/>
      <c r="GN4" s="568"/>
      <c r="GO4" s="568"/>
      <c r="GP4" s="568"/>
      <c r="GQ4" s="568"/>
      <c r="GR4" s="568"/>
      <c r="GS4" s="568"/>
      <c r="GT4" s="568"/>
      <c r="GU4" s="568"/>
      <c r="GV4" s="568"/>
      <c r="GW4" s="568"/>
      <c r="GX4" s="568"/>
      <c r="GY4" s="568"/>
      <c r="GZ4" s="568"/>
      <c r="HA4" s="568"/>
      <c r="HB4" s="568"/>
      <c r="HC4" s="568"/>
      <c r="HD4" s="568"/>
      <c r="HE4" s="568"/>
      <c r="HF4" s="568"/>
      <c r="HG4" s="568"/>
      <c r="HH4" s="568"/>
      <c r="HI4" s="568"/>
      <c r="HJ4" s="568"/>
      <c r="HK4" s="568"/>
      <c r="HL4" s="568"/>
      <c r="HM4" s="568"/>
      <c r="HN4" s="568"/>
      <c r="HO4" s="568"/>
      <c r="HP4" s="568"/>
      <c r="HQ4" s="568"/>
      <c r="HR4" s="568"/>
      <c r="HS4" s="568"/>
      <c r="HT4" s="568"/>
      <c r="HU4" s="568"/>
      <c r="HV4" s="568"/>
      <c r="HW4" s="568"/>
      <c r="HX4" s="568"/>
      <c r="HY4" s="568"/>
      <c r="HZ4" s="568"/>
      <c r="IA4" s="568"/>
      <c r="IB4" s="568"/>
      <c r="IC4" s="568"/>
      <c r="ID4" s="568"/>
      <c r="IE4" s="568"/>
      <c r="IF4" s="568"/>
      <c r="IG4" s="568"/>
      <c r="IH4" s="568"/>
      <c r="II4" s="568"/>
      <c r="IJ4" s="568"/>
      <c r="IK4" s="568"/>
      <c r="IL4" s="568"/>
      <c r="IM4" s="568"/>
      <c r="IN4" s="568"/>
      <c r="IO4" s="568"/>
      <c r="IP4" s="568"/>
      <c r="IQ4" s="568"/>
      <c r="IR4" s="568"/>
      <c r="IS4" s="568"/>
      <c r="IT4" s="568"/>
      <c r="IU4" s="568"/>
    </row>
    <row r="5" spans="1:255" hidden="1">
      <c r="A5" s="566" t="s">
        <v>986</v>
      </c>
      <c r="B5" s="561"/>
      <c r="C5" s="596">
        <f>报告期历史数据!C7</f>
        <v>43.490777829999999</v>
      </c>
      <c r="D5" s="596">
        <f>报告期历史数据!D7</f>
        <v>9.0093716700000002</v>
      </c>
      <c r="E5" s="596">
        <f>报告期历史数据!E7</f>
        <v>17.940379989999997</v>
      </c>
      <c r="F5" s="596">
        <f>报告期历史数据!F7</f>
        <v>27.75005513</v>
      </c>
      <c r="G5" s="596">
        <f>报告期历史数据!G7</f>
        <v>36.744935640000001</v>
      </c>
      <c r="H5" s="596">
        <f>报告期历史数据!H7</f>
        <v>9.6827970600000004</v>
      </c>
      <c r="I5" s="596">
        <f>报告期历史数据!I7</f>
        <v>23.11426062</v>
      </c>
      <c r="J5" s="596">
        <f>报告期历史数据!J7</f>
        <v>34.798265860000001</v>
      </c>
      <c r="K5" s="596">
        <f>报告期历史数据!K7</f>
        <v>0</v>
      </c>
      <c r="L5" s="596">
        <f>报告期历史数据!L7</f>
        <v>0</v>
      </c>
      <c r="M5" s="596">
        <f>报告期历史数据!M7</f>
        <v>0</v>
      </c>
      <c r="N5" s="596">
        <f>报告期历史数据!N7</f>
        <v>0</v>
      </c>
      <c r="O5"/>
      <c r="P5" s="832" t="s">
        <v>1612</v>
      </c>
      <c r="Q5" s="561"/>
      <c r="R5" s="561"/>
      <c r="S5" s="561"/>
      <c r="T5" s="561"/>
      <c r="U5" s="561"/>
      <c r="V5" s="561"/>
      <c r="W5" s="561"/>
      <c r="X5" s="561"/>
      <c r="Y5" s="561"/>
      <c r="Z5" s="561"/>
      <c r="AA5" s="561"/>
      <c r="AB5" s="561"/>
      <c r="AC5" s="561"/>
      <c r="AD5" s="561"/>
      <c r="AE5" s="561"/>
      <c r="AF5" s="561"/>
      <c r="AG5" s="561"/>
      <c r="AH5" s="567"/>
      <c r="AI5" s="567"/>
      <c r="AJ5" s="567"/>
      <c r="AK5" s="567"/>
      <c r="AL5" s="567"/>
      <c r="AM5" s="567"/>
      <c r="AN5" s="567"/>
      <c r="AO5" s="567"/>
      <c r="AP5" s="567"/>
      <c r="AQ5" s="567"/>
      <c r="AR5" s="567"/>
      <c r="AS5" s="567"/>
      <c r="AT5" s="567"/>
      <c r="AU5" s="567"/>
      <c r="AV5" s="567"/>
      <c r="AW5" s="567"/>
      <c r="AX5" s="567"/>
      <c r="AY5" s="567"/>
      <c r="AZ5" s="567"/>
      <c r="BA5" s="567"/>
      <c r="BB5" s="567"/>
      <c r="BC5" s="567"/>
      <c r="BD5" s="568"/>
      <c r="BE5" s="568"/>
      <c r="BF5" s="568"/>
      <c r="BG5" s="568"/>
      <c r="BH5" s="568"/>
      <c r="BI5" s="568"/>
      <c r="BJ5" s="568"/>
      <c r="BK5" s="568"/>
      <c r="BL5" s="568"/>
      <c r="BM5" s="568"/>
      <c r="BN5" s="568"/>
      <c r="BO5" s="568"/>
      <c r="BP5" s="568"/>
      <c r="BQ5" s="568"/>
      <c r="BR5" s="568"/>
      <c r="BS5" s="568"/>
      <c r="BT5" s="568"/>
      <c r="BU5" s="568"/>
      <c r="BV5" s="568"/>
      <c r="BW5" s="568"/>
      <c r="BX5" s="568"/>
      <c r="BY5" s="568"/>
      <c r="BZ5" s="568"/>
      <c r="CA5" s="568"/>
      <c r="CB5" s="568"/>
      <c r="CC5" s="568"/>
      <c r="CD5" s="568"/>
      <c r="CE5" s="568"/>
      <c r="CF5" s="568"/>
      <c r="CG5" s="568"/>
      <c r="CH5" s="568"/>
      <c r="CI5" s="568"/>
      <c r="CJ5" s="568"/>
      <c r="CK5" s="568"/>
      <c r="CL5" s="568"/>
      <c r="CM5" s="568"/>
      <c r="CN5" s="568"/>
      <c r="CO5" s="568"/>
      <c r="CP5" s="568"/>
      <c r="CQ5" s="568"/>
      <c r="CR5" s="568"/>
      <c r="CS5" s="568"/>
      <c r="CT5" s="568"/>
      <c r="CU5" s="568"/>
      <c r="CV5" s="568"/>
      <c r="CW5" s="568"/>
      <c r="CX5" s="568"/>
      <c r="CY5" s="568"/>
      <c r="CZ5" s="568"/>
      <c r="DA5" s="568"/>
      <c r="DB5" s="568"/>
      <c r="DC5" s="568"/>
      <c r="DD5" s="568"/>
      <c r="DE5" s="568"/>
      <c r="DF5" s="568"/>
      <c r="DG5" s="568"/>
      <c r="DH5" s="568"/>
      <c r="DI5" s="568"/>
      <c r="DJ5" s="568"/>
      <c r="DK5" s="568"/>
      <c r="DL5" s="568"/>
      <c r="DM5" s="568"/>
      <c r="DN5" s="568"/>
      <c r="DO5" s="568"/>
      <c r="DP5" s="568"/>
      <c r="DQ5" s="568"/>
      <c r="DR5" s="568"/>
      <c r="DS5" s="568"/>
      <c r="DT5" s="568"/>
      <c r="DU5" s="568"/>
      <c r="DV5" s="568"/>
      <c r="DW5" s="568"/>
      <c r="DX5" s="568"/>
      <c r="DY5" s="568"/>
      <c r="DZ5" s="568"/>
      <c r="EA5" s="568"/>
      <c r="EB5" s="568"/>
      <c r="EC5" s="568"/>
      <c r="ED5" s="568"/>
      <c r="EE5" s="568"/>
      <c r="EF5" s="568"/>
      <c r="EG5" s="568"/>
      <c r="EH5" s="568"/>
      <c r="EI5" s="568"/>
      <c r="EJ5" s="568"/>
      <c r="EK5" s="568"/>
      <c r="EL5" s="568"/>
      <c r="EM5" s="568"/>
      <c r="EN5" s="568"/>
      <c r="EO5" s="568"/>
      <c r="EP5" s="568"/>
      <c r="EQ5" s="568"/>
      <c r="ER5" s="568"/>
      <c r="ES5" s="568"/>
      <c r="ET5" s="568"/>
      <c r="EU5" s="568"/>
      <c r="EV5" s="568"/>
      <c r="EW5" s="568"/>
      <c r="EX5" s="568"/>
      <c r="EY5" s="568"/>
      <c r="EZ5" s="568"/>
      <c r="FA5" s="568"/>
      <c r="FB5" s="568"/>
      <c r="FC5" s="568"/>
      <c r="FD5" s="568"/>
      <c r="FE5" s="568"/>
      <c r="FF5" s="568"/>
      <c r="FG5" s="568"/>
      <c r="FH5" s="568"/>
      <c r="FI5" s="568"/>
      <c r="FJ5" s="568"/>
      <c r="FK5" s="568"/>
      <c r="FL5" s="568"/>
      <c r="FM5" s="568"/>
      <c r="FN5" s="568"/>
      <c r="FO5" s="568"/>
      <c r="FP5" s="568"/>
      <c r="FQ5" s="568"/>
      <c r="FR5" s="568"/>
      <c r="FS5" s="568"/>
      <c r="FT5" s="568"/>
      <c r="FU5" s="568"/>
      <c r="FV5" s="568"/>
      <c r="FW5" s="568"/>
      <c r="FX5" s="568"/>
      <c r="FY5" s="568"/>
      <c r="FZ5" s="568"/>
      <c r="GA5" s="568"/>
      <c r="GB5" s="568"/>
      <c r="GC5" s="568"/>
      <c r="GD5" s="568"/>
      <c r="GE5" s="568"/>
      <c r="GF5" s="568"/>
      <c r="GG5" s="568"/>
      <c r="GH5" s="568"/>
      <c r="GI5" s="568"/>
      <c r="GJ5" s="568"/>
      <c r="GK5" s="568"/>
      <c r="GL5" s="568"/>
      <c r="GM5" s="568"/>
      <c r="GN5" s="568"/>
      <c r="GO5" s="568"/>
      <c r="GP5" s="568"/>
      <c r="GQ5" s="568"/>
      <c r="GR5" s="568"/>
      <c r="GS5" s="568"/>
      <c r="GT5" s="568"/>
      <c r="GU5" s="568"/>
      <c r="GV5" s="568"/>
      <c r="GW5" s="568"/>
      <c r="GX5" s="568"/>
      <c r="GY5" s="568"/>
      <c r="GZ5" s="568"/>
      <c r="HA5" s="568"/>
      <c r="HB5" s="568"/>
      <c r="HC5" s="568"/>
      <c r="HD5" s="568"/>
      <c r="HE5" s="568"/>
      <c r="HF5" s="568"/>
      <c r="HG5" s="568"/>
      <c r="HH5" s="568"/>
      <c r="HI5" s="568"/>
      <c r="HJ5" s="568"/>
      <c r="HK5" s="568"/>
      <c r="HL5" s="568"/>
      <c r="HM5" s="568"/>
      <c r="HN5" s="568"/>
      <c r="HO5" s="568"/>
      <c r="HP5" s="568"/>
      <c r="HQ5" s="568"/>
      <c r="HR5" s="568"/>
      <c r="HS5" s="568"/>
      <c r="HT5" s="568"/>
      <c r="HU5" s="568"/>
      <c r="HV5" s="568"/>
      <c r="HW5" s="568"/>
      <c r="HX5" s="568"/>
      <c r="HY5" s="568"/>
      <c r="HZ5" s="568"/>
      <c r="IA5" s="568"/>
      <c r="IB5" s="568"/>
      <c r="IC5" s="568"/>
      <c r="ID5" s="568"/>
      <c r="IE5" s="568"/>
      <c r="IF5" s="568"/>
      <c r="IG5" s="568"/>
      <c r="IH5" s="568"/>
      <c r="II5" s="568"/>
      <c r="IJ5" s="568"/>
      <c r="IK5" s="568"/>
      <c r="IL5" s="568"/>
      <c r="IM5" s="568"/>
      <c r="IN5" s="568"/>
      <c r="IO5" s="568"/>
      <c r="IP5" s="568"/>
      <c r="IQ5" s="568"/>
      <c r="IR5" s="568"/>
      <c r="IS5" s="568"/>
      <c r="IT5" s="568"/>
      <c r="IU5" s="568"/>
    </row>
    <row r="6" spans="1:255" hidden="1">
      <c r="A6" s="566" t="s">
        <v>637</v>
      </c>
      <c r="B6" s="561"/>
      <c r="C6" s="596">
        <f>报告期历史数据!C8</f>
        <v>472.99545004999999</v>
      </c>
      <c r="D6" s="596">
        <f>报告期历史数据!D8</f>
        <v>127.05173911</v>
      </c>
      <c r="E6" s="596">
        <f>报告期历史数据!E8</f>
        <v>240.73645218000001</v>
      </c>
      <c r="F6" s="596">
        <f>报告期历史数据!F8</f>
        <v>355.85429359</v>
      </c>
      <c r="G6" s="596">
        <f>报告期历史数据!G8</f>
        <v>509.95078439999997</v>
      </c>
      <c r="H6" s="596">
        <f>报告期历史数据!H8</f>
        <v>131.82770526000002</v>
      </c>
      <c r="I6" s="596">
        <f>报告期历史数据!I8</f>
        <v>281.23714685000004</v>
      </c>
      <c r="J6" s="596">
        <f>报告期历史数据!J8</f>
        <v>439.81556870999998</v>
      </c>
      <c r="K6" s="596">
        <f>报告期历史数据!K8</f>
        <v>0</v>
      </c>
      <c r="L6" s="596">
        <f>报告期历史数据!L8</f>
        <v>0</v>
      </c>
      <c r="M6" s="596">
        <f>报告期历史数据!M8</f>
        <v>0</v>
      </c>
      <c r="N6" s="596">
        <f>报告期历史数据!N8</f>
        <v>0</v>
      </c>
      <c r="O6"/>
      <c r="P6" s="832" t="s">
        <v>1613</v>
      </c>
      <c r="Q6" s="561"/>
      <c r="R6" s="561"/>
      <c r="S6" s="561"/>
      <c r="T6" s="561"/>
      <c r="U6" s="561"/>
      <c r="V6" s="561"/>
      <c r="W6" s="561"/>
      <c r="X6" s="561"/>
      <c r="Y6" s="561"/>
      <c r="Z6" s="561"/>
      <c r="AA6" s="561"/>
      <c r="AB6" s="561"/>
      <c r="AC6" s="561"/>
      <c r="AD6" s="561"/>
      <c r="AE6" s="561"/>
      <c r="AF6" s="561"/>
      <c r="AG6" s="561"/>
      <c r="AH6" s="567"/>
      <c r="AI6" s="567"/>
      <c r="AJ6" s="567"/>
      <c r="AK6" s="567"/>
      <c r="AL6" s="567"/>
      <c r="AM6" s="567"/>
      <c r="AN6" s="567"/>
      <c r="AO6" s="567"/>
      <c r="AP6" s="567"/>
      <c r="AQ6" s="567"/>
      <c r="AR6" s="567"/>
      <c r="AS6" s="567"/>
      <c r="AT6" s="567"/>
      <c r="AU6" s="567"/>
      <c r="AV6" s="567"/>
      <c r="AW6" s="567"/>
      <c r="AX6" s="567"/>
      <c r="AY6" s="567"/>
      <c r="AZ6" s="567"/>
      <c r="BA6" s="567"/>
      <c r="BB6" s="567"/>
      <c r="BC6" s="567"/>
      <c r="BD6" s="568"/>
      <c r="BE6" s="568"/>
      <c r="BF6" s="568"/>
      <c r="BG6" s="568"/>
      <c r="BH6" s="568"/>
      <c r="BI6" s="568"/>
      <c r="BJ6" s="568"/>
      <c r="BK6" s="568"/>
      <c r="BL6" s="568"/>
      <c r="BM6" s="568"/>
      <c r="BN6" s="568"/>
      <c r="BO6" s="568"/>
      <c r="BP6" s="568"/>
      <c r="BQ6" s="568"/>
      <c r="BR6" s="568"/>
      <c r="BS6" s="568"/>
      <c r="BT6" s="568"/>
      <c r="BU6" s="568"/>
      <c r="BV6" s="568"/>
      <c r="BW6" s="568"/>
      <c r="BX6" s="568"/>
      <c r="BY6" s="568"/>
      <c r="BZ6" s="568"/>
      <c r="CA6" s="568"/>
      <c r="CB6" s="568"/>
      <c r="CC6" s="568"/>
      <c r="CD6" s="568"/>
      <c r="CE6" s="568"/>
      <c r="CF6" s="568"/>
      <c r="CG6" s="568"/>
      <c r="CH6" s="568"/>
      <c r="CI6" s="568"/>
      <c r="CJ6" s="568"/>
      <c r="CK6" s="568"/>
      <c r="CL6" s="568"/>
      <c r="CM6" s="568"/>
      <c r="CN6" s="568"/>
      <c r="CO6" s="568"/>
      <c r="CP6" s="568"/>
      <c r="CQ6" s="568"/>
      <c r="CR6" s="568"/>
      <c r="CS6" s="568"/>
      <c r="CT6" s="568"/>
      <c r="CU6" s="568"/>
      <c r="CV6" s="568"/>
      <c r="CW6" s="568"/>
      <c r="CX6" s="568"/>
      <c r="CY6" s="568"/>
      <c r="CZ6" s="568"/>
      <c r="DA6" s="568"/>
      <c r="DB6" s="568"/>
      <c r="DC6" s="568"/>
      <c r="DD6" s="568"/>
      <c r="DE6" s="568"/>
      <c r="DF6" s="568"/>
      <c r="DG6" s="568"/>
      <c r="DH6" s="568"/>
      <c r="DI6" s="568"/>
      <c r="DJ6" s="568"/>
      <c r="DK6" s="568"/>
      <c r="DL6" s="568"/>
      <c r="DM6" s="568"/>
      <c r="DN6" s="568"/>
      <c r="DO6" s="568"/>
      <c r="DP6" s="568"/>
      <c r="DQ6" s="568"/>
      <c r="DR6" s="568"/>
      <c r="DS6" s="568"/>
      <c r="DT6" s="568"/>
      <c r="DU6" s="568"/>
      <c r="DV6" s="568"/>
      <c r="DW6" s="568"/>
      <c r="DX6" s="568"/>
      <c r="DY6" s="568"/>
      <c r="DZ6" s="568"/>
      <c r="EA6" s="568"/>
      <c r="EB6" s="568"/>
      <c r="EC6" s="568"/>
      <c r="ED6" s="568"/>
      <c r="EE6" s="568"/>
      <c r="EF6" s="568"/>
      <c r="EG6" s="568"/>
      <c r="EH6" s="568"/>
      <c r="EI6" s="568"/>
      <c r="EJ6" s="568"/>
      <c r="EK6" s="568"/>
      <c r="EL6" s="568"/>
      <c r="EM6" s="568"/>
      <c r="EN6" s="568"/>
      <c r="EO6" s="568"/>
      <c r="EP6" s="568"/>
      <c r="EQ6" s="568"/>
      <c r="ER6" s="568"/>
      <c r="ES6" s="568"/>
      <c r="ET6" s="568"/>
      <c r="EU6" s="568"/>
      <c r="EV6" s="568"/>
      <c r="EW6" s="568"/>
      <c r="EX6" s="568"/>
      <c r="EY6" s="568"/>
      <c r="EZ6" s="568"/>
      <c r="FA6" s="568"/>
      <c r="FB6" s="568"/>
      <c r="FC6" s="568"/>
      <c r="FD6" s="568"/>
      <c r="FE6" s="568"/>
      <c r="FF6" s="568"/>
      <c r="FG6" s="568"/>
      <c r="FH6" s="568"/>
      <c r="FI6" s="568"/>
      <c r="FJ6" s="568"/>
      <c r="FK6" s="568"/>
      <c r="FL6" s="568"/>
      <c r="FM6" s="568"/>
      <c r="FN6" s="568"/>
      <c r="FO6" s="568"/>
      <c r="FP6" s="568"/>
      <c r="FQ6" s="568"/>
      <c r="FR6" s="568"/>
      <c r="FS6" s="568"/>
      <c r="FT6" s="568"/>
      <c r="FU6" s="568"/>
      <c r="FV6" s="568"/>
      <c r="FW6" s="568"/>
      <c r="FX6" s="568"/>
      <c r="FY6" s="568"/>
      <c r="FZ6" s="568"/>
      <c r="GA6" s="568"/>
      <c r="GB6" s="568"/>
      <c r="GC6" s="568"/>
      <c r="GD6" s="568"/>
      <c r="GE6" s="568"/>
      <c r="GF6" s="568"/>
      <c r="GG6" s="568"/>
      <c r="GH6" s="568"/>
      <c r="GI6" s="568"/>
      <c r="GJ6" s="568"/>
      <c r="GK6" s="568"/>
      <c r="GL6" s="568"/>
      <c r="GM6" s="568"/>
      <c r="GN6" s="568"/>
      <c r="GO6" s="568"/>
      <c r="GP6" s="568"/>
      <c r="GQ6" s="568"/>
      <c r="GR6" s="568"/>
      <c r="GS6" s="568"/>
      <c r="GT6" s="568"/>
      <c r="GU6" s="568"/>
      <c r="GV6" s="568"/>
      <c r="GW6" s="568"/>
      <c r="GX6" s="568"/>
      <c r="GY6" s="568"/>
      <c r="GZ6" s="568"/>
      <c r="HA6" s="568"/>
      <c r="HB6" s="568"/>
      <c r="HC6" s="568"/>
      <c r="HD6" s="568"/>
      <c r="HE6" s="568"/>
      <c r="HF6" s="568"/>
      <c r="HG6" s="568"/>
      <c r="HH6" s="568"/>
      <c r="HI6" s="568"/>
      <c r="HJ6" s="568"/>
      <c r="HK6" s="568"/>
      <c r="HL6" s="568"/>
      <c r="HM6" s="568"/>
      <c r="HN6" s="568"/>
      <c r="HO6" s="568"/>
      <c r="HP6" s="568"/>
      <c r="HQ6" s="568"/>
      <c r="HR6" s="568"/>
      <c r="HS6" s="568"/>
      <c r="HT6" s="568"/>
      <c r="HU6" s="568"/>
      <c r="HV6" s="568"/>
      <c r="HW6" s="568"/>
      <c r="HX6" s="568"/>
      <c r="HY6" s="568"/>
      <c r="HZ6" s="568"/>
      <c r="IA6" s="568"/>
      <c r="IB6" s="568"/>
      <c r="IC6" s="568"/>
      <c r="ID6" s="568"/>
      <c r="IE6" s="568"/>
      <c r="IF6" s="568"/>
      <c r="IG6" s="568"/>
      <c r="IH6" s="568"/>
      <c r="II6" s="568"/>
      <c r="IJ6" s="568"/>
      <c r="IK6" s="568"/>
      <c r="IL6" s="568"/>
      <c r="IM6" s="568"/>
      <c r="IN6" s="568"/>
      <c r="IO6" s="568"/>
      <c r="IP6" s="568"/>
      <c r="IQ6" s="568"/>
      <c r="IR6" s="568"/>
      <c r="IS6" s="568"/>
      <c r="IT6" s="568"/>
      <c r="IU6" s="568"/>
    </row>
    <row r="7" spans="1:255" hidden="1">
      <c r="A7" s="566" t="s">
        <v>1058</v>
      </c>
      <c r="B7" s="561"/>
      <c r="C7" s="596">
        <f>报告期历史数据!C9</f>
        <v>289.52784451999997</v>
      </c>
      <c r="D7" s="596">
        <f>报告期历史数据!D9</f>
        <v>85.822405319999987</v>
      </c>
      <c r="E7" s="596">
        <f>报告期历史数据!E9</f>
        <v>152.73135051</v>
      </c>
      <c r="F7" s="596">
        <f>报告期历史数据!F9</f>
        <v>230.10787234</v>
      </c>
      <c r="G7" s="596">
        <f>报告期历史数据!G9</f>
        <v>300.71854592</v>
      </c>
      <c r="H7" s="596">
        <f>报告期历史数据!H9</f>
        <v>85.96250379</v>
      </c>
      <c r="I7" s="596">
        <f>报告期历史数据!I9</f>
        <v>162.83727356</v>
      </c>
      <c r="J7" s="596">
        <f>报告期历史数据!J9</f>
        <v>233.45426174000002</v>
      </c>
      <c r="K7" s="596">
        <f>报告期历史数据!K9</f>
        <v>0</v>
      </c>
      <c r="L7" s="596">
        <f>报告期历史数据!L9</f>
        <v>0</v>
      </c>
      <c r="M7" s="596">
        <f>报告期历史数据!M9</f>
        <v>0</v>
      </c>
      <c r="N7" s="596">
        <f>报告期历史数据!N9</f>
        <v>0</v>
      </c>
      <c r="O7"/>
      <c r="P7" s="832" t="s">
        <v>1614</v>
      </c>
      <c r="Q7" s="561"/>
      <c r="R7" s="561"/>
      <c r="S7" s="561"/>
      <c r="T7" s="561"/>
      <c r="U7" s="561"/>
      <c r="V7" s="561"/>
      <c r="W7" s="561"/>
      <c r="X7" s="561"/>
      <c r="Y7" s="561"/>
      <c r="Z7" s="561"/>
      <c r="AA7" s="561"/>
      <c r="AB7" s="561"/>
      <c r="AC7" s="561"/>
      <c r="AD7" s="561"/>
      <c r="AE7" s="561"/>
      <c r="AF7" s="561"/>
      <c r="AG7" s="561"/>
      <c r="AH7" s="567"/>
      <c r="AI7" s="567"/>
      <c r="AJ7" s="567"/>
      <c r="AK7" s="567"/>
      <c r="AL7" s="567"/>
      <c r="AM7" s="567"/>
      <c r="AN7" s="567"/>
      <c r="AO7" s="567"/>
      <c r="AP7" s="567"/>
      <c r="AQ7" s="567"/>
      <c r="AR7" s="567"/>
      <c r="AS7" s="567"/>
      <c r="AT7" s="567"/>
      <c r="AU7" s="567"/>
      <c r="AV7" s="567"/>
      <c r="AW7" s="567"/>
      <c r="AX7" s="567"/>
      <c r="AY7" s="567"/>
      <c r="AZ7" s="567"/>
      <c r="BA7" s="567"/>
      <c r="BB7" s="567"/>
      <c r="BC7" s="567"/>
      <c r="BD7" s="568"/>
      <c r="BE7" s="568"/>
      <c r="BF7" s="568"/>
      <c r="BG7" s="568"/>
      <c r="BH7" s="568"/>
      <c r="BI7" s="568"/>
      <c r="BJ7" s="568"/>
      <c r="BK7" s="568"/>
      <c r="BL7" s="568"/>
      <c r="BM7" s="568"/>
      <c r="BN7" s="568"/>
      <c r="BO7" s="568"/>
      <c r="BP7" s="568"/>
      <c r="BQ7" s="568"/>
      <c r="BR7" s="568"/>
      <c r="BS7" s="568"/>
      <c r="BT7" s="568"/>
      <c r="BU7" s="568"/>
      <c r="BV7" s="568"/>
      <c r="BW7" s="568"/>
      <c r="BX7" s="568"/>
      <c r="BY7" s="568"/>
      <c r="BZ7" s="568"/>
      <c r="CA7" s="568"/>
      <c r="CB7" s="568"/>
      <c r="CC7" s="568"/>
      <c r="CD7" s="568"/>
      <c r="CE7" s="568"/>
      <c r="CF7" s="568"/>
      <c r="CG7" s="568"/>
      <c r="CH7" s="568"/>
      <c r="CI7" s="568"/>
      <c r="CJ7" s="568"/>
      <c r="CK7" s="568"/>
      <c r="CL7" s="568"/>
      <c r="CM7" s="568"/>
      <c r="CN7" s="568"/>
      <c r="CO7" s="568"/>
      <c r="CP7" s="568"/>
      <c r="CQ7" s="568"/>
      <c r="CR7" s="568"/>
      <c r="CS7" s="568"/>
      <c r="CT7" s="568"/>
      <c r="CU7" s="568"/>
      <c r="CV7" s="568"/>
      <c r="CW7" s="568"/>
      <c r="CX7" s="568"/>
      <c r="CY7" s="568"/>
      <c r="CZ7" s="568"/>
      <c r="DA7" s="568"/>
      <c r="DB7" s="568"/>
      <c r="DC7" s="568"/>
      <c r="DD7" s="568"/>
      <c r="DE7" s="568"/>
      <c r="DF7" s="568"/>
      <c r="DG7" s="568"/>
      <c r="DH7" s="568"/>
      <c r="DI7" s="568"/>
      <c r="DJ7" s="568"/>
      <c r="DK7" s="568"/>
      <c r="DL7" s="568"/>
      <c r="DM7" s="568"/>
      <c r="DN7" s="568"/>
      <c r="DO7" s="568"/>
      <c r="DP7" s="568"/>
      <c r="DQ7" s="568"/>
      <c r="DR7" s="568"/>
      <c r="DS7" s="568"/>
      <c r="DT7" s="568"/>
      <c r="DU7" s="568"/>
      <c r="DV7" s="568"/>
      <c r="DW7" s="568"/>
      <c r="DX7" s="568"/>
      <c r="DY7" s="568"/>
      <c r="DZ7" s="568"/>
      <c r="EA7" s="568"/>
      <c r="EB7" s="568"/>
      <c r="EC7" s="568"/>
      <c r="ED7" s="568"/>
      <c r="EE7" s="568"/>
      <c r="EF7" s="568"/>
      <c r="EG7" s="568"/>
      <c r="EH7" s="568"/>
      <c r="EI7" s="568"/>
      <c r="EJ7" s="568"/>
      <c r="EK7" s="568"/>
      <c r="EL7" s="568"/>
      <c r="EM7" s="568"/>
      <c r="EN7" s="568"/>
      <c r="EO7" s="568"/>
      <c r="EP7" s="568"/>
      <c r="EQ7" s="568"/>
      <c r="ER7" s="568"/>
      <c r="ES7" s="568"/>
      <c r="ET7" s="568"/>
      <c r="EU7" s="568"/>
      <c r="EV7" s="568"/>
      <c r="EW7" s="568"/>
      <c r="EX7" s="568"/>
      <c r="EY7" s="568"/>
      <c r="EZ7" s="568"/>
      <c r="FA7" s="568"/>
      <c r="FB7" s="568"/>
      <c r="FC7" s="568"/>
      <c r="FD7" s="568"/>
      <c r="FE7" s="568"/>
      <c r="FF7" s="568"/>
      <c r="FG7" s="568"/>
      <c r="FH7" s="568"/>
      <c r="FI7" s="568"/>
      <c r="FJ7" s="568"/>
      <c r="FK7" s="568"/>
      <c r="FL7" s="568"/>
      <c r="FM7" s="568"/>
      <c r="FN7" s="568"/>
      <c r="FO7" s="568"/>
      <c r="FP7" s="568"/>
      <c r="FQ7" s="568"/>
      <c r="FR7" s="568"/>
      <c r="FS7" s="568"/>
      <c r="FT7" s="568"/>
      <c r="FU7" s="568"/>
      <c r="FV7" s="568"/>
      <c r="FW7" s="568"/>
      <c r="FX7" s="568"/>
      <c r="FY7" s="568"/>
      <c r="FZ7" s="568"/>
      <c r="GA7" s="568"/>
      <c r="GB7" s="568"/>
      <c r="GC7" s="568"/>
      <c r="GD7" s="568"/>
      <c r="GE7" s="568"/>
      <c r="GF7" s="568"/>
      <c r="GG7" s="568"/>
      <c r="GH7" s="568"/>
      <c r="GI7" s="568"/>
      <c r="GJ7" s="568"/>
      <c r="GK7" s="568"/>
      <c r="GL7" s="568"/>
      <c r="GM7" s="568"/>
      <c r="GN7" s="568"/>
      <c r="GO7" s="568"/>
      <c r="GP7" s="568"/>
      <c r="GQ7" s="568"/>
      <c r="GR7" s="568"/>
      <c r="GS7" s="568"/>
      <c r="GT7" s="568"/>
      <c r="GU7" s="568"/>
      <c r="GV7" s="568"/>
      <c r="GW7" s="568"/>
      <c r="GX7" s="568"/>
      <c r="GY7" s="568"/>
      <c r="GZ7" s="568"/>
      <c r="HA7" s="568"/>
      <c r="HB7" s="568"/>
      <c r="HC7" s="568"/>
      <c r="HD7" s="568"/>
      <c r="HE7" s="568"/>
      <c r="HF7" s="568"/>
      <c r="HG7" s="568"/>
      <c r="HH7" s="568"/>
      <c r="HI7" s="568"/>
      <c r="HJ7" s="568"/>
      <c r="HK7" s="568"/>
      <c r="HL7" s="568"/>
      <c r="HM7" s="568"/>
      <c r="HN7" s="568"/>
      <c r="HO7" s="568"/>
      <c r="HP7" s="568"/>
      <c r="HQ7" s="568"/>
      <c r="HR7" s="568"/>
      <c r="HS7" s="568"/>
      <c r="HT7" s="568"/>
      <c r="HU7" s="568"/>
      <c r="HV7" s="568"/>
      <c r="HW7" s="568"/>
      <c r="HX7" s="568"/>
      <c r="HY7" s="568"/>
      <c r="HZ7" s="568"/>
      <c r="IA7" s="568"/>
      <c r="IB7" s="568"/>
      <c r="IC7" s="568"/>
      <c r="ID7" s="568"/>
      <c r="IE7" s="568"/>
      <c r="IF7" s="568"/>
      <c r="IG7" s="568"/>
      <c r="IH7" s="568"/>
      <c r="II7" s="568"/>
      <c r="IJ7" s="568"/>
      <c r="IK7" s="568"/>
      <c r="IL7" s="568"/>
      <c r="IM7" s="568"/>
      <c r="IN7" s="568"/>
      <c r="IO7" s="568"/>
      <c r="IP7" s="568"/>
      <c r="IQ7" s="568"/>
      <c r="IR7" s="568"/>
      <c r="IS7" s="568"/>
      <c r="IT7" s="568"/>
      <c r="IU7" s="568"/>
    </row>
    <row r="8" spans="1:255" hidden="1">
      <c r="A8" s="566" t="s">
        <v>987</v>
      </c>
      <c r="B8" s="561"/>
      <c r="C8" s="596">
        <f>报告期历史数据!C11</f>
        <v>42.603031940000001</v>
      </c>
      <c r="D8" s="596">
        <f>报告期历史数据!D11</f>
        <v>17.635382249999999</v>
      </c>
      <c r="E8" s="596">
        <f>报告期历史数据!E11</f>
        <v>41.789257720000002</v>
      </c>
      <c r="F8" s="596">
        <f>报告期历史数据!F11</f>
        <v>56.937776899999996</v>
      </c>
      <c r="G8" s="596">
        <f>报告期历史数据!G11</f>
        <v>75.63140765</v>
      </c>
      <c r="H8" s="596">
        <f>报告期历史数据!H11</f>
        <v>18.99991073</v>
      </c>
      <c r="I8" s="596">
        <f>报告期历史数据!I11</f>
        <v>44.826395789999999</v>
      </c>
      <c r="J8" s="596">
        <f>报告期历史数据!J11</f>
        <v>52.155814630000002</v>
      </c>
      <c r="K8" s="596">
        <f>报告期历史数据!K11</f>
        <v>0</v>
      </c>
      <c r="L8" s="596">
        <f>报告期历史数据!L11</f>
        <v>0</v>
      </c>
      <c r="M8" s="596">
        <f>报告期历史数据!M11</f>
        <v>0</v>
      </c>
      <c r="N8" s="596">
        <f>报告期历史数据!N11</f>
        <v>0</v>
      </c>
      <c r="O8"/>
      <c r="P8" s="832" t="s">
        <v>1615</v>
      </c>
      <c r="Q8" s="561"/>
      <c r="R8" s="561"/>
      <c r="S8" s="561"/>
      <c r="T8" s="561"/>
      <c r="U8" s="561"/>
      <c r="V8" s="561"/>
      <c r="W8" s="561"/>
      <c r="X8" s="561"/>
      <c r="Y8" s="561"/>
      <c r="Z8" s="561"/>
      <c r="AA8" s="561"/>
      <c r="AB8" s="561"/>
      <c r="AC8" s="561"/>
      <c r="AD8" s="561"/>
      <c r="AE8" s="561"/>
      <c r="AF8" s="561"/>
      <c r="AG8" s="561"/>
      <c r="AH8" s="567"/>
      <c r="AI8" s="567"/>
      <c r="AJ8" s="567"/>
      <c r="AK8" s="567"/>
      <c r="AL8" s="567"/>
      <c r="AM8" s="567"/>
      <c r="AN8" s="567"/>
      <c r="AO8" s="567"/>
      <c r="AP8" s="567"/>
      <c r="AQ8" s="567"/>
      <c r="AR8" s="567"/>
      <c r="AS8" s="567"/>
      <c r="AT8" s="567"/>
      <c r="AU8" s="567"/>
      <c r="AV8" s="567"/>
      <c r="AW8" s="567"/>
      <c r="AX8" s="567"/>
      <c r="AY8" s="567"/>
      <c r="AZ8" s="567"/>
      <c r="BA8" s="567"/>
      <c r="BB8" s="567"/>
      <c r="BC8" s="567"/>
      <c r="BD8" s="568"/>
      <c r="BE8" s="568"/>
      <c r="BF8" s="568"/>
      <c r="BG8" s="568"/>
      <c r="BH8" s="568"/>
      <c r="BI8" s="568"/>
      <c r="BJ8" s="568"/>
      <c r="BK8" s="568"/>
      <c r="BL8" s="568"/>
      <c r="BM8" s="568"/>
      <c r="BN8" s="568"/>
      <c r="BO8" s="568"/>
      <c r="BP8" s="568"/>
      <c r="BQ8" s="568"/>
      <c r="BR8" s="568"/>
      <c r="BS8" s="568"/>
      <c r="BT8" s="568"/>
      <c r="BU8" s="568"/>
      <c r="BV8" s="568"/>
      <c r="BW8" s="568"/>
      <c r="BX8" s="568"/>
      <c r="BY8" s="568"/>
      <c r="BZ8" s="568"/>
      <c r="CA8" s="568"/>
      <c r="CB8" s="568"/>
      <c r="CC8" s="568"/>
      <c r="CD8" s="568"/>
      <c r="CE8" s="568"/>
      <c r="CF8" s="568"/>
      <c r="CG8" s="568"/>
      <c r="CH8" s="568"/>
      <c r="CI8" s="568"/>
      <c r="CJ8" s="568"/>
      <c r="CK8" s="568"/>
      <c r="CL8" s="568"/>
      <c r="CM8" s="568"/>
      <c r="CN8" s="568"/>
      <c r="CO8" s="568"/>
      <c r="CP8" s="568"/>
      <c r="CQ8" s="568"/>
      <c r="CR8" s="568"/>
      <c r="CS8" s="568"/>
      <c r="CT8" s="568"/>
      <c r="CU8" s="568"/>
      <c r="CV8" s="568"/>
      <c r="CW8" s="568"/>
      <c r="CX8" s="568"/>
      <c r="CY8" s="568"/>
      <c r="CZ8" s="568"/>
      <c r="DA8" s="568"/>
      <c r="DB8" s="568"/>
      <c r="DC8" s="568"/>
      <c r="DD8" s="568"/>
      <c r="DE8" s="568"/>
      <c r="DF8" s="568"/>
      <c r="DG8" s="568"/>
      <c r="DH8" s="568"/>
      <c r="DI8" s="568"/>
      <c r="DJ8" s="568"/>
      <c r="DK8" s="568"/>
      <c r="DL8" s="568"/>
      <c r="DM8" s="568"/>
      <c r="DN8" s="568"/>
      <c r="DO8" s="568"/>
      <c r="DP8" s="568"/>
      <c r="DQ8" s="568"/>
      <c r="DR8" s="568"/>
      <c r="DS8" s="568"/>
      <c r="DT8" s="568"/>
      <c r="DU8" s="568"/>
      <c r="DV8" s="568"/>
      <c r="DW8" s="568"/>
      <c r="DX8" s="568"/>
      <c r="DY8" s="568"/>
      <c r="DZ8" s="568"/>
      <c r="EA8" s="568"/>
      <c r="EB8" s="568"/>
      <c r="EC8" s="568"/>
      <c r="ED8" s="568"/>
      <c r="EE8" s="568"/>
      <c r="EF8" s="568"/>
      <c r="EG8" s="568"/>
      <c r="EH8" s="568"/>
      <c r="EI8" s="568"/>
      <c r="EJ8" s="568"/>
      <c r="EK8" s="568"/>
      <c r="EL8" s="568"/>
      <c r="EM8" s="568"/>
      <c r="EN8" s="568"/>
      <c r="EO8" s="568"/>
      <c r="EP8" s="568"/>
      <c r="EQ8" s="568"/>
      <c r="ER8" s="568"/>
      <c r="ES8" s="568"/>
      <c r="ET8" s="568"/>
      <c r="EU8" s="568"/>
      <c r="EV8" s="568"/>
      <c r="EW8" s="568"/>
      <c r="EX8" s="568"/>
      <c r="EY8" s="568"/>
      <c r="EZ8" s="568"/>
      <c r="FA8" s="568"/>
      <c r="FB8" s="568"/>
      <c r="FC8" s="568"/>
      <c r="FD8" s="568"/>
      <c r="FE8" s="568"/>
      <c r="FF8" s="568"/>
      <c r="FG8" s="568"/>
      <c r="FH8" s="568"/>
      <c r="FI8" s="568"/>
      <c r="FJ8" s="568"/>
      <c r="FK8" s="568"/>
      <c r="FL8" s="568"/>
      <c r="FM8" s="568"/>
      <c r="FN8" s="568"/>
      <c r="FO8" s="568"/>
      <c r="FP8" s="568"/>
      <c r="FQ8" s="568"/>
      <c r="FR8" s="568"/>
      <c r="FS8" s="568"/>
      <c r="FT8" s="568"/>
      <c r="FU8" s="568"/>
      <c r="FV8" s="568"/>
      <c r="FW8" s="568"/>
      <c r="FX8" s="568"/>
      <c r="FY8" s="568"/>
      <c r="FZ8" s="568"/>
      <c r="GA8" s="568"/>
      <c r="GB8" s="568"/>
      <c r="GC8" s="568"/>
      <c r="GD8" s="568"/>
      <c r="GE8" s="568"/>
      <c r="GF8" s="568"/>
      <c r="GG8" s="568"/>
      <c r="GH8" s="568"/>
      <c r="GI8" s="568"/>
      <c r="GJ8" s="568"/>
      <c r="GK8" s="568"/>
      <c r="GL8" s="568"/>
      <c r="GM8" s="568"/>
      <c r="GN8" s="568"/>
      <c r="GO8" s="568"/>
      <c r="GP8" s="568"/>
      <c r="GQ8" s="568"/>
      <c r="GR8" s="568"/>
      <c r="GS8" s="568"/>
      <c r="GT8" s="568"/>
      <c r="GU8" s="568"/>
      <c r="GV8" s="568"/>
      <c r="GW8" s="568"/>
      <c r="GX8" s="568"/>
      <c r="GY8" s="568"/>
      <c r="GZ8" s="568"/>
      <c r="HA8" s="568"/>
      <c r="HB8" s="568"/>
      <c r="HC8" s="568"/>
      <c r="HD8" s="568"/>
      <c r="HE8" s="568"/>
      <c r="HF8" s="568"/>
      <c r="HG8" s="568"/>
      <c r="HH8" s="568"/>
      <c r="HI8" s="568"/>
      <c r="HJ8" s="568"/>
      <c r="HK8" s="568"/>
      <c r="HL8" s="568"/>
      <c r="HM8" s="568"/>
      <c r="HN8" s="568"/>
      <c r="HO8" s="568"/>
      <c r="HP8" s="568"/>
      <c r="HQ8" s="568"/>
      <c r="HR8" s="568"/>
      <c r="HS8" s="568"/>
      <c r="HT8" s="568"/>
      <c r="HU8" s="568"/>
      <c r="HV8" s="568"/>
      <c r="HW8" s="568"/>
      <c r="HX8" s="568"/>
      <c r="HY8" s="568"/>
      <c r="HZ8" s="568"/>
      <c r="IA8" s="568"/>
      <c r="IB8" s="568"/>
      <c r="IC8" s="568"/>
      <c r="ID8" s="568"/>
      <c r="IE8" s="568"/>
      <c r="IF8" s="568"/>
      <c r="IG8" s="568"/>
      <c r="IH8" s="568"/>
      <c r="II8" s="568"/>
      <c r="IJ8" s="568"/>
      <c r="IK8" s="568"/>
      <c r="IL8" s="568"/>
      <c r="IM8" s="568"/>
      <c r="IN8" s="568"/>
      <c r="IO8" s="568"/>
      <c r="IP8" s="568"/>
      <c r="IQ8" s="568"/>
      <c r="IR8" s="568"/>
      <c r="IS8" s="568"/>
      <c r="IT8" s="568"/>
      <c r="IU8" s="568"/>
    </row>
    <row r="9" spans="1:255" hidden="1">
      <c r="A9" s="566" t="s">
        <v>640</v>
      </c>
      <c r="B9" s="561"/>
      <c r="C9" s="596">
        <f>报告期历史数据!C12</f>
        <v>62.43521045</v>
      </c>
      <c r="D9" s="596">
        <f>报告期历史数据!D12</f>
        <v>27.182371710000002</v>
      </c>
      <c r="E9" s="596">
        <f>报告期历史数据!E12</f>
        <v>53.97053691</v>
      </c>
      <c r="F9" s="596">
        <f>报告期历史数据!F12</f>
        <v>79.133589970000003</v>
      </c>
      <c r="G9" s="596">
        <f>报告期历史数据!G12</f>
        <v>101.20494839</v>
      </c>
      <c r="H9" s="596">
        <f>报告期历史数据!H12</f>
        <v>24.87005568</v>
      </c>
      <c r="I9" s="596">
        <f>报告期历史数据!I12</f>
        <v>50.858789549999997</v>
      </c>
      <c r="J9" s="596">
        <f>报告期历史数据!J12</f>
        <v>71.746361150000013</v>
      </c>
      <c r="K9" s="596">
        <f>报告期历史数据!K12</f>
        <v>0</v>
      </c>
      <c r="L9" s="596">
        <f>报告期历史数据!L12</f>
        <v>0</v>
      </c>
      <c r="M9" s="596">
        <f>报告期历史数据!M12</f>
        <v>0</v>
      </c>
      <c r="N9" s="596">
        <f>报告期历史数据!N12</f>
        <v>0</v>
      </c>
      <c r="O9"/>
      <c r="P9" s="832" t="s">
        <v>1605</v>
      </c>
      <c r="Q9" s="561"/>
      <c r="R9" s="561"/>
      <c r="S9" s="561"/>
      <c r="T9" s="561"/>
      <c r="U9" s="561"/>
      <c r="V9" s="561"/>
      <c r="W9" s="561"/>
      <c r="X9" s="561"/>
      <c r="Y9" s="561"/>
      <c r="Z9" s="561"/>
      <c r="AA9" s="561"/>
      <c r="AB9" s="561"/>
      <c r="AC9" s="561"/>
      <c r="AD9" s="561"/>
      <c r="AE9" s="561"/>
      <c r="AF9" s="561"/>
      <c r="AG9" s="561"/>
      <c r="AH9" s="567"/>
      <c r="AI9" s="567"/>
      <c r="AJ9" s="567"/>
      <c r="AK9" s="567"/>
      <c r="AL9" s="567"/>
      <c r="AM9" s="567"/>
      <c r="AN9" s="567"/>
      <c r="AO9" s="567"/>
      <c r="AP9" s="567"/>
      <c r="AQ9" s="567"/>
      <c r="AR9" s="567"/>
      <c r="AS9" s="567"/>
      <c r="AT9" s="567"/>
      <c r="AU9" s="567"/>
      <c r="AV9" s="567"/>
      <c r="AW9" s="567"/>
      <c r="AX9" s="567"/>
      <c r="AY9" s="567"/>
      <c r="AZ9" s="567"/>
      <c r="BA9" s="567"/>
      <c r="BB9" s="567"/>
      <c r="BC9" s="567"/>
      <c r="BD9" s="568"/>
      <c r="BE9" s="568"/>
      <c r="BF9" s="568"/>
      <c r="BG9" s="568"/>
      <c r="BH9" s="568"/>
      <c r="BI9" s="568"/>
      <c r="BJ9" s="568"/>
      <c r="BK9" s="568"/>
      <c r="BL9" s="568"/>
      <c r="BM9" s="568"/>
      <c r="BN9" s="568"/>
      <c r="BO9" s="568"/>
      <c r="BP9" s="568"/>
      <c r="BQ9" s="568"/>
      <c r="BR9" s="568"/>
      <c r="BS9" s="568"/>
      <c r="BT9" s="568"/>
      <c r="BU9" s="568"/>
      <c r="BV9" s="568"/>
      <c r="BW9" s="568"/>
      <c r="BX9" s="568"/>
      <c r="BY9" s="568"/>
      <c r="BZ9" s="568"/>
      <c r="CA9" s="568"/>
      <c r="CB9" s="568"/>
      <c r="CC9" s="568"/>
      <c r="CD9" s="568"/>
      <c r="CE9" s="568"/>
      <c r="CF9" s="568"/>
      <c r="CG9" s="568"/>
      <c r="CH9" s="568"/>
      <c r="CI9" s="568"/>
      <c r="CJ9" s="568"/>
      <c r="CK9" s="568"/>
      <c r="CL9" s="568"/>
      <c r="CM9" s="568"/>
      <c r="CN9" s="568"/>
      <c r="CO9" s="568"/>
      <c r="CP9" s="568"/>
      <c r="CQ9" s="568"/>
      <c r="CR9" s="568"/>
      <c r="CS9" s="568"/>
      <c r="CT9" s="568"/>
      <c r="CU9" s="568"/>
      <c r="CV9" s="568"/>
      <c r="CW9" s="568"/>
      <c r="CX9" s="568"/>
      <c r="CY9" s="568"/>
      <c r="CZ9" s="568"/>
      <c r="DA9" s="568"/>
      <c r="DB9" s="568"/>
      <c r="DC9" s="568"/>
      <c r="DD9" s="568"/>
      <c r="DE9" s="568"/>
      <c r="DF9" s="568"/>
      <c r="DG9" s="568"/>
      <c r="DH9" s="568"/>
      <c r="DI9" s="568"/>
      <c r="DJ9" s="568"/>
      <c r="DK9" s="568"/>
      <c r="DL9" s="568"/>
      <c r="DM9" s="568"/>
      <c r="DN9" s="568"/>
      <c r="DO9" s="568"/>
      <c r="DP9" s="568"/>
      <c r="DQ9" s="568"/>
      <c r="DR9" s="568"/>
      <c r="DS9" s="568"/>
      <c r="DT9" s="568"/>
      <c r="DU9" s="568"/>
      <c r="DV9" s="568"/>
      <c r="DW9" s="568"/>
      <c r="DX9" s="568"/>
      <c r="DY9" s="568"/>
      <c r="DZ9" s="568"/>
      <c r="EA9" s="568"/>
      <c r="EB9" s="568"/>
      <c r="EC9" s="568"/>
      <c r="ED9" s="568"/>
      <c r="EE9" s="568"/>
      <c r="EF9" s="568"/>
      <c r="EG9" s="568"/>
      <c r="EH9" s="568"/>
      <c r="EI9" s="568"/>
      <c r="EJ9" s="568"/>
      <c r="EK9" s="568"/>
      <c r="EL9" s="568"/>
      <c r="EM9" s="568"/>
      <c r="EN9" s="568"/>
      <c r="EO9" s="568"/>
      <c r="EP9" s="568"/>
      <c r="EQ9" s="568"/>
      <c r="ER9" s="568"/>
      <c r="ES9" s="568"/>
      <c r="ET9" s="568"/>
      <c r="EU9" s="568"/>
      <c r="EV9" s="568"/>
      <c r="EW9" s="568"/>
      <c r="EX9" s="568"/>
      <c r="EY9" s="568"/>
      <c r="EZ9" s="568"/>
      <c r="FA9" s="568"/>
      <c r="FB9" s="568"/>
      <c r="FC9" s="568"/>
      <c r="FD9" s="568"/>
      <c r="FE9" s="568"/>
      <c r="FF9" s="568"/>
      <c r="FG9" s="568"/>
      <c r="FH9" s="568"/>
      <c r="FI9" s="568"/>
      <c r="FJ9" s="568"/>
      <c r="FK9" s="568"/>
      <c r="FL9" s="568"/>
      <c r="FM9" s="568"/>
      <c r="FN9" s="568"/>
      <c r="FO9" s="568"/>
      <c r="FP9" s="568"/>
      <c r="FQ9" s="568"/>
      <c r="FR9" s="568"/>
      <c r="FS9" s="568"/>
      <c r="FT9" s="568"/>
      <c r="FU9" s="568"/>
      <c r="FV9" s="568"/>
      <c r="FW9" s="568"/>
      <c r="FX9" s="568"/>
      <c r="FY9" s="568"/>
      <c r="FZ9" s="568"/>
      <c r="GA9" s="568"/>
      <c r="GB9" s="568"/>
      <c r="GC9" s="568"/>
      <c r="GD9" s="568"/>
      <c r="GE9" s="568"/>
      <c r="GF9" s="568"/>
      <c r="GG9" s="568"/>
      <c r="GH9" s="568"/>
      <c r="GI9" s="568"/>
      <c r="GJ9" s="568"/>
      <c r="GK9" s="568"/>
      <c r="GL9" s="568"/>
      <c r="GM9" s="568"/>
      <c r="GN9" s="568"/>
      <c r="GO9" s="568"/>
      <c r="GP9" s="568"/>
      <c r="GQ9" s="568"/>
      <c r="GR9" s="568"/>
      <c r="GS9" s="568"/>
      <c r="GT9" s="568"/>
      <c r="GU9" s="568"/>
      <c r="GV9" s="568"/>
      <c r="GW9" s="568"/>
      <c r="GX9" s="568"/>
      <c r="GY9" s="568"/>
      <c r="GZ9" s="568"/>
      <c r="HA9" s="568"/>
      <c r="HB9" s="568"/>
      <c r="HC9" s="568"/>
      <c r="HD9" s="568"/>
      <c r="HE9" s="568"/>
      <c r="HF9" s="568"/>
      <c r="HG9" s="568"/>
      <c r="HH9" s="568"/>
      <c r="HI9" s="568"/>
      <c r="HJ9" s="568"/>
      <c r="HK9" s="568"/>
      <c r="HL9" s="568"/>
      <c r="HM9" s="568"/>
      <c r="HN9" s="568"/>
      <c r="HO9" s="568"/>
      <c r="HP9" s="568"/>
      <c r="HQ9" s="568"/>
      <c r="HR9" s="568"/>
      <c r="HS9" s="568"/>
      <c r="HT9" s="568"/>
      <c r="HU9" s="568"/>
      <c r="HV9" s="568"/>
      <c r="HW9" s="568"/>
      <c r="HX9" s="568"/>
      <c r="HY9" s="568"/>
      <c r="HZ9" s="568"/>
      <c r="IA9" s="568"/>
      <c r="IB9" s="568"/>
      <c r="IC9" s="568"/>
      <c r="ID9" s="568"/>
      <c r="IE9" s="568"/>
      <c r="IF9" s="568"/>
      <c r="IG9" s="568"/>
      <c r="IH9" s="568"/>
      <c r="II9" s="568"/>
      <c r="IJ9" s="568"/>
      <c r="IK9" s="568"/>
      <c r="IL9" s="568"/>
      <c r="IM9" s="568"/>
      <c r="IN9" s="568"/>
      <c r="IO9" s="568"/>
      <c r="IP9" s="568"/>
      <c r="IQ9" s="568"/>
      <c r="IR9" s="568"/>
      <c r="IS9" s="568"/>
      <c r="IT9" s="568"/>
      <c r="IU9" s="568"/>
    </row>
    <row r="10" spans="1:255" hidden="1">
      <c r="A10" s="566" t="s">
        <v>641</v>
      </c>
      <c r="B10" s="561"/>
      <c r="C10" s="596">
        <f>报告期历史数据!C13</f>
        <v>-24.599974100000001</v>
      </c>
      <c r="D10" s="596">
        <f>报告期历史数据!D13</f>
        <v>-9.6802282200000001</v>
      </c>
      <c r="E10" s="596">
        <f>报告期历史数据!E13</f>
        <v>-13.056344810000001</v>
      </c>
      <c r="F10" s="596">
        <f>报告期历史数据!F13</f>
        <v>-23.13460169</v>
      </c>
      <c r="G10" s="596">
        <f>报告期历史数据!G13</f>
        <v>-28.396491620000003</v>
      </c>
      <c r="H10" s="596">
        <f>报告期历史数据!H13</f>
        <v>-7.1963918700000002</v>
      </c>
      <c r="I10" s="596">
        <f>报告期历史数据!I13</f>
        <v>-13.75541424</v>
      </c>
      <c r="J10" s="596">
        <f>报告期历史数据!J13</f>
        <v>-22.3893868</v>
      </c>
      <c r="K10" s="596">
        <f>报告期历史数据!K13</f>
        <v>0</v>
      </c>
      <c r="L10" s="596">
        <f>报告期历史数据!L13</f>
        <v>0</v>
      </c>
      <c r="M10" s="596">
        <f>报告期历史数据!M13</f>
        <v>0</v>
      </c>
      <c r="N10" s="596">
        <f>报告期历史数据!N13</f>
        <v>0</v>
      </c>
      <c r="O10"/>
      <c r="P10" s="832" t="s">
        <v>1600</v>
      </c>
      <c r="Q10" s="561"/>
      <c r="R10" s="561"/>
      <c r="S10" s="561"/>
      <c r="T10" s="561"/>
      <c r="U10" s="561"/>
      <c r="V10" s="561"/>
      <c r="W10" s="561"/>
      <c r="X10" s="561"/>
      <c r="Y10" s="561"/>
      <c r="Z10" s="561"/>
      <c r="AA10" s="561"/>
      <c r="AB10" s="561"/>
      <c r="AC10" s="561"/>
      <c r="AD10" s="561"/>
      <c r="AE10" s="561"/>
      <c r="AF10" s="561"/>
      <c r="AG10" s="561"/>
      <c r="AH10" s="567"/>
      <c r="AI10" s="567"/>
      <c r="AJ10" s="567"/>
      <c r="AK10" s="567"/>
      <c r="AL10" s="567"/>
      <c r="AM10" s="567"/>
      <c r="AN10" s="567"/>
      <c r="AO10" s="567"/>
      <c r="AP10" s="567"/>
      <c r="AQ10" s="567"/>
      <c r="AR10" s="567"/>
      <c r="AS10" s="567"/>
      <c r="AT10" s="567"/>
      <c r="AU10" s="567"/>
      <c r="AV10" s="567"/>
      <c r="AW10" s="567"/>
      <c r="AX10" s="567"/>
      <c r="AY10" s="567"/>
      <c r="AZ10" s="567"/>
      <c r="BA10" s="567"/>
      <c r="BB10" s="567"/>
      <c r="BC10" s="567"/>
      <c r="BD10" s="568"/>
      <c r="BE10" s="568"/>
      <c r="BF10" s="568"/>
      <c r="BG10" s="568"/>
      <c r="BH10" s="568"/>
      <c r="BI10" s="568"/>
      <c r="BJ10" s="568"/>
      <c r="BK10" s="568"/>
      <c r="BL10" s="568"/>
      <c r="BM10" s="568"/>
      <c r="BN10" s="568"/>
      <c r="BO10" s="568"/>
      <c r="BP10" s="568"/>
      <c r="BQ10" s="568"/>
      <c r="BR10" s="568"/>
      <c r="BS10" s="568"/>
      <c r="BT10" s="568"/>
      <c r="BU10" s="568"/>
      <c r="BV10" s="568"/>
      <c r="BW10" s="568"/>
      <c r="BX10" s="568"/>
      <c r="BY10" s="568"/>
      <c r="BZ10" s="568"/>
      <c r="CA10" s="568"/>
      <c r="CB10" s="568"/>
      <c r="CC10" s="568"/>
      <c r="CD10" s="568"/>
      <c r="CE10" s="568"/>
      <c r="CF10" s="568"/>
      <c r="CG10" s="568"/>
      <c r="CH10" s="568"/>
      <c r="CI10" s="568"/>
      <c r="CJ10" s="568"/>
      <c r="CK10" s="568"/>
      <c r="CL10" s="568"/>
      <c r="CM10" s="568"/>
      <c r="CN10" s="568"/>
      <c r="CO10" s="568"/>
      <c r="CP10" s="568"/>
      <c r="CQ10" s="568"/>
      <c r="CR10" s="568"/>
      <c r="CS10" s="568"/>
      <c r="CT10" s="568"/>
      <c r="CU10" s="568"/>
      <c r="CV10" s="568"/>
      <c r="CW10" s="568"/>
      <c r="CX10" s="568"/>
      <c r="CY10" s="568"/>
      <c r="CZ10" s="568"/>
      <c r="DA10" s="568"/>
      <c r="DB10" s="568"/>
      <c r="DC10" s="568"/>
      <c r="DD10" s="568"/>
      <c r="DE10" s="568"/>
      <c r="DF10" s="568"/>
      <c r="DG10" s="568"/>
      <c r="DH10" s="568"/>
      <c r="DI10" s="568"/>
      <c r="DJ10" s="568"/>
      <c r="DK10" s="568"/>
      <c r="DL10" s="568"/>
      <c r="DM10" s="568"/>
      <c r="DN10" s="568"/>
      <c r="DO10" s="568"/>
      <c r="DP10" s="568"/>
      <c r="DQ10" s="568"/>
      <c r="DR10" s="568"/>
      <c r="DS10" s="568"/>
      <c r="DT10" s="568"/>
      <c r="DU10" s="568"/>
      <c r="DV10" s="568"/>
      <c r="DW10" s="568"/>
      <c r="DX10" s="568"/>
      <c r="DY10" s="568"/>
      <c r="DZ10" s="568"/>
      <c r="EA10" s="568"/>
      <c r="EB10" s="568"/>
      <c r="EC10" s="568"/>
      <c r="ED10" s="568"/>
      <c r="EE10" s="568"/>
      <c r="EF10" s="568"/>
      <c r="EG10" s="568"/>
      <c r="EH10" s="568"/>
      <c r="EI10" s="568"/>
      <c r="EJ10" s="568"/>
      <c r="EK10" s="568"/>
      <c r="EL10" s="568"/>
      <c r="EM10" s="568"/>
      <c r="EN10" s="568"/>
      <c r="EO10" s="568"/>
      <c r="EP10" s="568"/>
      <c r="EQ10" s="568"/>
      <c r="ER10" s="568"/>
      <c r="ES10" s="568"/>
      <c r="ET10" s="568"/>
      <c r="EU10" s="568"/>
      <c r="EV10" s="568"/>
      <c r="EW10" s="568"/>
      <c r="EX10" s="568"/>
      <c r="EY10" s="568"/>
      <c r="EZ10" s="568"/>
      <c r="FA10" s="568"/>
      <c r="FB10" s="568"/>
      <c r="FC10" s="568"/>
      <c r="FD10" s="568"/>
      <c r="FE10" s="568"/>
      <c r="FF10" s="568"/>
      <c r="FG10" s="568"/>
      <c r="FH10" s="568"/>
      <c r="FI10" s="568"/>
      <c r="FJ10" s="568"/>
      <c r="FK10" s="568"/>
      <c r="FL10" s="568"/>
      <c r="FM10" s="568"/>
      <c r="FN10" s="568"/>
      <c r="FO10" s="568"/>
      <c r="FP10" s="568"/>
      <c r="FQ10" s="568"/>
      <c r="FR10" s="568"/>
      <c r="FS10" s="568"/>
      <c r="FT10" s="568"/>
      <c r="FU10" s="568"/>
      <c r="FV10" s="568"/>
      <c r="FW10" s="568"/>
      <c r="FX10" s="568"/>
      <c r="FY10" s="568"/>
      <c r="FZ10" s="568"/>
      <c r="GA10" s="568"/>
      <c r="GB10" s="568"/>
      <c r="GC10" s="568"/>
      <c r="GD10" s="568"/>
      <c r="GE10" s="568"/>
      <c r="GF10" s="568"/>
      <c r="GG10" s="568"/>
      <c r="GH10" s="568"/>
      <c r="GI10" s="568"/>
      <c r="GJ10" s="568"/>
      <c r="GK10" s="568"/>
      <c r="GL10" s="568"/>
      <c r="GM10" s="568"/>
      <c r="GN10" s="568"/>
      <c r="GO10" s="568"/>
      <c r="GP10" s="568"/>
      <c r="GQ10" s="568"/>
      <c r="GR10" s="568"/>
      <c r="GS10" s="568"/>
      <c r="GT10" s="568"/>
      <c r="GU10" s="568"/>
      <c r="GV10" s="568"/>
      <c r="GW10" s="568"/>
      <c r="GX10" s="568"/>
      <c r="GY10" s="568"/>
      <c r="GZ10" s="568"/>
      <c r="HA10" s="568"/>
      <c r="HB10" s="568"/>
      <c r="HC10" s="568"/>
      <c r="HD10" s="568"/>
      <c r="HE10" s="568"/>
      <c r="HF10" s="568"/>
      <c r="HG10" s="568"/>
      <c r="HH10" s="568"/>
      <c r="HI10" s="568"/>
      <c r="HJ10" s="568"/>
      <c r="HK10" s="568"/>
      <c r="HL10" s="568"/>
      <c r="HM10" s="568"/>
      <c r="HN10" s="568"/>
      <c r="HO10" s="568"/>
      <c r="HP10" s="568"/>
      <c r="HQ10" s="568"/>
      <c r="HR10" s="568"/>
      <c r="HS10" s="568"/>
      <c r="HT10" s="568"/>
      <c r="HU10" s="568"/>
      <c r="HV10" s="568"/>
      <c r="HW10" s="568"/>
      <c r="HX10" s="568"/>
      <c r="HY10" s="568"/>
      <c r="HZ10" s="568"/>
      <c r="IA10" s="568"/>
      <c r="IB10" s="568"/>
      <c r="IC10" s="568"/>
      <c r="ID10" s="568"/>
      <c r="IE10" s="568"/>
      <c r="IF10" s="568"/>
      <c r="IG10" s="568"/>
      <c r="IH10" s="568"/>
      <c r="II10" s="568"/>
      <c r="IJ10" s="568"/>
      <c r="IK10" s="568"/>
      <c r="IL10" s="568"/>
      <c r="IM10" s="568"/>
      <c r="IN10" s="568"/>
      <c r="IO10" s="568"/>
      <c r="IP10" s="568"/>
      <c r="IQ10" s="568"/>
      <c r="IR10" s="568"/>
      <c r="IS10" s="568"/>
      <c r="IT10" s="568"/>
      <c r="IU10" s="568"/>
    </row>
    <row r="11" spans="1:255" hidden="1">
      <c r="A11" s="566" t="s">
        <v>642</v>
      </c>
      <c r="B11" s="561"/>
      <c r="C11" s="596">
        <f>报告期历史数据!C14</f>
        <v>-26.00877388</v>
      </c>
      <c r="D11" s="596">
        <f>报告期历史数据!D14</f>
        <v>-1.2618519500000001</v>
      </c>
      <c r="E11" s="596">
        <f>报告期历史数据!E14</f>
        <v>-1.46311266</v>
      </c>
      <c r="F11" s="596">
        <f>报告期历史数据!F14</f>
        <v>-4.1733673199999997</v>
      </c>
      <c r="G11" s="596">
        <f>报告期历史数据!G14</f>
        <v>-38.068680430000001</v>
      </c>
      <c r="H11" s="596">
        <f>报告期历史数据!H14</f>
        <v>-3.6950267999999999</v>
      </c>
      <c r="I11" s="596">
        <f>报告期历史数据!I14</f>
        <v>-6.0866276100000007</v>
      </c>
      <c r="J11" s="596">
        <f>报告期历史数据!J14</f>
        <v>-13.16292234</v>
      </c>
      <c r="K11" s="596">
        <f>报告期历史数据!K14</f>
        <v>0</v>
      </c>
      <c r="L11" s="596">
        <f>报告期历史数据!L14</f>
        <v>0</v>
      </c>
      <c r="M11" s="596">
        <f>报告期历史数据!M14</f>
        <v>0</v>
      </c>
      <c r="N11" s="596">
        <f>报告期历史数据!N14</f>
        <v>0</v>
      </c>
      <c r="O11"/>
      <c r="P11" s="832" t="s">
        <v>1616</v>
      </c>
      <c r="Q11" s="561"/>
      <c r="R11" s="561"/>
      <c r="S11" s="561"/>
      <c r="T11" s="561"/>
      <c r="U11" s="561"/>
      <c r="V11" s="561"/>
      <c r="W11" s="561"/>
      <c r="X11" s="561"/>
      <c r="Y11" s="561"/>
      <c r="Z11" s="561"/>
      <c r="AA11" s="561"/>
      <c r="AB11" s="561"/>
      <c r="AC11" s="561"/>
      <c r="AD11" s="561"/>
      <c r="AE11" s="561"/>
      <c r="AF11" s="561"/>
      <c r="AG11" s="561"/>
      <c r="AH11" s="567"/>
      <c r="AI11" s="567"/>
      <c r="AJ11" s="567"/>
      <c r="AK11" s="567"/>
      <c r="AL11" s="567"/>
      <c r="AM11" s="567"/>
      <c r="AN11" s="567"/>
      <c r="AO11" s="567"/>
      <c r="AP11" s="567"/>
      <c r="AQ11" s="567"/>
      <c r="AR11" s="567"/>
      <c r="AS11" s="567"/>
      <c r="AT11" s="567"/>
      <c r="AU11" s="567"/>
      <c r="AV11" s="567"/>
      <c r="AW11" s="567"/>
      <c r="AX11" s="567"/>
      <c r="AY11" s="567"/>
      <c r="AZ11" s="567"/>
      <c r="BA11" s="567"/>
      <c r="BB11" s="567"/>
      <c r="BC11" s="567"/>
      <c r="BD11" s="568"/>
      <c r="BE11" s="568"/>
      <c r="BF11" s="568"/>
      <c r="BG11" s="568"/>
      <c r="BH11" s="568"/>
      <c r="BI11" s="568"/>
      <c r="BJ11" s="568"/>
      <c r="BK11" s="568"/>
      <c r="BL11" s="568"/>
      <c r="BM11" s="568"/>
      <c r="BN11" s="568"/>
      <c r="BO11" s="568"/>
      <c r="BP11" s="568"/>
      <c r="BQ11" s="568"/>
      <c r="BR11" s="568"/>
      <c r="BS11" s="568"/>
      <c r="BT11" s="568"/>
      <c r="BU11" s="568"/>
      <c r="BV11" s="568"/>
      <c r="BW11" s="568"/>
      <c r="BX11" s="568"/>
      <c r="BY11" s="568"/>
      <c r="BZ11" s="568"/>
      <c r="CA11" s="568"/>
      <c r="CB11" s="568"/>
      <c r="CC11" s="568"/>
      <c r="CD11" s="568"/>
      <c r="CE11" s="568"/>
      <c r="CF11" s="568"/>
      <c r="CG11" s="568"/>
      <c r="CH11" s="568"/>
      <c r="CI11" s="568"/>
      <c r="CJ11" s="568"/>
      <c r="CK11" s="568"/>
      <c r="CL11" s="568"/>
      <c r="CM11" s="568"/>
      <c r="CN11" s="568"/>
      <c r="CO11" s="568"/>
      <c r="CP11" s="568"/>
      <c r="CQ11" s="568"/>
      <c r="CR11" s="568"/>
      <c r="CS11" s="568"/>
      <c r="CT11" s="568"/>
      <c r="CU11" s="568"/>
      <c r="CV11" s="568"/>
      <c r="CW11" s="568"/>
      <c r="CX11" s="568"/>
      <c r="CY11" s="568"/>
      <c r="CZ11" s="568"/>
      <c r="DA11" s="568"/>
      <c r="DB11" s="568"/>
      <c r="DC11" s="568"/>
      <c r="DD11" s="568"/>
      <c r="DE11" s="568"/>
      <c r="DF11" s="568"/>
      <c r="DG11" s="568"/>
      <c r="DH11" s="568"/>
      <c r="DI11" s="568"/>
      <c r="DJ11" s="568"/>
      <c r="DK11" s="568"/>
      <c r="DL11" s="568"/>
      <c r="DM11" s="568"/>
      <c r="DN11" s="568"/>
      <c r="DO11" s="568"/>
      <c r="DP11" s="568"/>
      <c r="DQ11" s="568"/>
      <c r="DR11" s="568"/>
      <c r="DS11" s="568"/>
      <c r="DT11" s="568"/>
      <c r="DU11" s="568"/>
      <c r="DV11" s="568"/>
      <c r="DW11" s="568"/>
      <c r="DX11" s="568"/>
      <c r="DY11" s="568"/>
      <c r="DZ11" s="568"/>
      <c r="EA11" s="568"/>
      <c r="EB11" s="568"/>
      <c r="EC11" s="568"/>
      <c r="ED11" s="568"/>
      <c r="EE11" s="568"/>
      <c r="EF11" s="568"/>
      <c r="EG11" s="568"/>
      <c r="EH11" s="568"/>
      <c r="EI11" s="568"/>
      <c r="EJ11" s="568"/>
      <c r="EK11" s="568"/>
      <c r="EL11" s="568"/>
      <c r="EM11" s="568"/>
      <c r="EN11" s="568"/>
      <c r="EO11" s="568"/>
      <c r="EP11" s="568"/>
      <c r="EQ11" s="568"/>
      <c r="ER11" s="568"/>
      <c r="ES11" s="568"/>
      <c r="ET11" s="568"/>
      <c r="EU11" s="568"/>
      <c r="EV11" s="568"/>
      <c r="EW11" s="568"/>
      <c r="EX11" s="568"/>
      <c r="EY11" s="568"/>
      <c r="EZ11" s="568"/>
      <c r="FA11" s="568"/>
      <c r="FB11" s="568"/>
      <c r="FC11" s="568"/>
      <c r="FD11" s="568"/>
      <c r="FE11" s="568"/>
      <c r="FF11" s="568"/>
      <c r="FG11" s="568"/>
      <c r="FH11" s="568"/>
      <c r="FI11" s="568"/>
      <c r="FJ11" s="568"/>
      <c r="FK11" s="568"/>
      <c r="FL11" s="568"/>
      <c r="FM11" s="568"/>
      <c r="FN11" s="568"/>
      <c r="FO11" s="568"/>
      <c r="FP11" s="568"/>
      <c r="FQ11" s="568"/>
      <c r="FR11" s="568"/>
      <c r="FS11" s="568"/>
      <c r="FT11" s="568"/>
      <c r="FU11" s="568"/>
      <c r="FV11" s="568"/>
      <c r="FW11" s="568"/>
      <c r="FX11" s="568"/>
      <c r="FY11" s="568"/>
      <c r="FZ11" s="568"/>
      <c r="GA11" s="568"/>
      <c r="GB11" s="568"/>
      <c r="GC11" s="568"/>
      <c r="GD11" s="568"/>
      <c r="GE11" s="568"/>
      <c r="GF11" s="568"/>
      <c r="GG11" s="568"/>
      <c r="GH11" s="568"/>
      <c r="GI11" s="568"/>
      <c r="GJ11" s="568"/>
      <c r="GK11" s="568"/>
      <c r="GL11" s="568"/>
      <c r="GM11" s="568"/>
      <c r="GN11" s="568"/>
      <c r="GO11" s="568"/>
      <c r="GP11" s="568"/>
      <c r="GQ11" s="568"/>
      <c r="GR11" s="568"/>
      <c r="GS11" s="568"/>
      <c r="GT11" s="568"/>
      <c r="GU11" s="568"/>
      <c r="GV11" s="568"/>
      <c r="GW11" s="568"/>
      <c r="GX11" s="568"/>
      <c r="GY11" s="568"/>
      <c r="GZ11" s="568"/>
      <c r="HA11" s="568"/>
      <c r="HB11" s="568"/>
      <c r="HC11" s="568"/>
      <c r="HD11" s="568"/>
      <c r="HE11" s="568"/>
      <c r="HF11" s="568"/>
      <c r="HG11" s="568"/>
      <c r="HH11" s="568"/>
      <c r="HI11" s="568"/>
      <c r="HJ11" s="568"/>
      <c r="HK11" s="568"/>
      <c r="HL11" s="568"/>
      <c r="HM11" s="568"/>
      <c r="HN11" s="568"/>
      <c r="HO11" s="568"/>
      <c r="HP11" s="568"/>
      <c r="HQ11" s="568"/>
      <c r="HR11" s="568"/>
      <c r="HS11" s="568"/>
      <c r="HT11" s="568"/>
      <c r="HU11" s="568"/>
      <c r="HV11" s="568"/>
      <c r="HW11" s="568"/>
      <c r="HX11" s="568"/>
      <c r="HY11" s="568"/>
      <c r="HZ11" s="568"/>
      <c r="IA11" s="568"/>
      <c r="IB11" s="568"/>
      <c r="IC11" s="568"/>
      <c r="ID11" s="568"/>
      <c r="IE11" s="568"/>
      <c r="IF11" s="568"/>
      <c r="IG11" s="568"/>
      <c r="IH11" s="568"/>
      <c r="II11" s="568"/>
      <c r="IJ11" s="568"/>
      <c r="IK11" s="568"/>
      <c r="IL11" s="568"/>
      <c r="IM11" s="568"/>
      <c r="IN11" s="568"/>
      <c r="IO11" s="568"/>
      <c r="IP11" s="568"/>
      <c r="IQ11" s="568"/>
      <c r="IR11" s="568"/>
      <c r="IS11" s="568"/>
      <c r="IT11" s="568"/>
      <c r="IU11" s="568"/>
    </row>
    <row r="12" spans="1:255" hidden="1">
      <c r="A12" s="566" t="s">
        <v>643</v>
      </c>
      <c r="B12" s="561"/>
      <c r="C12" s="596">
        <f>报告期历史数据!C16</f>
        <v>8.8465899999999997E-3</v>
      </c>
      <c r="D12" s="596">
        <f>报告期历史数据!D16</f>
        <v>-0.51993613999999999</v>
      </c>
      <c r="E12" s="596">
        <f>报告期历史数据!E16</f>
        <v>-0.48346855999999999</v>
      </c>
      <c r="F12" s="596">
        <f>报告期历史数据!F16</f>
        <v>-0.40282547999999996</v>
      </c>
      <c r="G12" s="596">
        <f>报告期历史数据!G16</f>
        <v>40.805791849999999</v>
      </c>
      <c r="H12" s="596">
        <f>报告期历史数据!H16</f>
        <v>0.30406156000000001</v>
      </c>
      <c r="I12" s="596">
        <f>报告期历史数据!I16</f>
        <v>0.87667286</v>
      </c>
      <c r="J12" s="596">
        <f>报告期历史数据!J16</f>
        <v>1.2151030700000001</v>
      </c>
      <c r="K12" s="596">
        <f>报告期历史数据!K16</f>
        <v>0</v>
      </c>
      <c r="L12" s="596">
        <f>报告期历史数据!L16</f>
        <v>0</v>
      </c>
      <c r="M12" s="596">
        <f>报告期历史数据!M16</f>
        <v>0</v>
      </c>
      <c r="N12" s="596">
        <f>报告期历史数据!N16</f>
        <v>0</v>
      </c>
      <c r="O12"/>
      <c r="P12" s="832" t="s">
        <v>1617</v>
      </c>
      <c r="Q12" s="561"/>
      <c r="R12" s="561"/>
      <c r="S12" s="561"/>
      <c r="T12" s="561"/>
      <c r="U12" s="561"/>
      <c r="V12" s="561"/>
      <c r="W12" s="561"/>
      <c r="X12" s="561"/>
      <c r="Y12" s="561"/>
      <c r="Z12" s="561"/>
      <c r="AA12" s="561"/>
      <c r="AB12" s="561"/>
      <c r="AC12" s="561"/>
      <c r="AD12" s="561"/>
      <c r="AE12" s="561"/>
      <c r="AF12" s="561"/>
      <c r="AG12" s="561"/>
      <c r="AH12" s="567"/>
      <c r="AI12" s="567"/>
      <c r="AJ12" s="567"/>
      <c r="AK12" s="567"/>
      <c r="AL12" s="567"/>
      <c r="AM12" s="567"/>
      <c r="AN12" s="567"/>
      <c r="AO12" s="567"/>
      <c r="AP12" s="567"/>
      <c r="AQ12" s="567"/>
      <c r="AR12" s="567"/>
      <c r="AS12" s="567"/>
      <c r="AT12" s="567"/>
      <c r="AU12" s="567"/>
      <c r="AV12" s="567"/>
      <c r="AW12" s="567"/>
      <c r="AX12" s="567"/>
      <c r="AY12" s="567"/>
      <c r="AZ12" s="567"/>
      <c r="BA12" s="567"/>
      <c r="BB12" s="567"/>
      <c r="BC12" s="567"/>
      <c r="BD12" s="568"/>
      <c r="BE12" s="568"/>
      <c r="BF12" s="568"/>
      <c r="BG12" s="568"/>
      <c r="BH12" s="568"/>
      <c r="BI12" s="568"/>
      <c r="BJ12" s="568"/>
      <c r="BK12" s="568"/>
      <c r="BL12" s="568"/>
      <c r="BM12" s="568"/>
      <c r="BN12" s="568"/>
      <c r="BO12" s="568"/>
      <c r="BP12" s="568"/>
      <c r="BQ12" s="568"/>
      <c r="BR12" s="568"/>
      <c r="BS12" s="568"/>
      <c r="BT12" s="568"/>
      <c r="BU12" s="568"/>
      <c r="BV12" s="568"/>
      <c r="BW12" s="568"/>
      <c r="BX12" s="568"/>
      <c r="BY12" s="568"/>
      <c r="BZ12" s="568"/>
      <c r="CA12" s="568"/>
      <c r="CB12" s="568"/>
      <c r="CC12" s="568"/>
      <c r="CD12" s="568"/>
      <c r="CE12" s="568"/>
      <c r="CF12" s="568"/>
      <c r="CG12" s="568"/>
      <c r="CH12" s="568"/>
      <c r="CI12" s="568"/>
      <c r="CJ12" s="568"/>
      <c r="CK12" s="568"/>
      <c r="CL12" s="568"/>
      <c r="CM12" s="568"/>
      <c r="CN12" s="568"/>
      <c r="CO12" s="568"/>
      <c r="CP12" s="568"/>
      <c r="CQ12" s="568"/>
      <c r="CR12" s="568"/>
      <c r="CS12" s="568"/>
      <c r="CT12" s="568"/>
      <c r="CU12" s="568"/>
      <c r="CV12" s="568"/>
      <c r="CW12" s="568"/>
      <c r="CX12" s="568"/>
      <c r="CY12" s="568"/>
      <c r="CZ12" s="568"/>
      <c r="DA12" s="568"/>
      <c r="DB12" s="568"/>
      <c r="DC12" s="568"/>
      <c r="DD12" s="568"/>
      <c r="DE12" s="568"/>
      <c r="DF12" s="568"/>
      <c r="DG12" s="568"/>
      <c r="DH12" s="568"/>
      <c r="DI12" s="568"/>
      <c r="DJ12" s="568"/>
      <c r="DK12" s="568"/>
      <c r="DL12" s="568"/>
      <c r="DM12" s="568"/>
      <c r="DN12" s="568"/>
      <c r="DO12" s="568"/>
      <c r="DP12" s="568"/>
      <c r="DQ12" s="568"/>
      <c r="DR12" s="568"/>
      <c r="DS12" s="568"/>
      <c r="DT12" s="568"/>
      <c r="DU12" s="568"/>
      <c r="DV12" s="568"/>
      <c r="DW12" s="568"/>
      <c r="DX12" s="568"/>
      <c r="DY12" s="568"/>
      <c r="DZ12" s="568"/>
      <c r="EA12" s="568"/>
      <c r="EB12" s="568"/>
      <c r="EC12" s="568"/>
      <c r="ED12" s="568"/>
      <c r="EE12" s="568"/>
      <c r="EF12" s="568"/>
      <c r="EG12" s="568"/>
      <c r="EH12" s="568"/>
      <c r="EI12" s="568"/>
      <c r="EJ12" s="568"/>
      <c r="EK12" s="568"/>
      <c r="EL12" s="568"/>
      <c r="EM12" s="568"/>
      <c r="EN12" s="568"/>
      <c r="EO12" s="568"/>
      <c r="EP12" s="568"/>
      <c r="EQ12" s="568"/>
      <c r="ER12" s="568"/>
      <c r="ES12" s="568"/>
      <c r="ET12" s="568"/>
      <c r="EU12" s="568"/>
      <c r="EV12" s="568"/>
      <c r="EW12" s="568"/>
      <c r="EX12" s="568"/>
      <c r="EY12" s="568"/>
      <c r="EZ12" s="568"/>
      <c r="FA12" s="568"/>
      <c r="FB12" s="568"/>
      <c r="FC12" s="568"/>
      <c r="FD12" s="568"/>
      <c r="FE12" s="568"/>
      <c r="FF12" s="568"/>
      <c r="FG12" s="568"/>
      <c r="FH12" s="568"/>
      <c r="FI12" s="568"/>
      <c r="FJ12" s="568"/>
      <c r="FK12" s="568"/>
      <c r="FL12" s="568"/>
      <c r="FM12" s="568"/>
      <c r="FN12" s="568"/>
      <c r="FO12" s="568"/>
      <c r="FP12" s="568"/>
      <c r="FQ12" s="568"/>
      <c r="FR12" s="568"/>
      <c r="FS12" s="568"/>
      <c r="FT12" s="568"/>
      <c r="FU12" s="568"/>
      <c r="FV12" s="568"/>
      <c r="FW12" s="568"/>
      <c r="FX12" s="568"/>
      <c r="FY12" s="568"/>
      <c r="FZ12" s="568"/>
      <c r="GA12" s="568"/>
      <c r="GB12" s="568"/>
      <c r="GC12" s="568"/>
      <c r="GD12" s="568"/>
      <c r="GE12" s="568"/>
      <c r="GF12" s="568"/>
      <c r="GG12" s="568"/>
      <c r="GH12" s="568"/>
      <c r="GI12" s="568"/>
      <c r="GJ12" s="568"/>
      <c r="GK12" s="568"/>
      <c r="GL12" s="568"/>
      <c r="GM12" s="568"/>
      <c r="GN12" s="568"/>
      <c r="GO12" s="568"/>
      <c r="GP12" s="568"/>
      <c r="GQ12" s="568"/>
      <c r="GR12" s="568"/>
      <c r="GS12" s="568"/>
      <c r="GT12" s="568"/>
      <c r="GU12" s="568"/>
      <c r="GV12" s="568"/>
      <c r="GW12" s="568"/>
      <c r="GX12" s="568"/>
      <c r="GY12" s="568"/>
      <c r="GZ12" s="568"/>
      <c r="HA12" s="568"/>
      <c r="HB12" s="568"/>
      <c r="HC12" s="568"/>
      <c r="HD12" s="568"/>
      <c r="HE12" s="568"/>
      <c r="HF12" s="568"/>
      <c r="HG12" s="568"/>
      <c r="HH12" s="568"/>
      <c r="HI12" s="568"/>
      <c r="HJ12" s="568"/>
      <c r="HK12" s="568"/>
      <c r="HL12" s="568"/>
      <c r="HM12" s="568"/>
      <c r="HN12" s="568"/>
      <c r="HO12" s="568"/>
      <c r="HP12" s="568"/>
      <c r="HQ12" s="568"/>
      <c r="HR12" s="568"/>
      <c r="HS12" s="568"/>
      <c r="HT12" s="568"/>
      <c r="HU12" s="568"/>
      <c r="HV12" s="568"/>
      <c r="HW12" s="568"/>
      <c r="HX12" s="568"/>
      <c r="HY12" s="568"/>
      <c r="HZ12" s="568"/>
      <c r="IA12" s="568"/>
      <c r="IB12" s="568"/>
      <c r="IC12" s="568"/>
      <c r="ID12" s="568"/>
      <c r="IE12" s="568"/>
      <c r="IF12" s="568"/>
      <c r="IG12" s="568"/>
      <c r="IH12" s="568"/>
      <c r="II12" s="568"/>
      <c r="IJ12" s="568"/>
      <c r="IK12" s="568"/>
      <c r="IL12" s="568"/>
      <c r="IM12" s="568"/>
      <c r="IN12" s="568"/>
      <c r="IO12" s="568"/>
      <c r="IP12" s="568"/>
      <c r="IQ12" s="568"/>
      <c r="IR12" s="568"/>
      <c r="IS12" s="568"/>
      <c r="IT12" s="568"/>
      <c r="IU12" s="568"/>
    </row>
    <row r="13" spans="1:255" hidden="1">
      <c r="A13" s="566" t="s">
        <v>644</v>
      </c>
      <c r="B13" s="561"/>
      <c r="C13" s="596">
        <f>报告期历史数据!C18</f>
        <v>-2.9488163599999999</v>
      </c>
      <c r="D13" s="596">
        <f>报告期历史数据!D18</f>
        <v>2.3677725699999996</v>
      </c>
      <c r="E13" s="596">
        <f>报告期历史数据!E18</f>
        <v>2.3344990999999999</v>
      </c>
      <c r="F13" s="596">
        <f>报告期历史数据!F18</f>
        <v>9.6580005900000003</v>
      </c>
      <c r="G13" s="596">
        <f>报告期历史数据!G18</f>
        <v>3.80244553</v>
      </c>
      <c r="H13" s="596">
        <f>报告期历史数据!H18</f>
        <v>4.73235983</v>
      </c>
      <c r="I13" s="596">
        <f>报告期历史数据!I18</f>
        <v>-5.7549050700000004</v>
      </c>
      <c r="J13" s="596">
        <f>报告期历史数据!J18</f>
        <v>-2.6894558700000002</v>
      </c>
      <c r="K13" s="596">
        <f>报告期历史数据!K18</f>
        <v>0</v>
      </c>
      <c r="L13" s="596">
        <f>报告期历史数据!L18</f>
        <v>0</v>
      </c>
      <c r="M13" s="596">
        <f>报告期历史数据!M18</f>
        <v>0</v>
      </c>
      <c r="N13" s="596">
        <f>报告期历史数据!N18</f>
        <v>0</v>
      </c>
      <c r="O13"/>
      <c r="P13" s="832" t="s">
        <v>1618</v>
      </c>
      <c r="Q13" s="561"/>
      <c r="R13" s="561"/>
      <c r="S13" s="561"/>
      <c r="T13" s="561"/>
      <c r="U13" s="561"/>
      <c r="V13" s="561"/>
      <c r="W13" s="561"/>
      <c r="X13" s="561"/>
      <c r="Y13" s="561"/>
      <c r="Z13" s="561"/>
      <c r="AA13" s="561"/>
      <c r="AB13" s="561"/>
      <c r="AC13" s="561"/>
      <c r="AD13" s="561"/>
      <c r="AE13" s="561"/>
      <c r="AF13" s="561"/>
      <c r="AG13" s="561"/>
      <c r="AH13" s="567"/>
      <c r="AI13" s="567"/>
      <c r="AJ13" s="567"/>
      <c r="AK13" s="567"/>
      <c r="AL13" s="567"/>
      <c r="AM13" s="567"/>
      <c r="AN13" s="567"/>
      <c r="AO13" s="567"/>
      <c r="AP13" s="567"/>
      <c r="AQ13" s="567"/>
      <c r="AR13" s="567"/>
      <c r="AS13" s="567"/>
      <c r="AT13" s="567"/>
      <c r="AU13" s="567"/>
      <c r="AV13" s="567"/>
      <c r="AW13" s="567"/>
      <c r="AX13" s="567"/>
      <c r="AY13" s="567"/>
      <c r="AZ13" s="567"/>
      <c r="BA13" s="567"/>
      <c r="BB13" s="567"/>
      <c r="BC13" s="567"/>
      <c r="BD13" s="568"/>
      <c r="BE13" s="568"/>
      <c r="BF13" s="568"/>
      <c r="BG13" s="568"/>
      <c r="BH13" s="568"/>
      <c r="BI13" s="568"/>
      <c r="BJ13" s="568"/>
      <c r="BK13" s="568"/>
      <c r="BL13" s="568"/>
      <c r="BM13" s="568"/>
      <c r="BN13" s="568"/>
      <c r="BO13" s="568"/>
      <c r="BP13" s="568"/>
      <c r="BQ13" s="568"/>
      <c r="BR13" s="568"/>
      <c r="BS13" s="568"/>
      <c r="BT13" s="568"/>
      <c r="BU13" s="568"/>
      <c r="BV13" s="568"/>
      <c r="BW13" s="568"/>
      <c r="BX13" s="568"/>
      <c r="BY13" s="568"/>
      <c r="BZ13" s="568"/>
      <c r="CA13" s="568"/>
      <c r="CB13" s="568"/>
      <c r="CC13" s="568"/>
      <c r="CD13" s="568"/>
      <c r="CE13" s="568"/>
      <c r="CF13" s="568"/>
      <c r="CG13" s="568"/>
      <c r="CH13" s="568"/>
      <c r="CI13" s="568"/>
      <c r="CJ13" s="568"/>
      <c r="CK13" s="568"/>
      <c r="CL13" s="568"/>
      <c r="CM13" s="568"/>
      <c r="CN13" s="568"/>
      <c r="CO13" s="568"/>
      <c r="CP13" s="568"/>
      <c r="CQ13" s="568"/>
      <c r="CR13" s="568"/>
      <c r="CS13" s="568"/>
      <c r="CT13" s="568"/>
      <c r="CU13" s="568"/>
      <c r="CV13" s="568"/>
      <c r="CW13" s="568"/>
      <c r="CX13" s="568"/>
      <c r="CY13" s="568"/>
      <c r="CZ13" s="568"/>
      <c r="DA13" s="568"/>
      <c r="DB13" s="568"/>
      <c r="DC13" s="568"/>
      <c r="DD13" s="568"/>
      <c r="DE13" s="568"/>
      <c r="DF13" s="568"/>
      <c r="DG13" s="568"/>
      <c r="DH13" s="568"/>
      <c r="DI13" s="568"/>
      <c r="DJ13" s="568"/>
      <c r="DK13" s="568"/>
      <c r="DL13" s="568"/>
      <c r="DM13" s="568"/>
      <c r="DN13" s="568"/>
      <c r="DO13" s="568"/>
      <c r="DP13" s="568"/>
      <c r="DQ13" s="568"/>
      <c r="DR13" s="568"/>
      <c r="DS13" s="568"/>
      <c r="DT13" s="568"/>
      <c r="DU13" s="568"/>
      <c r="DV13" s="568"/>
      <c r="DW13" s="568"/>
      <c r="DX13" s="568"/>
      <c r="DY13" s="568"/>
      <c r="DZ13" s="568"/>
      <c r="EA13" s="568"/>
      <c r="EB13" s="568"/>
      <c r="EC13" s="568"/>
      <c r="ED13" s="568"/>
      <c r="EE13" s="568"/>
      <c r="EF13" s="568"/>
      <c r="EG13" s="568"/>
      <c r="EH13" s="568"/>
      <c r="EI13" s="568"/>
      <c r="EJ13" s="568"/>
      <c r="EK13" s="568"/>
      <c r="EL13" s="568"/>
      <c r="EM13" s="568"/>
      <c r="EN13" s="568"/>
      <c r="EO13" s="568"/>
      <c r="EP13" s="568"/>
      <c r="EQ13" s="568"/>
      <c r="ER13" s="568"/>
      <c r="ES13" s="568"/>
      <c r="ET13" s="568"/>
      <c r="EU13" s="568"/>
      <c r="EV13" s="568"/>
      <c r="EW13" s="568"/>
      <c r="EX13" s="568"/>
      <c r="EY13" s="568"/>
      <c r="EZ13" s="568"/>
      <c r="FA13" s="568"/>
      <c r="FB13" s="568"/>
      <c r="FC13" s="568"/>
      <c r="FD13" s="568"/>
      <c r="FE13" s="568"/>
      <c r="FF13" s="568"/>
      <c r="FG13" s="568"/>
      <c r="FH13" s="568"/>
      <c r="FI13" s="568"/>
      <c r="FJ13" s="568"/>
      <c r="FK13" s="568"/>
      <c r="FL13" s="568"/>
      <c r="FM13" s="568"/>
      <c r="FN13" s="568"/>
      <c r="FO13" s="568"/>
      <c r="FP13" s="568"/>
      <c r="FQ13" s="568"/>
      <c r="FR13" s="568"/>
      <c r="FS13" s="568"/>
      <c r="FT13" s="568"/>
      <c r="FU13" s="568"/>
      <c r="FV13" s="568"/>
      <c r="FW13" s="568"/>
      <c r="FX13" s="568"/>
      <c r="FY13" s="568"/>
      <c r="FZ13" s="568"/>
      <c r="GA13" s="568"/>
      <c r="GB13" s="568"/>
      <c r="GC13" s="568"/>
      <c r="GD13" s="568"/>
      <c r="GE13" s="568"/>
      <c r="GF13" s="568"/>
      <c r="GG13" s="568"/>
      <c r="GH13" s="568"/>
      <c r="GI13" s="568"/>
      <c r="GJ13" s="568"/>
      <c r="GK13" s="568"/>
      <c r="GL13" s="568"/>
      <c r="GM13" s="568"/>
      <c r="GN13" s="568"/>
      <c r="GO13" s="568"/>
      <c r="GP13" s="568"/>
      <c r="GQ13" s="568"/>
      <c r="GR13" s="568"/>
      <c r="GS13" s="568"/>
      <c r="GT13" s="568"/>
      <c r="GU13" s="568"/>
      <c r="GV13" s="568"/>
      <c r="GW13" s="568"/>
      <c r="GX13" s="568"/>
      <c r="GY13" s="568"/>
      <c r="GZ13" s="568"/>
      <c r="HA13" s="568"/>
      <c r="HB13" s="568"/>
      <c r="HC13" s="568"/>
      <c r="HD13" s="568"/>
      <c r="HE13" s="568"/>
      <c r="HF13" s="568"/>
      <c r="HG13" s="568"/>
      <c r="HH13" s="568"/>
      <c r="HI13" s="568"/>
      <c r="HJ13" s="568"/>
      <c r="HK13" s="568"/>
      <c r="HL13" s="568"/>
      <c r="HM13" s="568"/>
      <c r="HN13" s="568"/>
      <c r="HO13" s="568"/>
      <c r="HP13" s="568"/>
      <c r="HQ13" s="568"/>
      <c r="HR13" s="568"/>
      <c r="HS13" s="568"/>
      <c r="HT13" s="568"/>
      <c r="HU13" s="568"/>
      <c r="HV13" s="568"/>
      <c r="HW13" s="568"/>
      <c r="HX13" s="568"/>
      <c r="HY13" s="568"/>
      <c r="HZ13" s="568"/>
      <c r="IA13" s="568"/>
      <c r="IB13" s="568"/>
      <c r="IC13" s="568"/>
      <c r="ID13" s="568"/>
      <c r="IE13" s="568"/>
      <c r="IF13" s="568"/>
      <c r="IG13" s="568"/>
      <c r="IH13" s="568"/>
      <c r="II13" s="568"/>
      <c r="IJ13" s="568"/>
      <c r="IK13" s="568"/>
      <c r="IL13" s="568"/>
      <c r="IM13" s="568"/>
      <c r="IN13" s="568"/>
      <c r="IO13" s="568"/>
      <c r="IP13" s="568"/>
      <c r="IQ13" s="568"/>
      <c r="IR13" s="568"/>
      <c r="IS13" s="568"/>
      <c r="IT13" s="568"/>
      <c r="IU13" s="568"/>
    </row>
    <row r="14" spans="1:255" hidden="1">
      <c r="A14" s="566" t="s">
        <v>645</v>
      </c>
      <c r="B14" s="561"/>
      <c r="C14" s="596">
        <f>报告期历史数据!C19</f>
        <v>-0.5837291899999999</v>
      </c>
      <c r="D14" s="596">
        <f>报告期历史数据!D19</f>
        <v>-0.47227063000000002</v>
      </c>
      <c r="E14" s="596">
        <f>报告期历史数据!E19</f>
        <v>-1.1021320700000001</v>
      </c>
      <c r="F14" s="596">
        <f>报告期历史数据!F19</f>
        <v>-1.88348103</v>
      </c>
      <c r="G14" s="596">
        <f>报告期历史数据!G19</f>
        <v>-1.17312824</v>
      </c>
      <c r="H14" s="596">
        <f>报告期历史数据!H19</f>
        <v>-0.52120774000000003</v>
      </c>
      <c r="I14" s="596">
        <f>报告期历史数据!I19</f>
        <v>-0.88462740000000006</v>
      </c>
      <c r="J14" s="596">
        <f>报告期历史数据!J19</f>
        <v>-2.64682131</v>
      </c>
      <c r="K14" s="596">
        <f>报告期历史数据!K19</f>
        <v>0</v>
      </c>
      <c r="L14" s="596">
        <f>报告期历史数据!L19</f>
        <v>0</v>
      </c>
      <c r="M14" s="596">
        <f>报告期历史数据!M19</f>
        <v>0</v>
      </c>
      <c r="N14" s="596">
        <f>报告期历史数据!N19</f>
        <v>0</v>
      </c>
      <c r="O14"/>
      <c r="P14" s="832" t="s">
        <v>1619</v>
      </c>
      <c r="Q14" s="561"/>
      <c r="R14" s="561"/>
      <c r="S14" s="561"/>
      <c r="T14" s="561"/>
      <c r="U14" s="561"/>
      <c r="V14" s="561"/>
      <c r="W14" s="561"/>
      <c r="X14" s="561"/>
      <c r="Y14" s="561"/>
      <c r="Z14" s="561"/>
      <c r="AA14" s="561"/>
      <c r="AB14" s="561"/>
      <c r="AC14" s="561"/>
      <c r="AD14" s="561"/>
      <c r="AE14" s="561"/>
      <c r="AF14" s="561"/>
      <c r="AG14" s="561"/>
      <c r="AH14" s="567"/>
      <c r="AI14" s="567"/>
      <c r="AJ14" s="567"/>
      <c r="AK14" s="567"/>
      <c r="AL14" s="567"/>
      <c r="AM14" s="567"/>
      <c r="AN14" s="567"/>
      <c r="AO14" s="567"/>
      <c r="AP14" s="567"/>
      <c r="AQ14" s="567"/>
      <c r="AR14" s="567"/>
      <c r="AS14" s="567"/>
      <c r="AT14" s="567"/>
      <c r="AU14" s="567"/>
      <c r="AV14" s="567"/>
      <c r="AW14" s="567"/>
      <c r="AX14" s="567"/>
      <c r="AY14" s="567"/>
      <c r="AZ14" s="567"/>
      <c r="BA14" s="567"/>
      <c r="BB14" s="567"/>
      <c r="BC14" s="567"/>
      <c r="BD14" s="568"/>
      <c r="BE14" s="568"/>
      <c r="BF14" s="568"/>
      <c r="BG14" s="568"/>
      <c r="BH14" s="568"/>
      <c r="BI14" s="568"/>
      <c r="BJ14" s="568"/>
      <c r="BK14" s="568"/>
      <c r="BL14" s="568"/>
      <c r="BM14" s="568"/>
      <c r="BN14" s="568"/>
      <c r="BO14" s="568"/>
      <c r="BP14" s="568"/>
      <c r="BQ14" s="568"/>
      <c r="BR14" s="568"/>
      <c r="BS14" s="568"/>
      <c r="BT14" s="568"/>
      <c r="BU14" s="568"/>
      <c r="BV14" s="568"/>
      <c r="BW14" s="568"/>
      <c r="BX14" s="568"/>
      <c r="BY14" s="568"/>
      <c r="BZ14" s="568"/>
      <c r="CA14" s="568"/>
      <c r="CB14" s="568"/>
      <c r="CC14" s="568"/>
      <c r="CD14" s="568"/>
      <c r="CE14" s="568"/>
      <c r="CF14" s="568"/>
      <c r="CG14" s="568"/>
      <c r="CH14" s="568"/>
      <c r="CI14" s="568"/>
      <c r="CJ14" s="568"/>
      <c r="CK14" s="568"/>
      <c r="CL14" s="568"/>
      <c r="CM14" s="568"/>
      <c r="CN14" s="568"/>
      <c r="CO14" s="568"/>
      <c r="CP14" s="568"/>
      <c r="CQ14" s="568"/>
      <c r="CR14" s="568"/>
      <c r="CS14" s="568"/>
      <c r="CT14" s="568"/>
      <c r="CU14" s="568"/>
      <c r="CV14" s="568"/>
      <c r="CW14" s="568"/>
      <c r="CX14" s="568"/>
      <c r="CY14" s="568"/>
      <c r="CZ14" s="568"/>
      <c r="DA14" s="568"/>
      <c r="DB14" s="568"/>
      <c r="DC14" s="568"/>
      <c r="DD14" s="568"/>
      <c r="DE14" s="568"/>
      <c r="DF14" s="568"/>
      <c r="DG14" s="568"/>
      <c r="DH14" s="568"/>
      <c r="DI14" s="568"/>
      <c r="DJ14" s="568"/>
      <c r="DK14" s="568"/>
      <c r="DL14" s="568"/>
      <c r="DM14" s="568"/>
      <c r="DN14" s="568"/>
      <c r="DO14" s="568"/>
      <c r="DP14" s="568"/>
      <c r="DQ14" s="568"/>
      <c r="DR14" s="568"/>
      <c r="DS14" s="568"/>
      <c r="DT14" s="568"/>
      <c r="DU14" s="568"/>
      <c r="DV14" s="568"/>
      <c r="DW14" s="568"/>
      <c r="DX14" s="568"/>
      <c r="DY14" s="568"/>
      <c r="DZ14" s="568"/>
      <c r="EA14" s="568"/>
      <c r="EB14" s="568"/>
      <c r="EC14" s="568"/>
      <c r="ED14" s="568"/>
      <c r="EE14" s="568"/>
      <c r="EF14" s="568"/>
      <c r="EG14" s="568"/>
      <c r="EH14" s="568"/>
      <c r="EI14" s="568"/>
      <c r="EJ14" s="568"/>
      <c r="EK14" s="568"/>
      <c r="EL14" s="568"/>
      <c r="EM14" s="568"/>
      <c r="EN14" s="568"/>
      <c r="EO14" s="568"/>
      <c r="EP14" s="568"/>
      <c r="EQ14" s="568"/>
      <c r="ER14" s="568"/>
      <c r="ES14" s="568"/>
      <c r="ET14" s="568"/>
      <c r="EU14" s="568"/>
      <c r="EV14" s="568"/>
      <c r="EW14" s="568"/>
      <c r="EX14" s="568"/>
      <c r="EY14" s="568"/>
      <c r="EZ14" s="568"/>
      <c r="FA14" s="568"/>
      <c r="FB14" s="568"/>
      <c r="FC14" s="568"/>
      <c r="FD14" s="568"/>
      <c r="FE14" s="568"/>
      <c r="FF14" s="568"/>
      <c r="FG14" s="568"/>
      <c r="FH14" s="568"/>
      <c r="FI14" s="568"/>
      <c r="FJ14" s="568"/>
      <c r="FK14" s="568"/>
      <c r="FL14" s="568"/>
      <c r="FM14" s="568"/>
      <c r="FN14" s="568"/>
      <c r="FO14" s="568"/>
      <c r="FP14" s="568"/>
      <c r="FQ14" s="568"/>
      <c r="FR14" s="568"/>
      <c r="FS14" s="568"/>
      <c r="FT14" s="568"/>
      <c r="FU14" s="568"/>
      <c r="FV14" s="568"/>
      <c r="FW14" s="568"/>
      <c r="FX14" s="568"/>
      <c r="FY14" s="568"/>
      <c r="FZ14" s="568"/>
      <c r="GA14" s="568"/>
      <c r="GB14" s="568"/>
      <c r="GC14" s="568"/>
      <c r="GD14" s="568"/>
      <c r="GE14" s="568"/>
      <c r="GF14" s="568"/>
      <c r="GG14" s="568"/>
      <c r="GH14" s="568"/>
      <c r="GI14" s="568"/>
      <c r="GJ14" s="568"/>
      <c r="GK14" s="568"/>
      <c r="GL14" s="568"/>
      <c r="GM14" s="568"/>
      <c r="GN14" s="568"/>
      <c r="GO14" s="568"/>
      <c r="GP14" s="568"/>
      <c r="GQ14" s="568"/>
      <c r="GR14" s="568"/>
      <c r="GS14" s="568"/>
      <c r="GT14" s="568"/>
      <c r="GU14" s="568"/>
      <c r="GV14" s="568"/>
      <c r="GW14" s="568"/>
      <c r="GX14" s="568"/>
      <c r="GY14" s="568"/>
      <c r="GZ14" s="568"/>
      <c r="HA14" s="568"/>
      <c r="HB14" s="568"/>
      <c r="HC14" s="568"/>
      <c r="HD14" s="568"/>
      <c r="HE14" s="568"/>
      <c r="HF14" s="568"/>
      <c r="HG14" s="568"/>
      <c r="HH14" s="568"/>
      <c r="HI14" s="568"/>
      <c r="HJ14" s="568"/>
      <c r="HK14" s="568"/>
      <c r="HL14" s="568"/>
      <c r="HM14" s="568"/>
      <c r="HN14" s="568"/>
      <c r="HO14" s="568"/>
      <c r="HP14" s="568"/>
      <c r="HQ14" s="568"/>
      <c r="HR14" s="568"/>
      <c r="HS14" s="568"/>
      <c r="HT14" s="568"/>
      <c r="HU14" s="568"/>
      <c r="HV14" s="568"/>
      <c r="HW14" s="568"/>
      <c r="HX14" s="568"/>
      <c r="HY14" s="568"/>
      <c r="HZ14" s="568"/>
      <c r="IA14" s="568"/>
      <c r="IB14" s="568"/>
      <c r="IC14" s="568"/>
      <c r="ID14" s="568"/>
      <c r="IE14" s="568"/>
      <c r="IF14" s="568"/>
      <c r="IG14" s="568"/>
      <c r="IH14" s="568"/>
      <c r="II14" s="568"/>
      <c r="IJ14" s="568"/>
      <c r="IK14" s="568"/>
      <c r="IL14" s="568"/>
      <c r="IM14" s="568"/>
      <c r="IN14" s="568"/>
      <c r="IO14" s="568"/>
      <c r="IP14" s="568"/>
      <c r="IQ14" s="568"/>
      <c r="IR14" s="568"/>
      <c r="IS14" s="568"/>
      <c r="IT14" s="568"/>
      <c r="IU14" s="568"/>
    </row>
    <row r="15" spans="1:255" hidden="1">
      <c r="A15" s="1074" t="s">
        <v>647</v>
      </c>
      <c r="B15" s="561"/>
      <c r="C15" s="1080">
        <f>报告期历史数据!C22</f>
        <v>810.67712725000001</v>
      </c>
      <c r="D15" s="1080">
        <f>报告期历史数据!D22</f>
        <v>116.66871979000001</v>
      </c>
      <c r="E15" s="1080">
        <f>报告期历史数据!E22</f>
        <v>286.35314811000001</v>
      </c>
      <c r="F15" s="1080">
        <f>报告期历史数据!F22</f>
        <v>311.49280799000002</v>
      </c>
      <c r="G15" s="1080">
        <f>报告期历史数据!G22</f>
        <v>191.46961677000002</v>
      </c>
      <c r="H15" s="1080">
        <f>报告期历史数据!H22</f>
        <v>66.969685699999999</v>
      </c>
      <c r="I15" s="1080">
        <f>报告期历史数据!I22</f>
        <v>69.172974830000001</v>
      </c>
      <c r="J15" s="1080">
        <f>报告期历史数据!J22</f>
        <v>60.019558609999997</v>
      </c>
      <c r="K15" s="1080">
        <f>报告期历史数据!K22</f>
        <v>0</v>
      </c>
      <c r="L15" s="1080">
        <f>报告期历史数据!L22</f>
        <v>0</v>
      </c>
      <c r="M15" s="1080">
        <f>报告期历史数据!M22</f>
        <v>0</v>
      </c>
      <c r="N15" s="1080">
        <f>报告期历史数据!N22</f>
        <v>0</v>
      </c>
      <c r="O15"/>
      <c r="P15" s="832" t="s">
        <v>1621</v>
      </c>
      <c r="Q15" s="561"/>
      <c r="R15" s="561"/>
      <c r="S15" s="561"/>
      <c r="T15" s="561"/>
      <c r="U15" s="561"/>
      <c r="V15" s="561"/>
      <c r="W15" s="561"/>
      <c r="X15" s="561"/>
      <c r="Y15" s="561"/>
      <c r="Z15" s="561"/>
      <c r="AA15" s="561"/>
      <c r="AB15" s="561"/>
      <c r="AC15" s="561"/>
      <c r="AD15" s="561"/>
      <c r="AE15" s="561"/>
      <c r="AF15" s="561"/>
      <c r="AG15" s="561"/>
      <c r="AH15" s="567"/>
      <c r="AI15" s="567"/>
      <c r="AJ15" s="567"/>
      <c r="AK15" s="567"/>
      <c r="AL15" s="567"/>
      <c r="AM15" s="567"/>
      <c r="AN15" s="567"/>
      <c r="AO15" s="567"/>
      <c r="AP15" s="567"/>
      <c r="AQ15" s="567"/>
      <c r="AR15" s="567"/>
      <c r="AS15" s="567"/>
      <c r="AT15" s="567"/>
      <c r="AU15" s="567"/>
      <c r="AV15" s="567"/>
      <c r="AW15" s="567"/>
      <c r="AX15" s="567"/>
      <c r="AY15" s="567"/>
      <c r="AZ15" s="567"/>
      <c r="BA15" s="567"/>
      <c r="BB15" s="567"/>
      <c r="BC15" s="567"/>
      <c r="BD15" s="568"/>
      <c r="BE15" s="568"/>
      <c r="BF15" s="568"/>
      <c r="BG15" s="568"/>
      <c r="BH15" s="568"/>
      <c r="BI15" s="568"/>
      <c r="BJ15" s="568"/>
      <c r="BK15" s="568"/>
      <c r="BL15" s="568"/>
      <c r="BM15" s="568"/>
      <c r="BN15" s="568"/>
      <c r="BO15" s="568"/>
      <c r="BP15" s="568"/>
      <c r="BQ15" s="568"/>
      <c r="BR15" s="568"/>
      <c r="BS15" s="568"/>
      <c r="BT15" s="568"/>
      <c r="BU15" s="568"/>
      <c r="BV15" s="568"/>
      <c r="BW15" s="568"/>
      <c r="BX15" s="568"/>
      <c r="BY15" s="568"/>
      <c r="BZ15" s="568"/>
      <c r="CA15" s="568"/>
      <c r="CB15" s="568"/>
      <c r="CC15" s="568"/>
      <c r="CD15" s="568"/>
      <c r="CE15" s="568"/>
      <c r="CF15" s="568"/>
      <c r="CG15" s="568"/>
      <c r="CH15" s="568"/>
      <c r="CI15" s="568"/>
      <c r="CJ15" s="568"/>
      <c r="CK15" s="568"/>
      <c r="CL15" s="568"/>
      <c r="CM15" s="568"/>
      <c r="CN15" s="568"/>
      <c r="CO15" s="568"/>
      <c r="CP15" s="568"/>
      <c r="CQ15" s="568"/>
      <c r="CR15" s="568"/>
      <c r="CS15" s="568"/>
      <c r="CT15" s="568"/>
      <c r="CU15" s="568"/>
      <c r="CV15" s="568"/>
      <c r="CW15" s="568"/>
      <c r="CX15" s="568"/>
      <c r="CY15" s="568"/>
      <c r="CZ15" s="568"/>
      <c r="DA15" s="568"/>
      <c r="DB15" s="568"/>
      <c r="DC15" s="568"/>
      <c r="DD15" s="568"/>
      <c r="DE15" s="568"/>
      <c r="DF15" s="568"/>
      <c r="DG15" s="568"/>
      <c r="DH15" s="568"/>
      <c r="DI15" s="568"/>
      <c r="DJ15" s="568"/>
      <c r="DK15" s="568"/>
      <c r="DL15" s="568"/>
      <c r="DM15" s="568"/>
      <c r="DN15" s="568"/>
      <c r="DO15" s="568"/>
      <c r="DP15" s="568"/>
      <c r="DQ15" s="568"/>
      <c r="DR15" s="568"/>
      <c r="DS15" s="568"/>
      <c r="DT15" s="568"/>
      <c r="DU15" s="568"/>
      <c r="DV15" s="568"/>
      <c r="DW15" s="568"/>
      <c r="DX15" s="568"/>
      <c r="DY15" s="568"/>
      <c r="DZ15" s="568"/>
      <c r="EA15" s="568"/>
      <c r="EB15" s="568"/>
      <c r="EC15" s="568"/>
      <c r="ED15" s="568"/>
      <c r="EE15" s="568"/>
      <c r="EF15" s="568"/>
      <c r="EG15" s="568"/>
      <c r="EH15" s="568"/>
      <c r="EI15" s="568"/>
      <c r="EJ15" s="568"/>
      <c r="EK15" s="568"/>
      <c r="EL15" s="568"/>
      <c r="EM15" s="568"/>
      <c r="EN15" s="568"/>
      <c r="EO15" s="568"/>
      <c r="EP15" s="568"/>
      <c r="EQ15" s="568"/>
      <c r="ER15" s="568"/>
      <c r="ES15" s="568"/>
      <c r="ET15" s="568"/>
      <c r="EU15" s="568"/>
      <c r="EV15" s="568"/>
      <c r="EW15" s="568"/>
      <c r="EX15" s="568"/>
      <c r="EY15" s="568"/>
      <c r="EZ15" s="568"/>
      <c r="FA15" s="568"/>
      <c r="FB15" s="568"/>
      <c r="FC15" s="568"/>
      <c r="FD15" s="568"/>
      <c r="FE15" s="568"/>
      <c r="FF15" s="568"/>
      <c r="FG15" s="568"/>
      <c r="FH15" s="568"/>
      <c r="FI15" s="568"/>
      <c r="FJ15" s="568"/>
      <c r="FK15" s="568"/>
      <c r="FL15" s="568"/>
      <c r="FM15" s="568"/>
      <c r="FN15" s="568"/>
      <c r="FO15" s="568"/>
      <c r="FP15" s="568"/>
      <c r="FQ15" s="568"/>
      <c r="FR15" s="568"/>
      <c r="FS15" s="568"/>
      <c r="FT15" s="568"/>
      <c r="FU15" s="568"/>
      <c r="FV15" s="568"/>
      <c r="FW15" s="568"/>
      <c r="FX15" s="568"/>
      <c r="FY15" s="568"/>
      <c r="FZ15" s="568"/>
      <c r="GA15" s="568"/>
      <c r="GB15" s="568"/>
      <c r="GC15" s="568"/>
      <c r="GD15" s="568"/>
      <c r="GE15" s="568"/>
      <c r="GF15" s="568"/>
      <c r="GG15" s="568"/>
      <c r="GH15" s="568"/>
      <c r="GI15" s="568"/>
      <c r="GJ15" s="568"/>
      <c r="GK15" s="568"/>
      <c r="GL15" s="568"/>
      <c r="GM15" s="568"/>
      <c r="GN15" s="568"/>
      <c r="GO15" s="568"/>
      <c r="GP15" s="568"/>
      <c r="GQ15" s="568"/>
      <c r="GR15" s="568"/>
      <c r="GS15" s="568"/>
      <c r="GT15" s="568"/>
      <c r="GU15" s="568"/>
      <c r="GV15" s="568"/>
      <c r="GW15" s="568"/>
      <c r="GX15" s="568"/>
      <c r="GY15" s="568"/>
      <c r="GZ15" s="568"/>
      <c r="HA15" s="568"/>
      <c r="HB15" s="568"/>
      <c r="HC15" s="568"/>
      <c r="HD15" s="568"/>
      <c r="HE15" s="568"/>
      <c r="HF15" s="568"/>
      <c r="HG15" s="568"/>
      <c r="HH15" s="568"/>
      <c r="HI15" s="568"/>
      <c r="HJ15" s="568"/>
      <c r="HK15" s="568"/>
      <c r="HL15" s="568"/>
      <c r="HM15" s="568"/>
      <c r="HN15" s="568"/>
      <c r="HO15" s="568"/>
      <c r="HP15" s="568"/>
      <c r="HQ15" s="568"/>
      <c r="HR15" s="568"/>
      <c r="HS15" s="568"/>
      <c r="HT15" s="568"/>
      <c r="HU15" s="568"/>
      <c r="HV15" s="568"/>
      <c r="HW15" s="568"/>
      <c r="HX15" s="568"/>
      <c r="HY15" s="568"/>
      <c r="HZ15" s="568"/>
      <c r="IA15" s="568"/>
      <c r="IB15" s="568"/>
      <c r="IC15" s="568"/>
      <c r="ID15" s="568"/>
      <c r="IE15" s="568"/>
      <c r="IF15" s="568"/>
      <c r="IG15" s="568"/>
      <c r="IH15" s="568"/>
      <c r="II15" s="568"/>
      <c r="IJ15" s="568"/>
      <c r="IK15" s="568"/>
      <c r="IL15" s="568"/>
      <c r="IM15" s="568"/>
      <c r="IN15" s="568"/>
      <c r="IO15" s="568"/>
      <c r="IP15" s="568"/>
      <c r="IQ15" s="568"/>
      <c r="IR15" s="568"/>
      <c r="IS15" s="568"/>
      <c r="IT15" s="568"/>
      <c r="IU15" s="568"/>
    </row>
    <row r="16" spans="1:255" hidden="1">
      <c r="A16" s="566" t="s">
        <v>648</v>
      </c>
      <c r="B16" s="561"/>
      <c r="C16" s="561">
        <f>报告期历史数据!C23</f>
        <v>12.447954749999999</v>
      </c>
      <c r="D16" s="561">
        <f>报告期历史数据!D23</f>
        <v>2.0720769400000001</v>
      </c>
      <c r="E16" s="561">
        <f>报告期历史数据!E23</f>
        <v>3.9298147299999999</v>
      </c>
      <c r="F16" s="561">
        <f>报告期历史数据!F23</f>
        <v>7.3088349400000006</v>
      </c>
      <c r="G16" s="561">
        <f>报告期历史数据!G23</f>
        <v>11.99548611</v>
      </c>
      <c r="H16" s="561">
        <f>报告期历史数据!H23</f>
        <v>1.64452256</v>
      </c>
      <c r="I16" s="561">
        <f>报告期历史数据!I23</f>
        <v>2.91720377</v>
      </c>
      <c r="J16" s="561">
        <f>报告期历史数据!J23</f>
        <v>10.582278499999999</v>
      </c>
      <c r="K16" s="561">
        <f>报告期历史数据!K23</f>
        <v>0</v>
      </c>
      <c r="L16" s="561">
        <f>报告期历史数据!L23</f>
        <v>0</v>
      </c>
      <c r="M16" s="561">
        <f>报告期历史数据!M23</f>
        <v>0</v>
      </c>
      <c r="N16" s="561">
        <f>报告期历史数据!N23</f>
        <v>0</v>
      </c>
      <c r="O16"/>
      <c r="P16" s="832" t="s">
        <v>1622</v>
      </c>
      <c r="Q16" s="561"/>
      <c r="R16" s="561"/>
      <c r="S16" s="561"/>
      <c r="T16" s="561"/>
      <c r="U16" s="561"/>
      <c r="V16" s="561"/>
      <c r="W16" s="561"/>
      <c r="X16" s="561"/>
      <c r="Y16" s="561"/>
      <c r="Z16" s="561"/>
      <c r="AA16" s="561"/>
      <c r="AB16" s="561"/>
      <c r="AC16" s="561"/>
      <c r="AD16" s="561"/>
      <c r="AE16" s="561"/>
      <c r="AF16" s="561"/>
      <c r="AG16" s="561"/>
      <c r="AH16" s="567"/>
      <c r="AI16" s="567"/>
      <c r="AJ16" s="567"/>
      <c r="AK16" s="567"/>
      <c r="AL16" s="567"/>
      <c r="AM16" s="567"/>
      <c r="AN16" s="567"/>
      <c r="AO16" s="567"/>
      <c r="AP16" s="567"/>
      <c r="AQ16" s="567"/>
      <c r="AR16" s="567"/>
      <c r="AS16" s="567"/>
      <c r="AT16" s="567"/>
      <c r="AU16" s="567"/>
      <c r="AV16" s="567"/>
      <c r="AW16" s="567"/>
      <c r="AX16" s="567"/>
      <c r="AY16" s="567"/>
      <c r="AZ16" s="567"/>
      <c r="BA16" s="567"/>
      <c r="BB16" s="567"/>
      <c r="BC16" s="567"/>
      <c r="BD16" s="568"/>
      <c r="BE16" s="568"/>
      <c r="BF16" s="568"/>
      <c r="BG16" s="568"/>
      <c r="BH16" s="568"/>
      <c r="BI16" s="568"/>
      <c r="BJ16" s="568"/>
      <c r="BK16" s="568"/>
      <c r="BL16" s="568"/>
      <c r="BM16" s="568"/>
      <c r="BN16" s="568"/>
      <c r="BO16" s="568"/>
      <c r="BP16" s="568"/>
      <c r="BQ16" s="568"/>
      <c r="BR16" s="568"/>
      <c r="BS16" s="568"/>
      <c r="BT16" s="568"/>
      <c r="BU16" s="568"/>
      <c r="BV16" s="568"/>
      <c r="BW16" s="568"/>
      <c r="BX16" s="568"/>
      <c r="BY16" s="568"/>
      <c r="BZ16" s="568"/>
      <c r="CA16" s="568"/>
      <c r="CB16" s="568"/>
      <c r="CC16" s="568"/>
      <c r="CD16" s="568"/>
      <c r="CE16" s="568"/>
      <c r="CF16" s="568"/>
      <c r="CG16" s="568"/>
      <c r="CH16" s="568"/>
      <c r="CI16" s="568"/>
      <c r="CJ16" s="568"/>
      <c r="CK16" s="568"/>
      <c r="CL16" s="568"/>
      <c r="CM16" s="568"/>
      <c r="CN16" s="568"/>
      <c r="CO16" s="568"/>
      <c r="CP16" s="568"/>
      <c r="CQ16" s="568"/>
      <c r="CR16" s="568"/>
      <c r="CS16" s="568"/>
      <c r="CT16" s="568"/>
      <c r="CU16" s="568"/>
      <c r="CV16" s="568"/>
      <c r="CW16" s="568"/>
      <c r="CX16" s="568"/>
      <c r="CY16" s="568"/>
      <c r="CZ16" s="568"/>
      <c r="DA16" s="568"/>
      <c r="DB16" s="568"/>
      <c r="DC16" s="568"/>
      <c r="DD16" s="568"/>
      <c r="DE16" s="568"/>
      <c r="DF16" s="568"/>
      <c r="DG16" s="568"/>
      <c r="DH16" s="568"/>
      <c r="DI16" s="568"/>
      <c r="DJ16" s="568"/>
      <c r="DK16" s="568"/>
      <c r="DL16" s="568"/>
      <c r="DM16" s="568"/>
      <c r="DN16" s="568"/>
      <c r="DO16" s="568"/>
      <c r="DP16" s="568"/>
      <c r="DQ16" s="568"/>
      <c r="DR16" s="568"/>
      <c r="DS16" s="568"/>
      <c r="DT16" s="568"/>
      <c r="DU16" s="568"/>
      <c r="DV16" s="568"/>
      <c r="DW16" s="568"/>
      <c r="DX16" s="568"/>
      <c r="DY16" s="568"/>
      <c r="DZ16" s="568"/>
      <c r="EA16" s="568"/>
      <c r="EB16" s="568"/>
      <c r="EC16" s="568"/>
      <c r="ED16" s="568"/>
      <c r="EE16" s="568"/>
      <c r="EF16" s="568"/>
      <c r="EG16" s="568"/>
      <c r="EH16" s="568"/>
      <c r="EI16" s="568"/>
      <c r="EJ16" s="568"/>
      <c r="EK16" s="568"/>
      <c r="EL16" s="568"/>
      <c r="EM16" s="568"/>
      <c r="EN16" s="568"/>
      <c r="EO16" s="568"/>
      <c r="EP16" s="568"/>
      <c r="EQ16" s="568"/>
      <c r="ER16" s="568"/>
      <c r="ES16" s="568"/>
      <c r="ET16" s="568"/>
      <c r="EU16" s="568"/>
      <c r="EV16" s="568"/>
      <c r="EW16" s="568"/>
      <c r="EX16" s="568"/>
      <c r="EY16" s="568"/>
      <c r="EZ16" s="568"/>
      <c r="FA16" s="568"/>
      <c r="FB16" s="568"/>
      <c r="FC16" s="568"/>
      <c r="FD16" s="568"/>
      <c r="FE16" s="568"/>
      <c r="FF16" s="568"/>
      <c r="FG16" s="568"/>
      <c r="FH16" s="568"/>
      <c r="FI16" s="568"/>
      <c r="FJ16" s="568"/>
      <c r="FK16" s="568"/>
      <c r="FL16" s="568"/>
      <c r="FM16" s="568"/>
      <c r="FN16" s="568"/>
      <c r="FO16" s="568"/>
      <c r="FP16" s="568"/>
      <c r="FQ16" s="568"/>
      <c r="FR16" s="568"/>
      <c r="FS16" s="568"/>
      <c r="FT16" s="568"/>
      <c r="FU16" s="568"/>
      <c r="FV16" s="568"/>
      <c r="FW16" s="568"/>
      <c r="FX16" s="568"/>
      <c r="FY16" s="568"/>
      <c r="FZ16" s="568"/>
      <c r="GA16" s="568"/>
      <c r="GB16" s="568"/>
      <c r="GC16" s="568"/>
      <c r="GD16" s="568"/>
      <c r="GE16" s="568"/>
      <c r="GF16" s="568"/>
      <c r="GG16" s="568"/>
      <c r="GH16" s="568"/>
      <c r="GI16" s="568"/>
      <c r="GJ16" s="568"/>
      <c r="GK16" s="568"/>
      <c r="GL16" s="568"/>
      <c r="GM16" s="568"/>
      <c r="GN16" s="568"/>
      <c r="GO16" s="568"/>
      <c r="GP16" s="568"/>
      <c r="GQ16" s="568"/>
      <c r="GR16" s="568"/>
      <c r="GS16" s="568"/>
      <c r="GT16" s="568"/>
      <c r="GU16" s="568"/>
      <c r="GV16" s="568"/>
      <c r="GW16" s="568"/>
      <c r="GX16" s="568"/>
      <c r="GY16" s="568"/>
      <c r="GZ16" s="568"/>
      <c r="HA16" s="568"/>
      <c r="HB16" s="568"/>
      <c r="HC16" s="568"/>
      <c r="HD16" s="568"/>
      <c r="HE16" s="568"/>
      <c r="HF16" s="568"/>
      <c r="HG16" s="568"/>
      <c r="HH16" s="568"/>
      <c r="HI16" s="568"/>
      <c r="HJ16" s="568"/>
      <c r="HK16" s="568"/>
      <c r="HL16" s="568"/>
      <c r="HM16" s="568"/>
      <c r="HN16" s="568"/>
      <c r="HO16" s="568"/>
      <c r="HP16" s="568"/>
      <c r="HQ16" s="568"/>
      <c r="HR16" s="568"/>
      <c r="HS16" s="568"/>
      <c r="HT16" s="568"/>
      <c r="HU16" s="568"/>
      <c r="HV16" s="568"/>
      <c r="HW16" s="568"/>
      <c r="HX16" s="568"/>
      <c r="HY16" s="568"/>
      <c r="HZ16" s="568"/>
      <c r="IA16" s="568"/>
      <c r="IB16" s="568"/>
      <c r="IC16" s="568"/>
      <c r="ID16" s="568"/>
      <c r="IE16" s="568"/>
      <c r="IF16" s="568"/>
      <c r="IG16" s="568"/>
      <c r="IH16" s="568"/>
      <c r="II16" s="568"/>
      <c r="IJ16" s="568"/>
      <c r="IK16" s="568"/>
      <c r="IL16" s="568"/>
      <c r="IM16" s="568"/>
      <c r="IN16" s="568"/>
      <c r="IO16" s="568"/>
      <c r="IP16" s="568"/>
      <c r="IQ16" s="568"/>
      <c r="IR16" s="568"/>
      <c r="IS16" s="568"/>
      <c r="IT16" s="568"/>
      <c r="IU16" s="568"/>
    </row>
    <row r="17" spans="1:255" hidden="1">
      <c r="A17" s="566" t="s">
        <v>649</v>
      </c>
      <c r="B17" s="561"/>
      <c r="C17" s="561">
        <f>报告期历史数据!C24</f>
        <v>2.6184784300000001</v>
      </c>
      <c r="D17" s="561">
        <f>报告期历史数据!D24</f>
        <v>0.33327301000000004</v>
      </c>
      <c r="E17" s="561">
        <f>报告期历史数据!E24</f>
        <v>0.8166685600000001</v>
      </c>
      <c r="F17" s="561">
        <f>报告期历史数据!F24</f>
        <v>1.9620239900000001</v>
      </c>
      <c r="G17" s="561">
        <f>报告期历史数据!G24</f>
        <v>2.8726492100000001</v>
      </c>
      <c r="H17" s="561">
        <f>报告期历史数据!H24</f>
        <v>0.28132989000000003</v>
      </c>
      <c r="I17" s="561">
        <f>报告期历史数据!I24</f>
        <v>0.99913755000000004</v>
      </c>
      <c r="J17" s="561">
        <f>报告期历史数据!J24</f>
        <v>1.4604375900000002</v>
      </c>
      <c r="K17" s="561">
        <f>报告期历史数据!K24</f>
        <v>0</v>
      </c>
      <c r="L17" s="561">
        <f>报告期历史数据!L24</f>
        <v>0</v>
      </c>
      <c r="M17" s="561">
        <f>报告期历史数据!M24</f>
        <v>0</v>
      </c>
      <c r="N17" s="561">
        <f>报告期历史数据!N24</f>
        <v>0</v>
      </c>
      <c r="O17"/>
      <c r="P17" s="832" t="s">
        <v>1623</v>
      </c>
      <c r="Q17" s="561"/>
      <c r="R17" s="561"/>
      <c r="S17" s="561"/>
      <c r="T17" s="561"/>
      <c r="U17" s="561"/>
      <c r="V17" s="561"/>
      <c r="W17" s="561"/>
      <c r="X17" s="561"/>
      <c r="Y17" s="561"/>
      <c r="Z17" s="561"/>
      <c r="AA17" s="561"/>
      <c r="AB17" s="561"/>
      <c r="AC17" s="561"/>
      <c r="AD17" s="561"/>
      <c r="AE17" s="561"/>
      <c r="AF17" s="561"/>
      <c r="AG17" s="561"/>
      <c r="AH17" s="567"/>
      <c r="AI17" s="567"/>
      <c r="AJ17" s="567"/>
      <c r="AK17" s="567"/>
      <c r="AL17" s="567"/>
      <c r="AM17" s="567"/>
      <c r="AN17" s="567"/>
      <c r="AO17" s="567"/>
      <c r="AP17" s="567"/>
      <c r="AQ17" s="567"/>
      <c r="AR17" s="567"/>
      <c r="AS17" s="567"/>
      <c r="AT17" s="567"/>
      <c r="AU17" s="567"/>
      <c r="AV17" s="567"/>
      <c r="AW17" s="567"/>
      <c r="AX17" s="567"/>
      <c r="AY17" s="567"/>
      <c r="AZ17" s="567"/>
      <c r="BA17" s="567"/>
      <c r="BB17" s="567"/>
      <c r="BC17" s="567"/>
      <c r="BD17" s="568"/>
      <c r="BE17" s="568"/>
      <c r="BF17" s="568"/>
      <c r="BG17" s="568"/>
      <c r="BH17" s="568"/>
      <c r="BI17" s="568"/>
      <c r="BJ17" s="568"/>
      <c r="BK17" s="568"/>
      <c r="BL17" s="568"/>
      <c r="BM17" s="568"/>
      <c r="BN17" s="568"/>
      <c r="BO17" s="568"/>
      <c r="BP17" s="568"/>
      <c r="BQ17" s="568"/>
      <c r="BR17" s="568"/>
      <c r="BS17" s="568"/>
      <c r="BT17" s="568"/>
      <c r="BU17" s="568"/>
      <c r="BV17" s="568"/>
      <c r="BW17" s="568"/>
      <c r="BX17" s="568"/>
      <c r="BY17" s="568"/>
      <c r="BZ17" s="568"/>
      <c r="CA17" s="568"/>
      <c r="CB17" s="568"/>
      <c r="CC17" s="568"/>
      <c r="CD17" s="568"/>
      <c r="CE17" s="568"/>
      <c r="CF17" s="568"/>
      <c r="CG17" s="568"/>
      <c r="CH17" s="568"/>
      <c r="CI17" s="568"/>
      <c r="CJ17" s="568"/>
      <c r="CK17" s="568"/>
      <c r="CL17" s="568"/>
      <c r="CM17" s="568"/>
      <c r="CN17" s="568"/>
      <c r="CO17" s="568"/>
      <c r="CP17" s="568"/>
      <c r="CQ17" s="568"/>
      <c r="CR17" s="568"/>
      <c r="CS17" s="568"/>
      <c r="CT17" s="568"/>
      <c r="CU17" s="568"/>
      <c r="CV17" s="568"/>
      <c r="CW17" s="568"/>
      <c r="CX17" s="568"/>
      <c r="CY17" s="568"/>
      <c r="CZ17" s="568"/>
      <c r="DA17" s="568"/>
      <c r="DB17" s="568"/>
      <c r="DC17" s="568"/>
      <c r="DD17" s="568"/>
      <c r="DE17" s="568"/>
      <c r="DF17" s="568"/>
      <c r="DG17" s="568"/>
      <c r="DH17" s="568"/>
      <c r="DI17" s="568"/>
      <c r="DJ17" s="568"/>
      <c r="DK17" s="568"/>
      <c r="DL17" s="568"/>
      <c r="DM17" s="568"/>
      <c r="DN17" s="568"/>
      <c r="DO17" s="568"/>
      <c r="DP17" s="568"/>
      <c r="DQ17" s="568"/>
      <c r="DR17" s="568"/>
      <c r="DS17" s="568"/>
      <c r="DT17" s="568"/>
      <c r="DU17" s="568"/>
      <c r="DV17" s="568"/>
      <c r="DW17" s="568"/>
      <c r="DX17" s="568"/>
      <c r="DY17" s="568"/>
      <c r="DZ17" s="568"/>
      <c r="EA17" s="568"/>
      <c r="EB17" s="568"/>
      <c r="EC17" s="568"/>
      <c r="ED17" s="568"/>
      <c r="EE17" s="568"/>
      <c r="EF17" s="568"/>
      <c r="EG17" s="568"/>
      <c r="EH17" s="568"/>
      <c r="EI17" s="568"/>
      <c r="EJ17" s="568"/>
      <c r="EK17" s="568"/>
      <c r="EL17" s="568"/>
      <c r="EM17" s="568"/>
      <c r="EN17" s="568"/>
      <c r="EO17" s="568"/>
      <c r="EP17" s="568"/>
      <c r="EQ17" s="568"/>
      <c r="ER17" s="568"/>
      <c r="ES17" s="568"/>
      <c r="ET17" s="568"/>
      <c r="EU17" s="568"/>
      <c r="EV17" s="568"/>
      <c r="EW17" s="568"/>
      <c r="EX17" s="568"/>
      <c r="EY17" s="568"/>
      <c r="EZ17" s="568"/>
      <c r="FA17" s="568"/>
      <c r="FB17" s="568"/>
      <c r="FC17" s="568"/>
      <c r="FD17" s="568"/>
      <c r="FE17" s="568"/>
      <c r="FF17" s="568"/>
      <c r="FG17" s="568"/>
      <c r="FH17" s="568"/>
      <c r="FI17" s="568"/>
      <c r="FJ17" s="568"/>
      <c r="FK17" s="568"/>
      <c r="FL17" s="568"/>
      <c r="FM17" s="568"/>
      <c r="FN17" s="568"/>
      <c r="FO17" s="568"/>
      <c r="FP17" s="568"/>
      <c r="FQ17" s="568"/>
      <c r="FR17" s="568"/>
      <c r="FS17" s="568"/>
      <c r="FT17" s="568"/>
      <c r="FU17" s="568"/>
      <c r="FV17" s="568"/>
      <c r="FW17" s="568"/>
      <c r="FX17" s="568"/>
      <c r="FY17" s="568"/>
      <c r="FZ17" s="568"/>
      <c r="GA17" s="568"/>
      <c r="GB17" s="568"/>
      <c r="GC17" s="568"/>
      <c r="GD17" s="568"/>
      <c r="GE17" s="568"/>
      <c r="GF17" s="568"/>
      <c r="GG17" s="568"/>
      <c r="GH17" s="568"/>
      <c r="GI17" s="568"/>
      <c r="GJ17" s="568"/>
      <c r="GK17" s="568"/>
      <c r="GL17" s="568"/>
      <c r="GM17" s="568"/>
      <c r="GN17" s="568"/>
      <c r="GO17" s="568"/>
      <c r="GP17" s="568"/>
      <c r="GQ17" s="568"/>
      <c r="GR17" s="568"/>
      <c r="GS17" s="568"/>
      <c r="GT17" s="568"/>
      <c r="GU17" s="568"/>
      <c r="GV17" s="568"/>
      <c r="GW17" s="568"/>
      <c r="GX17" s="568"/>
      <c r="GY17" s="568"/>
      <c r="GZ17" s="568"/>
      <c r="HA17" s="568"/>
      <c r="HB17" s="568"/>
      <c r="HC17" s="568"/>
      <c r="HD17" s="568"/>
      <c r="HE17" s="568"/>
      <c r="HF17" s="568"/>
      <c r="HG17" s="568"/>
      <c r="HH17" s="568"/>
      <c r="HI17" s="568"/>
      <c r="HJ17" s="568"/>
      <c r="HK17" s="568"/>
      <c r="HL17" s="568"/>
      <c r="HM17" s="568"/>
      <c r="HN17" s="568"/>
      <c r="HO17" s="568"/>
      <c r="HP17" s="568"/>
      <c r="HQ17" s="568"/>
      <c r="HR17" s="568"/>
      <c r="HS17" s="568"/>
      <c r="HT17" s="568"/>
      <c r="HU17" s="568"/>
      <c r="HV17" s="568"/>
      <c r="HW17" s="568"/>
      <c r="HX17" s="568"/>
      <c r="HY17" s="568"/>
      <c r="HZ17" s="568"/>
      <c r="IA17" s="568"/>
      <c r="IB17" s="568"/>
      <c r="IC17" s="568"/>
      <c r="ID17" s="568"/>
      <c r="IE17" s="568"/>
      <c r="IF17" s="568"/>
      <c r="IG17" s="568"/>
      <c r="IH17" s="568"/>
      <c r="II17" s="568"/>
      <c r="IJ17" s="568"/>
      <c r="IK17" s="568"/>
      <c r="IL17" s="568"/>
      <c r="IM17" s="568"/>
      <c r="IN17" s="568"/>
      <c r="IO17" s="568"/>
      <c r="IP17" s="568"/>
      <c r="IQ17" s="568"/>
      <c r="IR17" s="568"/>
      <c r="IS17" s="568"/>
      <c r="IT17" s="568"/>
      <c r="IU17" s="568"/>
    </row>
    <row r="18" spans="1:255" hidden="1">
      <c r="A18" s="1074" t="s">
        <v>34</v>
      </c>
      <c r="B18" s="561"/>
      <c r="C18" s="1080">
        <f>报告期历史数据!C26</f>
        <v>820.50660357000004</v>
      </c>
      <c r="D18" s="1080">
        <f>报告期历史数据!D26</f>
        <v>118.40752372</v>
      </c>
      <c r="E18" s="1080">
        <f>报告期历史数据!E26</f>
        <v>289.46629428</v>
      </c>
      <c r="F18" s="1080">
        <f>报告期历史数据!F26</f>
        <v>316.83961893999998</v>
      </c>
      <c r="G18" s="1080">
        <f>报告期历史数据!G26</f>
        <v>200.59245367</v>
      </c>
      <c r="H18" s="1080">
        <f>报告期历史数据!H26</f>
        <v>68.332878370000003</v>
      </c>
      <c r="I18" s="1080">
        <f>报告期历史数据!I26</f>
        <v>71.091041050000001</v>
      </c>
      <c r="J18" s="1080">
        <f>报告期历史数据!J26</f>
        <v>69.141399519999993</v>
      </c>
      <c r="K18" s="1080">
        <f>报告期历史数据!K26</f>
        <v>0</v>
      </c>
      <c r="L18" s="1080">
        <f>报告期历史数据!L26</f>
        <v>0</v>
      </c>
      <c r="M18" s="1080">
        <f>报告期历史数据!M26</f>
        <v>0</v>
      </c>
      <c r="N18" s="1080">
        <f>报告期历史数据!N26</f>
        <v>0</v>
      </c>
      <c r="O18"/>
      <c r="P18" s="832" t="s">
        <v>1625</v>
      </c>
      <c r="Q18" s="561"/>
      <c r="R18" s="561"/>
      <c r="S18" s="561"/>
      <c r="T18" s="561"/>
      <c r="U18" s="561"/>
      <c r="V18" s="561"/>
      <c r="W18" s="561"/>
      <c r="X18" s="561"/>
      <c r="Y18" s="561"/>
      <c r="Z18" s="561"/>
      <c r="AA18" s="561"/>
      <c r="AB18" s="561"/>
      <c r="AC18" s="561"/>
      <c r="AD18" s="561"/>
      <c r="AE18" s="561"/>
      <c r="AF18" s="561"/>
      <c r="AG18" s="561"/>
      <c r="AH18" s="567"/>
      <c r="AI18" s="567"/>
      <c r="AJ18" s="567"/>
      <c r="AK18" s="567"/>
      <c r="AL18" s="567"/>
      <c r="AM18" s="567"/>
      <c r="AN18" s="567"/>
      <c r="AO18" s="567"/>
      <c r="AP18" s="567"/>
      <c r="AQ18" s="567"/>
      <c r="AR18" s="567"/>
      <c r="AS18" s="567"/>
      <c r="AT18" s="567"/>
      <c r="AU18" s="567"/>
      <c r="AV18" s="567"/>
      <c r="AW18" s="567"/>
      <c r="AX18" s="567"/>
      <c r="AY18" s="567"/>
      <c r="AZ18" s="567"/>
      <c r="BA18" s="567"/>
      <c r="BB18" s="567"/>
      <c r="BC18" s="567"/>
      <c r="BD18" s="568"/>
      <c r="BE18" s="568"/>
      <c r="BF18" s="568"/>
      <c r="BG18" s="568"/>
      <c r="BH18" s="568"/>
      <c r="BI18" s="568"/>
      <c r="BJ18" s="568"/>
      <c r="BK18" s="568"/>
      <c r="BL18" s="568"/>
      <c r="BM18" s="568"/>
      <c r="BN18" s="568"/>
      <c r="BO18" s="568"/>
      <c r="BP18" s="568"/>
      <c r="BQ18" s="568"/>
      <c r="BR18" s="568"/>
      <c r="BS18" s="568"/>
      <c r="BT18" s="568"/>
      <c r="BU18" s="568"/>
      <c r="BV18" s="568"/>
      <c r="BW18" s="568"/>
      <c r="BX18" s="568"/>
      <c r="BY18" s="568"/>
      <c r="BZ18" s="568"/>
      <c r="CA18" s="568"/>
      <c r="CB18" s="568"/>
      <c r="CC18" s="568"/>
      <c r="CD18" s="568"/>
      <c r="CE18" s="568"/>
      <c r="CF18" s="568"/>
      <c r="CG18" s="568"/>
      <c r="CH18" s="568"/>
      <c r="CI18" s="568"/>
      <c r="CJ18" s="568"/>
      <c r="CK18" s="568"/>
      <c r="CL18" s="568"/>
      <c r="CM18" s="568"/>
      <c r="CN18" s="568"/>
      <c r="CO18" s="568"/>
      <c r="CP18" s="568"/>
      <c r="CQ18" s="568"/>
      <c r="CR18" s="568"/>
      <c r="CS18" s="568"/>
      <c r="CT18" s="568"/>
      <c r="CU18" s="568"/>
      <c r="CV18" s="568"/>
      <c r="CW18" s="568"/>
      <c r="CX18" s="568"/>
      <c r="CY18" s="568"/>
      <c r="CZ18" s="568"/>
      <c r="DA18" s="568"/>
      <c r="DB18" s="568"/>
      <c r="DC18" s="568"/>
      <c r="DD18" s="568"/>
      <c r="DE18" s="568"/>
      <c r="DF18" s="568"/>
      <c r="DG18" s="568"/>
      <c r="DH18" s="568"/>
      <c r="DI18" s="568"/>
      <c r="DJ18" s="568"/>
      <c r="DK18" s="568"/>
      <c r="DL18" s="568"/>
      <c r="DM18" s="568"/>
      <c r="DN18" s="568"/>
      <c r="DO18" s="568"/>
      <c r="DP18" s="568"/>
      <c r="DQ18" s="568"/>
      <c r="DR18" s="568"/>
      <c r="DS18" s="568"/>
      <c r="DT18" s="568"/>
      <c r="DU18" s="568"/>
      <c r="DV18" s="568"/>
      <c r="DW18" s="568"/>
      <c r="DX18" s="568"/>
      <c r="DY18" s="568"/>
      <c r="DZ18" s="568"/>
      <c r="EA18" s="568"/>
      <c r="EB18" s="568"/>
      <c r="EC18" s="568"/>
      <c r="ED18" s="568"/>
      <c r="EE18" s="568"/>
      <c r="EF18" s="568"/>
      <c r="EG18" s="568"/>
      <c r="EH18" s="568"/>
      <c r="EI18" s="568"/>
      <c r="EJ18" s="568"/>
      <c r="EK18" s="568"/>
      <c r="EL18" s="568"/>
      <c r="EM18" s="568"/>
      <c r="EN18" s="568"/>
      <c r="EO18" s="568"/>
      <c r="EP18" s="568"/>
      <c r="EQ18" s="568"/>
      <c r="ER18" s="568"/>
      <c r="ES18" s="568"/>
      <c r="ET18" s="568"/>
      <c r="EU18" s="568"/>
      <c r="EV18" s="568"/>
      <c r="EW18" s="568"/>
      <c r="EX18" s="568"/>
      <c r="EY18" s="568"/>
      <c r="EZ18" s="568"/>
      <c r="FA18" s="568"/>
      <c r="FB18" s="568"/>
      <c r="FC18" s="568"/>
      <c r="FD18" s="568"/>
      <c r="FE18" s="568"/>
      <c r="FF18" s="568"/>
      <c r="FG18" s="568"/>
      <c r="FH18" s="568"/>
      <c r="FI18" s="568"/>
      <c r="FJ18" s="568"/>
      <c r="FK18" s="568"/>
      <c r="FL18" s="568"/>
      <c r="FM18" s="568"/>
      <c r="FN18" s="568"/>
      <c r="FO18" s="568"/>
      <c r="FP18" s="568"/>
      <c r="FQ18" s="568"/>
      <c r="FR18" s="568"/>
      <c r="FS18" s="568"/>
      <c r="FT18" s="568"/>
      <c r="FU18" s="568"/>
      <c r="FV18" s="568"/>
      <c r="FW18" s="568"/>
      <c r="FX18" s="568"/>
      <c r="FY18" s="568"/>
      <c r="FZ18" s="568"/>
      <c r="GA18" s="568"/>
      <c r="GB18" s="568"/>
      <c r="GC18" s="568"/>
      <c r="GD18" s="568"/>
      <c r="GE18" s="568"/>
      <c r="GF18" s="568"/>
      <c r="GG18" s="568"/>
      <c r="GH18" s="568"/>
      <c r="GI18" s="568"/>
      <c r="GJ18" s="568"/>
      <c r="GK18" s="568"/>
      <c r="GL18" s="568"/>
      <c r="GM18" s="568"/>
      <c r="GN18" s="568"/>
      <c r="GO18" s="568"/>
      <c r="GP18" s="568"/>
      <c r="GQ18" s="568"/>
      <c r="GR18" s="568"/>
      <c r="GS18" s="568"/>
      <c r="GT18" s="568"/>
      <c r="GU18" s="568"/>
      <c r="GV18" s="568"/>
      <c r="GW18" s="568"/>
      <c r="GX18" s="568"/>
      <c r="GY18" s="568"/>
      <c r="GZ18" s="568"/>
      <c r="HA18" s="568"/>
      <c r="HB18" s="568"/>
      <c r="HC18" s="568"/>
      <c r="HD18" s="568"/>
      <c r="HE18" s="568"/>
      <c r="HF18" s="568"/>
      <c r="HG18" s="568"/>
      <c r="HH18" s="568"/>
      <c r="HI18" s="568"/>
      <c r="HJ18" s="568"/>
      <c r="HK18" s="568"/>
      <c r="HL18" s="568"/>
      <c r="HM18" s="568"/>
      <c r="HN18" s="568"/>
      <c r="HO18" s="568"/>
      <c r="HP18" s="568"/>
      <c r="HQ18" s="568"/>
      <c r="HR18" s="568"/>
      <c r="HS18" s="568"/>
      <c r="HT18" s="568"/>
      <c r="HU18" s="568"/>
      <c r="HV18" s="568"/>
      <c r="HW18" s="568"/>
      <c r="HX18" s="568"/>
      <c r="HY18" s="568"/>
      <c r="HZ18" s="568"/>
      <c r="IA18" s="568"/>
      <c r="IB18" s="568"/>
      <c r="IC18" s="568"/>
      <c r="ID18" s="568"/>
      <c r="IE18" s="568"/>
      <c r="IF18" s="568"/>
      <c r="IG18" s="568"/>
      <c r="IH18" s="568"/>
      <c r="II18" s="568"/>
      <c r="IJ18" s="568"/>
      <c r="IK18" s="568"/>
      <c r="IL18" s="568"/>
      <c r="IM18" s="568"/>
      <c r="IN18" s="568"/>
      <c r="IO18" s="568"/>
      <c r="IP18" s="568"/>
      <c r="IQ18" s="568"/>
      <c r="IR18" s="568"/>
      <c r="IS18" s="568"/>
      <c r="IT18" s="568"/>
      <c r="IU18" s="568"/>
    </row>
    <row r="19" spans="1:255" hidden="1">
      <c r="A19" s="566" t="s">
        <v>651</v>
      </c>
      <c r="B19" s="561"/>
      <c r="C19" s="561">
        <f>报告期历史数据!C27</f>
        <v>147.88746504</v>
      </c>
      <c r="D19" s="561">
        <f>报告期历史数据!D27</f>
        <v>19.358536520000001</v>
      </c>
      <c r="E19" s="561">
        <f>报告期历史数据!E27</f>
        <v>44.961313579999995</v>
      </c>
      <c r="F19" s="561">
        <f>报告期历史数据!F27</f>
        <v>48.760545880000002</v>
      </c>
      <c r="G19" s="561">
        <f>报告期历史数据!G27</f>
        <v>22.677695249999999</v>
      </c>
      <c r="H19" s="561">
        <f>报告期历史数据!H27</f>
        <v>10.489646619999998</v>
      </c>
      <c r="I19" s="561">
        <f>报告期历史数据!I27</f>
        <v>10.89336774</v>
      </c>
      <c r="J19" s="561">
        <f>报告期历史数据!J27</f>
        <v>-10.63401985</v>
      </c>
      <c r="K19" s="561">
        <f>报告期历史数据!K27</f>
        <v>0</v>
      </c>
      <c r="L19" s="561">
        <f>报告期历史数据!L27</f>
        <v>0</v>
      </c>
      <c r="M19" s="561">
        <f>报告期历史数据!M27</f>
        <v>0</v>
      </c>
      <c r="N19" s="561">
        <f>报告期历史数据!N27</f>
        <v>0</v>
      </c>
      <c r="O19"/>
      <c r="P19" s="832" t="s">
        <v>1626</v>
      </c>
      <c r="Q19" s="561"/>
      <c r="R19" s="561"/>
      <c r="S19" s="561"/>
      <c r="T19" s="561"/>
      <c r="U19" s="561"/>
      <c r="V19" s="561"/>
      <c r="W19" s="561"/>
      <c r="X19" s="561"/>
      <c r="Y19" s="561"/>
      <c r="Z19" s="561"/>
      <c r="AA19" s="561"/>
      <c r="AB19" s="561"/>
      <c r="AC19" s="561"/>
      <c r="AD19" s="561"/>
      <c r="AE19" s="561"/>
      <c r="AF19" s="561"/>
      <c r="AG19" s="561"/>
      <c r="AH19" s="567"/>
      <c r="AI19" s="567"/>
      <c r="AJ19" s="567"/>
      <c r="AK19" s="567"/>
      <c r="AL19" s="567"/>
      <c r="AM19" s="567"/>
      <c r="AN19" s="567"/>
      <c r="AO19" s="567"/>
      <c r="AP19" s="567"/>
      <c r="AQ19" s="567"/>
      <c r="AR19" s="567"/>
      <c r="AS19" s="567"/>
      <c r="AT19" s="567"/>
      <c r="AU19" s="567"/>
      <c r="AV19" s="567"/>
      <c r="AW19" s="567"/>
      <c r="AX19" s="567"/>
      <c r="AY19" s="567"/>
      <c r="AZ19" s="567"/>
      <c r="BA19" s="567"/>
      <c r="BB19" s="567"/>
      <c r="BC19" s="567"/>
      <c r="BD19" s="568"/>
      <c r="BE19" s="568"/>
      <c r="BF19" s="568"/>
      <c r="BG19" s="568"/>
      <c r="BH19" s="568"/>
      <c r="BI19" s="568"/>
      <c r="BJ19" s="568"/>
      <c r="BK19" s="568"/>
      <c r="BL19" s="568"/>
      <c r="BM19" s="568"/>
      <c r="BN19" s="568"/>
      <c r="BO19" s="568"/>
      <c r="BP19" s="568"/>
      <c r="BQ19" s="568"/>
      <c r="BR19" s="568"/>
      <c r="BS19" s="568"/>
      <c r="BT19" s="568"/>
      <c r="BU19" s="568"/>
      <c r="BV19" s="568"/>
      <c r="BW19" s="568"/>
      <c r="BX19" s="568"/>
      <c r="BY19" s="568"/>
      <c r="BZ19" s="568"/>
      <c r="CA19" s="568"/>
      <c r="CB19" s="568"/>
      <c r="CC19" s="568"/>
      <c r="CD19" s="568"/>
      <c r="CE19" s="568"/>
      <c r="CF19" s="568"/>
      <c r="CG19" s="568"/>
      <c r="CH19" s="568"/>
      <c r="CI19" s="568"/>
      <c r="CJ19" s="568"/>
      <c r="CK19" s="568"/>
      <c r="CL19" s="568"/>
      <c r="CM19" s="568"/>
      <c r="CN19" s="568"/>
      <c r="CO19" s="568"/>
      <c r="CP19" s="568"/>
      <c r="CQ19" s="568"/>
      <c r="CR19" s="568"/>
      <c r="CS19" s="568"/>
      <c r="CT19" s="568"/>
      <c r="CU19" s="568"/>
      <c r="CV19" s="568"/>
      <c r="CW19" s="568"/>
      <c r="CX19" s="568"/>
      <c r="CY19" s="568"/>
      <c r="CZ19" s="568"/>
      <c r="DA19" s="568"/>
      <c r="DB19" s="568"/>
      <c r="DC19" s="568"/>
      <c r="DD19" s="568"/>
      <c r="DE19" s="568"/>
      <c r="DF19" s="568"/>
      <c r="DG19" s="568"/>
      <c r="DH19" s="568"/>
      <c r="DI19" s="568"/>
      <c r="DJ19" s="568"/>
      <c r="DK19" s="568"/>
      <c r="DL19" s="568"/>
      <c r="DM19" s="568"/>
      <c r="DN19" s="568"/>
      <c r="DO19" s="568"/>
      <c r="DP19" s="568"/>
      <c r="DQ19" s="568"/>
      <c r="DR19" s="568"/>
      <c r="DS19" s="568"/>
      <c r="DT19" s="568"/>
      <c r="DU19" s="568"/>
      <c r="DV19" s="568"/>
      <c r="DW19" s="568"/>
      <c r="DX19" s="568"/>
      <c r="DY19" s="568"/>
      <c r="DZ19" s="568"/>
      <c r="EA19" s="568"/>
      <c r="EB19" s="568"/>
      <c r="EC19" s="568"/>
      <c r="ED19" s="568"/>
      <c r="EE19" s="568"/>
      <c r="EF19" s="568"/>
      <c r="EG19" s="568"/>
      <c r="EH19" s="568"/>
      <c r="EI19" s="568"/>
      <c r="EJ19" s="568"/>
      <c r="EK19" s="568"/>
      <c r="EL19" s="568"/>
      <c r="EM19" s="568"/>
      <c r="EN19" s="568"/>
      <c r="EO19" s="568"/>
      <c r="EP19" s="568"/>
      <c r="EQ19" s="568"/>
      <c r="ER19" s="568"/>
      <c r="ES19" s="568"/>
      <c r="ET19" s="568"/>
      <c r="EU19" s="568"/>
      <c r="EV19" s="568"/>
      <c r="EW19" s="568"/>
      <c r="EX19" s="568"/>
      <c r="EY19" s="568"/>
      <c r="EZ19" s="568"/>
      <c r="FA19" s="568"/>
      <c r="FB19" s="568"/>
      <c r="FC19" s="568"/>
      <c r="FD19" s="568"/>
      <c r="FE19" s="568"/>
      <c r="FF19" s="568"/>
      <c r="FG19" s="568"/>
      <c r="FH19" s="568"/>
      <c r="FI19" s="568"/>
      <c r="FJ19" s="568"/>
      <c r="FK19" s="568"/>
      <c r="FL19" s="568"/>
      <c r="FM19" s="568"/>
      <c r="FN19" s="568"/>
      <c r="FO19" s="568"/>
      <c r="FP19" s="568"/>
      <c r="FQ19" s="568"/>
      <c r="FR19" s="568"/>
      <c r="FS19" s="568"/>
      <c r="FT19" s="568"/>
      <c r="FU19" s="568"/>
      <c r="FV19" s="568"/>
      <c r="FW19" s="568"/>
      <c r="FX19" s="568"/>
      <c r="FY19" s="568"/>
      <c r="FZ19" s="568"/>
      <c r="GA19" s="568"/>
      <c r="GB19" s="568"/>
      <c r="GC19" s="568"/>
      <c r="GD19" s="568"/>
      <c r="GE19" s="568"/>
      <c r="GF19" s="568"/>
      <c r="GG19" s="568"/>
      <c r="GH19" s="568"/>
      <c r="GI19" s="568"/>
      <c r="GJ19" s="568"/>
      <c r="GK19" s="568"/>
      <c r="GL19" s="568"/>
      <c r="GM19" s="568"/>
      <c r="GN19" s="568"/>
      <c r="GO19" s="568"/>
      <c r="GP19" s="568"/>
      <c r="GQ19" s="568"/>
      <c r="GR19" s="568"/>
      <c r="GS19" s="568"/>
      <c r="GT19" s="568"/>
      <c r="GU19" s="568"/>
      <c r="GV19" s="568"/>
      <c r="GW19" s="568"/>
      <c r="GX19" s="568"/>
      <c r="GY19" s="568"/>
      <c r="GZ19" s="568"/>
      <c r="HA19" s="568"/>
      <c r="HB19" s="568"/>
      <c r="HC19" s="568"/>
      <c r="HD19" s="568"/>
      <c r="HE19" s="568"/>
      <c r="HF19" s="568"/>
      <c r="HG19" s="568"/>
      <c r="HH19" s="568"/>
      <c r="HI19" s="568"/>
      <c r="HJ19" s="568"/>
      <c r="HK19" s="568"/>
      <c r="HL19" s="568"/>
      <c r="HM19" s="568"/>
      <c r="HN19" s="568"/>
      <c r="HO19" s="568"/>
      <c r="HP19" s="568"/>
      <c r="HQ19" s="568"/>
      <c r="HR19" s="568"/>
      <c r="HS19" s="568"/>
      <c r="HT19" s="568"/>
      <c r="HU19" s="568"/>
      <c r="HV19" s="568"/>
      <c r="HW19" s="568"/>
      <c r="HX19" s="568"/>
      <c r="HY19" s="568"/>
      <c r="HZ19" s="568"/>
      <c r="IA19" s="568"/>
      <c r="IB19" s="568"/>
      <c r="IC19" s="568"/>
      <c r="ID19" s="568"/>
      <c r="IE19" s="568"/>
      <c r="IF19" s="568"/>
      <c r="IG19" s="568"/>
      <c r="IH19" s="568"/>
      <c r="II19" s="568"/>
      <c r="IJ19" s="568"/>
      <c r="IK19" s="568"/>
      <c r="IL19" s="568"/>
      <c r="IM19" s="568"/>
      <c r="IN19" s="568"/>
      <c r="IO19" s="568"/>
      <c r="IP19" s="568"/>
      <c r="IQ19" s="568"/>
      <c r="IR19" s="568"/>
      <c r="IS19" s="568"/>
      <c r="IT19" s="568"/>
      <c r="IU19" s="568"/>
    </row>
    <row r="20" spans="1:255" hidden="1">
      <c r="A20" s="1074" t="s">
        <v>992</v>
      </c>
      <c r="B20" s="561"/>
      <c r="C20" s="1080">
        <f>报告期历史数据!C29</f>
        <v>672.61913852999999</v>
      </c>
      <c r="D20" s="1080">
        <f>报告期历史数据!D29</f>
        <v>99.048987199999999</v>
      </c>
      <c r="E20" s="1080">
        <f>报告期历史数据!E29</f>
        <v>244.50498069999998</v>
      </c>
      <c r="F20" s="1080">
        <f>报告期历史数据!F29</f>
        <v>268.07907305999998</v>
      </c>
      <c r="G20" s="1080">
        <f>报告期历史数据!G29</f>
        <v>177.91475842</v>
      </c>
      <c r="H20" s="1080">
        <f>报告期历史数据!H29</f>
        <v>57.843231750000001</v>
      </c>
      <c r="I20" s="1080">
        <f>报告期历史数据!I29</f>
        <v>60.197673309999999</v>
      </c>
      <c r="J20" s="1080">
        <f>报告期历史数据!J29</f>
        <v>79.775419370000009</v>
      </c>
      <c r="K20" s="1080">
        <f>报告期历史数据!K29</f>
        <v>0</v>
      </c>
      <c r="L20" s="1080">
        <f>报告期历史数据!L29</f>
        <v>0</v>
      </c>
      <c r="M20" s="1080">
        <f>报告期历史数据!M29</f>
        <v>0</v>
      </c>
      <c r="N20" s="1080">
        <f>报告期历史数据!N29</f>
        <v>0</v>
      </c>
      <c r="O20"/>
      <c r="P20" s="832" t="s">
        <v>1627</v>
      </c>
      <c r="Q20" s="561"/>
      <c r="R20" s="561"/>
      <c r="S20" s="561"/>
      <c r="T20" s="561"/>
      <c r="U20" s="561"/>
      <c r="V20" s="561"/>
      <c r="W20" s="561"/>
      <c r="X20" s="561"/>
      <c r="Y20" s="561"/>
      <c r="Z20" s="561"/>
      <c r="AA20" s="561"/>
      <c r="AB20" s="561"/>
      <c r="AC20" s="561"/>
      <c r="AD20" s="561"/>
      <c r="AE20" s="561"/>
      <c r="AF20" s="561"/>
      <c r="AG20" s="561"/>
      <c r="AH20" s="567"/>
      <c r="AI20" s="567"/>
      <c r="AJ20" s="567"/>
      <c r="AK20" s="567"/>
      <c r="AL20" s="567"/>
      <c r="AM20" s="567"/>
      <c r="AN20" s="567"/>
      <c r="AO20" s="567"/>
      <c r="AP20" s="567"/>
      <c r="AQ20" s="567"/>
      <c r="AR20" s="567"/>
      <c r="AS20" s="567"/>
      <c r="AT20" s="567"/>
      <c r="AU20" s="567"/>
      <c r="AV20" s="567"/>
      <c r="AW20" s="567"/>
      <c r="AX20" s="567"/>
      <c r="AY20" s="567"/>
      <c r="AZ20" s="567"/>
      <c r="BA20" s="567"/>
      <c r="BB20" s="567"/>
      <c r="BC20" s="567"/>
      <c r="BD20" s="568"/>
      <c r="BE20" s="568"/>
      <c r="BF20" s="568"/>
      <c r="BG20" s="568"/>
      <c r="BH20" s="568"/>
      <c r="BI20" s="568"/>
      <c r="BJ20" s="568"/>
      <c r="BK20" s="568"/>
      <c r="BL20" s="568"/>
      <c r="BM20" s="568"/>
      <c r="BN20" s="568"/>
      <c r="BO20" s="568"/>
      <c r="BP20" s="568"/>
      <c r="BQ20" s="568"/>
      <c r="BR20" s="568"/>
      <c r="BS20" s="568"/>
      <c r="BT20" s="568"/>
      <c r="BU20" s="568"/>
      <c r="BV20" s="568"/>
      <c r="BW20" s="568"/>
      <c r="BX20" s="568"/>
      <c r="BY20" s="568"/>
      <c r="BZ20" s="568"/>
      <c r="CA20" s="568"/>
      <c r="CB20" s="568"/>
      <c r="CC20" s="568"/>
      <c r="CD20" s="568"/>
      <c r="CE20" s="568"/>
      <c r="CF20" s="568"/>
      <c r="CG20" s="568"/>
      <c r="CH20" s="568"/>
      <c r="CI20" s="568"/>
      <c r="CJ20" s="568"/>
      <c r="CK20" s="568"/>
      <c r="CL20" s="568"/>
      <c r="CM20" s="568"/>
      <c r="CN20" s="568"/>
      <c r="CO20" s="568"/>
      <c r="CP20" s="568"/>
      <c r="CQ20" s="568"/>
      <c r="CR20" s="568"/>
      <c r="CS20" s="568"/>
      <c r="CT20" s="568"/>
      <c r="CU20" s="568"/>
      <c r="CV20" s="568"/>
      <c r="CW20" s="568"/>
      <c r="CX20" s="568"/>
      <c r="CY20" s="568"/>
      <c r="CZ20" s="568"/>
      <c r="DA20" s="568"/>
      <c r="DB20" s="568"/>
      <c r="DC20" s="568"/>
      <c r="DD20" s="568"/>
      <c r="DE20" s="568"/>
      <c r="DF20" s="568"/>
      <c r="DG20" s="568"/>
      <c r="DH20" s="568"/>
      <c r="DI20" s="568"/>
      <c r="DJ20" s="568"/>
      <c r="DK20" s="568"/>
      <c r="DL20" s="568"/>
      <c r="DM20" s="568"/>
      <c r="DN20" s="568"/>
      <c r="DO20" s="568"/>
      <c r="DP20" s="568"/>
      <c r="DQ20" s="568"/>
      <c r="DR20" s="568"/>
      <c r="DS20" s="568"/>
      <c r="DT20" s="568"/>
      <c r="DU20" s="568"/>
      <c r="DV20" s="568"/>
      <c r="DW20" s="568"/>
      <c r="DX20" s="568"/>
      <c r="DY20" s="568"/>
      <c r="DZ20" s="568"/>
      <c r="EA20" s="568"/>
      <c r="EB20" s="568"/>
      <c r="EC20" s="568"/>
      <c r="ED20" s="568"/>
      <c r="EE20" s="568"/>
      <c r="EF20" s="568"/>
      <c r="EG20" s="568"/>
      <c r="EH20" s="568"/>
      <c r="EI20" s="568"/>
      <c r="EJ20" s="568"/>
      <c r="EK20" s="568"/>
      <c r="EL20" s="568"/>
      <c r="EM20" s="568"/>
      <c r="EN20" s="568"/>
      <c r="EO20" s="568"/>
      <c r="EP20" s="568"/>
      <c r="EQ20" s="568"/>
      <c r="ER20" s="568"/>
      <c r="ES20" s="568"/>
      <c r="ET20" s="568"/>
      <c r="EU20" s="568"/>
      <c r="EV20" s="568"/>
      <c r="EW20" s="568"/>
      <c r="EX20" s="568"/>
      <c r="EY20" s="568"/>
      <c r="EZ20" s="568"/>
      <c r="FA20" s="568"/>
      <c r="FB20" s="568"/>
      <c r="FC20" s="568"/>
      <c r="FD20" s="568"/>
      <c r="FE20" s="568"/>
      <c r="FF20" s="568"/>
      <c r="FG20" s="568"/>
      <c r="FH20" s="568"/>
      <c r="FI20" s="568"/>
      <c r="FJ20" s="568"/>
      <c r="FK20" s="568"/>
      <c r="FL20" s="568"/>
      <c r="FM20" s="568"/>
      <c r="FN20" s="568"/>
      <c r="FO20" s="568"/>
      <c r="FP20" s="568"/>
      <c r="FQ20" s="568"/>
      <c r="FR20" s="568"/>
      <c r="FS20" s="568"/>
      <c r="FT20" s="568"/>
      <c r="FU20" s="568"/>
      <c r="FV20" s="568"/>
      <c r="FW20" s="568"/>
      <c r="FX20" s="568"/>
      <c r="FY20" s="568"/>
      <c r="FZ20" s="568"/>
      <c r="GA20" s="568"/>
      <c r="GB20" s="568"/>
      <c r="GC20" s="568"/>
      <c r="GD20" s="568"/>
      <c r="GE20" s="568"/>
      <c r="GF20" s="568"/>
      <c r="GG20" s="568"/>
      <c r="GH20" s="568"/>
      <c r="GI20" s="568"/>
      <c r="GJ20" s="568"/>
      <c r="GK20" s="568"/>
      <c r="GL20" s="568"/>
      <c r="GM20" s="568"/>
      <c r="GN20" s="568"/>
      <c r="GO20" s="568"/>
      <c r="GP20" s="568"/>
      <c r="GQ20" s="568"/>
      <c r="GR20" s="568"/>
      <c r="GS20" s="568"/>
      <c r="GT20" s="568"/>
      <c r="GU20" s="568"/>
      <c r="GV20" s="568"/>
      <c r="GW20" s="568"/>
      <c r="GX20" s="568"/>
      <c r="GY20" s="568"/>
      <c r="GZ20" s="568"/>
      <c r="HA20" s="568"/>
      <c r="HB20" s="568"/>
      <c r="HC20" s="568"/>
      <c r="HD20" s="568"/>
      <c r="HE20" s="568"/>
      <c r="HF20" s="568"/>
      <c r="HG20" s="568"/>
      <c r="HH20" s="568"/>
      <c r="HI20" s="568"/>
      <c r="HJ20" s="568"/>
      <c r="HK20" s="568"/>
      <c r="HL20" s="568"/>
      <c r="HM20" s="568"/>
      <c r="HN20" s="568"/>
      <c r="HO20" s="568"/>
      <c r="HP20" s="568"/>
      <c r="HQ20" s="568"/>
      <c r="HR20" s="568"/>
      <c r="HS20" s="568"/>
      <c r="HT20" s="568"/>
      <c r="HU20" s="568"/>
      <c r="HV20" s="568"/>
      <c r="HW20" s="568"/>
      <c r="HX20" s="568"/>
      <c r="HY20" s="568"/>
      <c r="HZ20" s="568"/>
      <c r="IA20" s="568"/>
      <c r="IB20" s="568"/>
      <c r="IC20" s="568"/>
      <c r="ID20" s="568"/>
      <c r="IE20" s="568"/>
      <c r="IF20" s="568"/>
      <c r="IG20" s="568"/>
      <c r="IH20" s="568"/>
      <c r="II20" s="568"/>
      <c r="IJ20" s="568"/>
      <c r="IK20" s="568"/>
      <c r="IL20" s="568"/>
      <c r="IM20" s="568"/>
      <c r="IN20" s="568"/>
      <c r="IO20" s="568"/>
      <c r="IP20" s="568"/>
      <c r="IQ20" s="568"/>
      <c r="IR20" s="568"/>
      <c r="IS20" s="568"/>
      <c r="IT20" s="568"/>
      <c r="IU20" s="568"/>
    </row>
    <row r="21" spans="1:255" hidden="1">
      <c r="A21" s="566" t="s">
        <v>652</v>
      </c>
      <c r="B21" s="561"/>
      <c r="C21" s="561">
        <f>报告期历史数据!C30</f>
        <v>0</v>
      </c>
      <c r="D21" s="561">
        <f>报告期历史数据!D30</f>
        <v>0</v>
      </c>
      <c r="E21" s="561">
        <f>报告期历史数据!E30</f>
        <v>6.09087E-3</v>
      </c>
      <c r="F21" s="561">
        <f>报告期历史数据!F30</f>
        <v>-0.16462739000000001</v>
      </c>
      <c r="G21" s="561">
        <f>报告期历史数据!G30</f>
        <v>-0.27017777000000004</v>
      </c>
      <c r="H21" s="561">
        <f>报告期历史数据!H30</f>
        <v>-0.23226943999999999</v>
      </c>
      <c r="I21" s="561">
        <f>报告期历史数据!I30</f>
        <v>-0.40640386000000001</v>
      </c>
      <c r="J21" s="561">
        <f>报告期历史数据!J30</f>
        <v>-2.2087360400000002</v>
      </c>
      <c r="K21" s="561">
        <f>报告期历史数据!K30</f>
        <v>0</v>
      </c>
      <c r="L21" s="561">
        <f>报告期历史数据!L30</f>
        <v>0</v>
      </c>
      <c r="M21" s="561">
        <f>报告期历史数据!M30</f>
        <v>0</v>
      </c>
      <c r="N21" s="561">
        <f>报告期历史数据!N30</f>
        <v>0</v>
      </c>
      <c r="O21"/>
      <c r="P21" s="832" t="s">
        <v>1628</v>
      </c>
      <c r="Q21" s="561"/>
      <c r="R21" s="561"/>
      <c r="S21" s="561"/>
      <c r="T21" s="561"/>
      <c r="U21" s="561"/>
      <c r="V21" s="561"/>
      <c r="W21" s="561"/>
      <c r="X21" s="561"/>
      <c r="Y21" s="561"/>
      <c r="Z21" s="561"/>
      <c r="AA21" s="561"/>
      <c r="AB21" s="561"/>
      <c r="AC21" s="561"/>
      <c r="AD21" s="561"/>
      <c r="AE21" s="561"/>
      <c r="AF21" s="561"/>
      <c r="AG21" s="561"/>
      <c r="AH21" s="567"/>
      <c r="AI21" s="567"/>
      <c r="AJ21" s="567"/>
      <c r="AK21" s="567"/>
      <c r="AL21" s="567"/>
      <c r="AM21" s="567"/>
      <c r="AN21" s="567"/>
      <c r="AO21" s="567"/>
      <c r="AP21" s="567"/>
      <c r="AQ21" s="567"/>
      <c r="AR21" s="567"/>
      <c r="AS21" s="567"/>
      <c r="AT21" s="567"/>
      <c r="AU21" s="567"/>
      <c r="AV21" s="567"/>
      <c r="AW21" s="567"/>
      <c r="AX21" s="567"/>
      <c r="AY21" s="567"/>
      <c r="AZ21" s="567"/>
      <c r="BA21" s="567"/>
      <c r="BB21" s="567"/>
      <c r="BC21" s="567"/>
      <c r="BD21" s="568"/>
      <c r="BE21" s="568"/>
      <c r="BF21" s="568"/>
      <c r="BG21" s="568"/>
      <c r="BH21" s="568"/>
      <c r="BI21" s="568"/>
      <c r="BJ21" s="568"/>
      <c r="BK21" s="568"/>
      <c r="BL21" s="568"/>
      <c r="BM21" s="568"/>
      <c r="BN21" s="568"/>
      <c r="BO21" s="568"/>
      <c r="BP21" s="568"/>
      <c r="BQ21" s="568"/>
      <c r="BR21" s="568"/>
      <c r="BS21" s="568"/>
      <c r="BT21" s="568"/>
      <c r="BU21" s="568"/>
      <c r="BV21" s="568"/>
      <c r="BW21" s="568"/>
      <c r="BX21" s="568"/>
      <c r="BY21" s="568"/>
      <c r="BZ21" s="568"/>
      <c r="CA21" s="568"/>
      <c r="CB21" s="568"/>
      <c r="CC21" s="568"/>
      <c r="CD21" s="568"/>
      <c r="CE21" s="568"/>
      <c r="CF21" s="568"/>
      <c r="CG21" s="568"/>
      <c r="CH21" s="568"/>
      <c r="CI21" s="568"/>
      <c r="CJ21" s="568"/>
      <c r="CK21" s="568"/>
      <c r="CL21" s="568"/>
      <c r="CM21" s="568"/>
      <c r="CN21" s="568"/>
      <c r="CO21" s="568"/>
      <c r="CP21" s="568"/>
      <c r="CQ21" s="568"/>
      <c r="CR21" s="568"/>
      <c r="CS21" s="568"/>
      <c r="CT21" s="568"/>
      <c r="CU21" s="568"/>
      <c r="CV21" s="568"/>
      <c r="CW21" s="568"/>
      <c r="CX21" s="568"/>
      <c r="CY21" s="568"/>
      <c r="CZ21" s="568"/>
      <c r="DA21" s="568"/>
      <c r="DB21" s="568"/>
      <c r="DC21" s="568"/>
      <c r="DD21" s="568"/>
      <c r="DE21" s="568"/>
      <c r="DF21" s="568"/>
      <c r="DG21" s="568"/>
      <c r="DH21" s="568"/>
      <c r="DI21" s="568"/>
      <c r="DJ21" s="568"/>
      <c r="DK21" s="568"/>
      <c r="DL21" s="568"/>
      <c r="DM21" s="568"/>
      <c r="DN21" s="568"/>
      <c r="DO21" s="568"/>
      <c r="DP21" s="568"/>
      <c r="DQ21" s="568"/>
      <c r="DR21" s="568"/>
      <c r="DS21" s="568"/>
      <c r="DT21" s="568"/>
      <c r="DU21" s="568"/>
      <c r="DV21" s="568"/>
      <c r="DW21" s="568"/>
      <c r="DX21" s="568"/>
      <c r="DY21" s="568"/>
      <c r="DZ21" s="568"/>
      <c r="EA21" s="568"/>
      <c r="EB21" s="568"/>
      <c r="EC21" s="568"/>
      <c r="ED21" s="568"/>
      <c r="EE21" s="568"/>
      <c r="EF21" s="568"/>
      <c r="EG21" s="568"/>
      <c r="EH21" s="568"/>
      <c r="EI21" s="568"/>
      <c r="EJ21" s="568"/>
      <c r="EK21" s="568"/>
      <c r="EL21" s="568"/>
      <c r="EM21" s="568"/>
      <c r="EN21" s="568"/>
      <c r="EO21" s="568"/>
      <c r="EP21" s="568"/>
      <c r="EQ21" s="568"/>
      <c r="ER21" s="568"/>
      <c r="ES21" s="568"/>
      <c r="ET21" s="568"/>
      <c r="EU21" s="568"/>
      <c r="EV21" s="568"/>
      <c r="EW21" s="568"/>
      <c r="EX21" s="568"/>
      <c r="EY21" s="568"/>
      <c r="EZ21" s="568"/>
      <c r="FA21" s="568"/>
      <c r="FB21" s="568"/>
      <c r="FC21" s="568"/>
      <c r="FD21" s="568"/>
      <c r="FE21" s="568"/>
      <c r="FF21" s="568"/>
      <c r="FG21" s="568"/>
      <c r="FH21" s="568"/>
      <c r="FI21" s="568"/>
      <c r="FJ21" s="568"/>
      <c r="FK21" s="568"/>
      <c r="FL21" s="568"/>
      <c r="FM21" s="568"/>
      <c r="FN21" s="568"/>
      <c r="FO21" s="568"/>
      <c r="FP21" s="568"/>
      <c r="FQ21" s="568"/>
      <c r="FR21" s="568"/>
      <c r="FS21" s="568"/>
      <c r="FT21" s="568"/>
      <c r="FU21" s="568"/>
      <c r="FV21" s="568"/>
      <c r="FW21" s="568"/>
      <c r="FX21" s="568"/>
      <c r="FY21" s="568"/>
      <c r="FZ21" s="568"/>
      <c r="GA21" s="568"/>
      <c r="GB21" s="568"/>
      <c r="GC21" s="568"/>
      <c r="GD21" s="568"/>
      <c r="GE21" s="568"/>
      <c r="GF21" s="568"/>
      <c r="GG21" s="568"/>
      <c r="GH21" s="568"/>
      <c r="GI21" s="568"/>
      <c r="GJ21" s="568"/>
      <c r="GK21" s="568"/>
      <c r="GL21" s="568"/>
      <c r="GM21" s="568"/>
      <c r="GN21" s="568"/>
      <c r="GO21" s="568"/>
      <c r="GP21" s="568"/>
      <c r="GQ21" s="568"/>
      <c r="GR21" s="568"/>
      <c r="GS21" s="568"/>
      <c r="GT21" s="568"/>
      <c r="GU21" s="568"/>
      <c r="GV21" s="568"/>
      <c r="GW21" s="568"/>
      <c r="GX21" s="568"/>
      <c r="GY21" s="568"/>
      <c r="GZ21" s="568"/>
      <c r="HA21" s="568"/>
      <c r="HB21" s="568"/>
      <c r="HC21" s="568"/>
      <c r="HD21" s="568"/>
      <c r="HE21" s="568"/>
      <c r="HF21" s="568"/>
      <c r="HG21" s="568"/>
      <c r="HH21" s="568"/>
      <c r="HI21" s="568"/>
      <c r="HJ21" s="568"/>
      <c r="HK21" s="568"/>
      <c r="HL21" s="568"/>
      <c r="HM21" s="568"/>
      <c r="HN21" s="568"/>
      <c r="HO21" s="568"/>
      <c r="HP21" s="568"/>
      <c r="HQ21" s="568"/>
      <c r="HR21" s="568"/>
      <c r="HS21" s="568"/>
      <c r="HT21" s="568"/>
      <c r="HU21" s="568"/>
      <c r="HV21" s="568"/>
      <c r="HW21" s="568"/>
      <c r="HX21" s="568"/>
      <c r="HY21" s="568"/>
      <c r="HZ21" s="568"/>
      <c r="IA21" s="568"/>
      <c r="IB21" s="568"/>
      <c r="IC21" s="568"/>
      <c r="ID21" s="568"/>
      <c r="IE21" s="568"/>
      <c r="IF21" s="568"/>
      <c r="IG21" s="568"/>
      <c r="IH21" s="568"/>
      <c r="II21" s="568"/>
      <c r="IJ21" s="568"/>
      <c r="IK21" s="568"/>
      <c r="IL21" s="568"/>
      <c r="IM21" s="568"/>
      <c r="IN21" s="568"/>
      <c r="IO21" s="568"/>
      <c r="IP21" s="568"/>
      <c r="IQ21" s="568"/>
      <c r="IR21" s="568"/>
      <c r="IS21" s="568"/>
      <c r="IT21" s="568"/>
      <c r="IU21" s="568"/>
    </row>
    <row r="22" spans="1:255" hidden="1">
      <c r="A22" s="1074" t="s">
        <v>1367</v>
      </c>
      <c r="B22" s="561"/>
      <c r="C22" s="1080">
        <f>报告期历史数据!C31</f>
        <v>672.61913852999999</v>
      </c>
      <c r="D22" s="1080">
        <f>报告期历史数据!D31</f>
        <v>99.048987199999999</v>
      </c>
      <c r="E22" s="1080">
        <f>报告期历史数据!E31</f>
        <v>244.49888983000002</v>
      </c>
      <c r="F22" s="1080">
        <f>报告期历史数据!F31</f>
        <v>268.24370045000001</v>
      </c>
      <c r="G22" s="1080">
        <f>报告期历史数据!G31</f>
        <v>178.18493619</v>
      </c>
      <c r="H22" s="1080">
        <f>报告期历史数据!H31</f>
        <v>58.075501189999997</v>
      </c>
      <c r="I22" s="1080">
        <f>报告期历史数据!I31</f>
        <v>60.604077170000004</v>
      </c>
      <c r="J22" s="1080">
        <f>报告期历史数据!J31</f>
        <v>81.98415541</v>
      </c>
      <c r="K22" s="1080">
        <f>报告期历史数据!K31</f>
        <v>0</v>
      </c>
      <c r="L22" s="1080">
        <f>报告期历史数据!L31</f>
        <v>0</v>
      </c>
      <c r="M22" s="1080">
        <f>报告期历史数据!M31</f>
        <v>0</v>
      </c>
      <c r="N22" s="1080">
        <f>报告期历史数据!N31</f>
        <v>0</v>
      </c>
      <c r="O22"/>
      <c r="P22" s="832" t="s">
        <v>1629</v>
      </c>
      <c r="Q22" s="561"/>
      <c r="R22" s="561"/>
      <c r="S22" s="561"/>
      <c r="T22" s="561"/>
      <c r="U22" s="561"/>
      <c r="V22" s="561"/>
      <c r="W22" s="561"/>
      <c r="X22" s="561"/>
      <c r="Y22" s="561"/>
      <c r="Z22" s="561"/>
      <c r="AA22" s="561"/>
      <c r="AB22" s="561"/>
      <c r="AC22" s="561"/>
      <c r="AD22" s="561"/>
      <c r="AE22" s="561"/>
      <c r="AF22" s="561"/>
      <c r="AG22" s="561"/>
      <c r="AH22" s="567"/>
      <c r="AI22" s="567"/>
      <c r="AJ22" s="567"/>
      <c r="AK22" s="567"/>
      <c r="AL22" s="567"/>
      <c r="AM22" s="567"/>
      <c r="AN22" s="567"/>
      <c r="AO22" s="567"/>
      <c r="AP22" s="567"/>
      <c r="AQ22" s="567"/>
      <c r="AR22" s="567"/>
      <c r="AS22" s="567"/>
      <c r="AT22" s="567"/>
      <c r="AU22" s="567"/>
      <c r="AV22" s="567"/>
      <c r="AW22" s="567"/>
      <c r="AX22" s="567"/>
      <c r="AY22" s="567"/>
      <c r="AZ22" s="567"/>
      <c r="BA22" s="567"/>
      <c r="BB22" s="567"/>
      <c r="BC22" s="567"/>
      <c r="BD22" s="568"/>
      <c r="BE22" s="568"/>
      <c r="BF22" s="568"/>
      <c r="BG22" s="568"/>
      <c r="BH22" s="568"/>
      <c r="BI22" s="568"/>
      <c r="BJ22" s="568"/>
      <c r="BK22" s="568"/>
      <c r="BL22" s="568"/>
      <c r="BM22" s="568"/>
      <c r="BN22" s="568"/>
      <c r="BO22" s="568"/>
      <c r="BP22" s="568"/>
      <c r="BQ22" s="568"/>
      <c r="BR22" s="568"/>
      <c r="BS22" s="568"/>
      <c r="BT22" s="568"/>
      <c r="BU22" s="568"/>
      <c r="BV22" s="568"/>
      <c r="BW22" s="568"/>
      <c r="BX22" s="568"/>
      <c r="BY22" s="568"/>
      <c r="BZ22" s="568"/>
      <c r="CA22" s="568"/>
      <c r="CB22" s="568"/>
      <c r="CC22" s="568"/>
      <c r="CD22" s="568"/>
      <c r="CE22" s="568"/>
      <c r="CF22" s="568"/>
      <c r="CG22" s="568"/>
      <c r="CH22" s="568"/>
      <c r="CI22" s="568"/>
      <c r="CJ22" s="568"/>
      <c r="CK22" s="568"/>
      <c r="CL22" s="568"/>
      <c r="CM22" s="568"/>
      <c r="CN22" s="568"/>
      <c r="CO22" s="568"/>
      <c r="CP22" s="568"/>
      <c r="CQ22" s="568"/>
      <c r="CR22" s="568"/>
      <c r="CS22" s="568"/>
      <c r="CT22" s="568"/>
      <c r="CU22" s="568"/>
      <c r="CV22" s="568"/>
      <c r="CW22" s="568"/>
      <c r="CX22" s="568"/>
      <c r="CY22" s="568"/>
      <c r="CZ22" s="568"/>
      <c r="DA22" s="568"/>
      <c r="DB22" s="568"/>
      <c r="DC22" s="568"/>
      <c r="DD22" s="568"/>
      <c r="DE22" s="568"/>
      <c r="DF22" s="568"/>
      <c r="DG22" s="568"/>
      <c r="DH22" s="568"/>
      <c r="DI22" s="568"/>
      <c r="DJ22" s="568"/>
      <c r="DK22" s="568"/>
      <c r="DL22" s="568"/>
      <c r="DM22" s="568"/>
      <c r="DN22" s="568"/>
      <c r="DO22" s="568"/>
      <c r="DP22" s="568"/>
      <c r="DQ22" s="568"/>
      <c r="DR22" s="568"/>
      <c r="DS22" s="568"/>
      <c r="DT22" s="568"/>
      <c r="DU22" s="568"/>
      <c r="DV22" s="568"/>
      <c r="DW22" s="568"/>
      <c r="DX22" s="568"/>
      <c r="DY22" s="568"/>
      <c r="DZ22" s="568"/>
      <c r="EA22" s="568"/>
      <c r="EB22" s="568"/>
      <c r="EC22" s="568"/>
      <c r="ED22" s="568"/>
      <c r="EE22" s="568"/>
      <c r="EF22" s="568"/>
      <c r="EG22" s="568"/>
      <c r="EH22" s="568"/>
      <c r="EI22" s="568"/>
      <c r="EJ22" s="568"/>
      <c r="EK22" s="568"/>
      <c r="EL22" s="568"/>
      <c r="EM22" s="568"/>
      <c r="EN22" s="568"/>
      <c r="EO22" s="568"/>
      <c r="EP22" s="568"/>
      <c r="EQ22" s="568"/>
      <c r="ER22" s="568"/>
      <c r="ES22" s="568"/>
      <c r="ET22" s="568"/>
      <c r="EU22" s="568"/>
      <c r="EV22" s="568"/>
      <c r="EW22" s="568"/>
      <c r="EX22" s="568"/>
      <c r="EY22" s="568"/>
      <c r="EZ22" s="568"/>
      <c r="FA22" s="568"/>
      <c r="FB22" s="568"/>
      <c r="FC22" s="568"/>
      <c r="FD22" s="568"/>
      <c r="FE22" s="568"/>
      <c r="FF22" s="568"/>
      <c r="FG22" s="568"/>
      <c r="FH22" s="568"/>
      <c r="FI22" s="568"/>
      <c r="FJ22" s="568"/>
      <c r="FK22" s="568"/>
      <c r="FL22" s="568"/>
      <c r="FM22" s="568"/>
      <c r="FN22" s="568"/>
      <c r="FO22" s="568"/>
      <c r="FP22" s="568"/>
      <c r="FQ22" s="568"/>
      <c r="FR22" s="568"/>
      <c r="FS22" s="568"/>
      <c r="FT22" s="568"/>
      <c r="FU22" s="568"/>
      <c r="FV22" s="568"/>
      <c r="FW22" s="568"/>
      <c r="FX22" s="568"/>
      <c r="FY22" s="568"/>
      <c r="FZ22" s="568"/>
      <c r="GA22" s="568"/>
      <c r="GB22" s="568"/>
      <c r="GC22" s="568"/>
      <c r="GD22" s="568"/>
      <c r="GE22" s="568"/>
      <c r="GF22" s="568"/>
      <c r="GG22" s="568"/>
      <c r="GH22" s="568"/>
      <c r="GI22" s="568"/>
      <c r="GJ22" s="568"/>
      <c r="GK22" s="568"/>
      <c r="GL22" s="568"/>
      <c r="GM22" s="568"/>
      <c r="GN22" s="568"/>
      <c r="GO22" s="568"/>
      <c r="GP22" s="568"/>
      <c r="GQ22" s="568"/>
      <c r="GR22" s="568"/>
      <c r="GS22" s="568"/>
      <c r="GT22" s="568"/>
      <c r="GU22" s="568"/>
      <c r="GV22" s="568"/>
      <c r="GW22" s="568"/>
      <c r="GX22" s="568"/>
      <c r="GY22" s="568"/>
      <c r="GZ22" s="568"/>
      <c r="HA22" s="568"/>
      <c r="HB22" s="568"/>
      <c r="HC22" s="568"/>
      <c r="HD22" s="568"/>
      <c r="HE22" s="568"/>
      <c r="HF22" s="568"/>
      <c r="HG22" s="568"/>
      <c r="HH22" s="568"/>
      <c r="HI22" s="568"/>
      <c r="HJ22" s="568"/>
      <c r="HK22" s="568"/>
      <c r="HL22" s="568"/>
      <c r="HM22" s="568"/>
      <c r="HN22" s="568"/>
      <c r="HO22" s="568"/>
      <c r="HP22" s="568"/>
      <c r="HQ22" s="568"/>
      <c r="HR22" s="568"/>
      <c r="HS22" s="568"/>
      <c r="HT22" s="568"/>
      <c r="HU22" s="568"/>
      <c r="HV22" s="568"/>
      <c r="HW22" s="568"/>
      <c r="HX22" s="568"/>
      <c r="HY22" s="568"/>
      <c r="HZ22" s="568"/>
      <c r="IA22" s="568"/>
      <c r="IB22" s="568"/>
      <c r="IC22" s="568"/>
      <c r="ID22" s="568"/>
      <c r="IE22" s="568"/>
      <c r="IF22" s="568"/>
      <c r="IG22" s="568"/>
      <c r="IH22" s="568"/>
      <c r="II22" s="568"/>
      <c r="IJ22" s="568"/>
      <c r="IK22" s="568"/>
      <c r="IL22" s="568"/>
      <c r="IM22" s="568"/>
      <c r="IN22" s="568"/>
      <c r="IO22" s="568"/>
      <c r="IP22" s="568"/>
      <c r="IQ22" s="568"/>
      <c r="IR22" s="568"/>
      <c r="IS22" s="568"/>
      <c r="IT22" s="568"/>
      <c r="IU22" s="568"/>
    </row>
    <row r="23" spans="1:255" hidden="1">
      <c r="A23" s="566"/>
      <c r="B23" s="561"/>
      <c r="C23" s="561"/>
      <c r="D23" s="561"/>
      <c r="E23" s="561"/>
      <c r="F23" s="561"/>
      <c r="G23" s="561"/>
      <c r="H23" s="561"/>
      <c r="I23" s="561"/>
      <c r="J23" s="561"/>
      <c r="K23" s="561"/>
      <c r="L23" s="561"/>
      <c r="M23" s="561"/>
      <c r="N23" s="561"/>
      <c r="O23"/>
      <c r="P23" s="832"/>
      <c r="Q23" s="561"/>
      <c r="R23" s="561"/>
      <c r="S23" s="561"/>
      <c r="T23" s="561"/>
      <c r="U23" s="561"/>
      <c r="V23" s="561"/>
      <c r="W23" s="561"/>
      <c r="X23" s="561"/>
      <c r="Y23" s="561"/>
      <c r="Z23" s="561"/>
      <c r="AA23" s="561"/>
      <c r="AB23" s="561"/>
      <c r="AC23" s="561"/>
      <c r="AD23" s="561"/>
      <c r="AE23" s="561"/>
      <c r="AF23" s="561"/>
      <c r="AG23" s="561"/>
      <c r="AH23" s="567"/>
      <c r="AI23" s="567"/>
      <c r="AJ23" s="567"/>
      <c r="AK23" s="567"/>
      <c r="AL23" s="567"/>
      <c r="AM23" s="567"/>
      <c r="AN23" s="567"/>
      <c r="AO23" s="567"/>
      <c r="AP23" s="567"/>
      <c r="AQ23" s="567"/>
      <c r="AR23" s="567"/>
      <c r="AS23" s="567"/>
      <c r="AT23" s="567"/>
      <c r="AU23" s="567"/>
      <c r="AV23" s="567"/>
      <c r="AW23" s="567"/>
      <c r="AX23" s="567"/>
      <c r="AY23" s="567"/>
      <c r="AZ23" s="567"/>
      <c r="BA23" s="567"/>
      <c r="BB23" s="567"/>
      <c r="BC23" s="567"/>
      <c r="BD23" s="568"/>
      <c r="BE23" s="568"/>
      <c r="BF23" s="568"/>
      <c r="BG23" s="568"/>
      <c r="BH23" s="568"/>
      <c r="BI23" s="568"/>
      <c r="BJ23" s="568"/>
      <c r="BK23" s="568"/>
      <c r="BL23" s="568"/>
      <c r="BM23" s="568"/>
      <c r="BN23" s="568"/>
      <c r="BO23" s="568"/>
      <c r="BP23" s="568"/>
      <c r="BQ23" s="568"/>
      <c r="BR23" s="568"/>
      <c r="BS23" s="568"/>
      <c r="BT23" s="568"/>
      <c r="BU23" s="568"/>
      <c r="BV23" s="568"/>
      <c r="BW23" s="568"/>
      <c r="BX23" s="568"/>
      <c r="BY23" s="568"/>
      <c r="BZ23" s="568"/>
      <c r="CA23" s="568"/>
      <c r="CB23" s="568"/>
      <c r="CC23" s="568"/>
      <c r="CD23" s="568"/>
      <c r="CE23" s="568"/>
      <c r="CF23" s="568"/>
      <c r="CG23" s="568"/>
      <c r="CH23" s="568"/>
      <c r="CI23" s="568"/>
      <c r="CJ23" s="568"/>
      <c r="CK23" s="568"/>
      <c r="CL23" s="568"/>
      <c r="CM23" s="568"/>
      <c r="CN23" s="568"/>
      <c r="CO23" s="568"/>
      <c r="CP23" s="568"/>
      <c r="CQ23" s="568"/>
      <c r="CR23" s="568"/>
      <c r="CS23" s="568"/>
      <c r="CT23" s="568"/>
      <c r="CU23" s="568"/>
      <c r="CV23" s="568"/>
      <c r="CW23" s="568"/>
      <c r="CX23" s="568"/>
      <c r="CY23" s="568"/>
      <c r="CZ23" s="568"/>
      <c r="DA23" s="568"/>
      <c r="DB23" s="568"/>
      <c r="DC23" s="568"/>
      <c r="DD23" s="568"/>
      <c r="DE23" s="568"/>
      <c r="DF23" s="568"/>
      <c r="DG23" s="568"/>
      <c r="DH23" s="568"/>
      <c r="DI23" s="568"/>
      <c r="DJ23" s="568"/>
      <c r="DK23" s="568"/>
      <c r="DL23" s="568"/>
      <c r="DM23" s="568"/>
      <c r="DN23" s="568"/>
      <c r="DO23" s="568"/>
      <c r="DP23" s="568"/>
      <c r="DQ23" s="568"/>
      <c r="DR23" s="568"/>
      <c r="DS23" s="568"/>
      <c r="DT23" s="568"/>
      <c r="DU23" s="568"/>
      <c r="DV23" s="568"/>
      <c r="DW23" s="568"/>
      <c r="DX23" s="568"/>
      <c r="DY23" s="568"/>
      <c r="DZ23" s="568"/>
      <c r="EA23" s="568"/>
      <c r="EB23" s="568"/>
      <c r="EC23" s="568"/>
      <c r="ED23" s="568"/>
      <c r="EE23" s="568"/>
      <c r="EF23" s="568"/>
      <c r="EG23" s="568"/>
      <c r="EH23" s="568"/>
      <c r="EI23" s="568"/>
      <c r="EJ23" s="568"/>
      <c r="EK23" s="568"/>
      <c r="EL23" s="568"/>
      <c r="EM23" s="568"/>
      <c r="EN23" s="568"/>
      <c r="EO23" s="568"/>
      <c r="EP23" s="568"/>
      <c r="EQ23" s="568"/>
      <c r="ER23" s="568"/>
      <c r="ES23" s="568"/>
      <c r="ET23" s="568"/>
      <c r="EU23" s="568"/>
      <c r="EV23" s="568"/>
      <c r="EW23" s="568"/>
      <c r="EX23" s="568"/>
      <c r="EY23" s="568"/>
      <c r="EZ23" s="568"/>
      <c r="FA23" s="568"/>
      <c r="FB23" s="568"/>
      <c r="FC23" s="568"/>
      <c r="FD23" s="568"/>
      <c r="FE23" s="568"/>
      <c r="FF23" s="568"/>
      <c r="FG23" s="568"/>
      <c r="FH23" s="568"/>
      <c r="FI23" s="568"/>
      <c r="FJ23" s="568"/>
      <c r="FK23" s="568"/>
      <c r="FL23" s="568"/>
      <c r="FM23" s="568"/>
      <c r="FN23" s="568"/>
      <c r="FO23" s="568"/>
      <c r="FP23" s="568"/>
      <c r="FQ23" s="568"/>
      <c r="FR23" s="568"/>
      <c r="FS23" s="568"/>
      <c r="FT23" s="568"/>
      <c r="FU23" s="568"/>
      <c r="FV23" s="568"/>
      <c r="FW23" s="568"/>
      <c r="FX23" s="568"/>
      <c r="FY23" s="568"/>
      <c r="FZ23" s="568"/>
      <c r="GA23" s="568"/>
      <c r="GB23" s="568"/>
      <c r="GC23" s="568"/>
      <c r="GD23" s="568"/>
      <c r="GE23" s="568"/>
      <c r="GF23" s="568"/>
      <c r="GG23" s="568"/>
      <c r="GH23" s="568"/>
      <c r="GI23" s="568"/>
      <c r="GJ23" s="568"/>
      <c r="GK23" s="568"/>
      <c r="GL23" s="568"/>
      <c r="GM23" s="568"/>
      <c r="GN23" s="568"/>
      <c r="GO23" s="568"/>
      <c r="GP23" s="568"/>
      <c r="GQ23" s="568"/>
      <c r="GR23" s="568"/>
      <c r="GS23" s="568"/>
      <c r="GT23" s="568"/>
      <c r="GU23" s="568"/>
      <c r="GV23" s="568"/>
      <c r="GW23" s="568"/>
      <c r="GX23" s="568"/>
      <c r="GY23" s="568"/>
      <c r="GZ23" s="568"/>
      <c r="HA23" s="568"/>
      <c r="HB23" s="568"/>
      <c r="HC23" s="568"/>
      <c r="HD23" s="568"/>
      <c r="HE23" s="568"/>
      <c r="HF23" s="568"/>
      <c r="HG23" s="568"/>
      <c r="HH23" s="568"/>
      <c r="HI23" s="568"/>
      <c r="HJ23" s="568"/>
      <c r="HK23" s="568"/>
      <c r="HL23" s="568"/>
      <c r="HM23" s="568"/>
      <c r="HN23" s="568"/>
      <c r="HO23" s="568"/>
      <c r="HP23" s="568"/>
      <c r="HQ23" s="568"/>
      <c r="HR23" s="568"/>
      <c r="HS23" s="568"/>
      <c r="HT23" s="568"/>
      <c r="HU23" s="568"/>
      <c r="HV23" s="568"/>
      <c r="HW23" s="568"/>
      <c r="HX23" s="568"/>
      <c r="HY23" s="568"/>
      <c r="HZ23" s="568"/>
      <c r="IA23" s="568"/>
      <c r="IB23" s="568"/>
      <c r="IC23" s="568"/>
      <c r="ID23" s="568"/>
      <c r="IE23" s="568"/>
      <c r="IF23" s="568"/>
      <c r="IG23" s="568"/>
      <c r="IH23" s="568"/>
      <c r="II23" s="568"/>
      <c r="IJ23" s="568"/>
      <c r="IK23" s="568"/>
      <c r="IL23" s="568"/>
      <c r="IM23" s="568"/>
      <c r="IN23" s="568"/>
      <c r="IO23" s="568"/>
      <c r="IP23" s="568"/>
      <c r="IQ23" s="568"/>
      <c r="IR23" s="568"/>
      <c r="IS23" s="568"/>
      <c r="IT23" s="568"/>
      <c r="IU23" s="568"/>
    </row>
    <row r="24" spans="1:255">
      <c r="A24" s="1073" t="s">
        <v>2450</v>
      </c>
      <c r="B24" s="561"/>
      <c r="C24" s="561"/>
      <c r="D24" s="561"/>
      <c r="E24" s="561"/>
      <c r="F24" s="561"/>
      <c r="G24" s="561"/>
      <c r="H24" s="561"/>
      <c r="I24" s="561"/>
      <c r="J24" s="561"/>
      <c r="K24" s="561"/>
      <c r="L24" s="561"/>
      <c r="M24" s="561"/>
      <c r="N24" s="561"/>
      <c r="O24"/>
      <c r="P24" s="832"/>
      <c r="Q24" s="561"/>
      <c r="R24" s="561"/>
      <c r="S24" s="561"/>
      <c r="T24" s="561"/>
      <c r="U24" s="561"/>
      <c r="V24" s="561"/>
      <c r="W24" s="561"/>
      <c r="X24" s="561"/>
      <c r="Y24" s="561"/>
      <c r="Z24" s="561"/>
      <c r="AA24" s="561"/>
      <c r="AB24" s="561"/>
      <c r="AC24" s="561"/>
      <c r="AD24" s="561"/>
      <c r="AE24" s="561"/>
      <c r="AF24" s="561"/>
      <c r="AG24" s="561"/>
      <c r="AH24" s="567"/>
      <c r="AI24" s="567"/>
      <c r="AJ24" s="567"/>
      <c r="AK24" s="567"/>
      <c r="AL24" s="567"/>
      <c r="AM24" s="567"/>
      <c r="AN24" s="567"/>
      <c r="AO24" s="567"/>
      <c r="AP24" s="567"/>
      <c r="AQ24" s="567"/>
      <c r="AR24" s="567"/>
      <c r="AS24" s="567"/>
      <c r="AT24" s="567"/>
      <c r="AU24" s="567"/>
      <c r="AV24" s="567"/>
      <c r="AW24" s="567"/>
      <c r="AX24" s="567"/>
      <c r="AY24" s="567"/>
      <c r="AZ24" s="567"/>
      <c r="BA24" s="567"/>
      <c r="BB24" s="567"/>
      <c r="BC24" s="567"/>
      <c r="BD24" s="568"/>
      <c r="BE24" s="568"/>
      <c r="BF24" s="568"/>
      <c r="BG24" s="568"/>
      <c r="BH24" s="568"/>
      <c r="BI24" s="568"/>
      <c r="BJ24" s="568"/>
      <c r="BK24" s="568"/>
      <c r="BL24" s="568"/>
      <c r="BM24" s="568"/>
      <c r="BN24" s="568"/>
      <c r="BO24" s="568"/>
      <c r="BP24" s="568"/>
      <c r="BQ24" s="568"/>
      <c r="BR24" s="568"/>
      <c r="BS24" s="568"/>
      <c r="BT24" s="568"/>
      <c r="BU24" s="568"/>
      <c r="BV24" s="568"/>
      <c r="BW24" s="568"/>
      <c r="BX24" s="568"/>
      <c r="BY24" s="568"/>
      <c r="BZ24" s="568"/>
      <c r="CA24" s="568"/>
      <c r="CB24" s="568"/>
      <c r="CC24" s="568"/>
      <c r="CD24" s="568"/>
      <c r="CE24" s="568"/>
      <c r="CF24" s="568"/>
      <c r="CG24" s="568"/>
      <c r="CH24" s="568"/>
      <c r="CI24" s="568"/>
      <c r="CJ24" s="568"/>
      <c r="CK24" s="568"/>
      <c r="CL24" s="568"/>
      <c r="CM24" s="568"/>
      <c r="CN24" s="568"/>
      <c r="CO24" s="568"/>
      <c r="CP24" s="568"/>
      <c r="CQ24" s="568"/>
      <c r="CR24" s="568"/>
      <c r="CS24" s="568"/>
      <c r="CT24" s="568"/>
      <c r="CU24" s="568"/>
      <c r="CV24" s="568"/>
      <c r="CW24" s="568"/>
      <c r="CX24" s="568"/>
      <c r="CY24" s="568"/>
      <c r="CZ24" s="568"/>
      <c r="DA24" s="568"/>
      <c r="DB24" s="568"/>
      <c r="DC24" s="568"/>
      <c r="DD24" s="568"/>
      <c r="DE24" s="568"/>
      <c r="DF24" s="568"/>
      <c r="DG24" s="568"/>
      <c r="DH24" s="568"/>
      <c r="DI24" s="568"/>
      <c r="DJ24" s="568"/>
      <c r="DK24" s="568"/>
      <c r="DL24" s="568"/>
      <c r="DM24" s="568"/>
      <c r="DN24" s="568"/>
      <c r="DO24" s="568"/>
      <c r="DP24" s="568"/>
      <c r="DQ24" s="568"/>
      <c r="DR24" s="568"/>
      <c r="DS24" s="568"/>
      <c r="DT24" s="568"/>
      <c r="DU24" s="568"/>
      <c r="DV24" s="568"/>
      <c r="DW24" s="568"/>
      <c r="DX24" s="568"/>
      <c r="DY24" s="568"/>
      <c r="DZ24" s="568"/>
      <c r="EA24" s="568"/>
      <c r="EB24" s="568"/>
      <c r="EC24" s="568"/>
      <c r="ED24" s="568"/>
      <c r="EE24" s="568"/>
      <c r="EF24" s="568"/>
      <c r="EG24" s="568"/>
      <c r="EH24" s="568"/>
      <c r="EI24" s="568"/>
      <c r="EJ24" s="568"/>
      <c r="EK24" s="568"/>
      <c r="EL24" s="568"/>
      <c r="EM24" s="568"/>
      <c r="EN24" s="568"/>
      <c r="EO24" s="568"/>
      <c r="EP24" s="568"/>
      <c r="EQ24" s="568"/>
      <c r="ER24" s="568"/>
      <c r="ES24" s="568"/>
      <c r="ET24" s="568"/>
      <c r="EU24" s="568"/>
      <c r="EV24" s="568"/>
      <c r="EW24" s="568"/>
      <c r="EX24" s="568"/>
      <c r="EY24" s="568"/>
      <c r="EZ24" s="568"/>
      <c r="FA24" s="568"/>
      <c r="FB24" s="568"/>
      <c r="FC24" s="568"/>
      <c r="FD24" s="568"/>
      <c r="FE24" s="568"/>
      <c r="FF24" s="568"/>
      <c r="FG24" s="568"/>
      <c r="FH24" s="568"/>
      <c r="FI24" s="568"/>
      <c r="FJ24" s="568"/>
      <c r="FK24" s="568"/>
      <c r="FL24" s="568"/>
      <c r="FM24" s="568"/>
      <c r="FN24" s="568"/>
      <c r="FO24" s="568"/>
      <c r="FP24" s="568"/>
      <c r="FQ24" s="568"/>
      <c r="FR24" s="568"/>
      <c r="FS24" s="568"/>
      <c r="FT24" s="568"/>
      <c r="FU24" s="568"/>
      <c r="FV24" s="568"/>
      <c r="FW24" s="568"/>
      <c r="FX24" s="568"/>
      <c r="FY24" s="568"/>
      <c r="FZ24" s="568"/>
      <c r="GA24" s="568"/>
      <c r="GB24" s="568"/>
      <c r="GC24" s="568"/>
      <c r="GD24" s="568"/>
      <c r="GE24" s="568"/>
      <c r="GF24" s="568"/>
      <c r="GG24" s="568"/>
      <c r="GH24" s="568"/>
      <c r="GI24" s="568"/>
      <c r="GJ24" s="568"/>
      <c r="GK24" s="568"/>
      <c r="GL24" s="568"/>
      <c r="GM24" s="568"/>
      <c r="GN24" s="568"/>
      <c r="GO24" s="568"/>
      <c r="GP24" s="568"/>
      <c r="GQ24" s="568"/>
      <c r="GR24" s="568"/>
      <c r="GS24" s="568"/>
      <c r="GT24" s="568"/>
      <c r="GU24" s="568"/>
      <c r="GV24" s="568"/>
      <c r="GW24" s="568"/>
      <c r="GX24" s="568"/>
      <c r="GY24" s="568"/>
      <c r="GZ24" s="568"/>
      <c r="HA24" s="568"/>
      <c r="HB24" s="568"/>
      <c r="HC24" s="568"/>
      <c r="HD24" s="568"/>
      <c r="HE24" s="568"/>
      <c r="HF24" s="568"/>
      <c r="HG24" s="568"/>
      <c r="HH24" s="568"/>
      <c r="HI24" s="568"/>
      <c r="HJ24" s="568"/>
      <c r="HK24" s="568"/>
      <c r="HL24" s="568"/>
      <c r="HM24" s="568"/>
      <c r="HN24" s="568"/>
      <c r="HO24" s="568"/>
      <c r="HP24" s="568"/>
      <c r="HQ24" s="568"/>
      <c r="HR24" s="568"/>
      <c r="HS24" s="568"/>
      <c r="HT24" s="568"/>
      <c r="HU24" s="568"/>
      <c r="HV24" s="568"/>
      <c r="HW24" s="568"/>
      <c r="HX24" s="568"/>
      <c r="HY24" s="568"/>
      <c r="HZ24" s="568"/>
      <c r="IA24" s="568"/>
      <c r="IB24" s="568"/>
      <c r="IC24" s="568"/>
      <c r="ID24" s="568"/>
      <c r="IE24" s="568"/>
      <c r="IF24" s="568"/>
      <c r="IG24" s="568"/>
      <c r="IH24" s="568"/>
      <c r="II24" s="568"/>
      <c r="IJ24" s="568"/>
      <c r="IK24" s="568"/>
      <c r="IL24" s="568"/>
      <c r="IM24" s="568"/>
      <c r="IN24" s="568"/>
      <c r="IO24" s="568"/>
      <c r="IP24" s="568"/>
      <c r="IQ24" s="568"/>
      <c r="IR24" s="568"/>
      <c r="IS24" s="568"/>
      <c r="IT24" s="568"/>
      <c r="IU24" s="568"/>
    </row>
    <row r="25" spans="1:255">
      <c r="A25" s="1075" t="s">
        <v>2451</v>
      </c>
      <c r="B25" s="561"/>
      <c r="C25" s="1081"/>
      <c r="D25" s="1081"/>
      <c r="E25" s="1081"/>
      <c r="F25" s="1081"/>
      <c r="G25" s="1081">
        <f t="shared" ref="G25:N25" si="0">IF(C3&lt;&gt;0,G3/C3-1,"")</f>
        <v>-1.4166452712930377E-2</v>
      </c>
      <c r="H25" s="1081">
        <f t="shared" si="0"/>
        <v>7.594152947630084E-2</v>
      </c>
      <c r="I25" s="1081">
        <f t="shared" si="0"/>
        <v>4.733037177979682E-2</v>
      </c>
      <c r="J25" s="1081">
        <f t="shared" si="0"/>
        <v>4.7714139759610141E-2</v>
      </c>
      <c r="K25" s="1081">
        <f t="shared" si="0"/>
        <v>-1</v>
      </c>
      <c r="L25" s="1081">
        <f t="shared" si="0"/>
        <v>-1</v>
      </c>
      <c r="M25" s="1081">
        <f t="shared" si="0"/>
        <v>-1</v>
      </c>
      <c r="N25" s="1081">
        <f t="shared" si="0"/>
        <v>-1</v>
      </c>
      <c r="O25"/>
      <c r="P25" s="832"/>
      <c r="Q25" s="561"/>
      <c r="R25" s="561"/>
      <c r="S25" s="561"/>
      <c r="T25" s="561"/>
      <c r="U25" s="561"/>
      <c r="V25" s="561"/>
      <c r="W25" s="561"/>
      <c r="X25" s="561"/>
      <c r="Y25" s="561"/>
      <c r="Z25" s="561"/>
      <c r="AA25" s="561"/>
      <c r="AB25" s="561"/>
      <c r="AC25" s="561"/>
      <c r="AD25" s="561"/>
      <c r="AE25" s="561"/>
      <c r="AF25" s="561"/>
      <c r="AG25" s="561"/>
      <c r="AH25" s="567"/>
      <c r="AI25" s="567"/>
      <c r="AJ25" s="567"/>
      <c r="AK25" s="567"/>
      <c r="AL25" s="567"/>
      <c r="AM25" s="567"/>
      <c r="AN25" s="567"/>
      <c r="AO25" s="567"/>
      <c r="AP25" s="567"/>
      <c r="AQ25" s="567"/>
      <c r="AR25" s="567"/>
      <c r="AS25" s="567"/>
      <c r="AT25" s="567"/>
      <c r="AU25" s="567"/>
      <c r="AV25" s="567"/>
      <c r="AW25" s="567"/>
      <c r="AX25" s="567"/>
      <c r="AY25" s="567"/>
      <c r="AZ25" s="567"/>
      <c r="BA25" s="567"/>
      <c r="BB25" s="567"/>
      <c r="BC25" s="567"/>
      <c r="BD25" s="568"/>
      <c r="BE25" s="568"/>
      <c r="BF25" s="568"/>
      <c r="BG25" s="568"/>
      <c r="BH25" s="568"/>
      <c r="BI25" s="568"/>
      <c r="BJ25" s="568"/>
      <c r="BK25" s="568"/>
      <c r="BL25" s="568"/>
      <c r="BM25" s="568"/>
      <c r="BN25" s="568"/>
      <c r="BO25" s="568"/>
      <c r="BP25" s="568"/>
      <c r="BQ25" s="568"/>
      <c r="BR25" s="568"/>
      <c r="BS25" s="568"/>
      <c r="BT25" s="568"/>
      <c r="BU25" s="568"/>
      <c r="BV25" s="568"/>
      <c r="BW25" s="568"/>
      <c r="BX25" s="568"/>
      <c r="BY25" s="568"/>
      <c r="BZ25" s="568"/>
      <c r="CA25" s="568"/>
      <c r="CB25" s="568"/>
      <c r="CC25" s="568"/>
      <c r="CD25" s="568"/>
      <c r="CE25" s="568"/>
      <c r="CF25" s="568"/>
      <c r="CG25" s="568"/>
      <c r="CH25" s="568"/>
      <c r="CI25" s="568"/>
      <c r="CJ25" s="568"/>
      <c r="CK25" s="568"/>
      <c r="CL25" s="568"/>
      <c r="CM25" s="568"/>
      <c r="CN25" s="568"/>
      <c r="CO25" s="568"/>
      <c r="CP25" s="568"/>
      <c r="CQ25" s="568"/>
      <c r="CR25" s="568"/>
      <c r="CS25" s="568"/>
      <c r="CT25" s="568"/>
      <c r="CU25" s="568"/>
      <c r="CV25" s="568"/>
      <c r="CW25" s="568"/>
      <c r="CX25" s="568"/>
      <c r="CY25" s="568"/>
      <c r="CZ25" s="568"/>
      <c r="DA25" s="568"/>
      <c r="DB25" s="568"/>
      <c r="DC25" s="568"/>
      <c r="DD25" s="568"/>
      <c r="DE25" s="568"/>
      <c r="DF25" s="568"/>
      <c r="DG25" s="568"/>
      <c r="DH25" s="568"/>
      <c r="DI25" s="568"/>
      <c r="DJ25" s="568"/>
      <c r="DK25" s="568"/>
      <c r="DL25" s="568"/>
      <c r="DM25" s="568"/>
      <c r="DN25" s="568"/>
      <c r="DO25" s="568"/>
      <c r="DP25" s="568"/>
      <c r="DQ25" s="568"/>
      <c r="DR25" s="568"/>
      <c r="DS25" s="568"/>
      <c r="DT25" s="568"/>
      <c r="DU25" s="568"/>
      <c r="DV25" s="568"/>
      <c r="DW25" s="568"/>
      <c r="DX25" s="568"/>
      <c r="DY25" s="568"/>
      <c r="DZ25" s="568"/>
      <c r="EA25" s="568"/>
      <c r="EB25" s="568"/>
      <c r="EC25" s="568"/>
      <c r="ED25" s="568"/>
      <c r="EE25" s="568"/>
      <c r="EF25" s="568"/>
      <c r="EG25" s="568"/>
      <c r="EH25" s="568"/>
      <c r="EI25" s="568"/>
      <c r="EJ25" s="568"/>
      <c r="EK25" s="568"/>
      <c r="EL25" s="568"/>
      <c r="EM25" s="568"/>
      <c r="EN25" s="568"/>
      <c r="EO25" s="568"/>
      <c r="EP25" s="568"/>
      <c r="EQ25" s="568"/>
      <c r="ER25" s="568"/>
      <c r="ES25" s="568"/>
      <c r="ET25" s="568"/>
      <c r="EU25" s="568"/>
      <c r="EV25" s="568"/>
      <c r="EW25" s="568"/>
      <c r="EX25" s="568"/>
      <c r="EY25" s="568"/>
      <c r="EZ25" s="568"/>
      <c r="FA25" s="568"/>
      <c r="FB25" s="568"/>
      <c r="FC25" s="568"/>
      <c r="FD25" s="568"/>
      <c r="FE25" s="568"/>
      <c r="FF25" s="568"/>
      <c r="FG25" s="568"/>
      <c r="FH25" s="568"/>
      <c r="FI25" s="568"/>
      <c r="FJ25" s="568"/>
      <c r="FK25" s="568"/>
      <c r="FL25" s="568"/>
      <c r="FM25" s="568"/>
      <c r="FN25" s="568"/>
      <c r="FO25" s="568"/>
      <c r="FP25" s="568"/>
      <c r="FQ25" s="568"/>
      <c r="FR25" s="568"/>
      <c r="FS25" s="568"/>
      <c r="FT25" s="568"/>
      <c r="FU25" s="568"/>
      <c r="FV25" s="568"/>
      <c r="FW25" s="568"/>
      <c r="FX25" s="568"/>
      <c r="FY25" s="568"/>
      <c r="FZ25" s="568"/>
      <c r="GA25" s="568"/>
      <c r="GB25" s="568"/>
      <c r="GC25" s="568"/>
      <c r="GD25" s="568"/>
      <c r="GE25" s="568"/>
      <c r="GF25" s="568"/>
      <c r="GG25" s="568"/>
      <c r="GH25" s="568"/>
      <c r="GI25" s="568"/>
      <c r="GJ25" s="568"/>
      <c r="GK25" s="568"/>
      <c r="GL25" s="568"/>
      <c r="GM25" s="568"/>
      <c r="GN25" s="568"/>
      <c r="GO25" s="568"/>
      <c r="GP25" s="568"/>
      <c r="GQ25" s="568"/>
      <c r="GR25" s="568"/>
      <c r="GS25" s="568"/>
      <c r="GT25" s="568"/>
      <c r="GU25" s="568"/>
      <c r="GV25" s="568"/>
      <c r="GW25" s="568"/>
      <c r="GX25" s="568"/>
      <c r="GY25" s="568"/>
      <c r="GZ25" s="568"/>
      <c r="HA25" s="568"/>
      <c r="HB25" s="568"/>
      <c r="HC25" s="568"/>
      <c r="HD25" s="568"/>
      <c r="HE25" s="568"/>
      <c r="HF25" s="568"/>
      <c r="HG25" s="568"/>
      <c r="HH25" s="568"/>
      <c r="HI25" s="568"/>
      <c r="HJ25" s="568"/>
      <c r="HK25" s="568"/>
      <c r="HL25" s="568"/>
      <c r="HM25" s="568"/>
      <c r="HN25" s="568"/>
      <c r="HO25" s="568"/>
      <c r="HP25" s="568"/>
      <c r="HQ25" s="568"/>
      <c r="HR25" s="568"/>
      <c r="HS25" s="568"/>
      <c r="HT25" s="568"/>
      <c r="HU25" s="568"/>
      <c r="HV25" s="568"/>
      <c r="HW25" s="568"/>
      <c r="HX25" s="568"/>
      <c r="HY25" s="568"/>
      <c r="HZ25" s="568"/>
      <c r="IA25" s="568"/>
      <c r="IB25" s="568"/>
      <c r="IC25" s="568"/>
      <c r="ID25" s="568"/>
      <c r="IE25" s="568"/>
      <c r="IF25" s="568"/>
      <c r="IG25" s="568"/>
      <c r="IH25" s="568"/>
      <c r="II25" s="568"/>
      <c r="IJ25" s="568"/>
      <c r="IK25" s="568"/>
      <c r="IL25" s="568"/>
      <c r="IM25" s="568"/>
      <c r="IN25" s="568"/>
      <c r="IO25" s="568"/>
      <c r="IP25" s="568"/>
      <c r="IQ25" s="568"/>
      <c r="IR25" s="568"/>
      <c r="IS25" s="568"/>
      <c r="IT25" s="568"/>
      <c r="IU25" s="568"/>
    </row>
    <row r="26" spans="1:255">
      <c r="A26" s="1076" t="s">
        <v>2452</v>
      </c>
      <c r="B26" s="561"/>
      <c r="C26" s="1081"/>
      <c r="D26" s="1081" t="str">
        <f>IF(AND(B3&lt;&gt;0,C3&lt;&gt;0,D3&lt;&gt;0),D3/(C3-B3)-1,"")</f>
        <v/>
      </c>
      <c r="E26" s="1081">
        <f>IF(AND(D3&lt;&gt;0,E3&lt;&gt;0),(E3-D3)/D3-1,"")</f>
        <v>0.38702095658785929</v>
      </c>
      <c r="F26" s="1081">
        <f>IF(AND(D3&lt;&gt;0,E3&lt;&gt;0,F3&lt;&gt;0),(F3-E3)/(E3-D3)-1,"")</f>
        <v>-0.24523459931430869</v>
      </c>
      <c r="G26" s="1081">
        <f>IF(AND(E3&lt;&gt;0,F3&lt;&gt;0,G3&lt;&gt;0),(G3-F3)/(F3-E3)-1,"")</f>
        <v>-6.1591987927972269E-2</v>
      </c>
      <c r="H26" s="1081">
        <f>IF(AND(F3&lt;&gt;0,G3&lt;&gt;0,H3&lt;&gt;0),H3/(G3-F3)-1,"")</f>
        <v>9.5221491734813979E-2</v>
      </c>
      <c r="I26" s="1081">
        <f>IF(AND(H3&lt;&gt;0,I3&lt;&gt;0),(I3-H3)/H3-1,"")</f>
        <v>0.32354591529352672</v>
      </c>
      <c r="J26" s="1081">
        <f>IF(AND(H3&lt;&gt;0,I3&lt;&gt;0,J3&lt;&gt;0),(J3-I3)/(I3-H3)-1,"")</f>
        <v>-0.22914499403354993</v>
      </c>
      <c r="K26" s="1081" t="str">
        <f>IF(AND(I3&lt;&gt;0,J3&lt;&gt;0,K3&lt;&gt;0),(K3-J3)/(J3-I3)-1,"")</f>
        <v/>
      </c>
      <c r="L26" s="1081" t="str">
        <f>IF(AND(J3&lt;&gt;0,K3&lt;&gt;0,L3&lt;&gt;0),L3/(K3-J3)-1,"")</f>
        <v/>
      </c>
      <c r="M26" s="1081" t="str">
        <f>IF(AND(L3&lt;&gt;0,M3&lt;&gt;0),(M3-L3)/L3-1,"")</f>
        <v/>
      </c>
      <c r="N26" s="1081" t="str">
        <f>IF(AND(L3&lt;&gt;0,M3&lt;&gt;0,N3&lt;&gt;0),(N3-M3)/(M3-L3)-1,"")</f>
        <v/>
      </c>
      <c r="O26"/>
      <c r="P26" s="832"/>
      <c r="Q26" s="561"/>
      <c r="R26" s="561"/>
      <c r="S26" s="561"/>
      <c r="T26" s="561"/>
      <c r="U26" s="561"/>
      <c r="V26" s="561"/>
      <c r="W26" s="561"/>
      <c r="X26" s="561"/>
      <c r="Y26" s="561"/>
      <c r="Z26" s="561"/>
      <c r="AA26" s="561"/>
      <c r="AB26" s="561"/>
      <c r="AC26" s="561"/>
      <c r="AD26" s="561"/>
      <c r="AE26" s="561"/>
      <c r="AF26" s="561"/>
      <c r="AG26" s="561"/>
      <c r="AH26" s="567"/>
      <c r="AI26" s="567"/>
      <c r="AJ26" s="567"/>
      <c r="AK26" s="567"/>
      <c r="AL26" s="567"/>
      <c r="AM26" s="567"/>
      <c r="AN26" s="567"/>
      <c r="AO26" s="567"/>
      <c r="AP26" s="567"/>
      <c r="AQ26" s="567"/>
      <c r="AR26" s="567"/>
      <c r="AS26" s="567"/>
      <c r="AT26" s="567"/>
      <c r="AU26" s="567"/>
      <c r="AV26" s="567"/>
      <c r="AW26" s="567"/>
      <c r="AX26" s="567"/>
      <c r="AY26" s="567"/>
      <c r="AZ26" s="567"/>
      <c r="BA26" s="567"/>
      <c r="BB26" s="567"/>
      <c r="BC26" s="567"/>
      <c r="BD26" s="568"/>
      <c r="BE26" s="568"/>
      <c r="BF26" s="568"/>
      <c r="BG26" s="568"/>
      <c r="BH26" s="568"/>
      <c r="BI26" s="568"/>
      <c r="BJ26" s="568"/>
      <c r="BK26" s="568"/>
      <c r="BL26" s="568"/>
      <c r="BM26" s="568"/>
      <c r="BN26" s="568"/>
      <c r="BO26" s="568"/>
      <c r="BP26" s="568"/>
      <c r="BQ26" s="568"/>
      <c r="BR26" s="568"/>
      <c r="BS26" s="568"/>
      <c r="BT26" s="568"/>
      <c r="BU26" s="568"/>
      <c r="BV26" s="568"/>
      <c r="BW26" s="568"/>
      <c r="BX26" s="568"/>
      <c r="BY26" s="568"/>
      <c r="BZ26" s="568"/>
      <c r="CA26" s="568"/>
      <c r="CB26" s="568"/>
      <c r="CC26" s="568"/>
      <c r="CD26" s="568"/>
      <c r="CE26" s="568"/>
      <c r="CF26" s="568"/>
      <c r="CG26" s="568"/>
      <c r="CH26" s="568"/>
      <c r="CI26" s="568"/>
      <c r="CJ26" s="568"/>
      <c r="CK26" s="568"/>
      <c r="CL26" s="568"/>
      <c r="CM26" s="568"/>
      <c r="CN26" s="568"/>
      <c r="CO26" s="568"/>
      <c r="CP26" s="568"/>
      <c r="CQ26" s="568"/>
      <c r="CR26" s="568"/>
      <c r="CS26" s="568"/>
      <c r="CT26" s="568"/>
      <c r="CU26" s="568"/>
      <c r="CV26" s="568"/>
      <c r="CW26" s="568"/>
      <c r="CX26" s="568"/>
      <c r="CY26" s="568"/>
      <c r="CZ26" s="568"/>
      <c r="DA26" s="568"/>
      <c r="DB26" s="568"/>
      <c r="DC26" s="568"/>
      <c r="DD26" s="568"/>
      <c r="DE26" s="568"/>
      <c r="DF26" s="568"/>
      <c r="DG26" s="568"/>
      <c r="DH26" s="568"/>
      <c r="DI26" s="568"/>
      <c r="DJ26" s="568"/>
      <c r="DK26" s="568"/>
      <c r="DL26" s="568"/>
      <c r="DM26" s="568"/>
      <c r="DN26" s="568"/>
      <c r="DO26" s="568"/>
      <c r="DP26" s="568"/>
      <c r="DQ26" s="568"/>
      <c r="DR26" s="568"/>
      <c r="DS26" s="568"/>
      <c r="DT26" s="568"/>
      <c r="DU26" s="568"/>
      <c r="DV26" s="568"/>
      <c r="DW26" s="568"/>
      <c r="DX26" s="568"/>
      <c r="DY26" s="568"/>
      <c r="DZ26" s="568"/>
      <c r="EA26" s="568"/>
      <c r="EB26" s="568"/>
      <c r="EC26" s="568"/>
      <c r="ED26" s="568"/>
      <c r="EE26" s="568"/>
      <c r="EF26" s="568"/>
      <c r="EG26" s="568"/>
      <c r="EH26" s="568"/>
      <c r="EI26" s="568"/>
      <c r="EJ26" s="568"/>
      <c r="EK26" s="568"/>
      <c r="EL26" s="568"/>
      <c r="EM26" s="568"/>
      <c r="EN26" s="568"/>
      <c r="EO26" s="568"/>
      <c r="EP26" s="568"/>
      <c r="EQ26" s="568"/>
      <c r="ER26" s="568"/>
      <c r="ES26" s="568"/>
      <c r="ET26" s="568"/>
      <c r="EU26" s="568"/>
      <c r="EV26" s="568"/>
      <c r="EW26" s="568"/>
      <c r="EX26" s="568"/>
      <c r="EY26" s="568"/>
      <c r="EZ26" s="568"/>
      <c r="FA26" s="568"/>
      <c r="FB26" s="568"/>
      <c r="FC26" s="568"/>
      <c r="FD26" s="568"/>
      <c r="FE26" s="568"/>
      <c r="FF26" s="568"/>
      <c r="FG26" s="568"/>
      <c r="FH26" s="568"/>
      <c r="FI26" s="568"/>
      <c r="FJ26" s="568"/>
      <c r="FK26" s="568"/>
      <c r="FL26" s="568"/>
      <c r="FM26" s="568"/>
      <c r="FN26" s="568"/>
      <c r="FO26" s="568"/>
      <c r="FP26" s="568"/>
      <c r="FQ26" s="568"/>
      <c r="FR26" s="568"/>
      <c r="FS26" s="568"/>
      <c r="FT26" s="568"/>
      <c r="FU26" s="568"/>
      <c r="FV26" s="568"/>
      <c r="FW26" s="568"/>
      <c r="FX26" s="568"/>
      <c r="FY26" s="568"/>
      <c r="FZ26" s="568"/>
      <c r="GA26" s="568"/>
      <c r="GB26" s="568"/>
      <c r="GC26" s="568"/>
      <c r="GD26" s="568"/>
      <c r="GE26" s="568"/>
      <c r="GF26" s="568"/>
      <c r="GG26" s="568"/>
      <c r="GH26" s="568"/>
      <c r="GI26" s="568"/>
      <c r="GJ26" s="568"/>
      <c r="GK26" s="568"/>
      <c r="GL26" s="568"/>
      <c r="GM26" s="568"/>
      <c r="GN26" s="568"/>
      <c r="GO26" s="568"/>
      <c r="GP26" s="568"/>
      <c r="GQ26" s="568"/>
      <c r="GR26" s="568"/>
      <c r="GS26" s="568"/>
      <c r="GT26" s="568"/>
      <c r="GU26" s="568"/>
      <c r="GV26" s="568"/>
      <c r="GW26" s="568"/>
      <c r="GX26" s="568"/>
      <c r="GY26" s="568"/>
      <c r="GZ26" s="568"/>
      <c r="HA26" s="568"/>
      <c r="HB26" s="568"/>
      <c r="HC26" s="568"/>
      <c r="HD26" s="568"/>
      <c r="HE26" s="568"/>
      <c r="HF26" s="568"/>
      <c r="HG26" s="568"/>
      <c r="HH26" s="568"/>
      <c r="HI26" s="568"/>
      <c r="HJ26" s="568"/>
      <c r="HK26" s="568"/>
      <c r="HL26" s="568"/>
      <c r="HM26" s="568"/>
      <c r="HN26" s="568"/>
      <c r="HO26" s="568"/>
      <c r="HP26" s="568"/>
      <c r="HQ26" s="568"/>
      <c r="HR26" s="568"/>
      <c r="HS26" s="568"/>
      <c r="HT26" s="568"/>
      <c r="HU26" s="568"/>
      <c r="HV26" s="568"/>
      <c r="HW26" s="568"/>
      <c r="HX26" s="568"/>
      <c r="HY26" s="568"/>
      <c r="HZ26" s="568"/>
      <c r="IA26" s="568"/>
      <c r="IB26" s="568"/>
      <c r="IC26" s="568"/>
      <c r="ID26" s="568"/>
      <c r="IE26" s="568"/>
      <c r="IF26" s="568"/>
      <c r="IG26" s="568"/>
      <c r="IH26" s="568"/>
      <c r="II26" s="568"/>
      <c r="IJ26" s="568"/>
      <c r="IK26" s="568"/>
      <c r="IL26" s="568"/>
      <c r="IM26" s="568"/>
      <c r="IN26" s="568"/>
      <c r="IO26" s="568"/>
      <c r="IP26" s="568"/>
      <c r="IQ26" s="568"/>
      <c r="IR26" s="568"/>
      <c r="IS26" s="568"/>
      <c r="IT26" s="568"/>
      <c r="IU26" s="568"/>
    </row>
    <row r="27" spans="1:255">
      <c r="A27" s="1076" t="s">
        <v>2453</v>
      </c>
      <c r="B27" s="561"/>
      <c r="C27" s="1081" t="str">
        <f>IF(AND(C3&lt;&gt;"",C3&lt;&gt;0,B3&lt;&gt;"",B3&lt;&gt;0),(C3-B3)/C3,"")</f>
        <v/>
      </c>
      <c r="D27" s="1081">
        <f>IF(AND(G3&lt;&gt;"",G3&lt;&gt;0),D3/G3,"")</f>
        <v>0.2264342682477378</v>
      </c>
      <c r="E27" s="1081">
        <f>IF(AND(G3&lt;&gt;"",G3&lt;&gt;0,D3&lt;&gt;"",D3&lt;&gt;0,E3&lt;&gt;"",E3&lt;&gt;0),(E3-D3)/G3,"")</f>
        <v>0.31406907534924922</v>
      </c>
      <c r="F27" s="1081">
        <f>IF(AND(G3&lt;&gt;"",G3&lt;&gt;0,E3&lt;&gt;"",E3&lt;&gt;0,F3&lt;&gt;"",F3&lt;&gt;0),(F3-E3)/G3,"")</f>
        <v>0.23704847149896063</v>
      </c>
      <c r="G27" s="1081">
        <f>IF(AND(G3&lt;&gt;"",G3&lt;&gt;0,F3&lt;&gt;"",F3&lt;&gt;0),(G3-F3)/G3,"")</f>
        <v>0.22244818490405238</v>
      </c>
      <c r="H27" s="1081" t="str">
        <f>IF(AND(K3&lt;&gt;"",K3&lt;&gt;0),H3/K3,"")</f>
        <v/>
      </c>
      <c r="I27" s="1081" t="str">
        <f>IF(AND(K3&lt;&gt;"",K3&lt;&gt;0,H3&lt;&gt;"",H3&lt;&gt;0,I3&lt;&gt;"",I3&lt;&gt;0),(I3-H3)/K3,"")</f>
        <v/>
      </c>
      <c r="J27" s="1081" t="str">
        <f>IF(AND(K3&lt;&gt;"",K3&lt;&gt;0,I3&lt;&gt;"",I3&lt;&gt;0,J3&lt;&gt;"",J3&lt;&gt;0),(J3-I3)/K3,"")</f>
        <v/>
      </c>
      <c r="K27" s="1081" t="str">
        <f>IF(AND(K3&lt;&gt;"",K3&lt;&gt;0,J3&lt;&gt;"",J3&lt;&gt;0),(K3-J3)/K3,"")</f>
        <v/>
      </c>
      <c r="L27" s="1081" t="str">
        <f>IF(AND(O3&lt;&gt;"",O3&lt;&gt;0),L3/O3,"")</f>
        <v/>
      </c>
      <c r="M27" s="1081" t="str">
        <f>IF(AND(O3&lt;&gt;"",O3&lt;&gt;0,L3&lt;&gt;"",L3&lt;&gt;0,M3&lt;&gt;"",M3&lt;&gt;0),(M3-L3)/O3,"")</f>
        <v/>
      </c>
      <c r="N27" s="1081" t="str">
        <f>IF(AND(O3&lt;&gt;"",O3&lt;&gt;0,M3&lt;&gt;"",M3&lt;&gt;0,N3&lt;&gt;"",N3&lt;&gt;0),(N3-M3)/O3,"")</f>
        <v/>
      </c>
      <c r="O27"/>
      <c r="P27" s="832"/>
      <c r="Q27" s="561"/>
      <c r="R27" s="561"/>
      <c r="S27" s="561"/>
      <c r="T27" s="561"/>
      <c r="U27" s="561"/>
      <c r="V27" s="561"/>
      <c r="W27" s="561"/>
      <c r="X27" s="561"/>
      <c r="Y27" s="561"/>
      <c r="Z27" s="561"/>
      <c r="AA27" s="561"/>
      <c r="AB27" s="561"/>
      <c r="AC27" s="561"/>
      <c r="AD27" s="561"/>
      <c r="AE27" s="561"/>
      <c r="AF27" s="561"/>
      <c r="AG27" s="561"/>
      <c r="AH27" s="567"/>
      <c r="AI27" s="567"/>
      <c r="AJ27" s="567"/>
      <c r="AK27" s="567"/>
      <c r="AL27" s="567"/>
      <c r="AM27" s="567"/>
      <c r="AN27" s="567"/>
      <c r="AO27" s="567"/>
      <c r="AP27" s="567"/>
      <c r="AQ27" s="567"/>
      <c r="AR27" s="567"/>
      <c r="AS27" s="567"/>
      <c r="AT27" s="567"/>
      <c r="AU27" s="567"/>
      <c r="AV27" s="567"/>
      <c r="AW27" s="567"/>
      <c r="AX27" s="567"/>
      <c r="AY27" s="567"/>
      <c r="AZ27" s="567"/>
      <c r="BA27" s="567"/>
      <c r="BB27" s="567"/>
      <c r="BC27" s="567"/>
      <c r="BD27" s="568"/>
      <c r="BE27" s="568"/>
      <c r="BF27" s="568"/>
      <c r="BG27" s="568"/>
      <c r="BH27" s="568"/>
      <c r="BI27" s="568"/>
      <c r="BJ27" s="568"/>
      <c r="BK27" s="568"/>
      <c r="BL27" s="568"/>
      <c r="BM27" s="568"/>
      <c r="BN27" s="568"/>
      <c r="BO27" s="568"/>
      <c r="BP27" s="568"/>
      <c r="BQ27" s="568"/>
      <c r="BR27" s="568"/>
      <c r="BS27" s="568"/>
      <c r="BT27" s="568"/>
      <c r="BU27" s="568"/>
      <c r="BV27" s="568"/>
      <c r="BW27" s="568"/>
      <c r="BX27" s="568"/>
      <c r="BY27" s="568"/>
      <c r="BZ27" s="568"/>
      <c r="CA27" s="568"/>
      <c r="CB27" s="568"/>
      <c r="CC27" s="568"/>
      <c r="CD27" s="568"/>
      <c r="CE27" s="568"/>
      <c r="CF27" s="568"/>
      <c r="CG27" s="568"/>
      <c r="CH27" s="568"/>
      <c r="CI27" s="568"/>
      <c r="CJ27" s="568"/>
      <c r="CK27" s="568"/>
      <c r="CL27" s="568"/>
      <c r="CM27" s="568"/>
      <c r="CN27" s="568"/>
      <c r="CO27" s="568"/>
      <c r="CP27" s="568"/>
      <c r="CQ27" s="568"/>
      <c r="CR27" s="568"/>
      <c r="CS27" s="568"/>
      <c r="CT27" s="568"/>
      <c r="CU27" s="568"/>
      <c r="CV27" s="568"/>
      <c r="CW27" s="568"/>
      <c r="CX27" s="568"/>
      <c r="CY27" s="568"/>
      <c r="CZ27" s="568"/>
      <c r="DA27" s="568"/>
      <c r="DB27" s="568"/>
      <c r="DC27" s="568"/>
      <c r="DD27" s="568"/>
      <c r="DE27" s="568"/>
      <c r="DF27" s="568"/>
      <c r="DG27" s="568"/>
      <c r="DH27" s="568"/>
      <c r="DI27" s="568"/>
      <c r="DJ27" s="568"/>
      <c r="DK27" s="568"/>
      <c r="DL27" s="568"/>
      <c r="DM27" s="568"/>
      <c r="DN27" s="568"/>
      <c r="DO27" s="568"/>
      <c r="DP27" s="568"/>
      <c r="DQ27" s="568"/>
      <c r="DR27" s="568"/>
      <c r="DS27" s="568"/>
      <c r="DT27" s="568"/>
      <c r="DU27" s="568"/>
      <c r="DV27" s="568"/>
      <c r="DW27" s="568"/>
      <c r="DX27" s="568"/>
      <c r="DY27" s="568"/>
      <c r="DZ27" s="568"/>
      <c r="EA27" s="568"/>
      <c r="EB27" s="568"/>
      <c r="EC27" s="568"/>
      <c r="ED27" s="568"/>
      <c r="EE27" s="568"/>
      <c r="EF27" s="568"/>
      <c r="EG27" s="568"/>
      <c r="EH27" s="568"/>
      <c r="EI27" s="568"/>
      <c r="EJ27" s="568"/>
      <c r="EK27" s="568"/>
      <c r="EL27" s="568"/>
      <c r="EM27" s="568"/>
      <c r="EN27" s="568"/>
      <c r="EO27" s="568"/>
      <c r="EP27" s="568"/>
      <c r="EQ27" s="568"/>
      <c r="ER27" s="568"/>
      <c r="ES27" s="568"/>
      <c r="ET27" s="568"/>
      <c r="EU27" s="568"/>
      <c r="EV27" s="568"/>
      <c r="EW27" s="568"/>
      <c r="EX27" s="568"/>
      <c r="EY27" s="568"/>
      <c r="EZ27" s="568"/>
      <c r="FA27" s="568"/>
      <c r="FB27" s="568"/>
      <c r="FC27" s="568"/>
      <c r="FD27" s="568"/>
      <c r="FE27" s="568"/>
      <c r="FF27" s="568"/>
      <c r="FG27" s="568"/>
      <c r="FH27" s="568"/>
      <c r="FI27" s="568"/>
      <c r="FJ27" s="568"/>
      <c r="FK27" s="568"/>
      <c r="FL27" s="568"/>
      <c r="FM27" s="568"/>
      <c r="FN27" s="568"/>
      <c r="FO27" s="568"/>
      <c r="FP27" s="568"/>
      <c r="FQ27" s="568"/>
      <c r="FR27" s="568"/>
      <c r="FS27" s="568"/>
      <c r="FT27" s="568"/>
      <c r="FU27" s="568"/>
      <c r="FV27" s="568"/>
      <c r="FW27" s="568"/>
      <c r="FX27" s="568"/>
      <c r="FY27" s="568"/>
      <c r="FZ27" s="568"/>
      <c r="GA27" s="568"/>
      <c r="GB27" s="568"/>
      <c r="GC27" s="568"/>
      <c r="GD27" s="568"/>
      <c r="GE27" s="568"/>
      <c r="GF27" s="568"/>
      <c r="GG27" s="568"/>
      <c r="GH27" s="568"/>
      <c r="GI27" s="568"/>
      <c r="GJ27" s="568"/>
      <c r="GK27" s="568"/>
      <c r="GL27" s="568"/>
      <c r="GM27" s="568"/>
      <c r="GN27" s="568"/>
      <c r="GO27" s="568"/>
      <c r="GP27" s="568"/>
      <c r="GQ27" s="568"/>
      <c r="GR27" s="568"/>
      <c r="GS27" s="568"/>
      <c r="GT27" s="568"/>
      <c r="GU27" s="568"/>
      <c r="GV27" s="568"/>
      <c r="GW27" s="568"/>
      <c r="GX27" s="568"/>
      <c r="GY27" s="568"/>
      <c r="GZ27" s="568"/>
      <c r="HA27" s="568"/>
      <c r="HB27" s="568"/>
      <c r="HC27" s="568"/>
      <c r="HD27" s="568"/>
      <c r="HE27" s="568"/>
      <c r="HF27" s="568"/>
      <c r="HG27" s="568"/>
      <c r="HH27" s="568"/>
      <c r="HI27" s="568"/>
      <c r="HJ27" s="568"/>
      <c r="HK27" s="568"/>
      <c r="HL27" s="568"/>
      <c r="HM27" s="568"/>
      <c r="HN27" s="568"/>
      <c r="HO27" s="568"/>
      <c r="HP27" s="568"/>
      <c r="HQ27" s="568"/>
      <c r="HR27" s="568"/>
      <c r="HS27" s="568"/>
      <c r="HT27" s="568"/>
      <c r="HU27" s="568"/>
      <c r="HV27" s="568"/>
      <c r="HW27" s="568"/>
      <c r="HX27" s="568"/>
      <c r="HY27" s="568"/>
      <c r="HZ27" s="568"/>
      <c r="IA27" s="568"/>
      <c r="IB27" s="568"/>
      <c r="IC27" s="568"/>
      <c r="ID27" s="568"/>
      <c r="IE27" s="568"/>
      <c r="IF27" s="568"/>
      <c r="IG27" s="568"/>
      <c r="IH27" s="568"/>
      <c r="II27" s="568"/>
      <c r="IJ27" s="568"/>
      <c r="IK27" s="568"/>
      <c r="IL27" s="568"/>
      <c r="IM27" s="568"/>
      <c r="IN27" s="568"/>
      <c r="IO27" s="568"/>
      <c r="IP27" s="568"/>
      <c r="IQ27" s="568"/>
      <c r="IR27" s="568"/>
      <c r="IS27" s="568"/>
      <c r="IT27" s="568"/>
      <c r="IU27" s="568"/>
    </row>
    <row r="28" spans="1:255">
      <c r="A28" s="1076" t="s">
        <v>2454</v>
      </c>
      <c r="B28" s="561"/>
      <c r="C28" s="1081">
        <f>IF(AND(C3&lt;&gt;"",C3&lt;&gt;0),C3/C3,"")</f>
        <v>1</v>
      </c>
      <c r="D28" s="1081">
        <f>IF(AND(G3&lt;&gt;"",G3&lt;&gt;0),D3/G3,"")</f>
        <v>0.2264342682477378</v>
      </c>
      <c r="E28" s="1081">
        <f>IF(AND(G3&lt;&gt;"",G3&lt;&gt;0),E3/G3,"")</f>
        <v>0.54050334359698704</v>
      </c>
      <c r="F28" s="1081">
        <f>IF(AND(G3&lt;&gt;"",G3&lt;&gt;0),F3/G3,"")</f>
        <v>0.77755181509594762</v>
      </c>
      <c r="G28" s="1081">
        <f>IF(AND(G3&lt;&gt;"",G3&lt;&gt;0),G3/G3,"")</f>
        <v>1</v>
      </c>
      <c r="H28" s="1081" t="str">
        <f>IF(AND(K3&lt;&gt;"",K3&lt;&gt;0),H3/K3,"")</f>
        <v/>
      </c>
      <c r="I28" s="1081" t="str">
        <f>IF(AND(K3&lt;&gt;"",K3&lt;&gt;0),I3/K3,"")</f>
        <v/>
      </c>
      <c r="J28" s="1081" t="str">
        <f>IF(AND(K3&lt;&gt;"",K3&lt;&gt;0),J3/K3,"")</f>
        <v/>
      </c>
      <c r="K28" s="1081" t="str">
        <f>IF(AND(K3&lt;&gt;"",K3&lt;&gt;0),K3/K3,"")</f>
        <v/>
      </c>
      <c r="L28" s="1081" t="str">
        <f>IF(AND(O3&lt;&gt;"",O3&lt;&gt;0),L3/O3,"")</f>
        <v/>
      </c>
      <c r="M28" s="1081" t="str">
        <f>IF(AND(O3&lt;&gt;"",O3&lt;&gt;0),M3/O3,"")</f>
        <v/>
      </c>
      <c r="N28" s="1081" t="str">
        <f>IF(AND(O3&lt;&gt;"",O3&lt;&gt;0),N3/O3,"")</f>
        <v/>
      </c>
      <c r="O28"/>
      <c r="P28" s="832"/>
      <c r="Q28" s="561"/>
      <c r="R28" s="561"/>
      <c r="S28" s="561"/>
      <c r="T28" s="561"/>
      <c r="U28" s="561"/>
      <c r="V28" s="561"/>
      <c r="W28" s="561"/>
      <c r="X28" s="561"/>
      <c r="Y28" s="561"/>
      <c r="Z28" s="561"/>
      <c r="AA28" s="561"/>
      <c r="AB28" s="561"/>
      <c r="AC28" s="561"/>
      <c r="AD28" s="561"/>
      <c r="AE28" s="561"/>
      <c r="AF28" s="561"/>
      <c r="AG28" s="561"/>
      <c r="AH28" s="567"/>
      <c r="AI28" s="567"/>
      <c r="AJ28" s="567"/>
      <c r="AK28" s="567"/>
      <c r="AL28" s="567"/>
      <c r="AM28" s="567"/>
      <c r="AN28" s="567"/>
      <c r="AO28" s="567"/>
      <c r="AP28" s="567"/>
      <c r="AQ28" s="567"/>
      <c r="AR28" s="567"/>
      <c r="AS28" s="567"/>
      <c r="AT28" s="567"/>
      <c r="AU28" s="567"/>
      <c r="AV28" s="567"/>
      <c r="AW28" s="567"/>
      <c r="AX28" s="567"/>
      <c r="AY28" s="567"/>
      <c r="AZ28" s="567"/>
      <c r="BA28" s="567"/>
      <c r="BB28" s="567"/>
      <c r="BC28" s="567"/>
      <c r="BD28" s="568"/>
      <c r="BE28" s="568"/>
      <c r="BF28" s="568"/>
      <c r="BG28" s="568"/>
      <c r="BH28" s="568"/>
      <c r="BI28" s="568"/>
      <c r="BJ28" s="568"/>
      <c r="BK28" s="568"/>
      <c r="BL28" s="568"/>
      <c r="BM28" s="568"/>
      <c r="BN28" s="568"/>
      <c r="BO28" s="568"/>
      <c r="BP28" s="568"/>
      <c r="BQ28" s="568"/>
      <c r="BR28" s="568"/>
      <c r="BS28" s="568"/>
      <c r="BT28" s="568"/>
      <c r="BU28" s="568"/>
      <c r="BV28" s="568"/>
      <c r="BW28" s="568"/>
      <c r="BX28" s="568"/>
      <c r="BY28" s="568"/>
      <c r="BZ28" s="568"/>
      <c r="CA28" s="568"/>
      <c r="CB28" s="568"/>
      <c r="CC28" s="568"/>
      <c r="CD28" s="568"/>
      <c r="CE28" s="568"/>
      <c r="CF28" s="568"/>
      <c r="CG28" s="568"/>
      <c r="CH28" s="568"/>
      <c r="CI28" s="568"/>
      <c r="CJ28" s="568"/>
      <c r="CK28" s="568"/>
      <c r="CL28" s="568"/>
      <c r="CM28" s="568"/>
      <c r="CN28" s="568"/>
      <c r="CO28" s="568"/>
      <c r="CP28" s="568"/>
      <c r="CQ28" s="568"/>
      <c r="CR28" s="568"/>
      <c r="CS28" s="568"/>
      <c r="CT28" s="568"/>
      <c r="CU28" s="568"/>
      <c r="CV28" s="568"/>
      <c r="CW28" s="568"/>
      <c r="CX28" s="568"/>
      <c r="CY28" s="568"/>
      <c r="CZ28" s="568"/>
      <c r="DA28" s="568"/>
      <c r="DB28" s="568"/>
      <c r="DC28" s="568"/>
      <c r="DD28" s="568"/>
      <c r="DE28" s="568"/>
      <c r="DF28" s="568"/>
      <c r="DG28" s="568"/>
      <c r="DH28" s="568"/>
      <c r="DI28" s="568"/>
      <c r="DJ28" s="568"/>
      <c r="DK28" s="568"/>
      <c r="DL28" s="568"/>
      <c r="DM28" s="568"/>
      <c r="DN28" s="568"/>
      <c r="DO28" s="568"/>
      <c r="DP28" s="568"/>
      <c r="DQ28" s="568"/>
      <c r="DR28" s="568"/>
      <c r="DS28" s="568"/>
      <c r="DT28" s="568"/>
      <c r="DU28" s="568"/>
      <c r="DV28" s="568"/>
      <c r="DW28" s="568"/>
      <c r="DX28" s="568"/>
      <c r="DY28" s="568"/>
      <c r="DZ28" s="568"/>
      <c r="EA28" s="568"/>
      <c r="EB28" s="568"/>
      <c r="EC28" s="568"/>
      <c r="ED28" s="568"/>
      <c r="EE28" s="568"/>
      <c r="EF28" s="568"/>
      <c r="EG28" s="568"/>
      <c r="EH28" s="568"/>
      <c r="EI28" s="568"/>
      <c r="EJ28" s="568"/>
      <c r="EK28" s="568"/>
      <c r="EL28" s="568"/>
      <c r="EM28" s="568"/>
      <c r="EN28" s="568"/>
      <c r="EO28" s="568"/>
      <c r="EP28" s="568"/>
      <c r="EQ28" s="568"/>
      <c r="ER28" s="568"/>
      <c r="ES28" s="568"/>
      <c r="ET28" s="568"/>
      <c r="EU28" s="568"/>
      <c r="EV28" s="568"/>
      <c r="EW28" s="568"/>
      <c r="EX28" s="568"/>
      <c r="EY28" s="568"/>
      <c r="EZ28" s="568"/>
      <c r="FA28" s="568"/>
      <c r="FB28" s="568"/>
      <c r="FC28" s="568"/>
      <c r="FD28" s="568"/>
      <c r="FE28" s="568"/>
      <c r="FF28" s="568"/>
      <c r="FG28" s="568"/>
      <c r="FH28" s="568"/>
      <c r="FI28" s="568"/>
      <c r="FJ28" s="568"/>
      <c r="FK28" s="568"/>
      <c r="FL28" s="568"/>
      <c r="FM28" s="568"/>
      <c r="FN28" s="568"/>
      <c r="FO28" s="568"/>
      <c r="FP28" s="568"/>
      <c r="FQ28" s="568"/>
      <c r="FR28" s="568"/>
      <c r="FS28" s="568"/>
      <c r="FT28" s="568"/>
      <c r="FU28" s="568"/>
      <c r="FV28" s="568"/>
      <c r="FW28" s="568"/>
      <c r="FX28" s="568"/>
      <c r="FY28" s="568"/>
      <c r="FZ28" s="568"/>
      <c r="GA28" s="568"/>
      <c r="GB28" s="568"/>
      <c r="GC28" s="568"/>
      <c r="GD28" s="568"/>
      <c r="GE28" s="568"/>
      <c r="GF28" s="568"/>
      <c r="GG28" s="568"/>
      <c r="GH28" s="568"/>
      <c r="GI28" s="568"/>
      <c r="GJ28" s="568"/>
      <c r="GK28" s="568"/>
      <c r="GL28" s="568"/>
      <c r="GM28" s="568"/>
      <c r="GN28" s="568"/>
      <c r="GO28" s="568"/>
      <c r="GP28" s="568"/>
      <c r="GQ28" s="568"/>
      <c r="GR28" s="568"/>
      <c r="GS28" s="568"/>
      <c r="GT28" s="568"/>
      <c r="GU28" s="568"/>
      <c r="GV28" s="568"/>
      <c r="GW28" s="568"/>
      <c r="GX28" s="568"/>
      <c r="GY28" s="568"/>
      <c r="GZ28" s="568"/>
      <c r="HA28" s="568"/>
      <c r="HB28" s="568"/>
      <c r="HC28" s="568"/>
      <c r="HD28" s="568"/>
      <c r="HE28" s="568"/>
      <c r="HF28" s="568"/>
      <c r="HG28" s="568"/>
      <c r="HH28" s="568"/>
      <c r="HI28" s="568"/>
      <c r="HJ28" s="568"/>
      <c r="HK28" s="568"/>
      <c r="HL28" s="568"/>
      <c r="HM28" s="568"/>
      <c r="HN28" s="568"/>
      <c r="HO28" s="568"/>
      <c r="HP28" s="568"/>
      <c r="HQ28" s="568"/>
      <c r="HR28" s="568"/>
      <c r="HS28" s="568"/>
      <c r="HT28" s="568"/>
      <c r="HU28" s="568"/>
      <c r="HV28" s="568"/>
      <c r="HW28" s="568"/>
      <c r="HX28" s="568"/>
      <c r="HY28" s="568"/>
      <c r="HZ28" s="568"/>
      <c r="IA28" s="568"/>
      <c r="IB28" s="568"/>
      <c r="IC28" s="568"/>
      <c r="ID28" s="568"/>
      <c r="IE28" s="568"/>
      <c r="IF28" s="568"/>
      <c r="IG28" s="568"/>
      <c r="IH28" s="568"/>
      <c r="II28" s="568"/>
      <c r="IJ28" s="568"/>
      <c r="IK28" s="568"/>
      <c r="IL28" s="568"/>
      <c r="IM28" s="568"/>
      <c r="IN28" s="568"/>
      <c r="IO28" s="568"/>
      <c r="IP28" s="568"/>
      <c r="IQ28" s="568"/>
      <c r="IR28" s="568"/>
      <c r="IS28" s="568"/>
      <c r="IT28" s="568"/>
      <c r="IU28" s="568"/>
    </row>
    <row r="29" spans="1:255">
      <c r="A29" s="1076" t="s">
        <v>2455</v>
      </c>
      <c r="B29" s="561"/>
      <c r="C29" s="1081"/>
      <c r="D29" s="1081"/>
      <c r="E29" s="1081"/>
      <c r="F29" s="1081" t="str">
        <f t="shared" ref="F29:N29" si="1">IF(B4&lt;&gt;0,F4/B4-1,"")</f>
        <v/>
      </c>
      <c r="G29" s="1081">
        <f t="shared" si="1"/>
        <v>8.6555040932803307E-2</v>
      </c>
      <c r="H29" s="1081">
        <f t="shared" si="1"/>
        <v>0.13609045903896844</v>
      </c>
      <c r="I29" s="1081">
        <f t="shared" si="1"/>
        <v>6.967507906414272E-2</v>
      </c>
      <c r="J29" s="1081">
        <f t="shared" si="1"/>
        <v>5.3354111854567732E-2</v>
      </c>
      <c r="K29" s="1081">
        <f t="shared" si="1"/>
        <v>-1</v>
      </c>
      <c r="L29" s="1081">
        <f t="shared" si="1"/>
        <v>-1</v>
      </c>
      <c r="M29" s="1081">
        <f t="shared" si="1"/>
        <v>-1</v>
      </c>
      <c r="N29" s="1081">
        <f t="shared" si="1"/>
        <v>-1</v>
      </c>
      <c r="O29"/>
      <c r="P29" s="832"/>
      <c r="Q29" s="561"/>
      <c r="R29" s="561"/>
      <c r="S29" s="561"/>
      <c r="T29" s="561"/>
      <c r="U29" s="561"/>
      <c r="V29" s="561"/>
      <c r="W29" s="561"/>
      <c r="X29" s="561"/>
      <c r="Y29" s="561"/>
      <c r="Z29" s="561"/>
      <c r="AA29" s="561"/>
      <c r="AB29" s="561"/>
      <c r="AC29" s="561"/>
      <c r="AD29" s="561"/>
      <c r="AE29" s="561"/>
      <c r="AF29" s="561"/>
      <c r="AG29" s="561"/>
      <c r="AH29" s="567"/>
      <c r="AI29" s="567"/>
      <c r="AJ29" s="567"/>
      <c r="AK29" s="567"/>
      <c r="AL29" s="567"/>
      <c r="AM29" s="567"/>
      <c r="AN29" s="567"/>
      <c r="AO29" s="567"/>
      <c r="AP29" s="567"/>
      <c r="AQ29" s="567"/>
      <c r="AR29" s="567"/>
      <c r="AS29" s="567"/>
      <c r="AT29" s="567"/>
      <c r="AU29" s="567"/>
      <c r="AV29" s="567"/>
      <c r="AW29" s="567"/>
      <c r="AX29" s="567"/>
      <c r="AY29" s="567"/>
      <c r="AZ29" s="567"/>
      <c r="BA29" s="567"/>
      <c r="BB29" s="567"/>
      <c r="BC29" s="567"/>
      <c r="BD29" s="568"/>
      <c r="BE29" s="568"/>
      <c r="BF29" s="568"/>
      <c r="BG29" s="568"/>
      <c r="BH29" s="568"/>
      <c r="BI29" s="568"/>
      <c r="BJ29" s="568"/>
      <c r="BK29" s="568"/>
      <c r="BL29" s="568"/>
      <c r="BM29" s="568"/>
      <c r="BN29" s="568"/>
      <c r="BO29" s="568"/>
      <c r="BP29" s="568"/>
      <c r="BQ29" s="568"/>
      <c r="BR29" s="568"/>
      <c r="BS29" s="568"/>
      <c r="BT29" s="568"/>
      <c r="BU29" s="568"/>
      <c r="BV29" s="568"/>
      <c r="BW29" s="568"/>
      <c r="BX29" s="568"/>
      <c r="BY29" s="568"/>
      <c r="BZ29" s="568"/>
      <c r="CA29" s="568"/>
      <c r="CB29" s="568"/>
      <c r="CC29" s="568"/>
      <c r="CD29" s="568"/>
      <c r="CE29" s="568"/>
      <c r="CF29" s="568"/>
      <c r="CG29" s="568"/>
      <c r="CH29" s="568"/>
      <c r="CI29" s="568"/>
      <c r="CJ29" s="568"/>
      <c r="CK29" s="568"/>
      <c r="CL29" s="568"/>
      <c r="CM29" s="568"/>
      <c r="CN29" s="568"/>
      <c r="CO29" s="568"/>
      <c r="CP29" s="568"/>
      <c r="CQ29" s="568"/>
      <c r="CR29" s="568"/>
      <c r="CS29" s="568"/>
      <c r="CT29" s="568"/>
      <c r="CU29" s="568"/>
      <c r="CV29" s="568"/>
      <c r="CW29" s="568"/>
      <c r="CX29" s="568"/>
      <c r="CY29" s="568"/>
      <c r="CZ29" s="568"/>
      <c r="DA29" s="568"/>
      <c r="DB29" s="568"/>
      <c r="DC29" s="568"/>
      <c r="DD29" s="568"/>
      <c r="DE29" s="568"/>
      <c r="DF29" s="568"/>
      <c r="DG29" s="568"/>
      <c r="DH29" s="568"/>
      <c r="DI29" s="568"/>
      <c r="DJ29" s="568"/>
      <c r="DK29" s="568"/>
      <c r="DL29" s="568"/>
      <c r="DM29" s="568"/>
      <c r="DN29" s="568"/>
      <c r="DO29" s="568"/>
      <c r="DP29" s="568"/>
      <c r="DQ29" s="568"/>
      <c r="DR29" s="568"/>
      <c r="DS29" s="568"/>
      <c r="DT29" s="568"/>
      <c r="DU29" s="568"/>
      <c r="DV29" s="568"/>
      <c r="DW29" s="568"/>
      <c r="DX29" s="568"/>
      <c r="DY29" s="568"/>
      <c r="DZ29" s="568"/>
      <c r="EA29" s="568"/>
      <c r="EB29" s="568"/>
      <c r="EC29" s="568"/>
      <c r="ED29" s="568"/>
      <c r="EE29" s="568"/>
      <c r="EF29" s="568"/>
      <c r="EG29" s="568"/>
      <c r="EH29" s="568"/>
      <c r="EI29" s="568"/>
      <c r="EJ29" s="568"/>
      <c r="EK29" s="568"/>
      <c r="EL29" s="568"/>
      <c r="EM29" s="568"/>
      <c r="EN29" s="568"/>
      <c r="EO29" s="568"/>
      <c r="EP29" s="568"/>
      <c r="EQ29" s="568"/>
      <c r="ER29" s="568"/>
      <c r="ES29" s="568"/>
      <c r="ET29" s="568"/>
      <c r="EU29" s="568"/>
      <c r="EV29" s="568"/>
      <c r="EW29" s="568"/>
      <c r="EX29" s="568"/>
      <c r="EY29" s="568"/>
      <c r="EZ29" s="568"/>
      <c r="FA29" s="568"/>
      <c r="FB29" s="568"/>
      <c r="FC29" s="568"/>
      <c r="FD29" s="568"/>
      <c r="FE29" s="568"/>
      <c r="FF29" s="568"/>
      <c r="FG29" s="568"/>
      <c r="FH29" s="568"/>
      <c r="FI29" s="568"/>
      <c r="FJ29" s="568"/>
      <c r="FK29" s="568"/>
      <c r="FL29" s="568"/>
      <c r="FM29" s="568"/>
      <c r="FN29" s="568"/>
      <c r="FO29" s="568"/>
      <c r="FP29" s="568"/>
      <c r="FQ29" s="568"/>
      <c r="FR29" s="568"/>
      <c r="FS29" s="568"/>
      <c r="FT29" s="568"/>
      <c r="FU29" s="568"/>
      <c r="FV29" s="568"/>
      <c r="FW29" s="568"/>
      <c r="FX29" s="568"/>
      <c r="FY29" s="568"/>
      <c r="FZ29" s="568"/>
      <c r="GA29" s="568"/>
      <c r="GB29" s="568"/>
      <c r="GC29" s="568"/>
      <c r="GD29" s="568"/>
      <c r="GE29" s="568"/>
      <c r="GF29" s="568"/>
      <c r="GG29" s="568"/>
      <c r="GH29" s="568"/>
      <c r="GI29" s="568"/>
      <c r="GJ29" s="568"/>
      <c r="GK29" s="568"/>
      <c r="GL29" s="568"/>
      <c r="GM29" s="568"/>
      <c r="GN29" s="568"/>
      <c r="GO29" s="568"/>
      <c r="GP29" s="568"/>
      <c r="GQ29" s="568"/>
      <c r="GR29" s="568"/>
      <c r="GS29" s="568"/>
      <c r="GT29" s="568"/>
      <c r="GU29" s="568"/>
      <c r="GV29" s="568"/>
      <c r="GW29" s="568"/>
      <c r="GX29" s="568"/>
      <c r="GY29" s="568"/>
      <c r="GZ29" s="568"/>
      <c r="HA29" s="568"/>
      <c r="HB29" s="568"/>
      <c r="HC29" s="568"/>
      <c r="HD29" s="568"/>
      <c r="HE29" s="568"/>
      <c r="HF29" s="568"/>
      <c r="HG29" s="568"/>
      <c r="HH29" s="568"/>
      <c r="HI29" s="568"/>
      <c r="HJ29" s="568"/>
      <c r="HK29" s="568"/>
      <c r="HL29" s="568"/>
      <c r="HM29" s="568"/>
      <c r="HN29" s="568"/>
      <c r="HO29" s="568"/>
      <c r="HP29" s="568"/>
      <c r="HQ29" s="568"/>
      <c r="HR29" s="568"/>
      <c r="HS29" s="568"/>
      <c r="HT29" s="568"/>
      <c r="HU29" s="568"/>
      <c r="HV29" s="568"/>
      <c r="HW29" s="568"/>
      <c r="HX29" s="568"/>
      <c r="HY29" s="568"/>
      <c r="HZ29" s="568"/>
      <c r="IA29" s="568"/>
      <c r="IB29" s="568"/>
      <c r="IC29" s="568"/>
      <c r="ID29" s="568"/>
      <c r="IE29" s="568"/>
      <c r="IF29" s="568"/>
      <c r="IG29" s="568"/>
      <c r="IH29" s="568"/>
      <c r="II29" s="568"/>
      <c r="IJ29" s="568"/>
      <c r="IK29" s="568"/>
      <c r="IL29" s="568"/>
      <c r="IM29" s="568"/>
      <c r="IN29" s="568"/>
      <c r="IO29" s="568"/>
      <c r="IP29" s="568"/>
      <c r="IQ29" s="568"/>
      <c r="IR29" s="568"/>
      <c r="IS29" s="568"/>
      <c r="IT29" s="568"/>
      <c r="IU29" s="568"/>
    </row>
    <row r="30" spans="1:255">
      <c r="A30" s="1077" t="s">
        <v>2456</v>
      </c>
      <c r="B30" s="561"/>
      <c r="C30" s="1081">
        <f t="shared" ref="C30:N30" si="2">IF(C4&lt;&gt;0,1-C4/C3,"")</f>
        <v>0.28514371264111327</v>
      </c>
      <c r="D30" s="1081">
        <f t="shared" si="2"/>
        <v>0.25741244751105286</v>
      </c>
      <c r="E30" s="1081">
        <f t="shared" si="2"/>
        <v>0.2276360689042366</v>
      </c>
      <c r="F30" s="1081">
        <f t="shared" si="2"/>
        <v>0.21610313813768722</v>
      </c>
      <c r="G30" s="1081">
        <f t="shared" si="2"/>
        <v>0.2121076578193104</v>
      </c>
      <c r="H30" s="1081">
        <f t="shared" si="2"/>
        <v>0.21589918199883484</v>
      </c>
      <c r="I30" s="1081">
        <f t="shared" si="2"/>
        <v>0.21115774800154608</v>
      </c>
      <c r="J30" s="1081">
        <f t="shared" si="2"/>
        <v>0.21188332639853991</v>
      </c>
      <c r="K30" s="1081" t="str">
        <f t="shared" si="2"/>
        <v/>
      </c>
      <c r="L30" s="1081" t="str">
        <f t="shared" si="2"/>
        <v/>
      </c>
      <c r="M30" s="1081" t="str">
        <f t="shared" si="2"/>
        <v/>
      </c>
      <c r="N30" s="1081" t="str">
        <f t="shared" si="2"/>
        <v/>
      </c>
      <c r="O30"/>
      <c r="P30" s="832"/>
      <c r="Q30" s="561"/>
      <c r="R30" s="561"/>
      <c r="S30" s="561"/>
      <c r="T30" s="561"/>
      <c r="U30" s="561"/>
      <c r="V30" s="561"/>
      <c r="W30" s="561"/>
      <c r="X30" s="561"/>
      <c r="Y30" s="561"/>
      <c r="Z30" s="561"/>
      <c r="AA30" s="561"/>
      <c r="AB30" s="561"/>
      <c r="AC30" s="561"/>
      <c r="AD30" s="561"/>
      <c r="AE30" s="561"/>
      <c r="AF30" s="561"/>
      <c r="AG30" s="561"/>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8"/>
      <c r="BE30" s="568"/>
      <c r="BF30" s="568"/>
      <c r="BG30" s="568"/>
      <c r="BH30" s="568"/>
      <c r="BI30" s="568"/>
      <c r="BJ30" s="568"/>
      <c r="BK30" s="568"/>
      <c r="BL30" s="568"/>
      <c r="BM30" s="568"/>
      <c r="BN30" s="568"/>
      <c r="BO30" s="568"/>
      <c r="BP30" s="568"/>
      <c r="BQ30" s="568"/>
      <c r="BR30" s="568"/>
      <c r="BS30" s="568"/>
      <c r="BT30" s="568"/>
      <c r="BU30" s="568"/>
      <c r="BV30" s="568"/>
      <c r="BW30" s="568"/>
      <c r="BX30" s="568"/>
      <c r="BY30" s="568"/>
      <c r="BZ30" s="568"/>
      <c r="CA30" s="568"/>
      <c r="CB30" s="568"/>
      <c r="CC30" s="568"/>
      <c r="CD30" s="568"/>
      <c r="CE30" s="568"/>
      <c r="CF30" s="568"/>
      <c r="CG30" s="568"/>
      <c r="CH30" s="568"/>
      <c r="CI30" s="568"/>
      <c r="CJ30" s="568"/>
      <c r="CK30" s="568"/>
      <c r="CL30" s="568"/>
      <c r="CM30" s="568"/>
      <c r="CN30" s="568"/>
      <c r="CO30" s="568"/>
      <c r="CP30" s="568"/>
      <c r="CQ30" s="568"/>
      <c r="CR30" s="568"/>
      <c r="CS30" s="568"/>
      <c r="CT30" s="568"/>
      <c r="CU30" s="568"/>
      <c r="CV30" s="568"/>
      <c r="CW30" s="568"/>
      <c r="CX30" s="568"/>
      <c r="CY30" s="568"/>
      <c r="CZ30" s="568"/>
      <c r="DA30" s="568"/>
      <c r="DB30" s="568"/>
      <c r="DC30" s="568"/>
      <c r="DD30" s="568"/>
      <c r="DE30" s="568"/>
      <c r="DF30" s="568"/>
      <c r="DG30" s="568"/>
      <c r="DH30" s="568"/>
      <c r="DI30" s="568"/>
      <c r="DJ30" s="568"/>
      <c r="DK30" s="568"/>
      <c r="DL30" s="568"/>
      <c r="DM30" s="568"/>
      <c r="DN30" s="568"/>
      <c r="DO30" s="568"/>
      <c r="DP30" s="568"/>
      <c r="DQ30" s="568"/>
      <c r="DR30" s="568"/>
      <c r="DS30" s="568"/>
      <c r="DT30" s="568"/>
      <c r="DU30" s="568"/>
      <c r="DV30" s="568"/>
      <c r="DW30" s="568"/>
      <c r="DX30" s="568"/>
      <c r="DY30" s="568"/>
      <c r="DZ30" s="568"/>
      <c r="EA30" s="568"/>
      <c r="EB30" s="568"/>
      <c r="EC30" s="568"/>
      <c r="ED30" s="568"/>
      <c r="EE30" s="568"/>
      <c r="EF30" s="568"/>
      <c r="EG30" s="568"/>
      <c r="EH30" s="568"/>
      <c r="EI30" s="568"/>
      <c r="EJ30" s="568"/>
      <c r="EK30" s="568"/>
      <c r="EL30" s="568"/>
      <c r="EM30" s="568"/>
      <c r="EN30" s="568"/>
      <c r="EO30" s="568"/>
      <c r="EP30" s="568"/>
      <c r="EQ30" s="568"/>
      <c r="ER30" s="568"/>
      <c r="ES30" s="568"/>
      <c r="ET30" s="568"/>
      <c r="EU30" s="568"/>
      <c r="EV30" s="568"/>
      <c r="EW30" s="568"/>
      <c r="EX30" s="568"/>
      <c r="EY30" s="568"/>
      <c r="EZ30" s="568"/>
      <c r="FA30" s="568"/>
      <c r="FB30" s="568"/>
      <c r="FC30" s="568"/>
      <c r="FD30" s="568"/>
      <c r="FE30" s="568"/>
      <c r="FF30" s="568"/>
      <c r="FG30" s="568"/>
      <c r="FH30" s="568"/>
      <c r="FI30" s="568"/>
      <c r="FJ30" s="568"/>
      <c r="FK30" s="568"/>
      <c r="FL30" s="568"/>
      <c r="FM30" s="568"/>
      <c r="FN30" s="568"/>
      <c r="FO30" s="568"/>
      <c r="FP30" s="568"/>
      <c r="FQ30" s="568"/>
      <c r="FR30" s="568"/>
      <c r="FS30" s="568"/>
      <c r="FT30" s="568"/>
      <c r="FU30" s="568"/>
      <c r="FV30" s="568"/>
      <c r="FW30" s="568"/>
      <c r="FX30" s="568"/>
      <c r="FY30" s="568"/>
      <c r="FZ30" s="568"/>
      <c r="GA30" s="568"/>
      <c r="GB30" s="568"/>
      <c r="GC30" s="568"/>
      <c r="GD30" s="568"/>
      <c r="GE30" s="568"/>
      <c r="GF30" s="568"/>
      <c r="GG30" s="568"/>
      <c r="GH30" s="568"/>
      <c r="GI30" s="568"/>
      <c r="GJ30" s="568"/>
      <c r="GK30" s="568"/>
      <c r="GL30" s="568"/>
      <c r="GM30" s="568"/>
      <c r="GN30" s="568"/>
      <c r="GO30" s="568"/>
      <c r="GP30" s="568"/>
      <c r="GQ30" s="568"/>
      <c r="GR30" s="568"/>
      <c r="GS30" s="568"/>
      <c r="GT30" s="568"/>
      <c r="GU30" s="568"/>
      <c r="GV30" s="568"/>
      <c r="GW30" s="568"/>
      <c r="GX30" s="568"/>
      <c r="GY30" s="568"/>
      <c r="GZ30" s="568"/>
      <c r="HA30" s="568"/>
      <c r="HB30" s="568"/>
      <c r="HC30" s="568"/>
      <c r="HD30" s="568"/>
      <c r="HE30" s="568"/>
      <c r="HF30" s="568"/>
      <c r="HG30" s="568"/>
      <c r="HH30" s="568"/>
      <c r="HI30" s="568"/>
      <c r="HJ30" s="568"/>
      <c r="HK30" s="568"/>
      <c r="HL30" s="568"/>
      <c r="HM30" s="568"/>
      <c r="HN30" s="568"/>
      <c r="HO30" s="568"/>
      <c r="HP30" s="568"/>
      <c r="HQ30" s="568"/>
      <c r="HR30" s="568"/>
      <c r="HS30" s="568"/>
      <c r="HT30" s="568"/>
      <c r="HU30" s="568"/>
      <c r="HV30" s="568"/>
      <c r="HW30" s="568"/>
      <c r="HX30" s="568"/>
      <c r="HY30" s="568"/>
      <c r="HZ30" s="568"/>
      <c r="IA30" s="568"/>
      <c r="IB30" s="568"/>
      <c r="IC30" s="568"/>
      <c r="ID30" s="568"/>
      <c r="IE30" s="568"/>
      <c r="IF30" s="568"/>
      <c r="IG30" s="568"/>
      <c r="IH30" s="568"/>
      <c r="II30" s="568"/>
      <c r="IJ30" s="568"/>
      <c r="IK30" s="568"/>
      <c r="IL30" s="568"/>
      <c r="IM30" s="568"/>
      <c r="IN30" s="568"/>
      <c r="IO30" s="568"/>
      <c r="IP30" s="568"/>
      <c r="IQ30" s="568"/>
      <c r="IR30" s="568"/>
      <c r="IS30" s="568"/>
      <c r="IT30" s="568"/>
      <c r="IU30" s="568"/>
    </row>
    <row r="31" spans="1:255">
      <c r="A31" s="1077" t="s">
        <v>2457</v>
      </c>
      <c r="B31" s="561"/>
      <c r="C31" s="1081" t="str">
        <f>IF(AND(C4&lt;&gt;0,B4&lt;&gt;0),1-(C4-B4)/(C3-B3),"")</f>
        <v/>
      </c>
      <c r="D31" s="1081">
        <f>IF(D4&lt;&gt;0,1-D4/D3,"")</f>
        <v>0.25741244751105286</v>
      </c>
      <c r="E31" s="1081">
        <f>IF(AND(E4&lt;&gt;0,D4&lt;&gt;0),1-(E4-D4)/(E3-D3),"")</f>
        <v>0.20616820393407231</v>
      </c>
      <c r="F31" s="1081">
        <f>IF(AND(F4&lt;&gt;0,E4&lt;&gt;0),1-(F4-E4)/(F3-E3),"")</f>
        <v>0.18980645880719094</v>
      </c>
      <c r="G31" s="1081">
        <f>IF(AND(G4&lt;&gt;0,F4&lt;&gt;0),1-(G4-F4)/(G3-F3),"")</f>
        <v>0.19814174043017074</v>
      </c>
      <c r="H31" s="1081">
        <f>IF(H4&lt;&gt;0,1-H4/H3,"")</f>
        <v>0.21589918199883484</v>
      </c>
      <c r="I31" s="1081">
        <f>IF(AND(I4&lt;&gt;0,H4&lt;&gt;0),1-(I4-H4)/(I3-H3),"")</f>
        <v>0.20757537587338504</v>
      </c>
      <c r="J31" s="1081">
        <f>IF(AND(J4&lt;&gt;0,I4&lt;&gt;0),1-(J4-I4)/(J3-I3),"")</f>
        <v>0.21353575952822978</v>
      </c>
      <c r="K31" s="1081" t="str">
        <f>IF(AND(K4&lt;&gt;0,J4&lt;&gt;0),1-(K4-J4)/(K3-J3),"")</f>
        <v/>
      </c>
      <c r="L31" s="1081" t="str">
        <f>IF(L4&lt;&gt;0,1-L4/L3,"")</f>
        <v/>
      </c>
      <c r="M31" s="1081" t="str">
        <f>IF(AND(M4&lt;&gt;0,L4&lt;&gt;0),1-(M4-L4)/(M3-L3),"")</f>
        <v/>
      </c>
      <c r="N31" s="1081" t="str">
        <f>IF(AND(N4&lt;&gt;0,M4&lt;&gt;0),1-(N4-M4)/(N3-M3),"")</f>
        <v/>
      </c>
      <c r="O31"/>
      <c r="P31" s="832"/>
      <c r="Q31" s="561"/>
      <c r="R31" s="561"/>
      <c r="S31" s="561"/>
      <c r="T31" s="561"/>
      <c r="U31" s="561"/>
      <c r="V31" s="561"/>
      <c r="W31" s="561"/>
      <c r="X31" s="561"/>
      <c r="Y31" s="561"/>
      <c r="Z31" s="561"/>
      <c r="AA31" s="561"/>
      <c r="AB31" s="561"/>
      <c r="AC31" s="561"/>
      <c r="AD31" s="561"/>
      <c r="AE31" s="561"/>
      <c r="AF31" s="561"/>
      <c r="AG31" s="561"/>
      <c r="AH31" s="567"/>
      <c r="AI31" s="567"/>
      <c r="AJ31" s="567"/>
      <c r="AK31" s="567"/>
      <c r="AL31" s="567"/>
      <c r="AM31" s="567"/>
      <c r="AN31" s="567"/>
      <c r="AO31" s="567"/>
      <c r="AP31" s="567"/>
      <c r="AQ31" s="567"/>
      <c r="AR31" s="567"/>
      <c r="AS31" s="567"/>
      <c r="AT31" s="567"/>
      <c r="AU31" s="567"/>
      <c r="AV31" s="567"/>
      <c r="AW31" s="567"/>
      <c r="AX31" s="567"/>
      <c r="AY31" s="567"/>
      <c r="AZ31" s="567"/>
      <c r="BA31" s="567"/>
      <c r="BB31" s="567"/>
      <c r="BC31" s="567"/>
      <c r="BD31" s="568"/>
      <c r="BE31" s="568"/>
      <c r="BF31" s="568"/>
      <c r="BG31" s="568"/>
      <c r="BH31" s="568"/>
      <c r="BI31" s="568"/>
      <c r="BJ31" s="568"/>
      <c r="BK31" s="568"/>
      <c r="BL31" s="568"/>
      <c r="BM31" s="568"/>
      <c r="BN31" s="568"/>
      <c r="BO31" s="568"/>
      <c r="BP31" s="568"/>
      <c r="BQ31" s="568"/>
      <c r="BR31" s="568"/>
      <c r="BS31" s="568"/>
      <c r="BT31" s="568"/>
      <c r="BU31" s="568"/>
      <c r="BV31" s="568"/>
      <c r="BW31" s="568"/>
      <c r="BX31" s="568"/>
      <c r="BY31" s="568"/>
      <c r="BZ31" s="568"/>
      <c r="CA31" s="568"/>
      <c r="CB31" s="568"/>
      <c r="CC31" s="568"/>
      <c r="CD31" s="568"/>
      <c r="CE31" s="568"/>
      <c r="CF31" s="568"/>
      <c r="CG31" s="568"/>
      <c r="CH31" s="568"/>
      <c r="CI31" s="568"/>
      <c r="CJ31" s="568"/>
      <c r="CK31" s="568"/>
      <c r="CL31" s="568"/>
      <c r="CM31" s="568"/>
      <c r="CN31" s="568"/>
      <c r="CO31" s="568"/>
      <c r="CP31" s="568"/>
      <c r="CQ31" s="568"/>
      <c r="CR31" s="568"/>
      <c r="CS31" s="568"/>
      <c r="CT31" s="568"/>
      <c r="CU31" s="568"/>
      <c r="CV31" s="568"/>
      <c r="CW31" s="568"/>
      <c r="CX31" s="568"/>
      <c r="CY31" s="568"/>
      <c r="CZ31" s="568"/>
      <c r="DA31" s="568"/>
      <c r="DB31" s="568"/>
      <c r="DC31" s="568"/>
      <c r="DD31" s="568"/>
      <c r="DE31" s="568"/>
      <c r="DF31" s="568"/>
      <c r="DG31" s="568"/>
      <c r="DH31" s="568"/>
      <c r="DI31" s="568"/>
      <c r="DJ31" s="568"/>
      <c r="DK31" s="568"/>
      <c r="DL31" s="568"/>
      <c r="DM31" s="568"/>
      <c r="DN31" s="568"/>
      <c r="DO31" s="568"/>
      <c r="DP31" s="568"/>
      <c r="DQ31" s="568"/>
      <c r="DR31" s="568"/>
      <c r="DS31" s="568"/>
      <c r="DT31" s="568"/>
      <c r="DU31" s="568"/>
      <c r="DV31" s="568"/>
      <c r="DW31" s="568"/>
      <c r="DX31" s="568"/>
      <c r="DY31" s="568"/>
      <c r="DZ31" s="568"/>
      <c r="EA31" s="568"/>
      <c r="EB31" s="568"/>
      <c r="EC31" s="568"/>
      <c r="ED31" s="568"/>
      <c r="EE31" s="568"/>
      <c r="EF31" s="568"/>
      <c r="EG31" s="568"/>
      <c r="EH31" s="568"/>
      <c r="EI31" s="568"/>
      <c r="EJ31" s="568"/>
      <c r="EK31" s="568"/>
      <c r="EL31" s="568"/>
      <c r="EM31" s="568"/>
      <c r="EN31" s="568"/>
      <c r="EO31" s="568"/>
      <c r="EP31" s="568"/>
      <c r="EQ31" s="568"/>
      <c r="ER31" s="568"/>
      <c r="ES31" s="568"/>
      <c r="ET31" s="568"/>
      <c r="EU31" s="568"/>
      <c r="EV31" s="568"/>
      <c r="EW31" s="568"/>
      <c r="EX31" s="568"/>
      <c r="EY31" s="568"/>
      <c r="EZ31" s="568"/>
      <c r="FA31" s="568"/>
      <c r="FB31" s="568"/>
      <c r="FC31" s="568"/>
      <c r="FD31" s="568"/>
      <c r="FE31" s="568"/>
      <c r="FF31" s="568"/>
      <c r="FG31" s="568"/>
      <c r="FH31" s="568"/>
      <c r="FI31" s="568"/>
      <c r="FJ31" s="568"/>
      <c r="FK31" s="568"/>
      <c r="FL31" s="568"/>
      <c r="FM31" s="568"/>
      <c r="FN31" s="568"/>
      <c r="FO31" s="568"/>
      <c r="FP31" s="568"/>
      <c r="FQ31" s="568"/>
      <c r="FR31" s="568"/>
      <c r="FS31" s="568"/>
      <c r="FT31" s="568"/>
      <c r="FU31" s="568"/>
      <c r="FV31" s="568"/>
      <c r="FW31" s="568"/>
      <c r="FX31" s="568"/>
      <c r="FY31" s="568"/>
      <c r="FZ31" s="568"/>
      <c r="GA31" s="568"/>
      <c r="GB31" s="568"/>
      <c r="GC31" s="568"/>
      <c r="GD31" s="568"/>
      <c r="GE31" s="568"/>
      <c r="GF31" s="568"/>
      <c r="GG31" s="568"/>
      <c r="GH31" s="568"/>
      <c r="GI31" s="568"/>
      <c r="GJ31" s="568"/>
      <c r="GK31" s="568"/>
      <c r="GL31" s="568"/>
      <c r="GM31" s="568"/>
      <c r="GN31" s="568"/>
      <c r="GO31" s="568"/>
      <c r="GP31" s="568"/>
      <c r="GQ31" s="568"/>
      <c r="GR31" s="568"/>
      <c r="GS31" s="568"/>
      <c r="GT31" s="568"/>
      <c r="GU31" s="568"/>
      <c r="GV31" s="568"/>
      <c r="GW31" s="568"/>
      <c r="GX31" s="568"/>
      <c r="GY31" s="568"/>
      <c r="GZ31" s="568"/>
      <c r="HA31" s="568"/>
      <c r="HB31" s="568"/>
      <c r="HC31" s="568"/>
      <c r="HD31" s="568"/>
      <c r="HE31" s="568"/>
      <c r="HF31" s="568"/>
      <c r="HG31" s="568"/>
      <c r="HH31" s="568"/>
      <c r="HI31" s="568"/>
      <c r="HJ31" s="568"/>
      <c r="HK31" s="568"/>
      <c r="HL31" s="568"/>
      <c r="HM31" s="568"/>
      <c r="HN31" s="568"/>
      <c r="HO31" s="568"/>
      <c r="HP31" s="568"/>
      <c r="HQ31" s="568"/>
      <c r="HR31" s="568"/>
      <c r="HS31" s="568"/>
      <c r="HT31" s="568"/>
      <c r="HU31" s="568"/>
      <c r="HV31" s="568"/>
      <c r="HW31" s="568"/>
      <c r="HX31" s="568"/>
      <c r="HY31" s="568"/>
      <c r="HZ31" s="568"/>
      <c r="IA31" s="568"/>
      <c r="IB31" s="568"/>
      <c r="IC31" s="568"/>
      <c r="ID31" s="568"/>
      <c r="IE31" s="568"/>
      <c r="IF31" s="568"/>
      <c r="IG31" s="568"/>
      <c r="IH31" s="568"/>
      <c r="II31" s="568"/>
      <c r="IJ31" s="568"/>
      <c r="IK31" s="568"/>
      <c r="IL31" s="568"/>
      <c r="IM31" s="568"/>
      <c r="IN31" s="568"/>
      <c r="IO31" s="568"/>
      <c r="IP31" s="568"/>
      <c r="IQ31" s="568"/>
      <c r="IR31" s="568"/>
      <c r="IS31" s="568"/>
      <c r="IT31" s="568"/>
      <c r="IU31" s="568"/>
    </row>
    <row r="32" spans="1:255">
      <c r="A32" s="1077" t="s">
        <v>2458</v>
      </c>
      <c r="B32" s="561"/>
      <c r="C32" s="1081">
        <f t="shared" ref="C32:N32" si="3">IF(C3&lt;&gt;"",C6/C3,"")</f>
        <v>6.0868902410818458E-2</v>
      </c>
      <c r="D32" s="1081">
        <f t="shared" si="3"/>
        <v>7.3244222932399364E-2</v>
      </c>
      <c r="E32" s="1081">
        <f t="shared" si="3"/>
        <v>5.8140449580348738E-2</v>
      </c>
      <c r="F32" s="1081">
        <f t="shared" si="3"/>
        <v>5.9741728713727661E-2</v>
      </c>
      <c r="G32" s="1081">
        <f t="shared" si="3"/>
        <v>6.6567642837369781E-2</v>
      </c>
      <c r="H32" s="1081">
        <f t="shared" si="3"/>
        <v>7.0633509173804565E-2</v>
      </c>
      <c r="I32" s="1081">
        <f t="shared" si="3"/>
        <v>6.4852319744933051E-2</v>
      </c>
      <c r="J32" s="1081">
        <f t="shared" si="3"/>
        <v>7.0474721552950148E-2</v>
      </c>
      <c r="K32" s="1081" t="e">
        <f t="shared" si="3"/>
        <v>#DIV/0!</v>
      </c>
      <c r="L32" s="1081" t="e">
        <f t="shared" si="3"/>
        <v>#DIV/0!</v>
      </c>
      <c r="M32" s="1081" t="e">
        <f t="shared" si="3"/>
        <v>#DIV/0!</v>
      </c>
      <c r="N32" s="1081" t="e">
        <f t="shared" si="3"/>
        <v>#DIV/0!</v>
      </c>
      <c r="O32"/>
      <c r="P32" s="832"/>
      <c r="Q32" s="561"/>
      <c r="R32" s="561"/>
      <c r="S32" s="561"/>
      <c r="T32" s="561"/>
      <c r="U32" s="561"/>
      <c r="V32" s="561"/>
      <c r="W32" s="561"/>
      <c r="X32" s="561"/>
      <c r="Y32" s="561"/>
      <c r="Z32" s="561"/>
      <c r="AA32" s="561"/>
      <c r="AB32" s="561"/>
      <c r="AC32" s="561"/>
      <c r="AD32" s="561"/>
      <c r="AE32" s="561"/>
      <c r="AF32" s="561"/>
      <c r="AG32" s="561"/>
      <c r="AH32" s="567"/>
      <c r="AI32" s="567"/>
      <c r="AJ32" s="567"/>
      <c r="AK32" s="567"/>
      <c r="AL32" s="567"/>
      <c r="AM32" s="567"/>
      <c r="AN32" s="567"/>
      <c r="AO32" s="567"/>
      <c r="AP32" s="567"/>
      <c r="AQ32" s="567"/>
      <c r="AR32" s="567"/>
      <c r="AS32" s="567"/>
      <c r="AT32" s="567"/>
      <c r="AU32" s="567"/>
      <c r="AV32" s="567"/>
      <c r="AW32" s="567"/>
      <c r="AX32" s="567"/>
      <c r="AY32" s="567"/>
      <c r="AZ32" s="567"/>
      <c r="BA32" s="567"/>
      <c r="BB32" s="567"/>
      <c r="BC32" s="567"/>
      <c r="BD32" s="568"/>
      <c r="BE32" s="568"/>
      <c r="BF32" s="568"/>
      <c r="BG32" s="568"/>
      <c r="BH32" s="568"/>
      <c r="BI32" s="568"/>
      <c r="BJ32" s="568"/>
      <c r="BK32" s="568"/>
      <c r="BL32" s="568"/>
      <c r="BM32" s="568"/>
      <c r="BN32" s="568"/>
      <c r="BO32" s="568"/>
      <c r="BP32" s="568"/>
      <c r="BQ32" s="568"/>
      <c r="BR32" s="568"/>
      <c r="BS32" s="568"/>
      <c r="BT32" s="568"/>
      <c r="BU32" s="568"/>
      <c r="BV32" s="568"/>
      <c r="BW32" s="568"/>
      <c r="BX32" s="568"/>
      <c r="BY32" s="568"/>
      <c r="BZ32" s="568"/>
      <c r="CA32" s="568"/>
      <c r="CB32" s="568"/>
      <c r="CC32" s="568"/>
      <c r="CD32" s="568"/>
      <c r="CE32" s="568"/>
      <c r="CF32" s="568"/>
      <c r="CG32" s="568"/>
      <c r="CH32" s="568"/>
      <c r="CI32" s="568"/>
      <c r="CJ32" s="568"/>
      <c r="CK32" s="568"/>
      <c r="CL32" s="568"/>
      <c r="CM32" s="568"/>
      <c r="CN32" s="568"/>
      <c r="CO32" s="568"/>
      <c r="CP32" s="568"/>
      <c r="CQ32" s="568"/>
      <c r="CR32" s="568"/>
      <c r="CS32" s="568"/>
      <c r="CT32" s="568"/>
      <c r="CU32" s="568"/>
      <c r="CV32" s="568"/>
      <c r="CW32" s="568"/>
      <c r="CX32" s="568"/>
      <c r="CY32" s="568"/>
      <c r="CZ32" s="568"/>
      <c r="DA32" s="568"/>
      <c r="DB32" s="568"/>
      <c r="DC32" s="568"/>
      <c r="DD32" s="568"/>
      <c r="DE32" s="568"/>
      <c r="DF32" s="568"/>
      <c r="DG32" s="568"/>
      <c r="DH32" s="568"/>
      <c r="DI32" s="568"/>
      <c r="DJ32" s="568"/>
      <c r="DK32" s="568"/>
      <c r="DL32" s="568"/>
      <c r="DM32" s="568"/>
      <c r="DN32" s="568"/>
      <c r="DO32" s="568"/>
      <c r="DP32" s="568"/>
      <c r="DQ32" s="568"/>
      <c r="DR32" s="568"/>
      <c r="DS32" s="568"/>
      <c r="DT32" s="568"/>
      <c r="DU32" s="568"/>
      <c r="DV32" s="568"/>
      <c r="DW32" s="568"/>
      <c r="DX32" s="568"/>
      <c r="DY32" s="568"/>
      <c r="DZ32" s="568"/>
      <c r="EA32" s="568"/>
      <c r="EB32" s="568"/>
      <c r="EC32" s="568"/>
      <c r="ED32" s="568"/>
      <c r="EE32" s="568"/>
      <c r="EF32" s="568"/>
      <c r="EG32" s="568"/>
      <c r="EH32" s="568"/>
      <c r="EI32" s="568"/>
      <c r="EJ32" s="568"/>
      <c r="EK32" s="568"/>
      <c r="EL32" s="568"/>
      <c r="EM32" s="568"/>
      <c r="EN32" s="568"/>
      <c r="EO32" s="568"/>
      <c r="EP32" s="568"/>
      <c r="EQ32" s="568"/>
      <c r="ER32" s="568"/>
      <c r="ES32" s="568"/>
      <c r="ET32" s="568"/>
      <c r="EU32" s="568"/>
      <c r="EV32" s="568"/>
      <c r="EW32" s="568"/>
      <c r="EX32" s="568"/>
      <c r="EY32" s="568"/>
      <c r="EZ32" s="568"/>
      <c r="FA32" s="568"/>
      <c r="FB32" s="568"/>
      <c r="FC32" s="568"/>
      <c r="FD32" s="568"/>
      <c r="FE32" s="568"/>
      <c r="FF32" s="568"/>
      <c r="FG32" s="568"/>
      <c r="FH32" s="568"/>
      <c r="FI32" s="568"/>
      <c r="FJ32" s="568"/>
      <c r="FK32" s="568"/>
      <c r="FL32" s="568"/>
      <c r="FM32" s="568"/>
      <c r="FN32" s="568"/>
      <c r="FO32" s="568"/>
      <c r="FP32" s="568"/>
      <c r="FQ32" s="568"/>
      <c r="FR32" s="568"/>
      <c r="FS32" s="568"/>
      <c r="FT32" s="568"/>
      <c r="FU32" s="568"/>
      <c r="FV32" s="568"/>
      <c r="FW32" s="568"/>
      <c r="FX32" s="568"/>
      <c r="FY32" s="568"/>
      <c r="FZ32" s="568"/>
      <c r="GA32" s="568"/>
      <c r="GB32" s="568"/>
      <c r="GC32" s="568"/>
      <c r="GD32" s="568"/>
      <c r="GE32" s="568"/>
      <c r="GF32" s="568"/>
      <c r="GG32" s="568"/>
      <c r="GH32" s="568"/>
      <c r="GI32" s="568"/>
      <c r="GJ32" s="568"/>
      <c r="GK32" s="568"/>
      <c r="GL32" s="568"/>
      <c r="GM32" s="568"/>
      <c r="GN32" s="568"/>
      <c r="GO32" s="568"/>
      <c r="GP32" s="568"/>
      <c r="GQ32" s="568"/>
      <c r="GR32" s="568"/>
      <c r="GS32" s="568"/>
      <c r="GT32" s="568"/>
      <c r="GU32" s="568"/>
      <c r="GV32" s="568"/>
      <c r="GW32" s="568"/>
      <c r="GX32" s="568"/>
      <c r="GY32" s="568"/>
      <c r="GZ32" s="568"/>
      <c r="HA32" s="568"/>
      <c r="HB32" s="568"/>
      <c r="HC32" s="568"/>
      <c r="HD32" s="568"/>
      <c r="HE32" s="568"/>
      <c r="HF32" s="568"/>
      <c r="HG32" s="568"/>
      <c r="HH32" s="568"/>
      <c r="HI32" s="568"/>
      <c r="HJ32" s="568"/>
      <c r="HK32" s="568"/>
      <c r="HL32" s="568"/>
      <c r="HM32" s="568"/>
      <c r="HN32" s="568"/>
      <c r="HO32" s="568"/>
      <c r="HP32" s="568"/>
      <c r="HQ32" s="568"/>
      <c r="HR32" s="568"/>
      <c r="HS32" s="568"/>
      <c r="HT32" s="568"/>
      <c r="HU32" s="568"/>
      <c r="HV32" s="568"/>
      <c r="HW32" s="568"/>
      <c r="HX32" s="568"/>
      <c r="HY32" s="568"/>
      <c r="HZ32" s="568"/>
      <c r="IA32" s="568"/>
      <c r="IB32" s="568"/>
      <c r="IC32" s="568"/>
      <c r="ID32" s="568"/>
      <c r="IE32" s="568"/>
      <c r="IF32" s="568"/>
      <c r="IG32" s="568"/>
      <c r="IH32" s="568"/>
      <c r="II32" s="568"/>
      <c r="IJ32" s="568"/>
      <c r="IK32" s="568"/>
      <c r="IL32" s="568"/>
      <c r="IM32" s="568"/>
      <c r="IN32" s="568"/>
      <c r="IO32" s="568"/>
      <c r="IP32" s="568"/>
      <c r="IQ32" s="568"/>
      <c r="IR32" s="568"/>
      <c r="IS32" s="568"/>
      <c r="IT32" s="568"/>
      <c r="IU32" s="568"/>
    </row>
    <row r="33" spans="1:255">
      <c r="A33" s="1077" t="s">
        <v>2459</v>
      </c>
      <c r="B33" s="561"/>
      <c r="C33" s="1081">
        <f t="shared" ref="C33:N33" si="4">IF(C3&lt;&gt;"",C7/C3,"")</f>
        <v>3.7258798391061811E-2</v>
      </c>
      <c r="D33" s="1081">
        <f t="shared" si="4"/>
        <v>4.9475870475180747E-2</v>
      </c>
      <c r="E33" s="1081">
        <f t="shared" si="4"/>
        <v>3.6886268378773381E-2</v>
      </c>
      <c r="F33" s="1081">
        <f t="shared" si="4"/>
        <v>3.8631097985480839E-2</v>
      </c>
      <c r="G33" s="1081">
        <f t="shared" si="4"/>
        <v>3.9255013173337405E-2</v>
      </c>
      <c r="H33" s="1081">
        <f t="shared" si="4"/>
        <v>4.6058856050622071E-2</v>
      </c>
      <c r="I33" s="1081">
        <f t="shared" si="4"/>
        <v>3.7549715781104512E-2</v>
      </c>
      <c r="J33" s="1081">
        <f t="shared" si="4"/>
        <v>3.7408007496715898E-2</v>
      </c>
      <c r="K33" s="1081" t="e">
        <f t="shared" si="4"/>
        <v>#DIV/0!</v>
      </c>
      <c r="L33" s="1081" t="e">
        <f t="shared" si="4"/>
        <v>#DIV/0!</v>
      </c>
      <c r="M33" s="1081" t="e">
        <f t="shared" si="4"/>
        <v>#DIV/0!</v>
      </c>
      <c r="N33" s="1081" t="e">
        <f t="shared" si="4"/>
        <v>#DIV/0!</v>
      </c>
      <c r="O33"/>
      <c r="P33" s="832"/>
      <c r="Q33" s="561"/>
      <c r="R33" s="561"/>
      <c r="S33" s="561"/>
      <c r="T33" s="561"/>
      <c r="U33" s="561"/>
      <c r="V33" s="561"/>
      <c r="W33" s="561"/>
      <c r="X33" s="561"/>
      <c r="Y33" s="561"/>
      <c r="Z33" s="561"/>
      <c r="AA33" s="561"/>
      <c r="AB33" s="561"/>
      <c r="AC33" s="561"/>
      <c r="AD33" s="561"/>
      <c r="AE33" s="561"/>
      <c r="AF33" s="561"/>
      <c r="AG33" s="561"/>
      <c r="AH33" s="567"/>
      <c r="AI33" s="567"/>
      <c r="AJ33" s="567"/>
      <c r="AK33" s="567"/>
      <c r="AL33" s="567"/>
      <c r="AM33" s="567"/>
      <c r="AN33" s="567"/>
      <c r="AO33" s="567"/>
      <c r="AP33" s="567"/>
      <c r="AQ33" s="567"/>
      <c r="AR33" s="567"/>
      <c r="AS33" s="567"/>
      <c r="AT33" s="567"/>
      <c r="AU33" s="567"/>
      <c r="AV33" s="567"/>
      <c r="AW33" s="567"/>
      <c r="AX33" s="567"/>
      <c r="AY33" s="567"/>
      <c r="AZ33" s="567"/>
      <c r="BA33" s="567"/>
      <c r="BB33" s="567"/>
      <c r="BC33" s="567"/>
      <c r="BD33" s="568"/>
      <c r="BE33" s="568"/>
      <c r="BF33" s="568"/>
      <c r="BG33" s="568"/>
      <c r="BH33" s="568"/>
      <c r="BI33" s="568"/>
      <c r="BJ33" s="568"/>
      <c r="BK33" s="568"/>
      <c r="BL33" s="568"/>
      <c r="BM33" s="568"/>
      <c r="BN33" s="568"/>
      <c r="BO33" s="568"/>
      <c r="BP33" s="568"/>
      <c r="BQ33" s="568"/>
      <c r="BR33" s="568"/>
      <c r="BS33" s="568"/>
      <c r="BT33" s="568"/>
      <c r="BU33" s="568"/>
      <c r="BV33" s="568"/>
      <c r="BW33" s="568"/>
      <c r="BX33" s="568"/>
      <c r="BY33" s="568"/>
      <c r="BZ33" s="568"/>
      <c r="CA33" s="568"/>
      <c r="CB33" s="568"/>
      <c r="CC33" s="568"/>
      <c r="CD33" s="568"/>
      <c r="CE33" s="568"/>
      <c r="CF33" s="568"/>
      <c r="CG33" s="568"/>
      <c r="CH33" s="568"/>
      <c r="CI33" s="568"/>
      <c r="CJ33" s="568"/>
      <c r="CK33" s="568"/>
      <c r="CL33" s="568"/>
      <c r="CM33" s="568"/>
      <c r="CN33" s="568"/>
      <c r="CO33" s="568"/>
      <c r="CP33" s="568"/>
      <c r="CQ33" s="568"/>
      <c r="CR33" s="568"/>
      <c r="CS33" s="568"/>
      <c r="CT33" s="568"/>
      <c r="CU33" s="568"/>
      <c r="CV33" s="568"/>
      <c r="CW33" s="568"/>
      <c r="CX33" s="568"/>
      <c r="CY33" s="568"/>
      <c r="CZ33" s="568"/>
      <c r="DA33" s="568"/>
      <c r="DB33" s="568"/>
      <c r="DC33" s="568"/>
      <c r="DD33" s="568"/>
      <c r="DE33" s="568"/>
      <c r="DF33" s="568"/>
      <c r="DG33" s="568"/>
      <c r="DH33" s="568"/>
      <c r="DI33" s="568"/>
      <c r="DJ33" s="568"/>
      <c r="DK33" s="568"/>
      <c r="DL33" s="568"/>
      <c r="DM33" s="568"/>
      <c r="DN33" s="568"/>
      <c r="DO33" s="568"/>
      <c r="DP33" s="568"/>
      <c r="DQ33" s="568"/>
      <c r="DR33" s="568"/>
      <c r="DS33" s="568"/>
      <c r="DT33" s="568"/>
      <c r="DU33" s="568"/>
      <c r="DV33" s="568"/>
      <c r="DW33" s="568"/>
      <c r="DX33" s="568"/>
      <c r="DY33" s="568"/>
      <c r="DZ33" s="568"/>
      <c r="EA33" s="568"/>
      <c r="EB33" s="568"/>
      <c r="EC33" s="568"/>
      <c r="ED33" s="568"/>
      <c r="EE33" s="568"/>
      <c r="EF33" s="568"/>
      <c r="EG33" s="568"/>
      <c r="EH33" s="568"/>
      <c r="EI33" s="568"/>
      <c r="EJ33" s="568"/>
      <c r="EK33" s="568"/>
      <c r="EL33" s="568"/>
      <c r="EM33" s="568"/>
      <c r="EN33" s="568"/>
      <c r="EO33" s="568"/>
      <c r="EP33" s="568"/>
      <c r="EQ33" s="568"/>
      <c r="ER33" s="568"/>
      <c r="ES33" s="568"/>
      <c r="ET33" s="568"/>
      <c r="EU33" s="568"/>
      <c r="EV33" s="568"/>
      <c r="EW33" s="568"/>
      <c r="EX33" s="568"/>
      <c r="EY33" s="568"/>
      <c r="EZ33" s="568"/>
      <c r="FA33" s="568"/>
      <c r="FB33" s="568"/>
      <c r="FC33" s="568"/>
      <c r="FD33" s="568"/>
      <c r="FE33" s="568"/>
      <c r="FF33" s="568"/>
      <c r="FG33" s="568"/>
      <c r="FH33" s="568"/>
      <c r="FI33" s="568"/>
      <c r="FJ33" s="568"/>
      <c r="FK33" s="568"/>
      <c r="FL33" s="568"/>
      <c r="FM33" s="568"/>
      <c r="FN33" s="568"/>
      <c r="FO33" s="568"/>
      <c r="FP33" s="568"/>
      <c r="FQ33" s="568"/>
      <c r="FR33" s="568"/>
      <c r="FS33" s="568"/>
      <c r="FT33" s="568"/>
      <c r="FU33" s="568"/>
      <c r="FV33" s="568"/>
      <c r="FW33" s="568"/>
      <c r="FX33" s="568"/>
      <c r="FY33" s="568"/>
      <c r="FZ33" s="568"/>
      <c r="GA33" s="568"/>
      <c r="GB33" s="568"/>
      <c r="GC33" s="568"/>
      <c r="GD33" s="568"/>
      <c r="GE33" s="568"/>
      <c r="GF33" s="568"/>
      <c r="GG33" s="568"/>
      <c r="GH33" s="568"/>
      <c r="GI33" s="568"/>
      <c r="GJ33" s="568"/>
      <c r="GK33" s="568"/>
      <c r="GL33" s="568"/>
      <c r="GM33" s="568"/>
      <c r="GN33" s="568"/>
      <c r="GO33" s="568"/>
      <c r="GP33" s="568"/>
      <c r="GQ33" s="568"/>
      <c r="GR33" s="568"/>
      <c r="GS33" s="568"/>
      <c r="GT33" s="568"/>
      <c r="GU33" s="568"/>
      <c r="GV33" s="568"/>
      <c r="GW33" s="568"/>
      <c r="GX33" s="568"/>
      <c r="GY33" s="568"/>
      <c r="GZ33" s="568"/>
      <c r="HA33" s="568"/>
      <c r="HB33" s="568"/>
      <c r="HC33" s="568"/>
      <c r="HD33" s="568"/>
      <c r="HE33" s="568"/>
      <c r="HF33" s="568"/>
      <c r="HG33" s="568"/>
      <c r="HH33" s="568"/>
      <c r="HI33" s="568"/>
      <c r="HJ33" s="568"/>
      <c r="HK33" s="568"/>
      <c r="HL33" s="568"/>
      <c r="HM33" s="568"/>
      <c r="HN33" s="568"/>
      <c r="HO33" s="568"/>
      <c r="HP33" s="568"/>
      <c r="HQ33" s="568"/>
      <c r="HR33" s="568"/>
      <c r="HS33" s="568"/>
      <c r="HT33" s="568"/>
      <c r="HU33" s="568"/>
      <c r="HV33" s="568"/>
      <c r="HW33" s="568"/>
      <c r="HX33" s="568"/>
      <c r="HY33" s="568"/>
      <c r="HZ33" s="568"/>
      <c r="IA33" s="568"/>
      <c r="IB33" s="568"/>
      <c r="IC33" s="568"/>
      <c r="ID33" s="568"/>
      <c r="IE33" s="568"/>
      <c r="IF33" s="568"/>
      <c r="IG33" s="568"/>
      <c r="IH33" s="568"/>
      <c r="II33" s="568"/>
      <c r="IJ33" s="568"/>
      <c r="IK33" s="568"/>
      <c r="IL33" s="568"/>
      <c r="IM33" s="568"/>
      <c r="IN33" s="568"/>
      <c r="IO33" s="568"/>
      <c r="IP33" s="568"/>
      <c r="IQ33" s="568"/>
      <c r="IR33" s="568"/>
      <c r="IS33" s="568"/>
      <c r="IT33" s="568"/>
      <c r="IU33" s="568"/>
    </row>
    <row r="34" spans="1:255">
      <c r="A34" s="1077" t="s">
        <v>2460</v>
      </c>
      <c r="B34" s="561"/>
      <c r="C34" s="1081">
        <f t="shared" ref="C34:N34" si="5">IF(C3&lt;&gt;"",C8/C3,"")</f>
        <v>5.4825047329455636E-3</v>
      </c>
      <c r="D34" s="1081">
        <f t="shared" si="5"/>
        <v>1.0166644534465976E-2</v>
      </c>
      <c r="E34" s="1081">
        <f t="shared" si="5"/>
        <v>1.0092556442815728E-2</v>
      </c>
      <c r="F34" s="1081">
        <f t="shared" si="5"/>
        <v>9.5588595736930508E-3</v>
      </c>
      <c r="G34" s="1081">
        <f t="shared" si="5"/>
        <v>9.8727263213377603E-3</v>
      </c>
      <c r="H34" s="1081">
        <f t="shared" si="5"/>
        <v>1.0180184553786132E-2</v>
      </c>
      <c r="I34" s="1081">
        <f t="shared" si="5"/>
        <v>1.0336812847616188E-2</v>
      </c>
      <c r="J34" s="1081">
        <f t="shared" si="5"/>
        <v>8.3572905893200614E-3</v>
      </c>
      <c r="K34" s="1081" t="e">
        <f t="shared" si="5"/>
        <v>#DIV/0!</v>
      </c>
      <c r="L34" s="1081" t="e">
        <f t="shared" si="5"/>
        <v>#DIV/0!</v>
      </c>
      <c r="M34" s="1081" t="e">
        <f t="shared" si="5"/>
        <v>#DIV/0!</v>
      </c>
      <c r="N34" s="1081" t="e">
        <f t="shared" si="5"/>
        <v>#DIV/0!</v>
      </c>
      <c r="O34"/>
      <c r="P34" s="832"/>
      <c r="Q34" s="561"/>
      <c r="R34" s="561"/>
      <c r="S34" s="561"/>
      <c r="T34" s="561"/>
      <c r="U34" s="561"/>
      <c r="V34" s="561"/>
      <c r="W34" s="561"/>
      <c r="X34" s="561"/>
      <c r="Y34" s="561"/>
      <c r="Z34" s="561"/>
      <c r="AA34" s="561"/>
      <c r="AB34" s="561"/>
      <c r="AC34" s="561"/>
      <c r="AD34" s="561"/>
      <c r="AE34" s="561"/>
      <c r="AF34" s="561"/>
      <c r="AG34" s="561"/>
      <c r="AH34" s="567"/>
      <c r="AI34" s="567"/>
      <c r="AJ34" s="567"/>
      <c r="AK34" s="567"/>
      <c r="AL34" s="567"/>
      <c r="AM34" s="567"/>
      <c r="AN34" s="567"/>
      <c r="AO34" s="567"/>
      <c r="AP34" s="567"/>
      <c r="AQ34" s="567"/>
      <c r="AR34" s="567"/>
      <c r="AS34" s="567"/>
      <c r="AT34" s="567"/>
      <c r="AU34" s="567"/>
      <c r="AV34" s="567"/>
      <c r="AW34" s="567"/>
      <c r="AX34" s="567"/>
      <c r="AY34" s="567"/>
      <c r="AZ34" s="567"/>
      <c r="BA34" s="567"/>
      <c r="BB34" s="567"/>
      <c r="BC34" s="567"/>
      <c r="BD34" s="568"/>
      <c r="BE34" s="568"/>
      <c r="BF34" s="568"/>
      <c r="BG34" s="568"/>
      <c r="BH34" s="568"/>
      <c r="BI34" s="568"/>
      <c r="BJ34" s="568"/>
      <c r="BK34" s="568"/>
      <c r="BL34" s="568"/>
      <c r="BM34" s="568"/>
      <c r="BN34" s="568"/>
      <c r="BO34" s="568"/>
      <c r="BP34" s="568"/>
      <c r="BQ34" s="568"/>
      <c r="BR34" s="568"/>
      <c r="BS34" s="568"/>
      <c r="BT34" s="568"/>
      <c r="BU34" s="568"/>
      <c r="BV34" s="568"/>
      <c r="BW34" s="568"/>
      <c r="BX34" s="568"/>
      <c r="BY34" s="568"/>
      <c r="BZ34" s="568"/>
      <c r="CA34" s="568"/>
      <c r="CB34" s="568"/>
      <c r="CC34" s="568"/>
      <c r="CD34" s="568"/>
      <c r="CE34" s="568"/>
      <c r="CF34" s="568"/>
      <c r="CG34" s="568"/>
      <c r="CH34" s="568"/>
      <c r="CI34" s="568"/>
      <c r="CJ34" s="568"/>
      <c r="CK34" s="568"/>
      <c r="CL34" s="568"/>
      <c r="CM34" s="568"/>
      <c r="CN34" s="568"/>
      <c r="CO34" s="568"/>
      <c r="CP34" s="568"/>
      <c r="CQ34" s="568"/>
      <c r="CR34" s="568"/>
      <c r="CS34" s="568"/>
      <c r="CT34" s="568"/>
      <c r="CU34" s="568"/>
      <c r="CV34" s="568"/>
      <c r="CW34" s="568"/>
      <c r="CX34" s="568"/>
      <c r="CY34" s="568"/>
      <c r="CZ34" s="568"/>
      <c r="DA34" s="568"/>
      <c r="DB34" s="568"/>
      <c r="DC34" s="568"/>
      <c r="DD34" s="568"/>
      <c r="DE34" s="568"/>
      <c r="DF34" s="568"/>
      <c r="DG34" s="568"/>
      <c r="DH34" s="568"/>
      <c r="DI34" s="568"/>
      <c r="DJ34" s="568"/>
      <c r="DK34" s="568"/>
      <c r="DL34" s="568"/>
      <c r="DM34" s="568"/>
      <c r="DN34" s="568"/>
      <c r="DO34" s="568"/>
      <c r="DP34" s="568"/>
      <c r="DQ34" s="568"/>
      <c r="DR34" s="568"/>
      <c r="DS34" s="568"/>
      <c r="DT34" s="568"/>
      <c r="DU34" s="568"/>
      <c r="DV34" s="568"/>
      <c r="DW34" s="568"/>
      <c r="DX34" s="568"/>
      <c r="DY34" s="568"/>
      <c r="DZ34" s="568"/>
      <c r="EA34" s="568"/>
      <c r="EB34" s="568"/>
      <c r="EC34" s="568"/>
      <c r="ED34" s="568"/>
      <c r="EE34" s="568"/>
      <c r="EF34" s="568"/>
      <c r="EG34" s="568"/>
      <c r="EH34" s="568"/>
      <c r="EI34" s="568"/>
      <c r="EJ34" s="568"/>
      <c r="EK34" s="568"/>
      <c r="EL34" s="568"/>
      <c r="EM34" s="568"/>
      <c r="EN34" s="568"/>
      <c r="EO34" s="568"/>
      <c r="EP34" s="568"/>
      <c r="EQ34" s="568"/>
      <c r="ER34" s="568"/>
      <c r="ES34" s="568"/>
      <c r="ET34" s="568"/>
      <c r="EU34" s="568"/>
      <c r="EV34" s="568"/>
      <c r="EW34" s="568"/>
      <c r="EX34" s="568"/>
      <c r="EY34" s="568"/>
      <c r="EZ34" s="568"/>
      <c r="FA34" s="568"/>
      <c r="FB34" s="568"/>
      <c r="FC34" s="568"/>
      <c r="FD34" s="568"/>
      <c r="FE34" s="568"/>
      <c r="FF34" s="568"/>
      <c r="FG34" s="568"/>
      <c r="FH34" s="568"/>
      <c r="FI34" s="568"/>
      <c r="FJ34" s="568"/>
      <c r="FK34" s="568"/>
      <c r="FL34" s="568"/>
      <c r="FM34" s="568"/>
      <c r="FN34" s="568"/>
      <c r="FO34" s="568"/>
      <c r="FP34" s="568"/>
      <c r="FQ34" s="568"/>
      <c r="FR34" s="568"/>
      <c r="FS34" s="568"/>
      <c r="FT34" s="568"/>
      <c r="FU34" s="568"/>
      <c r="FV34" s="568"/>
      <c r="FW34" s="568"/>
      <c r="FX34" s="568"/>
      <c r="FY34" s="568"/>
      <c r="FZ34" s="568"/>
      <c r="GA34" s="568"/>
      <c r="GB34" s="568"/>
      <c r="GC34" s="568"/>
      <c r="GD34" s="568"/>
      <c r="GE34" s="568"/>
      <c r="GF34" s="568"/>
      <c r="GG34" s="568"/>
      <c r="GH34" s="568"/>
      <c r="GI34" s="568"/>
      <c r="GJ34" s="568"/>
      <c r="GK34" s="568"/>
      <c r="GL34" s="568"/>
      <c r="GM34" s="568"/>
      <c r="GN34" s="568"/>
      <c r="GO34" s="568"/>
      <c r="GP34" s="568"/>
      <c r="GQ34" s="568"/>
      <c r="GR34" s="568"/>
      <c r="GS34" s="568"/>
      <c r="GT34" s="568"/>
      <c r="GU34" s="568"/>
      <c r="GV34" s="568"/>
      <c r="GW34" s="568"/>
      <c r="GX34" s="568"/>
      <c r="GY34" s="568"/>
      <c r="GZ34" s="568"/>
      <c r="HA34" s="568"/>
      <c r="HB34" s="568"/>
      <c r="HC34" s="568"/>
      <c r="HD34" s="568"/>
      <c r="HE34" s="568"/>
      <c r="HF34" s="568"/>
      <c r="HG34" s="568"/>
      <c r="HH34" s="568"/>
      <c r="HI34" s="568"/>
      <c r="HJ34" s="568"/>
      <c r="HK34" s="568"/>
      <c r="HL34" s="568"/>
      <c r="HM34" s="568"/>
      <c r="HN34" s="568"/>
      <c r="HO34" s="568"/>
      <c r="HP34" s="568"/>
      <c r="HQ34" s="568"/>
      <c r="HR34" s="568"/>
      <c r="HS34" s="568"/>
      <c r="HT34" s="568"/>
      <c r="HU34" s="568"/>
      <c r="HV34" s="568"/>
      <c r="HW34" s="568"/>
      <c r="HX34" s="568"/>
      <c r="HY34" s="568"/>
      <c r="HZ34" s="568"/>
      <c r="IA34" s="568"/>
      <c r="IB34" s="568"/>
      <c r="IC34" s="568"/>
      <c r="ID34" s="568"/>
      <c r="IE34" s="568"/>
      <c r="IF34" s="568"/>
      <c r="IG34" s="568"/>
      <c r="IH34" s="568"/>
      <c r="II34" s="568"/>
      <c r="IJ34" s="568"/>
      <c r="IK34" s="568"/>
      <c r="IL34" s="568"/>
      <c r="IM34" s="568"/>
      <c r="IN34" s="568"/>
      <c r="IO34" s="568"/>
      <c r="IP34" s="568"/>
      <c r="IQ34" s="568"/>
      <c r="IR34" s="568"/>
      <c r="IS34" s="568"/>
      <c r="IT34" s="568"/>
      <c r="IU34" s="568"/>
    </row>
    <row r="35" spans="1:255">
      <c r="A35" s="1077" t="s">
        <v>2461</v>
      </c>
      <c r="B35" s="561"/>
      <c r="C35" s="1081">
        <f t="shared" ref="C35:N35" si="6">IF(C3&lt;&gt;"",SUM(C6:C8)/C3,"")</f>
        <v>0.10361020553482583</v>
      </c>
      <c r="D35" s="1081">
        <f t="shared" si="6"/>
        <v>0.13288673794204608</v>
      </c>
      <c r="E35" s="1081">
        <f t="shared" si="6"/>
        <v>0.10511927440193784</v>
      </c>
      <c r="F35" s="1081">
        <f t="shared" si="6"/>
        <v>0.10793168627290155</v>
      </c>
      <c r="G35" s="1081">
        <f t="shared" si="6"/>
        <v>0.11569538233204496</v>
      </c>
      <c r="H35" s="1081">
        <f t="shared" si="6"/>
        <v>0.12687254977821277</v>
      </c>
      <c r="I35" s="1081">
        <f t="shared" si="6"/>
        <v>0.11273884837365375</v>
      </c>
      <c r="J35" s="1081">
        <f t="shared" si="6"/>
        <v>0.1162400196389861</v>
      </c>
      <c r="K35" s="1081" t="e">
        <f>IF(K3&lt;&gt;"",SUM(K6:K8)/K3,"")</f>
        <v>#DIV/0!</v>
      </c>
      <c r="L35" s="1081" t="e">
        <f>IF(L3&lt;&gt;"",SUM(L6:L8)/L3,"")</f>
        <v>#DIV/0!</v>
      </c>
      <c r="M35" s="1081" t="e">
        <f t="shared" si="6"/>
        <v>#DIV/0!</v>
      </c>
      <c r="N35" s="1081" t="e">
        <f t="shared" si="6"/>
        <v>#DIV/0!</v>
      </c>
      <c r="O35"/>
      <c r="P35" s="832"/>
      <c r="Q35" s="561"/>
      <c r="R35" s="561"/>
      <c r="S35" s="561"/>
      <c r="T35" s="561"/>
      <c r="U35" s="561"/>
      <c r="V35" s="561"/>
      <c r="W35" s="561"/>
      <c r="X35" s="561"/>
      <c r="Y35" s="561"/>
      <c r="Z35" s="561"/>
      <c r="AA35" s="561"/>
      <c r="AB35" s="561"/>
      <c r="AC35" s="561"/>
      <c r="AD35" s="561"/>
      <c r="AE35" s="561"/>
      <c r="AF35" s="561"/>
      <c r="AG35" s="561"/>
      <c r="AH35" s="567"/>
      <c r="AI35" s="567"/>
      <c r="AJ35" s="567"/>
      <c r="AK35" s="567"/>
      <c r="AL35" s="567"/>
      <c r="AM35" s="567"/>
      <c r="AN35" s="567"/>
      <c r="AO35" s="567"/>
      <c r="AP35" s="567"/>
      <c r="AQ35" s="567"/>
      <c r="AR35" s="567"/>
      <c r="AS35" s="567"/>
      <c r="AT35" s="567"/>
      <c r="AU35" s="567"/>
      <c r="AV35" s="567"/>
      <c r="AW35" s="567"/>
      <c r="AX35" s="567"/>
      <c r="AY35" s="567"/>
      <c r="AZ35" s="567"/>
      <c r="BA35" s="567"/>
      <c r="BB35" s="567"/>
      <c r="BC35" s="567"/>
      <c r="BD35" s="568"/>
      <c r="BE35" s="568"/>
      <c r="BF35" s="568"/>
      <c r="BG35" s="568"/>
      <c r="BH35" s="568"/>
      <c r="BI35" s="568"/>
      <c r="BJ35" s="568"/>
      <c r="BK35" s="568"/>
      <c r="BL35" s="568"/>
      <c r="BM35" s="568"/>
      <c r="BN35" s="568"/>
      <c r="BO35" s="568"/>
      <c r="BP35" s="568"/>
      <c r="BQ35" s="568"/>
      <c r="BR35" s="568"/>
      <c r="BS35" s="568"/>
      <c r="BT35" s="568"/>
      <c r="BU35" s="568"/>
      <c r="BV35" s="568"/>
      <c r="BW35" s="568"/>
      <c r="BX35" s="568"/>
      <c r="BY35" s="568"/>
      <c r="BZ35" s="568"/>
      <c r="CA35" s="568"/>
      <c r="CB35" s="568"/>
      <c r="CC35" s="568"/>
      <c r="CD35" s="568"/>
      <c r="CE35" s="568"/>
      <c r="CF35" s="568"/>
      <c r="CG35" s="568"/>
      <c r="CH35" s="568"/>
      <c r="CI35" s="568"/>
      <c r="CJ35" s="568"/>
      <c r="CK35" s="568"/>
      <c r="CL35" s="568"/>
      <c r="CM35" s="568"/>
      <c r="CN35" s="568"/>
      <c r="CO35" s="568"/>
      <c r="CP35" s="568"/>
      <c r="CQ35" s="568"/>
      <c r="CR35" s="568"/>
      <c r="CS35" s="568"/>
      <c r="CT35" s="568"/>
      <c r="CU35" s="568"/>
      <c r="CV35" s="568"/>
      <c r="CW35" s="568"/>
      <c r="CX35" s="568"/>
      <c r="CY35" s="568"/>
      <c r="CZ35" s="568"/>
      <c r="DA35" s="568"/>
      <c r="DB35" s="568"/>
      <c r="DC35" s="568"/>
      <c r="DD35" s="568"/>
      <c r="DE35" s="568"/>
      <c r="DF35" s="568"/>
      <c r="DG35" s="568"/>
      <c r="DH35" s="568"/>
      <c r="DI35" s="568"/>
      <c r="DJ35" s="568"/>
      <c r="DK35" s="568"/>
      <c r="DL35" s="568"/>
      <c r="DM35" s="568"/>
      <c r="DN35" s="568"/>
      <c r="DO35" s="568"/>
      <c r="DP35" s="568"/>
      <c r="DQ35" s="568"/>
      <c r="DR35" s="568"/>
      <c r="DS35" s="568"/>
      <c r="DT35" s="568"/>
      <c r="DU35" s="568"/>
      <c r="DV35" s="568"/>
      <c r="DW35" s="568"/>
      <c r="DX35" s="568"/>
      <c r="DY35" s="568"/>
      <c r="DZ35" s="568"/>
      <c r="EA35" s="568"/>
      <c r="EB35" s="568"/>
      <c r="EC35" s="568"/>
      <c r="ED35" s="568"/>
      <c r="EE35" s="568"/>
      <c r="EF35" s="568"/>
      <c r="EG35" s="568"/>
      <c r="EH35" s="568"/>
      <c r="EI35" s="568"/>
      <c r="EJ35" s="568"/>
      <c r="EK35" s="568"/>
      <c r="EL35" s="568"/>
      <c r="EM35" s="568"/>
      <c r="EN35" s="568"/>
      <c r="EO35" s="568"/>
      <c r="EP35" s="568"/>
      <c r="EQ35" s="568"/>
      <c r="ER35" s="568"/>
      <c r="ES35" s="568"/>
      <c r="ET35" s="568"/>
      <c r="EU35" s="568"/>
      <c r="EV35" s="568"/>
      <c r="EW35" s="568"/>
      <c r="EX35" s="568"/>
      <c r="EY35" s="568"/>
      <c r="EZ35" s="568"/>
      <c r="FA35" s="568"/>
      <c r="FB35" s="568"/>
      <c r="FC35" s="568"/>
      <c r="FD35" s="568"/>
      <c r="FE35" s="568"/>
      <c r="FF35" s="568"/>
      <c r="FG35" s="568"/>
      <c r="FH35" s="568"/>
      <c r="FI35" s="568"/>
      <c r="FJ35" s="568"/>
      <c r="FK35" s="568"/>
      <c r="FL35" s="568"/>
      <c r="FM35" s="568"/>
      <c r="FN35" s="568"/>
      <c r="FO35" s="568"/>
      <c r="FP35" s="568"/>
      <c r="FQ35" s="568"/>
      <c r="FR35" s="568"/>
      <c r="FS35" s="568"/>
      <c r="FT35" s="568"/>
      <c r="FU35" s="568"/>
      <c r="FV35" s="568"/>
      <c r="FW35" s="568"/>
      <c r="FX35" s="568"/>
      <c r="FY35" s="568"/>
      <c r="FZ35" s="568"/>
      <c r="GA35" s="568"/>
      <c r="GB35" s="568"/>
      <c r="GC35" s="568"/>
      <c r="GD35" s="568"/>
      <c r="GE35" s="568"/>
      <c r="GF35" s="568"/>
      <c r="GG35" s="568"/>
      <c r="GH35" s="568"/>
      <c r="GI35" s="568"/>
      <c r="GJ35" s="568"/>
      <c r="GK35" s="568"/>
      <c r="GL35" s="568"/>
      <c r="GM35" s="568"/>
      <c r="GN35" s="568"/>
      <c r="GO35" s="568"/>
      <c r="GP35" s="568"/>
      <c r="GQ35" s="568"/>
      <c r="GR35" s="568"/>
      <c r="GS35" s="568"/>
      <c r="GT35" s="568"/>
      <c r="GU35" s="568"/>
      <c r="GV35" s="568"/>
      <c r="GW35" s="568"/>
      <c r="GX35" s="568"/>
      <c r="GY35" s="568"/>
      <c r="GZ35" s="568"/>
      <c r="HA35" s="568"/>
      <c r="HB35" s="568"/>
      <c r="HC35" s="568"/>
      <c r="HD35" s="568"/>
      <c r="HE35" s="568"/>
      <c r="HF35" s="568"/>
      <c r="HG35" s="568"/>
      <c r="HH35" s="568"/>
      <c r="HI35" s="568"/>
      <c r="HJ35" s="568"/>
      <c r="HK35" s="568"/>
      <c r="HL35" s="568"/>
      <c r="HM35" s="568"/>
      <c r="HN35" s="568"/>
      <c r="HO35" s="568"/>
      <c r="HP35" s="568"/>
      <c r="HQ35" s="568"/>
      <c r="HR35" s="568"/>
      <c r="HS35" s="568"/>
      <c r="HT35" s="568"/>
      <c r="HU35" s="568"/>
      <c r="HV35" s="568"/>
      <c r="HW35" s="568"/>
      <c r="HX35" s="568"/>
      <c r="HY35" s="568"/>
      <c r="HZ35" s="568"/>
      <c r="IA35" s="568"/>
      <c r="IB35" s="568"/>
      <c r="IC35" s="568"/>
      <c r="ID35" s="568"/>
      <c r="IE35" s="568"/>
      <c r="IF35" s="568"/>
      <c r="IG35" s="568"/>
      <c r="IH35" s="568"/>
      <c r="II35" s="568"/>
      <c r="IJ35" s="568"/>
      <c r="IK35" s="568"/>
      <c r="IL35" s="568"/>
      <c r="IM35" s="568"/>
      <c r="IN35" s="568"/>
      <c r="IO35" s="568"/>
      <c r="IP35" s="568"/>
      <c r="IQ35" s="568"/>
      <c r="IR35" s="568"/>
      <c r="IS35" s="568"/>
      <c r="IT35" s="568"/>
      <c r="IU35" s="568"/>
    </row>
    <row r="36" spans="1:255">
      <c r="A36" s="1077" t="s">
        <v>2462</v>
      </c>
      <c r="B36" s="561"/>
      <c r="C36" s="1081"/>
      <c r="D36" s="1081"/>
      <c r="E36" s="1081"/>
      <c r="F36" s="1081"/>
      <c r="G36" s="1081">
        <f t="shared" ref="G36:N36" si="7">IF(C15&lt;&gt;0,G15/C15-1,"")</f>
        <v>-0.76381519801908282</v>
      </c>
      <c r="H36" s="1081">
        <f t="shared" si="7"/>
        <v>-0.42598422421585402</v>
      </c>
      <c r="I36" s="1081">
        <f t="shared" si="7"/>
        <v>-0.75843473247436477</v>
      </c>
      <c r="J36" s="1081">
        <f t="shared" si="7"/>
        <v>-0.80731639039342817</v>
      </c>
      <c r="K36" s="1081">
        <f t="shared" si="7"/>
        <v>-1</v>
      </c>
      <c r="L36" s="1081">
        <f t="shared" si="7"/>
        <v>-1</v>
      </c>
      <c r="M36" s="1081">
        <f t="shared" si="7"/>
        <v>-1</v>
      </c>
      <c r="N36" s="1081">
        <f t="shared" si="7"/>
        <v>-1</v>
      </c>
      <c r="O36"/>
      <c r="P36" s="832"/>
      <c r="Q36" s="561"/>
      <c r="R36" s="561"/>
      <c r="S36" s="561"/>
      <c r="T36" s="561"/>
      <c r="U36" s="561"/>
      <c r="V36" s="561"/>
      <c r="W36" s="561"/>
      <c r="X36" s="561"/>
      <c r="Y36" s="561"/>
      <c r="Z36" s="561"/>
      <c r="AA36" s="561"/>
      <c r="AB36" s="561"/>
      <c r="AC36" s="561"/>
      <c r="AD36" s="561"/>
      <c r="AE36" s="561"/>
      <c r="AF36" s="561"/>
      <c r="AG36" s="561"/>
      <c r="AH36" s="567"/>
      <c r="AI36" s="567"/>
      <c r="AJ36" s="567"/>
      <c r="AK36" s="567"/>
      <c r="AL36" s="567"/>
      <c r="AM36" s="567"/>
      <c r="AN36" s="567"/>
      <c r="AO36" s="567"/>
      <c r="AP36" s="567"/>
      <c r="AQ36" s="567"/>
      <c r="AR36" s="567"/>
      <c r="AS36" s="567"/>
      <c r="AT36" s="567"/>
      <c r="AU36" s="567"/>
      <c r="AV36" s="567"/>
      <c r="AW36" s="567"/>
      <c r="AX36" s="567"/>
      <c r="AY36" s="567"/>
      <c r="AZ36" s="567"/>
      <c r="BA36" s="567"/>
      <c r="BB36" s="567"/>
      <c r="BC36" s="567"/>
      <c r="BD36" s="568"/>
      <c r="BE36" s="568"/>
      <c r="BF36" s="568"/>
      <c r="BG36" s="568"/>
      <c r="BH36" s="568"/>
      <c r="BI36" s="568"/>
      <c r="BJ36" s="568"/>
      <c r="BK36" s="568"/>
      <c r="BL36" s="568"/>
      <c r="BM36" s="568"/>
      <c r="BN36" s="568"/>
      <c r="BO36" s="568"/>
      <c r="BP36" s="568"/>
      <c r="BQ36" s="568"/>
      <c r="BR36" s="568"/>
      <c r="BS36" s="568"/>
      <c r="BT36" s="568"/>
      <c r="BU36" s="568"/>
      <c r="BV36" s="568"/>
      <c r="BW36" s="568"/>
      <c r="BX36" s="568"/>
      <c r="BY36" s="568"/>
      <c r="BZ36" s="568"/>
      <c r="CA36" s="568"/>
      <c r="CB36" s="568"/>
      <c r="CC36" s="568"/>
      <c r="CD36" s="568"/>
      <c r="CE36" s="568"/>
      <c r="CF36" s="568"/>
      <c r="CG36" s="568"/>
      <c r="CH36" s="568"/>
      <c r="CI36" s="568"/>
      <c r="CJ36" s="568"/>
      <c r="CK36" s="568"/>
      <c r="CL36" s="568"/>
      <c r="CM36" s="568"/>
      <c r="CN36" s="568"/>
      <c r="CO36" s="568"/>
      <c r="CP36" s="568"/>
      <c r="CQ36" s="568"/>
      <c r="CR36" s="568"/>
      <c r="CS36" s="568"/>
      <c r="CT36" s="568"/>
      <c r="CU36" s="568"/>
      <c r="CV36" s="568"/>
      <c r="CW36" s="568"/>
      <c r="CX36" s="568"/>
      <c r="CY36" s="568"/>
      <c r="CZ36" s="568"/>
      <c r="DA36" s="568"/>
      <c r="DB36" s="568"/>
      <c r="DC36" s="568"/>
      <c r="DD36" s="568"/>
      <c r="DE36" s="568"/>
      <c r="DF36" s="568"/>
      <c r="DG36" s="568"/>
      <c r="DH36" s="568"/>
      <c r="DI36" s="568"/>
      <c r="DJ36" s="568"/>
      <c r="DK36" s="568"/>
      <c r="DL36" s="568"/>
      <c r="DM36" s="568"/>
      <c r="DN36" s="568"/>
      <c r="DO36" s="568"/>
      <c r="DP36" s="568"/>
      <c r="DQ36" s="568"/>
      <c r="DR36" s="568"/>
      <c r="DS36" s="568"/>
      <c r="DT36" s="568"/>
      <c r="DU36" s="568"/>
      <c r="DV36" s="568"/>
      <c r="DW36" s="568"/>
      <c r="DX36" s="568"/>
      <c r="DY36" s="568"/>
      <c r="DZ36" s="568"/>
      <c r="EA36" s="568"/>
      <c r="EB36" s="568"/>
      <c r="EC36" s="568"/>
      <c r="ED36" s="568"/>
      <c r="EE36" s="568"/>
      <c r="EF36" s="568"/>
      <c r="EG36" s="568"/>
      <c r="EH36" s="568"/>
      <c r="EI36" s="568"/>
      <c r="EJ36" s="568"/>
      <c r="EK36" s="568"/>
      <c r="EL36" s="568"/>
      <c r="EM36" s="568"/>
      <c r="EN36" s="568"/>
      <c r="EO36" s="568"/>
      <c r="EP36" s="568"/>
      <c r="EQ36" s="568"/>
      <c r="ER36" s="568"/>
      <c r="ES36" s="568"/>
      <c r="ET36" s="568"/>
      <c r="EU36" s="568"/>
      <c r="EV36" s="568"/>
      <c r="EW36" s="568"/>
      <c r="EX36" s="568"/>
      <c r="EY36" s="568"/>
      <c r="EZ36" s="568"/>
      <c r="FA36" s="568"/>
      <c r="FB36" s="568"/>
      <c r="FC36" s="568"/>
      <c r="FD36" s="568"/>
      <c r="FE36" s="568"/>
      <c r="FF36" s="568"/>
      <c r="FG36" s="568"/>
      <c r="FH36" s="568"/>
      <c r="FI36" s="568"/>
      <c r="FJ36" s="568"/>
      <c r="FK36" s="568"/>
      <c r="FL36" s="568"/>
      <c r="FM36" s="568"/>
      <c r="FN36" s="568"/>
      <c r="FO36" s="568"/>
      <c r="FP36" s="568"/>
      <c r="FQ36" s="568"/>
      <c r="FR36" s="568"/>
      <c r="FS36" s="568"/>
      <c r="FT36" s="568"/>
      <c r="FU36" s="568"/>
      <c r="FV36" s="568"/>
      <c r="FW36" s="568"/>
      <c r="FX36" s="568"/>
      <c r="FY36" s="568"/>
      <c r="FZ36" s="568"/>
      <c r="GA36" s="568"/>
      <c r="GB36" s="568"/>
      <c r="GC36" s="568"/>
      <c r="GD36" s="568"/>
      <c r="GE36" s="568"/>
      <c r="GF36" s="568"/>
      <c r="GG36" s="568"/>
      <c r="GH36" s="568"/>
      <c r="GI36" s="568"/>
      <c r="GJ36" s="568"/>
      <c r="GK36" s="568"/>
      <c r="GL36" s="568"/>
      <c r="GM36" s="568"/>
      <c r="GN36" s="568"/>
      <c r="GO36" s="568"/>
      <c r="GP36" s="568"/>
      <c r="GQ36" s="568"/>
      <c r="GR36" s="568"/>
      <c r="GS36" s="568"/>
      <c r="GT36" s="568"/>
      <c r="GU36" s="568"/>
      <c r="GV36" s="568"/>
      <c r="GW36" s="568"/>
      <c r="GX36" s="568"/>
      <c r="GY36" s="568"/>
      <c r="GZ36" s="568"/>
      <c r="HA36" s="568"/>
      <c r="HB36" s="568"/>
      <c r="HC36" s="568"/>
      <c r="HD36" s="568"/>
      <c r="HE36" s="568"/>
      <c r="HF36" s="568"/>
      <c r="HG36" s="568"/>
      <c r="HH36" s="568"/>
      <c r="HI36" s="568"/>
      <c r="HJ36" s="568"/>
      <c r="HK36" s="568"/>
      <c r="HL36" s="568"/>
      <c r="HM36" s="568"/>
      <c r="HN36" s="568"/>
      <c r="HO36" s="568"/>
      <c r="HP36" s="568"/>
      <c r="HQ36" s="568"/>
      <c r="HR36" s="568"/>
      <c r="HS36" s="568"/>
      <c r="HT36" s="568"/>
      <c r="HU36" s="568"/>
      <c r="HV36" s="568"/>
      <c r="HW36" s="568"/>
      <c r="HX36" s="568"/>
      <c r="HY36" s="568"/>
      <c r="HZ36" s="568"/>
      <c r="IA36" s="568"/>
      <c r="IB36" s="568"/>
      <c r="IC36" s="568"/>
      <c r="ID36" s="568"/>
      <c r="IE36" s="568"/>
      <c r="IF36" s="568"/>
      <c r="IG36" s="568"/>
      <c r="IH36" s="568"/>
      <c r="II36" s="568"/>
      <c r="IJ36" s="568"/>
      <c r="IK36" s="568"/>
      <c r="IL36" s="568"/>
      <c r="IM36" s="568"/>
      <c r="IN36" s="568"/>
      <c r="IO36" s="568"/>
      <c r="IP36" s="568"/>
      <c r="IQ36" s="568"/>
      <c r="IR36" s="568"/>
      <c r="IS36" s="568"/>
      <c r="IT36" s="568"/>
      <c r="IU36" s="568"/>
    </row>
    <row r="37" spans="1:255">
      <c r="A37" s="1077" t="s">
        <v>2463</v>
      </c>
      <c r="B37" s="561"/>
      <c r="C37" s="1081" t="str">
        <f>IF(AND(A15&lt;&gt;0,B15&lt;&gt;0,C15&lt;&gt;0),(C15-B15)/(B15-A15)-1,"")</f>
        <v/>
      </c>
      <c r="D37" s="1081" t="str">
        <f>IF(AND(B15&lt;&gt;0,C15&lt;&gt;0,D15&lt;&gt;0),D15/(C15-B15)-1,"")</f>
        <v/>
      </c>
      <c r="E37" s="1081">
        <f>IF(AND(D15&lt;&gt;0,E15&lt;&gt;0),(E15-D15)/D15-1,"")</f>
        <v>0.45441236198894241</v>
      </c>
      <c r="F37" s="1081">
        <f>IF(AND(D15&lt;&gt;0,E15&lt;&gt;0,F15&lt;&gt;0),(F15-E15)/(E15-D15)-1,"")</f>
        <v>-0.85184462635198144</v>
      </c>
      <c r="G37" s="1081">
        <f>IF(AND(E15&lt;&gt;0,F15&lt;&gt;0,G15&lt;&gt;0),(G15-F15)/(F15-E15)-1,"")</f>
        <v>-5.774256763731521</v>
      </c>
      <c r="H37" s="1081">
        <f>IF(AND(F15&lt;&gt;0,G15&lt;&gt;0,H15&lt;&gt;0),H15/(G15-F15)-1,"")</f>
        <v>-1.5579728802348369</v>
      </c>
      <c r="I37" s="1081">
        <f>IF(AND(H15&lt;&gt;0,I15&lt;&gt;0),(I15-H15)/H15-1,"")</f>
        <v>-0.96710020202469005</v>
      </c>
      <c r="J37" s="1081">
        <f>IF(AND(H15&lt;&gt;0,I15&lt;&gt;0,J15&lt;&gt;0),(J15-I15)/(I15-H15)-1,"")</f>
        <v>-5.154432614116331</v>
      </c>
      <c r="K37" s="1081" t="str">
        <f>IF(AND(I15&lt;&gt;0,J15&lt;&gt;0,K15&lt;&gt;0),(K15-J15)/(J15-I15)-1,"")</f>
        <v/>
      </c>
      <c r="L37" s="1081" t="str">
        <f>IF(AND(J15&lt;&gt;0,K15&lt;&gt;0,L15&lt;&gt;0),L15/(K15-J15)-1,"")</f>
        <v/>
      </c>
      <c r="M37" s="1081" t="str">
        <f>IF(AND(L15&lt;&gt;0,M15&lt;&gt;0),(M15-L15)/L15-1,"")</f>
        <v/>
      </c>
      <c r="N37" s="1081" t="str">
        <f>IF(AND(L15&lt;&gt;0,M15&lt;&gt;0,N15&lt;&gt;0),(N15-M15)/(M15-L15)-1,"")</f>
        <v/>
      </c>
      <c r="O37"/>
      <c r="P37" s="832"/>
      <c r="Q37" s="561"/>
      <c r="R37" s="561"/>
      <c r="S37" s="561"/>
      <c r="T37" s="561"/>
      <c r="U37" s="561"/>
      <c r="V37" s="561"/>
      <c r="W37" s="561"/>
      <c r="X37" s="561"/>
      <c r="Y37" s="561"/>
      <c r="Z37" s="561"/>
      <c r="AA37" s="561"/>
      <c r="AB37" s="561"/>
      <c r="AC37" s="561"/>
      <c r="AD37" s="561"/>
      <c r="AE37" s="561"/>
      <c r="AF37" s="561"/>
      <c r="AG37" s="561"/>
      <c r="AH37" s="567"/>
      <c r="AI37" s="567"/>
      <c r="AJ37" s="567"/>
      <c r="AK37" s="567"/>
      <c r="AL37" s="567"/>
      <c r="AM37" s="567"/>
      <c r="AN37" s="567"/>
      <c r="AO37" s="567"/>
      <c r="AP37" s="567"/>
      <c r="AQ37" s="567"/>
      <c r="AR37" s="567"/>
      <c r="AS37" s="567"/>
      <c r="AT37" s="567"/>
      <c r="AU37" s="567"/>
      <c r="AV37" s="567"/>
      <c r="AW37" s="567"/>
      <c r="AX37" s="567"/>
      <c r="AY37" s="567"/>
      <c r="AZ37" s="567"/>
      <c r="BA37" s="567"/>
      <c r="BB37" s="567"/>
      <c r="BC37" s="567"/>
      <c r="BD37" s="568"/>
      <c r="BE37" s="568"/>
      <c r="BF37" s="568"/>
      <c r="BG37" s="568"/>
      <c r="BH37" s="568"/>
      <c r="BI37" s="568"/>
      <c r="BJ37" s="568"/>
      <c r="BK37" s="568"/>
      <c r="BL37" s="568"/>
      <c r="BM37" s="568"/>
      <c r="BN37" s="568"/>
      <c r="BO37" s="568"/>
      <c r="BP37" s="568"/>
      <c r="BQ37" s="568"/>
      <c r="BR37" s="568"/>
      <c r="BS37" s="568"/>
      <c r="BT37" s="568"/>
      <c r="BU37" s="568"/>
      <c r="BV37" s="568"/>
      <c r="BW37" s="568"/>
      <c r="BX37" s="568"/>
      <c r="BY37" s="568"/>
      <c r="BZ37" s="568"/>
      <c r="CA37" s="568"/>
      <c r="CB37" s="568"/>
      <c r="CC37" s="568"/>
      <c r="CD37" s="568"/>
      <c r="CE37" s="568"/>
      <c r="CF37" s="568"/>
      <c r="CG37" s="568"/>
      <c r="CH37" s="568"/>
      <c r="CI37" s="568"/>
      <c r="CJ37" s="568"/>
      <c r="CK37" s="568"/>
      <c r="CL37" s="568"/>
      <c r="CM37" s="568"/>
      <c r="CN37" s="568"/>
      <c r="CO37" s="568"/>
      <c r="CP37" s="568"/>
      <c r="CQ37" s="568"/>
      <c r="CR37" s="568"/>
      <c r="CS37" s="568"/>
      <c r="CT37" s="568"/>
      <c r="CU37" s="568"/>
      <c r="CV37" s="568"/>
      <c r="CW37" s="568"/>
      <c r="CX37" s="568"/>
      <c r="CY37" s="568"/>
      <c r="CZ37" s="568"/>
      <c r="DA37" s="568"/>
      <c r="DB37" s="568"/>
      <c r="DC37" s="568"/>
      <c r="DD37" s="568"/>
      <c r="DE37" s="568"/>
      <c r="DF37" s="568"/>
      <c r="DG37" s="568"/>
      <c r="DH37" s="568"/>
      <c r="DI37" s="568"/>
      <c r="DJ37" s="568"/>
      <c r="DK37" s="568"/>
      <c r="DL37" s="568"/>
      <c r="DM37" s="568"/>
      <c r="DN37" s="568"/>
      <c r="DO37" s="568"/>
      <c r="DP37" s="568"/>
      <c r="DQ37" s="568"/>
      <c r="DR37" s="568"/>
      <c r="DS37" s="568"/>
      <c r="DT37" s="568"/>
      <c r="DU37" s="568"/>
      <c r="DV37" s="568"/>
      <c r="DW37" s="568"/>
      <c r="DX37" s="568"/>
      <c r="DY37" s="568"/>
      <c r="DZ37" s="568"/>
      <c r="EA37" s="568"/>
      <c r="EB37" s="568"/>
      <c r="EC37" s="568"/>
      <c r="ED37" s="568"/>
      <c r="EE37" s="568"/>
      <c r="EF37" s="568"/>
      <c r="EG37" s="568"/>
      <c r="EH37" s="568"/>
      <c r="EI37" s="568"/>
      <c r="EJ37" s="568"/>
      <c r="EK37" s="568"/>
      <c r="EL37" s="568"/>
      <c r="EM37" s="568"/>
      <c r="EN37" s="568"/>
      <c r="EO37" s="568"/>
      <c r="EP37" s="568"/>
      <c r="EQ37" s="568"/>
      <c r="ER37" s="568"/>
      <c r="ES37" s="568"/>
      <c r="ET37" s="568"/>
      <c r="EU37" s="568"/>
      <c r="EV37" s="568"/>
      <c r="EW37" s="568"/>
      <c r="EX37" s="568"/>
      <c r="EY37" s="568"/>
      <c r="EZ37" s="568"/>
      <c r="FA37" s="568"/>
      <c r="FB37" s="568"/>
      <c r="FC37" s="568"/>
      <c r="FD37" s="568"/>
      <c r="FE37" s="568"/>
      <c r="FF37" s="568"/>
      <c r="FG37" s="568"/>
      <c r="FH37" s="568"/>
      <c r="FI37" s="568"/>
      <c r="FJ37" s="568"/>
      <c r="FK37" s="568"/>
      <c r="FL37" s="568"/>
      <c r="FM37" s="568"/>
      <c r="FN37" s="568"/>
      <c r="FO37" s="568"/>
      <c r="FP37" s="568"/>
      <c r="FQ37" s="568"/>
      <c r="FR37" s="568"/>
      <c r="FS37" s="568"/>
      <c r="FT37" s="568"/>
      <c r="FU37" s="568"/>
      <c r="FV37" s="568"/>
      <c r="FW37" s="568"/>
      <c r="FX37" s="568"/>
      <c r="FY37" s="568"/>
      <c r="FZ37" s="568"/>
      <c r="GA37" s="568"/>
      <c r="GB37" s="568"/>
      <c r="GC37" s="568"/>
      <c r="GD37" s="568"/>
      <c r="GE37" s="568"/>
      <c r="GF37" s="568"/>
      <c r="GG37" s="568"/>
      <c r="GH37" s="568"/>
      <c r="GI37" s="568"/>
      <c r="GJ37" s="568"/>
      <c r="GK37" s="568"/>
      <c r="GL37" s="568"/>
      <c r="GM37" s="568"/>
      <c r="GN37" s="568"/>
      <c r="GO37" s="568"/>
      <c r="GP37" s="568"/>
      <c r="GQ37" s="568"/>
      <c r="GR37" s="568"/>
      <c r="GS37" s="568"/>
      <c r="GT37" s="568"/>
      <c r="GU37" s="568"/>
      <c r="GV37" s="568"/>
      <c r="GW37" s="568"/>
      <c r="GX37" s="568"/>
      <c r="GY37" s="568"/>
      <c r="GZ37" s="568"/>
      <c r="HA37" s="568"/>
      <c r="HB37" s="568"/>
      <c r="HC37" s="568"/>
      <c r="HD37" s="568"/>
      <c r="HE37" s="568"/>
      <c r="HF37" s="568"/>
      <c r="HG37" s="568"/>
      <c r="HH37" s="568"/>
      <c r="HI37" s="568"/>
      <c r="HJ37" s="568"/>
      <c r="HK37" s="568"/>
      <c r="HL37" s="568"/>
      <c r="HM37" s="568"/>
      <c r="HN37" s="568"/>
      <c r="HO37" s="568"/>
      <c r="HP37" s="568"/>
      <c r="HQ37" s="568"/>
      <c r="HR37" s="568"/>
      <c r="HS37" s="568"/>
      <c r="HT37" s="568"/>
      <c r="HU37" s="568"/>
      <c r="HV37" s="568"/>
      <c r="HW37" s="568"/>
      <c r="HX37" s="568"/>
      <c r="HY37" s="568"/>
      <c r="HZ37" s="568"/>
      <c r="IA37" s="568"/>
      <c r="IB37" s="568"/>
      <c r="IC37" s="568"/>
      <c r="ID37" s="568"/>
      <c r="IE37" s="568"/>
      <c r="IF37" s="568"/>
      <c r="IG37" s="568"/>
      <c r="IH37" s="568"/>
      <c r="II37" s="568"/>
      <c r="IJ37" s="568"/>
      <c r="IK37" s="568"/>
      <c r="IL37" s="568"/>
      <c r="IM37" s="568"/>
      <c r="IN37" s="568"/>
      <c r="IO37" s="568"/>
      <c r="IP37" s="568"/>
      <c r="IQ37" s="568"/>
      <c r="IR37" s="568"/>
      <c r="IS37" s="568"/>
      <c r="IT37" s="568"/>
      <c r="IU37" s="568"/>
    </row>
    <row r="38" spans="1:255">
      <c r="A38" s="1077" t="s">
        <v>2464</v>
      </c>
      <c r="B38" s="561"/>
      <c r="C38" s="1081">
        <f t="shared" ref="C38:N38" si="8">IF(C3&lt;&gt;"",C15/C3,"")</f>
        <v>0.10432452773075657</v>
      </c>
      <c r="D38" s="1081">
        <f t="shared" si="8"/>
        <v>6.725850257065713E-2</v>
      </c>
      <c r="E38" s="1081">
        <f t="shared" si="8"/>
        <v>6.9157373630376759E-2</v>
      </c>
      <c r="F38" s="1081">
        <f t="shared" si="8"/>
        <v>5.2294209080575173E-2</v>
      </c>
      <c r="G38" s="1081">
        <f t="shared" si="8"/>
        <v>2.4993943441718194E-2</v>
      </c>
      <c r="H38" s="1081">
        <f t="shared" si="8"/>
        <v>3.5882471745437086E-2</v>
      </c>
      <c r="I38" s="1081">
        <f t="shared" si="8"/>
        <v>1.595105032044726E-2</v>
      </c>
      <c r="J38" s="1081">
        <f t="shared" si="8"/>
        <v>9.6173532309852226E-3</v>
      </c>
      <c r="K38" s="1081" t="e">
        <f t="shared" si="8"/>
        <v>#DIV/0!</v>
      </c>
      <c r="L38" s="1081" t="e">
        <f t="shared" si="8"/>
        <v>#DIV/0!</v>
      </c>
      <c r="M38" s="1081" t="e">
        <f t="shared" si="8"/>
        <v>#DIV/0!</v>
      </c>
      <c r="N38" s="1081" t="e">
        <f t="shared" si="8"/>
        <v>#DIV/0!</v>
      </c>
      <c r="O38"/>
      <c r="P38" s="832"/>
      <c r="Q38" s="561"/>
      <c r="R38" s="561"/>
      <c r="S38" s="561"/>
      <c r="T38" s="561"/>
      <c r="U38" s="561"/>
      <c r="V38" s="561"/>
      <c r="W38" s="561"/>
      <c r="X38" s="561"/>
      <c r="Y38" s="561"/>
      <c r="Z38" s="561"/>
      <c r="AA38" s="561"/>
      <c r="AB38" s="561"/>
      <c r="AC38" s="561"/>
      <c r="AD38" s="561"/>
      <c r="AE38" s="561"/>
      <c r="AF38" s="561"/>
      <c r="AG38" s="561"/>
      <c r="AH38" s="567"/>
      <c r="AI38" s="567"/>
      <c r="AJ38" s="567"/>
      <c r="AK38" s="567"/>
      <c r="AL38" s="567"/>
      <c r="AM38" s="567"/>
      <c r="AN38" s="567"/>
      <c r="AO38" s="567"/>
      <c r="AP38" s="567"/>
      <c r="AQ38" s="567"/>
      <c r="AR38" s="567"/>
      <c r="AS38" s="567"/>
      <c r="AT38" s="567"/>
      <c r="AU38" s="567"/>
      <c r="AV38" s="567"/>
      <c r="AW38" s="567"/>
      <c r="AX38" s="567"/>
      <c r="AY38" s="567"/>
      <c r="AZ38" s="567"/>
      <c r="BA38" s="567"/>
      <c r="BB38" s="567"/>
      <c r="BC38" s="567"/>
      <c r="BD38" s="568"/>
      <c r="BE38" s="568"/>
      <c r="BF38" s="568"/>
      <c r="BG38" s="568"/>
      <c r="BH38" s="568"/>
      <c r="BI38" s="568"/>
      <c r="BJ38" s="568"/>
      <c r="BK38" s="568"/>
      <c r="BL38" s="568"/>
      <c r="BM38" s="568"/>
      <c r="BN38" s="568"/>
      <c r="BO38" s="568"/>
      <c r="BP38" s="568"/>
      <c r="BQ38" s="568"/>
      <c r="BR38" s="568"/>
      <c r="BS38" s="568"/>
      <c r="BT38" s="568"/>
      <c r="BU38" s="568"/>
      <c r="BV38" s="568"/>
      <c r="BW38" s="568"/>
      <c r="BX38" s="568"/>
      <c r="BY38" s="568"/>
      <c r="BZ38" s="568"/>
      <c r="CA38" s="568"/>
      <c r="CB38" s="568"/>
      <c r="CC38" s="568"/>
      <c r="CD38" s="568"/>
      <c r="CE38" s="568"/>
      <c r="CF38" s="568"/>
      <c r="CG38" s="568"/>
      <c r="CH38" s="568"/>
      <c r="CI38" s="568"/>
      <c r="CJ38" s="568"/>
      <c r="CK38" s="568"/>
      <c r="CL38" s="568"/>
      <c r="CM38" s="568"/>
      <c r="CN38" s="568"/>
      <c r="CO38" s="568"/>
      <c r="CP38" s="568"/>
      <c r="CQ38" s="568"/>
      <c r="CR38" s="568"/>
      <c r="CS38" s="568"/>
      <c r="CT38" s="568"/>
      <c r="CU38" s="568"/>
      <c r="CV38" s="568"/>
      <c r="CW38" s="568"/>
      <c r="CX38" s="568"/>
      <c r="CY38" s="568"/>
      <c r="CZ38" s="568"/>
      <c r="DA38" s="568"/>
      <c r="DB38" s="568"/>
      <c r="DC38" s="568"/>
      <c r="DD38" s="568"/>
      <c r="DE38" s="568"/>
      <c r="DF38" s="568"/>
      <c r="DG38" s="568"/>
      <c r="DH38" s="568"/>
      <c r="DI38" s="568"/>
      <c r="DJ38" s="568"/>
      <c r="DK38" s="568"/>
      <c r="DL38" s="568"/>
      <c r="DM38" s="568"/>
      <c r="DN38" s="568"/>
      <c r="DO38" s="568"/>
      <c r="DP38" s="568"/>
      <c r="DQ38" s="568"/>
      <c r="DR38" s="568"/>
      <c r="DS38" s="568"/>
      <c r="DT38" s="568"/>
      <c r="DU38" s="568"/>
      <c r="DV38" s="568"/>
      <c r="DW38" s="568"/>
      <c r="DX38" s="568"/>
      <c r="DY38" s="568"/>
      <c r="DZ38" s="568"/>
      <c r="EA38" s="568"/>
      <c r="EB38" s="568"/>
      <c r="EC38" s="568"/>
      <c r="ED38" s="568"/>
      <c r="EE38" s="568"/>
      <c r="EF38" s="568"/>
      <c r="EG38" s="568"/>
      <c r="EH38" s="568"/>
      <c r="EI38" s="568"/>
      <c r="EJ38" s="568"/>
      <c r="EK38" s="568"/>
      <c r="EL38" s="568"/>
      <c r="EM38" s="568"/>
      <c r="EN38" s="568"/>
      <c r="EO38" s="568"/>
      <c r="EP38" s="568"/>
      <c r="EQ38" s="568"/>
      <c r="ER38" s="568"/>
      <c r="ES38" s="568"/>
      <c r="ET38" s="568"/>
      <c r="EU38" s="568"/>
      <c r="EV38" s="568"/>
      <c r="EW38" s="568"/>
      <c r="EX38" s="568"/>
      <c r="EY38" s="568"/>
      <c r="EZ38" s="568"/>
      <c r="FA38" s="568"/>
      <c r="FB38" s="568"/>
      <c r="FC38" s="568"/>
      <c r="FD38" s="568"/>
      <c r="FE38" s="568"/>
      <c r="FF38" s="568"/>
      <c r="FG38" s="568"/>
      <c r="FH38" s="568"/>
      <c r="FI38" s="568"/>
      <c r="FJ38" s="568"/>
      <c r="FK38" s="568"/>
      <c r="FL38" s="568"/>
      <c r="FM38" s="568"/>
      <c r="FN38" s="568"/>
      <c r="FO38" s="568"/>
      <c r="FP38" s="568"/>
      <c r="FQ38" s="568"/>
      <c r="FR38" s="568"/>
      <c r="FS38" s="568"/>
      <c r="FT38" s="568"/>
      <c r="FU38" s="568"/>
      <c r="FV38" s="568"/>
      <c r="FW38" s="568"/>
      <c r="FX38" s="568"/>
      <c r="FY38" s="568"/>
      <c r="FZ38" s="568"/>
      <c r="GA38" s="568"/>
      <c r="GB38" s="568"/>
      <c r="GC38" s="568"/>
      <c r="GD38" s="568"/>
      <c r="GE38" s="568"/>
      <c r="GF38" s="568"/>
      <c r="GG38" s="568"/>
      <c r="GH38" s="568"/>
      <c r="GI38" s="568"/>
      <c r="GJ38" s="568"/>
      <c r="GK38" s="568"/>
      <c r="GL38" s="568"/>
      <c r="GM38" s="568"/>
      <c r="GN38" s="568"/>
      <c r="GO38" s="568"/>
      <c r="GP38" s="568"/>
      <c r="GQ38" s="568"/>
      <c r="GR38" s="568"/>
      <c r="GS38" s="568"/>
      <c r="GT38" s="568"/>
      <c r="GU38" s="568"/>
      <c r="GV38" s="568"/>
      <c r="GW38" s="568"/>
      <c r="GX38" s="568"/>
      <c r="GY38" s="568"/>
      <c r="GZ38" s="568"/>
      <c r="HA38" s="568"/>
      <c r="HB38" s="568"/>
      <c r="HC38" s="568"/>
      <c r="HD38" s="568"/>
      <c r="HE38" s="568"/>
      <c r="HF38" s="568"/>
      <c r="HG38" s="568"/>
      <c r="HH38" s="568"/>
      <c r="HI38" s="568"/>
      <c r="HJ38" s="568"/>
      <c r="HK38" s="568"/>
      <c r="HL38" s="568"/>
      <c r="HM38" s="568"/>
      <c r="HN38" s="568"/>
      <c r="HO38" s="568"/>
      <c r="HP38" s="568"/>
      <c r="HQ38" s="568"/>
      <c r="HR38" s="568"/>
      <c r="HS38" s="568"/>
      <c r="HT38" s="568"/>
      <c r="HU38" s="568"/>
      <c r="HV38" s="568"/>
      <c r="HW38" s="568"/>
      <c r="HX38" s="568"/>
      <c r="HY38" s="568"/>
      <c r="HZ38" s="568"/>
      <c r="IA38" s="568"/>
      <c r="IB38" s="568"/>
      <c r="IC38" s="568"/>
      <c r="ID38" s="568"/>
      <c r="IE38" s="568"/>
      <c r="IF38" s="568"/>
      <c r="IG38" s="568"/>
      <c r="IH38" s="568"/>
      <c r="II38" s="568"/>
      <c r="IJ38" s="568"/>
      <c r="IK38" s="568"/>
      <c r="IL38" s="568"/>
      <c r="IM38" s="568"/>
      <c r="IN38" s="568"/>
      <c r="IO38" s="568"/>
      <c r="IP38" s="568"/>
      <c r="IQ38" s="568"/>
      <c r="IR38" s="568"/>
      <c r="IS38" s="568"/>
      <c r="IT38" s="568"/>
      <c r="IU38" s="568"/>
    </row>
    <row r="39" spans="1:255">
      <c r="A39" s="1077" t="s">
        <v>2465</v>
      </c>
      <c r="B39" s="561"/>
      <c r="C39" s="1081"/>
      <c r="D39" s="1081"/>
      <c r="E39" s="1081"/>
      <c r="F39" s="1081"/>
      <c r="G39" s="1081">
        <f t="shared" ref="G39:N39" si="9">IF(C20&lt;&gt;0,G20/C20-1,"")</f>
        <v>-0.73548959845414108</v>
      </c>
      <c r="H39" s="1081">
        <f t="shared" si="9"/>
        <v>-0.41601389993819138</v>
      </c>
      <c r="I39" s="1081">
        <f t="shared" si="9"/>
        <v>-0.75379776257457642</v>
      </c>
      <c r="J39" s="1081">
        <f t="shared" si="9"/>
        <v>-0.70241832583423958</v>
      </c>
      <c r="K39" s="1081">
        <f t="shared" si="9"/>
        <v>-1</v>
      </c>
      <c r="L39" s="1081">
        <f t="shared" si="9"/>
        <v>-1</v>
      </c>
      <c r="M39" s="1081">
        <f t="shared" si="9"/>
        <v>-1</v>
      </c>
      <c r="N39" s="1081">
        <f t="shared" si="9"/>
        <v>-1</v>
      </c>
      <c r="O39"/>
      <c r="P39" s="832"/>
      <c r="Q39" s="561"/>
      <c r="R39" s="561"/>
      <c r="S39" s="561"/>
      <c r="T39" s="561"/>
      <c r="U39" s="561"/>
      <c r="V39" s="561"/>
      <c r="W39" s="561"/>
      <c r="X39" s="561"/>
      <c r="Y39" s="561"/>
      <c r="Z39" s="561"/>
      <c r="AA39" s="561"/>
      <c r="AB39" s="561"/>
      <c r="AC39" s="561"/>
      <c r="AD39" s="561"/>
      <c r="AE39" s="561"/>
      <c r="AF39" s="561"/>
      <c r="AG39" s="561"/>
      <c r="AH39" s="567"/>
      <c r="AI39" s="567"/>
      <c r="AJ39" s="567"/>
      <c r="AK39" s="567"/>
      <c r="AL39" s="567"/>
      <c r="AM39" s="567"/>
      <c r="AN39" s="567"/>
      <c r="AO39" s="567"/>
      <c r="AP39" s="567"/>
      <c r="AQ39" s="567"/>
      <c r="AR39" s="567"/>
      <c r="AS39" s="567"/>
      <c r="AT39" s="567"/>
      <c r="AU39" s="567"/>
      <c r="AV39" s="567"/>
      <c r="AW39" s="567"/>
      <c r="AX39" s="567"/>
      <c r="AY39" s="567"/>
      <c r="AZ39" s="567"/>
      <c r="BA39" s="567"/>
      <c r="BB39" s="567"/>
      <c r="BC39" s="567"/>
      <c r="BD39" s="568"/>
      <c r="BE39" s="568"/>
      <c r="BF39" s="568"/>
      <c r="BG39" s="568"/>
      <c r="BH39" s="568"/>
      <c r="BI39" s="568"/>
      <c r="BJ39" s="568"/>
      <c r="BK39" s="568"/>
      <c r="BL39" s="568"/>
      <c r="BM39" s="568"/>
      <c r="BN39" s="568"/>
      <c r="BO39" s="568"/>
      <c r="BP39" s="568"/>
      <c r="BQ39" s="568"/>
      <c r="BR39" s="568"/>
      <c r="BS39" s="568"/>
      <c r="BT39" s="568"/>
      <c r="BU39" s="568"/>
      <c r="BV39" s="568"/>
      <c r="BW39" s="568"/>
      <c r="BX39" s="568"/>
      <c r="BY39" s="568"/>
      <c r="BZ39" s="568"/>
      <c r="CA39" s="568"/>
      <c r="CB39" s="568"/>
      <c r="CC39" s="568"/>
      <c r="CD39" s="568"/>
      <c r="CE39" s="568"/>
      <c r="CF39" s="568"/>
      <c r="CG39" s="568"/>
      <c r="CH39" s="568"/>
      <c r="CI39" s="568"/>
      <c r="CJ39" s="568"/>
      <c r="CK39" s="568"/>
      <c r="CL39" s="568"/>
      <c r="CM39" s="568"/>
      <c r="CN39" s="568"/>
      <c r="CO39" s="568"/>
      <c r="CP39" s="568"/>
      <c r="CQ39" s="568"/>
      <c r="CR39" s="568"/>
      <c r="CS39" s="568"/>
      <c r="CT39" s="568"/>
      <c r="CU39" s="568"/>
      <c r="CV39" s="568"/>
      <c r="CW39" s="568"/>
      <c r="CX39" s="568"/>
      <c r="CY39" s="568"/>
      <c r="CZ39" s="568"/>
      <c r="DA39" s="568"/>
      <c r="DB39" s="568"/>
      <c r="DC39" s="568"/>
      <c r="DD39" s="568"/>
      <c r="DE39" s="568"/>
      <c r="DF39" s="568"/>
      <c r="DG39" s="568"/>
      <c r="DH39" s="568"/>
      <c r="DI39" s="568"/>
      <c r="DJ39" s="568"/>
      <c r="DK39" s="568"/>
      <c r="DL39" s="568"/>
      <c r="DM39" s="568"/>
      <c r="DN39" s="568"/>
      <c r="DO39" s="568"/>
      <c r="DP39" s="568"/>
      <c r="DQ39" s="568"/>
      <c r="DR39" s="568"/>
      <c r="DS39" s="568"/>
      <c r="DT39" s="568"/>
      <c r="DU39" s="568"/>
      <c r="DV39" s="568"/>
      <c r="DW39" s="568"/>
      <c r="DX39" s="568"/>
      <c r="DY39" s="568"/>
      <c r="DZ39" s="568"/>
      <c r="EA39" s="568"/>
      <c r="EB39" s="568"/>
      <c r="EC39" s="568"/>
      <c r="ED39" s="568"/>
      <c r="EE39" s="568"/>
      <c r="EF39" s="568"/>
      <c r="EG39" s="568"/>
      <c r="EH39" s="568"/>
      <c r="EI39" s="568"/>
      <c r="EJ39" s="568"/>
      <c r="EK39" s="568"/>
      <c r="EL39" s="568"/>
      <c r="EM39" s="568"/>
      <c r="EN39" s="568"/>
      <c r="EO39" s="568"/>
      <c r="EP39" s="568"/>
      <c r="EQ39" s="568"/>
      <c r="ER39" s="568"/>
      <c r="ES39" s="568"/>
      <c r="ET39" s="568"/>
      <c r="EU39" s="568"/>
      <c r="EV39" s="568"/>
      <c r="EW39" s="568"/>
      <c r="EX39" s="568"/>
      <c r="EY39" s="568"/>
      <c r="EZ39" s="568"/>
      <c r="FA39" s="568"/>
      <c r="FB39" s="568"/>
      <c r="FC39" s="568"/>
      <c r="FD39" s="568"/>
      <c r="FE39" s="568"/>
      <c r="FF39" s="568"/>
      <c r="FG39" s="568"/>
      <c r="FH39" s="568"/>
      <c r="FI39" s="568"/>
      <c r="FJ39" s="568"/>
      <c r="FK39" s="568"/>
      <c r="FL39" s="568"/>
      <c r="FM39" s="568"/>
      <c r="FN39" s="568"/>
      <c r="FO39" s="568"/>
      <c r="FP39" s="568"/>
      <c r="FQ39" s="568"/>
      <c r="FR39" s="568"/>
      <c r="FS39" s="568"/>
      <c r="FT39" s="568"/>
      <c r="FU39" s="568"/>
      <c r="FV39" s="568"/>
      <c r="FW39" s="568"/>
      <c r="FX39" s="568"/>
      <c r="FY39" s="568"/>
      <c r="FZ39" s="568"/>
      <c r="GA39" s="568"/>
      <c r="GB39" s="568"/>
      <c r="GC39" s="568"/>
      <c r="GD39" s="568"/>
      <c r="GE39" s="568"/>
      <c r="GF39" s="568"/>
      <c r="GG39" s="568"/>
      <c r="GH39" s="568"/>
      <c r="GI39" s="568"/>
      <c r="GJ39" s="568"/>
      <c r="GK39" s="568"/>
      <c r="GL39" s="568"/>
      <c r="GM39" s="568"/>
      <c r="GN39" s="568"/>
      <c r="GO39" s="568"/>
      <c r="GP39" s="568"/>
      <c r="GQ39" s="568"/>
      <c r="GR39" s="568"/>
      <c r="GS39" s="568"/>
      <c r="GT39" s="568"/>
      <c r="GU39" s="568"/>
      <c r="GV39" s="568"/>
      <c r="GW39" s="568"/>
      <c r="GX39" s="568"/>
      <c r="GY39" s="568"/>
      <c r="GZ39" s="568"/>
      <c r="HA39" s="568"/>
      <c r="HB39" s="568"/>
      <c r="HC39" s="568"/>
      <c r="HD39" s="568"/>
      <c r="HE39" s="568"/>
      <c r="HF39" s="568"/>
      <c r="HG39" s="568"/>
      <c r="HH39" s="568"/>
      <c r="HI39" s="568"/>
      <c r="HJ39" s="568"/>
      <c r="HK39" s="568"/>
      <c r="HL39" s="568"/>
      <c r="HM39" s="568"/>
      <c r="HN39" s="568"/>
      <c r="HO39" s="568"/>
      <c r="HP39" s="568"/>
      <c r="HQ39" s="568"/>
      <c r="HR39" s="568"/>
      <c r="HS39" s="568"/>
      <c r="HT39" s="568"/>
      <c r="HU39" s="568"/>
      <c r="HV39" s="568"/>
      <c r="HW39" s="568"/>
      <c r="HX39" s="568"/>
      <c r="HY39" s="568"/>
      <c r="HZ39" s="568"/>
      <c r="IA39" s="568"/>
      <c r="IB39" s="568"/>
      <c r="IC39" s="568"/>
      <c r="ID39" s="568"/>
      <c r="IE39" s="568"/>
      <c r="IF39" s="568"/>
      <c r="IG39" s="568"/>
      <c r="IH39" s="568"/>
      <c r="II39" s="568"/>
      <c r="IJ39" s="568"/>
      <c r="IK39" s="568"/>
      <c r="IL39" s="568"/>
      <c r="IM39" s="568"/>
      <c r="IN39" s="568"/>
      <c r="IO39" s="568"/>
      <c r="IP39" s="568"/>
      <c r="IQ39" s="568"/>
      <c r="IR39" s="568"/>
      <c r="IS39" s="568"/>
      <c r="IT39" s="568"/>
      <c r="IU39" s="568"/>
    </row>
    <row r="40" spans="1:255">
      <c r="A40" s="1077" t="s">
        <v>2466</v>
      </c>
      <c r="B40" s="561"/>
      <c r="C40" s="1081"/>
      <c r="D40" s="1081" t="str">
        <f>IF(AND(B20&lt;&gt;0,C20&lt;&gt;0,D20&lt;&gt;0),D20/(C20-B20)-1,"")</f>
        <v/>
      </c>
      <c r="E40" s="1081">
        <f>IF(AND(D20&lt;&gt;0,E20&lt;&gt;0),(E20-D20)/D20-1,"")</f>
        <v>0.46852580336126826</v>
      </c>
      <c r="F40" s="1081">
        <f>IF(AND(D20&lt;&gt;0,E20&lt;&gt;0,F20&lt;&gt;0),(F20-E20)/(E20-D20)-1,"")</f>
        <v>-0.83792972848519987</v>
      </c>
      <c r="G40" s="1081">
        <f>IF(AND(E20&lt;&gt;0,F20&lt;&gt;0,G20&lt;&gt;0),(G20-F20)/(F20-E20)-1,"")</f>
        <v>-4.8247205136511973</v>
      </c>
      <c r="H40" s="1081">
        <f>IF(AND(F20&lt;&gt;0,G20&lt;&gt;0,H20&lt;&gt;0),H20/(G20-F20)-1,"")</f>
        <v>-1.641531319579717</v>
      </c>
      <c r="I40" s="1081">
        <f>IF(AND(H20&lt;&gt;0,I20&lt;&gt;0),(I20-H20)/H20-1,"")</f>
        <v>-0.95929616155999098</v>
      </c>
      <c r="J40" s="1081">
        <f>IF(AND(H20&lt;&gt;0,I20&lt;&gt;0,J20&lt;&gt;0),(J20-I20)/(I20-H20)-1,"")</f>
        <v>7.3152397547722643</v>
      </c>
      <c r="K40" s="1081" t="str">
        <f>IF(AND(I20&lt;&gt;0,J20&lt;&gt;0,K20&lt;&gt;0),(K20-J20)/(J20-I20)-1,"")</f>
        <v/>
      </c>
      <c r="L40" s="1081" t="str">
        <f>IF(AND(J20&lt;&gt;0,K20&lt;&gt;0,L20&lt;&gt;0),L20/(K20-J20)-1,"")</f>
        <v/>
      </c>
      <c r="M40" s="1081" t="str">
        <f>IF(AND(L20&lt;&gt;0,M20&lt;&gt;0),(M20-L20)/L20-1,"")</f>
        <v/>
      </c>
      <c r="N40" s="1081" t="str">
        <f>IF(AND(L20&lt;&gt;0,M20&lt;&gt;0,N20&lt;&gt;0),(N20-M20)/(M20-L20)-1,"")</f>
        <v/>
      </c>
      <c r="O40"/>
      <c r="P40" s="832"/>
      <c r="Q40" s="561"/>
      <c r="R40" s="561"/>
      <c r="S40" s="561"/>
      <c r="T40" s="561"/>
      <c r="U40" s="561"/>
      <c r="V40" s="561"/>
      <c r="W40" s="561"/>
      <c r="X40" s="561"/>
      <c r="Y40" s="561"/>
      <c r="Z40" s="561"/>
      <c r="AA40" s="561"/>
      <c r="AB40" s="561"/>
      <c r="AC40" s="561"/>
      <c r="AD40" s="561"/>
      <c r="AE40" s="561"/>
      <c r="AF40" s="561"/>
      <c r="AG40" s="561"/>
      <c r="AH40" s="567"/>
      <c r="AI40" s="567"/>
      <c r="AJ40" s="567"/>
      <c r="AK40" s="567"/>
      <c r="AL40" s="567"/>
      <c r="AM40" s="567"/>
      <c r="AN40" s="567"/>
      <c r="AO40" s="567"/>
      <c r="AP40" s="567"/>
      <c r="AQ40" s="567"/>
      <c r="AR40" s="567"/>
      <c r="AS40" s="567"/>
      <c r="AT40" s="567"/>
      <c r="AU40" s="567"/>
      <c r="AV40" s="567"/>
      <c r="AW40" s="567"/>
      <c r="AX40" s="567"/>
      <c r="AY40" s="567"/>
      <c r="AZ40" s="567"/>
      <c r="BA40" s="567"/>
      <c r="BB40" s="567"/>
      <c r="BC40" s="567"/>
      <c r="BD40" s="568"/>
      <c r="BE40" s="568"/>
      <c r="BF40" s="568"/>
      <c r="BG40" s="568"/>
      <c r="BH40" s="568"/>
      <c r="BI40" s="568"/>
      <c r="BJ40" s="568"/>
      <c r="BK40" s="568"/>
      <c r="BL40" s="568"/>
      <c r="BM40" s="568"/>
      <c r="BN40" s="568"/>
      <c r="BO40" s="568"/>
      <c r="BP40" s="568"/>
      <c r="BQ40" s="568"/>
      <c r="BR40" s="568"/>
      <c r="BS40" s="568"/>
      <c r="BT40" s="568"/>
      <c r="BU40" s="568"/>
      <c r="BV40" s="568"/>
      <c r="BW40" s="568"/>
      <c r="BX40" s="568"/>
      <c r="BY40" s="568"/>
      <c r="BZ40" s="568"/>
      <c r="CA40" s="568"/>
      <c r="CB40" s="568"/>
      <c r="CC40" s="568"/>
      <c r="CD40" s="568"/>
      <c r="CE40" s="568"/>
      <c r="CF40" s="568"/>
      <c r="CG40" s="568"/>
      <c r="CH40" s="568"/>
      <c r="CI40" s="568"/>
      <c r="CJ40" s="568"/>
      <c r="CK40" s="568"/>
      <c r="CL40" s="568"/>
      <c r="CM40" s="568"/>
      <c r="CN40" s="568"/>
      <c r="CO40" s="568"/>
      <c r="CP40" s="568"/>
      <c r="CQ40" s="568"/>
      <c r="CR40" s="568"/>
      <c r="CS40" s="568"/>
      <c r="CT40" s="568"/>
      <c r="CU40" s="568"/>
      <c r="CV40" s="568"/>
      <c r="CW40" s="568"/>
      <c r="CX40" s="568"/>
      <c r="CY40" s="568"/>
      <c r="CZ40" s="568"/>
      <c r="DA40" s="568"/>
      <c r="DB40" s="568"/>
      <c r="DC40" s="568"/>
      <c r="DD40" s="568"/>
      <c r="DE40" s="568"/>
      <c r="DF40" s="568"/>
      <c r="DG40" s="568"/>
      <c r="DH40" s="568"/>
      <c r="DI40" s="568"/>
      <c r="DJ40" s="568"/>
      <c r="DK40" s="568"/>
      <c r="DL40" s="568"/>
      <c r="DM40" s="568"/>
      <c r="DN40" s="568"/>
      <c r="DO40" s="568"/>
      <c r="DP40" s="568"/>
      <c r="DQ40" s="568"/>
      <c r="DR40" s="568"/>
      <c r="DS40" s="568"/>
      <c r="DT40" s="568"/>
      <c r="DU40" s="568"/>
      <c r="DV40" s="568"/>
      <c r="DW40" s="568"/>
      <c r="DX40" s="568"/>
      <c r="DY40" s="568"/>
      <c r="DZ40" s="568"/>
      <c r="EA40" s="568"/>
      <c r="EB40" s="568"/>
      <c r="EC40" s="568"/>
      <c r="ED40" s="568"/>
      <c r="EE40" s="568"/>
      <c r="EF40" s="568"/>
      <c r="EG40" s="568"/>
      <c r="EH40" s="568"/>
      <c r="EI40" s="568"/>
      <c r="EJ40" s="568"/>
      <c r="EK40" s="568"/>
      <c r="EL40" s="568"/>
      <c r="EM40" s="568"/>
      <c r="EN40" s="568"/>
      <c r="EO40" s="568"/>
      <c r="EP40" s="568"/>
      <c r="EQ40" s="568"/>
      <c r="ER40" s="568"/>
      <c r="ES40" s="568"/>
      <c r="ET40" s="568"/>
      <c r="EU40" s="568"/>
      <c r="EV40" s="568"/>
      <c r="EW40" s="568"/>
      <c r="EX40" s="568"/>
      <c r="EY40" s="568"/>
      <c r="EZ40" s="568"/>
      <c r="FA40" s="568"/>
      <c r="FB40" s="568"/>
      <c r="FC40" s="568"/>
      <c r="FD40" s="568"/>
      <c r="FE40" s="568"/>
      <c r="FF40" s="568"/>
      <c r="FG40" s="568"/>
      <c r="FH40" s="568"/>
      <c r="FI40" s="568"/>
      <c r="FJ40" s="568"/>
      <c r="FK40" s="568"/>
      <c r="FL40" s="568"/>
      <c r="FM40" s="568"/>
      <c r="FN40" s="568"/>
      <c r="FO40" s="568"/>
      <c r="FP40" s="568"/>
      <c r="FQ40" s="568"/>
      <c r="FR40" s="568"/>
      <c r="FS40" s="568"/>
      <c r="FT40" s="568"/>
      <c r="FU40" s="568"/>
      <c r="FV40" s="568"/>
      <c r="FW40" s="568"/>
      <c r="FX40" s="568"/>
      <c r="FY40" s="568"/>
      <c r="FZ40" s="568"/>
      <c r="GA40" s="568"/>
      <c r="GB40" s="568"/>
      <c r="GC40" s="568"/>
      <c r="GD40" s="568"/>
      <c r="GE40" s="568"/>
      <c r="GF40" s="568"/>
      <c r="GG40" s="568"/>
      <c r="GH40" s="568"/>
      <c r="GI40" s="568"/>
      <c r="GJ40" s="568"/>
      <c r="GK40" s="568"/>
      <c r="GL40" s="568"/>
      <c r="GM40" s="568"/>
      <c r="GN40" s="568"/>
      <c r="GO40" s="568"/>
      <c r="GP40" s="568"/>
      <c r="GQ40" s="568"/>
      <c r="GR40" s="568"/>
      <c r="GS40" s="568"/>
      <c r="GT40" s="568"/>
      <c r="GU40" s="568"/>
      <c r="GV40" s="568"/>
      <c r="GW40" s="568"/>
      <c r="GX40" s="568"/>
      <c r="GY40" s="568"/>
      <c r="GZ40" s="568"/>
      <c r="HA40" s="568"/>
      <c r="HB40" s="568"/>
      <c r="HC40" s="568"/>
      <c r="HD40" s="568"/>
      <c r="HE40" s="568"/>
      <c r="HF40" s="568"/>
      <c r="HG40" s="568"/>
      <c r="HH40" s="568"/>
      <c r="HI40" s="568"/>
      <c r="HJ40" s="568"/>
      <c r="HK40" s="568"/>
      <c r="HL40" s="568"/>
      <c r="HM40" s="568"/>
      <c r="HN40" s="568"/>
      <c r="HO40" s="568"/>
      <c r="HP40" s="568"/>
      <c r="HQ40" s="568"/>
      <c r="HR40" s="568"/>
      <c r="HS40" s="568"/>
      <c r="HT40" s="568"/>
      <c r="HU40" s="568"/>
      <c r="HV40" s="568"/>
      <c r="HW40" s="568"/>
      <c r="HX40" s="568"/>
      <c r="HY40" s="568"/>
      <c r="HZ40" s="568"/>
      <c r="IA40" s="568"/>
      <c r="IB40" s="568"/>
      <c r="IC40" s="568"/>
      <c r="ID40" s="568"/>
      <c r="IE40" s="568"/>
      <c r="IF40" s="568"/>
      <c r="IG40" s="568"/>
      <c r="IH40" s="568"/>
      <c r="II40" s="568"/>
      <c r="IJ40" s="568"/>
      <c r="IK40" s="568"/>
      <c r="IL40" s="568"/>
      <c r="IM40" s="568"/>
      <c r="IN40" s="568"/>
      <c r="IO40" s="568"/>
      <c r="IP40" s="568"/>
      <c r="IQ40" s="568"/>
      <c r="IR40" s="568"/>
      <c r="IS40" s="568"/>
      <c r="IT40" s="568"/>
      <c r="IU40" s="568"/>
    </row>
    <row r="41" spans="1:255">
      <c r="A41" s="1077" t="s">
        <v>2467</v>
      </c>
      <c r="B41" s="561"/>
      <c r="C41" s="1081">
        <f t="shared" ref="C41:N41" si="10">IF(C3&lt;&gt;"",C20/C3,"")</f>
        <v>8.6558102617062052E-2</v>
      </c>
      <c r="D41" s="1081">
        <f t="shared" si="10"/>
        <v>5.7100879929113557E-2</v>
      </c>
      <c r="E41" s="1081">
        <f t="shared" si="10"/>
        <v>5.9050589862076154E-2</v>
      </c>
      <c r="F41" s="1081">
        <f t="shared" si="10"/>
        <v>4.500580025326454E-2</v>
      </c>
      <c r="G41" s="1081">
        <f t="shared" si="10"/>
        <v>2.3224527653064021E-2</v>
      </c>
      <c r="H41" s="1081">
        <f t="shared" si="10"/>
        <v>3.0992502163320508E-2</v>
      </c>
      <c r="I41" s="1081">
        <f t="shared" si="10"/>
        <v>1.3881376628683224E-2</v>
      </c>
      <c r="J41" s="1081">
        <f t="shared" si="10"/>
        <v>1.2782972834182773E-2</v>
      </c>
      <c r="K41" s="1081" t="e">
        <f t="shared" si="10"/>
        <v>#DIV/0!</v>
      </c>
      <c r="L41" s="1081" t="e">
        <f t="shared" si="10"/>
        <v>#DIV/0!</v>
      </c>
      <c r="M41" s="1081" t="e">
        <f t="shared" si="10"/>
        <v>#DIV/0!</v>
      </c>
      <c r="N41" s="1081" t="e">
        <f t="shared" si="10"/>
        <v>#DIV/0!</v>
      </c>
      <c r="O41"/>
      <c r="P41" s="832"/>
      <c r="Q41" s="561"/>
      <c r="R41" s="561"/>
      <c r="S41" s="561"/>
      <c r="T41" s="561"/>
      <c r="U41" s="561"/>
      <c r="V41" s="561"/>
      <c r="W41" s="561"/>
      <c r="X41" s="561"/>
      <c r="Y41" s="561"/>
      <c r="Z41" s="561"/>
      <c r="AA41" s="561"/>
      <c r="AB41" s="561"/>
      <c r="AC41" s="561"/>
      <c r="AD41" s="561"/>
      <c r="AE41" s="561"/>
      <c r="AF41" s="561"/>
      <c r="AG41" s="561"/>
      <c r="AH41" s="567"/>
      <c r="AI41" s="567"/>
      <c r="AJ41" s="567"/>
      <c r="AK41" s="567"/>
      <c r="AL41" s="567"/>
      <c r="AM41" s="567"/>
      <c r="AN41" s="567"/>
      <c r="AO41" s="567"/>
      <c r="AP41" s="567"/>
      <c r="AQ41" s="567"/>
      <c r="AR41" s="567"/>
      <c r="AS41" s="567"/>
      <c r="AT41" s="567"/>
      <c r="AU41" s="567"/>
      <c r="AV41" s="567"/>
      <c r="AW41" s="567"/>
      <c r="AX41" s="567"/>
      <c r="AY41" s="567"/>
      <c r="AZ41" s="567"/>
      <c r="BA41" s="567"/>
      <c r="BB41" s="567"/>
      <c r="BC41" s="567"/>
      <c r="BD41" s="568"/>
      <c r="BE41" s="568"/>
      <c r="BF41" s="568"/>
      <c r="BG41" s="568"/>
      <c r="BH41" s="568"/>
      <c r="BI41" s="568"/>
      <c r="BJ41" s="568"/>
      <c r="BK41" s="568"/>
      <c r="BL41" s="568"/>
      <c r="BM41" s="568"/>
      <c r="BN41" s="568"/>
      <c r="BO41" s="568"/>
      <c r="BP41" s="568"/>
      <c r="BQ41" s="568"/>
      <c r="BR41" s="568"/>
      <c r="BS41" s="568"/>
      <c r="BT41" s="568"/>
      <c r="BU41" s="568"/>
      <c r="BV41" s="568"/>
      <c r="BW41" s="568"/>
      <c r="BX41" s="568"/>
      <c r="BY41" s="568"/>
      <c r="BZ41" s="568"/>
      <c r="CA41" s="568"/>
      <c r="CB41" s="568"/>
      <c r="CC41" s="568"/>
      <c r="CD41" s="568"/>
      <c r="CE41" s="568"/>
      <c r="CF41" s="568"/>
      <c r="CG41" s="568"/>
      <c r="CH41" s="568"/>
      <c r="CI41" s="568"/>
      <c r="CJ41" s="568"/>
      <c r="CK41" s="568"/>
      <c r="CL41" s="568"/>
      <c r="CM41" s="568"/>
      <c r="CN41" s="568"/>
      <c r="CO41" s="568"/>
      <c r="CP41" s="568"/>
      <c r="CQ41" s="568"/>
      <c r="CR41" s="568"/>
      <c r="CS41" s="568"/>
      <c r="CT41" s="568"/>
      <c r="CU41" s="568"/>
      <c r="CV41" s="568"/>
      <c r="CW41" s="568"/>
      <c r="CX41" s="568"/>
      <c r="CY41" s="568"/>
      <c r="CZ41" s="568"/>
      <c r="DA41" s="568"/>
      <c r="DB41" s="568"/>
      <c r="DC41" s="568"/>
      <c r="DD41" s="568"/>
      <c r="DE41" s="568"/>
      <c r="DF41" s="568"/>
      <c r="DG41" s="568"/>
      <c r="DH41" s="568"/>
      <c r="DI41" s="568"/>
      <c r="DJ41" s="568"/>
      <c r="DK41" s="568"/>
      <c r="DL41" s="568"/>
      <c r="DM41" s="568"/>
      <c r="DN41" s="568"/>
      <c r="DO41" s="568"/>
      <c r="DP41" s="568"/>
      <c r="DQ41" s="568"/>
      <c r="DR41" s="568"/>
      <c r="DS41" s="568"/>
      <c r="DT41" s="568"/>
      <c r="DU41" s="568"/>
      <c r="DV41" s="568"/>
      <c r="DW41" s="568"/>
      <c r="DX41" s="568"/>
      <c r="DY41" s="568"/>
      <c r="DZ41" s="568"/>
      <c r="EA41" s="568"/>
      <c r="EB41" s="568"/>
      <c r="EC41" s="568"/>
      <c r="ED41" s="568"/>
      <c r="EE41" s="568"/>
      <c r="EF41" s="568"/>
      <c r="EG41" s="568"/>
      <c r="EH41" s="568"/>
      <c r="EI41" s="568"/>
      <c r="EJ41" s="568"/>
      <c r="EK41" s="568"/>
      <c r="EL41" s="568"/>
      <c r="EM41" s="568"/>
      <c r="EN41" s="568"/>
      <c r="EO41" s="568"/>
      <c r="EP41" s="568"/>
      <c r="EQ41" s="568"/>
      <c r="ER41" s="568"/>
      <c r="ES41" s="568"/>
      <c r="ET41" s="568"/>
      <c r="EU41" s="568"/>
      <c r="EV41" s="568"/>
      <c r="EW41" s="568"/>
      <c r="EX41" s="568"/>
      <c r="EY41" s="568"/>
      <c r="EZ41" s="568"/>
      <c r="FA41" s="568"/>
      <c r="FB41" s="568"/>
      <c r="FC41" s="568"/>
      <c r="FD41" s="568"/>
      <c r="FE41" s="568"/>
      <c r="FF41" s="568"/>
      <c r="FG41" s="568"/>
      <c r="FH41" s="568"/>
      <c r="FI41" s="568"/>
      <c r="FJ41" s="568"/>
      <c r="FK41" s="568"/>
      <c r="FL41" s="568"/>
      <c r="FM41" s="568"/>
      <c r="FN41" s="568"/>
      <c r="FO41" s="568"/>
      <c r="FP41" s="568"/>
      <c r="FQ41" s="568"/>
      <c r="FR41" s="568"/>
      <c r="FS41" s="568"/>
      <c r="FT41" s="568"/>
      <c r="FU41" s="568"/>
      <c r="FV41" s="568"/>
      <c r="FW41" s="568"/>
      <c r="FX41" s="568"/>
      <c r="FY41" s="568"/>
      <c r="FZ41" s="568"/>
      <c r="GA41" s="568"/>
      <c r="GB41" s="568"/>
      <c r="GC41" s="568"/>
      <c r="GD41" s="568"/>
      <c r="GE41" s="568"/>
      <c r="GF41" s="568"/>
      <c r="GG41" s="568"/>
      <c r="GH41" s="568"/>
      <c r="GI41" s="568"/>
      <c r="GJ41" s="568"/>
      <c r="GK41" s="568"/>
      <c r="GL41" s="568"/>
      <c r="GM41" s="568"/>
      <c r="GN41" s="568"/>
      <c r="GO41" s="568"/>
      <c r="GP41" s="568"/>
      <c r="GQ41" s="568"/>
      <c r="GR41" s="568"/>
      <c r="GS41" s="568"/>
      <c r="GT41" s="568"/>
      <c r="GU41" s="568"/>
      <c r="GV41" s="568"/>
      <c r="GW41" s="568"/>
      <c r="GX41" s="568"/>
      <c r="GY41" s="568"/>
      <c r="GZ41" s="568"/>
      <c r="HA41" s="568"/>
      <c r="HB41" s="568"/>
      <c r="HC41" s="568"/>
      <c r="HD41" s="568"/>
      <c r="HE41" s="568"/>
      <c r="HF41" s="568"/>
      <c r="HG41" s="568"/>
      <c r="HH41" s="568"/>
      <c r="HI41" s="568"/>
      <c r="HJ41" s="568"/>
      <c r="HK41" s="568"/>
      <c r="HL41" s="568"/>
      <c r="HM41" s="568"/>
      <c r="HN41" s="568"/>
      <c r="HO41" s="568"/>
      <c r="HP41" s="568"/>
      <c r="HQ41" s="568"/>
      <c r="HR41" s="568"/>
      <c r="HS41" s="568"/>
      <c r="HT41" s="568"/>
      <c r="HU41" s="568"/>
      <c r="HV41" s="568"/>
      <c r="HW41" s="568"/>
      <c r="HX41" s="568"/>
      <c r="HY41" s="568"/>
      <c r="HZ41" s="568"/>
      <c r="IA41" s="568"/>
      <c r="IB41" s="568"/>
      <c r="IC41" s="568"/>
      <c r="ID41" s="568"/>
      <c r="IE41" s="568"/>
      <c r="IF41" s="568"/>
      <c r="IG41" s="568"/>
      <c r="IH41" s="568"/>
      <c r="II41" s="568"/>
      <c r="IJ41" s="568"/>
      <c r="IK41" s="568"/>
      <c r="IL41" s="568"/>
      <c r="IM41" s="568"/>
      <c r="IN41" s="568"/>
      <c r="IO41" s="568"/>
      <c r="IP41" s="568"/>
      <c r="IQ41" s="568"/>
      <c r="IR41" s="568"/>
      <c r="IS41" s="568"/>
      <c r="IT41" s="568"/>
      <c r="IU41" s="568"/>
    </row>
    <row r="42" spans="1:255">
      <c r="A42" s="1077" t="s">
        <v>2468</v>
      </c>
      <c r="B42" s="561"/>
      <c r="C42" s="1081" t="str">
        <f>IF(AND(C20&lt;&gt;"",C20&lt;&gt;0,B20&lt;&gt;"",B20&lt;&gt;0),(C20-B20)/C20,"")</f>
        <v/>
      </c>
      <c r="D42" s="1081">
        <f>IF(AND(G20&lt;&gt;"",G20&lt;&gt;0),D20/G20,"")</f>
        <v>0.5567215900446939</v>
      </c>
      <c r="E42" s="1081">
        <f>IF(AND(G20&lt;&gt;"",G20&lt;&gt;0,D20&lt;&gt;"",D20&lt;&gt;0,E20&lt;&gt;"",E20&lt;&gt;0),(E20-D20)/G20,"")</f>
        <v>0.81756002026894681</v>
      </c>
      <c r="F42" s="1081">
        <f>IF(AND(G20&lt;&gt;"",G20&lt;&gt;0,E20&lt;&gt;"",E20&lt;&gt;0,F20&lt;&gt;"",F20&lt;&gt;0),(F20-E20)/G20,"")</f>
        <v>0.13250217446463378</v>
      </c>
      <c r="G42" s="1081">
        <f>IF(AND(G20&lt;&gt;"",G20&lt;&gt;0,F20&lt;&gt;"",F20&lt;&gt;0),(G20-F20)/G20,"")</f>
        <v>-0.50678378477827457</v>
      </c>
      <c r="H42" s="1081" t="str">
        <f>IF(AND(K20&lt;&gt;"",K20&lt;&gt;0),H20/K20,"")</f>
        <v/>
      </c>
      <c r="I42" s="1081" t="str">
        <f>IF(AND(K20&lt;&gt;"",K20&lt;&gt;0,H20&lt;&gt;"",H20&lt;&gt;0,I20&lt;&gt;"",I20&lt;&gt;0),(I20-H20)/K20,"")</f>
        <v/>
      </c>
      <c r="J42" s="1081" t="str">
        <f>IF(AND(K20&lt;&gt;"",K20&lt;&gt;0,I20&lt;&gt;"",I20&lt;&gt;0,J20&lt;&gt;"",J20&lt;&gt;0),(J20-I20)/K20,"")</f>
        <v/>
      </c>
      <c r="K42" s="1081" t="str">
        <f>IF(AND(K20&lt;&gt;"",K20&lt;&gt;0,J20&lt;&gt;"",J20&lt;&gt;0),(K20-J20)/K20,"")</f>
        <v/>
      </c>
      <c r="L42" s="1081" t="str">
        <f>IF(AND(O20&lt;&gt;"",O20&lt;&gt;0),L20/O20,"")</f>
        <v/>
      </c>
      <c r="M42" s="1081" t="str">
        <f>IF(AND(O20&lt;&gt;"",O20&lt;&gt;0,L20&lt;&gt;"",L20&lt;&gt;0,M20&lt;&gt;"",M20&lt;&gt;0),(M20-L20)/O20,"")</f>
        <v/>
      </c>
      <c r="N42" s="1081" t="str">
        <f>IF(AND(O20&lt;&gt;"",O20&lt;&gt;0,M20&lt;&gt;"",M20&lt;&gt;0,N20&lt;&gt;"",N20&lt;&gt;0),(N20-M20)/O20,"")</f>
        <v/>
      </c>
      <c r="O42"/>
      <c r="P42" s="832"/>
      <c r="Q42" s="561"/>
      <c r="R42" s="561"/>
      <c r="S42" s="561"/>
      <c r="T42" s="561"/>
      <c r="U42" s="561"/>
      <c r="V42" s="561"/>
      <c r="W42" s="561"/>
      <c r="X42" s="561"/>
      <c r="Y42" s="561"/>
      <c r="Z42" s="561"/>
      <c r="AA42" s="561"/>
      <c r="AB42" s="561"/>
      <c r="AC42" s="561"/>
      <c r="AD42" s="561"/>
      <c r="AE42" s="561"/>
      <c r="AF42" s="561"/>
      <c r="AG42" s="561"/>
      <c r="AH42" s="567"/>
      <c r="AI42" s="567"/>
      <c r="AJ42" s="567"/>
      <c r="AK42" s="567"/>
      <c r="AL42" s="567"/>
      <c r="AM42" s="567"/>
      <c r="AN42" s="567"/>
      <c r="AO42" s="567"/>
      <c r="AP42" s="567"/>
      <c r="AQ42" s="567"/>
      <c r="AR42" s="567"/>
      <c r="AS42" s="567"/>
      <c r="AT42" s="567"/>
      <c r="AU42" s="567"/>
      <c r="AV42" s="567"/>
      <c r="AW42" s="567"/>
      <c r="AX42" s="567"/>
      <c r="AY42" s="567"/>
      <c r="AZ42" s="567"/>
      <c r="BA42" s="567"/>
      <c r="BB42" s="567"/>
      <c r="BC42" s="567"/>
      <c r="BD42" s="568"/>
      <c r="BE42" s="568"/>
      <c r="BF42" s="568"/>
      <c r="BG42" s="568"/>
      <c r="BH42" s="568"/>
      <c r="BI42" s="568"/>
      <c r="BJ42" s="568"/>
      <c r="BK42" s="568"/>
      <c r="BL42" s="568"/>
      <c r="BM42" s="568"/>
      <c r="BN42" s="568"/>
      <c r="BO42" s="568"/>
      <c r="BP42" s="568"/>
      <c r="BQ42" s="568"/>
      <c r="BR42" s="568"/>
      <c r="BS42" s="568"/>
      <c r="BT42" s="568"/>
      <c r="BU42" s="568"/>
      <c r="BV42" s="568"/>
      <c r="BW42" s="568"/>
      <c r="BX42" s="568"/>
      <c r="BY42" s="568"/>
      <c r="BZ42" s="568"/>
      <c r="CA42" s="568"/>
      <c r="CB42" s="568"/>
      <c r="CC42" s="568"/>
      <c r="CD42" s="568"/>
      <c r="CE42" s="568"/>
      <c r="CF42" s="568"/>
      <c r="CG42" s="568"/>
      <c r="CH42" s="568"/>
      <c r="CI42" s="568"/>
      <c r="CJ42" s="568"/>
      <c r="CK42" s="568"/>
      <c r="CL42" s="568"/>
      <c r="CM42" s="568"/>
      <c r="CN42" s="568"/>
      <c r="CO42" s="568"/>
      <c r="CP42" s="568"/>
      <c r="CQ42" s="568"/>
      <c r="CR42" s="568"/>
      <c r="CS42" s="568"/>
      <c r="CT42" s="568"/>
      <c r="CU42" s="568"/>
      <c r="CV42" s="568"/>
      <c r="CW42" s="568"/>
      <c r="CX42" s="568"/>
      <c r="CY42" s="568"/>
      <c r="CZ42" s="568"/>
      <c r="DA42" s="568"/>
      <c r="DB42" s="568"/>
      <c r="DC42" s="568"/>
      <c r="DD42" s="568"/>
      <c r="DE42" s="568"/>
      <c r="DF42" s="568"/>
      <c r="DG42" s="568"/>
      <c r="DH42" s="568"/>
      <c r="DI42" s="568"/>
      <c r="DJ42" s="568"/>
      <c r="DK42" s="568"/>
      <c r="DL42" s="568"/>
      <c r="DM42" s="568"/>
      <c r="DN42" s="568"/>
      <c r="DO42" s="568"/>
      <c r="DP42" s="568"/>
      <c r="DQ42" s="568"/>
      <c r="DR42" s="568"/>
      <c r="DS42" s="568"/>
      <c r="DT42" s="568"/>
      <c r="DU42" s="568"/>
      <c r="DV42" s="568"/>
      <c r="DW42" s="568"/>
      <c r="DX42" s="568"/>
      <c r="DY42" s="568"/>
      <c r="DZ42" s="568"/>
      <c r="EA42" s="568"/>
      <c r="EB42" s="568"/>
      <c r="EC42" s="568"/>
      <c r="ED42" s="568"/>
      <c r="EE42" s="568"/>
      <c r="EF42" s="568"/>
      <c r="EG42" s="568"/>
      <c r="EH42" s="568"/>
      <c r="EI42" s="568"/>
      <c r="EJ42" s="568"/>
      <c r="EK42" s="568"/>
      <c r="EL42" s="568"/>
      <c r="EM42" s="568"/>
      <c r="EN42" s="568"/>
      <c r="EO42" s="568"/>
      <c r="EP42" s="568"/>
      <c r="EQ42" s="568"/>
      <c r="ER42" s="568"/>
      <c r="ES42" s="568"/>
      <c r="ET42" s="568"/>
      <c r="EU42" s="568"/>
      <c r="EV42" s="568"/>
      <c r="EW42" s="568"/>
      <c r="EX42" s="568"/>
      <c r="EY42" s="568"/>
      <c r="EZ42" s="568"/>
      <c r="FA42" s="568"/>
      <c r="FB42" s="568"/>
      <c r="FC42" s="568"/>
      <c r="FD42" s="568"/>
      <c r="FE42" s="568"/>
      <c r="FF42" s="568"/>
      <c r="FG42" s="568"/>
      <c r="FH42" s="568"/>
      <c r="FI42" s="568"/>
      <c r="FJ42" s="568"/>
      <c r="FK42" s="568"/>
      <c r="FL42" s="568"/>
      <c r="FM42" s="568"/>
      <c r="FN42" s="568"/>
      <c r="FO42" s="568"/>
      <c r="FP42" s="568"/>
      <c r="FQ42" s="568"/>
      <c r="FR42" s="568"/>
      <c r="FS42" s="568"/>
      <c r="FT42" s="568"/>
      <c r="FU42" s="568"/>
      <c r="FV42" s="568"/>
      <c r="FW42" s="568"/>
      <c r="FX42" s="568"/>
      <c r="FY42" s="568"/>
      <c r="FZ42" s="568"/>
      <c r="GA42" s="568"/>
      <c r="GB42" s="568"/>
      <c r="GC42" s="568"/>
      <c r="GD42" s="568"/>
      <c r="GE42" s="568"/>
      <c r="GF42" s="568"/>
      <c r="GG42" s="568"/>
      <c r="GH42" s="568"/>
      <c r="GI42" s="568"/>
      <c r="GJ42" s="568"/>
      <c r="GK42" s="568"/>
      <c r="GL42" s="568"/>
      <c r="GM42" s="568"/>
      <c r="GN42" s="568"/>
      <c r="GO42" s="568"/>
      <c r="GP42" s="568"/>
      <c r="GQ42" s="568"/>
      <c r="GR42" s="568"/>
      <c r="GS42" s="568"/>
      <c r="GT42" s="568"/>
      <c r="GU42" s="568"/>
      <c r="GV42" s="568"/>
      <c r="GW42" s="568"/>
      <c r="GX42" s="568"/>
      <c r="GY42" s="568"/>
      <c r="GZ42" s="568"/>
      <c r="HA42" s="568"/>
      <c r="HB42" s="568"/>
      <c r="HC42" s="568"/>
      <c r="HD42" s="568"/>
      <c r="HE42" s="568"/>
      <c r="HF42" s="568"/>
      <c r="HG42" s="568"/>
      <c r="HH42" s="568"/>
      <c r="HI42" s="568"/>
      <c r="HJ42" s="568"/>
      <c r="HK42" s="568"/>
      <c r="HL42" s="568"/>
      <c r="HM42" s="568"/>
      <c r="HN42" s="568"/>
      <c r="HO42" s="568"/>
      <c r="HP42" s="568"/>
      <c r="HQ42" s="568"/>
      <c r="HR42" s="568"/>
      <c r="HS42" s="568"/>
      <c r="HT42" s="568"/>
      <c r="HU42" s="568"/>
      <c r="HV42" s="568"/>
      <c r="HW42" s="568"/>
      <c r="HX42" s="568"/>
      <c r="HY42" s="568"/>
      <c r="HZ42" s="568"/>
      <c r="IA42" s="568"/>
      <c r="IB42" s="568"/>
      <c r="IC42" s="568"/>
      <c r="ID42" s="568"/>
      <c r="IE42" s="568"/>
      <c r="IF42" s="568"/>
      <c r="IG42" s="568"/>
      <c r="IH42" s="568"/>
      <c r="II42" s="568"/>
      <c r="IJ42" s="568"/>
      <c r="IK42" s="568"/>
      <c r="IL42" s="568"/>
      <c r="IM42" s="568"/>
      <c r="IN42" s="568"/>
      <c r="IO42" s="568"/>
      <c r="IP42" s="568"/>
      <c r="IQ42" s="568"/>
      <c r="IR42" s="568"/>
      <c r="IS42" s="568"/>
      <c r="IT42" s="568"/>
      <c r="IU42" s="568"/>
    </row>
    <row r="43" spans="1:255">
      <c r="A43" s="1078" t="s">
        <v>2469</v>
      </c>
      <c r="B43" s="561"/>
      <c r="C43" s="1081">
        <f>IF(AND(C20&lt;&gt;"",C20&lt;&gt;0),C20/C20,"")</f>
        <v>1</v>
      </c>
      <c r="D43" s="1081">
        <f>IF(AND(G20&lt;&gt;"",G20&lt;&gt;0),D20/G20,"")</f>
        <v>0.5567215900446939</v>
      </c>
      <c r="E43" s="1081">
        <f>IF(AND(G20&lt;&gt;"",G20&lt;&gt;0),E20/G20,"")</f>
        <v>1.3742816103136408</v>
      </c>
      <c r="F43" s="1081">
        <f>IF(AND(G20&lt;&gt;"",G20&lt;&gt;0),F20/G20,"")</f>
        <v>1.5067837847782746</v>
      </c>
      <c r="G43" s="1081">
        <f>IF(AND(G20&lt;&gt;"",G20&lt;&gt;0),G20/G20,"")</f>
        <v>1</v>
      </c>
      <c r="H43" s="1081" t="str">
        <f>IF(AND(K20&lt;&gt;"",K20&lt;&gt;0),H20/K20,"")</f>
        <v/>
      </c>
      <c r="I43" s="1081" t="str">
        <f>IF(AND(K20&lt;&gt;"",K20&lt;&gt;0),I20/K20,"")</f>
        <v/>
      </c>
      <c r="J43" s="1081" t="str">
        <f>IF(AND(K20&lt;&gt;"",K20&lt;&gt;0),J20/K20,"")</f>
        <v/>
      </c>
      <c r="K43" s="1081" t="str">
        <f>IF(AND(K20&lt;&gt;"",K20&lt;&gt;0),K20/K20,"")</f>
        <v/>
      </c>
      <c r="L43" s="1081" t="str">
        <f>IF(AND(O20&lt;&gt;"",O20&lt;&gt;0),L20/O20,"")</f>
        <v/>
      </c>
      <c r="M43" s="1081" t="str">
        <f>IF(AND(O20&lt;&gt;"",O20&lt;&gt;0),M20/O20,"")</f>
        <v/>
      </c>
      <c r="N43" s="1081" t="str">
        <f>IF(AND(O20&lt;&gt;"",O20&lt;&gt;0),N20/O20,"")</f>
        <v/>
      </c>
      <c r="O43"/>
      <c r="P43" s="832"/>
      <c r="Q43" s="561"/>
      <c r="R43" s="561"/>
      <c r="S43" s="561"/>
      <c r="T43" s="561"/>
      <c r="U43" s="561"/>
      <c r="V43" s="561"/>
      <c r="W43" s="561"/>
      <c r="X43" s="561"/>
      <c r="Y43" s="561"/>
      <c r="Z43" s="561"/>
      <c r="AA43" s="561"/>
      <c r="AB43" s="561"/>
      <c r="AC43" s="561"/>
      <c r="AD43" s="561"/>
      <c r="AE43" s="561"/>
      <c r="AF43" s="561"/>
      <c r="AG43" s="561"/>
      <c r="AH43" s="567"/>
      <c r="AI43" s="567"/>
      <c r="AJ43" s="567"/>
      <c r="AK43" s="567"/>
      <c r="AL43" s="567"/>
      <c r="AM43" s="567"/>
      <c r="AN43" s="567"/>
      <c r="AO43" s="567"/>
      <c r="AP43" s="567"/>
      <c r="AQ43" s="567"/>
      <c r="AR43" s="567"/>
      <c r="AS43" s="567"/>
      <c r="AT43" s="567"/>
      <c r="AU43" s="567"/>
      <c r="AV43" s="567"/>
      <c r="AW43" s="567"/>
      <c r="AX43" s="567"/>
      <c r="AY43" s="567"/>
      <c r="AZ43" s="567"/>
      <c r="BA43" s="567"/>
      <c r="BB43" s="567"/>
      <c r="BC43" s="567"/>
      <c r="BD43" s="568"/>
      <c r="BE43" s="568"/>
      <c r="BF43" s="568"/>
      <c r="BG43" s="568"/>
      <c r="BH43" s="568"/>
      <c r="BI43" s="568"/>
      <c r="BJ43" s="568"/>
      <c r="BK43" s="568"/>
      <c r="BL43" s="568"/>
      <c r="BM43" s="568"/>
      <c r="BN43" s="568"/>
      <c r="BO43" s="568"/>
      <c r="BP43" s="568"/>
      <c r="BQ43" s="568"/>
      <c r="BR43" s="568"/>
      <c r="BS43" s="568"/>
      <c r="BT43" s="568"/>
      <c r="BU43" s="568"/>
      <c r="BV43" s="568"/>
      <c r="BW43" s="568"/>
      <c r="BX43" s="568"/>
      <c r="BY43" s="568"/>
      <c r="BZ43" s="568"/>
      <c r="CA43" s="568"/>
      <c r="CB43" s="568"/>
      <c r="CC43" s="568"/>
      <c r="CD43" s="568"/>
      <c r="CE43" s="568"/>
      <c r="CF43" s="568"/>
      <c r="CG43" s="568"/>
      <c r="CH43" s="568"/>
      <c r="CI43" s="568"/>
      <c r="CJ43" s="568"/>
      <c r="CK43" s="568"/>
      <c r="CL43" s="568"/>
      <c r="CM43" s="568"/>
      <c r="CN43" s="568"/>
      <c r="CO43" s="568"/>
      <c r="CP43" s="568"/>
      <c r="CQ43" s="568"/>
      <c r="CR43" s="568"/>
      <c r="CS43" s="568"/>
      <c r="CT43" s="568"/>
      <c r="CU43" s="568"/>
      <c r="CV43" s="568"/>
      <c r="CW43" s="568"/>
      <c r="CX43" s="568"/>
      <c r="CY43" s="568"/>
      <c r="CZ43" s="568"/>
      <c r="DA43" s="568"/>
      <c r="DB43" s="568"/>
      <c r="DC43" s="568"/>
      <c r="DD43" s="568"/>
      <c r="DE43" s="568"/>
      <c r="DF43" s="568"/>
      <c r="DG43" s="568"/>
      <c r="DH43" s="568"/>
      <c r="DI43" s="568"/>
      <c r="DJ43" s="568"/>
      <c r="DK43" s="568"/>
      <c r="DL43" s="568"/>
      <c r="DM43" s="568"/>
      <c r="DN43" s="568"/>
      <c r="DO43" s="568"/>
      <c r="DP43" s="568"/>
      <c r="DQ43" s="568"/>
      <c r="DR43" s="568"/>
      <c r="DS43" s="568"/>
      <c r="DT43" s="568"/>
      <c r="DU43" s="568"/>
      <c r="DV43" s="568"/>
      <c r="DW43" s="568"/>
      <c r="DX43" s="568"/>
      <c r="DY43" s="568"/>
      <c r="DZ43" s="568"/>
      <c r="EA43" s="568"/>
      <c r="EB43" s="568"/>
      <c r="EC43" s="568"/>
      <c r="ED43" s="568"/>
      <c r="EE43" s="568"/>
      <c r="EF43" s="568"/>
      <c r="EG43" s="568"/>
      <c r="EH43" s="568"/>
      <c r="EI43" s="568"/>
      <c r="EJ43" s="568"/>
      <c r="EK43" s="568"/>
      <c r="EL43" s="568"/>
      <c r="EM43" s="568"/>
      <c r="EN43" s="568"/>
      <c r="EO43" s="568"/>
      <c r="EP43" s="568"/>
      <c r="EQ43" s="568"/>
      <c r="ER43" s="568"/>
      <c r="ES43" s="568"/>
      <c r="ET43" s="568"/>
      <c r="EU43" s="568"/>
      <c r="EV43" s="568"/>
      <c r="EW43" s="568"/>
      <c r="EX43" s="568"/>
      <c r="EY43" s="568"/>
      <c r="EZ43" s="568"/>
      <c r="FA43" s="568"/>
      <c r="FB43" s="568"/>
      <c r="FC43" s="568"/>
      <c r="FD43" s="568"/>
      <c r="FE43" s="568"/>
      <c r="FF43" s="568"/>
      <c r="FG43" s="568"/>
      <c r="FH43" s="568"/>
      <c r="FI43" s="568"/>
      <c r="FJ43" s="568"/>
      <c r="FK43" s="568"/>
      <c r="FL43" s="568"/>
      <c r="FM43" s="568"/>
      <c r="FN43" s="568"/>
      <c r="FO43" s="568"/>
      <c r="FP43" s="568"/>
      <c r="FQ43" s="568"/>
      <c r="FR43" s="568"/>
      <c r="FS43" s="568"/>
      <c r="FT43" s="568"/>
      <c r="FU43" s="568"/>
      <c r="FV43" s="568"/>
      <c r="FW43" s="568"/>
      <c r="FX43" s="568"/>
      <c r="FY43" s="568"/>
      <c r="FZ43" s="568"/>
      <c r="GA43" s="568"/>
      <c r="GB43" s="568"/>
      <c r="GC43" s="568"/>
      <c r="GD43" s="568"/>
      <c r="GE43" s="568"/>
      <c r="GF43" s="568"/>
      <c r="GG43" s="568"/>
      <c r="GH43" s="568"/>
      <c r="GI43" s="568"/>
      <c r="GJ43" s="568"/>
      <c r="GK43" s="568"/>
      <c r="GL43" s="568"/>
      <c r="GM43" s="568"/>
      <c r="GN43" s="568"/>
      <c r="GO43" s="568"/>
      <c r="GP43" s="568"/>
      <c r="GQ43" s="568"/>
      <c r="GR43" s="568"/>
      <c r="GS43" s="568"/>
      <c r="GT43" s="568"/>
      <c r="GU43" s="568"/>
      <c r="GV43" s="568"/>
      <c r="GW43" s="568"/>
      <c r="GX43" s="568"/>
      <c r="GY43" s="568"/>
      <c r="GZ43" s="568"/>
      <c r="HA43" s="568"/>
      <c r="HB43" s="568"/>
      <c r="HC43" s="568"/>
      <c r="HD43" s="568"/>
      <c r="HE43" s="568"/>
      <c r="HF43" s="568"/>
      <c r="HG43" s="568"/>
      <c r="HH43" s="568"/>
      <c r="HI43" s="568"/>
      <c r="HJ43" s="568"/>
      <c r="HK43" s="568"/>
      <c r="HL43" s="568"/>
      <c r="HM43" s="568"/>
      <c r="HN43" s="568"/>
      <c r="HO43" s="568"/>
      <c r="HP43" s="568"/>
      <c r="HQ43" s="568"/>
      <c r="HR43" s="568"/>
      <c r="HS43" s="568"/>
      <c r="HT43" s="568"/>
      <c r="HU43" s="568"/>
      <c r="HV43" s="568"/>
      <c r="HW43" s="568"/>
      <c r="HX43" s="568"/>
      <c r="HY43" s="568"/>
      <c r="HZ43" s="568"/>
      <c r="IA43" s="568"/>
      <c r="IB43" s="568"/>
      <c r="IC43" s="568"/>
      <c r="ID43" s="568"/>
      <c r="IE43" s="568"/>
      <c r="IF43" s="568"/>
      <c r="IG43" s="568"/>
      <c r="IH43" s="568"/>
      <c r="II43" s="568"/>
      <c r="IJ43" s="568"/>
      <c r="IK43" s="568"/>
      <c r="IL43" s="568"/>
      <c r="IM43" s="568"/>
      <c r="IN43" s="568"/>
      <c r="IO43" s="568"/>
      <c r="IP43" s="568"/>
      <c r="IQ43" s="568"/>
      <c r="IR43" s="568"/>
      <c r="IS43" s="568"/>
      <c r="IT43" s="568"/>
      <c r="IU43" s="568"/>
    </row>
    <row r="44" spans="1:255" ht="18" customHeight="1">
      <c r="A44" s="1073" t="s">
        <v>2470</v>
      </c>
      <c r="B44" s="561"/>
      <c r="D44" s="1085"/>
      <c r="E44" s="561"/>
      <c r="F44" s="561"/>
      <c r="G44" s="561"/>
      <c r="H44" s="561"/>
      <c r="I44" s="561"/>
      <c r="J44" s="561"/>
      <c r="K44" s="561"/>
      <c r="L44" s="561"/>
      <c r="M44" s="561"/>
      <c r="N44" s="561"/>
      <c r="O44" s="561"/>
      <c r="P44" s="561"/>
      <c r="Q44" s="561"/>
      <c r="R44" s="561"/>
      <c r="S44" s="561"/>
      <c r="T44" s="561"/>
      <c r="U44" s="561"/>
      <c r="V44" s="561"/>
      <c r="W44" s="561"/>
      <c r="X44" s="561"/>
      <c r="Y44" s="561"/>
      <c r="Z44" s="561"/>
      <c r="AA44" s="561"/>
      <c r="AB44" s="561"/>
      <c r="AC44" s="561"/>
      <c r="AD44" s="561"/>
      <c r="AE44" s="561"/>
      <c r="AF44" s="561"/>
      <c r="AG44" s="561"/>
      <c r="AH44" s="567"/>
      <c r="AI44" s="567"/>
      <c r="AJ44" s="567"/>
      <c r="AK44" s="567"/>
      <c r="AL44" s="567"/>
      <c r="AM44" s="567"/>
      <c r="AN44" s="1084">
        <v>15</v>
      </c>
      <c r="AO44" s="1084">
        <v>16</v>
      </c>
      <c r="AP44" s="567"/>
      <c r="AQ44" s="567"/>
      <c r="AR44" s="567"/>
      <c r="AS44" s="567"/>
      <c r="AT44" s="567"/>
      <c r="AU44" s="567"/>
      <c r="AV44" s="567"/>
      <c r="AW44" s="567"/>
      <c r="AX44" s="567"/>
      <c r="AY44" s="567"/>
      <c r="AZ44" s="567"/>
      <c r="BA44" s="567"/>
      <c r="BB44" s="567"/>
      <c r="BC44" s="567"/>
      <c r="BD44" s="568"/>
      <c r="BE44" s="568"/>
      <c r="BF44" s="568"/>
      <c r="BG44" s="568"/>
      <c r="BH44" s="568"/>
      <c r="BI44" s="568"/>
      <c r="BJ44" s="568"/>
      <c r="BK44" s="568"/>
      <c r="BL44" s="568"/>
      <c r="BM44" s="568"/>
      <c r="BN44" s="568"/>
      <c r="BO44" s="568"/>
      <c r="BP44" s="568"/>
      <c r="BQ44" s="568"/>
      <c r="BR44" s="568"/>
      <c r="BS44" s="568"/>
      <c r="BT44" s="568"/>
      <c r="BU44" s="568"/>
      <c r="BV44" s="568"/>
      <c r="BW44" s="568"/>
      <c r="BX44" s="568"/>
      <c r="BY44" s="568"/>
      <c r="BZ44" s="568"/>
      <c r="CA44" s="568"/>
      <c r="CB44" s="568"/>
      <c r="CC44" s="568"/>
      <c r="CD44" s="568"/>
      <c r="CE44" s="568"/>
      <c r="CF44" s="568"/>
      <c r="CG44" s="568"/>
      <c r="CH44" s="568"/>
      <c r="CI44" s="568"/>
      <c r="CJ44" s="568"/>
      <c r="CK44" s="568"/>
      <c r="CL44" s="568"/>
      <c r="CM44" s="568"/>
      <c r="CN44" s="568"/>
      <c r="CO44" s="568"/>
      <c r="CP44" s="568"/>
      <c r="CQ44" s="568"/>
      <c r="CR44" s="568"/>
      <c r="CS44" s="568"/>
      <c r="CT44" s="568"/>
      <c r="CU44" s="568"/>
      <c r="CV44" s="568"/>
      <c r="CW44" s="568"/>
      <c r="CX44" s="568"/>
      <c r="CY44" s="568"/>
      <c r="CZ44" s="568"/>
      <c r="DA44" s="568"/>
      <c r="DB44" s="568"/>
      <c r="DC44" s="568"/>
      <c r="DD44" s="568"/>
      <c r="DE44" s="568"/>
      <c r="DF44" s="568"/>
      <c r="DG44" s="568"/>
      <c r="DH44" s="568"/>
      <c r="DI44" s="568"/>
      <c r="DJ44" s="568"/>
      <c r="DK44" s="568"/>
      <c r="DL44" s="568"/>
      <c r="DM44" s="568"/>
      <c r="DN44" s="568"/>
      <c r="DO44" s="568"/>
      <c r="DP44" s="568"/>
      <c r="DQ44" s="568"/>
      <c r="DR44" s="568"/>
      <c r="DS44" s="568"/>
      <c r="DT44" s="568"/>
      <c r="DU44" s="568"/>
      <c r="DV44" s="568"/>
      <c r="DW44" s="568"/>
      <c r="DX44" s="568"/>
      <c r="DY44" s="568"/>
      <c r="DZ44" s="568"/>
      <c r="EA44" s="568"/>
      <c r="EB44" s="568"/>
      <c r="EC44" s="568"/>
      <c r="ED44" s="568"/>
      <c r="EE44" s="568"/>
      <c r="EF44" s="568"/>
      <c r="EG44" s="568"/>
      <c r="EH44" s="568"/>
      <c r="EI44" s="568"/>
      <c r="EJ44" s="568"/>
      <c r="EK44" s="568"/>
      <c r="EL44" s="568"/>
      <c r="EM44" s="568"/>
      <c r="EN44" s="568"/>
      <c r="EO44" s="568"/>
      <c r="EP44" s="568"/>
      <c r="EQ44" s="568"/>
      <c r="ER44" s="568"/>
      <c r="ES44" s="568"/>
      <c r="ET44" s="568"/>
      <c r="EU44" s="568"/>
      <c r="EV44" s="568"/>
      <c r="EW44" s="568"/>
      <c r="EX44" s="568"/>
      <c r="EY44" s="568"/>
      <c r="EZ44" s="568"/>
      <c r="FA44" s="568"/>
      <c r="FB44" s="568"/>
      <c r="FC44" s="568"/>
      <c r="FD44" s="568"/>
      <c r="FE44" s="568"/>
      <c r="FF44" s="568"/>
      <c r="FG44" s="568"/>
      <c r="FH44" s="568"/>
      <c r="FI44" s="568"/>
      <c r="FJ44" s="568"/>
      <c r="FK44" s="568"/>
      <c r="FL44" s="568"/>
      <c r="FM44" s="568"/>
      <c r="FN44" s="568"/>
      <c r="FO44" s="568"/>
      <c r="FP44" s="568"/>
      <c r="FQ44" s="568"/>
      <c r="FR44" s="568"/>
      <c r="FS44" s="568"/>
      <c r="FT44" s="568"/>
      <c r="FU44" s="568"/>
      <c r="FV44" s="568"/>
      <c r="FW44" s="568"/>
      <c r="FX44" s="568"/>
      <c r="FY44" s="568"/>
      <c r="FZ44" s="568"/>
      <c r="GA44" s="568"/>
      <c r="GB44" s="568"/>
      <c r="GC44" s="568"/>
      <c r="GD44" s="568"/>
      <c r="GE44" s="568"/>
      <c r="GF44" s="568"/>
      <c r="GG44" s="568"/>
      <c r="GH44" s="568"/>
      <c r="GI44" s="568"/>
      <c r="GJ44" s="568"/>
      <c r="GK44" s="568"/>
      <c r="GL44" s="568"/>
      <c r="GM44" s="568"/>
      <c r="GN44" s="568"/>
      <c r="GO44" s="568"/>
      <c r="GP44" s="568"/>
      <c r="GQ44" s="568"/>
      <c r="GR44" s="568"/>
      <c r="GS44" s="568"/>
      <c r="GT44" s="568"/>
      <c r="GU44" s="568"/>
      <c r="GV44" s="568"/>
      <c r="GW44" s="568"/>
      <c r="GX44" s="568"/>
      <c r="GY44" s="568"/>
      <c r="GZ44" s="568"/>
      <c r="HA44" s="568"/>
      <c r="HB44" s="568"/>
      <c r="HC44" s="568"/>
      <c r="HD44" s="568"/>
      <c r="HE44" s="568"/>
      <c r="HF44" s="568"/>
      <c r="HG44" s="568"/>
      <c r="HH44" s="568"/>
      <c r="HI44" s="568"/>
      <c r="HJ44" s="568"/>
      <c r="HK44" s="568"/>
      <c r="HL44" s="568"/>
      <c r="HM44" s="568"/>
      <c r="HN44" s="568"/>
      <c r="HO44" s="568"/>
      <c r="HP44" s="568"/>
      <c r="HQ44" s="568"/>
      <c r="HR44" s="568"/>
      <c r="HS44" s="568"/>
      <c r="HT44" s="568"/>
      <c r="HU44" s="568"/>
      <c r="HV44" s="568"/>
      <c r="HW44" s="568"/>
      <c r="HX44" s="568"/>
      <c r="HY44" s="568"/>
      <c r="HZ44" s="568"/>
      <c r="IA44" s="568"/>
      <c r="IB44" s="568"/>
      <c r="IC44" s="568"/>
      <c r="ID44" s="568"/>
      <c r="IE44" s="568"/>
      <c r="IF44" s="568"/>
      <c r="IG44" s="568"/>
      <c r="IH44" s="568"/>
      <c r="II44" s="568"/>
      <c r="IJ44" s="568"/>
      <c r="IK44" s="568"/>
      <c r="IL44" s="568"/>
      <c r="IM44" s="568"/>
      <c r="IN44" s="568"/>
      <c r="IO44" s="568"/>
      <c r="IP44" s="568"/>
      <c r="IQ44" s="568"/>
      <c r="IR44" s="568"/>
      <c r="IS44" s="568"/>
      <c r="IT44" s="568"/>
      <c r="IU44" s="568"/>
    </row>
    <row r="45" spans="1:255" ht="18" customHeight="1">
      <c r="A45" s="1075" t="str">
        <f ca="1">OFFSET(A23,D44-1,0)</f>
        <v>归属于母公司所有者净利润</v>
      </c>
      <c r="B45" s="1075"/>
      <c r="C45" s="1083" t="str">
        <f ca="1">IF(OFFSET(C25,$AN44-1,0)="","",OFFSET(C25,$AN44-1,0))</f>
        <v/>
      </c>
      <c r="D45" s="1083" t="str">
        <f ca="1">IF(OFFSET(D25,$AN44-1,0)="","",OFFSET(D25,$AN44-1,0))</f>
        <v/>
      </c>
      <c r="E45" s="1083" t="str">
        <f t="shared" ref="E45:N45" ca="1" si="11">IF(OFFSET(E25,$AN44-1,0)="","",OFFSET(E25,$AN44-1,0))</f>
        <v/>
      </c>
      <c r="F45" s="1083" t="str">
        <f t="shared" ca="1" si="11"/>
        <v/>
      </c>
      <c r="G45" s="1083">
        <f t="shared" ca="1" si="11"/>
        <v>-0.73548959845414108</v>
      </c>
      <c r="H45" s="1083">
        <f t="shared" ca="1" si="11"/>
        <v>-0.41601389993819138</v>
      </c>
      <c r="I45" s="1083">
        <f t="shared" ca="1" si="11"/>
        <v>-0.75379776257457642</v>
      </c>
      <c r="J45" s="1083">
        <f t="shared" ca="1" si="11"/>
        <v>-0.70241832583423958</v>
      </c>
      <c r="K45" s="1083">
        <f t="shared" ca="1" si="11"/>
        <v>-1</v>
      </c>
      <c r="L45" s="1083">
        <f t="shared" ca="1" si="11"/>
        <v>-1</v>
      </c>
      <c r="M45" s="1083">
        <f t="shared" ca="1" si="11"/>
        <v>-1</v>
      </c>
      <c r="N45" s="1083">
        <f t="shared" ca="1" si="11"/>
        <v>-1</v>
      </c>
      <c r="O45" s="561"/>
      <c r="P45" s="561"/>
      <c r="Q45" s="561"/>
      <c r="R45" s="561"/>
      <c r="S45" s="561"/>
      <c r="T45" s="561"/>
      <c r="U45" s="561"/>
      <c r="V45" s="561"/>
      <c r="W45" s="561"/>
      <c r="X45" s="561"/>
      <c r="Y45" s="561"/>
      <c r="Z45" s="561"/>
      <c r="AA45" s="561"/>
      <c r="AB45" s="561"/>
      <c r="AC45" s="561"/>
      <c r="AD45" s="561"/>
      <c r="AE45" s="561"/>
      <c r="AF45" s="561"/>
      <c r="AG45" s="561"/>
      <c r="AH45" s="567"/>
      <c r="AI45" s="567"/>
      <c r="AJ45" s="567"/>
      <c r="AK45" s="567"/>
      <c r="AL45" s="567"/>
      <c r="AM45" s="567"/>
      <c r="AN45" s="567"/>
      <c r="AO45" s="567"/>
      <c r="AP45" s="567"/>
      <c r="AQ45" s="567"/>
      <c r="AR45" s="567"/>
      <c r="AS45" s="567"/>
      <c r="AT45" s="567"/>
      <c r="AU45" s="567"/>
      <c r="AV45" s="567"/>
      <c r="AW45" s="567"/>
      <c r="AX45" s="567"/>
      <c r="AY45" s="567"/>
      <c r="AZ45" s="567"/>
      <c r="BA45" s="567"/>
      <c r="BB45" s="567"/>
      <c r="BC45" s="567"/>
      <c r="BD45" s="568"/>
      <c r="BE45" s="568"/>
      <c r="BF45" s="568"/>
      <c r="BG45" s="568"/>
      <c r="BH45" s="568"/>
      <c r="BI45" s="568"/>
      <c r="BJ45" s="568"/>
      <c r="BK45" s="568"/>
      <c r="BL45" s="568"/>
      <c r="BM45" s="568"/>
      <c r="BN45" s="568"/>
      <c r="BO45" s="568"/>
      <c r="BP45" s="568"/>
      <c r="BQ45" s="568"/>
      <c r="BR45" s="568"/>
      <c r="BS45" s="568"/>
      <c r="BT45" s="568"/>
      <c r="BU45" s="568"/>
      <c r="BV45" s="568"/>
      <c r="BW45" s="568"/>
      <c r="BX45" s="568"/>
      <c r="BY45" s="568"/>
      <c r="BZ45" s="568"/>
      <c r="CA45" s="568"/>
      <c r="CB45" s="568"/>
      <c r="CC45" s="568"/>
      <c r="CD45" s="568"/>
      <c r="CE45" s="568"/>
      <c r="CF45" s="568"/>
      <c r="CG45" s="568"/>
      <c r="CH45" s="568"/>
      <c r="CI45" s="568"/>
      <c r="CJ45" s="568"/>
      <c r="CK45" s="568"/>
      <c r="CL45" s="568"/>
      <c r="CM45" s="568"/>
      <c r="CN45" s="568"/>
      <c r="CO45" s="568"/>
      <c r="CP45" s="568"/>
      <c r="CQ45" s="568"/>
      <c r="CR45" s="568"/>
      <c r="CS45" s="568"/>
      <c r="CT45" s="568"/>
      <c r="CU45" s="568"/>
      <c r="CV45" s="568"/>
      <c r="CW45" s="568"/>
      <c r="CX45" s="568"/>
      <c r="CY45" s="568"/>
      <c r="CZ45" s="568"/>
      <c r="DA45" s="568"/>
      <c r="DB45" s="568"/>
      <c r="DC45" s="568"/>
      <c r="DD45" s="568"/>
      <c r="DE45" s="568"/>
      <c r="DF45" s="568"/>
      <c r="DG45" s="568"/>
      <c r="DH45" s="568"/>
      <c r="DI45" s="568"/>
      <c r="DJ45" s="568"/>
      <c r="DK45" s="568"/>
      <c r="DL45" s="568"/>
      <c r="DM45" s="568"/>
      <c r="DN45" s="568"/>
      <c r="DO45" s="568"/>
      <c r="DP45" s="568"/>
      <c r="DQ45" s="568"/>
      <c r="DR45" s="568"/>
      <c r="DS45" s="568"/>
      <c r="DT45" s="568"/>
      <c r="DU45" s="568"/>
      <c r="DV45" s="568"/>
      <c r="DW45" s="568"/>
      <c r="DX45" s="568"/>
      <c r="DY45" s="568"/>
      <c r="DZ45" s="568"/>
      <c r="EA45" s="568"/>
      <c r="EB45" s="568"/>
      <c r="EC45" s="568"/>
      <c r="ED45" s="568"/>
      <c r="EE45" s="568"/>
      <c r="EF45" s="568"/>
      <c r="EG45" s="568"/>
      <c r="EH45" s="568"/>
      <c r="EI45" s="568"/>
      <c r="EJ45" s="568"/>
      <c r="EK45" s="568"/>
      <c r="EL45" s="568"/>
      <c r="EM45" s="568"/>
      <c r="EN45" s="568"/>
      <c r="EO45" s="568"/>
      <c r="EP45" s="568"/>
      <c r="EQ45" s="568"/>
      <c r="ER45" s="568"/>
      <c r="ES45" s="568"/>
      <c r="ET45" s="568"/>
      <c r="EU45" s="568"/>
      <c r="EV45" s="568"/>
      <c r="EW45" s="568"/>
      <c r="EX45" s="568"/>
      <c r="EY45" s="568"/>
      <c r="EZ45" s="568"/>
      <c r="FA45" s="568"/>
      <c r="FB45" s="568"/>
      <c r="FC45" s="568"/>
      <c r="FD45" s="568"/>
      <c r="FE45" s="568"/>
      <c r="FF45" s="568"/>
      <c r="FG45" s="568"/>
      <c r="FH45" s="568"/>
      <c r="FI45" s="568"/>
      <c r="FJ45" s="568"/>
      <c r="FK45" s="568"/>
      <c r="FL45" s="568"/>
      <c r="FM45" s="568"/>
      <c r="FN45" s="568"/>
      <c r="FO45" s="568"/>
      <c r="FP45" s="568"/>
      <c r="FQ45" s="568"/>
      <c r="FR45" s="568"/>
      <c r="FS45" s="568"/>
      <c r="FT45" s="568"/>
      <c r="FU45" s="568"/>
      <c r="FV45" s="568"/>
      <c r="FW45" s="568"/>
      <c r="FX45" s="568"/>
      <c r="FY45" s="568"/>
      <c r="FZ45" s="568"/>
      <c r="GA45" s="568"/>
      <c r="GB45" s="568"/>
      <c r="GC45" s="568"/>
      <c r="GD45" s="568"/>
      <c r="GE45" s="568"/>
      <c r="GF45" s="568"/>
      <c r="GG45" s="568"/>
      <c r="GH45" s="568"/>
      <c r="GI45" s="568"/>
      <c r="GJ45" s="568"/>
      <c r="GK45" s="568"/>
      <c r="GL45" s="568"/>
      <c r="GM45" s="568"/>
      <c r="GN45" s="568"/>
      <c r="GO45" s="568"/>
      <c r="GP45" s="568"/>
      <c r="GQ45" s="568"/>
      <c r="GR45" s="568"/>
      <c r="GS45" s="568"/>
      <c r="GT45" s="568"/>
      <c r="GU45" s="568"/>
      <c r="GV45" s="568"/>
      <c r="GW45" s="568"/>
      <c r="GX45" s="568"/>
      <c r="GY45" s="568"/>
      <c r="GZ45" s="568"/>
      <c r="HA45" s="568"/>
      <c r="HB45" s="568"/>
      <c r="HC45" s="568"/>
      <c r="HD45" s="568"/>
      <c r="HE45" s="568"/>
      <c r="HF45" s="568"/>
      <c r="HG45" s="568"/>
      <c r="HH45" s="568"/>
      <c r="HI45" s="568"/>
      <c r="HJ45" s="568"/>
      <c r="HK45" s="568"/>
      <c r="HL45" s="568"/>
      <c r="HM45" s="568"/>
      <c r="HN45" s="568"/>
      <c r="HO45" s="568"/>
      <c r="HP45" s="568"/>
      <c r="HQ45" s="568"/>
      <c r="HR45" s="568"/>
      <c r="HS45" s="568"/>
      <c r="HT45" s="568"/>
      <c r="HU45" s="568"/>
      <c r="HV45" s="568"/>
      <c r="HW45" s="568"/>
      <c r="HX45" s="568"/>
      <c r="HY45" s="568"/>
      <c r="HZ45" s="568"/>
      <c r="IA45" s="568"/>
      <c r="IB45" s="568"/>
      <c r="IC45" s="568"/>
      <c r="ID45" s="568"/>
      <c r="IE45" s="568"/>
      <c r="IF45" s="568"/>
      <c r="IG45" s="568"/>
      <c r="IH45" s="568"/>
      <c r="II45" s="568"/>
      <c r="IJ45" s="568"/>
      <c r="IK45" s="568"/>
      <c r="IL45" s="568"/>
      <c r="IM45" s="568"/>
      <c r="IN45" s="568"/>
      <c r="IO45" s="568"/>
      <c r="IP45" s="568"/>
      <c r="IQ45" s="568"/>
      <c r="IR45" s="568"/>
      <c r="IS45" s="568"/>
      <c r="IT45" s="568"/>
      <c r="IU45" s="568"/>
    </row>
    <row r="46" spans="1:255" ht="18" customHeight="1">
      <c r="A46" s="1076" t="str">
        <f ca="1">OFFSET(A23,AO44-1,0)</f>
        <v>营业利润率</v>
      </c>
      <c r="B46" s="1076"/>
      <c r="C46" s="1083" t="str">
        <f ca="1">IF(OFFSET(C25,$AO44-1,0)="","",OFFSET(C25,$AO44-1,0))</f>
        <v/>
      </c>
      <c r="D46" s="1083" t="str">
        <f ca="1">IF(OFFSET(D25,$AO44-1,0)="","",OFFSET(D25,$AO44-1,0))</f>
        <v/>
      </c>
      <c r="E46" s="1083">
        <f t="shared" ref="E46:N46" ca="1" si="12">IF(OFFSET(E25,$AO44-1,0)="","",OFFSET(E25,$AO44-1,0))</f>
        <v>0.46852580336126826</v>
      </c>
      <c r="F46" s="1083">
        <f t="shared" ca="1" si="12"/>
        <v>-0.83792972848519987</v>
      </c>
      <c r="G46" s="1083">
        <f t="shared" ca="1" si="12"/>
        <v>-4.8247205136511973</v>
      </c>
      <c r="H46" s="1083">
        <f t="shared" ca="1" si="12"/>
        <v>-1.641531319579717</v>
      </c>
      <c r="I46" s="1083">
        <f t="shared" ca="1" si="12"/>
        <v>-0.95929616155999098</v>
      </c>
      <c r="J46" s="1083">
        <f t="shared" ca="1" si="12"/>
        <v>7.3152397547722643</v>
      </c>
      <c r="K46" s="1083" t="str">
        <f t="shared" ca="1" si="12"/>
        <v/>
      </c>
      <c r="L46" s="1083" t="str">
        <f t="shared" ca="1" si="12"/>
        <v/>
      </c>
      <c r="M46" s="1083" t="str">
        <f t="shared" ca="1" si="12"/>
        <v/>
      </c>
      <c r="N46" s="1083" t="str">
        <f t="shared" ca="1" si="12"/>
        <v/>
      </c>
      <c r="O46" s="561"/>
      <c r="P46" s="561"/>
      <c r="Q46" s="561"/>
      <c r="R46" s="561"/>
      <c r="S46" s="561"/>
      <c r="T46" s="561"/>
      <c r="U46" s="561"/>
      <c r="V46" s="561"/>
      <c r="W46" s="561"/>
      <c r="X46" s="561"/>
      <c r="Y46" s="561"/>
      <c r="Z46" s="561"/>
      <c r="AA46" s="561"/>
      <c r="AB46" s="561"/>
      <c r="AC46" s="561"/>
      <c r="AD46" s="561"/>
      <c r="AE46" s="561"/>
      <c r="AF46" s="561"/>
      <c r="AG46" s="561"/>
      <c r="AH46" s="567"/>
      <c r="AI46" s="567"/>
      <c r="AJ46" s="567"/>
      <c r="AK46" s="567"/>
      <c r="AL46" s="567"/>
      <c r="AM46" s="567"/>
      <c r="AN46" s="567"/>
      <c r="AO46" s="567"/>
      <c r="AP46" s="567"/>
      <c r="AQ46" s="567"/>
      <c r="AR46" s="567"/>
      <c r="AS46" s="567"/>
      <c r="AT46" s="567"/>
      <c r="AU46" s="567"/>
      <c r="AV46" s="567"/>
      <c r="AW46" s="567"/>
      <c r="AX46" s="567"/>
      <c r="AY46" s="567"/>
      <c r="AZ46" s="567"/>
      <c r="BA46" s="567"/>
      <c r="BB46" s="567"/>
      <c r="BC46" s="567"/>
      <c r="BD46" s="568"/>
      <c r="BE46" s="568"/>
      <c r="BF46" s="568"/>
      <c r="BG46" s="568"/>
      <c r="BH46" s="568"/>
      <c r="BI46" s="568"/>
      <c r="BJ46" s="568"/>
      <c r="BK46" s="568"/>
      <c r="BL46" s="568"/>
      <c r="BM46" s="568"/>
      <c r="BN46" s="568"/>
      <c r="BO46" s="568"/>
      <c r="BP46" s="568"/>
      <c r="BQ46" s="568"/>
      <c r="BR46" s="568"/>
      <c r="BS46" s="568"/>
      <c r="BT46" s="568"/>
      <c r="BU46" s="568"/>
      <c r="BV46" s="568"/>
      <c r="BW46" s="568"/>
      <c r="BX46" s="568"/>
      <c r="BY46" s="568"/>
      <c r="BZ46" s="568"/>
      <c r="CA46" s="568"/>
      <c r="CB46" s="568"/>
      <c r="CC46" s="568"/>
      <c r="CD46" s="568"/>
      <c r="CE46" s="568"/>
      <c r="CF46" s="568"/>
      <c r="CG46" s="568"/>
      <c r="CH46" s="568"/>
      <c r="CI46" s="568"/>
      <c r="CJ46" s="568"/>
      <c r="CK46" s="568"/>
      <c r="CL46" s="568"/>
      <c r="CM46" s="568"/>
      <c r="CN46" s="568"/>
      <c r="CO46" s="568"/>
      <c r="CP46" s="568"/>
      <c r="CQ46" s="568"/>
      <c r="CR46" s="568"/>
      <c r="CS46" s="568"/>
      <c r="CT46" s="568"/>
      <c r="CU46" s="568"/>
      <c r="CV46" s="568"/>
      <c r="CW46" s="568"/>
      <c r="CX46" s="568"/>
      <c r="CY46" s="568"/>
      <c r="CZ46" s="568"/>
      <c r="DA46" s="568"/>
      <c r="DB46" s="568"/>
      <c r="DC46" s="568"/>
      <c r="DD46" s="568"/>
      <c r="DE46" s="568"/>
      <c r="DF46" s="568"/>
      <c r="DG46" s="568"/>
      <c r="DH46" s="568"/>
      <c r="DI46" s="568"/>
      <c r="DJ46" s="568"/>
      <c r="DK46" s="568"/>
      <c r="DL46" s="568"/>
      <c r="DM46" s="568"/>
      <c r="DN46" s="568"/>
      <c r="DO46" s="568"/>
      <c r="DP46" s="568"/>
      <c r="DQ46" s="568"/>
      <c r="DR46" s="568"/>
      <c r="DS46" s="568"/>
      <c r="DT46" s="568"/>
      <c r="DU46" s="568"/>
      <c r="DV46" s="568"/>
      <c r="DW46" s="568"/>
      <c r="DX46" s="568"/>
      <c r="DY46" s="568"/>
      <c r="DZ46" s="568"/>
      <c r="EA46" s="568"/>
      <c r="EB46" s="568"/>
      <c r="EC46" s="568"/>
      <c r="ED46" s="568"/>
      <c r="EE46" s="568"/>
      <c r="EF46" s="568"/>
      <c r="EG46" s="568"/>
      <c r="EH46" s="568"/>
      <c r="EI46" s="568"/>
      <c r="EJ46" s="568"/>
      <c r="EK46" s="568"/>
      <c r="EL46" s="568"/>
      <c r="EM46" s="568"/>
      <c r="EN46" s="568"/>
      <c r="EO46" s="568"/>
      <c r="EP46" s="568"/>
      <c r="EQ46" s="568"/>
      <c r="ER46" s="568"/>
      <c r="ES46" s="568"/>
      <c r="ET46" s="568"/>
      <c r="EU46" s="568"/>
      <c r="EV46" s="568"/>
      <c r="EW46" s="568"/>
      <c r="EX46" s="568"/>
      <c r="EY46" s="568"/>
      <c r="EZ46" s="568"/>
      <c r="FA46" s="568"/>
      <c r="FB46" s="568"/>
      <c r="FC46" s="568"/>
      <c r="FD46" s="568"/>
      <c r="FE46" s="568"/>
      <c r="FF46" s="568"/>
      <c r="FG46" s="568"/>
      <c r="FH46" s="568"/>
      <c r="FI46" s="568"/>
      <c r="FJ46" s="568"/>
      <c r="FK46" s="568"/>
      <c r="FL46" s="568"/>
      <c r="FM46" s="568"/>
      <c r="FN46" s="568"/>
      <c r="FO46" s="568"/>
      <c r="FP46" s="568"/>
      <c r="FQ46" s="568"/>
      <c r="FR46" s="568"/>
      <c r="FS46" s="568"/>
      <c r="FT46" s="568"/>
      <c r="FU46" s="568"/>
      <c r="FV46" s="568"/>
      <c r="FW46" s="568"/>
      <c r="FX46" s="568"/>
      <c r="FY46" s="568"/>
      <c r="FZ46" s="568"/>
      <c r="GA46" s="568"/>
      <c r="GB46" s="568"/>
      <c r="GC46" s="568"/>
      <c r="GD46" s="568"/>
      <c r="GE46" s="568"/>
      <c r="GF46" s="568"/>
      <c r="GG46" s="568"/>
      <c r="GH46" s="568"/>
      <c r="GI46" s="568"/>
      <c r="GJ46" s="568"/>
      <c r="GK46" s="568"/>
      <c r="GL46" s="568"/>
      <c r="GM46" s="568"/>
      <c r="GN46" s="568"/>
      <c r="GO46" s="568"/>
      <c r="GP46" s="568"/>
      <c r="GQ46" s="568"/>
      <c r="GR46" s="568"/>
      <c r="GS46" s="568"/>
      <c r="GT46" s="568"/>
      <c r="GU46" s="568"/>
      <c r="GV46" s="568"/>
      <c r="GW46" s="568"/>
      <c r="GX46" s="568"/>
      <c r="GY46" s="568"/>
      <c r="GZ46" s="568"/>
      <c r="HA46" s="568"/>
      <c r="HB46" s="568"/>
      <c r="HC46" s="568"/>
      <c r="HD46" s="568"/>
      <c r="HE46" s="568"/>
      <c r="HF46" s="568"/>
      <c r="HG46" s="568"/>
      <c r="HH46" s="568"/>
      <c r="HI46" s="568"/>
      <c r="HJ46" s="568"/>
      <c r="HK46" s="568"/>
      <c r="HL46" s="568"/>
      <c r="HM46" s="568"/>
      <c r="HN46" s="568"/>
      <c r="HO46" s="568"/>
      <c r="HP46" s="568"/>
      <c r="HQ46" s="568"/>
      <c r="HR46" s="568"/>
      <c r="HS46" s="568"/>
      <c r="HT46" s="568"/>
      <c r="HU46" s="568"/>
      <c r="HV46" s="568"/>
      <c r="HW46" s="568"/>
      <c r="HX46" s="568"/>
      <c r="HY46" s="568"/>
      <c r="HZ46" s="568"/>
      <c r="IA46" s="568"/>
      <c r="IB46" s="568"/>
      <c r="IC46" s="568"/>
      <c r="ID46" s="568"/>
      <c r="IE46" s="568"/>
      <c r="IF46" s="568"/>
      <c r="IG46" s="568"/>
      <c r="IH46" s="568"/>
      <c r="II46" s="568"/>
      <c r="IJ46" s="568"/>
      <c r="IK46" s="568"/>
      <c r="IL46" s="568"/>
      <c r="IM46" s="568"/>
      <c r="IN46" s="568"/>
      <c r="IO46" s="568"/>
      <c r="IP46" s="568"/>
      <c r="IQ46" s="568"/>
      <c r="IR46" s="568"/>
      <c r="IS46" s="568"/>
      <c r="IT46" s="568"/>
      <c r="IU46" s="568"/>
    </row>
    <row r="47" spans="1:255" s="568" customFormat="1" ht="18" customHeight="1">
      <c r="A47" s="1086"/>
      <c r="B47" s="98"/>
      <c r="C47" s="561"/>
      <c r="D47" s="561"/>
      <c r="E47" s="561"/>
      <c r="F47" s="561"/>
      <c r="G47" s="561"/>
      <c r="H47" s="561"/>
      <c r="I47" s="561"/>
      <c r="J47" s="561"/>
      <c r="K47" s="561"/>
      <c r="L47" s="561"/>
      <c r="M47" s="561"/>
      <c r="N47" s="561"/>
      <c r="O47" s="561"/>
      <c r="P47" s="561"/>
      <c r="Q47" s="561"/>
      <c r="R47" s="561"/>
      <c r="S47" s="561"/>
      <c r="T47" s="561"/>
      <c r="U47" s="561"/>
      <c r="V47" s="561"/>
      <c r="W47" s="561"/>
      <c r="X47" s="561"/>
      <c r="Y47" s="561"/>
      <c r="Z47" s="561"/>
      <c r="AA47" s="561"/>
      <c r="AB47" s="561"/>
      <c r="AC47" s="561"/>
      <c r="AD47" s="561"/>
      <c r="AE47" s="561"/>
      <c r="AF47" s="561"/>
      <c r="AG47" s="561"/>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row>
    <row r="48" spans="1:255" s="568" customFormat="1" ht="18" customHeight="1">
      <c r="A48" s="1086" t="str">
        <f ca="1">IF(OFFSET(A25,$AN44-1,0)="","",OFFSET(A25,$AN44-1,0))</f>
        <v>净利润增长率</v>
      </c>
      <c r="B48" s="98"/>
      <c r="C48" s="561"/>
      <c r="D48" s="561"/>
      <c r="E48" s="561"/>
      <c r="F48" s="561"/>
      <c r="G48" s="561"/>
      <c r="H48" s="561"/>
      <c r="I48" s="561"/>
      <c r="J48" s="561"/>
      <c r="K48" s="561"/>
      <c r="L48" s="561"/>
      <c r="M48" s="561"/>
      <c r="N48" s="561"/>
      <c r="O48" s="561"/>
      <c r="P48" s="561"/>
      <c r="Q48" s="561"/>
      <c r="R48" s="561"/>
      <c r="S48" s="561"/>
      <c r="T48" s="562"/>
      <c r="U48" s="561"/>
      <c r="V48" s="561"/>
      <c r="W48" s="561"/>
      <c r="X48" s="561"/>
      <c r="Y48" s="561"/>
      <c r="Z48" s="561"/>
      <c r="AA48" s="561"/>
      <c r="AB48" s="561"/>
      <c r="AC48" s="561"/>
      <c r="AD48" s="561"/>
      <c r="AE48" s="561"/>
      <c r="AF48" s="561"/>
      <c r="AG48" s="561"/>
      <c r="AH48" s="567"/>
      <c r="AI48" s="567"/>
      <c r="AJ48" s="567"/>
      <c r="AK48" s="567"/>
      <c r="AL48" s="567"/>
      <c r="AM48" s="567"/>
      <c r="AN48" s="567"/>
      <c r="AO48" s="567"/>
      <c r="AP48" s="567"/>
      <c r="AQ48" s="567"/>
      <c r="AR48" s="567"/>
      <c r="AS48" s="567"/>
      <c r="AT48" s="567"/>
      <c r="AU48" s="567"/>
      <c r="AV48" s="567"/>
      <c r="AW48" s="567"/>
      <c r="AX48" s="567"/>
      <c r="AY48" s="567"/>
      <c r="AZ48" s="567"/>
      <c r="BA48" s="567"/>
      <c r="BB48" s="567"/>
      <c r="BC48" s="567"/>
    </row>
    <row r="49" spans="1:255" ht="18" customHeight="1">
      <c r="A49" s="1087" t="str">
        <f ca="1">IF(OFFSET(A25,$AO44-1,0)="","",OFFSET(A25,$AO44-1,0))</f>
        <v>净利润增长率(环比)</v>
      </c>
      <c r="B49" s="561"/>
      <c r="C49" s="561"/>
      <c r="D49" s="561"/>
      <c r="E49" s="561"/>
      <c r="F49" s="561"/>
      <c r="G49" s="561"/>
      <c r="H49" s="561"/>
      <c r="I49" s="561"/>
      <c r="J49" s="561"/>
      <c r="K49" s="561"/>
      <c r="L49" s="561"/>
      <c r="M49" s="561"/>
      <c r="N49" s="561"/>
      <c r="O49" s="561"/>
      <c r="P49" s="561"/>
      <c r="Q49" s="561"/>
      <c r="R49" s="561"/>
      <c r="S49" s="561"/>
      <c r="T49" s="561"/>
      <c r="U49" s="561"/>
      <c r="V49" s="561"/>
      <c r="W49" s="561"/>
      <c r="X49" s="561"/>
      <c r="Y49" s="561"/>
      <c r="Z49" s="561"/>
      <c r="AA49" s="561"/>
      <c r="AB49" s="561"/>
      <c r="AC49" s="561"/>
      <c r="AD49" s="561"/>
      <c r="AE49" s="561"/>
      <c r="AF49" s="561"/>
      <c r="AG49" s="561"/>
      <c r="AH49" s="567"/>
      <c r="AI49" s="567"/>
      <c r="AJ49" s="567"/>
      <c r="AK49" s="567"/>
      <c r="AL49" s="567"/>
      <c r="AM49" s="567"/>
      <c r="AN49" s="567"/>
      <c r="AO49" s="567"/>
      <c r="AP49" s="567"/>
      <c r="AQ49" s="567"/>
      <c r="AR49" s="567"/>
      <c r="AS49" s="567"/>
      <c r="AT49" s="567"/>
      <c r="AU49" s="567"/>
      <c r="AV49" s="567"/>
      <c r="AW49" s="567"/>
      <c r="AX49" s="567"/>
      <c r="AY49" s="567"/>
      <c r="AZ49" s="567"/>
      <c r="BA49" s="567"/>
      <c r="BB49" s="567"/>
      <c r="BC49" s="567"/>
      <c r="BD49" s="568"/>
      <c r="BE49" s="568"/>
      <c r="BF49" s="568"/>
      <c r="BG49" s="568"/>
      <c r="BH49" s="568"/>
      <c r="BI49" s="568"/>
      <c r="BJ49" s="568"/>
      <c r="BK49" s="568"/>
      <c r="BL49" s="568"/>
      <c r="BM49" s="568"/>
      <c r="BN49" s="568"/>
      <c r="BO49" s="568"/>
      <c r="BP49" s="568"/>
      <c r="BQ49" s="568"/>
      <c r="BR49" s="568"/>
      <c r="BS49" s="568"/>
      <c r="BT49" s="568"/>
      <c r="BU49" s="568"/>
      <c r="BV49" s="568"/>
      <c r="BW49" s="568"/>
      <c r="BX49" s="568"/>
      <c r="BY49" s="568"/>
      <c r="BZ49" s="568"/>
      <c r="CA49" s="568"/>
      <c r="CB49" s="568"/>
      <c r="CC49" s="568"/>
      <c r="CD49" s="568"/>
      <c r="CE49" s="568"/>
      <c r="CF49" s="568"/>
      <c r="CG49" s="568"/>
      <c r="CH49" s="568"/>
      <c r="CI49" s="568"/>
      <c r="CJ49" s="568"/>
      <c r="CK49" s="568"/>
      <c r="CL49" s="568"/>
      <c r="CM49" s="568"/>
      <c r="CN49" s="568"/>
      <c r="CO49" s="568"/>
      <c r="CP49" s="568"/>
      <c r="CQ49" s="568"/>
      <c r="CR49" s="568"/>
      <c r="CS49" s="568"/>
      <c r="CT49" s="568"/>
      <c r="CU49" s="568"/>
      <c r="CV49" s="568"/>
      <c r="CW49" s="568"/>
      <c r="CX49" s="568"/>
      <c r="CY49" s="568"/>
      <c r="CZ49" s="568"/>
      <c r="DA49" s="568"/>
      <c r="DB49" s="568"/>
      <c r="DC49" s="568"/>
      <c r="DD49" s="568"/>
      <c r="DE49" s="568"/>
      <c r="DF49" s="568"/>
      <c r="DG49" s="568"/>
      <c r="DH49" s="568"/>
      <c r="DI49" s="568"/>
      <c r="DJ49" s="568"/>
      <c r="DK49" s="568"/>
      <c r="DL49" s="568"/>
      <c r="DM49" s="568"/>
      <c r="DN49" s="568"/>
      <c r="DO49" s="568"/>
      <c r="DP49" s="568"/>
      <c r="DQ49" s="568"/>
      <c r="DR49" s="568"/>
      <c r="DS49" s="568"/>
      <c r="DT49" s="568"/>
      <c r="DU49" s="568"/>
      <c r="DV49" s="568"/>
      <c r="DW49" s="568"/>
      <c r="DX49" s="568"/>
      <c r="DY49" s="568"/>
      <c r="DZ49" s="568"/>
      <c r="EA49" s="568"/>
      <c r="EB49" s="568"/>
      <c r="EC49" s="568"/>
      <c r="ED49" s="568"/>
      <c r="EE49" s="568"/>
      <c r="EF49" s="568"/>
      <c r="EG49" s="568"/>
      <c r="EH49" s="568"/>
      <c r="EI49" s="568"/>
      <c r="EJ49" s="568"/>
      <c r="EK49" s="568"/>
      <c r="EL49" s="568"/>
      <c r="EM49" s="568"/>
      <c r="EN49" s="568"/>
      <c r="EO49" s="568"/>
      <c r="EP49" s="568"/>
      <c r="EQ49" s="568"/>
      <c r="ER49" s="568"/>
      <c r="ES49" s="568"/>
      <c r="ET49" s="568"/>
      <c r="EU49" s="568"/>
      <c r="EV49" s="568"/>
      <c r="EW49" s="568"/>
      <c r="EX49" s="568"/>
      <c r="EY49" s="568"/>
      <c r="EZ49" s="568"/>
      <c r="FA49" s="568"/>
      <c r="FB49" s="568"/>
      <c r="FC49" s="568"/>
      <c r="FD49" s="568"/>
      <c r="FE49" s="568"/>
      <c r="FF49" s="568"/>
      <c r="FG49" s="568"/>
      <c r="FH49" s="568"/>
      <c r="FI49" s="568"/>
      <c r="FJ49" s="568"/>
      <c r="FK49" s="568"/>
      <c r="FL49" s="568"/>
      <c r="FM49" s="568"/>
      <c r="FN49" s="568"/>
      <c r="FO49" s="568"/>
      <c r="FP49" s="568"/>
      <c r="FQ49" s="568"/>
      <c r="FR49" s="568"/>
      <c r="FS49" s="568"/>
      <c r="FT49" s="568"/>
      <c r="FU49" s="568"/>
      <c r="FV49" s="568"/>
      <c r="FW49" s="568"/>
      <c r="FX49" s="568"/>
      <c r="FY49" s="568"/>
      <c r="FZ49" s="568"/>
      <c r="GA49" s="568"/>
      <c r="GB49" s="568"/>
      <c r="GC49" s="568"/>
      <c r="GD49" s="568"/>
      <c r="GE49" s="568"/>
      <c r="GF49" s="568"/>
      <c r="GG49" s="568"/>
      <c r="GH49" s="568"/>
      <c r="GI49" s="568"/>
      <c r="GJ49" s="568"/>
      <c r="GK49" s="568"/>
      <c r="GL49" s="568"/>
      <c r="GM49" s="568"/>
      <c r="GN49" s="568"/>
      <c r="GO49" s="568"/>
      <c r="GP49" s="568"/>
      <c r="GQ49" s="568"/>
      <c r="GR49" s="568"/>
      <c r="GS49" s="568"/>
      <c r="GT49" s="568"/>
      <c r="GU49" s="568"/>
      <c r="GV49" s="568"/>
      <c r="GW49" s="568"/>
      <c r="GX49" s="568"/>
      <c r="GY49" s="568"/>
      <c r="GZ49" s="568"/>
      <c r="HA49" s="568"/>
      <c r="HB49" s="568"/>
      <c r="HC49" s="568"/>
      <c r="HD49" s="568"/>
      <c r="HE49" s="568"/>
      <c r="HF49" s="568"/>
      <c r="HG49" s="568"/>
      <c r="HH49" s="568"/>
      <c r="HI49" s="568"/>
      <c r="HJ49" s="568"/>
      <c r="HK49" s="568"/>
      <c r="HL49" s="568"/>
      <c r="HM49" s="568"/>
      <c r="HN49" s="568"/>
      <c r="HO49" s="568"/>
      <c r="HP49" s="568"/>
      <c r="HQ49" s="568"/>
      <c r="HR49" s="568"/>
      <c r="HS49" s="568"/>
      <c r="HT49" s="568"/>
      <c r="HU49" s="568"/>
      <c r="HV49" s="568"/>
      <c r="HW49" s="568"/>
      <c r="HX49" s="568"/>
      <c r="HY49" s="568"/>
      <c r="HZ49" s="568"/>
      <c r="IA49" s="568"/>
      <c r="IB49" s="568"/>
      <c r="IC49" s="568"/>
      <c r="ID49" s="568"/>
      <c r="IE49" s="568"/>
      <c r="IF49" s="568"/>
      <c r="IG49" s="568"/>
      <c r="IH49" s="568"/>
      <c r="II49" s="568"/>
      <c r="IJ49" s="568"/>
      <c r="IK49" s="568"/>
      <c r="IL49" s="568"/>
      <c r="IM49" s="568"/>
      <c r="IN49" s="568"/>
      <c r="IO49" s="568"/>
      <c r="IP49" s="568"/>
      <c r="IQ49" s="568"/>
      <c r="IR49" s="568"/>
      <c r="IS49" s="568"/>
      <c r="IT49" s="568"/>
      <c r="IU49" s="568"/>
    </row>
    <row r="50" spans="1:255" s="584" customFormat="1" ht="18" customHeight="1">
      <c r="A50" s="1088"/>
      <c r="B50" s="562"/>
      <c r="C50" s="583"/>
      <c r="D50" s="583">
        <v>8</v>
      </c>
      <c r="E50" s="583"/>
      <c r="F50" s="583"/>
      <c r="G50" s="583"/>
      <c r="H50" s="583"/>
      <c r="I50" s="583"/>
      <c r="J50" s="562"/>
      <c r="K50" s="562"/>
      <c r="L50" s="562"/>
      <c r="M50" s="562"/>
      <c r="N50" s="562"/>
      <c r="O50" s="562"/>
      <c r="P50" s="562"/>
      <c r="Q50" s="562"/>
      <c r="R50" s="562"/>
      <c r="S50" s="562"/>
      <c r="T50" s="561"/>
      <c r="U50" s="562"/>
      <c r="V50" s="562"/>
      <c r="W50" s="562"/>
      <c r="X50" s="562"/>
      <c r="Y50" s="562"/>
      <c r="Z50" s="562"/>
      <c r="AA50" s="562"/>
      <c r="AB50" s="562"/>
      <c r="AC50" s="562"/>
      <c r="AD50" s="562"/>
      <c r="AE50" s="562"/>
      <c r="AF50" s="562"/>
      <c r="AG50" s="562"/>
      <c r="AH50" s="563"/>
      <c r="AI50" s="563"/>
      <c r="AJ50" s="563"/>
      <c r="AK50" s="563"/>
      <c r="AL50" s="563"/>
      <c r="AM50" s="563"/>
      <c r="AN50" s="563"/>
      <c r="AO50" s="563"/>
      <c r="AP50" s="563"/>
      <c r="AQ50" s="563"/>
      <c r="AR50" s="563"/>
      <c r="AS50" s="563"/>
      <c r="AT50" s="563"/>
      <c r="AU50" s="563"/>
      <c r="AV50" s="563"/>
      <c r="AW50" s="563"/>
      <c r="AX50" s="563"/>
      <c r="AY50" s="563"/>
      <c r="AZ50" s="563"/>
      <c r="BA50" s="563"/>
      <c r="BB50" s="563"/>
      <c r="BC50" s="563"/>
      <c r="BD50" s="564"/>
      <c r="BE50" s="564"/>
      <c r="BF50" s="564"/>
      <c r="BG50" s="564"/>
      <c r="BH50" s="564"/>
      <c r="BI50" s="564"/>
      <c r="BJ50" s="564"/>
      <c r="BK50" s="564"/>
      <c r="BL50" s="564"/>
      <c r="BM50" s="564"/>
      <c r="BN50" s="564"/>
      <c r="BO50" s="564"/>
      <c r="BP50" s="564"/>
      <c r="BQ50" s="564"/>
      <c r="BR50" s="564"/>
      <c r="BS50" s="564"/>
      <c r="BT50" s="564"/>
      <c r="BU50" s="564"/>
      <c r="BV50" s="564"/>
      <c r="BW50" s="564"/>
      <c r="BX50" s="564"/>
    </row>
    <row r="51" spans="1:255" ht="18" customHeight="1">
      <c r="A51" s="554"/>
      <c r="B51" s="561"/>
      <c r="C51" s="561"/>
      <c r="D51" s="561"/>
      <c r="E51" s="561"/>
      <c r="F51" s="561"/>
      <c r="G51" s="561"/>
      <c r="H51" s="561"/>
      <c r="I51" s="561"/>
      <c r="J51" s="561"/>
      <c r="K51" s="561"/>
      <c r="L51" s="561"/>
      <c r="M51" s="561"/>
      <c r="N51" s="561"/>
      <c r="O51" s="561"/>
      <c r="P51" s="561"/>
      <c r="Q51" s="561"/>
      <c r="R51" s="561"/>
      <c r="S51" s="561"/>
      <c r="T51" s="561"/>
      <c r="U51" s="561"/>
      <c r="V51" s="561"/>
      <c r="W51" s="561"/>
      <c r="X51" s="561"/>
      <c r="Y51" s="561"/>
      <c r="Z51" s="561"/>
      <c r="AA51" s="561"/>
      <c r="AB51" s="561"/>
      <c r="AC51" s="561"/>
      <c r="AD51" s="561"/>
      <c r="AE51" s="561"/>
      <c r="AF51" s="561"/>
      <c r="AG51" s="561"/>
      <c r="AH51" s="567"/>
      <c r="AI51" s="567"/>
      <c r="AJ51" s="567"/>
      <c r="AK51" s="567"/>
      <c r="AL51" s="567"/>
      <c r="AM51" s="567"/>
      <c r="AN51" s="567"/>
      <c r="AO51" s="567"/>
      <c r="AP51" s="567"/>
      <c r="AQ51" s="567"/>
      <c r="AR51" s="567"/>
      <c r="AS51" s="567"/>
      <c r="AT51" s="567"/>
      <c r="AU51" s="567"/>
      <c r="AV51" s="567"/>
      <c r="AW51" s="567"/>
      <c r="AX51" s="567"/>
      <c r="AY51" s="567"/>
      <c r="AZ51" s="567"/>
      <c r="BA51" s="567"/>
      <c r="BB51" s="567"/>
      <c r="BC51" s="567"/>
      <c r="BD51" s="568"/>
      <c r="BE51" s="568"/>
      <c r="BF51" s="568"/>
      <c r="BG51" s="568"/>
      <c r="BH51" s="568"/>
      <c r="BI51" s="568"/>
      <c r="BJ51" s="568"/>
      <c r="BK51" s="568"/>
      <c r="BL51" s="568"/>
      <c r="BM51" s="568"/>
      <c r="BN51" s="568"/>
      <c r="BO51" s="568"/>
      <c r="BP51" s="568"/>
      <c r="BQ51" s="568"/>
      <c r="BR51" s="568"/>
      <c r="BS51" s="568"/>
      <c r="BT51" s="568"/>
      <c r="BU51" s="568"/>
      <c r="BV51" s="568"/>
      <c r="BW51" s="568"/>
      <c r="BX51" s="568"/>
      <c r="BY51" s="568"/>
      <c r="BZ51" s="568"/>
      <c r="CA51" s="568"/>
      <c r="CB51" s="568"/>
      <c r="CC51" s="568"/>
      <c r="CD51" s="568"/>
      <c r="CE51" s="568"/>
      <c r="CF51" s="568"/>
      <c r="CG51" s="568"/>
      <c r="CH51" s="568"/>
      <c r="CI51" s="568"/>
      <c r="CJ51" s="568"/>
      <c r="CK51" s="568"/>
      <c r="CL51" s="568"/>
      <c r="CM51" s="568"/>
      <c r="CN51" s="568"/>
      <c r="CO51" s="568"/>
      <c r="CP51" s="568"/>
      <c r="CQ51" s="568"/>
      <c r="CR51" s="568"/>
      <c r="CS51" s="568"/>
      <c r="CT51" s="568"/>
      <c r="CU51" s="568"/>
      <c r="CV51" s="568"/>
      <c r="CW51" s="568"/>
      <c r="CX51" s="568"/>
      <c r="CY51" s="568"/>
      <c r="CZ51" s="568"/>
      <c r="DA51" s="568"/>
      <c r="DB51" s="568"/>
      <c r="DC51" s="568"/>
      <c r="DD51" s="568"/>
      <c r="DE51" s="568"/>
      <c r="DF51" s="568"/>
      <c r="DG51" s="568"/>
      <c r="DH51" s="568"/>
      <c r="DI51" s="568"/>
      <c r="DJ51" s="568"/>
      <c r="DK51" s="568"/>
      <c r="DL51" s="568"/>
      <c r="DM51" s="568"/>
      <c r="DN51" s="568"/>
      <c r="DO51" s="568"/>
      <c r="DP51" s="568"/>
      <c r="DQ51" s="568"/>
      <c r="DR51" s="568"/>
      <c r="DS51" s="568"/>
      <c r="DT51" s="568"/>
      <c r="DU51" s="568"/>
      <c r="DV51" s="568"/>
      <c r="DW51" s="568"/>
      <c r="DX51" s="568"/>
      <c r="DY51" s="568"/>
      <c r="DZ51" s="568"/>
      <c r="EA51" s="568"/>
      <c r="EB51" s="568"/>
      <c r="EC51" s="568"/>
      <c r="ED51" s="568"/>
      <c r="EE51" s="568"/>
      <c r="EF51" s="568"/>
      <c r="EG51" s="568"/>
      <c r="EH51" s="568"/>
      <c r="EI51" s="568"/>
      <c r="EJ51" s="568"/>
      <c r="EK51" s="568"/>
      <c r="EL51" s="568"/>
      <c r="EM51" s="568"/>
      <c r="EN51" s="568"/>
      <c r="EO51" s="568"/>
      <c r="EP51" s="568"/>
      <c r="EQ51" s="568"/>
      <c r="ER51" s="568"/>
      <c r="ES51" s="568"/>
      <c r="ET51" s="568"/>
      <c r="EU51" s="568"/>
      <c r="EV51" s="568"/>
      <c r="EW51" s="568"/>
      <c r="EX51" s="568"/>
      <c r="EY51" s="568"/>
      <c r="EZ51" s="568"/>
      <c r="FA51" s="568"/>
      <c r="FB51" s="568"/>
      <c r="FC51" s="568"/>
      <c r="FD51" s="568"/>
      <c r="FE51" s="568"/>
      <c r="FF51" s="568"/>
      <c r="FG51" s="568"/>
      <c r="FH51" s="568"/>
      <c r="FI51" s="568"/>
      <c r="FJ51" s="568"/>
      <c r="FK51" s="568"/>
      <c r="FL51" s="568"/>
      <c r="FM51" s="568"/>
      <c r="FN51" s="568"/>
      <c r="FO51" s="568"/>
      <c r="FP51" s="568"/>
      <c r="FQ51" s="568"/>
      <c r="FR51" s="568"/>
      <c r="FS51" s="568"/>
      <c r="FT51" s="568"/>
      <c r="FU51" s="568"/>
      <c r="FV51" s="568"/>
      <c r="FW51" s="568"/>
      <c r="FX51" s="568"/>
      <c r="FY51" s="568"/>
      <c r="FZ51" s="568"/>
      <c r="GA51" s="568"/>
      <c r="GB51" s="568"/>
      <c r="GC51" s="568"/>
      <c r="GD51" s="568"/>
      <c r="GE51" s="568"/>
      <c r="GF51" s="568"/>
      <c r="GG51" s="568"/>
      <c r="GH51" s="568"/>
      <c r="GI51" s="568"/>
      <c r="GJ51" s="568"/>
      <c r="GK51" s="568"/>
      <c r="GL51" s="568"/>
      <c r="GM51" s="568"/>
      <c r="GN51" s="568"/>
      <c r="GO51" s="568"/>
      <c r="GP51" s="568"/>
      <c r="GQ51" s="568"/>
      <c r="GR51" s="568"/>
      <c r="GS51" s="568"/>
      <c r="GT51" s="568"/>
      <c r="GU51" s="568"/>
      <c r="GV51" s="568"/>
      <c r="GW51" s="568"/>
      <c r="GX51" s="568"/>
      <c r="GY51" s="568"/>
      <c r="GZ51" s="568"/>
      <c r="HA51" s="568"/>
      <c r="HB51" s="568"/>
      <c r="HC51" s="568"/>
      <c r="HD51" s="568"/>
      <c r="HE51" s="568"/>
      <c r="HF51" s="568"/>
      <c r="HG51" s="568"/>
      <c r="HH51" s="568"/>
      <c r="HI51" s="568"/>
      <c r="HJ51" s="568"/>
      <c r="HK51" s="568"/>
      <c r="HL51" s="568"/>
      <c r="HM51" s="568"/>
      <c r="HN51" s="568"/>
      <c r="HO51" s="568"/>
      <c r="HP51" s="568"/>
      <c r="HQ51" s="568"/>
      <c r="HR51" s="568"/>
      <c r="HS51" s="568"/>
      <c r="HT51" s="568"/>
      <c r="HU51" s="568"/>
      <c r="HV51" s="568"/>
      <c r="HW51" s="568"/>
      <c r="HX51" s="568"/>
      <c r="HY51" s="568"/>
      <c r="HZ51" s="568"/>
      <c r="IA51" s="568"/>
      <c r="IB51" s="568"/>
      <c r="IC51" s="568"/>
      <c r="ID51" s="568"/>
      <c r="IE51" s="568"/>
      <c r="IF51" s="568"/>
      <c r="IG51" s="568"/>
      <c r="IH51" s="568"/>
      <c r="II51" s="568"/>
      <c r="IJ51" s="568"/>
      <c r="IK51" s="568"/>
      <c r="IL51" s="568"/>
      <c r="IM51" s="568"/>
      <c r="IN51" s="568"/>
      <c r="IO51" s="568"/>
      <c r="IP51" s="568"/>
      <c r="IQ51" s="568"/>
      <c r="IR51" s="568"/>
      <c r="IS51" s="568"/>
      <c r="IT51" s="568"/>
      <c r="IU51" s="568"/>
    </row>
    <row r="52" spans="1:255" ht="18" customHeight="1">
      <c r="A52" s="554"/>
      <c r="B52" s="561"/>
      <c r="C52" s="561"/>
      <c r="D52" s="561"/>
      <c r="E52" s="561"/>
      <c r="F52" s="561"/>
      <c r="G52" s="561"/>
      <c r="H52" s="561"/>
      <c r="I52" s="561"/>
      <c r="J52" s="561"/>
      <c r="K52" s="561"/>
      <c r="L52" s="561"/>
      <c r="M52" s="561"/>
      <c r="N52" s="561"/>
      <c r="O52" s="561"/>
      <c r="P52" s="561"/>
      <c r="Q52" s="561"/>
      <c r="R52" s="561"/>
      <c r="S52" s="561"/>
      <c r="T52" s="561"/>
      <c r="U52" s="561"/>
      <c r="V52" s="561"/>
      <c r="W52" s="561"/>
      <c r="X52" s="561"/>
      <c r="Y52" s="561"/>
      <c r="Z52" s="561"/>
      <c r="AA52" s="561"/>
      <c r="AB52" s="561"/>
      <c r="AC52" s="561"/>
      <c r="AD52" s="561"/>
      <c r="AE52" s="561"/>
      <c r="AF52" s="561"/>
      <c r="AG52" s="561"/>
      <c r="AH52" s="567"/>
      <c r="AI52" s="567"/>
      <c r="AJ52" s="567"/>
      <c r="AK52" s="567"/>
      <c r="AL52" s="567"/>
      <c r="AM52" s="567"/>
      <c r="AN52" s="567"/>
      <c r="AO52" s="567"/>
      <c r="AP52" s="567"/>
      <c r="AQ52" s="567"/>
      <c r="AR52" s="567"/>
      <c r="AS52" s="567"/>
      <c r="AT52" s="567"/>
      <c r="AU52" s="567"/>
      <c r="AV52" s="567"/>
      <c r="AW52" s="567"/>
      <c r="AX52" s="567"/>
      <c r="AY52" s="567"/>
      <c r="AZ52" s="567"/>
      <c r="BA52" s="567"/>
      <c r="BB52" s="567"/>
      <c r="BC52" s="567"/>
      <c r="BD52" s="568"/>
      <c r="BE52" s="568"/>
      <c r="BF52" s="568"/>
      <c r="BG52" s="568"/>
      <c r="BH52" s="568"/>
      <c r="BI52" s="568"/>
      <c r="BJ52" s="568"/>
      <c r="BK52" s="568"/>
      <c r="BL52" s="568"/>
      <c r="BM52" s="568"/>
      <c r="BN52" s="568"/>
      <c r="BO52" s="568"/>
      <c r="BP52" s="568"/>
      <c r="BQ52" s="568"/>
      <c r="BR52" s="568"/>
      <c r="BS52" s="568"/>
      <c r="BT52" s="568"/>
      <c r="BU52" s="568"/>
      <c r="BV52" s="568"/>
      <c r="BW52" s="568"/>
      <c r="BX52" s="568"/>
      <c r="BY52" s="568"/>
      <c r="BZ52" s="568"/>
      <c r="CA52" s="568"/>
      <c r="CB52" s="568"/>
      <c r="CC52" s="568"/>
      <c r="CD52" s="568"/>
      <c r="CE52" s="568"/>
      <c r="CF52" s="568"/>
      <c r="CG52" s="568"/>
      <c r="CH52" s="568"/>
      <c r="CI52" s="568"/>
      <c r="CJ52" s="568"/>
      <c r="CK52" s="568"/>
      <c r="CL52" s="568"/>
      <c r="CM52" s="568"/>
      <c r="CN52" s="568"/>
      <c r="CO52" s="568"/>
      <c r="CP52" s="568"/>
      <c r="CQ52" s="568"/>
      <c r="CR52" s="568"/>
      <c r="CS52" s="568"/>
      <c r="CT52" s="568"/>
      <c r="CU52" s="568"/>
      <c r="CV52" s="568"/>
      <c r="CW52" s="568"/>
      <c r="CX52" s="568"/>
      <c r="CY52" s="568"/>
      <c r="CZ52" s="568"/>
      <c r="DA52" s="568"/>
      <c r="DB52" s="568"/>
      <c r="DC52" s="568"/>
      <c r="DD52" s="568"/>
      <c r="DE52" s="568"/>
      <c r="DF52" s="568"/>
      <c r="DG52" s="568"/>
      <c r="DH52" s="568"/>
      <c r="DI52" s="568"/>
      <c r="DJ52" s="568"/>
      <c r="DK52" s="568"/>
      <c r="DL52" s="568"/>
      <c r="DM52" s="568"/>
      <c r="DN52" s="568"/>
      <c r="DO52" s="568"/>
      <c r="DP52" s="568"/>
      <c r="DQ52" s="568"/>
      <c r="DR52" s="568"/>
      <c r="DS52" s="568"/>
      <c r="DT52" s="568"/>
      <c r="DU52" s="568"/>
      <c r="DV52" s="568"/>
      <c r="DW52" s="568"/>
      <c r="DX52" s="568"/>
      <c r="DY52" s="568"/>
      <c r="DZ52" s="568"/>
      <c r="EA52" s="568"/>
      <c r="EB52" s="568"/>
      <c r="EC52" s="568"/>
      <c r="ED52" s="568"/>
      <c r="EE52" s="568"/>
      <c r="EF52" s="568"/>
      <c r="EG52" s="568"/>
      <c r="EH52" s="568"/>
      <c r="EI52" s="568"/>
      <c r="EJ52" s="568"/>
      <c r="EK52" s="568"/>
      <c r="EL52" s="568"/>
      <c r="EM52" s="568"/>
      <c r="EN52" s="568"/>
      <c r="EO52" s="568"/>
      <c r="EP52" s="568"/>
      <c r="EQ52" s="568"/>
      <c r="ER52" s="568"/>
      <c r="ES52" s="568"/>
      <c r="ET52" s="568"/>
      <c r="EU52" s="568"/>
      <c r="EV52" s="568"/>
      <c r="EW52" s="568"/>
      <c r="EX52" s="568"/>
      <c r="EY52" s="568"/>
      <c r="EZ52" s="568"/>
      <c r="FA52" s="568"/>
      <c r="FB52" s="568"/>
      <c r="FC52" s="568"/>
      <c r="FD52" s="568"/>
      <c r="FE52" s="568"/>
      <c r="FF52" s="568"/>
      <c r="FG52" s="568"/>
      <c r="FH52" s="568"/>
      <c r="FI52" s="568"/>
      <c r="FJ52" s="568"/>
      <c r="FK52" s="568"/>
      <c r="FL52" s="568"/>
      <c r="FM52" s="568"/>
      <c r="FN52" s="568"/>
      <c r="FO52" s="568"/>
      <c r="FP52" s="568"/>
      <c r="FQ52" s="568"/>
      <c r="FR52" s="568"/>
      <c r="FS52" s="568"/>
      <c r="FT52" s="568"/>
      <c r="FU52" s="568"/>
      <c r="FV52" s="568"/>
      <c r="FW52" s="568"/>
      <c r="FX52" s="568"/>
      <c r="FY52" s="568"/>
      <c r="FZ52" s="568"/>
      <c r="GA52" s="568"/>
      <c r="GB52" s="568"/>
      <c r="GC52" s="568"/>
      <c r="GD52" s="568"/>
      <c r="GE52" s="568"/>
      <c r="GF52" s="568"/>
      <c r="GG52" s="568"/>
      <c r="GH52" s="568"/>
      <c r="GI52" s="568"/>
      <c r="GJ52" s="568"/>
      <c r="GK52" s="568"/>
      <c r="GL52" s="568"/>
      <c r="GM52" s="568"/>
      <c r="GN52" s="568"/>
      <c r="GO52" s="568"/>
      <c r="GP52" s="568"/>
      <c r="GQ52" s="568"/>
      <c r="GR52" s="568"/>
      <c r="GS52" s="568"/>
      <c r="GT52" s="568"/>
      <c r="GU52" s="568"/>
      <c r="GV52" s="568"/>
      <c r="GW52" s="568"/>
      <c r="GX52" s="568"/>
      <c r="GY52" s="568"/>
      <c r="GZ52" s="568"/>
      <c r="HA52" s="568"/>
      <c r="HB52" s="568"/>
      <c r="HC52" s="568"/>
      <c r="HD52" s="568"/>
      <c r="HE52" s="568"/>
      <c r="HF52" s="568"/>
      <c r="HG52" s="568"/>
      <c r="HH52" s="568"/>
      <c r="HI52" s="568"/>
      <c r="HJ52" s="568"/>
      <c r="HK52" s="568"/>
      <c r="HL52" s="568"/>
      <c r="HM52" s="568"/>
      <c r="HN52" s="568"/>
      <c r="HO52" s="568"/>
      <c r="HP52" s="568"/>
      <c r="HQ52" s="568"/>
      <c r="HR52" s="568"/>
      <c r="HS52" s="568"/>
      <c r="HT52" s="568"/>
      <c r="HU52" s="568"/>
      <c r="HV52" s="568"/>
      <c r="HW52" s="568"/>
      <c r="HX52" s="568"/>
      <c r="HY52" s="568"/>
      <c r="HZ52" s="568"/>
      <c r="IA52" s="568"/>
      <c r="IB52" s="568"/>
      <c r="IC52" s="568"/>
      <c r="ID52" s="568"/>
      <c r="IE52" s="568"/>
      <c r="IF52" s="568"/>
      <c r="IG52" s="568"/>
      <c r="IH52" s="568"/>
      <c r="II52" s="568"/>
      <c r="IJ52" s="568"/>
      <c r="IK52" s="568"/>
      <c r="IL52" s="568"/>
      <c r="IM52" s="568"/>
      <c r="IN52" s="568"/>
      <c r="IO52" s="568"/>
      <c r="IP52" s="568"/>
      <c r="IQ52" s="568"/>
      <c r="IR52" s="568"/>
      <c r="IS52" s="568"/>
      <c r="IT52" s="568"/>
      <c r="IU52" s="568"/>
    </row>
    <row r="53" spans="1:255" ht="18" customHeight="1">
      <c r="A53" s="554"/>
      <c r="B53" s="561"/>
      <c r="C53" s="561"/>
      <c r="D53" s="561"/>
      <c r="E53" s="561"/>
      <c r="F53" s="561"/>
      <c r="G53" s="561"/>
      <c r="H53" s="561"/>
      <c r="I53" s="561"/>
      <c r="J53" s="561"/>
      <c r="K53" s="561"/>
      <c r="L53" s="561"/>
      <c r="M53" s="561"/>
      <c r="N53" s="561"/>
      <c r="O53" s="561"/>
      <c r="P53" s="561"/>
      <c r="Q53" s="561"/>
      <c r="R53" s="561"/>
      <c r="S53" s="561"/>
      <c r="T53" s="561"/>
      <c r="U53" s="561"/>
      <c r="V53" s="561"/>
      <c r="W53" s="561"/>
      <c r="X53" s="561"/>
      <c r="Y53" s="561"/>
      <c r="Z53" s="561"/>
      <c r="AA53" s="561"/>
      <c r="AB53" s="561"/>
      <c r="AC53" s="561"/>
      <c r="AD53" s="561"/>
      <c r="AE53" s="561"/>
      <c r="AF53" s="561"/>
      <c r="AG53" s="561"/>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8"/>
      <c r="BE53" s="568"/>
      <c r="BF53" s="568"/>
      <c r="BG53" s="568"/>
      <c r="BH53" s="568"/>
      <c r="BI53" s="568"/>
      <c r="BJ53" s="568"/>
      <c r="BK53" s="568"/>
      <c r="BL53" s="568"/>
      <c r="BM53" s="568"/>
      <c r="BN53" s="568"/>
      <c r="BO53" s="568"/>
      <c r="BP53" s="568"/>
      <c r="BQ53" s="568"/>
      <c r="BR53" s="568"/>
      <c r="BS53" s="568"/>
      <c r="BT53" s="568"/>
      <c r="BU53" s="568"/>
      <c r="BV53" s="568"/>
      <c r="BW53" s="568"/>
      <c r="BX53" s="568"/>
      <c r="BY53" s="568"/>
      <c r="BZ53" s="568"/>
      <c r="CA53" s="568"/>
      <c r="CB53" s="568"/>
      <c r="CC53" s="568"/>
      <c r="CD53" s="568"/>
      <c r="CE53" s="568"/>
      <c r="CF53" s="568"/>
      <c r="CG53" s="568"/>
      <c r="CH53" s="568"/>
      <c r="CI53" s="568"/>
      <c r="CJ53" s="568"/>
      <c r="CK53" s="568"/>
      <c r="CL53" s="568"/>
      <c r="CM53" s="568"/>
      <c r="CN53" s="568"/>
      <c r="CO53" s="568"/>
      <c r="CP53" s="568"/>
      <c r="CQ53" s="568"/>
      <c r="CR53" s="568"/>
      <c r="CS53" s="568"/>
      <c r="CT53" s="568"/>
      <c r="CU53" s="568"/>
      <c r="CV53" s="568"/>
      <c r="CW53" s="568"/>
      <c r="CX53" s="568"/>
      <c r="CY53" s="568"/>
      <c r="CZ53" s="568"/>
      <c r="DA53" s="568"/>
      <c r="DB53" s="568"/>
      <c r="DC53" s="568"/>
      <c r="DD53" s="568"/>
      <c r="DE53" s="568"/>
      <c r="DF53" s="568"/>
      <c r="DG53" s="568"/>
      <c r="DH53" s="568"/>
      <c r="DI53" s="568"/>
      <c r="DJ53" s="568"/>
      <c r="DK53" s="568"/>
      <c r="DL53" s="568"/>
      <c r="DM53" s="568"/>
      <c r="DN53" s="568"/>
      <c r="DO53" s="568"/>
      <c r="DP53" s="568"/>
      <c r="DQ53" s="568"/>
      <c r="DR53" s="568"/>
      <c r="DS53" s="568"/>
      <c r="DT53" s="568"/>
      <c r="DU53" s="568"/>
      <c r="DV53" s="568"/>
      <c r="DW53" s="568"/>
      <c r="DX53" s="568"/>
      <c r="DY53" s="568"/>
      <c r="DZ53" s="568"/>
      <c r="EA53" s="568"/>
      <c r="EB53" s="568"/>
      <c r="EC53" s="568"/>
      <c r="ED53" s="568"/>
      <c r="EE53" s="568"/>
      <c r="EF53" s="568"/>
      <c r="EG53" s="568"/>
      <c r="EH53" s="568"/>
      <c r="EI53" s="568"/>
      <c r="EJ53" s="568"/>
      <c r="EK53" s="568"/>
      <c r="EL53" s="568"/>
      <c r="EM53" s="568"/>
      <c r="EN53" s="568"/>
      <c r="EO53" s="568"/>
      <c r="EP53" s="568"/>
      <c r="EQ53" s="568"/>
      <c r="ER53" s="568"/>
      <c r="ES53" s="568"/>
      <c r="ET53" s="568"/>
      <c r="EU53" s="568"/>
      <c r="EV53" s="568"/>
      <c r="EW53" s="568"/>
      <c r="EX53" s="568"/>
      <c r="EY53" s="568"/>
      <c r="EZ53" s="568"/>
      <c r="FA53" s="568"/>
      <c r="FB53" s="568"/>
      <c r="FC53" s="568"/>
      <c r="FD53" s="568"/>
      <c r="FE53" s="568"/>
      <c r="FF53" s="568"/>
      <c r="FG53" s="568"/>
      <c r="FH53" s="568"/>
      <c r="FI53" s="568"/>
      <c r="FJ53" s="568"/>
      <c r="FK53" s="568"/>
      <c r="FL53" s="568"/>
      <c r="FM53" s="568"/>
      <c r="FN53" s="568"/>
      <c r="FO53" s="568"/>
      <c r="FP53" s="568"/>
      <c r="FQ53" s="568"/>
      <c r="FR53" s="568"/>
      <c r="FS53" s="568"/>
      <c r="FT53" s="568"/>
      <c r="FU53" s="568"/>
      <c r="FV53" s="568"/>
      <c r="FW53" s="568"/>
      <c r="FX53" s="568"/>
      <c r="FY53" s="568"/>
      <c r="FZ53" s="568"/>
      <c r="GA53" s="568"/>
      <c r="GB53" s="568"/>
      <c r="GC53" s="568"/>
      <c r="GD53" s="568"/>
      <c r="GE53" s="568"/>
      <c r="GF53" s="568"/>
      <c r="GG53" s="568"/>
      <c r="GH53" s="568"/>
      <c r="GI53" s="568"/>
      <c r="GJ53" s="568"/>
      <c r="GK53" s="568"/>
      <c r="GL53" s="568"/>
      <c r="GM53" s="568"/>
      <c r="GN53" s="568"/>
      <c r="GO53" s="568"/>
      <c r="GP53" s="568"/>
      <c r="GQ53" s="568"/>
      <c r="GR53" s="568"/>
      <c r="GS53" s="568"/>
      <c r="GT53" s="568"/>
      <c r="GU53" s="568"/>
      <c r="GV53" s="568"/>
      <c r="GW53" s="568"/>
      <c r="GX53" s="568"/>
      <c r="GY53" s="568"/>
      <c r="GZ53" s="568"/>
      <c r="HA53" s="568"/>
      <c r="HB53" s="568"/>
      <c r="HC53" s="568"/>
      <c r="HD53" s="568"/>
      <c r="HE53" s="568"/>
      <c r="HF53" s="568"/>
      <c r="HG53" s="568"/>
      <c r="HH53" s="568"/>
      <c r="HI53" s="568"/>
      <c r="HJ53" s="568"/>
      <c r="HK53" s="568"/>
      <c r="HL53" s="568"/>
      <c r="HM53" s="568"/>
      <c r="HN53" s="568"/>
      <c r="HO53" s="568"/>
      <c r="HP53" s="568"/>
      <c r="HQ53" s="568"/>
      <c r="HR53" s="568"/>
      <c r="HS53" s="568"/>
      <c r="HT53" s="568"/>
      <c r="HU53" s="568"/>
      <c r="HV53" s="568"/>
      <c r="HW53" s="568"/>
      <c r="HX53" s="568"/>
      <c r="HY53" s="568"/>
      <c r="HZ53" s="568"/>
      <c r="IA53" s="568"/>
      <c r="IB53" s="568"/>
      <c r="IC53" s="568"/>
      <c r="ID53" s="568"/>
      <c r="IE53" s="568"/>
      <c r="IF53" s="568"/>
      <c r="IG53" s="568"/>
      <c r="IH53" s="568"/>
      <c r="II53" s="568"/>
      <c r="IJ53" s="568"/>
      <c r="IK53" s="568"/>
      <c r="IL53" s="568"/>
      <c r="IM53" s="568"/>
      <c r="IN53" s="568"/>
      <c r="IO53" s="568"/>
      <c r="IP53" s="568"/>
      <c r="IQ53" s="568"/>
      <c r="IR53" s="568"/>
      <c r="IS53" s="568"/>
      <c r="IT53" s="568"/>
      <c r="IU53" s="568"/>
    </row>
    <row r="54" spans="1:255" ht="18" customHeight="1">
      <c r="A54" s="554"/>
      <c r="B54" s="561"/>
      <c r="C54" s="561"/>
      <c r="D54" s="561"/>
      <c r="E54" s="561"/>
      <c r="F54" s="561"/>
      <c r="G54" s="561"/>
      <c r="H54" s="561"/>
      <c r="I54" s="561"/>
      <c r="J54" s="561"/>
      <c r="K54" s="561"/>
      <c r="L54" s="561"/>
      <c r="M54" s="561"/>
      <c r="N54" s="561"/>
      <c r="O54" s="561"/>
      <c r="P54" s="561"/>
      <c r="Q54" s="561"/>
      <c r="R54" s="561"/>
      <c r="S54" s="561"/>
      <c r="T54" s="561"/>
      <c r="U54" s="561"/>
      <c r="V54" s="561"/>
      <c r="W54" s="561"/>
      <c r="X54" s="561"/>
      <c r="Y54" s="561"/>
      <c r="Z54" s="561"/>
      <c r="AA54" s="561"/>
      <c r="AB54" s="561"/>
      <c r="AC54" s="561"/>
      <c r="AD54" s="561"/>
      <c r="AE54" s="561"/>
      <c r="AF54" s="561"/>
      <c r="AG54" s="561"/>
      <c r="AH54" s="567"/>
      <c r="AI54" s="567"/>
      <c r="AJ54" s="567"/>
      <c r="AK54" s="567"/>
      <c r="AL54" s="567"/>
      <c r="AM54" s="567"/>
      <c r="AN54" s="567"/>
      <c r="AO54" s="567"/>
      <c r="AP54" s="567"/>
      <c r="AQ54" s="567"/>
      <c r="AR54" s="567"/>
      <c r="AS54" s="567"/>
      <c r="AT54" s="567"/>
      <c r="AU54" s="567"/>
      <c r="AV54" s="567"/>
      <c r="AW54" s="567"/>
      <c r="AX54" s="567"/>
      <c r="AY54" s="567"/>
      <c r="AZ54" s="567"/>
      <c r="BA54" s="567"/>
      <c r="BB54" s="567"/>
      <c r="BC54" s="567"/>
      <c r="BD54" s="568"/>
      <c r="BE54" s="568"/>
      <c r="BF54" s="568"/>
      <c r="BG54" s="568"/>
      <c r="BH54" s="568"/>
      <c r="BI54" s="568"/>
      <c r="BJ54" s="568"/>
      <c r="BK54" s="568"/>
      <c r="BL54" s="568"/>
      <c r="BM54" s="568"/>
      <c r="BN54" s="568"/>
      <c r="BO54" s="568"/>
      <c r="BP54" s="568"/>
      <c r="BQ54" s="568"/>
      <c r="BR54" s="568"/>
      <c r="BS54" s="568"/>
      <c r="BT54" s="568"/>
      <c r="BU54" s="568"/>
      <c r="BV54" s="568"/>
      <c r="BW54" s="568"/>
      <c r="BX54" s="568"/>
      <c r="BY54" s="568"/>
      <c r="BZ54" s="568"/>
      <c r="CA54" s="568"/>
      <c r="CB54" s="568"/>
      <c r="CC54" s="568"/>
      <c r="CD54" s="568"/>
      <c r="CE54" s="568"/>
      <c r="CF54" s="568"/>
      <c r="CG54" s="568"/>
      <c r="CH54" s="568"/>
      <c r="CI54" s="568"/>
      <c r="CJ54" s="568"/>
      <c r="CK54" s="568"/>
      <c r="CL54" s="568"/>
      <c r="CM54" s="568"/>
      <c r="CN54" s="568"/>
      <c r="CO54" s="568"/>
      <c r="CP54" s="568"/>
      <c r="CQ54" s="568"/>
      <c r="CR54" s="568"/>
      <c r="CS54" s="568"/>
      <c r="CT54" s="568"/>
      <c r="CU54" s="568"/>
      <c r="CV54" s="568"/>
      <c r="CW54" s="568"/>
      <c r="CX54" s="568"/>
      <c r="CY54" s="568"/>
      <c r="CZ54" s="568"/>
      <c r="DA54" s="568"/>
      <c r="DB54" s="568"/>
      <c r="DC54" s="568"/>
      <c r="DD54" s="568"/>
      <c r="DE54" s="568"/>
      <c r="DF54" s="568"/>
      <c r="DG54" s="568"/>
      <c r="DH54" s="568"/>
      <c r="DI54" s="568"/>
      <c r="DJ54" s="568"/>
      <c r="DK54" s="568"/>
      <c r="DL54" s="568"/>
      <c r="DM54" s="568"/>
      <c r="DN54" s="568"/>
      <c r="DO54" s="568"/>
      <c r="DP54" s="568"/>
      <c r="DQ54" s="568"/>
      <c r="DR54" s="568"/>
      <c r="DS54" s="568"/>
      <c r="DT54" s="568"/>
      <c r="DU54" s="568"/>
      <c r="DV54" s="568"/>
      <c r="DW54" s="568"/>
      <c r="DX54" s="568"/>
      <c r="DY54" s="568"/>
      <c r="DZ54" s="568"/>
      <c r="EA54" s="568"/>
      <c r="EB54" s="568"/>
      <c r="EC54" s="568"/>
      <c r="ED54" s="568"/>
      <c r="EE54" s="568"/>
      <c r="EF54" s="568"/>
      <c r="EG54" s="568"/>
      <c r="EH54" s="568"/>
      <c r="EI54" s="568"/>
      <c r="EJ54" s="568"/>
      <c r="EK54" s="568"/>
      <c r="EL54" s="568"/>
      <c r="EM54" s="568"/>
      <c r="EN54" s="568"/>
      <c r="EO54" s="568"/>
      <c r="EP54" s="568"/>
      <c r="EQ54" s="568"/>
      <c r="ER54" s="568"/>
      <c r="ES54" s="568"/>
      <c r="ET54" s="568"/>
      <c r="EU54" s="568"/>
      <c r="EV54" s="568"/>
      <c r="EW54" s="568"/>
      <c r="EX54" s="568"/>
      <c r="EY54" s="568"/>
      <c r="EZ54" s="568"/>
      <c r="FA54" s="568"/>
      <c r="FB54" s="568"/>
      <c r="FC54" s="568"/>
      <c r="FD54" s="568"/>
      <c r="FE54" s="568"/>
      <c r="FF54" s="568"/>
      <c r="FG54" s="568"/>
      <c r="FH54" s="568"/>
      <c r="FI54" s="568"/>
      <c r="FJ54" s="568"/>
      <c r="FK54" s="568"/>
      <c r="FL54" s="568"/>
      <c r="FM54" s="568"/>
      <c r="FN54" s="568"/>
      <c r="FO54" s="568"/>
      <c r="FP54" s="568"/>
      <c r="FQ54" s="568"/>
      <c r="FR54" s="568"/>
      <c r="FS54" s="568"/>
      <c r="FT54" s="568"/>
      <c r="FU54" s="568"/>
      <c r="FV54" s="568"/>
      <c r="FW54" s="568"/>
      <c r="FX54" s="568"/>
      <c r="FY54" s="568"/>
      <c r="FZ54" s="568"/>
      <c r="GA54" s="568"/>
      <c r="GB54" s="568"/>
      <c r="GC54" s="568"/>
      <c r="GD54" s="568"/>
      <c r="GE54" s="568"/>
      <c r="GF54" s="568"/>
      <c r="GG54" s="568"/>
      <c r="GH54" s="568"/>
      <c r="GI54" s="568"/>
      <c r="GJ54" s="568"/>
      <c r="GK54" s="568"/>
      <c r="GL54" s="568"/>
      <c r="GM54" s="568"/>
      <c r="GN54" s="568"/>
      <c r="GO54" s="568"/>
      <c r="GP54" s="568"/>
      <c r="GQ54" s="568"/>
      <c r="GR54" s="568"/>
      <c r="GS54" s="568"/>
      <c r="GT54" s="568"/>
      <c r="GU54" s="568"/>
      <c r="GV54" s="568"/>
      <c r="GW54" s="568"/>
      <c r="GX54" s="568"/>
      <c r="GY54" s="568"/>
      <c r="GZ54" s="568"/>
      <c r="HA54" s="568"/>
      <c r="HB54" s="568"/>
      <c r="HC54" s="568"/>
      <c r="HD54" s="568"/>
      <c r="HE54" s="568"/>
      <c r="HF54" s="568"/>
      <c r="HG54" s="568"/>
      <c r="HH54" s="568"/>
      <c r="HI54" s="568"/>
      <c r="HJ54" s="568"/>
      <c r="HK54" s="568"/>
      <c r="HL54" s="568"/>
      <c r="HM54" s="568"/>
      <c r="HN54" s="568"/>
      <c r="HO54" s="568"/>
      <c r="HP54" s="568"/>
      <c r="HQ54" s="568"/>
      <c r="HR54" s="568"/>
      <c r="HS54" s="568"/>
      <c r="HT54" s="568"/>
      <c r="HU54" s="568"/>
      <c r="HV54" s="568"/>
      <c r="HW54" s="568"/>
      <c r="HX54" s="568"/>
      <c r="HY54" s="568"/>
      <c r="HZ54" s="568"/>
      <c r="IA54" s="568"/>
      <c r="IB54" s="568"/>
      <c r="IC54" s="568"/>
      <c r="ID54" s="568"/>
      <c r="IE54" s="568"/>
      <c r="IF54" s="568"/>
      <c r="IG54" s="568"/>
      <c r="IH54" s="568"/>
      <c r="II54" s="568"/>
      <c r="IJ54" s="568"/>
      <c r="IK54" s="568"/>
      <c r="IL54" s="568"/>
      <c r="IM54" s="568"/>
      <c r="IN54" s="568"/>
      <c r="IO54" s="568"/>
      <c r="IP54" s="568"/>
      <c r="IQ54" s="568"/>
      <c r="IR54" s="568"/>
      <c r="IS54" s="568"/>
      <c r="IT54" s="568"/>
      <c r="IU54" s="568"/>
    </row>
    <row r="55" spans="1:255" s="589" customFormat="1" ht="18" customHeight="1">
      <c r="A55" s="554"/>
      <c r="B55" s="562"/>
      <c r="C55" s="583"/>
      <c r="D55" s="583"/>
      <c r="E55" s="583"/>
      <c r="F55" s="583"/>
      <c r="G55" s="583"/>
      <c r="H55" s="583"/>
      <c r="I55" s="583"/>
      <c r="J55" s="562"/>
      <c r="K55" s="562"/>
      <c r="L55" s="562"/>
      <c r="M55" s="562"/>
      <c r="N55" s="562"/>
      <c r="O55" s="562"/>
      <c r="P55" s="562"/>
      <c r="Q55" s="562"/>
      <c r="R55" s="562"/>
      <c r="S55" s="562"/>
      <c r="T55" s="561"/>
      <c r="U55" s="562"/>
      <c r="V55" s="562"/>
      <c r="W55" s="562"/>
      <c r="X55" s="562"/>
      <c r="Y55" s="562"/>
      <c r="Z55" s="562"/>
      <c r="AA55" s="562"/>
      <c r="AB55" s="562"/>
      <c r="AC55" s="562"/>
      <c r="AD55" s="562"/>
      <c r="AE55" s="562"/>
      <c r="AF55" s="562"/>
      <c r="AG55" s="562"/>
      <c r="AH55" s="587"/>
      <c r="AI55" s="587"/>
      <c r="AJ55" s="587"/>
      <c r="AK55" s="587"/>
      <c r="AL55" s="587"/>
      <c r="AM55" s="587"/>
      <c r="AN55" s="587"/>
      <c r="AO55" s="587"/>
      <c r="AP55" s="587"/>
      <c r="AQ55" s="587"/>
      <c r="AR55" s="587"/>
      <c r="AS55" s="587"/>
      <c r="AT55" s="587"/>
      <c r="AU55" s="587"/>
      <c r="AV55" s="587"/>
      <c r="AW55" s="587"/>
      <c r="AX55" s="587"/>
      <c r="AY55" s="587"/>
      <c r="AZ55" s="587"/>
      <c r="BA55" s="587"/>
      <c r="BB55" s="587"/>
      <c r="BC55" s="587"/>
      <c r="BD55" s="588"/>
      <c r="BE55" s="588"/>
      <c r="BF55" s="588"/>
      <c r="BG55" s="588"/>
      <c r="BH55" s="588"/>
      <c r="BI55" s="588"/>
      <c r="BJ55" s="588"/>
      <c r="BK55" s="588"/>
      <c r="BL55" s="588"/>
      <c r="BM55" s="588"/>
      <c r="BN55" s="588"/>
      <c r="BO55" s="588"/>
      <c r="BP55" s="588"/>
      <c r="BQ55" s="588"/>
      <c r="BR55" s="588"/>
      <c r="BS55" s="588"/>
      <c r="BT55" s="588"/>
      <c r="BU55" s="588"/>
      <c r="BV55" s="588"/>
      <c r="BW55" s="588"/>
      <c r="BX55" s="588"/>
    </row>
    <row r="56" spans="1:255" s="584" customFormat="1" ht="18" customHeight="1">
      <c r="A56" s="554"/>
      <c r="B56" s="562"/>
      <c r="C56" s="583"/>
      <c r="D56" s="583"/>
      <c r="E56" s="583"/>
      <c r="F56" s="583"/>
      <c r="G56" s="583"/>
      <c r="H56" s="583"/>
      <c r="I56" s="583"/>
      <c r="J56" s="562"/>
      <c r="K56" s="562"/>
      <c r="L56" s="562"/>
      <c r="M56" s="562"/>
      <c r="N56" s="562"/>
      <c r="O56" s="562"/>
      <c r="P56" s="562"/>
      <c r="Q56" s="562"/>
      <c r="R56" s="562"/>
      <c r="S56" s="562"/>
      <c r="T56" s="561"/>
      <c r="U56" s="562"/>
      <c r="V56" s="562"/>
      <c r="W56" s="562"/>
      <c r="X56" s="562"/>
      <c r="Y56" s="562"/>
      <c r="Z56" s="562"/>
      <c r="AA56" s="562"/>
      <c r="AB56" s="562"/>
      <c r="AC56" s="562"/>
      <c r="AD56" s="562"/>
      <c r="AE56" s="562"/>
      <c r="AF56" s="562"/>
      <c r="AG56" s="562"/>
      <c r="AH56" s="563"/>
      <c r="AI56" s="563"/>
      <c r="AJ56" s="563"/>
      <c r="AK56" s="563"/>
      <c r="AL56" s="563"/>
      <c r="AM56" s="563"/>
      <c r="AN56" s="563"/>
      <c r="AO56" s="563"/>
      <c r="AP56" s="563"/>
      <c r="AQ56" s="563"/>
      <c r="AR56" s="563"/>
      <c r="AS56" s="563"/>
      <c r="AT56" s="563"/>
      <c r="AU56" s="563"/>
      <c r="AV56" s="563"/>
      <c r="AW56" s="563"/>
      <c r="AX56" s="563"/>
      <c r="AY56" s="563"/>
      <c r="AZ56" s="563"/>
      <c r="BA56" s="563"/>
      <c r="BB56" s="563"/>
      <c r="BC56" s="563"/>
      <c r="BD56" s="564"/>
      <c r="BE56" s="564"/>
      <c r="BF56" s="564"/>
      <c r="BG56" s="564"/>
      <c r="BH56" s="564"/>
      <c r="BI56" s="564"/>
      <c r="BJ56" s="564"/>
      <c r="BK56" s="564"/>
      <c r="BL56" s="564"/>
      <c r="BM56" s="564"/>
      <c r="BN56" s="564"/>
      <c r="BO56" s="564"/>
      <c r="BP56" s="564"/>
      <c r="BQ56" s="564"/>
      <c r="BR56" s="564"/>
      <c r="BS56" s="564"/>
      <c r="BT56" s="564"/>
      <c r="BU56" s="564"/>
      <c r="BV56" s="564"/>
      <c r="BW56" s="564"/>
      <c r="BX56" s="564"/>
    </row>
    <row r="57" spans="1:255" ht="18" customHeight="1">
      <c r="A57" s="554"/>
      <c r="B57" s="561"/>
      <c r="C57" s="561"/>
      <c r="D57" s="561"/>
      <c r="E57" s="561"/>
      <c r="F57" s="561"/>
      <c r="G57" s="561"/>
      <c r="H57" s="561"/>
      <c r="I57" s="561"/>
      <c r="J57" s="561"/>
      <c r="K57" s="561"/>
      <c r="L57" s="561"/>
      <c r="M57" s="561"/>
      <c r="N57" s="561"/>
      <c r="O57" s="561"/>
      <c r="P57" s="561"/>
      <c r="Q57" s="561"/>
      <c r="R57" s="561"/>
      <c r="S57" s="561"/>
      <c r="T57" s="561"/>
      <c r="U57" s="561"/>
      <c r="V57" s="561"/>
      <c r="W57" s="561"/>
      <c r="X57" s="561"/>
      <c r="Y57" s="561"/>
      <c r="Z57" s="561"/>
      <c r="AA57" s="561"/>
      <c r="AB57" s="561"/>
      <c r="AC57" s="561"/>
      <c r="AD57" s="561"/>
      <c r="AE57" s="561"/>
      <c r="AF57" s="561"/>
      <c r="AG57" s="561"/>
      <c r="AH57" s="567"/>
      <c r="AI57" s="567"/>
      <c r="AJ57" s="567"/>
      <c r="AK57" s="567"/>
      <c r="AL57" s="567"/>
      <c r="AM57" s="567"/>
      <c r="AN57" s="567"/>
      <c r="AO57" s="567"/>
      <c r="AP57" s="567"/>
      <c r="AQ57" s="567"/>
      <c r="AR57" s="567"/>
      <c r="AS57" s="567"/>
      <c r="AT57" s="567"/>
      <c r="AU57" s="567"/>
      <c r="AV57" s="567"/>
      <c r="AW57" s="567"/>
      <c r="AX57" s="567"/>
      <c r="AY57" s="567"/>
      <c r="AZ57" s="567"/>
      <c r="BA57" s="567"/>
      <c r="BB57" s="567"/>
      <c r="BC57" s="567"/>
      <c r="BD57" s="568"/>
      <c r="BE57" s="568"/>
      <c r="BF57" s="568"/>
      <c r="BG57" s="568"/>
      <c r="BH57" s="568"/>
      <c r="BI57" s="568"/>
      <c r="BJ57" s="568"/>
      <c r="BK57" s="568"/>
      <c r="BL57" s="568"/>
      <c r="BM57" s="568"/>
      <c r="BN57" s="568"/>
      <c r="BO57" s="568"/>
      <c r="BP57" s="568"/>
      <c r="BQ57" s="568"/>
      <c r="BR57" s="568"/>
      <c r="BS57" s="568"/>
      <c r="BT57" s="568"/>
      <c r="BU57" s="568"/>
      <c r="BV57" s="568"/>
      <c r="BW57" s="568"/>
      <c r="BX57" s="568"/>
      <c r="BY57" s="568"/>
      <c r="BZ57" s="568"/>
      <c r="CA57" s="568"/>
      <c r="CB57" s="568"/>
      <c r="CC57" s="568"/>
      <c r="CD57" s="568"/>
      <c r="CE57" s="568"/>
      <c r="CF57" s="568"/>
      <c r="CG57" s="568"/>
      <c r="CH57" s="568"/>
      <c r="CI57" s="568"/>
      <c r="CJ57" s="568"/>
      <c r="CK57" s="568"/>
      <c r="CL57" s="568"/>
      <c r="CM57" s="568"/>
      <c r="CN57" s="568"/>
      <c r="CO57" s="568"/>
      <c r="CP57" s="568"/>
      <c r="CQ57" s="568"/>
      <c r="CR57" s="568"/>
      <c r="CS57" s="568"/>
      <c r="CT57" s="568"/>
      <c r="CU57" s="568"/>
      <c r="CV57" s="568"/>
      <c r="CW57" s="568"/>
      <c r="CX57" s="568"/>
      <c r="CY57" s="568"/>
      <c r="CZ57" s="568"/>
      <c r="DA57" s="568"/>
      <c r="DB57" s="568"/>
      <c r="DC57" s="568"/>
      <c r="DD57" s="568"/>
      <c r="DE57" s="568"/>
      <c r="DF57" s="568"/>
      <c r="DG57" s="568"/>
      <c r="DH57" s="568"/>
      <c r="DI57" s="568"/>
      <c r="DJ57" s="568"/>
      <c r="DK57" s="568"/>
      <c r="DL57" s="568"/>
      <c r="DM57" s="568"/>
      <c r="DN57" s="568"/>
      <c r="DO57" s="568"/>
      <c r="DP57" s="568"/>
      <c r="DQ57" s="568"/>
      <c r="DR57" s="568"/>
      <c r="DS57" s="568"/>
      <c r="DT57" s="568"/>
      <c r="DU57" s="568"/>
      <c r="DV57" s="568"/>
      <c r="DW57" s="568"/>
      <c r="DX57" s="568"/>
      <c r="DY57" s="568"/>
      <c r="DZ57" s="568"/>
      <c r="EA57" s="568"/>
      <c r="EB57" s="568"/>
      <c r="EC57" s="568"/>
      <c r="ED57" s="568"/>
      <c r="EE57" s="568"/>
      <c r="EF57" s="568"/>
      <c r="EG57" s="568"/>
      <c r="EH57" s="568"/>
      <c r="EI57" s="568"/>
      <c r="EJ57" s="568"/>
      <c r="EK57" s="568"/>
      <c r="EL57" s="568"/>
      <c r="EM57" s="568"/>
      <c r="EN57" s="568"/>
      <c r="EO57" s="568"/>
      <c r="EP57" s="568"/>
      <c r="EQ57" s="568"/>
      <c r="ER57" s="568"/>
      <c r="ES57" s="568"/>
      <c r="ET57" s="568"/>
      <c r="EU57" s="568"/>
      <c r="EV57" s="568"/>
      <c r="EW57" s="568"/>
      <c r="EX57" s="568"/>
      <c r="EY57" s="568"/>
      <c r="EZ57" s="568"/>
      <c r="FA57" s="568"/>
      <c r="FB57" s="568"/>
      <c r="FC57" s="568"/>
      <c r="FD57" s="568"/>
      <c r="FE57" s="568"/>
      <c r="FF57" s="568"/>
      <c r="FG57" s="568"/>
      <c r="FH57" s="568"/>
      <c r="FI57" s="568"/>
      <c r="FJ57" s="568"/>
      <c r="FK57" s="568"/>
      <c r="FL57" s="568"/>
      <c r="FM57" s="568"/>
      <c r="FN57" s="568"/>
      <c r="FO57" s="568"/>
      <c r="FP57" s="568"/>
      <c r="FQ57" s="568"/>
      <c r="FR57" s="568"/>
      <c r="FS57" s="568"/>
      <c r="FT57" s="568"/>
      <c r="FU57" s="568"/>
      <c r="FV57" s="568"/>
      <c r="FW57" s="568"/>
      <c r="FX57" s="568"/>
      <c r="FY57" s="568"/>
      <c r="FZ57" s="568"/>
      <c r="GA57" s="568"/>
      <c r="GB57" s="568"/>
      <c r="GC57" s="568"/>
      <c r="GD57" s="568"/>
      <c r="GE57" s="568"/>
      <c r="GF57" s="568"/>
      <c r="GG57" s="568"/>
      <c r="GH57" s="568"/>
      <c r="GI57" s="568"/>
      <c r="GJ57" s="568"/>
      <c r="GK57" s="568"/>
      <c r="GL57" s="568"/>
      <c r="GM57" s="568"/>
      <c r="GN57" s="568"/>
      <c r="GO57" s="568"/>
      <c r="GP57" s="568"/>
      <c r="GQ57" s="568"/>
      <c r="GR57" s="568"/>
      <c r="GS57" s="568"/>
      <c r="GT57" s="568"/>
      <c r="GU57" s="568"/>
      <c r="GV57" s="568"/>
      <c r="GW57" s="568"/>
      <c r="GX57" s="568"/>
      <c r="GY57" s="568"/>
      <c r="GZ57" s="568"/>
      <c r="HA57" s="568"/>
      <c r="HB57" s="568"/>
      <c r="HC57" s="568"/>
      <c r="HD57" s="568"/>
      <c r="HE57" s="568"/>
      <c r="HF57" s="568"/>
      <c r="HG57" s="568"/>
      <c r="HH57" s="568"/>
      <c r="HI57" s="568"/>
      <c r="HJ57" s="568"/>
      <c r="HK57" s="568"/>
      <c r="HL57" s="568"/>
      <c r="HM57" s="568"/>
      <c r="HN57" s="568"/>
      <c r="HO57" s="568"/>
      <c r="HP57" s="568"/>
      <c r="HQ57" s="568"/>
      <c r="HR57" s="568"/>
      <c r="HS57" s="568"/>
      <c r="HT57" s="568"/>
      <c r="HU57" s="568"/>
      <c r="HV57" s="568"/>
      <c r="HW57" s="568"/>
      <c r="HX57" s="568"/>
      <c r="HY57" s="568"/>
      <c r="HZ57" s="568"/>
      <c r="IA57" s="568"/>
      <c r="IB57" s="568"/>
      <c r="IC57" s="568"/>
      <c r="ID57" s="568"/>
      <c r="IE57" s="568"/>
      <c r="IF57" s="568"/>
      <c r="IG57" s="568"/>
      <c r="IH57" s="568"/>
      <c r="II57" s="568"/>
      <c r="IJ57" s="568"/>
      <c r="IK57" s="568"/>
      <c r="IL57" s="568"/>
      <c r="IM57" s="568"/>
      <c r="IN57" s="568"/>
      <c r="IO57" s="568"/>
      <c r="IP57" s="568"/>
      <c r="IQ57" s="568"/>
      <c r="IR57" s="568"/>
      <c r="IS57" s="568"/>
      <c r="IT57" s="568"/>
      <c r="IU57" s="568"/>
    </row>
    <row r="58" spans="1:255" ht="18" customHeight="1">
      <c r="A58" s="554"/>
      <c r="B58" s="561"/>
      <c r="C58" s="561"/>
      <c r="D58" s="561"/>
      <c r="E58" s="561"/>
      <c r="F58" s="561"/>
      <c r="G58" s="561"/>
      <c r="H58" s="561"/>
      <c r="I58" s="561"/>
      <c r="J58" s="561"/>
      <c r="K58" s="561"/>
      <c r="L58" s="561"/>
      <c r="M58" s="561"/>
      <c r="N58" s="561"/>
      <c r="O58" s="561"/>
      <c r="P58" s="561"/>
      <c r="Q58" s="561"/>
      <c r="R58" s="561"/>
      <c r="S58" s="561"/>
      <c r="T58" s="561"/>
      <c r="U58" s="561"/>
      <c r="V58" s="561"/>
      <c r="W58" s="561"/>
      <c r="X58" s="561"/>
      <c r="Y58" s="561"/>
      <c r="Z58" s="561"/>
      <c r="AA58" s="561"/>
      <c r="AB58" s="561"/>
      <c r="AC58" s="561"/>
      <c r="AD58" s="561"/>
      <c r="AE58" s="561"/>
      <c r="AF58" s="561"/>
      <c r="AG58" s="561"/>
      <c r="AH58" s="567"/>
      <c r="AI58" s="567"/>
      <c r="AJ58" s="567"/>
      <c r="AK58" s="567"/>
      <c r="AL58" s="567"/>
      <c r="AM58" s="567"/>
      <c r="AN58" s="567"/>
      <c r="AO58" s="567"/>
      <c r="AP58" s="567"/>
      <c r="AQ58" s="567"/>
      <c r="AR58" s="567"/>
      <c r="AS58" s="567"/>
      <c r="AT58" s="567"/>
      <c r="AU58" s="567"/>
      <c r="AV58" s="567"/>
      <c r="AW58" s="567"/>
      <c r="AX58" s="567"/>
      <c r="AY58" s="567"/>
      <c r="AZ58" s="567"/>
      <c r="BA58" s="567"/>
      <c r="BB58" s="567"/>
      <c r="BC58" s="567"/>
      <c r="BD58" s="568"/>
      <c r="BE58" s="568"/>
      <c r="BF58" s="568"/>
      <c r="BG58" s="568"/>
      <c r="BH58" s="568"/>
      <c r="BI58" s="568"/>
      <c r="BJ58" s="568"/>
      <c r="BK58" s="568"/>
      <c r="BL58" s="568"/>
      <c r="BM58" s="568"/>
      <c r="BN58" s="568"/>
      <c r="BO58" s="568"/>
      <c r="BP58" s="568"/>
      <c r="BQ58" s="568"/>
      <c r="BR58" s="568"/>
      <c r="BS58" s="568"/>
      <c r="BT58" s="568"/>
      <c r="BU58" s="568"/>
      <c r="BV58" s="568"/>
      <c r="BW58" s="568"/>
      <c r="BX58" s="568"/>
      <c r="BY58" s="568"/>
      <c r="BZ58" s="568"/>
      <c r="CA58" s="568"/>
      <c r="CB58" s="568"/>
      <c r="CC58" s="568"/>
      <c r="CD58" s="568"/>
      <c r="CE58" s="568"/>
      <c r="CF58" s="568"/>
      <c r="CG58" s="568"/>
      <c r="CH58" s="568"/>
      <c r="CI58" s="568"/>
      <c r="CJ58" s="568"/>
      <c r="CK58" s="568"/>
      <c r="CL58" s="568"/>
      <c r="CM58" s="568"/>
      <c r="CN58" s="568"/>
      <c r="CO58" s="568"/>
      <c r="CP58" s="568"/>
      <c r="CQ58" s="568"/>
      <c r="CR58" s="568"/>
      <c r="CS58" s="568"/>
      <c r="CT58" s="568"/>
      <c r="CU58" s="568"/>
      <c r="CV58" s="568"/>
      <c r="CW58" s="568"/>
      <c r="CX58" s="568"/>
      <c r="CY58" s="568"/>
      <c r="CZ58" s="568"/>
      <c r="DA58" s="568"/>
      <c r="DB58" s="568"/>
      <c r="DC58" s="568"/>
      <c r="DD58" s="568"/>
      <c r="DE58" s="568"/>
      <c r="DF58" s="568"/>
      <c r="DG58" s="568"/>
      <c r="DH58" s="568"/>
      <c r="DI58" s="568"/>
      <c r="DJ58" s="568"/>
      <c r="DK58" s="568"/>
      <c r="DL58" s="568"/>
      <c r="DM58" s="568"/>
      <c r="DN58" s="568"/>
      <c r="DO58" s="568"/>
      <c r="DP58" s="568"/>
      <c r="DQ58" s="568"/>
      <c r="DR58" s="568"/>
      <c r="DS58" s="568"/>
      <c r="DT58" s="568"/>
      <c r="DU58" s="568"/>
      <c r="DV58" s="568"/>
      <c r="DW58" s="568"/>
      <c r="DX58" s="568"/>
      <c r="DY58" s="568"/>
      <c r="DZ58" s="568"/>
      <c r="EA58" s="568"/>
      <c r="EB58" s="568"/>
      <c r="EC58" s="568"/>
      <c r="ED58" s="568"/>
      <c r="EE58" s="568"/>
      <c r="EF58" s="568"/>
      <c r="EG58" s="568"/>
      <c r="EH58" s="568"/>
      <c r="EI58" s="568"/>
      <c r="EJ58" s="568"/>
      <c r="EK58" s="568"/>
      <c r="EL58" s="568"/>
      <c r="EM58" s="568"/>
      <c r="EN58" s="568"/>
      <c r="EO58" s="568"/>
      <c r="EP58" s="568"/>
      <c r="EQ58" s="568"/>
      <c r="ER58" s="568"/>
      <c r="ES58" s="568"/>
      <c r="ET58" s="568"/>
      <c r="EU58" s="568"/>
      <c r="EV58" s="568"/>
      <c r="EW58" s="568"/>
      <c r="EX58" s="568"/>
      <c r="EY58" s="568"/>
      <c r="EZ58" s="568"/>
      <c r="FA58" s="568"/>
      <c r="FB58" s="568"/>
      <c r="FC58" s="568"/>
      <c r="FD58" s="568"/>
      <c r="FE58" s="568"/>
      <c r="FF58" s="568"/>
      <c r="FG58" s="568"/>
      <c r="FH58" s="568"/>
      <c r="FI58" s="568"/>
      <c r="FJ58" s="568"/>
      <c r="FK58" s="568"/>
      <c r="FL58" s="568"/>
      <c r="FM58" s="568"/>
      <c r="FN58" s="568"/>
      <c r="FO58" s="568"/>
      <c r="FP58" s="568"/>
      <c r="FQ58" s="568"/>
      <c r="FR58" s="568"/>
      <c r="FS58" s="568"/>
      <c r="FT58" s="568"/>
      <c r="FU58" s="568"/>
      <c r="FV58" s="568"/>
      <c r="FW58" s="568"/>
      <c r="FX58" s="568"/>
      <c r="FY58" s="568"/>
      <c r="FZ58" s="568"/>
      <c r="GA58" s="568"/>
      <c r="GB58" s="568"/>
      <c r="GC58" s="568"/>
      <c r="GD58" s="568"/>
      <c r="GE58" s="568"/>
      <c r="GF58" s="568"/>
      <c r="GG58" s="568"/>
      <c r="GH58" s="568"/>
      <c r="GI58" s="568"/>
      <c r="GJ58" s="568"/>
      <c r="GK58" s="568"/>
      <c r="GL58" s="568"/>
      <c r="GM58" s="568"/>
      <c r="GN58" s="568"/>
      <c r="GO58" s="568"/>
      <c r="GP58" s="568"/>
      <c r="GQ58" s="568"/>
      <c r="GR58" s="568"/>
      <c r="GS58" s="568"/>
      <c r="GT58" s="568"/>
      <c r="GU58" s="568"/>
      <c r="GV58" s="568"/>
      <c r="GW58" s="568"/>
      <c r="GX58" s="568"/>
      <c r="GY58" s="568"/>
      <c r="GZ58" s="568"/>
      <c r="HA58" s="568"/>
      <c r="HB58" s="568"/>
      <c r="HC58" s="568"/>
      <c r="HD58" s="568"/>
      <c r="HE58" s="568"/>
      <c r="HF58" s="568"/>
      <c r="HG58" s="568"/>
      <c r="HH58" s="568"/>
      <c r="HI58" s="568"/>
      <c r="HJ58" s="568"/>
      <c r="HK58" s="568"/>
      <c r="HL58" s="568"/>
      <c r="HM58" s="568"/>
      <c r="HN58" s="568"/>
      <c r="HO58" s="568"/>
      <c r="HP58" s="568"/>
      <c r="HQ58" s="568"/>
      <c r="HR58" s="568"/>
      <c r="HS58" s="568"/>
      <c r="HT58" s="568"/>
      <c r="HU58" s="568"/>
      <c r="HV58" s="568"/>
      <c r="HW58" s="568"/>
      <c r="HX58" s="568"/>
      <c r="HY58" s="568"/>
      <c r="HZ58" s="568"/>
      <c r="IA58" s="568"/>
      <c r="IB58" s="568"/>
      <c r="IC58" s="568"/>
      <c r="ID58" s="568"/>
      <c r="IE58" s="568"/>
      <c r="IF58" s="568"/>
      <c r="IG58" s="568"/>
      <c r="IH58" s="568"/>
      <c r="II58" s="568"/>
      <c r="IJ58" s="568"/>
      <c r="IK58" s="568"/>
      <c r="IL58" s="568"/>
      <c r="IM58" s="568"/>
      <c r="IN58" s="568"/>
      <c r="IO58" s="568"/>
      <c r="IP58" s="568"/>
      <c r="IQ58" s="568"/>
      <c r="IR58" s="568"/>
      <c r="IS58" s="568"/>
      <c r="IT58" s="568"/>
      <c r="IU58" s="568"/>
    </row>
    <row r="59" spans="1:255" ht="18" customHeight="1">
      <c r="A59" s="554"/>
      <c r="B59" s="561"/>
      <c r="C59" s="561"/>
      <c r="D59" s="561"/>
      <c r="E59" s="561"/>
      <c r="F59" s="561"/>
      <c r="G59" s="561"/>
      <c r="H59" s="561"/>
      <c r="I59" s="561"/>
      <c r="J59" s="561"/>
      <c r="K59" s="561"/>
      <c r="L59" s="561"/>
      <c r="M59" s="561"/>
      <c r="N59" s="561"/>
      <c r="O59" s="561"/>
      <c r="P59" s="561"/>
      <c r="Q59" s="561"/>
      <c r="R59" s="561"/>
      <c r="S59" s="561"/>
      <c r="T59" s="561"/>
      <c r="U59" s="561"/>
      <c r="V59" s="561"/>
      <c r="W59" s="561"/>
      <c r="X59" s="561"/>
      <c r="Y59" s="561"/>
      <c r="Z59" s="561"/>
      <c r="AA59" s="561"/>
      <c r="AB59" s="561"/>
      <c r="AC59" s="561"/>
      <c r="AD59" s="561"/>
      <c r="AE59" s="561"/>
      <c r="AF59" s="561"/>
      <c r="AG59" s="561"/>
      <c r="AH59" s="567"/>
      <c r="AI59" s="567"/>
      <c r="AJ59" s="567"/>
      <c r="AK59" s="567"/>
      <c r="AL59" s="567"/>
      <c r="AM59" s="567"/>
      <c r="AN59" s="567"/>
      <c r="AO59" s="567"/>
      <c r="AP59" s="567"/>
      <c r="AQ59" s="567"/>
      <c r="AR59" s="567"/>
      <c r="AS59" s="567"/>
      <c r="AT59" s="567"/>
      <c r="AU59" s="567"/>
      <c r="AV59" s="567"/>
      <c r="AW59" s="567"/>
      <c r="AX59" s="567"/>
      <c r="AY59" s="567"/>
      <c r="AZ59" s="567"/>
      <c r="BA59" s="567"/>
      <c r="BB59" s="567"/>
      <c r="BC59" s="567"/>
      <c r="BD59" s="568"/>
      <c r="BE59" s="568"/>
      <c r="BF59" s="568"/>
      <c r="BG59" s="568"/>
      <c r="BH59" s="568"/>
      <c r="BI59" s="568"/>
      <c r="BJ59" s="568"/>
      <c r="BK59" s="568"/>
      <c r="BL59" s="568"/>
      <c r="BM59" s="568"/>
      <c r="BN59" s="568"/>
      <c r="BO59" s="568"/>
      <c r="BP59" s="568"/>
      <c r="BQ59" s="568"/>
      <c r="BR59" s="568"/>
      <c r="BS59" s="568"/>
      <c r="BT59" s="568"/>
      <c r="BU59" s="568"/>
      <c r="BV59" s="568"/>
      <c r="BW59" s="568"/>
      <c r="BX59" s="568"/>
      <c r="BY59" s="568"/>
      <c r="BZ59" s="568"/>
      <c r="CA59" s="568"/>
      <c r="CB59" s="568"/>
      <c r="CC59" s="568"/>
      <c r="CD59" s="568"/>
      <c r="CE59" s="568"/>
      <c r="CF59" s="568"/>
      <c r="CG59" s="568"/>
      <c r="CH59" s="568"/>
      <c r="CI59" s="568"/>
      <c r="CJ59" s="568"/>
      <c r="CK59" s="568"/>
      <c r="CL59" s="568"/>
      <c r="CM59" s="568"/>
      <c r="CN59" s="568"/>
      <c r="CO59" s="568"/>
      <c r="CP59" s="568"/>
      <c r="CQ59" s="568"/>
      <c r="CR59" s="568"/>
      <c r="CS59" s="568"/>
      <c r="CT59" s="568"/>
      <c r="CU59" s="568"/>
      <c r="CV59" s="568"/>
      <c r="CW59" s="568"/>
      <c r="CX59" s="568"/>
      <c r="CY59" s="568"/>
      <c r="CZ59" s="568"/>
      <c r="DA59" s="568"/>
      <c r="DB59" s="568"/>
      <c r="DC59" s="568"/>
      <c r="DD59" s="568"/>
      <c r="DE59" s="568"/>
      <c r="DF59" s="568"/>
      <c r="DG59" s="568"/>
      <c r="DH59" s="568"/>
      <c r="DI59" s="568"/>
      <c r="DJ59" s="568"/>
      <c r="DK59" s="568"/>
      <c r="DL59" s="568"/>
      <c r="DM59" s="568"/>
      <c r="DN59" s="568"/>
      <c r="DO59" s="568"/>
      <c r="DP59" s="568"/>
      <c r="DQ59" s="568"/>
      <c r="DR59" s="568"/>
      <c r="DS59" s="568"/>
      <c r="DT59" s="568"/>
      <c r="DU59" s="568"/>
      <c r="DV59" s="568"/>
      <c r="DW59" s="568"/>
      <c r="DX59" s="568"/>
      <c r="DY59" s="568"/>
      <c r="DZ59" s="568"/>
      <c r="EA59" s="568"/>
      <c r="EB59" s="568"/>
      <c r="EC59" s="568"/>
      <c r="ED59" s="568"/>
      <c r="EE59" s="568"/>
      <c r="EF59" s="568"/>
      <c r="EG59" s="568"/>
      <c r="EH59" s="568"/>
      <c r="EI59" s="568"/>
      <c r="EJ59" s="568"/>
      <c r="EK59" s="568"/>
      <c r="EL59" s="568"/>
      <c r="EM59" s="568"/>
      <c r="EN59" s="568"/>
      <c r="EO59" s="568"/>
      <c r="EP59" s="568"/>
      <c r="EQ59" s="568"/>
      <c r="ER59" s="568"/>
      <c r="ES59" s="568"/>
      <c r="ET59" s="568"/>
      <c r="EU59" s="568"/>
      <c r="EV59" s="568"/>
      <c r="EW59" s="568"/>
      <c r="EX59" s="568"/>
      <c r="EY59" s="568"/>
      <c r="EZ59" s="568"/>
      <c r="FA59" s="568"/>
      <c r="FB59" s="568"/>
      <c r="FC59" s="568"/>
      <c r="FD59" s="568"/>
      <c r="FE59" s="568"/>
      <c r="FF59" s="568"/>
      <c r="FG59" s="568"/>
      <c r="FH59" s="568"/>
      <c r="FI59" s="568"/>
      <c r="FJ59" s="568"/>
      <c r="FK59" s="568"/>
      <c r="FL59" s="568"/>
      <c r="FM59" s="568"/>
      <c r="FN59" s="568"/>
      <c r="FO59" s="568"/>
      <c r="FP59" s="568"/>
      <c r="FQ59" s="568"/>
      <c r="FR59" s="568"/>
      <c r="FS59" s="568"/>
      <c r="FT59" s="568"/>
      <c r="FU59" s="568"/>
      <c r="FV59" s="568"/>
      <c r="FW59" s="568"/>
      <c r="FX59" s="568"/>
      <c r="FY59" s="568"/>
      <c r="FZ59" s="568"/>
      <c r="GA59" s="568"/>
      <c r="GB59" s="568"/>
      <c r="GC59" s="568"/>
      <c r="GD59" s="568"/>
      <c r="GE59" s="568"/>
      <c r="GF59" s="568"/>
      <c r="GG59" s="568"/>
      <c r="GH59" s="568"/>
      <c r="GI59" s="568"/>
      <c r="GJ59" s="568"/>
      <c r="GK59" s="568"/>
      <c r="GL59" s="568"/>
      <c r="GM59" s="568"/>
      <c r="GN59" s="568"/>
      <c r="GO59" s="568"/>
      <c r="GP59" s="568"/>
      <c r="GQ59" s="568"/>
      <c r="GR59" s="568"/>
      <c r="GS59" s="568"/>
      <c r="GT59" s="568"/>
      <c r="GU59" s="568"/>
      <c r="GV59" s="568"/>
      <c r="GW59" s="568"/>
      <c r="GX59" s="568"/>
      <c r="GY59" s="568"/>
      <c r="GZ59" s="568"/>
      <c r="HA59" s="568"/>
      <c r="HB59" s="568"/>
      <c r="HC59" s="568"/>
      <c r="HD59" s="568"/>
      <c r="HE59" s="568"/>
      <c r="HF59" s="568"/>
      <c r="HG59" s="568"/>
      <c r="HH59" s="568"/>
      <c r="HI59" s="568"/>
      <c r="HJ59" s="568"/>
      <c r="HK59" s="568"/>
      <c r="HL59" s="568"/>
      <c r="HM59" s="568"/>
      <c r="HN59" s="568"/>
      <c r="HO59" s="568"/>
      <c r="HP59" s="568"/>
      <c r="HQ59" s="568"/>
      <c r="HR59" s="568"/>
      <c r="HS59" s="568"/>
      <c r="HT59" s="568"/>
      <c r="HU59" s="568"/>
      <c r="HV59" s="568"/>
      <c r="HW59" s="568"/>
      <c r="HX59" s="568"/>
      <c r="HY59" s="568"/>
      <c r="HZ59" s="568"/>
      <c r="IA59" s="568"/>
      <c r="IB59" s="568"/>
      <c r="IC59" s="568"/>
      <c r="ID59" s="568"/>
      <c r="IE59" s="568"/>
      <c r="IF59" s="568"/>
      <c r="IG59" s="568"/>
      <c r="IH59" s="568"/>
      <c r="II59" s="568"/>
      <c r="IJ59" s="568"/>
      <c r="IK59" s="568"/>
      <c r="IL59" s="568"/>
      <c r="IM59" s="568"/>
      <c r="IN59" s="568"/>
      <c r="IO59" s="568"/>
      <c r="IP59" s="568"/>
      <c r="IQ59" s="568"/>
      <c r="IR59" s="568"/>
      <c r="IS59" s="568"/>
      <c r="IT59" s="568"/>
      <c r="IU59" s="568"/>
    </row>
    <row r="60" spans="1:255" ht="18" customHeight="1">
      <c r="A60" s="554"/>
      <c r="B60" s="561"/>
      <c r="C60" s="561"/>
      <c r="D60" s="561"/>
      <c r="E60" s="561"/>
      <c r="F60" s="561"/>
      <c r="G60" s="561"/>
      <c r="H60" s="561"/>
      <c r="I60" s="561"/>
      <c r="J60" s="561"/>
      <c r="K60" s="561"/>
      <c r="L60" s="561"/>
      <c r="M60" s="561"/>
      <c r="N60" s="561"/>
      <c r="O60" s="561"/>
      <c r="P60" s="561"/>
      <c r="Q60" s="561"/>
      <c r="R60" s="561"/>
      <c r="S60" s="561"/>
      <c r="T60" s="561"/>
      <c r="U60" s="561"/>
      <c r="V60" s="561"/>
      <c r="W60" s="561"/>
      <c r="X60" s="561"/>
      <c r="Y60" s="561"/>
      <c r="Z60" s="561"/>
      <c r="AA60" s="561"/>
      <c r="AB60" s="561"/>
      <c r="AC60" s="561"/>
      <c r="AD60" s="561"/>
      <c r="AE60" s="561"/>
      <c r="AF60" s="561"/>
      <c r="AG60" s="561"/>
      <c r="AH60" s="567"/>
      <c r="AI60" s="567"/>
      <c r="AJ60" s="567"/>
      <c r="AK60" s="567"/>
      <c r="AL60" s="567"/>
      <c r="AM60" s="567"/>
      <c r="AN60" s="567"/>
      <c r="AO60" s="567"/>
      <c r="AP60" s="567"/>
      <c r="AQ60" s="567"/>
      <c r="AR60" s="567"/>
      <c r="AS60" s="567"/>
      <c r="AT60" s="567"/>
      <c r="AU60" s="567"/>
      <c r="AV60" s="567"/>
      <c r="AW60" s="567"/>
      <c r="AX60" s="567"/>
      <c r="AY60" s="567"/>
      <c r="AZ60" s="567"/>
      <c r="BA60" s="567"/>
      <c r="BB60" s="567"/>
      <c r="BC60" s="567"/>
      <c r="BD60" s="568"/>
      <c r="BE60" s="568"/>
      <c r="BF60" s="568"/>
      <c r="BG60" s="568"/>
      <c r="BH60" s="568"/>
      <c r="BI60" s="568"/>
      <c r="BJ60" s="568"/>
      <c r="BK60" s="568"/>
      <c r="BL60" s="568"/>
      <c r="BM60" s="568"/>
      <c r="BN60" s="568"/>
      <c r="BO60" s="568"/>
      <c r="BP60" s="568"/>
      <c r="BQ60" s="568"/>
      <c r="BR60" s="568"/>
      <c r="BS60" s="568"/>
      <c r="BT60" s="568"/>
      <c r="BU60" s="568"/>
      <c r="BV60" s="568"/>
      <c r="BW60" s="568"/>
      <c r="BX60" s="568"/>
      <c r="BY60" s="568"/>
      <c r="BZ60" s="568"/>
      <c r="CA60" s="568"/>
      <c r="CB60" s="568"/>
      <c r="CC60" s="568"/>
      <c r="CD60" s="568"/>
      <c r="CE60" s="568"/>
      <c r="CF60" s="568"/>
      <c r="CG60" s="568"/>
      <c r="CH60" s="568"/>
      <c r="CI60" s="568"/>
      <c r="CJ60" s="568"/>
      <c r="CK60" s="568"/>
      <c r="CL60" s="568"/>
      <c r="CM60" s="568"/>
      <c r="CN60" s="568"/>
      <c r="CO60" s="568"/>
      <c r="CP60" s="568"/>
      <c r="CQ60" s="568"/>
      <c r="CR60" s="568"/>
      <c r="CS60" s="568"/>
      <c r="CT60" s="568"/>
      <c r="CU60" s="568"/>
      <c r="CV60" s="568"/>
      <c r="CW60" s="568"/>
      <c r="CX60" s="568"/>
      <c r="CY60" s="568"/>
      <c r="CZ60" s="568"/>
      <c r="DA60" s="568"/>
      <c r="DB60" s="568"/>
      <c r="DC60" s="568"/>
      <c r="DD60" s="568"/>
      <c r="DE60" s="568"/>
      <c r="DF60" s="568"/>
      <c r="DG60" s="568"/>
      <c r="DH60" s="568"/>
      <c r="DI60" s="568"/>
      <c r="DJ60" s="568"/>
      <c r="DK60" s="568"/>
      <c r="DL60" s="568"/>
      <c r="DM60" s="568"/>
      <c r="DN60" s="568"/>
      <c r="DO60" s="568"/>
      <c r="DP60" s="568"/>
      <c r="DQ60" s="568"/>
      <c r="DR60" s="568"/>
      <c r="DS60" s="568"/>
      <c r="DT60" s="568"/>
      <c r="DU60" s="568"/>
      <c r="DV60" s="568"/>
      <c r="DW60" s="568"/>
      <c r="DX60" s="568"/>
      <c r="DY60" s="568"/>
      <c r="DZ60" s="568"/>
      <c r="EA60" s="568"/>
      <c r="EB60" s="568"/>
      <c r="EC60" s="568"/>
      <c r="ED60" s="568"/>
      <c r="EE60" s="568"/>
      <c r="EF60" s="568"/>
      <c r="EG60" s="568"/>
      <c r="EH60" s="568"/>
      <c r="EI60" s="568"/>
      <c r="EJ60" s="568"/>
      <c r="EK60" s="568"/>
      <c r="EL60" s="568"/>
      <c r="EM60" s="568"/>
      <c r="EN60" s="568"/>
      <c r="EO60" s="568"/>
      <c r="EP60" s="568"/>
      <c r="EQ60" s="568"/>
      <c r="ER60" s="568"/>
      <c r="ES60" s="568"/>
      <c r="ET60" s="568"/>
      <c r="EU60" s="568"/>
      <c r="EV60" s="568"/>
      <c r="EW60" s="568"/>
      <c r="EX60" s="568"/>
      <c r="EY60" s="568"/>
      <c r="EZ60" s="568"/>
      <c r="FA60" s="568"/>
      <c r="FB60" s="568"/>
      <c r="FC60" s="568"/>
      <c r="FD60" s="568"/>
      <c r="FE60" s="568"/>
      <c r="FF60" s="568"/>
      <c r="FG60" s="568"/>
      <c r="FH60" s="568"/>
      <c r="FI60" s="568"/>
      <c r="FJ60" s="568"/>
      <c r="FK60" s="568"/>
      <c r="FL60" s="568"/>
      <c r="FM60" s="568"/>
      <c r="FN60" s="568"/>
      <c r="FO60" s="568"/>
      <c r="FP60" s="568"/>
      <c r="FQ60" s="568"/>
      <c r="FR60" s="568"/>
      <c r="FS60" s="568"/>
      <c r="FT60" s="568"/>
      <c r="FU60" s="568"/>
      <c r="FV60" s="568"/>
      <c r="FW60" s="568"/>
      <c r="FX60" s="568"/>
      <c r="FY60" s="568"/>
      <c r="FZ60" s="568"/>
      <c r="GA60" s="568"/>
      <c r="GB60" s="568"/>
      <c r="GC60" s="568"/>
      <c r="GD60" s="568"/>
      <c r="GE60" s="568"/>
      <c r="GF60" s="568"/>
      <c r="GG60" s="568"/>
      <c r="GH60" s="568"/>
      <c r="GI60" s="568"/>
      <c r="GJ60" s="568"/>
      <c r="GK60" s="568"/>
      <c r="GL60" s="568"/>
      <c r="GM60" s="568"/>
      <c r="GN60" s="568"/>
      <c r="GO60" s="568"/>
      <c r="GP60" s="568"/>
      <c r="GQ60" s="568"/>
      <c r="GR60" s="568"/>
      <c r="GS60" s="568"/>
      <c r="GT60" s="568"/>
      <c r="GU60" s="568"/>
      <c r="GV60" s="568"/>
      <c r="GW60" s="568"/>
      <c r="GX60" s="568"/>
      <c r="GY60" s="568"/>
      <c r="GZ60" s="568"/>
      <c r="HA60" s="568"/>
      <c r="HB60" s="568"/>
      <c r="HC60" s="568"/>
      <c r="HD60" s="568"/>
      <c r="HE60" s="568"/>
      <c r="HF60" s="568"/>
      <c r="HG60" s="568"/>
      <c r="HH60" s="568"/>
      <c r="HI60" s="568"/>
      <c r="HJ60" s="568"/>
      <c r="HK60" s="568"/>
      <c r="HL60" s="568"/>
      <c r="HM60" s="568"/>
      <c r="HN60" s="568"/>
      <c r="HO60" s="568"/>
      <c r="HP60" s="568"/>
      <c r="HQ60" s="568"/>
      <c r="HR60" s="568"/>
      <c r="HS60" s="568"/>
      <c r="HT60" s="568"/>
      <c r="HU60" s="568"/>
      <c r="HV60" s="568"/>
      <c r="HW60" s="568"/>
      <c r="HX60" s="568"/>
      <c r="HY60" s="568"/>
      <c r="HZ60" s="568"/>
      <c r="IA60" s="568"/>
      <c r="IB60" s="568"/>
      <c r="IC60" s="568"/>
      <c r="ID60" s="568"/>
      <c r="IE60" s="568"/>
      <c r="IF60" s="568"/>
      <c r="IG60" s="568"/>
      <c r="IH60" s="568"/>
      <c r="II60" s="568"/>
      <c r="IJ60" s="568"/>
      <c r="IK60" s="568"/>
      <c r="IL60" s="568"/>
      <c r="IM60" s="568"/>
      <c r="IN60" s="568"/>
      <c r="IO60" s="568"/>
      <c r="IP60" s="568"/>
      <c r="IQ60" s="568"/>
      <c r="IR60" s="568"/>
      <c r="IS60" s="568"/>
      <c r="IT60" s="568"/>
      <c r="IU60" s="568"/>
    </row>
    <row r="61" spans="1:255" ht="18" customHeight="1">
      <c r="A61" s="554"/>
      <c r="B61" s="561"/>
      <c r="C61" s="561"/>
      <c r="D61" s="561"/>
      <c r="E61" s="561"/>
      <c r="F61" s="561"/>
      <c r="G61" s="561"/>
      <c r="H61" s="561"/>
      <c r="I61" s="561"/>
      <c r="J61" s="561"/>
      <c r="K61" s="561"/>
      <c r="L61" s="561"/>
      <c r="M61" s="561"/>
      <c r="N61" s="561"/>
      <c r="O61" s="561"/>
      <c r="P61" s="561"/>
      <c r="Q61" s="561"/>
      <c r="R61" s="561"/>
      <c r="S61" s="561"/>
      <c r="T61" s="561"/>
      <c r="U61" s="561"/>
      <c r="V61" s="561"/>
      <c r="W61" s="561"/>
      <c r="X61" s="561"/>
      <c r="Y61" s="561"/>
      <c r="Z61" s="561"/>
      <c r="AA61" s="561"/>
      <c r="AB61" s="561"/>
      <c r="AC61" s="561"/>
      <c r="AD61" s="561"/>
      <c r="AE61" s="561"/>
      <c r="AF61" s="561"/>
      <c r="AG61" s="561"/>
      <c r="AH61" s="567"/>
      <c r="AI61" s="567"/>
      <c r="AJ61" s="567"/>
      <c r="AK61" s="567"/>
      <c r="AL61" s="567"/>
      <c r="AM61" s="567"/>
      <c r="AN61" s="567"/>
      <c r="AO61" s="567"/>
      <c r="AP61" s="567"/>
      <c r="AQ61" s="567"/>
      <c r="AR61" s="567"/>
      <c r="AS61" s="567"/>
      <c r="AT61" s="567"/>
      <c r="AU61" s="567"/>
      <c r="AV61" s="567"/>
      <c r="AW61" s="567"/>
      <c r="AX61" s="567"/>
      <c r="AY61" s="567"/>
      <c r="AZ61" s="567"/>
      <c r="BA61" s="567"/>
      <c r="BB61" s="567"/>
      <c r="BC61" s="567"/>
      <c r="BD61" s="568"/>
      <c r="BE61" s="568"/>
      <c r="BF61" s="568"/>
      <c r="BG61" s="568"/>
      <c r="BH61" s="568"/>
      <c r="BI61" s="568"/>
      <c r="BJ61" s="568"/>
      <c r="BK61" s="568"/>
      <c r="BL61" s="568"/>
      <c r="BM61" s="568"/>
      <c r="BN61" s="568"/>
      <c r="BO61" s="568"/>
      <c r="BP61" s="568"/>
      <c r="BQ61" s="568"/>
      <c r="BR61" s="568"/>
      <c r="BS61" s="568"/>
      <c r="BT61" s="568"/>
      <c r="BU61" s="568"/>
      <c r="BV61" s="568"/>
      <c r="BW61" s="568"/>
      <c r="BX61" s="568"/>
      <c r="BY61" s="568"/>
      <c r="BZ61" s="568"/>
      <c r="CA61" s="568"/>
      <c r="CB61" s="568"/>
      <c r="CC61" s="568"/>
      <c r="CD61" s="568"/>
      <c r="CE61" s="568"/>
      <c r="CF61" s="568"/>
      <c r="CG61" s="568"/>
      <c r="CH61" s="568"/>
      <c r="CI61" s="568"/>
      <c r="CJ61" s="568"/>
      <c r="CK61" s="568"/>
      <c r="CL61" s="568"/>
      <c r="CM61" s="568"/>
      <c r="CN61" s="568"/>
      <c r="CO61" s="568"/>
      <c r="CP61" s="568"/>
      <c r="CQ61" s="568"/>
      <c r="CR61" s="568"/>
      <c r="CS61" s="568"/>
      <c r="CT61" s="568"/>
      <c r="CU61" s="568"/>
      <c r="CV61" s="568"/>
      <c r="CW61" s="568"/>
      <c r="CX61" s="568"/>
      <c r="CY61" s="568"/>
      <c r="CZ61" s="568"/>
      <c r="DA61" s="568"/>
      <c r="DB61" s="568"/>
      <c r="DC61" s="568"/>
      <c r="DD61" s="568"/>
      <c r="DE61" s="568"/>
      <c r="DF61" s="568"/>
      <c r="DG61" s="568"/>
      <c r="DH61" s="568"/>
      <c r="DI61" s="568"/>
      <c r="DJ61" s="568"/>
      <c r="DK61" s="568"/>
      <c r="DL61" s="568"/>
      <c r="DM61" s="568"/>
      <c r="DN61" s="568"/>
      <c r="DO61" s="568"/>
      <c r="DP61" s="568"/>
      <c r="DQ61" s="568"/>
      <c r="DR61" s="568"/>
      <c r="DS61" s="568"/>
      <c r="DT61" s="568"/>
      <c r="DU61" s="568"/>
      <c r="DV61" s="568"/>
      <c r="DW61" s="568"/>
      <c r="DX61" s="568"/>
      <c r="DY61" s="568"/>
      <c r="DZ61" s="568"/>
      <c r="EA61" s="568"/>
      <c r="EB61" s="568"/>
      <c r="EC61" s="568"/>
      <c r="ED61" s="568"/>
      <c r="EE61" s="568"/>
      <c r="EF61" s="568"/>
      <c r="EG61" s="568"/>
      <c r="EH61" s="568"/>
      <c r="EI61" s="568"/>
      <c r="EJ61" s="568"/>
      <c r="EK61" s="568"/>
      <c r="EL61" s="568"/>
      <c r="EM61" s="568"/>
      <c r="EN61" s="568"/>
      <c r="EO61" s="568"/>
      <c r="EP61" s="568"/>
      <c r="EQ61" s="568"/>
      <c r="ER61" s="568"/>
      <c r="ES61" s="568"/>
      <c r="ET61" s="568"/>
      <c r="EU61" s="568"/>
      <c r="EV61" s="568"/>
      <c r="EW61" s="568"/>
      <c r="EX61" s="568"/>
      <c r="EY61" s="568"/>
      <c r="EZ61" s="568"/>
      <c r="FA61" s="568"/>
      <c r="FB61" s="568"/>
      <c r="FC61" s="568"/>
      <c r="FD61" s="568"/>
      <c r="FE61" s="568"/>
      <c r="FF61" s="568"/>
      <c r="FG61" s="568"/>
      <c r="FH61" s="568"/>
      <c r="FI61" s="568"/>
      <c r="FJ61" s="568"/>
      <c r="FK61" s="568"/>
      <c r="FL61" s="568"/>
      <c r="FM61" s="568"/>
      <c r="FN61" s="568"/>
      <c r="FO61" s="568"/>
      <c r="FP61" s="568"/>
      <c r="FQ61" s="568"/>
      <c r="FR61" s="568"/>
      <c r="FS61" s="568"/>
      <c r="FT61" s="568"/>
      <c r="FU61" s="568"/>
      <c r="FV61" s="568"/>
      <c r="FW61" s="568"/>
      <c r="FX61" s="568"/>
      <c r="FY61" s="568"/>
      <c r="FZ61" s="568"/>
      <c r="GA61" s="568"/>
      <c r="GB61" s="568"/>
      <c r="GC61" s="568"/>
      <c r="GD61" s="568"/>
      <c r="GE61" s="568"/>
      <c r="GF61" s="568"/>
      <c r="GG61" s="568"/>
      <c r="GH61" s="568"/>
      <c r="GI61" s="568"/>
      <c r="GJ61" s="568"/>
      <c r="GK61" s="568"/>
      <c r="GL61" s="568"/>
      <c r="GM61" s="568"/>
      <c r="GN61" s="568"/>
      <c r="GO61" s="568"/>
      <c r="GP61" s="568"/>
      <c r="GQ61" s="568"/>
      <c r="GR61" s="568"/>
      <c r="GS61" s="568"/>
      <c r="GT61" s="568"/>
      <c r="GU61" s="568"/>
      <c r="GV61" s="568"/>
      <c r="GW61" s="568"/>
      <c r="GX61" s="568"/>
      <c r="GY61" s="568"/>
      <c r="GZ61" s="568"/>
      <c r="HA61" s="568"/>
      <c r="HB61" s="568"/>
      <c r="HC61" s="568"/>
      <c r="HD61" s="568"/>
      <c r="HE61" s="568"/>
      <c r="HF61" s="568"/>
      <c r="HG61" s="568"/>
      <c r="HH61" s="568"/>
      <c r="HI61" s="568"/>
      <c r="HJ61" s="568"/>
      <c r="HK61" s="568"/>
      <c r="HL61" s="568"/>
      <c r="HM61" s="568"/>
      <c r="HN61" s="568"/>
      <c r="HO61" s="568"/>
      <c r="HP61" s="568"/>
      <c r="HQ61" s="568"/>
      <c r="HR61" s="568"/>
      <c r="HS61" s="568"/>
      <c r="HT61" s="568"/>
      <c r="HU61" s="568"/>
      <c r="HV61" s="568"/>
      <c r="HW61" s="568"/>
      <c r="HX61" s="568"/>
      <c r="HY61" s="568"/>
      <c r="HZ61" s="568"/>
      <c r="IA61" s="568"/>
      <c r="IB61" s="568"/>
      <c r="IC61" s="568"/>
      <c r="ID61" s="568"/>
      <c r="IE61" s="568"/>
      <c r="IF61" s="568"/>
      <c r="IG61" s="568"/>
      <c r="IH61" s="568"/>
      <c r="II61" s="568"/>
      <c r="IJ61" s="568"/>
      <c r="IK61" s="568"/>
      <c r="IL61" s="568"/>
      <c r="IM61" s="568"/>
      <c r="IN61" s="568"/>
      <c r="IO61" s="568"/>
      <c r="IP61" s="568"/>
      <c r="IQ61" s="568"/>
      <c r="IR61" s="568"/>
      <c r="IS61" s="568"/>
      <c r="IT61" s="568"/>
      <c r="IU61" s="568"/>
    </row>
    <row r="62" spans="1:255" ht="18" customHeight="1">
      <c r="A62" s="554"/>
      <c r="B62" s="561"/>
      <c r="C62" s="561"/>
      <c r="D62" s="561"/>
      <c r="E62" s="561"/>
      <c r="F62" s="561"/>
      <c r="G62" s="561"/>
      <c r="H62" s="561"/>
      <c r="I62" s="561"/>
      <c r="J62" s="561"/>
      <c r="K62" s="561"/>
      <c r="L62" s="561"/>
      <c r="M62" s="561"/>
      <c r="N62" s="561"/>
      <c r="O62" s="561"/>
      <c r="P62" s="561"/>
      <c r="Q62" s="561"/>
      <c r="R62" s="561"/>
      <c r="S62" s="561"/>
      <c r="T62" s="562"/>
      <c r="U62" s="561"/>
      <c r="V62" s="561"/>
      <c r="W62" s="561"/>
      <c r="X62" s="561"/>
      <c r="Y62" s="561"/>
      <c r="Z62" s="561"/>
      <c r="AA62" s="561"/>
      <c r="AB62" s="561"/>
      <c r="AC62" s="561"/>
      <c r="AD62" s="561"/>
      <c r="AE62" s="561"/>
      <c r="AF62" s="561"/>
      <c r="AG62" s="561"/>
      <c r="AH62" s="567"/>
      <c r="AI62" s="567"/>
      <c r="AJ62" s="567"/>
      <c r="AK62" s="567"/>
      <c r="AL62" s="567"/>
      <c r="AM62" s="567"/>
      <c r="AN62" s="567"/>
      <c r="AO62" s="567"/>
      <c r="AP62" s="567"/>
      <c r="AQ62" s="567"/>
      <c r="AR62" s="567"/>
      <c r="AS62" s="567"/>
      <c r="AT62" s="567"/>
      <c r="AU62" s="567"/>
      <c r="AV62" s="567"/>
      <c r="AW62" s="567"/>
      <c r="AX62" s="567"/>
      <c r="AY62" s="567"/>
      <c r="AZ62" s="567"/>
      <c r="BA62" s="567"/>
      <c r="BB62" s="567"/>
      <c r="BC62" s="567"/>
      <c r="BD62" s="568"/>
      <c r="BE62" s="568"/>
      <c r="BF62" s="568"/>
      <c r="BG62" s="568"/>
      <c r="BH62" s="568"/>
      <c r="BI62" s="568"/>
      <c r="BJ62" s="568"/>
      <c r="BK62" s="568"/>
      <c r="BL62" s="568"/>
      <c r="BM62" s="568"/>
      <c r="BN62" s="568"/>
      <c r="BO62" s="568"/>
      <c r="BP62" s="568"/>
      <c r="BQ62" s="568"/>
      <c r="BR62" s="568"/>
      <c r="BS62" s="568"/>
      <c r="BT62" s="568"/>
      <c r="BU62" s="568"/>
      <c r="BV62" s="568"/>
      <c r="BW62" s="568"/>
      <c r="BX62" s="568"/>
      <c r="BY62" s="568"/>
      <c r="BZ62" s="568"/>
      <c r="CA62" s="568"/>
      <c r="CB62" s="568"/>
      <c r="CC62" s="568"/>
      <c r="CD62" s="568"/>
      <c r="CE62" s="568"/>
      <c r="CF62" s="568"/>
      <c r="CG62" s="568"/>
      <c r="CH62" s="568"/>
      <c r="CI62" s="568"/>
      <c r="CJ62" s="568"/>
      <c r="CK62" s="568"/>
      <c r="CL62" s="568"/>
      <c r="CM62" s="568"/>
      <c r="CN62" s="568"/>
      <c r="CO62" s="568"/>
      <c r="CP62" s="568"/>
      <c r="CQ62" s="568"/>
      <c r="CR62" s="568"/>
      <c r="CS62" s="568"/>
      <c r="CT62" s="568"/>
      <c r="CU62" s="568"/>
      <c r="CV62" s="568"/>
      <c r="CW62" s="568"/>
      <c r="CX62" s="568"/>
      <c r="CY62" s="568"/>
      <c r="CZ62" s="568"/>
      <c r="DA62" s="568"/>
      <c r="DB62" s="568"/>
      <c r="DC62" s="568"/>
      <c r="DD62" s="568"/>
      <c r="DE62" s="568"/>
      <c r="DF62" s="568"/>
      <c r="DG62" s="568"/>
      <c r="DH62" s="568"/>
      <c r="DI62" s="568"/>
      <c r="DJ62" s="568"/>
      <c r="DK62" s="568"/>
      <c r="DL62" s="568"/>
      <c r="DM62" s="568"/>
      <c r="DN62" s="568"/>
      <c r="DO62" s="568"/>
      <c r="DP62" s="568"/>
      <c r="DQ62" s="568"/>
      <c r="DR62" s="568"/>
      <c r="DS62" s="568"/>
      <c r="DT62" s="568"/>
      <c r="DU62" s="568"/>
      <c r="DV62" s="568"/>
      <c r="DW62" s="568"/>
      <c r="DX62" s="568"/>
      <c r="DY62" s="568"/>
      <c r="DZ62" s="568"/>
      <c r="EA62" s="568"/>
      <c r="EB62" s="568"/>
      <c r="EC62" s="568"/>
      <c r="ED62" s="568"/>
      <c r="EE62" s="568"/>
      <c r="EF62" s="568"/>
      <c r="EG62" s="568"/>
      <c r="EH62" s="568"/>
      <c r="EI62" s="568"/>
      <c r="EJ62" s="568"/>
      <c r="EK62" s="568"/>
      <c r="EL62" s="568"/>
      <c r="EM62" s="568"/>
      <c r="EN62" s="568"/>
      <c r="EO62" s="568"/>
      <c r="EP62" s="568"/>
      <c r="EQ62" s="568"/>
      <c r="ER62" s="568"/>
      <c r="ES62" s="568"/>
      <c r="ET62" s="568"/>
      <c r="EU62" s="568"/>
      <c r="EV62" s="568"/>
      <c r="EW62" s="568"/>
      <c r="EX62" s="568"/>
      <c r="EY62" s="568"/>
      <c r="EZ62" s="568"/>
      <c r="FA62" s="568"/>
      <c r="FB62" s="568"/>
      <c r="FC62" s="568"/>
      <c r="FD62" s="568"/>
      <c r="FE62" s="568"/>
      <c r="FF62" s="568"/>
      <c r="FG62" s="568"/>
      <c r="FH62" s="568"/>
      <c r="FI62" s="568"/>
      <c r="FJ62" s="568"/>
      <c r="FK62" s="568"/>
      <c r="FL62" s="568"/>
      <c r="FM62" s="568"/>
      <c r="FN62" s="568"/>
      <c r="FO62" s="568"/>
      <c r="FP62" s="568"/>
      <c r="FQ62" s="568"/>
      <c r="FR62" s="568"/>
      <c r="FS62" s="568"/>
      <c r="FT62" s="568"/>
      <c r="FU62" s="568"/>
      <c r="FV62" s="568"/>
      <c r="FW62" s="568"/>
      <c r="FX62" s="568"/>
      <c r="FY62" s="568"/>
      <c r="FZ62" s="568"/>
      <c r="GA62" s="568"/>
      <c r="GB62" s="568"/>
      <c r="GC62" s="568"/>
      <c r="GD62" s="568"/>
      <c r="GE62" s="568"/>
      <c r="GF62" s="568"/>
      <c r="GG62" s="568"/>
      <c r="GH62" s="568"/>
      <c r="GI62" s="568"/>
      <c r="GJ62" s="568"/>
      <c r="GK62" s="568"/>
      <c r="GL62" s="568"/>
      <c r="GM62" s="568"/>
      <c r="GN62" s="568"/>
      <c r="GO62" s="568"/>
      <c r="GP62" s="568"/>
      <c r="GQ62" s="568"/>
      <c r="GR62" s="568"/>
      <c r="GS62" s="568"/>
      <c r="GT62" s="568"/>
      <c r="GU62" s="568"/>
      <c r="GV62" s="568"/>
      <c r="GW62" s="568"/>
      <c r="GX62" s="568"/>
      <c r="GY62" s="568"/>
      <c r="GZ62" s="568"/>
      <c r="HA62" s="568"/>
      <c r="HB62" s="568"/>
      <c r="HC62" s="568"/>
      <c r="HD62" s="568"/>
      <c r="HE62" s="568"/>
      <c r="HF62" s="568"/>
      <c r="HG62" s="568"/>
      <c r="HH62" s="568"/>
      <c r="HI62" s="568"/>
      <c r="HJ62" s="568"/>
      <c r="HK62" s="568"/>
      <c r="HL62" s="568"/>
      <c r="HM62" s="568"/>
      <c r="HN62" s="568"/>
      <c r="HO62" s="568"/>
      <c r="HP62" s="568"/>
      <c r="HQ62" s="568"/>
      <c r="HR62" s="568"/>
      <c r="HS62" s="568"/>
      <c r="HT62" s="568"/>
      <c r="HU62" s="568"/>
      <c r="HV62" s="568"/>
      <c r="HW62" s="568"/>
      <c r="HX62" s="568"/>
      <c r="HY62" s="568"/>
      <c r="HZ62" s="568"/>
      <c r="IA62" s="568"/>
      <c r="IB62" s="568"/>
      <c r="IC62" s="568"/>
      <c r="ID62" s="568"/>
      <c r="IE62" s="568"/>
      <c r="IF62" s="568"/>
      <c r="IG62" s="568"/>
      <c r="IH62" s="568"/>
      <c r="II62" s="568"/>
      <c r="IJ62" s="568"/>
      <c r="IK62" s="568"/>
      <c r="IL62" s="568"/>
      <c r="IM62" s="568"/>
      <c r="IN62" s="568"/>
      <c r="IO62" s="568"/>
      <c r="IP62" s="568"/>
      <c r="IQ62" s="568"/>
      <c r="IR62" s="568"/>
      <c r="IS62" s="568"/>
      <c r="IT62" s="568"/>
      <c r="IU62" s="568"/>
    </row>
    <row r="63" spans="1:255" ht="18" customHeight="1">
      <c r="A63" s="554"/>
      <c r="B63" s="561"/>
      <c r="C63" s="561"/>
      <c r="D63" s="561"/>
      <c r="E63" s="561"/>
      <c r="F63" s="561"/>
      <c r="G63" s="561"/>
      <c r="H63" s="561"/>
      <c r="I63" s="561"/>
      <c r="J63" s="561"/>
      <c r="K63" s="561"/>
      <c r="L63" s="561"/>
      <c r="M63" s="561"/>
      <c r="N63" s="561"/>
      <c r="O63" s="561"/>
      <c r="P63" s="561"/>
      <c r="Q63" s="561"/>
      <c r="R63" s="561"/>
      <c r="S63" s="561"/>
      <c r="T63" s="561"/>
      <c r="U63" s="561"/>
      <c r="V63" s="561"/>
      <c r="W63" s="561"/>
      <c r="X63" s="561"/>
      <c r="Y63" s="561"/>
      <c r="Z63" s="561"/>
      <c r="AA63" s="561"/>
      <c r="AB63" s="561"/>
      <c r="AC63" s="561"/>
      <c r="AD63" s="561"/>
      <c r="AE63" s="561"/>
      <c r="AF63" s="561"/>
      <c r="AG63" s="561"/>
      <c r="AH63" s="567"/>
      <c r="AI63" s="567"/>
      <c r="AJ63" s="567"/>
      <c r="AK63" s="567"/>
      <c r="AL63" s="567"/>
      <c r="AM63" s="567"/>
      <c r="AN63" s="567"/>
      <c r="AO63" s="567"/>
      <c r="AP63" s="567"/>
      <c r="AQ63" s="567"/>
      <c r="AR63" s="567"/>
      <c r="AS63" s="567"/>
      <c r="AT63" s="567"/>
      <c r="AU63" s="567"/>
      <c r="AV63" s="567"/>
      <c r="AW63" s="567"/>
      <c r="AX63" s="567"/>
      <c r="AY63" s="567"/>
      <c r="AZ63" s="567"/>
      <c r="BA63" s="567"/>
      <c r="BB63" s="567"/>
      <c r="BC63" s="567"/>
      <c r="BD63" s="568"/>
      <c r="BE63" s="568"/>
      <c r="BF63" s="568"/>
      <c r="BG63" s="568"/>
      <c r="BH63" s="568"/>
      <c r="BI63" s="568"/>
      <c r="BJ63" s="568"/>
      <c r="BK63" s="568"/>
      <c r="BL63" s="568"/>
      <c r="BM63" s="568"/>
      <c r="BN63" s="568"/>
      <c r="BO63" s="568"/>
      <c r="BP63" s="568"/>
      <c r="BQ63" s="568"/>
      <c r="BR63" s="568"/>
      <c r="BS63" s="568"/>
      <c r="BT63" s="568"/>
      <c r="BU63" s="568"/>
      <c r="BV63" s="568"/>
      <c r="BW63" s="568"/>
      <c r="BX63" s="568"/>
      <c r="BY63" s="568"/>
      <c r="BZ63" s="568"/>
      <c r="CA63" s="568"/>
      <c r="CB63" s="568"/>
      <c r="CC63" s="568"/>
      <c r="CD63" s="568"/>
      <c r="CE63" s="568"/>
      <c r="CF63" s="568"/>
      <c r="CG63" s="568"/>
      <c r="CH63" s="568"/>
      <c r="CI63" s="568"/>
      <c r="CJ63" s="568"/>
      <c r="CK63" s="568"/>
      <c r="CL63" s="568"/>
      <c r="CM63" s="568"/>
      <c r="CN63" s="568"/>
      <c r="CO63" s="568"/>
      <c r="CP63" s="568"/>
      <c r="CQ63" s="568"/>
      <c r="CR63" s="568"/>
      <c r="CS63" s="568"/>
      <c r="CT63" s="568"/>
      <c r="CU63" s="568"/>
      <c r="CV63" s="568"/>
      <c r="CW63" s="568"/>
      <c r="CX63" s="568"/>
      <c r="CY63" s="568"/>
      <c r="CZ63" s="568"/>
      <c r="DA63" s="568"/>
      <c r="DB63" s="568"/>
      <c r="DC63" s="568"/>
      <c r="DD63" s="568"/>
      <c r="DE63" s="568"/>
      <c r="DF63" s="568"/>
      <c r="DG63" s="568"/>
      <c r="DH63" s="568"/>
      <c r="DI63" s="568"/>
      <c r="DJ63" s="568"/>
      <c r="DK63" s="568"/>
      <c r="DL63" s="568"/>
      <c r="DM63" s="568"/>
      <c r="DN63" s="568"/>
      <c r="DO63" s="568"/>
      <c r="DP63" s="568"/>
      <c r="DQ63" s="568"/>
      <c r="DR63" s="568"/>
      <c r="DS63" s="568"/>
      <c r="DT63" s="568"/>
      <c r="DU63" s="568"/>
      <c r="DV63" s="568"/>
      <c r="DW63" s="568"/>
      <c r="DX63" s="568"/>
      <c r="DY63" s="568"/>
      <c r="DZ63" s="568"/>
      <c r="EA63" s="568"/>
      <c r="EB63" s="568"/>
      <c r="EC63" s="568"/>
      <c r="ED63" s="568"/>
      <c r="EE63" s="568"/>
      <c r="EF63" s="568"/>
      <c r="EG63" s="568"/>
      <c r="EH63" s="568"/>
      <c r="EI63" s="568"/>
      <c r="EJ63" s="568"/>
      <c r="EK63" s="568"/>
      <c r="EL63" s="568"/>
      <c r="EM63" s="568"/>
      <c r="EN63" s="568"/>
      <c r="EO63" s="568"/>
      <c r="EP63" s="568"/>
      <c r="EQ63" s="568"/>
      <c r="ER63" s="568"/>
      <c r="ES63" s="568"/>
      <c r="ET63" s="568"/>
      <c r="EU63" s="568"/>
      <c r="EV63" s="568"/>
      <c r="EW63" s="568"/>
      <c r="EX63" s="568"/>
      <c r="EY63" s="568"/>
      <c r="EZ63" s="568"/>
      <c r="FA63" s="568"/>
      <c r="FB63" s="568"/>
      <c r="FC63" s="568"/>
      <c r="FD63" s="568"/>
      <c r="FE63" s="568"/>
      <c r="FF63" s="568"/>
      <c r="FG63" s="568"/>
      <c r="FH63" s="568"/>
      <c r="FI63" s="568"/>
      <c r="FJ63" s="568"/>
      <c r="FK63" s="568"/>
      <c r="FL63" s="568"/>
      <c r="FM63" s="568"/>
      <c r="FN63" s="568"/>
      <c r="FO63" s="568"/>
      <c r="FP63" s="568"/>
      <c r="FQ63" s="568"/>
      <c r="FR63" s="568"/>
      <c r="FS63" s="568"/>
      <c r="FT63" s="568"/>
      <c r="FU63" s="568"/>
      <c r="FV63" s="568"/>
      <c r="FW63" s="568"/>
      <c r="FX63" s="568"/>
      <c r="FY63" s="568"/>
      <c r="FZ63" s="568"/>
      <c r="GA63" s="568"/>
      <c r="GB63" s="568"/>
      <c r="GC63" s="568"/>
      <c r="GD63" s="568"/>
      <c r="GE63" s="568"/>
      <c r="GF63" s="568"/>
      <c r="GG63" s="568"/>
      <c r="GH63" s="568"/>
      <c r="GI63" s="568"/>
      <c r="GJ63" s="568"/>
      <c r="GK63" s="568"/>
      <c r="GL63" s="568"/>
      <c r="GM63" s="568"/>
      <c r="GN63" s="568"/>
      <c r="GO63" s="568"/>
      <c r="GP63" s="568"/>
      <c r="GQ63" s="568"/>
      <c r="GR63" s="568"/>
      <c r="GS63" s="568"/>
      <c r="GT63" s="568"/>
      <c r="GU63" s="568"/>
      <c r="GV63" s="568"/>
      <c r="GW63" s="568"/>
      <c r="GX63" s="568"/>
      <c r="GY63" s="568"/>
      <c r="GZ63" s="568"/>
      <c r="HA63" s="568"/>
      <c r="HB63" s="568"/>
      <c r="HC63" s="568"/>
      <c r="HD63" s="568"/>
      <c r="HE63" s="568"/>
      <c r="HF63" s="568"/>
      <c r="HG63" s="568"/>
      <c r="HH63" s="568"/>
      <c r="HI63" s="568"/>
      <c r="HJ63" s="568"/>
      <c r="HK63" s="568"/>
      <c r="HL63" s="568"/>
      <c r="HM63" s="568"/>
      <c r="HN63" s="568"/>
      <c r="HO63" s="568"/>
      <c r="HP63" s="568"/>
      <c r="HQ63" s="568"/>
      <c r="HR63" s="568"/>
      <c r="HS63" s="568"/>
      <c r="HT63" s="568"/>
      <c r="HU63" s="568"/>
      <c r="HV63" s="568"/>
      <c r="HW63" s="568"/>
      <c r="HX63" s="568"/>
      <c r="HY63" s="568"/>
      <c r="HZ63" s="568"/>
      <c r="IA63" s="568"/>
      <c r="IB63" s="568"/>
      <c r="IC63" s="568"/>
      <c r="ID63" s="568"/>
      <c r="IE63" s="568"/>
      <c r="IF63" s="568"/>
      <c r="IG63" s="568"/>
      <c r="IH63" s="568"/>
      <c r="II63" s="568"/>
      <c r="IJ63" s="568"/>
      <c r="IK63" s="568"/>
      <c r="IL63" s="568"/>
      <c r="IM63" s="568"/>
      <c r="IN63" s="568"/>
      <c r="IO63" s="568"/>
      <c r="IP63" s="568"/>
      <c r="IQ63" s="568"/>
      <c r="IR63" s="568"/>
      <c r="IS63" s="568"/>
      <c r="IT63" s="568"/>
      <c r="IU63" s="568"/>
    </row>
    <row r="64" spans="1:255" ht="18" customHeight="1">
      <c r="A64" s="554"/>
      <c r="B64" s="561"/>
      <c r="C64" s="561"/>
      <c r="D64" s="561"/>
      <c r="E64" s="561"/>
      <c r="F64" s="561"/>
      <c r="G64" s="561"/>
      <c r="H64" s="561"/>
      <c r="I64" s="561"/>
      <c r="J64" s="561"/>
      <c r="K64" s="561"/>
      <c r="L64" s="561"/>
      <c r="M64" s="561"/>
      <c r="N64" s="561"/>
      <c r="O64" s="561"/>
      <c r="P64" s="561"/>
      <c r="Q64" s="561"/>
      <c r="R64" s="561"/>
      <c r="S64" s="561"/>
      <c r="T64" s="561"/>
      <c r="U64" s="561"/>
      <c r="V64" s="561"/>
      <c r="W64" s="561"/>
      <c r="X64" s="561"/>
      <c r="Y64" s="561"/>
      <c r="Z64" s="561"/>
      <c r="AA64" s="561"/>
      <c r="AB64" s="561"/>
      <c r="AC64" s="561"/>
      <c r="AD64" s="561"/>
      <c r="AE64" s="561"/>
      <c r="AF64" s="561"/>
      <c r="AG64" s="561"/>
      <c r="AH64" s="567"/>
      <c r="AI64" s="567"/>
      <c r="AJ64" s="567"/>
      <c r="AK64" s="567"/>
      <c r="AL64" s="567"/>
      <c r="AM64" s="567"/>
      <c r="AN64" s="567"/>
      <c r="AO64" s="567"/>
      <c r="AP64" s="567"/>
      <c r="AQ64" s="567"/>
      <c r="AR64" s="567"/>
      <c r="AS64" s="567"/>
      <c r="AT64" s="567"/>
      <c r="AU64" s="567"/>
      <c r="AV64" s="567"/>
      <c r="AW64" s="567"/>
      <c r="AX64" s="567"/>
      <c r="AY64" s="567"/>
      <c r="AZ64" s="567"/>
      <c r="BA64" s="567"/>
      <c r="BB64" s="567"/>
      <c r="BC64" s="567"/>
      <c r="BD64" s="568"/>
      <c r="BE64" s="568"/>
      <c r="BF64" s="568"/>
      <c r="BG64" s="568"/>
      <c r="BH64" s="568"/>
      <c r="BI64" s="568"/>
      <c r="BJ64" s="568"/>
      <c r="BK64" s="568"/>
      <c r="BL64" s="568"/>
      <c r="BM64" s="568"/>
      <c r="BN64" s="568"/>
      <c r="BO64" s="568"/>
      <c r="BP64" s="568"/>
      <c r="BQ64" s="568"/>
      <c r="BR64" s="568"/>
      <c r="BS64" s="568"/>
      <c r="BT64" s="568"/>
      <c r="BU64" s="568"/>
      <c r="BV64" s="568"/>
      <c r="BW64" s="568"/>
      <c r="BX64" s="568"/>
      <c r="BY64" s="568"/>
      <c r="BZ64" s="568"/>
      <c r="CA64" s="568"/>
      <c r="CB64" s="568"/>
      <c r="CC64" s="568"/>
      <c r="CD64" s="568"/>
      <c r="CE64" s="568"/>
      <c r="CF64" s="568"/>
      <c r="CG64" s="568"/>
      <c r="CH64" s="568"/>
      <c r="CI64" s="568"/>
      <c r="CJ64" s="568"/>
      <c r="CK64" s="568"/>
      <c r="CL64" s="568"/>
      <c r="CM64" s="568"/>
      <c r="CN64" s="568"/>
      <c r="CO64" s="568"/>
      <c r="CP64" s="568"/>
      <c r="CQ64" s="568"/>
      <c r="CR64" s="568"/>
      <c r="CS64" s="568"/>
      <c r="CT64" s="568"/>
      <c r="CU64" s="568"/>
      <c r="CV64" s="568"/>
      <c r="CW64" s="568"/>
      <c r="CX64" s="568"/>
      <c r="CY64" s="568"/>
      <c r="CZ64" s="568"/>
      <c r="DA64" s="568"/>
      <c r="DB64" s="568"/>
      <c r="DC64" s="568"/>
      <c r="DD64" s="568"/>
      <c r="DE64" s="568"/>
      <c r="DF64" s="568"/>
      <c r="DG64" s="568"/>
      <c r="DH64" s="568"/>
      <c r="DI64" s="568"/>
      <c r="DJ64" s="568"/>
      <c r="DK64" s="568"/>
      <c r="DL64" s="568"/>
      <c r="DM64" s="568"/>
      <c r="DN64" s="568"/>
      <c r="DO64" s="568"/>
      <c r="DP64" s="568"/>
      <c r="DQ64" s="568"/>
      <c r="DR64" s="568"/>
      <c r="DS64" s="568"/>
      <c r="DT64" s="568"/>
      <c r="DU64" s="568"/>
      <c r="DV64" s="568"/>
      <c r="DW64" s="568"/>
      <c r="DX64" s="568"/>
      <c r="DY64" s="568"/>
      <c r="DZ64" s="568"/>
      <c r="EA64" s="568"/>
      <c r="EB64" s="568"/>
      <c r="EC64" s="568"/>
      <c r="ED64" s="568"/>
      <c r="EE64" s="568"/>
      <c r="EF64" s="568"/>
      <c r="EG64" s="568"/>
      <c r="EH64" s="568"/>
      <c r="EI64" s="568"/>
      <c r="EJ64" s="568"/>
      <c r="EK64" s="568"/>
      <c r="EL64" s="568"/>
      <c r="EM64" s="568"/>
      <c r="EN64" s="568"/>
      <c r="EO64" s="568"/>
      <c r="EP64" s="568"/>
      <c r="EQ64" s="568"/>
      <c r="ER64" s="568"/>
      <c r="ES64" s="568"/>
      <c r="ET64" s="568"/>
      <c r="EU64" s="568"/>
      <c r="EV64" s="568"/>
      <c r="EW64" s="568"/>
      <c r="EX64" s="568"/>
      <c r="EY64" s="568"/>
      <c r="EZ64" s="568"/>
      <c r="FA64" s="568"/>
      <c r="FB64" s="568"/>
      <c r="FC64" s="568"/>
      <c r="FD64" s="568"/>
      <c r="FE64" s="568"/>
      <c r="FF64" s="568"/>
      <c r="FG64" s="568"/>
      <c r="FH64" s="568"/>
      <c r="FI64" s="568"/>
      <c r="FJ64" s="568"/>
      <c r="FK64" s="568"/>
      <c r="FL64" s="568"/>
      <c r="FM64" s="568"/>
      <c r="FN64" s="568"/>
      <c r="FO64" s="568"/>
      <c r="FP64" s="568"/>
      <c r="FQ64" s="568"/>
      <c r="FR64" s="568"/>
      <c r="FS64" s="568"/>
      <c r="FT64" s="568"/>
      <c r="FU64" s="568"/>
      <c r="FV64" s="568"/>
      <c r="FW64" s="568"/>
      <c r="FX64" s="568"/>
      <c r="FY64" s="568"/>
      <c r="FZ64" s="568"/>
      <c r="GA64" s="568"/>
      <c r="GB64" s="568"/>
      <c r="GC64" s="568"/>
      <c r="GD64" s="568"/>
      <c r="GE64" s="568"/>
      <c r="GF64" s="568"/>
      <c r="GG64" s="568"/>
      <c r="GH64" s="568"/>
      <c r="GI64" s="568"/>
      <c r="GJ64" s="568"/>
      <c r="GK64" s="568"/>
      <c r="GL64" s="568"/>
      <c r="GM64" s="568"/>
      <c r="GN64" s="568"/>
      <c r="GO64" s="568"/>
      <c r="GP64" s="568"/>
      <c r="GQ64" s="568"/>
      <c r="GR64" s="568"/>
      <c r="GS64" s="568"/>
      <c r="GT64" s="568"/>
      <c r="GU64" s="568"/>
      <c r="GV64" s="568"/>
      <c r="GW64" s="568"/>
      <c r="GX64" s="568"/>
      <c r="GY64" s="568"/>
      <c r="GZ64" s="568"/>
      <c r="HA64" s="568"/>
      <c r="HB64" s="568"/>
      <c r="HC64" s="568"/>
      <c r="HD64" s="568"/>
      <c r="HE64" s="568"/>
      <c r="HF64" s="568"/>
      <c r="HG64" s="568"/>
      <c r="HH64" s="568"/>
      <c r="HI64" s="568"/>
      <c r="HJ64" s="568"/>
      <c r="HK64" s="568"/>
      <c r="HL64" s="568"/>
      <c r="HM64" s="568"/>
      <c r="HN64" s="568"/>
      <c r="HO64" s="568"/>
      <c r="HP64" s="568"/>
      <c r="HQ64" s="568"/>
      <c r="HR64" s="568"/>
      <c r="HS64" s="568"/>
      <c r="HT64" s="568"/>
      <c r="HU64" s="568"/>
      <c r="HV64" s="568"/>
      <c r="HW64" s="568"/>
      <c r="HX64" s="568"/>
      <c r="HY64" s="568"/>
      <c r="HZ64" s="568"/>
      <c r="IA64" s="568"/>
      <c r="IB64" s="568"/>
      <c r="IC64" s="568"/>
      <c r="ID64" s="568"/>
      <c r="IE64" s="568"/>
      <c r="IF64" s="568"/>
      <c r="IG64" s="568"/>
      <c r="IH64" s="568"/>
      <c r="II64" s="568"/>
      <c r="IJ64" s="568"/>
      <c r="IK64" s="568"/>
      <c r="IL64" s="568"/>
      <c r="IM64" s="568"/>
      <c r="IN64" s="568"/>
      <c r="IO64" s="568"/>
      <c r="IP64" s="568"/>
      <c r="IQ64" s="568"/>
      <c r="IR64" s="568"/>
      <c r="IS64" s="568"/>
      <c r="IT64" s="568"/>
      <c r="IU64" s="568"/>
    </row>
    <row r="65" spans="1:255" ht="18" customHeight="1">
      <c r="A65" s="554"/>
      <c r="B65" s="561"/>
      <c r="C65" s="561"/>
      <c r="D65" s="561"/>
      <c r="E65" s="561"/>
      <c r="F65" s="561"/>
      <c r="G65" s="561"/>
      <c r="H65" s="561"/>
      <c r="I65" s="561"/>
      <c r="J65" s="561"/>
      <c r="K65" s="561"/>
      <c r="L65" s="561"/>
      <c r="M65" s="561"/>
      <c r="N65" s="561"/>
      <c r="O65" s="561"/>
      <c r="P65" s="561"/>
      <c r="Q65" s="561"/>
      <c r="R65" s="561"/>
      <c r="S65" s="561"/>
      <c r="T65" s="561"/>
      <c r="U65" s="561"/>
      <c r="V65" s="561"/>
      <c r="W65" s="561"/>
      <c r="X65" s="561"/>
      <c r="Y65" s="561"/>
      <c r="Z65" s="561"/>
      <c r="AA65" s="561"/>
      <c r="AB65" s="561"/>
      <c r="AC65" s="561"/>
      <c r="AD65" s="561"/>
      <c r="AE65" s="561"/>
      <c r="AF65" s="561"/>
      <c r="AG65" s="561"/>
      <c r="AH65" s="567"/>
      <c r="AI65" s="567"/>
      <c r="AJ65" s="567"/>
      <c r="AK65" s="567"/>
      <c r="AL65" s="567"/>
      <c r="AM65" s="567"/>
      <c r="AN65" s="567"/>
      <c r="AO65" s="567"/>
      <c r="AP65" s="567"/>
      <c r="AQ65" s="567"/>
      <c r="AR65" s="567"/>
      <c r="AS65" s="567"/>
      <c r="AT65" s="567"/>
      <c r="AU65" s="567"/>
      <c r="AV65" s="567"/>
      <c r="AW65" s="567"/>
      <c r="AX65" s="567"/>
      <c r="AY65" s="567"/>
      <c r="AZ65" s="567"/>
      <c r="BA65" s="567"/>
      <c r="BB65" s="567"/>
      <c r="BC65" s="567"/>
      <c r="BD65" s="568"/>
      <c r="BE65" s="568"/>
      <c r="BF65" s="568"/>
      <c r="BG65" s="568"/>
      <c r="BH65" s="568"/>
      <c r="BI65" s="568"/>
      <c r="BJ65" s="568"/>
      <c r="BK65" s="568"/>
      <c r="BL65" s="568"/>
      <c r="BM65" s="568"/>
      <c r="BN65" s="568"/>
      <c r="BO65" s="568"/>
      <c r="BP65" s="568"/>
      <c r="BQ65" s="568"/>
      <c r="BR65" s="568"/>
      <c r="BS65" s="568"/>
      <c r="BT65" s="568"/>
      <c r="BU65" s="568"/>
      <c r="BV65" s="568"/>
      <c r="BW65" s="568"/>
      <c r="BX65" s="568"/>
      <c r="BY65" s="568"/>
      <c r="BZ65" s="568"/>
      <c r="CA65" s="568"/>
      <c r="CB65" s="568"/>
      <c r="CC65" s="568"/>
      <c r="CD65" s="568"/>
      <c r="CE65" s="568"/>
      <c r="CF65" s="568"/>
      <c r="CG65" s="568"/>
      <c r="CH65" s="568"/>
      <c r="CI65" s="568"/>
      <c r="CJ65" s="568"/>
      <c r="CK65" s="568"/>
      <c r="CL65" s="568"/>
      <c r="CM65" s="568"/>
      <c r="CN65" s="568"/>
      <c r="CO65" s="568"/>
      <c r="CP65" s="568"/>
      <c r="CQ65" s="568"/>
      <c r="CR65" s="568"/>
      <c r="CS65" s="568"/>
      <c r="CT65" s="568"/>
      <c r="CU65" s="568"/>
      <c r="CV65" s="568"/>
      <c r="CW65" s="568"/>
      <c r="CX65" s="568"/>
      <c r="CY65" s="568"/>
      <c r="CZ65" s="568"/>
      <c r="DA65" s="568"/>
      <c r="DB65" s="568"/>
      <c r="DC65" s="568"/>
      <c r="DD65" s="568"/>
      <c r="DE65" s="568"/>
      <c r="DF65" s="568"/>
      <c r="DG65" s="568"/>
      <c r="DH65" s="568"/>
      <c r="DI65" s="568"/>
      <c r="DJ65" s="568"/>
      <c r="DK65" s="568"/>
      <c r="DL65" s="568"/>
      <c r="DM65" s="568"/>
      <c r="DN65" s="568"/>
      <c r="DO65" s="568"/>
      <c r="DP65" s="568"/>
      <c r="DQ65" s="568"/>
      <c r="DR65" s="568"/>
      <c r="DS65" s="568"/>
      <c r="DT65" s="568"/>
      <c r="DU65" s="568"/>
      <c r="DV65" s="568"/>
      <c r="DW65" s="568"/>
      <c r="DX65" s="568"/>
      <c r="DY65" s="568"/>
      <c r="DZ65" s="568"/>
      <c r="EA65" s="568"/>
      <c r="EB65" s="568"/>
      <c r="EC65" s="568"/>
      <c r="ED65" s="568"/>
      <c r="EE65" s="568"/>
      <c r="EF65" s="568"/>
      <c r="EG65" s="568"/>
      <c r="EH65" s="568"/>
      <c r="EI65" s="568"/>
      <c r="EJ65" s="568"/>
      <c r="EK65" s="568"/>
      <c r="EL65" s="568"/>
      <c r="EM65" s="568"/>
      <c r="EN65" s="568"/>
      <c r="EO65" s="568"/>
      <c r="EP65" s="568"/>
      <c r="EQ65" s="568"/>
      <c r="ER65" s="568"/>
      <c r="ES65" s="568"/>
      <c r="ET65" s="568"/>
      <c r="EU65" s="568"/>
      <c r="EV65" s="568"/>
      <c r="EW65" s="568"/>
      <c r="EX65" s="568"/>
      <c r="EY65" s="568"/>
      <c r="EZ65" s="568"/>
      <c r="FA65" s="568"/>
      <c r="FB65" s="568"/>
      <c r="FC65" s="568"/>
      <c r="FD65" s="568"/>
      <c r="FE65" s="568"/>
      <c r="FF65" s="568"/>
      <c r="FG65" s="568"/>
      <c r="FH65" s="568"/>
      <c r="FI65" s="568"/>
      <c r="FJ65" s="568"/>
      <c r="FK65" s="568"/>
      <c r="FL65" s="568"/>
      <c r="FM65" s="568"/>
      <c r="FN65" s="568"/>
      <c r="FO65" s="568"/>
      <c r="FP65" s="568"/>
      <c r="FQ65" s="568"/>
      <c r="FR65" s="568"/>
      <c r="FS65" s="568"/>
      <c r="FT65" s="568"/>
      <c r="FU65" s="568"/>
      <c r="FV65" s="568"/>
      <c r="FW65" s="568"/>
      <c r="FX65" s="568"/>
      <c r="FY65" s="568"/>
      <c r="FZ65" s="568"/>
      <c r="GA65" s="568"/>
      <c r="GB65" s="568"/>
      <c r="GC65" s="568"/>
      <c r="GD65" s="568"/>
      <c r="GE65" s="568"/>
      <c r="GF65" s="568"/>
      <c r="GG65" s="568"/>
      <c r="GH65" s="568"/>
      <c r="GI65" s="568"/>
      <c r="GJ65" s="568"/>
      <c r="GK65" s="568"/>
      <c r="GL65" s="568"/>
      <c r="GM65" s="568"/>
      <c r="GN65" s="568"/>
      <c r="GO65" s="568"/>
      <c r="GP65" s="568"/>
      <c r="GQ65" s="568"/>
      <c r="GR65" s="568"/>
      <c r="GS65" s="568"/>
      <c r="GT65" s="568"/>
      <c r="GU65" s="568"/>
      <c r="GV65" s="568"/>
      <c r="GW65" s="568"/>
      <c r="GX65" s="568"/>
      <c r="GY65" s="568"/>
      <c r="GZ65" s="568"/>
      <c r="HA65" s="568"/>
      <c r="HB65" s="568"/>
      <c r="HC65" s="568"/>
      <c r="HD65" s="568"/>
      <c r="HE65" s="568"/>
      <c r="HF65" s="568"/>
      <c r="HG65" s="568"/>
      <c r="HH65" s="568"/>
      <c r="HI65" s="568"/>
      <c r="HJ65" s="568"/>
      <c r="HK65" s="568"/>
      <c r="HL65" s="568"/>
      <c r="HM65" s="568"/>
      <c r="HN65" s="568"/>
      <c r="HO65" s="568"/>
      <c r="HP65" s="568"/>
      <c r="HQ65" s="568"/>
      <c r="HR65" s="568"/>
      <c r="HS65" s="568"/>
      <c r="HT65" s="568"/>
      <c r="HU65" s="568"/>
      <c r="HV65" s="568"/>
      <c r="HW65" s="568"/>
      <c r="HX65" s="568"/>
      <c r="HY65" s="568"/>
      <c r="HZ65" s="568"/>
      <c r="IA65" s="568"/>
      <c r="IB65" s="568"/>
      <c r="IC65" s="568"/>
      <c r="ID65" s="568"/>
      <c r="IE65" s="568"/>
      <c r="IF65" s="568"/>
      <c r="IG65" s="568"/>
      <c r="IH65" s="568"/>
      <c r="II65" s="568"/>
      <c r="IJ65" s="568"/>
      <c r="IK65" s="568"/>
      <c r="IL65" s="568"/>
      <c r="IM65" s="568"/>
      <c r="IN65" s="568"/>
      <c r="IO65" s="568"/>
      <c r="IP65" s="568"/>
      <c r="IQ65" s="568"/>
      <c r="IR65" s="568"/>
      <c r="IS65" s="568"/>
      <c r="IT65" s="568"/>
      <c r="IU65" s="568"/>
    </row>
    <row r="66" spans="1:255" ht="18" customHeight="1">
      <c r="A66" s="554"/>
      <c r="B66" s="561"/>
      <c r="C66" s="561"/>
      <c r="D66" s="561"/>
      <c r="E66" s="561"/>
      <c r="F66" s="561"/>
      <c r="G66" s="561"/>
      <c r="H66" s="561"/>
      <c r="I66" s="561"/>
      <c r="J66" s="561"/>
      <c r="K66" s="561"/>
      <c r="L66" s="561"/>
      <c r="M66" s="561"/>
      <c r="N66" s="561"/>
      <c r="O66" s="561"/>
      <c r="P66" s="561"/>
      <c r="Q66" s="561"/>
      <c r="R66" s="561"/>
      <c r="S66" s="561"/>
      <c r="T66" s="561"/>
      <c r="U66" s="561"/>
      <c r="V66" s="561"/>
      <c r="W66" s="561"/>
      <c r="X66" s="561"/>
      <c r="Y66" s="561"/>
      <c r="Z66" s="561"/>
      <c r="AA66" s="561"/>
      <c r="AB66" s="561"/>
      <c r="AC66" s="561"/>
      <c r="AD66" s="561"/>
      <c r="AE66" s="561"/>
      <c r="AF66" s="561"/>
      <c r="AG66" s="561"/>
      <c r="AH66" s="567"/>
      <c r="AI66" s="567"/>
      <c r="AJ66" s="567"/>
      <c r="AK66" s="567"/>
      <c r="AL66" s="567"/>
      <c r="AM66" s="567"/>
      <c r="AN66" s="567"/>
      <c r="AO66" s="567"/>
      <c r="AP66" s="567"/>
      <c r="AQ66" s="567"/>
      <c r="AR66" s="567"/>
      <c r="AS66" s="567"/>
      <c r="AT66" s="567"/>
      <c r="AU66" s="567"/>
      <c r="AV66" s="567"/>
      <c r="AW66" s="567"/>
      <c r="AX66" s="567"/>
      <c r="AY66" s="567"/>
      <c r="AZ66" s="567"/>
      <c r="BA66" s="567"/>
      <c r="BB66" s="567"/>
      <c r="BC66" s="567"/>
      <c r="BD66" s="568"/>
      <c r="BE66" s="568"/>
      <c r="BF66" s="568"/>
      <c r="BG66" s="568"/>
      <c r="BH66" s="568"/>
      <c r="BI66" s="568"/>
      <c r="BJ66" s="568"/>
      <c r="BK66" s="568"/>
      <c r="BL66" s="568"/>
      <c r="BM66" s="568"/>
      <c r="BN66" s="568"/>
      <c r="BO66" s="568"/>
      <c r="BP66" s="568"/>
      <c r="BQ66" s="568"/>
      <c r="BR66" s="568"/>
      <c r="BS66" s="568"/>
      <c r="BT66" s="568"/>
      <c r="BU66" s="568"/>
      <c r="BV66" s="568"/>
      <c r="BW66" s="568"/>
      <c r="BX66" s="568"/>
      <c r="BY66" s="568"/>
      <c r="BZ66" s="568"/>
      <c r="CA66" s="568"/>
      <c r="CB66" s="568"/>
      <c r="CC66" s="568"/>
      <c r="CD66" s="568"/>
      <c r="CE66" s="568"/>
      <c r="CF66" s="568"/>
      <c r="CG66" s="568"/>
      <c r="CH66" s="568"/>
      <c r="CI66" s="568"/>
      <c r="CJ66" s="568"/>
      <c r="CK66" s="568"/>
      <c r="CL66" s="568"/>
      <c r="CM66" s="568"/>
      <c r="CN66" s="568"/>
      <c r="CO66" s="568"/>
      <c r="CP66" s="568"/>
      <c r="CQ66" s="568"/>
      <c r="CR66" s="568"/>
      <c r="CS66" s="568"/>
      <c r="CT66" s="568"/>
      <c r="CU66" s="568"/>
      <c r="CV66" s="568"/>
      <c r="CW66" s="568"/>
      <c r="CX66" s="568"/>
      <c r="CY66" s="568"/>
      <c r="CZ66" s="568"/>
      <c r="DA66" s="568"/>
      <c r="DB66" s="568"/>
      <c r="DC66" s="568"/>
      <c r="DD66" s="568"/>
      <c r="DE66" s="568"/>
      <c r="DF66" s="568"/>
      <c r="DG66" s="568"/>
      <c r="DH66" s="568"/>
      <c r="DI66" s="568"/>
      <c r="DJ66" s="568"/>
      <c r="DK66" s="568"/>
      <c r="DL66" s="568"/>
      <c r="DM66" s="568"/>
      <c r="DN66" s="568"/>
      <c r="DO66" s="568"/>
      <c r="DP66" s="568"/>
      <c r="DQ66" s="568"/>
      <c r="DR66" s="568"/>
      <c r="DS66" s="568"/>
      <c r="DT66" s="568"/>
      <c r="DU66" s="568"/>
      <c r="DV66" s="568"/>
      <c r="DW66" s="568"/>
      <c r="DX66" s="568"/>
      <c r="DY66" s="568"/>
      <c r="DZ66" s="568"/>
      <c r="EA66" s="568"/>
      <c r="EB66" s="568"/>
      <c r="EC66" s="568"/>
      <c r="ED66" s="568"/>
      <c r="EE66" s="568"/>
      <c r="EF66" s="568"/>
      <c r="EG66" s="568"/>
      <c r="EH66" s="568"/>
      <c r="EI66" s="568"/>
      <c r="EJ66" s="568"/>
      <c r="EK66" s="568"/>
      <c r="EL66" s="568"/>
      <c r="EM66" s="568"/>
      <c r="EN66" s="568"/>
      <c r="EO66" s="568"/>
      <c r="EP66" s="568"/>
      <c r="EQ66" s="568"/>
      <c r="ER66" s="568"/>
      <c r="ES66" s="568"/>
      <c r="ET66" s="568"/>
      <c r="EU66" s="568"/>
      <c r="EV66" s="568"/>
      <c r="EW66" s="568"/>
      <c r="EX66" s="568"/>
      <c r="EY66" s="568"/>
      <c r="EZ66" s="568"/>
      <c r="FA66" s="568"/>
      <c r="FB66" s="568"/>
      <c r="FC66" s="568"/>
      <c r="FD66" s="568"/>
      <c r="FE66" s="568"/>
      <c r="FF66" s="568"/>
      <c r="FG66" s="568"/>
      <c r="FH66" s="568"/>
      <c r="FI66" s="568"/>
      <c r="FJ66" s="568"/>
      <c r="FK66" s="568"/>
      <c r="FL66" s="568"/>
      <c r="FM66" s="568"/>
      <c r="FN66" s="568"/>
      <c r="FO66" s="568"/>
      <c r="FP66" s="568"/>
      <c r="FQ66" s="568"/>
      <c r="FR66" s="568"/>
      <c r="FS66" s="568"/>
      <c r="FT66" s="568"/>
      <c r="FU66" s="568"/>
      <c r="FV66" s="568"/>
      <c r="FW66" s="568"/>
      <c r="FX66" s="568"/>
      <c r="FY66" s="568"/>
      <c r="FZ66" s="568"/>
      <c r="GA66" s="568"/>
      <c r="GB66" s="568"/>
      <c r="GC66" s="568"/>
      <c r="GD66" s="568"/>
      <c r="GE66" s="568"/>
      <c r="GF66" s="568"/>
      <c r="GG66" s="568"/>
      <c r="GH66" s="568"/>
      <c r="GI66" s="568"/>
      <c r="GJ66" s="568"/>
      <c r="GK66" s="568"/>
      <c r="GL66" s="568"/>
      <c r="GM66" s="568"/>
      <c r="GN66" s="568"/>
      <c r="GO66" s="568"/>
      <c r="GP66" s="568"/>
      <c r="GQ66" s="568"/>
      <c r="GR66" s="568"/>
      <c r="GS66" s="568"/>
      <c r="GT66" s="568"/>
      <c r="GU66" s="568"/>
      <c r="GV66" s="568"/>
      <c r="GW66" s="568"/>
      <c r="GX66" s="568"/>
      <c r="GY66" s="568"/>
      <c r="GZ66" s="568"/>
      <c r="HA66" s="568"/>
      <c r="HB66" s="568"/>
      <c r="HC66" s="568"/>
      <c r="HD66" s="568"/>
      <c r="HE66" s="568"/>
      <c r="HF66" s="568"/>
      <c r="HG66" s="568"/>
      <c r="HH66" s="568"/>
      <c r="HI66" s="568"/>
      <c r="HJ66" s="568"/>
      <c r="HK66" s="568"/>
      <c r="HL66" s="568"/>
      <c r="HM66" s="568"/>
      <c r="HN66" s="568"/>
      <c r="HO66" s="568"/>
      <c r="HP66" s="568"/>
      <c r="HQ66" s="568"/>
      <c r="HR66" s="568"/>
      <c r="HS66" s="568"/>
      <c r="HT66" s="568"/>
      <c r="HU66" s="568"/>
      <c r="HV66" s="568"/>
      <c r="HW66" s="568"/>
      <c r="HX66" s="568"/>
      <c r="HY66" s="568"/>
      <c r="HZ66" s="568"/>
      <c r="IA66" s="568"/>
      <c r="IB66" s="568"/>
      <c r="IC66" s="568"/>
      <c r="ID66" s="568"/>
      <c r="IE66" s="568"/>
      <c r="IF66" s="568"/>
      <c r="IG66" s="568"/>
      <c r="IH66" s="568"/>
      <c r="II66" s="568"/>
      <c r="IJ66" s="568"/>
      <c r="IK66" s="568"/>
      <c r="IL66" s="568"/>
      <c r="IM66" s="568"/>
      <c r="IN66" s="568"/>
      <c r="IO66" s="568"/>
      <c r="IP66" s="568"/>
      <c r="IQ66" s="568"/>
      <c r="IR66" s="568"/>
      <c r="IS66" s="568"/>
      <c r="IT66" s="568"/>
      <c r="IU66" s="568"/>
    </row>
    <row r="67" spans="1:255" ht="18" customHeight="1">
      <c r="A67" s="554"/>
      <c r="B67" s="561"/>
      <c r="C67" s="561"/>
      <c r="D67" s="561"/>
      <c r="E67" s="561"/>
      <c r="F67" s="561"/>
      <c r="G67" s="561"/>
      <c r="H67" s="561"/>
      <c r="I67" s="561"/>
      <c r="J67" s="561"/>
      <c r="K67" s="561"/>
      <c r="L67" s="561"/>
      <c r="M67" s="561"/>
      <c r="N67" s="561"/>
      <c r="O67" s="561"/>
      <c r="P67" s="561"/>
      <c r="Q67" s="561"/>
      <c r="R67" s="561"/>
      <c r="S67" s="561"/>
      <c r="T67" s="562"/>
      <c r="U67" s="561"/>
      <c r="V67" s="561"/>
      <c r="W67" s="561"/>
      <c r="X67" s="561"/>
      <c r="Y67" s="561"/>
      <c r="Z67" s="561"/>
      <c r="AA67" s="561"/>
      <c r="AB67" s="561"/>
      <c r="AC67" s="561"/>
      <c r="AD67" s="561"/>
      <c r="AE67" s="561"/>
      <c r="AF67" s="561"/>
      <c r="AG67" s="561"/>
      <c r="AH67" s="567"/>
      <c r="AI67" s="567"/>
      <c r="AJ67" s="567"/>
      <c r="AK67" s="567"/>
      <c r="AL67" s="567"/>
      <c r="AM67" s="567"/>
      <c r="AN67" s="567"/>
      <c r="AO67" s="567"/>
      <c r="AP67" s="567"/>
      <c r="AQ67" s="567"/>
      <c r="AR67" s="567"/>
      <c r="AS67" s="567"/>
      <c r="AT67" s="567"/>
      <c r="AU67" s="567"/>
      <c r="AV67" s="567"/>
      <c r="AW67" s="567"/>
      <c r="AX67" s="567"/>
      <c r="AY67" s="567"/>
      <c r="AZ67" s="567"/>
      <c r="BA67" s="567"/>
      <c r="BB67" s="567"/>
      <c r="BC67" s="567"/>
      <c r="BD67" s="568"/>
      <c r="BE67" s="568"/>
      <c r="BF67" s="568"/>
      <c r="BG67" s="568"/>
      <c r="BH67" s="568"/>
      <c r="BI67" s="568"/>
      <c r="BJ67" s="568"/>
      <c r="BK67" s="568"/>
      <c r="BL67" s="568"/>
      <c r="BM67" s="568"/>
      <c r="BN67" s="568"/>
      <c r="BO67" s="568"/>
      <c r="BP67" s="568"/>
      <c r="BQ67" s="568"/>
      <c r="BR67" s="568"/>
      <c r="BS67" s="568"/>
      <c r="BT67" s="568"/>
      <c r="BU67" s="568"/>
      <c r="BV67" s="568"/>
      <c r="BW67" s="568"/>
      <c r="BX67" s="568"/>
      <c r="BY67" s="568"/>
      <c r="BZ67" s="568"/>
      <c r="CA67" s="568"/>
      <c r="CB67" s="568"/>
      <c r="CC67" s="568"/>
      <c r="CD67" s="568"/>
      <c r="CE67" s="568"/>
      <c r="CF67" s="568"/>
      <c r="CG67" s="568"/>
      <c r="CH67" s="568"/>
      <c r="CI67" s="568"/>
      <c r="CJ67" s="568"/>
      <c r="CK67" s="568"/>
      <c r="CL67" s="568"/>
      <c r="CM67" s="568"/>
      <c r="CN67" s="568"/>
      <c r="CO67" s="568"/>
      <c r="CP67" s="568"/>
      <c r="CQ67" s="568"/>
      <c r="CR67" s="568"/>
      <c r="CS67" s="568"/>
      <c r="CT67" s="568"/>
      <c r="CU67" s="568"/>
      <c r="CV67" s="568"/>
      <c r="CW67" s="568"/>
      <c r="CX67" s="568"/>
      <c r="CY67" s="568"/>
      <c r="CZ67" s="568"/>
      <c r="DA67" s="568"/>
      <c r="DB67" s="568"/>
      <c r="DC67" s="568"/>
      <c r="DD67" s="568"/>
      <c r="DE67" s="568"/>
      <c r="DF67" s="568"/>
      <c r="DG67" s="568"/>
      <c r="DH67" s="568"/>
      <c r="DI67" s="568"/>
      <c r="DJ67" s="568"/>
      <c r="DK67" s="568"/>
      <c r="DL67" s="568"/>
      <c r="DM67" s="568"/>
      <c r="DN67" s="568"/>
      <c r="DO67" s="568"/>
      <c r="DP67" s="568"/>
      <c r="DQ67" s="568"/>
      <c r="DR67" s="568"/>
      <c r="DS67" s="568"/>
      <c r="DT67" s="568"/>
      <c r="DU67" s="568"/>
      <c r="DV67" s="568"/>
      <c r="DW67" s="568"/>
      <c r="DX67" s="568"/>
      <c r="DY67" s="568"/>
      <c r="DZ67" s="568"/>
      <c r="EA67" s="568"/>
      <c r="EB67" s="568"/>
      <c r="EC67" s="568"/>
      <c r="ED67" s="568"/>
      <c r="EE67" s="568"/>
      <c r="EF67" s="568"/>
      <c r="EG67" s="568"/>
      <c r="EH67" s="568"/>
      <c r="EI67" s="568"/>
      <c r="EJ67" s="568"/>
      <c r="EK67" s="568"/>
      <c r="EL67" s="568"/>
      <c r="EM67" s="568"/>
      <c r="EN67" s="568"/>
      <c r="EO67" s="568"/>
      <c r="EP67" s="568"/>
      <c r="EQ67" s="568"/>
      <c r="ER67" s="568"/>
      <c r="ES67" s="568"/>
      <c r="ET67" s="568"/>
      <c r="EU67" s="568"/>
      <c r="EV67" s="568"/>
      <c r="EW67" s="568"/>
      <c r="EX67" s="568"/>
      <c r="EY67" s="568"/>
      <c r="EZ67" s="568"/>
      <c r="FA67" s="568"/>
      <c r="FB67" s="568"/>
      <c r="FC67" s="568"/>
      <c r="FD67" s="568"/>
      <c r="FE67" s="568"/>
      <c r="FF67" s="568"/>
      <c r="FG67" s="568"/>
      <c r="FH67" s="568"/>
      <c r="FI67" s="568"/>
      <c r="FJ67" s="568"/>
      <c r="FK67" s="568"/>
      <c r="FL67" s="568"/>
      <c r="FM67" s="568"/>
      <c r="FN67" s="568"/>
      <c r="FO67" s="568"/>
      <c r="FP67" s="568"/>
      <c r="FQ67" s="568"/>
      <c r="FR67" s="568"/>
      <c r="FS67" s="568"/>
      <c r="FT67" s="568"/>
      <c r="FU67" s="568"/>
      <c r="FV67" s="568"/>
      <c r="FW67" s="568"/>
      <c r="FX67" s="568"/>
      <c r="FY67" s="568"/>
      <c r="FZ67" s="568"/>
      <c r="GA67" s="568"/>
      <c r="GB67" s="568"/>
      <c r="GC67" s="568"/>
      <c r="GD67" s="568"/>
      <c r="GE67" s="568"/>
      <c r="GF67" s="568"/>
      <c r="GG67" s="568"/>
      <c r="GH67" s="568"/>
      <c r="GI67" s="568"/>
      <c r="GJ67" s="568"/>
      <c r="GK67" s="568"/>
      <c r="GL67" s="568"/>
      <c r="GM67" s="568"/>
      <c r="GN67" s="568"/>
      <c r="GO67" s="568"/>
      <c r="GP67" s="568"/>
      <c r="GQ67" s="568"/>
      <c r="GR67" s="568"/>
      <c r="GS67" s="568"/>
      <c r="GT67" s="568"/>
      <c r="GU67" s="568"/>
      <c r="GV67" s="568"/>
      <c r="GW67" s="568"/>
      <c r="GX67" s="568"/>
      <c r="GY67" s="568"/>
      <c r="GZ67" s="568"/>
      <c r="HA67" s="568"/>
      <c r="HB67" s="568"/>
      <c r="HC67" s="568"/>
      <c r="HD67" s="568"/>
      <c r="HE67" s="568"/>
      <c r="HF67" s="568"/>
      <c r="HG67" s="568"/>
      <c r="HH67" s="568"/>
      <c r="HI67" s="568"/>
      <c r="HJ67" s="568"/>
      <c r="HK67" s="568"/>
      <c r="HL67" s="568"/>
      <c r="HM67" s="568"/>
      <c r="HN67" s="568"/>
      <c r="HO67" s="568"/>
      <c r="HP67" s="568"/>
      <c r="HQ67" s="568"/>
      <c r="HR67" s="568"/>
      <c r="HS67" s="568"/>
      <c r="HT67" s="568"/>
      <c r="HU67" s="568"/>
      <c r="HV67" s="568"/>
      <c r="HW67" s="568"/>
      <c r="HX67" s="568"/>
      <c r="HY67" s="568"/>
      <c r="HZ67" s="568"/>
      <c r="IA67" s="568"/>
      <c r="IB67" s="568"/>
      <c r="IC67" s="568"/>
      <c r="ID67" s="568"/>
      <c r="IE67" s="568"/>
      <c r="IF67" s="568"/>
      <c r="IG67" s="568"/>
      <c r="IH67" s="568"/>
      <c r="II67" s="568"/>
      <c r="IJ67" s="568"/>
      <c r="IK67" s="568"/>
      <c r="IL67" s="568"/>
      <c r="IM67" s="568"/>
      <c r="IN67" s="568"/>
      <c r="IO67" s="568"/>
      <c r="IP67" s="568"/>
      <c r="IQ67" s="568"/>
      <c r="IR67" s="568"/>
      <c r="IS67" s="568"/>
      <c r="IT67" s="568"/>
      <c r="IU67" s="568"/>
    </row>
    <row r="68" spans="1:255" ht="18" customHeight="1">
      <c r="A68" s="554"/>
      <c r="B68" s="561"/>
      <c r="C68" s="561"/>
      <c r="D68" s="561"/>
      <c r="E68" s="561"/>
      <c r="F68" s="561"/>
      <c r="G68" s="561"/>
      <c r="H68" s="561"/>
      <c r="I68" s="561"/>
      <c r="J68" s="561"/>
      <c r="K68" s="561"/>
      <c r="L68" s="561"/>
      <c r="M68" s="561"/>
      <c r="N68" s="561"/>
      <c r="O68" s="561"/>
      <c r="P68" s="561"/>
      <c r="Q68" s="561"/>
      <c r="R68" s="561"/>
      <c r="S68" s="561"/>
      <c r="T68" s="562"/>
      <c r="U68" s="561"/>
      <c r="V68" s="561"/>
      <c r="W68" s="561"/>
      <c r="X68" s="561"/>
      <c r="Y68" s="561"/>
      <c r="Z68" s="561"/>
      <c r="AA68" s="561"/>
      <c r="AB68" s="561"/>
      <c r="AC68" s="561"/>
      <c r="AD68" s="561"/>
      <c r="AE68" s="561"/>
      <c r="AF68" s="561"/>
      <c r="AG68" s="561"/>
      <c r="AH68" s="567"/>
      <c r="AI68" s="567"/>
      <c r="AJ68" s="567"/>
      <c r="AK68" s="567"/>
      <c r="AL68" s="567"/>
      <c r="AM68" s="567"/>
      <c r="AN68" s="567"/>
      <c r="AO68" s="567"/>
      <c r="AP68" s="567"/>
      <c r="AQ68" s="567"/>
      <c r="AR68" s="567"/>
      <c r="AS68" s="567"/>
      <c r="AT68" s="567"/>
      <c r="AU68" s="567"/>
      <c r="AV68" s="567"/>
      <c r="AW68" s="567"/>
      <c r="AX68" s="567"/>
      <c r="AY68" s="567"/>
      <c r="AZ68" s="567"/>
      <c r="BA68" s="567"/>
      <c r="BB68" s="567"/>
      <c r="BC68" s="567"/>
      <c r="BD68" s="568"/>
      <c r="BE68" s="568"/>
      <c r="BF68" s="568"/>
      <c r="BG68" s="568"/>
      <c r="BH68" s="568"/>
      <c r="BI68" s="568"/>
      <c r="BJ68" s="568"/>
      <c r="BK68" s="568"/>
      <c r="BL68" s="568"/>
      <c r="BM68" s="568"/>
      <c r="BN68" s="568"/>
      <c r="BO68" s="568"/>
      <c r="BP68" s="568"/>
      <c r="BQ68" s="568"/>
      <c r="BR68" s="568"/>
      <c r="BS68" s="568"/>
      <c r="BT68" s="568"/>
      <c r="BU68" s="568"/>
      <c r="BV68" s="568"/>
      <c r="BW68" s="568"/>
      <c r="BX68" s="568"/>
      <c r="BY68" s="568"/>
      <c r="BZ68" s="568"/>
      <c r="CA68" s="568"/>
      <c r="CB68" s="568"/>
      <c r="CC68" s="568"/>
      <c r="CD68" s="568"/>
      <c r="CE68" s="568"/>
      <c r="CF68" s="568"/>
      <c r="CG68" s="568"/>
      <c r="CH68" s="568"/>
      <c r="CI68" s="568"/>
      <c r="CJ68" s="568"/>
      <c r="CK68" s="568"/>
      <c r="CL68" s="568"/>
      <c r="CM68" s="568"/>
      <c r="CN68" s="568"/>
      <c r="CO68" s="568"/>
      <c r="CP68" s="568"/>
      <c r="CQ68" s="568"/>
      <c r="CR68" s="568"/>
      <c r="CS68" s="568"/>
      <c r="CT68" s="568"/>
      <c r="CU68" s="568"/>
      <c r="CV68" s="568"/>
      <c r="CW68" s="568"/>
      <c r="CX68" s="568"/>
      <c r="CY68" s="568"/>
      <c r="CZ68" s="568"/>
      <c r="DA68" s="568"/>
      <c r="DB68" s="568"/>
      <c r="DC68" s="568"/>
      <c r="DD68" s="568"/>
      <c r="DE68" s="568"/>
      <c r="DF68" s="568"/>
      <c r="DG68" s="568"/>
      <c r="DH68" s="568"/>
      <c r="DI68" s="568"/>
      <c r="DJ68" s="568"/>
      <c r="DK68" s="568"/>
      <c r="DL68" s="568"/>
      <c r="DM68" s="568"/>
      <c r="DN68" s="568"/>
      <c r="DO68" s="568"/>
      <c r="DP68" s="568"/>
      <c r="DQ68" s="568"/>
      <c r="DR68" s="568"/>
      <c r="DS68" s="568"/>
      <c r="DT68" s="568"/>
      <c r="DU68" s="568"/>
      <c r="DV68" s="568"/>
      <c r="DW68" s="568"/>
      <c r="DX68" s="568"/>
      <c r="DY68" s="568"/>
      <c r="DZ68" s="568"/>
      <c r="EA68" s="568"/>
      <c r="EB68" s="568"/>
      <c r="EC68" s="568"/>
      <c r="ED68" s="568"/>
      <c r="EE68" s="568"/>
      <c r="EF68" s="568"/>
      <c r="EG68" s="568"/>
      <c r="EH68" s="568"/>
      <c r="EI68" s="568"/>
      <c r="EJ68" s="568"/>
      <c r="EK68" s="568"/>
      <c r="EL68" s="568"/>
      <c r="EM68" s="568"/>
      <c r="EN68" s="568"/>
      <c r="EO68" s="568"/>
      <c r="EP68" s="568"/>
      <c r="EQ68" s="568"/>
      <c r="ER68" s="568"/>
      <c r="ES68" s="568"/>
      <c r="ET68" s="568"/>
      <c r="EU68" s="568"/>
      <c r="EV68" s="568"/>
      <c r="EW68" s="568"/>
      <c r="EX68" s="568"/>
      <c r="EY68" s="568"/>
      <c r="EZ68" s="568"/>
      <c r="FA68" s="568"/>
      <c r="FB68" s="568"/>
      <c r="FC68" s="568"/>
      <c r="FD68" s="568"/>
      <c r="FE68" s="568"/>
      <c r="FF68" s="568"/>
      <c r="FG68" s="568"/>
      <c r="FH68" s="568"/>
      <c r="FI68" s="568"/>
      <c r="FJ68" s="568"/>
      <c r="FK68" s="568"/>
      <c r="FL68" s="568"/>
      <c r="FM68" s="568"/>
      <c r="FN68" s="568"/>
      <c r="FO68" s="568"/>
      <c r="FP68" s="568"/>
      <c r="FQ68" s="568"/>
      <c r="FR68" s="568"/>
      <c r="FS68" s="568"/>
      <c r="FT68" s="568"/>
      <c r="FU68" s="568"/>
      <c r="FV68" s="568"/>
      <c r="FW68" s="568"/>
      <c r="FX68" s="568"/>
      <c r="FY68" s="568"/>
      <c r="FZ68" s="568"/>
      <c r="GA68" s="568"/>
      <c r="GB68" s="568"/>
      <c r="GC68" s="568"/>
      <c r="GD68" s="568"/>
      <c r="GE68" s="568"/>
      <c r="GF68" s="568"/>
      <c r="GG68" s="568"/>
      <c r="GH68" s="568"/>
      <c r="GI68" s="568"/>
      <c r="GJ68" s="568"/>
      <c r="GK68" s="568"/>
      <c r="GL68" s="568"/>
      <c r="GM68" s="568"/>
      <c r="GN68" s="568"/>
      <c r="GO68" s="568"/>
      <c r="GP68" s="568"/>
      <c r="GQ68" s="568"/>
      <c r="GR68" s="568"/>
      <c r="GS68" s="568"/>
      <c r="GT68" s="568"/>
      <c r="GU68" s="568"/>
      <c r="GV68" s="568"/>
      <c r="GW68" s="568"/>
      <c r="GX68" s="568"/>
      <c r="GY68" s="568"/>
      <c r="GZ68" s="568"/>
      <c r="HA68" s="568"/>
      <c r="HB68" s="568"/>
      <c r="HC68" s="568"/>
      <c r="HD68" s="568"/>
      <c r="HE68" s="568"/>
      <c r="HF68" s="568"/>
      <c r="HG68" s="568"/>
      <c r="HH68" s="568"/>
      <c r="HI68" s="568"/>
      <c r="HJ68" s="568"/>
      <c r="HK68" s="568"/>
      <c r="HL68" s="568"/>
      <c r="HM68" s="568"/>
      <c r="HN68" s="568"/>
      <c r="HO68" s="568"/>
      <c r="HP68" s="568"/>
      <c r="HQ68" s="568"/>
      <c r="HR68" s="568"/>
      <c r="HS68" s="568"/>
      <c r="HT68" s="568"/>
      <c r="HU68" s="568"/>
      <c r="HV68" s="568"/>
      <c r="HW68" s="568"/>
      <c r="HX68" s="568"/>
      <c r="HY68" s="568"/>
      <c r="HZ68" s="568"/>
      <c r="IA68" s="568"/>
      <c r="IB68" s="568"/>
      <c r="IC68" s="568"/>
      <c r="ID68" s="568"/>
      <c r="IE68" s="568"/>
      <c r="IF68" s="568"/>
      <c r="IG68" s="568"/>
      <c r="IH68" s="568"/>
      <c r="II68" s="568"/>
      <c r="IJ68" s="568"/>
      <c r="IK68" s="568"/>
      <c r="IL68" s="568"/>
      <c r="IM68" s="568"/>
      <c r="IN68" s="568"/>
      <c r="IO68" s="568"/>
      <c r="IP68" s="568"/>
      <c r="IQ68" s="568"/>
      <c r="IR68" s="568"/>
      <c r="IS68" s="568"/>
      <c r="IT68" s="568"/>
      <c r="IU68" s="568"/>
    </row>
    <row r="69" spans="1:255" ht="18" customHeight="1">
      <c r="A69" s="554"/>
      <c r="B69" s="561"/>
      <c r="C69" s="561"/>
      <c r="D69" s="561"/>
      <c r="E69" s="561"/>
      <c r="F69" s="561"/>
      <c r="G69" s="561"/>
      <c r="H69" s="561"/>
      <c r="I69" s="561"/>
      <c r="J69" s="561"/>
      <c r="K69" s="561"/>
      <c r="L69" s="561"/>
      <c r="M69" s="561"/>
      <c r="N69" s="561"/>
      <c r="O69" s="561"/>
      <c r="P69" s="561"/>
      <c r="Q69" s="561"/>
      <c r="R69" s="561"/>
      <c r="S69" s="561"/>
      <c r="T69" s="561"/>
      <c r="U69" s="561"/>
      <c r="V69" s="561"/>
      <c r="W69" s="561"/>
      <c r="X69" s="561"/>
      <c r="Y69" s="561"/>
      <c r="Z69" s="561"/>
      <c r="AA69" s="561"/>
      <c r="AB69" s="561"/>
      <c r="AC69" s="561"/>
      <c r="AD69" s="561"/>
      <c r="AE69" s="561"/>
      <c r="AF69" s="561"/>
      <c r="AG69" s="561"/>
      <c r="AH69" s="567"/>
      <c r="AI69" s="567"/>
      <c r="AJ69" s="567"/>
      <c r="AK69" s="567"/>
      <c r="AL69" s="567"/>
      <c r="AM69" s="567"/>
      <c r="AN69" s="567"/>
      <c r="AO69" s="567"/>
      <c r="AP69" s="567"/>
      <c r="AQ69" s="567"/>
      <c r="AR69" s="567"/>
      <c r="AS69" s="567"/>
      <c r="AT69" s="567"/>
      <c r="AU69" s="567"/>
      <c r="AV69" s="567"/>
      <c r="AW69" s="567"/>
      <c r="AX69" s="567"/>
      <c r="AY69" s="567"/>
      <c r="AZ69" s="567"/>
      <c r="BA69" s="567"/>
      <c r="BB69" s="567"/>
      <c r="BC69" s="567"/>
      <c r="BD69" s="568"/>
      <c r="BE69" s="568"/>
      <c r="BF69" s="568"/>
      <c r="BG69" s="568"/>
      <c r="BH69" s="568"/>
      <c r="BI69" s="568"/>
      <c r="BJ69" s="568"/>
      <c r="BK69" s="568"/>
      <c r="BL69" s="568"/>
      <c r="BM69" s="568"/>
      <c r="BN69" s="568"/>
      <c r="BO69" s="568"/>
      <c r="BP69" s="568"/>
      <c r="BQ69" s="568"/>
      <c r="BR69" s="568"/>
      <c r="BS69" s="568"/>
      <c r="BT69" s="568"/>
      <c r="BU69" s="568"/>
      <c r="BV69" s="568"/>
      <c r="BW69" s="568"/>
      <c r="BX69" s="568"/>
      <c r="BY69" s="568"/>
      <c r="BZ69" s="568"/>
      <c r="CA69" s="568"/>
      <c r="CB69" s="568"/>
      <c r="CC69" s="568"/>
      <c r="CD69" s="568"/>
      <c r="CE69" s="568"/>
      <c r="CF69" s="568"/>
      <c r="CG69" s="568"/>
      <c r="CH69" s="568"/>
      <c r="CI69" s="568"/>
      <c r="CJ69" s="568"/>
      <c r="CK69" s="568"/>
      <c r="CL69" s="568"/>
      <c r="CM69" s="568"/>
      <c r="CN69" s="568"/>
      <c r="CO69" s="568"/>
      <c r="CP69" s="568"/>
      <c r="CQ69" s="568"/>
      <c r="CR69" s="568"/>
      <c r="CS69" s="568"/>
      <c r="CT69" s="568"/>
      <c r="CU69" s="568"/>
      <c r="CV69" s="568"/>
      <c r="CW69" s="568"/>
      <c r="CX69" s="568"/>
      <c r="CY69" s="568"/>
      <c r="CZ69" s="568"/>
      <c r="DA69" s="568"/>
      <c r="DB69" s="568"/>
      <c r="DC69" s="568"/>
      <c r="DD69" s="568"/>
      <c r="DE69" s="568"/>
      <c r="DF69" s="568"/>
      <c r="DG69" s="568"/>
      <c r="DH69" s="568"/>
      <c r="DI69" s="568"/>
      <c r="DJ69" s="568"/>
      <c r="DK69" s="568"/>
      <c r="DL69" s="568"/>
      <c r="DM69" s="568"/>
      <c r="DN69" s="568"/>
      <c r="DO69" s="568"/>
      <c r="DP69" s="568"/>
      <c r="DQ69" s="568"/>
      <c r="DR69" s="568"/>
      <c r="DS69" s="568"/>
      <c r="DT69" s="568"/>
      <c r="DU69" s="568"/>
      <c r="DV69" s="568"/>
      <c r="DW69" s="568"/>
      <c r="DX69" s="568"/>
      <c r="DY69" s="568"/>
      <c r="DZ69" s="568"/>
      <c r="EA69" s="568"/>
      <c r="EB69" s="568"/>
      <c r="EC69" s="568"/>
      <c r="ED69" s="568"/>
      <c r="EE69" s="568"/>
      <c r="EF69" s="568"/>
      <c r="EG69" s="568"/>
      <c r="EH69" s="568"/>
      <c r="EI69" s="568"/>
      <c r="EJ69" s="568"/>
      <c r="EK69" s="568"/>
      <c r="EL69" s="568"/>
      <c r="EM69" s="568"/>
      <c r="EN69" s="568"/>
      <c r="EO69" s="568"/>
      <c r="EP69" s="568"/>
      <c r="EQ69" s="568"/>
      <c r="ER69" s="568"/>
      <c r="ES69" s="568"/>
      <c r="ET69" s="568"/>
      <c r="EU69" s="568"/>
      <c r="EV69" s="568"/>
      <c r="EW69" s="568"/>
      <c r="EX69" s="568"/>
      <c r="EY69" s="568"/>
      <c r="EZ69" s="568"/>
      <c r="FA69" s="568"/>
      <c r="FB69" s="568"/>
      <c r="FC69" s="568"/>
      <c r="FD69" s="568"/>
      <c r="FE69" s="568"/>
      <c r="FF69" s="568"/>
      <c r="FG69" s="568"/>
      <c r="FH69" s="568"/>
      <c r="FI69" s="568"/>
      <c r="FJ69" s="568"/>
      <c r="FK69" s="568"/>
      <c r="FL69" s="568"/>
      <c r="FM69" s="568"/>
      <c r="FN69" s="568"/>
      <c r="FO69" s="568"/>
      <c r="FP69" s="568"/>
      <c r="FQ69" s="568"/>
      <c r="FR69" s="568"/>
      <c r="FS69" s="568"/>
      <c r="FT69" s="568"/>
      <c r="FU69" s="568"/>
      <c r="FV69" s="568"/>
      <c r="FW69" s="568"/>
      <c r="FX69" s="568"/>
      <c r="FY69" s="568"/>
      <c r="FZ69" s="568"/>
      <c r="GA69" s="568"/>
      <c r="GB69" s="568"/>
      <c r="GC69" s="568"/>
      <c r="GD69" s="568"/>
      <c r="GE69" s="568"/>
      <c r="GF69" s="568"/>
      <c r="GG69" s="568"/>
      <c r="GH69" s="568"/>
      <c r="GI69" s="568"/>
      <c r="GJ69" s="568"/>
      <c r="GK69" s="568"/>
      <c r="GL69" s="568"/>
      <c r="GM69" s="568"/>
      <c r="GN69" s="568"/>
      <c r="GO69" s="568"/>
      <c r="GP69" s="568"/>
      <c r="GQ69" s="568"/>
      <c r="GR69" s="568"/>
      <c r="GS69" s="568"/>
      <c r="GT69" s="568"/>
      <c r="GU69" s="568"/>
      <c r="GV69" s="568"/>
      <c r="GW69" s="568"/>
      <c r="GX69" s="568"/>
      <c r="GY69" s="568"/>
      <c r="GZ69" s="568"/>
      <c r="HA69" s="568"/>
      <c r="HB69" s="568"/>
      <c r="HC69" s="568"/>
      <c r="HD69" s="568"/>
      <c r="HE69" s="568"/>
      <c r="HF69" s="568"/>
      <c r="HG69" s="568"/>
      <c r="HH69" s="568"/>
      <c r="HI69" s="568"/>
      <c r="HJ69" s="568"/>
      <c r="HK69" s="568"/>
      <c r="HL69" s="568"/>
      <c r="HM69" s="568"/>
      <c r="HN69" s="568"/>
      <c r="HO69" s="568"/>
      <c r="HP69" s="568"/>
      <c r="HQ69" s="568"/>
      <c r="HR69" s="568"/>
      <c r="HS69" s="568"/>
      <c r="HT69" s="568"/>
      <c r="HU69" s="568"/>
      <c r="HV69" s="568"/>
      <c r="HW69" s="568"/>
      <c r="HX69" s="568"/>
      <c r="HY69" s="568"/>
      <c r="HZ69" s="568"/>
      <c r="IA69" s="568"/>
      <c r="IB69" s="568"/>
      <c r="IC69" s="568"/>
      <c r="ID69" s="568"/>
      <c r="IE69" s="568"/>
      <c r="IF69" s="568"/>
      <c r="IG69" s="568"/>
      <c r="IH69" s="568"/>
      <c r="II69" s="568"/>
      <c r="IJ69" s="568"/>
      <c r="IK69" s="568"/>
      <c r="IL69" s="568"/>
      <c r="IM69" s="568"/>
      <c r="IN69" s="568"/>
      <c r="IO69" s="568"/>
      <c r="IP69" s="568"/>
      <c r="IQ69" s="568"/>
      <c r="IR69" s="568"/>
      <c r="IS69" s="568"/>
      <c r="IT69" s="568"/>
      <c r="IU69" s="568"/>
    </row>
    <row r="70" spans="1:255" ht="18" customHeight="1">
      <c r="A70" s="554"/>
      <c r="B70" s="561"/>
      <c r="C70" s="561"/>
      <c r="D70" s="561"/>
      <c r="E70" s="561"/>
      <c r="F70" s="561"/>
      <c r="G70" s="561"/>
      <c r="H70" s="561"/>
      <c r="I70" s="561"/>
      <c r="J70" s="561"/>
      <c r="K70" s="561"/>
      <c r="L70" s="561"/>
      <c r="M70" s="561"/>
      <c r="N70" s="561"/>
      <c r="O70" s="561"/>
      <c r="P70" s="561"/>
      <c r="Q70" s="561"/>
      <c r="R70" s="561"/>
      <c r="S70" s="561"/>
      <c r="T70" s="561"/>
      <c r="U70" s="561"/>
      <c r="V70" s="561"/>
      <c r="W70" s="561"/>
      <c r="X70" s="561"/>
      <c r="Y70" s="561"/>
      <c r="Z70" s="561"/>
      <c r="AA70" s="561"/>
      <c r="AB70" s="561"/>
      <c r="AC70" s="561"/>
      <c r="AD70" s="561"/>
      <c r="AE70" s="561"/>
      <c r="AF70" s="561"/>
      <c r="AG70" s="561"/>
      <c r="AH70" s="567"/>
      <c r="AI70" s="567"/>
      <c r="AJ70" s="567"/>
      <c r="AK70" s="567"/>
      <c r="AL70" s="567"/>
      <c r="AM70" s="567"/>
      <c r="AN70" s="567"/>
      <c r="AO70" s="567"/>
      <c r="AP70" s="567"/>
      <c r="AQ70" s="567"/>
      <c r="AR70" s="567"/>
      <c r="AS70" s="567"/>
      <c r="AT70" s="567"/>
      <c r="AU70" s="567"/>
      <c r="AV70" s="567"/>
      <c r="AW70" s="567"/>
      <c r="AX70" s="567"/>
      <c r="AY70" s="567"/>
      <c r="AZ70" s="567"/>
      <c r="BA70" s="567"/>
      <c r="BB70" s="567"/>
      <c r="BC70" s="567"/>
      <c r="BD70" s="568"/>
      <c r="BE70" s="568"/>
      <c r="BF70" s="568"/>
      <c r="BG70" s="568"/>
      <c r="BH70" s="568"/>
      <c r="BI70" s="568"/>
      <c r="BJ70" s="568"/>
      <c r="BK70" s="568"/>
      <c r="BL70" s="568"/>
      <c r="BM70" s="568"/>
      <c r="BN70" s="568"/>
      <c r="BO70" s="568"/>
      <c r="BP70" s="568"/>
      <c r="BQ70" s="568"/>
      <c r="BR70" s="568"/>
      <c r="BS70" s="568"/>
      <c r="BT70" s="568"/>
      <c r="BU70" s="568"/>
      <c r="BV70" s="568"/>
      <c r="BW70" s="568"/>
      <c r="BX70" s="568"/>
      <c r="BY70" s="568"/>
      <c r="BZ70" s="568"/>
      <c r="CA70" s="568"/>
      <c r="CB70" s="568"/>
      <c r="CC70" s="568"/>
      <c r="CD70" s="568"/>
      <c r="CE70" s="568"/>
      <c r="CF70" s="568"/>
      <c r="CG70" s="568"/>
      <c r="CH70" s="568"/>
      <c r="CI70" s="568"/>
      <c r="CJ70" s="568"/>
      <c r="CK70" s="568"/>
      <c r="CL70" s="568"/>
      <c r="CM70" s="568"/>
      <c r="CN70" s="568"/>
      <c r="CO70" s="568"/>
      <c r="CP70" s="568"/>
      <c r="CQ70" s="568"/>
      <c r="CR70" s="568"/>
      <c r="CS70" s="568"/>
      <c r="CT70" s="568"/>
      <c r="CU70" s="568"/>
      <c r="CV70" s="568"/>
      <c r="CW70" s="568"/>
      <c r="CX70" s="568"/>
      <c r="CY70" s="568"/>
      <c r="CZ70" s="568"/>
      <c r="DA70" s="568"/>
      <c r="DB70" s="568"/>
      <c r="DC70" s="568"/>
      <c r="DD70" s="568"/>
      <c r="DE70" s="568"/>
      <c r="DF70" s="568"/>
      <c r="DG70" s="568"/>
      <c r="DH70" s="568"/>
      <c r="DI70" s="568"/>
      <c r="DJ70" s="568"/>
      <c r="DK70" s="568"/>
      <c r="DL70" s="568"/>
      <c r="DM70" s="568"/>
      <c r="DN70" s="568"/>
      <c r="DO70" s="568"/>
      <c r="DP70" s="568"/>
      <c r="DQ70" s="568"/>
      <c r="DR70" s="568"/>
      <c r="DS70" s="568"/>
      <c r="DT70" s="568"/>
      <c r="DU70" s="568"/>
      <c r="DV70" s="568"/>
      <c r="DW70" s="568"/>
      <c r="DX70" s="568"/>
      <c r="DY70" s="568"/>
      <c r="DZ70" s="568"/>
      <c r="EA70" s="568"/>
      <c r="EB70" s="568"/>
      <c r="EC70" s="568"/>
      <c r="ED70" s="568"/>
      <c r="EE70" s="568"/>
      <c r="EF70" s="568"/>
      <c r="EG70" s="568"/>
      <c r="EH70" s="568"/>
      <c r="EI70" s="568"/>
      <c r="EJ70" s="568"/>
      <c r="EK70" s="568"/>
      <c r="EL70" s="568"/>
      <c r="EM70" s="568"/>
      <c r="EN70" s="568"/>
      <c r="EO70" s="568"/>
      <c r="EP70" s="568"/>
      <c r="EQ70" s="568"/>
      <c r="ER70" s="568"/>
      <c r="ES70" s="568"/>
      <c r="ET70" s="568"/>
      <c r="EU70" s="568"/>
      <c r="EV70" s="568"/>
      <c r="EW70" s="568"/>
      <c r="EX70" s="568"/>
      <c r="EY70" s="568"/>
      <c r="EZ70" s="568"/>
      <c r="FA70" s="568"/>
      <c r="FB70" s="568"/>
      <c r="FC70" s="568"/>
      <c r="FD70" s="568"/>
      <c r="FE70" s="568"/>
      <c r="FF70" s="568"/>
      <c r="FG70" s="568"/>
      <c r="FH70" s="568"/>
      <c r="FI70" s="568"/>
      <c r="FJ70" s="568"/>
      <c r="FK70" s="568"/>
      <c r="FL70" s="568"/>
      <c r="FM70" s="568"/>
      <c r="FN70" s="568"/>
      <c r="FO70" s="568"/>
      <c r="FP70" s="568"/>
      <c r="FQ70" s="568"/>
      <c r="FR70" s="568"/>
      <c r="FS70" s="568"/>
      <c r="FT70" s="568"/>
      <c r="FU70" s="568"/>
      <c r="FV70" s="568"/>
      <c r="FW70" s="568"/>
      <c r="FX70" s="568"/>
      <c r="FY70" s="568"/>
      <c r="FZ70" s="568"/>
      <c r="GA70" s="568"/>
      <c r="GB70" s="568"/>
      <c r="GC70" s="568"/>
      <c r="GD70" s="568"/>
      <c r="GE70" s="568"/>
      <c r="GF70" s="568"/>
      <c r="GG70" s="568"/>
      <c r="GH70" s="568"/>
      <c r="GI70" s="568"/>
      <c r="GJ70" s="568"/>
      <c r="GK70" s="568"/>
      <c r="GL70" s="568"/>
      <c r="GM70" s="568"/>
      <c r="GN70" s="568"/>
      <c r="GO70" s="568"/>
      <c r="GP70" s="568"/>
      <c r="GQ70" s="568"/>
      <c r="GR70" s="568"/>
      <c r="GS70" s="568"/>
      <c r="GT70" s="568"/>
      <c r="GU70" s="568"/>
      <c r="GV70" s="568"/>
      <c r="GW70" s="568"/>
      <c r="GX70" s="568"/>
      <c r="GY70" s="568"/>
      <c r="GZ70" s="568"/>
      <c r="HA70" s="568"/>
      <c r="HB70" s="568"/>
      <c r="HC70" s="568"/>
      <c r="HD70" s="568"/>
      <c r="HE70" s="568"/>
      <c r="HF70" s="568"/>
      <c r="HG70" s="568"/>
      <c r="HH70" s="568"/>
      <c r="HI70" s="568"/>
      <c r="HJ70" s="568"/>
      <c r="HK70" s="568"/>
      <c r="HL70" s="568"/>
      <c r="HM70" s="568"/>
      <c r="HN70" s="568"/>
      <c r="HO70" s="568"/>
      <c r="HP70" s="568"/>
      <c r="HQ70" s="568"/>
      <c r="HR70" s="568"/>
      <c r="HS70" s="568"/>
      <c r="HT70" s="568"/>
      <c r="HU70" s="568"/>
      <c r="HV70" s="568"/>
      <c r="HW70" s="568"/>
      <c r="HX70" s="568"/>
      <c r="HY70" s="568"/>
      <c r="HZ70" s="568"/>
      <c r="IA70" s="568"/>
      <c r="IB70" s="568"/>
      <c r="IC70" s="568"/>
      <c r="ID70" s="568"/>
      <c r="IE70" s="568"/>
      <c r="IF70" s="568"/>
      <c r="IG70" s="568"/>
      <c r="IH70" s="568"/>
      <c r="II70" s="568"/>
      <c r="IJ70" s="568"/>
      <c r="IK70" s="568"/>
      <c r="IL70" s="568"/>
      <c r="IM70" s="568"/>
      <c r="IN70" s="568"/>
      <c r="IO70" s="568"/>
      <c r="IP70" s="568"/>
      <c r="IQ70" s="568"/>
      <c r="IR70" s="568"/>
      <c r="IS70" s="568"/>
      <c r="IT70" s="568"/>
      <c r="IU70" s="568"/>
    </row>
    <row r="71" spans="1:255" ht="18" customHeight="1">
      <c r="A71" s="554"/>
      <c r="B71" s="561"/>
      <c r="C71" s="561"/>
      <c r="D71" s="561"/>
      <c r="E71" s="561"/>
      <c r="F71" s="561"/>
      <c r="G71" s="561"/>
      <c r="H71" s="561"/>
      <c r="I71" s="561"/>
      <c r="J71" s="561"/>
      <c r="K71" s="561"/>
      <c r="L71" s="561"/>
      <c r="M71" s="561"/>
      <c r="N71" s="561"/>
      <c r="O71" s="561"/>
      <c r="P71" s="561"/>
      <c r="Q71" s="561"/>
      <c r="R71" s="561"/>
      <c r="S71" s="561"/>
      <c r="T71" s="561"/>
      <c r="U71" s="561"/>
      <c r="V71" s="561"/>
      <c r="W71" s="561"/>
      <c r="X71" s="561"/>
      <c r="Y71" s="561"/>
      <c r="Z71" s="561"/>
      <c r="AA71" s="561"/>
      <c r="AB71" s="561"/>
      <c r="AC71" s="561"/>
      <c r="AD71" s="561"/>
      <c r="AE71" s="561"/>
      <c r="AF71" s="561"/>
      <c r="AG71" s="561"/>
      <c r="AH71" s="567"/>
      <c r="AI71" s="567"/>
      <c r="AJ71" s="567"/>
      <c r="AK71" s="567"/>
      <c r="AL71" s="567"/>
      <c r="AM71" s="567"/>
      <c r="AN71" s="567"/>
      <c r="AO71" s="567"/>
      <c r="AP71" s="567"/>
      <c r="AQ71" s="567"/>
      <c r="AR71" s="567"/>
      <c r="AS71" s="567"/>
      <c r="AT71" s="567"/>
      <c r="AU71" s="567"/>
      <c r="AV71" s="567"/>
      <c r="AW71" s="567"/>
      <c r="AX71" s="567"/>
      <c r="AY71" s="567"/>
      <c r="AZ71" s="567"/>
      <c r="BA71" s="567"/>
      <c r="BB71" s="567"/>
      <c r="BC71" s="567"/>
      <c r="BD71" s="568"/>
      <c r="BE71" s="568"/>
      <c r="BF71" s="568"/>
      <c r="BG71" s="568"/>
      <c r="BH71" s="568"/>
      <c r="BI71" s="568"/>
      <c r="BJ71" s="568"/>
      <c r="BK71" s="568"/>
      <c r="BL71" s="568"/>
      <c r="BM71" s="568"/>
      <c r="BN71" s="568"/>
      <c r="BO71" s="568"/>
      <c r="BP71" s="568"/>
      <c r="BQ71" s="568"/>
      <c r="BR71" s="568"/>
      <c r="BS71" s="568"/>
      <c r="BT71" s="568"/>
      <c r="BU71" s="568"/>
      <c r="BV71" s="568"/>
      <c r="BW71" s="568"/>
      <c r="BX71" s="568"/>
      <c r="BY71" s="568"/>
      <c r="BZ71" s="568"/>
      <c r="CA71" s="568"/>
      <c r="CB71" s="568"/>
      <c r="CC71" s="568"/>
      <c r="CD71" s="568"/>
      <c r="CE71" s="568"/>
      <c r="CF71" s="568"/>
      <c r="CG71" s="568"/>
      <c r="CH71" s="568"/>
      <c r="CI71" s="568"/>
      <c r="CJ71" s="568"/>
      <c r="CK71" s="568"/>
      <c r="CL71" s="568"/>
      <c r="CM71" s="568"/>
      <c r="CN71" s="568"/>
      <c r="CO71" s="568"/>
      <c r="CP71" s="568"/>
      <c r="CQ71" s="568"/>
      <c r="CR71" s="568"/>
      <c r="CS71" s="568"/>
      <c r="CT71" s="568"/>
      <c r="CU71" s="568"/>
      <c r="CV71" s="568"/>
      <c r="CW71" s="568"/>
      <c r="CX71" s="568"/>
      <c r="CY71" s="568"/>
      <c r="CZ71" s="568"/>
      <c r="DA71" s="568"/>
      <c r="DB71" s="568"/>
      <c r="DC71" s="568"/>
      <c r="DD71" s="568"/>
      <c r="DE71" s="568"/>
      <c r="DF71" s="568"/>
      <c r="DG71" s="568"/>
      <c r="DH71" s="568"/>
      <c r="DI71" s="568"/>
      <c r="DJ71" s="568"/>
      <c r="DK71" s="568"/>
      <c r="DL71" s="568"/>
      <c r="DM71" s="568"/>
      <c r="DN71" s="568"/>
      <c r="DO71" s="568"/>
      <c r="DP71" s="568"/>
      <c r="DQ71" s="568"/>
      <c r="DR71" s="568"/>
      <c r="DS71" s="568"/>
      <c r="DT71" s="568"/>
      <c r="DU71" s="568"/>
      <c r="DV71" s="568"/>
      <c r="DW71" s="568"/>
      <c r="DX71" s="568"/>
      <c r="DY71" s="568"/>
      <c r="DZ71" s="568"/>
      <c r="EA71" s="568"/>
      <c r="EB71" s="568"/>
      <c r="EC71" s="568"/>
      <c r="ED71" s="568"/>
      <c r="EE71" s="568"/>
      <c r="EF71" s="568"/>
      <c r="EG71" s="568"/>
      <c r="EH71" s="568"/>
      <c r="EI71" s="568"/>
      <c r="EJ71" s="568"/>
      <c r="EK71" s="568"/>
      <c r="EL71" s="568"/>
      <c r="EM71" s="568"/>
      <c r="EN71" s="568"/>
      <c r="EO71" s="568"/>
      <c r="EP71" s="568"/>
      <c r="EQ71" s="568"/>
      <c r="ER71" s="568"/>
      <c r="ES71" s="568"/>
      <c r="ET71" s="568"/>
      <c r="EU71" s="568"/>
      <c r="EV71" s="568"/>
      <c r="EW71" s="568"/>
      <c r="EX71" s="568"/>
      <c r="EY71" s="568"/>
      <c r="EZ71" s="568"/>
      <c r="FA71" s="568"/>
      <c r="FB71" s="568"/>
      <c r="FC71" s="568"/>
      <c r="FD71" s="568"/>
      <c r="FE71" s="568"/>
      <c r="FF71" s="568"/>
      <c r="FG71" s="568"/>
      <c r="FH71" s="568"/>
      <c r="FI71" s="568"/>
      <c r="FJ71" s="568"/>
      <c r="FK71" s="568"/>
      <c r="FL71" s="568"/>
      <c r="FM71" s="568"/>
      <c r="FN71" s="568"/>
      <c r="FO71" s="568"/>
      <c r="FP71" s="568"/>
      <c r="FQ71" s="568"/>
      <c r="FR71" s="568"/>
      <c r="FS71" s="568"/>
      <c r="FT71" s="568"/>
      <c r="FU71" s="568"/>
      <c r="FV71" s="568"/>
      <c r="FW71" s="568"/>
      <c r="FX71" s="568"/>
      <c r="FY71" s="568"/>
      <c r="FZ71" s="568"/>
      <c r="GA71" s="568"/>
      <c r="GB71" s="568"/>
      <c r="GC71" s="568"/>
      <c r="GD71" s="568"/>
      <c r="GE71" s="568"/>
      <c r="GF71" s="568"/>
      <c r="GG71" s="568"/>
      <c r="GH71" s="568"/>
      <c r="GI71" s="568"/>
      <c r="GJ71" s="568"/>
      <c r="GK71" s="568"/>
      <c r="GL71" s="568"/>
      <c r="GM71" s="568"/>
      <c r="GN71" s="568"/>
      <c r="GO71" s="568"/>
      <c r="GP71" s="568"/>
      <c r="GQ71" s="568"/>
      <c r="GR71" s="568"/>
      <c r="GS71" s="568"/>
      <c r="GT71" s="568"/>
      <c r="GU71" s="568"/>
      <c r="GV71" s="568"/>
      <c r="GW71" s="568"/>
      <c r="GX71" s="568"/>
      <c r="GY71" s="568"/>
      <c r="GZ71" s="568"/>
      <c r="HA71" s="568"/>
      <c r="HB71" s="568"/>
      <c r="HC71" s="568"/>
      <c r="HD71" s="568"/>
      <c r="HE71" s="568"/>
      <c r="HF71" s="568"/>
      <c r="HG71" s="568"/>
      <c r="HH71" s="568"/>
      <c r="HI71" s="568"/>
      <c r="HJ71" s="568"/>
      <c r="HK71" s="568"/>
      <c r="HL71" s="568"/>
      <c r="HM71" s="568"/>
      <c r="HN71" s="568"/>
      <c r="HO71" s="568"/>
      <c r="HP71" s="568"/>
      <c r="HQ71" s="568"/>
      <c r="HR71" s="568"/>
      <c r="HS71" s="568"/>
      <c r="HT71" s="568"/>
      <c r="HU71" s="568"/>
      <c r="HV71" s="568"/>
      <c r="HW71" s="568"/>
      <c r="HX71" s="568"/>
      <c r="HY71" s="568"/>
      <c r="HZ71" s="568"/>
      <c r="IA71" s="568"/>
      <c r="IB71" s="568"/>
      <c r="IC71" s="568"/>
      <c r="ID71" s="568"/>
      <c r="IE71" s="568"/>
      <c r="IF71" s="568"/>
      <c r="IG71" s="568"/>
      <c r="IH71" s="568"/>
      <c r="II71" s="568"/>
      <c r="IJ71" s="568"/>
      <c r="IK71" s="568"/>
      <c r="IL71" s="568"/>
      <c r="IM71" s="568"/>
      <c r="IN71" s="568"/>
      <c r="IO71" s="568"/>
      <c r="IP71" s="568"/>
      <c r="IQ71" s="568"/>
      <c r="IR71" s="568"/>
      <c r="IS71" s="568"/>
      <c r="IT71" s="568"/>
      <c r="IU71" s="568"/>
    </row>
    <row r="72" spans="1:255" ht="18" customHeight="1">
      <c r="A72" s="554"/>
      <c r="B72" s="561"/>
      <c r="C72" s="561"/>
      <c r="D72" s="561"/>
      <c r="E72" s="561"/>
      <c r="F72" s="561"/>
      <c r="G72" s="561"/>
      <c r="H72" s="561"/>
      <c r="I72" s="561"/>
      <c r="J72" s="561"/>
      <c r="K72" s="561"/>
      <c r="L72" s="561"/>
      <c r="M72" s="561"/>
      <c r="N72" s="561"/>
      <c r="O72" s="561"/>
      <c r="P72" s="561"/>
      <c r="Q72" s="561"/>
      <c r="R72" s="561"/>
      <c r="S72" s="561"/>
      <c r="T72" s="561"/>
      <c r="U72" s="561"/>
      <c r="V72" s="561"/>
      <c r="W72" s="561"/>
      <c r="X72" s="561"/>
      <c r="Y72" s="561"/>
      <c r="Z72" s="561"/>
      <c r="AA72" s="561"/>
      <c r="AB72" s="561"/>
      <c r="AC72" s="561"/>
      <c r="AD72" s="561"/>
      <c r="AE72" s="561"/>
      <c r="AF72" s="561"/>
      <c r="AG72" s="561"/>
      <c r="AH72" s="567"/>
      <c r="AI72" s="567"/>
      <c r="AJ72" s="567"/>
      <c r="AK72" s="567"/>
      <c r="AL72" s="567"/>
      <c r="AM72" s="567"/>
      <c r="AN72" s="567"/>
      <c r="AO72" s="567"/>
      <c r="AP72" s="567"/>
      <c r="AQ72" s="567"/>
      <c r="AR72" s="567"/>
      <c r="AS72" s="567"/>
      <c r="AT72" s="567"/>
      <c r="AU72" s="567"/>
      <c r="AV72" s="567"/>
      <c r="AW72" s="567"/>
      <c r="AX72" s="567"/>
      <c r="AY72" s="567"/>
      <c r="AZ72" s="567"/>
      <c r="BA72" s="567"/>
      <c r="BB72" s="567"/>
      <c r="BC72" s="567"/>
      <c r="BD72" s="568"/>
      <c r="BE72" s="568"/>
      <c r="BF72" s="568"/>
      <c r="BG72" s="568"/>
      <c r="BH72" s="568"/>
      <c r="BI72" s="568"/>
      <c r="BJ72" s="568"/>
      <c r="BK72" s="568"/>
      <c r="BL72" s="568"/>
      <c r="BM72" s="568"/>
      <c r="BN72" s="568"/>
      <c r="BO72" s="568"/>
      <c r="BP72" s="568"/>
      <c r="BQ72" s="568"/>
      <c r="BR72" s="568"/>
      <c r="BS72" s="568"/>
      <c r="BT72" s="568"/>
      <c r="BU72" s="568"/>
      <c r="BV72" s="568"/>
      <c r="BW72" s="568"/>
      <c r="BX72" s="568"/>
      <c r="BY72" s="568"/>
      <c r="BZ72" s="568"/>
      <c r="CA72" s="568"/>
      <c r="CB72" s="568"/>
      <c r="CC72" s="568"/>
      <c r="CD72" s="568"/>
      <c r="CE72" s="568"/>
      <c r="CF72" s="568"/>
      <c r="CG72" s="568"/>
      <c r="CH72" s="568"/>
      <c r="CI72" s="568"/>
      <c r="CJ72" s="568"/>
      <c r="CK72" s="568"/>
      <c r="CL72" s="568"/>
      <c r="CM72" s="568"/>
      <c r="CN72" s="568"/>
      <c r="CO72" s="568"/>
      <c r="CP72" s="568"/>
      <c r="CQ72" s="568"/>
      <c r="CR72" s="568"/>
      <c r="CS72" s="568"/>
      <c r="CT72" s="568"/>
      <c r="CU72" s="568"/>
      <c r="CV72" s="568"/>
      <c r="CW72" s="568"/>
      <c r="CX72" s="568"/>
      <c r="CY72" s="568"/>
      <c r="CZ72" s="568"/>
      <c r="DA72" s="568"/>
      <c r="DB72" s="568"/>
      <c r="DC72" s="568"/>
      <c r="DD72" s="568"/>
      <c r="DE72" s="568"/>
      <c r="DF72" s="568"/>
      <c r="DG72" s="568"/>
      <c r="DH72" s="568"/>
      <c r="DI72" s="568"/>
      <c r="DJ72" s="568"/>
      <c r="DK72" s="568"/>
      <c r="DL72" s="568"/>
      <c r="DM72" s="568"/>
      <c r="DN72" s="568"/>
      <c r="DO72" s="568"/>
      <c r="DP72" s="568"/>
      <c r="DQ72" s="568"/>
      <c r="DR72" s="568"/>
      <c r="DS72" s="568"/>
      <c r="DT72" s="568"/>
      <c r="DU72" s="568"/>
      <c r="DV72" s="568"/>
      <c r="DW72" s="568"/>
      <c r="DX72" s="568"/>
      <c r="DY72" s="568"/>
      <c r="DZ72" s="568"/>
      <c r="EA72" s="568"/>
      <c r="EB72" s="568"/>
      <c r="EC72" s="568"/>
      <c r="ED72" s="568"/>
      <c r="EE72" s="568"/>
      <c r="EF72" s="568"/>
      <c r="EG72" s="568"/>
      <c r="EH72" s="568"/>
      <c r="EI72" s="568"/>
      <c r="EJ72" s="568"/>
      <c r="EK72" s="568"/>
      <c r="EL72" s="568"/>
      <c r="EM72" s="568"/>
      <c r="EN72" s="568"/>
      <c r="EO72" s="568"/>
      <c r="EP72" s="568"/>
      <c r="EQ72" s="568"/>
      <c r="ER72" s="568"/>
      <c r="ES72" s="568"/>
      <c r="ET72" s="568"/>
      <c r="EU72" s="568"/>
      <c r="EV72" s="568"/>
      <c r="EW72" s="568"/>
      <c r="EX72" s="568"/>
      <c r="EY72" s="568"/>
      <c r="EZ72" s="568"/>
      <c r="FA72" s="568"/>
      <c r="FB72" s="568"/>
      <c r="FC72" s="568"/>
      <c r="FD72" s="568"/>
      <c r="FE72" s="568"/>
      <c r="FF72" s="568"/>
      <c r="FG72" s="568"/>
      <c r="FH72" s="568"/>
      <c r="FI72" s="568"/>
      <c r="FJ72" s="568"/>
      <c r="FK72" s="568"/>
      <c r="FL72" s="568"/>
      <c r="FM72" s="568"/>
      <c r="FN72" s="568"/>
      <c r="FO72" s="568"/>
      <c r="FP72" s="568"/>
      <c r="FQ72" s="568"/>
      <c r="FR72" s="568"/>
      <c r="FS72" s="568"/>
      <c r="FT72" s="568"/>
      <c r="FU72" s="568"/>
      <c r="FV72" s="568"/>
      <c r="FW72" s="568"/>
      <c r="FX72" s="568"/>
      <c r="FY72" s="568"/>
      <c r="FZ72" s="568"/>
      <c r="GA72" s="568"/>
      <c r="GB72" s="568"/>
      <c r="GC72" s="568"/>
      <c r="GD72" s="568"/>
      <c r="GE72" s="568"/>
      <c r="GF72" s="568"/>
      <c r="GG72" s="568"/>
      <c r="GH72" s="568"/>
      <c r="GI72" s="568"/>
      <c r="GJ72" s="568"/>
      <c r="GK72" s="568"/>
      <c r="GL72" s="568"/>
      <c r="GM72" s="568"/>
      <c r="GN72" s="568"/>
      <c r="GO72" s="568"/>
      <c r="GP72" s="568"/>
      <c r="GQ72" s="568"/>
      <c r="GR72" s="568"/>
      <c r="GS72" s="568"/>
      <c r="GT72" s="568"/>
      <c r="GU72" s="568"/>
      <c r="GV72" s="568"/>
      <c r="GW72" s="568"/>
      <c r="GX72" s="568"/>
      <c r="GY72" s="568"/>
      <c r="GZ72" s="568"/>
      <c r="HA72" s="568"/>
      <c r="HB72" s="568"/>
      <c r="HC72" s="568"/>
      <c r="HD72" s="568"/>
      <c r="HE72" s="568"/>
      <c r="HF72" s="568"/>
      <c r="HG72" s="568"/>
      <c r="HH72" s="568"/>
      <c r="HI72" s="568"/>
      <c r="HJ72" s="568"/>
      <c r="HK72" s="568"/>
      <c r="HL72" s="568"/>
      <c r="HM72" s="568"/>
      <c r="HN72" s="568"/>
      <c r="HO72" s="568"/>
      <c r="HP72" s="568"/>
      <c r="HQ72" s="568"/>
      <c r="HR72" s="568"/>
      <c r="HS72" s="568"/>
      <c r="HT72" s="568"/>
      <c r="HU72" s="568"/>
      <c r="HV72" s="568"/>
      <c r="HW72" s="568"/>
      <c r="HX72" s="568"/>
      <c r="HY72" s="568"/>
      <c r="HZ72" s="568"/>
      <c r="IA72" s="568"/>
      <c r="IB72" s="568"/>
      <c r="IC72" s="568"/>
      <c r="ID72" s="568"/>
      <c r="IE72" s="568"/>
      <c r="IF72" s="568"/>
      <c r="IG72" s="568"/>
      <c r="IH72" s="568"/>
      <c r="II72" s="568"/>
      <c r="IJ72" s="568"/>
      <c r="IK72" s="568"/>
      <c r="IL72" s="568"/>
      <c r="IM72" s="568"/>
      <c r="IN72" s="568"/>
      <c r="IO72" s="568"/>
      <c r="IP72" s="568"/>
      <c r="IQ72" s="568"/>
      <c r="IR72" s="568"/>
      <c r="IS72" s="568"/>
      <c r="IT72" s="568"/>
      <c r="IU72" s="568"/>
    </row>
    <row r="73" spans="1:255" ht="18" customHeight="1">
      <c r="A73" s="554"/>
      <c r="B73" s="561"/>
      <c r="C73" s="561"/>
      <c r="D73" s="561"/>
      <c r="E73" s="561"/>
      <c r="F73" s="561"/>
      <c r="G73" s="561"/>
      <c r="H73" s="561"/>
      <c r="I73" s="561"/>
      <c r="J73" s="561"/>
      <c r="K73" s="561"/>
      <c r="L73" s="561"/>
      <c r="M73" s="561"/>
      <c r="N73" s="561"/>
      <c r="O73" s="561"/>
      <c r="P73" s="561"/>
      <c r="Q73" s="561"/>
      <c r="R73" s="561"/>
      <c r="S73" s="561"/>
      <c r="T73" s="561"/>
      <c r="U73" s="561"/>
      <c r="V73" s="561"/>
      <c r="W73" s="561"/>
      <c r="X73" s="561"/>
      <c r="Y73" s="561"/>
      <c r="Z73" s="561"/>
      <c r="AA73" s="561"/>
      <c r="AB73" s="561"/>
      <c r="AC73" s="561"/>
      <c r="AD73" s="561"/>
      <c r="AE73" s="561"/>
      <c r="AF73" s="561"/>
      <c r="AG73" s="561"/>
      <c r="AH73" s="567"/>
      <c r="AI73" s="567"/>
      <c r="AJ73" s="567"/>
      <c r="AK73" s="567"/>
      <c r="AL73" s="567"/>
      <c r="AM73" s="567"/>
      <c r="AN73" s="567"/>
      <c r="AO73" s="567"/>
      <c r="AP73" s="567"/>
      <c r="AQ73" s="567"/>
      <c r="AR73" s="567"/>
      <c r="AS73" s="567"/>
      <c r="AT73" s="567"/>
      <c r="AU73" s="567"/>
      <c r="AV73" s="567"/>
      <c r="AW73" s="567"/>
      <c r="AX73" s="567"/>
      <c r="AY73" s="567"/>
      <c r="AZ73" s="567"/>
      <c r="BA73" s="567"/>
      <c r="BB73" s="567"/>
      <c r="BC73" s="567"/>
      <c r="BD73" s="568"/>
      <c r="BE73" s="568"/>
      <c r="BF73" s="568"/>
      <c r="BG73" s="568"/>
      <c r="BH73" s="568"/>
      <c r="BI73" s="568"/>
      <c r="BJ73" s="568"/>
      <c r="BK73" s="568"/>
      <c r="BL73" s="568"/>
      <c r="BM73" s="568"/>
      <c r="BN73" s="568"/>
      <c r="BO73" s="568"/>
      <c r="BP73" s="568"/>
      <c r="BQ73" s="568"/>
      <c r="BR73" s="568"/>
      <c r="BS73" s="568"/>
      <c r="BT73" s="568"/>
      <c r="BU73" s="568"/>
      <c r="BV73" s="568"/>
      <c r="BW73" s="568"/>
      <c r="BX73" s="568"/>
      <c r="BY73" s="568"/>
      <c r="BZ73" s="568"/>
      <c r="CA73" s="568"/>
      <c r="CB73" s="568"/>
      <c r="CC73" s="568"/>
      <c r="CD73" s="568"/>
      <c r="CE73" s="568"/>
      <c r="CF73" s="568"/>
      <c r="CG73" s="568"/>
      <c r="CH73" s="568"/>
      <c r="CI73" s="568"/>
      <c r="CJ73" s="568"/>
      <c r="CK73" s="568"/>
      <c r="CL73" s="568"/>
      <c r="CM73" s="568"/>
      <c r="CN73" s="568"/>
      <c r="CO73" s="568"/>
      <c r="CP73" s="568"/>
      <c r="CQ73" s="568"/>
      <c r="CR73" s="568"/>
      <c r="CS73" s="568"/>
      <c r="CT73" s="568"/>
      <c r="CU73" s="568"/>
      <c r="CV73" s="568"/>
      <c r="CW73" s="568"/>
      <c r="CX73" s="568"/>
      <c r="CY73" s="568"/>
      <c r="CZ73" s="568"/>
      <c r="DA73" s="568"/>
      <c r="DB73" s="568"/>
      <c r="DC73" s="568"/>
      <c r="DD73" s="568"/>
      <c r="DE73" s="568"/>
      <c r="DF73" s="568"/>
      <c r="DG73" s="568"/>
      <c r="DH73" s="568"/>
      <c r="DI73" s="568"/>
      <c r="DJ73" s="568"/>
      <c r="DK73" s="568"/>
      <c r="DL73" s="568"/>
      <c r="DM73" s="568"/>
      <c r="DN73" s="568"/>
      <c r="DO73" s="568"/>
      <c r="DP73" s="568"/>
      <c r="DQ73" s="568"/>
      <c r="DR73" s="568"/>
      <c r="DS73" s="568"/>
      <c r="DT73" s="568"/>
      <c r="DU73" s="568"/>
      <c r="DV73" s="568"/>
      <c r="DW73" s="568"/>
      <c r="DX73" s="568"/>
      <c r="DY73" s="568"/>
      <c r="DZ73" s="568"/>
      <c r="EA73" s="568"/>
      <c r="EB73" s="568"/>
      <c r="EC73" s="568"/>
      <c r="ED73" s="568"/>
      <c r="EE73" s="568"/>
      <c r="EF73" s="568"/>
      <c r="EG73" s="568"/>
      <c r="EH73" s="568"/>
      <c r="EI73" s="568"/>
      <c r="EJ73" s="568"/>
      <c r="EK73" s="568"/>
      <c r="EL73" s="568"/>
      <c r="EM73" s="568"/>
      <c r="EN73" s="568"/>
      <c r="EO73" s="568"/>
      <c r="EP73" s="568"/>
      <c r="EQ73" s="568"/>
      <c r="ER73" s="568"/>
      <c r="ES73" s="568"/>
      <c r="ET73" s="568"/>
      <c r="EU73" s="568"/>
      <c r="EV73" s="568"/>
      <c r="EW73" s="568"/>
      <c r="EX73" s="568"/>
      <c r="EY73" s="568"/>
      <c r="EZ73" s="568"/>
      <c r="FA73" s="568"/>
      <c r="FB73" s="568"/>
      <c r="FC73" s="568"/>
      <c r="FD73" s="568"/>
      <c r="FE73" s="568"/>
      <c r="FF73" s="568"/>
      <c r="FG73" s="568"/>
      <c r="FH73" s="568"/>
      <c r="FI73" s="568"/>
      <c r="FJ73" s="568"/>
      <c r="FK73" s="568"/>
      <c r="FL73" s="568"/>
      <c r="FM73" s="568"/>
      <c r="FN73" s="568"/>
      <c r="FO73" s="568"/>
      <c r="FP73" s="568"/>
      <c r="FQ73" s="568"/>
      <c r="FR73" s="568"/>
      <c r="FS73" s="568"/>
      <c r="FT73" s="568"/>
      <c r="FU73" s="568"/>
      <c r="FV73" s="568"/>
      <c r="FW73" s="568"/>
      <c r="FX73" s="568"/>
      <c r="FY73" s="568"/>
      <c r="FZ73" s="568"/>
      <c r="GA73" s="568"/>
      <c r="GB73" s="568"/>
      <c r="GC73" s="568"/>
      <c r="GD73" s="568"/>
      <c r="GE73" s="568"/>
      <c r="GF73" s="568"/>
      <c r="GG73" s="568"/>
      <c r="GH73" s="568"/>
      <c r="GI73" s="568"/>
      <c r="GJ73" s="568"/>
      <c r="GK73" s="568"/>
      <c r="GL73" s="568"/>
      <c r="GM73" s="568"/>
      <c r="GN73" s="568"/>
      <c r="GO73" s="568"/>
      <c r="GP73" s="568"/>
      <c r="GQ73" s="568"/>
      <c r="GR73" s="568"/>
      <c r="GS73" s="568"/>
      <c r="GT73" s="568"/>
      <c r="GU73" s="568"/>
      <c r="GV73" s="568"/>
      <c r="GW73" s="568"/>
      <c r="GX73" s="568"/>
      <c r="GY73" s="568"/>
      <c r="GZ73" s="568"/>
      <c r="HA73" s="568"/>
      <c r="HB73" s="568"/>
      <c r="HC73" s="568"/>
      <c r="HD73" s="568"/>
      <c r="HE73" s="568"/>
      <c r="HF73" s="568"/>
      <c r="HG73" s="568"/>
      <c r="HH73" s="568"/>
      <c r="HI73" s="568"/>
      <c r="HJ73" s="568"/>
      <c r="HK73" s="568"/>
      <c r="HL73" s="568"/>
      <c r="HM73" s="568"/>
      <c r="HN73" s="568"/>
      <c r="HO73" s="568"/>
      <c r="HP73" s="568"/>
      <c r="HQ73" s="568"/>
      <c r="HR73" s="568"/>
      <c r="HS73" s="568"/>
      <c r="HT73" s="568"/>
      <c r="HU73" s="568"/>
      <c r="HV73" s="568"/>
      <c r="HW73" s="568"/>
      <c r="HX73" s="568"/>
      <c r="HY73" s="568"/>
      <c r="HZ73" s="568"/>
      <c r="IA73" s="568"/>
      <c r="IB73" s="568"/>
      <c r="IC73" s="568"/>
      <c r="ID73" s="568"/>
      <c r="IE73" s="568"/>
      <c r="IF73" s="568"/>
      <c r="IG73" s="568"/>
      <c r="IH73" s="568"/>
      <c r="II73" s="568"/>
      <c r="IJ73" s="568"/>
      <c r="IK73" s="568"/>
      <c r="IL73" s="568"/>
      <c r="IM73" s="568"/>
      <c r="IN73" s="568"/>
      <c r="IO73" s="568"/>
      <c r="IP73" s="568"/>
      <c r="IQ73" s="568"/>
      <c r="IR73" s="568"/>
      <c r="IS73" s="568"/>
      <c r="IT73" s="568"/>
      <c r="IU73" s="568"/>
    </row>
    <row r="74" spans="1:255" s="568" customFormat="1" ht="18" customHeight="1">
      <c r="A74" s="554"/>
      <c r="B74" s="561"/>
      <c r="C74" s="561"/>
      <c r="D74" s="561"/>
      <c r="E74" s="561"/>
      <c r="F74" s="561"/>
      <c r="G74" s="561"/>
      <c r="H74" s="561"/>
      <c r="I74" s="561"/>
      <c r="J74" s="561"/>
      <c r="K74" s="561"/>
      <c r="L74" s="561"/>
      <c r="M74" s="561"/>
      <c r="N74" s="561"/>
      <c r="O74" s="561"/>
      <c r="P74" s="561"/>
      <c r="Q74" s="561"/>
      <c r="R74" s="561"/>
      <c r="S74" s="561"/>
      <c r="T74" s="561"/>
      <c r="U74" s="561"/>
      <c r="V74" s="561"/>
      <c r="W74" s="561"/>
      <c r="X74" s="561"/>
      <c r="Y74" s="561"/>
      <c r="Z74" s="561"/>
      <c r="AA74" s="561"/>
      <c r="AB74" s="561"/>
      <c r="AC74" s="561"/>
      <c r="AD74" s="561"/>
      <c r="AE74" s="561"/>
      <c r="AF74" s="561"/>
      <c r="AG74" s="561"/>
      <c r="AH74" s="567"/>
      <c r="AI74" s="567"/>
      <c r="AJ74" s="567"/>
      <c r="AK74" s="567"/>
      <c r="AL74" s="567"/>
      <c r="AM74" s="567"/>
      <c r="AN74" s="567"/>
      <c r="AO74" s="567"/>
      <c r="AP74" s="567"/>
      <c r="AQ74" s="567"/>
      <c r="AR74" s="567"/>
      <c r="AS74" s="567"/>
      <c r="AT74" s="567"/>
      <c r="AU74" s="567"/>
      <c r="AV74" s="567"/>
      <c r="AW74" s="567"/>
      <c r="AX74" s="567"/>
      <c r="AY74" s="567"/>
      <c r="AZ74" s="567"/>
      <c r="BA74" s="567"/>
      <c r="BB74" s="567"/>
      <c r="BC74" s="567"/>
    </row>
    <row r="75" spans="1:255" s="554" customFormat="1" ht="18" customHeight="1">
      <c r="B75" s="578"/>
      <c r="C75" s="578"/>
      <c r="D75" s="578"/>
      <c r="E75" s="578"/>
      <c r="F75" s="578"/>
      <c r="G75" s="578"/>
      <c r="H75" s="578"/>
      <c r="I75" s="578"/>
      <c r="J75" s="578"/>
      <c r="K75" s="578"/>
      <c r="L75" s="578"/>
      <c r="M75" s="578"/>
      <c r="N75" s="578"/>
      <c r="O75" s="578"/>
      <c r="P75" s="578"/>
      <c r="Q75" s="578"/>
      <c r="R75" s="578"/>
      <c r="S75" s="578"/>
      <c r="T75" s="561"/>
      <c r="U75" s="578"/>
      <c r="V75" s="578"/>
      <c r="W75" s="578"/>
      <c r="X75" s="578"/>
      <c r="Y75" s="578"/>
      <c r="Z75" s="578"/>
      <c r="AA75" s="578"/>
      <c r="AB75" s="578"/>
      <c r="AC75" s="578"/>
      <c r="AD75" s="578"/>
      <c r="AE75" s="578"/>
      <c r="AF75" s="578"/>
      <c r="AG75" s="578"/>
      <c r="AH75" s="548"/>
      <c r="AI75" s="548"/>
      <c r="AJ75" s="548"/>
      <c r="AK75" s="548"/>
      <c r="AL75" s="548"/>
      <c r="AM75" s="548"/>
      <c r="AN75" s="548"/>
      <c r="AO75" s="548"/>
      <c r="AP75" s="548"/>
      <c r="AQ75" s="548"/>
      <c r="AR75" s="548"/>
      <c r="AS75" s="548"/>
      <c r="AT75" s="548"/>
      <c r="AU75" s="548"/>
      <c r="AV75" s="548"/>
      <c r="AW75" s="548"/>
      <c r="AX75" s="548"/>
      <c r="AY75" s="548"/>
      <c r="AZ75" s="548"/>
      <c r="BA75" s="548"/>
      <c r="BB75" s="548"/>
      <c r="BC75" s="548"/>
      <c r="BD75" s="569"/>
      <c r="BE75" s="569"/>
      <c r="BF75" s="569"/>
      <c r="BG75" s="569"/>
      <c r="BH75" s="569"/>
      <c r="BI75" s="569"/>
      <c r="BJ75" s="569"/>
      <c r="BK75" s="569"/>
      <c r="BL75" s="569"/>
      <c r="BM75" s="569"/>
      <c r="BN75" s="569"/>
      <c r="BO75" s="569"/>
      <c r="BP75" s="569"/>
      <c r="BQ75" s="569"/>
      <c r="BR75" s="569"/>
      <c r="BS75" s="569"/>
      <c r="BT75" s="569"/>
      <c r="BU75" s="569"/>
      <c r="BV75" s="569"/>
      <c r="BW75" s="569"/>
      <c r="BX75" s="569"/>
      <c r="BY75" s="569"/>
      <c r="BZ75" s="569"/>
      <c r="CA75" s="569"/>
      <c r="CB75" s="569"/>
      <c r="CC75" s="569"/>
      <c r="CD75" s="569"/>
      <c r="CE75" s="569"/>
      <c r="CF75" s="569"/>
      <c r="CG75" s="569"/>
      <c r="CH75" s="569"/>
      <c r="CI75" s="569"/>
      <c r="CJ75" s="569"/>
      <c r="CK75" s="569"/>
      <c r="CL75" s="569"/>
      <c r="CM75" s="569"/>
      <c r="CN75" s="569"/>
      <c r="CO75" s="569"/>
      <c r="CP75" s="569"/>
      <c r="CQ75" s="569"/>
      <c r="CR75" s="569"/>
      <c r="CS75" s="569"/>
      <c r="CT75" s="569"/>
      <c r="CU75" s="569"/>
      <c r="CV75" s="569"/>
      <c r="CW75" s="569"/>
      <c r="CX75" s="569"/>
      <c r="CY75" s="569"/>
      <c r="CZ75" s="569"/>
      <c r="DA75" s="569"/>
      <c r="DB75" s="569"/>
      <c r="DC75" s="569"/>
      <c r="DD75" s="569"/>
      <c r="DE75" s="569"/>
      <c r="DF75" s="569"/>
      <c r="DG75" s="569"/>
      <c r="DH75" s="569"/>
      <c r="DI75" s="569"/>
      <c r="DJ75" s="569"/>
      <c r="DK75" s="569"/>
      <c r="DL75" s="569"/>
      <c r="DM75" s="569"/>
      <c r="DN75" s="569"/>
      <c r="DO75" s="569"/>
      <c r="DP75" s="569"/>
      <c r="DQ75" s="569"/>
      <c r="DR75" s="569"/>
      <c r="DS75" s="569"/>
      <c r="DT75" s="569"/>
      <c r="DU75" s="569"/>
      <c r="DV75" s="569"/>
      <c r="DW75" s="569"/>
      <c r="DX75" s="569"/>
      <c r="DY75" s="569"/>
      <c r="DZ75" s="569"/>
      <c r="EA75" s="569"/>
      <c r="EB75" s="569"/>
      <c r="EC75" s="569"/>
      <c r="ED75" s="569"/>
      <c r="EE75" s="569"/>
      <c r="EF75" s="569"/>
      <c r="EG75" s="569"/>
      <c r="EH75" s="569"/>
      <c r="EI75" s="569"/>
      <c r="EJ75" s="569"/>
      <c r="EK75" s="569"/>
      <c r="EL75" s="569"/>
      <c r="EM75" s="569"/>
      <c r="EN75" s="569"/>
      <c r="EO75" s="569"/>
      <c r="EP75" s="569"/>
      <c r="EQ75" s="569"/>
      <c r="ER75" s="569"/>
      <c r="ES75" s="569"/>
      <c r="ET75" s="569"/>
      <c r="EU75" s="569"/>
      <c r="EV75" s="569"/>
      <c r="EW75" s="569"/>
      <c r="EX75" s="569"/>
      <c r="EY75" s="569"/>
      <c r="EZ75" s="569"/>
      <c r="FA75" s="569"/>
      <c r="FB75" s="569"/>
      <c r="FC75" s="569"/>
      <c r="FD75" s="569"/>
      <c r="FE75" s="569"/>
      <c r="FF75" s="569"/>
      <c r="FG75" s="569"/>
      <c r="FH75" s="569"/>
      <c r="FI75" s="569"/>
      <c r="FJ75" s="569"/>
      <c r="FK75" s="569"/>
      <c r="FL75" s="569"/>
      <c r="FM75" s="569"/>
      <c r="FN75" s="569"/>
      <c r="FO75" s="569"/>
      <c r="FP75" s="569"/>
      <c r="FQ75" s="569"/>
      <c r="FR75" s="569"/>
      <c r="FS75" s="569"/>
      <c r="FT75" s="569"/>
      <c r="FU75" s="569"/>
      <c r="FV75" s="569"/>
      <c r="FW75" s="569"/>
      <c r="FX75" s="569"/>
      <c r="FY75" s="569"/>
      <c r="FZ75" s="569"/>
      <c r="GA75" s="569"/>
      <c r="GB75" s="569"/>
      <c r="GC75" s="569"/>
      <c r="GD75" s="569"/>
      <c r="GE75" s="569"/>
      <c r="GF75" s="569"/>
      <c r="GG75" s="569"/>
      <c r="GH75" s="569"/>
      <c r="GI75" s="569"/>
      <c r="GJ75" s="569"/>
      <c r="GK75" s="569"/>
      <c r="GL75" s="569"/>
      <c r="GM75" s="569"/>
      <c r="GN75" s="569"/>
      <c r="GO75" s="569"/>
      <c r="GP75" s="569"/>
      <c r="GQ75" s="569"/>
      <c r="GR75" s="569"/>
      <c r="GS75" s="569"/>
      <c r="GT75" s="569"/>
    </row>
    <row r="76" spans="1:255" s="554" customFormat="1" ht="18" customHeight="1">
      <c r="B76" s="578"/>
      <c r="C76" s="578"/>
      <c r="D76" s="578"/>
      <c r="E76" s="578"/>
      <c r="F76" s="578"/>
      <c r="G76" s="578"/>
      <c r="H76" s="578"/>
      <c r="I76" s="578"/>
      <c r="J76" s="578"/>
      <c r="K76" s="578"/>
      <c r="L76" s="578"/>
      <c r="M76" s="578"/>
      <c r="N76" s="578"/>
      <c r="O76" s="578"/>
      <c r="P76" s="578"/>
      <c r="Q76" s="578"/>
      <c r="R76" s="578"/>
      <c r="S76" s="578"/>
      <c r="T76" s="561"/>
      <c r="U76" s="578"/>
      <c r="V76" s="578"/>
      <c r="W76" s="578"/>
      <c r="X76" s="578"/>
      <c r="Y76" s="578"/>
      <c r="Z76" s="578"/>
      <c r="AA76" s="578"/>
      <c r="AB76" s="578"/>
      <c r="AC76" s="578"/>
      <c r="AD76" s="578"/>
      <c r="AE76" s="578"/>
      <c r="AF76" s="578"/>
      <c r="AG76" s="578"/>
      <c r="AH76" s="548"/>
      <c r="AI76" s="548"/>
      <c r="AJ76" s="548"/>
      <c r="AK76" s="548"/>
      <c r="AL76" s="548"/>
      <c r="AM76" s="548"/>
      <c r="AN76" s="548"/>
      <c r="AO76" s="548"/>
      <c r="AP76" s="548"/>
      <c r="AQ76" s="548"/>
      <c r="AR76" s="548"/>
      <c r="AS76" s="548"/>
      <c r="AT76" s="548"/>
      <c r="AU76" s="548"/>
      <c r="AV76" s="548"/>
      <c r="AW76" s="548"/>
      <c r="AX76" s="548"/>
      <c r="AY76" s="548"/>
      <c r="AZ76" s="548"/>
      <c r="BA76" s="548"/>
      <c r="BB76" s="548"/>
      <c r="BC76" s="548"/>
      <c r="BD76" s="569"/>
      <c r="BE76" s="569"/>
      <c r="BF76" s="569"/>
      <c r="BG76" s="569"/>
      <c r="BH76" s="569"/>
      <c r="BI76" s="569"/>
      <c r="BJ76" s="569"/>
      <c r="BK76" s="569"/>
      <c r="BL76" s="569"/>
      <c r="BM76" s="569"/>
      <c r="BN76" s="569"/>
      <c r="BO76" s="569"/>
      <c r="BP76" s="569"/>
      <c r="BQ76" s="569"/>
      <c r="BR76" s="569"/>
      <c r="BS76" s="569"/>
      <c r="BT76" s="569"/>
      <c r="BU76" s="569"/>
      <c r="BV76" s="569"/>
      <c r="BW76" s="569"/>
      <c r="BX76" s="569"/>
      <c r="BY76" s="569"/>
      <c r="BZ76" s="569"/>
      <c r="CA76" s="569"/>
      <c r="CB76" s="569"/>
      <c r="CC76" s="569"/>
      <c r="CD76" s="569"/>
      <c r="CE76" s="569"/>
      <c r="CF76" s="569"/>
      <c r="CG76" s="569"/>
      <c r="CH76" s="569"/>
      <c r="CI76" s="569"/>
      <c r="CJ76" s="569"/>
      <c r="CK76" s="569"/>
      <c r="CL76" s="569"/>
      <c r="CM76" s="569"/>
      <c r="CN76" s="569"/>
      <c r="CO76" s="569"/>
      <c r="CP76" s="569"/>
      <c r="CQ76" s="569"/>
      <c r="CR76" s="569"/>
      <c r="CS76" s="569"/>
      <c r="CT76" s="569"/>
      <c r="CU76" s="569"/>
      <c r="CV76" s="569"/>
      <c r="CW76" s="569"/>
      <c r="CX76" s="569"/>
      <c r="CY76" s="569"/>
      <c r="CZ76" s="569"/>
      <c r="DA76" s="569"/>
      <c r="DB76" s="569"/>
      <c r="DC76" s="569"/>
      <c r="DD76" s="569"/>
      <c r="DE76" s="569"/>
      <c r="DF76" s="569"/>
      <c r="DG76" s="569"/>
      <c r="DH76" s="569"/>
      <c r="DI76" s="569"/>
      <c r="DJ76" s="569"/>
      <c r="DK76" s="569"/>
      <c r="DL76" s="569"/>
      <c r="DM76" s="569"/>
      <c r="DN76" s="569"/>
      <c r="DO76" s="569"/>
      <c r="DP76" s="569"/>
      <c r="DQ76" s="569"/>
      <c r="DR76" s="569"/>
      <c r="DS76" s="569"/>
      <c r="DT76" s="569"/>
      <c r="DU76" s="569"/>
      <c r="DV76" s="569"/>
      <c r="DW76" s="569"/>
      <c r="DX76" s="569"/>
      <c r="DY76" s="569"/>
      <c r="DZ76" s="569"/>
      <c r="EA76" s="569"/>
      <c r="EB76" s="569"/>
      <c r="EC76" s="569"/>
      <c r="ED76" s="569"/>
      <c r="EE76" s="569"/>
      <c r="EF76" s="569"/>
      <c r="EG76" s="569"/>
      <c r="EH76" s="569"/>
      <c r="EI76" s="569"/>
      <c r="EJ76" s="569"/>
      <c r="EK76" s="569"/>
      <c r="EL76" s="569"/>
      <c r="EM76" s="569"/>
      <c r="EN76" s="569"/>
      <c r="EO76" s="569"/>
      <c r="EP76" s="569"/>
      <c r="EQ76" s="569"/>
      <c r="ER76" s="569"/>
      <c r="ES76" s="569"/>
      <c r="ET76" s="569"/>
      <c r="EU76" s="569"/>
      <c r="EV76" s="569"/>
      <c r="EW76" s="569"/>
      <c r="EX76" s="569"/>
      <c r="EY76" s="569"/>
      <c r="EZ76" s="569"/>
      <c r="FA76" s="569"/>
      <c r="FB76" s="569"/>
      <c r="FC76" s="569"/>
      <c r="FD76" s="569"/>
      <c r="FE76" s="569"/>
      <c r="FF76" s="569"/>
      <c r="FG76" s="569"/>
      <c r="FH76" s="569"/>
      <c r="FI76" s="569"/>
      <c r="FJ76" s="569"/>
      <c r="FK76" s="569"/>
      <c r="FL76" s="569"/>
      <c r="FM76" s="569"/>
      <c r="FN76" s="569"/>
      <c r="FO76" s="569"/>
      <c r="FP76" s="569"/>
      <c r="FQ76" s="569"/>
      <c r="FR76" s="569"/>
      <c r="FS76" s="569"/>
      <c r="FT76" s="569"/>
      <c r="FU76" s="569"/>
      <c r="FV76" s="569"/>
      <c r="FW76" s="569"/>
      <c r="FX76" s="569"/>
      <c r="FY76" s="569"/>
      <c r="FZ76" s="569"/>
      <c r="GA76" s="569"/>
      <c r="GB76" s="569"/>
      <c r="GC76" s="569"/>
      <c r="GD76" s="569"/>
      <c r="GE76" s="569"/>
      <c r="GF76" s="569"/>
      <c r="GG76" s="569"/>
      <c r="GH76" s="569"/>
      <c r="GI76" s="569"/>
      <c r="GJ76" s="569"/>
      <c r="GK76" s="569"/>
      <c r="GL76" s="569"/>
      <c r="GM76" s="569"/>
      <c r="GN76" s="569"/>
      <c r="GO76" s="569"/>
      <c r="GP76" s="569"/>
      <c r="GQ76" s="569"/>
      <c r="GR76" s="569"/>
      <c r="GS76" s="569"/>
      <c r="GT76" s="569"/>
    </row>
    <row r="77" spans="1:255" s="554" customFormat="1" ht="18" customHeight="1">
      <c r="B77" s="578"/>
      <c r="C77" s="578"/>
      <c r="D77" s="578"/>
      <c r="E77" s="578"/>
      <c r="F77" s="578"/>
      <c r="G77" s="578"/>
      <c r="H77" s="578"/>
      <c r="I77" s="578"/>
      <c r="J77" s="578"/>
      <c r="K77" s="578"/>
      <c r="L77" s="578"/>
      <c r="M77" s="578"/>
      <c r="N77" s="578"/>
      <c r="O77" s="578"/>
      <c r="P77" s="578"/>
      <c r="Q77" s="578"/>
      <c r="R77" s="578"/>
      <c r="S77" s="578"/>
      <c r="T77" s="561"/>
      <c r="U77" s="578"/>
      <c r="V77" s="578"/>
      <c r="W77" s="578"/>
      <c r="X77" s="578"/>
      <c r="Y77" s="578"/>
      <c r="Z77" s="578"/>
      <c r="AA77" s="578"/>
      <c r="AB77" s="578"/>
      <c r="AC77" s="578"/>
      <c r="AD77" s="578"/>
      <c r="AE77" s="578"/>
      <c r="AF77" s="578"/>
      <c r="AG77" s="578"/>
      <c r="AH77" s="548"/>
      <c r="AI77" s="548"/>
      <c r="AJ77" s="548"/>
      <c r="AK77" s="548"/>
      <c r="AL77" s="548"/>
      <c r="AM77" s="548"/>
      <c r="AN77" s="548"/>
      <c r="AO77" s="548"/>
      <c r="AP77" s="548"/>
      <c r="AQ77" s="548"/>
      <c r="AR77" s="548"/>
      <c r="AS77" s="548"/>
      <c r="AT77" s="548"/>
      <c r="AU77" s="548"/>
      <c r="AV77" s="548"/>
      <c r="AW77" s="548"/>
      <c r="AX77" s="548"/>
      <c r="AY77" s="548"/>
      <c r="AZ77" s="548"/>
      <c r="BA77" s="548"/>
      <c r="BB77" s="548"/>
      <c r="BC77" s="548"/>
      <c r="BD77" s="569"/>
      <c r="BE77" s="569"/>
      <c r="BF77" s="569"/>
      <c r="BG77" s="569"/>
      <c r="BH77" s="569"/>
      <c r="BI77" s="569"/>
      <c r="BJ77" s="569"/>
      <c r="BK77" s="569"/>
      <c r="BL77" s="569"/>
      <c r="BM77" s="569"/>
      <c r="BN77" s="569"/>
      <c r="BO77" s="569"/>
      <c r="BP77" s="569"/>
      <c r="BQ77" s="569"/>
      <c r="BR77" s="569"/>
      <c r="BS77" s="569"/>
      <c r="BT77" s="569"/>
      <c r="BU77" s="569"/>
      <c r="BV77" s="569"/>
      <c r="BW77" s="569"/>
      <c r="BX77" s="569"/>
      <c r="BY77" s="569"/>
      <c r="BZ77" s="569"/>
      <c r="CA77" s="569"/>
      <c r="CB77" s="569"/>
      <c r="CC77" s="569"/>
      <c r="CD77" s="569"/>
      <c r="CE77" s="569"/>
      <c r="CF77" s="569"/>
      <c r="CG77" s="569"/>
      <c r="CH77" s="569"/>
      <c r="CI77" s="569"/>
      <c r="CJ77" s="569"/>
      <c r="CK77" s="569"/>
      <c r="CL77" s="569"/>
      <c r="CM77" s="569"/>
      <c r="CN77" s="569"/>
      <c r="CO77" s="569"/>
      <c r="CP77" s="569"/>
      <c r="CQ77" s="569"/>
      <c r="CR77" s="569"/>
      <c r="CS77" s="569"/>
      <c r="CT77" s="569"/>
      <c r="CU77" s="569"/>
      <c r="CV77" s="569"/>
      <c r="CW77" s="569"/>
      <c r="CX77" s="569"/>
      <c r="CY77" s="569"/>
      <c r="CZ77" s="569"/>
      <c r="DA77" s="569"/>
      <c r="DB77" s="569"/>
      <c r="DC77" s="569"/>
      <c r="DD77" s="569"/>
      <c r="DE77" s="569"/>
      <c r="DF77" s="569"/>
      <c r="DG77" s="569"/>
      <c r="DH77" s="569"/>
      <c r="DI77" s="569"/>
      <c r="DJ77" s="569"/>
      <c r="DK77" s="569"/>
      <c r="DL77" s="569"/>
      <c r="DM77" s="569"/>
      <c r="DN77" s="569"/>
      <c r="DO77" s="569"/>
      <c r="DP77" s="569"/>
      <c r="DQ77" s="569"/>
      <c r="DR77" s="569"/>
      <c r="DS77" s="569"/>
      <c r="DT77" s="569"/>
      <c r="DU77" s="569"/>
      <c r="DV77" s="569"/>
      <c r="DW77" s="569"/>
      <c r="DX77" s="569"/>
      <c r="DY77" s="569"/>
      <c r="DZ77" s="569"/>
      <c r="EA77" s="569"/>
      <c r="EB77" s="569"/>
      <c r="EC77" s="569"/>
      <c r="ED77" s="569"/>
      <c r="EE77" s="569"/>
      <c r="EF77" s="569"/>
      <c r="EG77" s="569"/>
      <c r="EH77" s="569"/>
      <c r="EI77" s="569"/>
      <c r="EJ77" s="569"/>
      <c r="EK77" s="569"/>
      <c r="EL77" s="569"/>
      <c r="EM77" s="569"/>
      <c r="EN77" s="569"/>
      <c r="EO77" s="569"/>
      <c r="EP77" s="569"/>
      <c r="EQ77" s="569"/>
      <c r="ER77" s="569"/>
      <c r="ES77" s="569"/>
      <c r="ET77" s="569"/>
      <c r="EU77" s="569"/>
      <c r="EV77" s="569"/>
      <c r="EW77" s="569"/>
      <c r="EX77" s="569"/>
      <c r="EY77" s="569"/>
      <c r="EZ77" s="569"/>
      <c r="FA77" s="569"/>
      <c r="FB77" s="569"/>
      <c r="FC77" s="569"/>
      <c r="FD77" s="569"/>
      <c r="FE77" s="569"/>
      <c r="FF77" s="569"/>
      <c r="FG77" s="569"/>
      <c r="FH77" s="569"/>
      <c r="FI77" s="569"/>
      <c r="FJ77" s="569"/>
      <c r="FK77" s="569"/>
      <c r="FL77" s="569"/>
      <c r="FM77" s="569"/>
      <c r="FN77" s="569"/>
      <c r="FO77" s="569"/>
      <c r="FP77" s="569"/>
      <c r="FQ77" s="569"/>
      <c r="FR77" s="569"/>
      <c r="FS77" s="569"/>
      <c r="FT77" s="569"/>
      <c r="FU77" s="569"/>
      <c r="FV77" s="569"/>
      <c r="FW77" s="569"/>
      <c r="FX77" s="569"/>
      <c r="FY77" s="569"/>
      <c r="FZ77" s="569"/>
      <c r="GA77" s="569"/>
      <c r="GB77" s="569"/>
      <c r="GC77" s="569"/>
      <c r="GD77" s="569"/>
      <c r="GE77" s="569"/>
      <c r="GF77" s="569"/>
      <c r="GG77" s="569"/>
      <c r="GH77" s="569"/>
      <c r="GI77" s="569"/>
      <c r="GJ77" s="569"/>
      <c r="GK77" s="569"/>
      <c r="GL77" s="569"/>
      <c r="GM77" s="569"/>
      <c r="GN77" s="569"/>
      <c r="GO77" s="569"/>
      <c r="GP77" s="569"/>
      <c r="GQ77" s="569"/>
      <c r="GR77" s="569"/>
      <c r="GS77" s="569"/>
      <c r="GT77" s="569"/>
    </row>
    <row r="78" spans="1:255" s="554" customFormat="1" ht="18" customHeight="1">
      <c r="B78" s="578"/>
      <c r="C78" s="578"/>
      <c r="D78" s="578"/>
      <c r="E78" s="578"/>
      <c r="F78" s="578"/>
      <c r="G78" s="578"/>
      <c r="H78" s="578"/>
      <c r="I78" s="578"/>
      <c r="J78" s="578"/>
      <c r="K78" s="578"/>
      <c r="L78" s="578"/>
      <c r="M78" s="578"/>
      <c r="N78" s="578"/>
      <c r="O78" s="578"/>
      <c r="P78" s="578"/>
      <c r="Q78" s="578"/>
      <c r="R78" s="578"/>
      <c r="S78" s="578"/>
      <c r="T78" s="561"/>
      <c r="U78" s="578"/>
      <c r="V78" s="578"/>
      <c r="W78" s="578"/>
      <c r="X78" s="578"/>
      <c r="Y78" s="578"/>
      <c r="Z78" s="578"/>
      <c r="AA78" s="578"/>
      <c r="AB78" s="578"/>
      <c r="AC78" s="578"/>
      <c r="AD78" s="578"/>
      <c r="AE78" s="578"/>
      <c r="AF78" s="578"/>
      <c r="AG78" s="578"/>
      <c r="AH78" s="548"/>
      <c r="AI78" s="548"/>
      <c r="AJ78" s="548"/>
      <c r="AK78" s="548"/>
      <c r="AL78" s="548"/>
      <c r="AM78" s="548"/>
      <c r="AN78" s="548"/>
      <c r="AO78" s="548"/>
      <c r="AP78" s="548"/>
      <c r="AQ78" s="548"/>
      <c r="AR78" s="548"/>
      <c r="AS78" s="548"/>
      <c r="AT78" s="548"/>
      <c r="AU78" s="548"/>
      <c r="AV78" s="548"/>
      <c r="AW78" s="548"/>
      <c r="AX78" s="548"/>
      <c r="AY78" s="548"/>
      <c r="AZ78" s="548"/>
      <c r="BA78" s="548"/>
      <c r="BB78" s="548"/>
      <c r="BC78" s="548"/>
      <c r="BD78" s="569"/>
      <c r="BE78" s="569"/>
      <c r="BF78" s="569"/>
      <c r="BG78" s="569"/>
      <c r="BH78" s="569"/>
      <c r="BI78" s="569"/>
      <c r="BJ78" s="569"/>
      <c r="BK78" s="569"/>
      <c r="BL78" s="569"/>
      <c r="BM78" s="569"/>
      <c r="BN78" s="569"/>
      <c r="BO78" s="569"/>
      <c r="BP78" s="569"/>
      <c r="BQ78" s="569"/>
      <c r="BR78" s="569"/>
      <c r="BS78" s="569"/>
      <c r="BT78" s="569"/>
      <c r="BU78" s="569"/>
      <c r="BV78" s="569"/>
      <c r="BW78" s="569"/>
      <c r="BX78" s="569"/>
      <c r="BY78" s="569"/>
      <c r="BZ78" s="569"/>
      <c r="CA78" s="569"/>
      <c r="CB78" s="569"/>
      <c r="CC78" s="569"/>
      <c r="CD78" s="569"/>
      <c r="CE78" s="569"/>
      <c r="CF78" s="569"/>
      <c r="CG78" s="569"/>
      <c r="CH78" s="569"/>
      <c r="CI78" s="569"/>
      <c r="CJ78" s="569"/>
      <c r="CK78" s="569"/>
      <c r="CL78" s="569"/>
      <c r="CM78" s="569"/>
      <c r="CN78" s="569"/>
      <c r="CO78" s="569"/>
      <c r="CP78" s="569"/>
      <c r="CQ78" s="569"/>
      <c r="CR78" s="569"/>
      <c r="CS78" s="569"/>
      <c r="CT78" s="569"/>
      <c r="CU78" s="569"/>
      <c r="CV78" s="569"/>
      <c r="CW78" s="569"/>
      <c r="CX78" s="569"/>
      <c r="CY78" s="569"/>
      <c r="CZ78" s="569"/>
      <c r="DA78" s="569"/>
      <c r="DB78" s="569"/>
      <c r="DC78" s="569"/>
      <c r="DD78" s="569"/>
      <c r="DE78" s="569"/>
      <c r="DF78" s="569"/>
      <c r="DG78" s="569"/>
      <c r="DH78" s="569"/>
      <c r="DI78" s="569"/>
      <c r="DJ78" s="569"/>
      <c r="DK78" s="569"/>
      <c r="DL78" s="569"/>
      <c r="DM78" s="569"/>
      <c r="DN78" s="569"/>
      <c r="DO78" s="569"/>
      <c r="DP78" s="569"/>
      <c r="DQ78" s="569"/>
      <c r="DR78" s="569"/>
      <c r="DS78" s="569"/>
      <c r="DT78" s="569"/>
      <c r="DU78" s="569"/>
      <c r="DV78" s="569"/>
      <c r="DW78" s="569"/>
      <c r="DX78" s="569"/>
      <c r="DY78" s="569"/>
      <c r="DZ78" s="569"/>
      <c r="EA78" s="569"/>
      <c r="EB78" s="569"/>
      <c r="EC78" s="569"/>
      <c r="ED78" s="569"/>
      <c r="EE78" s="569"/>
      <c r="EF78" s="569"/>
      <c r="EG78" s="569"/>
      <c r="EH78" s="569"/>
      <c r="EI78" s="569"/>
      <c r="EJ78" s="569"/>
      <c r="EK78" s="569"/>
      <c r="EL78" s="569"/>
      <c r="EM78" s="569"/>
      <c r="EN78" s="569"/>
      <c r="EO78" s="569"/>
      <c r="EP78" s="569"/>
      <c r="EQ78" s="569"/>
      <c r="ER78" s="569"/>
      <c r="ES78" s="569"/>
      <c r="ET78" s="569"/>
      <c r="EU78" s="569"/>
      <c r="EV78" s="569"/>
      <c r="EW78" s="569"/>
      <c r="EX78" s="569"/>
      <c r="EY78" s="569"/>
      <c r="EZ78" s="569"/>
      <c r="FA78" s="569"/>
      <c r="FB78" s="569"/>
      <c r="FC78" s="569"/>
      <c r="FD78" s="569"/>
      <c r="FE78" s="569"/>
      <c r="FF78" s="569"/>
      <c r="FG78" s="569"/>
      <c r="FH78" s="569"/>
      <c r="FI78" s="569"/>
      <c r="FJ78" s="569"/>
      <c r="FK78" s="569"/>
      <c r="FL78" s="569"/>
      <c r="FM78" s="569"/>
      <c r="FN78" s="569"/>
      <c r="FO78" s="569"/>
      <c r="FP78" s="569"/>
      <c r="FQ78" s="569"/>
      <c r="FR78" s="569"/>
      <c r="FS78" s="569"/>
      <c r="FT78" s="569"/>
      <c r="FU78" s="569"/>
      <c r="FV78" s="569"/>
      <c r="FW78" s="569"/>
      <c r="FX78" s="569"/>
      <c r="FY78" s="569"/>
      <c r="FZ78" s="569"/>
      <c r="GA78" s="569"/>
      <c r="GB78" s="569"/>
      <c r="GC78" s="569"/>
      <c r="GD78" s="569"/>
      <c r="GE78" s="569"/>
      <c r="GF78" s="569"/>
      <c r="GG78" s="569"/>
      <c r="GH78" s="569"/>
      <c r="GI78" s="569"/>
      <c r="GJ78" s="569"/>
      <c r="GK78" s="569"/>
      <c r="GL78" s="569"/>
      <c r="GM78" s="569"/>
      <c r="GN78" s="569"/>
      <c r="GO78" s="569"/>
      <c r="GP78" s="569"/>
      <c r="GQ78" s="569"/>
      <c r="GR78" s="569"/>
      <c r="GS78" s="569"/>
      <c r="GT78" s="569"/>
    </row>
    <row r="79" spans="1:255" s="554" customFormat="1" ht="18" customHeight="1">
      <c r="B79" s="578"/>
      <c r="C79" s="578"/>
      <c r="D79" s="578"/>
      <c r="E79" s="578"/>
      <c r="F79" s="578"/>
      <c r="G79" s="578"/>
      <c r="H79" s="578"/>
      <c r="I79" s="578"/>
      <c r="J79" s="578"/>
      <c r="K79" s="578"/>
      <c r="L79" s="578"/>
      <c r="M79" s="578"/>
      <c r="N79" s="578"/>
      <c r="O79" s="578"/>
      <c r="P79" s="578"/>
      <c r="Q79" s="578"/>
      <c r="R79" s="578"/>
      <c r="S79" s="578"/>
      <c r="T79" s="561"/>
      <c r="U79" s="578"/>
      <c r="V79" s="578"/>
      <c r="W79" s="578"/>
      <c r="X79" s="578"/>
      <c r="Y79" s="578"/>
      <c r="Z79" s="578"/>
      <c r="AA79" s="578"/>
      <c r="AB79" s="578"/>
      <c r="AC79" s="578"/>
      <c r="AD79" s="578"/>
      <c r="AE79" s="578"/>
      <c r="AF79" s="578"/>
      <c r="AG79" s="578"/>
      <c r="AH79" s="548"/>
      <c r="AI79" s="548"/>
      <c r="AJ79" s="548"/>
      <c r="AK79" s="548"/>
      <c r="AL79" s="548"/>
      <c r="AM79" s="548"/>
      <c r="AN79" s="548"/>
      <c r="AO79" s="548"/>
      <c r="AP79" s="548"/>
      <c r="AQ79" s="548"/>
      <c r="AR79" s="548"/>
      <c r="AS79" s="548"/>
      <c r="AT79" s="548"/>
      <c r="AU79" s="548"/>
      <c r="AV79" s="548"/>
      <c r="AW79" s="548"/>
      <c r="AX79" s="548"/>
      <c r="AY79" s="548"/>
      <c r="AZ79" s="548"/>
      <c r="BA79" s="548"/>
      <c r="BB79" s="548"/>
      <c r="BC79" s="548"/>
      <c r="BD79" s="569"/>
      <c r="BE79" s="569"/>
      <c r="BF79" s="569"/>
      <c r="BG79" s="569"/>
      <c r="BH79" s="569"/>
      <c r="BI79" s="569"/>
      <c r="BJ79" s="569"/>
      <c r="BK79" s="569"/>
      <c r="BL79" s="569"/>
      <c r="BM79" s="569"/>
      <c r="BN79" s="569"/>
      <c r="BO79" s="569"/>
      <c r="BP79" s="569"/>
      <c r="BQ79" s="569"/>
      <c r="BR79" s="569"/>
      <c r="BS79" s="569"/>
      <c r="BT79" s="569"/>
      <c r="BU79" s="569"/>
      <c r="BV79" s="569"/>
      <c r="BW79" s="569"/>
      <c r="BX79" s="569"/>
      <c r="BY79" s="569"/>
      <c r="BZ79" s="569"/>
      <c r="CA79" s="569"/>
      <c r="CB79" s="569"/>
      <c r="CC79" s="569"/>
      <c r="CD79" s="569"/>
      <c r="CE79" s="569"/>
      <c r="CF79" s="569"/>
      <c r="CG79" s="569"/>
      <c r="CH79" s="569"/>
      <c r="CI79" s="569"/>
      <c r="CJ79" s="569"/>
      <c r="CK79" s="569"/>
      <c r="CL79" s="569"/>
      <c r="CM79" s="569"/>
      <c r="CN79" s="569"/>
      <c r="CO79" s="569"/>
      <c r="CP79" s="569"/>
      <c r="CQ79" s="569"/>
      <c r="CR79" s="569"/>
      <c r="CS79" s="569"/>
      <c r="CT79" s="569"/>
      <c r="CU79" s="569"/>
      <c r="CV79" s="569"/>
      <c r="CW79" s="569"/>
      <c r="CX79" s="569"/>
      <c r="CY79" s="569"/>
      <c r="CZ79" s="569"/>
      <c r="DA79" s="569"/>
      <c r="DB79" s="569"/>
      <c r="DC79" s="569"/>
      <c r="DD79" s="569"/>
      <c r="DE79" s="569"/>
      <c r="DF79" s="569"/>
      <c r="DG79" s="569"/>
      <c r="DH79" s="569"/>
      <c r="DI79" s="569"/>
      <c r="DJ79" s="569"/>
      <c r="DK79" s="569"/>
      <c r="DL79" s="569"/>
      <c r="DM79" s="569"/>
      <c r="DN79" s="569"/>
      <c r="DO79" s="569"/>
      <c r="DP79" s="569"/>
      <c r="DQ79" s="569"/>
      <c r="DR79" s="569"/>
      <c r="DS79" s="569"/>
      <c r="DT79" s="569"/>
      <c r="DU79" s="569"/>
      <c r="DV79" s="569"/>
      <c r="DW79" s="569"/>
      <c r="DX79" s="569"/>
      <c r="DY79" s="569"/>
      <c r="DZ79" s="569"/>
      <c r="EA79" s="569"/>
      <c r="EB79" s="569"/>
      <c r="EC79" s="569"/>
      <c r="ED79" s="569"/>
      <c r="EE79" s="569"/>
      <c r="EF79" s="569"/>
      <c r="EG79" s="569"/>
      <c r="EH79" s="569"/>
      <c r="EI79" s="569"/>
      <c r="EJ79" s="569"/>
      <c r="EK79" s="569"/>
      <c r="EL79" s="569"/>
      <c r="EM79" s="569"/>
      <c r="EN79" s="569"/>
      <c r="EO79" s="569"/>
      <c r="EP79" s="569"/>
      <c r="EQ79" s="569"/>
      <c r="ER79" s="569"/>
      <c r="ES79" s="569"/>
      <c r="ET79" s="569"/>
      <c r="EU79" s="569"/>
      <c r="EV79" s="569"/>
      <c r="EW79" s="569"/>
      <c r="EX79" s="569"/>
      <c r="EY79" s="569"/>
      <c r="EZ79" s="569"/>
      <c r="FA79" s="569"/>
      <c r="FB79" s="569"/>
      <c r="FC79" s="569"/>
      <c r="FD79" s="569"/>
      <c r="FE79" s="569"/>
      <c r="FF79" s="569"/>
      <c r="FG79" s="569"/>
      <c r="FH79" s="569"/>
      <c r="FI79" s="569"/>
      <c r="FJ79" s="569"/>
      <c r="FK79" s="569"/>
      <c r="FL79" s="569"/>
      <c r="FM79" s="569"/>
      <c r="FN79" s="569"/>
      <c r="FO79" s="569"/>
      <c r="FP79" s="569"/>
      <c r="FQ79" s="569"/>
      <c r="FR79" s="569"/>
      <c r="FS79" s="569"/>
      <c r="FT79" s="569"/>
      <c r="FU79" s="569"/>
      <c r="FV79" s="569"/>
      <c r="FW79" s="569"/>
      <c r="FX79" s="569"/>
      <c r="FY79" s="569"/>
      <c r="FZ79" s="569"/>
      <c r="GA79" s="569"/>
      <c r="GB79" s="569"/>
      <c r="GC79" s="569"/>
      <c r="GD79" s="569"/>
      <c r="GE79" s="569"/>
      <c r="GF79" s="569"/>
      <c r="GG79" s="569"/>
      <c r="GH79" s="569"/>
      <c r="GI79" s="569"/>
      <c r="GJ79" s="569"/>
      <c r="GK79" s="569"/>
      <c r="GL79" s="569"/>
      <c r="GM79" s="569"/>
      <c r="GN79" s="569"/>
      <c r="GO79" s="569"/>
      <c r="GP79" s="569"/>
      <c r="GQ79" s="569"/>
      <c r="GR79" s="569"/>
      <c r="GS79" s="569"/>
      <c r="GT79" s="569"/>
    </row>
    <row r="80" spans="1:255" s="554" customFormat="1" ht="18" customHeight="1">
      <c r="B80" s="578"/>
      <c r="C80" s="578"/>
      <c r="D80" s="578"/>
      <c r="E80" s="578"/>
      <c r="F80" s="578"/>
      <c r="G80" s="578"/>
      <c r="H80" s="578"/>
      <c r="I80" s="578"/>
      <c r="J80" s="578"/>
      <c r="K80" s="578"/>
      <c r="L80" s="578"/>
      <c r="M80" s="578"/>
      <c r="N80" s="578"/>
      <c r="O80" s="578"/>
      <c r="P80" s="578"/>
      <c r="Q80" s="578"/>
      <c r="R80" s="578"/>
      <c r="S80" s="578"/>
      <c r="T80" s="561"/>
      <c r="U80" s="578"/>
      <c r="V80" s="578"/>
      <c r="W80" s="578"/>
      <c r="X80" s="578"/>
      <c r="Y80" s="578"/>
      <c r="Z80" s="578"/>
      <c r="AA80" s="578"/>
      <c r="AB80" s="578"/>
      <c r="AC80" s="578"/>
      <c r="AD80" s="578"/>
      <c r="AE80" s="578"/>
      <c r="AF80" s="578"/>
      <c r="AG80" s="578"/>
      <c r="AH80" s="548"/>
      <c r="AI80" s="548"/>
      <c r="AJ80" s="548"/>
      <c r="AK80" s="548"/>
      <c r="AL80" s="548"/>
      <c r="AM80" s="548"/>
      <c r="AN80" s="548"/>
      <c r="AO80" s="548"/>
      <c r="AP80" s="548"/>
      <c r="AQ80" s="548"/>
      <c r="AR80" s="548"/>
      <c r="AS80" s="548"/>
      <c r="AT80" s="548"/>
      <c r="AU80" s="548"/>
      <c r="AV80" s="548"/>
      <c r="AW80" s="548"/>
      <c r="AX80" s="548"/>
      <c r="AY80" s="548"/>
      <c r="AZ80" s="548"/>
      <c r="BA80" s="548"/>
      <c r="BB80" s="548"/>
      <c r="BC80" s="548"/>
      <c r="BD80" s="569"/>
      <c r="BE80" s="569"/>
      <c r="BF80" s="569"/>
      <c r="BG80" s="569"/>
      <c r="BH80" s="569"/>
      <c r="BI80" s="569"/>
      <c r="BJ80" s="569"/>
      <c r="BK80" s="569"/>
      <c r="BL80" s="569"/>
      <c r="BM80" s="569"/>
      <c r="BN80" s="569"/>
      <c r="BO80" s="569"/>
      <c r="BP80" s="569"/>
      <c r="BQ80" s="569"/>
      <c r="BR80" s="569"/>
      <c r="BS80" s="569"/>
      <c r="BT80" s="569"/>
      <c r="BU80" s="569"/>
      <c r="BV80" s="569"/>
      <c r="BW80" s="569"/>
      <c r="BX80" s="569"/>
      <c r="BY80" s="569"/>
      <c r="BZ80" s="569"/>
      <c r="CA80" s="569"/>
      <c r="CB80" s="569"/>
      <c r="CC80" s="569"/>
      <c r="CD80" s="569"/>
      <c r="CE80" s="569"/>
      <c r="CF80" s="569"/>
      <c r="CG80" s="569"/>
      <c r="CH80" s="569"/>
      <c r="CI80" s="569"/>
      <c r="CJ80" s="569"/>
      <c r="CK80" s="569"/>
      <c r="CL80" s="569"/>
      <c r="CM80" s="569"/>
      <c r="CN80" s="569"/>
      <c r="CO80" s="569"/>
      <c r="CP80" s="569"/>
      <c r="CQ80" s="569"/>
      <c r="CR80" s="569"/>
      <c r="CS80" s="569"/>
      <c r="CT80" s="569"/>
      <c r="CU80" s="569"/>
      <c r="CV80" s="569"/>
      <c r="CW80" s="569"/>
      <c r="CX80" s="569"/>
      <c r="CY80" s="569"/>
      <c r="CZ80" s="569"/>
      <c r="DA80" s="569"/>
      <c r="DB80" s="569"/>
      <c r="DC80" s="569"/>
      <c r="DD80" s="569"/>
      <c r="DE80" s="569"/>
      <c r="DF80" s="569"/>
      <c r="DG80" s="569"/>
      <c r="DH80" s="569"/>
      <c r="DI80" s="569"/>
      <c r="DJ80" s="569"/>
      <c r="DK80" s="569"/>
      <c r="DL80" s="569"/>
      <c r="DM80" s="569"/>
      <c r="DN80" s="569"/>
      <c r="DO80" s="569"/>
      <c r="DP80" s="569"/>
      <c r="DQ80" s="569"/>
      <c r="DR80" s="569"/>
      <c r="DS80" s="569"/>
      <c r="DT80" s="569"/>
      <c r="DU80" s="569"/>
      <c r="DV80" s="569"/>
      <c r="DW80" s="569"/>
      <c r="DX80" s="569"/>
      <c r="DY80" s="569"/>
      <c r="DZ80" s="569"/>
      <c r="EA80" s="569"/>
      <c r="EB80" s="569"/>
      <c r="EC80" s="569"/>
      <c r="ED80" s="569"/>
      <c r="EE80" s="569"/>
      <c r="EF80" s="569"/>
      <c r="EG80" s="569"/>
      <c r="EH80" s="569"/>
      <c r="EI80" s="569"/>
      <c r="EJ80" s="569"/>
      <c r="EK80" s="569"/>
      <c r="EL80" s="569"/>
      <c r="EM80" s="569"/>
      <c r="EN80" s="569"/>
      <c r="EO80" s="569"/>
      <c r="EP80" s="569"/>
      <c r="EQ80" s="569"/>
      <c r="ER80" s="569"/>
      <c r="ES80" s="569"/>
      <c r="ET80" s="569"/>
      <c r="EU80" s="569"/>
      <c r="EV80" s="569"/>
      <c r="EW80" s="569"/>
      <c r="EX80" s="569"/>
      <c r="EY80" s="569"/>
      <c r="EZ80" s="569"/>
      <c r="FA80" s="569"/>
      <c r="FB80" s="569"/>
      <c r="FC80" s="569"/>
      <c r="FD80" s="569"/>
      <c r="FE80" s="569"/>
      <c r="FF80" s="569"/>
      <c r="FG80" s="569"/>
      <c r="FH80" s="569"/>
      <c r="FI80" s="569"/>
      <c r="FJ80" s="569"/>
      <c r="FK80" s="569"/>
      <c r="FL80" s="569"/>
      <c r="FM80" s="569"/>
      <c r="FN80" s="569"/>
      <c r="FO80" s="569"/>
      <c r="FP80" s="569"/>
      <c r="FQ80" s="569"/>
      <c r="FR80" s="569"/>
      <c r="FS80" s="569"/>
      <c r="FT80" s="569"/>
      <c r="FU80" s="569"/>
      <c r="FV80" s="569"/>
      <c r="FW80" s="569"/>
      <c r="FX80" s="569"/>
      <c r="FY80" s="569"/>
      <c r="FZ80" s="569"/>
      <c r="GA80" s="569"/>
      <c r="GB80" s="569"/>
      <c r="GC80" s="569"/>
      <c r="GD80" s="569"/>
      <c r="GE80" s="569"/>
      <c r="GF80" s="569"/>
      <c r="GG80" s="569"/>
      <c r="GH80" s="569"/>
      <c r="GI80" s="569"/>
      <c r="GJ80" s="569"/>
      <c r="GK80" s="569"/>
      <c r="GL80" s="569"/>
      <c r="GM80" s="569"/>
      <c r="GN80" s="569"/>
      <c r="GO80" s="569"/>
      <c r="GP80" s="569"/>
      <c r="GQ80" s="569"/>
      <c r="GR80" s="569"/>
      <c r="GS80" s="569"/>
      <c r="GT80" s="569"/>
    </row>
    <row r="81" spans="2:202" s="554" customFormat="1" ht="18" customHeight="1">
      <c r="B81" s="578"/>
      <c r="C81" s="578"/>
      <c r="D81" s="578"/>
      <c r="E81" s="578"/>
      <c r="F81" s="578"/>
      <c r="G81" s="578"/>
      <c r="H81" s="578"/>
      <c r="I81" s="578"/>
      <c r="J81" s="578"/>
      <c r="K81" s="578"/>
      <c r="L81" s="578"/>
      <c r="M81" s="578"/>
      <c r="N81" s="578"/>
      <c r="O81" s="578"/>
      <c r="P81" s="578"/>
      <c r="Q81" s="578"/>
      <c r="R81" s="578"/>
      <c r="S81" s="578"/>
      <c r="T81" s="561"/>
      <c r="U81" s="578"/>
      <c r="V81" s="578"/>
      <c r="W81" s="578"/>
      <c r="X81" s="578"/>
      <c r="Y81" s="578"/>
      <c r="Z81" s="578"/>
      <c r="AA81" s="578"/>
      <c r="AB81" s="578"/>
      <c r="AC81" s="578"/>
      <c r="AD81" s="578"/>
      <c r="AE81" s="578"/>
      <c r="AF81" s="578"/>
      <c r="AG81" s="578"/>
      <c r="AH81" s="548"/>
      <c r="AI81" s="548"/>
      <c r="AJ81" s="548"/>
      <c r="AK81" s="548"/>
      <c r="AL81" s="548"/>
      <c r="AM81" s="548"/>
      <c r="AN81" s="548"/>
      <c r="AO81" s="548"/>
      <c r="AP81" s="548"/>
      <c r="AQ81" s="548"/>
      <c r="AR81" s="548"/>
      <c r="AS81" s="548"/>
      <c r="AT81" s="548"/>
      <c r="AU81" s="548"/>
      <c r="AV81" s="548"/>
      <c r="AW81" s="548"/>
      <c r="AX81" s="548"/>
      <c r="AY81" s="548"/>
      <c r="AZ81" s="548"/>
      <c r="BA81" s="548"/>
      <c r="BB81" s="548"/>
      <c r="BC81" s="548"/>
      <c r="BD81" s="569"/>
      <c r="BE81" s="569"/>
      <c r="BF81" s="569"/>
      <c r="BG81" s="569"/>
      <c r="BH81" s="569"/>
      <c r="BI81" s="569"/>
      <c r="BJ81" s="569"/>
      <c r="BK81" s="569"/>
      <c r="BL81" s="569"/>
      <c r="BM81" s="569"/>
      <c r="BN81" s="569"/>
      <c r="BO81" s="569"/>
      <c r="BP81" s="569"/>
      <c r="BQ81" s="569"/>
      <c r="BR81" s="569"/>
      <c r="BS81" s="569"/>
      <c r="BT81" s="569"/>
      <c r="BU81" s="569"/>
      <c r="BV81" s="569"/>
      <c r="BW81" s="569"/>
      <c r="BX81" s="569"/>
      <c r="BY81" s="569"/>
      <c r="BZ81" s="569"/>
      <c r="CA81" s="569"/>
      <c r="CB81" s="569"/>
      <c r="CC81" s="569"/>
      <c r="CD81" s="569"/>
      <c r="CE81" s="569"/>
      <c r="CF81" s="569"/>
      <c r="CG81" s="569"/>
      <c r="CH81" s="569"/>
      <c r="CI81" s="569"/>
      <c r="CJ81" s="569"/>
      <c r="CK81" s="569"/>
      <c r="CL81" s="569"/>
      <c r="CM81" s="569"/>
      <c r="CN81" s="569"/>
      <c r="CO81" s="569"/>
      <c r="CP81" s="569"/>
      <c r="CQ81" s="569"/>
      <c r="CR81" s="569"/>
      <c r="CS81" s="569"/>
      <c r="CT81" s="569"/>
      <c r="CU81" s="569"/>
      <c r="CV81" s="569"/>
      <c r="CW81" s="569"/>
      <c r="CX81" s="569"/>
      <c r="CY81" s="569"/>
      <c r="CZ81" s="569"/>
      <c r="DA81" s="569"/>
      <c r="DB81" s="569"/>
      <c r="DC81" s="569"/>
      <c r="DD81" s="569"/>
      <c r="DE81" s="569"/>
      <c r="DF81" s="569"/>
      <c r="DG81" s="569"/>
      <c r="DH81" s="569"/>
      <c r="DI81" s="569"/>
      <c r="DJ81" s="569"/>
      <c r="DK81" s="569"/>
      <c r="DL81" s="569"/>
      <c r="DM81" s="569"/>
      <c r="DN81" s="569"/>
      <c r="DO81" s="569"/>
      <c r="DP81" s="569"/>
      <c r="DQ81" s="569"/>
      <c r="DR81" s="569"/>
      <c r="DS81" s="569"/>
      <c r="DT81" s="569"/>
      <c r="DU81" s="569"/>
      <c r="DV81" s="569"/>
      <c r="DW81" s="569"/>
      <c r="DX81" s="569"/>
      <c r="DY81" s="569"/>
      <c r="DZ81" s="569"/>
      <c r="EA81" s="569"/>
      <c r="EB81" s="569"/>
      <c r="EC81" s="569"/>
      <c r="ED81" s="569"/>
      <c r="EE81" s="569"/>
      <c r="EF81" s="569"/>
      <c r="EG81" s="569"/>
      <c r="EH81" s="569"/>
      <c r="EI81" s="569"/>
      <c r="EJ81" s="569"/>
      <c r="EK81" s="569"/>
      <c r="EL81" s="569"/>
      <c r="EM81" s="569"/>
      <c r="EN81" s="569"/>
      <c r="EO81" s="569"/>
      <c r="EP81" s="569"/>
      <c r="EQ81" s="569"/>
      <c r="ER81" s="569"/>
      <c r="ES81" s="569"/>
      <c r="ET81" s="569"/>
      <c r="EU81" s="569"/>
      <c r="EV81" s="569"/>
      <c r="EW81" s="569"/>
      <c r="EX81" s="569"/>
      <c r="EY81" s="569"/>
      <c r="EZ81" s="569"/>
      <c r="FA81" s="569"/>
      <c r="FB81" s="569"/>
      <c r="FC81" s="569"/>
      <c r="FD81" s="569"/>
      <c r="FE81" s="569"/>
      <c r="FF81" s="569"/>
      <c r="FG81" s="569"/>
      <c r="FH81" s="569"/>
      <c r="FI81" s="569"/>
      <c r="FJ81" s="569"/>
      <c r="FK81" s="569"/>
      <c r="FL81" s="569"/>
      <c r="FM81" s="569"/>
      <c r="FN81" s="569"/>
      <c r="FO81" s="569"/>
      <c r="FP81" s="569"/>
      <c r="FQ81" s="569"/>
      <c r="FR81" s="569"/>
      <c r="FS81" s="569"/>
      <c r="FT81" s="569"/>
      <c r="FU81" s="569"/>
      <c r="FV81" s="569"/>
      <c r="FW81" s="569"/>
      <c r="FX81" s="569"/>
      <c r="FY81" s="569"/>
      <c r="FZ81" s="569"/>
      <c r="GA81" s="569"/>
      <c r="GB81" s="569"/>
      <c r="GC81" s="569"/>
      <c r="GD81" s="569"/>
      <c r="GE81" s="569"/>
      <c r="GF81" s="569"/>
      <c r="GG81" s="569"/>
      <c r="GH81" s="569"/>
      <c r="GI81" s="569"/>
      <c r="GJ81" s="569"/>
      <c r="GK81" s="569"/>
      <c r="GL81" s="569"/>
      <c r="GM81" s="569"/>
      <c r="GN81" s="569"/>
      <c r="GO81" s="569"/>
      <c r="GP81" s="569"/>
      <c r="GQ81" s="569"/>
      <c r="GR81" s="569"/>
      <c r="GS81" s="569"/>
      <c r="GT81" s="569"/>
    </row>
    <row r="82" spans="2:202" s="554" customFormat="1" ht="18" customHeight="1">
      <c r="B82" s="578"/>
      <c r="C82" s="578"/>
      <c r="D82" s="578"/>
      <c r="E82" s="578"/>
      <c r="F82" s="578"/>
      <c r="G82" s="578"/>
      <c r="H82" s="578"/>
      <c r="I82" s="578"/>
      <c r="J82" s="578"/>
      <c r="K82" s="578"/>
      <c r="L82" s="578"/>
      <c r="M82" s="578"/>
      <c r="N82" s="578"/>
      <c r="O82" s="578"/>
      <c r="P82" s="578"/>
      <c r="Q82" s="578"/>
      <c r="R82" s="578"/>
      <c r="S82" s="578"/>
      <c r="T82" s="561"/>
      <c r="U82" s="578"/>
      <c r="V82" s="578"/>
      <c r="W82" s="578"/>
      <c r="X82" s="578"/>
      <c r="Y82" s="578"/>
      <c r="Z82" s="578"/>
      <c r="AA82" s="578"/>
      <c r="AB82" s="578"/>
      <c r="AC82" s="578"/>
      <c r="AD82" s="578"/>
      <c r="AE82" s="578"/>
      <c r="AF82" s="578"/>
      <c r="AG82" s="578"/>
      <c r="AH82" s="548"/>
      <c r="AI82" s="548"/>
      <c r="AJ82" s="548"/>
      <c r="AK82" s="548"/>
      <c r="AL82" s="548"/>
      <c r="AM82" s="548"/>
      <c r="AN82" s="548"/>
      <c r="AO82" s="548"/>
      <c r="AP82" s="548"/>
      <c r="AQ82" s="548"/>
      <c r="AR82" s="548"/>
      <c r="AS82" s="548"/>
      <c r="AT82" s="548"/>
      <c r="AU82" s="548"/>
      <c r="AV82" s="548"/>
      <c r="AW82" s="548"/>
      <c r="AX82" s="548"/>
      <c r="AY82" s="548"/>
      <c r="AZ82" s="548"/>
      <c r="BA82" s="548"/>
      <c r="BB82" s="548"/>
      <c r="BC82" s="548"/>
      <c r="BD82" s="569"/>
      <c r="BE82" s="569"/>
      <c r="BF82" s="569"/>
      <c r="BG82" s="569"/>
      <c r="BH82" s="569"/>
      <c r="BI82" s="569"/>
      <c r="BJ82" s="569"/>
      <c r="BK82" s="569"/>
      <c r="BL82" s="569"/>
      <c r="BM82" s="569"/>
      <c r="BN82" s="569"/>
      <c r="BO82" s="569"/>
      <c r="BP82" s="569"/>
      <c r="BQ82" s="569"/>
      <c r="BR82" s="569"/>
      <c r="BS82" s="569"/>
      <c r="BT82" s="569"/>
      <c r="BU82" s="569"/>
      <c r="BV82" s="569"/>
      <c r="BW82" s="569"/>
      <c r="BX82" s="569"/>
      <c r="BY82" s="569"/>
      <c r="BZ82" s="569"/>
      <c r="CA82" s="569"/>
      <c r="CB82" s="569"/>
      <c r="CC82" s="569"/>
      <c r="CD82" s="569"/>
      <c r="CE82" s="569"/>
      <c r="CF82" s="569"/>
      <c r="CG82" s="569"/>
      <c r="CH82" s="569"/>
      <c r="CI82" s="569"/>
      <c r="CJ82" s="569"/>
      <c r="CK82" s="569"/>
      <c r="CL82" s="569"/>
      <c r="CM82" s="569"/>
      <c r="CN82" s="569"/>
      <c r="CO82" s="569"/>
      <c r="CP82" s="569"/>
      <c r="CQ82" s="569"/>
      <c r="CR82" s="569"/>
      <c r="CS82" s="569"/>
      <c r="CT82" s="569"/>
      <c r="CU82" s="569"/>
      <c r="CV82" s="569"/>
      <c r="CW82" s="569"/>
      <c r="CX82" s="569"/>
      <c r="CY82" s="569"/>
      <c r="CZ82" s="569"/>
      <c r="DA82" s="569"/>
      <c r="DB82" s="569"/>
      <c r="DC82" s="569"/>
      <c r="DD82" s="569"/>
      <c r="DE82" s="569"/>
      <c r="DF82" s="569"/>
      <c r="DG82" s="569"/>
      <c r="DH82" s="569"/>
      <c r="DI82" s="569"/>
      <c r="DJ82" s="569"/>
      <c r="DK82" s="569"/>
      <c r="DL82" s="569"/>
      <c r="DM82" s="569"/>
      <c r="DN82" s="569"/>
      <c r="DO82" s="569"/>
      <c r="DP82" s="569"/>
      <c r="DQ82" s="569"/>
      <c r="DR82" s="569"/>
      <c r="DS82" s="569"/>
      <c r="DT82" s="569"/>
      <c r="DU82" s="569"/>
      <c r="DV82" s="569"/>
      <c r="DW82" s="569"/>
      <c r="DX82" s="569"/>
      <c r="DY82" s="569"/>
      <c r="DZ82" s="569"/>
      <c r="EA82" s="569"/>
      <c r="EB82" s="569"/>
      <c r="EC82" s="569"/>
      <c r="ED82" s="569"/>
      <c r="EE82" s="569"/>
      <c r="EF82" s="569"/>
      <c r="EG82" s="569"/>
      <c r="EH82" s="569"/>
      <c r="EI82" s="569"/>
      <c r="EJ82" s="569"/>
      <c r="EK82" s="569"/>
      <c r="EL82" s="569"/>
      <c r="EM82" s="569"/>
      <c r="EN82" s="569"/>
      <c r="EO82" s="569"/>
      <c r="EP82" s="569"/>
      <c r="EQ82" s="569"/>
      <c r="ER82" s="569"/>
      <c r="ES82" s="569"/>
      <c r="ET82" s="569"/>
      <c r="EU82" s="569"/>
      <c r="EV82" s="569"/>
      <c r="EW82" s="569"/>
      <c r="EX82" s="569"/>
      <c r="EY82" s="569"/>
      <c r="EZ82" s="569"/>
      <c r="FA82" s="569"/>
      <c r="FB82" s="569"/>
      <c r="FC82" s="569"/>
      <c r="FD82" s="569"/>
      <c r="FE82" s="569"/>
      <c r="FF82" s="569"/>
      <c r="FG82" s="569"/>
      <c r="FH82" s="569"/>
      <c r="FI82" s="569"/>
      <c r="FJ82" s="569"/>
      <c r="FK82" s="569"/>
      <c r="FL82" s="569"/>
      <c r="FM82" s="569"/>
      <c r="FN82" s="569"/>
      <c r="FO82" s="569"/>
      <c r="FP82" s="569"/>
      <c r="FQ82" s="569"/>
      <c r="FR82" s="569"/>
      <c r="FS82" s="569"/>
      <c r="FT82" s="569"/>
      <c r="FU82" s="569"/>
      <c r="FV82" s="569"/>
      <c r="FW82" s="569"/>
      <c r="FX82" s="569"/>
      <c r="FY82" s="569"/>
      <c r="FZ82" s="569"/>
      <c r="GA82" s="569"/>
      <c r="GB82" s="569"/>
      <c r="GC82" s="569"/>
      <c r="GD82" s="569"/>
      <c r="GE82" s="569"/>
      <c r="GF82" s="569"/>
      <c r="GG82" s="569"/>
      <c r="GH82" s="569"/>
      <c r="GI82" s="569"/>
      <c r="GJ82" s="569"/>
      <c r="GK82" s="569"/>
      <c r="GL82" s="569"/>
      <c r="GM82" s="569"/>
      <c r="GN82" s="569"/>
      <c r="GO82" s="569"/>
      <c r="GP82" s="569"/>
      <c r="GQ82" s="569"/>
      <c r="GR82" s="569"/>
      <c r="GS82" s="569"/>
      <c r="GT82" s="569"/>
    </row>
    <row r="83" spans="2:202" s="554" customFormat="1" ht="18" customHeight="1">
      <c r="B83" s="578"/>
      <c r="C83" s="578"/>
      <c r="D83" s="578"/>
      <c r="E83" s="578"/>
      <c r="F83" s="578"/>
      <c r="G83" s="578"/>
      <c r="H83" s="578"/>
      <c r="I83" s="578"/>
      <c r="J83" s="578"/>
      <c r="K83" s="578"/>
      <c r="L83" s="578"/>
      <c r="M83" s="578"/>
      <c r="N83" s="578"/>
      <c r="O83" s="578"/>
      <c r="P83" s="578"/>
      <c r="Q83" s="578"/>
      <c r="R83" s="578"/>
      <c r="S83" s="578"/>
      <c r="T83" s="561"/>
      <c r="U83" s="578"/>
      <c r="V83" s="578"/>
      <c r="W83" s="578"/>
      <c r="X83" s="578"/>
      <c r="Y83" s="578"/>
      <c r="Z83" s="578"/>
      <c r="AA83" s="578"/>
      <c r="AB83" s="578"/>
      <c r="AC83" s="578"/>
      <c r="AD83" s="578"/>
      <c r="AE83" s="578"/>
      <c r="AF83" s="578"/>
      <c r="AG83" s="578"/>
      <c r="AH83" s="548"/>
      <c r="AI83" s="548"/>
      <c r="AJ83" s="548"/>
      <c r="AK83" s="548"/>
      <c r="AL83" s="548"/>
      <c r="AM83" s="548"/>
      <c r="AN83" s="548"/>
      <c r="AO83" s="548"/>
      <c r="AP83" s="548"/>
      <c r="AQ83" s="548"/>
      <c r="AR83" s="548"/>
      <c r="AS83" s="548"/>
      <c r="AT83" s="548"/>
      <c r="AU83" s="548"/>
      <c r="AV83" s="548"/>
      <c r="AW83" s="548"/>
      <c r="AX83" s="548"/>
      <c r="AY83" s="548"/>
      <c r="AZ83" s="548"/>
      <c r="BA83" s="548"/>
      <c r="BB83" s="548"/>
      <c r="BC83" s="548"/>
      <c r="BD83" s="569"/>
      <c r="BE83" s="569"/>
      <c r="BF83" s="569"/>
      <c r="BG83" s="569"/>
      <c r="BH83" s="569"/>
      <c r="BI83" s="569"/>
      <c r="BJ83" s="569"/>
      <c r="BK83" s="569"/>
      <c r="BL83" s="569"/>
      <c r="BM83" s="569"/>
      <c r="BN83" s="569"/>
      <c r="BO83" s="569"/>
      <c r="BP83" s="569"/>
      <c r="BQ83" s="569"/>
      <c r="BR83" s="569"/>
      <c r="BS83" s="569"/>
      <c r="BT83" s="569"/>
      <c r="BU83" s="569"/>
      <c r="BV83" s="569"/>
      <c r="BW83" s="569"/>
      <c r="BX83" s="569"/>
      <c r="BY83" s="569"/>
      <c r="BZ83" s="569"/>
      <c r="CA83" s="569"/>
      <c r="CB83" s="569"/>
      <c r="CC83" s="569"/>
      <c r="CD83" s="569"/>
      <c r="CE83" s="569"/>
      <c r="CF83" s="569"/>
      <c r="CG83" s="569"/>
      <c r="CH83" s="569"/>
      <c r="CI83" s="569"/>
      <c r="CJ83" s="569"/>
      <c r="CK83" s="569"/>
      <c r="CL83" s="569"/>
      <c r="CM83" s="569"/>
      <c r="CN83" s="569"/>
      <c r="CO83" s="569"/>
      <c r="CP83" s="569"/>
      <c r="CQ83" s="569"/>
      <c r="CR83" s="569"/>
      <c r="CS83" s="569"/>
      <c r="CT83" s="569"/>
      <c r="CU83" s="569"/>
      <c r="CV83" s="569"/>
      <c r="CW83" s="569"/>
      <c r="CX83" s="569"/>
      <c r="CY83" s="569"/>
      <c r="CZ83" s="569"/>
      <c r="DA83" s="569"/>
      <c r="DB83" s="569"/>
      <c r="DC83" s="569"/>
      <c r="DD83" s="569"/>
      <c r="DE83" s="569"/>
      <c r="DF83" s="569"/>
      <c r="DG83" s="569"/>
      <c r="DH83" s="569"/>
      <c r="DI83" s="569"/>
      <c r="DJ83" s="569"/>
      <c r="DK83" s="569"/>
      <c r="DL83" s="569"/>
      <c r="DM83" s="569"/>
      <c r="DN83" s="569"/>
      <c r="DO83" s="569"/>
      <c r="DP83" s="569"/>
      <c r="DQ83" s="569"/>
      <c r="DR83" s="569"/>
      <c r="DS83" s="569"/>
      <c r="DT83" s="569"/>
      <c r="DU83" s="569"/>
      <c r="DV83" s="569"/>
      <c r="DW83" s="569"/>
      <c r="DX83" s="569"/>
      <c r="DY83" s="569"/>
      <c r="DZ83" s="569"/>
      <c r="EA83" s="569"/>
      <c r="EB83" s="569"/>
      <c r="EC83" s="569"/>
      <c r="ED83" s="569"/>
      <c r="EE83" s="569"/>
      <c r="EF83" s="569"/>
      <c r="EG83" s="569"/>
      <c r="EH83" s="569"/>
      <c r="EI83" s="569"/>
      <c r="EJ83" s="569"/>
      <c r="EK83" s="569"/>
      <c r="EL83" s="569"/>
      <c r="EM83" s="569"/>
      <c r="EN83" s="569"/>
      <c r="EO83" s="569"/>
      <c r="EP83" s="569"/>
      <c r="EQ83" s="569"/>
      <c r="ER83" s="569"/>
      <c r="ES83" s="569"/>
      <c r="ET83" s="569"/>
      <c r="EU83" s="569"/>
      <c r="EV83" s="569"/>
      <c r="EW83" s="569"/>
      <c r="EX83" s="569"/>
      <c r="EY83" s="569"/>
      <c r="EZ83" s="569"/>
      <c r="FA83" s="569"/>
      <c r="FB83" s="569"/>
      <c r="FC83" s="569"/>
      <c r="FD83" s="569"/>
      <c r="FE83" s="569"/>
      <c r="FF83" s="569"/>
      <c r="FG83" s="569"/>
      <c r="FH83" s="569"/>
      <c r="FI83" s="569"/>
      <c r="FJ83" s="569"/>
      <c r="FK83" s="569"/>
      <c r="FL83" s="569"/>
      <c r="FM83" s="569"/>
      <c r="FN83" s="569"/>
      <c r="FO83" s="569"/>
      <c r="FP83" s="569"/>
      <c r="FQ83" s="569"/>
      <c r="FR83" s="569"/>
      <c r="FS83" s="569"/>
      <c r="FT83" s="569"/>
      <c r="FU83" s="569"/>
      <c r="FV83" s="569"/>
      <c r="FW83" s="569"/>
      <c r="FX83" s="569"/>
      <c r="FY83" s="569"/>
      <c r="FZ83" s="569"/>
      <c r="GA83" s="569"/>
      <c r="GB83" s="569"/>
      <c r="GC83" s="569"/>
      <c r="GD83" s="569"/>
      <c r="GE83" s="569"/>
      <c r="GF83" s="569"/>
      <c r="GG83" s="569"/>
      <c r="GH83" s="569"/>
      <c r="GI83" s="569"/>
      <c r="GJ83" s="569"/>
      <c r="GK83" s="569"/>
      <c r="GL83" s="569"/>
      <c r="GM83" s="569"/>
      <c r="GN83" s="569"/>
      <c r="GO83" s="569"/>
      <c r="GP83" s="569"/>
      <c r="GQ83" s="569"/>
      <c r="GR83" s="569"/>
      <c r="GS83" s="569"/>
      <c r="GT83" s="569"/>
    </row>
    <row r="84" spans="2:202" s="554" customFormat="1" ht="18" customHeight="1">
      <c r="B84" s="578"/>
      <c r="C84" s="578"/>
      <c r="D84" s="578"/>
      <c r="E84" s="578"/>
      <c r="F84" s="578"/>
      <c r="G84" s="578"/>
      <c r="H84" s="578"/>
      <c r="I84" s="578"/>
      <c r="J84" s="578"/>
      <c r="K84" s="578"/>
      <c r="L84" s="578"/>
      <c r="M84" s="578"/>
      <c r="N84" s="578"/>
      <c r="O84" s="578"/>
      <c r="P84" s="578"/>
      <c r="Q84" s="578"/>
      <c r="R84" s="578"/>
      <c r="S84" s="578"/>
      <c r="T84" s="561"/>
      <c r="U84" s="578"/>
      <c r="V84" s="578"/>
      <c r="W84" s="578"/>
      <c r="X84" s="578"/>
      <c r="Y84" s="578"/>
      <c r="Z84" s="578"/>
      <c r="AA84" s="578"/>
      <c r="AB84" s="578"/>
      <c r="AC84" s="578"/>
      <c r="AD84" s="578"/>
      <c r="AE84" s="578"/>
      <c r="AF84" s="578"/>
      <c r="AG84" s="578"/>
      <c r="AH84" s="548"/>
      <c r="AI84" s="548"/>
      <c r="AJ84" s="548"/>
      <c r="AK84" s="548"/>
      <c r="AL84" s="548"/>
      <c r="AM84" s="548"/>
      <c r="AN84" s="548"/>
      <c r="AO84" s="548"/>
      <c r="AP84" s="548"/>
      <c r="AQ84" s="548"/>
      <c r="AR84" s="548"/>
      <c r="AS84" s="548"/>
      <c r="AT84" s="548"/>
      <c r="AU84" s="548"/>
      <c r="AV84" s="548"/>
      <c r="AW84" s="548"/>
      <c r="AX84" s="548"/>
      <c r="AY84" s="548"/>
      <c r="AZ84" s="548"/>
      <c r="BA84" s="548"/>
      <c r="BB84" s="548"/>
      <c r="BC84" s="548"/>
      <c r="BD84" s="569"/>
      <c r="BE84" s="569"/>
      <c r="BF84" s="569"/>
      <c r="BG84" s="569"/>
      <c r="BH84" s="569"/>
      <c r="BI84" s="569"/>
      <c r="BJ84" s="569"/>
      <c r="BK84" s="569"/>
      <c r="BL84" s="569"/>
      <c r="BM84" s="569"/>
      <c r="BN84" s="569"/>
      <c r="BO84" s="569"/>
      <c r="BP84" s="569"/>
      <c r="BQ84" s="569"/>
      <c r="BR84" s="569"/>
      <c r="BS84" s="569"/>
      <c r="BT84" s="569"/>
      <c r="BU84" s="569"/>
      <c r="BV84" s="569"/>
      <c r="BW84" s="569"/>
      <c r="BX84" s="569"/>
      <c r="BY84" s="569"/>
      <c r="BZ84" s="569"/>
      <c r="CA84" s="569"/>
      <c r="CB84" s="569"/>
      <c r="CC84" s="569"/>
      <c r="CD84" s="569"/>
      <c r="CE84" s="569"/>
      <c r="CF84" s="569"/>
      <c r="CG84" s="569"/>
      <c r="CH84" s="569"/>
      <c r="CI84" s="569"/>
      <c r="CJ84" s="569"/>
      <c r="CK84" s="569"/>
      <c r="CL84" s="569"/>
      <c r="CM84" s="569"/>
      <c r="CN84" s="569"/>
      <c r="CO84" s="569"/>
      <c r="CP84" s="569"/>
      <c r="CQ84" s="569"/>
      <c r="CR84" s="569"/>
      <c r="CS84" s="569"/>
      <c r="CT84" s="569"/>
      <c r="CU84" s="569"/>
      <c r="CV84" s="569"/>
      <c r="CW84" s="569"/>
      <c r="CX84" s="569"/>
      <c r="CY84" s="569"/>
      <c r="CZ84" s="569"/>
      <c r="DA84" s="569"/>
      <c r="DB84" s="569"/>
      <c r="DC84" s="569"/>
      <c r="DD84" s="569"/>
      <c r="DE84" s="569"/>
      <c r="DF84" s="569"/>
      <c r="DG84" s="569"/>
      <c r="DH84" s="569"/>
      <c r="DI84" s="569"/>
      <c r="DJ84" s="569"/>
      <c r="DK84" s="569"/>
      <c r="DL84" s="569"/>
      <c r="DM84" s="569"/>
      <c r="DN84" s="569"/>
      <c r="DO84" s="569"/>
      <c r="DP84" s="569"/>
      <c r="DQ84" s="569"/>
      <c r="DR84" s="569"/>
      <c r="DS84" s="569"/>
      <c r="DT84" s="569"/>
      <c r="DU84" s="569"/>
      <c r="DV84" s="569"/>
      <c r="DW84" s="569"/>
      <c r="DX84" s="569"/>
      <c r="DY84" s="569"/>
      <c r="DZ84" s="569"/>
      <c r="EA84" s="569"/>
      <c r="EB84" s="569"/>
      <c r="EC84" s="569"/>
      <c r="ED84" s="569"/>
      <c r="EE84" s="569"/>
      <c r="EF84" s="569"/>
      <c r="EG84" s="569"/>
      <c r="EH84" s="569"/>
      <c r="EI84" s="569"/>
      <c r="EJ84" s="569"/>
      <c r="EK84" s="569"/>
      <c r="EL84" s="569"/>
      <c r="EM84" s="569"/>
      <c r="EN84" s="569"/>
      <c r="EO84" s="569"/>
      <c r="EP84" s="569"/>
      <c r="EQ84" s="569"/>
      <c r="ER84" s="569"/>
      <c r="ES84" s="569"/>
      <c r="ET84" s="569"/>
      <c r="EU84" s="569"/>
      <c r="EV84" s="569"/>
      <c r="EW84" s="569"/>
      <c r="EX84" s="569"/>
      <c r="EY84" s="569"/>
      <c r="EZ84" s="569"/>
      <c r="FA84" s="569"/>
      <c r="FB84" s="569"/>
      <c r="FC84" s="569"/>
      <c r="FD84" s="569"/>
      <c r="FE84" s="569"/>
      <c r="FF84" s="569"/>
      <c r="FG84" s="569"/>
      <c r="FH84" s="569"/>
      <c r="FI84" s="569"/>
      <c r="FJ84" s="569"/>
      <c r="FK84" s="569"/>
      <c r="FL84" s="569"/>
      <c r="FM84" s="569"/>
      <c r="FN84" s="569"/>
      <c r="FO84" s="569"/>
      <c r="FP84" s="569"/>
      <c r="FQ84" s="569"/>
      <c r="FR84" s="569"/>
      <c r="FS84" s="569"/>
      <c r="FT84" s="569"/>
      <c r="FU84" s="569"/>
      <c r="FV84" s="569"/>
      <c r="FW84" s="569"/>
      <c r="FX84" s="569"/>
      <c r="FY84" s="569"/>
      <c r="FZ84" s="569"/>
      <c r="GA84" s="569"/>
      <c r="GB84" s="569"/>
      <c r="GC84" s="569"/>
      <c r="GD84" s="569"/>
      <c r="GE84" s="569"/>
      <c r="GF84" s="569"/>
      <c r="GG84" s="569"/>
      <c r="GH84" s="569"/>
      <c r="GI84" s="569"/>
      <c r="GJ84" s="569"/>
      <c r="GK84" s="569"/>
      <c r="GL84" s="569"/>
      <c r="GM84" s="569"/>
      <c r="GN84" s="569"/>
      <c r="GO84" s="569"/>
      <c r="GP84" s="569"/>
      <c r="GQ84" s="569"/>
      <c r="GR84" s="569"/>
      <c r="GS84" s="569"/>
      <c r="GT84" s="569"/>
    </row>
    <row r="85" spans="2:202" s="554" customFormat="1" ht="18" customHeight="1">
      <c r="B85" s="578"/>
      <c r="C85" s="578"/>
      <c r="D85" s="578"/>
      <c r="E85" s="578"/>
      <c r="F85" s="578"/>
      <c r="G85" s="578"/>
      <c r="H85" s="578"/>
      <c r="I85" s="578"/>
      <c r="J85" s="578"/>
      <c r="K85" s="578"/>
      <c r="L85" s="578"/>
      <c r="M85" s="578"/>
      <c r="N85" s="578"/>
      <c r="O85" s="578"/>
      <c r="P85" s="578"/>
      <c r="Q85" s="578"/>
      <c r="R85" s="578"/>
      <c r="S85" s="578"/>
      <c r="T85" s="561"/>
      <c r="U85" s="578"/>
      <c r="V85" s="578"/>
      <c r="W85" s="578"/>
      <c r="X85" s="578"/>
      <c r="Y85" s="578"/>
      <c r="Z85" s="578"/>
      <c r="AA85" s="578"/>
      <c r="AB85" s="578"/>
      <c r="AC85" s="578"/>
      <c r="AD85" s="578"/>
      <c r="AE85" s="578"/>
      <c r="AF85" s="578"/>
      <c r="AG85" s="578"/>
      <c r="AH85" s="548"/>
      <c r="AI85" s="548"/>
      <c r="AJ85" s="548"/>
      <c r="AK85" s="548"/>
      <c r="AL85" s="548"/>
      <c r="AM85" s="548"/>
      <c r="AN85" s="548"/>
      <c r="AO85" s="548"/>
      <c r="AP85" s="548"/>
      <c r="AQ85" s="548"/>
      <c r="AR85" s="548"/>
      <c r="AS85" s="548"/>
      <c r="AT85" s="548"/>
      <c r="AU85" s="548"/>
      <c r="AV85" s="548"/>
      <c r="AW85" s="548"/>
      <c r="AX85" s="548"/>
      <c r="AY85" s="548"/>
      <c r="AZ85" s="548"/>
      <c r="BA85" s="548"/>
      <c r="BB85" s="548"/>
      <c r="BC85" s="548"/>
      <c r="BD85" s="569"/>
      <c r="BE85" s="569"/>
      <c r="BF85" s="569"/>
      <c r="BG85" s="569"/>
      <c r="BH85" s="569"/>
      <c r="BI85" s="569"/>
      <c r="BJ85" s="569"/>
      <c r="BK85" s="569"/>
      <c r="BL85" s="569"/>
      <c r="BM85" s="569"/>
      <c r="BN85" s="569"/>
      <c r="BO85" s="569"/>
      <c r="BP85" s="569"/>
      <c r="BQ85" s="569"/>
      <c r="BR85" s="569"/>
      <c r="BS85" s="569"/>
      <c r="BT85" s="569"/>
      <c r="BU85" s="569"/>
      <c r="BV85" s="569"/>
      <c r="BW85" s="569"/>
      <c r="BX85" s="569"/>
      <c r="BY85" s="569"/>
      <c r="BZ85" s="569"/>
      <c r="CA85" s="569"/>
      <c r="CB85" s="569"/>
      <c r="CC85" s="569"/>
      <c r="CD85" s="569"/>
      <c r="CE85" s="569"/>
      <c r="CF85" s="569"/>
      <c r="CG85" s="569"/>
      <c r="CH85" s="569"/>
      <c r="CI85" s="569"/>
      <c r="CJ85" s="569"/>
      <c r="CK85" s="569"/>
      <c r="CL85" s="569"/>
      <c r="CM85" s="569"/>
      <c r="CN85" s="569"/>
      <c r="CO85" s="569"/>
      <c r="CP85" s="569"/>
      <c r="CQ85" s="569"/>
      <c r="CR85" s="569"/>
      <c r="CS85" s="569"/>
      <c r="CT85" s="569"/>
      <c r="CU85" s="569"/>
      <c r="CV85" s="569"/>
      <c r="CW85" s="569"/>
      <c r="CX85" s="569"/>
      <c r="CY85" s="569"/>
      <c r="CZ85" s="569"/>
      <c r="DA85" s="569"/>
      <c r="DB85" s="569"/>
      <c r="DC85" s="569"/>
      <c r="DD85" s="569"/>
      <c r="DE85" s="569"/>
      <c r="DF85" s="569"/>
      <c r="DG85" s="569"/>
      <c r="DH85" s="569"/>
      <c r="DI85" s="569"/>
      <c r="DJ85" s="569"/>
      <c r="DK85" s="569"/>
      <c r="DL85" s="569"/>
      <c r="DM85" s="569"/>
      <c r="DN85" s="569"/>
      <c r="DO85" s="569"/>
      <c r="DP85" s="569"/>
      <c r="DQ85" s="569"/>
      <c r="DR85" s="569"/>
      <c r="DS85" s="569"/>
      <c r="DT85" s="569"/>
      <c r="DU85" s="569"/>
      <c r="DV85" s="569"/>
      <c r="DW85" s="569"/>
      <c r="DX85" s="569"/>
      <c r="DY85" s="569"/>
      <c r="DZ85" s="569"/>
      <c r="EA85" s="569"/>
      <c r="EB85" s="569"/>
      <c r="EC85" s="569"/>
      <c r="ED85" s="569"/>
      <c r="EE85" s="569"/>
      <c r="EF85" s="569"/>
      <c r="EG85" s="569"/>
      <c r="EH85" s="569"/>
      <c r="EI85" s="569"/>
      <c r="EJ85" s="569"/>
      <c r="EK85" s="569"/>
      <c r="EL85" s="569"/>
      <c r="EM85" s="569"/>
      <c r="EN85" s="569"/>
      <c r="EO85" s="569"/>
      <c r="EP85" s="569"/>
      <c r="EQ85" s="569"/>
      <c r="ER85" s="569"/>
      <c r="ES85" s="569"/>
      <c r="ET85" s="569"/>
      <c r="EU85" s="569"/>
      <c r="EV85" s="569"/>
      <c r="EW85" s="569"/>
      <c r="EX85" s="569"/>
      <c r="EY85" s="569"/>
      <c r="EZ85" s="569"/>
      <c r="FA85" s="569"/>
      <c r="FB85" s="569"/>
      <c r="FC85" s="569"/>
      <c r="FD85" s="569"/>
      <c r="FE85" s="569"/>
      <c r="FF85" s="569"/>
      <c r="FG85" s="569"/>
      <c r="FH85" s="569"/>
      <c r="FI85" s="569"/>
      <c r="FJ85" s="569"/>
      <c r="FK85" s="569"/>
      <c r="FL85" s="569"/>
      <c r="FM85" s="569"/>
      <c r="FN85" s="569"/>
      <c r="FO85" s="569"/>
      <c r="FP85" s="569"/>
      <c r="FQ85" s="569"/>
      <c r="FR85" s="569"/>
      <c r="FS85" s="569"/>
      <c r="FT85" s="569"/>
      <c r="FU85" s="569"/>
      <c r="FV85" s="569"/>
      <c r="FW85" s="569"/>
      <c r="FX85" s="569"/>
      <c r="FY85" s="569"/>
      <c r="FZ85" s="569"/>
      <c r="GA85" s="569"/>
      <c r="GB85" s="569"/>
      <c r="GC85" s="569"/>
      <c r="GD85" s="569"/>
      <c r="GE85" s="569"/>
      <c r="GF85" s="569"/>
      <c r="GG85" s="569"/>
      <c r="GH85" s="569"/>
      <c r="GI85" s="569"/>
      <c r="GJ85" s="569"/>
      <c r="GK85" s="569"/>
      <c r="GL85" s="569"/>
      <c r="GM85" s="569"/>
      <c r="GN85" s="569"/>
      <c r="GO85" s="569"/>
      <c r="GP85" s="569"/>
      <c r="GQ85" s="569"/>
      <c r="GR85" s="569"/>
      <c r="GS85" s="569"/>
      <c r="GT85" s="569"/>
    </row>
    <row r="86" spans="2:202" s="554" customFormat="1" ht="18" customHeight="1">
      <c r="B86" s="578"/>
      <c r="C86" s="578"/>
      <c r="D86" s="578"/>
      <c r="E86" s="578"/>
      <c r="F86" s="578"/>
      <c r="G86" s="578"/>
      <c r="H86" s="578"/>
      <c r="I86" s="578"/>
      <c r="J86" s="578"/>
      <c r="K86" s="578"/>
      <c r="L86" s="578"/>
      <c r="M86" s="578"/>
      <c r="N86" s="578"/>
      <c r="O86" s="578"/>
      <c r="P86" s="578"/>
      <c r="Q86" s="578"/>
      <c r="R86" s="578"/>
      <c r="S86" s="578"/>
      <c r="T86" s="561"/>
      <c r="U86" s="578"/>
      <c r="V86" s="578"/>
      <c r="W86" s="578"/>
      <c r="X86" s="578"/>
      <c r="Y86" s="578"/>
      <c r="Z86" s="578"/>
      <c r="AA86" s="578"/>
      <c r="AB86" s="578"/>
      <c r="AC86" s="578"/>
      <c r="AD86" s="578"/>
      <c r="AE86" s="578"/>
      <c r="AF86" s="578"/>
      <c r="AG86" s="578"/>
      <c r="AH86" s="548"/>
      <c r="AI86" s="548"/>
      <c r="AJ86" s="548"/>
      <c r="AK86" s="548"/>
      <c r="AL86" s="548"/>
      <c r="AM86" s="548"/>
      <c r="AN86" s="548"/>
      <c r="AO86" s="548"/>
      <c r="AP86" s="548"/>
      <c r="AQ86" s="548"/>
      <c r="AR86" s="548"/>
      <c r="AS86" s="548"/>
      <c r="AT86" s="548"/>
      <c r="AU86" s="548"/>
      <c r="AV86" s="548"/>
      <c r="AW86" s="548"/>
      <c r="AX86" s="548"/>
      <c r="AY86" s="548"/>
      <c r="AZ86" s="548"/>
      <c r="BA86" s="548"/>
      <c r="BB86" s="548"/>
      <c r="BC86" s="548"/>
      <c r="BD86" s="569"/>
      <c r="BE86" s="569"/>
      <c r="BF86" s="569"/>
      <c r="BG86" s="569"/>
      <c r="BH86" s="569"/>
      <c r="BI86" s="569"/>
      <c r="BJ86" s="569"/>
      <c r="BK86" s="569"/>
      <c r="BL86" s="569"/>
      <c r="BM86" s="569"/>
      <c r="BN86" s="569"/>
      <c r="BO86" s="569"/>
      <c r="BP86" s="569"/>
      <c r="BQ86" s="569"/>
      <c r="BR86" s="569"/>
      <c r="BS86" s="569"/>
      <c r="BT86" s="569"/>
      <c r="BU86" s="569"/>
      <c r="BV86" s="569"/>
      <c r="BW86" s="569"/>
      <c r="BX86" s="569"/>
      <c r="BY86" s="569"/>
      <c r="BZ86" s="569"/>
      <c r="CA86" s="569"/>
      <c r="CB86" s="569"/>
      <c r="CC86" s="569"/>
      <c r="CD86" s="569"/>
      <c r="CE86" s="569"/>
      <c r="CF86" s="569"/>
      <c r="CG86" s="569"/>
      <c r="CH86" s="569"/>
      <c r="CI86" s="569"/>
      <c r="CJ86" s="569"/>
      <c r="CK86" s="569"/>
      <c r="CL86" s="569"/>
      <c r="CM86" s="569"/>
      <c r="CN86" s="569"/>
      <c r="CO86" s="569"/>
      <c r="CP86" s="569"/>
      <c r="CQ86" s="569"/>
      <c r="CR86" s="569"/>
      <c r="CS86" s="569"/>
      <c r="CT86" s="569"/>
      <c r="CU86" s="569"/>
      <c r="CV86" s="569"/>
      <c r="CW86" s="569"/>
      <c r="CX86" s="569"/>
      <c r="CY86" s="569"/>
      <c r="CZ86" s="569"/>
      <c r="DA86" s="569"/>
      <c r="DB86" s="569"/>
      <c r="DC86" s="569"/>
      <c r="DD86" s="569"/>
      <c r="DE86" s="569"/>
      <c r="DF86" s="569"/>
      <c r="DG86" s="569"/>
      <c r="DH86" s="569"/>
      <c r="DI86" s="569"/>
      <c r="DJ86" s="569"/>
      <c r="DK86" s="569"/>
      <c r="DL86" s="569"/>
      <c r="DM86" s="569"/>
      <c r="DN86" s="569"/>
      <c r="DO86" s="569"/>
      <c r="DP86" s="569"/>
      <c r="DQ86" s="569"/>
      <c r="DR86" s="569"/>
      <c r="DS86" s="569"/>
      <c r="DT86" s="569"/>
      <c r="DU86" s="569"/>
      <c r="DV86" s="569"/>
      <c r="DW86" s="569"/>
      <c r="DX86" s="569"/>
      <c r="DY86" s="569"/>
      <c r="DZ86" s="569"/>
      <c r="EA86" s="569"/>
      <c r="EB86" s="569"/>
      <c r="EC86" s="569"/>
      <c r="ED86" s="569"/>
      <c r="EE86" s="569"/>
      <c r="EF86" s="569"/>
      <c r="EG86" s="569"/>
      <c r="EH86" s="569"/>
      <c r="EI86" s="569"/>
      <c r="EJ86" s="569"/>
      <c r="EK86" s="569"/>
      <c r="EL86" s="569"/>
      <c r="EM86" s="569"/>
      <c r="EN86" s="569"/>
      <c r="EO86" s="569"/>
      <c r="EP86" s="569"/>
      <c r="EQ86" s="569"/>
      <c r="ER86" s="569"/>
      <c r="ES86" s="569"/>
      <c r="ET86" s="569"/>
      <c r="EU86" s="569"/>
      <c r="EV86" s="569"/>
      <c r="EW86" s="569"/>
      <c r="EX86" s="569"/>
      <c r="EY86" s="569"/>
      <c r="EZ86" s="569"/>
      <c r="FA86" s="569"/>
      <c r="FB86" s="569"/>
      <c r="FC86" s="569"/>
      <c r="FD86" s="569"/>
      <c r="FE86" s="569"/>
      <c r="FF86" s="569"/>
      <c r="FG86" s="569"/>
      <c r="FH86" s="569"/>
      <c r="FI86" s="569"/>
      <c r="FJ86" s="569"/>
      <c r="FK86" s="569"/>
      <c r="FL86" s="569"/>
      <c r="FM86" s="569"/>
      <c r="FN86" s="569"/>
      <c r="FO86" s="569"/>
      <c r="FP86" s="569"/>
      <c r="FQ86" s="569"/>
      <c r="FR86" s="569"/>
      <c r="FS86" s="569"/>
      <c r="FT86" s="569"/>
      <c r="FU86" s="569"/>
      <c r="FV86" s="569"/>
      <c r="FW86" s="569"/>
      <c r="FX86" s="569"/>
      <c r="FY86" s="569"/>
      <c r="FZ86" s="569"/>
      <c r="GA86" s="569"/>
      <c r="GB86" s="569"/>
      <c r="GC86" s="569"/>
      <c r="GD86" s="569"/>
      <c r="GE86" s="569"/>
      <c r="GF86" s="569"/>
      <c r="GG86" s="569"/>
      <c r="GH86" s="569"/>
      <c r="GI86" s="569"/>
      <c r="GJ86" s="569"/>
      <c r="GK86" s="569"/>
      <c r="GL86" s="569"/>
      <c r="GM86" s="569"/>
      <c r="GN86" s="569"/>
      <c r="GO86" s="569"/>
      <c r="GP86" s="569"/>
      <c r="GQ86" s="569"/>
      <c r="GR86" s="569"/>
      <c r="GS86" s="569"/>
      <c r="GT86" s="569"/>
    </row>
    <row r="87" spans="2:202" s="554" customFormat="1" ht="18" customHeight="1">
      <c r="B87" s="578"/>
      <c r="C87" s="578"/>
      <c r="D87" s="578"/>
      <c r="E87" s="578"/>
      <c r="F87" s="578"/>
      <c r="G87" s="578"/>
      <c r="H87" s="578"/>
      <c r="I87" s="578"/>
      <c r="J87" s="578"/>
      <c r="K87" s="578"/>
      <c r="L87" s="578"/>
      <c r="M87" s="578"/>
      <c r="N87" s="578"/>
      <c r="O87" s="578"/>
      <c r="P87" s="578"/>
      <c r="Q87" s="578"/>
      <c r="R87" s="578"/>
      <c r="S87" s="578"/>
      <c r="T87" s="578"/>
      <c r="U87" s="578"/>
      <c r="V87" s="578"/>
      <c r="W87" s="578"/>
      <c r="X87" s="578"/>
      <c r="Y87" s="578"/>
      <c r="Z87" s="578"/>
      <c r="AA87" s="578"/>
      <c r="AB87" s="578"/>
      <c r="AC87" s="578"/>
      <c r="AD87" s="578"/>
      <c r="AE87" s="578"/>
      <c r="AF87" s="578"/>
      <c r="AG87" s="578"/>
      <c r="AH87" s="548"/>
      <c r="AI87" s="548"/>
      <c r="AJ87" s="548"/>
      <c r="AK87" s="548"/>
      <c r="AL87" s="548"/>
      <c r="AM87" s="548"/>
      <c r="AN87" s="548"/>
      <c r="AO87" s="548"/>
      <c r="AP87" s="548"/>
      <c r="AQ87" s="548"/>
      <c r="AR87" s="548"/>
      <c r="AS87" s="548"/>
      <c r="AT87" s="548"/>
      <c r="AU87" s="548"/>
      <c r="AV87" s="548"/>
      <c r="AW87" s="548"/>
      <c r="AX87" s="548"/>
      <c r="AY87" s="548"/>
      <c r="AZ87" s="548"/>
      <c r="BA87" s="548"/>
      <c r="BB87" s="548"/>
      <c r="BC87" s="548"/>
      <c r="BD87" s="569"/>
      <c r="BE87" s="569"/>
      <c r="BF87" s="569"/>
      <c r="BG87" s="569"/>
      <c r="BH87" s="569"/>
      <c r="BI87" s="569"/>
      <c r="BJ87" s="569"/>
      <c r="BK87" s="569"/>
      <c r="BL87" s="569"/>
      <c r="BM87" s="569"/>
      <c r="BN87" s="569"/>
      <c r="BO87" s="569"/>
      <c r="BP87" s="569"/>
      <c r="BQ87" s="569"/>
      <c r="BR87" s="569"/>
      <c r="BS87" s="569"/>
      <c r="BT87" s="569"/>
      <c r="BU87" s="569"/>
      <c r="BV87" s="569"/>
      <c r="BW87" s="569"/>
      <c r="BX87" s="569"/>
      <c r="BY87" s="569"/>
      <c r="BZ87" s="569"/>
      <c r="CA87" s="569"/>
      <c r="CB87" s="569"/>
      <c r="CC87" s="569"/>
      <c r="CD87" s="569"/>
      <c r="CE87" s="569"/>
      <c r="CF87" s="569"/>
      <c r="CG87" s="569"/>
      <c r="CH87" s="569"/>
      <c r="CI87" s="569"/>
      <c r="CJ87" s="569"/>
      <c r="CK87" s="569"/>
      <c r="CL87" s="569"/>
      <c r="CM87" s="569"/>
      <c r="CN87" s="569"/>
      <c r="CO87" s="569"/>
      <c r="CP87" s="569"/>
      <c r="CQ87" s="569"/>
      <c r="CR87" s="569"/>
      <c r="CS87" s="569"/>
      <c r="CT87" s="569"/>
      <c r="CU87" s="569"/>
      <c r="CV87" s="569"/>
      <c r="CW87" s="569"/>
      <c r="CX87" s="569"/>
      <c r="CY87" s="569"/>
      <c r="CZ87" s="569"/>
      <c r="DA87" s="569"/>
      <c r="DB87" s="569"/>
      <c r="DC87" s="569"/>
      <c r="DD87" s="569"/>
      <c r="DE87" s="569"/>
      <c r="DF87" s="569"/>
      <c r="DG87" s="569"/>
      <c r="DH87" s="569"/>
      <c r="DI87" s="569"/>
      <c r="DJ87" s="569"/>
      <c r="DK87" s="569"/>
      <c r="DL87" s="569"/>
      <c r="DM87" s="569"/>
      <c r="DN87" s="569"/>
      <c r="DO87" s="569"/>
      <c r="DP87" s="569"/>
      <c r="DQ87" s="569"/>
      <c r="DR87" s="569"/>
      <c r="DS87" s="569"/>
      <c r="DT87" s="569"/>
      <c r="DU87" s="569"/>
      <c r="DV87" s="569"/>
      <c r="DW87" s="569"/>
      <c r="DX87" s="569"/>
      <c r="DY87" s="569"/>
      <c r="DZ87" s="569"/>
      <c r="EA87" s="569"/>
      <c r="EB87" s="569"/>
      <c r="EC87" s="569"/>
      <c r="ED87" s="569"/>
      <c r="EE87" s="569"/>
      <c r="EF87" s="569"/>
      <c r="EG87" s="569"/>
      <c r="EH87" s="569"/>
      <c r="EI87" s="569"/>
      <c r="EJ87" s="569"/>
      <c r="EK87" s="569"/>
      <c r="EL87" s="569"/>
      <c r="EM87" s="569"/>
      <c r="EN87" s="569"/>
      <c r="EO87" s="569"/>
      <c r="EP87" s="569"/>
      <c r="EQ87" s="569"/>
      <c r="ER87" s="569"/>
      <c r="ES87" s="569"/>
      <c r="ET87" s="569"/>
      <c r="EU87" s="569"/>
      <c r="EV87" s="569"/>
      <c r="EW87" s="569"/>
      <c r="EX87" s="569"/>
      <c r="EY87" s="569"/>
      <c r="EZ87" s="569"/>
      <c r="FA87" s="569"/>
      <c r="FB87" s="569"/>
      <c r="FC87" s="569"/>
      <c r="FD87" s="569"/>
      <c r="FE87" s="569"/>
      <c r="FF87" s="569"/>
      <c r="FG87" s="569"/>
      <c r="FH87" s="569"/>
      <c r="FI87" s="569"/>
      <c r="FJ87" s="569"/>
      <c r="FK87" s="569"/>
      <c r="FL87" s="569"/>
      <c r="FM87" s="569"/>
      <c r="FN87" s="569"/>
      <c r="FO87" s="569"/>
      <c r="FP87" s="569"/>
      <c r="FQ87" s="569"/>
      <c r="FR87" s="569"/>
      <c r="FS87" s="569"/>
      <c r="FT87" s="569"/>
      <c r="FU87" s="569"/>
      <c r="FV87" s="569"/>
      <c r="FW87" s="569"/>
      <c r="FX87" s="569"/>
      <c r="FY87" s="569"/>
      <c r="FZ87" s="569"/>
      <c r="GA87" s="569"/>
      <c r="GB87" s="569"/>
      <c r="GC87" s="569"/>
      <c r="GD87" s="569"/>
      <c r="GE87" s="569"/>
      <c r="GF87" s="569"/>
      <c r="GG87" s="569"/>
      <c r="GH87" s="569"/>
      <c r="GI87" s="569"/>
      <c r="GJ87" s="569"/>
      <c r="GK87" s="569"/>
      <c r="GL87" s="569"/>
      <c r="GM87" s="569"/>
      <c r="GN87" s="569"/>
      <c r="GO87" s="569"/>
      <c r="GP87" s="569"/>
      <c r="GQ87" s="569"/>
      <c r="GR87" s="569"/>
      <c r="GS87" s="569"/>
      <c r="GT87" s="569"/>
    </row>
    <row r="88" spans="2:202" s="554" customFormat="1">
      <c r="B88" s="578"/>
      <c r="C88" s="578"/>
      <c r="D88" s="578"/>
      <c r="E88" s="578"/>
      <c r="F88" s="578"/>
      <c r="G88" s="578"/>
      <c r="H88" s="578"/>
      <c r="I88" s="578"/>
      <c r="J88" s="578"/>
      <c r="K88" s="578"/>
      <c r="L88" s="578"/>
      <c r="M88" s="578"/>
      <c r="N88" s="578"/>
      <c r="O88" s="578"/>
      <c r="P88" s="578"/>
      <c r="Q88" s="578"/>
      <c r="R88" s="578"/>
      <c r="S88" s="578"/>
      <c r="T88" s="578"/>
      <c r="U88" s="578"/>
      <c r="V88" s="578"/>
      <c r="W88" s="578"/>
      <c r="X88" s="578"/>
      <c r="Y88" s="578"/>
      <c r="Z88" s="578"/>
      <c r="AA88" s="578"/>
      <c r="AB88" s="578"/>
      <c r="AC88" s="578"/>
      <c r="AD88" s="578"/>
      <c r="AE88" s="578"/>
      <c r="AF88" s="578"/>
      <c r="AG88" s="578"/>
      <c r="AH88" s="548"/>
      <c r="AI88" s="548"/>
      <c r="AJ88" s="548"/>
      <c r="AK88" s="548"/>
      <c r="AL88" s="548"/>
      <c r="AM88" s="548"/>
      <c r="AN88" s="548"/>
      <c r="AO88" s="548"/>
      <c r="AP88" s="548"/>
      <c r="AQ88" s="548"/>
      <c r="AR88" s="548"/>
      <c r="AS88" s="548"/>
      <c r="AT88" s="548"/>
      <c r="AU88" s="548"/>
      <c r="AV88" s="548"/>
      <c r="AW88" s="548"/>
      <c r="AX88" s="548"/>
      <c r="AY88" s="548"/>
      <c r="AZ88" s="548"/>
      <c r="BA88" s="548"/>
      <c r="BB88" s="548"/>
      <c r="BC88" s="548"/>
      <c r="BD88" s="569"/>
      <c r="BE88" s="569"/>
      <c r="BF88" s="569"/>
      <c r="BG88" s="569"/>
      <c r="BH88" s="569"/>
      <c r="BI88" s="569"/>
      <c r="BJ88" s="569"/>
      <c r="BK88" s="569"/>
      <c r="BL88" s="569"/>
      <c r="BM88" s="569"/>
      <c r="BN88" s="569"/>
      <c r="BO88" s="569"/>
      <c r="BP88" s="569"/>
      <c r="BQ88" s="569"/>
      <c r="BR88" s="569"/>
      <c r="BS88" s="569"/>
      <c r="BT88" s="569"/>
      <c r="BU88" s="569"/>
      <c r="BV88" s="569"/>
      <c r="BW88" s="569"/>
      <c r="BX88" s="569"/>
      <c r="BY88" s="569"/>
      <c r="BZ88" s="569"/>
      <c r="CA88" s="569"/>
      <c r="CB88" s="569"/>
      <c r="CC88" s="569"/>
      <c r="CD88" s="569"/>
      <c r="CE88" s="569"/>
      <c r="CF88" s="569"/>
      <c r="CG88" s="569"/>
      <c r="CH88" s="569"/>
      <c r="CI88" s="569"/>
      <c r="CJ88" s="569"/>
      <c r="CK88" s="569"/>
      <c r="CL88" s="569"/>
      <c r="CM88" s="569"/>
      <c r="CN88" s="569"/>
      <c r="CO88" s="569"/>
      <c r="CP88" s="569"/>
      <c r="CQ88" s="569"/>
      <c r="CR88" s="569"/>
      <c r="CS88" s="569"/>
      <c r="CT88" s="569"/>
      <c r="CU88" s="569"/>
      <c r="CV88" s="569"/>
      <c r="CW88" s="569"/>
      <c r="CX88" s="569"/>
      <c r="CY88" s="569"/>
      <c r="CZ88" s="569"/>
      <c r="DA88" s="569"/>
      <c r="DB88" s="569"/>
      <c r="DC88" s="569"/>
      <c r="DD88" s="569"/>
      <c r="DE88" s="569"/>
      <c r="DF88" s="569"/>
      <c r="DG88" s="569"/>
      <c r="DH88" s="569"/>
      <c r="DI88" s="569"/>
      <c r="DJ88" s="569"/>
      <c r="DK88" s="569"/>
      <c r="DL88" s="569"/>
      <c r="DM88" s="569"/>
      <c r="DN88" s="569"/>
      <c r="DO88" s="569"/>
      <c r="DP88" s="569"/>
      <c r="DQ88" s="569"/>
      <c r="DR88" s="569"/>
      <c r="DS88" s="569"/>
      <c r="DT88" s="569"/>
      <c r="DU88" s="569"/>
      <c r="DV88" s="569"/>
      <c r="DW88" s="569"/>
      <c r="DX88" s="569"/>
      <c r="DY88" s="569"/>
      <c r="DZ88" s="569"/>
      <c r="EA88" s="569"/>
      <c r="EB88" s="569"/>
      <c r="EC88" s="569"/>
      <c r="ED88" s="569"/>
      <c r="EE88" s="569"/>
      <c r="EF88" s="569"/>
      <c r="EG88" s="569"/>
      <c r="EH88" s="569"/>
      <c r="EI88" s="569"/>
      <c r="EJ88" s="569"/>
      <c r="EK88" s="569"/>
      <c r="EL88" s="569"/>
      <c r="EM88" s="569"/>
      <c r="EN88" s="569"/>
      <c r="EO88" s="569"/>
      <c r="EP88" s="569"/>
      <c r="EQ88" s="569"/>
      <c r="ER88" s="569"/>
      <c r="ES88" s="569"/>
      <c r="ET88" s="569"/>
      <c r="EU88" s="569"/>
      <c r="EV88" s="569"/>
      <c r="EW88" s="569"/>
      <c r="EX88" s="569"/>
      <c r="EY88" s="569"/>
      <c r="EZ88" s="569"/>
      <c r="FA88" s="569"/>
      <c r="FB88" s="569"/>
      <c r="FC88" s="569"/>
      <c r="FD88" s="569"/>
      <c r="FE88" s="569"/>
      <c r="FF88" s="569"/>
      <c r="FG88" s="569"/>
      <c r="FH88" s="569"/>
      <c r="FI88" s="569"/>
      <c r="FJ88" s="569"/>
      <c r="FK88" s="569"/>
      <c r="FL88" s="569"/>
      <c r="FM88" s="569"/>
      <c r="FN88" s="569"/>
      <c r="FO88" s="569"/>
      <c r="FP88" s="569"/>
      <c r="FQ88" s="569"/>
      <c r="FR88" s="569"/>
      <c r="FS88" s="569"/>
      <c r="FT88" s="569"/>
      <c r="FU88" s="569"/>
      <c r="FV88" s="569"/>
      <c r="FW88" s="569"/>
      <c r="FX88" s="569"/>
      <c r="FY88" s="569"/>
      <c r="FZ88" s="569"/>
      <c r="GA88" s="569"/>
      <c r="GB88" s="569"/>
      <c r="GC88" s="569"/>
      <c r="GD88" s="569"/>
      <c r="GE88" s="569"/>
      <c r="GF88" s="569"/>
      <c r="GG88" s="569"/>
      <c r="GH88" s="569"/>
      <c r="GI88" s="569"/>
      <c r="GJ88" s="569"/>
      <c r="GK88" s="569"/>
      <c r="GL88" s="569"/>
      <c r="GM88" s="569"/>
      <c r="GN88" s="569"/>
      <c r="GO88" s="569"/>
      <c r="GP88" s="569"/>
      <c r="GQ88" s="569"/>
      <c r="GR88" s="569"/>
      <c r="GS88" s="569"/>
      <c r="GT88" s="569"/>
    </row>
    <row r="89" spans="2:202" s="554" customFormat="1">
      <c r="B89" s="578"/>
      <c r="C89" s="578"/>
      <c r="D89" s="578"/>
      <c r="E89" s="578"/>
      <c r="F89" s="578"/>
      <c r="G89" s="578"/>
      <c r="H89" s="578"/>
      <c r="I89" s="578"/>
      <c r="J89" s="578"/>
      <c r="K89" s="578"/>
      <c r="L89" s="578"/>
      <c r="M89" s="578"/>
      <c r="N89" s="578"/>
      <c r="O89" s="578"/>
      <c r="P89" s="578"/>
      <c r="Q89" s="578"/>
      <c r="R89" s="578"/>
      <c r="S89" s="578"/>
      <c r="T89" s="578"/>
      <c r="U89" s="578"/>
      <c r="V89" s="578"/>
      <c r="W89" s="578"/>
      <c r="X89" s="578"/>
      <c r="Y89" s="578"/>
      <c r="Z89" s="578"/>
      <c r="AA89" s="578"/>
      <c r="AB89" s="578"/>
      <c r="AC89" s="578"/>
      <c r="AD89" s="578"/>
      <c r="AE89" s="578"/>
      <c r="AF89" s="578"/>
      <c r="AG89" s="578"/>
      <c r="AH89" s="548"/>
      <c r="AI89" s="548"/>
      <c r="AJ89" s="548"/>
      <c r="AK89" s="548"/>
      <c r="AL89" s="548"/>
      <c r="AM89" s="548"/>
      <c r="AN89" s="548"/>
      <c r="AO89" s="548"/>
      <c r="AP89" s="548"/>
      <c r="AQ89" s="548"/>
      <c r="AR89" s="548"/>
      <c r="AS89" s="548"/>
      <c r="AT89" s="548"/>
      <c r="AU89" s="548"/>
      <c r="AV89" s="548"/>
      <c r="AW89" s="548"/>
      <c r="AX89" s="548"/>
      <c r="AY89" s="548"/>
      <c r="AZ89" s="548"/>
      <c r="BA89" s="548"/>
      <c r="BB89" s="548"/>
      <c r="BC89" s="548"/>
      <c r="BD89" s="569"/>
      <c r="BE89" s="569"/>
      <c r="BF89" s="569"/>
      <c r="BG89" s="569"/>
      <c r="BH89" s="569"/>
      <c r="BI89" s="569"/>
      <c r="BJ89" s="569"/>
      <c r="BK89" s="569"/>
      <c r="BL89" s="569"/>
      <c r="BM89" s="569"/>
      <c r="BN89" s="569"/>
      <c r="BO89" s="569"/>
      <c r="BP89" s="569"/>
      <c r="BQ89" s="569"/>
      <c r="BR89" s="569"/>
      <c r="BS89" s="569"/>
      <c r="BT89" s="569"/>
      <c r="BU89" s="569"/>
      <c r="BV89" s="569"/>
      <c r="BW89" s="569"/>
      <c r="BX89" s="569"/>
      <c r="BY89" s="569"/>
      <c r="BZ89" s="569"/>
      <c r="CA89" s="569"/>
      <c r="CB89" s="569"/>
      <c r="CC89" s="569"/>
      <c r="CD89" s="569"/>
      <c r="CE89" s="569"/>
      <c r="CF89" s="569"/>
      <c r="CG89" s="569"/>
      <c r="CH89" s="569"/>
      <c r="CI89" s="569"/>
      <c r="CJ89" s="569"/>
      <c r="CK89" s="569"/>
      <c r="CL89" s="569"/>
      <c r="CM89" s="569"/>
      <c r="CN89" s="569"/>
      <c r="CO89" s="569"/>
      <c r="CP89" s="569"/>
      <c r="CQ89" s="569"/>
      <c r="CR89" s="569"/>
      <c r="CS89" s="569"/>
      <c r="CT89" s="569"/>
      <c r="CU89" s="569"/>
      <c r="CV89" s="569"/>
      <c r="CW89" s="569"/>
      <c r="CX89" s="569"/>
      <c r="CY89" s="569"/>
      <c r="CZ89" s="569"/>
      <c r="DA89" s="569"/>
      <c r="DB89" s="569"/>
      <c r="DC89" s="569"/>
      <c r="DD89" s="569"/>
      <c r="DE89" s="569"/>
      <c r="DF89" s="569"/>
      <c r="DG89" s="569"/>
      <c r="DH89" s="569"/>
      <c r="DI89" s="569"/>
      <c r="DJ89" s="569"/>
      <c r="DK89" s="569"/>
      <c r="DL89" s="569"/>
      <c r="DM89" s="569"/>
      <c r="DN89" s="569"/>
      <c r="DO89" s="569"/>
      <c r="DP89" s="569"/>
      <c r="DQ89" s="569"/>
      <c r="DR89" s="569"/>
      <c r="DS89" s="569"/>
      <c r="DT89" s="569"/>
      <c r="DU89" s="569"/>
      <c r="DV89" s="569"/>
      <c r="DW89" s="569"/>
      <c r="DX89" s="569"/>
      <c r="DY89" s="569"/>
      <c r="DZ89" s="569"/>
      <c r="EA89" s="569"/>
      <c r="EB89" s="569"/>
      <c r="EC89" s="569"/>
      <c r="ED89" s="569"/>
      <c r="EE89" s="569"/>
      <c r="EF89" s="569"/>
      <c r="EG89" s="569"/>
      <c r="EH89" s="569"/>
      <c r="EI89" s="569"/>
      <c r="EJ89" s="569"/>
      <c r="EK89" s="569"/>
      <c r="EL89" s="569"/>
      <c r="EM89" s="569"/>
      <c r="EN89" s="569"/>
      <c r="EO89" s="569"/>
      <c r="EP89" s="569"/>
      <c r="EQ89" s="569"/>
      <c r="ER89" s="569"/>
      <c r="ES89" s="569"/>
      <c r="ET89" s="569"/>
      <c r="EU89" s="569"/>
      <c r="EV89" s="569"/>
      <c r="EW89" s="569"/>
      <c r="EX89" s="569"/>
      <c r="EY89" s="569"/>
      <c r="EZ89" s="569"/>
      <c r="FA89" s="569"/>
      <c r="FB89" s="569"/>
      <c r="FC89" s="569"/>
      <c r="FD89" s="569"/>
      <c r="FE89" s="569"/>
      <c r="FF89" s="569"/>
      <c r="FG89" s="569"/>
      <c r="FH89" s="569"/>
      <c r="FI89" s="569"/>
      <c r="FJ89" s="569"/>
      <c r="FK89" s="569"/>
      <c r="FL89" s="569"/>
      <c r="FM89" s="569"/>
      <c r="FN89" s="569"/>
      <c r="FO89" s="569"/>
      <c r="FP89" s="569"/>
      <c r="FQ89" s="569"/>
      <c r="FR89" s="569"/>
      <c r="FS89" s="569"/>
      <c r="FT89" s="569"/>
      <c r="FU89" s="569"/>
      <c r="FV89" s="569"/>
      <c r="FW89" s="569"/>
      <c r="FX89" s="569"/>
      <c r="FY89" s="569"/>
      <c r="FZ89" s="569"/>
      <c r="GA89" s="569"/>
      <c r="GB89" s="569"/>
      <c r="GC89" s="569"/>
      <c r="GD89" s="569"/>
      <c r="GE89" s="569"/>
      <c r="GF89" s="569"/>
      <c r="GG89" s="569"/>
      <c r="GH89" s="569"/>
      <c r="GI89" s="569"/>
      <c r="GJ89" s="569"/>
      <c r="GK89" s="569"/>
      <c r="GL89" s="569"/>
      <c r="GM89" s="569"/>
      <c r="GN89" s="569"/>
      <c r="GO89" s="569"/>
      <c r="GP89" s="569"/>
      <c r="GQ89" s="569"/>
      <c r="GR89" s="569"/>
      <c r="GS89" s="569"/>
      <c r="GT89" s="569"/>
    </row>
    <row r="90" spans="2:202" s="554" customFormat="1">
      <c r="B90" s="578"/>
      <c r="C90" s="578"/>
      <c r="D90" s="578"/>
      <c r="E90" s="578"/>
      <c r="F90" s="578"/>
      <c r="G90" s="578"/>
      <c r="H90" s="578"/>
      <c r="I90" s="578"/>
      <c r="J90" s="578"/>
      <c r="K90" s="578"/>
      <c r="L90" s="578"/>
      <c r="M90" s="578"/>
      <c r="N90" s="578"/>
      <c r="O90" s="578"/>
      <c r="P90" s="578"/>
      <c r="Q90" s="578"/>
      <c r="R90" s="578"/>
      <c r="S90" s="578"/>
      <c r="T90" s="578"/>
      <c r="U90" s="578"/>
      <c r="V90" s="578"/>
      <c r="W90" s="578"/>
      <c r="X90" s="578"/>
      <c r="Y90" s="578"/>
      <c r="Z90" s="578"/>
      <c r="AA90" s="578"/>
      <c r="AB90" s="578"/>
      <c r="AC90" s="578"/>
      <c r="AD90" s="578"/>
      <c r="AE90" s="578"/>
      <c r="AF90" s="578"/>
      <c r="AG90" s="578"/>
      <c r="AH90" s="548"/>
      <c r="AI90" s="548"/>
      <c r="AJ90" s="548"/>
      <c r="AK90" s="548"/>
      <c r="AL90" s="548"/>
      <c r="AM90" s="548"/>
      <c r="AN90" s="548"/>
      <c r="AO90" s="548"/>
      <c r="AP90" s="548"/>
      <c r="AQ90" s="548"/>
      <c r="AR90" s="548"/>
      <c r="AS90" s="548"/>
      <c r="AT90" s="548"/>
      <c r="AU90" s="548"/>
      <c r="AV90" s="548"/>
      <c r="AW90" s="548"/>
      <c r="AX90" s="548"/>
      <c r="AY90" s="548"/>
      <c r="AZ90" s="548"/>
      <c r="BA90" s="548"/>
      <c r="BB90" s="548"/>
      <c r="BC90" s="548"/>
      <c r="BD90" s="569"/>
      <c r="BE90" s="569"/>
      <c r="BF90" s="569"/>
      <c r="BG90" s="569"/>
      <c r="BH90" s="569"/>
      <c r="BI90" s="569"/>
      <c r="BJ90" s="569"/>
      <c r="BK90" s="569"/>
      <c r="BL90" s="569"/>
      <c r="BM90" s="569"/>
      <c r="BN90" s="569"/>
      <c r="BO90" s="569"/>
      <c r="BP90" s="569"/>
      <c r="BQ90" s="569"/>
      <c r="BR90" s="569"/>
      <c r="BS90" s="569"/>
      <c r="BT90" s="569"/>
      <c r="BU90" s="569"/>
      <c r="BV90" s="569"/>
      <c r="BW90" s="569"/>
      <c r="BX90" s="569"/>
      <c r="BY90" s="569"/>
      <c r="BZ90" s="569"/>
      <c r="CA90" s="569"/>
      <c r="CB90" s="569"/>
      <c r="CC90" s="569"/>
      <c r="CD90" s="569"/>
      <c r="CE90" s="569"/>
      <c r="CF90" s="569"/>
      <c r="CG90" s="569"/>
      <c r="CH90" s="569"/>
      <c r="CI90" s="569"/>
      <c r="CJ90" s="569"/>
      <c r="CK90" s="569"/>
      <c r="CL90" s="569"/>
      <c r="CM90" s="569"/>
      <c r="CN90" s="569"/>
      <c r="CO90" s="569"/>
      <c r="CP90" s="569"/>
      <c r="CQ90" s="569"/>
      <c r="CR90" s="569"/>
      <c r="CS90" s="569"/>
      <c r="CT90" s="569"/>
      <c r="CU90" s="569"/>
      <c r="CV90" s="569"/>
      <c r="CW90" s="569"/>
      <c r="CX90" s="569"/>
      <c r="CY90" s="569"/>
      <c r="CZ90" s="569"/>
      <c r="DA90" s="569"/>
      <c r="DB90" s="569"/>
      <c r="DC90" s="569"/>
      <c r="DD90" s="569"/>
      <c r="DE90" s="569"/>
      <c r="DF90" s="569"/>
      <c r="DG90" s="569"/>
      <c r="DH90" s="569"/>
      <c r="DI90" s="569"/>
      <c r="DJ90" s="569"/>
      <c r="DK90" s="569"/>
      <c r="DL90" s="569"/>
      <c r="DM90" s="569"/>
      <c r="DN90" s="569"/>
      <c r="DO90" s="569"/>
      <c r="DP90" s="569"/>
      <c r="DQ90" s="569"/>
      <c r="DR90" s="569"/>
      <c r="DS90" s="569"/>
      <c r="DT90" s="569"/>
      <c r="DU90" s="569"/>
      <c r="DV90" s="569"/>
      <c r="DW90" s="569"/>
      <c r="DX90" s="569"/>
      <c r="DY90" s="569"/>
      <c r="DZ90" s="569"/>
      <c r="EA90" s="569"/>
      <c r="EB90" s="569"/>
      <c r="EC90" s="569"/>
      <c r="ED90" s="569"/>
      <c r="EE90" s="569"/>
      <c r="EF90" s="569"/>
      <c r="EG90" s="569"/>
      <c r="EH90" s="569"/>
      <c r="EI90" s="569"/>
      <c r="EJ90" s="569"/>
      <c r="EK90" s="569"/>
      <c r="EL90" s="569"/>
      <c r="EM90" s="569"/>
      <c r="EN90" s="569"/>
      <c r="EO90" s="569"/>
      <c r="EP90" s="569"/>
      <c r="EQ90" s="569"/>
      <c r="ER90" s="569"/>
      <c r="ES90" s="569"/>
      <c r="ET90" s="569"/>
      <c r="EU90" s="569"/>
      <c r="EV90" s="569"/>
      <c r="EW90" s="569"/>
      <c r="EX90" s="569"/>
      <c r="EY90" s="569"/>
      <c r="EZ90" s="569"/>
      <c r="FA90" s="569"/>
      <c r="FB90" s="569"/>
      <c r="FC90" s="569"/>
      <c r="FD90" s="569"/>
      <c r="FE90" s="569"/>
      <c r="FF90" s="569"/>
      <c r="FG90" s="569"/>
      <c r="FH90" s="569"/>
      <c r="FI90" s="569"/>
      <c r="FJ90" s="569"/>
      <c r="FK90" s="569"/>
      <c r="FL90" s="569"/>
      <c r="FM90" s="569"/>
      <c r="FN90" s="569"/>
      <c r="FO90" s="569"/>
      <c r="FP90" s="569"/>
      <c r="FQ90" s="569"/>
      <c r="FR90" s="569"/>
      <c r="FS90" s="569"/>
      <c r="FT90" s="569"/>
      <c r="FU90" s="569"/>
      <c r="FV90" s="569"/>
      <c r="FW90" s="569"/>
      <c r="FX90" s="569"/>
      <c r="FY90" s="569"/>
      <c r="FZ90" s="569"/>
      <c r="GA90" s="569"/>
      <c r="GB90" s="569"/>
      <c r="GC90" s="569"/>
      <c r="GD90" s="569"/>
      <c r="GE90" s="569"/>
      <c r="GF90" s="569"/>
      <c r="GG90" s="569"/>
      <c r="GH90" s="569"/>
      <c r="GI90" s="569"/>
      <c r="GJ90" s="569"/>
      <c r="GK90" s="569"/>
      <c r="GL90" s="569"/>
      <c r="GM90" s="569"/>
      <c r="GN90" s="569"/>
      <c r="GO90" s="569"/>
      <c r="GP90" s="569"/>
      <c r="GQ90" s="569"/>
      <c r="GR90" s="569"/>
      <c r="GS90" s="569"/>
      <c r="GT90" s="569"/>
    </row>
    <row r="91" spans="2:202" s="554" customFormat="1">
      <c r="B91" s="578"/>
      <c r="C91" s="578"/>
      <c r="D91" s="578"/>
      <c r="E91" s="578"/>
      <c r="F91" s="578"/>
      <c r="G91" s="578"/>
      <c r="H91" s="578"/>
      <c r="I91" s="578"/>
      <c r="J91" s="578"/>
      <c r="K91" s="578"/>
      <c r="L91" s="578"/>
      <c r="M91" s="578"/>
      <c r="N91" s="578"/>
      <c r="O91" s="578"/>
      <c r="P91" s="578"/>
      <c r="Q91" s="578"/>
      <c r="R91" s="578"/>
      <c r="S91" s="578"/>
      <c r="T91" s="578"/>
      <c r="U91" s="578"/>
      <c r="V91" s="578"/>
      <c r="W91" s="578"/>
      <c r="X91" s="578"/>
      <c r="Y91" s="578"/>
      <c r="Z91" s="578"/>
      <c r="AA91" s="578"/>
      <c r="AB91" s="578"/>
      <c r="AC91" s="578"/>
      <c r="AD91" s="578"/>
      <c r="AE91" s="578"/>
      <c r="AF91" s="578"/>
      <c r="AG91" s="578"/>
      <c r="AH91" s="548"/>
      <c r="AI91" s="548"/>
      <c r="AJ91" s="548"/>
      <c r="AK91" s="548"/>
      <c r="AL91" s="548"/>
      <c r="AM91" s="548"/>
      <c r="AN91" s="548"/>
      <c r="AO91" s="548"/>
      <c r="AP91" s="548"/>
      <c r="AQ91" s="548"/>
      <c r="AR91" s="548"/>
      <c r="AS91" s="548"/>
      <c r="AT91" s="548"/>
      <c r="AU91" s="548"/>
      <c r="AV91" s="548"/>
      <c r="AW91" s="548"/>
      <c r="AX91" s="548"/>
      <c r="AY91" s="548"/>
      <c r="AZ91" s="548"/>
      <c r="BA91" s="548"/>
      <c r="BB91" s="548"/>
      <c r="BC91" s="548"/>
      <c r="BD91" s="569"/>
      <c r="BE91" s="569"/>
      <c r="BF91" s="569"/>
      <c r="BG91" s="569"/>
      <c r="BH91" s="569"/>
      <c r="BI91" s="569"/>
      <c r="BJ91" s="569"/>
      <c r="BK91" s="569"/>
      <c r="BL91" s="569"/>
      <c r="BM91" s="569"/>
      <c r="BN91" s="569"/>
      <c r="BO91" s="569"/>
      <c r="BP91" s="569"/>
      <c r="BQ91" s="569"/>
      <c r="BR91" s="569"/>
      <c r="BS91" s="569"/>
      <c r="BT91" s="569"/>
      <c r="BU91" s="569"/>
      <c r="BV91" s="569"/>
      <c r="BW91" s="569"/>
      <c r="BX91" s="569"/>
      <c r="BY91" s="569"/>
      <c r="BZ91" s="569"/>
      <c r="CA91" s="569"/>
      <c r="CB91" s="569"/>
      <c r="CC91" s="569"/>
      <c r="CD91" s="569"/>
      <c r="CE91" s="569"/>
      <c r="CF91" s="569"/>
      <c r="CG91" s="569"/>
      <c r="CH91" s="569"/>
      <c r="CI91" s="569"/>
      <c r="CJ91" s="569"/>
      <c r="CK91" s="569"/>
      <c r="CL91" s="569"/>
      <c r="CM91" s="569"/>
      <c r="CN91" s="569"/>
      <c r="CO91" s="569"/>
      <c r="CP91" s="569"/>
      <c r="CQ91" s="569"/>
      <c r="CR91" s="569"/>
      <c r="CS91" s="569"/>
      <c r="CT91" s="569"/>
      <c r="CU91" s="569"/>
      <c r="CV91" s="569"/>
      <c r="CW91" s="569"/>
      <c r="CX91" s="569"/>
      <c r="CY91" s="569"/>
      <c r="CZ91" s="569"/>
      <c r="DA91" s="569"/>
      <c r="DB91" s="569"/>
      <c r="DC91" s="569"/>
      <c r="DD91" s="569"/>
      <c r="DE91" s="569"/>
      <c r="DF91" s="569"/>
      <c r="DG91" s="569"/>
      <c r="DH91" s="569"/>
      <c r="DI91" s="569"/>
      <c r="DJ91" s="569"/>
      <c r="DK91" s="569"/>
      <c r="DL91" s="569"/>
      <c r="DM91" s="569"/>
      <c r="DN91" s="569"/>
      <c r="DO91" s="569"/>
      <c r="DP91" s="569"/>
      <c r="DQ91" s="569"/>
      <c r="DR91" s="569"/>
      <c r="DS91" s="569"/>
      <c r="DT91" s="569"/>
      <c r="DU91" s="569"/>
      <c r="DV91" s="569"/>
      <c r="DW91" s="569"/>
      <c r="DX91" s="569"/>
      <c r="DY91" s="569"/>
      <c r="DZ91" s="569"/>
      <c r="EA91" s="569"/>
      <c r="EB91" s="569"/>
      <c r="EC91" s="569"/>
      <c r="ED91" s="569"/>
      <c r="EE91" s="569"/>
      <c r="EF91" s="569"/>
      <c r="EG91" s="569"/>
      <c r="EH91" s="569"/>
      <c r="EI91" s="569"/>
      <c r="EJ91" s="569"/>
      <c r="EK91" s="569"/>
      <c r="EL91" s="569"/>
      <c r="EM91" s="569"/>
      <c r="EN91" s="569"/>
      <c r="EO91" s="569"/>
      <c r="EP91" s="569"/>
      <c r="EQ91" s="569"/>
      <c r="ER91" s="569"/>
      <c r="ES91" s="569"/>
      <c r="ET91" s="569"/>
      <c r="EU91" s="569"/>
      <c r="EV91" s="569"/>
      <c r="EW91" s="569"/>
      <c r="EX91" s="569"/>
      <c r="EY91" s="569"/>
      <c r="EZ91" s="569"/>
      <c r="FA91" s="569"/>
      <c r="FB91" s="569"/>
      <c r="FC91" s="569"/>
      <c r="FD91" s="569"/>
      <c r="FE91" s="569"/>
      <c r="FF91" s="569"/>
      <c r="FG91" s="569"/>
      <c r="FH91" s="569"/>
      <c r="FI91" s="569"/>
      <c r="FJ91" s="569"/>
      <c r="FK91" s="569"/>
      <c r="FL91" s="569"/>
      <c r="FM91" s="569"/>
      <c r="FN91" s="569"/>
      <c r="FO91" s="569"/>
      <c r="FP91" s="569"/>
      <c r="FQ91" s="569"/>
      <c r="FR91" s="569"/>
      <c r="FS91" s="569"/>
      <c r="FT91" s="569"/>
      <c r="FU91" s="569"/>
      <c r="FV91" s="569"/>
      <c r="FW91" s="569"/>
      <c r="FX91" s="569"/>
      <c r="FY91" s="569"/>
      <c r="FZ91" s="569"/>
      <c r="GA91" s="569"/>
      <c r="GB91" s="569"/>
      <c r="GC91" s="569"/>
      <c r="GD91" s="569"/>
      <c r="GE91" s="569"/>
      <c r="GF91" s="569"/>
      <c r="GG91" s="569"/>
      <c r="GH91" s="569"/>
      <c r="GI91" s="569"/>
      <c r="GJ91" s="569"/>
      <c r="GK91" s="569"/>
      <c r="GL91" s="569"/>
      <c r="GM91" s="569"/>
      <c r="GN91" s="569"/>
      <c r="GO91" s="569"/>
      <c r="GP91" s="569"/>
      <c r="GQ91" s="569"/>
      <c r="GR91" s="569"/>
      <c r="GS91" s="569"/>
      <c r="GT91" s="569"/>
    </row>
    <row r="92" spans="2:202" s="554" customFormat="1">
      <c r="B92" s="578"/>
      <c r="C92" s="578"/>
      <c r="D92" s="578"/>
      <c r="E92" s="578"/>
      <c r="F92" s="578"/>
      <c r="G92" s="578"/>
      <c r="H92" s="578"/>
      <c r="I92" s="578"/>
      <c r="J92" s="578"/>
      <c r="K92" s="578"/>
      <c r="L92" s="578"/>
      <c r="M92" s="578"/>
      <c r="N92" s="578"/>
      <c r="O92" s="578"/>
      <c r="P92" s="578"/>
      <c r="Q92" s="578"/>
      <c r="R92" s="578"/>
      <c r="S92" s="578"/>
      <c r="T92" s="578"/>
      <c r="U92" s="578"/>
      <c r="V92" s="578"/>
      <c r="W92" s="578"/>
      <c r="X92" s="578"/>
      <c r="Y92" s="578"/>
      <c r="Z92" s="578"/>
      <c r="AA92" s="578"/>
      <c r="AB92" s="578"/>
      <c r="AC92" s="578"/>
      <c r="AD92" s="578"/>
      <c r="AE92" s="578"/>
      <c r="AF92" s="578"/>
      <c r="AG92" s="578"/>
      <c r="AH92" s="548"/>
      <c r="AI92" s="548"/>
      <c r="AJ92" s="548"/>
      <c r="AK92" s="548"/>
      <c r="AL92" s="548"/>
      <c r="AM92" s="548"/>
      <c r="AN92" s="548"/>
      <c r="AO92" s="548"/>
      <c r="AP92" s="548"/>
      <c r="AQ92" s="548"/>
      <c r="AR92" s="548"/>
      <c r="AS92" s="548"/>
      <c r="AT92" s="548"/>
      <c r="AU92" s="548"/>
      <c r="AV92" s="548"/>
      <c r="AW92" s="548"/>
      <c r="AX92" s="548"/>
      <c r="AY92" s="548"/>
      <c r="AZ92" s="548"/>
      <c r="BA92" s="548"/>
      <c r="BB92" s="548"/>
      <c r="BC92" s="548"/>
      <c r="BD92" s="569"/>
      <c r="BE92" s="569"/>
      <c r="BF92" s="569"/>
      <c r="BG92" s="569"/>
      <c r="BH92" s="569"/>
      <c r="BI92" s="569"/>
      <c r="BJ92" s="569"/>
      <c r="BK92" s="569"/>
      <c r="BL92" s="569"/>
      <c r="BM92" s="569"/>
      <c r="BN92" s="569"/>
      <c r="BO92" s="569"/>
      <c r="BP92" s="569"/>
      <c r="BQ92" s="569"/>
      <c r="BR92" s="569"/>
      <c r="BS92" s="569"/>
      <c r="BT92" s="569"/>
      <c r="BU92" s="569"/>
      <c r="BV92" s="569"/>
      <c r="BW92" s="569"/>
      <c r="BX92" s="569"/>
      <c r="BY92" s="569"/>
      <c r="BZ92" s="569"/>
      <c r="CA92" s="569"/>
      <c r="CB92" s="569"/>
      <c r="CC92" s="569"/>
      <c r="CD92" s="569"/>
      <c r="CE92" s="569"/>
      <c r="CF92" s="569"/>
      <c r="CG92" s="569"/>
      <c r="CH92" s="569"/>
      <c r="CI92" s="569"/>
      <c r="CJ92" s="569"/>
      <c r="CK92" s="569"/>
      <c r="CL92" s="569"/>
      <c r="CM92" s="569"/>
      <c r="CN92" s="569"/>
      <c r="CO92" s="569"/>
      <c r="CP92" s="569"/>
      <c r="CQ92" s="569"/>
      <c r="CR92" s="569"/>
      <c r="CS92" s="569"/>
      <c r="CT92" s="569"/>
      <c r="CU92" s="569"/>
      <c r="CV92" s="569"/>
      <c r="CW92" s="569"/>
      <c r="CX92" s="569"/>
      <c r="CY92" s="569"/>
      <c r="CZ92" s="569"/>
      <c r="DA92" s="569"/>
      <c r="DB92" s="569"/>
      <c r="DC92" s="569"/>
      <c r="DD92" s="569"/>
      <c r="DE92" s="569"/>
      <c r="DF92" s="569"/>
      <c r="DG92" s="569"/>
      <c r="DH92" s="569"/>
      <c r="DI92" s="569"/>
      <c r="DJ92" s="569"/>
      <c r="DK92" s="569"/>
      <c r="DL92" s="569"/>
      <c r="DM92" s="569"/>
      <c r="DN92" s="569"/>
      <c r="DO92" s="569"/>
      <c r="DP92" s="569"/>
      <c r="DQ92" s="569"/>
      <c r="DR92" s="569"/>
      <c r="DS92" s="569"/>
      <c r="DT92" s="569"/>
      <c r="DU92" s="569"/>
      <c r="DV92" s="569"/>
      <c r="DW92" s="569"/>
      <c r="DX92" s="569"/>
      <c r="DY92" s="569"/>
      <c r="DZ92" s="569"/>
      <c r="EA92" s="569"/>
      <c r="EB92" s="569"/>
      <c r="EC92" s="569"/>
      <c r="ED92" s="569"/>
      <c r="EE92" s="569"/>
      <c r="EF92" s="569"/>
      <c r="EG92" s="569"/>
      <c r="EH92" s="569"/>
      <c r="EI92" s="569"/>
      <c r="EJ92" s="569"/>
      <c r="EK92" s="569"/>
      <c r="EL92" s="569"/>
      <c r="EM92" s="569"/>
      <c r="EN92" s="569"/>
      <c r="EO92" s="569"/>
      <c r="EP92" s="569"/>
      <c r="EQ92" s="569"/>
      <c r="ER92" s="569"/>
      <c r="ES92" s="569"/>
      <c r="ET92" s="569"/>
      <c r="EU92" s="569"/>
      <c r="EV92" s="569"/>
      <c r="EW92" s="569"/>
      <c r="EX92" s="569"/>
      <c r="EY92" s="569"/>
      <c r="EZ92" s="569"/>
      <c r="FA92" s="569"/>
      <c r="FB92" s="569"/>
      <c r="FC92" s="569"/>
      <c r="FD92" s="569"/>
      <c r="FE92" s="569"/>
      <c r="FF92" s="569"/>
      <c r="FG92" s="569"/>
      <c r="FH92" s="569"/>
      <c r="FI92" s="569"/>
      <c r="FJ92" s="569"/>
      <c r="FK92" s="569"/>
      <c r="FL92" s="569"/>
      <c r="FM92" s="569"/>
      <c r="FN92" s="569"/>
      <c r="FO92" s="569"/>
      <c r="FP92" s="569"/>
      <c r="FQ92" s="569"/>
      <c r="FR92" s="569"/>
      <c r="FS92" s="569"/>
      <c r="FT92" s="569"/>
      <c r="FU92" s="569"/>
      <c r="FV92" s="569"/>
      <c r="FW92" s="569"/>
      <c r="FX92" s="569"/>
      <c r="FY92" s="569"/>
      <c r="FZ92" s="569"/>
      <c r="GA92" s="569"/>
      <c r="GB92" s="569"/>
      <c r="GC92" s="569"/>
      <c r="GD92" s="569"/>
      <c r="GE92" s="569"/>
      <c r="GF92" s="569"/>
      <c r="GG92" s="569"/>
      <c r="GH92" s="569"/>
      <c r="GI92" s="569"/>
      <c r="GJ92" s="569"/>
      <c r="GK92" s="569"/>
      <c r="GL92" s="569"/>
      <c r="GM92" s="569"/>
      <c r="GN92" s="569"/>
      <c r="GO92" s="569"/>
      <c r="GP92" s="569"/>
      <c r="GQ92" s="569"/>
      <c r="GR92" s="569"/>
      <c r="GS92" s="569"/>
      <c r="GT92" s="569"/>
    </row>
    <row r="93" spans="2:202" s="554" customFormat="1">
      <c r="B93" s="578"/>
      <c r="C93" s="578"/>
      <c r="D93" s="578"/>
      <c r="E93" s="578"/>
      <c r="F93" s="578"/>
      <c r="G93" s="578"/>
      <c r="H93" s="578"/>
      <c r="I93" s="578"/>
      <c r="J93" s="578"/>
      <c r="K93" s="578"/>
      <c r="L93" s="578"/>
      <c r="M93" s="578"/>
      <c r="N93" s="578"/>
      <c r="O93" s="578"/>
      <c r="P93" s="578"/>
      <c r="Q93" s="578"/>
      <c r="R93" s="578"/>
      <c r="S93" s="578"/>
      <c r="T93" s="578"/>
      <c r="U93" s="578"/>
      <c r="V93" s="578"/>
      <c r="W93" s="578"/>
      <c r="X93" s="578"/>
      <c r="Y93" s="578"/>
      <c r="Z93" s="578"/>
      <c r="AA93" s="578"/>
      <c r="AB93" s="578"/>
      <c r="AC93" s="578"/>
      <c r="AD93" s="578"/>
      <c r="AE93" s="578"/>
      <c r="AF93" s="578"/>
      <c r="AG93" s="578"/>
      <c r="AH93" s="548"/>
      <c r="AI93" s="548"/>
      <c r="AJ93" s="548"/>
      <c r="AK93" s="548"/>
      <c r="AL93" s="548"/>
      <c r="AM93" s="548"/>
      <c r="AN93" s="548"/>
      <c r="AO93" s="548"/>
      <c r="AP93" s="548"/>
      <c r="AQ93" s="548"/>
      <c r="AR93" s="548"/>
      <c r="AS93" s="548"/>
      <c r="AT93" s="548"/>
      <c r="AU93" s="548"/>
      <c r="AV93" s="548"/>
      <c r="AW93" s="548"/>
      <c r="AX93" s="548"/>
      <c r="AY93" s="548"/>
      <c r="AZ93" s="548"/>
      <c r="BA93" s="548"/>
      <c r="BB93" s="548"/>
      <c r="BC93" s="548"/>
      <c r="BD93" s="569"/>
      <c r="BE93" s="569"/>
      <c r="BF93" s="569"/>
      <c r="BG93" s="569"/>
      <c r="BH93" s="569"/>
      <c r="BI93" s="569"/>
      <c r="BJ93" s="569"/>
      <c r="BK93" s="569"/>
      <c r="BL93" s="569"/>
      <c r="BM93" s="569"/>
      <c r="BN93" s="569"/>
      <c r="BO93" s="569"/>
      <c r="BP93" s="569"/>
      <c r="BQ93" s="569"/>
      <c r="BR93" s="569"/>
      <c r="BS93" s="569"/>
      <c r="BT93" s="569"/>
      <c r="BU93" s="569"/>
      <c r="BV93" s="569"/>
      <c r="BW93" s="569"/>
      <c r="BX93" s="569"/>
      <c r="BY93" s="569"/>
      <c r="BZ93" s="569"/>
      <c r="CA93" s="569"/>
      <c r="CB93" s="569"/>
      <c r="CC93" s="569"/>
      <c r="CD93" s="569"/>
      <c r="CE93" s="569"/>
      <c r="CF93" s="569"/>
      <c r="CG93" s="569"/>
      <c r="CH93" s="569"/>
      <c r="CI93" s="569"/>
      <c r="CJ93" s="569"/>
      <c r="CK93" s="569"/>
      <c r="CL93" s="569"/>
      <c r="CM93" s="569"/>
      <c r="CN93" s="569"/>
      <c r="CO93" s="569"/>
      <c r="CP93" s="569"/>
      <c r="CQ93" s="569"/>
      <c r="CR93" s="569"/>
      <c r="CS93" s="569"/>
      <c r="CT93" s="569"/>
      <c r="CU93" s="569"/>
      <c r="CV93" s="569"/>
      <c r="CW93" s="569"/>
      <c r="CX93" s="569"/>
      <c r="CY93" s="569"/>
      <c r="CZ93" s="569"/>
      <c r="DA93" s="569"/>
      <c r="DB93" s="569"/>
      <c r="DC93" s="569"/>
      <c r="DD93" s="569"/>
      <c r="DE93" s="569"/>
      <c r="DF93" s="569"/>
      <c r="DG93" s="569"/>
      <c r="DH93" s="569"/>
      <c r="DI93" s="569"/>
      <c r="DJ93" s="569"/>
      <c r="DK93" s="569"/>
      <c r="DL93" s="569"/>
      <c r="DM93" s="569"/>
      <c r="DN93" s="569"/>
      <c r="DO93" s="569"/>
      <c r="DP93" s="569"/>
      <c r="DQ93" s="569"/>
      <c r="DR93" s="569"/>
      <c r="DS93" s="569"/>
      <c r="DT93" s="569"/>
      <c r="DU93" s="569"/>
      <c r="DV93" s="569"/>
      <c r="DW93" s="569"/>
      <c r="DX93" s="569"/>
      <c r="DY93" s="569"/>
      <c r="DZ93" s="569"/>
      <c r="EA93" s="569"/>
      <c r="EB93" s="569"/>
      <c r="EC93" s="569"/>
      <c r="ED93" s="569"/>
      <c r="EE93" s="569"/>
      <c r="EF93" s="569"/>
      <c r="EG93" s="569"/>
      <c r="EH93" s="569"/>
      <c r="EI93" s="569"/>
      <c r="EJ93" s="569"/>
      <c r="EK93" s="569"/>
      <c r="EL93" s="569"/>
      <c r="EM93" s="569"/>
      <c r="EN93" s="569"/>
      <c r="EO93" s="569"/>
      <c r="EP93" s="569"/>
      <c r="EQ93" s="569"/>
      <c r="ER93" s="569"/>
      <c r="ES93" s="569"/>
      <c r="ET93" s="569"/>
      <c r="EU93" s="569"/>
      <c r="EV93" s="569"/>
      <c r="EW93" s="569"/>
      <c r="EX93" s="569"/>
      <c r="EY93" s="569"/>
      <c r="EZ93" s="569"/>
      <c r="FA93" s="569"/>
      <c r="FB93" s="569"/>
      <c r="FC93" s="569"/>
      <c r="FD93" s="569"/>
      <c r="FE93" s="569"/>
      <c r="FF93" s="569"/>
      <c r="FG93" s="569"/>
      <c r="FH93" s="569"/>
      <c r="FI93" s="569"/>
      <c r="FJ93" s="569"/>
      <c r="FK93" s="569"/>
      <c r="FL93" s="569"/>
      <c r="FM93" s="569"/>
      <c r="FN93" s="569"/>
      <c r="FO93" s="569"/>
      <c r="FP93" s="569"/>
      <c r="FQ93" s="569"/>
      <c r="FR93" s="569"/>
      <c r="FS93" s="569"/>
      <c r="FT93" s="569"/>
      <c r="FU93" s="569"/>
      <c r="FV93" s="569"/>
      <c r="FW93" s="569"/>
      <c r="FX93" s="569"/>
      <c r="FY93" s="569"/>
      <c r="FZ93" s="569"/>
      <c r="GA93" s="569"/>
      <c r="GB93" s="569"/>
      <c r="GC93" s="569"/>
      <c r="GD93" s="569"/>
      <c r="GE93" s="569"/>
      <c r="GF93" s="569"/>
      <c r="GG93" s="569"/>
      <c r="GH93" s="569"/>
      <c r="GI93" s="569"/>
      <c r="GJ93" s="569"/>
      <c r="GK93" s="569"/>
      <c r="GL93" s="569"/>
      <c r="GM93" s="569"/>
      <c r="GN93" s="569"/>
      <c r="GO93" s="569"/>
      <c r="GP93" s="569"/>
      <c r="GQ93" s="569"/>
      <c r="GR93" s="569"/>
      <c r="GS93" s="569"/>
      <c r="GT93" s="569"/>
    </row>
    <row r="94" spans="2:202" s="554" customFormat="1">
      <c r="B94" s="578"/>
      <c r="C94" s="578"/>
      <c r="D94" s="578"/>
      <c r="E94" s="578"/>
      <c r="F94" s="578"/>
      <c r="G94" s="578"/>
      <c r="H94" s="578"/>
      <c r="I94" s="578"/>
      <c r="J94" s="578"/>
      <c r="K94" s="578"/>
      <c r="L94" s="578"/>
      <c r="M94" s="578"/>
      <c r="N94" s="578"/>
      <c r="O94" s="578"/>
      <c r="P94" s="578"/>
      <c r="Q94" s="578"/>
      <c r="R94" s="578"/>
      <c r="S94" s="578"/>
      <c r="T94" s="578"/>
      <c r="U94" s="578"/>
      <c r="V94" s="578"/>
      <c r="W94" s="578"/>
      <c r="X94" s="578"/>
      <c r="Y94" s="578"/>
      <c r="Z94" s="578"/>
      <c r="AA94" s="578"/>
      <c r="AB94" s="578"/>
      <c r="AC94" s="578"/>
      <c r="AD94" s="578"/>
      <c r="AE94" s="578"/>
      <c r="AF94" s="578"/>
      <c r="AG94" s="578"/>
      <c r="AH94" s="548"/>
      <c r="AI94" s="548"/>
      <c r="AJ94" s="548"/>
      <c r="AK94" s="548"/>
      <c r="AL94" s="548"/>
      <c r="AM94" s="548"/>
      <c r="AN94" s="548"/>
      <c r="AO94" s="548"/>
      <c r="AP94" s="548"/>
      <c r="AQ94" s="548"/>
      <c r="AR94" s="548"/>
      <c r="AS94" s="548"/>
      <c r="AT94" s="548"/>
      <c r="AU94" s="548"/>
      <c r="AV94" s="548"/>
      <c r="AW94" s="548"/>
      <c r="AX94" s="548"/>
      <c r="AY94" s="548"/>
      <c r="AZ94" s="548"/>
      <c r="BA94" s="548"/>
      <c r="BB94" s="548"/>
      <c r="BC94" s="548"/>
      <c r="BD94" s="569"/>
      <c r="BE94" s="569"/>
      <c r="BF94" s="569"/>
      <c r="BG94" s="569"/>
      <c r="BH94" s="569"/>
      <c r="BI94" s="569"/>
      <c r="BJ94" s="569"/>
      <c r="BK94" s="569"/>
      <c r="BL94" s="569"/>
      <c r="BM94" s="569"/>
      <c r="BN94" s="569"/>
      <c r="BO94" s="569"/>
      <c r="BP94" s="569"/>
      <c r="BQ94" s="569"/>
      <c r="BR94" s="569"/>
      <c r="BS94" s="569"/>
      <c r="BT94" s="569"/>
      <c r="BU94" s="569"/>
      <c r="BV94" s="569"/>
      <c r="BW94" s="569"/>
      <c r="BX94" s="569"/>
      <c r="BY94" s="569"/>
      <c r="BZ94" s="569"/>
      <c r="CA94" s="569"/>
      <c r="CB94" s="569"/>
      <c r="CC94" s="569"/>
      <c r="CD94" s="569"/>
      <c r="CE94" s="569"/>
      <c r="CF94" s="569"/>
      <c r="CG94" s="569"/>
      <c r="CH94" s="569"/>
      <c r="CI94" s="569"/>
      <c r="CJ94" s="569"/>
      <c r="CK94" s="569"/>
      <c r="CL94" s="569"/>
      <c r="CM94" s="569"/>
      <c r="CN94" s="569"/>
      <c r="CO94" s="569"/>
      <c r="CP94" s="569"/>
      <c r="CQ94" s="569"/>
      <c r="CR94" s="569"/>
      <c r="CS94" s="569"/>
      <c r="CT94" s="569"/>
      <c r="CU94" s="569"/>
      <c r="CV94" s="569"/>
      <c r="CW94" s="569"/>
      <c r="CX94" s="569"/>
      <c r="CY94" s="569"/>
      <c r="CZ94" s="569"/>
      <c r="DA94" s="569"/>
      <c r="DB94" s="569"/>
      <c r="DC94" s="569"/>
      <c r="DD94" s="569"/>
      <c r="DE94" s="569"/>
      <c r="DF94" s="569"/>
      <c r="DG94" s="569"/>
      <c r="DH94" s="569"/>
      <c r="DI94" s="569"/>
      <c r="DJ94" s="569"/>
      <c r="DK94" s="569"/>
      <c r="DL94" s="569"/>
      <c r="DM94" s="569"/>
      <c r="DN94" s="569"/>
      <c r="DO94" s="569"/>
      <c r="DP94" s="569"/>
      <c r="DQ94" s="569"/>
      <c r="DR94" s="569"/>
      <c r="DS94" s="569"/>
      <c r="DT94" s="569"/>
      <c r="DU94" s="569"/>
      <c r="DV94" s="569"/>
      <c r="DW94" s="569"/>
      <c r="DX94" s="569"/>
      <c r="DY94" s="569"/>
      <c r="DZ94" s="569"/>
      <c r="EA94" s="569"/>
      <c r="EB94" s="569"/>
      <c r="EC94" s="569"/>
      <c r="ED94" s="569"/>
      <c r="EE94" s="569"/>
      <c r="EF94" s="569"/>
      <c r="EG94" s="569"/>
      <c r="EH94" s="569"/>
      <c r="EI94" s="569"/>
      <c r="EJ94" s="569"/>
      <c r="EK94" s="569"/>
      <c r="EL94" s="569"/>
      <c r="EM94" s="569"/>
      <c r="EN94" s="569"/>
      <c r="EO94" s="569"/>
      <c r="EP94" s="569"/>
      <c r="EQ94" s="569"/>
      <c r="ER94" s="569"/>
      <c r="ES94" s="569"/>
      <c r="ET94" s="569"/>
      <c r="EU94" s="569"/>
      <c r="EV94" s="569"/>
      <c r="EW94" s="569"/>
      <c r="EX94" s="569"/>
      <c r="EY94" s="569"/>
      <c r="EZ94" s="569"/>
      <c r="FA94" s="569"/>
      <c r="FB94" s="569"/>
      <c r="FC94" s="569"/>
      <c r="FD94" s="569"/>
      <c r="FE94" s="569"/>
      <c r="FF94" s="569"/>
      <c r="FG94" s="569"/>
      <c r="FH94" s="569"/>
      <c r="FI94" s="569"/>
      <c r="FJ94" s="569"/>
      <c r="FK94" s="569"/>
      <c r="FL94" s="569"/>
      <c r="FM94" s="569"/>
      <c r="FN94" s="569"/>
      <c r="FO94" s="569"/>
      <c r="FP94" s="569"/>
      <c r="FQ94" s="569"/>
      <c r="FR94" s="569"/>
      <c r="FS94" s="569"/>
      <c r="FT94" s="569"/>
      <c r="FU94" s="569"/>
      <c r="FV94" s="569"/>
      <c r="FW94" s="569"/>
      <c r="FX94" s="569"/>
      <c r="FY94" s="569"/>
      <c r="FZ94" s="569"/>
      <c r="GA94" s="569"/>
      <c r="GB94" s="569"/>
      <c r="GC94" s="569"/>
      <c r="GD94" s="569"/>
      <c r="GE94" s="569"/>
      <c r="GF94" s="569"/>
      <c r="GG94" s="569"/>
      <c r="GH94" s="569"/>
      <c r="GI94" s="569"/>
      <c r="GJ94" s="569"/>
      <c r="GK94" s="569"/>
      <c r="GL94" s="569"/>
      <c r="GM94" s="569"/>
      <c r="GN94" s="569"/>
      <c r="GO94" s="569"/>
      <c r="GP94" s="569"/>
      <c r="GQ94" s="569"/>
      <c r="GR94" s="569"/>
      <c r="GS94" s="569"/>
      <c r="GT94" s="569"/>
    </row>
    <row r="95" spans="2:202" s="554" customFormat="1">
      <c r="B95" s="578"/>
      <c r="C95" s="578"/>
      <c r="D95" s="578"/>
      <c r="E95" s="578"/>
      <c r="F95" s="578"/>
      <c r="G95" s="578"/>
      <c r="H95" s="578"/>
      <c r="I95" s="578"/>
      <c r="J95" s="578"/>
      <c r="K95" s="578"/>
      <c r="L95" s="578"/>
      <c r="M95" s="578"/>
      <c r="N95" s="578"/>
      <c r="O95" s="578"/>
      <c r="P95" s="578"/>
      <c r="Q95" s="578"/>
      <c r="R95" s="578"/>
      <c r="S95" s="578"/>
      <c r="T95" s="578"/>
      <c r="U95" s="578"/>
      <c r="V95" s="578"/>
      <c r="W95" s="578"/>
      <c r="X95" s="578"/>
      <c r="Y95" s="578"/>
      <c r="Z95" s="578"/>
      <c r="AA95" s="578"/>
      <c r="AB95" s="578"/>
      <c r="AC95" s="578"/>
      <c r="AD95" s="578"/>
      <c r="AE95" s="578"/>
      <c r="AF95" s="578"/>
      <c r="AG95" s="578"/>
      <c r="AH95" s="548"/>
      <c r="AI95" s="548"/>
      <c r="AJ95" s="548"/>
      <c r="AK95" s="548"/>
      <c r="AL95" s="548"/>
      <c r="AM95" s="548"/>
      <c r="AN95" s="548"/>
      <c r="AO95" s="548"/>
      <c r="AP95" s="548"/>
      <c r="AQ95" s="548"/>
      <c r="AR95" s="548"/>
      <c r="AS95" s="548"/>
      <c r="AT95" s="548"/>
      <c r="AU95" s="548"/>
      <c r="AV95" s="548"/>
      <c r="AW95" s="548"/>
      <c r="AX95" s="548"/>
      <c r="AY95" s="548"/>
      <c r="AZ95" s="548"/>
      <c r="BA95" s="548"/>
      <c r="BB95" s="548"/>
      <c r="BC95" s="548"/>
      <c r="BD95" s="569"/>
      <c r="BE95" s="569"/>
      <c r="BF95" s="569"/>
      <c r="BG95" s="569"/>
      <c r="BH95" s="569"/>
      <c r="BI95" s="569"/>
      <c r="BJ95" s="569"/>
      <c r="BK95" s="569"/>
      <c r="BL95" s="569"/>
      <c r="BM95" s="569"/>
      <c r="BN95" s="569"/>
      <c r="BO95" s="569"/>
      <c r="BP95" s="569"/>
      <c r="BQ95" s="569"/>
      <c r="BR95" s="569"/>
      <c r="BS95" s="569"/>
      <c r="BT95" s="569"/>
      <c r="BU95" s="569"/>
      <c r="BV95" s="569"/>
      <c r="BW95" s="569"/>
      <c r="BX95" s="569"/>
      <c r="BY95" s="569"/>
      <c r="BZ95" s="569"/>
      <c r="CA95" s="569"/>
      <c r="CB95" s="569"/>
      <c r="CC95" s="569"/>
      <c r="CD95" s="569"/>
      <c r="CE95" s="569"/>
      <c r="CF95" s="569"/>
      <c r="CG95" s="569"/>
      <c r="CH95" s="569"/>
      <c r="CI95" s="569"/>
      <c r="CJ95" s="569"/>
      <c r="CK95" s="569"/>
      <c r="CL95" s="569"/>
      <c r="CM95" s="569"/>
      <c r="CN95" s="569"/>
      <c r="CO95" s="569"/>
      <c r="CP95" s="569"/>
      <c r="CQ95" s="569"/>
      <c r="CR95" s="569"/>
      <c r="CS95" s="569"/>
      <c r="CT95" s="569"/>
      <c r="CU95" s="569"/>
      <c r="CV95" s="569"/>
      <c r="CW95" s="569"/>
      <c r="CX95" s="569"/>
      <c r="CY95" s="569"/>
      <c r="CZ95" s="569"/>
      <c r="DA95" s="569"/>
      <c r="DB95" s="569"/>
      <c r="DC95" s="569"/>
      <c r="DD95" s="569"/>
      <c r="DE95" s="569"/>
      <c r="DF95" s="569"/>
      <c r="DG95" s="569"/>
      <c r="DH95" s="569"/>
      <c r="DI95" s="569"/>
      <c r="DJ95" s="569"/>
      <c r="DK95" s="569"/>
      <c r="DL95" s="569"/>
      <c r="DM95" s="569"/>
      <c r="DN95" s="569"/>
      <c r="DO95" s="569"/>
      <c r="DP95" s="569"/>
      <c r="DQ95" s="569"/>
      <c r="DR95" s="569"/>
      <c r="DS95" s="569"/>
      <c r="DT95" s="569"/>
      <c r="DU95" s="569"/>
      <c r="DV95" s="569"/>
      <c r="DW95" s="569"/>
      <c r="DX95" s="569"/>
      <c r="DY95" s="569"/>
      <c r="DZ95" s="569"/>
      <c r="EA95" s="569"/>
      <c r="EB95" s="569"/>
      <c r="EC95" s="569"/>
      <c r="ED95" s="569"/>
      <c r="EE95" s="569"/>
      <c r="EF95" s="569"/>
      <c r="EG95" s="569"/>
      <c r="EH95" s="569"/>
      <c r="EI95" s="569"/>
      <c r="EJ95" s="569"/>
      <c r="EK95" s="569"/>
      <c r="EL95" s="569"/>
      <c r="EM95" s="569"/>
      <c r="EN95" s="569"/>
      <c r="EO95" s="569"/>
      <c r="EP95" s="569"/>
      <c r="EQ95" s="569"/>
      <c r="ER95" s="569"/>
      <c r="ES95" s="569"/>
      <c r="ET95" s="569"/>
      <c r="EU95" s="569"/>
      <c r="EV95" s="569"/>
      <c r="EW95" s="569"/>
      <c r="EX95" s="569"/>
      <c r="EY95" s="569"/>
      <c r="EZ95" s="569"/>
      <c r="FA95" s="569"/>
      <c r="FB95" s="569"/>
      <c r="FC95" s="569"/>
      <c r="FD95" s="569"/>
      <c r="FE95" s="569"/>
      <c r="FF95" s="569"/>
      <c r="FG95" s="569"/>
      <c r="FH95" s="569"/>
      <c r="FI95" s="569"/>
      <c r="FJ95" s="569"/>
      <c r="FK95" s="569"/>
      <c r="FL95" s="569"/>
      <c r="FM95" s="569"/>
      <c r="FN95" s="569"/>
      <c r="FO95" s="569"/>
      <c r="FP95" s="569"/>
      <c r="FQ95" s="569"/>
      <c r="FR95" s="569"/>
      <c r="FS95" s="569"/>
      <c r="FT95" s="569"/>
      <c r="FU95" s="569"/>
      <c r="FV95" s="569"/>
      <c r="FW95" s="569"/>
      <c r="FX95" s="569"/>
      <c r="FY95" s="569"/>
      <c r="FZ95" s="569"/>
      <c r="GA95" s="569"/>
      <c r="GB95" s="569"/>
      <c r="GC95" s="569"/>
      <c r="GD95" s="569"/>
      <c r="GE95" s="569"/>
      <c r="GF95" s="569"/>
      <c r="GG95" s="569"/>
      <c r="GH95" s="569"/>
      <c r="GI95" s="569"/>
      <c r="GJ95" s="569"/>
      <c r="GK95" s="569"/>
      <c r="GL95" s="569"/>
      <c r="GM95" s="569"/>
      <c r="GN95" s="569"/>
      <c r="GO95" s="569"/>
      <c r="GP95" s="569"/>
      <c r="GQ95" s="569"/>
      <c r="GR95" s="569"/>
      <c r="GS95" s="569"/>
      <c r="GT95" s="569"/>
    </row>
    <row r="96" spans="2:202" s="554" customFormat="1">
      <c r="B96" s="578"/>
      <c r="C96" s="578"/>
      <c r="D96" s="578"/>
      <c r="E96" s="578"/>
      <c r="F96" s="578"/>
      <c r="G96" s="578"/>
      <c r="H96" s="578"/>
      <c r="I96" s="578"/>
      <c r="J96" s="578"/>
      <c r="K96" s="578"/>
      <c r="L96" s="578"/>
      <c r="M96" s="578"/>
      <c r="N96" s="578"/>
      <c r="O96" s="578"/>
      <c r="P96" s="578"/>
      <c r="Q96" s="578"/>
      <c r="R96" s="578"/>
      <c r="S96" s="578"/>
      <c r="T96" s="578"/>
      <c r="U96" s="578"/>
      <c r="V96" s="578"/>
      <c r="W96" s="578"/>
      <c r="X96" s="578"/>
      <c r="Y96" s="578"/>
      <c r="Z96" s="578"/>
      <c r="AA96" s="578"/>
      <c r="AB96" s="578"/>
      <c r="AC96" s="578"/>
      <c r="AD96" s="578"/>
      <c r="AE96" s="578"/>
      <c r="AF96" s="578"/>
      <c r="AG96" s="578"/>
      <c r="AH96" s="548"/>
      <c r="AI96" s="548"/>
      <c r="AJ96" s="548"/>
      <c r="AK96" s="548"/>
      <c r="AL96" s="548"/>
      <c r="AM96" s="548"/>
      <c r="AN96" s="548"/>
      <c r="AO96" s="548"/>
      <c r="AP96" s="548"/>
      <c r="AQ96" s="548"/>
      <c r="AR96" s="548"/>
      <c r="AS96" s="548"/>
      <c r="AT96" s="548"/>
      <c r="AU96" s="548"/>
      <c r="AV96" s="548"/>
      <c r="AW96" s="548"/>
      <c r="AX96" s="548"/>
      <c r="AY96" s="548"/>
      <c r="AZ96" s="548"/>
      <c r="BA96" s="548"/>
      <c r="BB96" s="548"/>
      <c r="BC96" s="548"/>
      <c r="BD96" s="569"/>
      <c r="BE96" s="569"/>
      <c r="BF96" s="569"/>
      <c r="BG96" s="569"/>
      <c r="BH96" s="569"/>
      <c r="BI96" s="569"/>
      <c r="BJ96" s="569"/>
      <c r="BK96" s="569"/>
      <c r="BL96" s="569"/>
      <c r="BM96" s="569"/>
      <c r="BN96" s="569"/>
      <c r="BO96" s="569"/>
      <c r="BP96" s="569"/>
      <c r="BQ96" s="569"/>
      <c r="BR96" s="569"/>
      <c r="BS96" s="569"/>
      <c r="BT96" s="569"/>
      <c r="BU96" s="569"/>
      <c r="BV96" s="569"/>
      <c r="BW96" s="569"/>
      <c r="BX96" s="569"/>
      <c r="BY96" s="569"/>
      <c r="BZ96" s="569"/>
      <c r="CA96" s="569"/>
      <c r="CB96" s="569"/>
      <c r="CC96" s="569"/>
      <c r="CD96" s="569"/>
      <c r="CE96" s="569"/>
      <c r="CF96" s="569"/>
      <c r="CG96" s="569"/>
      <c r="CH96" s="569"/>
      <c r="CI96" s="569"/>
      <c r="CJ96" s="569"/>
      <c r="CK96" s="569"/>
      <c r="CL96" s="569"/>
      <c r="CM96" s="569"/>
      <c r="CN96" s="569"/>
      <c r="CO96" s="569"/>
      <c r="CP96" s="569"/>
      <c r="CQ96" s="569"/>
      <c r="CR96" s="569"/>
      <c r="CS96" s="569"/>
      <c r="CT96" s="569"/>
      <c r="CU96" s="569"/>
      <c r="CV96" s="569"/>
      <c r="CW96" s="569"/>
      <c r="CX96" s="569"/>
      <c r="CY96" s="569"/>
      <c r="CZ96" s="569"/>
      <c r="DA96" s="569"/>
      <c r="DB96" s="569"/>
      <c r="DC96" s="569"/>
      <c r="DD96" s="569"/>
      <c r="DE96" s="569"/>
      <c r="DF96" s="569"/>
      <c r="DG96" s="569"/>
      <c r="DH96" s="569"/>
      <c r="DI96" s="569"/>
      <c r="DJ96" s="569"/>
      <c r="DK96" s="569"/>
      <c r="DL96" s="569"/>
      <c r="DM96" s="569"/>
      <c r="DN96" s="569"/>
      <c r="DO96" s="569"/>
      <c r="DP96" s="569"/>
      <c r="DQ96" s="569"/>
      <c r="DR96" s="569"/>
      <c r="DS96" s="569"/>
      <c r="DT96" s="569"/>
      <c r="DU96" s="569"/>
      <c r="DV96" s="569"/>
      <c r="DW96" s="569"/>
      <c r="DX96" s="569"/>
      <c r="DY96" s="569"/>
      <c r="DZ96" s="569"/>
      <c r="EA96" s="569"/>
      <c r="EB96" s="569"/>
      <c r="EC96" s="569"/>
      <c r="ED96" s="569"/>
      <c r="EE96" s="569"/>
      <c r="EF96" s="569"/>
      <c r="EG96" s="569"/>
      <c r="EH96" s="569"/>
      <c r="EI96" s="569"/>
      <c r="EJ96" s="569"/>
      <c r="EK96" s="569"/>
      <c r="EL96" s="569"/>
      <c r="EM96" s="569"/>
      <c r="EN96" s="569"/>
      <c r="EO96" s="569"/>
      <c r="EP96" s="569"/>
      <c r="EQ96" s="569"/>
      <c r="ER96" s="569"/>
      <c r="ES96" s="569"/>
      <c r="ET96" s="569"/>
      <c r="EU96" s="569"/>
      <c r="EV96" s="569"/>
      <c r="EW96" s="569"/>
      <c r="EX96" s="569"/>
      <c r="EY96" s="569"/>
      <c r="EZ96" s="569"/>
      <c r="FA96" s="569"/>
      <c r="FB96" s="569"/>
      <c r="FC96" s="569"/>
      <c r="FD96" s="569"/>
      <c r="FE96" s="569"/>
      <c r="FF96" s="569"/>
      <c r="FG96" s="569"/>
      <c r="FH96" s="569"/>
      <c r="FI96" s="569"/>
      <c r="FJ96" s="569"/>
      <c r="FK96" s="569"/>
      <c r="FL96" s="569"/>
      <c r="FM96" s="569"/>
      <c r="FN96" s="569"/>
      <c r="FO96" s="569"/>
      <c r="FP96" s="569"/>
      <c r="FQ96" s="569"/>
      <c r="FR96" s="569"/>
      <c r="FS96" s="569"/>
      <c r="FT96" s="569"/>
      <c r="FU96" s="569"/>
      <c r="FV96" s="569"/>
      <c r="FW96" s="569"/>
      <c r="FX96" s="569"/>
      <c r="FY96" s="569"/>
      <c r="FZ96" s="569"/>
      <c r="GA96" s="569"/>
      <c r="GB96" s="569"/>
      <c r="GC96" s="569"/>
      <c r="GD96" s="569"/>
      <c r="GE96" s="569"/>
      <c r="GF96" s="569"/>
      <c r="GG96" s="569"/>
      <c r="GH96" s="569"/>
      <c r="GI96" s="569"/>
      <c r="GJ96" s="569"/>
      <c r="GK96" s="569"/>
      <c r="GL96" s="569"/>
      <c r="GM96" s="569"/>
      <c r="GN96" s="569"/>
      <c r="GO96" s="569"/>
      <c r="GP96" s="569"/>
      <c r="GQ96" s="569"/>
      <c r="GR96" s="569"/>
      <c r="GS96" s="569"/>
      <c r="GT96" s="569"/>
    </row>
    <row r="97" spans="2:202" s="554" customFormat="1">
      <c r="B97" s="578"/>
      <c r="C97" s="578"/>
      <c r="D97" s="578"/>
      <c r="E97" s="578"/>
      <c r="F97" s="578"/>
      <c r="G97" s="578"/>
      <c r="H97" s="578"/>
      <c r="I97" s="578"/>
      <c r="J97" s="578"/>
      <c r="K97" s="578"/>
      <c r="L97" s="578"/>
      <c r="M97" s="578"/>
      <c r="N97" s="578"/>
      <c r="O97" s="578"/>
      <c r="P97" s="578"/>
      <c r="Q97" s="578"/>
      <c r="R97" s="578"/>
      <c r="S97" s="578"/>
      <c r="T97" s="578"/>
      <c r="U97" s="578"/>
      <c r="V97" s="578"/>
      <c r="W97" s="578"/>
      <c r="X97" s="578"/>
      <c r="Y97" s="578"/>
      <c r="Z97" s="578"/>
      <c r="AA97" s="578"/>
      <c r="AB97" s="578"/>
      <c r="AC97" s="578"/>
      <c r="AD97" s="578"/>
      <c r="AE97" s="578"/>
      <c r="AF97" s="578"/>
      <c r="AG97" s="578"/>
      <c r="AH97" s="548"/>
      <c r="AI97" s="548"/>
      <c r="AJ97" s="548"/>
      <c r="AK97" s="548"/>
      <c r="AL97" s="548"/>
      <c r="AM97" s="548"/>
      <c r="AN97" s="548"/>
      <c r="AO97" s="548"/>
      <c r="AP97" s="548"/>
      <c r="AQ97" s="548"/>
      <c r="AR97" s="548"/>
      <c r="AS97" s="548"/>
      <c r="AT97" s="548"/>
      <c r="AU97" s="548"/>
      <c r="AV97" s="548"/>
      <c r="AW97" s="548"/>
      <c r="AX97" s="548"/>
      <c r="AY97" s="548"/>
      <c r="AZ97" s="548"/>
      <c r="BA97" s="548"/>
      <c r="BB97" s="548"/>
      <c r="BC97" s="548"/>
      <c r="BD97" s="569"/>
      <c r="BE97" s="569"/>
      <c r="BF97" s="569"/>
      <c r="BG97" s="569"/>
      <c r="BH97" s="569"/>
      <c r="BI97" s="569"/>
      <c r="BJ97" s="569"/>
      <c r="BK97" s="569"/>
      <c r="BL97" s="569"/>
      <c r="BM97" s="569"/>
      <c r="BN97" s="569"/>
      <c r="BO97" s="569"/>
      <c r="BP97" s="569"/>
      <c r="BQ97" s="569"/>
      <c r="BR97" s="569"/>
      <c r="BS97" s="569"/>
      <c r="BT97" s="569"/>
      <c r="BU97" s="569"/>
      <c r="BV97" s="569"/>
      <c r="BW97" s="569"/>
      <c r="BX97" s="569"/>
      <c r="BY97" s="569"/>
      <c r="BZ97" s="569"/>
      <c r="CA97" s="569"/>
      <c r="CB97" s="569"/>
      <c r="CC97" s="569"/>
      <c r="CD97" s="569"/>
      <c r="CE97" s="569"/>
      <c r="CF97" s="569"/>
      <c r="CG97" s="569"/>
      <c r="CH97" s="569"/>
      <c r="CI97" s="569"/>
      <c r="CJ97" s="569"/>
      <c r="CK97" s="569"/>
      <c r="CL97" s="569"/>
      <c r="CM97" s="569"/>
      <c r="CN97" s="569"/>
      <c r="CO97" s="569"/>
      <c r="CP97" s="569"/>
      <c r="CQ97" s="569"/>
      <c r="CR97" s="569"/>
      <c r="CS97" s="569"/>
      <c r="CT97" s="569"/>
      <c r="CU97" s="569"/>
      <c r="CV97" s="569"/>
      <c r="CW97" s="569"/>
      <c r="CX97" s="569"/>
      <c r="CY97" s="569"/>
      <c r="CZ97" s="569"/>
      <c r="DA97" s="569"/>
      <c r="DB97" s="569"/>
      <c r="DC97" s="569"/>
      <c r="DD97" s="569"/>
      <c r="DE97" s="569"/>
      <c r="DF97" s="569"/>
      <c r="DG97" s="569"/>
      <c r="DH97" s="569"/>
      <c r="DI97" s="569"/>
      <c r="DJ97" s="569"/>
      <c r="DK97" s="569"/>
      <c r="DL97" s="569"/>
      <c r="DM97" s="569"/>
      <c r="DN97" s="569"/>
      <c r="DO97" s="569"/>
      <c r="DP97" s="569"/>
      <c r="DQ97" s="569"/>
      <c r="DR97" s="569"/>
      <c r="DS97" s="569"/>
      <c r="DT97" s="569"/>
      <c r="DU97" s="569"/>
      <c r="DV97" s="569"/>
      <c r="DW97" s="569"/>
      <c r="DX97" s="569"/>
      <c r="DY97" s="569"/>
      <c r="DZ97" s="569"/>
      <c r="EA97" s="569"/>
      <c r="EB97" s="569"/>
      <c r="EC97" s="569"/>
      <c r="ED97" s="569"/>
      <c r="EE97" s="569"/>
      <c r="EF97" s="569"/>
      <c r="EG97" s="569"/>
      <c r="EH97" s="569"/>
      <c r="EI97" s="569"/>
      <c r="EJ97" s="569"/>
      <c r="EK97" s="569"/>
      <c r="EL97" s="569"/>
      <c r="EM97" s="569"/>
      <c r="EN97" s="569"/>
      <c r="EO97" s="569"/>
      <c r="EP97" s="569"/>
      <c r="EQ97" s="569"/>
      <c r="ER97" s="569"/>
      <c r="ES97" s="569"/>
      <c r="ET97" s="569"/>
      <c r="EU97" s="569"/>
      <c r="EV97" s="569"/>
      <c r="EW97" s="569"/>
      <c r="EX97" s="569"/>
      <c r="EY97" s="569"/>
      <c r="EZ97" s="569"/>
      <c r="FA97" s="569"/>
      <c r="FB97" s="569"/>
      <c r="FC97" s="569"/>
      <c r="FD97" s="569"/>
      <c r="FE97" s="569"/>
      <c r="FF97" s="569"/>
      <c r="FG97" s="569"/>
      <c r="FH97" s="569"/>
      <c r="FI97" s="569"/>
      <c r="FJ97" s="569"/>
      <c r="FK97" s="569"/>
      <c r="FL97" s="569"/>
      <c r="FM97" s="569"/>
      <c r="FN97" s="569"/>
      <c r="FO97" s="569"/>
      <c r="FP97" s="569"/>
      <c r="FQ97" s="569"/>
      <c r="FR97" s="569"/>
      <c r="FS97" s="569"/>
      <c r="FT97" s="569"/>
      <c r="FU97" s="569"/>
      <c r="FV97" s="569"/>
      <c r="FW97" s="569"/>
      <c r="FX97" s="569"/>
      <c r="FY97" s="569"/>
      <c r="FZ97" s="569"/>
      <c r="GA97" s="569"/>
      <c r="GB97" s="569"/>
      <c r="GC97" s="569"/>
      <c r="GD97" s="569"/>
      <c r="GE97" s="569"/>
      <c r="GF97" s="569"/>
      <c r="GG97" s="569"/>
      <c r="GH97" s="569"/>
      <c r="GI97" s="569"/>
      <c r="GJ97" s="569"/>
      <c r="GK97" s="569"/>
      <c r="GL97" s="569"/>
      <c r="GM97" s="569"/>
      <c r="GN97" s="569"/>
      <c r="GO97" s="569"/>
      <c r="GP97" s="569"/>
      <c r="GQ97" s="569"/>
      <c r="GR97" s="569"/>
      <c r="GS97" s="569"/>
      <c r="GT97" s="569"/>
    </row>
    <row r="98" spans="2:202" s="554" customFormat="1">
      <c r="B98" s="578"/>
      <c r="C98" s="578"/>
      <c r="D98" s="578"/>
      <c r="E98" s="578"/>
      <c r="F98" s="578"/>
      <c r="G98" s="578"/>
      <c r="H98" s="578"/>
      <c r="I98" s="578"/>
      <c r="J98" s="578"/>
      <c r="K98" s="578"/>
      <c r="L98" s="578"/>
      <c r="M98" s="578"/>
      <c r="N98" s="578"/>
      <c r="O98" s="578"/>
      <c r="P98" s="578"/>
      <c r="Q98" s="578"/>
      <c r="R98" s="578"/>
      <c r="S98" s="578"/>
      <c r="T98" s="578"/>
      <c r="U98" s="578"/>
      <c r="V98" s="578"/>
      <c r="W98" s="578"/>
      <c r="X98" s="578"/>
      <c r="Y98" s="578"/>
      <c r="Z98" s="578"/>
      <c r="AA98" s="578"/>
      <c r="AB98" s="578"/>
      <c r="AC98" s="578"/>
      <c r="AD98" s="578"/>
      <c r="AE98" s="578"/>
      <c r="AF98" s="578"/>
      <c r="AG98" s="578"/>
      <c r="AH98" s="548"/>
      <c r="AI98" s="548"/>
      <c r="AJ98" s="548"/>
      <c r="AK98" s="548"/>
      <c r="AL98" s="548"/>
      <c r="AM98" s="548"/>
      <c r="AN98" s="548"/>
      <c r="AO98" s="548"/>
      <c r="AP98" s="548"/>
      <c r="AQ98" s="548"/>
      <c r="AR98" s="548"/>
      <c r="AS98" s="548"/>
      <c r="AT98" s="548"/>
      <c r="AU98" s="548"/>
      <c r="AV98" s="548"/>
      <c r="AW98" s="548"/>
      <c r="AX98" s="548"/>
      <c r="AY98" s="548"/>
      <c r="AZ98" s="548"/>
      <c r="BA98" s="548"/>
      <c r="BB98" s="548"/>
      <c r="BC98" s="548"/>
      <c r="BD98" s="569"/>
      <c r="BE98" s="569"/>
      <c r="BF98" s="569"/>
      <c r="BG98" s="569"/>
      <c r="BH98" s="569"/>
      <c r="BI98" s="569"/>
      <c r="BJ98" s="569"/>
      <c r="BK98" s="569"/>
      <c r="BL98" s="569"/>
      <c r="BM98" s="569"/>
      <c r="BN98" s="569"/>
      <c r="BO98" s="569"/>
      <c r="BP98" s="569"/>
      <c r="BQ98" s="569"/>
      <c r="BR98" s="569"/>
      <c r="BS98" s="569"/>
      <c r="BT98" s="569"/>
      <c r="BU98" s="569"/>
      <c r="BV98" s="569"/>
      <c r="BW98" s="569"/>
      <c r="BX98" s="569"/>
      <c r="BY98" s="569"/>
      <c r="BZ98" s="569"/>
      <c r="CA98" s="569"/>
      <c r="CB98" s="569"/>
      <c r="CC98" s="569"/>
      <c r="CD98" s="569"/>
      <c r="CE98" s="569"/>
      <c r="CF98" s="569"/>
      <c r="CG98" s="569"/>
      <c r="CH98" s="569"/>
      <c r="CI98" s="569"/>
      <c r="CJ98" s="569"/>
      <c r="CK98" s="569"/>
      <c r="CL98" s="569"/>
      <c r="CM98" s="569"/>
      <c r="CN98" s="569"/>
      <c r="CO98" s="569"/>
      <c r="CP98" s="569"/>
      <c r="CQ98" s="569"/>
      <c r="CR98" s="569"/>
      <c r="CS98" s="569"/>
      <c r="CT98" s="569"/>
      <c r="CU98" s="569"/>
      <c r="CV98" s="569"/>
      <c r="CW98" s="569"/>
      <c r="CX98" s="569"/>
      <c r="CY98" s="569"/>
      <c r="CZ98" s="569"/>
      <c r="DA98" s="569"/>
      <c r="DB98" s="569"/>
      <c r="DC98" s="569"/>
      <c r="DD98" s="569"/>
      <c r="DE98" s="569"/>
      <c r="DF98" s="569"/>
      <c r="DG98" s="569"/>
      <c r="DH98" s="569"/>
      <c r="DI98" s="569"/>
      <c r="DJ98" s="569"/>
      <c r="DK98" s="569"/>
      <c r="DL98" s="569"/>
      <c r="DM98" s="569"/>
      <c r="DN98" s="569"/>
      <c r="DO98" s="569"/>
      <c r="DP98" s="569"/>
      <c r="DQ98" s="569"/>
      <c r="DR98" s="569"/>
      <c r="DS98" s="569"/>
      <c r="DT98" s="569"/>
      <c r="DU98" s="569"/>
      <c r="DV98" s="569"/>
      <c r="DW98" s="569"/>
      <c r="DX98" s="569"/>
      <c r="DY98" s="569"/>
      <c r="DZ98" s="569"/>
      <c r="EA98" s="569"/>
      <c r="EB98" s="569"/>
      <c r="EC98" s="569"/>
      <c r="ED98" s="569"/>
      <c r="EE98" s="569"/>
      <c r="EF98" s="569"/>
      <c r="EG98" s="569"/>
      <c r="EH98" s="569"/>
      <c r="EI98" s="569"/>
      <c r="EJ98" s="569"/>
      <c r="EK98" s="569"/>
      <c r="EL98" s="569"/>
      <c r="EM98" s="569"/>
      <c r="EN98" s="569"/>
      <c r="EO98" s="569"/>
      <c r="EP98" s="569"/>
      <c r="EQ98" s="569"/>
      <c r="ER98" s="569"/>
      <c r="ES98" s="569"/>
      <c r="ET98" s="569"/>
      <c r="EU98" s="569"/>
      <c r="EV98" s="569"/>
      <c r="EW98" s="569"/>
      <c r="EX98" s="569"/>
      <c r="EY98" s="569"/>
      <c r="EZ98" s="569"/>
      <c r="FA98" s="569"/>
      <c r="FB98" s="569"/>
      <c r="FC98" s="569"/>
      <c r="FD98" s="569"/>
      <c r="FE98" s="569"/>
      <c r="FF98" s="569"/>
      <c r="FG98" s="569"/>
      <c r="FH98" s="569"/>
      <c r="FI98" s="569"/>
      <c r="FJ98" s="569"/>
      <c r="FK98" s="569"/>
      <c r="FL98" s="569"/>
      <c r="FM98" s="569"/>
      <c r="FN98" s="569"/>
      <c r="FO98" s="569"/>
      <c r="FP98" s="569"/>
      <c r="FQ98" s="569"/>
      <c r="FR98" s="569"/>
      <c r="FS98" s="569"/>
      <c r="FT98" s="569"/>
      <c r="FU98" s="569"/>
      <c r="FV98" s="569"/>
      <c r="FW98" s="569"/>
      <c r="FX98" s="569"/>
      <c r="FY98" s="569"/>
      <c r="FZ98" s="569"/>
      <c r="GA98" s="569"/>
      <c r="GB98" s="569"/>
      <c r="GC98" s="569"/>
      <c r="GD98" s="569"/>
      <c r="GE98" s="569"/>
      <c r="GF98" s="569"/>
      <c r="GG98" s="569"/>
      <c r="GH98" s="569"/>
      <c r="GI98" s="569"/>
      <c r="GJ98" s="569"/>
      <c r="GK98" s="569"/>
      <c r="GL98" s="569"/>
      <c r="GM98" s="569"/>
      <c r="GN98" s="569"/>
      <c r="GO98" s="569"/>
      <c r="GP98" s="569"/>
      <c r="GQ98" s="569"/>
      <c r="GR98" s="569"/>
      <c r="GS98" s="569"/>
      <c r="GT98" s="569"/>
    </row>
    <row r="99" spans="2:202" s="554" customFormat="1">
      <c r="B99" s="578"/>
      <c r="C99" s="578"/>
      <c r="D99" s="578"/>
      <c r="E99" s="578"/>
      <c r="F99" s="578"/>
      <c r="G99" s="578"/>
      <c r="H99" s="578"/>
      <c r="I99" s="578"/>
      <c r="J99" s="578"/>
      <c r="K99" s="578"/>
      <c r="L99" s="578"/>
      <c r="M99" s="578"/>
      <c r="N99" s="578"/>
      <c r="O99" s="578"/>
      <c r="P99" s="578"/>
      <c r="Q99" s="578"/>
      <c r="R99" s="578"/>
      <c r="S99" s="578"/>
      <c r="T99" s="578"/>
      <c r="U99" s="578"/>
      <c r="V99" s="578"/>
      <c r="W99" s="578"/>
      <c r="X99" s="578"/>
      <c r="Y99" s="578"/>
      <c r="Z99" s="578"/>
      <c r="AA99" s="578"/>
      <c r="AB99" s="578"/>
      <c r="AC99" s="578"/>
      <c r="AD99" s="578"/>
      <c r="AE99" s="578"/>
      <c r="AF99" s="578"/>
      <c r="AG99" s="578"/>
      <c r="AH99" s="548"/>
      <c r="AI99" s="548"/>
      <c r="AJ99" s="548"/>
      <c r="AK99" s="548"/>
      <c r="AL99" s="548"/>
      <c r="AM99" s="548"/>
      <c r="AN99" s="548"/>
      <c r="AO99" s="548"/>
      <c r="AP99" s="548"/>
      <c r="AQ99" s="548"/>
      <c r="AR99" s="548"/>
      <c r="AS99" s="548"/>
      <c r="AT99" s="548"/>
      <c r="AU99" s="548"/>
      <c r="AV99" s="548"/>
      <c r="AW99" s="548"/>
      <c r="AX99" s="548"/>
      <c r="AY99" s="548"/>
      <c r="AZ99" s="548"/>
      <c r="BA99" s="548"/>
      <c r="BB99" s="548"/>
      <c r="BC99" s="548"/>
      <c r="BD99" s="569"/>
      <c r="BE99" s="569"/>
      <c r="BF99" s="569"/>
      <c r="BG99" s="569"/>
      <c r="BH99" s="569"/>
      <c r="BI99" s="569"/>
      <c r="BJ99" s="569"/>
      <c r="BK99" s="569"/>
      <c r="BL99" s="569"/>
      <c r="BM99" s="569"/>
      <c r="BN99" s="569"/>
      <c r="BO99" s="569"/>
      <c r="BP99" s="569"/>
      <c r="BQ99" s="569"/>
      <c r="BR99" s="569"/>
      <c r="BS99" s="569"/>
      <c r="BT99" s="569"/>
      <c r="BU99" s="569"/>
      <c r="BV99" s="569"/>
      <c r="BW99" s="569"/>
      <c r="BX99" s="569"/>
      <c r="BY99" s="569"/>
      <c r="BZ99" s="569"/>
      <c r="CA99" s="569"/>
      <c r="CB99" s="569"/>
      <c r="CC99" s="569"/>
      <c r="CD99" s="569"/>
      <c r="CE99" s="569"/>
      <c r="CF99" s="569"/>
      <c r="CG99" s="569"/>
      <c r="CH99" s="569"/>
      <c r="CI99" s="569"/>
      <c r="CJ99" s="569"/>
      <c r="CK99" s="569"/>
      <c r="CL99" s="569"/>
      <c r="CM99" s="569"/>
      <c r="CN99" s="569"/>
      <c r="CO99" s="569"/>
      <c r="CP99" s="569"/>
      <c r="CQ99" s="569"/>
      <c r="CR99" s="569"/>
      <c r="CS99" s="569"/>
      <c r="CT99" s="569"/>
      <c r="CU99" s="569"/>
      <c r="CV99" s="569"/>
      <c r="CW99" s="569"/>
      <c r="CX99" s="569"/>
      <c r="CY99" s="569"/>
      <c r="CZ99" s="569"/>
      <c r="DA99" s="569"/>
      <c r="DB99" s="569"/>
      <c r="DC99" s="569"/>
      <c r="DD99" s="569"/>
      <c r="DE99" s="569"/>
      <c r="DF99" s="569"/>
      <c r="DG99" s="569"/>
      <c r="DH99" s="569"/>
      <c r="DI99" s="569"/>
      <c r="DJ99" s="569"/>
      <c r="DK99" s="569"/>
      <c r="DL99" s="569"/>
      <c r="DM99" s="569"/>
      <c r="DN99" s="569"/>
      <c r="DO99" s="569"/>
      <c r="DP99" s="569"/>
      <c r="DQ99" s="569"/>
      <c r="DR99" s="569"/>
      <c r="DS99" s="569"/>
      <c r="DT99" s="569"/>
      <c r="DU99" s="569"/>
      <c r="DV99" s="569"/>
      <c r="DW99" s="569"/>
      <c r="DX99" s="569"/>
      <c r="DY99" s="569"/>
      <c r="DZ99" s="569"/>
      <c r="EA99" s="569"/>
      <c r="EB99" s="569"/>
      <c r="EC99" s="569"/>
      <c r="ED99" s="569"/>
      <c r="EE99" s="569"/>
      <c r="EF99" s="569"/>
      <c r="EG99" s="569"/>
      <c r="EH99" s="569"/>
      <c r="EI99" s="569"/>
      <c r="EJ99" s="569"/>
      <c r="EK99" s="569"/>
      <c r="EL99" s="569"/>
      <c r="EM99" s="569"/>
      <c r="EN99" s="569"/>
      <c r="EO99" s="569"/>
      <c r="EP99" s="569"/>
      <c r="EQ99" s="569"/>
      <c r="ER99" s="569"/>
      <c r="ES99" s="569"/>
      <c r="ET99" s="569"/>
      <c r="EU99" s="569"/>
      <c r="EV99" s="569"/>
      <c r="EW99" s="569"/>
      <c r="EX99" s="569"/>
      <c r="EY99" s="569"/>
      <c r="EZ99" s="569"/>
      <c r="FA99" s="569"/>
      <c r="FB99" s="569"/>
      <c r="FC99" s="569"/>
      <c r="FD99" s="569"/>
      <c r="FE99" s="569"/>
      <c r="FF99" s="569"/>
      <c r="FG99" s="569"/>
      <c r="FH99" s="569"/>
      <c r="FI99" s="569"/>
      <c r="FJ99" s="569"/>
      <c r="FK99" s="569"/>
      <c r="FL99" s="569"/>
      <c r="FM99" s="569"/>
      <c r="FN99" s="569"/>
      <c r="FO99" s="569"/>
      <c r="FP99" s="569"/>
      <c r="FQ99" s="569"/>
      <c r="FR99" s="569"/>
      <c r="FS99" s="569"/>
      <c r="FT99" s="569"/>
      <c r="FU99" s="569"/>
      <c r="FV99" s="569"/>
      <c r="FW99" s="569"/>
      <c r="FX99" s="569"/>
      <c r="FY99" s="569"/>
      <c r="FZ99" s="569"/>
      <c r="GA99" s="569"/>
      <c r="GB99" s="569"/>
      <c r="GC99" s="569"/>
      <c r="GD99" s="569"/>
      <c r="GE99" s="569"/>
      <c r="GF99" s="569"/>
      <c r="GG99" s="569"/>
      <c r="GH99" s="569"/>
      <c r="GI99" s="569"/>
      <c r="GJ99" s="569"/>
      <c r="GK99" s="569"/>
      <c r="GL99" s="569"/>
      <c r="GM99" s="569"/>
      <c r="GN99" s="569"/>
      <c r="GO99" s="569"/>
      <c r="GP99" s="569"/>
      <c r="GQ99" s="569"/>
      <c r="GR99" s="569"/>
      <c r="GS99" s="569"/>
      <c r="GT99" s="569"/>
    </row>
    <row r="100" spans="2:202" s="554" customFormat="1">
      <c r="B100" s="578"/>
      <c r="C100" s="578"/>
      <c r="D100" s="578"/>
      <c r="E100" s="578"/>
      <c r="F100" s="578"/>
      <c r="G100" s="578"/>
      <c r="H100" s="578"/>
      <c r="I100" s="578"/>
      <c r="J100" s="578"/>
      <c r="K100" s="578"/>
      <c r="L100" s="578"/>
      <c r="M100" s="578"/>
      <c r="N100" s="578"/>
      <c r="O100" s="578"/>
      <c r="P100" s="578"/>
      <c r="Q100" s="578"/>
      <c r="R100" s="578"/>
      <c r="S100" s="578"/>
      <c r="T100" s="578"/>
      <c r="U100" s="578"/>
      <c r="V100" s="578"/>
      <c r="W100" s="578"/>
      <c r="X100" s="578"/>
      <c r="Y100" s="578"/>
      <c r="Z100" s="578"/>
      <c r="AA100" s="578"/>
      <c r="AB100" s="578"/>
      <c r="AC100" s="578"/>
      <c r="AD100" s="578"/>
      <c r="AE100" s="578"/>
      <c r="AF100" s="578"/>
      <c r="AG100" s="578"/>
      <c r="AH100" s="548"/>
      <c r="AI100" s="548"/>
      <c r="AJ100" s="548"/>
      <c r="AK100" s="548"/>
      <c r="AL100" s="548"/>
      <c r="AM100" s="548"/>
      <c r="AN100" s="548"/>
      <c r="AO100" s="548"/>
      <c r="AP100" s="548"/>
      <c r="AQ100" s="548"/>
      <c r="AR100" s="548"/>
      <c r="AS100" s="548"/>
      <c r="AT100" s="548"/>
      <c r="AU100" s="548"/>
      <c r="AV100" s="548"/>
      <c r="AW100" s="548"/>
      <c r="AX100" s="548"/>
      <c r="AY100" s="548"/>
      <c r="AZ100" s="548"/>
      <c r="BA100" s="548"/>
      <c r="BB100" s="548"/>
      <c r="BC100" s="548"/>
      <c r="BD100" s="569"/>
      <c r="BE100" s="569"/>
      <c r="BF100" s="569"/>
      <c r="BG100" s="569"/>
      <c r="BH100" s="569"/>
      <c r="BI100" s="569"/>
      <c r="BJ100" s="569"/>
      <c r="BK100" s="569"/>
      <c r="BL100" s="569"/>
      <c r="BM100" s="569"/>
      <c r="BN100" s="569"/>
      <c r="BO100" s="569"/>
      <c r="BP100" s="569"/>
      <c r="BQ100" s="569"/>
      <c r="BR100" s="569"/>
      <c r="BS100" s="569"/>
      <c r="BT100" s="569"/>
      <c r="BU100" s="569"/>
      <c r="BV100" s="569"/>
      <c r="BW100" s="569"/>
      <c r="BX100" s="569"/>
      <c r="BY100" s="569"/>
      <c r="BZ100" s="569"/>
      <c r="CA100" s="569"/>
      <c r="CB100" s="569"/>
      <c r="CC100" s="569"/>
      <c r="CD100" s="569"/>
      <c r="CE100" s="569"/>
      <c r="CF100" s="569"/>
      <c r="CG100" s="569"/>
      <c r="CH100" s="569"/>
      <c r="CI100" s="569"/>
      <c r="CJ100" s="569"/>
      <c r="CK100" s="569"/>
      <c r="CL100" s="569"/>
      <c r="CM100" s="569"/>
      <c r="CN100" s="569"/>
      <c r="CO100" s="569"/>
      <c r="CP100" s="569"/>
      <c r="CQ100" s="569"/>
      <c r="CR100" s="569"/>
      <c r="CS100" s="569"/>
      <c r="CT100" s="569"/>
      <c r="CU100" s="569"/>
      <c r="CV100" s="569"/>
      <c r="CW100" s="569"/>
      <c r="CX100" s="569"/>
      <c r="CY100" s="569"/>
      <c r="CZ100" s="569"/>
      <c r="DA100" s="569"/>
      <c r="DB100" s="569"/>
      <c r="DC100" s="569"/>
      <c r="DD100" s="569"/>
      <c r="DE100" s="569"/>
      <c r="DF100" s="569"/>
      <c r="DG100" s="569"/>
      <c r="DH100" s="569"/>
      <c r="DI100" s="569"/>
      <c r="DJ100" s="569"/>
      <c r="DK100" s="569"/>
      <c r="DL100" s="569"/>
      <c r="DM100" s="569"/>
      <c r="DN100" s="569"/>
      <c r="DO100" s="569"/>
      <c r="DP100" s="569"/>
      <c r="DQ100" s="569"/>
      <c r="DR100" s="569"/>
      <c r="DS100" s="569"/>
      <c r="DT100" s="569"/>
      <c r="DU100" s="569"/>
      <c r="DV100" s="569"/>
      <c r="DW100" s="569"/>
      <c r="DX100" s="569"/>
      <c r="DY100" s="569"/>
      <c r="DZ100" s="569"/>
      <c r="EA100" s="569"/>
      <c r="EB100" s="569"/>
      <c r="EC100" s="569"/>
      <c r="ED100" s="569"/>
      <c r="EE100" s="569"/>
      <c r="EF100" s="569"/>
      <c r="EG100" s="569"/>
      <c r="EH100" s="569"/>
      <c r="EI100" s="569"/>
      <c r="EJ100" s="569"/>
      <c r="EK100" s="569"/>
      <c r="EL100" s="569"/>
      <c r="EM100" s="569"/>
      <c r="EN100" s="569"/>
      <c r="EO100" s="569"/>
      <c r="EP100" s="569"/>
      <c r="EQ100" s="569"/>
      <c r="ER100" s="569"/>
      <c r="ES100" s="569"/>
      <c r="ET100" s="569"/>
      <c r="EU100" s="569"/>
      <c r="EV100" s="569"/>
      <c r="EW100" s="569"/>
      <c r="EX100" s="569"/>
      <c r="EY100" s="569"/>
      <c r="EZ100" s="569"/>
      <c r="FA100" s="569"/>
      <c r="FB100" s="569"/>
      <c r="FC100" s="569"/>
      <c r="FD100" s="569"/>
      <c r="FE100" s="569"/>
      <c r="FF100" s="569"/>
      <c r="FG100" s="569"/>
      <c r="FH100" s="569"/>
      <c r="FI100" s="569"/>
      <c r="FJ100" s="569"/>
      <c r="FK100" s="569"/>
      <c r="FL100" s="569"/>
      <c r="FM100" s="569"/>
      <c r="FN100" s="569"/>
      <c r="FO100" s="569"/>
      <c r="FP100" s="569"/>
      <c r="FQ100" s="569"/>
      <c r="FR100" s="569"/>
      <c r="FS100" s="569"/>
      <c r="FT100" s="569"/>
      <c r="FU100" s="569"/>
      <c r="FV100" s="569"/>
      <c r="FW100" s="569"/>
      <c r="FX100" s="569"/>
      <c r="FY100" s="569"/>
      <c r="FZ100" s="569"/>
      <c r="GA100" s="569"/>
      <c r="GB100" s="569"/>
      <c r="GC100" s="569"/>
      <c r="GD100" s="569"/>
      <c r="GE100" s="569"/>
      <c r="GF100" s="569"/>
      <c r="GG100" s="569"/>
      <c r="GH100" s="569"/>
      <c r="GI100" s="569"/>
      <c r="GJ100" s="569"/>
      <c r="GK100" s="569"/>
      <c r="GL100" s="569"/>
      <c r="GM100" s="569"/>
      <c r="GN100" s="569"/>
      <c r="GO100" s="569"/>
      <c r="GP100" s="569"/>
      <c r="GQ100" s="569"/>
      <c r="GR100" s="569"/>
      <c r="GS100" s="569"/>
      <c r="GT100" s="569"/>
    </row>
    <row r="101" spans="2:202" s="554" customFormat="1">
      <c r="B101" s="578"/>
      <c r="C101" s="578"/>
      <c r="D101" s="578"/>
      <c r="E101" s="578"/>
      <c r="F101" s="578"/>
      <c r="G101" s="578"/>
      <c r="H101" s="578"/>
      <c r="I101" s="578"/>
      <c r="J101" s="578"/>
      <c r="K101" s="578"/>
      <c r="L101" s="578"/>
      <c r="M101" s="578"/>
      <c r="N101" s="578"/>
      <c r="O101" s="578"/>
      <c r="P101" s="578"/>
      <c r="Q101" s="578"/>
      <c r="R101" s="578"/>
      <c r="S101" s="578"/>
      <c r="T101" s="578"/>
      <c r="U101" s="578"/>
      <c r="V101" s="578"/>
      <c r="W101" s="578"/>
      <c r="X101" s="578"/>
      <c r="Y101" s="578"/>
      <c r="Z101" s="578"/>
      <c r="AA101" s="578"/>
      <c r="AB101" s="578"/>
      <c r="AC101" s="578"/>
      <c r="AD101" s="578"/>
      <c r="AE101" s="578"/>
      <c r="AF101" s="578"/>
      <c r="AG101" s="578"/>
      <c r="AH101" s="548"/>
      <c r="AI101" s="548"/>
      <c r="AJ101" s="548"/>
      <c r="AK101" s="548"/>
      <c r="AL101" s="548"/>
      <c r="AM101" s="548"/>
      <c r="AN101" s="548"/>
      <c r="AO101" s="548"/>
      <c r="AP101" s="548"/>
      <c r="AQ101" s="548"/>
      <c r="AR101" s="548"/>
      <c r="AS101" s="548"/>
      <c r="AT101" s="548"/>
      <c r="AU101" s="548"/>
      <c r="AV101" s="548"/>
      <c r="AW101" s="548"/>
      <c r="AX101" s="548"/>
      <c r="AY101" s="548"/>
      <c r="AZ101" s="548"/>
      <c r="BA101" s="548"/>
      <c r="BB101" s="548"/>
      <c r="BC101" s="548"/>
      <c r="BD101" s="569"/>
      <c r="BE101" s="569"/>
      <c r="BF101" s="569"/>
      <c r="BG101" s="569"/>
      <c r="BH101" s="569"/>
      <c r="BI101" s="569"/>
      <c r="BJ101" s="569"/>
      <c r="BK101" s="569"/>
      <c r="BL101" s="569"/>
      <c r="BM101" s="569"/>
      <c r="BN101" s="569"/>
      <c r="BO101" s="569"/>
      <c r="BP101" s="569"/>
      <c r="BQ101" s="569"/>
      <c r="BR101" s="569"/>
      <c r="BS101" s="569"/>
      <c r="BT101" s="569"/>
      <c r="BU101" s="569"/>
      <c r="BV101" s="569"/>
      <c r="BW101" s="569"/>
      <c r="BX101" s="569"/>
      <c r="BY101" s="569"/>
      <c r="BZ101" s="569"/>
      <c r="CA101" s="569"/>
      <c r="CB101" s="569"/>
      <c r="CC101" s="569"/>
      <c r="CD101" s="569"/>
      <c r="CE101" s="569"/>
      <c r="CF101" s="569"/>
      <c r="CG101" s="569"/>
      <c r="CH101" s="569"/>
      <c r="CI101" s="569"/>
      <c r="CJ101" s="569"/>
      <c r="CK101" s="569"/>
      <c r="CL101" s="569"/>
      <c r="CM101" s="569"/>
      <c r="CN101" s="569"/>
      <c r="CO101" s="569"/>
      <c r="CP101" s="569"/>
      <c r="CQ101" s="569"/>
      <c r="CR101" s="569"/>
      <c r="CS101" s="569"/>
      <c r="CT101" s="569"/>
      <c r="CU101" s="569"/>
      <c r="CV101" s="569"/>
      <c r="CW101" s="569"/>
      <c r="CX101" s="569"/>
      <c r="CY101" s="569"/>
      <c r="CZ101" s="569"/>
      <c r="DA101" s="569"/>
      <c r="DB101" s="569"/>
      <c r="DC101" s="569"/>
      <c r="DD101" s="569"/>
      <c r="DE101" s="569"/>
      <c r="DF101" s="569"/>
      <c r="DG101" s="569"/>
      <c r="DH101" s="569"/>
      <c r="DI101" s="569"/>
      <c r="DJ101" s="569"/>
      <c r="DK101" s="569"/>
      <c r="DL101" s="569"/>
      <c r="DM101" s="569"/>
      <c r="DN101" s="569"/>
      <c r="DO101" s="569"/>
      <c r="DP101" s="569"/>
      <c r="DQ101" s="569"/>
      <c r="DR101" s="569"/>
      <c r="DS101" s="569"/>
      <c r="DT101" s="569"/>
      <c r="DU101" s="569"/>
      <c r="DV101" s="569"/>
      <c r="DW101" s="569"/>
      <c r="DX101" s="569"/>
      <c r="DY101" s="569"/>
      <c r="DZ101" s="569"/>
      <c r="EA101" s="569"/>
      <c r="EB101" s="569"/>
      <c r="EC101" s="569"/>
      <c r="ED101" s="569"/>
      <c r="EE101" s="569"/>
      <c r="EF101" s="569"/>
      <c r="EG101" s="569"/>
      <c r="EH101" s="569"/>
      <c r="EI101" s="569"/>
      <c r="EJ101" s="569"/>
      <c r="EK101" s="569"/>
      <c r="EL101" s="569"/>
      <c r="EM101" s="569"/>
      <c r="EN101" s="569"/>
      <c r="EO101" s="569"/>
      <c r="EP101" s="569"/>
      <c r="EQ101" s="569"/>
      <c r="ER101" s="569"/>
      <c r="ES101" s="569"/>
      <c r="ET101" s="569"/>
      <c r="EU101" s="569"/>
      <c r="EV101" s="569"/>
      <c r="EW101" s="569"/>
      <c r="EX101" s="569"/>
      <c r="EY101" s="569"/>
      <c r="EZ101" s="569"/>
      <c r="FA101" s="569"/>
      <c r="FB101" s="569"/>
      <c r="FC101" s="569"/>
      <c r="FD101" s="569"/>
      <c r="FE101" s="569"/>
      <c r="FF101" s="569"/>
      <c r="FG101" s="569"/>
      <c r="FH101" s="569"/>
      <c r="FI101" s="569"/>
      <c r="FJ101" s="569"/>
      <c r="FK101" s="569"/>
      <c r="FL101" s="569"/>
      <c r="FM101" s="569"/>
      <c r="FN101" s="569"/>
      <c r="FO101" s="569"/>
      <c r="FP101" s="569"/>
      <c r="FQ101" s="569"/>
      <c r="FR101" s="569"/>
      <c r="FS101" s="569"/>
      <c r="FT101" s="569"/>
      <c r="FU101" s="569"/>
      <c r="FV101" s="569"/>
      <c r="FW101" s="569"/>
      <c r="FX101" s="569"/>
      <c r="FY101" s="569"/>
      <c r="FZ101" s="569"/>
      <c r="GA101" s="569"/>
      <c r="GB101" s="569"/>
      <c r="GC101" s="569"/>
      <c r="GD101" s="569"/>
      <c r="GE101" s="569"/>
      <c r="GF101" s="569"/>
      <c r="GG101" s="569"/>
      <c r="GH101" s="569"/>
      <c r="GI101" s="569"/>
      <c r="GJ101" s="569"/>
      <c r="GK101" s="569"/>
      <c r="GL101" s="569"/>
      <c r="GM101" s="569"/>
      <c r="GN101" s="569"/>
      <c r="GO101" s="569"/>
      <c r="GP101" s="569"/>
      <c r="GQ101" s="569"/>
      <c r="GR101" s="569"/>
      <c r="GS101" s="569"/>
      <c r="GT101" s="569"/>
    </row>
    <row r="102" spans="2:202" s="554" customFormat="1">
      <c r="B102" s="578"/>
      <c r="C102" s="578"/>
      <c r="D102" s="578"/>
      <c r="E102" s="578"/>
      <c r="F102" s="578"/>
      <c r="G102" s="578"/>
      <c r="H102" s="578"/>
      <c r="I102" s="578"/>
      <c r="J102" s="578"/>
      <c r="K102" s="578"/>
      <c r="L102" s="578"/>
      <c r="M102" s="578"/>
      <c r="N102" s="578"/>
      <c r="O102" s="578"/>
      <c r="P102" s="578"/>
      <c r="Q102" s="578"/>
      <c r="R102" s="578"/>
      <c r="S102" s="578"/>
      <c r="T102" s="578"/>
      <c r="U102" s="578"/>
      <c r="V102" s="578"/>
      <c r="W102" s="578"/>
      <c r="X102" s="578"/>
      <c r="Y102" s="578"/>
      <c r="Z102" s="578"/>
      <c r="AA102" s="578"/>
      <c r="AB102" s="578"/>
      <c r="AC102" s="578"/>
      <c r="AD102" s="578"/>
      <c r="AE102" s="578"/>
      <c r="AF102" s="578"/>
      <c r="AG102" s="578"/>
      <c r="AH102" s="548"/>
      <c r="AI102" s="548"/>
      <c r="AJ102" s="548"/>
      <c r="AK102" s="548"/>
      <c r="AL102" s="548"/>
      <c r="AM102" s="548"/>
      <c r="AN102" s="548"/>
      <c r="AO102" s="548"/>
      <c r="AP102" s="548"/>
      <c r="AQ102" s="548"/>
      <c r="AR102" s="548"/>
      <c r="AS102" s="548"/>
      <c r="AT102" s="548"/>
      <c r="AU102" s="548"/>
      <c r="AV102" s="548"/>
      <c r="AW102" s="548"/>
      <c r="AX102" s="548"/>
      <c r="AY102" s="548"/>
      <c r="AZ102" s="548"/>
      <c r="BA102" s="548"/>
      <c r="BB102" s="548"/>
      <c r="BC102" s="548"/>
      <c r="BD102" s="569"/>
      <c r="BE102" s="569"/>
      <c r="BF102" s="569"/>
      <c r="BG102" s="569"/>
      <c r="BH102" s="569"/>
      <c r="BI102" s="569"/>
      <c r="BJ102" s="569"/>
      <c r="BK102" s="569"/>
      <c r="BL102" s="569"/>
      <c r="BM102" s="569"/>
      <c r="BN102" s="569"/>
      <c r="BO102" s="569"/>
      <c r="BP102" s="569"/>
      <c r="BQ102" s="569"/>
      <c r="BR102" s="569"/>
      <c r="BS102" s="569"/>
      <c r="BT102" s="569"/>
      <c r="BU102" s="569"/>
      <c r="BV102" s="569"/>
      <c r="BW102" s="569"/>
      <c r="BX102" s="569"/>
      <c r="BY102" s="569"/>
      <c r="BZ102" s="569"/>
      <c r="CA102" s="569"/>
      <c r="CB102" s="569"/>
      <c r="CC102" s="569"/>
      <c r="CD102" s="569"/>
      <c r="CE102" s="569"/>
      <c r="CF102" s="569"/>
      <c r="CG102" s="569"/>
      <c r="CH102" s="569"/>
      <c r="CI102" s="569"/>
      <c r="CJ102" s="569"/>
      <c r="CK102" s="569"/>
      <c r="CL102" s="569"/>
      <c r="CM102" s="569"/>
      <c r="CN102" s="569"/>
      <c r="CO102" s="569"/>
      <c r="CP102" s="569"/>
      <c r="CQ102" s="569"/>
      <c r="CR102" s="569"/>
      <c r="CS102" s="569"/>
      <c r="CT102" s="569"/>
      <c r="CU102" s="569"/>
      <c r="CV102" s="569"/>
      <c r="CW102" s="569"/>
      <c r="CX102" s="569"/>
      <c r="CY102" s="569"/>
      <c r="CZ102" s="569"/>
      <c r="DA102" s="569"/>
      <c r="DB102" s="569"/>
      <c r="DC102" s="569"/>
      <c r="DD102" s="569"/>
      <c r="DE102" s="569"/>
      <c r="DF102" s="569"/>
      <c r="DG102" s="569"/>
      <c r="DH102" s="569"/>
      <c r="DI102" s="569"/>
      <c r="DJ102" s="569"/>
      <c r="DK102" s="569"/>
      <c r="DL102" s="569"/>
      <c r="DM102" s="569"/>
      <c r="DN102" s="569"/>
      <c r="DO102" s="569"/>
      <c r="DP102" s="569"/>
      <c r="DQ102" s="569"/>
      <c r="DR102" s="569"/>
      <c r="DS102" s="569"/>
      <c r="DT102" s="569"/>
      <c r="DU102" s="569"/>
      <c r="DV102" s="569"/>
      <c r="DW102" s="569"/>
      <c r="DX102" s="569"/>
      <c r="DY102" s="569"/>
      <c r="DZ102" s="569"/>
      <c r="EA102" s="569"/>
      <c r="EB102" s="569"/>
      <c r="EC102" s="569"/>
      <c r="ED102" s="569"/>
      <c r="EE102" s="569"/>
      <c r="EF102" s="569"/>
      <c r="EG102" s="569"/>
      <c r="EH102" s="569"/>
      <c r="EI102" s="569"/>
      <c r="EJ102" s="569"/>
      <c r="EK102" s="569"/>
      <c r="EL102" s="569"/>
      <c r="EM102" s="569"/>
      <c r="EN102" s="569"/>
      <c r="EO102" s="569"/>
      <c r="EP102" s="569"/>
      <c r="EQ102" s="569"/>
      <c r="ER102" s="569"/>
      <c r="ES102" s="569"/>
      <c r="ET102" s="569"/>
      <c r="EU102" s="569"/>
      <c r="EV102" s="569"/>
      <c r="EW102" s="569"/>
      <c r="EX102" s="569"/>
      <c r="EY102" s="569"/>
      <c r="EZ102" s="569"/>
      <c r="FA102" s="569"/>
      <c r="FB102" s="569"/>
      <c r="FC102" s="569"/>
      <c r="FD102" s="569"/>
      <c r="FE102" s="569"/>
      <c r="FF102" s="569"/>
      <c r="FG102" s="569"/>
      <c r="FH102" s="569"/>
      <c r="FI102" s="569"/>
      <c r="FJ102" s="569"/>
      <c r="FK102" s="569"/>
      <c r="FL102" s="569"/>
      <c r="FM102" s="569"/>
      <c r="FN102" s="569"/>
      <c r="FO102" s="569"/>
      <c r="FP102" s="569"/>
      <c r="FQ102" s="569"/>
      <c r="FR102" s="569"/>
      <c r="FS102" s="569"/>
      <c r="FT102" s="569"/>
      <c r="FU102" s="569"/>
      <c r="FV102" s="569"/>
      <c r="FW102" s="569"/>
      <c r="FX102" s="569"/>
      <c r="FY102" s="569"/>
      <c r="FZ102" s="569"/>
      <c r="GA102" s="569"/>
      <c r="GB102" s="569"/>
      <c r="GC102" s="569"/>
      <c r="GD102" s="569"/>
      <c r="GE102" s="569"/>
      <c r="GF102" s="569"/>
      <c r="GG102" s="569"/>
      <c r="GH102" s="569"/>
      <c r="GI102" s="569"/>
      <c r="GJ102" s="569"/>
      <c r="GK102" s="569"/>
      <c r="GL102" s="569"/>
      <c r="GM102" s="569"/>
      <c r="GN102" s="569"/>
      <c r="GO102" s="569"/>
      <c r="GP102" s="569"/>
      <c r="GQ102" s="569"/>
      <c r="GR102" s="569"/>
      <c r="GS102" s="569"/>
      <c r="GT102" s="569"/>
    </row>
    <row r="103" spans="2:202" s="554" customFormat="1">
      <c r="B103" s="578"/>
      <c r="C103" s="578"/>
      <c r="D103" s="578"/>
      <c r="E103" s="578"/>
      <c r="F103" s="578"/>
      <c r="G103" s="578"/>
      <c r="H103" s="578"/>
      <c r="I103" s="578"/>
      <c r="J103" s="578"/>
      <c r="K103" s="578"/>
      <c r="L103" s="578"/>
      <c r="M103" s="578"/>
      <c r="N103" s="578"/>
      <c r="O103" s="578"/>
      <c r="P103" s="578"/>
      <c r="Q103" s="578"/>
      <c r="R103" s="578"/>
      <c r="S103" s="578"/>
      <c r="T103" s="578"/>
      <c r="U103" s="578"/>
      <c r="V103" s="578"/>
      <c r="W103" s="578"/>
      <c r="X103" s="578"/>
      <c r="Y103" s="578"/>
      <c r="Z103" s="578"/>
      <c r="AA103" s="578"/>
      <c r="AB103" s="578"/>
      <c r="AC103" s="578"/>
      <c r="AD103" s="578"/>
      <c r="AE103" s="578"/>
      <c r="AF103" s="578"/>
      <c r="AG103" s="578"/>
      <c r="AH103" s="548"/>
      <c r="AI103" s="548"/>
      <c r="AJ103" s="548"/>
      <c r="AK103" s="548"/>
      <c r="AL103" s="548"/>
      <c r="AM103" s="548"/>
      <c r="AN103" s="548"/>
      <c r="AO103" s="548"/>
      <c r="AP103" s="548"/>
      <c r="AQ103" s="548"/>
      <c r="AR103" s="548"/>
      <c r="AS103" s="548"/>
      <c r="AT103" s="548"/>
      <c r="AU103" s="548"/>
      <c r="AV103" s="548"/>
      <c r="AW103" s="548"/>
      <c r="AX103" s="548"/>
      <c r="AY103" s="548"/>
      <c r="AZ103" s="548"/>
      <c r="BA103" s="548"/>
      <c r="BB103" s="548"/>
      <c r="BC103" s="548"/>
      <c r="BD103" s="569"/>
      <c r="BE103" s="569"/>
      <c r="BF103" s="569"/>
      <c r="BG103" s="569"/>
      <c r="BH103" s="569"/>
      <c r="BI103" s="569"/>
      <c r="BJ103" s="569"/>
      <c r="BK103" s="569"/>
      <c r="BL103" s="569"/>
      <c r="BM103" s="569"/>
      <c r="BN103" s="569"/>
      <c r="BO103" s="569"/>
      <c r="BP103" s="569"/>
      <c r="BQ103" s="569"/>
      <c r="BR103" s="569"/>
      <c r="BS103" s="569"/>
      <c r="BT103" s="569"/>
      <c r="BU103" s="569"/>
      <c r="BV103" s="569"/>
      <c r="BW103" s="569"/>
      <c r="BX103" s="569"/>
      <c r="BY103" s="569"/>
      <c r="BZ103" s="569"/>
      <c r="CA103" s="569"/>
      <c r="CB103" s="569"/>
      <c r="CC103" s="569"/>
      <c r="CD103" s="569"/>
      <c r="CE103" s="569"/>
      <c r="CF103" s="569"/>
      <c r="CG103" s="569"/>
      <c r="CH103" s="569"/>
      <c r="CI103" s="569"/>
      <c r="CJ103" s="569"/>
      <c r="CK103" s="569"/>
      <c r="CL103" s="569"/>
      <c r="CM103" s="569"/>
      <c r="CN103" s="569"/>
      <c r="CO103" s="569"/>
      <c r="CP103" s="569"/>
      <c r="CQ103" s="569"/>
      <c r="CR103" s="569"/>
      <c r="CS103" s="569"/>
      <c r="CT103" s="569"/>
      <c r="CU103" s="569"/>
      <c r="CV103" s="569"/>
      <c r="CW103" s="569"/>
      <c r="CX103" s="569"/>
      <c r="CY103" s="569"/>
      <c r="CZ103" s="569"/>
      <c r="DA103" s="569"/>
      <c r="DB103" s="569"/>
      <c r="DC103" s="569"/>
      <c r="DD103" s="569"/>
      <c r="DE103" s="569"/>
      <c r="DF103" s="569"/>
      <c r="DG103" s="569"/>
      <c r="DH103" s="569"/>
      <c r="DI103" s="569"/>
      <c r="DJ103" s="569"/>
      <c r="DK103" s="569"/>
      <c r="DL103" s="569"/>
      <c r="DM103" s="569"/>
      <c r="DN103" s="569"/>
      <c r="DO103" s="569"/>
      <c r="DP103" s="569"/>
      <c r="DQ103" s="569"/>
      <c r="DR103" s="569"/>
      <c r="DS103" s="569"/>
      <c r="DT103" s="569"/>
      <c r="DU103" s="569"/>
      <c r="DV103" s="569"/>
      <c r="DW103" s="569"/>
      <c r="DX103" s="569"/>
      <c r="DY103" s="569"/>
      <c r="DZ103" s="569"/>
      <c r="EA103" s="569"/>
      <c r="EB103" s="569"/>
      <c r="EC103" s="569"/>
      <c r="ED103" s="569"/>
      <c r="EE103" s="569"/>
      <c r="EF103" s="569"/>
      <c r="EG103" s="569"/>
      <c r="EH103" s="569"/>
      <c r="EI103" s="569"/>
      <c r="EJ103" s="569"/>
      <c r="EK103" s="569"/>
      <c r="EL103" s="569"/>
      <c r="EM103" s="569"/>
      <c r="EN103" s="569"/>
      <c r="EO103" s="569"/>
      <c r="EP103" s="569"/>
      <c r="EQ103" s="569"/>
      <c r="ER103" s="569"/>
      <c r="ES103" s="569"/>
      <c r="ET103" s="569"/>
      <c r="EU103" s="569"/>
      <c r="EV103" s="569"/>
      <c r="EW103" s="569"/>
      <c r="EX103" s="569"/>
      <c r="EY103" s="569"/>
      <c r="EZ103" s="569"/>
      <c r="FA103" s="569"/>
      <c r="FB103" s="569"/>
      <c r="FC103" s="569"/>
      <c r="FD103" s="569"/>
      <c r="FE103" s="569"/>
      <c r="FF103" s="569"/>
      <c r="FG103" s="569"/>
      <c r="FH103" s="569"/>
      <c r="FI103" s="569"/>
      <c r="FJ103" s="569"/>
      <c r="FK103" s="569"/>
      <c r="FL103" s="569"/>
      <c r="FM103" s="569"/>
      <c r="FN103" s="569"/>
      <c r="FO103" s="569"/>
      <c r="FP103" s="569"/>
      <c r="FQ103" s="569"/>
      <c r="FR103" s="569"/>
      <c r="FS103" s="569"/>
      <c r="FT103" s="569"/>
      <c r="FU103" s="569"/>
      <c r="FV103" s="569"/>
      <c r="FW103" s="569"/>
      <c r="FX103" s="569"/>
      <c r="FY103" s="569"/>
      <c r="FZ103" s="569"/>
      <c r="GA103" s="569"/>
      <c r="GB103" s="569"/>
      <c r="GC103" s="569"/>
      <c r="GD103" s="569"/>
      <c r="GE103" s="569"/>
      <c r="GF103" s="569"/>
      <c r="GG103" s="569"/>
      <c r="GH103" s="569"/>
      <c r="GI103" s="569"/>
      <c r="GJ103" s="569"/>
      <c r="GK103" s="569"/>
      <c r="GL103" s="569"/>
      <c r="GM103" s="569"/>
      <c r="GN103" s="569"/>
      <c r="GO103" s="569"/>
      <c r="GP103" s="569"/>
      <c r="GQ103" s="569"/>
      <c r="GR103" s="569"/>
      <c r="GS103" s="569"/>
      <c r="GT103" s="569"/>
    </row>
    <row r="104" spans="2:202" s="554" customFormat="1">
      <c r="B104" s="578"/>
      <c r="C104" s="578"/>
      <c r="D104" s="578"/>
      <c r="E104" s="578"/>
      <c r="F104" s="578"/>
      <c r="G104" s="578"/>
      <c r="H104" s="578"/>
      <c r="I104" s="578"/>
      <c r="J104" s="578"/>
      <c r="K104" s="578"/>
      <c r="L104" s="578"/>
      <c r="M104" s="578"/>
      <c r="N104" s="578"/>
      <c r="O104" s="578"/>
      <c r="P104" s="578"/>
      <c r="Q104" s="578"/>
      <c r="R104" s="578"/>
      <c r="S104" s="578"/>
      <c r="T104" s="578"/>
      <c r="U104" s="578"/>
      <c r="V104" s="578"/>
      <c r="W104" s="578"/>
      <c r="X104" s="578"/>
      <c r="Y104" s="578"/>
      <c r="Z104" s="578"/>
      <c r="AA104" s="578"/>
      <c r="AB104" s="578"/>
      <c r="AC104" s="578"/>
      <c r="AD104" s="578"/>
      <c r="AE104" s="578"/>
      <c r="AF104" s="578"/>
      <c r="AG104" s="578"/>
      <c r="AH104" s="548"/>
      <c r="AI104" s="548"/>
      <c r="AJ104" s="548"/>
      <c r="AK104" s="548"/>
      <c r="AL104" s="548"/>
      <c r="AM104" s="548"/>
      <c r="AN104" s="548"/>
      <c r="AO104" s="548"/>
      <c r="AP104" s="548"/>
      <c r="AQ104" s="548"/>
      <c r="AR104" s="548"/>
      <c r="AS104" s="548"/>
      <c r="AT104" s="548"/>
      <c r="AU104" s="548"/>
      <c r="AV104" s="548"/>
      <c r="AW104" s="548"/>
      <c r="AX104" s="548"/>
      <c r="AY104" s="548"/>
      <c r="AZ104" s="548"/>
      <c r="BA104" s="548"/>
      <c r="BB104" s="548"/>
      <c r="BC104" s="548"/>
      <c r="BD104" s="569"/>
      <c r="BE104" s="569"/>
      <c r="BF104" s="569"/>
      <c r="BG104" s="569"/>
      <c r="BH104" s="569"/>
      <c r="BI104" s="569"/>
      <c r="BJ104" s="569"/>
      <c r="BK104" s="569"/>
      <c r="BL104" s="569"/>
      <c r="BM104" s="569"/>
      <c r="BN104" s="569"/>
      <c r="BO104" s="569"/>
      <c r="BP104" s="569"/>
      <c r="BQ104" s="569"/>
      <c r="BR104" s="569"/>
      <c r="BS104" s="569"/>
      <c r="BT104" s="569"/>
      <c r="BU104" s="569"/>
      <c r="BV104" s="569"/>
      <c r="BW104" s="569"/>
      <c r="BX104" s="569"/>
      <c r="BY104" s="569"/>
      <c r="BZ104" s="569"/>
      <c r="CA104" s="569"/>
      <c r="CB104" s="569"/>
      <c r="CC104" s="569"/>
      <c r="CD104" s="569"/>
      <c r="CE104" s="569"/>
      <c r="CF104" s="569"/>
      <c r="CG104" s="569"/>
      <c r="CH104" s="569"/>
      <c r="CI104" s="569"/>
      <c r="CJ104" s="569"/>
      <c r="CK104" s="569"/>
      <c r="CL104" s="569"/>
      <c r="CM104" s="569"/>
      <c r="CN104" s="569"/>
      <c r="CO104" s="569"/>
      <c r="CP104" s="569"/>
      <c r="CQ104" s="569"/>
      <c r="CR104" s="569"/>
      <c r="CS104" s="569"/>
      <c r="CT104" s="569"/>
      <c r="CU104" s="569"/>
      <c r="CV104" s="569"/>
      <c r="CW104" s="569"/>
      <c r="CX104" s="569"/>
      <c r="CY104" s="569"/>
      <c r="CZ104" s="569"/>
      <c r="DA104" s="569"/>
      <c r="DB104" s="569"/>
      <c r="DC104" s="569"/>
      <c r="DD104" s="569"/>
      <c r="DE104" s="569"/>
      <c r="DF104" s="569"/>
      <c r="DG104" s="569"/>
      <c r="DH104" s="569"/>
      <c r="DI104" s="569"/>
      <c r="DJ104" s="569"/>
      <c r="DK104" s="569"/>
      <c r="DL104" s="569"/>
      <c r="DM104" s="569"/>
      <c r="DN104" s="569"/>
      <c r="DO104" s="569"/>
      <c r="DP104" s="569"/>
      <c r="DQ104" s="569"/>
      <c r="DR104" s="569"/>
      <c r="DS104" s="569"/>
      <c r="DT104" s="569"/>
      <c r="DU104" s="569"/>
      <c r="DV104" s="569"/>
      <c r="DW104" s="569"/>
      <c r="DX104" s="569"/>
      <c r="DY104" s="569"/>
      <c r="DZ104" s="569"/>
      <c r="EA104" s="569"/>
      <c r="EB104" s="569"/>
      <c r="EC104" s="569"/>
      <c r="ED104" s="569"/>
      <c r="EE104" s="569"/>
      <c r="EF104" s="569"/>
      <c r="EG104" s="569"/>
      <c r="EH104" s="569"/>
      <c r="EI104" s="569"/>
      <c r="EJ104" s="569"/>
      <c r="EK104" s="569"/>
      <c r="EL104" s="569"/>
      <c r="EM104" s="569"/>
      <c r="EN104" s="569"/>
      <c r="EO104" s="569"/>
      <c r="EP104" s="569"/>
      <c r="EQ104" s="569"/>
      <c r="ER104" s="569"/>
      <c r="ES104" s="569"/>
      <c r="ET104" s="569"/>
      <c r="EU104" s="569"/>
      <c r="EV104" s="569"/>
      <c r="EW104" s="569"/>
      <c r="EX104" s="569"/>
      <c r="EY104" s="569"/>
      <c r="EZ104" s="569"/>
      <c r="FA104" s="569"/>
      <c r="FB104" s="569"/>
      <c r="FC104" s="569"/>
      <c r="FD104" s="569"/>
      <c r="FE104" s="569"/>
      <c r="FF104" s="569"/>
      <c r="FG104" s="569"/>
      <c r="FH104" s="569"/>
      <c r="FI104" s="569"/>
      <c r="FJ104" s="569"/>
      <c r="FK104" s="569"/>
      <c r="FL104" s="569"/>
      <c r="FM104" s="569"/>
      <c r="FN104" s="569"/>
      <c r="FO104" s="569"/>
      <c r="FP104" s="569"/>
      <c r="FQ104" s="569"/>
      <c r="FR104" s="569"/>
      <c r="FS104" s="569"/>
      <c r="FT104" s="569"/>
      <c r="FU104" s="569"/>
      <c r="FV104" s="569"/>
      <c r="FW104" s="569"/>
      <c r="FX104" s="569"/>
      <c r="FY104" s="569"/>
      <c r="FZ104" s="569"/>
      <c r="GA104" s="569"/>
      <c r="GB104" s="569"/>
      <c r="GC104" s="569"/>
      <c r="GD104" s="569"/>
      <c r="GE104" s="569"/>
      <c r="GF104" s="569"/>
      <c r="GG104" s="569"/>
      <c r="GH104" s="569"/>
      <c r="GI104" s="569"/>
      <c r="GJ104" s="569"/>
      <c r="GK104" s="569"/>
      <c r="GL104" s="569"/>
      <c r="GM104" s="569"/>
      <c r="GN104" s="569"/>
      <c r="GO104" s="569"/>
      <c r="GP104" s="569"/>
      <c r="GQ104" s="569"/>
      <c r="GR104" s="569"/>
      <c r="GS104" s="569"/>
      <c r="GT104" s="569"/>
    </row>
    <row r="105" spans="2:202" s="554" customFormat="1">
      <c r="B105" s="578"/>
      <c r="C105" s="578"/>
      <c r="D105" s="578"/>
      <c r="E105" s="578"/>
      <c r="F105" s="578"/>
      <c r="G105" s="578"/>
      <c r="H105" s="578"/>
      <c r="I105" s="578"/>
      <c r="J105" s="578"/>
      <c r="K105" s="578"/>
      <c r="L105" s="578"/>
      <c r="M105" s="578"/>
      <c r="N105" s="578"/>
      <c r="O105" s="578"/>
      <c r="P105" s="578"/>
      <c r="Q105" s="578"/>
      <c r="R105" s="578"/>
      <c r="S105" s="578"/>
      <c r="T105" s="578"/>
      <c r="U105" s="578"/>
      <c r="V105" s="578"/>
      <c r="W105" s="578"/>
      <c r="X105" s="578"/>
      <c r="Y105" s="578"/>
      <c r="Z105" s="578"/>
      <c r="AA105" s="578"/>
      <c r="AB105" s="578"/>
      <c r="AC105" s="578"/>
      <c r="AD105" s="578"/>
      <c r="AE105" s="578"/>
      <c r="AF105" s="578"/>
      <c r="AG105" s="578"/>
      <c r="AH105" s="548"/>
      <c r="AI105" s="548"/>
      <c r="AJ105" s="548"/>
      <c r="AK105" s="548"/>
      <c r="AL105" s="548"/>
      <c r="AM105" s="548"/>
      <c r="AN105" s="548"/>
      <c r="AO105" s="548"/>
      <c r="AP105" s="548"/>
      <c r="AQ105" s="548"/>
      <c r="AR105" s="548"/>
      <c r="AS105" s="548"/>
      <c r="AT105" s="548"/>
      <c r="AU105" s="548"/>
      <c r="AV105" s="548"/>
      <c r="AW105" s="548"/>
      <c r="AX105" s="548"/>
      <c r="AY105" s="548"/>
      <c r="AZ105" s="548"/>
      <c r="BA105" s="548"/>
      <c r="BB105" s="548"/>
      <c r="BC105" s="548"/>
      <c r="BD105" s="569"/>
      <c r="BE105" s="569"/>
      <c r="BF105" s="569"/>
      <c r="BG105" s="569"/>
      <c r="BH105" s="569"/>
      <c r="BI105" s="569"/>
      <c r="BJ105" s="569"/>
      <c r="BK105" s="569"/>
      <c r="BL105" s="569"/>
      <c r="BM105" s="569"/>
      <c r="BN105" s="569"/>
      <c r="BO105" s="569"/>
      <c r="BP105" s="569"/>
      <c r="BQ105" s="569"/>
      <c r="BR105" s="569"/>
      <c r="BS105" s="569"/>
      <c r="BT105" s="569"/>
      <c r="BU105" s="569"/>
      <c r="BV105" s="569"/>
      <c r="BW105" s="569"/>
      <c r="BX105" s="569"/>
      <c r="BY105" s="569"/>
      <c r="BZ105" s="569"/>
      <c r="CA105" s="569"/>
      <c r="CB105" s="569"/>
      <c r="CC105" s="569"/>
      <c r="CD105" s="569"/>
      <c r="CE105" s="569"/>
      <c r="CF105" s="569"/>
      <c r="CG105" s="569"/>
      <c r="CH105" s="569"/>
      <c r="CI105" s="569"/>
      <c r="CJ105" s="569"/>
      <c r="CK105" s="569"/>
      <c r="CL105" s="569"/>
      <c r="CM105" s="569"/>
      <c r="CN105" s="569"/>
      <c r="CO105" s="569"/>
      <c r="CP105" s="569"/>
      <c r="CQ105" s="569"/>
      <c r="CR105" s="569"/>
      <c r="CS105" s="569"/>
      <c r="CT105" s="569"/>
      <c r="CU105" s="569"/>
      <c r="CV105" s="569"/>
      <c r="CW105" s="569"/>
      <c r="CX105" s="569"/>
      <c r="CY105" s="569"/>
      <c r="CZ105" s="569"/>
      <c r="DA105" s="569"/>
      <c r="DB105" s="569"/>
      <c r="DC105" s="569"/>
      <c r="DD105" s="569"/>
      <c r="DE105" s="569"/>
      <c r="DF105" s="569"/>
      <c r="DG105" s="569"/>
      <c r="DH105" s="569"/>
      <c r="DI105" s="569"/>
      <c r="DJ105" s="569"/>
      <c r="DK105" s="569"/>
      <c r="DL105" s="569"/>
      <c r="DM105" s="569"/>
      <c r="DN105" s="569"/>
      <c r="DO105" s="569"/>
      <c r="DP105" s="569"/>
      <c r="DQ105" s="569"/>
      <c r="DR105" s="569"/>
      <c r="DS105" s="569"/>
      <c r="DT105" s="569"/>
      <c r="DU105" s="569"/>
      <c r="DV105" s="569"/>
      <c r="DW105" s="569"/>
      <c r="DX105" s="569"/>
      <c r="DY105" s="569"/>
      <c r="DZ105" s="569"/>
      <c r="EA105" s="569"/>
      <c r="EB105" s="569"/>
      <c r="EC105" s="569"/>
      <c r="ED105" s="569"/>
      <c r="EE105" s="569"/>
      <c r="EF105" s="569"/>
      <c r="EG105" s="569"/>
      <c r="EH105" s="569"/>
      <c r="EI105" s="569"/>
      <c r="EJ105" s="569"/>
      <c r="EK105" s="569"/>
      <c r="EL105" s="569"/>
      <c r="EM105" s="569"/>
      <c r="EN105" s="569"/>
      <c r="EO105" s="569"/>
      <c r="EP105" s="569"/>
      <c r="EQ105" s="569"/>
      <c r="ER105" s="569"/>
      <c r="ES105" s="569"/>
      <c r="ET105" s="569"/>
      <c r="EU105" s="569"/>
      <c r="EV105" s="569"/>
      <c r="EW105" s="569"/>
      <c r="EX105" s="569"/>
      <c r="EY105" s="569"/>
      <c r="EZ105" s="569"/>
      <c r="FA105" s="569"/>
      <c r="FB105" s="569"/>
      <c r="FC105" s="569"/>
      <c r="FD105" s="569"/>
      <c r="FE105" s="569"/>
      <c r="FF105" s="569"/>
      <c r="FG105" s="569"/>
      <c r="FH105" s="569"/>
      <c r="FI105" s="569"/>
      <c r="FJ105" s="569"/>
      <c r="FK105" s="569"/>
      <c r="FL105" s="569"/>
      <c r="FM105" s="569"/>
      <c r="FN105" s="569"/>
      <c r="FO105" s="569"/>
      <c r="FP105" s="569"/>
      <c r="FQ105" s="569"/>
      <c r="FR105" s="569"/>
      <c r="FS105" s="569"/>
      <c r="FT105" s="569"/>
      <c r="FU105" s="569"/>
      <c r="FV105" s="569"/>
      <c r="FW105" s="569"/>
      <c r="FX105" s="569"/>
      <c r="FY105" s="569"/>
      <c r="FZ105" s="569"/>
      <c r="GA105" s="569"/>
      <c r="GB105" s="569"/>
      <c r="GC105" s="569"/>
      <c r="GD105" s="569"/>
      <c r="GE105" s="569"/>
      <c r="GF105" s="569"/>
      <c r="GG105" s="569"/>
      <c r="GH105" s="569"/>
      <c r="GI105" s="569"/>
      <c r="GJ105" s="569"/>
      <c r="GK105" s="569"/>
      <c r="GL105" s="569"/>
      <c r="GM105" s="569"/>
      <c r="GN105" s="569"/>
      <c r="GO105" s="569"/>
      <c r="GP105" s="569"/>
      <c r="GQ105" s="569"/>
      <c r="GR105" s="569"/>
      <c r="GS105" s="569"/>
      <c r="GT105" s="569"/>
    </row>
    <row r="106" spans="2:202" s="554" customFormat="1">
      <c r="B106" s="578"/>
      <c r="C106" s="578"/>
      <c r="D106" s="578"/>
      <c r="E106" s="578"/>
      <c r="F106" s="578"/>
      <c r="G106" s="578"/>
      <c r="H106" s="578"/>
      <c r="I106" s="578"/>
      <c r="J106" s="578"/>
      <c r="K106" s="578"/>
      <c r="L106" s="578"/>
      <c r="M106" s="578"/>
      <c r="N106" s="578"/>
      <c r="O106" s="578"/>
      <c r="P106" s="578"/>
      <c r="Q106" s="578"/>
      <c r="R106" s="578"/>
      <c r="S106" s="578"/>
      <c r="T106" s="578"/>
      <c r="U106" s="578"/>
      <c r="V106" s="578"/>
      <c r="W106" s="578"/>
      <c r="X106" s="578"/>
      <c r="Y106" s="578"/>
      <c r="Z106" s="578"/>
      <c r="AA106" s="578"/>
      <c r="AB106" s="578"/>
      <c r="AC106" s="578"/>
      <c r="AD106" s="578"/>
      <c r="AE106" s="578"/>
      <c r="AF106" s="578"/>
      <c r="AG106" s="578"/>
      <c r="AH106" s="548"/>
      <c r="AI106" s="548"/>
      <c r="AJ106" s="548"/>
      <c r="AK106" s="548"/>
      <c r="AL106" s="548"/>
      <c r="AM106" s="548"/>
      <c r="AN106" s="548"/>
      <c r="AO106" s="548"/>
      <c r="AP106" s="548"/>
      <c r="AQ106" s="548"/>
      <c r="AR106" s="548"/>
      <c r="AS106" s="548"/>
      <c r="AT106" s="548"/>
      <c r="AU106" s="548"/>
      <c r="AV106" s="548"/>
      <c r="AW106" s="548"/>
      <c r="AX106" s="548"/>
      <c r="AY106" s="548"/>
      <c r="AZ106" s="548"/>
      <c r="BA106" s="548"/>
      <c r="BB106" s="548"/>
      <c r="BC106" s="548"/>
      <c r="BD106" s="569"/>
      <c r="BE106" s="569"/>
      <c r="BF106" s="569"/>
      <c r="BG106" s="569"/>
      <c r="BH106" s="569"/>
      <c r="BI106" s="569"/>
      <c r="BJ106" s="569"/>
      <c r="BK106" s="569"/>
      <c r="BL106" s="569"/>
      <c r="BM106" s="569"/>
      <c r="BN106" s="569"/>
      <c r="BO106" s="569"/>
      <c r="BP106" s="569"/>
      <c r="BQ106" s="569"/>
      <c r="BR106" s="569"/>
      <c r="BS106" s="569"/>
      <c r="BT106" s="569"/>
      <c r="BU106" s="569"/>
      <c r="BV106" s="569"/>
      <c r="BW106" s="569"/>
      <c r="BX106" s="569"/>
      <c r="BY106" s="569"/>
      <c r="BZ106" s="569"/>
      <c r="CA106" s="569"/>
      <c r="CB106" s="569"/>
      <c r="CC106" s="569"/>
      <c r="CD106" s="569"/>
      <c r="CE106" s="569"/>
      <c r="CF106" s="569"/>
      <c r="CG106" s="569"/>
      <c r="CH106" s="569"/>
      <c r="CI106" s="569"/>
      <c r="CJ106" s="569"/>
      <c r="CK106" s="569"/>
      <c r="CL106" s="569"/>
      <c r="CM106" s="569"/>
      <c r="CN106" s="569"/>
      <c r="CO106" s="569"/>
      <c r="CP106" s="569"/>
      <c r="CQ106" s="569"/>
      <c r="CR106" s="569"/>
      <c r="CS106" s="569"/>
      <c r="CT106" s="569"/>
      <c r="CU106" s="569"/>
      <c r="CV106" s="569"/>
      <c r="CW106" s="569"/>
      <c r="CX106" s="569"/>
      <c r="CY106" s="569"/>
      <c r="CZ106" s="569"/>
      <c r="DA106" s="569"/>
      <c r="DB106" s="569"/>
      <c r="DC106" s="569"/>
      <c r="DD106" s="569"/>
      <c r="DE106" s="569"/>
      <c r="DF106" s="569"/>
      <c r="DG106" s="569"/>
      <c r="DH106" s="569"/>
      <c r="DI106" s="569"/>
      <c r="DJ106" s="569"/>
      <c r="DK106" s="569"/>
      <c r="DL106" s="569"/>
      <c r="DM106" s="569"/>
      <c r="DN106" s="569"/>
      <c r="DO106" s="569"/>
      <c r="DP106" s="569"/>
      <c r="DQ106" s="569"/>
      <c r="DR106" s="569"/>
      <c r="DS106" s="569"/>
      <c r="DT106" s="569"/>
      <c r="DU106" s="569"/>
      <c r="DV106" s="569"/>
      <c r="DW106" s="569"/>
      <c r="DX106" s="569"/>
      <c r="DY106" s="569"/>
      <c r="DZ106" s="569"/>
      <c r="EA106" s="569"/>
      <c r="EB106" s="569"/>
      <c r="EC106" s="569"/>
      <c r="ED106" s="569"/>
      <c r="EE106" s="569"/>
      <c r="EF106" s="569"/>
      <c r="EG106" s="569"/>
      <c r="EH106" s="569"/>
      <c r="EI106" s="569"/>
      <c r="EJ106" s="569"/>
      <c r="EK106" s="569"/>
      <c r="EL106" s="569"/>
      <c r="EM106" s="569"/>
      <c r="EN106" s="569"/>
      <c r="EO106" s="569"/>
      <c r="EP106" s="569"/>
      <c r="EQ106" s="569"/>
      <c r="ER106" s="569"/>
      <c r="ES106" s="569"/>
      <c r="ET106" s="569"/>
      <c r="EU106" s="569"/>
      <c r="EV106" s="569"/>
      <c r="EW106" s="569"/>
      <c r="EX106" s="569"/>
      <c r="EY106" s="569"/>
      <c r="EZ106" s="569"/>
      <c r="FA106" s="569"/>
      <c r="FB106" s="569"/>
      <c r="FC106" s="569"/>
      <c r="FD106" s="569"/>
      <c r="FE106" s="569"/>
      <c r="FF106" s="569"/>
      <c r="FG106" s="569"/>
      <c r="FH106" s="569"/>
      <c r="FI106" s="569"/>
      <c r="FJ106" s="569"/>
      <c r="FK106" s="569"/>
      <c r="FL106" s="569"/>
      <c r="FM106" s="569"/>
      <c r="FN106" s="569"/>
      <c r="FO106" s="569"/>
      <c r="FP106" s="569"/>
      <c r="FQ106" s="569"/>
      <c r="FR106" s="569"/>
      <c r="FS106" s="569"/>
      <c r="FT106" s="569"/>
      <c r="FU106" s="569"/>
      <c r="FV106" s="569"/>
      <c r="FW106" s="569"/>
      <c r="FX106" s="569"/>
      <c r="FY106" s="569"/>
      <c r="FZ106" s="569"/>
      <c r="GA106" s="569"/>
      <c r="GB106" s="569"/>
      <c r="GC106" s="569"/>
      <c r="GD106" s="569"/>
      <c r="GE106" s="569"/>
      <c r="GF106" s="569"/>
      <c r="GG106" s="569"/>
      <c r="GH106" s="569"/>
      <c r="GI106" s="569"/>
      <c r="GJ106" s="569"/>
      <c r="GK106" s="569"/>
      <c r="GL106" s="569"/>
      <c r="GM106" s="569"/>
      <c r="GN106" s="569"/>
      <c r="GO106" s="569"/>
      <c r="GP106" s="569"/>
      <c r="GQ106" s="569"/>
      <c r="GR106" s="569"/>
      <c r="GS106" s="569"/>
      <c r="GT106" s="569"/>
    </row>
    <row r="107" spans="2:202" s="554" customFormat="1">
      <c r="B107" s="578"/>
      <c r="C107" s="578"/>
      <c r="D107" s="578"/>
      <c r="E107" s="578"/>
      <c r="F107" s="578"/>
      <c r="G107" s="578"/>
      <c r="H107" s="578"/>
      <c r="I107" s="578"/>
      <c r="J107" s="578"/>
      <c r="K107" s="578"/>
      <c r="L107" s="578"/>
      <c r="M107" s="578"/>
      <c r="N107" s="578"/>
      <c r="O107" s="578"/>
      <c r="P107" s="578"/>
      <c r="Q107" s="578"/>
      <c r="R107" s="578"/>
      <c r="S107" s="578"/>
      <c r="T107" s="578"/>
      <c r="U107" s="578"/>
      <c r="V107" s="578"/>
      <c r="W107" s="578"/>
      <c r="X107" s="578"/>
      <c r="Y107" s="578"/>
      <c r="Z107" s="578"/>
      <c r="AA107" s="578"/>
      <c r="AB107" s="578"/>
      <c r="AC107" s="578"/>
      <c r="AD107" s="578"/>
      <c r="AE107" s="578"/>
      <c r="AF107" s="578"/>
      <c r="AG107" s="578"/>
      <c r="AH107" s="548"/>
      <c r="AI107" s="548"/>
      <c r="AJ107" s="548"/>
      <c r="AK107" s="548"/>
      <c r="AL107" s="548"/>
      <c r="AM107" s="548"/>
      <c r="AN107" s="548"/>
      <c r="AO107" s="548"/>
      <c r="AP107" s="548"/>
      <c r="AQ107" s="548"/>
      <c r="AR107" s="548"/>
      <c r="AS107" s="548"/>
      <c r="AT107" s="548"/>
      <c r="AU107" s="548"/>
      <c r="AV107" s="548"/>
      <c r="AW107" s="548"/>
      <c r="AX107" s="548"/>
      <c r="AY107" s="548"/>
      <c r="AZ107" s="548"/>
      <c r="BA107" s="548"/>
      <c r="BB107" s="548"/>
      <c r="BC107" s="548"/>
      <c r="BD107" s="569"/>
      <c r="BE107" s="569"/>
      <c r="BF107" s="569"/>
      <c r="BG107" s="569"/>
      <c r="BH107" s="569"/>
      <c r="BI107" s="569"/>
      <c r="BJ107" s="569"/>
      <c r="BK107" s="569"/>
      <c r="BL107" s="569"/>
      <c r="BM107" s="569"/>
      <c r="BN107" s="569"/>
      <c r="BO107" s="569"/>
      <c r="BP107" s="569"/>
      <c r="BQ107" s="569"/>
      <c r="BR107" s="569"/>
      <c r="BS107" s="569"/>
      <c r="BT107" s="569"/>
      <c r="BU107" s="569"/>
      <c r="BV107" s="569"/>
      <c r="BW107" s="569"/>
      <c r="BX107" s="569"/>
      <c r="BY107" s="569"/>
      <c r="BZ107" s="569"/>
      <c r="CA107" s="569"/>
      <c r="CB107" s="569"/>
      <c r="CC107" s="569"/>
      <c r="CD107" s="569"/>
      <c r="CE107" s="569"/>
      <c r="CF107" s="569"/>
      <c r="CG107" s="569"/>
      <c r="CH107" s="569"/>
      <c r="CI107" s="569"/>
      <c r="CJ107" s="569"/>
      <c r="CK107" s="569"/>
      <c r="CL107" s="569"/>
      <c r="CM107" s="569"/>
      <c r="CN107" s="569"/>
      <c r="CO107" s="569"/>
      <c r="CP107" s="569"/>
      <c r="CQ107" s="569"/>
      <c r="CR107" s="569"/>
      <c r="CS107" s="569"/>
      <c r="CT107" s="569"/>
      <c r="CU107" s="569"/>
      <c r="CV107" s="569"/>
      <c r="CW107" s="569"/>
      <c r="CX107" s="569"/>
      <c r="CY107" s="569"/>
      <c r="CZ107" s="569"/>
      <c r="DA107" s="569"/>
      <c r="DB107" s="569"/>
      <c r="DC107" s="569"/>
      <c r="DD107" s="569"/>
      <c r="DE107" s="569"/>
      <c r="DF107" s="569"/>
      <c r="DG107" s="569"/>
      <c r="DH107" s="569"/>
      <c r="DI107" s="569"/>
      <c r="DJ107" s="569"/>
      <c r="DK107" s="569"/>
      <c r="DL107" s="569"/>
      <c r="DM107" s="569"/>
      <c r="DN107" s="569"/>
      <c r="DO107" s="569"/>
      <c r="DP107" s="569"/>
      <c r="DQ107" s="569"/>
      <c r="DR107" s="569"/>
      <c r="DS107" s="569"/>
      <c r="DT107" s="569"/>
      <c r="DU107" s="569"/>
      <c r="DV107" s="569"/>
      <c r="DW107" s="569"/>
      <c r="DX107" s="569"/>
      <c r="DY107" s="569"/>
      <c r="DZ107" s="569"/>
      <c r="EA107" s="569"/>
      <c r="EB107" s="569"/>
      <c r="EC107" s="569"/>
      <c r="ED107" s="569"/>
      <c r="EE107" s="569"/>
      <c r="EF107" s="569"/>
      <c r="EG107" s="569"/>
      <c r="EH107" s="569"/>
      <c r="EI107" s="569"/>
      <c r="EJ107" s="569"/>
      <c r="EK107" s="569"/>
      <c r="EL107" s="569"/>
      <c r="EM107" s="569"/>
      <c r="EN107" s="569"/>
      <c r="EO107" s="569"/>
      <c r="EP107" s="569"/>
      <c r="EQ107" s="569"/>
      <c r="ER107" s="569"/>
      <c r="ES107" s="569"/>
      <c r="ET107" s="569"/>
      <c r="EU107" s="569"/>
      <c r="EV107" s="569"/>
      <c r="EW107" s="569"/>
      <c r="EX107" s="569"/>
      <c r="EY107" s="569"/>
      <c r="EZ107" s="569"/>
      <c r="FA107" s="569"/>
      <c r="FB107" s="569"/>
      <c r="FC107" s="569"/>
      <c r="FD107" s="569"/>
      <c r="FE107" s="569"/>
      <c r="FF107" s="569"/>
      <c r="FG107" s="569"/>
      <c r="FH107" s="569"/>
      <c r="FI107" s="569"/>
      <c r="FJ107" s="569"/>
      <c r="FK107" s="569"/>
      <c r="FL107" s="569"/>
      <c r="FM107" s="569"/>
      <c r="FN107" s="569"/>
      <c r="FO107" s="569"/>
      <c r="FP107" s="569"/>
      <c r="FQ107" s="569"/>
      <c r="FR107" s="569"/>
      <c r="FS107" s="569"/>
      <c r="FT107" s="569"/>
      <c r="FU107" s="569"/>
      <c r="FV107" s="569"/>
      <c r="FW107" s="569"/>
      <c r="FX107" s="569"/>
      <c r="FY107" s="569"/>
      <c r="FZ107" s="569"/>
      <c r="GA107" s="569"/>
      <c r="GB107" s="569"/>
      <c r="GC107" s="569"/>
      <c r="GD107" s="569"/>
      <c r="GE107" s="569"/>
      <c r="GF107" s="569"/>
      <c r="GG107" s="569"/>
      <c r="GH107" s="569"/>
      <c r="GI107" s="569"/>
      <c r="GJ107" s="569"/>
      <c r="GK107" s="569"/>
      <c r="GL107" s="569"/>
      <c r="GM107" s="569"/>
      <c r="GN107" s="569"/>
      <c r="GO107" s="569"/>
      <c r="GP107" s="569"/>
      <c r="GQ107" s="569"/>
      <c r="GR107" s="569"/>
      <c r="GS107" s="569"/>
      <c r="GT107" s="569"/>
    </row>
    <row r="108" spans="2:202" s="554" customFormat="1">
      <c r="B108" s="578"/>
      <c r="C108" s="578"/>
      <c r="D108" s="578"/>
      <c r="E108" s="578"/>
      <c r="F108" s="578"/>
      <c r="G108" s="578"/>
      <c r="H108" s="578"/>
      <c r="I108" s="578"/>
      <c r="J108" s="578"/>
      <c r="K108" s="578"/>
      <c r="L108" s="578"/>
      <c r="M108" s="578"/>
      <c r="N108" s="578"/>
      <c r="O108" s="578"/>
      <c r="P108" s="578"/>
      <c r="Q108" s="578"/>
      <c r="R108" s="578"/>
      <c r="S108" s="578"/>
      <c r="T108" s="578"/>
      <c r="U108" s="578"/>
      <c r="V108" s="578"/>
      <c r="W108" s="578"/>
      <c r="X108" s="578"/>
      <c r="Y108" s="578"/>
      <c r="Z108" s="578"/>
      <c r="AA108" s="578"/>
      <c r="AB108" s="578"/>
      <c r="AC108" s="578"/>
      <c r="AD108" s="578"/>
      <c r="AE108" s="578"/>
      <c r="AF108" s="578"/>
      <c r="AG108" s="578"/>
      <c r="AH108" s="548"/>
      <c r="AI108" s="548"/>
      <c r="AJ108" s="548"/>
      <c r="AK108" s="548"/>
      <c r="AL108" s="548"/>
      <c r="AM108" s="548"/>
      <c r="AN108" s="548"/>
      <c r="AO108" s="548"/>
      <c r="AP108" s="548"/>
      <c r="AQ108" s="548"/>
      <c r="AR108" s="548"/>
      <c r="AS108" s="548"/>
      <c r="AT108" s="548"/>
      <c r="AU108" s="548"/>
      <c r="AV108" s="548"/>
      <c r="AW108" s="548"/>
      <c r="AX108" s="548"/>
      <c r="AY108" s="548"/>
      <c r="AZ108" s="548"/>
      <c r="BA108" s="548"/>
      <c r="BB108" s="548"/>
      <c r="BC108" s="548"/>
      <c r="BD108" s="569"/>
      <c r="BE108" s="569"/>
      <c r="BF108" s="569"/>
      <c r="BG108" s="569"/>
      <c r="BH108" s="569"/>
      <c r="BI108" s="569"/>
      <c r="BJ108" s="569"/>
      <c r="BK108" s="569"/>
      <c r="BL108" s="569"/>
      <c r="BM108" s="569"/>
      <c r="BN108" s="569"/>
      <c r="BO108" s="569"/>
      <c r="BP108" s="569"/>
      <c r="BQ108" s="569"/>
      <c r="BR108" s="569"/>
      <c r="BS108" s="569"/>
      <c r="BT108" s="569"/>
      <c r="BU108" s="569"/>
      <c r="BV108" s="569"/>
      <c r="BW108" s="569"/>
      <c r="BX108" s="569"/>
      <c r="BY108" s="569"/>
      <c r="BZ108" s="569"/>
      <c r="CA108" s="569"/>
      <c r="CB108" s="569"/>
      <c r="CC108" s="569"/>
      <c r="CD108" s="569"/>
      <c r="CE108" s="569"/>
      <c r="CF108" s="569"/>
      <c r="CG108" s="569"/>
      <c r="CH108" s="569"/>
      <c r="CI108" s="569"/>
      <c r="CJ108" s="569"/>
      <c r="CK108" s="569"/>
      <c r="CL108" s="569"/>
      <c r="CM108" s="569"/>
      <c r="CN108" s="569"/>
      <c r="CO108" s="569"/>
      <c r="CP108" s="569"/>
      <c r="CQ108" s="569"/>
      <c r="CR108" s="569"/>
      <c r="CS108" s="569"/>
      <c r="CT108" s="569"/>
      <c r="CU108" s="569"/>
      <c r="CV108" s="569"/>
      <c r="CW108" s="569"/>
      <c r="CX108" s="569"/>
      <c r="CY108" s="569"/>
      <c r="CZ108" s="569"/>
      <c r="DA108" s="569"/>
      <c r="DB108" s="569"/>
      <c r="DC108" s="569"/>
      <c r="DD108" s="569"/>
      <c r="DE108" s="569"/>
      <c r="DF108" s="569"/>
      <c r="DG108" s="569"/>
      <c r="DH108" s="569"/>
      <c r="DI108" s="569"/>
      <c r="DJ108" s="569"/>
      <c r="DK108" s="569"/>
      <c r="DL108" s="569"/>
      <c r="DM108" s="569"/>
      <c r="DN108" s="569"/>
      <c r="DO108" s="569"/>
      <c r="DP108" s="569"/>
      <c r="DQ108" s="569"/>
      <c r="DR108" s="569"/>
      <c r="DS108" s="569"/>
      <c r="DT108" s="569"/>
      <c r="DU108" s="569"/>
      <c r="DV108" s="569"/>
      <c r="DW108" s="569"/>
      <c r="DX108" s="569"/>
      <c r="DY108" s="569"/>
      <c r="DZ108" s="569"/>
      <c r="EA108" s="569"/>
      <c r="EB108" s="569"/>
      <c r="EC108" s="569"/>
      <c r="ED108" s="569"/>
      <c r="EE108" s="569"/>
      <c r="EF108" s="569"/>
      <c r="EG108" s="569"/>
      <c r="EH108" s="569"/>
      <c r="EI108" s="569"/>
      <c r="EJ108" s="569"/>
      <c r="EK108" s="569"/>
      <c r="EL108" s="569"/>
      <c r="EM108" s="569"/>
      <c r="EN108" s="569"/>
      <c r="EO108" s="569"/>
      <c r="EP108" s="569"/>
      <c r="EQ108" s="569"/>
      <c r="ER108" s="569"/>
      <c r="ES108" s="569"/>
      <c r="ET108" s="569"/>
      <c r="EU108" s="569"/>
      <c r="EV108" s="569"/>
      <c r="EW108" s="569"/>
      <c r="EX108" s="569"/>
      <c r="EY108" s="569"/>
      <c r="EZ108" s="569"/>
      <c r="FA108" s="569"/>
      <c r="FB108" s="569"/>
      <c r="FC108" s="569"/>
      <c r="FD108" s="569"/>
      <c r="FE108" s="569"/>
      <c r="FF108" s="569"/>
      <c r="FG108" s="569"/>
      <c r="FH108" s="569"/>
      <c r="FI108" s="569"/>
      <c r="FJ108" s="569"/>
      <c r="FK108" s="569"/>
      <c r="FL108" s="569"/>
      <c r="FM108" s="569"/>
      <c r="FN108" s="569"/>
      <c r="FO108" s="569"/>
      <c r="FP108" s="569"/>
      <c r="FQ108" s="569"/>
      <c r="FR108" s="569"/>
      <c r="FS108" s="569"/>
      <c r="FT108" s="569"/>
      <c r="FU108" s="569"/>
      <c r="FV108" s="569"/>
      <c r="FW108" s="569"/>
      <c r="FX108" s="569"/>
      <c r="FY108" s="569"/>
      <c r="FZ108" s="569"/>
      <c r="GA108" s="569"/>
      <c r="GB108" s="569"/>
      <c r="GC108" s="569"/>
      <c r="GD108" s="569"/>
      <c r="GE108" s="569"/>
      <c r="GF108" s="569"/>
      <c r="GG108" s="569"/>
      <c r="GH108" s="569"/>
      <c r="GI108" s="569"/>
      <c r="GJ108" s="569"/>
      <c r="GK108" s="569"/>
      <c r="GL108" s="569"/>
      <c r="GM108" s="569"/>
      <c r="GN108" s="569"/>
      <c r="GO108" s="569"/>
      <c r="GP108" s="569"/>
      <c r="GQ108" s="569"/>
      <c r="GR108" s="569"/>
      <c r="GS108" s="569"/>
      <c r="GT108" s="569"/>
    </row>
    <row r="109" spans="2:202" s="554" customFormat="1">
      <c r="B109" s="578"/>
      <c r="C109" s="578"/>
      <c r="D109" s="578"/>
      <c r="E109" s="578"/>
      <c r="F109" s="578"/>
      <c r="G109" s="578"/>
      <c r="H109" s="578"/>
      <c r="I109" s="578"/>
      <c r="J109" s="578"/>
      <c r="K109" s="578"/>
      <c r="L109" s="578"/>
      <c r="M109" s="578"/>
      <c r="N109" s="578"/>
      <c r="O109" s="578"/>
      <c r="P109" s="578"/>
      <c r="Q109" s="578"/>
      <c r="R109" s="578"/>
      <c r="S109" s="578"/>
      <c r="T109" s="578"/>
      <c r="U109" s="578"/>
      <c r="V109" s="578"/>
      <c r="W109" s="578"/>
      <c r="X109" s="578"/>
      <c r="Y109" s="578"/>
      <c r="Z109" s="578"/>
      <c r="AA109" s="578"/>
      <c r="AB109" s="578"/>
      <c r="AC109" s="578"/>
      <c r="AD109" s="578"/>
      <c r="AE109" s="578"/>
      <c r="AF109" s="578"/>
      <c r="AG109" s="578"/>
      <c r="AH109" s="548"/>
      <c r="AI109" s="548"/>
      <c r="AJ109" s="548"/>
      <c r="AK109" s="548"/>
      <c r="AL109" s="548"/>
      <c r="AM109" s="548"/>
      <c r="AN109" s="548"/>
      <c r="AO109" s="548"/>
      <c r="AP109" s="548"/>
      <c r="AQ109" s="548"/>
      <c r="AR109" s="548"/>
      <c r="AS109" s="548"/>
      <c r="AT109" s="548"/>
      <c r="AU109" s="548"/>
      <c r="AV109" s="548"/>
      <c r="AW109" s="548"/>
      <c r="AX109" s="548"/>
      <c r="AY109" s="548"/>
      <c r="AZ109" s="548"/>
      <c r="BA109" s="548"/>
      <c r="BB109" s="548"/>
      <c r="BC109" s="548"/>
      <c r="BD109" s="569"/>
      <c r="BE109" s="569"/>
      <c r="BF109" s="569"/>
      <c r="BG109" s="569"/>
      <c r="BH109" s="569"/>
      <c r="BI109" s="569"/>
      <c r="BJ109" s="569"/>
      <c r="BK109" s="569"/>
      <c r="BL109" s="569"/>
      <c r="BM109" s="569"/>
      <c r="BN109" s="569"/>
      <c r="BO109" s="569"/>
      <c r="BP109" s="569"/>
      <c r="BQ109" s="569"/>
      <c r="BR109" s="569"/>
      <c r="BS109" s="569"/>
      <c r="BT109" s="569"/>
      <c r="BU109" s="569"/>
      <c r="BV109" s="569"/>
      <c r="BW109" s="569"/>
      <c r="BX109" s="569"/>
      <c r="BY109" s="569"/>
      <c r="BZ109" s="569"/>
      <c r="CA109" s="569"/>
      <c r="CB109" s="569"/>
      <c r="CC109" s="569"/>
      <c r="CD109" s="569"/>
      <c r="CE109" s="569"/>
      <c r="CF109" s="569"/>
      <c r="CG109" s="569"/>
      <c r="CH109" s="569"/>
      <c r="CI109" s="569"/>
      <c r="CJ109" s="569"/>
      <c r="CK109" s="569"/>
      <c r="CL109" s="569"/>
      <c r="CM109" s="569"/>
      <c r="CN109" s="569"/>
      <c r="CO109" s="569"/>
      <c r="CP109" s="569"/>
      <c r="CQ109" s="569"/>
      <c r="CR109" s="569"/>
      <c r="CS109" s="569"/>
      <c r="CT109" s="569"/>
      <c r="CU109" s="569"/>
      <c r="CV109" s="569"/>
      <c r="CW109" s="569"/>
      <c r="CX109" s="569"/>
      <c r="CY109" s="569"/>
      <c r="CZ109" s="569"/>
      <c r="DA109" s="569"/>
      <c r="DB109" s="569"/>
      <c r="DC109" s="569"/>
      <c r="DD109" s="569"/>
      <c r="DE109" s="569"/>
      <c r="DF109" s="569"/>
      <c r="DG109" s="569"/>
      <c r="DH109" s="569"/>
      <c r="DI109" s="569"/>
      <c r="DJ109" s="569"/>
      <c r="DK109" s="569"/>
      <c r="DL109" s="569"/>
      <c r="DM109" s="569"/>
      <c r="DN109" s="569"/>
      <c r="DO109" s="569"/>
      <c r="DP109" s="569"/>
      <c r="DQ109" s="569"/>
      <c r="DR109" s="569"/>
      <c r="DS109" s="569"/>
      <c r="DT109" s="569"/>
      <c r="DU109" s="569"/>
      <c r="DV109" s="569"/>
      <c r="DW109" s="569"/>
      <c r="DX109" s="569"/>
      <c r="DY109" s="569"/>
      <c r="DZ109" s="569"/>
      <c r="EA109" s="569"/>
      <c r="EB109" s="569"/>
      <c r="EC109" s="569"/>
      <c r="ED109" s="569"/>
      <c r="EE109" s="569"/>
      <c r="EF109" s="569"/>
      <c r="EG109" s="569"/>
      <c r="EH109" s="569"/>
      <c r="EI109" s="569"/>
      <c r="EJ109" s="569"/>
      <c r="EK109" s="569"/>
      <c r="EL109" s="569"/>
      <c r="EM109" s="569"/>
      <c r="EN109" s="569"/>
      <c r="EO109" s="569"/>
      <c r="EP109" s="569"/>
      <c r="EQ109" s="569"/>
      <c r="ER109" s="569"/>
      <c r="ES109" s="569"/>
      <c r="ET109" s="569"/>
      <c r="EU109" s="569"/>
      <c r="EV109" s="569"/>
      <c r="EW109" s="569"/>
      <c r="EX109" s="569"/>
      <c r="EY109" s="569"/>
      <c r="EZ109" s="569"/>
      <c r="FA109" s="569"/>
      <c r="FB109" s="569"/>
      <c r="FC109" s="569"/>
      <c r="FD109" s="569"/>
      <c r="FE109" s="569"/>
      <c r="FF109" s="569"/>
      <c r="FG109" s="569"/>
      <c r="FH109" s="569"/>
      <c r="FI109" s="569"/>
      <c r="FJ109" s="569"/>
      <c r="FK109" s="569"/>
      <c r="FL109" s="569"/>
      <c r="FM109" s="569"/>
      <c r="FN109" s="569"/>
      <c r="FO109" s="569"/>
      <c r="FP109" s="569"/>
      <c r="FQ109" s="569"/>
      <c r="FR109" s="569"/>
      <c r="FS109" s="569"/>
      <c r="FT109" s="569"/>
      <c r="FU109" s="569"/>
      <c r="FV109" s="569"/>
      <c r="FW109" s="569"/>
      <c r="FX109" s="569"/>
      <c r="FY109" s="569"/>
      <c r="FZ109" s="569"/>
      <c r="GA109" s="569"/>
      <c r="GB109" s="569"/>
      <c r="GC109" s="569"/>
      <c r="GD109" s="569"/>
      <c r="GE109" s="569"/>
      <c r="GF109" s="569"/>
      <c r="GG109" s="569"/>
      <c r="GH109" s="569"/>
      <c r="GI109" s="569"/>
      <c r="GJ109" s="569"/>
      <c r="GK109" s="569"/>
      <c r="GL109" s="569"/>
      <c r="GM109" s="569"/>
      <c r="GN109" s="569"/>
      <c r="GO109" s="569"/>
      <c r="GP109" s="569"/>
      <c r="GQ109" s="569"/>
      <c r="GR109" s="569"/>
      <c r="GS109" s="569"/>
      <c r="GT109" s="569"/>
    </row>
    <row r="110" spans="2:202" s="554" customFormat="1">
      <c r="B110" s="578"/>
      <c r="C110" s="578"/>
      <c r="D110" s="578"/>
      <c r="E110" s="578"/>
      <c r="F110" s="578"/>
      <c r="G110" s="578"/>
      <c r="H110" s="578"/>
      <c r="I110" s="578"/>
      <c r="J110" s="578"/>
      <c r="K110" s="578"/>
      <c r="L110" s="578"/>
      <c r="M110" s="578"/>
      <c r="N110" s="578"/>
      <c r="O110" s="578"/>
      <c r="P110" s="578"/>
      <c r="Q110" s="578"/>
      <c r="R110" s="578"/>
      <c r="S110" s="578"/>
      <c r="T110" s="578"/>
      <c r="U110" s="578"/>
      <c r="V110" s="578"/>
      <c r="W110" s="578"/>
      <c r="X110" s="578"/>
      <c r="Y110" s="578"/>
      <c r="Z110" s="578"/>
      <c r="AA110" s="578"/>
      <c r="AB110" s="578"/>
      <c r="AC110" s="578"/>
      <c r="AD110" s="578"/>
      <c r="AE110" s="578"/>
      <c r="AF110" s="578"/>
      <c r="AG110" s="578"/>
      <c r="AH110" s="548"/>
      <c r="AI110" s="548"/>
      <c r="AJ110" s="548"/>
      <c r="AK110" s="548"/>
      <c r="AL110" s="548"/>
      <c r="AM110" s="548"/>
      <c r="AN110" s="548"/>
      <c r="AO110" s="548"/>
      <c r="AP110" s="548"/>
      <c r="AQ110" s="548"/>
      <c r="AR110" s="548"/>
      <c r="AS110" s="548"/>
      <c r="AT110" s="548"/>
      <c r="AU110" s="548"/>
      <c r="AV110" s="548"/>
      <c r="AW110" s="548"/>
      <c r="AX110" s="548"/>
      <c r="AY110" s="548"/>
      <c r="AZ110" s="548"/>
      <c r="BA110" s="548"/>
      <c r="BB110" s="548"/>
      <c r="BC110" s="548"/>
      <c r="BD110" s="569"/>
      <c r="BE110" s="569"/>
      <c r="BF110" s="569"/>
      <c r="BG110" s="569"/>
      <c r="BH110" s="569"/>
      <c r="BI110" s="569"/>
      <c r="BJ110" s="569"/>
      <c r="BK110" s="569"/>
      <c r="BL110" s="569"/>
      <c r="BM110" s="569"/>
      <c r="BN110" s="569"/>
      <c r="BO110" s="569"/>
      <c r="BP110" s="569"/>
      <c r="BQ110" s="569"/>
      <c r="BR110" s="569"/>
      <c r="BS110" s="569"/>
      <c r="BT110" s="569"/>
      <c r="BU110" s="569"/>
      <c r="BV110" s="569"/>
      <c r="BW110" s="569"/>
      <c r="BX110" s="569"/>
      <c r="BY110" s="569"/>
      <c r="BZ110" s="569"/>
      <c r="CA110" s="569"/>
      <c r="CB110" s="569"/>
      <c r="CC110" s="569"/>
      <c r="CD110" s="569"/>
      <c r="CE110" s="569"/>
      <c r="CF110" s="569"/>
      <c r="CG110" s="569"/>
      <c r="CH110" s="569"/>
      <c r="CI110" s="569"/>
      <c r="CJ110" s="569"/>
      <c r="CK110" s="569"/>
      <c r="CL110" s="569"/>
      <c r="CM110" s="569"/>
      <c r="CN110" s="569"/>
      <c r="CO110" s="569"/>
      <c r="CP110" s="569"/>
      <c r="CQ110" s="569"/>
      <c r="CR110" s="569"/>
      <c r="CS110" s="569"/>
      <c r="CT110" s="569"/>
      <c r="CU110" s="569"/>
      <c r="CV110" s="569"/>
      <c r="CW110" s="569"/>
      <c r="CX110" s="569"/>
      <c r="CY110" s="569"/>
      <c r="CZ110" s="569"/>
      <c r="DA110" s="569"/>
      <c r="DB110" s="569"/>
      <c r="DC110" s="569"/>
      <c r="DD110" s="569"/>
      <c r="DE110" s="569"/>
      <c r="DF110" s="569"/>
      <c r="DG110" s="569"/>
      <c r="DH110" s="569"/>
      <c r="DI110" s="569"/>
      <c r="DJ110" s="569"/>
      <c r="DK110" s="569"/>
      <c r="DL110" s="569"/>
      <c r="DM110" s="569"/>
      <c r="DN110" s="569"/>
      <c r="DO110" s="569"/>
      <c r="DP110" s="569"/>
      <c r="DQ110" s="569"/>
      <c r="DR110" s="569"/>
      <c r="DS110" s="569"/>
      <c r="DT110" s="569"/>
      <c r="DU110" s="569"/>
      <c r="DV110" s="569"/>
      <c r="DW110" s="569"/>
      <c r="DX110" s="569"/>
      <c r="DY110" s="569"/>
      <c r="DZ110" s="569"/>
      <c r="EA110" s="569"/>
      <c r="EB110" s="569"/>
      <c r="EC110" s="569"/>
      <c r="ED110" s="569"/>
      <c r="EE110" s="569"/>
      <c r="EF110" s="569"/>
      <c r="EG110" s="569"/>
      <c r="EH110" s="569"/>
      <c r="EI110" s="569"/>
      <c r="EJ110" s="569"/>
      <c r="EK110" s="569"/>
      <c r="EL110" s="569"/>
      <c r="EM110" s="569"/>
      <c r="EN110" s="569"/>
      <c r="EO110" s="569"/>
      <c r="EP110" s="569"/>
      <c r="EQ110" s="569"/>
      <c r="ER110" s="569"/>
      <c r="ES110" s="569"/>
      <c r="ET110" s="569"/>
      <c r="EU110" s="569"/>
      <c r="EV110" s="569"/>
      <c r="EW110" s="569"/>
      <c r="EX110" s="569"/>
      <c r="EY110" s="569"/>
      <c r="EZ110" s="569"/>
      <c r="FA110" s="569"/>
      <c r="FB110" s="569"/>
      <c r="FC110" s="569"/>
      <c r="FD110" s="569"/>
      <c r="FE110" s="569"/>
      <c r="FF110" s="569"/>
      <c r="FG110" s="569"/>
      <c r="FH110" s="569"/>
      <c r="FI110" s="569"/>
      <c r="FJ110" s="569"/>
      <c r="FK110" s="569"/>
      <c r="FL110" s="569"/>
      <c r="FM110" s="569"/>
      <c r="FN110" s="569"/>
      <c r="FO110" s="569"/>
      <c r="FP110" s="569"/>
      <c r="FQ110" s="569"/>
      <c r="FR110" s="569"/>
      <c r="FS110" s="569"/>
      <c r="FT110" s="569"/>
      <c r="FU110" s="569"/>
      <c r="FV110" s="569"/>
      <c r="FW110" s="569"/>
      <c r="FX110" s="569"/>
      <c r="FY110" s="569"/>
      <c r="FZ110" s="569"/>
      <c r="GA110" s="569"/>
      <c r="GB110" s="569"/>
      <c r="GC110" s="569"/>
      <c r="GD110" s="569"/>
      <c r="GE110" s="569"/>
      <c r="GF110" s="569"/>
      <c r="GG110" s="569"/>
      <c r="GH110" s="569"/>
      <c r="GI110" s="569"/>
      <c r="GJ110" s="569"/>
      <c r="GK110" s="569"/>
      <c r="GL110" s="569"/>
      <c r="GM110" s="569"/>
      <c r="GN110" s="569"/>
      <c r="GO110" s="569"/>
      <c r="GP110" s="569"/>
      <c r="GQ110" s="569"/>
      <c r="GR110" s="569"/>
      <c r="GS110" s="569"/>
      <c r="GT110" s="569"/>
    </row>
    <row r="111" spans="2:202" s="554" customFormat="1">
      <c r="B111" s="578"/>
      <c r="C111" s="578"/>
      <c r="D111" s="578"/>
      <c r="E111" s="578"/>
      <c r="F111" s="578"/>
      <c r="G111" s="578"/>
      <c r="H111" s="578"/>
      <c r="I111" s="578"/>
      <c r="J111" s="578"/>
      <c r="K111" s="578"/>
      <c r="L111" s="578"/>
      <c r="M111" s="578"/>
      <c r="N111" s="578"/>
      <c r="O111" s="578"/>
      <c r="P111" s="578"/>
      <c r="Q111" s="578"/>
      <c r="R111" s="578"/>
      <c r="S111" s="578"/>
      <c r="T111" s="578"/>
      <c r="U111" s="578"/>
      <c r="V111" s="578"/>
      <c r="W111" s="578"/>
      <c r="X111" s="578"/>
      <c r="Y111" s="578"/>
      <c r="Z111" s="578"/>
      <c r="AA111" s="578"/>
      <c r="AB111" s="578"/>
      <c r="AC111" s="578"/>
      <c r="AD111" s="578"/>
      <c r="AE111" s="578"/>
      <c r="AF111" s="578"/>
      <c r="AG111" s="578"/>
      <c r="AH111" s="548"/>
      <c r="AI111" s="548"/>
      <c r="AJ111" s="548"/>
      <c r="AK111" s="548"/>
      <c r="AL111" s="548"/>
      <c r="AM111" s="548"/>
      <c r="AN111" s="548"/>
      <c r="AO111" s="548"/>
      <c r="AP111" s="548"/>
      <c r="AQ111" s="548"/>
      <c r="AR111" s="548"/>
      <c r="AS111" s="548"/>
      <c r="AT111" s="548"/>
      <c r="AU111" s="548"/>
      <c r="AV111" s="548"/>
      <c r="AW111" s="548"/>
      <c r="AX111" s="548"/>
      <c r="AY111" s="548"/>
      <c r="AZ111" s="548"/>
      <c r="BA111" s="548"/>
      <c r="BB111" s="548"/>
      <c r="BC111" s="548"/>
      <c r="BD111" s="569"/>
      <c r="BE111" s="569"/>
      <c r="BF111" s="569"/>
      <c r="BG111" s="569"/>
      <c r="BH111" s="569"/>
      <c r="BI111" s="569"/>
      <c r="BJ111" s="569"/>
      <c r="BK111" s="569"/>
      <c r="BL111" s="569"/>
      <c r="BM111" s="569"/>
      <c r="BN111" s="569"/>
      <c r="BO111" s="569"/>
      <c r="BP111" s="569"/>
      <c r="BQ111" s="569"/>
      <c r="BR111" s="569"/>
      <c r="BS111" s="569"/>
      <c r="BT111" s="569"/>
      <c r="BU111" s="569"/>
      <c r="BV111" s="569"/>
      <c r="BW111" s="569"/>
      <c r="BX111" s="569"/>
      <c r="BY111" s="569"/>
      <c r="BZ111" s="569"/>
      <c r="CA111" s="569"/>
      <c r="CB111" s="569"/>
      <c r="CC111" s="569"/>
      <c r="CD111" s="569"/>
      <c r="CE111" s="569"/>
      <c r="CF111" s="569"/>
      <c r="CG111" s="569"/>
      <c r="CH111" s="569"/>
      <c r="CI111" s="569"/>
      <c r="CJ111" s="569"/>
      <c r="CK111" s="569"/>
      <c r="CL111" s="569"/>
      <c r="CM111" s="569"/>
      <c r="CN111" s="569"/>
      <c r="CO111" s="569"/>
      <c r="CP111" s="569"/>
      <c r="CQ111" s="569"/>
      <c r="CR111" s="569"/>
      <c r="CS111" s="569"/>
      <c r="CT111" s="569"/>
      <c r="CU111" s="569"/>
      <c r="CV111" s="569"/>
      <c r="CW111" s="569"/>
      <c r="CX111" s="569"/>
      <c r="CY111" s="569"/>
      <c r="CZ111" s="569"/>
      <c r="DA111" s="569"/>
      <c r="DB111" s="569"/>
      <c r="DC111" s="569"/>
      <c r="DD111" s="569"/>
      <c r="DE111" s="569"/>
      <c r="DF111" s="569"/>
      <c r="DG111" s="569"/>
      <c r="DH111" s="569"/>
      <c r="DI111" s="569"/>
      <c r="DJ111" s="569"/>
      <c r="DK111" s="569"/>
      <c r="DL111" s="569"/>
      <c r="DM111" s="569"/>
      <c r="DN111" s="569"/>
      <c r="DO111" s="569"/>
      <c r="DP111" s="569"/>
      <c r="DQ111" s="569"/>
      <c r="DR111" s="569"/>
      <c r="DS111" s="569"/>
      <c r="DT111" s="569"/>
      <c r="DU111" s="569"/>
      <c r="DV111" s="569"/>
      <c r="DW111" s="569"/>
      <c r="DX111" s="569"/>
      <c r="DY111" s="569"/>
      <c r="DZ111" s="569"/>
      <c r="EA111" s="569"/>
      <c r="EB111" s="569"/>
      <c r="EC111" s="569"/>
      <c r="ED111" s="569"/>
      <c r="EE111" s="569"/>
      <c r="EF111" s="569"/>
      <c r="EG111" s="569"/>
      <c r="EH111" s="569"/>
      <c r="EI111" s="569"/>
      <c r="EJ111" s="569"/>
      <c r="EK111" s="569"/>
      <c r="EL111" s="569"/>
      <c r="EM111" s="569"/>
      <c r="EN111" s="569"/>
      <c r="EO111" s="569"/>
      <c r="EP111" s="569"/>
      <c r="EQ111" s="569"/>
      <c r="ER111" s="569"/>
      <c r="ES111" s="569"/>
      <c r="ET111" s="569"/>
      <c r="EU111" s="569"/>
      <c r="EV111" s="569"/>
      <c r="EW111" s="569"/>
      <c r="EX111" s="569"/>
      <c r="EY111" s="569"/>
      <c r="EZ111" s="569"/>
      <c r="FA111" s="569"/>
      <c r="FB111" s="569"/>
      <c r="FC111" s="569"/>
      <c r="FD111" s="569"/>
      <c r="FE111" s="569"/>
      <c r="FF111" s="569"/>
      <c r="FG111" s="569"/>
      <c r="FH111" s="569"/>
      <c r="FI111" s="569"/>
      <c r="FJ111" s="569"/>
      <c r="FK111" s="569"/>
      <c r="FL111" s="569"/>
      <c r="FM111" s="569"/>
      <c r="FN111" s="569"/>
      <c r="FO111" s="569"/>
      <c r="FP111" s="569"/>
      <c r="FQ111" s="569"/>
      <c r="FR111" s="569"/>
      <c r="FS111" s="569"/>
      <c r="FT111" s="569"/>
      <c r="FU111" s="569"/>
      <c r="FV111" s="569"/>
      <c r="FW111" s="569"/>
      <c r="FX111" s="569"/>
      <c r="FY111" s="569"/>
      <c r="FZ111" s="569"/>
      <c r="GA111" s="569"/>
      <c r="GB111" s="569"/>
      <c r="GC111" s="569"/>
      <c r="GD111" s="569"/>
      <c r="GE111" s="569"/>
      <c r="GF111" s="569"/>
      <c r="GG111" s="569"/>
      <c r="GH111" s="569"/>
      <c r="GI111" s="569"/>
      <c r="GJ111" s="569"/>
      <c r="GK111" s="569"/>
      <c r="GL111" s="569"/>
      <c r="GM111" s="569"/>
      <c r="GN111" s="569"/>
      <c r="GO111" s="569"/>
      <c r="GP111" s="569"/>
      <c r="GQ111" s="569"/>
      <c r="GR111" s="569"/>
      <c r="GS111" s="569"/>
      <c r="GT111" s="569"/>
    </row>
    <row r="112" spans="2:202" s="554" customFormat="1">
      <c r="B112" s="578"/>
      <c r="C112" s="578"/>
      <c r="D112" s="578"/>
      <c r="E112" s="578"/>
      <c r="F112" s="578"/>
      <c r="G112" s="578"/>
      <c r="H112" s="578"/>
      <c r="I112" s="578"/>
      <c r="J112" s="578"/>
      <c r="K112" s="578"/>
      <c r="L112" s="578"/>
      <c r="M112" s="578"/>
      <c r="N112" s="578"/>
      <c r="O112" s="578"/>
      <c r="P112" s="578"/>
      <c r="Q112" s="578"/>
      <c r="R112" s="578"/>
      <c r="S112" s="578"/>
      <c r="T112" s="578"/>
      <c r="U112" s="578"/>
      <c r="V112" s="578"/>
      <c r="W112" s="578"/>
      <c r="X112" s="578"/>
      <c r="Y112" s="578"/>
      <c r="Z112" s="578"/>
      <c r="AA112" s="578"/>
      <c r="AB112" s="578"/>
      <c r="AC112" s="578"/>
      <c r="AD112" s="578"/>
      <c r="AE112" s="578"/>
      <c r="AF112" s="578"/>
      <c r="AG112" s="578"/>
      <c r="AH112" s="548"/>
      <c r="AI112" s="548"/>
      <c r="AJ112" s="548"/>
      <c r="AK112" s="548"/>
      <c r="AL112" s="548"/>
      <c r="AM112" s="548"/>
      <c r="AN112" s="548"/>
      <c r="AO112" s="548"/>
      <c r="AP112" s="548"/>
      <c r="AQ112" s="548"/>
      <c r="AR112" s="548"/>
      <c r="AS112" s="548"/>
      <c r="AT112" s="548"/>
      <c r="AU112" s="548"/>
      <c r="AV112" s="548"/>
      <c r="AW112" s="548"/>
      <c r="AX112" s="548"/>
      <c r="AY112" s="548"/>
      <c r="AZ112" s="548"/>
      <c r="BA112" s="548"/>
      <c r="BB112" s="548"/>
      <c r="BC112" s="548"/>
      <c r="BD112" s="569"/>
      <c r="BE112" s="569"/>
      <c r="BF112" s="569"/>
      <c r="BG112" s="569"/>
      <c r="BH112" s="569"/>
      <c r="BI112" s="569"/>
      <c r="BJ112" s="569"/>
      <c r="BK112" s="569"/>
      <c r="BL112" s="569"/>
      <c r="BM112" s="569"/>
      <c r="BN112" s="569"/>
      <c r="BO112" s="569"/>
      <c r="BP112" s="569"/>
      <c r="BQ112" s="569"/>
      <c r="BR112" s="569"/>
      <c r="BS112" s="569"/>
      <c r="BT112" s="569"/>
      <c r="BU112" s="569"/>
      <c r="BV112" s="569"/>
      <c r="BW112" s="569"/>
      <c r="BX112" s="569"/>
      <c r="BY112" s="569"/>
      <c r="BZ112" s="569"/>
      <c r="CA112" s="569"/>
      <c r="CB112" s="569"/>
      <c r="CC112" s="569"/>
      <c r="CD112" s="569"/>
      <c r="CE112" s="569"/>
      <c r="CF112" s="569"/>
      <c r="CG112" s="569"/>
      <c r="CH112" s="569"/>
      <c r="CI112" s="569"/>
      <c r="CJ112" s="569"/>
      <c r="CK112" s="569"/>
      <c r="CL112" s="569"/>
      <c r="CM112" s="569"/>
      <c r="CN112" s="569"/>
      <c r="CO112" s="569"/>
      <c r="CP112" s="569"/>
      <c r="CQ112" s="569"/>
      <c r="CR112" s="569"/>
      <c r="CS112" s="569"/>
      <c r="CT112" s="569"/>
      <c r="CU112" s="569"/>
      <c r="CV112" s="569"/>
      <c r="CW112" s="569"/>
      <c r="CX112" s="569"/>
      <c r="CY112" s="569"/>
      <c r="CZ112" s="569"/>
      <c r="DA112" s="569"/>
      <c r="DB112" s="569"/>
      <c r="DC112" s="569"/>
      <c r="DD112" s="569"/>
      <c r="DE112" s="569"/>
      <c r="DF112" s="569"/>
      <c r="DG112" s="569"/>
      <c r="DH112" s="569"/>
      <c r="DI112" s="569"/>
      <c r="DJ112" s="569"/>
      <c r="DK112" s="569"/>
      <c r="DL112" s="569"/>
      <c r="DM112" s="569"/>
      <c r="DN112" s="569"/>
      <c r="DO112" s="569"/>
      <c r="DP112" s="569"/>
      <c r="DQ112" s="569"/>
      <c r="DR112" s="569"/>
      <c r="DS112" s="569"/>
      <c r="DT112" s="569"/>
      <c r="DU112" s="569"/>
      <c r="DV112" s="569"/>
      <c r="DW112" s="569"/>
      <c r="DX112" s="569"/>
      <c r="DY112" s="569"/>
      <c r="DZ112" s="569"/>
      <c r="EA112" s="569"/>
      <c r="EB112" s="569"/>
      <c r="EC112" s="569"/>
      <c r="ED112" s="569"/>
      <c r="EE112" s="569"/>
      <c r="EF112" s="569"/>
      <c r="EG112" s="569"/>
      <c r="EH112" s="569"/>
      <c r="EI112" s="569"/>
      <c r="EJ112" s="569"/>
      <c r="EK112" s="569"/>
      <c r="EL112" s="569"/>
      <c r="EM112" s="569"/>
      <c r="EN112" s="569"/>
      <c r="EO112" s="569"/>
      <c r="EP112" s="569"/>
      <c r="EQ112" s="569"/>
      <c r="ER112" s="569"/>
      <c r="ES112" s="569"/>
      <c r="ET112" s="569"/>
      <c r="EU112" s="569"/>
      <c r="EV112" s="569"/>
      <c r="EW112" s="569"/>
      <c r="EX112" s="569"/>
      <c r="EY112" s="569"/>
      <c r="EZ112" s="569"/>
      <c r="FA112" s="569"/>
      <c r="FB112" s="569"/>
      <c r="FC112" s="569"/>
      <c r="FD112" s="569"/>
      <c r="FE112" s="569"/>
      <c r="FF112" s="569"/>
      <c r="FG112" s="569"/>
      <c r="FH112" s="569"/>
      <c r="FI112" s="569"/>
      <c r="FJ112" s="569"/>
      <c r="FK112" s="569"/>
      <c r="FL112" s="569"/>
      <c r="FM112" s="569"/>
      <c r="FN112" s="569"/>
      <c r="FO112" s="569"/>
      <c r="FP112" s="569"/>
      <c r="FQ112" s="569"/>
      <c r="FR112" s="569"/>
      <c r="FS112" s="569"/>
      <c r="FT112" s="569"/>
      <c r="FU112" s="569"/>
      <c r="FV112" s="569"/>
      <c r="FW112" s="569"/>
      <c r="FX112" s="569"/>
      <c r="FY112" s="569"/>
      <c r="FZ112" s="569"/>
      <c r="GA112" s="569"/>
      <c r="GB112" s="569"/>
      <c r="GC112" s="569"/>
      <c r="GD112" s="569"/>
      <c r="GE112" s="569"/>
      <c r="GF112" s="569"/>
      <c r="GG112" s="569"/>
      <c r="GH112" s="569"/>
      <c r="GI112" s="569"/>
      <c r="GJ112" s="569"/>
      <c r="GK112" s="569"/>
      <c r="GL112" s="569"/>
      <c r="GM112" s="569"/>
      <c r="GN112" s="569"/>
      <c r="GO112" s="569"/>
      <c r="GP112" s="569"/>
      <c r="GQ112" s="569"/>
      <c r="GR112" s="569"/>
      <c r="GS112" s="569"/>
      <c r="GT112" s="569"/>
    </row>
    <row r="113" spans="2:202" s="554" customFormat="1">
      <c r="B113" s="578"/>
      <c r="C113" s="578"/>
      <c r="D113" s="578"/>
      <c r="E113" s="578"/>
      <c r="F113" s="578"/>
      <c r="G113" s="578"/>
      <c r="H113" s="578"/>
      <c r="I113" s="578"/>
      <c r="J113" s="578"/>
      <c r="K113" s="578"/>
      <c r="L113" s="578"/>
      <c r="M113" s="578"/>
      <c r="N113" s="578"/>
      <c r="O113" s="578"/>
      <c r="P113" s="578"/>
      <c r="Q113" s="578"/>
      <c r="R113" s="578"/>
      <c r="S113" s="578"/>
      <c r="T113" s="578"/>
      <c r="U113" s="578"/>
      <c r="V113" s="578"/>
      <c r="W113" s="578"/>
      <c r="X113" s="578"/>
      <c r="Y113" s="578"/>
      <c r="Z113" s="578"/>
      <c r="AA113" s="578"/>
      <c r="AB113" s="578"/>
      <c r="AC113" s="578"/>
      <c r="AD113" s="578"/>
      <c r="AE113" s="578"/>
      <c r="AF113" s="578"/>
      <c r="AG113" s="578"/>
      <c r="AH113" s="548"/>
      <c r="AI113" s="548"/>
      <c r="AJ113" s="548"/>
      <c r="AK113" s="548"/>
      <c r="AL113" s="548"/>
      <c r="AM113" s="548"/>
      <c r="AN113" s="548"/>
      <c r="AO113" s="548"/>
      <c r="AP113" s="548"/>
      <c r="AQ113" s="548"/>
      <c r="AR113" s="548"/>
      <c r="AS113" s="548"/>
      <c r="AT113" s="548"/>
      <c r="AU113" s="548"/>
      <c r="AV113" s="548"/>
      <c r="AW113" s="548"/>
      <c r="AX113" s="548"/>
      <c r="AY113" s="548"/>
      <c r="AZ113" s="548"/>
      <c r="BA113" s="548"/>
      <c r="BB113" s="548"/>
      <c r="BC113" s="548"/>
      <c r="BD113" s="569"/>
      <c r="BE113" s="569"/>
      <c r="BF113" s="569"/>
      <c r="BG113" s="569"/>
      <c r="BH113" s="569"/>
      <c r="BI113" s="569"/>
      <c r="BJ113" s="569"/>
      <c r="BK113" s="569"/>
      <c r="BL113" s="569"/>
      <c r="BM113" s="569"/>
      <c r="BN113" s="569"/>
      <c r="BO113" s="569"/>
      <c r="BP113" s="569"/>
      <c r="BQ113" s="569"/>
      <c r="BR113" s="569"/>
      <c r="BS113" s="569"/>
      <c r="BT113" s="569"/>
      <c r="BU113" s="569"/>
      <c r="BV113" s="569"/>
      <c r="BW113" s="569"/>
      <c r="BX113" s="569"/>
      <c r="BY113" s="569"/>
      <c r="BZ113" s="569"/>
      <c r="CA113" s="569"/>
      <c r="CB113" s="569"/>
      <c r="CC113" s="569"/>
      <c r="CD113" s="569"/>
      <c r="CE113" s="569"/>
      <c r="CF113" s="569"/>
      <c r="CG113" s="569"/>
      <c r="CH113" s="569"/>
      <c r="CI113" s="569"/>
      <c r="CJ113" s="569"/>
      <c r="CK113" s="569"/>
      <c r="CL113" s="569"/>
      <c r="CM113" s="569"/>
      <c r="CN113" s="569"/>
      <c r="CO113" s="569"/>
      <c r="CP113" s="569"/>
      <c r="CQ113" s="569"/>
      <c r="CR113" s="569"/>
      <c r="CS113" s="569"/>
      <c r="CT113" s="569"/>
      <c r="CU113" s="569"/>
      <c r="CV113" s="569"/>
      <c r="CW113" s="569"/>
      <c r="CX113" s="569"/>
      <c r="CY113" s="569"/>
      <c r="CZ113" s="569"/>
      <c r="DA113" s="569"/>
      <c r="DB113" s="569"/>
      <c r="DC113" s="569"/>
      <c r="DD113" s="569"/>
      <c r="DE113" s="569"/>
      <c r="DF113" s="569"/>
      <c r="DG113" s="569"/>
      <c r="DH113" s="569"/>
      <c r="DI113" s="569"/>
      <c r="DJ113" s="569"/>
      <c r="DK113" s="569"/>
      <c r="DL113" s="569"/>
      <c r="DM113" s="569"/>
      <c r="DN113" s="569"/>
      <c r="DO113" s="569"/>
      <c r="DP113" s="569"/>
      <c r="DQ113" s="569"/>
      <c r="DR113" s="569"/>
      <c r="DS113" s="569"/>
      <c r="DT113" s="569"/>
      <c r="DU113" s="569"/>
      <c r="DV113" s="569"/>
      <c r="DW113" s="569"/>
      <c r="DX113" s="569"/>
      <c r="DY113" s="569"/>
      <c r="DZ113" s="569"/>
      <c r="EA113" s="569"/>
      <c r="EB113" s="569"/>
      <c r="EC113" s="569"/>
      <c r="ED113" s="569"/>
      <c r="EE113" s="569"/>
      <c r="EF113" s="569"/>
      <c r="EG113" s="569"/>
      <c r="EH113" s="569"/>
      <c r="EI113" s="569"/>
      <c r="EJ113" s="569"/>
      <c r="EK113" s="569"/>
      <c r="EL113" s="569"/>
      <c r="EM113" s="569"/>
      <c r="EN113" s="569"/>
      <c r="EO113" s="569"/>
      <c r="EP113" s="569"/>
      <c r="EQ113" s="569"/>
      <c r="ER113" s="569"/>
      <c r="ES113" s="569"/>
      <c r="ET113" s="569"/>
      <c r="EU113" s="569"/>
      <c r="EV113" s="569"/>
      <c r="EW113" s="569"/>
      <c r="EX113" s="569"/>
      <c r="EY113" s="569"/>
      <c r="EZ113" s="569"/>
      <c r="FA113" s="569"/>
      <c r="FB113" s="569"/>
      <c r="FC113" s="569"/>
      <c r="FD113" s="569"/>
      <c r="FE113" s="569"/>
      <c r="FF113" s="569"/>
      <c r="FG113" s="569"/>
      <c r="FH113" s="569"/>
      <c r="FI113" s="569"/>
      <c r="FJ113" s="569"/>
      <c r="FK113" s="569"/>
      <c r="FL113" s="569"/>
      <c r="FM113" s="569"/>
      <c r="FN113" s="569"/>
      <c r="FO113" s="569"/>
      <c r="FP113" s="569"/>
      <c r="FQ113" s="569"/>
      <c r="FR113" s="569"/>
      <c r="FS113" s="569"/>
      <c r="FT113" s="569"/>
      <c r="FU113" s="569"/>
      <c r="FV113" s="569"/>
      <c r="FW113" s="569"/>
      <c r="FX113" s="569"/>
      <c r="FY113" s="569"/>
      <c r="FZ113" s="569"/>
      <c r="GA113" s="569"/>
      <c r="GB113" s="569"/>
      <c r="GC113" s="569"/>
      <c r="GD113" s="569"/>
      <c r="GE113" s="569"/>
      <c r="GF113" s="569"/>
      <c r="GG113" s="569"/>
      <c r="GH113" s="569"/>
      <c r="GI113" s="569"/>
      <c r="GJ113" s="569"/>
      <c r="GK113" s="569"/>
      <c r="GL113" s="569"/>
      <c r="GM113" s="569"/>
      <c r="GN113" s="569"/>
      <c r="GO113" s="569"/>
      <c r="GP113" s="569"/>
      <c r="GQ113" s="569"/>
      <c r="GR113" s="569"/>
      <c r="GS113" s="569"/>
      <c r="GT113" s="569"/>
    </row>
    <row r="114" spans="2:202" s="554" customFormat="1">
      <c r="B114" s="578"/>
      <c r="C114" s="578"/>
      <c r="D114" s="578"/>
      <c r="E114" s="578"/>
      <c r="F114" s="578"/>
      <c r="G114" s="578"/>
      <c r="H114" s="578"/>
      <c r="I114" s="578"/>
      <c r="J114" s="578"/>
      <c r="K114" s="578"/>
      <c r="L114" s="578"/>
      <c r="M114" s="578"/>
      <c r="N114" s="578"/>
      <c r="O114" s="578"/>
      <c r="P114" s="578"/>
      <c r="Q114" s="578"/>
      <c r="R114" s="578"/>
      <c r="S114" s="578"/>
      <c r="T114" s="578"/>
      <c r="U114" s="578"/>
      <c r="V114" s="578"/>
      <c r="W114" s="578"/>
      <c r="X114" s="578"/>
      <c r="Y114" s="578"/>
      <c r="Z114" s="578"/>
      <c r="AA114" s="578"/>
      <c r="AB114" s="578"/>
      <c r="AC114" s="578"/>
      <c r="AD114" s="578"/>
      <c r="AE114" s="578"/>
      <c r="AF114" s="578"/>
      <c r="AG114" s="578"/>
      <c r="AH114" s="548"/>
      <c r="AI114" s="548"/>
      <c r="AJ114" s="548"/>
      <c r="AK114" s="548"/>
      <c r="AL114" s="548"/>
      <c r="AM114" s="548"/>
      <c r="AN114" s="548"/>
      <c r="AO114" s="548"/>
      <c r="AP114" s="548"/>
      <c r="AQ114" s="548"/>
      <c r="AR114" s="548"/>
      <c r="AS114" s="548"/>
      <c r="AT114" s="548"/>
      <c r="AU114" s="548"/>
      <c r="AV114" s="548"/>
      <c r="AW114" s="548"/>
      <c r="AX114" s="548"/>
      <c r="AY114" s="548"/>
      <c r="AZ114" s="548"/>
      <c r="BA114" s="548"/>
      <c r="BB114" s="548"/>
      <c r="BC114" s="548"/>
      <c r="BD114" s="569"/>
      <c r="BE114" s="569"/>
      <c r="BF114" s="569"/>
      <c r="BG114" s="569"/>
      <c r="BH114" s="569"/>
      <c r="BI114" s="569"/>
      <c r="BJ114" s="569"/>
      <c r="BK114" s="569"/>
      <c r="BL114" s="569"/>
      <c r="BM114" s="569"/>
      <c r="BN114" s="569"/>
      <c r="BO114" s="569"/>
      <c r="BP114" s="569"/>
      <c r="BQ114" s="569"/>
      <c r="BR114" s="569"/>
      <c r="BS114" s="569"/>
      <c r="BT114" s="569"/>
      <c r="BU114" s="569"/>
      <c r="BV114" s="569"/>
      <c r="BW114" s="569"/>
      <c r="BX114" s="569"/>
      <c r="BY114" s="569"/>
      <c r="BZ114" s="569"/>
      <c r="CA114" s="569"/>
      <c r="CB114" s="569"/>
      <c r="CC114" s="569"/>
      <c r="CD114" s="569"/>
      <c r="CE114" s="569"/>
      <c r="CF114" s="569"/>
      <c r="CG114" s="569"/>
      <c r="CH114" s="569"/>
      <c r="CI114" s="569"/>
      <c r="CJ114" s="569"/>
      <c r="CK114" s="569"/>
      <c r="CL114" s="569"/>
      <c r="CM114" s="569"/>
      <c r="CN114" s="569"/>
      <c r="CO114" s="569"/>
      <c r="CP114" s="569"/>
      <c r="CQ114" s="569"/>
      <c r="CR114" s="569"/>
      <c r="CS114" s="569"/>
      <c r="CT114" s="569"/>
      <c r="CU114" s="569"/>
      <c r="CV114" s="569"/>
      <c r="CW114" s="569"/>
      <c r="CX114" s="569"/>
      <c r="CY114" s="569"/>
      <c r="CZ114" s="569"/>
      <c r="DA114" s="569"/>
      <c r="DB114" s="569"/>
      <c r="DC114" s="569"/>
      <c r="DD114" s="569"/>
      <c r="DE114" s="569"/>
      <c r="DF114" s="569"/>
      <c r="DG114" s="569"/>
      <c r="DH114" s="569"/>
      <c r="DI114" s="569"/>
      <c r="DJ114" s="569"/>
      <c r="DK114" s="569"/>
      <c r="DL114" s="569"/>
      <c r="DM114" s="569"/>
      <c r="DN114" s="569"/>
      <c r="DO114" s="569"/>
      <c r="DP114" s="569"/>
      <c r="DQ114" s="569"/>
      <c r="DR114" s="569"/>
      <c r="DS114" s="569"/>
      <c r="DT114" s="569"/>
      <c r="DU114" s="569"/>
      <c r="DV114" s="569"/>
      <c r="DW114" s="569"/>
      <c r="DX114" s="569"/>
      <c r="DY114" s="569"/>
      <c r="DZ114" s="569"/>
      <c r="EA114" s="569"/>
      <c r="EB114" s="569"/>
      <c r="EC114" s="569"/>
      <c r="ED114" s="569"/>
      <c r="EE114" s="569"/>
      <c r="EF114" s="569"/>
      <c r="EG114" s="569"/>
      <c r="EH114" s="569"/>
      <c r="EI114" s="569"/>
      <c r="EJ114" s="569"/>
      <c r="EK114" s="569"/>
      <c r="EL114" s="569"/>
      <c r="EM114" s="569"/>
      <c r="EN114" s="569"/>
      <c r="EO114" s="569"/>
      <c r="EP114" s="569"/>
      <c r="EQ114" s="569"/>
      <c r="ER114" s="569"/>
      <c r="ES114" s="569"/>
      <c r="ET114" s="569"/>
      <c r="EU114" s="569"/>
      <c r="EV114" s="569"/>
      <c r="EW114" s="569"/>
      <c r="EX114" s="569"/>
      <c r="EY114" s="569"/>
      <c r="EZ114" s="569"/>
      <c r="FA114" s="569"/>
      <c r="FB114" s="569"/>
      <c r="FC114" s="569"/>
      <c r="FD114" s="569"/>
      <c r="FE114" s="569"/>
      <c r="FF114" s="569"/>
      <c r="FG114" s="569"/>
      <c r="FH114" s="569"/>
      <c r="FI114" s="569"/>
      <c r="FJ114" s="569"/>
      <c r="FK114" s="569"/>
      <c r="FL114" s="569"/>
      <c r="FM114" s="569"/>
      <c r="FN114" s="569"/>
      <c r="FO114" s="569"/>
      <c r="FP114" s="569"/>
      <c r="FQ114" s="569"/>
      <c r="FR114" s="569"/>
      <c r="FS114" s="569"/>
      <c r="FT114" s="569"/>
      <c r="FU114" s="569"/>
      <c r="FV114" s="569"/>
      <c r="FW114" s="569"/>
      <c r="FX114" s="569"/>
      <c r="FY114" s="569"/>
      <c r="FZ114" s="569"/>
      <c r="GA114" s="569"/>
      <c r="GB114" s="569"/>
      <c r="GC114" s="569"/>
      <c r="GD114" s="569"/>
      <c r="GE114" s="569"/>
      <c r="GF114" s="569"/>
      <c r="GG114" s="569"/>
      <c r="GH114" s="569"/>
      <c r="GI114" s="569"/>
      <c r="GJ114" s="569"/>
      <c r="GK114" s="569"/>
      <c r="GL114" s="569"/>
      <c r="GM114" s="569"/>
      <c r="GN114" s="569"/>
      <c r="GO114" s="569"/>
      <c r="GP114" s="569"/>
      <c r="GQ114" s="569"/>
      <c r="GR114" s="569"/>
      <c r="GS114" s="569"/>
      <c r="GT114" s="569"/>
    </row>
    <row r="115" spans="2:202" s="554" customFormat="1">
      <c r="B115" s="578"/>
      <c r="C115" s="578"/>
      <c r="D115" s="578"/>
      <c r="E115" s="578"/>
      <c r="F115" s="578"/>
      <c r="G115" s="578"/>
      <c r="H115" s="578"/>
      <c r="I115" s="578"/>
      <c r="J115" s="578"/>
      <c r="K115" s="578"/>
      <c r="L115" s="578"/>
      <c r="M115" s="578"/>
      <c r="N115" s="578"/>
      <c r="O115" s="578"/>
      <c r="P115" s="578"/>
      <c r="Q115" s="578"/>
      <c r="R115" s="578"/>
      <c r="S115" s="578"/>
      <c r="T115" s="578"/>
      <c r="U115" s="578"/>
      <c r="V115" s="578"/>
      <c r="W115" s="578"/>
      <c r="X115" s="578"/>
      <c r="Y115" s="578"/>
      <c r="Z115" s="578"/>
      <c r="AA115" s="578"/>
      <c r="AB115" s="578"/>
      <c r="AC115" s="578"/>
      <c r="AD115" s="578"/>
      <c r="AE115" s="578"/>
      <c r="AF115" s="578"/>
      <c r="AG115" s="578"/>
      <c r="AH115" s="548"/>
      <c r="AI115" s="548"/>
      <c r="AJ115" s="548"/>
      <c r="AK115" s="548"/>
      <c r="AL115" s="548"/>
      <c r="AM115" s="548"/>
      <c r="AN115" s="548"/>
      <c r="AO115" s="548"/>
      <c r="AP115" s="548"/>
      <c r="AQ115" s="548"/>
      <c r="AR115" s="548"/>
      <c r="AS115" s="548"/>
      <c r="AT115" s="548"/>
      <c r="AU115" s="548"/>
      <c r="AV115" s="548"/>
      <c r="AW115" s="548"/>
      <c r="AX115" s="548"/>
      <c r="AY115" s="548"/>
      <c r="AZ115" s="548"/>
      <c r="BA115" s="548"/>
      <c r="BB115" s="548"/>
      <c r="BC115" s="548"/>
      <c r="BD115" s="569"/>
      <c r="BE115" s="569"/>
      <c r="BF115" s="569"/>
      <c r="BG115" s="569"/>
      <c r="BH115" s="569"/>
      <c r="BI115" s="569"/>
      <c r="BJ115" s="569"/>
      <c r="BK115" s="569"/>
      <c r="BL115" s="569"/>
      <c r="BM115" s="569"/>
      <c r="BN115" s="569"/>
      <c r="BO115" s="569"/>
      <c r="BP115" s="569"/>
      <c r="BQ115" s="569"/>
      <c r="BR115" s="569"/>
      <c r="BS115" s="569"/>
      <c r="BT115" s="569"/>
      <c r="BU115" s="569"/>
      <c r="BV115" s="569"/>
      <c r="BW115" s="569"/>
      <c r="BX115" s="569"/>
      <c r="BY115" s="569"/>
      <c r="BZ115" s="569"/>
      <c r="CA115" s="569"/>
      <c r="CB115" s="569"/>
      <c r="CC115" s="569"/>
      <c r="CD115" s="569"/>
      <c r="CE115" s="569"/>
      <c r="CF115" s="569"/>
      <c r="CG115" s="569"/>
      <c r="CH115" s="569"/>
      <c r="CI115" s="569"/>
      <c r="CJ115" s="569"/>
      <c r="CK115" s="569"/>
      <c r="CL115" s="569"/>
      <c r="CM115" s="569"/>
      <c r="CN115" s="569"/>
      <c r="CO115" s="569"/>
      <c r="CP115" s="569"/>
      <c r="CQ115" s="569"/>
      <c r="CR115" s="569"/>
      <c r="CS115" s="569"/>
      <c r="CT115" s="569"/>
      <c r="CU115" s="569"/>
      <c r="CV115" s="569"/>
      <c r="CW115" s="569"/>
      <c r="CX115" s="569"/>
      <c r="CY115" s="569"/>
      <c r="CZ115" s="569"/>
      <c r="DA115" s="569"/>
      <c r="DB115" s="569"/>
      <c r="DC115" s="569"/>
      <c r="DD115" s="569"/>
      <c r="DE115" s="569"/>
      <c r="DF115" s="569"/>
      <c r="DG115" s="569"/>
      <c r="DH115" s="569"/>
      <c r="DI115" s="569"/>
      <c r="DJ115" s="569"/>
      <c r="DK115" s="569"/>
      <c r="DL115" s="569"/>
      <c r="DM115" s="569"/>
      <c r="DN115" s="569"/>
      <c r="DO115" s="569"/>
      <c r="DP115" s="569"/>
      <c r="DQ115" s="569"/>
      <c r="DR115" s="569"/>
      <c r="DS115" s="569"/>
      <c r="DT115" s="569"/>
      <c r="DU115" s="569"/>
      <c r="DV115" s="569"/>
      <c r="DW115" s="569"/>
      <c r="DX115" s="569"/>
      <c r="DY115" s="569"/>
      <c r="DZ115" s="569"/>
      <c r="EA115" s="569"/>
      <c r="EB115" s="569"/>
      <c r="EC115" s="569"/>
      <c r="ED115" s="569"/>
      <c r="EE115" s="569"/>
      <c r="EF115" s="569"/>
      <c r="EG115" s="569"/>
      <c r="EH115" s="569"/>
      <c r="EI115" s="569"/>
      <c r="EJ115" s="569"/>
      <c r="EK115" s="569"/>
      <c r="EL115" s="569"/>
      <c r="EM115" s="569"/>
      <c r="EN115" s="569"/>
      <c r="EO115" s="569"/>
      <c r="EP115" s="569"/>
      <c r="EQ115" s="569"/>
      <c r="ER115" s="569"/>
      <c r="ES115" s="569"/>
      <c r="ET115" s="569"/>
      <c r="EU115" s="569"/>
      <c r="EV115" s="569"/>
      <c r="EW115" s="569"/>
      <c r="EX115" s="569"/>
      <c r="EY115" s="569"/>
      <c r="EZ115" s="569"/>
      <c r="FA115" s="569"/>
      <c r="FB115" s="569"/>
      <c r="FC115" s="569"/>
      <c r="FD115" s="569"/>
      <c r="FE115" s="569"/>
      <c r="FF115" s="569"/>
      <c r="FG115" s="569"/>
      <c r="FH115" s="569"/>
      <c r="FI115" s="569"/>
      <c r="FJ115" s="569"/>
      <c r="FK115" s="569"/>
      <c r="FL115" s="569"/>
      <c r="FM115" s="569"/>
      <c r="FN115" s="569"/>
      <c r="FO115" s="569"/>
      <c r="FP115" s="569"/>
      <c r="FQ115" s="569"/>
      <c r="FR115" s="569"/>
      <c r="FS115" s="569"/>
      <c r="FT115" s="569"/>
      <c r="FU115" s="569"/>
      <c r="FV115" s="569"/>
      <c r="FW115" s="569"/>
      <c r="FX115" s="569"/>
      <c r="FY115" s="569"/>
      <c r="FZ115" s="569"/>
      <c r="GA115" s="569"/>
      <c r="GB115" s="569"/>
      <c r="GC115" s="569"/>
      <c r="GD115" s="569"/>
      <c r="GE115" s="569"/>
      <c r="GF115" s="569"/>
      <c r="GG115" s="569"/>
      <c r="GH115" s="569"/>
      <c r="GI115" s="569"/>
      <c r="GJ115" s="569"/>
      <c r="GK115" s="569"/>
      <c r="GL115" s="569"/>
      <c r="GM115" s="569"/>
      <c r="GN115" s="569"/>
      <c r="GO115" s="569"/>
      <c r="GP115" s="569"/>
      <c r="GQ115" s="569"/>
      <c r="GR115" s="569"/>
      <c r="GS115" s="569"/>
      <c r="GT115" s="569"/>
    </row>
    <row r="116" spans="2:202" s="554" customFormat="1">
      <c r="B116" s="578"/>
      <c r="C116" s="578"/>
      <c r="D116" s="578"/>
      <c r="E116" s="578"/>
      <c r="F116" s="578"/>
      <c r="G116" s="578"/>
      <c r="H116" s="578"/>
      <c r="I116" s="578"/>
      <c r="J116" s="578"/>
      <c r="K116" s="578"/>
      <c r="L116" s="578"/>
      <c r="M116" s="578"/>
      <c r="N116" s="578"/>
      <c r="O116" s="578"/>
      <c r="P116" s="578"/>
      <c r="Q116" s="578"/>
      <c r="R116" s="578"/>
      <c r="S116" s="578"/>
      <c r="T116" s="578"/>
      <c r="U116" s="578"/>
      <c r="V116" s="578"/>
      <c r="W116" s="578"/>
      <c r="X116" s="578"/>
      <c r="Y116" s="578"/>
      <c r="Z116" s="578"/>
      <c r="AA116" s="578"/>
      <c r="AB116" s="578"/>
      <c r="AC116" s="578"/>
      <c r="AD116" s="578"/>
      <c r="AE116" s="578"/>
      <c r="AF116" s="578"/>
      <c r="AG116" s="578"/>
      <c r="AH116" s="548"/>
      <c r="AI116" s="548"/>
      <c r="AJ116" s="548"/>
      <c r="AK116" s="548"/>
      <c r="AL116" s="548"/>
      <c r="AM116" s="548"/>
      <c r="AN116" s="548"/>
      <c r="AO116" s="548"/>
      <c r="AP116" s="548"/>
      <c r="AQ116" s="548"/>
      <c r="AR116" s="548"/>
      <c r="AS116" s="548"/>
      <c r="AT116" s="548"/>
      <c r="AU116" s="548"/>
      <c r="AV116" s="548"/>
      <c r="AW116" s="548"/>
      <c r="AX116" s="548"/>
      <c r="AY116" s="548"/>
      <c r="AZ116" s="548"/>
      <c r="BA116" s="548"/>
      <c r="BB116" s="548"/>
      <c r="BC116" s="548"/>
      <c r="BD116" s="569"/>
      <c r="BE116" s="569"/>
      <c r="BF116" s="569"/>
      <c r="BG116" s="569"/>
      <c r="BH116" s="569"/>
      <c r="BI116" s="569"/>
      <c r="BJ116" s="569"/>
      <c r="BK116" s="569"/>
      <c r="BL116" s="569"/>
      <c r="BM116" s="569"/>
      <c r="BN116" s="569"/>
      <c r="BO116" s="569"/>
      <c r="BP116" s="569"/>
      <c r="BQ116" s="569"/>
      <c r="BR116" s="569"/>
      <c r="BS116" s="569"/>
      <c r="BT116" s="569"/>
      <c r="BU116" s="569"/>
      <c r="BV116" s="569"/>
      <c r="BW116" s="569"/>
      <c r="BX116" s="569"/>
      <c r="BY116" s="569"/>
      <c r="BZ116" s="569"/>
      <c r="CA116" s="569"/>
      <c r="CB116" s="569"/>
      <c r="CC116" s="569"/>
      <c r="CD116" s="569"/>
      <c r="CE116" s="569"/>
      <c r="CF116" s="569"/>
      <c r="CG116" s="569"/>
      <c r="CH116" s="569"/>
      <c r="CI116" s="569"/>
      <c r="CJ116" s="569"/>
      <c r="CK116" s="569"/>
      <c r="CL116" s="569"/>
      <c r="CM116" s="569"/>
      <c r="CN116" s="569"/>
      <c r="CO116" s="569"/>
      <c r="CP116" s="569"/>
      <c r="CQ116" s="569"/>
      <c r="CR116" s="569"/>
      <c r="CS116" s="569"/>
      <c r="CT116" s="569"/>
      <c r="CU116" s="569"/>
      <c r="CV116" s="569"/>
      <c r="CW116" s="569"/>
      <c r="CX116" s="569"/>
      <c r="CY116" s="569"/>
      <c r="CZ116" s="569"/>
      <c r="DA116" s="569"/>
      <c r="DB116" s="569"/>
      <c r="DC116" s="569"/>
      <c r="DD116" s="569"/>
      <c r="DE116" s="569"/>
      <c r="DF116" s="569"/>
      <c r="DG116" s="569"/>
      <c r="DH116" s="569"/>
      <c r="DI116" s="569"/>
      <c r="DJ116" s="569"/>
      <c r="DK116" s="569"/>
      <c r="DL116" s="569"/>
      <c r="DM116" s="569"/>
      <c r="DN116" s="569"/>
      <c r="DO116" s="569"/>
      <c r="DP116" s="569"/>
      <c r="DQ116" s="569"/>
      <c r="DR116" s="569"/>
      <c r="DS116" s="569"/>
      <c r="DT116" s="569"/>
      <c r="DU116" s="569"/>
      <c r="DV116" s="569"/>
      <c r="DW116" s="569"/>
      <c r="DX116" s="569"/>
      <c r="DY116" s="569"/>
      <c r="DZ116" s="569"/>
      <c r="EA116" s="569"/>
      <c r="EB116" s="569"/>
      <c r="EC116" s="569"/>
      <c r="ED116" s="569"/>
      <c r="EE116" s="569"/>
      <c r="EF116" s="569"/>
      <c r="EG116" s="569"/>
      <c r="EH116" s="569"/>
      <c r="EI116" s="569"/>
      <c r="EJ116" s="569"/>
      <c r="EK116" s="569"/>
      <c r="EL116" s="569"/>
      <c r="EM116" s="569"/>
      <c r="EN116" s="569"/>
      <c r="EO116" s="569"/>
      <c r="EP116" s="569"/>
      <c r="EQ116" s="569"/>
      <c r="ER116" s="569"/>
      <c r="ES116" s="569"/>
      <c r="ET116" s="569"/>
      <c r="EU116" s="569"/>
      <c r="EV116" s="569"/>
      <c r="EW116" s="569"/>
      <c r="EX116" s="569"/>
      <c r="EY116" s="569"/>
      <c r="EZ116" s="569"/>
      <c r="FA116" s="569"/>
      <c r="FB116" s="569"/>
      <c r="FC116" s="569"/>
      <c r="FD116" s="569"/>
      <c r="FE116" s="569"/>
      <c r="FF116" s="569"/>
      <c r="FG116" s="569"/>
      <c r="FH116" s="569"/>
      <c r="FI116" s="569"/>
      <c r="FJ116" s="569"/>
      <c r="FK116" s="569"/>
      <c r="FL116" s="569"/>
      <c r="FM116" s="569"/>
      <c r="FN116" s="569"/>
      <c r="FO116" s="569"/>
      <c r="FP116" s="569"/>
      <c r="FQ116" s="569"/>
      <c r="FR116" s="569"/>
      <c r="FS116" s="569"/>
      <c r="FT116" s="569"/>
      <c r="FU116" s="569"/>
      <c r="FV116" s="569"/>
      <c r="FW116" s="569"/>
      <c r="FX116" s="569"/>
      <c r="FY116" s="569"/>
      <c r="FZ116" s="569"/>
      <c r="GA116" s="569"/>
      <c r="GB116" s="569"/>
      <c r="GC116" s="569"/>
      <c r="GD116" s="569"/>
      <c r="GE116" s="569"/>
      <c r="GF116" s="569"/>
      <c r="GG116" s="569"/>
      <c r="GH116" s="569"/>
      <c r="GI116" s="569"/>
      <c r="GJ116" s="569"/>
      <c r="GK116" s="569"/>
      <c r="GL116" s="569"/>
      <c r="GM116" s="569"/>
      <c r="GN116" s="569"/>
      <c r="GO116" s="569"/>
      <c r="GP116" s="569"/>
      <c r="GQ116" s="569"/>
      <c r="GR116" s="569"/>
      <c r="GS116" s="569"/>
      <c r="GT116" s="569"/>
    </row>
    <row r="117" spans="2:202" s="554" customFormat="1">
      <c r="B117" s="578"/>
      <c r="C117" s="578"/>
      <c r="D117" s="578"/>
      <c r="E117" s="578"/>
      <c r="F117" s="578"/>
      <c r="G117" s="578"/>
      <c r="H117" s="578"/>
      <c r="I117" s="578"/>
      <c r="J117" s="578"/>
      <c r="K117" s="578"/>
      <c r="L117" s="578"/>
      <c r="M117" s="578"/>
      <c r="N117" s="578"/>
      <c r="O117" s="578"/>
      <c r="P117" s="578"/>
      <c r="Q117" s="578"/>
      <c r="R117" s="578"/>
      <c r="S117" s="578"/>
      <c r="T117" s="578"/>
      <c r="U117" s="578"/>
      <c r="V117" s="578"/>
      <c r="W117" s="578"/>
      <c r="X117" s="578"/>
      <c r="Y117" s="578"/>
      <c r="Z117" s="578"/>
      <c r="AA117" s="578"/>
      <c r="AB117" s="578"/>
      <c r="AC117" s="578"/>
      <c r="AD117" s="578"/>
      <c r="AE117" s="578"/>
      <c r="AF117" s="578"/>
      <c r="AG117" s="578"/>
      <c r="AH117" s="548"/>
      <c r="AI117" s="548"/>
      <c r="AJ117" s="548"/>
      <c r="AK117" s="548"/>
      <c r="AL117" s="548"/>
      <c r="AM117" s="548"/>
      <c r="AN117" s="548"/>
      <c r="AO117" s="548"/>
      <c r="AP117" s="548"/>
      <c r="AQ117" s="548"/>
      <c r="AR117" s="548"/>
      <c r="AS117" s="548"/>
      <c r="AT117" s="548"/>
      <c r="AU117" s="548"/>
      <c r="AV117" s="548"/>
      <c r="AW117" s="548"/>
      <c r="AX117" s="548"/>
      <c r="AY117" s="548"/>
      <c r="AZ117" s="548"/>
      <c r="BA117" s="548"/>
      <c r="BB117" s="548"/>
      <c r="BC117" s="548"/>
      <c r="BD117" s="569"/>
      <c r="BE117" s="569"/>
      <c r="BF117" s="569"/>
      <c r="BG117" s="569"/>
      <c r="BH117" s="569"/>
      <c r="BI117" s="569"/>
      <c r="BJ117" s="569"/>
      <c r="BK117" s="569"/>
      <c r="BL117" s="569"/>
      <c r="BM117" s="569"/>
      <c r="BN117" s="569"/>
      <c r="BO117" s="569"/>
      <c r="BP117" s="569"/>
      <c r="BQ117" s="569"/>
      <c r="BR117" s="569"/>
      <c r="BS117" s="569"/>
      <c r="BT117" s="569"/>
      <c r="BU117" s="569"/>
      <c r="BV117" s="569"/>
      <c r="BW117" s="569"/>
      <c r="BX117" s="569"/>
      <c r="BY117" s="569"/>
      <c r="BZ117" s="569"/>
      <c r="CA117" s="569"/>
      <c r="CB117" s="569"/>
      <c r="CC117" s="569"/>
      <c r="CD117" s="569"/>
      <c r="CE117" s="569"/>
      <c r="CF117" s="569"/>
      <c r="CG117" s="569"/>
      <c r="CH117" s="569"/>
      <c r="CI117" s="569"/>
      <c r="CJ117" s="569"/>
      <c r="CK117" s="569"/>
      <c r="CL117" s="569"/>
      <c r="CM117" s="569"/>
      <c r="CN117" s="569"/>
      <c r="CO117" s="569"/>
      <c r="CP117" s="569"/>
      <c r="CQ117" s="569"/>
      <c r="CR117" s="569"/>
      <c r="CS117" s="569"/>
      <c r="CT117" s="569"/>
      <c r="CU117" s="569"/>
      <c r="CV117" s="569"/>
      <c r="CW117" s="569"/>
      <c r="CX117" s="569"/>
      <c r="CY117" s="569"/>
      <c r="CZ117" s="569"/>
      <c r="DA117" s="569"/>
      <c r="DB117" s="569"/>
      <c r="DC117" s="569"/>
      <c r="DD117" s="569"/>
      <c r="DE117" s="569"/>
      <c r="DF117" s="569"/>
      <c r="DG117" s="569"/>
      <c r="DH117" s="569"/>
      <c r="DI117" s="569"/>
      <c r="DJ117" s="569"/>
      <c r="DK117" s="569"/>
      <c r="DL117" s="569"/>
      <c r="DM117" s="569"/>
      <c r="DN117" s="569"/>
      <c r="DO117" s="569"/>
      <c r="DP117" s="569"/>
      <c r="DQ117" s="569"/>
      <c r="DR117" s="569"/>
      <c r="DS117" s="569"/>
      <c r="DT117" s="569"/>
      <c r="DU117" s="569"/>
      <c r="DV117" s="569"/>
      <c r="DW117" s="569"/>
      <c r="DX117" s="569"/>
      <c r="DY117" s="569"/>
      <c r="DZ117" s="569"/>
      <c r="EA117" s="569"/>
      <c r="EB117" s="569"/>
      <c r="EC117" s="569"/>
      <c r="ED117" s="569"/>
      <c r="EE117" s="569"/>
      <c r="EF117" s="569"/>
      <c r="EG117" s="569"/>
      <c r="EH117" s="569"/>
      <c r="EI117" s="569"/>
      <c r="EJ117" s="569"/>
      <c r="EK117" s="569"/>
      <c r="EL117" s="569"/>
      <c r="EM117" s="569"/>
      <c r="EN117" s="569"/>
      <c r="EO117" s="569"/>
      <c r="EP117" s="569"/>
      <c r="EQ117" s="569"/>
      <c r="ER117" s="569"/>
      <c r="ES117" s="569"/>
      <c r="ET117" s="569"/>
      <c r="EU117" s="569"/>
      <c r="EV117" s="569"/>
      <c r="EW117" s="569"/>
      <c r="EX117" s="569"/>
      <c r="EY117" s="569"/>
      <c r="EZ117" s="569"/>
      <c r="FA117" s="569"/>
      <c r="FB117" s="569"/>
      <c r="FC117" s="569"/>
      <c r="FD117" s="569"/>
      <c r="FE117" s="569"/>
      <c r="FF117" s="569"/>
      <c r="FG117" s="569"/>
      <c r="FH117" s="569"/>
      <c r="FI117" s="569"/>
      <c r="FJ117" s="569"/>
      <c r="FK117" s="569"/>
      <c r="FL117" s="569"/>
      <c r="FM117" s="569"/>
      <c r="FN117" s="569"/>
      <c r="FO117" s="569"/>
      <c r="FP117" s="569"/>
      <c r="FQ117" s="569"/>
      <c r="FR117" s="569"/>
      <c r="FS117" s="569"/>
      <c r="FT117" s="569"/>
      <c r="FU117" s="569"/>
      <c r="FV117" s="569"/>
      <c r="FW117" s="569"/>
      <c r="FX117" s="569"/>
      <c r="FY117" s="569"/>
      <c r="FZ117" s="569"/>
      <c r="GA117" s="569"/>
      <c r="GB117" s="569"/>
      <c r="GC117" s="569"/>
      <c r="GD117" s="569"/>
      <c r="GE117" s="569"/>
      <c r="GF117" s="569"/>
      <c r="GG117" s="569"/>
      <c r="GH117" s="569"/>
      <c r="GI117" s="569"/>
      <c r="GJ117" s="569"/>
      <c r="GK117" s="569"/>
      <c r="GL117" s="569"/>
      <c r="GM117" s="569"/>
      <c r="GN117" s="569"/>
      <c r="GO117" s="569"/>
      <c r="GP117" s="569"/>
      <c r="GQ117" s="569"/>
      <c r="GR117" s="569"/>
      <c r="GS117" s="569"/>
      <c r="GT117" s="569"/>
    </row>
    <row r="118" spans="2:202" s="554" customFormat="1">
      <c r="B118" s="578"/>
      <c r="C118" s="578"/>
      <c r="D118" s="578"/>
      <c r="E118" s="578"/>
      <c r="F118" s="578"/>
      <c r="G118" s="578"/>
      <c r="H118" s="578"/>
      <c r="I118" s="578"/>
      <c r="J118" s="578"/>
      <c r="K118" s="578"/>
      <c r="L118" s="578"/>
      <c r="M118" s="578"/>
      <c r="N118" s="578"/>
      <c r="O118" s="578"/>
      <c r="P118" s="578"/>
      <c r="Q118" s="578"/>
      <c r="R118" s="578"/>
      <c r="S118" s="578"/>
      <c r="T118" s="578"/>
      <c r="U118" s="578"/>
      <c r="V118" s="578"/>
      <c r="W118" s="578"/>
      <c r="X118" s="578"/>
      <c r="Y118" s="578"/>
      <c r="Z118" s="578"/>
      <c r="AA118" s="578"/>
      <c r="AB118" s="578"/>
      <c r="AC118" s="578"/>
      <c r="AD118" s="578"/>
      <c r="AE118" s="578"/>
      <c r="AF118" s="578"/>
      <c r="AG118" s="578"/>
      <c r="AH118" s="548"/>
      <c r="AI118" s="548"/>
      <c r="AJ118" s="548"/>
      <c r="AK118" s="548"/>
      <c r="AL118" s="548"/>
      <c r="AM118" s="548"/>
      <c r="AN118" s="548"/>
      <c r="AO118" s="548"/>
      <c r="AP118" s="548"/>
      <c r="AQ118" s="548"/>
      <c r="AR118" s="548"/>
      <c r="AS118" s="548"/>
      <c r="AT118" s="548"/>
      <c r="AU118" s="548"/>
      <c r="AV118" s="548"/>
      <c r="AW118" s="548"/>
      <c r="AX118" s="548"/>
      <c r="AY118" s="548"/>
      <c r="AZ118" s="548"/>
      <c r="BA118" s="548"/>
      <c r="BB118" s="548"/>
      <c r="BC118" s="548"/>
      <c r="BD118" s="569"/>
      <c r="BE118" s="569"/>
      <c r="BF118" s="569"/>
      <c r="BG118" s="569"/>
      <c r="BH118" s="569"/>
      <c r="BI118" s="569"/>
      <c r="BJ118" s="569"/>
      <c r="BK118" s="569"/>
      <c r="BL118" s="569"/>
      <c r="BM118" s="569"/>
      <c r="BN118" s="569"/>
      <c r="BO118" s="569"/>
      <c r="BP118" s="569"/>
      <c r="BQ118" s="569"/>
      <c r="BR118" s="569"/>
      <c r="BS118" s="569"/>
      <c r="BT118" s="569"/>
      <c r="BU118" s="569"/>
      <c r="BV118" s="569"/>
      <c r="BW118" s="569"/>
      <c r="BX118" s="569"/>
      <c r="BY118" s="569"/>
      <c r="BZ118" s="569"/>
      <c r="CA118" s="569"/>
      <c r="CB118" s="569"/>
      <c r="CC118" s="569"/>
      <c r="CD118" s="569"/>
      <c r="CE118" s="569"/>
      <c r="CF118" s="569"/>
      <c r="CG118" s="569"/>
      <c r="CH118" s="569"/>
      <c r="CI118" s="569"/>
      <c r="CJ118" s="569"/>
      <c r="CK118" s="569"/>
      <c r="CL118" s="569"/>
      <c r="CM118" s="569"/>
      <c r="CN118" s="569"/>
      <c r="CO118" s="569"/>
      <c r="CP118" s="569"/>
      <c r="CQ118" s="569"/>
      <c r="CR118" s="569"/>
      <c r="CS118" s="569"/>
      <c r="CT118" s="569"/>
      <c r="CU118" s="569"/>
      <c r="CV118" s="569"/>
      <c r="CW118" s="569"/>
      <c r="CX118" s="569"/>
      <c r="CY118" s="569"/>
      <c r="CZ118" s="569"/>
      <c r="DA118" s="569"/>
      <c r="DB118" s="569"/>
      <c r="DC118" s="569"/>
      <c r="DD118" s="569"/>
      <c r="DE118" s="569"/>
      <c r="DF118" s="569"/>
      <c r="DG118" s="569"/>
      <c r="DH118" s="569"/>
      <c r="DI118" s="569"/>
      <c r="DJ118" s="569"/>
      <c r="DK118" s="569"/>
      <c r="DL118" s="569"/>
      <c r="DM118" s="569"/>
      <c r="DN118" s="569"/>
      <c r="DO118" s="569"/>
      <c r="DP118" s="569"/>
      <c r="DQ118" s="569"/>
      <c r="DR118" s="569"/>
      <c r="DS118" s="569"/>
      <c r="DT118" s="569"/>
      <c r="DU118" s="569"/>
      <c r="DV118" s="569"/>
      <c r="DW118" s="569"/>
      <c r="DX118" s="569"/>
      <c r="DY118" s="569"/>
      <c r="DZ118" s="569"/>
      <c r="EA118" s="569"/>
      <c r="EB118" s="569"/>
      <c r="EC118" s="569"/>
      <c r="ED118" s="569"/>
      <c r="EE118" s="569"/>
      <c r="EF118" s="569"/>
      <c r="EG118" s="569"/>
      <c r="EH118" s="569"/>
      <c r="EI118" s="569"/>
      <c r="EJ118" s="569"/>
      <c r="EK118" s="569"/>
      <c r="EL118" s="569"/>
      <c r="EM118" s="569"/>
      <c r="EN118" s="569"/>
      <c r="EO118" s="569"/>
      <c r="EP118" s="569"/>
      <c r="EQ118" s="569"/>
      <c r="ER118" s="569"/>
      <c r="ES118" s="569"/>
      <c r="ET118" s="569"/>
      <c r="EU118" s="569"/>
      <c r="EV118" s="569"/>
      <c r="EW118" s="569"/>
      <c r="EX118" s="569"/>
      <c r="EY118" s="569"/>
      <c r="EZ118" s="569"/>
      <c r="FA118" s="569"/>
      <c r="FB118" s="569"/>
      <c r="FC118" s="569"/>
      <c r="FD118" s="569"/>
      <c r="FE118" s="569"/>
      <c r="FF118" s="569"/>
      <c r="FG118" s="569"/>
      <c r="FH118" s="569"/>
      <c r="FI118" s="569"/>
      <c r="FJ118" s="569"/>
      <c r="FK118" s="569"/>
      <c r="FL118" s="569"/>
      <c r="FM118" s="569"/>
      <c r="FN118" s="569"/>
      <c r="FO118" s="569"/>
      <c r="FP118" s="569"/>
      <c r="FQ118" s="569"/>
      <c r="FR118" s="569"/>
      <c r="FS118" s="569"/>
      <c r="FT118" s="569"/>
      <c r="FU118" s="569"/>
      <c r="FV118" s="569"/>
      <c r="FW118" s="569"/>
      <c r="FX118" s="569"/>
      <c r="FY118" s="569"/>
      <c r="FZ118" s="569"/>
      <c r="GA118" s="569"/>
      <c r="GB118" s="569"/>
      <c r="GC118" s="569"/>
      <c r="GD118" s="569"/>
      <c r="GE118" s="569"/>
      <c r="GF118" s="569"/>
      <c r="GG118" s="569"/>
      <c r="GH118" s="569"/>
      <c r="GI118" s="569"/>
      <c r="GJ118" s="569"/>
      <c r="GK118" s="569"/>
      <c r="GL118" s="569"/>
      <c r="GM118" s="569"/>
      <c r="GN118" s="569"/>
      <c r="GO118" s="569"/>
      <c r="GP118" s="569"/>
      <c r="GQ118" s="569"/>
      <c r="GR118" s="569"/>
      <c r="GS118" s="569"/>
      <c r="GT118" s="569"/>
    </row>
    <row r="119" spans="2:202" s="554" customFormat="1">
      <c r="B119" s="578"/>
      <c r="C119" s="578"/>
      <c r="D119" s="578"/>
      <c r="E119" s="578"/>
      <c r="F119" s="578"/>
      <c r="G119" s="578"/>
      <c r="H119" s="578"/>
      <c r="I119" s="578"/>
      <c r="J119" s="578"/>
      <c r="K119" s="578"/>
      <c r="L119" s="578"/>
      <c r="M119" s="578"/>
      <c r="N119" s="578"/>
      <c r="O119" s="578"/>
      <c r="P119" s="578"/>
      <c r="Q119" s="578"/>
      <c r="R119" s="578"/>
      <c r="S119" s="578"/>
      <c r="T119" s="578"/>
      <c r="U119" s="578"/>
      <c r="V119" s="578"/>
      <c r="W119" s="578"/>
      <c r="X119" s="578"/>
      <c r="Y119" s="578"/>
      <c r="Z119" s="578"/>
      <c r="AA119" s="578"/>
      <c r="AB119" s="578"/>
      <c r="AC119" s="578"/>
      <c r="AD119" s="578"/>
      <c r="AE119" s="578"/>
      <c r="AF119" s="578"/>
      <c r="AG119" s="578"/>
      <c r="AH119" s="548"/>
      <c r="AI119" s="548"/>
      <c r="AJ119" s="548"/>
      <c r="AK119" s="548"/>
      <c r="AL119" s="548"/>
      <c r="AM119" s="548"/>
      <c r="AN119" s="548"/>
      <c r="AO119" s="548"/>
      <c r="AP119" s="548"/>
      <c r="AQ119" s="548"/>
      <c r="AR119" s="548"/>
      <c r="AS119" s="548"/>
      <c r="AT119" s="548"/>
      <c r="AU119" s="548"/>
      <c r="AV119" s="548"/>
      <c r="AW119" s="548"/>
      <c r="AX119" s="548"/>
      <c r="AY119" s="548"/>
      <c r="AZ119" s="548"/>
      <c r="BA119" s="548"/>
      <c r="BB119" s="548"/>
      <c r="BC119" s="548"/>
      <c r="BD119" s="569"/>
      <c r="BE119" s="569"/>
      <c r="BF119" s="569"/>
      <c r="BG119" s="569"/>
      <c r="BH119" s="569"/>
      <c r="BI119" s="569"/>
      <c r="BJ119" s="569"/>
      <c r="BK119" s="569"/>
      <c r="BL119" s="569"/>
      <c r="BM119" s="569"/>
      <c r="BN119" s="569"/>
      <c r="BO119" s="569"/>
      <c r="BP119" s="569"/>
      <c r="BQ119" s="569"/>
      <c r="BR119" s="569"/>
      <c r="BS119" s="569"/>
      <c r="BT119" s="569"/>
      <c r="BU119" s="569"/>
      <c r="BV119" s="569"/>
      <c r="BW119" s="569"/>
      <c r="BX119" s="569"/>
      <c r="BY119" s="569"/>
      <c r="BZ119" s="569"/>
      <c r="CA119" s="569"/>
      <c r="CB119" s="569"/>
      <c r="CC119" s="569"/>
      <c r="CD119" s="569"/>
      <c r="CE119" s="569"/>
      <c r="CF119" s="569"/>
      <c r="CG119" s="569"/>
      <c r="CH119" s="569"/>
      <c r="CI119" s="569"/>
      <c r="CJ119" s="569"/>
      <c r="CK119" s="569"/>
      <c r="CL119" s="569"/>
      <c r="CM119" s="569"/>
      <c r="CN119" s="569"/>
      <c r="CO119" s="569"/>
      <c r="CP119" s="569"/>
      <c r="CQ119" s="569"/>
      <c r="CR119" s="569"/>
      <c r="CS119" s="569"/>
      <c r="CT119" s="569"/>
      <c r="CU119" s="569"/>
      <c r="CV119" s="569"/>
      <c r="CW119" s="569"/>
      <c r="CX119" s="569"/>
      <c r="CY119" s="569"/>
      <c r="CZ119" s="569"/>
      <c r="DA119" s="569"/>
      <c r="DB119" s="569"/>
      <c r="DC119" s="569"/>
      <c r="DD119" s="569"/>
      <c r="DE119" s="569"/>
      <c r="DF119" s="569"/>
      <c r="DG119" s="569"/>
      <c r="DH119" s="569"/>
      <c r="DI119" s="569"/>
      <c r="DJ119" s="569"/>
      <c r="DK119" s="569"/>
      <c r="DL119" s="569"/>
      <c r="DM119" s="569"/>
      <c r="DN119" s="569"/>
      <c r="DO119" s="569"/>
      <c r="DP119" s="569"/>
      <c r="DQ119" s="569"/>
      <c r="DR119" s="569"/>
      <c r="DS119" s="569"/>
      <c r="DT119" s="569"/>
      <c r="DU119" s="569"/>
      <c r="DV119" s="569"/>
      <c r="DW119" s="569"/>
      <c r="DX119" s="569"/>
      <c r="DY119" s="569"/>
      <c r="DZ119" s="569"/>
      <c r="EA119" s="569"/>
      <c r="EB119" s="569"/>
      <c r="EC119" s="569"/>
      <c r="ED119" s="569"/>
      <c r="EE119" s="569"/>
      <c r="EF119" s="569"/>
      <c r="EG119" s="569"/>
      <c r="EH119" s="569"/>
      <c r="EI119" s="569"/>
      <c r="EJ119" s="569"/>
      <c r="EK119" s="569"/>
      <c r="EL119" s="569"/>
      <c r="EM119" s="569"/>
      <c r="EN119" s="569"/>
      <c r="EO119" s="569"/>
      <c r="EP119" s="569"/>
      <c r="EQ119" s="569"/>
      <c r="ER119" s="569"/>
      <c r="ES119" s="569"/>
      <c r="ET119" s="569"/>
      <c r="EU119" s="569"/>
      <c r="EV119" s="569"/>
      <c r="EW119" s="569"/>
      <c r="EX119" s="569"/>
      <c r="EY119" s="569"/>
      <c r="EZ119" s="569"/>
      <c r="FA119" s="569"/>
      <c r="FB119" s="569"/>
      <c r="FC119" s="569"/>
      <c r="FD119" s="569"/>
      <c r="FE119" s="569"/>
      <c r="FF119" s="569"/>
      <c r="FG119" s="569"/>
      <c r="FH119" s="569"/>
      <c r="FI119" s="569"/>
      <c r="FJ119" s="569"/>
      <c r="FK119" s="569"/>
      <c r="FL119" s="569"/>
      <c r="FM119" s="569"/>
      <c r="FN119" s="569"/>
      <c r="FO119" s="569"/>
      <c r="FP119" s="569"/>
      <c r="FQ119" s="569"/>
      <c r="FR119" s="569"/>
      <c r="FS119" s="569"/>
      <c r="FT119" s="569"/>
      <c r="FU119" s="569"/>
      <c r="FV119" s="569"/>
      <c r="FW119" s="569"/>
      <c r="FX119" s="569"/>
      <c r="FY119" s="569"/>
      <c r="FZ119" s="569"/>
      <c r="GA119" s="569"/>
      <c r="GB119" s="569"/>
      <c r="GC119" s="569"/>
      <c r="GD119" s="569"/>
      <c r="GE119" s="569"/>
      <c r="GF119" s="569"/>
      <c r="GG119" s="569"/>
      <c r="GH119" s="569"/>
      <c r="GI119" s="569"/>
      <c r="GJ119" s="569"/>
      <c r="GK119" s="569"/>
      <c r="GL119" s="569"/>
      <c r="GM119" s="569"/>
      <c r="GN119" s="569"/>
      <c r="GO119" s="569"/>
      <c r="GP119" s="569"/>
      <c r="GQ119" s="569"/>
      <c r="GR119" s="569"/>
      <c r="GS119" s="569"/>
      <c r="GT119" s="569"/>
    </row>
    <row r="120" spans="2:202" s="554" customFormat="1">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8"/>
      <c r="Y120" s="578"/>
      <c r="Z120" s="578"/>
      <c r="AA120" s="578"/>
      <c r="AB120" s="578"/>
      <c r="AC120" s="578"/>
      <c r="AD120" s="578"/>
      <c r="AE120" s="578"/>
      <c r="AF120" s="578"/>
      <c r="AG120" s="578"/>
      <c r="AH120" s="548"/>
      <c r="AI120" s="548"/>
      <c r="AJ120" s="548"/>
      <c r="AK120" s="548"/>
      <c r="AL120" s="548"/>
      <c r="AM120" s="548"/>
      <c r="AN120" s="548"/>
      <c r="AO120" s="548"/>
      <c r="AP120" s="548"/>
      <c r="AQ120" s="548"/>
      <c r="AR120" s="548"/>
      <c r="AS120" s="548"/>
      <c r="AT120" s="548"/>
      <c r="AU120" s="548"/>
      <c r="AV120" s="548"/>
      <c r="AW120" s="548"/>
      <c r="AX120" s="548"/>
      <c r="AY120" s="548"/>
      <c r="AZ120" s="548"/>
      <c r="BA120" s="548"/>
      <c r="BB120" s="548"/>
      <c r="BC120" s="548"/>
      <c r="BD120" s="569"/>
      <c r="BE120" s="569"/>
      <c r="BF120" s="569"/>
      <c r="BG120" s="569"/>
      <c r="BH120" s="569"/>
      <c r="BI120" s="569"/>
      <c r="BJ120" s="569"/>
      <c r="BK120" s="569"/>
      <c r="BL120" s="569"/>
      <c r="BM120" s="569"/>
      <c r="BN120" s="569"/>
      <c r="BO120" s="569"/>
      <c r="BP120" s="569"/>
      <c r="BQ120" s="569"/>
      <c r="BR120" s="569"/>
      <c r="BS120" s="569"/>
      <c r="BT120" s="569"/>
      <c r="BU120" s="569"/>
      <c r="BV120" s="569"/>
      <c r="BW120" s="569"/>
      <c r="BX120" s="569"/>
      <c r="BY120" s="569"/>
      <c r="BZ120" s="569"/>
      <c r="CA120" s="569"/>
      <c r="CB120" s="569"/>
      <c r="CC120" s="569"/>
      <c r="CD120" s="569"/>
      <c r="CE120" s="569"/>
      <c r="CF120" s="569"/>
      <c r="CG120" s="569"/>
      <c r="CH120" s="569"/>
      <c r="CI120" s="569"/>
      <c r="CJ120" s="569"/>
      <c r="CK120" s="569"/>
      <c r="CL120" s="569"/>
      <c r="CM120" s="569"/>
      <c r="CN120" s="569"/>
      <c r="CO120" s="569"/>
      <c r="CP120" s="569"/>
      <c r="CQ120" s="569"/>
      <c r="CR120" s="569"/>
      <c r="CS120" s="569"/>
      <c r="CT120" s="569"/>
      <c r="CU120" s="569"/>
      <c r="CV120" s="569"/>
      <c r="CW120" s="569"/>
      <c r="CX120" s="569"/>
      <c r="CY120" s="569"/>
      <c r="CZ120" s="569"/>
      <c r="DA120" s="569"/>
      <c r="DB120" s="569"/>
      <c r="DC120" s="569"/>
      <c r="DD120" s="569"/>
      <c r="DE120" s="569"/>
      <c r="DF120" s="569"/>
      <c r="DG120" s="569"/>
      <c r="DH120" s="569"/>
      <c r="DI120" s="569"/>
      <c r="DJ120" s="569"/>
      <c r="DK120" s="569"/>
      <c r="DL120" s="569"/>
      <c r="DM120" s="569"/>
      <c r="DN120" s="569"/>
      <c r="DO120" s="569"/>
      <c r="DP120" s="569"/>
      <c r="DQ120" s="569"/>
      <c r="DR120" s="569"/>
      <c r="DS120" s="569"/>
      <c r="DT120" s="569"/>
      <c r="DU120" s="569"/>
      <c r="DV120" s="569"/>
      <c r="DW120" s="569"/>
      <c r="DX120" s="569"/>
      <c r="DY120" s="569"/>
      <c r="DZ120" s="569"/>
      <c r="EA120" s="569"/>
      <c r="EB120" s="569"/>
      <c r="EC120" s="569"/>
      <c r="ED120" s="569"/>
      <c r="EE120" s="569"/>
      <c r="EF120" s="569"/>
      <c r="EG120" s="569"/>
      <c r="EH120" s="569"/>
      <c r="EI120" s="569"/>
      <c r="EJ120" s="569"/>
      <c r="EK120" s="569"/>
      <c r="EL120" s="569"/>
      <c r="EM120" s="569"/>
      <c r="EN120" s="569"/>
      <c r="EO120" s="569"/>
      <c r="EP120" s="569"/>
      <c r="EQ120" s="569"/>
      <c r="ER120" s="569"/>
      <c r="ES120" s="569"/>
      <c r="ET120" s="569"/>
      <c r="EU120" s="569"/>
      <c r="EV120" s="569"/>
      <c r="EW120" s="569"/>
      <c r="EX120" s="569"/>
      <c r="EY120" s="569"/>
      <c r="EZ120" s="569"/>
      <c r="FA120" s="569"/>
      <c r="FB120" s="569"/>
      <c r="FC120" s="569"/>
      <c r="FD120" s="569"/>
      <c r="FE120" s="569"/>
      <c r="FF120" s="569"/>
      <c r="FG120" s="569"/>
      <c r="FH120" s="569"/>
      <c r="FI120" s="569"/>
      <c r="FJ120" s="569"/>
      <c r="FK120" s="569"/>
      <c r="FL120" s="569"/>
      <c r="FM120" s="569"/>
      <c r="FN120" s="569"/>
      <c r="FO120" s="569"/>
      <c r="FP120" s="569"/>
      <c r="FQ120" s="569"/>
      <c r="FR120" s="569"/>
      <c r="FS120" s="569"/>
      <c r="FT120" s="569"/>
      <c r="FU120" s="569"/>
      <c r="FV120" s="569"/>
      <c r="FW120" s="569"/>
      <c r="FX120" s="569"/>
      <c r="FY120" s="569"/>
      <c r="FZ120" s="569"/>
      <c r="GA120" s="569"/>
      <c r="GB120" s="569"/>
      <c r="GC120" s="569"/>
      <c r="GD120" s="569"/>
      <c r="GE120" s="569"/>
      <c r="GF120" s="569"/>
      <c r="GG120" s="569"/>
      <c r="GH120" s="569"/>
      <c r="GI120" s="569"/>
      <c r="GJ120" s="569"/>
      <c r="GK120" s="569"/>
      <c r="GL120" s="569"/>
      <c r="GM120" s="569"/>
      <c r="GN120" s="569"/>
      <c r="GO120" s="569"/>
      <c r="GP120" s="569"/>
      <c r="GQ120" s="569"/>
      <c r="GR120" s="569"/>
      <c r="GS120" s="569"/>
      <c r="GT120" s="569"/>
    </row>
    <row r="121" spans="2:202" s="554" customFormat="1">
      <c r="B121" s="578"/>
      <c r="C121" s="578"/>
      <c r="D121" s="578"/>
      <c r="E121" s="578"/>
      <c r="F121" s="578"/>
      <c r="G121" s="578"/>
      <c r="H121" s="578"/>
      <c r="I121" s="578"/>
      <c r="J121" s="578"/>
      <c r="K121" s="578"/>
      <c r="L121" s="578"/>
      <c r="M121" s="578"/>
      <c r="N121" s="578"/>
      <c r="O121" s="578"/>
      <c r="P121" s="578"/>
      <c r="Q121" s="578"/>
      <c r="R121" s="578"/>
      <c r="S121" s="578"/>
      <c r="T121" s="578"/>
      <c r="U121" s="578"/>
      <c r="V121" s="578"/>
      <c r="W121" s="578"/>
      <c r="X121" s="578"/>
      <c r="Y121" s="578"/>
      <c r="Z121" s="578"/>
      <c r="AA121" s="578"/>
      <c r="AB121" s="578"/>
      <c r="AC121" s="578"/>
      <c r="AD121" s="578"/>
      <c r="AE121" s="578"/>
      <c r="AF121" s="578"/>
      <c r="AG121" s="578"/>
      <c r="AH121" s="548"/>
      <c r="AI121" s="548"/>
      <c r="AJ121" s="548"/>
      <c r="AK121" s="548"/>
      <c r="AL121" s="548"/>
      <c r="AM121" s="548"/>
      <c r="AN121" s="548"/>
      <c r="AO121" s="548"/>
      <c r="AP121" s="548"/>
      <c r="AQ121" s="548"/>
      <c r="AR121" s="548"/>
      <c r="AS121" s="548"/>
      <c r="AT121" s="548"/>
      <c r="AU121" s="548"/>
      <c r="AV121" s="548"/>
      <c r="AW121" s="548"/>
      <c r="AX121" s="548"/>
      <c r="AY121" s="548"/>
      <c r="AZ121" s="548"/>
      <c r="BA121" s="548"/>
      <c r="BB121" s="548"/>
      <c r="BC121" s="548"/>
      <c r="BD121" s="569"/>
      <c r="BE121" s="569"/>
      <c r="BF121" s="569"/>
      <c r="BG121" s="569"/>
      <c r="BH121" s="569"/>
      <c r="BI121" s="569"/>
      <c r="BJ121" s="569"/>
      <c r="BK121" s="569"/>
      <c r="BL121" s="569"/>
      <c r="BM121" s="569"/>
      <c r="BN121" s="569"/>
      <c r="BO121" s="569"/>
      <c r="BP121" s="569"/>
      <c r="BQ121" s="569"/>
      <c r="BR121" s="569"/>
      <c r="BS121" s="569"/>
      <c r="BT121" s="569"/>
      <c r="BU121" s="569"/>
      <c r="BV121" s="569"/>
      <c r="BW121" s="569"/>
      <c r="BX121" s="569"/>
      <c r="BY121" s="569"/>
      <c r="BZ121" s="569"/>
      <c r="CA121" s="569"/>
      <c r="CB121" s="569"/>
      <c r="CC121" s="569"/>
      <c r="CD121" s="569"/>
      <c r="CE121" s="569"/>
      <c r="CF121" s="569"/>
      <c r="CG121" s="569"/>
      <c r="CH121" s="569"/>
      <c r="CI121" s="569"/>
      <c r="CJ121" s="569"/>
      <c r="CK121" s="569"/>
      <c r="CL121" s="569"/>
      <c r="CM121" s="569"/>
      <c r="CN121" s="569"/>
      <c r="CO121" s="569"/>
      <c r="CP121" s="569"/>
      <c r="CQ121" s="569"/>
      <c r="CR121" s="569"/>
      <c r="CS121" s="569"/>
      <c r="CT121" s="569"/>
      <c r="CU121" s="569"/>
      <c r="CV121" s="569"/>
      <c r="CW121" s="569"/>
      <c r="CX121" s="569"/>
      <c r="CY121" s="569"/>
      <c r="CZ121" s="569"/>
      <c r="DA121" s="569"/>
      <c r="DB121" s="569"/>
      <c r="DC121" s="569"/>
      <c r="DD121" s="569"/>
      <c r="DE121" s="569"/>
      <c r="DF121" s="569"/>
      <c r="DG121" s="569"/>
      <c r="DH121" s="569"/>
      <c r="DI121" s="569"/>
      <c r="DJ121" s="569"/>
      <c r="DK121" s="569"/>
      <c r="DL121" s="569"/>
      <c r="DM121" s="569"/>
      <c r="DN121" s="569"/>
      <c r="DO121" s="569"/>
      <c r="DP121" s="569"/>
      <c r="DQ121" s="569"/>
      <c r="DR121" s="569"/>
      <c r="DS121" s="569"/>
      <c r="DT121" s="569"/>
      <c r="DU121" s="569"/>
      <c r="DV121" s="569"/>
      <c r="DW121" s="569"/>
      <c r="DX121" s="569"/>
      <c r="DY121" s="569"/>
      <c r="DZ121" s="569"/>
      <c r="EA121" s="569"/>
      <c r="EB121" s="569"/>
      <c r="EC121" s="569"/>
      <c r="ED121" s="569"/>
      <c r="EE121" s="569"/>
      <c r="EF121" s="569"/>
      <c r="EG121" s="569"/>
      <c r="EH121" s="569"/>
      <c r="EI121" s="569"/>
      <c r="EJ121" s="569"/>
      <c r="EK121" s="569"/>
      <c r="EL121" s="569"/>
      <c r="EM121" s="569"/>
      <c r="EN121" s="569"/>
      <c r="EO121" s="569"/>
      <c r="EP121" s="569"/>
      <c r="EQ121" s="569"/>
      <c r="ER121" s="569"/>
      <c r="ES121" s="569"/>
      <c r="ET121" s="569"/>
      <c r="EU121" s="569"/>
      <c r="EV121" s="569"/>
      <c r="EW121" s="569"/>
      <c r="EX121" s="569"/>
      <c r="EY121" s="569"/>
      <c r="EZ121" s="569"/>
      <c r="FA121" s="569"/>
      <c r="FB121" s="569"/>
      <c r="FC121" s="569"/>
      <c r="FD121" s="569"/>
      <c r="FE121" s="569"/>
      <c r="FF121" s="569"/>
      <c r="FG121" s="569"/>
      <c r="FH121" s="569"/>
      <c r="FI121" s="569"/>
      <c r="FJ121" s="569"/>
      <c r="FK121" s="569"/>
      <c r="FL121" s="569"/>
      <c r="FM121" s="569"/>
      <c r="FN121" s="569"/>
      <c r="FO121" s="569"/>
      <c r="FP121" s="569"/>
      <c r="FQ121" s="569"/>
      <c r="FR121" s="569"/>
      <c r="FS121" s="569"/>
      <c r="FT121" s="569"/>
      <c r="FU121" s="569"/>
      <c r="FV121" s="569"/>
      <c r="FW121" s="569"/>
      <c r="FX121" s="569"/>
      <c r="FY121" s="569"/>
      <c r="FZ121" s="569"/>
      <c r="GA121" s="569"/>
      <c r="GB121" s="569"/>
      <c r="GC121" s="569"/>
      <c r="GD121" s="569"/>
      <c r="GE121" s="569"/>
      <c r="GF121" s="569"/>
      <c r="GG121" s="569"/>
      <c r="GH121" s="569"/>
      <c r="GI121" s="569"/>
      <c r="GJ121" s="569"/>
      <c r="GK121" s="569"/>
      <c r="GL121" s="569"/>
      <c r="GM121" s="569"/>
      <c r="GN121" s="569"/>
      <c r="GO121" s="569"/>
      <c r="GP121" s="569"/>
      <c r="GQ121" s="569"/>
      <c r="GR121" s="569"/>
      <c r="GS121" s="569"/>
      <c r="GT121" s="569"/>
    </row>
    <row r="122" spans="2:202" s="554" customFormat="1">
      <c r="B122" s="578"/>
      <c r="C122" s="578"/>
      <c r="D122" s="578"/>
      <c r="E122" s="578"/>
      <c r="F122" s="578"/>
      <c r="G122" s="578"/>
      <c r="H122" s="578"/>
      <c r="I122" s="578"/>
      <c r="J122" s="578"/>
      <c r="K122" s="578"/>
      <c r="L122" s="578"/>
      <c r="M122" s="578"/>
      <c r="N122" s="578"/>
      <c r="O122" s="578"/>
      <c r="P122" s="578"/>
      <c r="Q122" s="578"/>
      <c r="R122" s="578"/>
      <c r="S122" s="578"/>
      <c r="T122" s="578"/>
      <c r="U122" s="578"/>
      <c r="V122" s="578"/>
      <c r="W122" s="578"/>
      <c r="X122" s="578"/>
      <c r="Y122" s="578"/>
      <c r="Z122" s="578"/>
      <c r="AA122" s="578"/>
      <c r="AB122" s="578"/>
      <c r="AC122" s="578"/>
      <c r="AD122" s="578"/>
      <c r="AE122" s="578"/>
      <c r="AF122" s="578"/>
      <c r="AG122" s="578"/>
      <c r="AH122" s="548"/>
      <c r="AI122" s="548"/>
      <c r="AJ122" s="548"/>
      <c r="AK122" s="548"/>
      <c r="AL122" s="548"/>
      <c r="AM122" s="548"/>
      <c r="AN122" s="548"/>
      <c r="AO122" s="548"/>
      <c r="AP122" s="548"/>
      <c r="AQ122" s="548"/>
      <c r="AR122" s="548"/>
      <c r="AS122" s="548"/>
      <c r="AT122" s="548"/>
      <c r="AU122" s="548"/>
      <c r="AV122" s="548"/>
      <c r="AW122" s="548"/>
      <c r="AX122" s="548"/>
      <c r="AY122" s="548"/>
      <c r="AZ122" s="548"/>
      <c r="BA122" s="548"/>
      <c r="BB122" s="548"/>
      <c r="BC122" s="548"/>
      <c r="BD122" s="569"/>
      <c r="BE122" s="569"/>
      <c r="BF122" s="569"/>
      <c r="BG122" s="569"/>
      <c r="BH122" s="569"/>
      <c r="BI122" s="569"/>
      <c r="BJ122" s="569"/>
      <c r="BK122" s="569"/>
      <c r="BL122" s="569"/>
      <c r="BM122" s="569"/>
      <c r="BN122" s="569"/>
      <c r="BO122" s="569"/>
      <c r="BP122" s="569"/>
      <c r="BQ122" s="569"/>
      <c r="BR122" s="569"/>
      <c r="BS122" s="569"/>
      <c r="BT122" s="569"/>
      <c r="BU122" s="569"/>
      <c r="BV122" s="569"/>
      <c r="BW122" s="569"/>
      <c r="BX122" s="569"/>
      <c r="BY122" s="569"/>
      <c r="BZ122" s="569"/>
      <c r="CA122" s="569"/>
      <c r="CB122" s="569"/>
      <c r="CC122" s="569"/>
      <c r="CD122" s="569"/>
      <c r="CE122" s="569"/>
      <c r="CF122" s="569"/>
      <c r="CG122" s="569"/>
      <c r="CH122" s="569"/>
      <c r="CI122" s="569"/>
      <c r="CJ122" s="569"/>
      <c r="CK122" s="569"/>
      <c r="CL122" s="569"/>
      <c r="CM122" s="569"/>
      <c r="CN122" s="569"/>
      <c r="CO122" s="569"/>
      <c r="CP122" s="569"/>
      <c r="CQ122" s="569"/>
      <c r="CR122" s="569"/>
      <c r="CS122" s="569"/>
      <c r="CT122" s="569"/>
      <c r="CU122" s="569"/>
      <c r="CV122" s="569"/>
      <c r="CW122" s="569"/>
      <c r="CX122" s="569"/>
      <c r="CY122" s="569"/>
      <c r="CZ122" s="569"/>
      <c r="DA122" s="569"/>
      <c r="DB122" s="569"/>
      <c r="DC122" s="569"/>
      <c r="DD122" s="569"/>
      <c r="DE122" s="569"/>
      <c r="DF122" s="569"/>
      <c r="DG122" s="569"/>
      <c r="DH122" s="569"/>
      <c r="DI122" s="569"/>
      <c r="DJ122" s="569"/>
      <c r="DK122" s="569"/>
      <c r="DL122" s="569"/>
      <c r="DM122" s="569"/>
      <c r="DN122" s="569"/>
      <c r="DO122" s="569"/>
      <c r="DP122" s="569"/>
      <c r="DQ122" s="569"/>
      <c r="DR122" s="569"/>
      <c r="DS122" s="569"/>
      <c r="DT122" s="569"/>
      <c r="DU122" s="569"/>
      <c r="DV122" s="569"/>
      <c r="DW122" s="569"/>
      <c r="DX122" s="569"/>
      <c r="DY122" s="569"/>
      <c r="DZ122" s="569"/>
      <c r="EA122" s="569"/>
      <c r="EB122" s="569"/>
      <c r="EC122" s="569"/>
      <c r="ED122" s="569"/>
      <c r="EE122" s="569"/>
      <c r="EF122" s="569"/>
      <c r="EG122" s="569"/>
      <c r="EH122" s="569"/>
      <c r="EI122" s="569"/>
      <c r="EJ122" s="569"/>
      <c r="EK122" s="569"/>
      <c r="EL122" s="569"/>
      <c r="EM122" s="569"/>
      <c r="EN122" s="569"/>
      <c r="EO122" s="569"/>
      <c r="EP122" s="569"/>
      <c r="EQ122" s="569"/>
      <c r="ER122" s="569"/>
      <c r="ES122" s="569"/>
      <c r="ET122" s="569"/>
      <c r="EU122" s="569"/>
      <c r="EV122" s="569"/>
      <c r="EW122" s="569"/>
      <c r="EX122" s="569"/>
      <c r="EY122" s="569"/>
      <c r="EZ122" s="569"/>
      <c r="FA122" s="569"/>
      <c r="FB122" s="569"/>
      <c r="FC122" s="569"/>
      <c r="FD122" s="569"/>
      <c r="FE122" s="569"/>
      <c r="FF122" s="569"/>
      <c r="FG122" s="569"/>
      <c r="FH122" s="569"/>
      <c r="FI122" s="569"/>
      <c r="FJ122" s="569"/>
      <c r="FK122" s="569"/>
      <c r="FL122" s="569"/>
      <c r="FM122" s="569"/>
      <c r="FN122" s="569"/>
      <c r="FO122" s="569"/>
      <c r="FP122" s="569"/>
      <c r="FQ122" s="569"/>
      <c r="FR122" s="569"/>
      <c r="FS122" s="569"/>
      <c r="FT122" s="569"/>
      <c r="FU122" s="569"/>
      <c r="FV122" s="569"/>
      <c r="FW122" s="569"/>
      <c r="FX122" s="569"/>
      <c r="FY122" s="569"/>
      <c r="FZ122" s="569"/>
      <c r="GA122" s="569"/>
      <c r="GB122" s="569"/>
      <c r="GC122" s="569"/>
      <c r="GD122" s="569"/>
      <c r="GE122" s="569"/>
      <c r="GF122" s="569"/>
      <c r="GG122" s="569"/>
      <c r="GH122" s="569"/>
      <c r="GI122" s="569"/>
      <c r="GJ122" s="569"/>
      <c r="GK122" s="569"/>
      <c r="GL122" s="569"/>
      <c r="GM122" s="569"/>
      <c r="GN122" s="569"/>
      <c r="GO122" s="569"/>
      <c r="GP122" s="569"/>
      <c r="GQ122" s="569"/>
      <c r="GR122" s="569"/>
      <c r="GS122" s="569"/>
      <c r="GT122" s="569"/>
    </row>
    <row r="123" spans="2:202" s="554" customFormat="1">
      <c r="B123" s="578"/>
      <c r="C123" s="578"/>
      <c r="D123" s="578"/>
      <c r="E123" s="578"/>
      <c r="F123" s="578"/>
      <c r="G123" s="578"/>
      <c r="H123" s="578"/>
      <c r="I123" s="578"/>
      <c r="J123" s="578"/>
      <c r="K123" s="578"/>
      <c r="L123" s="578"/>
      <c r="M123" s="578"/>
      <c r="N123" s="578"/>
      <c r="O123" s="578"/>
      <c r="P123" s="578"/>
      <c r="Q123" s="578"/>
      <c r="R123" s="578"/>
      <c r="S123" s="578"/>
      <c r="T123" s="578"/>
      <c r="U123" s="578"/>
      <c r="V123" s="578"/>
      <c r="W123" s="578"/>
      <c r="X123" s="578"/>
      <c r="Y123" s="578"/>
      <c r="Z123" s="578"/>
      <c r="AA123" s="578"/>
      <c r="AB123" s="578"/>
      <c r="AC123" s="578"/>
      <c r="AD123" s="578"/>
      <c r="AE123" s="578"/>
      <c r="AF123" s="578"/>
      <c r="AG123" s="578"/>
      <c r="AH123" s="548"/>
      <c r="AI123" s="548"/>
      <c r="AJ123" s="548"/>
      <c r="AK123" s="548"/>
      <c r="AL123" s="548"/>
      <c r="AM123" s="548"/>
      <c r="AN123" s="548"/>
      <c r="AO123" s="548"/>
      <c r="AP123" s="548"/>
      <c r="AQ123" s="548"/>
      <c r="AR123" s="548"/>
      <c r="AS123" s="548"/>
      <c r="AT123" s="548"/>
      <c r="AU123" s="548"/>
      <c r="AV123" s="548"/>
      <c r="AW123" s="548"/>
      <c r="AX123" s="548"/>
      <c r="AY123" s="548"/>
      <c r="AZ123" s="548"/>
      <c r="BA123" s="548"/>
      <c r="BB123" s="548"/>
      <c r="BC123" s="548"/>
      <c r="BD123" s="569"/>
      <c r="BE123" s="569"/>
      <c r="BF123" s="569"/>
      <c r="BG123" s="569"/>
      <c r="BH123" s="569"/>
      <c r="BI123" s="569"/>
      <c r="BJ123" s="569"/>
      <c r="BK123" s="569"/>
      <c r="BL123" s="569"/>
      <c r="BM123" s="569"/>
      <c r="BN123" s="569"/>
      <c r="BO123" s="569"/>
      <c r="BP123" s="569"/>
      <c r="BQ123" s="569"/>
      <c r="BR123" s="569"/>
      <c r="BS123" s="569"/>
      <c r="BT123" s="569"/>
      <c r="BU123" s="569"/>
      <c r="BV123" s="569"/>
      <c r="BW123" s="569"/>
      <c r="BX123" s="569"/>
      <c r="BY123" s="569"/>
      <c r="BZ123" s="569"/>
      <c r="CA123" s="569"/>
      <c r="CB123" s="569"/>
      <c r="CC123" s="569"/>
      <c r="CD123" s="569"/>
      <c r="CE123" s="569"/>
      <c r="CF123" s="569"/>
      <c r="CG123" s="569"/>
      <c r="CH123" s="569"/>
      <c r="CI123" s="569"/>
      <c r="CJ123" s="569"/>
      <c r="CK123" s="569"/>
      <c r="CL123" s="569"/>
      <c r="CM123" s="569"/>
      <c r="CN123" s="569"/>
      <c r="CO123" s="569"/>
      <c r="CP123" s="569"/>
      <c r="CQ123" s="569"/>
      <c r="CR123" s="569"/>
      <c r="CS123" s="569"/>
      <c r="CT123" s="569"/>
      <c r="CU123" s="569"/>
      <c r="CV123" s="569"/>
      <c r="CW123" s="569"/>
      <c r="CX123" s="569"/>
      <c r="CY123" s="569"/>
      <c r="CZ123" s="569"/>
      <c r="DA123" s="569"/>
      <c r="DB123" s="569"/>
      <c r="DC123" s="569"/>
      <c r="DD123" s="569"/>
      <c r="DE123" s="569"/>
      <c r="DF123" s="569"/>
      <c r="DG123" s="569"/>
      <c r="DH123" s="569"/>
      <c r="DI123" s="569"/>
      <c r="DJ123" s="569"/>
      <c r="DK123" s="569"/>
      <c r="DL123" s="569"/>
      <c r="DM123" s="569"/>
      <c r="DN123" s="569"/>
      <c r="DO123" s="569"/>
      <c r="DP123" s="569"/>
      <c r="DQ123" s="569"/>
      <c r="DR123" s="569"/>
      <c r="DS123" s="569"/>
      <c r="DT123" s="569"/>
      <c r="DU123" s="569"/>
      <c r="DV123" s="569"/>
      <c r="DW123" s="569"/>
      <c r="DX123" s="569"/>
      <c r="DY123" s="569"/>
      <c r="DZ123" s="569"/>
      <c r="EA123" s="569"/>
      <c r="EB123" s="569"/>
      <c r="EC123" s="569"/>
      <c r="ED123" s="569"/>
      <c r="EE123" s="569"/>
      <c r="EF123" s="569"/>
      <c r="EG123" s="569"/>
      <c r="EH123" s="569"/>
      <c r="EI123" s="569"/>
      <c r="EJ123" s="569"/>
      <c r="EK123" s="569"/>
      <c r="EL123" s="569"/>
      <c r="EM123" s="569"/>
      <c r="EN123" s="569"/>
      <c r="EO123" s="569"/>
      <c r="EP123" s="569"/>
      <c r="EQ123" s="569"/>
      <c r="ER123" s="569"/>
      <c r="ES123" s="569"/>
      <c r="ET123" s="569"/>
      <c r="EU123" s="569"/>
      <c r="EV123" s="569"/>
      <c r="EW123" s="569"/>
      <c r="EX123" s="569"/>
      <c r="EY123" s="569"/>
      <c r="EZ123" s="569"/>
      <c r="FA123" s="569"/>
      <c r="FB123" s="569"/>
      <c r="FC123" s="569"/>
      <c r="FD123" s="569"/>
      <c r="FE123" s="569"/>
      <c r="FF123" s="569"/>
      <c r="FG123" s="569"/>
      <c r="FH123" s="569"/>
      <c r="FI123" s="569"/>
      <c r="FJ123" s="569"/>
      <c r="FK123" s="569"/>
      <c r="FL123" s="569"/>
      <c r="FM123" s="569"/>
      <c r="FN123" s="569"/>
      <c r="FO123" s="569"/>
      <c r="FP123" s="569"/>
      <c r="FQ123" s="569"/>
      <c r="FR123" s="569"/>
      <c r="FS123" s="569"/>
      <c r="FT123" s="569"/>
      <c r="FU123" s="569"/>
      <c r="FV123" s="569"/>
      <c r="FW123" s="569"/>
      <c r="FX123" s="569"/>
      <c r="FY123" s="569"/>
      <c r="FZ123" s="569"/>
      <c r="GA123" s="569"/>
      <c r="GB123" s="569"/>
      <c r="GC123" s="569"/>
      <c r="GD123" s="569"/>
      <c r="GE123" s="569"/>
      <c r="GF123" s="569"/>
      <c r="GG123" s="569"/>
      <c r="GH123" s="569"/>
      <c r="GI123" s="569"/>
      <c r="GJ123" s="569"/>
      <c r="GK123" s="569"/>
      <c r="GL123" s="569"/>
      <c r="GM123" s="569"/>
      <c r="GN123" s="569"/>
      <c r="GO123" s="569"/>
      <c r="GP123" s="569"/>
      <c r="GQ123" s="569"/>
      <c r="GR123" s="569"/>
      <c r="GS123" s="569"/>
      <c r="GT123" s="569"/>
    </row>
    <row r="124" spans="2:202" s="554" customFormat="1">
      <c r="B124" s="578"/>
      <c r="C124" s="578"/>
      <c r="D124" s="578"/>
      <c r="E124" s="578"/>
      <c r="F124" s="578"/>
      <c r="G124" s="578"/>
      <c r="H124" s="578"/>
      <c r="I124" s="578"/>
      <c r="J124" s="578"/>
      <c r="K124" s="578"/>
      <c r="L124" s="578"/>
      <c r="M124" s="578"/>
      <c r="N124" s="578"/>
      <c r="O124" s="578"/>
      <c r="P124" s="578"/>
      <c r="Q124" s="578"/>
      <c r="R124" s="578"/>
      <c r="S124" s="578"/>
      <c r="T124" s="578"/>
      <c r="U124" s="578"/>
      <c r="V124" s="578"/>
      <c r="W124" s="578"/>
      <c r="X124" s="578"/>
      <c r="Y124" s="578"/>
      <c r="Z124" s="578"/>
      <c r="AA124" s="578"/>
      <c r="AB124" s="578"/>
      <c r="AC124" s="578"/>
      <c r="AD124" s="578"/>
      <c r="AE124" s="578"/>
      <c r="AF124" s="578"/>
      <c r="AG124" s="578"/>
      <c r="AH124" s="548"/>
      <c r="AI124" s="548"/>
      <c r="AJ124" s="548"/>
      <c r="AK124" s="548"/>
      <c r="AL124" s="548"/>
      <c r="AM124" s="548"/>
      <c r="AN124" s="548"/>
      <c r="AO124" s="548"/>
      <c r="AP124" s="548"/>
      <c r="AQ124" s="548"/>
      <c r="AR124" s="548"/>
      <c r="AS124" s="548"/>
      <c r="AT124" s="548"/>
      <c r="AU124" s="548"/>
      <c r="AV124" s="548"/>
      <c r="AW124" s="548"/>
      <c r="AX124" s="548"/>
      <c r="AY124" s="548"/>
      <c r="AZ124" s="548"/>
      <c r="BA124" s="548"/>
      <c r="BB124" s="548"/>
      <c r="BC124" s="548"/>
      <c r="BD124" s="569"/>
      <c r="BE124" s="569"/>
      <c r="BF124" s="569"/>
      <c r="BG124" s="569"/>
      <c r="BH124" s="569"/>
      <c r="BI124" s="569"/>
      <c r="BJ124" s="569"/>
      <c r="BK124" s="569"/>
      <c r="BL124" s="569"/>
      <c r="BM124" s="569"/>
      <c r="BN124" s="569"/>
      <c r="BO124" s="569"/>
      <c r="BP124" s="569"/>
      <c r="BQ124" s="569"/>
      <c r="BR124" s="569"/>
      <c r="BS124" s="569"/>
      <c r="BT124" s="569"/>
      <c r="BU124" s="569"/>
      <c r="BV124" s="569"/>
      <c r="BW124" s="569"/>
      <c r="BX124" s="569"/>
      <c r="BY124" s="569"/>
      <c r="BZ124" s="569"/>
      <c r="CA124" s="569"/>
      <c r="CB124" s="569"/>
      <c r="CC124" s="569"/>
      <c r="CD124" s="569"/>
      <c r="CE124" s="569"/>
      <c r="CF124" s="569"/>
      <c r="CG124" s="569"/>
      <c r="CH124" s="569"/>
      <c r="CI124" s="569"/>
      <c r="CJ124" s="569"/>
      <c r="CK124" s="569"/>
      <c r="CL124" s="569"/>
      <c r="CM124" s="569"/>
      <c r="CN124" s="569"/>
      <c r="CO124" s="569"/>
      <c r="CP124" s="569"/>
      <c r="CQ124" s="569"/>
      <c r="CR124" s="569"/>
      <c r="CS124" s="569"/>
      <c r="CT124" s="569"/>
      <c r="CU124" s="569"/>
      <c r="CV124" s="569"/>
      <c r="CW124" s="569"/>
      <c r="CX124" s="569"/>
      <c r="CY124" s="569"/>
      <c r="CZ124" s="569"/>
      <c r="DA124" s="569"/>
      <c r="DB124" s="569"/>
      <c r="DC124" s="569"/>
      <c r="DD124" s="569"/>
      <c r="DE124" s="569"/>
      <c r="DF124" s="569"/>
      <c r="DG124" s="569"/>
      <c r="DH124" s="569"/>
      <c r="DI124" s="569"/>
      <c r="DJ124" s="569"/>
      <c r="DK124" s="569"/>
      <c r="DL124" s="569"/>
      <c r="DM124" s="569"/>
      <c r="DN124" s="569"/>
      <c r="DO124" s="569"/>
      <c r="DP124" s="569"/>
      <c r="DQ124" s="569"/>
      <c r="DR124" s="569"/>
      <c r="DS124" s="569"/>
      <c r="DT124" s="569"/>
      <c r="DU124" s="569"/>
      <c r="DV124" s="569"/>
      <c r="DW124" s="569"/>
      <c r="DX124" s="569"/>
      <c r="DY124" s="569"/>
      <c r="DZ124" s="569"/>
      <c r="EA124" s="569"/>
      <c r="EB124" s="569"/>
      <c r="EC124" s="569"/>
      <c r="ED124" s="569"/>
      <c r="EE124" s="569"/>
      <c r="EF124" s="569"/>
      <c r="EG124" s="569"/>
      <c r="EH124" s="569"/>
      <c r="EI124" s="569"/>
      <c r="EJ124" s="569"/>
      <c r="EK124" s="569"/>
      <c r="EL124" s="569"/>
      <c r="EM124" s="569"/>
      <c r="EN124" s="569"/>
      <c r="EO124" s="569"/>
      <c r="EP124" s="569"/>
      <c r="EQ124" s="569"/>
      <c r="ER124" s="569"/>
      <c r="ES124" s="569"/>
      <c r="ET124" s="569"/>
      <c r="EU124" s="569"/>
      <c r="EV124" s="569"/>
      <c r="EW124" s="569"/>
      <c r="EX124" s="569"/>
      <c r="EY124" s="569"/>
      <c r="EZ124" s="569"/>
      <c r="FA124" s="569"/>
      <c r="FB124" s="569"/>
      <c r="FC124" s="569"/>
      <c r="FD124" s="569"/>
      <c r="FE124" s="569"/>
      <c r="FF124" s="569"/>
      <c r="FG124" s="569"/>
      <c r="FH124" s="569"/>
      <c r="FI124" s="569"/>
      <c r="FJ124" s="569"/>
      <c r="FK124" s="569"/>
      <c r="FL124" s="569"/>
      <c r="FM124" s="569"/>
      <c r="FN124" s="569"/>
      <c r="FO124" s="569"/>
      <c r="FP124" s="569"/>
      <c r="FQ124" s="569"/>
      <c r="FR124" s="569"/>
      <c r="FS124" s="569"/>
      <c r="FT124" s="569"/>
      <c r="FU124" s="569"/>
      <c r="FV124" s="569"/>
      <c r="FW124" s="569"/>
      <c r="FX124" s="569"/>
      <c r="FY124" s="569"/>
      <c r="FZ124" s="569"/>
      <c r="GA124" s="569"/>
      <c r="GB124" s="569"/>
      <c r="GC124" s="569"/>
      <c r="GD124" s="569"/>
      <c r="GE124" s="569"/>
      <c r="GF124" s="569"/>
      <c r="GG124" s="569"/>
      <c r="GH124" s="569"/>
      <c r="GI124" s="569"/>
      <c r="GJ124" s="569"/>
      <c r="GK124" s="569"/>
      <c r="GL124" s="569"/>
      <c r="GM124" s="569"/>
      <c r="GN124" s="569"/>
      <c r="GO124" s="569"/>
      <c r="GP124" s="569"/>
      <c r="GQ124" s="569"/>
      <c r="GR124" s="569"/>
      <c r="GS124" s="569"/>
      <c r="GT124" s="569"/>
    </row>
    <row r="125" spans="2:202" s="554" customFormat="1">
      <c r="B125" s="578"/>
      <c r="C125" s="578"/>
      <c r="D125" s="578"/>
      <c r="E125" s="578"/>
      <c r="F125" s="578"/>
      <c r="G125" s="578"/>
      <c r="H125" s="578"/>
      <c r="I125" s="578"/>
      <c r="J125" s="578"/>
      <c r="K125" s="578"/>
      <c r="L125" s="578"/>
      <c r="M125" s="578"/>
      <c r="N125" s="578"/>
      <c r="O125" s="578"/>
      <c r="P125" s="578"/>
      <c r="Q125" s="578"/>
      <c r="R125" s="578"/>
      <c r="S125" s="578"/>
      <c r="T125" s="578"/>
      <c r="U125" s="578"/>
      <c r="V125" s="578"/>
      <c r="W125" s="578"/>
      <c r="X125" s="578"/>
      <c r="Y125" s="578"/>
      <c r="Z125" s="578"/>
      <c r="AA125" s="578"/>
      <c r="AB125" s="578"/>
      <c r="AC125" s="578"/>
      <c r="AD125" s="578"/>
      <c r="AE125" s="578"/>
      <c r="AF125" s="578"/>
      <c r="AG125" s="578"/>
      <c r="AH125" s="548"/>
      <c r="AI125" s="548"/>
      <c r="AJ125" s="548"/>
      <c r="AK125" s="548"/>
      <c r="AL125" s="548"/>
      <c r="AM125" s="548"/>
      <c r="AN125" s="548"/>
      <c r="AO125" s="548"/>
      <c r="AP125" s="548"/>
      <c r="AQ125" s="548"/>
      <c r="AR125" s="548"/>
      <c r="AS125" s="548"/>
      <c r="AT125" s="548"/>
      <c r="AU125" s="548"/>
      <c r="AV125" s="548"/>
      <c r="AW125" s="548"/>
      <c r="AX125" s="548"/>
      <c r="AY125" s="548"/>
      <c r="AZ125" s="548"/>
      <c r="BA125" s="548"/>
      <c r="BB125" s="548"/>
      <c r="BC125" s="548"/>
      <c r="BD125" s="569"/>
      <c r="BE125" s="569"/>
      <c r="BF125" s="569"/>
      <c r="BG125" s="569"/>
      <c r="BH125" s="569"/>
      <c r="BI125" s="569"/>
      <c r="BJ125" s="569"/>
      <c r="BK125" s="569"/>
      <c r="BL125" s="569"/>
      <c r="BM125" s="569"/>
      <c r="BN125" s="569"/>
      <c r="BO125" s="569"/>
      <c r="BP125" s="569"/>
      <c r="BQ125" s="569"/>
      <c r="BR125" s="569"/>
      <c r="BS125" s="569"/>
      <c r="BT125" s="569"/>
      <c r="BU125" s="569"/>
      <c r="BV125" s="569"/>
      <c r="BW125" s="569"/>
      <c r="BX125" s="569"/>
      <c r="BY125" s="569"/>
      <c r="BZ125" s="569"/>
      <c r="CA125" s="569"/>
      <c r="CB125" s="569"/>
      <c r="CC125" s="569"/>
      <c r="CD125" s="569"/>
      <c r="CE125" s="569"/>
      <c r="CF125" s="569"/>
      <c r="CG125" s="569"/>
      <c r="CH125" s="569"/>
      <c r="CI125" s="569"/>
      <c r="CJ125" s="569"/>
      <c r="CK125" s="569"/>
      <c r="CL125" s="569"/>
      <c r="CM125" s="569"/>
      <c r="CN125" s="569"/>
      <c r="CO125" s="569"/>
      <c r="CP125" s="569"/>
      <c r="CQ125" s="569"/>
      <c r="CR125" s="569"/>
      <c r="CS125" s="569"/>
      <c r="CT125" s="569"/>
      <c r="CU125" s="569"/>
      <c r="CV125" s="569"/>
      <c r="CW125" s="569"/>
      <c r="CX125" s="569"/>
      <c r="CY125" s="569"/>
      <c r="CZ125" s="569"/>
      <c r="DA125" s="569"/>
      <c r="DB125" s="569"/>
      <c r="DC125" s="569"/>
      <c r="DD125" s="569"/>
      <c r="DE125" s="569"/>
      <c r="DF125" s="569"/>
      <c r="DG125" s="569"/>
      <c r="DH125" s="569"/>
      <c r="DI125" s="569"/>
      <c r="DJ125" s="569"/>
      <c r="DK125" s="569"/>
      <c r="DL125" s="569"/>
      <c r="DM125" s="569"/>
      <c r="DN125" s="569"/>
      <c r="DO125" s="569"/>
      <c r="DP125" s="569"/>
      <c r="DQ125" s="569"/>
      <c r="DR125" s="569"/>
      <c r="DS125" s="569"/>
      <c r="DT125" s="569"/>
      <c r="DU125" s="569"/>
      <c r="DV125" s="569"/>
      <c r="DW125" s="569"/>
      <c r="DX125" s="569"/>
      <c r="DY125" s="569"/>
      <c r="DZ125" s="569"/>
      <c r="EA125" s="569"/>
      <c r="EB125" s="569"/>
      <c r="EC125" s="569"/>
      <c r="ED125" s="569"/>
      <c r="EE125" s="569"/>
      <c r="EF125" s="569"/>
      <c r="EG125" s="569"/>
      <c r="EH125" s="569"/>
      <c r="EI125" s="569"/>
      <c r="EJ125" s="569"/>
      <c r="EK125" s="569"/>
      <c r="EL125" s="569"/>
      <c r="EM125" s="569"/>
      <c r="EN125" s="569"/>
      <c r="EO125" s="569"/>
      <c r="EP125" s="569"/>
      <c r="EQ125" s="569"/>
      <c r="ER125" s="569"/>
      <c r="ES125" s="569"/>
      <c r="ET125" s="569"/>
      <c r="EU125" s="569"/>
      <c r="EV125" s="569"/>
      <c r="EW125" s="569"/>
      <c r="EX125" s="569"/>
      <c r="EY125" s="569"/>
      <c r="EZ125" s="569"/>
      <c r="FA125" s="569"/>
      <c r="FB125" s="569"/>
      <c r="FC125" s="569"/>
      <c r="FD125" s="569"/>
      <c r="FE125" s="569"/>
      <c r="FF125" s="569"/>
      <c r="FG125" s="569"/>
      <c r="FH125" s="569"/>
      <c r="FI125" s="569"/>
      <c r="FJ125" s="569"/>
      <c r="FK125" s="569"/>
      <c r="FL125" s="569"/>
      <c r="FM125" s="569"/>
      <c r="FN125" s="569"/>
      <c r="FO125" s="569"/>
      <c r="FP125" s="569"/>
      <c r="FQ125" s="569"/>
      <c r="FR125" s="569"/>
      <c r="FS125" s="569"/>
      <c r="FT125" s="569"/>
      <c r="FU125" s="569"/>
      <c r="FV125" s="569"/>
      <c r="FW125" s="569"/>
      <c r="FX125" s="569"/>
      <c r="FY125" s="569"/>
      <c r="FZ125" s="569"/>
      <c r="GA125" s="569"/>
      <c r="GB125" s="569"/>
      <c r="GC125" s="569"/>
      <c r="GD125" s="569"/>
      <c r="GE125" s="569"/>
      <c r="GF125" s="569"/>
      <c r="GG125" s="569"/>
      <c r="GH125" s="569"/>
      <c r="GI125" s="569"/>
      <c r="GJ125" s="569"/>
      <c r="GK125" s="569"/>
      <c r="GL125" s="569"/>
      <c r="GM125" s="569"/>
      <c r="GN125" s="569"/>
      <c r="GO125" s="569"/>
      <c r="GP125" s="569"/>
      <c r="GQ125" s="569"/>
      <c r="GR125" s="569"/>
      <c r="GS125" s="569"/>
      <c r="GT125" s="569"/>
    </row>
    <row r="126" spans="2:202" s="554" customFormat="1">
      <c r="B126" s="578"/>
      <c r="C126" s="578"/>
      <c r="D126" s="578"/>
      <c r="E126" s="578"/>
      <c r="F126" s="578"/>
      <c r="G126" s="578"/>
      <c r="H126" s="578"/>
      <c r="I126" s="578"/>
      <c r="J126" s="578"/>
      <c r="K126" s="578"/>
      <c r="L126" s="578"/>
      <c r="M126" s="578"/>
      <c r="N126" s="578"/>
      <c r="O126" s="578"/>
      <c r="P126" s="578"/>
      <c r="Q126" s="578"/>
      <c r="R126" s="578"/>
      <c r="S126" s="578"/>
      <c r="T126" s="578"/>
      <c r="U126" s="578"/>
      <c r="V126" s="578"/>
      <c r="W126" s="578"/>
      <c r="X126" s="578"/>
      <c r="Y126" s="578"/>
      <c r="Z126" s="578"/>
      <c r="AA126" s="578"/>
      <c r="AB126" s="578"/>
      <c r="AC126" s="578"/>
      <c r="AD126" s="578"/>
      <c r="AE126" s="578"/>
      <c r="AF126" s="578"/>
      <c r="AG126" s="578"/>
      <c r="AH126" s="548"/>
      <c r="AI126" s="548"/>
      <c r="AJ126" s="548"/>
      <c r="AK126" s="548"/>
      <c r="AL126" s="548"/>
      <c r="AM126" s="548"/>
      <c r="AN126" s="548"/>
      <c r="AO126" s="548"/>
      <c r="AP126" s="548"/>
      <c r="AQ126" s="548"/>
      <c r="AR126" s="548"/>
      <c r="AS126" s="548"/>
      <c r="AT126" s="548"/>
      <c r="AU126" s="548"/>
      <c r="AV126" s="548"/>
      <c r="AW126" s="548"/>
      <c r="AX126" s="548"/>
      <c r="AY126" s="548"/>
      <c r="AZ126" s="548"/>
      <c r="BA126" s="548"/>
      <c r="BB126" s="548"/>
      <c r="BC126" s="548"/>
      <c r="BD126" s="569"/>
      <c r="BE126" s="569"/>
      <c r="BF126" s="569"/>
      <c r="BG126" s="569"/>
      <c r="BH126" s="569"/>
      <c r="BI126" s="569"/>
      <c r="BJ126" s="569"/>
      <c r="BK126" s="569"/>
      <c r="BL126" s="569"/>
      <c r="BM126" s="569"/>
      <c r="BN126" s="569"/>
      <c r="BO126" s="569"/>
      <c r="BP126" s="569"/>
      <c r="BQ126" s="569"/>
      <c r="BR126" s="569"/>
      <c r="BS126" s="569"/>
      <c r="BT126" s="569"/>
      <c r="BU126" s="569"/>
      <c r="BV126" s="569"/>
      <c r="BW126" s="569"/>
      <c r="BX126" s="569"/>
      <c r="BY126" s="569"/>
      <c r="BZ126" s="569"/>
      <c r="CA126" s="569"/>
      <c r="CB126" s="569"/>
      <c r="CC126" s="569"/>
      <c r="CD126" s="569"/>
      <c r="CE126" s="569"/>
      <c r="CF126" s="569"/>
      <c r="CG126" s="569"/>
      <c r="CH126" s="569"/>
      <c r="CI126" s="569"/>
      <c r="CJ126" s="569"/>
      <c r="CK126" s="569"/>
      <c r="CL126" s="569"/>
      <c r="CM126" s="569"/>
      <c r="CN126" s="569"/>
      <c r="CO126" s="569"/>
      <c r="CP126" s="569"/>
      <c r="CQ126" s="569"/>
      <c r="CR126" s="569"/>
      <c r="CS126" s="569"/>
      <c r="CT126" s="569"/>
      <c r="CU126" s="569"/>
      <c r="CV126" s="569"/>
      <c r="CW126" s="569"/>
      <c r="CX126" s="569"/>
      <c r="CY126" s="569"/>
      <c r="CZ126" s="569"/>
      <c r="DA126" s="569"/>
      <c r="DB126" s="569"/>
      <c r="DC126" s="569"/>
      <c r="DD126" s="569"/>
      <c r="DE126" s="569"/>
      <c r="DF126" s="569"/>
      <c r="DG126" s="569"/>
      <c r="DH126" s="569"/>
      <c r="DI126" s="569"/>
      <c r="DJ126" s="569"/>
      <c r="DK126" s="569"/>
      <c r="DL126" s="569"/>
      <c r="DM126" s="569"/>
      <c r="DN126" s="569"/>
      <c r="DO126" s="569"/>
      <c r="DP126" s="569"/>
      <c r="DQ126" s="569"/>
      <c r="DR126" s="569"/>
      <c r="DS126" s="569"/>
      <c r="DT126" s="569"/>
      <c r="DU126" s="569"/>
      <c r="DV126" s="569"/>
      <c r="DW126" s="569"/>
      <c r="DX126" s="569"/>
      <c r="DY126" s="569"/>
      <c r="DZ126" s="569"/>
      <c r="EA126" s="569"/>
      <c r="EB126" s="569"/>
      <c r="EC126" s="569"/>
      <c r="ED126" s="569"/>
      <c r="EE126" s="569"/>
      <c r="EF126" s="569"/>
      <c r="EG126" s="569"/>
      <c r="EH126" s="569"/>
      <c r="EI126" s="569"/>
      <c r="EJ126" s="569"/>
      <c r="EK126" s="569"/>
      <c r="EL126" s="569"/>
      <c r="EM126" s="569"/>
      <c r="EN126" s="569"/>
      <c r="EO126" s="569"/>
      <c r="EP126" s="569"/>
      <c r="EQ126" s="569"/>
      <c r="ER126" s="569"/>
      <c r="ES126" s="569"/>
      <c r="ET126" s="569"/>
      <c r="EU126" s="569"/>
      <c r="EV126" s="569"/>
      <c r="EW126" s="569"/>
      <c r="EX126" s="569"/>
      <c r="EY126" s="569"/>
      <c r="EZ126" s="569"/>
      <c r="FA126" s="569"/>
      <c r="FB126" s="569"/>
      <c r="FC126" s="569"/>
      <c r="FD126" s="569"/>
      <c r="FE126" s="569"/>
      <c r="FF126" s="569"/>
      <c r="FG126" s="569"/>
      <c r="FH126" s="569"/>
      <c r="FI126" s="569"/>
      <c r="FJ126" s="569"/>
      <c r="FK126" s="569"/>
      <c r="FL126" s="569"/>
      <c r="FM126" s="569"/>
      <c r="FN126" s="569"/>
      <c r="FO126" s="569"/>
      <c r="FP126" s="569"/>
      <c r="FQ126" s="569"/>
      <c r="FR126" s="569"/>
      <c r="FS126" s="569"/>
      <c r="FT126" s="569"/>
      <c r="FU126" s="569"/>
      <c r="FV126" s="569"/>
      <c r="FW126" s="569"/>
      <c r="FX126" s="569"/>
      <c r="FY126" s="569"/>
      <c r="FZ126" s="569"/>
      <c r="GA126" s="569"/>
      <c r="GB126" s="569"/>
      <c r="GC126" s="569"/>
      <c r="GD126" s="569"/>
      <c r="GE126" s="569"/>
      <c r="GF126" s="569"/>
      <c r="GG126" s="569"/>
      <c r="GH126" s="569"/>
      <c r="GI126" s="569"/>
      <c r="GJ126" s="569"/>
      <c r="GK126" s="569"/>
      <c r="GL126" s="569"/>
      <c r="GM126" s="569"/>
      <c r="GN126" s="569"/>
      <c r="GO126" s="569"/>
      <c r="GP126" s="569"/>
      <c r="GQ126" s="569"/>
      <c r="GR126" s="569"/>
      <c r="GS126" s="569"/>
      <c r="GT126" s="569"/>
    </row>
    <row r="127" spans="2:202" s="554" customFormat="1">
      <c r="B127" s="578"/>
      <c r="C127" s="578"/>
      <c r="D127" s="578"/>
      <c r="E127" s="578"/>
      <c r="F127" s="578"/>
      <c r="G127" s="578"/>
      <c r="H127" s="578"/>
      <c r="I127" s="578"/>
      <c r="J127" s="578"/>
      <c r="K127" s="578"/>
      <c r="L127" s="578"/>
      <c r="M127" s="578"/>
      <c r="N127" s="578"/>
      <c r="O127" s="578"/>
      <c r="P127" s="578"/>
      <c r="Q127" s="578"/>
      <c r="R127" s="578"/>
      <c r="S127" s="578"/>
      <c r="T127" s="578"/>
      <c r="U127" s="578"/>
      <c r="V127" s="578"/>
      <c r="W127" s="578"/>
      <c r="X127" s="578"/>
      <c r="Y127" s="578"/>
      <c r="Z127" s="578"/>
      <c r="AA127" s="578"/>
      <c r="AB127" s="578"/>
      <c r="AC127" s="578"/>
      <c r="AD127" s="578"/>
      <c r="AE127" s="578"/>
      <c r="AF127" s="578"/>
      <c r="AG127" s="578"/>
      <c r="AH127" s="548"/>
      <c r="AI127" s="548"/>
      <c r="AJ127" s="548"/>
      <c r="AK127" s="548"/>
      <c r="AL127" s="548"/>
      <c r="AM127" s="548"/>
      <c r="AN127" s="548"/>
      <c r="AO127" s="548"/>
      <c r="AP127" s="548"/>
      <c r="AQ127" s="548"/>
      <c r="AR127" s="548"/>
      <c r="AS127" s="548"/>
      <c r="AT127" s="548"/>
      <c r="AU127" s="548"/>
      <c r="AV127" s="548"/>
      <c r="AW127" s="548"/>
      <c r="AX127" s="548"/>
      <c r="AY127" s="548"/>
      <c r="AZ127" s="548"/>
      <c r="BA127" s="548"/>
      <c r="BB127" s="548"/>
      <c r="BC127" s="548"/>
      <c r="BD127" s="569"/>
      <c r="BE127" s="569"/>
      <c r="BF127" s="569"/>
      <c r="BG127" s="569"/>
      <c r="BH127" s="569"/>
      <c r="BI127" s="569"/>
      <c r="BJ127" s="569"/>
      <c r="BK127" s="569"/>
      <c r="BL127" s="569"/>
      <c r="BM127" s="569"/>
      <c r="BN127" s="569"/>
      <c r="BO127" s="569"/>
      <c r="BP127" s="569"/>
      <c r="BQ127" s="569"/>
      <c r="BR127" s="569"/>
      <c r="BS127" s="569"/>
      <c r="BT127" s="569"/>
      <c r="BU127" s="569"/>
      <c r="BV127" s="569"/>
      <c r="BW127" s="569"/>
      <c r="BX127" s="569"/>
      <c r="BY127" s="569"/>
      <c r="BZ127" s="569"/>
      <c r="CA127" s="569"/>
      <c r="CB127" s="569"/>
      <c r="CC127" s="569"/>
      <c r="CD127" s="569"/>
      <c r="CE127" s="569"/>
      <c r="CF127" s="569"/>
      <c r="CG127" s="569"/>
      <c r="CH127" s="569"/>
      <c r="CI127" s="569"/>
      <c r="CJ127" s="569"/>
      <c r="CK127" s="569"/>
      <c r="CL127" s="569"/>
      <c r="CM127" s="569"/>
      <c r="CN127" s="569"/>
      <c r="CO127" s="569"/>
      <c r="CP127" s="569"/>
      <c r="CQ127" s="569"/>
      <c r="CR127" s="569"/>
      <c r="CS127" s="569"/>
      <c r="CT127" s="569"/>
      <c r="CU127" s="569"/>
      <c r="CV127" s="569"/>
      <c r="CW127" s="569"/>
      <c r="CX127" s="569"/>
      <c r="CY127" s="569"/>
      <c r="CZ127" s="569"/>
      <c r="DA127" s="569"/>
      <c r="DB127" s="569"/>
      <c r="DC127" s="569"/>
      <c r="DD127" s="569"/>
      <c r="DE127" s="569"/>
      <c r="DF127" s="569"/>
      <c r="DG127" s="569"/>
      <c r="DH127" s="569"/>
      <c r="DI127" s="569"/>
      <c r="DJ127" s="569"/>
      <c r="DK127" s="569"/>
      <c r="DL127" s="569"/>
      <c r="DM127" s="569"/>
      <c r="DN127" s="569"/>
      <c r="DO127" s="569"/>
      <c r="DP127" s="569"/>
      <c r="DQ127" s="569"/>
      <c r="DR127" s="569"/>
      <c r="DS127" s="569"/>
      <c r="DT127" s="569"/>
      <c r="DU127" s="569"/>
      <c r="DV127" s="569"/>
      <c r="DW127" s="569"/>
      <c r="DX127" s="569"/>
      <c r="DY127" s="569"/>
      <c r="DZ127" s="569"/>
      <c r="EA127" s="569"/>
      <c r="EB127" s="569"/>
      <c r="EC127" s="569"/>
      <c r="ED127" s="569"/>
      <c r="EE127" s="569"/>
      <c r="EF127" s="569"/>
      <c r="EG127" s="569"/>
      <c r="EH127" s="569"/>
      <c r="EI127" s="569"/>
      <c r="EJ127" s="569"/>
      <c r="EK127" s="569"/>
      <c r="EL127" s="569"/>
      <c r="EM127" s="569"/>
      <c r="EN127" s="569"/>
      <c r="EO127" s="569"/>
      <c r="EP127" s="569"/>
      <c r="EQ127" s="569"/>
      <c r="ER127" s="569"/>
      <c r="ES127" s="569"/>
      <c r="ET127" s="569"/>
      <c r="EU127" s="569"/>
      <c r="EV127" s="569"/>
      <c r="EW127" s="569"/>
      <c r="EX127" s="569"/>
      <c r="EY127" s="569"/>
      <c r="EZ127" s="569"/>
      <c r="FA127" s="569"/>
      <c r="FB127" s="569"/>
      <c r="FC127" s="569"/>
      <c r="FD127" s="569"/>
      <c r="FE127" s="569"/>
      <c r="FF127" s="569"/>
      <c r="FG127" s="569"/>
      <c r="FH127" s="569"/>
      <c r="FI127" s="569"/>
      <c r="FJ127" s="569"/>
      <c r="FK127" s="569"/>
      <c r="FL127" s="569"/>
      <c r="FM127" s="569"/>
      <c r="FN127" s="569"/>
      <c r="FO127" s="569"/>
      <c r="FP127" s="569"/>
      <c r="FQ127" s="569"/>
      <c r="FR127" s="569"/>
      <c r="FS127" s="569"/>
      <c r="FT127" s="569"/>
      <c r="FU127" s="569"/>
      <c r="FV127" s="569"/>
      <c r="FW127" s="569"/>
      <c r="FX127" s="569"/>
      <c r="FY127" s="569"/>
      <c r="FZ127" s="569"/>
      <c r="GA127" s="569"/>
      <c r="GB127" s="569"/>
      <c r="GC127" s="569"/>
      <c r="GD127" s="569"/>
      <c r="GE127" s="569"/>
      <c r="GF127" s="569"/>
      <c r="GG127" s="569"/>
      <c r="GH127" s="569"/>
      <c r="GI127" s="569"/>
      <c r="GJ127" s="569"/>
      <c r="GK127" s="569"/>
      <c r="GL127" s="569"/>
      <c r="GM127" s="569"/>
      <c r="GN127" s="569"/>
      <c r="GO127" s="569"/>
      <c r="GP127" s="569"/>
      <c r="GQ127" s="569"/>
      <c r="GR127" s="569"/>
      <c r="GS127" s="569"/>
      <c r="GT127" s="569"/>
    </row>
    <row r="128" spans="2:202" s="554" customFormat="1">
      <c r="B128" s="578"/>
      <c r="C128" s="578"/>
      <c r="D128" s="578"/>
      <c r="E128" s="578"/>
      <c r="F128" s="578"/>
      <c r="G128" s="578"/>
      <c r="H128" s="578"/>
      <c r="I128" s="578"/>
      <c r="J128" s="578"/>
      <c r="K128" s="578"/>
      <c r="L128" s="578"/>
      <c r="M128" s="578"/>
      <c r="N128" s="578"/>
      <c r="O128" s="578"/>
      <c r="P128" s="578"/>
      <c r="Q128" s="578"/>
      <c r="R128" s="578"/>
      <c r="S128" s="578"/>
      <c r="T128" s="578"/>
      <c r="U128" s="578"/>
      <c r="V128" s="578"/>
      <c r="W128" s="578"/>
      <c r="X128" s="578"/>
      <c r="Y128" s="578"/>
      <c r="Z128" s="578"/>
      <c r="AA128" s="578"/>
      <c r="AB128" s="578"/>
      <c r="AC128" s="578"/>
      <c r="AD128" s="578"/>
      <c r="AE128" s="578"/>
      <c r="AF128" s="578"/>
      <c r="AG128" s="578"/>
      <c r="AH128" s="548"/>
      <c r="AI128" s="548"/>
      <c r="AJ128" s="548"/>
      <c r="AK128" s="548"/>
      <c r="AL128" s="548"/>
      <c r="AM128" s="548"/>
      <c r="AN128" s="548"/>
      <c r="AO128" s="548"/>
      <c r="AP128" s="548"/>
      <c r="AQ128" s="548"/>
      <c r="AR128" s="548"/>
      <c r="AS128" s="548"/>
      <c r="AT128" s="548"/>
      <c r="AU128" s="548"/>
      <c r="AV128" s="548"/>
      <c r="AW128" s="548"/>
      <c r="AX128" s="548"/>
      <c r="AY128" s="548"/>
      <c r="AZ128" s="548"/>
      <c r="BA128" s="548"/>
      <c r="BB128" s="548"/>
      <c r="BC128" s="548"/>
      <c r="BD128" s="569"/>
      <c r="BE128" s="569"/>
      <c r="BF128" s="569"/>
      <c r="BG128" s="569"/>
      <c r="BH128" s="569"/>
      <c r="BI128" s="569"/>
      <c r="BJ128" s="569"/>
      <c r="BK128" s="569"/>
      <c r="BL128" s="569"/>
      <c r="BM128" s="569"/>
      <c r="BN128" s="569"/>
      <c r="BO128" s="569"/>
      <c r="BP128" s="569"/>
      <c r="BQ128" s="569"/>
      <c r="BR128" s="569"/>
      <c r="BS128" s="569"/>
      <c r="BT128" s="569"/>
      <c r="BU128" s="569"/>
      <c r="BV128" s="569"/>
      <c r="BW128" s="569"/>
      <c r="BX128" s="569"/>
      <c r="BY128" s="569"/>
      <c r="BZ128" s="569"/>
      <c r="CA128" s="569"/>
      <c r="CB128" s="569"/>
      <c r="CC128" s="569"/>
      <c r="CD128" s="569"/>
      <c r="CE128" s="569"/>
      <c r="CF128" s="569"/>
      <c r="CG128" s="569"/>
      <c r="CH128" s="569"/>
      <c r="CI128" s="569"/>
      <c r="CJ128" s="569"/>
      <c r="CK128" s="569"/>
      <c r="CL128" s="569"/>
      <c r="CM128" s="569"/>
      <c r="CN128" s="569"/>
      <c r="CO128" s="569"/>
      <c r="CP128" s="569"/>
      <c r="CQ128" s="569"/>
      <c r="CR128" s="569"/>
      <c r="CS128" s="569"/>
      <c r="CT128" s="569"/>
      <c r="CU128" s="569"/>
      <c r="CV128" s="569"/>
      <c r="CW128" s="569"/>
      <c r="CX128" s="569"/>
      <c r="CY128" s="569"/>
      <c r="CZ128" s="569"/>
      <c r="DA128" s="569"/>
      <c r="DB128" s="569"/>
      <c r="DC128" s="569"/>
      <c r="DD128" s="569"/>
      <c r="DE128" s="569"/>
      <c r="DF128" s="569"/>
      <c r="DG128" s="569"/>
      <c r="DH128" s="569"/>
      <c r="DI128" s="569"/>
      <c r="DJ128" s="569"/>
      <c r="DK128" s="569"/>
      <c r="DL128" s="569"/>
      <c r="DM128" s="569"/>
      <c r="DN128" s="569"/>
      <c r="DO128" s="569"/>
      <c r="DP128" s="569"/>
      <c r="DQ128" s="569"/>
      <c r="DR128" s="569"/>
      <c r="DS128" s="569"/>
      <c r="DT128" s="569"/>
      <c r="DU128" s="569"/>
      <c r="DV128" s="569"/>
      <c r="DW128" s="569"/>
      <c r="DX128" s="569"/>
      <c r="DY128" s="569"/>
      <c r="DZ128" s="569"/>
      <c r="EA128" s="569"/>
      <c r="EB128" s="569"/>
      <c r="EC128" s="569"/>
      <c r="ED128" s="569"/>
      <c r="EE128" s="569"/>
      <c r="EF128" s="569"/>
      <c r="EG128" s="569"/>
      <c r="EH128" s="569"/>
      <c r="EI128" s="569"/>
      <c r="EJ128" s="569"/>
      <c r="EK128" s="569"/>
      <c r="EL128" s="569"/>
      <c r="EM128" s="569"/>
      <c r="EN128" s="569"/>
      <c r="EO128" s="569"/>
      <c r="EP128" s="569"/>
      <c r="EQ128" s="569"/>
      <c r="ER128" s="569"/>
      <c r="ES128" s="569"/>
      <c r="ET128" s="569"/>
      <c r="EU128" s="569"/>
      <c r="EV128" s="569"/>
      <c r="EW128" s="569"/>
      <c r="EX128" s="569"/>
      <c r="EY128" s="569"/>
      <c r="EZ128" s="569"/>
      <c r="FA128" s="569"/>
      <c r="FB128" s="569"/>
      <c r="FC128" s="569"/>
      <c r="FD128" s="569"/>
      <c r="FE128" s="569"/>
      <c r="FF128" s="569"/>
      <c r="FG128" s="569"/>
      <c r="FH128" s="569"/>
      <c r="FI128" s="569"/>
      <c r="FJ128" s="569"/>
      <c r="FK128" s="569"/>
      <c r="FL128" s="569"/>
      <c r="FM128" s="569"/>
      <c r="FN128" s="569"/>
      <c r="FO128" s="569"/>
      <c r="FP128" s="569"/>
      <c r="FQ128" s="569"/>
      <c r="FR128" s="569"/>
      <c r="FS128" s="569"/>
      <c r="FT128" s="569"/>
      <c r="FU128" s="569"/>
      <c r="FV128" s="569"/>
      <c r="FW128" s="569"/>
      <c r="FX128" s="569"/>
      <c r="FY128" s="569"/>
      <c r="FZ128" s="569"/>
      <c r="GA128" s="569"/>
      <c r="GB128" s="569"/>
      <c r="GC128" s="569"/>
      <c r="GD128" s="569"/>
      <c r="GE128" s="569"/>
      <c r="GF128" s="569"/>
      <c r="GG128" s="569"/>
      <c r="GH128" s="569"/>
      <c r="GI128" s="569"/>
      <c r="GJ128" s="569"/>
      <c r="GK128" s="569"/>
      <c r="GL128" s="569"/>
      <c r="GM128" s="569"/>
      <c r="GN128" s="569"/>
      <c r="GO128" s="569"/>
      <c r="GP128" s="569"/>
      <c r="GQ128" s="569"/>
      <c r="GR128" s="569"/>
      <c r="GS128" s="569"/>
      <c r="GT128" s="569"/>
    </row>
    <row r="129" spans="2:202" s="554" customFormat="1">
      <c r="B129" s="578"/>
      <c r="C129" s="578"/>
      <c r="D129" s="578"/>
      <c r="E129" s="578"/>
      <c r="F129" s="578"/>
      <c r="G129" s="578"/>
      <c r="H129" s="578"/>
      <c r="I129" s="578"/>
      <c r="J129" s="578"/>
      <c r="K129" s="578"/>
      <c r="L129" s="578"/>
      <c r="M129" s="578"/>
      <c r="N129" s="578"/>
      <c r="O129" s="578"/>
      <c r="P129" s="578"/>
      <c r="Q129" s="578"/>
      <c r="R129" s="578"/>
      <c r="S129" s="578"/>
      <c r="T129" s="578"/>
      <c r="U129" s="578"/>
      <c r="V129" s="578"/>
      <c r="W129" s="578"/>
      <c r="X129" s="578"/>
      <c r="Y129" s="578"/>
      <c r="Z129" s="578"/>
      <c r="AA129" s="578"/>
      <c r="AB129" s="578"/>
      <c r="AC129" s="578"/>
      <c r="AD129" s="578"/>
      <c r="AE129" s="578"/>
      <c r="AF129" s="578"/>
      <c r="AG129" s="578"/>
      <c r="AH129" s="548"/>
      <c r="AI129" s="548"/>
      <c r="AJ129" s="548"/>
      <c r="AK129" s="548"/>
      <c r="AL129" s="548"/>
      <c r="AM129" s="548"/>
      <c r="AN129" s="548"/>
      <c r="AO129" s="548"/>
      <c r="AP129" s="548"/>
      <c r="AQ129" s="548"/>
      <c r="AR129" s="548"/>
      <c r="AS129" s="548"/>
      <c r="AT129" s="548"/>
      <c r="AU129" s="548"/>
      <c r="AV129" s="548"/>
      <c r="AW129" s="548"/>
      <c r="AX129" s="548"/>
      <c r="AY129" s="548"/>
      <c r="AZ129" s="548"/>
      <c r="BA129" s="548"/>
      <c r="BB129" s="548"/>
      <c r="BC129" s="548"/>
      <c r="BD129" s="569"/>
      <c r="BE129" s="569"/>
      <c r="BF129" s="569"/>
      <c r="BG129" s="569"/>
      <c r="BH129" s="569"/>
      <c r="BI129" s="569"/>
      <c r="BJ129" s="569"/>
      <c r="BK129" s="569"/>
      <c r="BL129" s="569"/>
      <c r="BM129" s="569"/>
      <c r="BN129" s="569"/>
      <c r="BO129" s="569"/>
      <c r="BP129" s="569"/>
      <c r="BQ129" s="569"/>
      <c r="BR129" s="569"/>
      <c r="BS129" s="569"/>
      <c r="BT129" s="569"/>
      <c r="BU129" s="569"/>
      <c r="BV129" s="569"/>
      <c r="BW129" s="569"/>
      <c r="BX129" s="569"/>
      <c r="BY129" s="569"/>
      <c r="BZ129" s="569"/>
      <c r="CA129" s="569"/>
      <c r="CB129" s="569"/>
      <c r="CC129" s="569"/>
      <c r="CD129" s="569"/>
      <c r="CE129" s="569"/>
      <c r="CF129" s="569"/>
      <c r="CG129" s="569"/>
      <c r="CH129" s="569"/>
      <c r="CI129" s="569"/>
      <c r="CJ129" s="569"/>
      <c r="CK129" s="569"/>
      <c r="CL129" s="569"/>
      <c r="CM129" s="569"/>
      <c r="CN129" s="569"/>
      <c r="CO129" s="569"/>
      <c r="CP129" s="569"/>
      <c r="CQ129" s="569"/>
      <c r="CR129" s="569"/>
      <c r="CS129" s="569"/>
      <c r="CT129" s="569"/>
      <c r="CU129" s="569"/>
      <c r="CV129" s="569"/>
      <c r="CW129" s="569"/>
      <c r="CX129" s="569"/>
      <c r="CY129" s="569"/>
      <c r="CZ129" s="569"/>
      <c r="DA129" s="569"/>
      <c r="DB129" s="569"/>
      <c r="DC129" s="569"/>
      <c r="DD129" s="569"/>
      <c r="DE129" s="569"/>
      <c r="DF129" s="569"/>
      <c r="DG129" s="569"/>
      <c r="DH129" s="569"/>
      <c r="DI129" s="569"/>
      <c r="DJ129" s="569"/>
      <c r="DK129" s="569"/>
      <c r="DL129" s="569"/>
      <c r="DM129" s="569"/>
      <c r="DN129" s="569"/>
      <c r="DO129" s="569"/>
      <c r="DP129" s="569"/>
      <c r="DQ129" s="569"/>
      <c r="DR129" s="569"/>
      <c r="DS129" s="569"/>
      <c r="DT129" s="569"/>
      <c r="DU129" s="569"/>
      <c r="DV129" s="569"/>
      <c r="DW129" s="569"/>
      <c r="DX129" s="569"/>
      <c r="DY129" s="569"/>
      <c r="DZ129" s="569"/>
      <c r="EA129" s="569"/>
      <c r="EB129" s="569"/>
      <c r="EC129" s="569"/>
      <c r="ED129" s="569"/>
      <c r="EE129" s="569"/>
      <c r="EF129" s="569"/>
      <c r="EG129" s="569"/>
      <c r="EH129" s="569"/>
      <c r="EI129" s="569"/>
      <c r="EJ129" s="569"/>
      <c r="EK129" s="569"/>
      <c r="EL129" s="569"/>
      <c r="EM129" s="569"/>
      <c r="EN129" s="569"/>
      <c r="EO129" s="569"/>
      <c r="EP129" s="569"/>
      <c r="EQ129" s="569"/>
      <c r="ER129" s="569"/>
      <c r="ES129" s="569"/>
      <c r="ET129" s="569"/>
      <c r="EU129" s="569"/>
      <c r="EV129" s="569"/>
      <c r="EW129" s="569"/>
      <c r="EX129" s="569"/>
      <c r="EY129" s="569"/>
      <c r="EZ129" s="569"/>
      <c r="FA129" s="569"/>
      <c r="FB129" s="569"/>
      <c r="FC129" s="569"/>
      <c r="FD129" s="569"/>
      <c r="FE129" s="569"/>
      <c r="FF129" s="569"/>
      <c r="FG129" s="569"/>
      <c r="FH129" s="569"/>
      <c r="FI129" s="569"/>
      <c r="FJ129" s="569"/>
      <c r="FK129" s="569"/>
      <c r="FL129" s="569"/>
      <c r="FM129" s="569"/>
      <c r="FN129" s="569"/>
      <c r="FO129" s="569"/>
      <c r="FP129" s="569"/>
      <c r="FQ129" s="569"/>
      <c r="FR129" s="569"/>
      <c r="FS129" s="569"/>
      <c r="FT129" s="569"/>
      <c r="FU129" s="569"/>
      <c r="FV129" s="569"/>
      <c r="FW129" s="569"/>
      <c r="FX129" s="569"/>
      <c r="FY129" s="569"/>
      <c r="FZ129" s="569"/>
      <c r="GA129" s="569"/>
      <c r="GB129" s="569"/>
      <c r="GC129" s="569"/>
      <c r="GD129" s="569"/>
      <c r="GE129" s="569"/>
      <c r="GF129" s="569"/>
      <c r="GG129" s="569"/>
      <c r="GH129" s="569"/>
      <c r="GI129" s="569"/>
      <c r="GJ129" s="569"/>
      <c r="GK129" s="569"/>
      <c r="GL129" s="569"/>
      <c r="GM129" s="569"/>
      <c r="GN129" s="569"/>
      <c r="GO129" s="569"/>
      <c r="GP129" s="569"/>
      <c r="GQ129" s="569"/>
      <c r="GR129" s="569"/>
      <c r="GS129" s="569"/>
      <c r="GT129" s="569"/>
    </row>
    <row r="130" spans="2:202" s="554" customFormat="1">
      <c r="B130" s="578"/>
      <c r="C130" s="578"/>
      <c r="D130" s="578"/>
      <c r="E130" s="578"/>
      <c r="F130" s="578"/>
      <c r="G130" s="578"/>
      <c r="H130" s="578"/>
      <c r="I130" s="578"/>
      <c r="J130" s="578"/>
      <c r="K130" s="578"/>
      <c r="L130" s="578"/>
      <c r="M130" s="578"/>
      <c r="N130" s="578"/>
      <c r="O130" s="578"/>
      <c r="P130" s="578"/>
      <c r="Q130" s="578"/>
      <c r="R130" s="578"/>
      <c r="S130" s="578"/>
      <c r="T130" s="578"/>
      <c r="U130" s="578"/>
      <c r="V130" s="578"/>
      <c r="W130" s="578"/>
      <c r="X130" s="578"/>
      <c r="Y130" s="578"/>
      <c r="Z130" s="578"/>
      <c r="AA130" s="578"/>
      <c r="AB130" s="578"/>
      <c r="AC130" s="578"/>
      <c r="AD130" s="578"/>
      <c r="AE130" s="578"/>
      <c r="AF130" s="578"/>
      <c r="AG130" s="578"/>
      <c r="AH130" s="548"/>
      <c r="AI130" s="548"/>
      <c r="AJ130" s="548"/>
      <c r="AK130" s="548"/>
      <c r="AL130" s="548"/>
      <c r="AM130" s="548"/>
      <c r="AN130" s="548"/>
      <c r="AO130" s="548"/>
      <c r="AP130" s="548"/>
      <c r="AQ130" s="548"/>
      <c r="AR130" s="548"/>
      <c r="AS130" s="548"/>
      <c r="AT130" s="548"/>
      <c r="AU130" s="548"/>
      <c r="AV130" s="548"/>
      <c r="AW130" s="548"/>
      <c r="AX130" s="548"/>
      <c r="AY130" s="548"/>
      <c r="AZ130" s="548"/>
      <c r="BA130" s="548"/>
      <c r="BB130" s="548"/>
      <c r="BC130" s="548"/>
      <c r="BD130" s="569"/>
      <c r="BE130" s="569"/>
      <c r="BF130" s="569"/>
      <c r="BG130" s="569"/>
      <c r="BH130" s="569"/>
      <c r="BI130" s="569"/>
      <c r="BJ130" s="569"/>
      <c r="BK130" s="569"/>
      <c r="BL130" s="569"/>
      <c r="BM130" s="569"/>
      <c r="BN130" s="569"/>
      <c r="BO130" s="569"/>
      <c r="BP130" s="569"/>
      <c r="BQ130" s="569"/>
      <c r="BR130" s="569"/>
      <c r="BS130" s="569"/>
      <c r="BT130" s="569"/>
      <c r="BU130" s="569"/>
      <c r="BV130" s="569"/>
      <c r="BW130" s="569"/>
      <c r="BX130" s="569"/>
      <c r="BY130" s="569"/>
      <c r="BZ130" s="569"/>
      <c r="CA130" s="569"/>
      <c r="CB130" s="569"/>
      <c r="CC130" s="569"/>
      <c r="CD130" s="569"/>
      <c r="CE130" s="569"/>
      <c r="CF130" s="569"/>
      <c r="CG130" s="569"/>
      <c r="CH130" s="569"/>
      <c r="CI130" s="569"/>
      <c r="CJ130" s="569"/>
      <c r="CK130" s="569"/>
      <c r="CL130" s="569"/>
      <c r="CM130" s="569"/>
      <c r="CN130" s="569"/>
      <c r="CO130" s="569"/>
      <c r="CP130" s="569"/>
      <c r="CQ130" s="569"/>
      <c r="CR130" s="569"/>
      <c r="CS130" s="569"/>
      <c r="CT130" s="569"/>
      <c r="CU130" s="569"/>
      <c r="CV130" s="569"/>
      <c r="CW130" s="569"/>
      <c r="CX130" s="569"/>
      <c r="CY130" s="569"/>
      <c r="CZ130" s="569"/>
      <c r="DA130" s="569"/>
      <c r="DB130" s="569"/>
      <c r="DC130" s="569"/>
      <c r="DD130" s="569"/>
      <c r="DE130" s="569"/>
      <c r="DF130" s="569"/>
      <c r="DG130" s="569"/>
      <c r="DH130" s="569"/>
      <c r="DI130" s="569"/>
      <c r="DJ130" s="569"/>
      <c r="DK130" s="569"/>
      <c r="DL130" s="569"/>
      <c r="DM130" s="569"/>
      <c r="DN130" s="569"/>
      <c r="DO130" s="569"/>
      <c r="DP130" s="569"/>
      <c r="DQ130" s="569"/>
      <c r="DR130" s="569"/>
      <c r="DS130" s="569"/>
      <c r="DT130" s="569"/>
      <c r="DU130" s="569"/>
      <c r="DV130" s="569"/>
      <c r="DW130" s="569"/>
      <c r="DX130" s="569"/>
      <c r="DY130" s="569"/>
      <c r="DZ130" s="569"/>
      <c r="EA130" s="569"/>
      <c r="EB130" s="569"/>
      <c r="EC130" s="569"/>
      <c r="ED130" s="569"/>
      <c r="EE130" s="569"/>
      <c r="EF130" s="569"/>
      <c r="EG130" s="569"/>
      <c r="EH130" s="569"/>
      <c r="EI130" s="569"/>
      <c r="EJ130" s="569"/>
      <c r="EK130" s="569"/>
      <c r="EL130" s="569"/>
      <c r="EM130" s="569"/>
      <c r="EN130" s="569"/>
      <c r="EO130" s="569"/>
      <c r="EP130" s="569"/>
      <c r="EQ130" s="569"/>
      <c r="ER130" s="569"/>
      <c r="ES130" s="569"/>
      <c r="ET130" s="569"/>
      <c r="EU130" s="569"/>
      <c r="EV130" s="569"/>
      <c r="EW130" s="569"/>
      <c r="EX130" s="569"/>
      <c r="EY130" s="569"/>
      <c r="EZ130" s="569"/>
      <c r="FA130" s="569"/>
      <c r="FB130" s="569"/>
      <c r="FC130" s="569"/>
      <c r="FD130" s="569"/>
      <c r="FE130" s="569"/>
      <c r="FF130" s="569"/>
      <c r="FG130" s="569"/>
      <c r="FH130" s="569"/>
      <c r="FI130" s="569"/>
      <c r="FJ130" s="569"/>
      <c r="FK130" s="569"/>
      <c r="FL130" s="569"/>
      <c r="FM130" s="569"/>
      <c r="FN130" s="569"/>
      <c r="FO130" s="569"/>
      <c r="FP130" s="569"/>
      <c r="FQ130" s="569"/>
      <c r="FR130" s="569"/>
      <c r="FS130" s="569"/>
      <c r="FT130" s="569"/>
      <c r="FU130" s="569"/>
      <c r="FV130" s="569"/>
      <c r="FW130" s="569"/>
      <c r="FX130" s="569"/>
      <c r="FY130" s="569"/>
      <c r="FZ130" s="569"/>
      <c r="GA130" s="569"/>
      <c r="GB130" s="569"/>
      <c r="GC130" s="569"/>
      <c r="GD130" s="569"/>
      <c r="GE130" s="569"/>
      <c r="GF130" s="569"/>
      <c r="GG130" s="569"/>
      <c r="GH130" s="569"/>
      <c r="GI130" s="569"/>
      <c r="GJ130" s="569"/>
      <c r="GK130" s="569"/>
      <c r="GL130" s="569"/>
      <c r="GM130" s="569"/>
      <c r="GN130" s="569"/>
      <c r="GO130" s="569"/>
      <c r="GP130" s="569"/>
      <c r="GQ130" s="569"/>
      <c r="GR130" s="569"/>
      <c r="GS130" s="569"/>
      <c r="GT130" s="569"/>
    </row>
    <row r="131" spans="2:202" s="554" customFormat="1">
      <c r="B131" s="578"/>
      <c r="C131" s="578"/>
      <c r="D131" s="578"/>
      <c r="E131" s="578"/>
      <c r="F131" s="578"/>
      <c r="G131" s="578"/>
      <c r="H131" s="578"/>
      <c r="I131" s="578"/>
      <c r="J131" s="578"/>
      <c r="K131" s="578"/>
      <c r="L131" s="578"/>
      <c r="M131" s="578"/>
      <c r="N131" s="578"/>
      <c r="O131" s="578"/>
      <c r="P131" s="578"/>
      <c r="Q131" s="578"/>
      <c r="R131" s="578"/>
      <c r="S131" s="578"/>
      <c r="T131" s="578"/>
      <c r="U131" s="578"/>
      <c r="V131" s="578"/>
      <c r="W131" s="578"/>
      <c r="X131" s="578"/>
      <c r="Y131" s="578"/>
      <c r="Z131" s="578"/>
      <c r="AA131" s="578"/>
      <c r="AB131" s="578"/>
      <c r="AC131" s="578"/>
      <c r="AD131" s="578"/>
      <c r="AE131" s="578"/>
      <c r="AF131" s="578"/>
      <c r="AG131" s="578"/>
      <c r="AH131" s="548"/>
      <c r="AI131" s="548"/>
      <c r="AJ131" s="548"/>
      <c r="AK131" s="548"/>
      <c r="AL131" s="548"/>
      <c r="AM131" s="548"/>
      <c r="AN131" s="548"/>
      <c r="AO131" s="548"/>
      <c r="AP131" s="548"/>
      <c r="AQ131" s="548"/>
      <c r="AR131" s="548"/>
      <c r="AS131" s="548"/>
      <c r="AT131" s="548"/>
      <c r="AU131" s="548"/>
      <c r="AV131" s="548"/>
      <c r="AW131" s="548"/>
      <c r="AX131" s="548"/>
      <c r="AY131" s="548"/>
      <c r="AZ131" s="548"/>
      <c r="BA131" s="548"/>
      <c r="BB131" s="548"/>
      <c r="BC131" s="548"/>
      <c r="BD131" s="569"/>
      <c r="BE131" s="569"/>
      <c r="BF131" s="569"/>
      <c r="BG131" s="569"/>
      <c r="BH131" s="569"/>
      <c r="BI131" s="569"/>
      <c r="BJ131" s="569"/>
      <c r="BK131" s="569"/>
      <c r="BL131" s="569"/>
      <c r="BM131" s="569"/>
      <c r="BN131" s="569"/>
      <c r="BO131" s="569"/>
      <c r="BP131" s="569"/>
      <c r="BQ131" s="569"/>
      <c r="BR131" s="569"/>
      <c r="BS131" s="569"/>
      <c r="BT131" s="569"/>
      <c r="BU131" s="569"/>
      <c r="BV131" s="569"/>
      <c r="BW131" s="569"/>
      <c r="BX131" s="569"/>
      <c r="BY131" s="569"/>
      <c r="BZ131" s="569"/>
      <c r="CA131" s="569"/>
      <c r="CB131" s="569"/>
      <c r="CC131" s="569"/>
      <c r="CD131" s="569"/>
      <c r="CE131" s="569"/>
      <c r="CF131" s="569"/>
      <c r="CG131" s="569"/>
      <c r="CH131" s="569"/>
      <c r="CI131" s="569"/>
      <c r="CJ131" s="569"/>
      <c r="CK131" s="569"/>
      <c r="CL131" s="569"/>
      <c r="CM131" s="569"/>
      <c r="CN131" s="569"/>
      <c r="CO131" s="569"/>
      <c r="CP131" s="569"/>
      <c r="CQ131" s="569"/>
      <c r="CR131" s="569"/>
      <c r="CS131" s="569"/>
      <c r="CT131" s="569"/>
      <c r="CU131" s="569"/>
      <c r="CV131" s="569"/>
      <c r="CW131" s="569"/>
      <c r="CX131" s="569"/>
      <c r="CY131" s="569"/>
      <c r="CZ131" s="569"/>
      <c r="DA131" s="569"/>
      <c r="DB131" s="569"/>
      <c r="DC131" s="569"/>
      <c r="DD131" s="569"/>
      <c r="DE131" s="569"/>
      <c r="DF131" s="569"/>
      <c r="DG131" s="569"/>
      <c r="DH131" s="569"/>
      <c r="DI131" s="569"/>
      <c r="DJ131" s="569"/>
      <c r="DK131" s="569"/>
      <c r="DL131" s="569"/>
      <c r="DM131" s="569"/>
      <c r="DN131" s="569"/>
      <c r="DO131" s="569"/>
      <c r="DP131" s="569"/>
      <c r="DQ131" s="569"/>
      <c r="DR131" s="569"/>
      <c r="DS131" s="569"/>
      <c r="DT131" s="569"/>
      <c r="DU131" s="569"/>
      <c r="DV131" s="569"/>
      <c r="DW131" s="569"/>
      <c r="DX131" s="569"/>
      <c r="DY131" s="569"/>
      <c r="DZ131" s="569"/>
      <c r="EA131" s="569"/>
      <c r="EB131" s="569"/>
      <c r="EC131" s="569"/>
      <c r="ED131" s="569"/>
      <c r="EE131" s="569"/>
      <c r="EF131" s="569"/>
      <c r="EG131" s="569"/>
      <c r="EH131" s="569"/>
      <c r="EI131" s="569"/>
      <c r="EJ131" s="569"/>
      <c r="EK131" s="569"/>
      <c r="EL131" s="569"/>
      <c r="EM131" s="569"/>
      <c r="EN131" s="569"/>
      <c r="EO131" s="569"/>
      <c r="EP131" s="569"/>
      <c r="EQ131" s="569"/>
      <c r="ER131" s="569"/>
      <c r="ES131" s="569"/>
      <c r="ET131" s="569"/>
      <c r="EU131" s="569"/>
      <c r="EV131" s="569"/>
      <c r="EW131" s="569"/>
      <c r="EX131" s="569"/>
      <c r="EY131" s="569"/>
      <c r="EZ131" s="569"/>
      <c r="FA131" s="569"/>
      <c r="FB131" s="569"/>
      <c r="FC131" s="569"/>
      <c r="FD131" s="569"/>
      <c r="FE131" s="569"/>
      <c r="FF131" s="569"/>
      <c r="FG131" s="569"/>
      <c r="FH131" s="569"/>
      <c r="FI131" s="569"/>
      <c r="FJ131" s="569"/>
      <c r="FK131" s="569"/>
      <c r="FL131" s="569"/>
      <c r="FM131" s="569"/>
      <c r="FN131" s="569"/>
      <c r="FO131" s="569"/>
      <c r="FP131" s="569"/>
      <c r="FQ131" s="569"/>
      <c r="FR131" s="569"/>
      <c r="FS131" s="569"/>
      <c r="FT131" s="569"/>
      <c r="FU131" s="569"/>
      <c r="FV131" s="569"/>
      <c r="FW131" s="569"/>
      <c r="FX131" s="569"/>
      <c r="FY131" s="569"/>
      <c r="FZ131" s="569"/>
      <c r="GA131" s="569"/>
      <c r="GB131" s="569"/>
      <c r="GC131" s="569"/>
      <c r="GD131" s="569"/>
      <c r="GE131" s="569"/>
      <c r="GF131" s="569"/>
      <c r="GG131" s="569"/>
      <c r="GH131" s="569"/>
      <c r="GI131" s="569"/>
      <c r="GJ131" s="569"/>
      <c r="GK131" s="569"/>
      <c r="GL131" s="569"/>
      <c r="GM131" s="569"/>
      <c r="GN131" s="569"/>
      <c r="GO131" s="569"/>
      <c r="GP131" s="569"/>
      <c r="GQ131" s="569"/>
      <c r="GR131" s="569"/>
      <c r="GS131" s="569"/>
      <c r="GT131" s="569"/>
    </row>
    <row r="132" spans="2:202" s="554" customFormat="1">
      <c r="B132" s="578"/>
      <c r="C132" s="578"/>
      <c r="D132" s="578"/>
      <c r="E132" s="578"/>
      <c r="F132" s="578"/>
      <c r="G132" s="578"/>
      <c r="H132" s="578"/>
      <c r="I132" s="578"/>
      <c r="J132" s="578"/>
      <c r="K132" s="578"/>
      <c r="L132" s="578"/>
      <c r="M132" s="578"/>
      <c r="N132" s="578"/>
      <c r="O132" s="578"/>
      <c r="P132" s="578"/>
      <c r="Q132" s="578"/>
      <c r="R132" s="578"/>
      <c r="S132" s="578"/>
      <c r="T132" s="578"/>
      <c r="U132" s="578"/>
      <c r="V132" s="578"/>
      <c r="W132" s="578"/>
      <c r="X132" s="578"/>
      <c r="Y132" s="578"/>
      <c r="Z132" s="578"/>
      <c r="AA132" s="578"/>
      <c r="AB132" s="578"/>
      <c r="AC132" s="578"/>
      <c r="AD132" s="578"/>
      <c r="AE132" s="578"/>
      <c r="AF132" s="578"/>
      <c r="AG132" s="578"/>
      <c r="AH132" s="548"/>
      <c r="AI132" s="548"/>
      <c r="AJ132" s="548"/>
      <c r="AK132" s="548"/>
      <c r="AL132" s="548"/>
      <c r="AM132" s="548"/>
      <c r="AN132" s="548"/>
      <c r="AO132" s="548"/>
      <c r="AP132" s="548"/>
      <c r="AQ132" s="548"/>
      <c r="AR132" s="548"/>
      <c r="AS132" s="548"/>
      <c r="AT132" s="548"/>
      <c r="AU132" s="548"/>
      <c r="AV132" s="548"/>
      <c r="AW132" s="548"/>
      <c r="AX132" s="548"/>
      <c r="AY132" s="548"/>
      <c r="AZ132" s="548"/>
      <c r="BA132" s="548"/>
      <c r="BB132" s="548"/>
      <c r="BC132" s="548"/>
      <c r="BD132" s="569"/>
      <c r="BE132" s="569"/>
      <c r="BF132" s="569"/>
      <c r="BG132" s="569"/>
      <c r="BH132" s="569"/>
      <c r="BI132" s="569"/>
      <c r="BJ132" s="569"/>
      <c r="BK132" s="569"/>
      <c r="BL132" s="569"/>
      <c r="BM132" s="569"/>
      <c r="BN132" s="569"/>
      <c r="BO132" s="569"/>
      <c r="BP132" s="569"/>
      <c r="BQ132" s="569"/>
      <c r="BR132" s="569"/>
      <c r="BS132" s="569"/>
      <c r="BT132" s="569"/>
      <c r="BU132" s="569"/>
      <c r="BV132" s="569"/>
      <c r="BW132" s="569"/>
      <c r="BX132" s="569"/>
      <c r="BY132" s="569"/>
      <c r="BZ132" s="569"/>
      <c r="CA132" s="569"/>
      <c r="CB132" s="569"/>
      <c r="CC132" s="569"/>
      <c r="CD132" s="569"/>
      <c r="CE132" s="569"/>
      <c r="CF132" s="569"/>
      <c r="CG132" s="569"/>
      <c r="CH132" s="569"/>
      <c r="CI132" s="569"/>
      <c r="CJ132" s="569"/>
      <c r="CK132" s="569"/>
      <c r="CL132" s="569"/>
      <c r="CM132" s="569"/>
      <c r="CN132" s="569"/>
      <c r="CO132" s="569"/>
      <c r="CP132" s="569"/>
      <c r="CQ132" s="569"/>
      <c r="CR132" s="569"/>
      <c r="CS132" s="569"/>
      <c r="CT132" s="569"/>
      <c r="CU132" s="569"/>
      <c r="CV132" s="569"/>
      <c r="CW132" s="569"/>
      <c r="CX132" s="569"/>
      <c r="CY132" s="569"/>
      <c r="CZ132" s="569"/>
      <c r="DA132" s="569"/>
      <c r="DB132" s="569"/>
      <c r="DC132" s="569"/>
      <c r="DD132" s="569"/>
      <c r="DE132" s="569"/>
      <c r="DF132" s="569"/>
      <c r="DG132" s="569"/>
      <c r="DH132" s="569"/>
      <c r="DI132" s="569"/>
      <c r="DJ132" s="569"/>
      <c r="DK132" s="569"/>
      <c r="DL132" s="569"/>
      <c r="DM132" s="569"/>
      <c r="DN132" s="569"/>
      <c r="DO132" s="569"/>
      <c r="DP132" s="569"/>
      <c r="DQ132" s="569"/>
      <c r="DR132" s="569"/>
      <c r="DS132" s="569"/>
      <c r="DT132" s="569"/>
      <c r="DU132" s="569"/>
      <c r="DV132" s="569"/>
      <c r="DW132" s="569"/>
      <c r="DX132" s="569"/>
      <c r="DY132" s="569"/>
      <c r="DZ132" s="569"/>
      <c r="EA132" s="569"/>
      <c r="EB132" s="569"/>
      <c r="EC132" s="569"/>
      <c r="ED132" s="569"/>
      <c r="EE132" s="569"/>
      <c r="EF132" s="569"/>
      <c r="EG132" s="569"/>
      <c r="EH132" s="569"/>
      <c r="EI132" s="569"/>
      <c r="EJ132" s="569"/>
      <c r="EK132" s="569"/>
      <c r="EL132" s="569"/>
      <c r="EM132" s="569"/>
      <c r="EN132" s="569"/>
      <c r="EO132" s="569"/>
      <c r="EP132" s="569"/>
      <c r="EQ132" s="569"/>
      <c r="ER132" s="569"/>
      <c r="ES132" s="569"/>
      <c r="ET132" s="569"/>
      <c r="EU132" s="569"/>
      <c r="EV132" s="569"/>
      <c r="EW132" s="569"/>
      <c r="EX132" s="569"/>
      <c r="EY132" s="569"/>
      <c r="EZ132" s="569"/>
      <c r="FA132" s="569"/>
      <c r="FB132" s="569"/>
      <c r="FC132" s="569"/>
      <c r="FD132" s="569"/>
      <c r="FE132" s="569"/>
      <c r="FF132" s="569"/>
      <c r="FG132" s="569"/>
      <c r="FH132" s="569"/>
      <c r="FI132" s="569"/>
      <c r="FJ132" s="569"/>
      <c r="FK132" s="569"/>
      <c r="FL132" s="569"/>
      <c r="FM132" s="569"/>
      <c r="FN132" s="569"/>
      <c r="FO132" s="569"/>
      <c r="FP132" s="569"/>
      <c r="FQ132" s="569"/>
      <c r="FR132" s="569"/>
      <c r="FS132" s="569"/>
      <c r="FT132" s="569"/>
      <c r="FU132" s="569"/>
      <c r="FV132" s="569"/>
      <c r="FW132" s="569"/>
      <c r="FX132" s="569"/>
      <c r="FY132" s="569"/>
      <c r="FZ132" s="569"/>
      <c r="GA132" s="569"/>
      <c r="GB132" s="569"/>
      <c r="GC132" s="569"/>
      <c r="GD132" s="569"/>
      <c r="GE132" s="569"/>
      <c r="GF132" s="569"/>
      <c r="GG132" s="569"/>
      <c r="GH132" s="569"/>
      <c r="GI132" s="569"/>
      <c r="GJ132" s="569"/>
      <c r="GK132" s="569"/>
      <c r="GL132" s="569"/>
      <c r="GM132" s="569"/>
      <c r="GN132" s="569"/>
      <c r="GO132" s="569"/>
      <c r="GP132" s="569"/>
      <c r="GQ132" s="569"/>
      <c r="GR132" s="569"/>
      <c r="GS132" s="569"/>
      <c r="GT132" s="569"/>
    </row>
    <row r="133" spans="2:202" s="554" customFormat="1">
      <c r="B133" s="578"/>
      <c r="C133" s="578"/>
      <c r="D133" s="578"/>
      <c r="E133" s="578"/>
      <c r="F133" s="578"/>
      <c r="G133" s="578"/>
      <c r="H133" s="578"/>
      <c r="I133" s="578"/>
      <c r="J133" s="578"/>
      <c r="K133" s="578"/>
      <c r="L133" s="578"/>
      <c r="M133" s="578"/>
      <c r="N133" s="578"/>
      <c r="O133" s="578"/>
      <c r="P133" s="578"/>
      <c r="Q133" s="578"/>
      <c r="R133" s="578"/>
      <c r="S133" s="578"/>
      <c r="T133" s="578"/>
      <c r="U133" s="578"/>
      <c r="V133" s="578"/>
      <c r="W133" s="578"/>
      <c r="X133" s="578"/>
      <c r="Y133" s="578"/>
      <c r="Z133" s="578"/>
      <c r="AA133" s="578"/>
      <c r="AB133" s="578"/>
      <c r="AC133" s="578"/>
      <c r="AD133" s="578"/>
      <c r="AE133" s="578"/>
      <c r="AF133" s="578"/>
      <c r="AG133" s="578"/>
      <c r="AH133" s="548"/>
      <c r="AI133" s="548"/>
      <c r="AJ133" s="548"/>
      <c r="AK133" s="548"/>
      <c r="AL133" s="548"/>
      <c r="AM133" s="548"/>
      <c r="AN133" s="548"/>
      <c r="AO133" s="548"/>
      <c r="AP133" s="548"/>
      <c r="AQ133" s="548"/>
      <c r="AR133" s="548"/>
      <c r="AS133" s="548"/>
      <c r="AT133" s="548"/>
      <c r="AU133" s="548"/>
      <c r="AV133" s="548"/>
      <c r="AW133" s="548"/>
      <c r="AX133" s="548"/>
      <c r="AY133" s="548"/>
      <c r="AZ133" s="548"/>
      <c r="BA133" s="548"/>
      <c r="BB133" s="548"/>
      <c r="BC133" s="548"/>
      <c r="BD133" s="569"/>
      <c r="BE133" s="569"/>
      <c r="BF133" s="569"/>
      <c r="BG133" s="569"/>
      <c r="BH133" s="569"/>
      <c r="BI133" s="569"/>
      <c r="BJ133" s="569"/>
      <c r="BK133" s="569"/>
      <c r="BL133" s="569"/>
      <c r="BM133" s="569"/>
      <c r="BN133" s="569"/>
      <c r="BO133" s="569"/>
      <c r="BP133" s="569"/>
      <c r="BQ133" s="569"/>
      <c r="BR133" s="569"/>
      <c r="BS133" s="569"/>
      <c r="BT133" s="569"/>
      <c r="BU133" s="569"/>
      <c r="BV133" s="569"/>
      <c r="BW133" s="569"/>
      <c r="BX133" s="569"/>
      <c r="BY133" s="569"/>
      <c r="BZ133" s="569"/>
      <c r="CA133" s="569"/>
      <c r="CB133" s="569"/>
      <c r="CC133" s="569"/>
      <c r="CD133" s="569"/>
      <c r="CE133" s="569"/>
      <c r="CF133" s="569"/>
      <c r="CG133" s="569"/>
      <c r="CH133" s="569"/>
      <c r="CI133" s="569"/>
      <c r="CJ133" s="569"/>
      <c r="CK133" s="569"/>
      <c r="CL133" s="569"/>
      <c r="CM133" s="569"/>
      <c r="CN133" s="569"/>
      <c r="CO133" s="569"/>
      <c r="CP133" s="569"/>
      <c r="CQ133" s="569"/>
      <c r="CR133" s="569"/>
      <c r="CS133" s="569"/>
      <c r="CT133" s="569"/>
      <c r="CU133" s="569"/>
      <c r="CV133" s="569"/>
      <c r="CW133" s="569"/>
      <c r="CX133" s="569"/>
      <c r="CY133" s="569"/>
      <c r="CZ133" s="569"/>
      <c r="DA133" s="569"/>
      <c r="DB133" s="569"/>
      <c r="DC133" s="569"/>
      <c r="DD133" s="569"/>
      <c r="DE133" s="569"/>
      <c r="DF133" s="569"/>
      <c r="DG133" s="569"/>
      <c r="DH133" s="569"/>
      <c r="DI133" s="569"/>
      <c r="DJ133" s="569"/>
      <c r="DK133" s="569"/>
      <c r="DL133" s="569"/>
      <c r="DM133" s="569"/>
      <c r="DN133" s="569"/>
      <c r="DO133" s="569"/>
      <c r="DP133" s="569"/>
      <c r="DQ133" s="569"/>
      <c r="DR133" s="569"/>
      <c r="DS133" s="569"/>
      <c r="DT133" s="569"/>
      <c r="DU133" s="569"/>
      <c r="DV133" s="569"/>
      <c r="DW133" s="569"/>
      <c r="DX133" s="569"/>
      <c r="DY133" s="569"/>
      <c r="DZ133" s="569"/>
      <c r="EA133" s="569"/>
      <c r="EB133" s="569"/>
      <c r="EC133" s="569"/>
      <c r="ED133" s="569"/>
      <c r="EE133" s="569"/>
      <c r="EF133" s="569"/>
      <c r="EG133" s="569"/>
      <c r="EH133" s="569"/>
      <c r="EI133" s="569"/>
      <c r="EJ133" s="569"/>
      <c r="EK133" s="569"/>
      <c r="EL133" s="569"/>
      <c r="EM133" s="569"/>
      <c r="EN133" s="569"/>
      <c r="EO133" s="569"/>
      <c r="EP133" s="569"/>
      <c r="EQ133" s="569"/>
      <c r="ER133" s="569"/>
      <c r="ES133" s="569"/>
      <c r="ET133" s="569"/>
      <c r="EU133" s="569"/>
      <c r="EV133" s="569"/>
      <c r="EW133" s="569"/>
      <c r="EX133" s="569"/>
      <c r="EY133" s="569"/>
      <c r="EZ133" s="569"/>
      <c r="FA133" s="569"/>
      <c r="FB133" s="569"/>
      <c r="FC133" s="569"/>
      <c r="FD133" s="569"/>
      <c r="FE133" s="569"/>
      <c r="FF133" s="569"/>
      <c r="FG133" s="569"/>
      <c r="FH133" s="569"/>
      <c r="FI133" s="569"/>
      <c r="FJ133" s="569"/>
      <c r="FK133" s="569"/>
      <c r="FL133" s="569"/>
      <c r="FM133" s="569"/>
      <c r="FN133" s="569"/>
      <c r="FO133" s="569"/>
      <c r="FP133" s="569"/>
      <c r="FQ133" s="569"/>
      <c r="FR133" s="569"/>
      <c r="FS133" s="569"/>
      <c r="FT133" s="569"/>
      <c r="FU133" s="569"/>
      <c r="FV133" s="569"/>
      <c r="FW133" s="569"/>
      <c r="FX133" s="569"/>
      <c r="FY133" s="569"/>
      <c r="FZ133" s="569"/>
      <c r="GA133" s="569"/>
      <c r="GB133" s="569"/>
      <c r="GC133" s="569"/>
      <c r="GD133" s="569"/>
      <c r="GE133" s="569"/>
      <c r="GF133" s="569"/>
      <c r="GG133" s="569"/>
      <c r="GH133" s="569"/>
      <c r="GI133" s="569"/>
      <c r="GJ133" s="569"/>
      <c r="GK133" s="569"/>
      <c r="GL133" s="569"/>
      <c r="GM133" s="569"/>
      <c r="GN133" s="569"/>
      <c r="GO133" s="569"/>
      <c r="GP133" s="569"/>
      <c r="GQ133" s="569"/>
      <c r="GR133" s="569"/>
      <c r="GS133" s="569"/>
      <c r="GT133" s="569"/>
    </row>
    <row r="134" spans="2:202" s="554" customFormat="1">
      <c r="B134" s="578"/>
      <c r="C134" s="578"/>
      <c r="D134" s="578"/>
      <c r="E134" s="578"/>
      <c r="F134" s="578"/>
      <c r="G134" s="578"/>
      <c r="H134" s="578"/>
      <c r="I134" s="578"/>
      <c r="J134" s="578"/>
      <c r="K134" s="578"/>
      <c r="L134" s="578"/>
      <c r="M134" s="578"/>
      <c r="N134" s="578"/>
      <c r="O134" s="578"/>
      <c r="P134" s="578"/>
      <c r="Q134" s="578"/>
      <c r="R134" s="578"/>
      <c r="S134" s="578"/>
      <c r="T134" s="578"/>
      <c r="U134" s="578"/>
      <c r="V134" s="578"/>
      <c r="W134" s="578"/>
      <c r="X134" s="578"/>
      <c r="Y134" s="578"/>
      <c r="Z134" s="578"/>
      <c r="AA134" s="578"/>
      <c r="AB134" s="578"/>
      <c r="AC134" s="578"/>
      <c r="AD134" s="578"/>
      <c r="AE134" s="578"/>
      <c r="AF134" s="578"/>
      <c r="AG134" s="578"/>
      <c r="AH134" s="548"/>
      <c r="AI134" s="548"/>
      <c r="AJ134" s="548"/>
      <c r="AK134" s="548"/>
      <c r="AL134" s="548"/>
      <c r="AM134" s="548"/>
      <c r="AN134" s="548"/>
      <c r="AO134" s="548"/>
      <c r="AP134" s="548"/>
      <c r="AQ134" s="548"/>
      <c r="AR134" s="548"/>
      <c r="AS134" s="548"/>
      <c r="AT134" s="548"/>
      <c r="AU134" s="548"/>
      <c r="AV134" s="548"/>
      <c r="AW134" s="548"/>
      <c r="AX134" s="548"/>
      <c r="AY134" s="548"/>
      <c r="AZ134" s="548"/>
      <c r="BA134" s="548"/>
      <c r="BB134" s="548"/>
      <c r="BC134" s="548"/>
      <c r="BD134" s="569"/>
      <c r="BE134" s="569"/>
      <c r="BF134" s="569"/>
      <c r="BG134" s="569"/>
      <c r="BH134" s="569"/>
      <c r="BI134" s="569"/>
      <c r="BJ134" s="569"/>
      <c r="BK134" s="569"/>
      <c r="BL134" s="569"/>
      <c r="BM134" s="569"/>
      <c r="BN134" s="569"/>
      <c r="BO134" s="569"/>
      <c r="BP134" s="569"/>
      <c r="BQ134" s="569"/>
      <c r="BR134" s="569"/>
      <c r="BS134" s="569"/>
      <c r="BT134" s="569"/>
      <c r="BU134" s="569"/>
      <c r="BV134" s="569"/>
      <c r="BW134" s="569"/>
      <c r="BX134" s="569"/>
      <c r="BY134" s="569"/>
      <c r="BZ134" s="569"/>
      <c r="CA134" s="569"/>
      <c r="CB134" s="569"/>
      <c r="CC134" s="569"/>
      <c r="CD134" s="569"/>
      <c r="CE134" s="569"/>
      <c r="CF134" s="569"/>
      <c r="CG134" s="569"/>
      <c r="CH134" s="569"/>
      <c r="CI134" s="569"/>
      <c r="CJ134" s="569"/>
      <c r="CK134" s="569"/>
      <c r="CL134" s="569"/>
      <c r="CM134" s="569"/>
      <c r="CN134" s="569"/>
      <c r="CO134" s="569"/>
      <c r="CP134" s="569"/>
      <c r="CQ134" s="569"/>
      <c r="CR134" s="569"/>
      <c r="CS134" s="569"/>
      <c r="CT134" s="569"/>
      <c r="CU134" s="569"/>
      <c r="CV134" s="569"/>
      <c r="CW134" s="569"/>
      <c r="CX134" s="569"/>
      <c r="CY134" s="569"/>
      <c r="CZ134" s="569"/>
      <c r="DA134" s="569"/>
      <c r="DB134" s="569"/>
      <c r="DC134" s="569"/>
      <c r="DD134" s="569"/>
      <c r="DE134" s="569"/>
      <c r="DF134" s="569"/>
      <c r="DG134" s="569"/>
      <c r="DH134" s="569"/>
      <c r="DI134" s="569"/>
      <c r="DJ134" s="569"/>
      <c r="DK134" s="569"/>
      <c r="DL134" s="569"/>
      <c r="DM134" s="569"/>
      <c r="DN134" s="569"/>
      <c r="DO134" s="569"/>
      <c r="DP134" s="569"/>
      <c r="DQ134" s="569"/>
      <c r="DR134" s="569"/>
      <c r="DS134" s="569"/>
      <c r="DT134" s="569"/>
      <c r="DU134" s="569"/>
      <c r="DV134" s="569"/>
      <c r="DW134" s="569"/>
      <c r="DX134" s="569"/>
      <c r="DY134" s="569"/>
      <c r="DZ134" s="569"/>
      <c r="EA134" s="569"/>
      <c r="EB134" s="569"/>
      <c r="EC134" s="569"/>
      <c r="ED134" s="569"/>
      <c r="EE134" s="569"/>
      <c r="EF134" s="569"/>
      <c r="EG134" s="569"/>
      <c r="EH134" s="569"/>
      <c r="EI134" s="569"/>
      <c r="EJ134" s="569"/>
      <c r="EK134" s="569"/>
      <c r="EL134" s="569"/>
      <c r="EM134" s="569"/>
      <c r="EN134" s="569"/>
      <c r="EO134" s="569"/>
      <c r="EP134" s="569"/>
      <c r="EQ134" s="569"/>
      <c r="ER134" s="569"/>
      <c r="ES134" s="569"/>
      <c r="ET134" s="569"/>
      <c r="EU134" s="569"/>
      <c r="EV134" s="569"/>
      <c r="EW134" s="569"/>
      <c r="EX134" s="569"/>
      <c r="EY134" s="569"/>
      <c r="EZ134" s="569"/>
      <c r="FA134" s="569"/>
      <c r="FB134" s="569"/>
      <c r="FC134" s="569"/>
      <c r="FD134" s="569"/>
      <c r="FE134" s="569"/>
      <c r="FF134" s="569"/>
      <c r="FG134" s="569"/>
      <c r="FH134" s="569"/>
      <c r="FI134" s="569"/>
      <c r="FJ134" s="569"/>
      <c r="FK134" s="569"/>
      <c r="FL134" s="569"/>
      <c r="FM134" s="569"/>
      <c r="FN134" s="569"/>
      <c r="FO134" s="569"/>
      <c r="FP134" s="569"/>
      <c r="FQ134" s="569"/>
      <c r="FR134" s="569"/>
      <c r="FS134" s="569"/>
      <c r="FT134" s="569"/>
      <c r="FU134" s="569"/>
      <c r="FV134" s="569"/>
      <c r="FW134" s="569"/>
      <c r="FX134" s="569"/>
      <c r="FY134" s="569"/>
      <c r="FZ134" s="569"/>
      <c r="GA134" s="569"/>
      <c r="GB134" s="569"/>
      <c r="GC134" s="569"/>
      <c r="GD134" s="569"/>
      <c r="GE134" s="569"/>
      <c r="GF134" s="569"/>
      <c r="GG134" s="569"/>
      <c r="GH134" s="569"/>
      <c r="GI134" s="569"/>
      <c r="GJ134" s="569"/>
      <c r="GK134" s="569"/>
      <c r="GL134" s="569"/>
      <c r="GM134" s="569"/>
      <c r="GN134" s="569"/>
      <c r="GO134" s="569"/>
      <c r="GP134" s="569"/>
      <c r="GQ134" s="569"/>
      <c r="GR134" s="569"/>
      <c r="GS134" s="569"/>
      <c r="GT134" s="569"/>
    </row>
    <row r="135" spans="2:202" s="554" customFormat="1">
      <c r="B135" s="578"/>
      <c r="C135" s="578"/>
      <c r="D135" s="578"/>
      <c r="E135" s="578"/>
      <c r="F135" s="578"/>
      <c r="G135" s="578"/>
      <c r="H135" s="578"/>
      <c r="I135" s="578"/>
      <c r="J135" s="578"/>
      <c r="K135" s="578"/>
      <c r="L135" s="578"/>
      <c r="M135" s="578"/>
      <c r="N135" s="578"/>
      <c r="O135" s="578"/>
      <c r="P135" s="578"/>
      <c r="Q135" s="578"/>
      <c r="R135" s="578"/>
      <c r="S135" s="578"/>
      <c r="T135" s="578"/>
      <c r="U135" s="578"/>
      <c r="V135" s="578"/>
      <c r="W135" s="578"/>
      <c r="X135" s="578"/>
      <c r="Y135" s="578"/>
      <c r="Z135" s="578"/>
      <c r="AA135" s="578"/>
      <c r="AB135" s="578"/>
      <c r="AC135" s="578"/>
      <c r="AD135" s="578"/>
      <c r="AE135" s="578"/>
      <c r="AF135" s="578"/>
      <c r="AG135" s="578"/>
      <c r="AH135" s="548"/>
      <c r="AI135" s="548"/>
      <c r="AJ135" s="548"/>
      <c r="AK135" s="548"/>
      <c r="AL135" s="548"/>
      <c r="AM135" s="548"/>
      <c r="AN135" s="548"/>
      <c r="AO135" s="548"/>
      <c r="AP135" s="548"/>
      <c r="AQ135" s="548"/>
      <c r="AR135" s="548"/>
      <c r="AS135" s="548"/>
      <c r="AT135" s="548"/>
      <c r="AU135" s="548"/>
      <c r="AV135" s="548"/>
      <c r="AW135" s="548"/>
      <c r="AX135" s="548"/>
      <c r="AY135" s="548"/>
      <c r="AZ135" s="548"/>
      <c r="BA135" s="548"/>
      <c r="BB135" s="548"/>
      <c r="BC135" s="548"/>
      <c r="BD135" s="569"/>
      <c r="BE135" s="569"/>
      <c r="BF135" s="569"/>
      <c r="BG135" s="569"/>
      <c r="BH135" s="569"/>
      <c r="BI135" s="569"/>
      <c r="BJ135" s="569"/>
      <c r="BK135" s="569"/>
      <c r="BL135" s="569"/>
      <c r="BM135" s="569"/>
      <c r="BN135" s="569"/>
      <c r="BO135" s="569"/>
      <c r="BP135" s="569"/>
      <c r="BQ135" s="569"/>
      <c r="BR135" s="569"/>
      <c r="BS135" s="569"/>
      <c r="BT135" s="569"/>
      <c r="BU135" s="569"/>
      <c r="BV135" s="569"/>
      <c r="BW135" s="569"/>
      <c r="BX135" s="569"/>
      <c r="BY135" s="569"/>
      <c r="BZ135" s="569"/>
      <c r="CA135" s="569"/>
      <c r="CB135" s="569"/>
      <c r="CC135" s="569"/>
      <c r="CD135" s="569"/>
      <c r="CE135" s="569"/>
      <c r="CF135" s="569"/>
      <c r="CG135" s="569"/>
      <c r="CH135" s="569"/>
      <c r="CI135" s="569"/>
      <c r="CJ135" s="569"/>
      <c r="CK135" s="569"/>
      <c r="CL135" s="569"/>
      <c r="CM135" s="569"/>
      <c r="CN135" s="569"/>
      <c r="CO135" s="569"/>
      <c r="CP135" s="569"/>
      <c r="CQ135" s="569"/>
      <c r="CR135" s="569"/>
      <c r="CS135" s="569"/>
      <c r="CT135" s="569"/>
      <c r="CU135" s="569"/>
      <c r="CV135" s="569"/>
      <c r="CW135" s="569"/>
      <c r="CX135" s="569"/>
      <c r="CY135" s="569"/>
      <c r="CZ135" s="569"/>
      <c r="DA135" s="569"/>
      <c r="DB135" s="569"/>
      <c r="DC135" s="569"/>
      <c r="DD135" s="569"/>
      <c r="DE135" s="569"/>
      <c r="DF135" s="569"/>
      <c r="DG135" s="569"/>
      <c r="DH135" s="569"/>
      <c r="DI135" s="569"/>
      <c r="DJ135" s="569"/>
      <c r="DK135" s="569"/>
      <c r="DL135" s="569"/>
      <c r="DM135" s="569"/>
      <c r="DN135" s="569"/>
      <c r="DO135" s="569"/>
      <c r="DP135" s="569"/>
      <c r="DQ135" s="569"/>
      <c r="DR135" s="569"/>
      <c r="DS135" s="569"/>
      <c r="DT135" s="569"/>
      <c r="DU135" s="569"/>
      <c r="DV135" s="569"/>
      <c r="DW135" s="569"/>
      <c r="DX135" s="569"/>
      <c r="DY135" s="569"/>
      <c r="DZ135" s="569"/>
      <c r="EA135" s="569"/>
      <c r="EB135" s="569"/>
      <c r="EC135" s="569"/>
      <c r="ED135" s="569"/>
      <c r="EE135" s="569"/>
      <c r="EF135" s="569"/>
      <c r="EG135" s="569"/>
      <c r="EH135" s="569"/>
      <c r="EI135" s="569"/>
      <c r="EJ135" s="569"/>
      <c r="EK135" s="569"/>
      <c r="EL135" s="569"/>
      <c r="EM135" s="569"/>
      <c r="EN135" s="569"/>
      <c r="EO135" s="569"/>
      <c r="EP135" s="569"/>
      <c r="EQ135" s="569"/>
      <c r="ER135" s="569"/>
      <c r="ES135" s="569"/>
      <c r="ET135" s="569"/>
      <c r="EU135" s="569"/>
      <c r="EV135" s="569"/>
      <c r="EW135" s="569"/>
      <c r="EX135" s="569"/>
      <c r="EY135" s="569"/>
      <c r="EZ135" s="569"/>
      <c r="FA135" s="569"/>
      <c r="FB135" s="569"/>
      <c r="FC135" s="569"/>
      <c r="FD135" s="569"/>
      <c r="FE135" s="569"/>
      <c r="FF135" s="569"/>
      <c r="FG135" s="569"/>
      <c r="FH135" s="569"/>
      <c r="FI135" s="569"/>
      <c r="FJ135" s="569"/>
      <c r="FK135" s="569"/>
      <c r="FL135" s="569"/>
      <c r="FM135" s="569"/>
      <c r="FN135" s="569"/>
      <c r="FO135" s="569"/>
      <c r="FP135" s="569"/>
      <c r="FQ135" s="569"/>
      <c r="FR135" s="569"/>
      <c r="FS135" s="569"/>
      <c r="FT135" s="569"/>
      <c r="FU135" s="569"/>
      <c r="FV135" s="569"/>
      <c r="FW135" s="569"/>
      <c r="FX135" s="569"/>
      <c r="FY135" s="569"/>
      <c r="FZ135" s="569"/>
      <c r="GA135" s="569"/>
      <c r="GB135" s="569"/>
      <c r="GC135" s="569"/>
      <c r="GD135" s="569"/>
      <c r="GE135" s="569"/>
      <c r="GF135" s="569"/>
      <c r="GG135" s="569"/>
      <c r="GH135" s="569"/>
      <c r="GI135" s="569"/>
      <c r="GJ135" s="569"/>
      <c r="GK135" s="569"/>
      <c r="GL135" s="569"/>
      <c r="GM135" s="569"/>
      <c r="GN135" s="569"/>
      <c r="GO135" s="569"/>
      <c r="GP135" s="569"/>
      <c r="GQ135" s="569"/>
      <c r="GR135" s="569"/>
      <c r="GS135" s="569"/>
      <c r="GT135" s="569"/>
    </row>
    <row r="136" spans="2:202" s="554" customFormat="1">
      <c r="B136" s="578"/>
      <c r="C136" s="578"/>
      <c r="D136" s="578"/>
      <c r="E136" s="578"/>
      <c r="F136" s="578"/>
      <c r="G136" s="578"/>
      <c r="H136" s="578"/>
      <c r="I136" s="578"/>
      <c r="J136" s="578"/>
      <c r="K136" s="578"/>
      <c r="L136" s="578"/>
      <c r="M136" s="578"/>
      <c r="N136" s="578"/>
      <c r="O136" s="578"/>
      <c r="P136" s="578"/>
      <c r="Q136" s="578"/>
      <c r="R136" s="578"/>
      <c r="S136" s="578"/>
      <c r="T136" s="578"/>
      <c r="U136" s="578"/>
      <c r="V136" s="578"/>
      <c r="W136" s="578"/>
      <c r="X136" s="578"/>
      <c r="Y136" s="578"/>
      <c r="Z136" s="578"/>
      <c r="AA136" s="578"/>
      <c r="AB136" s="578"/>
      <c r="AC136" s="578"/>
      <c r="AD136" s="578"/>
      <c r="AE136" s="578"/>
      <c r="AF136" s="578"/>
      <c r="AG136" s="578"/>
      <c r="AH136" s="548"/>
      <c r="AI136" s="548"/>
      <c r="AJ136" s="548"/>
      <c r="AK136" s="548"/>
      <c r="AL136" s="548"/>
      <c r="AM136" s="548"/>
      <c r="AN136" s="548"/>
      <c r="AO136" s="548"/>
      <c r="AP136" s="548"/>
      <c r="AQ136" s="548"/>
      <c r="AR136" s="548"/>
      <c r="AS136" s="548"/>
      <c r="AT136" s="548"/>
      <c r="AU136" s="548"/>
      <c r="AV136" s="548"/>
      <c r="AW136" s="548"/>
      <c r="AX136" s="548"/>
      <c r="AY136" s="548"/>
      <c r="AZ136" s="548"/>
      <c r="BA136" s="548"/>
      <c r="BB136" s="548"/>
      <c r="BC136" s="548"/>
      <c r="BD136" s="569"/>
      <c r="BE136" s="569"/>
      <c r="BF136" s="569"/>
      <c r="BG136" s="569"/>
      <c r="BH136" s="569"/>
      <c r="BI136" s="569"/>
      <c r="BJ136" s="569"/>
      <c r="BK136" s="569"/>
      <c r="BL136" s="569"/>
      <c r="BM136" s="569"/>
      <c r="BN136" s="569"/>
      <c r="BO136" s="569"/>
      <c r="BP136" s="569"/>
      <c r="BQ136" s="569"/>
      <c r="BR136" s="569"/>
      <c r="BS136" s="569"/>
      <c r="BT136" s="569"/>
      <c r="BU136" s="569"/>
      <c r="BV136" s="569"/>
      <c r="BW136" s="569"/>
      <c r="BX136" s="569"/>
      <c r="BY136" s="569"/>
      <c r="BZ136" s="569"/>
      <c r="CA136" s="569"/>
      <c r="CB136" s="569"/>
      <c r="CC136" s="569"/>
      <c r="CD136" s="569"/>
      <c r="CE136" s="569"/>
      <c r="CF136" s="569"/>
      <c r="CG136" s="569"/>
      <c r="CH136" s="569"/>
      <c r="CI136" s="569"/>
      <c r="CJ136" s="569"/>
      <c r="CK136" s="569"/>
      <c r="CL136" s="569"/>
      <c r="CM136" s="569"/>
      <c r="CN136" s="569"/>
      <c r="CO136" s="569"/>
      <c r="CP136" s="569"/>
      <c r="CQ136" s="569"/>
      <c r="CR136" s="569"/>
      <c r="CS136" s="569"/>
      <c r="CT136" s="569"/>
      <c r="CU136" s="569"/>
      <c r="CV136" s="569"/>
      <c r="CW136" s="569"/>
      <c r="CX136" s="569"/>
      <c r="CY136" s="569"/>
      <c r="CZ136" s="569"/>
      <c r="DA136" s="569"/>
      <c r="DB136" s="569"/>
      <c r="DC136" s="569"/>
      <c r="DD136" s="569"/>
      <c r="DE136" s="569"/>
      <c r="DF136" s="569"/>
      <c r="DG136" s="569"/>
      <c r="DH136" s="569"/>
      <c r="DI136" s="569"/>
      <c r="DJ136" s="569"/>
      <c r="DK136" s="569"/>
      <c r="DL136" s="569"/>
      <c r="DM136" s="569"/>
      <c r="DN136" s="569"/>
      <c r="DO136" s="569"/>
      <c r="DP136" s="569"/>
      <c r="DQ136" s="569"/>
      <c r="DR136" s="569"/>
      <c r="DS136" s="569"/>
      <c r="DT136" s="569"/>
      <c r="DU136" s="569"/>
      <c r="DV136" s="569"/>
      <c r="DW136" s="569"/>
      <c r="DX136" s="569"/>
      <c r="DY136" s="569"/>
      <c r="DZ136" s="569"/>
      <c r="EA136" s="569"/>
      <c r="EB136" s="569"/>
      <c r="EC136" s="569"/>
      <c r="ED136" s="569"/>
      <c r="EE136" s="569"/>
      <c r="EF136" s="569"/>
      <c r="EG136" s="569"/>
      <c r="EH136" s="569"/>
      <c r="EI136" s="569"/>
      <c r="EJ136" s="569"/>
      <c r="EK136" s="569"/>
      <c r="EL136" s="569"/>
      <c r="EM136" s="569"/>
      <c r="EN136" s="569"/>
      <c r="EO136" s="569"/>
      <c r="EP136" s="569"/>
      <c r="EQ136" s="569"/>
      <c r="ER136" s="569"/>
      <c r="ES136" s="569"/>
      <c r="ET136" s="569"/>
      <c r="EU136" s="569"/>
      <c r="EV136" s="569"/>
      <c r="EW136" s="569"/>
      <c r="EX136" s="569"/>
      <c r="EY136" s="569"/>
      <c r="EZ136" s="569"/>
      <c r="FA136" s="569"/>
      <c r="FB136" s="569"/>
      <c r="FC136" s="569"/>
      <c r="FD136" s="569"/>
      <c r="FE136" s="569"/>
      <c r="FF136" s="569"/>
      <c r="FG136" s="569"/>
      <c r="FH136" s="569"/>
      <c r="FI136" s="569"/>
      <c r="FJ136" s="569"/>
      <c r="FK136" s="569"/>
      <c r="FL136" s="569"/>
      <c r="FM136" s="569"/>
      <c r="FN136" s="569"/>
      <c r="FO136" s="569"/>
      <c r="FP136" s="569"/>
      <c r="FQ136" s="569"/>
      <c r="FR136" s="569"/>
      <c r="FS136" s="569"/>
      <c r="FT136" s="569"/>
      <c r="FU136" s="569"/>
      <c r="FV136" s="569"/>
      <c r="FW136" s="569"/>
      <c r="FX136" s="569"/>
      <c r="FY136" s="569"/>
      <c r="FZ136" s="569"/>
      <c r="GA136" s="569"/>
      <c r="GB136" s="569"/>
      <c r="GC136" s="569"/>
      <c r="GD136" s="569"/>
      <c r="GE136" s="569"/>
      <c r="GF136" s="569"/>
      <c r="GG136" s="569"/>
      <c r="GH136" s="569"/>
      <c r="GI136" s="569"/>
      <c r="GJ136" s="569"/>
      <c r="GK136" s="569"/>
      <c r="GL136" s="569"/>
      <c r="GM136" s="569"/>
      <c r="GN136" s="569"/>
      <c r="GO136" s="569"/>
      <c r="GP136" s="569"/>
      <c r="GQ136" s="569"/>
      <c r="GR136" s="569"/>
      <c r="GS136" s="569"/>
      <c r="GT136" s="569"/>
    </row>
    <row r="137" spans="2:202" s="554" customFormat="1">
      <c r="B137" s="578"/>
      <c r="C137" s="578"/>
      <c r="D137" s="578"/>
      <c r="E137" s="578"/>
      <c r="F137" s="578"/>
      <c r="G137" s="578"/>
      <c r="H137" s="578"/>
      <c r="I137" s="578"/>
      <c r="J137" s="578"/>
      <c r="K137" s="578"/>
      <c r="L137" s="578"/>
      <c r="M137" s="578"/>
      <c r="N137" s="578"/>
      <c r="O137" s="578"/>
      <c r="P137" s="578"/>
      <c r="Q137" s="578"/>
      <c r="R137" s="578"/>
      <c r="S137" s="578"/>
      <c r="T137" s="578"/>
      <c r="U137" s="578"/>
      <c r="V137" s="578"/>
      <c r="W137" s="578"/>
      <c r="X137" s="578"/>
      <c r="Y137" s="578"/>
      <c r="Z137" s="578"/>
      <c r="AA137" s="578"/>
      <c r="AB137" s="578"/>
      <c r="AC137" s="578"/>
      <c r="AD137" s="578"/>
      <c r="AE137" s="578"/>
      <c r="AF137" s="578"/>
      <c r="AG137" s="578"/>
      <c r="AH137" s="548"/>
      <c r="AI137" s="548"/>
      <c r="AJ137" s="548"/>
      <c r="AK137" s="548"/>
      <c r="AL137" s="548"/>
      <c r="AM137" s="548"/>
      <c r="AN137" s="548"/>
      <c r="AO137" s="548"/>
      <c r="AP137" s="548"/>
      <c r="AQ137" s="548"/>
      <c r="AR137" s="548"/>
      <c r="AS137" s="548"/>
      <c r="AT137" s="548"/>
      <c r="AU137" s="548"/>
      <c r="AV137" s="548"/>
      <c r="AW137" s="548"/>
      <c r="AX137" s="548"/>
      <c r="AY137" s="548"/>
      <c r="AZ137" s="548"/>
      <c r="BA137" s="548"/>
      <c r="BB137" s="548"/>
      <c r="BC137" s="548"/>
      <c r="BD137" s="569"/>
      <c r="BE137" s="569"/>
      <c r="BF137" s="569"/>
      <c r="BG137" s="569"/>
      <c r="BH137" s="569"/>
      <c r="BI137" s="569"/>
      <c r="BJ137" s="569"/>
      <c r="BK137" s="569"/>
      <c r="BL137" s="569"/>
      <c r="BM137" s="569"/>
      <c r="BN137" s="569"/>
      <c r="BO137" s="569"/>
      <c r="BP137" s="569"/>
      <c r="BQ137" s="569"/>
      <c r="BR137" s="569"/>
      <c r="BS137" s="569"/>
      <c r="BT137" s="569"/>
      <c r="BU137" s="569"/>
      <c r="BV137" s="569"/>
      <c r="BW137" s="569"/>
      <c r="BX137" s="569"/>
      <c r="BY137" s="569"/>
      <c r="BZ137" s="569"/>
      <c r="CA137" s="569"/>
      <c r="CB137" s="569"/>
      <c r="CC137" s="569"/>
      <c r="CD137" s="569"/>
      <c r="CE137" s="569"/>
      <c r="CF137" s="569"/>
      <c r="CG137" s="569"/>
      <c r="CH137" s="569"/>
      <c r="CI137" s="569"/>
      <c r="CJ137" s="569"/>
      <c r="CK137" s="569"/>
      <c r="CL137" s="569"/>
      <c r="CM137" s="569"/>
      <c r="CN137" s="569"/>
      <c r="CO137" s="569"/>
      <c r="CP137" s="569"/>
      <c r="CQ137" s="569"/>
      <c r="CR137" s="569"/>
      <c r="CS137" s="569"/>
      <c r="CT137" s="569"/>
      <c r="CU137" s="569"/>
      <c r="CV137" s="569"/>
      <c r="CW137" s="569"/>
      <c r="CX137" s="569"/>
      <c r="CY137" s="569"/>
      <c r="CZ137" s="569"/>
      <c r="DA137" s="569"/>
      <c r="DB137" s="569"/>
      <c r="DC137" s="569"/>
      <c r="DD137" s="569"/>
      <c r="DE137" s="569"/>
      <c r="DF137" s="569"/>
      <c r="DG137" s="569"/>
      <c r="DH137" s="569"/>
      <c r="DI137" s="569"/>
      <c r="DJ137" s="569"/>
      <c r="DK137" s="569"/>
      <c r="DL137" s="569"/>
      <c r="DM137" s="569"/>
      <c r="DN137" s="569"/>
      <c r="DO137" s="569"/>
      <c r="DP137" s="569"/>
      <c r="DQ137" s="569"/>
      <c r="DR137" s="569"/>
      <c r="DS137" s="569"/>
      <c r="DT137" s="569"/>
      <c r="DU137" s="569"/>
      <c r="DV137" s="569"/>
      <c r="DW137" s="569"/>
      <c r="DX137" s="569"/>
      <c r="DY137" s="569"/>
      <c r="DZ137" s="569"/>
      <c r="EA137" s="569"/>
      <c r="EB137" s="569"/>
      <c r="EC137" s="569"/>
      <c r="ED137" s="569"/>
      <c r="EE137" s="569"/>
      <c r="EF137" s="569"/>
      <c r="EG137" s="569"/>
      <c r="EH137" s="569"/>
      <c r="EI137" s="569"/>
      <c r="EJ137" s="569"/>
      <c r="EK137" s="569"/>
      <c r="EL137" s="569"/>
      <c r="EM137" s="569"/>
      <c r="EN137" s="569"/>
      <c r="EO137" s="569"/>
      <c r="EP137" s="569"/>
      <c r="EQ137" s="569"/>
      <c r="ER137" s="569"/>
      <c r="ES137" s="569"/>
      <c r="ET137" s="569"/>
      <c r="EU137" s="569"/>
      <c r="EV137" s="569"/>
      <c r="EW137" s="569"/>
      <c r="EX137" s="569"/>
      <c r="EY137" s="569"/>
      <c r="EZ137" s="569"/>
      <c r="FA137" s="569"/>
      <c r="FB137" s="569"/>
      <c r="FC137" s="569"/>
      <c r="FD137" s="569"/>
      <c r="FE137" s="569"/>
      <c r="FF137" s="569"/>
      <c r="FG137" s="569"/>
      <c r="FH137" s="569"/>
      <c r="FI137" s="569"/>
      <c r="FJ137" s="569"/>
      <c r="FK137" s="569"/>
      <c r="FL137" s="569"/>
      <c r="FM137" s="569"/>
      <c r="FN137" s="569"/>
      <c r="FO137" s="569"/>
      <c r="FP137" s="569"/>
      <c r="FQ137" s="569"/>
      <c r="FR137" s="569"/>
      <c r="FS137" s="569"/>
      <c r="FT137" s="569"/>
      <c r="FU137" s="569"/>
      <c r="FV137" s="569"/>
      <c r="FW137" s="569"/>
      <c r="FX137" s="569"/>
      <c r="FY137" s="569"/>
      <c r="FZ137" s="569"/>
      <c r="GA137" s="569"/>
      <c r="GB137" s="569"/>
      <c r="GC137" s="569"/>
      <c r="GD137" s="569"/>
      <c r="GE137" s="569"/>
      <c r="GF137" s="569"/>
      <c r="GG137" s="569"/>
      <c r="GH137" s="569"/>
      <c r="GI137" s="569"/>
      <c r="GJ137" s="569"/>
      <c r="GK137" s="569"/>
      <c r="GL137" s="569"/>
      <c r="GM137" s="569"/>
      <c r="GN137" s="569"/>
      <c r="GO137" s="569"/>
      <c r="GP137" s="569"/>
      <c r="GQ137" s="569"/>
      <c r="GR137" s="569"/>
      <c r="GS137" s="569"/>
      <c r="GT137" s="569"/>
    </row>
    <row r="138" spans="2:202" s="554" customFormat="1">
      <c r="B138" s="578"/>
      <c r="C138" s="578"/>
      <c r="D138" s="578"/>
      <c r="E138" s="578"/>
      <c r="F138" s="578"/>
      <c r="G138" s="578"/>
      <c r="H138" s="578"/>
      <c r="I138" s="578"/>
      <c r="J138" s="578"/>
      <c r="K138" s="578"/>
      <c r="L138" s="578"/>
      <c r="M138" s="578"/>
      <c r="N138" s="578"/>
      <c r="O138" s="578"/>
      <c r="P138" s="578"/>
      <c r="Q138" s="578"/>
      <c r="R138" s="578"/>
      <c r="S138" s="578"/>
      <c r="T138" s="578"/>
      <c r="U138" s="578"/>
      <c r="V138" s="578"/>
      <c r="W138" s="578"/>
      <c r="X138" s="578"/>
      <c r="Y138" s="578"/>
      <c r="Z138" s="578"/>
      <c r="AA138" s="578"/>
      <c r="AB138" s="578"/>
      <c r="AC138" s="578"/>
      <c r="AD138" s="578"/>
      <c r="AE138" s="578"/>
      <c r="AF138" s="578"/>
      <c r="AG138" s="578"/>
      <c r="AH138" s="548"/>
      <c r="AI138" s="548"/>
      <c r="AJ138" s="548"/>
      <c r="AK138" s="548"/>
      <c r="AL138" s="548"/>
      <c r="AM138" s="548"/>
      <c r="AN138" s="548"/>
      <c r="AO138" s="548"/>
      <c r="AP138" s="548"/>
      <c r="AQ138" s="548"/>
      <c r="AR138" s="548"/>
      <c r="AS138" s="548"/>
      <c r="AT138" s="548"/>
      <c r="AU138" s="548"/>
      <c r="AV138" s="548"/>
      <c r="AW138" s="548"/>
      <c r="AX138" s="548"/>
      <c r="AY138" s="548"/>
      <c r="AZ138" s="548"/>
      <c r="BA138" s="548"/>
      <c r="BB138" s="548"/>
      <c r="BC138" s="548"/>
      <c r="BD138" s="569"/>
      <c r="BE138" s="569"/>
      <c r="BF138" s="569"/>
      <c r="BG138" s="569"/>
      <c r="BH138" s="569"/>
      <c r="BI138" s="569"/>
      <c r="BJ138" s="569"/>
      <c r="BK138" s="569"/>
      <c r="BL138" s="569"/>
      <c r="BM138" s="569"/>
      <c r="BN138" s="569"/>
      <c r="BO138" s="569"/>
      <c r="BP138" s="569"/>
      <c r="BQ138" s="569"/>
      <c r="BR138" s="569"/>
      <c r="BS138" s="569"/>
      <c r="BT138" s="569"/>
      <c r="BU138" s="569"/>
      <c r="BV138" s="569"/>
      <c r="BW138" s="569"/>
      <c r="BX138" s="569"/>
      <c r="BY138" s="569"/>
      <c r="BZ138" s="569"/>
      <c r="CA138" s="569"/>
      <c r="CB138" s="569"/>
      <c r="CC138" s="569"/>
      <c r="CD138" s="569"/>
      <c r="CE138" s="569"/>
      <c r="CF138" s="569"/>
      <c r="CG138" s="569"/>
      <c r="CH138" s="569"/>
      <c r="CI138" s="569"/>
      <c r="CJ138" s="569"/>
      <c r="CK138" s="569"/>
      <c r="CL138" s="569"/>
      <c r="CM138" s="569"/>
      <c r="CN138" s="569"/>
      <c r="CO138" s="569"/>
      <c r="CP138" s="569"/>
      <c r="CQ138" s="569"/>
      <c r="CR138" s="569"/>
      <c r="CS138" s="569"/>
      <c r="CT138" s="569"/>
      <c r="CU138" s="569"/>
      <c r="CV138" s="569"/>
      <c r="CW138" s="569"/>
      <c r="CX138" s="569"/>
      <c r="CY138" s="569"/>
      <c r="CZ138" s="569"/>
      <c r="DA138" s="569"/>
      <c r="DB138" s="569"/>
      <c r="DC138" s="569"/>
      <c r="DD138" s="569"/>
      <c r="DE138" s="569"/>
      <c r="DF138" s="569"/>
      <c r="DG138" s="569"/>
      <c r="DH138" s="569"/>
      <c r="DI138" s="569"/>
      <c r="DJ138" s="569"/>
      <c r="DK138" s="569"/>
      <c r="DL138" s="569"/>
      <c r="DM138" s="569"/>
      <c r="DN138" s="569"/>
      <c r="DO138" s="569"/>
      <c r="DP138" s="569"/>
      <c r="DQ138" s="569"/>
      <c r="DR138" s="569"/>
      <c r="DS138" s="569"/>
      <c r="DT138" s="569"/>
      <c r="DU138" s="569"/>
      <c r="DV138" s="569"/>
      <c r="DW138" s="569"/>
      <c r="DX138" s="569"/>
      <c r="DY138" s="569"/>
      <c r="DZ138" s="569"/>
      <c r="EA138" s="569"/>
      <c r="EB138" s="569"/>
      <c r="EC138" s="569"/>
      <c r="ED138" s="569"/>
      <c r="EE138" s="569"/>
      <c r="EF138" s="569"/>
      <c r="EG138" s="569"/>
      <c r="EH138" s="569"/>
      <c r="EI138" s="569"/>
      <c r="EJ138" s="569"/>
      <c r="EK138" s="569"/>
      <c r="EL138" s="569"/>
      <c r="EM138" s="569"/>
      <c r="EN138" s="569"/>
      <c r="EO138" s="569"/>
      <c r="EP138" s="569"/>
      <c r="EQ138" s="569"/>
      <c r="ER138" s="569"/>
      <c r="ES138" s="569"/>
      <c r="ET138" s="569"/>
      <c r="EU138" s="569"/>
      <c r="EV138" s="569"/>
      <c r="EW138" s="569"/>
      <c r="EX138" s="569"/>
      <c r="EY138" s="569"/>
      <c r="EZ138" s="569"/>
      <c r="FA138" s="569"/>
      <c r="FB138" s="569"/>
      <c r="FC138" s="569"/>
      <c r="FD138" s="569"/>
      <c r="FE138" s="569"/>
      <c r="FF138" s="569"/>
      <c r="FG138" s="569"/>
      <c r="FH138" s="569"/>
      <c r="FI138" s="569"/>
      <c r="FJ138" s="569"/>
      <c r="FK138" s="569"/>
      <c r="FL138" s="569"/>
      <c r="FM138" s="569"/>
      <c r="FN138" s="569"/>
      <c r="FO138" s="569"/>
      <c r="FP138" s="569"/>
      <c r="FQ138" s="569"/>
      <c r="FR138" s="569"/>
      <c r="FS138" s="569"/>
      <c r="FT138" s="569"/>
      <c r="FU138" s="569"/>
      <c r="FV138" s="569"/>
      <c r="FW138" s="569"/>
      <c r="FX138" s="569"/>
      <c r="FY138" s="569"/>
      <c r="FZ138" s="569"/>
      <c r="GA138" s="569"/>
      <c r="GB138" s="569"/>
      <c r="GC138" s="569"/>
      <c r="GD138" s="569"/>
      <c r="GE138" s="569"/>
      <c r="GF138" s="569"/>
      <c r="GG138" s="569"/>
      <c r="GH138" s="569"/>
      <c r="GI138" s="569"/>
      <c r="GJ138" s="569"/>
      <c r="GK138" s="569"/>
      <c r="GL138" s="569"/>
      <c r="GM138" s="569"/>
      <c r="GN138" s="569"/>
      <c r="GO138" s="569"/>
      <c r="GP138" s="569"/>
      <c r="GQ138" s="569"/>
      <c r="GR138" s="569"/>
      <c r="GS138" s="569"/>
      <c r="GT138" s="569"/>
    </row>
    <row r="139" spans="2:202" s="554" customFormat="1">
      <c r="B139" s="578"/>
      <c r="C139" s="578"/>
      <c r="D139" s="578"/>
      <c r="E139" s="578"/>
      <c r="F139" s="578"/>
      <c r="G139" s="578"/>
      <c r="H139" s="578"/>
      <c r="I139" s="578"/>
      <c r="J139" s="578"/>
      <c r="K139" s="578"/>
      <c r="L139" s="578"/>
      <c r="M139" s="578"/>
      <c r="N139" s="578"/>
      <c r="O139" s="578"/>
      <c r="P139" s="578"/>
      <c r="Q139" s="578"/>
      <c r="R139" s="578"/>
      <c r="S139" s="578"/>
      <c r="T139" s="578"/>
      <c r="U139" s="578"/>
      <c r="V139" s="578"/>
      <c r="W139" s="578"/>
      <c r="X139" s="578"/>
      <c r="Y139" s="578"/>
      <c r="Z139" s="578"/>
      <c r="AA139" s="578"/>
      <c r="AB139" s="578"/>
      <c r="AC139" s="578"/>
      <c r="AD139" s="578"/>
      <c r="AE139" s="578"/>
      <c r="AF139" s="578"/>
      <c r="AG139" s="578"/>
      <c r="AH139" s="548"/>
      <c r="AI139" s="548"/>
      <c r="AJ139" s="548"/>
      <c r="AK139" s="548"/>
      <c r="AL139" s="548"/>
      <c r="AM139" s="548"/>
      <c r="AN139" s="548"/>
      <c r="AO139" s="548"/>
      <c r="AP139" s="548"/>
      <c r="AQ139" s="548"/>
      <c r="AR139" s="548"/>
      <c r="AS139" s="548"/>
      <c r="AT139" s="548"/>
      <c r="AU139" s="548"/>
      <c r="AV139" s="548"/>
      <c r="AW139" s="548"/>
      <c r="AX139" s="548"/>
      <c r="AY139" s="548"/>
      <c r="AZ139" s="548"/>
      <c r="BA139" s="548"/>
      <c r="BB139" s="548"/>
      <c r="BC139" s="548"/>
      <c r="BD139" s="569"/>
      <c r="BE139" s="569"/>
      <c r="BF139" s="569"/>
      <c r="BG139" s="569"/>
      <c r="BH139" s="569"/>
      <c r="BI139" s="569"/>
      <c r="BJ139" s="569"/>
      <c r="BK139" s="569"/>
      <c r="BL139" s="569"/>
      <c r="BM139" s="569"/>
      <c r="BN139" s="569"/>
      <c r="BO139" s="569"/>
      <c r="BP139" s="569"/>
      <c r="BQ139" s="569"/>
      <c r="BR139" s="569"/>
      <c r="BS139" s="569"/>
      <c r="BT139" s="569"/>
      <c r="BU139" s="569"/>
      <c r="BV139" s="569"/>
      <c r="BW139" s="569"/>
      <c r="BX139" s="569"/>
      <c r="BY139" s="569"/>
      <c r="BZ139" s="569"/>
      <c r="CA139" s="569"/>
      <c r="CB139" s="569"/>
      <c r="CC139" s="569"/>
      <c r="CD139" s="569"/>
      <c r="CE139" s="569"/>
      <c r="CF139" s="569"/>
      <c r="CG139" s="569"/>
      <c r="CH139" s="569"/>
      <c r="CI139" s="569"/>
      <c r="CJ139" s="569"/>
      <c r="CK139" s="569"/>
      <c r="CL139" s="569"/>
      <c r="CM139" s="569"/>
      <c r="CN139" s="569"/>
      <c r="CO139" s="569"/>
      <c r="CP139" s="569"/>
      <c r="CQ139" s="569"/>
      <c r="CR139" s="569"/>
      <c r="CS139" s="569"/>
      <c r="CT139" s="569"/>
      <c r="CU139" s="569"/>
      <c r="CV139" s="569"/>
      <c r="CW139" s="569"/>
      <c r="CX139" s="569"/>
      <c r="CY139" s="569"/>
      <c r="CZ139" s="569"/>
      <c r="DA139" s="569"/>
      <c r="DB139" s="569"/>
      <c r="DC139" s="569"/>
      <c r="DD139" s="569"/>
      <c r="DE139" s="569"/>
      <c r="DF139" s="569"/>
      <c r="DG139" s="569"/>
      <c r="DH139" s="569"/>
      <c r="DI139" s="569"/>
      <c r="DJ139" s="569"/>
      <c r="DK139" s="569"/>
      <c r="DL139" s="569"/>
      <c r="DM139" s="569"/>
      <c r="DN139" s="569"/>
      <c r="DO139" s="569"/>
      <c r="DP139" s="569"/>
      <c r="DQ139" s="569"/>
      <c r="DR139" s="569"/>
      <c r="DS139" s="569"/>
      <c r="DT139" s="569"/>
      <c r="DU139" s="569"/>
      <c r="DV139" s="569"/>
      <c r="DW139" s="569"/>
      <c r="DX139" s="569"/>
      <c r="DY139" s="569"/>
      <c r="DZ139" s="569"/>
      <c r="EA139" s="569"/>
      <c r="EB139" s="569"/>
      <c r="EC139" s="569"/>
      <c r="ED139" s="569"/>
      <c r="EE139" s="569"/>
      <c r="EF139" s="569"/>
      <c r="EG139" s="569"/>
      <c r="EH139" s="569"/>
      <c r="EI139" s="569"/>
      <c r="EJ139" s="569"/>
      <c r="EK139" s="569"/>
      <c r="EL139" s="569"/>
      <c r="EM139" s="569"/>
      <c r="EN139" s="569"/>
      <c r="EO139" s="569"/>
      <c r="EP139" s="569"/>
      <c r="EQ139" s="569"/>
      <c r="ER139" s="569"/>
      <c r="ES139" s="569"/>
      <c r="ET139" s="569"/>
      <c r="EU139" s="569"/>
      <c r="EV139" s="569"/>
      <c r="EW139" s="569"/>
      <c r="EX139" s="569"/>
      <c r="EY139" s="569"/>
      <c r="EZ139" s="569"/>
      <c r="FA139" s="569"/>
      <c r="FB139" s="569"/>
      <c r="FC139" s="569"/>
      <c r="FD139" s="569"/>
      <c r="FE139" s="569"/>
      <c r="FF139" s="569"/>
      <c r="FG139" s="569"/>
      <c r="FH139" s="569"/>
      <c r="FI139" s="569"/>
      <c r="FJ139" s="569"/>
      <c r="FK139" s="569"/>
      <c r="FL139" s="569"/>
      <c r="FM139" s="569"/>
      <c r="FN139" s="569"/>
      <c r="FO139" s="569"/>
      <c r="FP139" s="569"/>
      <c r="FQ139" s="569"/>
      <c r="FR139" s="569"/>
      <c r="FS139" s="569"/>
      <c r="FT139" s="569"/>
      <c r="FU139" s="569"/>
      <c r="FV139" s="569"/>
      <c r="FW139" s="569"/>
      <c r="FX139" s="569"/>
      <c r="FY139" s="569"/>
      <c r="FZ139" s="569"/>
      <c r="GA139" s="569"/>
      <c r="GB139" s="569"/>
      <c r="GC139" s="569"/>
      <c r="GD139" s="569"/>
      <c r="GE139" s="569"/>
      <c r="GF139" s="569"/>
      <c r="GG139" s="569"/>
      <c r="GH139" s="569"/>
      <c r="GI139" s="569"/>
      <c r="GJ139" s="569"/>
      <c r="GK139" s="569"/>
      <c r="GL139" s="569"/>
      <c r="GM139" s="569"/>
      <c r="GN139" s="569"/>
      <c r="GO139" s="569"/>
      <c r="GP139" s="569"/>
      <c r="GQ139" s="569"/>
      <c r="GR139" s="569"/>
      <c r="GS139" s="569"/>
      <c r="GT139" s="569"/>
    </row>
    <row r="140" spans="2:202" s="554" customFormat="1">
      <c r="B140" s="578"/>
      <c r="C140" s="578"/>
      <c r="D140" s="578"/>
      <c r="E140" s="578"/>
      <c r="F140" s="578"/>
      <c r="G140" s="578"/>
      <c r="H140" s="578"/>
      <c r="I140" s="578"/>
      <c r="J140" s="578"/>
      <c r="K140" s="578"/>
      <c r="L140" s="578"/>
      <c r="M140" s="578"/>
      <c r="N140" s="578"/>
      <c r="O140" s="578"/>
      <c r="P140" s="578"/>
      <c r="Q140" s="578"/>
      <c r="R140" s="578"/>
      <c r="S140" s="578"/>
      <c r="T140" s="578"/>
      <c r="U140" s="578"/>
      <c r="V140" s="578"/>
      <c r="W140" s="578"/>
      <c r="X140" s="578"/>
      <c r="Y140" s="578"/>
      <c r="Z140" s="578"/>
      <c r="AA140" s="578"/>
      <c r="AB140" s="578"/>
      <c r="AC140" s="578"/>
      <c r="AD140" s="578"/>
      <c r="AE140" s="578"/>
      <c r="AF140" s="578"/>
      <c r="AG140" s="578"/>
      <c r="AH140" s="548"/>
      <c r="AI140" s="548"/>
      <c r="AJ140" s="548"/>
      <c r="AK140" s="548"/>
      <c r="AL140" s="548"/>
      <c r="AM140" s="548"/>
      <c r="AN140" s="548"/>
      <c r="AO140" s="548"/>
      <c r="AP140" s="548"/>
      <c r="AQ140" s="548"/>
      <c r="AR140" s="548"/>
      <c r="AS140" s="548"/>
      <c r="AT140" s="548"/>
      <c r="AU140" s="548"/>
      <c r="AV140" s="548"/>
      <c r="AW140" s="548"/>
      <c r="AX140" s="548"/>
      <c r="AY140" s="548"/>
      <c r="AZ140" s="548"/>
      <c r="BA140" s="548"/>
      <c r="BB140" s="548"/>
      <c r="BC140" s="548"/>
      <c r="BD140" s="569"/>
      <c r="BE140" s="569"/>
      <c r="BF140" s="569"/>
      <c r="BG140" s="569"/>
      <c r="BH140" s="569"/>
      <c r="BI140" s="569"/>
      <c r="BJ140" s="569"/>
      <c r="BK140" s="569"/>
      <c r="BL140" s="569"/>
      <c r="BM140" s="569"/>
      <c r="BN140" s="569"/>
      <c r="BO140" s="569"/>
      <c r="BP140" s="569"/>
      <c r="BQ140" s="569"/>
      <c r="BR140" s="569"/>
      <c r="BS140" s="569"/>
      <c r="BT140" s="569"/>
      <c r="BU140" s="569"/>
      <c r="BV140" s="569"/>
      <c r="BW140" s="569"/>
      <c r="BX140" s="569"/>
      <c r="BY140" s="569"/>
      <c r="BZ140" s="569"/>
      <c r="CA140" s="569"/>
      <c r="CB140" s="569"/>
      <c r="CC140" s="569"/>
      <c r="CD140" s="569"/>
      <c r="CE140" s="569"/>
      <c r="CF140" s="569"/>
      <c r="CG140" s="569"/>
      <c r="CH140" s="569"/>
      <c r="CI140" s="569"/>
      <c r="CJ140" s="569"/>
      <c r="CK140" s="569"/>
      <c r="CL140" s="569"/>
      <c r="CM140" s="569"/>
      <c r="CN140" s="569"/>
      <c r="CO140" s="569"/>
      <c r="CP140" s="569"/>
      <c r="CQ140" s="569"/>
      <c r="CR140" s="569"/>
      <c r="CS140" s="569"/>
      <c r="CT140" s="569"/>
      <c r="CU140" s="569"/>
      <c r="CV140" s="569"/>
      <c r="CW140" s="569"/>
      <c r="CX140" s="569"/>
      <c r="CY140" s="569"/>
      <c r="CZ140" s="569"/>
      <c r="DA140" s="569"/>
      <c r="DB140" s="569"/>
      <c r="DC140" s="569"/>
      <c r="DD140" s="569"/>
      <c r="DE140" s="569"/>
      <c r="DF140" s="569"/>
      <c r="DG140" s="569"/>
      <c r="DH140" s="569"/>
      <c r="DI140" s="569"/>
      <c r="DJ140" s="569"/>
      <c r="DK140" s="569"/>
      <c r="DL140" s="569"/>
      <c r="DM140" s="569"/>
      <c r="DN140" s="569"/>
      <c r="DO140" s="569"/>
      <c r="DP140" s="569"/>
      <c r="DQ140" s="569"/>
      <c r="DR140" s="569"/>
      <c r="DS140" s="569"/>
      <c r="DT140" s="569"/>
      <c r="DU140" s="569"/>
      <c r="DV140" s="569"/>
      <c r="DW140" s="569"/>
      <c r="DX140" s="569"/>
      <c r="DY140" s="569"/>
      <c r="DZ140" s="569"/>
      <c r="EA140" s="569"/>
      <c r="EB140" s="569"/>
      <c r="EC140" s="569"/>
      <c r="ED140" s="569"/>
      <c r="EE140" s="569"/>
      <c r="EF140" s="569"/>
      <c r="EG140" s="569"/>
      <c r="EH140" s="569"/>
      <c r="EI140" s="569"/>
      <c r="EJ140" s="569"/>
      <c r="EK140" s="569"/>
      <c r="EL140" s="569"/>
      <c r="EM140" s="569"/>
      <c r="EN140" s="569"/>
      <c r="EO140" s="569"/>
      <c r="EP140" s="569"/>
      <c r="EQ140" s="569"/>
      <c r="ER140" s="569"/>
      <c r="ES140" s="569"/>
      <c r="ET140" s="569"/>
      <c r="EU140" s="569"/>
      <c r="EV140" s="569"/>
      <c r="EW140" s="569"/>
      <c r="EX140" s="569"/>
      <c r="EY140" s="569"/>
      <c r="EZ140" s="569"/>
      <c r="FA140" s="569"/>
      <c r="FB140" s="569"/>
      <c r="FC140" s="569"/>
      <c r="FD140" s="569"/>
      <c r="FE140" s="569"/>
      <c r="FF140" s="569"/>
      <c r="FG140" s="569"/>
      <c r="FH140" s="569"/>
      <c r="FI140" s="569"/>
      <c r="FJ140" s="569"/>
      <c r="FK140" s="569"/>
      <c r="FL140" s="569"/>
      <c r="FM140" s="569"/>
      <c r="FN140" s="569"/>
      <c r="FO140" s="569"/>
      <c r="FP140" s="569"/>
      <c r="FQ140" s="569"/>
      <c r="FR140" s="569"/>
      <c r="FS140" s="569"/>
      <c r="FT140" s="569"/>
      <c r="FU140" s="569"/>
      <c r="FV140" s="569"/>
      <c r="FW140" s="569"/>
      <c r="FX140" s="569"/>
      <c r="FY140" s="569"/>
      <c r="FZ140" s="569"/>
      <c r="GA140" s="569"/>
      <c r="GB140" s="569"/>
      <c r="GC140" s="569"/>
      <c r="GD140" s="569"/>
      <c r="GE140" s="569"/>
      <c r="GF140" s="569"/>
      <c r="GG140" s="569"/>
      <c r="GH140" s="569"/>
      <c r="GI140" s="569"/>
      <c r="GJ140" s="569"/>
      <c r="GK140" s="569"/>
      <c r="GL140" s="569"/>
      <c r="GM140" s="569"/>
      <c r="GN140" s="569"/>
      <c r="GO140" s="569"/>
      <c r="GP140" s="569"/>
      <c r="GQ140" s="569"/>
      <c r="GR140" s="569"/>
      <c r="GS140" s="569"/>
      <c r="GT140" s="569"/>
    </row>
    <row r="141" spans="2:202" s="554" customFormat="1">
      <c r="B141" s="578"/>
      <c r="C141" s="578"/>
      <c r="D141" s="578"/>
      <c r="E141" s="578"/>
      <c r="F141" s="578"/>
      <c r="G141" s="578"/>
      <c r="H141" s="578"/>
      <c r="I141" s="578"/>
      <c r="J141" s="578"/>
      <c r="K141" s="578"/>
      <c r="L141" s="578"/>
      <c r="M141" s="578"/>
      <c r="N141" s="578"/>
      <c r="O141" s="578"/>
      <c r="P141" s="578"/>
      <c r="Q141" s="578"/>
      <c r="R141" s="578"/>
      <c r="S141" s="578"/>
      <c r="T141" s="578"/>
      <c r="U141" s="578"/>
      <c r="V141" s="578"/>
      <c r="W141" s="578"/>
      <c r="X141" s="578"/>
      <c r="Y141" s="578"/>
      <c r="Z141" s="578"/>
      <c r="AA141" s="578"/>
      <c r="AB141" s="578"/>
      <c r="AC141" s="578"/>
      <c r="AD141" s="578"/>
      <c r="AE141" s="578"/>
      <c r="AF141" s="578"/>
      <c r="AG141" s="578"/>
      <c r="AH141" s="548"/>
      <c r="AI141" s="548"/>
      <c r="AJ141" s="548"/>
      <c r="AK141" s="548"/>
      <c r="AL141" s="548"/>
      <c r="AM141" s="548"/>
      <c r="AN141" s="548"/>
      <c r="AO141" s="548"/>
      <c r="AP141" s="548"/>
      <c r="AQ141" s="548"/>
      <c r="AR141" s="548"/>
      <c r="AS141" s="548"/>
      <c r="AT141" s="548"/>
      <c r="AU141" s="548"/>
      <c r="AV141" s="548"/>
      <c r="AW141" s="548"/>
      <c r="AX141" s="548"/>
      <c r="AY141" s="548"/>
      <c r="AZ141" s="548"/>
      <c r="BA141" s="548"/>
      <c r="BB141" s="548"/>
      <c r="BC141" s="548"/>
      <c r="BD141" s="569"/>
      <c r="BE141" s="569"/>
      <c r="BF141" s="569"/>
      <c r="BG141" s="569"/>
      <c r="BH141" s="569"/>
      <c r="BI141" s="569"/>
      <c r="BJ141" s="569"/>
      <c r="BK141" s="569"/>
      <c r="BL141" s="569"/>
      <c r="BM141" s="569"/>
      <c r="BN141" s="569"/>
      <c r="BO141" s="569"/>
      <c r="BP141" s="569"/>
      <c r="BQ141" s="569"/>
      <c r="BR141" s="569"/>
      <c r="BS141" s="569"/>
      <c r="BT141" s="569"/>
      <c r="BU141" s="569"/>
      <c r="BV141" s="569"/>
      <c r="BW141" s="569"/>
      <c r="BX141" s="569"/>
      <c r="BY141" s="569"/>
      <c r="BZ141" s="569"/>
      <c r="CA141" s="569"/>
      <c r="CB141" s="569"/>
      <c r="CC141" s="569"/>
      <c r="CD141" s="569"/>
      <c r="CE141" s="569"/>
      <c r="CF141" s="569"/>
      <c r="CG141" s="569"/>
      <c r="CH141" s="569"/>
      <c r="CI141" s="569"/>
      <c r="CJ141" s="569"/>
      <c r="CK141" s="569"/>
      <c r="CL141" s="569"/>
      <c r="CM141" s="569"/>
      <c r="CN141" s="569"/>
      <c r="CO141" s="569"/>
      <c r="CP141" s="569"/>
      <c r="CQ141" s="569"/>
      <c r="CR141" s="569"/>
      <c r="CS141" s="569"/>
      <c r="CT141" s="569"/>
      <c r="CU141" s="569"/>
      <c r="CV141" s="569"/>
      <c r="CW141" s="569"/>
      <c r="CX141" s="569"/>
      <c r="CY141" s="569"/>
      <c r="CZ141" s="569"/>
      <c r="DA141" s="569"/>
      <c r="DB141" s="569"/>
      <c r="DC141" s="569"/>
      <c r="DD141" s="569"/>
      <c r="DE141" s="569"/>
      <c r="DF141" s="569"/>
      <c r="DG141" s="569"/>
      <c r="DH141" s="569"/>
      <c r="DI141" s="569"/>
      <c r="DJ141" s="569"/>
      <c r="DK141" s="569"/>
      <c r="DL141" s="569"/>
      <c r="DM141" s="569"/>
      <c r="DN141" s="569"/>
      <c r="DO141" s="569"/>
      <c r="DP141" s="569"/>
      <c r="DQ141" s="569"/>
      <c r="DR141" s="569"/>
      <c r="DS141" s="569"/>
      <c r="DT141" s="569"/>
      <c r="DU141" s="569"/>
      <c r="DV141" s="569"/>
      <c r="DW141" s="569"/>
      <c r="DX141" s="569"/>
      <c r="DY141" s="569"/>
      <c r="DZ141" s="569"/>
      <c r="EA141" s="569"/>
      <c r="EB141" s="569"/>
      <c r="EC141" s="569"/>
      <c r="ED141" s="569"/>
      <c r="EE141" s="569"/>
      <c r="EF141" s="569"/>
      <c r="EG141" s="569"/>
      <c r="EH141" s="569"/>
      <c r="EI141" s="569"/>
      <c r="EJ141" s="569"/>
      <c r="EK141" s="569"/>
      <c r="EL141" s="569"/>
      <c r="EM141" s="569"/>
      <c r="EN141" s="569"/>
      <c r="EO141" s="569"/>
      <c r="EP141" s="569"/>
      <c r="EQ141" s="569"/>
      <c r="ER141" s="569"/>
      <c r="ES141" s="569"/>
      <c r="ET141" s="569"/>
      <c r="EU141" s="569"/>
      <c r="EV141" s="569"/>
      <c r="EW141" s="569"/>
      <c r="EX141" s="569"/>
      <c r="EY141" s="569"/>
      <c r="EZ141" s="569"/>
      <c r="FA141" s="569"/>
      <c r="FB141" s="569"/>
      <c r="FC141" s="569"/>
      <c r="FD141" s="569"/>
      <c r="FE141" s="569"/>
      <c r="FF141" s="569"/>
      <c r="FG141" s="569"/>
      <c r="FH141" s="569"/>
      <c r="FI141" s="569"/>
      <c r="FJ141" s="569"/>
      <c r="FK141" s="569"/>
      <c r="FL141" s="569"/>
      <c r="FM141" s="569"/>
      <c r="FN141" s="569"/>
      <c r="FO141" s="569"/>
      <c r="FP141" s="569"/>
      <c r="FQ141" s="569"/>
      <c r="FR141" s="569"/>
      <c r="FS141" s="569"/>
      <c r="FT141" s="569"/>
      <c r="FU141" s="569"/>
      <c r="FV141" s="569"/>
      <c r="FW141" s="569"/>
      <c r="FX141" s="569"/>
      <c r="FY141" s="569"/>
      <c r="FZ141" s="569"/>
      <c r="GA141" s="569"/>
      <c r="GB141" s="569"/>
      <c r="GC141" s="569"/>
      <c r="GD141" s="569"/>
      <c r="GE141" s="569"/>
      <c r="GF141" s="569"/>
      <c r="GG141" s="569"/>
      <c r="GH141" s="569"/>
      <c r="GI141" s="569"/>
      <c r="GJ141" s="569"/>
      <c r="GK141" s="569"/>
      <c r="GL141" s="569"/>
      <c r="GM141" s="569"/>
      <c r="GN141" s="569"/>
      <c r="GO141" s="569"/>
      <c r="GP141" s="569"/>
      <c r="GQ141" s="569"/>
      <c r="GR141" s="569"/>
      <c r="GS141" s="569"/>
      <c r="GT141" s="569"/>
    </row>
    <row r="142" spans="2:202" s="554" customFormat="1">
      <c r="B142" s="578"/>
      <c r="C142" s="578"/>
      <c r="D142" s="578"/>
      <c r="E142" s="578"/>
      <c r="F142" s="578"/>
      <c r="G142" s="578"/>
      <c r="H142" s="578"/>
      <c r="I142" s="578"/>
      <c r="J142" s="578"/>
      <c r="K142" s="578"/>
      <c r="L142" s="578"/>
      <c r="M142" s="578"/>
      <c r="N142" s="578"/>
      <c r="O142" s="578"/>
      <c r="P142" s="578"/>
      <c r="Q142" s="578"/>
      <c r="R142" s="578"/>
      <c r="S142" s="578"/>
      <c r="T142" s="578"/>
      <c r="U142" s="578"/>
      <c r="V142" s="578"/>
      <c r="W142" s="578"/>
      <c r="X142" s="578"/>
      <c r="Y142" s="578"/>
      <c r="Z142" s="578"/>
      <c r="AA142" s="578"/>
      <c r="AB142" s="578"/>
      <c r="AC142" s="578"/>
      <c r="AD142" s="578"/>
      <c r="AE142" s="578"/>
      <c r="AF142" s="578"/>
      <c r="AG142" s="578"/>
      <c r="AH142" s="548"/>
      <c r="AI142" s="548"/>
      <c r="AJ142" s="548"/>
      <c r="AK142" s="548"/>
      <c r="AL142" s="548"/>
      <c r="AM142" s="548"/>
      <c r="AN142" s="548"/>
      <c r="AO142" s="548"/>
      <c r="AP142" s="548"/>
      <c r="AQ142" s="548"/>
      <c r="AR142" s="548"/>
      <c r="AS142" s="548"/>
      <c r="AT142" s="548"/>
      <c r="AU142" s="548"/>
      <c r="AV142" s="548"/>
      <c r="AW142" s="548"/>
      <c r="AX142" s="548"/>
      <c r="AY142" s="548"/>
      <c r="AZ142" s="548"/>
      <c r="BA142" s="548"/>
      <c r="BB142" s="548"/>
      <c r="BC142" s="548"/>
      <c r="BD142" s="569"/>
      <c r="BE142" s="569"/>
      <c r="BF142" s="569"/>
      <c r="BG142" s="569"/>
      <c r="BH142" s="569"/>
      <c r="BI142" s="569"/>
      <c r="BJ142" s="569"/>
      <c r="BK142" s="569"/>
      <c r="BL142" s="569"/>
      <c r="BM142" s="569"/>
      <c r="BN142" s="569"/>
      <c r="BO142" s="569"/>
      <c r="BP142" s="569"/>
      <c r="BQ142" s="569"/>
      <c r="BR142" s="569"/>
      <c r="BS142" s="569"/>
      <c r="BT142" s="569"/>
      <c r="BU142" s="569"/>
      <c r="BV142" s="569"/>
      <c r="BW142" s="569"/>
      <c r="BX142" s="569"/>
      <c r="BY142" s="569"/>
      <c r="BZ142" s="569"/>
      <c r="CA142" s="569"/>
      <c r="CB142" s="569"/>
      <c r="CC142" s="569"/>
      <c r="CD142" s="569"/>
      <c r="CE142" s="569"/>
      <c r="CF142" s="569"/>
      <c r="CG142" s="569"/>
      <c r="CH142" s="569"/>
      <c r="CI142" s="569"/>
      <c r="CJ142" s="569"/>
      <c r="CK142" s="569"/>
      <c r="CL142" s="569"/>
      <c r="CM142" s="569"/>
      <c r="CN142" s="569"/>
      <c r="CO142" s="569"/>
      <c r="CP142" s="569"/>
      <c r="CQ142" s="569"/>
      <c r="CR142" s="569"/>
      <c r="CS142" s="569"/>
      <c r="CT142" s="569"/>
      <c r="CU142" s="569"/>
      <c r="CV142" s="569"/>
      <c r="CW142" s="569"/>
      <c r="CX142" s="569"/>
      <c r="CY142" s="569"/>
      <c r="CZ142" s="569"/>
      <c r="DA142" s="569"/>
      <c r="DB142" s="569"/>
      <c r="DC142" s="569"/>
      <c r="DD142" s="569"/>
      <c r="DE142" s="569"/>
      <c r="DF142" s="569"/>
      <c r="DG142" s="569"/>
      <c r="DH142" s="569"/>
      <c r="DI142" s="569"/>
      <c r="DJ142" s="569"/>
      <c r="DK142" s="569"/>
      <c r="DL142" s="569"/>
      <c r="DM142" s="569"/>
      <c r="DN142" s="569"/>
      <c r="DO142" s="569"/>
      <c r="DP142" s="569"/>
      <c r="DQ142" s="569"/>
      <c r="DR142" s="569"/>
      <c r="DS142" s="569"/>
      <c r="DT142" s="569"/>
      <c r="DU142" s="569"/>
      <c r="DV142" s="569"/>
      <c r="DW142" s="569"/>
      <c r="DX142" s="569"/>
      <c r="DY142" s="569"/>
      <c r="DZ142" s="569"/>
      <c r="EA142" s="569"/>
      <c r="EB142" s="569"/>
      <c r="EC142" s="569"/>
      <c r="ED142" s="569"/>
      <c r="EE142" s="569"/>
      <c r="EF142" s="569"/>
      <c r="EG142" s="569"/>
      <c r="EH142" s="569"/>
      <c r="EI142" s="569"/>
      <c r="EJ142" s="569"/>
      <c r="EK142" s="569"/>
      <c r="EL142" s="569"/>
      <c r="EM142" s="569"/>
      <c r="EN142" s="569"/>
      <c r="EO142" s="569"/>
      <c r="EP142" s="569"/>
      <c r="EQ142" s="569"/>
      <c r="ER142" s="569"/>
      <c r="ES142" s="569"/>
      <c r="ET142" s="569"/>
      <c r="EU142" s="569"/>
      <c r="EV142" s="569"/>
      <c r="EW142" s="569"/>
      <c r="EX142" s="569"/>
      <c r="EY142" s="569"/>
      <c r="EZ142" s="569"/>
      <c r="FA142" s="569"/>
      <c r="FB142" s="569"/>
      <c r="FC142" s="569"/>
      <c r="FD142" s="569"/>
      <c r="FE142" s="569"/>
      <c r="FF142" s="569"/>
      <c r="FG142" s="569"/>
      <c r="FH142" s="569"/>
      <c r="FI142" s="569"/>
      <c r="FJ142" s="569"/>
      <c r="FK142" s="569"/>
      <c r="FL142" s="569"/>
      <c r="FM142" s="569"/>
      <c r="FN142" s="569"/>
      <c r="FO142" s="569"/>
      <c r="FP142" s="569"/>
      <c r="FQ142" s="569"/>
      <c r="FR142" s="569"/>
      <c r="FS142" s="569"/>
      <c r="FT142" s="569"/>
      <c r="FU142" s="569"/>
      <c r="FV142" s="569"/>
      <c r="FW142" s="569"/>
      <c r="FX142" s="569"/>
      <c r="FY142" s="569"/>
      <c r="FZ142" s="569"/>
      <c r="GA142" s="569"/>
      <c r="GB142" s="569"/>
      <c r="GC142" s="569"/>
      <c r="GD142" s="569"/>
      <c r="GE142" s="569"/>
      <c r="GF142" s="569"/>
      <c r="GG142" s="569"/>
      <c r="GH142" s="569"/>
      <c r="GI142" s="569"/>
      <c r="GJ142" s="569"/>
      <c r="GK142" s="569"/>
      <c r="GL142" s="569"/>
      <c r="GM142" s="569"/>
      <c r="GN142" s="569"/>
      <c r="GO142" s="569"/>
      <c r="GP142" s="569"/>
      <c r="GQ142" s="569"/>
      <c r="GR142" s="569"/>
      <c r="GS142" s="569"/>
      <c r="GT142" s="569"/>
    </row>
    <row r="143" spans="2:202" s="554" customFormat="1">
      <c r="B143" s="578"/>
      <c r="C143" s="578"/>
      <c r="D143" s="578"/>
      <c r="E143" s="578"/>
      <c r="F143" s="578"/>
      <c r="G143" s="578"/>
      <c r="H143" s="578"/>
      <c r="I143" s="578"/>
      <c r="J143" s="578"/>
      <c r="K143" s="578"/>
      <c r="L143" s="578"/>
      <c r="M143" s="578"/>
      <c r="N143" s="578"/>
      <c r="O143" s="578"/>
      <c r="P143" s="578"/>
      <c r="Q143" s="578"/>
      <c r="R143" s="578"/>
      <c r="S143" s="578"/>
      <c r="T143" s="578"/>
      <c r="U143" s="578"/>
      <c r="V143" s="578"/>
      <c r="W143" s="578"/>
      <c r="X143" s="578"/>
      <c r="Y143" s="578"/>
      <c r="Z143" s="578"/>
      <c r="AA143" s="578"/>
      <c r="AB143" s="578"/>
      <c r="AC143" s="578"/>
      <c r="AD143" s="578"/>
      <c r="AE143" s="578"/>
      <c r="AF143" s="578"/>
      <c r="AG143" s="578"/>
      <c r="AH143" s="548"/>
      <c r="AI143" s="548"/>
      <c r="AJ143" s="548"/>
      <c r="AK143" s="548"/>
      <c r="AL143" s="548"/>
      <c r="AM143" s="548"/>
      <c r="AN143" s="548"/>
      <c r="AO143" s="548"/>
      <c r="AP143" s="548"/>
      <c r="AQ143" s="548"/>
      <c r="AR143" s="548"/>
      <c r="AS143" s="548"/>
      <c r="AT143" s="548"/>
      <c r="AU143" s="548"/>
      <c r="AV143" s="548"/>
      <c r="AW143" s="548"/>
      <c r="AX143" s="548"/>
      <c r="AY143" s="548"/>
      <c r="AZ143" s="548"/>
      <c r="BA143" s="548"/>
      <c r="BB143" s="548"/>
      <c r="BC143" s="548"/>
      <c r="BD143" s="569"/>
      <c r="BE143" s="569"/>
      <c r="BF143" s="569"/>
      <c r="BG143" s="569"/>
      <c r="BH143" s="569"/>
      <c r="BI143" s="569"/>
      <c r="BJ143" s="569"/>
      <c r="BK143" s="569"/>
      <c r="BL143" s="569"/>
      <c r="BM143" s="569"/>
      <c r="BN143" s="569"/>
      <c r="BO143" s="569"/>
      <c r="BP143" s="569"/>
      <c r="BQ143" s="569"/>
      <c r="BR143" s="569"/>
      <c r="BS143" s="569"/>
      <c r="BT143" s="569"/>
      <c r="BU143" s="569"/>
      <c r="BV143" s="569"/>
      <c r="BW143" s="569"/>
      <c r="BX143" s="569"/>
      <c r="BY143" s="569"/>
      <c r="BZ143" s="569"/>
      <c r="CA143" s="569"/>
      <c r="CB143" s="569"/>
      <c r="CC143" s="569"/>
      <c r="CD143" s="569"/>
      <c r="CE143" s="569"/>
      <c r="CF143" s="569"/>
      <c r="CG143" s="569"/>
      <c r="CH143" s="569"/>
      <c r="CI143" s="569"/>
      <c r="CJ143" s="569"/>
      <c r="CK143" s="569"/>
      <c r="CL143" s="569"/>
      <c r="CM143" s="569"/>
      <c r="CN143" s="569"/>
      <c r="CO143" s="569"/>
      <c r="CP143" s="569"/>
      <c r="CQ143" s="569"/>
      <c r="CR143" s="569"/>
      <c r="CS143" s="569"/>
      <c r="CT143" s="569"/>
      <c r="CU143" s="569"/>
      <c r="CV143" s="569"/>
      <c r="CW143" s="569"/>
      <c r="CX143" s="569"/>
      <c r="CY143" s="569"/>
      <c r="CZ143" s="569"/>
      <c r="DA143" s="569"/>
      <c r="DB143" s="569"/>
      <c r="DC143" s="569"/>
      <c r="DD143" s="569"/>
      <c r="DE143" s="569"/>
      <c r="DF143" s="569"/>
      <c r="DG143" s="569"/>
      <c r="DH143" s="569"/>
      <c r="DI143" s="569"/>
      <c r="DJ143" s="569"/>
      <c r="DK143" s="569"/>
      <c r="DL143" s="569"/>
      <c r="DM143" s="569"/>
      <c r="DN143" s="569"/>
      <c r="DO143" s="569"/>
      <c r="DP143" s="569"/>
      <c r="DQ143" s="569"/>
      <c r="DR143" s="569"/>
      <c r="DS143" s="569"/>
      <c r="DT143" s="569"/>
      <c r="DU143" s="569"/>
      <c r="DV143" s="569"/>
      <c r="DW143" s="569"/>
      <c r="DX143" s="569"/>
      <c r="DY143" s="569"/>
      <c r="DZ143" s="569"/>
      <c r="EA143" s="569"/>
      <c r="EB143" s="569"/>
      <c r="EC143" s="569"/>
      <c r="ED143" s="569"/>
      <c r="EE143" s="569"/>
      <c r="EF143" s="569"/>
      <c r="EG143" s="569"/>
      <c r="EH143" s="569"/>
      <c r="EI143" s="569"/>
      <c r="EJ143" s="569"/>
      <c r="EK143" s="569"/>
      <c r="EL143" s="569"/>
      <c r="EM143" s="569"/>
      <c r="EN143" s="569"/>
      <c r="EO143" s="569"/>
      <c r="EP143" s="569"/>
      <c r="EQ143" s="569"/>
      <c r="ER143" s="569"/>
      <c r="ES143" s="569"/>
      <c r="ET143" s="569"/>
      <c r="EU143" s="569"/>
      <c r="EV143" s="569"/>
      <c r="EW143" s="569"/>
      <c r="EX143" s="569"/>
      <c r="EY143" s="569"/>
      <c r="EZ143" s="569"/>
      <c r="FA143" s="569"/>
      <c r="FB143" s="569"/>
      <c r="FC143" s="569"/>
      <c r="FD143" s="569"/>
      <c r="FE143" s="569"/>
      <c r="FF143" s="569"/>
      <c r="FG143" s="569"/>
      <c r="FH143" s="569"/>
      <c r="FI143" s="569"/>
      <c r="FJ143" s="569"/>
      <c r="FK143" s="569"/>
      <c r="FL143" s="569"/>
      <c r="FM143" s="569"/>
      <c r="FN143" s="569"/>
      <c r="FO143" s="569"/>
      <c r="FP143" s="569"/>
      <c r="FQ143" s="569"/>
      <c r="FR143" s="569"/>
      <c r="FS143" s="569"/>
      <c r="FT143" s="569"/>
      <c r="FU143" s="569"/>
      <c r="FV143" s="569"/>
      <c r="FW143" s="569"/>
      <c r="FX143" s="569"/>
      <c r="FY143" s="569"/>
      <c r="FZ143" s="569"/>
      <c r="GA143" s="569"/>
      <c r="GB143" s="569"/>
      <c r="GC143" s="569"/>
      <c r="GD143" s="569"/>
      <c r="GE143" s="569"/>
      <c r="GF143" s="569"/>
      <c r="GG143" s="569"/>
      <c r="GH143" s="569"/>
      <c r="GI143" s="569"/>
      <c r="GJ143" s="569"/>
      <c r="GK143" s="569"/>
      <c r="GL143" s="569"/>
      <c r="GM143" s="569"/>
      <c r="GN143" s="569"/>
      <c r="GO143" s="569"/>
      <c r="GP143" s="569"/>
      <c r="GQ143" s="569"/>
      <c r="GR143" s="569"/>
      <c r="GS143" s="569"/>
      <c r="GT143" s="569"/>
    </row>
    <row r="144" spans="2:202" s="554" customFormat="1">
      <c r="B144" s="578"/>
      <c r="C144" s="578"/>
      <c r="D144" s="578"/>
      <c r="E144" s="578"/>
      <c r="F144" s="578"/>
      <c r="G144" s="578"/>
      <c r="H144" s="578"/>
      <c r="I144" s="578"/>
      <c r="J144" s="578"/>
      <c r="K144" s="578"/>
      <c r="L144" s="578"/>
      <c r="M144" s="578"/>
      <c r="N144" s="578"/>
      <c r="O144" s="578"/>
      <c r="P144" s="578"/>
      <c r="Q144" s="578"/>
      <c r="R144" s="578"/>
      <c r="S144" s="578"/>
      <c r="T144" s="578"/>
      <c r="U144" s="578"/>
      <c r="V144" s="578"/>
      <c r="W144" s="578"/>
      <c r="X144" s="578"/>
      <c r="Y144" s="578"/>
      <c r="Z144" s="578"/>
      <c r="AA144" s="578"/>
      <c r="AB144" s="578"/>
      <c r="AC144" s="578"/>
      <c r="AD144" s="578"/>
      <c r="AE144" s="578"/>
      <c r="AF144" s="578"/>
      <c r="AG144" s="578"/>
      <c r="AH144" s="548"/>
      <c r="AI144" s="548"/>
      <c r="AJ144" s="548"/>
      <c r="AK144" s="548"/>
      <c r="AL144" s="548"/>
      <c r="AM144" s="548"/>
      <c r="AN144" s="548"/>
      <c r="AO144" s="548"/>
      <c r="AP144" s="548"/>
      <c r="AQ144" s="548"/>
      <c r="AR144" s="548"/>
      <c r="AS144" s="548"/>
      <c r="AT144" s="548"/>
      <c r="AU144" s="548"/>
      <c r="AV144" s="548"/>
      <c r="AW144" s="548"/>
      <c r="AX144" s="548"/>
      <c r="AY144" s="548"/>
      <c r="AZ144" s="548"/>
      <c r="BA144" s="548"/>
      <c r="BB144" s="548"/>
      <c r="BC144" s="548"/>
      <c r="BD144" s="569"/>
      <c r="BE144" s="569"/>
      <c r="BF144" s="569"/>
      <c r="BG144" s="569"/>
      <c r="BH144" s="569"/>
      <c r="BI144" s="569"/>
      <c r="BJ144" s="569"/>
      <c r="BK144" s="569"/>
      <c r="BL144" s="569"/>
      <c r="BM144" s="569"/>
      <c r="BN144" s="569"/>
      <c r="BO144" s="569"/>
      <c r="BP144" s="569"/>
      <c r="BQ144" s="569"/>
      <c r="BR144" s="569"/>
      <c r="BS144" s="569"/>
      <c r="BT144" s="569"/>
      <c r="BU144" s="569"/>
      <c r="BV144" s="569"/>
      <c r="BW144" s="569"/>
      <c r="BX144" s="569"/>
      <c r="BY144" s="569"/>
      <c r="BZ144" s="569"/>
      <c r="CA144" s="569"/>
      <c r="CB144" s="569"/>
      <c r="CC144" s="569"/>
      <c r="CD144" s="569"/>
      <c r="CE144" s="569"/>
      <c r="CF144" s="569"/>
      <c r="CG144" s="569"/>
      <c r="CH144" s="569"/>
      <c r="CI144" s="569"/>
      <c r="CJ144" s="569"/>
      <c r="CK144" s="569"/>
      <c r="CL144" s="569"/>
      <c r="CM144" s="569"/>
      <c r="CN144" s="569"/>
      <c r="CO144" s="569"/>
      <c r="CP144" s="569"/>
      <c r="CQ144" s="569"/>
      <c r="CR144" s="569"/>
      <c r="CS144" s="569"/>
      <c r="CT144" s="569"/>
      <c r="CU144" s="569"/>
      <c r="CV144" s="569"/>
      <c r="CW144" s="569"/>
      <c r="CX144" s="569"/>
      <c r="CY144" s="569"/>
      <c r="CZ144" s="569"/>
      <c r="DA144" s="569"/>
      <c r="DB144" s="569"/>
      <c r="DC144" s="569"/>
      <c r="DD144" s="569"/>
      <c r="DE144" s="569"/>
      <c r="DF144" s="569"/>
      <c r="DG144" s="569"/>
      <c r="DH144" s="569"/>
      <c r="DI144" s="569"/>
      <c r="DJ144" s="569"/>
      <c r="DK144" s="569"/>
      <c r="DL144" s="569"/>
      <c r="DM144" s="569"/>
      <c r="DN144" s="569"/>
      <c r="DO144" s="569"/>
      <c r="DP144" s="569"/>
      <c r="DQ144" s="569"/>
      <c r="DR144" s="569"/>
      <c r="DS144" s="569"/>
      <c r="DT144" s="569"/>
      <c r="DU144" s="569"/>
      <c r="DV144" s="569"/>
      <c r="DW144" s="569"/>
      <c r="DX144" s="569"/>
      <c r="DY144" s="569"/>
      <c r="DZ144" s="569"/>
      <c r="EA144" s="569"/>
      <c r="EB144" s="569"/>
      <c r="EC144" s="569"/>
      <c r="ED144" s="569"/>
      <c r="EE144" s="569"/>
      <c r="EF144" s="569"/>
      <c r="EG144" s="569"/>
      <c r="EH144" s="569"/>
      <c r="EI144" s="569"/>
      <c r="EJ144" s="569"/>
      <c r="EK144" s="569"/>
      <c r="EL144" s="569"/>
      <c r="EM144" s="569"/>
      <c r="EN144" s="569"/>
      <c r="EO144" s="569"/>
      <c r="EP144" s="569"/>
      <c r="EQ144" s="569"/>
      <c r="ER144" s="569"/>
      <c r="ES144" s="569"/>
      <c r="ET144" s="569"/>
      <c r="EU144" s="569"/>
      <c r="EV144" s="569"/>
      <c r="EW144" s="569"/>
      <c r="EX144" s="569"/>
      <c r="EY144" s="569"/>
      <c r="EZ144" s="569"/>
      <c r="FA144" s="569"/>
      <c r="FB144" s="569"/>
      <c r="FC144" s="569"/>
      <c r="FD144" s="569"/>
      <c r="FE144" s="569"/>
      <c r="FF144" s="569"/>
      <c r="FG144" s="569"/>
      <c r="FH144" s="569"/>
      <c r="FI144" s="569"/>
      <c r="FJ144" s="569"/>
      <c r="FK144" s="569"/>
      <c r="FL144" s="569"/>
      <c r="FM144" s="569"/>
      <c r="FN144" s="569"/>
      <c r="FO144" s="569"/>
      <c r="FP144" s="569"/>
      <c r="FQ144" s="569"/>
      <c r="FR144" s="569"/>
      <c r="FS144" s="569"/>
      <c r="FT144" s="569"/>
      <c r="FU144" s="569"/>
      <c r="FV144" s="569"/>
      <c r="FW144" s="569"/>
      <c r="FX144" s="569"/>
      <c r="FY144" s="569"/>
      <c r="FZ144" s="569"/>
      <c r="GA144" s="569"/>
      <c r="GB144" s="569"/>
      <c r="GC144" s="569"/>
      <c r="GD144" s="569"/>
      <c r="GE144" s="569"/>
      <c r="GF144" s="569"/>
      <c r="GG144" s="569"/>
      <c r="GH144" s="569"/>
      <c r="GI144" s="569"/>
      <c r="GJ144" s="569"/>
      <c r="GK144" s="569"/>
      <c r="GL144" s="569"/>
      <c r="GM144" s="569"/>
      <c r="GN144" s="569"/>
      <c r="GO144" s="569"/>
      <c r="GP144" s="569"/>
      <c r="GQ144" s="569"/>
      <c r="GR144" s="569"/>
      <c r="GS144" s="569"/>
      <c r="GT144" s="569"/>
    </row>
    <row r="145" spans="2:202" s="554" customFormat="1">
      <c r="B145" s="578"/>
      <c r="C145" s="578"/>
      <c r="D145" s="578"/>
      <c r="E145" s="578"/>
      <c r="F145" s="578"/>
      <c r="G145" s="578"/>
      <c r="H145" s="578"/>
      <c r="I145" s="578"/>
      <c r="J145" s="578"/>
      <c r="K145" s="578"/>
      <c r="L145" s="578"/>
      <c r="M145" s="578"/>
      <c r="N145" s="578"/>
      <c r="O145" s="578"/>
      <c r="P145" s="578"/>
      <c r="Q145" s="578"/>
      <c r="R145" s="578"/>
      <c r="S145" s="578"/>
      <c r="T145" s="578"/>
      <c r="U145" s="578"/>
      <c r="V145" s="578"/>
      <c r="W145" s="578"/>
      <c r="X145" s="578"/>
      <c r="Y145" s="578"/>
      <c r="Z145" s="578"/>
      <c r="AA145" s="578"/>
      <c r="AB145" s="578"/>
      <c r="AC145" s="578"/>
      <c r="AD145" s="578"/>
      <c r="AE145" s="578"/>
      <c r="AF145" s="578"/>
      <c r="AG145" s="578"/>
      <c r="AH145" s="548"/>
      <c r="AI145" s="548"/>
      <c r="AJ145" s="548"/>
      <c r="AK145" s="548"/>
      <c r="AL145" s="548"/>
      <c r="AM145" s="548"/>
      <c r="AN145" s="548"/>
      <c r="AO145" s="548"/>
      <c r="AP145" s="548"/>
      <c r="AQ145" s="548"/>
      <c r="AR145" s="548"/>
      <c r="AS145" s="548"/>
      <c r="AT145" s="548"/>
      <c r="AU145" s="548"/>
      <c r="AV145" s="548"/>
      <c r="AW145" s="548"/>
      <c r="AX145" s="548"/>
      <c r="AY145" s="548"/>
      <c r="AZ145" s="548"/>
      <c r="BA145" s="548"/>
      <c r="BB145" s="548"/>
      <c r="BC145" s="548"/>
      <c r="BD145" s="569"/>
      <c r="BE145" s="569"/>
      <c r="BF145" s="569"/>
      <c r="BG145" s="569"/>
      <c r="BH145" s="569"/>
      <c r="BI145" s="569"/>
      <c r="BJ145" s="569"/>
      <c r="BK145" s="569"/>
      <c r="BL145" s="569"/>
      <c r="BM145" s="569"/>
      <c r="BN145" s="569"/>
      <c r="BO145" s="569"/>
      <c r="BP145" s="569"/>
      <c r="BQ145" s="569"/>
      <c r="BR145" s="569"/>
      <c r="BS145" s="569"/>
      <c r="BT145" s="569"/>
      <c r="BU145" s="569"/>
      <c r="BV145" s="569"/>
      <c r="BW145" s="569"/>
      <c r="BX145" s="569"/>
      <c r="BY145" s="569"/>
      <c r="BZ145" s="569"/>
      <c r="CA145" s="569"/>
      <c r="CB145" s="569"/>
      <c r="CC145" s="569"/>
      <c r="CD145" s="569"/>
      <c r="CE145" s="569"/>
      <c r="CF145" s="569"/>
      <c r="CG145" s="569"/>
      <c r="CH145" s="569"/>
      <c r="CI145" s="569"/>
      <c r="CJ145" s="569"/>
      <c r="CK145" s="569"/>
      <c r="CL145" s="569"/>
      <c r="CM145" s="569"/>
      <c r="CN145" s="569"/>
      <c r="CO145" s="569"/>
      <c r="CP145" s="569"/>
      <c r="CQ145" s="569"/>
      <c r="CR145" s="569"/>
      <c r="CS145" s="569"/>
      <c r="CT145" s="569"/>
      <c r="CU145" s="569"/>
      <c r="CV145" s="569"/>
      <c r="CW145" s="569"/>
      <c r="CX145" s="569"/>
      <c r="CY145" s="569"/>
      <c r="CZ145" s="569"/>
      <c r="DA145" s="569"/>
      <c r="DB145" s="569"/>
      <c r="DC145" s="569"/>
      <c r="DD145" s="569"/>
      <c r="DE145" s="569"/>
      <c r="DF145" s="569"/>
      <c r="DG145" s="569"/>
      <c r="DH145" s="569"/>
      <c r="DI145" s="569"/>
      <c r="DJ145" s="569"/>
      <c r="DK145" s="569"/>
      <c r="DL145" s="569"/>
      <c r="DM145" s="569"/>
      <c r="DN145" s="569"/>
      <c r="DO145" s="569"/>
      <c r="DP145" s="569"/>
      <c r="DQ145" s="569"/>
      <c r="DR145" s="569"/>
      <c r="DS145" s="569"/>
      <c r="DT145" s="569"/>
      <c r="DU145" s="569"/>
      <c r="DV145" s="569"/>
      <c r="DW145" s="569"/>
      <c r="DX145" s="569"/>
      <c r="DY145" s="569"/>
      <c r="DZ145" s="569"/>
      <c r="EA145" s="569"/>
      <c r="EB145" s="569"/>
      <c r="EC145" s="569"/>
      <c r="ED145" s="569"/>
      <c r="EE145" s="569"/>
      <c r="EF145" s="569"/>
      <c r="EG145" s="569"/>
      <c r="EH145" s="569"/>
      <c r="EI145" s="569"/>
      <c r="EJ145" s="569"/>
      <c r="EK145" s="569"/>
      <c r="EL145" s="569"/>
      <c r="EM145" s="569"/>
      <c r="EN145" s="569"/>
      <c r="EO145" s="569"/>
      <c r="EP145" s="569"/>
      <c r="EQ145" s="569"/>
      <c r="ER145" s="569"/>
      <c r="ES145" s="569"/>
      <c r="ET145" s="569"/>
      <c r="EU145" s="569"/>
      <c r="EV145" s="569"/>
      <c r="EW145" s="569"/>
      <c r="EX145" s="569"/>
      <c r="EY145" s="569"/>
      <c r="EZ145" s="569"/>
      <c r="FA145" s="569"/>
      <c r="FB145" s="569"/>
      <c r="FC145" s="569"/>
      <c r="FD145" s="569"/>
      <c r="FE145" s="569"/>
      <c r="FF145" s="569"/>
      <c r="FG145" s="569"/>
      <c r="FH145" s="569"/>
      <c r="FI145" s="569"/>
      <c r="FJ145" s="569"/>
      <c r="FK145" s="569"/>
      <c r="FL145" s="569"/>
      <c r="FM145" s="569"/>
      <c r="FN145" s="569"/>
      <c r="FO145" s="569"/>
      <c r="FP145" s="569"/>
      <c r="FQ145" s="569"/>
      <c r="FR145" s="569"/>
      <c r="FS145" s="569"/>
      <c r="FT145" s="569"/>
      <c r="FU145" s="569"/>
      <c r="FV145" s="569"/>
      <c r="FW145" s="569"/>
      <c r="FX145" s="569"/>
      <c r="FY145" s="569"/>
      <c r="FZ145" s="569"/>
      <c r="GA145" s="569"/>
      <c r="GB145" s="569"/>
      <c r="GC145" s="569"/>
      <c r="GD145" s="569"/>
      <c r="GE145" s="569"/>
      <c r="GF145" s="569"/>
      <c r="GG145" s="569"/>
      <c r="GH145" s="569"/>
      <c r="GI145" s="569"/>
      <c r="GJ145" s="569"/>
      <c r="GK145" s="569"/>
      <c r="GL145" s="569"/>
      <c r="GM145" s="569"/>
      <c r="GN145" s="569"/>
      <c r="GO145" s="569"/>
      <c r="GP145" s="569"/>
      <c r="GQ145" s="569"/>
      <c r="GR145" s="569"/>
      <c r="GS145" s="569"/>
      <c r="GT145" s="569"/>
    </row>
    <row r="146" spans="2:202" s="554" customFormat="1">
      <c r="B146" s="578"/>
      <c r="C146" s="578"/>
      <c r="D146" s="578"/>
      <c r="E146" s="578"/>
      <c r="F146" s="578"/>
      <c r="G146" s="578"/>
      <c r="H146" s="578"/>
      <c r="I146" s="578"/>
      <c r="J146" s="578"/>
      <c r="K146" s="578"/>
      <c r="L146" s="578"/>
      <c r="M146" s="578"/>
      <c r="N146" s="578"/>
      <c r="O146" s="578"/>
      <c r="P146" s="578"/>
      <c r="Q146" s="578"/>
      <c r="R146" s="578"/>
      <c r="S146" s="578"/>
      <c r="T146" s="578"/>
      <c r="U146" s="578"/>
      <c r="V146" s="578"/>
      <c r="W146" s="578"/>
      <c r="X146" s="578"/>
      <c r="Y146" s="578"/>
      <c r="Z146" s="578"/>
      <c r="AA146" s="578"/>
      <c r="AB146" s="578"/>
      <c r="AC146" s="578"/>
      <c r="AD146" s="578"/>
      <c r="AE146" s="578"/>
      <c r="AF146" s="578"/>
      <c r="AG146" s="578"/>
      <c r="AH146" s="548"/>
      <c r="AI146" s="548"/>
      <c r="AJ146" s="548"/>
      <c r="AK146" s="548"/>
      <c r="AL146" s="548"/>
      <c r="AM146" s="548"/>
      <c r="AN146" s="548"/>
      <c r="AO146" s="548"/>
      <c r="AP146" s="548"/>
      <c r="AQ146" s="548"/>
      <c r="AR146" s="548"/>
      <c r="AS146" s="548"/>
      <c r="AT146" s="548"/>
      <c r="AU146" s="548"/>
      <c r="AV146" s="548"/>
      <c r="AW146" s="548"/>
      <c r="AX146" s="548"/>
      <c r="AY146" s="548"/>
      <c r="AZ146" s="548"/>
      <c r="BA146" s="548"/>
      <c r="BB146" s="548"/>
      <c r="BC146" s="548"/>
      <c r="BD146" s="569"/>
      <c r="BE146" s="569"/>
      <c r="BF146" s="569"/>
      <c r="BG146" s="569"/>
      <c r="BH146" s="569"/>
      <c r="BI146" s="569"/>
      <c r="BJ146" s="569"/>
      <c r="BK146" s="569"/>
      <c r="BL146" s="569"/>
      <c r="BM146" s="569"/>
      <c r="BN146" s="569"/>
      <c r="BO146" s="569"/>
      <c r="BP146" s="569"/>
      <c r="BQ146" s="569"/>
      <c r="BR146" s="569"/>
      <c r="BS146" s="569"/>
      <c r="BT146" s="569"/>
      <c r="BU146" s="569"/>
      <c r="BV146" s="569"/>
      <c r="BW146" s="569"/>
      <c r="BX146" s="569"/>
      <c r="BY146" s="569"/>
      <c r="BZ146" s="569"/>
      <c r="CA146" s="569"/>
      <c r="CB146" s="569"/>
      <c r="CC146" s="569"/>
      <c r="CD146" s="569"/>
      <c r="CE146" s="569"/>
      <c r="CF146" s="569"/>
      <c r="CG146" s="569"/>
      <c r="CH146" s="569"/>
      <c r="CI146" s="569"/>
      <c r="CJ146" s="569"/>
      <c r="CK146" s="569"/>
      <c r="CL146" s="569"/>
      <c r="CM146" s="569"/>
      <c r="CN146" s="569"/>
      <c r="CO146" s="569"/>
      <c r="CP146" s="569"/>
      <c r="CQ146" s="569"/>
      <c r="CR146" s="569"/>
      <c r="CS146" s="569"/>
      <c r="CT146" s="569"/>
      <c r="CU146" s="569"/>
      <c r="CV146" s="569"/>
      <c r="CW146" s="569"/>
      <c r="CX146" s="569"/>
      <c r="CY146" s="569"/>
      <c r="CZ146" s="569"/>
      <c r="DA146" s="569"/>
      <c r="DB146" s="569"/>
      <c r="DC146" s="569"/>
      <c r="DD146" s="569"/>
      <c r="DE146" s="569"/>
      <c r="DF146" s="569"/>
      <c r="DG146" s="569"/>
      <c r="DH146" s="569"/>
      <c r="DI146" s="569"/>
      <c r="DJ146" s="569"/>
      <c r="DK146" s="569"/>
      <c r="DL146" s="569"/>
      <c r="DM146" s="569"/>
      <c r="DN146" s="569"/>
      <c r="DO146" s="569"/>
      <c r="DP146" s="569"/>
      <c r="DQ146" s="569"/>
      <c r="DR146" s="569"/>
      <c r="DS146" s="569"/>
      <c r="DT146" s="569"/>
      <c r="DU146" s="569"/>
      <c r="DV146" s="569"/>
      <c r="DW146" s="569"/>
      <c r="DX146" s="569"/>
      <c r="DY146" s="569"/>
      <c r="DZ146" s="569"/>
      <c r="EA146" s="569"/>
      <c r="EB146" s="569"/>
      <c r="EC146" s="569"/>
      <c r="ED146" s="569"/>
      <c r="EE146" s="569"/>
      <c r="EF146" s="569"/>
      <c r="EG146" s="569"/>
      <c r="EH146" s="569"/>
      <c r="EI146" s="569"/>
      <c r="EJ146" s="569"/>
      <c r="EK146" s="569"/>
      <c r="EL146" s="569"/>
      <c r="EM146" s="569"/>
      <c r="EN146" s="569"/>
      <c r="EO146" s="569"/>
      <c r="EP146" s="569"/>
      <c r="EQ146" s="569"/>
      <c r="ER146" s="569"/>
      <c r="ES146" s="569"/>
      <c r="ET146" s="569"/>
      <c r="EU146" s="569"/>
      <c r="EV146" s="569"/>
      <c r="EW146" s="569"/>
      <c r="EX146" s="569"/>
      <c r="EY146" s="569"/>
      <c r="EZ146" s="569"/>
      <c r="FA146" s="569"/>
      <c r="FB146" s="569"/>
      <c r="FC146" s="569"/>
      <c r="FD146" s="569"/>
      <c r="FE146" s="569"/>
      <c r="FF146" s="569"/>
      <c r="FG146" s="569"/>
      <c r="FH146" s="569"/>
      <c r="FI146" s="569"/>
      <c r="FJ146" s="569"/>
      <c r="FK146" s="569"/>
      <c r="FL146" s="569"/>
      <c r="FM146" s="569"/>
      <c r="FN146" s="569"/>
      <c r="FO146" s="569"/>
      <c r="FP146" s="569"/>
      <c r="FQ146" s="569"/>
      <c r="FR146" s="569"/>
      <c r="FS146" s="569"/>
      <c r="FT146" s="569"/>
      <c r="FU146" s="569"/>
      <c r="FV146" s="569"/>
      <c r="FW146" s="569"/>
      <c r="FX146" s="569"/>
      <c r="FY146" s="569"/>
      <c r="FZ146" s="569"/>
      <c r="GA146" s="569"/>
      <c r="GB146" s="569"/>
      <c r="GC146" s="569"/>
      <c r="GD146" s="569"/>
      <c r="GE146" s="569"/>
      <c r="GF146" s="569"/>
      <c r="GG146" s="569"/>
      <c r="GH146" s="569"/>
      <c r="GI146" s="569"/>
      <c r="GJ146" s="569"/>
      <c r="GK146" s="569"/>
      <c r="GL146" s="569"/>
      <c r="GM146" s="569"/>
      <c r="GN146" s="569"/>
      <c r="GO146" s="569"/>
      <c r="GP146" s="569"/>
      <c r="GQ146" s="569"/>
      <c r="GR146" s="569"/>
      <c r="GS146" s="569"/>
      <c r="GT146" s="569"/>
    </row>
    <row r="147" spans="2:202" s="554" customFormat="1">
      <c r="B147" s="578"/>
      <c r="C147" s="578"/>
      <c r="D147" s="578"/>
      <c r="E147" s="578"/>
      <c r="F147" s="578"/>
      <c r="G147" s="578"/>
      <c r="H147" s="578"/>
      <c r="I147" s="578"/>
      <c r="J147" s="578"/>
      <c r="K147" s="578"/>
      <c r="L147" s="578"/>
      <c r="M147" s="578"/>
      <c r="N147" s="578"/>
      <c r="O147" s="578"/>
      <c r="P147" s="578"/>
      <c r="Q147" s="578"/>
      <c r="R147" s="578"/>
      <c r="S147" s="578"/>
      <c r="T147" s="578"/>
      <c r="U147" s="578"/>
      <c r="V147" s="578"/>
      <c r="W147" s="578"/>
      <c r="X147" s="578"/>
      <c r="Y147" s="578"/>
      <c r="Z147" s="578"/>
      <c r="AA147" s="578"/>
      <c r="AB147" s="578"/>
      <c r="AC147" s="578"/>
      <c r="AD147" s="578"/>
      <c r="AE147" s="578"/>
      <c r="AF147" s="578"/>
      <c r="AG147" s="578"/>
      <c r="AH147" s="548"/>
      <c r="AI147" s="548"/>
      <c r="AJ147" s="548"/>
      <c r="AK147" s="548"/>
      <c r="AL147" s="548"/>
      <c r="AM147" s="548"/>
      <c r="AN147" s="548"/>
      <c r="AO147" s="548"/>
      <c r="AP147" s="548"/>
      <c r="AQ147" s="548"/>
      <c r="AR147" s="548"/>
      <c r="AS147" s="548"/>
      <c r="AT147" s="548"/>
      <c r="AU147" s="548"/>
      <c r="AV147" s="548"/>
      <c r="AW147" s="548"/>
      <c r="AX147" s="548"/>
      <c r="AY147" s="548"/>
      <c r="AZ147" s="548"/>
      <c r="BA147" s="548"/>
      <c r="BB147" s="548"/>
      <c r="BC147" s="548"/>
      <c r="BD147" s="569"/>
      <c r="BE147" s="569"/>
      <c r="BF147" s="569"/>
      <c r="BG147" s="569"/>
      <c r="BH147" s="569"/>
      <c r="BI147" s="569"/>
      <c r="BJ147" s="569"/>
      <c r="BK147" s="569"/>
      <c r="BL147" s="569"/>
      <c r="BM147" s="569"/>
      <c r="BN147" s="569"/>
      <c r="BO147" s="569"/>
      <c r="BP147" s="569"/>
      <c r="BQ147" s="569"/>
      <c r="BR147" s="569"/>
      <c r="BS147" s="569"/>
      <c r="BT147" s="569"/>
      <c r="BU147" s="569"/>
      <c r="BV147" s="569"/>
      <c r="BW147" s="569"/>
      <c r="BX147" s="569"/>
      <c r="BY147" s="569"/>
      <c r="BZ147" s="569"/>
      <c r="CA147" s="569"/>
      <c r="CB147" s="569"/>
      <c r="CC147" s="569"/>
      <c r="CD147" s="569"/>
      <c r="CE147" s="569"/>
      <c r="CF147" s="569"/>
      <c r="CG147" s="569"/>
      <c r="CH147" s="569"/>
      <c r="CI147" s="569"/>
      <c r="CJ147" s="569"/>
      <c r="CK147" s="569"/>
      <c r="CL147" s="569"/>
      <c r="CM147" s="569"/>
      <c r="CN147" s="569"/>
      <c r="CO147" s="569"/>
      <c r="CP147" s="569"/>
      <c r="CQ147" s="569"/>
      <c r="CR147" s="569"/>
      <c r="CS147" s="569"/>
      <c r="CT147" s="569"/>
      <c r="CU147" s="569"/>
      <c r="CV147" s="569"/>
      <c r="CW147" s="569"/>
      <c r="CX147" s="569"/>
      <c r="CY147" s="569"/>
      <c r="CZ147" s="569"/>
      <c r="DA147" s="569"/>
      <c r="DB147" s="569"/>
      <c r="DC147" s="569"/>
      <c r="DD147" s="569"/>
      <c r="DE147" s="569"/>
      <c r="DF147" s="569"/>
      <c r="DG147" s="569"/>
      <c r="DH147" s="569"/>
      <c r="DI147" s="569"/>
      <c r="DJ147" s="569"/>
      <c r="DK147" s="569"/>
      <c r="DL147" s="569"/>
      <c r="DM147" s="569"/>
      <c r="DN147" s="569"/>
      <c r="DO147" s="569"/>
      <c r="DP147" s="569"/>
      <c r="DQ147" s="569"/>
      <c r="DR147" s="569"/>
      <c r="DS147" s="569"/>
      <c r="DT147" s="569"/>
      <c r="DU147" s="569"/>
      <c r="DV147" s="569"/>
      <c r="DW147" s="569"/>
      <c r="DX147" s="569"/>
      <c r="DY147" s="569"/>
      <c r="DZ147" s="569"/>
      <c r="EA147" s="569"/>
      <c r="EB147" s="569"/>
      <c r="EC147" s="569"/>
      <c r="ED147" s="569"/>
      <c r="EE147" s="569"/>
      <c r="EF147" s="569"/>
      <c r="EG147" s="569"/>
      <c r="EH147" s="569"/>
      <c r="EI147" s="569"/>
      <c r="EJ147" s="569"/>
      <c r="EK147" s="569"/>
      <c r="EL147" s="569"/>
      <c r="EM147" s="569"/>
      <c r="EN147" s="569"/>
      <c r="EO147" s="569"/>
      <c r="EP147" s="569"/>
      <c r="EQ147" s="569"/>
      <c r="ER147" s="569"/>
      <c r="ES147" s="569"/>
      <c r="ET147" s="569"/>
      <c r="EU147" s="569"/>
      <c r="EV147" s="569"/>
      <c r="EW147" s="569"/>
      <c r="EX147" s="569"/>
      <c r="EY147" s="569"/>
      <c r="EZ147" s="569"/>
      <c r="FA147" s="569"/>
      <c r="FB147" s="569"/>
      <c r="FC147" s="569"/>
      <c r="FD147" s="569"/>
      <c r="FE147" s="569"/>
      <c r="FF147" s="569"/>
      <c r="FG147" s="569"/>
      <c r="FH147" s="569"/>
      <c r="FI147" s="569"/>
      <c r="FJ147" s="569"/>
      <c r="FK147" s="569"/>
      <c r="FL147" s="569"/>
      <c r="FM147" s="569"/>
      <c r="FN147" s="569"/>
      <c r="FO147" s="569"/>
      <c r="FP147" s="569"/>
      <c r="FQ147" s="569"/>
      <c r="FR147" s="569"/>
      <c r="FS147" s="569"/>
      <c r="FT147" s="569"/>
      <c r="FU147" s="569"/>
      <c r="FV147" s="569"/>
      <c r="FW147" s="569"/>
      <c r="FX147" s="569"/>
      <c r="FY147" s="569"/>
      <c r="FZ147" s="569"/>
      <c r="GA147" s="569"/>
      <c r="GB147" s="569"/>
      <c r="GC147" s="569"/>
      <c r="GD147" s="569"/>
      <c r="GE147" s="569"/>
      <c r="GF147" s="569"/>
      <c r="GG147" s="569"/>
      <c r="GH147" s="569"/>
      <c r="GI147" s="569"/>
      <c r="GJ147" s="569"/>
      <c r="GK147" s="569"/>
      <c r="GL147" s="569"/>
      <c r="GM147" s="569"/>
      <c r="GN147" s="569"/>
      <c r="GO147" s="569"/>
      <c r="GP147" s="569"/>
      <c r="GQ147" s="569"/>
      <c r="GR147" s="569"/>
      <c r="GS147" s="569"/>
      <c r="GT147" s="569"/>
    </row>
    <row r="148" spans="2:202" s="554" customFormat="1">
      <c r="B148" s="590"/>
      <c r="C148" s="590"/>
      <c r="D148" s="590"/>
      <c r="E148" s="590"/>
      <c r="F148" s="590"/>
      <c r="G148" s="590"/>
      <c r="H148" s="590"/>
      <c r="I148" s="590"/>
      <c r="J148" s="590"/>
      <c r="K148" s="590"/>
      <c r="L148" s="590"/>
      <c r="M148" s="590"/>
      <c r="N148" s="590"/>
      <c r="O148" s="590"/>
      <c r="P148" s="590"/>
      <c r="Q148" s="590"/>
      <c r="R148" s="590"/>
      <c r="S148" s="590"/>
      <c r="T148" s="578"/>
      <c r="U148" s="590"/>
      <c r="V148" s="590"/>
      <c r="W148" s="590"/>
      <c r="X148" s="590"/>
      <c r="Y148" s="590"/>
      <c r="Z148" s="590"/>
      <c r="AA148" s="590"/>
      <c r="AB148" s="590"/>
      <c r="AC148" s="590"/>
      <c r="AD148" s="590"/>
      <c r="AE148" s="590"/>
      <c r="AF148" s="590"/>
      <c r="AG148" s="590"/>
      <c r="AH148" s="569"/>
      <c r="AI148" s="569"/>
      <c r="AJ148" s="569"/>
      <c r="AK148" s="569"/>
      <c r="AL148" s="569"/>
      <c r="AM148" s="569"/>
      <c r="AN148" s="569"/>
      <c r="AO148" s="569"/>
      <c r="AP148" s="569"/>
      <c r="AQ148" s="569"/>
      <c r="AR148" s="569"/>
      <c r="AS148" s="569"/>
      <c r="AT148" s="569"/>
      <c r="AU148" s="569"/>
      <c r="AV148" s="569"/>
      <c r="AW148" s="569"/>
      <c r="AX148" s="569"/>
      <c r="AY148" s="569"/>
      <c r="AZ148" s="569"/>
      <c r="BA148" s="569"/>
      <c r="BB148" s="569"/>
      <c r="BC148" s="569"/>
      <c r="BD148" s="569"/>
      <c r="BE148" s="569"/>
      <c r="BF148" s="569"/>
      <c r="BG148" s="569"/>
      <c r="BH148" s="569"/>
      <c r="BI148" s="569"/>
      <c r="BJ148" s="569"/>
      <c r="BK148" s="569"/>
      <c r="BL148" s="569"/>
      <c r="BM148" s="569"/>
      <c r="BN148" s="569"/>
      <c r="BO148" s="569"/>
      <c r="BP148" s="569"/>
      <c r="BQ148" s="569"/>
      <c r="BR148" s="569"/>
      <c r="BS148" s="569"/>
      <c r="BT148" s="569"/>
      <c r="BU148" s="569"/>
      <c r="BV148" s="569"/>
      <c r="BW148" s="569"/>
      <c r="BX148" s="569"/>
      <c r="BY148" s="569"/>
      <c r="BZ148" s="569"/>
      <c r="CA148" s="569"/>
      <c r="CB148" s="569"/>
      <c r="CC148" s="569"/>
      <c r="CD148" s="569"/>
      <c r="CE148" s="569"/>
      <c r="CF148" s="569"/>
      <c r="CG148" s="569"/>
      <c r="CH148" s="569"/>
      <c r="CI148" s="569"/>
      <c r="CJ148" s="569"/>
      <c r="CK148" s="569"/>
      <c r="CL148" s="569"/>
      <c r="CM148" s="569"/>
      <c r="CN148" s="569"/>
      <c r="CO148" s="569"/>
      <c r="CP148" s="569"/>
      <c r="CQ148" s="569"/>
      <c r="CR148" s="569"/>
      <c r="CS148" s="569"/>
      <c r="CT148" s="569"/>
      <c r="CU148" s="569"/>
      <c r="CV148" s="569"/>
      <c r="CW148" s="569"/>
      <c r="CX148" s="569"/>
      <c r="CY148" s="569"/>
      <c r="CZ148" s="569"/>
      <c r="DA148" s="569"/>
      <c r="DB148" s="569"/>
      <c r="DC148" s="569"/>
      <c r="DD148" s="569"/>
      <c r="DE148" s="569"/>
      <c r="DF148" s="569"/>
      <c r="DG148" s="569"/>
      <c r="DH148" s="569"/>
      <c r="DI148" s="569"/>
      <c r="DJ148" s="569"/>
      <c r="DK148" s="569"/>
      <c r="DL148" s="569"/>
      <c r="DM148" s="569"/>
      <c r="DN148" s="569"/>
      <c r="DO148" s="569"/>
      <c r="DP148" s="569"/>
      <c r="DQ148" s="569"/>
      <c r="DR148" s="569"/>
      <c r="DS148" s="569"/>
      <c r="DT148" s="569"/>
      <c r="DU148" s="569"/>
      <c r="DV148" s="569"/>
      <c r="DW148" s="569"/>
      <c r="DX148" s="569"/>
      <c r="DY148" s="569"/>
      <c r="DZ148" s="569"/>
      <c r="EA148" s="569"/>
      <c r="EB148" s="569"/>
      <c r="EC148" s="569"/>
      <c r="ED148" s="569"/>
      <c r="EE148" s="569"/>
      <c r="EF148" s="569"/>
      <c r="EG148" s="569"/>
      <c r="EH148" s="569"/>
      <c r="EI148" s="569"/>
      <c r="EJ148" s="569"/>
      <c r="EK148" s="569"/>
      <c r="EL148" s="569"/>
      <c r="EM148" s="569"/>
      <c r="EN148" s="569"/>
      <c r="EO148" s="569"/>
      <c r="EP148" s="569"/>
      <c r="EQ148" s="569"/>
      <c r="ER148" s="569"/>
      <c r="ES148" s="569"/>
      <c r="ET148" s="569"/>
      <c r="EU148" s="569"/>
      <c r="EV148" s="569"/>
      <c r="EW148" s="569"/>
      <c r="EX148" s="569"/>
      <c r="EY148" s="569"/>
      <c r="EZ148" s="569"/>
      <c r="FA148" s="569"/>
      <c r="FB148" s="569"/>
      <c r="FC148" s="569"/>
      <c r="FD148" s="569"/>
      <c r="FE148" s="569"/>
      <c r="FF148" s="569"/>
      <c r="FG148" s="569"/>
      <c r="FH148" s="569"/>
      <c r="FI148" s="569"/>
      <c r="FJ148" s="569"/>
      <c r="FK148" s="569"/>
      <c r="FL148" s="569"/>
      <c r="FM148" s="569"/>
      <c r="FN148" s="569"/>
      <c r="FO148" s="569"/>
      <c r="FP148" s="569"/>
      <c r="FQ148" s="569"/>
      <c r="FR148" s="569"/>
      <c r="FS148" s="569"/>
      <c r="FT148" s="569"/>
      <c r="FU148" s="569"/>
      <c r="FV148" s="569"/>
      <c r="FW148" s="569"/>
      <c r="FX148" s="569"/>
      <c r="FY148" s="569"/>
      <c r="FZ148" s="569"/>
      <c r="GA148" s="569"/>
      <c r="GB148" s="569"/>
      <c r="GC148" s="569"/>
      <c r="GD148" s="569"/>
      <c r="GE148" s="569"/>
      <c r="GF148" s="569"/>
      <c r="GG148" s="569"/>
      <c r="GH148" s="569"/>
      <c r="GI148" s="569"/>
      <c r="GJ148" s="569"/>
      <c r="GK148" s="569"/>
      <c r="GL148" s="569"/>
      <c r="GM148" s="569"/>
      <c r="GN148" s="569"/>
      <c r="GO148" s="569"/>
      <c r="GP148" s="569"/>
      <c r="GQ148" s="569"/>
      <c r="GR148" s="569"/>
      <c r="GS148" s="569"/>
      <c r="GT148" s="569"/>
    </row>
    <row r="149" spans="2:202" s="554" customFormat="1">
      <c r="B149" s="590"/>
      <c r="C149" s="590"/>
      <c r="D149" s="590"/>
      <c r="E149" s="590"/>
      <c r="F149" s="590"/>
      <c r="G149" s="590"/>
      <c r="H149" s="590"/>
      <c r="I149" s="590"/>
      <c r="J149" s="590"/>
      <c r="K149" s="590"/>
      <c r="L149" s="590"/>
      <c r="M149" s="590"/>
      <c r="N149" s="590"/>
      <c r="O149" s="590"/>
      <c r="P149" s="590"/>
      <c r="Q149" s="590"/>
      <c r="R149" s="590"/>
      <c r="S149" s="590"/>
      <c r="T149" s="578"/>
      <c r="U149" s="590"/>
      <c r="V149" s="590"/>
      <c r="W149" s="590"/>
      <c r="X149" s="590"/>
      <c r="Y149" s="590"/>
      <c r="Z149" s="590"/>
      <c r="AA149" s="590"/>
      <c r="AB149" s="590"/>
      <c r="AC149" s="590"/>
      <c r="AD149" s="590"/>
      <c r="AE149" s="590"/>
      <c r="AF149" s="590"/>
      <c r="AG149" s="590"/>
      <c r="AH149" s="569"/>
      <c r="AI149" s="569"/>
      <c r="AJ149" s="569"/>
      <c r="AK149" s="569"/>
      <c r="AL149" s="569"/>
      <c r="AM149" s="569"/>
      <c r="AN149" s="569"/>
      <c r="AO149" s="569"/>
      <c r="AP149" s="569"/>
      <c r="AQ149" s="569"/>
      <c r="AR149" s="569"/>
      <c r="AS149" s="569"/>
      <c r="AT149" s="569"/>
      <c r="AU149" s="569"/>
      <c r="AV149" s="569"/>
      <c r="AW149" s="569"/>
      <c r="AX149" s="569"/>
      <c r="AY149" s="569"/>
      <c r="AZ149" s="569"/>
      <c r="BA149" s="569"/>
      <c r="BB149" s="569"/>
      <c r="BC149" s="569"/>
      <c r="BD149" s="569"/>
      <c r="BE149" s="569"/>
      <c r="BF149" s="569"/>
      <c r="BG149" s="569"/>
      <c r="BH149" s="569"/>
      <c r="BI149" s="569"/>
      <c r="BJ149" s="569"/>
      <c r="BK149" s="569"/>
      <c r="BL149" s="569"/>
      <c r="BM149" s="569"/>
      <c r="BN149" s="569"/>
      <c r="BO149" s="569"/>
      <c r="BP149" s="569"/>
      <c r="BQ149" s="569"/>
      <c r="BR149" s="569"/>
      <c r="BS149" s="569"/>
      <c r="BT149" s="569"/>
      <c r="BU149" s="569"/>
      <c r="BV149" s="569"/>
      <c r="BW149" s="569"/>
      <c r="BX149" s="569"/>
      <c r="BY149" s="569"/>
      <c r="BZ149" s="569"/>
      <c r="CA149" s="569"/>
      <c r="CB149" s="569"/>
      <c r="CC149" s="569"/>
      <c r="CD149" s="569"/>
      <c r="CE149" s="569"/>
      <c r="CF149" s="569"/>
      <c r="CG149" s="569"/>
      <c r="CH149" s="569"/>
      <c r="CI149" s="569"/>
      <c r="CJ149" s="569"/>
      <c r="CK149" s="569"/>
      <c r="CL149" s="569"/>
      <c r="CM149" s="569"/>
      <c r="CN149" s="569"/>
      <c r="CO149" s="569"/>
      <c r="CP149" s="569"/>
      <c r="CQ149" s="569"/>
      <c r="CR149" s="569"/>
      <c r="CS149" s="569"/>
      <c r="CT149" s="569"/>
      <c r="CU149" s="569"/>
      <c r="CV149" s="569"/>
      <c r="CW149" s="569"/>
      <c r="CX149" s="569"/>
      <c r="CY149" s="569"/>
      <c r="CZ149" s="569"/>
      <c r="DA149" s="569"/>
      <c r="DB149" s="569"/>
      <c r="DC149" s="569"/>
      <c r="DD149" s="569"/>
      <c r="DE149" s="569"/>
      <c r="DF149" s="569"/>
      <c r="DG149" s="569"/>
      <c r="DH149" s="569"/>
      <c r="DI149" s="569"/>
      <c r="DJ149" s="569"/>
      <c r="DK149" s="569"/>
      <c r="DL149" s="569"/>
      <c r="DM149" s="569"/>
      <c r="DN149" s="569"/>
      <c r="DO149" s="569"/>
      <c r="DP149" s="569"/>
      <c r="DQ149" s="569"/>
      <c r="DR149" s="569"/>
      <c r="DS149" s="569"/>
      <c r="DT149" s="569"/>
      <c r="DU149" s="569"/>
      <c r="DV149" s="569"/>
      <c r="DW149" s="569"/>
      <c r="DX149" s="569"/>
      <c r="DY149" s="569"/>
      <c r="DZ149" s="569"/>
      <c r="EA149" s="569"/>
      <c r="EB149" s="569"/>
      <c r="EC149" s="569"/>
      <c r="ED149" s="569"/>
      <c r="EE149" s="569"/>
      <c r="EF149" s="569"/>
      <c r="EG149" s="569"/>
      <c r="EH149" s="569"/>
      <c r="EI149" s="569"/>
      <c r="EJ149" s="569"/>
      <c r="EK149" s="569"/>
      <c r="EL149" s="569"/>
      <c r="EM149" s="569"/>
      <c r="EN149" s="569"/>
      <c r="EO149" s="569"/>
      <c r="EP149" s="569"/>
      <c r="EQ149" s="569"/>
      <c r="ER149" s="569"/>
      <c r="ES149" s="569"/>
      <c r="ET149" s="569"/>
      <c r="EU149" s="569"/>
      <c r="EV149" s="569"/>
      <c r="EW149" s="569"/>
      <c r="EX149" s="569"/>
      <c r="EY149" s="569"/>
      <c r="EZ149" s="569"/>
      <c r="FA149" s="569"/>
      <c r="FB149" s="569"/>
      <c r="FC149" s="569"/>
      <c r="FD149" s="569"/>
      <c r="FE149" s="569"/>
      <c r="FF149" s="569"/>
      <c r="FG149" s="569"/>
      <c r="FH149" s="569"/>
      <c r="FI149" s="569"/>
      <c r="FJ149" s="569"/>
      <c r="FK149" s="569"/>
      <c r="FL149" s="569"/>
      <c r="FM149" s="569"/>
      <c r="FN149" s="569"/>
      <c r="FO149" s="569"/>
      <c r="FP149" s="569"/>
      <c r="FQ149" s="569"/>
      <c r="FR149" s="569"/>
      <c r="FS149" s="569"/>
      <c r="FT149" s="569"/>
      <c r="FU149" s="569"/>
      <c r="FV149" s="569"/>
      <c r="FW149" s="569"/>
      <c r="FX149" s="569"/>
      <c r="FY149" s="569"/>
      <c r="FZ149" s="569"/>
      <c r="GA149" s="569"/>
      <c r="GB149" s="569"/>
      <c r="GC149" s="569"/>
      <c r="GD149" s="569"/>
      <c r="GE149" s="569"/>
      <c r="GF149" s="569"/>
      <c r="GG149" s="569"/>
      <c r="GH149" s="569"/>
      <c r="GI149" s="569"/>
      <c r="GJ149" s="569"/>
      <c r="GK149" s="569"/>
      <c r="GL149" s="569"/>
      <c r="GM149" s="569"/>
      <c r="GN149" s="569"/>
      <c r="GO149" s="569"/>
      <c r="GP149" s="569"/>
      <c r="GQ149" s="569"/>
      <c r="GR149" s="569"/>
      <c r="GS149" s="569"/>
      <c r="GT149" s="569"/>
    </row>
    <row r="150" spans="2:202" s="554" customFormat="1">
      <c r="B150" s="590"/>
      <c r="C150" s="590"/>
      <c r="D150" s="590"/>
      <c r="E150" s="590"/>
      <c r="F150" s="590"/>
      <c r="G150" s="590"/>
      <c r="H150" s="590"/>
      <c r="I150" s="590"/>
      <c r="J150" s="590"/>
      <c r="K150" s="590"/>
      <c r="L150" s="590"/>
      <c r="M150" s="590"/>
      <c r="N150" s="590"/>
      <c r="O150" s="590"/>
      <c r="P150" s="590"/>
      <c r="Q150" s="590"/>
      <c r="R150" s="590"/>
      <c r="S150" s="590"/>
      <c r="T150" s="578"/>
      <c r="U150" s="590"/>
      <c r="V150" s="590"/>
      <c r="W150" s="590"/>
      <c r="X150" s="590"/>
      <c r="Y150" s="590"/>
      <c r="Z150" s="590"/>
      <c r="AA150" s="590"/>
      <c r="AB150" s="590"/>
      <c r="AC150" s="590"/>
      <c r="AD150" s="590"/>
      <c r="AE150" s="590"/>
      <c r="AF150" s="590"/>
      <c r="AG150" s="590"/>
      <c r="AH150" s="569"/>
      <c r="AI150" s="569"/>
      <c r="AJ150" s="569"/>
      <c r="AK150" s="569"/>
      <c r="AL150" s="569"/>
      <c r="AM150" s="569"/>
      <c r="AN150" s="569"/>
      <c r="AO150" s="569"/>
      <c r="AP150" s="569"/>
      <c r="AQ150" s="569"/>
      <c r="AR150" s="569"/>
      <c r="AS150" s="569"/>
      <c r="AT150" s="569"/>
      <c r="AU150" s="569"/>
      <c r="AV150" s="569"/>
      <c r="AW150" s="569"/>
      <c r="AX150" s="569"/>
      <c r="AY150" s="569"/>
      <c r="AZ150" s="569"/>
      <c r="BA150" s="569"/>
      <c r="BB150" s="569"/>
      <c r="BC150" s="569"/>
      <c r="BD150" s="569"/>
      <c r="BE150" s="569"/>
      <c r="BF150" s="569"/>
      <c r="BG150" s="569"/>
      <c r="BH150" s="569"/>
      <c r="BI150" s="569"/>
      <c r="BJ150" s="569"/>
      <c r="BK150" s="569"/>
      <c r="BL150" s="569"/>
      <c r="BM150" s="569"/>
      <c r="BN150" s="569"/>
      <c r="BO150" s="569"/>
      <c r="BP150" s="569"/>
      <c r="BQ150" s="569"/>
      <c r="BR150" s="569"/>
      <c r="BS150" s="569"/>
      <c r="BT150" s="569"/>
      <c r="BU150" s="569"/>
      <c r="BV150" s="569"/>
      <c r="BW150" s="569"/>
      <c r="BX150" s="569"/>
      <c r="BY150" s="569"/>
      <c r="BZ150" s="569"/>
      <c r="CA150" s="569"/>
      <c r="CB150" s="569"/>
      <c r="CC150" s="569"/>
      <c r="CD150" s="569"/>
      <c r="CE150" s="569"/>
      <c r="CF150" s="569"/>
      <c r="CG150" s="569"/>
      <c r="CH150" s="569"/>
      <c r="CI150" s="569"/>
      <c r="CJ150" s="569"/>
      <c r="CK150" s="569"/>
      <c r="CL150" s="569"/>
      <c r="CM150" s="569"/>
      <c r="CN150" s="569"/>
      <c r="CO150" s="569"/>
      <c r="CP150" s="569"/>
      <c r="CQ150" s="569"/>
      <c r="CR150" s="569"/>
      <c r="CS150" s="569"/>
      <c r="CT150" s="569"/>
      <c r="CU150" s="569"/>
      <c r="CV150" s="569"/>
      <c r="CW150" s="569"/>
      <c r="CX150" s="569"/>
      <c r="CY150" s="569"/>
      <c r="CZ150" s="569"/>
      <c r="DA150" s="569"/>
      <c r="DB150" s="569"/>
      <c r="DC150" s="569"/>
      <c r="DD150" s="569"/>
      <c r="DE150" s="569"/>
      <c r="DF150" s="569"/>
      <c r="DG150" s="569"/>
      <c r="DH150" s="569"/>
      <c r="DI150" s="569"/>
      <c r="DJ150" s="569"/>
      <c r="DK150" s="569"/>
      <c r="DL150" s="569"/>
      <c r="DM150" s="569"/>
      <c r="DN150" s="569"/>
      <c r="DO150" s="569"/>
      <c r="DP150" s="569"/>
      <c r="DQ150" s="569"/>
      <c r="DR150" s="569"/>
      <c r="DS150" s="569"/>
      <c r="DT150" s="569"/>
      <c r="DU150" s="569"/>
      <c r="DV150" s="569"/>
      <c r="DW150" s="569"/>
      <c r="DX150" s="569"/>
      <c r="DY150" s="569"/>
      <c r="DZ150" s="569"/>
      <c r="EA150" s="569"/>
      <c r="EB150" s="569"/>
      <c r="EC150" s="569"/>
      <c r="ED150" s="569"/>
      <c r="EE150" s="569"/>
      <c r="EF150" s="569"/>
      <c r="EG150" s="569"/>
      <c r="EH150" s="569"/>
      <c r="EI150" s="569"/>
      <c r="EJ150" s="569"/>
      <c r="EK150" s="569"/>
      <c r="EL150" s="569"/>
      <c r="EM150" s="569"/>
      <c r="EN150" s="569"/>
      <c r="EO150" s="569"/>
      <c r="EP150" s="569"/>
      <c r="EQ150" s="569"/>
      <c r="ER150" s="569"/>
      <c r="ES150" s="569"/>
      <c r="ET150" s="569"/>
      <c r="EU150" s="569"/>
      <c r="EV150" s="569"/>
      <c r="EW150" s="569"/>
      <c r="EX150" s="569"/>
      <c r="EY150" s="569"/>
      <c r="EZ150" s="569"/>
      <c r="FA150" s="569"/>
      <c r="FB150" s="569"/>
      <c r="FC150" s="569"/>
      <c r="FD150" s="569"/>
      <c r="FE150" s="569"/>
      <c r="FF150" s="569"/>
      <c r="FG150" s="569"/>
      <c r="FH150" s="569"/>
      <c r="FI150" s="569"/>
      <c r="FJ150" s="569"/>
      <c r="FK150" s="569"/>
      <c r="FL150" s="569"/>
      <c r="FM150" s="569"/>
      <c r="FN150" s="569"/>
      <c r="FO150" s="569"/>
      <c r="FP150" s="569"/>
      <c r="FQ150" s="569"/>
      <c r="FR150" s="569"/>
      <c r="FS150" s="569"/>
      <c r="FT150" s="569"/>
      <c r="FU150" s="569"/>
      <c r="FV150" s="569"/>
      <c r="FW150" s="569"/>
      <c r="FX150" s="569"/>
      <c r="FY150" s="569"/>
      <c r="FZ150" s="569"/>
      <c r="GA150" s="569"/>
      <c r="GB150" s="569"/>
      <c r="GC150" s="569"/>
      <c r="GD150" s="569"/>
      <c r="GE150" s="569"/>
      <c r="GF150" s="569"/>
      <c r="GG150" s="569"/>
      <c r="GH150" s="569"/>
      <c r="GI150" s="569"/>
      <c r="GJ150" s="569"/>
      <c r="GK150" s="569"/>
      <c r="GL150" s="569"/>
      <c r="GM150" s="569"/>
      <c r="GN150" s="569"/>
      <c r="GO150" s="569"/>
      <c r="GP150" s="569"/>
      <c r="GQ150" s="569"/>
      <c r="GR150" s="569"/>
      <c r="GS150" s="569"/>
      <c r="GT150" s="569"/>
    </row>
    <row r="151" spans="2:202" s="554" customFormat="1">
      <c r="B151" s="590"/>
      <c r="C151" s="590"/>
      <c r="D151" s="590"/>
      <c r="E151" s="590"/>
      <c r="F151" s="590"/>
      <c r="G151" s="590"/>
      <c r="H151" s="590"/>
      <c r="I151" s="590"/>
      <c r="J151" s="590"/>
      <c r="K151" s="590"/>
      <c r="L151" s="590"/>
      <c r="M151" s="590"/>
      <c r="N151" s="590"/>
      <c r="O151" s="590"/>
      <c r="P151" s="590"/>
      <c r="Q151" s="590"/>
      <c r="R151" s="590"/>
      <c r="S151" s="590"/>
      <c r="T151" s="578"/>
      <c r="U151" s="590"/>
      <c r="V151" s="590"/>
      <c r="W151" s="590"/>
      <c r="X151" s="590"/>
      <c r="Y151" s="590"/>
      <c r="Z151" s="590"/>
      <c r="AA151" s="590"/>
      <c r="AB151" s="590"/>
      <c r="AC151" s="590"/>
      <c r="AD151" s="590"/>
      <c r="AE151" s="590"/>
      <c r="AF151" s="590"/>
      <c r="AG151" s="590"/>
      <c r="AH151" s="569"/>
      <c r="AI151" s="569"/>
      <c r="AJ151" s="569"/>
      <c r="AK151" s="569"/>
      <c r="AL151" s="569"/>
      <c r="AM151" s="569"/>
      <c r="AN151" s="569"/>
      <c r="AO151" s="569"/>
      <c r="AP151" s="569"/>
      <c r="AQ151" s="569"/>
      <c r="AR151" s="569"/>
      <c r="AS151" s="569"/>
      <c r="AT151" s="569"/>
      <c r="AU151" s="569"/>
      <c r="AV151" s="569"/>
      <c r="AW151" s="569"/>
      <c r="AX151" s="569"/>
      <c r="AY151" s="569"/>
      <c r="AZ151" s="569"/>
      <c r="BA151" s="569"/>
      <c r="BB151" s="569"/>
      <c r="BC151" s="569"/>
      <c r="BD151" s="569"/>
      <c r="BE151" s="569"/>
      <c r="BF151" s="569"/>
      <c r="BG151" s="569"/>
      <c r="BH151" s="569"/>
      <c r="BI151" s="569"/>
      <c r="BJ151" s="569"/>
      <c r="BK151" s="569"/>
      <c r="BL151" s="569"/>
      <c r="BM151" s="569"/>
      <c r="BN151" s="569"/>
      <c r="BO151" s="569"/>
      <c r="BP151" s="569"/>
      <c r="BQ151" s="569"/>
      <c r="BR151" s="569"/>
      <c r="BS151" s="569"/>
      <c r="BT151" s="569"/>
      <c r="BU151" s="569"/>
      <c r="BV151" s="569"/>
      <c r="BW151" s="569"/>
      <c r="BX151" s="569"/>
      <c r="BY151" s="569"/>
      <c r="BZ151" s="569"/>
      <c r="CA151" s="569"/>
      <c r="CB151" s="569"/>
      <c r="CC151" s="569"/>
      <c r="CD151" s="569"/>
      <c r="CE151" s="569"/>
      <c r="CF151" s="569"/>
      <c r="CG151" s="569"/>
      <c r="CH151" s="569"/>
      <c r="CI151" s="569"/>
      <c r="CJ151" s="569"/>
      <c r="CK151" s="569"/>
      <c r="CL151" s="569"/>
      <c r="CM151" s="569"/>
      <c r="CN151" s="569"/>
      <c r="CO151" s="569"/>
      <c r="CP151" s="569"/>
      <c r="CQ151" s="569"/>
      <c r="CR151" s="569"/>
      <c r="CS151" s="569"/>
      <c r="CT151" s="569"/>
      <c r="CU151" s="569"/>
      <c r="CV151" s="569"/>
      <c r="CW151" s="569"/>
      <c r="CX151" s="569"/>
      <c r="CY151" s="569"/>
      <c r="CZ151" s="569"/>
      <c r="DA151" s="569"/>
      <c r="DB151" s="569"/>
      <c r="DC151" s="569"/>
      <c r="DD151" s="569"/>
      <c r="DE151" s="569"/>
      <c r="DF151" s="569"/>
      <c r="DG151" s="569"/>
      <c r="DH151" s="569"/>
      <c r="DI151" s="569"/>
      <c r="DJ151" s="569"/>
      <c r="DK151" s="569"/>
      <c r="DL151" s="569"/>
      <c r="DM151" s="569"/>
      <c r="DN151" s="569"/>
      <c r="DO151" s="569"/>
      <c r="DP151" s="569"/>
      <c r="DQ151" s="569"/>
      <c r="DR151" s="569"/>
      <c r="DS151" s="569"/>
      <c r="DT151" s="569"/>
      <c r="DU151" s="569"/>
      <c r="DV151" s="569"/>
      <c r="DW151" s="569"/>
      <c r="DX151" s="569"/>
      <c r="DY151" s="569"/>
      <c r="DZ151" s="569"/>
      <c r="EA151" s="569"/>
      <c r="EB151" s="569"/>
      <c r="EC151" s="569"/>
      <c r="ED151" s="569"/>
      <c r="EE151" s="569"/>
      <c r="EF151" s="569"/>
      <c r="EG151" s="569"/>
      <c r="EH151" s="569"/>
      <c r="EI151" s="569"/>
      <c r="EJ151" s="569"/>
      <c r="EK151" s="569"/>
      <c r="EL151" s="569"/>
      <c r="EM151" s="569"/>
      <c r="EN151" s="569"/>
      <c r="EO151" s="569"/>
      <c r="EP151" s="569"/>
      <c r="EQ151" s="569"/>
      <c r="ER151" s="569"/>
      <c r="ES151" s="569"/>
      <c r="ET151" s="569"/>
      <c r="EU151" s="569"/>
      <c r="EV151" s="569"/>
      <c r="EW151" s="569"/>
      <c r="EX151" s="569"/>
      <c r="EY151" s="569"/>
      <c r="EZ151" s="569"/>
      <c r="FA151" s="569"/>
      <c r="FB151" s="569"/>
      <c r="FC151" s="569"/>
      <c r="FD151" s="569"/>
      <c r="FE151" s="569"/>
      <c r="FF151" s="569"/>
      <c r="FG151" s="569"/>
      <c r="FH151" s="569"/>
      <c r="FI151" s="569"/>
      <c r="FJ151" s="569"/>
      <c r="FK151" s="569"/>
      <c r="FL151" s="569"/>
      <c r="FM151" s="569"/>
      <c r="FN151" s="569"/>
      <c r="FO151" s="569"/>
      <c r="FP151" s="569"/>
      <c r="FQ151" s="569"/>
      <c r="FR151" s="569"/>
      <c r="FS151" s="569"/>
      <c r="FT151" s="569"/>
      <c r="FU151" s="569"/>
      <c r="FV151" s="569"/>
      <c r="FW151" s="569"/>
      <c r="FX151" s="569"/>
      <c r="FY151" s="569"/>
      <c r="FZ151" s="569"/>
      <c r="GA151" s="569"/>
      <c r="GB151" s="569"/>
      <c r="GC151" s="569"/>
      <c r="GD151" s="569"/>
      <c r="GE151" s="569"/>
      <c r="GF151" s="569"/>
      <c r="GG151" s="569"/>
      <c r="GH151" s="569"/>
      <c r="GI151" s="569"/>
      <c r="GJ151" s="569"/>
      <c r="GK151" s="569"/>
      <c r="GL151" s="569"/>
      <c r="GM151" s="569"/>
      <c r="GN151" s="569"/>
      <c r="GO151" s="569"/>
      <c r="GP151" s="569"/>
      <c r="GQ151" s="569"/>
      <c r="GR151" s="569"/>
      <c r="GS151" s="569"/>
      <c r="GT151" s="569"/>
    </row>
    <row r="152" spans="2:202" s="554" customFormat="1">
      <c r="B152" s="590"/>
      <c r="C152" s="590"/>
      <c r="D152" s="590"/>
      <c r="E152" s="590"/>
      <c r="F152" s="590"/>
      <c r="G152" s="590"/>
      <c r="H152" s="590"/>
      <c r="I152" s="590"/>
      <c r="J152" s="590"/>
      <c r="K152" s="590"/>
      <c r="L152" s="590"/>
      <c r="M152" s="590"/>
      <c r="N152" s="590"/>
      <c r="O152" s="590"/>
      <c r="P152" s="590"/>
      <c r="Q152" s="590"/>
      <c r="R152" s="590"/>
      <c r="S152" s="590"/>
      <c r="T152" s="578"/>
      <c r="U152" s="590"/>
      <c r="V152" s="590"/>
      <c r="W152" s="590"/>
      <c r="X152" s="590"/>
      <c r="Y152" s="590"/>
      <c r="Z152" s="590"/>
      <c r="AA152" s="590"/>
      <c r="AB152" s="590"/>
      <c r="AC152" s="590"/>
      <c r="AD152" s="590"/>
      <c r="AE152" s="590"/>
      <c r="AF152" s="590"/>
      <c r="AG152" s="590"/>
      <c r="AH152" s="569"/>
      <c r="AI152" s="569"/>
      <c r="AJ152" s="569"/>
      <c r="AK152" s="569"/>
      <c r="AL152" s="569"/>
      <c r="AM152" s="569"/>
      <c r="AN152" s="569"/>
      <c r="AO152" s="569"/>
      <c r="AP152" s="569"/>
      <c r="AQ152" s="569"/>
      <c r="AR152" s="569"/>
      <c r="AS152" s="569"/>
      <c r="AT152" s="569"/>
      <c r="AU152" s="569"/>
      <c r="AV152" s="569"/>
      <c r="AW152" s="569"/>
      <c r="AX152" s="569"/>
      <c r="AY152" s="569"/>
      <c r="AZ152" s="569"/>
      <c r="BA152" s="569"/>
      <c r="BB152" s="569"/>
      <c r="BC152" s="569"/>
      <c r="BD152" s="569"/>
      <c r="BE152" s="569"/>
      <c r="BF152" s="569"/>
      <c r="BG152" s="569"/>
      <c r="BH152" s="569"/>
      <c r="BI152" s="569"/>
      <c r="BJ152" s="569"/>
      <c r="BK152" s="569"/>
      <c r="BL152" s="569"/>
      <c r="BM152" s="569"/>
      <c r="BN152" s="569"/>
      <c r="BO152" s="569"/>
      <c r="BP152" s="569"/>
      <c r="BQ152" s="569"/>
      <c r="BR152" s="569"/>
      <c r="BS152" s="569"/>
      <c r="BT152" s="569"/>
      <c r="BU152" s="569"/>
      <c r="BV152" s="569"/>
      <c r="BW152" s="569"/>
      <c r="BX152" s="569"/>
      <c r="BY152" s="569"/>
      <c r="BZ152" s="569"/>
      <c r="CA152" s="569"/>
      <c r="CB152" s="569"/>
      <c r="CC152" s="569"/>
      <c r="CD152" s="569"/>
      <c r="CE152" s="569"/>
      <c r="CF152" s="569"/>
      <c r="CG152" s="569"/>
      <c r="CH152" s="569"/>
      <c r="CI152" s="569"/>
      <c r="CJ152" s="569"/>
      <c r="CK152" s="569"/>
      <c r="CL152" s="569"/>
      <c r="CM152" s="569"/>
      <c r="CN152" s="569"/>
      <c r="CO152" s="569"/>
      <c r="CP152" s="569"/>
      <c r="CQ152" s="569"/>
      <c r="CR152" s="569"/>
      <c r="CS152" s="569"/>
      <c r="CT152" s="569"/>
      <c r="CU152" s="569"/>
      <c r="CV152" s="569"/>
      <c r="CW152" s="569"/>
      <c r="CX152" s="569"/>
      <c r="CY152" s="569"/>
      <c r="CZ152" s="569"/>
      <c r="DA152" s="569"/>
      <c r="DB152" s="569"/>
      <c r="DC152" s="569"/>
      <c r="DD152" s="569"/>
      <c r="DE152" s="569"/>
      <c r="DF152" s="569"/>
      <c r="DG152" s="569"/>
      <c r="DH152" s="569"/>
      <c r="DI152" s="569"/>
      <c r="DJ152" s="569"/>
      <c r="DK152" s="569"/>
      <c r="DL152" s="569"/>
      <c r="DM152" s="569"/>
      <c r="DN152" s="569"/>
      <c r="DO152" s="569"/>
      <c r="DP152" s="569"/>
      <c r="DQ152" s="569"/>
      <c r="DR152" s="569"/>
      <c r="DS152" s="569"/>
      <c r="DT152" s="569"/>
      <c r="DU152" s="569"/>
      <c r="DV152" s="569"/>
      <c r="DW152" s="569"/>
      <c r="DX152" s="569"/>
      <c r="DY152" s="569"/>
      <c r="DZ152" s="569"/>
      <c r="EA152" s="569"/>
      <c r="EB152" s="569"/>
      <c r="EC152" s="569"/>
      <c r="ED152" s="569"/>
      <c r="EE152" s="569"/>
      <c r="EF152" s="569"/>
      <c r="EG152" s="569"/>
      <c r="EH152" s="569"/>
      <c r="EI152" s="569"/>
      <c r="EJ152" s="569"/>
      <c r="EK152" s="569"/>
      <c r="EL152" s="569"/>
      <c r="EM152" s="569"/>
      <c r="EN152" s="569"/>
      <c r="EO152" s="569"/>
      <c r="EP152" s="569"/>
      <c r="EQ152" s="569"/>
      <c r="ER152" s="569"/>
      <c r="ES152" s="569"/>
      <c r="ET152" s="569"/>
      <c r="EU152" s="569"/>
      <c r="EV152" s="569"/>
      <c r="EW152" s="569"/>
      <c r="EX152" s="569"/>
      <c r="EY152" s="569"/>
      <c r="EZ152" s="569"/>
      <c r="FA152" s="569"/>
      <c r="FB152" s="569"/>
      <c r="FC152" s="569"/>
      <c r="FD152" s="569"/>
      <c r="FE152" s="569"/>
      <c r="FF152" s="569"/>
      <c r="FG152" s="569"/>
      <c r="FH152" s="569"/>
      <c r="FI152" s="569"/>
      <c r="FJ152" s="569"/>
      <c r="FK152" s="569"/>
      <c r="FL152" s="569"/>
      <c r="FM152" s="569"/>
      <c r="FN152" s="569"/>
      <c r="FO152" s="569"/>
      <c r="FP152" s="569"/>
      <c r="FQ152" s="569"/>
      <c r="FR152" s="569"/>
      <c r="FS152" s="569"/>
      <c r="FT152" s="569"/>
      <c r="FU152" s="569"/>
      <c r="FV152" s="569"/>
      <c r="FW152" s="569"/>
      <c r="FX152" s="569"/>
      <c r="FY152" s="569"/>
      <c r="FZ152" s="569"/>
      <c r="GA152" s="569"/>
      <c r="GB152" s="569"/>
      <c r="GC152" s="569"/>
      <c r="GD152" s="569"/>
      <c r="GE152" s="569"/>
      <c r="GF152" s="569"/>
      <c r="GG152" s="569"/>
      <c r="GH152" s="569"/>
      <c r="GI152" s="569"/>
      <c r="GJ152" s="569"/>
      <c r="GK152" s="569"/>
      <c r="GL152" s="569"/>
      <c r="GM152" s="569"/>
      <c r="GN152" s="569"/>
      <c r="GO152" s="569"/>
      <c r="GP152" s="569"/>
      <c r="GQ152" s="569"/>
      <c r="GR152" s="569"/>
      <c r="GS152" s="569"/>
      <c r="GT152" s="569"/>
    </row>
    <row r="153" spans="2:202" s="554" customFormat="1">
      <c r="B153" s="590"/>
      <c r="C153" s="590"/>
      <c r="D153" s="590"/>
      <c r="E153" s="590"/>
      <c r="F153" s="590"/>
      <c r="G153" s="590"/>
      <c r="H153" s="590"/>
      <c r="I153" s="590"/>
      <c r="J153" s="590"/>
      <c r="K153" s="590"/>
      <c r="L153" s="590"/>
      <c r="M153" s="590"/>
      <c r="N153" s="590"/>
      <c r="O153" s="590"/>
      <c r="P153" s="590"/>
      <c r="Q153" s="590"/>
      <c r="R153" s="590"/>
      <c r="S153" s="590"/>
      <c r="T153" s="578"/>
      <c r="U153" s="590"/>
      <c r="V153" s="590"/>
      <c r="W153" s="590"/>
      <c r="X153" s="590"/>
      <c r="Y153" s="590"/>
      <c r="Z153" s="590"/>
      <c r="AA153" s="590"/>
      <c r="AB153" s="590"/>
      <c r="AC153" s="590"/>
      <c r="AD153" s="590"/>
      <c r="AE153" s="590"/>
      <c r="AF153" s="590"/>
      <c r="AG153" s="590"/>
      <c r="AH153" s="569"/>
      <c r="AI153" s="569"/>
      <c r="AJ153" s="569"/>
      <c r="AK153" s="569"/>
      <c r="AL153" s="569"/>
      <c r="AM153" s="569"/>
      <c r="AN153" s="569"/>
      <c r="AO153" s="569"/>
      <c r="AP153" s="569"/>
      <c r="AQ153" s="569"/>
      <c r="AR153" s="569"/>
      <c r="AS153" s="569"/>
      <c r="AT153" s="569"/>
      <c r="AU153" s="569"/>
      <c r="AV153" s="569"/>
      <c r="AW153" s="569"/>
      <c r="AX153" s="569"/>
      <c r="AY153" s="569"/>
      <c r="AZ153" s="569"/>
      <c r="BA153" s="569"/>
      <c r="BB153" s="569"/>
      <c r="BC153" s="569"/>
      <c r="BD153" s="569"/>
      <c r="BE153" s="569"/>
      <c r="BF153" s="569"/>
      <c r="BG153" s="569"/>
      <c r="BH153" s="569"/>
      <c r="BI153" s="569"/>
      <c r="BJ153" s="569"/>
      <c r="BK153" s="569"/>
      <c r="BL153" s="569"/>
      <c r="BM153" s="569"/>
      <c r="BN153" s="569"/>
      <c r="BO153" s="569"/>
      <c r="BP153" s="569"/>
      <c r="BQ153" s="569"/>
      <c r="BR153" s="569"/>
      <c r="BS153" s="569"/>
      <c r="BT153" s="569"/>
      <c r="BU153" s="569"/>
      <c r="BV153" s="569"/>
      <c r="BW153" s="569"/>
      <c r="BX153" s="569"/>
      <c r="BY153" s="569"/>
      <c r="BZ153" s="569"/>
      <c r="CA153" s="569"/>
      <c r="CB153" s="569"/>
      <c r="CC153" s="569"/>
      <c r="CD153" s="569"/>
      <c r="CE153" s="569"/>
      <c r="CF153" s="569"/>
      <c r="CG153" s="569"/>
      <c r="CH153" s="569"/>
      <c r="CI153" s="569"/>
      <c r="CJ153" s="569"/>
      <c r="CK153" s="569"/>
      <c r="CL153" s="569"/>
      <c r="CM153" s="569"/>
      <c r="CN153" s="569"/>
      <c r="CO153" s="569"/>
      <c r="CP153" s="569"/>
      <c r="CQ153" s="569"/>
      <c r="CR153" s="569"/>
      <c r="CS153" s="569"/>
      <c r="CT153" s="569"/>
      <c r="CU153" s="569"/>
      <c r="CV153" s="569"/>
      <c r="CW153" s="569"/>
      <c r="CX153" s="569"/>
      <c r="CY153" s="569"/>
      <c r="CZ153" s="569"/>
      <c r="DA153" s="569"/>
      <c r="DB153" s="569"/>
      <c r="DC153" s="569"/>
      <c r="DD153" s="569"/>
      <c r="DE153" s="569"/>
      <c r="DF153" s="569"/>
      <c r="DG153" s="569"/>
      <c r="DH153" s="569"/>
      <c r="DI153" s="569"/>
      <c r="DJ153" s="569"/>
      <c r="DK153" s="569"/>
      <c r="DL153" s="569"/>
      <c r="DM153" s="569"/>
      <c r="DN153" s="569"/>
      <c r="DO153" s="569"/>
      <c r="DP153" s="569"/>
      <c r="DQ153" s="569"/>
      <c r="DR153" s="569"/>
      <c r="DS153" s="569"/>
      <c r="DT153" s="569"/>
      <c r="DU153" s="569"/>
      <c r="DV153" s="569"/>
      <c r="DW153" s="569"/>
      <c r="DX153" s="569"/>
      <c r="DY153" s="569"/>
      <c r="DZ153" s="569"/>
      <c r="EA153" s="569"/>
      <c r="EB153" s="569"/>
      <c r="EC153" s="569"/>
      <c r="ED153" s="569"/>
      <c r="EE153" s="569"/>
      <c r="EF153" s="569"/>
      <c r="EG153" s="569"/>
      <c r="EH153" s="569"/>
      <c r="EI153" s="569"/>
      <c r="EJ153" s="569"/>
      <c r="EK153" s="569"/>
      <c r="EL153" s="569"/>
      <c r="EM153" s="569"/>
      <c r="EN153" s="569"/>
      <c r="EO153" s="569"/>
      <c r="EP153" s="569"/>
      <c r="EQ153" s="569"/>
      <c r="ER153" s="569"/>
      <c r="ES153" s="569"/>
      <c r="ET153" s="569"/>
      <c r="EU153" s="569"/>
      <c r="EV153" s="569"/>
      <c r="EW153" s="569"/>
      <c r="EX153" s="569"/>
      <c r="EY153" s="569"/>
      <c r="EZ153" s="569"/>
      <c r="FA153" s="569"/>
      <c r="FB153" s="569"/>
      <c r="FC153" s="569"/>
      <c r="FD153" s="569"/>
      <c r="FE153" s="569"/>
      <c r="FF153" s="569"/>
      <c r="FG153" s="569"/>
      <c r="FH153" s="569"/>
      <c r="FI153" s="569"/>
      <c r="FJ153" s="569"/>
      <c r="FK153" s="569"/>
      <c r="FL153" s="569"/>
      <c r="FM153" s="569"/>
      <c r="FN153" s="569"/>
      <c r="FO153" s="569"/>
      <c r="FP153" s="569"/>
      <c r="FQ153" s="569"/>
      <c r="FR153" s="569"/>
      <c r="FS153" s="569"/>
      <c r="FT153" s="569"/>
      <c r="FU153" s="569"/>
      <c r="FV153" s="569"/>
      <c r="FW153" s="569"/>
      <c r="FX153" s="569"/>
      <c r="FY153" s="569"/>
      <c r="FZ153" s="569"/>
      <c r="GA153" s="569"/>
      <c r="GB153" s="569"/>
      <c r="GC153" s="569"/>
      <c r="GD153" s="569"/>
      <c r="GE153" s="569"/>
      <c r="GF153" s="569"/>
      <c r="GG153" s="569"/>
      <c r="GH153" s="569"/>
      <c r="GI153" s="569"/>
      <c r="GJ153" s="569"/>
      <c r="GK153" s="569"/>
      <c r="GL153" s="569"/>
      <c r="GM153" s="569"/>
      <c r="GN153" s="569"/>
      <c r="GO153" s="569"/>
      <c r="GP153" s="569"/>
      <c r="GQ153" s="569"/>
      <c r="GR153" s="569"/>
      <c r="GS153" s="569"/>
      <c r="GT153" s="569"/>
    </row>
    <row r="154" spans="2:202" s="554" customFormat="1">
      <c r="B154" s="590"/>
      <c r="C154" s="590"/>
      <c r="D154" s="590"/>
      <c r="E154" s="590"/>
      <c r="F154" s="590"/>
      <c r="G154" s="590"/>
      <c r="H154" s="590"/>
      <c r="I154" s="590"/>
      <c r="J154" s="590"/>
      <c r="K154" s="590"/>
      <c r="L154" s="590"/>
      <c r="M154" s="590"/>
      <c r="N154" s="590"/>
      <c r="O154" s="590"/>
      <c r="P154" s="590"/>
      <c r="Q154" s="590"/>
      <c r="R154" s="590"/>
      <c r="S154" s="590"/>
      <c r="T154" s="578"/>
      <c r="U154" s="590"/>
      <c r="V154" s="590"/>
      <c r="W154" s="590"/>
      <c r="X154" s="590"/>
      <c r="Y154" s="590"/>
      <c r="Z154" s="590"/>
      <c r="AA154" s="590"/>
      <c r="AB154" s="590"/>
      <c r="AC154" s="590"/>
      <c r="AD154" s="590"/>
      <c r="AE154" s="590"/>
      <c r="AF154" s="590"/>
      <c r="AG154" s="590"/>
      <c r="AH154" s="569"/>
      <c r="AI154" s="569"/>
      <c r="AJ154" s="569"/>
      <c r="AK154" s="569"/>
      <c r="AL154" s="569"/>
      <c r="AM154" s="569"/>
      <c r="AN154" s="569"/>
      <c r="AO154" s="569"/>
      <c r="AP154" s="569"/>
      <c r="AQ154" s="569"/>
      <c r="AR154" s="569"/>
      <c r="AS154" s="569"/>
      <c r="AT154" s="569"/>
      <c r="AU154" s="569"/>
      <c r="AV154" s="569"/>
      <c r="AW154" s="569"/>
      <c r="AX154" s="569"/>
      <c r="AY154" s="569"/>
      <c r="AZ154" s="569"/>
      <c r="BA154" s="569"/>
      <c r="BB154" s="569"/>
      <c r="BC154" s="569"/>
      <c r="BD154" s="569"/>
      <c r="BE154" s="569"/>
      <c r="BF154" s="569"/>
      <c r="BG154" s="569"/>
      <c r="BH154" s="569"/>
      <c r="BI154" s="569"/>
      <c r="BJ154" s="569"/>
      <c r="BK154" s="569"/>
      <c r="BL154" s="569"/>
      <c r="BM154" s="569"/>
      <c r="BN154" s="569"/>
      <c r="BO154" s="569"/>
      <c r="BP154" s="569"/>
      <c r="BQ154" s="569"/>
      <c r="BR154" s="569"/>
      <c r="BS154" s="569"/>
      <c r="BT154" s="569"/>
      <c r="BU154" s="569"/>
      <c r="BV154" s="569"/>
      <c r="BW154" s="569"/>
      <c r="BX154" s="569"/>
      <c r="BY154" s="569"/>
      <c r="BZ154" s="569"/>
      <c r="CA154" s="569"/>
      <c r="CB154" s="569"/>
      <c r="CC154" s="569"/>
      <c r="CD154" s="569"/>
      <c r="CE154" s="569"/>
      <c r="CF154" s="569"/>
      <c r="CG154" s="569"/>
      <c r="CH154" s="569"/>
      <c r="CI154" s="569"/>
      <c r="CJ154" s="569"/>
      <c r="CK154" s="569"/>
      <c r="CL154" s="569"/>
      <c r="CM154" s="569"/>
      <c r="CN154" s="569"/>
      <c r="CO154" s="569"/>
      <c r="CP154" s="569"/>
      <c r="CQ154" s="569"/>
      <c r="CR154" s="569"/>
      <c r="CS154" s="569"/>
      <c r="CT154" s="569"/>
      <c r="CU154" s="569"/>
      <c r="CV154" s="569"/>
      <c r="CW154" s="569"/>
      <c r="CX154" s="569"/>
      <c r="CY154" s="569"/>
      <c r="CZ154" s="569"/>
      <c r="DA154" s="569"/>
      <c r="DB154" s="569"/>
      <c r="DC154" s="569"/>
      <c r="DD154" s="569"/>
      <c r="DE154" s="569"/>
      <c r="DF154" s="569"/>
      <c r="DG154" s="569"/>
      <c r="DH154" s="569"/>
      <c r="DI154" s="569"/>
      <c r="DJ154" s="569"/>
      <c r="DK154" s="569"/>
      <c r="DL154" s="569"/>
      <c r="DM154" s="569"/>
      <c r="DN154" s="569"/>
      <c r="DO154" s="569"/>
      <c r="DP154" s="569"/>
      <c r="DQ154" s="569"/>
      <c r="DR154" s="569"/>
      <c r="DS154" s="569"/>
      <c r="DT154" s="569"/>
      <c r="DU154" s="569"/>
      <c r="DV154" s="569"/>
      <c r="DW154" s="569"/>
      <c r="DX154" s="569"/>
      <c r="DY154" s="569"/>
      <c r="DZ154" s="569"/>
      <c r="EA154" s="569"/>
      <c r="EB154" s="569"/>
      <c r="EC154" s="569"/>
      <c r="ED154" s="569"/>
      <c r="EE154" s="569"/>
      <c r="EF154" s="569"/>
      <c r="EG154" s="569"/>
      <c r="EH154" s="569"/>
      <c r="EI154" s="569"/>
      <c r="EJ154" s="569"/>
      <c r="EK154" s="569"/>
      <c r="EL154" s="569"/>
      <c r="EM154" s="569"/>
      <c r="EN154" s="569"/>
      <c r="EO154" s="569"/>
      <c r="EP154" s="569"/>
      <c r="EQ154" s="569"/>
      <c r="ER154" s="569"/>
      <c r="ES154" s="569"/>
      <c r="ET154" s="569"/>
      <c r="EU154" s="569"/>
      <c r="EV154" s="569"/>
      <c r="EW154" s="569"/>
      <c r="EX154" s="569"/>
      <c r="EY154" s="569"/>
      <c r="EZ154" s="569"/>
      <c r="FA154" s="569"/>
      <c r="FB154" s="569"/>
      <c r="FC154" s="569"/>
      <c r="FD154" s="569"/>
      <c r="FE154" s="569"/>
      <c r="FF154" s="569"/>
      <c r="FG154" s="569"/>
      <c r="FH154" s="569"/>
      <c r="FI154" s="569"/>
      <c r="FJ154" s="569"/>
      <c r="FK154" s="569"/>
      <c r="FL154" s="569"/>
      <c r="FM154" s="569"/>
      <c r="FN154" s="569"/>
      <c r="FO154" s="569"/>
      <c r="FP154" s="569"/>
      <c r="FQ154" s="569"/>
      <c r="FR154" s="569"/>
      <c r="FS154" s="569"/>
      <c r="FT154" s="569"/>
      <c r="FU154" s="569"/>
      <c r="FV154" s="569"/>
      <c r="FW154" s="569"/>
      <c r="FX154" s="569"/>
      <c r="FY154" s="569"/>
      <c r="FZ154" s="569"/>
      <c r="GA154" s="569"/>
      <c r="GB154" s="569"/>
      <c r="GC154" s="569"/>
      <c r="GD154" s="569"/>
      <c r="GE154" s="569"/>
      <c r="GF154" s="569"/>
      <c r="GG154" s="569"/>
      <c r="GH154" s="569"/>
      <c r="GI154" s="569"/>
      <c r="GJ154" s="569"/>
      <c r="GK154" s="569"/>
      <c r="GL154" s="569"/>
      <c r="GM154" s="569"/>
      <c r="GN154" s="569"/>
      <c r="GO154" s="569"/>
      <c r="GP154" s="569"/>
      <c r="GQ154" s="569"/>
      <c r="GR154" s="569"/>
      <c r="GS154" s="569"/>
      <c r="GT154" s="569"/>
    </row>
    <row r="155" spans="2:202" s="554" customFormat="1">
      <c r="B155" s="590"/>
      <c r="C155" s="590"/>
      <c r="D155" s="590"/>
      <c r="E155" s="590"/>
      <c r="F155" s="590"/>
      <c r="G155" s="590"/>
      <c r="H155" s="590"/>
      <c r="I155" s="590"/>
      <c r="J155" s="590"/>
      <c r="K155" s="590"/>
      <c r="L155" s="590"/>
      <c r="M155" s="590"/>
      <c r="N155" s="590"/>
      <c r="O155" s="590"/>
      <c r="P155" s="590"/>
      <c r="Q155" s="590"/>
      <c r="R155" s="590"/>
      <c r="S155" s="590"/>
      <c r="T155" s="578"/>
      <c r="U155" s="590"/>
      <c r="V155" s="590"/>
      <c r="W155" s="590"/>
      <c r="X155" s="590"/>
      <c r="Y155" s="590"/>
      <c r="Z155" s="590"/>
      <c r="AA155" s="590"/>
      <c r="AB155" s="590"/>
      <c r="AC155" s="590"/>
      <c r="AD155" s="590"/>
      <c r="AE155" s="590"/>
      <c r="AF155" s="590"/>
      <c r="AG155" s="590"/>
      <c r="AH155" s="569"/>
      <c r="AI155" s="569"/>
      <c r="AJ155" s="569"/>
      <c r="AK155" s="569"/>
      <c r="AL155" s="569"/>
      <c r="AM155" s="569"/>
      <c r="AN155" s="569"/>
      <c r="AO155" s="569"/>
      <c r="AP155" s="569"/>
      <c r="AQ155" s="569"/>
      <c r="AR155" s="569"/>
      <c r="AS155" s="569"/>
      <c r="AT155" s="569"/>
      <c r="AU155" s="569"/>
      <c r="AV155" s="569"/>
      <c r="AW155" s="569"/>
      <c r="AX155" s="569"/>
      <c r="AY155" s="569"/>
      <c r="AZ155" s="569"/>
      <c r="BA155" s="569"/>
      <c r="BB155" s="569"/>
      <c r="BC155" s="569"/>
      <c r="BD155" s="569"/>
      <c r="BE155" s="569"/>
      <c r="BF155" s="569"/>
      <c r="BG155" s="569"/>
      <c r="BH155" s="569"/>
      <c r="BI155" s="569"/>
      <c r="BJ155" s="569"/>
      <c r="BK155" s="569"/>
      <c r="BL155" s="569"/>
      <c r="BM155" s="569"/>
      <c r="BN155" s="569"/>
      <c r="BO155" s="569"/>
      <c r="BP155" s="569"/>
      <c r="BQ155" s="569"/>
      <c r="BR155" s="569"/>
      <c r="BS155" s="569"/>
      <c r="BT155" s="569"/>
      <c r="BU155" s="569"/>
      <c r="BV155" s="569"/>
      <c r="BW155" s="569"/>
      <c r="BX155" s="569"/>
      <c r="BY155" s="569"/>
      <c r="BZ155" s="569"/>
      <c r="CA155" s="569"/>
      <c r="CB155" s="569"/>
      <c r="CC155" s="569"/>
      <c r="CD155" s="569"/>
      <c r="CE155" s="569"/>
      <c r="CF155" s="569"/>
      <c r="CG155" s="569"/>
      <c r="CH155" s="569"/>
      <c r="CI155" s="569"/>
      <c r="CJ155" s="569"/>
      <c r="CK155" s="569"/>
      <c r="CL155" s="569"/>
      <c r="CM155" s="569"/>
      <c r="CN155" s="569"/>
      <c r="CO155" s="569"/>
      <c r="CP155" s="569"/>
      <c r="CQ155" s="569"/>
      <c r="CR155" s="569"/>
      <c r="CS155" s="569"/>
      <c r="CT155" s="569"/>
      <c r="CU155" s="569"/>
      <c r="CV155" s="569"/>
      <c r="CW155" s="569"/>
      <c r="CX155" s="569"/>
      <c r="CY155" s="569"/>
      <c r="CZ155" s="569"/>
      <c r="DA155" s="569"/>
      <c r="DB155" s="569"/>
      <c r="DC155" s="569"/>
      <c r="DD155" s="569"/>
      <c r="DE155" s="569"/>
      <c r="DF155" s="569"/>
      <c r="DG155" s="569"/>
      <c r="DH155" s="569"/>
      <c r="DI155" s="569"/>
      <c r="DJ155" s="569"/>
      <c r="DK155" s="569"/>
      <c r="DL155" s="569"/>
      <c r="DM155" s="569"/>
      <c r="DN155" s="569"/>
      <c r="DO155" s="569"/>
      <c r="DP155" s="569"/>
      <c r="DQ155" s="569"/>
      <c r="DR155" s="569"/>
      <c r="DS155" s="569"/>
      <c r="DT155" s="569"/>
      <c r="DU155" s="569"/>
      <c r="DV155" s="569"/>
      <c r="DW155" s="569"/>
      <c r="DX155" s="569"/>
      <c r="DY155" s="569"/>
      <c r="DZ155" s="569"/>
      <c r="EA155" s="569"/>
      <c r="EB155" s="569"/>
      <c r="EC155" s="569"/>
      <c r="ED155" s="569"/>
      <c r="EE155" s="569"/>
      <c r="EF155" s="569"/>
      <c r="EG155" s="569"/>
      <c r="EH155" s="569"/>
      <c r="EI155" s="569"/>
      <c r="EJ155" s="569"/>
      <c r="EK155" s="569"/>
      <c r="EL155" s="569"/>
      <c r="EM155" s="569"/>
      <c r="EN155" s="569"/>
      <c r="EO155" s="569"/>
      <c r="EP155" s="569"/>
      <c r="EQ155" s="569"/>
      <c r="ER155" s="569"/>
      <c r="ES155" s="569"/>
      <c r="ET155" s="569"/>
      <c r="EU155" s="569"/>
      <c r="EV155" s="569"/>
      <c r="EW155" s="569"/>
      <c r="EX155" s="569"/>
      <c r="EY155" s="569"/>
      <c r="EZ155" s="569"/>
      <c r="FA155" s="569"/>
      <c r="FB155" s="569"/>
      <c r="FC155" s="569"/>
      <c r="FD155" s="569"/>
      <c r="FE155" s="569"/>
      <c r="FF155" s="569"/>
      <c r="FG155" s="569"/>
      <c r="FH155" s="569"/>
      <c r="FI155" s="569"/>
      <c r="FJ155" s="569"/>
      <c r="FK155" s="569"/>
      <c r="FL155" s="569"/>
      <c r="FM155" s="569"/>
      <c r="FN155" s="569"/>
      <c r="FO155" s="569"/>
      <c r="FP155" s="569"/>
      <c r="FQ155" s="569"/>
      <c r="FR155" s="569"/>
      <c r="FS155" s="569"/>
      <c r="FT155" s="569"/>
      <c r="FU155" s="569"/>
      <c r="FV155" s="569"/>
      <c r="FW155" s="569"/>
      <c r="FX155" s="569"/>
      <c r="FY155" s="569"/>
      <c r="FZ155" s="569"/>
      <c r="GA155" s="569"/>
      <c r="GB155" s="569"/>
      <c r="GC155" s="569"/>
      <c r="GD155" s="569"/>
      <c r="GE155" s="569"/>
      <c r="GF155" s="569"/>
      <c r="GG155" s="569"/>
      <c r="GH155" s="569"/>
      <c r="GI155" s="569"/>
      <c r="GJ155" s="569"/>
      <c r="GK155" s="569"/>
      <c r="GL155" s="569"/>
      <c r="GM155" s="569"/>
      <c r="GN155" s="569"/>
      <c r="GO155" s="569"/>
      <c r="GP155" s="569"/>
      <c r="GQ155" s="569"/>
      <c r="GR155" s="569"/>
      <c r="GS155" s="569"/>
      <c r="GT155" s="569"/>
    </row>
    <row r="156" spans="2:202" s="554" customFormat="1">
      <c r="B156" s="590"/>
      <c r="C156" s="590"/>
      <c r="D156" s="590"/>
      <c r="E156" s="590"/>
      <c r="F156" s="590"/>
      <c r="G156" s="590"/>
      <c r="H156" s="590"/>
      <c r="I156" s="590"/>
      <c r="J156" s="590"/>
      <c r="K156" s="590"/>
      <c r="L156" s="590"/>
      <c r="M156" s="590"/>
      <c r="N156" s="590"/>
      <c r="O156" s="590"/>
      <c r="P156" s="590"/>
      <c r="Q156" s="590"/>
      <c r="R156" s="590"/>
      <c r="S156" s="590"/>
      <c r="T156" s="578"/>
      <c r="U156" s="590"/>
      <c r="V156" s="590"/>
      <c r="W156" s="590"/>
      <c r="X156" s="590"/>
      <c r="Y156" s="590"/>
      <c r="Z156" s="590"/>
      <c r="AA156" s="590"/>
      <c r="AB156" s="590"/>
      <c r="AC156" s="590"/>
      <c r="AD156" s="590"/>
      <c r="AE156" s="590"/>
      <c r="AF156" s="590"/>
      <c r="AG156" s="590"/>
      <c r="AH156" s="569"/>
      <c r="AI156" s="569"/>
      <c r="AJ156" s="569"/>
      <c r="AK156" s="569"/>
      <c r="AL156" s="569"/>
      <c r="AM156" s="569"/>
      <c r="AN156" s="569"/>
      <c r="AO156" s="569"/>
      <c r="AP156" s="569"/>
      <c r="AQ156" s="569"/>
      <c r="AR156" s="569"/>
      <c r="AS156" s="569"/>
      <c r="AT156" s="569"/>
      <c r="AU156" s="569"/>
      <c r="AV156" s="569"/>
      <c r="AW156" s="569"/>
      <c r="AX156" s="569"/>
      <c r="AY156" s="569"/>
      <c r="AZ156" s="569"/>
      <c r="BA156" s="569"/>
      <c r="BB156" s="569"/>
      <c r="BC156" s="569"/>
      <c r="BD156" s="569"/>
      <c r="BE156" s="569"/>
      <c r="BF156" s="569"/>
      <c r="BG156" s="569"/>
      <c r="BH156" s="569"/>
      <c r="BI156" s="569"/>
      <c r="BJ156" s="569"/>
      <c r="BK156" s="569"/>
      <c r="BL156" s="569"/>
      <c r="BM156" s="569"/>
      <c r="BN156" s="569"/>
      <c r="BO156" s="569"/>
      <c r="BP156" s="569"/>
      <c r="BQ156" s="569"/>
      <c r="BR156" s="569"/>
      <c r="BS156" s="569"/>
      <c r="BT156" s="569"/>
      <c r="BU156" s="569"/>
      <c r="BV156" s="569"/>
      <c r="BW156" s="569"/>
      <c r="BX156" s="569"/>
      <c r="BY156" s="569"/>
      <c r="BZ156" s="569"/>
      <c r="CA156" s="569"/>
      <c r="CB156" s="569"/>
      <c r="CC156" s="569"/>
      <c r="CD156" s="569"/>
      <c r="CE156" s="569"/>
      <c r="CF156" s="569"/>
      <c r="CG156" s="569"/>
      <c r="CH156" s="569"/>
      <c r="CI156" s="569"/>
      <c r="CJ156" s="569"/>
      <c r="CK156" s="569"/>
      <c r="CL156" s="569"/>
      <c r="CM156" s="569"/>
      <c r="CN156" s="569"/>
      <c r="CO156" s="569"/>
      <c r="CP156" s="569"/>
      <c r="CQ156" s="569"/>
      <c r="CR156" s="569"/>
      <c r="CS156" s="569"/>
      <c r="CT156" s="569"/>
      <c r="CU156" s="569"/>
      <c r="CV156" s="569"/>
      <c r="CW156" s="569"/>
      <c r="CX156" s="569"/>
      <c r="CY156" s="569"/>
      <c r="CZ156" s="569"/>
      <c r="DA156" s="569"/>
      <c r="DB156" s="569"/>
      <c r="DC156" s="569"/>
      <c r="DD156" s="569"/>
      <c r="DE156" s="569"/>
      <c r="DF156" s="569"/>
      <c r="DG156" s="569"/>
      <c r="DH156" s="569"/>
      <c r="DI156" s="569"/>
      <c r="DJ156" s="569"/>
      <c r="DK156" s="569"/>
      <c r="DL156" s="569"/>
      <c r="DM156" s="569"/>
      <c r="DN156" s="569"/>
      <c r="DO156" s="569"/>
      <c r="DP156" s="569"/>
      <c r="DQ156" s="569"/>
      <c r="DR156" s="569"/>
      <c r="DS156" s="569"/>
      <c r="DT156" s="569"/>
      <c r="DU156" s="569"/>
      <c r="DV156" s="569"/>
      <c r="DW156" s="569"/>
      <c r="DX156" s="569"/>
      <c r="DY156" s="569"/>
      <c r="DZ156" s="569"/>
      <c r="EA156" s="569"/>
      <c r="EB156" s="569"/>
      <c r="EC156" s="569"/>
      <c r="ED156" s="569"/>
      <c r="EE156" s="569"/>
      <c r="EF156" s="569"/>
      <c r="EG156" s="569"/>
      <c r="EH156" s="569"/>
      <c r="EI156" s="569"/>
      <c r="EJ156" s="569"/>
      <c r="EK156" s="569"/>
      <c r="EL156" s="569"/>
      <c r="EM156" s="569"/>
      <c r="EN156" s="569"/>
      <c r="EO156" s="569"/>
      <c r="EP156" s="569"/>
      <c r="EQ156" s="569"/>
      <c r="ER156" s="569"/>
      <c r="ES156" s="569"/>
      <c r="ET156" s="569"/>
      <c r="EU156" s="569"/>
      <c r="EV156" s="569"/>
      <c r="EW156" s="569"/>
      <c r="EX156" s="569"/>
      <c r="EY156" s="569"/>
      <c r="EZ156" s="569"/>
      <c r="FA156" s="569"/>
      <c r="FB156" s="569"/>
      <c r="FC156" s="569"/>
      <c r="FD156" s="569"/>
      <c r="FE156" s="569"/>
      <c r="FF156" s="569"/>
      <c r="FG156" s="569"/>
      <c r="FH156" s="569"/>
      <c r="FI156" s="569"/>
      <c r="FJ156" s="569"/>
      <c r="FK156" s="569"/>
      <c r="FL156" s="569"/>
      <c r="FM156" s="569"/>
      <c r="FN156" s="569"/>
      <c r="FO156" s="569"/>
      <c r="FP156" s="569"/>
      <c r="FQ156" s="569"/>
      <c r="FR156" s="569"/>
      <c r="FS156" s="569"/>
      <c r="FT156" s="569"/>
      <c r="FU156" s="569"/>
      <c r="FV156" s="569"/>
      <c r="FW156" s="569"/>
      <c r="FX156" s="569"/>
      <c r="FY156" s="569"/>
      <c r="FZ156" s="569"/>
      <c r="GA156" s="569"/>
      <c r="GB156" s="569"/>
      <c r="GC156" s="569"/>
      <c r="GD156" s="569"/>
      <c r="GE156" s="569"/>
      <c r="GF156" s="569"/>
      <c r="GG156" s="569"/>
      <c r="GH156" s="569"/>
      <c r="GI156" s="569"/>
      <c r="GJ156" s="569"/>
      <c r="GK156" s="569"/>
      <c r="GL156" s="569"/>
      <c r="GM156" s="569"/>
      <c r="GN156" s="569"/>
      <c r="GO156" s="569"/>
      <c r="GP156" s="569"/>
      <c r="GQ156" s="569"/>
      <c r="GR156" s="569"/>
      <c r="GS156" s="569"/>
      <c r="GT156" s="569"/>
    </row>
    <row r="157" spans="2:202" s="554" customFormat="1">
      <c r="B157" s="590"/>
      <c r="C157" s="590"/>
      <c r="D157" s="590"/>
      <c r="E157" s="590"/>
      <c r="F157" s="590"/>
      <c r="G157" s="590"/>
      <c r="H157" s="590"/>
      <c r="I157" s="590"/>
      <c r="J157" s="590"/>
      <c r="K157" s="590"/>
      <c r="L157" s="590"/>
      <c r="M157" s="590"/>
      <c r="N157" s="590"/>
      <c r="O157" s="590"/>
      <c r="P157" s="590"/>
      <c r="Q157" s="590"/>
      <c r="R157" s="590"/>
      <c r="S157" s="590"/>
      <c r="T157" s="578"/>
      <c r="U157" s="590"/>
      <c r="V157" s="590"/>
      <c r="W157" s="590"/>
      <c r="X157" s="590"/>
      <c r="Y157" s="590"/>
      <c r="Z157" s="590"/>
      <c r="AA157" s="590"/>
      <c r="AB157" s="590"/>
      <c r="AC157" s="590"/>
      <c r="AD157" s="590"/>
      <c r="AE157" s="590"/>
      <c r="AF157" s="590"/>
      <c r="AG157" s="590"/>
      <c r="AH157" s="569"/>
      <c r="AI157" s="569"/>
      <c r="AJ157" s="569"/>
      <c r="AK157" s="569"/>
      <c r="AL157" s="569"/>
      <c r="AM157" s="569"/>
      <c r="AN157" s="569"/>
      <c r="AO157" s="569"/>
      <c r="AP157" s="569"/>
      <c r="AQ157" s="569"/>
      <c r="AR157" s="569"/>
      <c r="AS157" s="569"/>
      <c r="AT157" s="569"/>
      <c r="AU157" s="569"/>
      <c r="AV157" s="569"/>
      <c r="AW157" s="569"/>
      <c r="AX157" s="569"/>
      <c r="AY157" s="569"/>
      <c r="AZ157" s="569"/>
      <c r="BA157" s="569"/>
      <c r="BB157" s="569"/>
      <c r="BC157" s="569"/>
      <c r="BD157" s="569"/>
      <c r="BE157" s="569"/>
      <c r="BF157" s="569"/>
      <c r="BG157" s="569"/>
      <c r="BH157" s="569"/>
      <c r="BI157" s="569"/>
      <c r="BJ157" s="569"/>
      <c r="BK157" s="569"/>
      <c r="BL157" s="569"/>
      <c r="BM157" s="569"/>
      <c r="BN157" s="569"/>
      <c r="BO157" s="569"/>
      <c r="BP157" s="569"/>
      <c r="BQ157" s="569"/>
      <c r="BR157" s="569"/>
      <c r="BS157" s="569"/>
      <c r="BT157" s="569"/>
      <c r="BU157" s="569"/>
      <c r="BV157" s="569"/>
      <c r="BW157" s="569"/>
      <c r="BX157" s="569"/>
      <c r="BY157" s="569"/>
      <c r="BZ157" s="569"/>
      <c r="CA157" s="569"/>
      <c r="CB157" s="569"/>
      <c r="CC157" s="569"/>
      <c r="CD157" s="569"/>
      <c r="CE157" s="569"/>
      <c r="CF157" s="569"/>
      <c r="CG157" s="569"/>
      <c r="CH157" s="569"/>
      <c r="CI157" s="569"/>
      <c r="CJ157" s="569"/>
      <c r="CK157" s="569"/>
      <c r="CL157" s="569"/>
      <c r="CM157" s="569"/>
      <c r="CN157" s="569"/>
      <c r="CO157" s="569"/>
      <c r="CP157" s="569"/>
      <c r="CQ157" s="569"/>
      <c r="CR157" s="569"/>
      <c r="CS157" s="569"/>
      <c r="CT157" s="569"/>
      <c r="CU157" s="569"/>
      <c r="CV157" s="569"/>
      <c r="CW157" s="569"/>
      <c r="CX157" s="569"/>
      <c r="CY157" s="569"/>
      <c r="CZ157" s="569"/>
      <c r="DA157" s="569"/>
      <c r="DB157" s="569"/>
      <c r="DC157" s="569"/>
      <c r="DD157" s="569"/>
      <c r="DE157" s="569"/>
      <c r="DF157" s="569"/>
      <c r="DG157" s="569"/>
      <c r="DH157" s="569"/>
      <c r="DI157" s="569"/>
      <c r="DJ157" s="569"/>
      <c r="DK157" s="569"/>
      <c r="DL157" s="569"/>
      <c r="DM157" s="569"/>
      <c r="DN157" s="569"/>
      <c r="DO157" s="569"/>
      <c r="DP157" s="569"/>
      <c r="DQ157" s="569"/>
      <c r="DR157" s="569"/>
      <c r="DS157" s="569"/>
      <c r="DT157" s="569"/>
      <c r="DU157" s="569"/>
      <c r="DV157" s="569"/>
      <c r="DW157" s="569"/>
      <c r="DX157" s="569"/>
      <c r="DY157" s="569"/>
      <c r="DZ157" s="569"/>
      <c r="EA157" s="569"/>
      <c r="EB157" s="569"/>
      <c r="EC157" s="569"/>
      <c r="ED157" s="569"/>
      <c r="EE157" s="569"/>
      <c r="EF157" s="569"/>
      <c r="EG157" s="569"/>
      <c r="EH157" s="569"/>
      <c r="EI157" s="569"/>
      <c r="EJ157" s="569"/>
      <c r="EK157" s="569"/>
      <c r="EL157" s="569"/>
      <c r="EM157" s="569"/>
      <c r="EN157" s="569"/>
      <c r="EO157" s="569"/>
      <c r="EP157" s="569"/>
      <c r="EQ157" s="569"/>
      <c r="ER157" s="569"/>
      <c r="ES157" s="569"/>
      <c r="ET157" s="569"/>
      <c r="EU157" s="569"/>
      <c r="EV157" s="569"/>
      <c r="EW157" s="569"/>
      <c r="EX157" s="569"/>
      <c r="EY157" s="569"/>
      <c r="EZ157" s="569"/>
      <c r="FA157" s="569"/>
      <c r="FB157" s="569"/>
      <c r="FC157" s="569"/>
      <c r="FD157" s="569"/>
      <c r="FE157" s="569"/>
      <c r="FF157" s="569"/>
      <c r="FG157" s="569"/>
      <c r="FH157" s="569"/>
      <c r="FI157" s="569"/>
      <c r="FJ157" s="569"/>
      <c r="FK157" s="569"/>
      <c r="FL157" s="569"/>
      <c r="FM157" s="569"/>
      <c r="FN157" s="569"/>
      <c r="FO157" s="569"/>
      <c r="FP157" s="569"/>
      <c r="FQ157" s="569"/>
      <c r="FR157" s="569"/>
      <c r="FS157" s="569"/>
      <c r="FT157" s="569"/>
      <c r="FU157" s="569"/>
      <c r="FV157" s="569"/>
      <c r="FW157" s="569"/>
      <c r="FX157" s="569"/>
      <c r="FY157" s="569"/>
      <c r="FZ157" s="569"/>
      <c r="GA157" s="569"/>
      <c r="GB157" s="569"/>
      <c r="GC157" s="569"/>
      <c r="GD157" s="569"/>
      <c r="GE157" s="569"/>
      <c r="GF157" s="569"/>
      <c r="GG157" s="569"/>
      <c r="GH157" s="569"/>
      <c r="GI157" s="569"/>
      <c r="GJ157" s="569"/>
      <c r="GK157" s="569"/>
      <c r="GL157" s="569"/>
      <c r="GM157" s="569"/>
      <c r="GN157" s="569"/>
      <c r="GO157" s="569"/>
      <c r="GP157" s="569"/>
      <c r="GQ157" s="569"/>
      <c r="GR157" s="569"/>
      <c r="GS157" s="569"/>
      <c r="GT157" s="569"/>
    </row>
    <row r="158" spans="2:202" s="554" customFormat="1">
      <c r="B158" s="590"/>
      <c r="C158" s="590"/>
      <c r="D158" s="590"/>
      <c r="E158" s="590"/>
      <c r="F158" s="590"/>
      <c r="G158" s="590"/>
      <c r="H158" s="590"/>
      <c r="I158" s="590"/>
      <c r="J158" s="590"/>
      <c r="K158" s="590"/>
      <c r="L158" s="590"/>
      <c r="M158" s="590"/>
      <c r="N158" s="590"/>
      <c r="O158" s="590"/>
      <c r="P158" s="590"/>
      <c r="Q158" s="590"/>
      <c r="R158" s="590"/>
      <c r="S158" s="590"/>
      <c r="T158" s="578"/>
      <c r="U158" s="590"/>
      <c r="V158" s="590"/>
      <c r="W158" s="590"/>
      <c r="X158" s="590"/>
      <c r="Y158" s="590"/>
      <c r="Z158" s="590"/>
      <c r="AA158" s="590"/>
      <c r="AB158" s="590"/>
      <c r="AC158" s="590"/>
      <c r="AD158" s="590"/>
      <c r="AE158" s="590"/>
      <c r="AF158" s="590"/>
      <c r="AG158" s="590"/>
      <c r="AH158" s="569"/>
      <c r="AI158" s="569"/>
      <c r="AJ158" s="569"/>
      <c r="AK158" s="569"/>
      <c r="AL158" s="569"/>
      <c r="AM158" s="569"/>
      <c r="AN158" s="569"/>
      <c r="AO158" s="569"/>
      <c r="AP158" s="569"/>
      <c r="AQ158" s="569"/>
      <c r="AR158" s="569"/>
      <c r="AS158" s="569"/>
      <c r="AT158" s="569"/>
      <c r="AU158" s="569"/>
      <c r="AV158" s="569"/>
      <c r="AW158" s="569"/>
      <c r="AX158" s="569"/>
      <c r="AY158" s="569"/>
      <c r="AZ158" s="569"/>
      <c r="BA158" s="569"/>
      <c r="BB158" s="569"/>
      <c r="BC158" s="569"/>
      <c r="BD158" s="569"/>
      <c r="BE158" s="569"/>
      <c r="BF158" s="569"/>
      <c r="BG158" s="569"/>
      <c r="BH158" s="569"/>
      <c r="BI158" s="569"/>
      <c r="BJ158" s="569"/>
      <c r="BK158" s="569"/>
      <c r="BL158" s="569"/>
      <c r="BM158" s="569"/>
      <c r="BN158" s="569"/>
      <c r="BO158" s="569"/>
      <c r="BP158" s="569"/>
      <c r="BQ158" s="569"/>
      <c r="BR158" s="569"/>
      <c r="BS158" s="569"/>
      <c r="BT158" s="569"/>
      <c r="BU158" s="569"/>
      <c r="BV158" s="569"/>
      <c r="BW158" s="569"/>
      <c r="BX158" s="569"/>
      <c r="BY158" s="569"/>
      <c r="BZ158" s="569"/>
      <c r="CA158" s="569"/>
      <c r="CB158" s="569"/>
      <c r="CC158" s="569"/>
      <c r="CD158" s="569"/>
      <c r="CE158" s="569"/>
      <c r="CF158" s="569"/>
      <c r="CG158" s="569"/>
      <c r="CH158" s="569"/>
      <c r="CI158" s="569"/>
      <c r="CJ158" s="569"/>
      <c r="CK158" s="569"/>
      <c r="CL158" s="569"/>
      <c r="CM158" s="569"/>
      <c r="CN158" s="569"/>
      <c r="CO158" s="569"/>
      <c r="CP158" s="569"/>
      <c r="CQ158" s="569"/>
      <c r="CR158" s="569"/>
      <c r="CS158" s="569"/>
      <c r="CT158" s="569"/>
      <c r="CU158" s="569"/>
      <c r="CV158" s="569"/>
      <c r="CW158" s="569"/>
      <c r="CX158" s="569"/>
      <c r="CY158" s="569"/>
      <c r="CZ158" s="569"/>
      <c r="DA158" s="569"/>
      <c r="DB158" s="569"/>
      <c r="DC158" s="569"/>
      <c r="DD158" s="569"/>
      <c r="DE158" s="569"/>
      <c r="DF158" s="569"/>
      <c r="DG158" s="569"/>
      <c r="DH158" s="569"/>
      <c r="DI158" s="569"/>
      <c r="DJ158" s="569"/>
      <c r="DK158" s="569"/>
      <c r="DL158" s="569"/>
      <c r="DM158" s="569"/>
      <c r="DN158" s="569"/>
      <c r="DO158" s="569"/>
      <c r="DP158" s="569"/>
      <c r="DQ158" s="569"/>
      <c r="DR158" s="569"/>
      <c r="DS158" s="569"/>
      <c r="DT158" s="569"/>
      <c r="DU158" s="569"/>
      <c r="DV158" s="569"/>
      <c r="DW158" s="569"/>
      <c r="DX158" s="569"/>
      <c r="DY158" s="569"/>
      <c r="DZ158" s="569"/>
      <c r="EA158" s="569"/>
      <c r="EB158" s="569"/>
      <c r="EC158" s="569"/>
      <c r="ED158" s="569"/>
      <c r="EE158" s="569"/>
      <c r="EF158" s="569"/>
      <c r="EG158" s="569"/>
      <c r="EH158" s="569"/>
      <c r="EI158" s="569"/>
      <c r="EJ158" s="569"/>
      <c r="EK158" s="569"/>
      <c r="EL158" s="569"/>
      <c r="EM158" s="569"/>
      <c r="EN158" s="569"/>
      <c r="EO158" s="569"/>
      <c r="EP158" s="569"/>
      <c r="EQ158" s="569"/>
      <c r="ER158" s="569"/>
      <c r="ES158" s="569"/>
      <c r="ET158" s="569"/>
      <c r="EU158" s="569"/>
      <c r="EV158" s="569"/>
      <c r="EW158" s="569"/>
      <c r="EX158" s="569"/>
      <c r="EY158" s="569"/>
      <c r="EZ158" s="569"/>
      <c r="FA158" s="569"/>
      <c r="FB158" s="569"/>
      <c r="FC158" s="569"/>
      <c r="FD158" s="569"/>
      <c r="FE158" s="569"/>
      <c r="FF158" s="569"/>
      <c r="FG158" s="569"/>
      <c r="FH158" s="569"/>
      <c r="FI158" s="569"/>
      <c r="FJ158" s="569"/>
      <c r="FK158" s="569"/>
      <c r="FL158" s="569"/>
      <c r="FM158" s="569"/>
      <c r="FN158" s="569"/>
      <c r="FO158" s="569"/>
      <c r="FP158" s="569"/>
      <c r="FQ158" s="569"/>
      <c r="FR158" s="569"/>
      <c r="FS158" s="569"/>
      <c r="FT158" s="569"/>
      <c r="FU158" s="569"/>
      <c r="FV158" s="569"/>
      <c r="FW158" s="569"/>
      <c r="FX158" s="569"/>
      <c r="FY158" s="569"/>
      <c r="FZ158" s="569"/>
      <c r="GA158" s="569"/>
      <c r="GB158" s="569"/>
      <c r="GC158" s="569"/>
      <c r="GD158" s="569"/>
      <c r="GE158" s="569"/>
      <c r="GF158" s="569"/>
      <c r="GG158" s="569"/>
      <c r="GH158" s="569"/>
      <c r="GI158" s="569"/>
      <c r="GJ158" s="569"/>
      <c r="GK158" s="569"/>
      <c r="GL158" s="569"/>
      <c r="GM158" s="569"/>
      <c r="GN158" s="569"/>
      <c r="GO158" s="569"/>
      <c r="GP158" s="569"/>
      <c r="GQ158" s="569"/>
      <c r="GR158" s="569"/>
      <c r="GS158" s="569"/>
      <c r="GT158" s="569"/>
    </row>
    <row r="159" spans="2:202" s="554" customFormat="1">
      <c r="B159" s="590"/>
      <c r="C159" s="590"/>
      <c r="D159" s="590"/>
      <c r="E159" s="590"/>
      <c r="F159" s="590"/>
      <c r="G159" s="590"/>
      <c r="H159" s="590"/>
      <c r="I159" s="590"/>
      <c r="J159" s="590"/>
      <c r="K159" s="590"/>
      <c r="L159" s="590"/>
      <c r="M159" s="590"/>
      <c r="N159" s="590"/>
      <c r="O159" s="590"/>
      <c r="P159" s="590"/>
      <c r="Q159" s="590"/>
      <c r="R159" s="590"/>
      <c r="S159" s="590"/>
      <c r="T159" s="578"/>
      <c r="U159" s="590"/>
      <c r="V159" s="590"/>
      <c r="W159" s="590"/>
      <c r="X159" s="590"/>
      <c r="Y159" s="590"/>
      <c r="Z159" s="590"/>
      <c r="AA159" s="590"/>
      <c r="AB159" s="590"/>
      <c r="AC159" s="590"/>
      <c r="AD159" s="590"/>
      <c r="AE159" s="590"/>
      <c r="AF159" s="590"/>
      <c r="AG159" s="590"/>
      <c r="AH159" s="569"/>
      <c r="AI159" s="569"/>
      <c r="AJ159" s="569"/>
      <c r="AK159" s="569"/>
      <c r="AL159" s="569"/>
      <c r="AM159" s="569"/>
      <c r="AN159" s="569"/>
      <c r="AO159" s="569"/>
      <c r="AP159" s="569"/>
      <c r="AQ159" s="569"/>
      <c r="AR159" s="569"/>
      <c r="AS159" s="569"/>
      <c r="AT159" s="569"/>
      <c r="AU159" s="569"/>
      <c r="AV159" s="569"/>
      <c r="AW159" s="569"/>
      <c r="AX159" s="569"/>
      <c r="AY159" s="569"/>
      <c r="AZ159" s="569"/>
      <c r="BA159" s="569"/>
      <c r="BB159" s="569"/>
      <c r="BC159" s="569"/>
      <c r="BD159" s="569"/>
      <c r="BE159" s="569"/>
      <c r="BF159" s="569"/>
      <c r="BG159" s="569"/>
      <c r="BH159" s="569"/>
      <c r="BI159" s="569"/>
      <c r="BJ159" s="569"/>
      <c r="BK159" s="569"/>
      <c r="BL159" s="569"/>
      <c r="BM159" s="569"/>
      <c r="BN159" s="569"/>
      <c r="BO159" s="569"/>
      <c r="BP159" s="569"/>
      <c r="BQ159" s="569"/>
      <c r="BR159" s="569"/>
      <c r="BS159" s="569"/>
      <c r="BT159" s="569"/>
      <c r="BU159" s="569"/>
      <c r="BV159" s="569"/>
      <c r="BW159" s="569"/>
      <c r="BX159" s="569"/>
      <c r="BY159" s="569"/>
      <c r="BZ159" s="569"/>
      <c r="CA159" s="569"/>
      <c r="CB159" s="569"/>
      <c r="CC159" s="569"/>
      <c r="CD159" s="569"/>
      <c r="CE159" s="569"/>
      <c r="CF159" s="569"/>
      <c r="CG159" s="569"/>
      <c r="CH159" s="569"/>
      <c r="CI159" s="569"/>
      <c r="CJ159" s="569"/>
      <c r="CK159" s="569"/>
      <c r="CL159" s="569"/>
      <c r="CM159" s="569"/>
      <c r="CN159" s="569"/>
      <c r="CO159" s="569"/>
      <c r="CP159" s="569"/>
      <c r="CQ159" s="569"/>
      <c r="CR159" s="569"/>
      <c r="CS159" s="569"/>
      <c r="CT159" s="569"/>
      <c r="CU159" s="569"/>
      <c r="CV159" s="569"/>
      <c r="CW159" s="569"/>
      <c r="CX159" s="569"/>
      <c r="CY159" s="569"/>
      <c r="CZ159" s="569"/>
      <c r="DA159" s="569"/>
      <c r="DB159" s="569"/>
      <c r="DC159" s="569"/>
      <c r="DD159" s="569"/>
      <c r="DE159" s="569"/>
      <c r="DF159" s="569"/>
      <c r="DG159" s="569"/>
      <c r="DH159" s="569"/>
      <c r="DI159" s="569"/>
      <c r="DJ159" s="569"/>
      <c r="DK159" s="569"/>
      <c r="DL159" s="569"/>
      <c r="DM159" s="569"/>
      <c r="DN159" s="569"/>
      <c r="DO159" s="569"/>
      <c r="DP159" s="569"/>
      <c r="DQ159" s="569"/>
      <c r="DR159" s="569"/>
      <c r="DS159" s="569"/>
      <c r="DT159" s="569"/>
      <c r="DU159" s="569"/>
      <c r="DV159" s="569"/>
      <c r="DW159" s="569"/>
      <c r="DX159" s="569"/>
      <c r="DY159" s="569"/>
      <c r="DZ159" s="569"/>
      <c r="EA159" s="569"/>
      <c r="EB159" s="569"/>
      <c r="EC159" s="569"/>
      <c r="ED159" s="569"/>
      <c r="EE159" s="569"/>
      <c r="EF159" s="569"/>
      <c r="EG159" s="569"/>
      <c r="EH159" s="569"/>
      <c r="EI159" s="569"/>
      <c r="EJ159" s="569"/>
      <c r="EK159" s="569"/>
      <c r="EL159" s="569"/>
      <c r="EM159" s="569"/>
      <c r="EN159" s="569"/>
      <c r="EO159" s="569"/>
      <c r="EP159" s="569"/>
      <c r="EQ159" s="569"/>
      <c r="ER159" s="569"/>
      <c r="ES159" s="569"/>
      <c r="ET159" s="569"/>
      <c r="EU159" s="569"/>
      <c r="EV159" s="569"/>
      <c r="EW159" s="569"/>
      <c r="EX159" s="569"/>
      <c r="EY159" s="569"/>
      <c r="EZ159" s="569"/>
      <c r="FA159" s="569"/>
      <c r="FB159" s="569"/>
      <c r="FC159" s="569"/>
      <c r="FD159" s="569"/>
      <c r="FE159" s="569"/>
      <c r="FF159" s="569"/>
      <c r="FG159" s="569"/>
      <c r="FH159" s="569"/>
      <c r="FI159" s="569"/>
      <c r="FJ159" s="569"/>
      <c r="FK159" s="569"/>
      <c r="FL159" s="569"/>
      <c r="FM159" s="569"/>
      <c r="FN159" s="569"/>
      <c r="FO159" s="569"/>
      <c r="FP159" s="569"/>
      <c r="FQ159" s="569"/>
      <c r="FR159" s="569"/>
      <c r="FS159" s="569"/>
      <c r="FT159" s="569"/>
      <c r="FU159" s="569"/>
      <c r="FV159" s="569"/>
      <c r="FW159" s="569"/>
      <c r="FX159" s="569"/>
      <c r="FY159" s="569"/>
      <c r="FZ159" s="569"/>
      <c r="GA159" s="569"/>
      <c r="GB159" s="569"/>
      <c r="GC159" s="569"/>
      <c r="GD159" s="569"/>
      <c r="GE159" s="569"/>
      <c r="GF159" s="569"/>
      <c r="GG159" s="569"/>
      <c r="GH159" s="569"/>
      <c r="GI159" s="569"/>
      <c r="GJ159" s="569"/>
      <c r="GK159" s="569"/>
      <c r="GL159" s="569"/>
      <c r="GM159" s="569"/>
      <c r="GN159" s="569"/>
      <c r="GO159" s="569"/>
      <c r="GP159" s="569"/>
      <c r="GQ159" s="569"/>
      <c r="GR159" s="569"/>
      <c r="GS159" s="569"/>
      <c r="GT159" s="569"/>
    </row>
    <row r="160" spans="2:202" s="554" customFormat="1">
      <c r="B160" s="590"/>
      <c r="C160" s="590"/>
      <c r="D160" s="590"/>
      <c r="E160" s="590"/>
      <c r="F160" s="590"/>
      <c r="G160" s="590"/>
      <c r="H160" s="590"/>
      <c r="I160" s="590"/>
      <c r="J160" s="590"/>
      <c r="K160" s="590"/>
      <c r="L160" s="590"/>
      <c r="M160" s="590"/>
      <c r="N160" s="590"/>
      <c r="O160" s="590"/>
      <c r="P160" s="590"/>
      <c r="Q160" s="590"/>
      <c r="R160" s="590"/>
      <c r="S160" s="590"/>
      <c r="T160" s="590"/>
      <c r="U160" s="590"/>
      <c r="V160" s="590"/>
      <c r="W160" s="590"/>
      <c r="X160" s="590"/>
      <c r="Y160" s="590"/>
      <c r="Z160" s="590"/>
      <c r="AA160" s="590"/>
      <c r="AB160" s="590"/>
      <c r="AC160" s="590"/>
      <c r="AD160" s="590"/>
      <c r="AE160" s="590"/>
      <c r="AF160" s="590"/>
      <c r="AG160" s="590"/>
      <c r="AH160" s="569"/>
      <c r="AI160" s="569"/>
      <c r="AJ160" s="569"/>
      <c r="AK160" s="569"/>
      <c r="AL160" s="569"/>
      <c r="AM160" s="569"/>
      <c r="AN160" s="569"/>
      <c r="AO160" s="569"/>
      <c r="AP160" s="569"/>
      <c r="AQ160" s="569"/>
      <c r="AR160" s="569"/>
      <c r="AS160" s="569"/>
      <c r="AT160" s="569"/>
      <c r="AU160" s="569"/>
      <c r="AV160" s="569"/>
      <c r="AW160" s="569"/>
      <c r="AX160" s="569"/>
      <c r="AY160" s="569"/>
      <c r="AZ160" s="569"/>
      <c r="BA160" s="569"/>
      <c r="BB160" s="569"/>
      <c r="BC160" s="569"/>
      <c r="BD160" s="569"/>
      <c r="BE160" s="569"/>
      <c r="BF160" s="569"/>
      <c r="BG160" s="569"/>
      <c r="BH160" s="569"/>
      <c r="BI160" s="569"/>
      <c r="BJ160" s="569"/>
      <c r="BK160" s="569"/>
      <c r="BL160" s="569"/>
      <c r="BM160" s="569"/>
      <c r="BN160" s="569"/>
      <c r="BO160" s="569"/>
      <c r="BP160" s="569"/>
      <c r="BQ160" s="569"/>
      <c r="BR160" s="569"/>
      <c r="BS160" s="569"/>
      <c r="BT160" s="569"/>
      <c r="BU160" s="569"/>
      <c r="BV160" s="569"/>
      <c r="BW160" s="569"/>
      <c r="BX160" s="569"/>
      <c r="BY160" s="569"/>
      <c r="BZ160" s="569"/>
      <c r="CA160" s="569"/>
      <c r="CB160" s="569"/>
      <c r="CC160" s="569"/>
      <c r="CD160" s="569"/>
      <c r="CE160" s="569"/>
      <c r="CF160" s="569"/>
      <c r="CG160" s="569"/>
      <c r="CH160" s="569"/>
      <c r="CI160" s="569"/>
      <c r="CJ160" s="569"/>
      <c r="CK160" s="569"/>
      <c r="CL160" s="569"/>
      <c r="CM160" s="569"/>
      <c r="CN160" s="569"/>
      <c r="CO160" s="569"/>
      <c r="CP160" s="569"/>
      <c r="CQ160" s="569"/>
      <c r="CR160" s="569"/>
      <c r="CS160" s="569"/>
      <c r="CT160" s="569"/>
      <c r="CU160" s="569"/>
      <c r="CV160" s="569"/>
      <c r="CW160" s="569"/>
      <c r="CX160" s="569"/>
      <c r="CY160" s="569"/>
      <c r="CZ160" s="569"/>
      <c r="DA160" s="569"/>
      <c r="DB160" s="569"/>
      <c r="DC160" s="569"/>
      <c r="DD160" s="569"/>
      <c r="DE160" s="569"/>
      <c r="DF160" s="569"/>
      <c r="DG160" s="569"/>
      <c r="DH160" s="569"/>
      <c r="DI160" s="569"/>
      <c r="DJ160" s="569"/>
      <c r="DK160" s="569"/>
      <c r="DL160" s="569"/>
      <c r="DM160" s="569"/>
      <c r="DN160" s="569"/>
      <c r="DO160" s="569"/>
      <c r="DP160" s="569"/>
      <c r="DQ160" s="569"/>
      <c r="DR160" s="569"/>
      <c r="DS160" s="569"/>
      <c r="DT160" s="569"/>
      <c r="DU160" s="569"/>
      <c r="DV160" s="569"/>
      <c r="DW160" s="569"/>
      <c r="DX160" s="569"/>
      <c r="DY160" s="569"/>
      <c r="DZ160" s="569"/>
      <c r="EA160" s="569"/>
      <c r="EB160" s="569"/>
      <c r="EC160" s="569"/>
      <c r="ED160" s="569"/>
      <c r="EE160" s="569"/>
      <c r="EF160" s="569"/>
      <c r="EG160" s="569"/>
      <c r="EH160" s="569"/>
      <c r="EI160" s="569"/>
      <c r="EJ160" s="569"/>
      <c r="EK160" s="569"/>
      <c r="EL160" s="569"/>
      <c r="EM160" s="569"/>
      <c r="EN160" s="569"/>
      <c r="EO160" s="569"/>
      <c r="EP160" s="569"/>
      <c r="EQ160" s="569"/>
      <c r="ER160" s="569"/>
      <c r="ES160" s="569"/>
      <c r="ET160" s="569"/>
      <c r="EU160" s="569"/>
      <c r="EV160" s="569"/>
      <c r="EW160" s="569"/>
      <c r="EX160" s="569"/>
      <c r="EY160" s="569"/>
      <c r="EZ160" s="569"/>
      <c r="FA160" s="569"/>
      <c r="FB160" s="569"/>
      <c r="FC160" s="569"/>
      <c r="FD160" s="569"/>
      <c r="FE160" s="569"/>
      <c r="FF160" s="569"/>
      <c r="FG160" s="569"/>
      <c r="FH160" s="569"/>
      <c r="FI160" s="569"/>
      <c r="FJ160" s="569"/>
      <c r="FK160" s="569"/>
      <c r="FL160" s="569"/>
      <c r="FM160" s="569"/>
      <c r="FN160" s="569"/>
      <c r="FO160" s="569"/>
      <c r="FP160" s="569"/>
      <c r="FQ160" s="569"/>
      <c r="FR160" s="569"/>
      <c r="FS160" s="569"/>
      <c r="FT160" s="569"/>
      <c r="FU160" s="569"/>
      <c r="FV160" s="569"/>
      <c r="FW160" s="569"/>
      <c r="FX160" s="569"/>
      <c r="FY160" s="569"/>
      <c r="FZ160" s="569"/>
      <c r="GA160" s="569"/>
      <c r="GB160" s="569"/>
      <c r="GC160" s="569"/>
      <c r="GD160" s="569"/>
      <c r="GE160" s="569"/>
      <c r="GF160" s="569"/>
      <c r="GG160" s="569"/>
      <c r="GH160" s="569"/>
      <c r="GI160" s="569"/>
      <c r="GJ160" s="569"/>
      <c r="GK160" s="569"/>
      <c r="GL160" s="569"/>
      <c r="GM160" s="569"/>
      <c r="GN160" s="569"/>
      <c r="GO160" s="569"/>
      <c r="GP160" s="569"/>
      <c r="GQ160" s="569"/>
      <c r="GR160" s="569"/>
      <c r="GS160" s="569"/>
      <c r="GT160" s="569"/>
    </row>
    <row r="161" spans="2:202" s="554" customFormat="1">
      <c r="B161" s="590"/>
      <c r="C161" s="590"/>
      <c r="D161" s="590"/>
      <c r="E161" s="590"/>
      <c r="F161" s="590"/>
      <c r="G161" s="590"/>
      <c r="H161" s="590"/>
      <c r="I161" s="590"/>
      <c r="J161" s="590"/>
      <c r="K161" s="590"/>
      <c r="L161" s="590"/>
      <c r="M161" s="590"/>
      <c r="N161" s="590"/>
      <c r="O161" s="590"/>
      <c r="P161" s="590"/>
      <c r="Q161" s="590"/>
      <c r="R161" s="590"/>
      <c r="S161" s="590"/>
      <c r="T161" s="590"/>
      <c r="U161" s="590"/>
      <c r="V161" s="590"/>
      <c r="W161" s="590"/>
      <c r="X161" s="590"/>
      <c r="Y161" s="590"/>
      <c r="Z161" s="590"/>
      <c r="AA161" s="590"/>
      <c r="AB161" s="590"/>
      <c r="AC161" s="590"/>
      <c r="AD161" s="590"/>
      <c r="AE161" s="590"/>
      <c r="AF161" s="590"/>
      <c r="AG161" s="590"/>
      <c r="AH161" s="569"/>
      <c r="AI161" s="569"/>
      <c r="AJ161" s="569"/>
      <c r="AK161" s="569"/>
      <c r="AL161" s="569"/>
      <c r="AM161" s="569"/>
      <c r="AN161" s="569"/>
      <c r="AO161" s="569"/>
      <c r="AP161" s="569"/>
      <c r="AQ161" s="569"/>
      <c r="AR161" s="569"/>
      <c r="AS161" s="569"/>
      <c r="AT161" s="569"/>
      <c r="AU161" s="569"/>
      <c r="AV161" s="569"/>
      <c r="AW161" s="569"/>
      <c r="AX161" s="569"/>
      <c r="AY161" s="569"/>
      <c r="AZ161" s="569"/>
      <c r="BA161" s="569"/>
      <c r="BB161" s="569"/>
      <c r="BC161" s="569"/>
      <c r="BD161" s="569"/>
      <c r="BE161" s="569"/>
      <c r="BF161" s="569"/>
      <c r="BG161" s="569"/>
      <c r="BH161" s="569"/>
      <c r="BI161" s="569"/>
      <c r="BJ161" s="569"/>
      <c r="BK161" s="569"/>
      <c r="BL161" s="569"/>
      <c r="BM161" s="569"/>
      <c r="BN161" s="569"/>
      <c r="BO161" s="569"/>
      <c r="BP161" s="569"/>
      <c r="BQ161" s="569"/>
      <c r="BR161" s="569"/>
      <c r="BS161" s="569"/>
      <c r="BT161" s="569"/>
      <c r="BU161" s="569"/>
      <c r="BV161" s="569"/>
      <c r="BW161" s="569"/>
      <c r="BX161" s="569"/>
      <c r="BY161" s="569"/>
      <c r="BZ161" s="569"/>
      <c r="CA161" s="569"/>
      <c r="CB161" s="569"/>
      <c r="CC161" s="569"/>
      <c r="CD161" s="569"/>
      <c r="CE161" s="569"/>
      <c r="CF161" s="569"/>
      <c r="CG161" s="569"/>
      <c r="CH161" s="569"/>
      <c r="CI161" s="569"/>
      <c r="CJ161" s="569"/>
      <c r="CK161" s="569"/>
      <c r="CL161" s="569"/>
      <c r="CM161" s="569"/>
      <c r="CN161" s="569"/>
      <c r="CO161" s="569"/>
      <c r="CP161" s="569"/>
      <c r="CQ161" s="569"/>
      <c r="CR161" s="569"/>
      <c r="CS161" s="569"/>
      <c r="CT161" s="569"/>
      <c r="CU161" s="569"/>
      <c r="CV161" s="569"/>
      <c r="CW161" s="569"/>
      <c r="CX161" s="569"/>
      <c r="CY161" s="569"/>
      <c r="CZ161" s="569"/>
      <c r="DA161" s="569"/>
      <c r="DB161" s="569"/>
      <c r="DC161" s="569"/>
      <c r="DD161" s="569"/>
      <c r="DE161" s="569"/>
      <c r="DF161" s="569"/>
      <c r="DG161" s="569"/>
      <c r="DH161" s="569"/>
      <c r="DI161" s="569"/>
      <c r="DJ161" s="569"/>
      <c r="DK161" s="569"/>
      <c r="DL161" s="569"/>
      <c r="DM161" s="569"/>
      <c r="DN161" s="569"/>
      <c r="DO161" s="569"/>
      <c r="DP161" s="569"/>
      <c r="DQ161" s="569"/>
      <c r="DR161" s="569"/>
      <c r="DS161" s="569"/>
      <c r="DT161" s="569"/>
      <c r="DU161" s="569"/>
      <c r="DV161" s="569"/>
      <c r="DW161" s="569"/>
      <c r="DX161" s="569"/>
      <c r="DY161" s="569"/>
      <c r="DZ161" s="569"/>
      <c r="EA161" s="569"/>
      <c r="EB161" s="569"/>
      <c r="EC161" s="569"/>
      <c r="ED161" s="569"/>
      <c r="EE161" s="569"/>
      <c r="EF161" s="569"/>
      <c r="EG161" s="569"/>
      <c r="EH161" s="569"/>
      <c r="EI161" s="569"/>
      <c r="EJ161" s="569"/>
      <c r="EK161" s="569"/>
      <c r="EL161" s="569"/>
      <c r="EM161" s="569"/>
      <c r="EN161" s="569"/>
      <c r="EO161" s="569"/>
      <c r="EP161" s="569"/>
      <c r="EQ161" s="569"/>
      <c r="ER161" s="569"/>
      <c r="ES161" s="569"/>
      <c r="ET161" s="569"/>
      <c r="EU161" s="569"/>
      <c r="EV161" s="569"/>
      <c r="EW161" s="569"/>
      <c r="EX161" s="569"/>
      <c r="EY161" s="569"/>
      <c r="EZ161" s="569"/>
      <c r="FA161" s="569"/>
      <c r="FB161" s="569"/>
      <c r="FC161" s="569"/>
      <c r="FD161" s="569"/>
      <c r="FE161" s="569"/>
      <c r="FF161" s="569"/>
      <c r="FG161" s="569"/>
      <c r="FH161" s="569"/>
      <c r="FI161" s="569"/>
      <c r="FJ161" s="569"/>
      <c r="FK161" s="569"/>
      <c r="FL161" s="569"/>
      <c r="FM161" s="569"/>
      <c r="FN161" s="569"/>
      <c r="FO161" s="569"/>
      <c r="FP161" s="569"/>
      <c r="FQ161" s="569"/>
      <c r="FR161" s="569"/>
      <c r="FS161" s="569"/>
      <c r="FT161" s="569"/>
      <c r="FU161" s="569"/>
      <c r="FV161" s="569"/>
      <c r="FW161" s="569"/>
      <c r="FX161" s="569"/>
      <c r="FY161" s="569"/>
      <c r="FZ161" s="569"/>
      <c r="GA161" s="569"/>
      <c r="GB161" s="569"/>
      <c r="GC161" s="569"/>
      <c r="GD161" s="569"/>
      <c r="GE161" s="569"/>
      <c r="GF161" s="569"/>
      <c r="GG161" s="569"/>
      <c r="GH161" s="569"/>
      <c r="GI161" s="569"/>
      <c r="GJ161" s="569"/>
      <c r="GK161" s="569"/>
      <c r="GL161" s="569"/>
      <c r="GM161" s="569"/>
      <c r="GN161" s="569"/>
      <c r="GO161" s="569"/>
      <c r="GP161" s="569"/>
      <c r="GQ161" s="569"/>
      <c r="GR161" s="569"/>
      <c r="GS161" s="569"/>
      <c r="GT161" s="569"/>
    </row>
    <row r="162" spans="2:202" s="554" customFormat="1">
      <c r="B162" s="590"/>
      <c r="C162" s="590"/>
      <c r="D162" s="590"/>
      <c r="E162" s="590"/>
      <c r="F162" s="590"/>
      <c r="G162" s="590"/>
      <c r="H162" s="590"/>
      <c r="I162" s="590"/>
      <c r="J162" s="590"/>
      <c r="K162" s="590"/>
      <c r="L162" s="590"/>
      <c r="M162" s="590"/>
      <c r="N162" s="590"/>
      <c r="O162" s="590"/>
      <c r="P162" s="590"/>
      <c r="Q162" s="590"/>
      <c r="R162" s="590"/>
      <c r="S162" s="590"/>
      <c r="T162" s="590"/>
      <c r="U162" s="590"/>
      <c r="V162" s="590"/>
      <c r="W162" s="590"/>
      <c r="X162" s="590"/>
      <c r="Y162" s="590"/>
      <c r="Z162" s="590"/>
      <c r="AA162" s="590"/>
      <c r="AB162" s="590"/>
      <c r="AC162" s="590"/>
      <c r="AD162" s="590"/>
      <c r="AE162" s="590"/>
      <c r="AF162" s="590"/>
      <c r="AG162" s="590"/>
      <c r="AH162" s="569"/>
      <c r="AI162" s="569"/>
      <c r="AJ162" s="569"/>
      <c r="AK162" s="569"/>
      <c r="AL162" s="569"/>
      <c r="AM162" s="569"/>
      <c r="AN162" s="569"/>
      <c r="AO162" s="569"/>
      <c r="AP162" s="569"/>
      <c r="AQ162" s="569"/>
      <c r="AR162" s="569"/>
      <c r="AS162" s="569"/>
      <c r="AT162" s="569"/>
      <c r="AU162" s="569"/>
      <c r="AV162" s="569"/>
      <c r="AW162" s="569"/>
      <c r="AX162" s="569"/>
      <c r="AY162" s="569"/>
      <c r="AZ162" s="569"/>
      <c r="BA162" s="569"/>
      <c r="BB162" s="569"/>
      <c r="BC162" s="569"/>
      <c r="BD162" s="569"/>
      <c r="BE162" s="569"/>
      <c r="BF162" s="569"/>
      <c r="BG162" s="569"/>
      <c r="BH162" s="569"/>
      <c r="BI162" s="569"/>
      <c r="BJ162" s="569"/>
      <c r="BK162" s="569"/>
      <c r="BL162" s="569"/>
      <c r="BM162" s="569"/>
      <c r="BN162" s="569"/>
      <c r="BO162" s="569"/>
      <c r="BP162" s="569"/>
      <c r="BQ162" s="569"/>
      <c r="BR162" s="569"/>
      <c r="BS162" s="569"/>
      <c r="BT162" s="569"/>
      <c r="BU162" s="569"/>
      <c r="BV162" s="569"/>
      <c r="BW162" s="569"/>
      <c r="BX162" s="569"/>
      <c r="BY162" s="569"/>
      <c r="BZ162" s="569"/>
      <c r="CA162" s="569"/>
      <c r="CB162" s="569"/>
      <c r="CC162" s="569"/>
      <c r="CD162" s="569"/>
      <c r="CE162" s="569"/>
      <c r="CF162" s="569"/>
      <c r="CG162" s="569"/>
      <c r="CH162" s="569"/>
      <c r="CI162" s="569"/>
      <c r="CJ162" s="569"/>
      <c r="CK162" s="569"/>
      <c r="CL162" s="569"/>
      <c r="CM162" s="569"/>
      <c r="CN162" s="569"/>
      <c r="CO162" s="569"/>
      <c r="CP162" s="569"/>
      <c r="CQ162" s="569"/>
      <c r="CR162" s="569"/>
      <c r="CS162" s="569"/>
      <c r="CT162" s="569"/>
      <c r="CU162" s="569"/>
      <c r="CV162" s="569"/>
      <c r="CW162" s="569"/>
      <c r="CX162" s="569"/>
      <c r="CY162" s="569"/>
      <c r="CZ162" s="569"/>
      <c r="DA162" s="569"/>
      <c r="DB162" s="569"/>
      <c r="DC162" s="569"/>
      <c r="DD162" s="569"/>
      <c r="DE162" s="569"/>
      <c r="DF162" s="569"/>
      <c r="DG162" s="569"/>
      <c r="DH162" s="569"/>
      <c r="DI162" s="569"/>
      <c r="DJ162" s="569"/>
      <c r="DK162" s="569"/>
      <c r="DL162" s="569"/>
      <c r="DM162" s="569"/>
      <c r="DN162" s="569"/>
      <c r="DO162" s="569"/>
      <c r="DP162" s="569"/>
      <c r="DQ162" s="569"/>
      <c r="DR162" s="569"/>
      <c r="DS162" s="569"/>
      <c r="DT162" s="569"/>
      <c r="DU162" s="569"/>
      <c r="DV162" s="569"/>
      <c r="DW162" s="569"/>
      <c r="DX162" s="569"/>
      <c r="DY162" s="569"/>
      <c r="DZ162" s="569"/>
      <c r="EA162" s="569"/>
      <c r="EB162" s="569"/>
      <c r="EC162" s="569"/>
      <c r="ED162" s="569"/>
      <c r="EE162" s="569"/>
      <c r="EF162" s="569"/>
      <c r="EG162" s="569"/>
      <c r="EH162" s="569"/>
      <c r="EI162" s="569"/>
      <c r="EJ162" s="569"/>
      <c r="EK162" s="569"/>
      <c r="EL162" s="569"/>
      <c r="EM162" s="569"/>
      <c r="EN162" s="569"/>
      <c r="EO162" s="569"/>
      <c r="EP162" s="569"/>
      <c r="EQ162" s="569"/>
      <c r="ER162" s="569"/>
      <c r="ES162" s="569"/>
      <c r="ET162" s="569"/>
      <c r="EU162" s="569"/>
      <c r="EV162" s="569"/>
      <c r="EW162" s="569"/>
      <c r="EX162" s="569"/>
      <c r="EY162" s="569"/>
      <c r="EZ162" s="569"/>
      <c r="FA162" s="569"/>
      <c r="FB162" s="569"/>
      <c r="FC162" s="569"/>
      <c r="FD162" s="569"/>
      <c r="FE162" s="569"/>
      <c r="FF162" s="569"/>
      <c r="FG162" s="569"/>
      <c r="FH162" s="569"/>
      <c r="FI162" s="569"/>
      <c r="FJ162" s="569"/>
      <c r="FK162" s="569"/>
      <c r="FL162" s="569"/>
      <c r="FM162" s="569"/>
      <c r="FN162" s="569"/>
      <c r="FO162" s="569"/>
      <c r="FP162" s="569"/>
      <c r="FQ162" s="569"/>
      <c r="FR162" s="569"/>
      <c r="FS162" s="569"/>
      <c r="FT162" s="569"/>
      <c r="FU162" s="569"/>
      <c r="FV162" s="569"/>
      <c r="FW162" s="569"/>
      <c r="FX162" s="569"/>
      <c r="FY162" s="569"/>
      <c r="FZ162" s="569"/>
      <c r="GA162" s="569"/>
      <c r="GB162" s="569"/>
      <c r="GC162" s="569"/>
      <c r="GD162" s="569"/>
      <c r="GE162" s="569"/>
      <c r="GF162" s="569"/>
      <c r="GG162" s="569"/>
      <c r="GH162" s="569"/>
      <c r="GI162" s="569"/>
      <c r="GJ162" s="569"/>
      <c r="GK162" s="569"/>
      <c r="GL162" s="569"/>
      <c r="GM162" s="569"/>
      <c r="GN162" s="569"/>
      <c r="GO162" s="569"/>
      <c r="GP162" s="569"/>
      <c r="GQ162" s="569"/>
      <c r="GR162" s="569"/>
      <c r="GS162" s="569"/>
      <c r="GT162" s="569"/>
    </row>
    <row r="163" spans="2:202" s="554" customFormat="1">
      <c r="B163" s="590"/>
      <c r="C163" s="590"/>
      <c r="D163" s="590"/>
      <c r="E163" s="590"/>
      <c r="F163" s="590"/>
      <c r="G163" s="590"/>
      <c r="H163" s="590"/>
      <c r="I163" s="590"/>
      <c r="J163" s="590"/>
      <c r="K163" s="590"/>
      <c r="L163" s="590"/>
      <c r="M163" s="590"/>
      <c r="N163" s="590"/>
      <c r="O163" s="590"/>
      <c r="P163" s="590"/>
      <c r="Q163" s="590"/>
      <c r="R163" s="590"/>
      <c r="S163" s="590"/>
      <c r="T163" s="590"/>
      <c r="U163" s="590"/>
      <c r="V163" s="590"/>
      <c r="W163" s="590"/>
      <c r="X163" s="590"/>
      <c r="Y163" s="590"/>
      <c r="Z163" s="590"/>
      <c r="AA163" s="590"/>
      <c r="AB163" s="590"/>
      <c r="AC163" s="590"/>
      <c r="AD163" s="590"/>
      <c r="AE163" s="590"/>
      <c r="AF163" s="590"/>
      <c r="AG163" s="590"/>
      <c r="AH163" s="569"/>
      <c r="AI163" s="569"/>
      <c r="AJ163" s="569"/>
      <c r="AK163" s="569"/>
      <c r="AL163" s="569"/>
      <c r="AM163" s="569"/>
      <c r="AN163" s="569"/>
      <c r="AO163" s="569"/>
      <c r="AP163" s="569"/>
      <c r="AQ163" s="569"/>
      <c r="AR163" s="569"/>
      <c r="AS163" s="569"/>
      <c r="AT163" s="569"/>
      <c r="AU163" s="569"/>
      <c r="AV163" s="569"/>
      <c r="AW163" s="569"/>
      <c r="AX163" s="569"/>
      <c r="AY163" s="569"/>
      <c r="AZ163" s="569"/>
      <c r="BA163" s="569"/>
      <c r="BB163" s="569"/>
      <c r="BC163" s="569"/>
      <c r="BD163" s="569"/>
      <c r="BE163" s="569"/>
      <c r="BF163" s="569"/>
      <c r="BG163" s="569"/>
      <c r="BH163" s="569"/>
      <c r="BI163" s="569"/>
      <c r="BJ163" s="569"/>
      <c r="BK163" s="569"/>
      <c r="BL163" s="569"/>
      <c r="BM163" s="569"/>
      <c r="BN163" s="569"/>
      <c r="BO163" s="569"/>
      <c r="BP163" s="569"/>
      <c r="BQ163" s="569"/>
      <c r="BR163" s="569"/>
      <c r="BS163" s="569"/>
      <c r="BT163" s="569"/>
      <c r="BU163" s="569"/>
      <c r="BV163" s="569"/>
      <c r="BW163" s="569"/>
      <c r="BX163" s="569"/>
      <c r="BY163" s="569"/>
      <c r="BZ163" s="569"/>
      <c r="CA163" s="569"/>
      <c r="CB163" s="569"/>
      <c r="CC163" s="569"/>
      <c r="CD163" s="569"/>
      <c r="CE163" s="569"/>
      <c r="CF163" s="569"/>
      <c r="CG163" s="569"/>
      <c r="CH163" s="569"/>
      <c r="CI163" s="569"/>
      <c r="CJ163" s="569"/>
      <c r="CK163" s="569"/>
      <c r="CL163" s="569"/>
      <c r="CM163" s="569"/>
      <c r="CN163" s="569"/>
      <c r="CO163" s="569"/>
      <c r="CP163" s="569"/>
      <c r="CQ163" s="569"/>
      <c r="CR163" s="569"/>
      <c r="CS163" s="569"/>
      <c r="CT163" s="569"/>
      <c r="CU163" s="569"/>
      <c r="CV163" s="569"/>
      <c r="CW163" s="569"/>
      <c r="CX163" s="569"/>
      <c r="CY163" s="569"/>
      <c r="CZ163" s="569"/>
      <c r="DA163" s="569"/>
      <c r="DB163" s="569"/>
      <c r="DC163" s="569"/>
      <c r="DD163" s="569"/>
      <c r="DE163" s="569"/>
      <c r="DF163" s="569"/>
      <c r="DG163" s="569"/>
      <c r="DH163" s="569"/>
      <c r="DI163" s="569"/>
      <c r="DJ163" s="569"/>
      <c r="DK163" s="569"/>
      <c r="DL163" s="569"/>
      <c r="DM163" s="569"/>
      <c r="DN163" s="569"/>
      <c r="DO163" s="569"/>
      <c r="DP163" s="569"/>
      <c r="DQ163" s="569"/>
      <c r="DR163" s="569"/>
      <c r="DS163" s="569"/>
      <c r="DT163" s="569"/>
      <c r="DU163" s="569"/>
      <c r="DV163" s="569"/>
      <c r="DW163" s="569"/>
      <c r="DX163" s="569"/>
      <c r="DY163" s="569"/>
      <c r="DZ163" s="569"/>
      <c r="EA163" s="569"/>
      <c r="EB163" s="569"/>
      <c r="EC163" s="569"/>
      <c r="ED163" s="569"/>
      <c r="EE163" s="569"/>
      <c r="EF163" s="569"/>
      <c r="EG163" s="569"/>
      <c r="EH163" s="569"/>
      <c r="EI163" s="569"/>
      <c r="EJ163" s="569"/>
      <c r="EK163" s="569"/>
      <c r="EL163" s="569"/>
      <c r="EM163" s="569"/>
      <c r="EN163" s="569"/>
      <c r="EO163" s="569"/>
      <c r="EP163" s="569"/>
      <c r="EQ163" s="569"/>
      <c r="ER163" s="569"/>
      <c r="ES163" s="569"/>
      <c r="ET163" s="569"/>
      <c r="EU163" s="569"/>
      <c r="EV163" s="569"/>
      <c r="EW163" s="569"/>
      <c r="EX163" s="569"/>
      <c r="EY163" s="569"/>
      <c r="EZ163" s="569"/>
      <c r="FA163" s="569"/>
      <c r="FB163" s="569"/>
      <c r="FC163" s="569"/>
      <c r="FD163" s="569"/>
      <c r="FE163" s="569"/>
      <c r="FF163" s="569"/>
      <c r="FG163" s="569"/>
      <c r="FH163" s="569"/>
      <c r="FI163" s="569"/>
      <c r="FJ163" s="569"/>
      <c r="FK163" s="569"/>
      <c r="FL163" s="569"/>
      <c r="FM163" s="569"/>
      <c r="FN163" s="569"/>
      <c r="FO163" s="569"/>
      <c r="FP163" s="569"/>
      <c r="FQ163" s="569"/>
      <c r="FR163" s="569"/>
      <c r="FS163" s="569"/>
      <c r="FT163" s="569"/>
      <c r="FU163" s="569"/>
      <c r="FV163" s="569"/>
      <c r="FW163" s="569"/>
      <c r="FX163" s="569"/>
      <c r="FY163" s="569"/>
      <c r="FZ163" s="569"/>
      <c r="GA163" s="569"/>
      <c r="GB163" s="569"/>
      <c r="GC163" s="569"/>
      <c r="GD163" s="569"/>
      <c r="GE163" s="569"/>
      <c r="GF163" s="569"/>
      <c r="GG163" s="569"/>
      <c r="GH163" s="569"/>
      <c r="GI163" s="569"/>
      <c r="GJ163" s="569"/>
      <c r="GK163" s="569"/>
      <c r="GL163" s="569"/>
      <c r="GM163" s="569"/>
      <c r="GN163" s="569"/>
      <c r="GO163" s="569"/>
      <c r="GP163" s="569"/>
      <c r="GQ163" s="569"/>
      <c r="GR163" s="569"/>
      <c r="GS163" s="569"/>
      <c r="GT163" s="569"/>
    </row>
    <row r="164" spans="2:202" s="554" customFormat="1">
      <c r="B164" s="590"/>
      <c r="C164" s="590"/>
      <c r="D164" s="590"/>
      <c r="E164" s="590"/>
      <c r="F164" s="590"/>
      <c r="G164" s="590"/>
      <c r="H164" s="590"/>
      <c r="I164" s="590"/>
      <c r="J164" s="590"/>
      <c r="K164" s="590"/>
      <c r="L164" s="590"/>
      <c r="M164" s="590"/>
      <c r="N164" s="590"/>
      <c r="O164" s="590"/>
      <c r="P164" s="590"/>
      <c r="Q164" s="590"/>
      <c r="R164" s="590"/>
      <c r="S164" s="590"/>
      <c r="T164" s="590"/>
      <c r="U164" s="590"/>
      <c r="V164" s="590"/>
      <c r="W164" s="590"/>
      <c r="X164" s="590"/>
      <c r="Y164" s="590"/>
      <c r="Z164" s="590"/>
      <c r="AA164" s="590"/>
      <c r="AB164" s="590"/>
      <c r="AC164" s="590"/>
      <c r="AD164" s="590"/>
      <c r="AE164" s="590"/>
      <c r="AF164" s="590"/>
      <c r="AG164" s="590"/>
      <c r="AH164" s="569"/>
      <c r="AI164" s="569"/>
      <c r="AJ164" s="569"/>
      <c r="AK164" s="569"/>
      <c r="AL164" s="569"/>
      <c r="AM164" s="569"/>
      <c r="AN164" s="569"/>
      <c r="AO164" s="569"/>
      <c r="AP164" s="569"/>
      <c r="AQ164" s="569"/>
      <c r="AR164" s="569"/>
      <c r="AS164" s="569"/>
      <c r="AT164" s="569"/>
      <c r="AU164" s="569"/>
      <c r="AV164" s="569"/>
      <c r="AW164" s="569"/>
      <c r="AX164" s="569"/>
      <c r="AY164" s="569"/>
      <c r="AZ164" s="569"/>
      <c r="BA164" s="569"/>
      <c r="BB164" s="569"/>
      <c r="BC164" s="569"/>
      <c r="BD164" s="569"/>
      <c r="BE164" s="569"/>
      <c r="BF164" s="569"/>
      <c r="BG164" s="569"/>
      <c r="BH164" s="569"/>
      <c r="BI164" s="569"/>
      <c r="BJ164" s="569"/>
      <c r="BK164" s="569"/>
      <c r="BL164" s="569"/>
      <c r="BM164" s="569"/>
      <c r="BN164" s="569"/>
      <c r="BO164" s="569"/>
      <c r="BP164" s="569"/>
      <c r="BQ164" s="569"/>
      <c r="BR164" s="569"/>
      <c r="BS164" s="569"/>
      <c r="BT164" s="569"/>
      <c r="BU164" s="569"/>
      <c r="BV164" s="569"/>
      <c r="BW164" s="569"/>
      <c r="BX164" s="569"/>
      <c r="BY164" s="569"/>
      <c r="BZ164" s="569"/>
      <c r="CA164" s="569"/>
      <c r="CB164" s="569"/>
      <c r="CC164" s="569"/>
      <c r="CD164" s="569"/>
      <c r="CE164" s="569"/>
      <c r="CF164" s="569"/>
      <c r="CG164" s="569"/>
      <c r="CH164" s="569"/>
      <c r="CI164" s="569"/>
      <c r="CJ164" s="569"/>
      <c r="CK164" s="569"/>
      <c r="CL164" s="569"/>
      <c r="CM164" s="569"/>
      <c r="CN164" s="569"/>
      <c r="CO164" s="569"/>
      <c r="CP164" s="569"/>
      <c r="CQ164" s="569"/>
      <c r="CR164" s="569"/>
      <c r="CS164" s="569"/>
      <c r="CT164" s="569"/>
      <c r="CU164" s="569"/>
      <c r="CV164" s="569"/>
      <c r="CW164" s="569"/>
      <c r="CX164" s="569"/>
      <c r="CY164" s="569"/>
      <c r="CZ164" s="569"/>
      <c r="DA164" s="569"/>
      <c r="DB164" s="569"/>
      <c r="DC164" s="569"/>
      <c r="DD164" s="569"/>
      <c r="DE164" s="569"/>
      <c r="DF164" s="569"/>
      <c r="DG164" s="569"/>
      <c r="DH164" s="569"/>
      <c r="DI164" s="569"/>
      <c r="DJ164" s="569"/>
      <c r="DK164" s="569"/>
      <c r="DL164" s="569"/>
      <c r="DM164" s="569"/>
      <c r="DN164" s="569"/>
      <c r="DO164" s="569"/>
      <c r="DP164" s="569"/>
      <c r="DQ164" s="569"/>
      <c r="DR164" s="569"/>
      <c r="DS164" s="569"/>
      <c r="DT164" s="569"/>
      <c r="DU164" s="569"/>
      <c r="DV164" s="569"/>
      <c r="DW164" s="569"/>
      <c r="DX164" s="569"/>
      <c r="DY164" s="569"/>
      <c r="DZ164" s="569"/>
      <c r="EA164" s="569"/>
      <c r="EB164" s="569"/>
      <c r="EC164" s="569"/>
      <c r="ED164" s="569"/>
      <c r="EE164" s="569"/>
      <c r="EF164" s="569"/>
      <c r="EG164" s="569"/>
      <c r="EH164" s="569"/>
      <c r="EI164" s="569"/>
      <c r="EJ164" s="569"/>
      <c r="EK164" s="569"/>
      <c r="EL164" s="569"/>
      <c r="EM164" s="569"/>
      <c r="EN164" s="569"/>
      <c r="EO164" s="569"/>
      <c r="EP164" s="569"/>
      <c r="EQ164" s="569"/>
      <c r="ER164" s="569"/>
      <c r="ES164" s="569"/>
      <c r="ET164" s="569"/>
      <c r="EU164" s="569"/>
      <c r="EV164" s="569"/>
      <c r="EW164" s="569"/>
      <c r="EX164" s="569"/>
      <c r="EY164" s="569"/>
      <c r="EZ164" s="569"/>
      <c r="FA164" s="569"/>
      <c r="FB164" s="569"/>
      <c r="FC164" s="569"/>
      <c r="FD164" s="569"/>
      <c r="FE164" s="569"/>
      <c r="FF164" s="569"/>
      <c r="FG164" s="569"/>
      <c r="FH164" s="569"/>
      <c r="FI164" s="569"/>
      <c r="FJ164" s="569"/>
      <c r="FK164" s="569"/>
      <c r="FL164" s="569"/>
      <c r="FM164" s="569"/>
      <c r="FN164" s="569"/>
      <c r="FO164" s="569"/>
      <c r="FP164" s="569"/>
      <c r="FQ164" s="569"/>
      <c r="FR164" s="569"/>
      <c r="FS164" s="569"/>
      <c r="FT164" s="569"/>
      <c r="FU164" s="569"/>
      <c r="FV164" s="569"/>
      <c r="FW164" s="569"/>
      <c r="FX164" s="569"/>
      <c r="FY164" s="569"/>
      <c r="FZ164" s="569"/>
      <c r="GA164" s="569"/>
      <c r="GB164" s="569"/>
      <c r="GC164" s="569"/>
      <c r="GD164" s="569"/>
      <c r="GE164" s="569"/>
      <c r="GF164" s="569"/>
      <c r="GG164" s="569"/>
      <c r="GH164" s="569"/>
      <c r="GI164" s="569"/>
      <c r="GJ164" s="569"/>
      <c r="GK164" s="569"/>
      <c r="GL164" s="569"/>
      <c r="GM164" s="569"/>
      <c r="GN164" s="569"/>
      <c r="GO164" s="569"/>
      <c r="GP164" s="569"/>
      <c r="GQ164" s="569"/>
      <c r="GR164" s="569"/>
      <c r="GS164" s="569"/>
      <c r="GT164" s="569"/>
    </row>
    <row r="165" spans="2:202" s="554" customFormat="1">
      <c r="B165" s="590"/>
      <c r="C165" s="590"/>
      <c r="D165" s="590"/>
      <c r="E165" s="590"/>
      <c r="F165" s="590"/>
      <c r="G165" s="590"/>
      <c r="H165" s="590"/>
      <c r="I165" s="590"/>
      <c r="J165" s="590"/>
      <c r="K165" s="590"/>
      <c r="L165" s="590"/>
      <c r="M165" s="590"/>
      <c r="N165" s="590"/>
      <c r="O165" s="590"/>
      <c r="P165" s="590"/>
      <c r="Q165" s="590"/>
      <c r="R165" s="590"/>
      <c r="S165" s="590"/>
      <c r="T165" s="590"/>
      <c r="U165" s="590"/>
      <c r="V165" s="590"/>
      <c r="W165" s="590"/>
      <c r="X165" s="590"/>
      <c r="Y165" s="590"/>
      <c r="Z165" s="590"/>
      <c r="AA165" s="590"/>
      <c r="AB165" s="590"/>
      <c r="AC165" s="590"/>
      <c r="AD165" s="590"/>
      <c r="AE165" s="590"/>
      <c r="AF165" s="590"/>
      <c r="AG165" s="590"/>
      <c r="AH165" s="569"/>
      <c r="AI165" s="569"/>
      <c r="AJ165" s="569"/>
      <c r="AK165" s="569"/>
      <c r="AL165" s="569"/>
      <c r="AM165" s="569"/>
      <c r="AN165" s="569"/>
      <c r="AO165" s="569"/>
      <c r="AP165" s="569"/>
      <c r="AQ165" s="569"/>
      <c r="AR165" s="569"/>
      <c r="AS165" s="569"/>
      <c r="AT165" s="569"/>
      <c r="AU165" s="569"/>
      <c r="AV165" s="569"/>
      <c r="AW165" s="569"/>
      <c r="AX165" s="569"/>
      <c r="AY165" s="569"/>
      <c r="AZ165" s="569"/>
      <c r="BA165" s="569"/>
      <c r="BB165" s="569"/>
      <c r="BC165" s="569"/>
      <c r="BD165" s="569"/>
      <c r="BE165" s="569"/>
      <c r="BF165" s="569"/>
      <c r="BG165" s="569"/>
      <c r="BH165" s="569"/>
      <c r="BI165" s="569"/>
      <c r="BJ165" s="569"/>
      <c r="BK165" s="569"/>
      <c r="BL165" s="569"/>
      <c r="BM165" s="569"/>
      <c r="BN165" s="569"/>
      <c r="BO165" s="569"/>
      <c r="BP165" s="569"/>
      <c r="BQ165" s="569"/>
      <c r="BR165" s="569"/>
      <c r="BS165" s="569"/>
      <c r="BT165" s="569"/>
      <c r="BU165" s="569"/>
      <c r="BV165" s="569"/>
      <c r="BW165" s="569"/>
      <c r="BX165" s="569"/>
      <c r="BY165" s="569"/>
      <c r="BZ165" s="569"/>
      <c r="CA165" s="569"/>
      <c r="CB165" s="569"/>
      <c r="CC165" s="569"/>
      <c r="CD165" s="569"/>
      <c r="CE165" s="569"/>
      <c r="CF165" s="569"/>
      <c r="CG165" s="569"/>
      <c r="CH165" s="569"/>
      <c r="CI165" s="569"/>
      <c r="CJ165" s="569"/>
      <c r="CK165" s="569"/>
      <c r="CL165" s="569"/>
      <c r="CM165" s="569"/>
      <c r="CN165" s="569"/>
      <c r="CO165" s="569"/>
      <c r="CP165" s="569"/>
      <c r="CQ165" s="569"/>
      <c r="CR165" s="569"/>
      <c r="CS165" s="569"/>
      <c r="CT165" s="569"/>
      <c r="CU165" s="569"/>
      <c r="CV165" s="569"/>
      <c r="CW165" s="569"/>
      <c r="CX165" s="569"/>
      <c r="CY165" s="569"/>
      <c r="CZ165" s="569"/>
      <c r="DA165" s="569"/>
      <c r="DB165" s="569"/>
      <c r="DC165" s="569"/>
      <c r="DD165" s="569"/>
      <c r="DE165" s="569"/>
      <c r="DF165" s="569"/>
      <c r="DG165" s="569"/>
      <c r="DH165" s="569"/>
      <c r="DI165" s="569"/>
      <c r="DJ165" s="569"/>
      <c r="DK165" s="569"/>
      <c r="DL165" s="569"/>
      <c r="DM165" s="569"/>
      <c r="DN165" s="569"/>
      <c r="DO165" s="569"/>
      <c r="DP165" s="569"/>
      <c r="DQ165" s="569"/>
      <c r="DR165" s="569"/>
      <c r="DS165" s="569"/>
      <c r="DT165" s="569"/>
      <c r="DU165" s="569"/>
      <c r="DV165" s="569"/>
      <c r="DW165" s="569"/>
      <c r="DX165" s="569"/>
      <c r="DY165" s="569"/>
      <c r="DZ165" s="569"/>
      <c r="EA165" s="569"/>
      <c r="EB165" s="569"/>
      <c r="EC165" s="569"/>
      <c r="ED165" s="569"/>
      <c r="EE165" s="569"/>
      <c r="EF165" s="569"/>
      <c r="EG165" s="569"/>
      <c r="EH165" s="569"/>
      <c r="EI165" s="569"/>
      <c r="EJ165" s="569"/>
      <c r="EK165" s="569"/>
      <c r="EL165" s="569"/>
      <c r="EM165" s="569"/>
      <c r="EN165" s="569"/>
      <c r="EO165" s="569"/>
      <c r="EP165" s="569"/>
      <c r="EQ165" s="569"/>
      <c r="ER165" s="569"/>
      <c r="ES165" s="569"/>
      <c r="ET165" s="569"/>
      <c r="EU165" s="569"/>
      <c r="EV165" s="569"/>
      <c r="EW165" s="569"/>
      <c r="EX165" s="569"/>
      <c r="EY165" s="569"/>
      <c r="EZ165" s="569"/>
      <c r="FA165" s="569"/>
      <c r="FB165" s="569"/>
      <c r="FC165" s="569"/>
      <c r="FD165" s="569"/>
      <c r="FE165" s="569"/>
      <c r="FF165" s="569"/>
      <c r="FG165" s="569"/>
      <c r="FH165" s="569"/>
      <c r="FI165" s="569"/>
      <c r="FJ165" s="569"/>
      <c r="FK165" s="569"/>
      <c r="FL165" s="569"/>
      <c r="FM165" s="569"/>
      <c r="FN165" s="569"/>
      <c r="FO165" s="569"/>
      <c r="FP165" s="569"/>
      <c r="FQ165" s="569"/>
      <c r="FR165" s="569"/>
      <c r="FS165" s="569"/>
      <c r="FT165" s="569"/>
      <c r="FU165" s="569"/>
      <c r="FV165" s="569"/>
      <c r="FW165" s="569"/>
      <c r="FX165" s="569"/>
      <c r="FY165" s="569"/>
      <c r="FZ165" s="569"/>
      <c r="GA165" s="569"/>
      <c r="GB165" s="569"/>
      <c r="GC165" s="569"/>
      <c r="GD165" s="569"/>
      <c r="GE165" s="569"/>
      <c r="GF165" s="569"/>
      <c r="GG165" s="569"/>
      <c r="GH165" s="569"/>
      <c r="GI165" s="569"/>
      <c r="GJ165" s="569"/>
      <c r="GK165" s="569"/>
      <c r="GL165" s="569"/>
      <c r="GM165" s="569"/>
      <c r="GN165" s="569"/>
      <c r="GO165" s="569"/>
      <c r="GP165" s="569"/>
      <c r="GQ165" s="569"/>
      <c r="GR165" s="569"/>
      <c r="GS165" s="569"/>
      <c r="GT165" s="569"/>
    </row>
    <row r="166" spans="2:202" s="554" customFormat="1">
      <c r="B166" s="590"/>
      <c r="C166" s="590"/>
      <c r="D166" s="590"/>
      <c r="E166" s="590"/>
      <c r="F166" s="590"/>
      <c r="G166" s="590"/>
      <c r="H166" s="590"/>
      <c r="I166" s="590"/>
      <c r="J166" s="590"/>
      <c r="K166" s="590"/>
      <c r="L166" s="590"/>
      <c r="M166" s="590"/>
      <c r="N166" s="590"/>
      <c r="O166" s="590"/>
      <c r="P166" s="590"/>
      <c r="Q166" s="590"/>
      <c r="R166" s="590"/>
      <c r="S166" s="590"/>
      <c r="T166" s="590"/>
      <c r="U166" s="590"/>
      <c r="V166" s="590"/>
      <c r="W166" s="590"/>
      <c r="X166" s="590"/>
      <c r="Y166" s="590"/>
      <c r="Z166" s="590"/>
      <c r="AA166" s="590"/>
      <c r="AB166" s="590"/>
      <c r="AC166" s="590"/>
      <c r="AD166" s="590"/>
      <c r="AE166" s="590"/>
      <c r="AF166" s="590"/>
      <c r="AG166" s="590"/>
      <c r="AH166" s="569"/>
      <c r="AI166" s="569"/>
      <c r="AJ166" s="569"/>
      <c r="AK166" s="569"/>
      <c r="AL166" s="569"/>
      <c r="AM166" s="569"/>
      <c r="AN166" s="569"/>
      <c r="AO166" s="569"/>
      <c r="AP166" s="569"/>
      <c r="AQ166" s="569"/>
      <c r="AR166" s="569"/>
      <c r="AS166" s="569"/>
      <c r="AT166" s="569"/>
      <c r="AU166" s="569"/>
      <c r="AV166" s="569"/>
      <c r="AW166" s="569"/>
      <c r="AX166" s="569"/>
      <c r="AY166" s="569"/>
      <c r="AZ166" s="569"/>
      <c r="BA166" s="569"/>
      <c r="BB166" s="569"/>
      <c r="BC166" s="569"/>
      <c r="BD166" s="569"/>
      <c r="BE166" s="569"/>
      <c r="BF166" s="569"/>
      <c r="BG166" s="569"/>
      <c r="BH166" s="569"/>
      <c r="BI166" s="569"/>
      <c r="BJ166" s="569"/>
      <c r="BK166" s="569"/>
      <c r="BL166" s="569"/>
      <c r="BM166" s="569"/>
      <c r="BN166" s="569"/>
      <c r="BO166" s="569"/>
      <c r="BP166" s="569"/>
      <c r="BQ166" s="569"/>
      <c r="BR166" s="569"/>
      <c r="BS166" s="569"/>
      <c r="BT166" s="569"/>
      <c r="BU166" s="569"/>
      <c r="BV166" s="569"/>
      <c r="BW166" s="569"/>
      <c r="BX166" s="569"/>
      <c r="BY166" s="569"/>
      <c r="BZ166" s="569"/>
      <c r="CA166" s="569"/>
      <c r="CB166" s="569"/>
      <c r="CC166" s="569"/>
      <c r="CD166" s="569"/>
      <c r="CE166" s="569"/>
      <c r="CF166" s="569"/>
      <c r="CG166" s="569"/>
      <c r="CH166" s="569"/>
      <c r="CI166" s="569"/>
      <c r="CJ166" s="569"/>
      <c r="CK166" s="569"/>
      <c r="CL166" s="569"/>
      <c r="CM166" s="569"/>
      <c r="CN166" s="569"/>
      <c r="CO166" s="569"/>
      <c r="CP166" s="569"/>
      <c r="CQ166" s="569"/>
      <c r="CR166" s="569"/>
      <c r="CS166" s="569"/>
      <c r="CT166" s="569"/>
      <c r="CU166" s="569"/>
      <c r="CV166" s="569"/>
      <c r="CW166" s="569"/>
      <c r="CX166" s="569"/>
      <c r="CY166" s="569"/>
      <c r="CZ166" s="569"/>
      <c r="DA166" s="569"/>
      <c r="DB166" s="569"/>
      <c r="DC166" s="569"/>
      <c r="DD166" s="569"/>
      <c r="DE166" s="569"/>
      <c r="DF166" s="569"/>
      <c r="DG166" s="569"/>
      <c r="DH166" s="569"/>
      <c r="DI166" s="569"/>
      <c r="DJ166" s="569"/>
      <c r="DK166" s="569"/>
      <c r="DL166" s="569"/>
      <c r="DM166" s="569"/>
      <c r="DN166" s="569"/>
      <c r="DO166" s="569"/>
      <c r="DP166" s="569"/>
      <c r="DQ166" s="569"/>
      <c r="DR166" s="569"/>
      <c r="DS166" s="569"/>
      <c r="DT166" s="569"/>
      <c r="DU166" s="569"/>
      <c r="DV166" s="569"/>
      <c r="DW166" s="569"/>
      <c r="DX166" s="569"/>
      <c r="DY166" s="569"/>
      <c r="DZ166" s="569"/>
      <c r="EA166" s="569"/>
      <c r="EB166" s="569"/>
      <c r="EC166" s="569"/>
      <c r="ED166" s="569"/>
      <c r="EE166" s="569"/>
      <c r="EF166" s="569"/>
      <c r="EG166" s="569"/>
      <c r="EH166" s="569"/>
      <c r="EI166" s="569"/>
      <c r="EJ166" s="569"/>
      <c r="EK166" s="569"/>
      <c r="EL166" s="569"/>
      <c r="EM166" s="569"/>
      <c r="EN166" s="569"/>
      <c r="EO166" s="569"/>
      <c r="EP166" s="569"/>
      <c r="EQ166" s="569"/>
      <c r="ER166" s="569"/>
      <c r="ES166" s="569"/>
      <c r="ET166" s="569"/>
      <c r="EU166" s="569"/>
      <c r="EV166" s="569"/>
      <c r="EW166" s="569"/>
      <c r="EX166" s="569"/>
      <c r="EY166" s="569"/>
      <c r="EZ166" s="569"/>
      <c r="FA166" s="569"/>
      <c r="FB166" s="569"/>
      <c r="FC166" s="569"/>
      <c r="FD166" s="569"/>
      <c r="FE166" s="569"/>
      <c r="FF166" s="569"/>
      <c r="FG166" s="569"/>
      <c r="FH166" s="569"/>
      <c r="FI166" s="569"/>
      <c r="FJ166" s="569"/>
      <c r="FK166" s="569"/>
      <c r="FL166" s="569"/>
      <c r="FM166" s="569"/>
      <c r="FN166" s="569"/>
      <c r="FO166" s="569"/>
      <c r="FP166" s="569"/>
      <c r="FQ166" s="569"/>
      <c r="FR166" s="569"/>
      <c r="FS166" s="569"/>
      <c r="FT166" s="569"/>
      <c r="FU166" s="569"/>
      <c r="FV166" s="569"/>
      <c r="FW166" s="569"/>
      <c r="FX166" s="569"/>
      <c r="FY166" s="569"/>
      <c r="FZ166" s="569"/>
      <c r="GA166" s="569"/>
      <c r="GB166" s="569"/>
      <c r="GC166" s="569"/>
      <c r="GD166" s="569"/>
      <c r="GE166" s="569"/>
      <c r="GF166" s="569"/>
      <c r="GG166" s="569"/>
      <c r="GH166" s="569"/>
      <c r="GI166" s="569"/>
      <c r="GJ166" s="569"/>
      <c r="GK166" s="569"/>
      <c r="GL166" s="569"/>
      <c r="GM166" s="569"/>
      <c r="GN166" s="569"/>
      <c r="GO166" s="569"/>
      <c r="GP166" s="569"/>
      <c r="GQ166" s="569"/>
      <c r="GR166" s="569"/>
      <c r="GS166" s="569"/>
      <c r="GT166" s="569"/>
    </row>
    <row r="167" spans="2:202" s="554" customFormat="1">
      <c r="B167" s="590"/>
      <c r="C167" s="590"/>
      <c r="D167" s="590"/>
      <c r="E167" s="590"/>
      <c r="F167" s="590"/>
      <c r="G167" s="590"/>
      <c r="H167" s="590"/>
      <c r="I167" s="590"/>
      <c r="J167" s="590"/>
      <c r="K167" s="590"/>
      <c r="L167" s="590"/>
      <c r="M167" s="590"/>
      <c r="N167" s="590"/>
      <c r="O167" s="590"/>
      <c r="P167" s="590"/>
      <c r="Q167" s="590"/>
      <c r="R167" s="590"/>
      <c r="S167" s="590"/>
      <c r="T167" s="590"/>
      <c r="U167" s="590"/>
      <c r="V167" s="590"/>
      <c r="W167" s="590"/>
      <c r="X167" s="590"/>
      <c r="Y167" s="590"/>
      <c r="Z167" s="590"/>
      <c r="AA167" s="590"/>
      <c r="AB167" s="590"/>
      <c r="AC167" s="590"/>
      <c r="AD167" s="590"/>
      <c r="AE167" s="590"/>
      <c r="AF167" s="590"/>
      <c r="AG167" s="590"/>
      <c r="AH167" s="569"/>
      <c r="AI167" s="569"/>
      <c r="AJ167" s="569"/>
      <c r="AK167" s="569"/>
      <c r="AL167" s="569"/>
      <c r="AM167" s="569"/>
      <c r="AN167" s="569"/>
      <c r="AO167" s="569"/>
      <c r="AP167" s="569"/>
      <c r="AQ167" s="569"/>
      <c r="AR167" s="569"/>
      <c r="AS167" s="569"/>
      <c r="AT167" s="569"/>
      <c r="AU167" s="569"/>
      <c r="AV167" s="569"/>
      <c r="AW167" s="569"/>
      <c r="AX167" s="569"/>
      <c r="AY167" s="569"/>
      <c r="AZ167" s="569"/>
      <c r="BA167" s="569"/>
      <c r="BB167" s="569"/>
      <c r="BC167" s="569"/>
      <c r="BD167" s="569"/>
      <c r="BE167" s="569"/>
      <c r="BF167" s="569"/>
      <c r="BG167" s="569"/>
      <c r="BH167" s="569"/>
      <c r="BI167" s="569"/>
      <c r="BJ167" s="569"/>
      <c r="BK167" s="569"/>
      <c r="BL167" s="569"/>
      <c r="BM167" s="569"/>
      <c r="BN167" s="569"/>
      <c r="BO167" s="569"/>
      <c r="BP167" s="569"/>
      <c r="BQ167" s="569"/>
      <c r="BR167" s="569"/>
      <c r="BS167" s="569"/>
      <c r="BT167" s="569"/>
      <c r="BU167" s="569"/>
      <c r="BV167" s="569"/>
      <c r="BW167" s="569"/>
      <c r="BX167" s="569"/>
      <c r="BY167" s="569"/>
      <c r="BZ167" s="569"/>
      <c r="CA167" s="569"/>
      <c r="CB167" s="569"/>
      <c r="CC167" s="569"/>
      <c r="CD167" s="569"/>
      <c r="CE167" s="569"/>
      <c r="CF167" s="569"/>
      <c r="CG167" s="569"/>
      <c r="CH167" s="569"/>
      <c r="CI167" s="569"/>
      <c r="CJ167" s="569"/>
      <c r="CK167" s="569"/>
      <c r="CL167" s="569"/>
      <c r="CM167" s="569"/>
      <c r="CN167" s="569"/>
      <c r="CO167" s="569"/>
      <c r="CP167" s="569"/>
      <c r="CQ167" s="569"/>
      <c r="CR167" s="569"/>
      <c r="CS167" s="569"/>
      <c r="CT167" s="569"/>
      <c r="CU167" s="569"/>
      <c r="CV167" s="569"/>
      <c r="CW167" s="569"/>
      <c r="CX167" s="569"/>
      <c r="CY167" s="569"/>
      <c r="CZ167" s="569"/>
      <c r="DA167" s="569"/>
      <c r="DB167" s="569"/>
      <c r="DC167" s="569"/>
      <c r="DD167" s="569"/>
      <c r="DE167" s="569"/>
      <c r="DF167" s="569"/>
      <c r="DG167" s="569"/>
      <c r="DH167" s="569"/>
      <c r="DI167" s="569"/>
      <c r="DJ167" s="569"/>
      <c r="DK167" s="569"/>
      <c r="DL167" s="569"/>
      <c r="DM167" s="569"/>
      <c r="DN167" s="569"/>
      <c r="DO167" s="569"/>
      <c r="DP167" s="569"/>
      <c r="DQ167" s="569"/>
      <c r="DR167" s="569"/>
      <c r="DS167" s="569"/>
      <c r="DT167" s="569"/>
      <c r="DU167" s="569"/>
      <c r="DV167" s="569"/>
      <c r="DW167" s="569"/>
      <c r="DX167" s="569"/>
      <c r="DY167" s="569"/>
      <c r="DZ167" s="569"/>
      <c r="EA167" s="569"/>
      <c r="EB167" s="569"/>
      <c r="EC167" s="569"/>
      <c r="ED167" s="569"/>
      <c r="EE167" s="569"/>
      <c r="EF167" s="569"/>
      <c r="EG167" s="569"/>
      <c r="EH167" s="569"/>
      <c r="EI167" s="569"/>
      <c r="EJ167" s="569"/>
      <c r="EK167" s="569"/>
      <c r="EL167" s="569"/>
      <c r="EM167" s="569"/>
      <c r="EN167" s="569"/>
      <c r="EO167" s="569"/>
      <c r="EP167" s="569"/>
      <c r="EQ167" s="569"/>
      <c r="ER167" s="569"/>
      <c r="ES167" s="569"/>
      <c r="ET167" s="569"/>
      <c r="EU167" s="569"/>
      <c r="EV167" s="569"/>
      <c r="EW167" s="569"/>
      <c r="EX167" s="569"/>
      <c r="EY167" s="569"/>
      <c r="EZ167" s="569"/>
      <c r="FA167" s="569"/>
      <c r="FB167" s="569"/>
      <c r="FC167" s="569"/>
      <c r="FD167" s="569"/>
      <c r="FE167" s="569"/>
      <c r="FF167" s="569"/>
      <c r="FG167" s="569"/>
      <c r="FH167" s="569"/>
      <c r="FI167" s="569"/>
      <c r="FJ167" s="569"/>
      <c r="FK167" s="569"/>
      <c r="FL167" s="569"/>
      <c r="FM167" s="569"/>
      <c r="FN167" s="569"/>
      <c r="FO167" s="569"/>
      <c r="FP167" s="569"/>
      <c r="FQ167" s="569"/>
      <c r="FR167" s="569"/>
      <c r="FS167" s="569"/>
      <c r="FT167" s="569"/>
      <c r="FU167" s="569"/>
      <c r="FV167" s="569"/>
      <c r="FW167" s="569"/>
      <c r="FX167" s="569"/>
      <c r="FY167" s="569"/>
      <c r="FZ167" s="569"/>
      <c r="GA167" s="569"/>
      <c r="GB167" s="569"/>
      <c r="GC167" s="569"/>
      <c r="GD167" s="569"/>
      <c r="GE167" s="569"/>
      <c r="GF167" s="569"/>
      <c r="GG167" s="569"/>
      <c r="GH167" s="569"/>
      <c r="GI167" s="569"/>
      <c r="GJ167" s="569"/>
      <c r="GK167" s="569"/>
      <c r="GL167" s="569"/>
      <c r="GM167" s="569"/>
      <c r="GN167" s="569"/>
      <c r="GO167" s="569"/>
      <c r="GP167" s="569"/>
      <c r="GQ167" s="569"/>
      <c r="GR167" s="569"/>
      <c r="GS167" s="569"/>
      <c r="GT167" s="569"/>
    </row>
    <row r="168" spans="2:202" s="554" customFormat="1">
      <c r="B168" s="590"/>
      <c r="C168" s="590"/>
      <c r="D168" s="590"/>
      <c r="E168" s="590"/>
      <c r="F168" s="590"/>
      <c r="G168" s="590"/>
      <c r="H168" s="590"/>
      <c r="I168" s="590"/>
      <c r="J168" s="590"/>
      <c r="K168" s="590"/>
      <c r="L168" s="590"/>
      <c r="M168" s="590"/>
      <c r="N168" s="590"/>
      <c r="O168" s="590"/>
      <c r="P168" s="590"/>
      <c r="Q168" s="590"/>
      <c r="R168" s="590"/>
      <c r="S168" s="590"/>
      <c r="T168" s="590"/>
      <c r="U168" s="590"/>
      <c r="V168" s="590"/>
      <c r="W168" s="590"/>
      <c r="X168" s="590"/>
      <c r="Y168" s="590"/>
      <c r="Z168" s="590"/>
      <c r="AA168" s="590"/>
      <c r="AB168" s="590"/>
      <c r="AC168" s="590"/>
      <c r="AD168" s="590"/>
      <c r="AE168" s="590"/>
      <c r="AF168" s="590"/>
      <c r="AG168" s="590"/>
      <c r="AH168" s="569"/>
      <c r="AI168" s="569"/>
      <c r="AJ168" s="569"/>
      <c r="AK168" s="569"/>
      <c r="AL168" s="569"/>
      <c r="AM168" s="569"/>
      <c r="AN168" s="569"/>
      <c r="AO168" s="569"/>
      <c r="AP168" s="569"/>
      <c r="AQ168" s="569"/>
      <c r="AR168" s="569"/>
      <c r="AS168" s="569"/>
      <c r="AT168" s="569"/>
      <c r="AU168" s="569"/>
      <c r="AV168" s="569"/>
      <c r="AW168" s="569"/>
      <c r="AX168" s="569"/>
      <c r="AY168" s="569"/>
      <c r="AZ168" s="569"/>
      <c r="BA168" s="569"/>
      <c r="BB168" s="569"/>
      <c r="BC168" s="569"/>
      <c r="BD168" s="569"/>
      <c r="BE168" s="569"/>
      <c r="BF168" s="569"/>
      <c r="BG168" s="569"/>
      <c r="BH168" s="569"/>
      <c r="BI168" s="569"/>
      <c r="BJ168" s="569"/>
      <c r="BK168" s="569"/>
      <c r="BL168" s="569"/>
      <c r="BM168" s="569"/>
      <c r="BN168" s="569"/>
      <c r="BO168" s="569"/>
      <c r="BP168" s="569"/>
      <c r="BQ168" s="569"/>
      <c r="BR168" s="569"/>
      <c r="BS168" s="569"/>
      <c r="BT168" s="569"/>
      <c r="BU168" s="569"/>
      <c r="BV168" s="569"/>
      <c r="BW168" s="569"/>
      <c r="BX168" s="569"/>
      <c r="BY168" s="569"/>
      <c r="BZ168" s="569"/>
      <c r="CA168" s="569"/>
      <c r="CB168" s="569"/>
      <c r="CC168" s="569"/>
      <c r="CD168" s="569"/>
      <c r="CE168" s="569"/>
      <c r="CF168" s="569"/>
      <c r="CG168" s="569"/>
      <c r="CH168" s="569"/>
      <c r="CI168" s="569"/>
      <c r="CJ168" s="569"/>
      <c r="CK168" s="569"/>
      <c r="CL168" s="569"/>
      <c r="CM168" s="569"/>
      <c r="CN168" s="569"/>
      <c r="CO168" s="569"/>
      <c r="CP168" s="569"/>
      <c r="CQ168" s="569"/>
      <c r="CR168" s="569"/>
      <c r="CS168" s="569"/>
      <c r="CT168" s="569"/>
      <c r="CU168" s="569"/>
      <c r="CV168" s="569"/>
      <c r="CW168" s="569"/>
      <c r="CX168" s="569"/>
      <c r="CY168" s="569"/>
      <c r="CZ168" s="569"/>
      <c r="DA168" s="569"/>
      <c r="DB168" s="569"/>
      <c r="DC168" s="569"/>
      <c r="DD168" s="569"/>
      <c r="DE168" s="569"/>
      <c r="DF168" s="569"/>
      <c r="DG168" s="569"/>
      <c r="DH168" s="569"/>
      <c r="DI168" s="569"/>
      <c r="DJ168" s="569"/>
      <c r="DK168" s="569"/>
      <c r="DL168" s="569"/>
      <c r="DM168" s="569"/>
      <c r="DN168" s="569"/>
      <c r="DO168" s="569"/>
      <c r="DP168" s="569"/>
      <c r="DQ168" s="569"/>
      <c r="DR168" s="569"/>
      <c r="DS168" s="569"/>
      <c r="DT168" s="569"/>
      <c r="DU168" s="569"/>
      <c r="DV168" s="569"/>
      <c r="DW168" s="569"/>
      <c r="DX168" s="569"/>
      <c r="DY168" s="569"/>
      <c r="DZ168" s="569"/>
      <c r="EA168" s="569"/>
      <c r="EB168" s="569"/>
      <c r="EC168" s="569"/>
      <c r="ED168" s="569"/>
      <c r="EE168" s="569"/>
      <c r="EF168" s="569"/>
      <c r="EG168" s="569"/>
      <c r="EH168" s="569"/>
      <c r="EI168" s="569"/>
      <c r="EJ168" s="569"/>
      <c r="EK168" s="569"/>
      <c r="EL168" s="569"/>
      <c r="EM168" s="569"/>
      <c r="EN168" s="569"/>
      <c r="EO168" s="569"/>
      <c r="EP168" s="569"/>
      <c r="EQ168" s="569"/>
      <c r="ER168" s="569"/>
      <c r="ES168" s="569"/>
      <c r="ET168" s="569"/>
      <c r="EU168" s="569"/>
      <c r="EV168" s="569"/>
      <c r="EW168" s="569"/>
      <c r="EX168" s="569"/>
      <c r="EY168" s="569"/>
      <c r="EZ168" s="569"/>
      <c r="FA168" s="569"/>
      <c r="FB168" s="569"/>
      <c r="FC168" s="569"/>
      <c r="FD168" s="569"/>
      <c r="FE168" s="569"/>
      <c r="FF168" s="569"/>
      <c r="FG168" s="569"/>
      <c r="FH168" s="569"/>
      <c r="FI168" s="569"/>
      <c r="FJ168" s="569"/>
      <c r="FK168" s="569"/>
      <c r="FL168" s="569"/>
      <c r="FM168" s="569"/>
      <c r="FN168" s="569"/>
      <c r="FO168" s="569"/>
      <c r="FP168" s="569"/>
      <c r="FQ168" s="569"/>
      <c r="FR168" s="569"/>
      <c r="FS168" s="569"/>
      <c r="FT168" s="569"/>
      <c r="FU168" s="569"/>
      <c r="FV168" s="569"/>
      <c r="FW168" s="569"/>
      <c r="FX168" s="569"/>
      <c r="FY168" s="569"/>
      <c r="FZ168" s="569"/>
      <c r="GA168" s="569"/>
      <c r="GB168" s="569"/>
      <c r="GC168" s="569"/>
      <c r="GD168" s="569"/>
      <c r="GE168" s="569"/>
      <c r="GF168" s="569"/>
      <c r="GG168" s="569"/>
      <c r="GH168" s="569"/>
      <c r="GI168" s="569"/>
      <c r="GJ168" s="569"/>
      <c r="GK168" s="569"/>
      <c r="GL168" s="569"/>
      <c r="GM168" s="569"/>
      <c r="GN168" s="569"/>
      <c r="GO168" s="569"/>
      <c r="GP168" s="569"/>
      <c r="GQ168" s="569"/>
      <c r="GR168" s="569"/>
      <c r="GS168" s="569"/>
      <c r="GT168" s="569"/>
    </row>
    <row r="169" spans="2:202" s="554" customFormat="1">
      <c r="B169" s="590"/>
      <c r="C169" s="590"/>
      <c r="D169" s="590"/>
      <c r="E169" s="590"/>
      <c r="F169" s="590"/>
      <c r="G169" s="590"/>
      <c r="H169" s="590"/>
      <c r="I169" s="590"/>
      <c r="J169" s="590"/>
      <c r="K169" s="590"/>
      <c r="L169" s="590"/>
      <c r="M169" s="590"/>
      <c r="N169" s="590"/>
      <c r="O169" s="590"/>
      <c r="P169" s="590"/>
      <c r="Q169" s="590"/>
      <c r="R169" s="590"/>
      <c r="S169" s="590"/>
      <c r="T169" s="590"/>
      <c r="U169" s="590"/>
      <c r="V169" s="590"/>
      <c r="W169" s="590"/>
      <c r="X169" s="590"/>
      <c r="Y169" s="590"/>
      <c r="Z169" s="590"/>
      <c r="AA169" s="590"/>
      <c r="AB169" s="590"/>
      <c r="AC169" s="590"/>
      <c r="AD169" s="590"/>
      <c r="AE169" s="590"/>
      <c r="AF169" s="590"/>
      <c r="AG169" s="590"/>
      <c r="AH169" s="569"/>
      <c r="AI169" s="569"/>
      <c r="AJ169" s="569"/>
      <c r="AK169" s="569"/>
      <c r="AL169" s="569"/>
      <c r="AM169" s="569"/>
      <c r="AN169" s="569"/>
      <c r="AO169" s="569"/>
      <c r="AP169" s="569"/>
      <c r="AQ169" s="569"/>
      <c r="AR169" s="569"/>
      <c r="AS169" s="569"/>
      <c r="AT169" s="569"/>
      <c r="AU169" s="569"/>
      <c r="AV169" s="569"/>
      <c r="AW169" s="569"/>
      <c r="AX169" s="569"/>
      <c r="AY169" s="569"/>
      <c r="AZ169" s="569"/>
      <c r="BA169" s="569"/>
      <c r="BB169" s="569"/>
      <c r="BC169" s="569"/>
      <c r="BD169" s="569"/>
      <c r="BE169" s="569"/>
      <c r="BF169" s="569"/>
      <c r="BG169" s="569"/>
      <c r="BH169" s="569"/>
      <c r="BI169" s="569"/>
      <c r="BJ169" s="569"/>
      <c r="BK169" s="569"/>
      <c r="BL169" s="569"/>
      <c r="BM169" s="569"/>
      <c r="BN169" s="569"/>
      <c r="BO169" s="569"/>
      <c r="BP169" s="569"/>
      <c r="BQ169" s="569"/>
      <c r="BR169" s="569"/>
      <c r="BS169" s="569"/>
      <c r="BT169" s="569"/>
      <c r="BU169" s="569"/>
      <c r="BV169" s="569"/>
      <c r="BW169" s="569"/>
      <c r="BX169" s="569"/>
      <c r="BY169" s="569"/>
      <c r="BZ169" s="569"/>
      <c r="CA169" s="569"/>
      <c r="CB169" s="569"/>
      <c r="CC169" s="569"/>
      <c r="CD169" s="569"/>
      <c r="CE169" s="569"/>
      <c r="CF169" s="569"/>
      <c r="CG169" s="569"/>
      <c r="CH169" s="569"/>
      <c r="CI169" s="569"/>
      <c r="CJ169" s="569"/>
      <c r="CK169" s="569"/>
      <c r="CL169" s="569"/>
      <c r="CM169" s="569"/>
      <c r="CN169" s="569"/>
      <c r="CO169" s="569"/>
      <c r="CP169" s="569"/>
      <c r="CQ169" s="569"/>
      <c r="CR169" s="569"/>
      <c r="CS169" s="569"/>
      <c r="CT169" s="569"/>
      <c r="CU169" s="569"/>
      <c r="CV169" s="569"/>
      <c r="CW169" s="569"/>
      <c r="CX169" s="569"/>
      <c r="CY169" s="569"/>
      <c r="CZ169" s="569"/>
      <c r="DA169" s="569"/>
      <c r="DB169" s="569"/>
      <c r="DC169" s="569"/>
      <c r="DD169" s="569"/>
      <c r="DE169" s="569"/>
      <c r="DF169" s="569"/>
      <c r="DG169" s="569"/>
      <c r="DH169" s="569"/>
      <c r="DI169" s="569"/>
      <c r="DJ169" s="569"/>
      <c r="DK169" s="569"/>
      <c r="DL169" s="569"/>
      <c r="DM169" s="569"/>
      <c r="DN169" s="569"/>
      <c r="DO169" s="569"/>
      <c r="DP169" s="569"/>
      <c r="DQ169" s="569"/>
      <c r="DR169" s="569"/>
      <c r="DS169" s="569"/>
      <c r="DT169" s="569"/>
      <c r="DU169" s="569"/>
      <c r="DV169" s="569"/>
      <c r="DW169" s="569"/>
      <c r="DX169" s="569"/>
      <c r="DY169" s="569"/>
      <c r="DZ169" s="569"/>
      <c r="EA169" s="569"/>
      <c r="EB169" s="569"/>
      <c r="EC169" s="569"/>
      <c r="ED169" s="569"/>
      <c r="EE169" s="569"/>
      <c r="EF169" s="569"/>
      <c r="EG169" s="569"/>
      <c r="EH169" s="569"/>
      <c r="EI169" s="569"/>
      <c r="EJ169" s="569"/>
      <c r="EK169" s="569"/>
      <c r="EL169" s="569"/>
      <c r="EM169" s="569"/>
      <c r="EN169" s="569"/>
      <c r="EO169" s="569"/>
      <c r="EP169" s="569"/>
      <c r="EQ169" s="569"/>
      <c r="ER169" s="569"/>
      <c r="ES169" s="569"/>
      <c r="ET169" s="569"/>
      <c r="EU169" s="569"/>
      <c r="EV169" s="569"/>
      <c r="EW169" s="569"/>
      <c r="EX169" s="569"/>
      <c r="EY169" s="569"/>
      <c r="EZ169" s="569"/>
      <c r="FA169" s="569"/>
      <c r="FB169" s="569"/>
      <c r="FC169" s="569"/>
      <c r="FD169" s="569"/>
      <c r="FE169" s="569"/>
      <c r="FF169" s="569"/>
      <c r="FG169" s="569"/>
      <c r="FH169" s="569"/>
      <c r="FI169" s="569"/>
      <c r="FJ169" s="569"/>
      <c r="FK169" s="569"/>
      <c r="FL169" s="569"/>
      <c r="FM169" s="569"/>
      <c r="FN169" s="569"/>
      <c r="FO169" s="569"/>
      <c r="FP169" s="569"/>
      <c r="FQ169" s="569"/>
      <c r="FR169" s="569"/>
      <c r="FS169" s="569"/>
      <c r="FT169" s="569"/>
      <c r="FU169" s="569"/>
      <c r="FV169" s="569"/>
      <c r="FW169" s="569"/>
      <c r="FX169" s="569"/>
      <c r="FY169" s="569"/>
      <c r="FZ169" s="569"/>
      <c r="GA169" s="569"/>
      <c r="GB169" s="569"/>
      <c r="GC169" s="569"/>
      <c r="GD169" s="569"/>
      <c r="GE169" s="569"/>
      <c r="GF169" s="569"/>
      <c r="GG169" s="569"/>
      <c r="GH169" s="569"/>
      <c r="GI169" s="569"/>
      <c r="GJ169" s="569"/>
      <c r="GK169" s="569"/>
      <c r="GL169" s="569"/>
      <c r="GM169" s="569"/>
      <c r="GN169" s="569"/>
      <c r="GO169" s="569"/>
      <c r="GP169" s="569"/>
      <c r="GQ169" s="569"/>
      <c r="GR169" s="569"/>
      <c r="GS169" s="569"/>
      <c r="GT169" s="569"/>
    </row>
    <row r="170" spans="2:202" s="554" customFormat="1">
      <c r="B170" s="590"/>
      <c r="C170" s="590"/>
      <c r="D170" s="590"/>
      <c r="E170" s="590"/>
      <c r="F170" s="590"/>
      <c r="G170" s="590"/>
      <c r="H170" s="590"/>
      <c r="I170" s="590"/>
      <c r="J170" s="590"/>
      <c r="K170" s="590"/>
      <c r="L170" s="590"/>
      <c r="M170" s="590"/>
      <c r="N170" s="590"/>
      <c r="O170" s="590"/>
      <c r="P170" s="590"/>
      <c r="Q170" s="590"/>
      <c r="R170" s="590"/>
      <c r="S170" s="590"/>
      <c r="T170" s="590"/>
      <c r="U170" s="590"/>
      <c r="V170" s="590"/>
      <c r="W170" s="590"/>
      <c r="X170" s="590"/>
      <c r="Y170" s="590"/>
      <c r="Z170" s="590"/>
      <c r="AA170" s="590"/>
      <c r="AB170" s="590"/>
      <c r="AC170" s="590"/>
      <c r="AD170" s="590"/>
      <c r="AE170" s="590"/>
      <c r="AF170" s="590"/>
      <c r="AG170" s="590"/>
      <c r="AH170" s="569"/>
      <c r="AI170" s="569"/>
      <c r="AJ170" s="569"/>
      <c r="AK170" s="569"/>
      <c r="AL170" s="569"/>
      <c r="AM170" s="569"/>
      <c r="AN170" s="569"/>
      <c r="AO170" s="569"/>
      <c r="AP170" s="569"/>
      <c r="AQ170" s="569"/>
      <c r="AR170" s="569"/>
      <c r="AS170" s="569"/>
      <c r="AT170" s="569"/>
      <c r="AU170" s="569"/>
      <c r="AV170" s="569"/>
      <c r="AW170" s="569"/>
      <c r="AX170" s="569"/>
      <c r="AY170" s="569"/>
      <c r="AZ170" s="569"/>
      <c r="BA170" s="569"/>
      <c r="BB170" s="569"/>
      <c r="BC170" s="569"/>
      <c r="BD170" s="569"/>
      <c r="BE170" s="569"/>
      <c r="BF170" s="569"/>
      <c r="BG170" s="569"/>
      <c r="BH170" s="569"/>
      <c r="BI170" s="569"/>
      <c r="BJ170" s="569"/>
      <c r="BK170" s="569"/>
      <c r="BL170" s="569"/>
      <c r="BM170" s="569"/>
      <c r="BN170" s="569"/>
      <c r="BO170" s="569"/>
      <c r="BP170" s="569"/>
      <c r="BQ170" s="569"/>
      <c r="BR170" s="569"/>
      <c r="BS170" s="569"/>
      <c r="BT170" s="569"/>
      <c r="BU170" s="569"/>
      <c r="BV170" s="569"/>
      <c r="BW170" s="569"/>
      <c r="BX170" s="569"/>
      <c r="BY170" s="569"/>
      <c r="BZ170" s="569"/>
      <c r="CA170" s="569"/>
      <c r="CB170" s="569"/>
      <c r="CC170" s="569"/>
      <c r="CD170" s="569"/>
      <c r="CE170" s="569"/>
      <c r="CF170" s="569"/>
      <c r="CG170" s="569"/>
      <c r="CH170" s="569"/>
      <c r="CI170" s="569"/>
      <c r="CJ170" s="569"/>
      <c r="CK170" s="569"/>
      <c r="CL170" s="569"/>
      <c r="CM170" s="569"/>
      <c r="CN170" s="569"/>
      <c r="CO170" s="569"/>
      <c r="CP170" s="569"/>
      <c r="CQ170" s="569"/>
      <c r="CR170" s="569"/>
      <c r="CS170" s="569"/>
      <c r="CT170" s="569"/>
      <c r="CU170" s="569"/>
      <c r="CV170" s="569"/>
      <c r="CW170" s="569"/>
      <c r="CX170" s="569"/>
      <c r="CY170" s="569"/>
      <c r="CZ170" s="569"/>
      <c r="DA170" s="569"/>
      <c r="DB170" s="569"/>
      <c r="DC170" s="569"/>
      <c r="DD170" s="569"/>
      <c r="DE170" s="569"/>
      <c r="DF170" s="569"/>
      <c r="DG170" s="569"/>
      <c r="DH170" s="569"/>
      <c r="DI170" s="569"/>
      <c r="DJ170" s="569"/>
      <c r="DK170" s="569"/>
      <c r="DL170" s="569"/>
      <c r="DM170" s="569"/>
      <c r="DN170" s="569"/>
      <c r="DO170" s="569"/>
      <c r="DP170" s="569"/>
      <c r="DQ170" s="569"/>
      <c r="DR170" s="569"/>
      <c r="DS170" s="569"/>
      <c r="DT170" s="569"/>
      <c r="DU170" s="569"/>
      <c r="DV170" s="569"/>
      <c r="DW170" s="569"/>
      <c r="DX170" s="569"/>
      <c r="DY170" s="569"/>
      <c r="DZ170" s="569"/>
      <c r="EA170" s="569"/>
      <c r="EB170" s="569"/>
      <c r="EC170" s="569"/>
      <c r="ED170" s="569"/>
      <c r="EE170" s="569"/>
      <c r="EF170" s="569"/>
      <c r="EG170" s="569"/>
      <c r="EH170" s="569"/>
      <c r="EI170" s="569"/>
      <c r="EJ170" s="569"/>
      <c r="EK170" s="569"/>
      <c r="EL170" s="569"/>
      <c r="EM170" s="569"/>
      <c r="EN170" s="569"/>
      <c r="EO170" s="569"/>
      <c r="EP170" s="569"/>
      <c r="EQ170" s="569"/>
      <c r="ER170" s="569"/>
      <c r="ES170" s="569"/>
      <c r="ET170" s="569"/>
      <c r="EU170" s="569"/>
      <c r="EV170" s="569"/>
      <c r="EW170" s="569"/>
      <c r="EX170" s="569"/>
      <c r="EY170" s="569"/>
      <c r="EZ170" s="569"/>
      <c r="FA170" s="569"/>
      <c r="FB170" s="569"/>
      <c r="FC170" s="569"/>
      <c r="FD170" s="569"/>
      <c r="FE170" s="569"/>
      <c r="FF170" s="569"/>
      <c r="FG170" s="569"/>
      <c r="FH170" s="569"/>
      <c r="FI170" s="569"/>
      <c r="FJ170" s="569"/>
      <c r="FK170" s="569"/>
      <c r="FL170" s="569"/>
      <c r="FM170" s="569"/>
      <c r="FN170" s="569"/>
      <c r="FO170" s="569"/>
      <c r="FP170" s="569"/>
      <c r="FQ170" s="569"/>
      <c r="FR170" s="569"/>
      <c r="FS170" s="569"/>
      <c r="FT170" s="569"/>
      <c r="FU170" s="569"/>
      <c r="FV170" s="569"/>
      <c r="FW170" s="569"/>
      <c r="FX170" s="569"/>
      <c r="FY170" s="569"/>
      <c r="FZ170" s="569"/>
      <c r="GA170" s="569"/>
      <c r="GB170" s="569"/>
      <c r="GC170" s="569"/>
      <c r="GD170" s="569"/>
      <c r="GE170" s="569"/>
      <c r="GF170" s="569"/>
      <c r="GG170" s="569"/>
      <c r="GH170" s="569"/>
      <c r="GI170" s="569"/>
      <c r="GJ170" s="569"/>
      <c r="GK170" s="569"/>
      <c r="GL170" s="569"/>
      <c r="GM170" s="569"/>
      <c r="GN170" s="569"/>
      <c r="GO170" s="569"/>
      <c r="GP170" s="569"/>
      <c r="GQ170" s="569"/>
      <c r="GR170" s="569"/>
      <c r="GS170" s="569"/>
      <c r="GT170" s="569"/>
    </row>
    <row r="171" spans="2:202" s="554" customFormat="1">
      <c r="B171" s="590"/>
      <c r="C171" s="590"/>
      <c r="D171" s="590"/>
      <c r="E171" s="590"/>
      <c r="F171" s="590"/>
      <c r="G171" s="590"/>
      <c r="H171" s="590"/>
      <c r="I171" s="590"/>
      <c r="J171" s="590"/>
      <c r="K171" s="590"/>
      <c r="L171" s="590"/>
      <c r="M171" s="590"/>
      <c r="N171" s="590"/>
      <c r="O171" s="590"/>
      <c r="P171" s="590"/>
      <c r="Q171" s="590"/>
      <c r="R171" s="590"/>
      <c r="S171" s="590"/>
      <c r="T171" s="590"/>
      <c r="U171" s="590"/>
      <c r="V171" s="590"/>
      <c r="W171" s="590"/>
      <c r="X171" s="590"/>
      <c r="Y171" s="590"/>
      <c r="Z171" s="590"/>
      <c r="AA171" s="590"/>
      <c r="AB171" s="590"/>
      <c r="AC171" s="590"/>
      <c r="AD171" s="590"/>
      <c r="AE171" s="590"/>
      <c r="AF171" s="590"/>
      <c r="AG171" s="590"/>
      <c r="AH171" s="569"/>
      <c r="AI171" s="569"/>
      <c r="AJ171" s="569"/>
      <c r="AK171" s="569"/>
      <c r="AL171" s="569"/>
      <c r="AM171" s="569"/>
      <c r="AN171" s="569"/>
      <c r="AO171" s="569"/>
      <c r="AP171" s="569"/>
      <c r="AQ171" s="569"/>
      <c r="AR171" s="569"/>
      <c r="AS171" s="569"/>
      <c r="AT171" s="569"/>
      <c r="AU171" s="569"/>
      <c r="AV171" s="569"/>
      <c r="AW171" s="569"/>
      <c r="AX171" s="569"/>
      <c r="AY171" s="569"/>
      <c r="AZ171" s="569"/>
      <c r="BA171" s="569"/>
      <c r="BB171" s="569"/>
      <c r="BC171" s="569"/>
      <c r="BD171" s="569"/>
      <c r="BE171" s="569"/>
      <c r="BF171" s="569"/>
      <c r="BG171" s="569"/>
      <c r="BH171" s="569"/>
      <c r="BI171" s="569"/>
      <c r="BJ171" s="569"/>
      <c r="BK171" s="569"/>
      <c r="BL171" s="569"/>
      <c r="BM171" s="569"/>
      <c r="BN171" s="569"/>
      <c r="BO171" s="569"/>
      <c r="BP171" s="569"/>
      <c r="BQ171" s="569"/>
      <c r="BR171" s="569"/>
      <c r="BS171" s="569"/>
      <c r="BT171" s="569"/>
      <c r="BU171" s="569"/>
      <c r="BV171" s="569"/>
      <c r="BW171" s="569"/>
      <c r="BX171" s="569"/>
      <c r="BY171" s="569"/>
      <c r="BZ171" s="569"/>
      <c r="CA171" s="569"/>
      <c r="CB171" s="569"/>
      <c r="CC171" s="569"/>
      <c r="CD171" s="569"/>
      <c r="CE171" s="569"/>
      <c r="CF171" s="569"/>
      <c r="CG171" s="569"/>
      <c r="CH171" s="569"/>
      <c r="CI171" s="569"/>
      <c r="CJ171" s="569"/>
      <c r="CK171" s="569"/>
      <c r="CL171" s="569"/>
      <c r="CM171" s="569"/>
      <c r="CN171" s="569"/>
      <c r="CO171" s="569"/>
      <c r="CP171" s="569"/>
      <c r="CQ171" s="569"/>
      <c r="CR171" s="569"/>
      <c r="CS171" s="569"/>
      <c r="CT171" s="569"/>
      <c r="CU171" s="569"/>
      <c r="CV171" s="569"/>
      <c r="CW171" s="569"/>
      <c r="CX171" s="569"/>
      <c r="CY171" s="569"/>
      <c r="CZ171" s="569"/>
      <c r="DA171" s="569"/>
      <c r="DB171" s="569"/>
      <c r="DC171" s="569"/>
      <c r="DD171" s="569"/>
      <c r="DE171" s="569"/>
      <c r="DF171" s="569"/>
      <c r="DG171" s="569"/>
      <c r="DH171" s="569"/>
      <c r="DI171" s="569"/>
      <c r="DJ171" s="569"/>
      <c r="DK171" s="569"/>
      <c r="DL171" s="569"/>
      <c r="DM171" s="569"/>
      <c r="DN171" s="569"/>
      <c r="DO171" s="569"/>
      <c r="DP171" s="569"/>
      <c r="DQ171" s="569"/>
      <c r="DR171" s="569"/>
      <c r="DS171" s="569"/>
      <c r="DT171" s="569"/>
      <c r="DU171" s="569"/>
      <c r="DV171" s="569"/>
      <c r="DW171" s="569"/>
      <c r="DX171" s="569"/>
      <c r="DY171" s="569"/>
      <c r="DZ171" s="569"/>
      <c r="EA171" s="569"/>
      <c r="EB171" s="569"/>
      <c r="EC171" s="569"/>
      <c r="ED171" s="569"/>
      <c r="EE171" s="569"/>
      <c r="EF171" s="569"/>
      <c r="EG171" s="569"/>
      <c r="EH171" s="569"/>
      <c r="EI171" s="569"/>
      <c r="EJ171" s="569"/>
      <c r="EK171" s="569"/>
      <c r="EL171" s="569"/>
      <c r="EM171" s="569"/>
      <c r="EN171" s="569"/>
      <c r="EO171" s="569"/>
      <c r="EP171" s="569"/>
      <c r="EQ171" s="569"/>
      <c r="ER171" s="569"/>
      <c r="ES171" s="569"/>
      <c r="ET171" s="569"/>
      <c r="EU171" s="569"/>
      <c r="EV171" s="569"/>
      <c r="EW171" s="569"/>
      <c r="EX171" s="569"/>
      <c r="EY171" s="569"/>
      <c r="EZ171" s="569"/>
      <c r="FA171" s="569"/>
      <c r="FB171" s="569"/>
      <c r="FC171" s="569"/>
      <c r="FD171" s="569"/>
      <c r="FE171" s="569"/>
      <c r="FF171" s="569"/>
      <c r="FG171" s="569"/>
      <c r="FH171" s="569"/>
      <c r="FI171" s="569"/>
      <c r="FJ171" s="569"/>
      <c r="FK171" s="569"/>
      <c r="FL171" s="569"/>
      <c r="FM171" s="569"/>
      <c r="FN171" s="569"/>
      <c r="FO171" s="569"/>
      <c r="FP171" s="569"/>
      <c r="FQ171" s="569"/>
      <c r="FR171" s="569"/>
      <c r="FS171" s="569"/>
      <c r="FT171" s="569"/>
      <c r="FU171" s="569"/>
      <c r="FV171" s="569"/>
      <c r="FW171" s="569"/>
      <c r="FX171" s="569"/>
      <c r="FY171" s="569"/>
      <c r="FZ171" s="569"/>
      <c r="GA171" s="569"/>
      <c r="GB171" s="569"/>
      <c r="GC171" s="569"/>
      <c r="GD171" s="569"/>
      <c r="GE171" s="569"/>
      <c r="GF171" s="569"/>
      <c r="GG171" s="569"/>
      <c r="GH171" s="569"/>
      <c r="GI171" s="569"/>
      <c r="GJ171" s="569"/>
      <c r="GK171" s="569"/>
      <c r="GL171" s="569"/>
      <c r="GM171" s="569"/>
      <c r="GN171" s="569"/>
      <c r="GO171" s="569"/>
      <c r="GP171" s="569"/>
      <c r="GQ171" s="569"/>
      <c r="GR171" s="569"/>
      <c r="GS171" s="569"/>
      <c r="GT171" s="569"/>
    </row>
    <row r="172" spans="2:202" s="554" customFormat="1">
      <c r="B172" s="590"/>
      <c r="C172" s="590"/>
      <c r="D172" s="590"/>
      <c r="E172" s="590"/>
      <c r="F172" s="590"/>
      <c r="G172" s="590"/>
      <c r="H172" s="590"/>
      <c r="I172" s="590"/>
      <c r="J172" s="590"/>
      <c r="K172" s="590"/>
      <c r="L172" s="590"/>
      <c r="M172" s="590"/>
      <c r="N172" s="590"/>
      <c r="O172" s="590"/>
      <c r="P172" s="590"/>
      <c r="Q172" s="590"/>
      <c r="R172" s="590"/>
      <c r="S172" s="590"/>
      <c r="T172" s="590"/>
      <c r="U172" s="590"/>
      <c r="V172" s="590"/>
      <c r="W172" s="590"/>
      <c r="X172" s="590"/>
      <c r="Y172" s="590"/>
      <c r="Z172" s="590"/>
      <c r="AA172" s="590"/>
      <c r="AB172" s="590"/>
      <c r="AC172" s="590"/>
      <c r="AD172" s="590"/>
      <c r="AE172" s="590"/>
      <c r="AF172" s="590"/>
      <c r="AG172" s="590"/>
      <c r="AH172" s="569"/>
      <c r="AI172" s="569"/>
      <c r="AJ172" s="569"/>
      <c r="AK172" s="569"/>
      <c r="AL172" s="569"/>
      <c r="AM172" s="569"/>
      <c r="AN172" s="569"/>
      <c r="AO172" s="569"/>
      <c r="AP172" s="569"/>
      <c r="AQ172" s="569"/>
      <c r="AR172" s="569"/>
      <c r="AS172" s="569"/>
      <c r="AT172" s="569"/>
      <c r="AU172" s="569"/>
      <c r="AV172" s="569"/>
      <c r="AW172" s="569"/>
      <c r="AX172" s="569"/>
      <c r="AY172" s="569"/>
      <c r="AZ172" s="569"/>
      <c r="BA172" s="569"/>
      <c r="BB172" s="569"/>
      <c r="BC172" s="569"/>
      <c r="BD172" s="569"/>
      <c r="BE172" s="569"/>
      <c r="BF172" s="569"/>
      <c r="BG172" s="569"/>
      <c r="BH172" s="569"/>
      <c r="BI172" s="569"/>
      <c r="BJ172" s="569"/>
      <c r="BK172" s="569"/>
      <c r="BL172" s="569"/>
      <c r="BM172" s="569"/>
      <c r="BN172" s="569"/>
      <c r="BO172" s="569"/>
      <c r="BP172" s="569"/>
      <c r="BQ172" s="569"/>
      <c r="BR172" s="569"/>
      <c r="BS172" s="569"/>
      <c r="BT172" s="569"/>
      <c r="BU172" s="569"/>
      <c r="BV172" s="569"/>
      <c r="BW172" s="569"/>
      <c r="BX172" s="569"/>
      <c r="BY172" s="569"/>
      <c r="BZ172" s="569"/>
      <c r="CA172" s="569"/>
      <c r="CB172" s="569"/>
      <c r="CC172" s="569"/>
      <c r="CD172" s="569"/>
      <c r="CE172" s="569"/>
      <c r="CF172" s="569"/>
      <c r="CG172" s="569"/>
      <c r="CH172" s="569"/>
      <c r="CI172" s="569"/>
      <c r="CJ172" s="569"/>
      <c r="CK172" s="569"/>
      <c r="CL172" s="569"/>
      <c r="CM172" s="569"/>
      <c r="CN172" s="569"/>
      <c r="CO172" s="569"/>
      <c r="CP172" s="569"/>
      <c r="CQ172" s="569"/>
      <c r="CR172" s="569"/>
      <c r="CS172" s="569"/>
      <c r="CT172" s="569"/>
      <c r="CU172" s="569"/>
      <c r="CV172" s="569"/>
      <c r="CW172" s="569"/>
      <c r="CX172" s="569"/>
      <c r="CY172" s="569"/>
      <c r="CZ172" s="569"/>
      <c r="DA172" s="569"/>
      <c r="DB172" s="569"/>
      <c r="DC172" s="569"/>
      <c r="DD172" s="569"/>
      <c r="DE172" s="569"/>
      <c r="DF172" s="569"/>
      <c r="DG172" s="569"/>
      <c r="DH172" s="569"/>
      <c r="DI172" s="569"/>
      <c r="DJ172" s="569"/>
      <c r="DK172" s="569"/>
      <c r="DL172" s="569"/>
      <c r="DM172" s="569"/>
      <c r="DN172" s="569"/>
      <c r="DO172" s="569"/>
      <c r="DP172" s="569"/>
      <c r="DQ172" s="569"/>
      <c r="DR172" s="569"/>
      <c r="DS172" s="569"/>
      <c r="DT172" s="569"/>
      <c r="DU172" s="569"/>
      <c r="DV172" s="569"/>
      <c r="DW172" s="569"/>
      <c r="DX172" s="569"/>
      <c r="DY172" s="569"/>
      <c r="DZ172" s="569"/>
      <c r="EA172" s="569"/>
      <c r="EB172" s="569"/>
      <c r="EC172" s="569"/>
      <c r="ED172" s="569"/>
      <c r="EE172" s="569"/>
      <c r="EF172" s="569"/>
      <c r="EG172" s="569"/>
      <c r="EH172" s="569"/>
      <c r="EI172" s="569"/>
      <c r="EJ172" s="569"/>
      <c r="EK172" s="569"/>
      <c r="EL172" s="569"/>
      <c r="EM172" s="569"/>
      <c r="EN172" s="569"/>
      <c r="EO172" s="569"/>
      <c r="EP172" s="569"/>
      <c r="EQ172" s="569"/>
      <c r="ER172" s="569"/>
      <c r="ES172" s="569"/>
      <c r="ET172" s="569"/>
      <c r="EU172" s="569"/>
      <c r="EV172" s="569"/>
      <c r="EW172" s="569"/>
      <c r="EX172" s="569"/>
      <c r="EY172" s="569"/>
      <c r="EZ172" s="569"/>
      <c r="FA172" s="569"/>
      <c r="FB172" s="569"/>
      <c r="FC172" s="569"/>
      <c r="FD172" s="569"/>
      <c r="FE172" s="569"/>
      <c r="FF172" s="569"/>
      <c r="FG172" s="569"/>
      <c r="FH172" s="569"/>
      <c r="FI172" s="569"/>
      <c r="FJ172" s="569"/>
      <c r="FK172" s="569"/>
      <c r="FL172" s="569"/>
      <c r="FM172" s="569"/>
      <c r="FN172" s="569"/>
      <c r="FO172" s="569"/>
      <c r="FP172" s="569"/>
      <c r="FQ172" s="569"/>
      <c r="FR172" s="569"/>
      <c r="FS172" s="569"/>
      <c r="FT172" s="569"/>
      <c r="FU172" s="569"/>
      <c r="FV172" s="569"/>
      <c r="FW172" s="569"/>
      <c r="FX172" s="569"/>
      <c r="FY172" s="569"/>
      <c r="FZ172" s="569"/>
      <c r="GA172" s="569"/>
      <c r="GB172" s="569"/>
      <c r="GC172" s="569"/>
      <c r="GD172" s="569"/>
      <c r="GE172" s="569"/>
      <c r="GF172" s="569"/>
      <c r="GG172" s="569"/>
      <c r="GH172" s="569"/>
      <c r="GI172" s="569"/>
      <c r="GJ172" s="569"/>
      <c r="GK172" s="569"/>
      <c r="GL172" s="569"/>
      <c r="GM172" s="569"/>
      <c r="GN172" s="569"/>
      <c r="GO172" s="569"/>
      <c r="GP172" s="569"/>
      <c r="GQ172" s="569"/>
      <c r="GR172" s="569"/>
      <c r="GS172" s="569"/>
      <c r="GT172" s="569"/>
    </row>
    <row r="173" spans="2:202" s="554" customFormat="1">
      <c r="B173" s="590"/>
      <c r="C173" s="590"/>
      <c r="D173" s="590"/>
      <c r="E173" s="590"/>
      <c r="F173" s="590"/>
      <c r="G173" s="590"/>
      <c r="H173" s="590"/>
      <c r="I173" s="590"/>
      <c r="J173" s="590"/>
      <c r="K173" s="590"/>
      <c r="L173" s="590"/>
      <c r="M173" s="590"/>
      <c r="N173" s="590"/>
      <c r="O173" s="590"/>
      <c r="P173" s="590"/>
      <c r="Q173" s="590"/>
      <c r="R173" s="590"/>
      <c r="S173" s="590"/>
      <c r="T173" s="590"/>
      <c r="U173" s="590"/>
      <c r="V173" s="590"/>
      <c r="W173" s="590"/>
      <c r="X173" s="590"/>
      <c r="Y173" s="590"/>
      <c r="Z173" s="590"/>
      <c r="AA173" s="590"/>
      <c r="AB173" s="590"/>
      <c r="AC173" s="590"/>
      <c r="AD173" s="590"/>
      <c r="AE173" s="590"/>
      <c r="AF173" s="590"/>
      <c r="AG173" s="590"/>
      <c r="AH173" s="569"/>
      <c r="AI173" s="569"/>
      <c r="AJ173" s="569"/>
      <c r="AK173" s="569"/>
      <c r="AL173" s="569"/>
      <c r="AM173" s="569"/>
      <c r="AN173" s="569"/>
      <c r="AO173" s="569"/>
      <c r="AP173" s="569"/>
      <c r="AQ173" s="569"/>
      <c r="AR173" s="569"/>
      <c r="AS173" s="569"/>
      <c r="AT173" s="569"/>
      <c r="AU173" s="569"/>
      <c r="AV173" s="569"/>
      <c r="AW173" s="569"/>
      <c r="AX173" s="569"/>
      <c r="AY173" s="569"/>
      <c r="AZ173" s="569"/>
      <c r="BA173" s="569"/>
      <c r="BB173" s="569"/>
      <c r="BC173" s="569"/>
      <c r="BD173" s="569"/>
      <c r="BE173" s="569"/>
      <c r="BF173" s="569"/>
      <c r="BG173" s="569"/>
      <c r="BH173" s="569"/>
      <c r="BI173" s="569"/>
      <c r="BJ173" s="569"/>
      <c r="BK173" s="569"/>
      <c r="BL173" s="569"/>
      <c r="BM173" s="569"/>
      <c r="BN173" s="569"/>
      <c r="BO173" s="569"/>
      <c r="BP173" s="569"/>
      <c r="BQ173" s="569"/>
      <c r="BR173" s="569"/>
      <c r="BS173" s="569"/>
      <c r="BT173" s="569"/>
      <c r="BU173" s="569"/>
      <c r="BV173" s="569"/>
      <c r="BW173" s="569"/>
      <c r="BX173" s="569"/>
      <c r="BY173" s="569"/>
      <c r="BZ173" s="569"/>
      <c r="CA173" s="569"/>
      <c r="CB173" s="569"/>
      <c r="CC173" s="569"/>
      <c r="CD173" s="569"/>
      <c r="CE173" s="569"/>
      <c r="CF173" s="569"/>
      <c r="CG173" s="569"/>
      <c r="CH173" s="569"/>
      <c r="CI173" s="569"/>
      <c r="CJ173" s="569"/>
      <c r="CK173" s="569"/>
      <c r="CL173" s="569"/>
      <c r="CM173" s="569"/>
      <c r="CN173" s="569"/>
      <c r="CO173" s="569"/>
      <c r="CP173" s="569"/>
      <c r="CQ173" s="569"/>
      <c r="CR173" s="569"/>
      <c r="CS173" s="569"/>
      <c r="CT173" s="569"/>
      <c r="CU173" s="569"/>
      <c r="CV173" s="569"/>
      <c r="CW173" s="569"/>
      <c r="CX173" s="569"/>
      <c r="CY173" s="569"/>
      <c r="CZ173" s="569"/>
      <c r="DA173" s="569"/>
      <c r="DB173" s="569"/>
      <c r="DC173" s="569"/>
      <c r="DD173" s="569"/>
      <c r="DE173" s="569"/>
      <c r="DF173" s="569"/>
      <c r="DG173" s="569"/>
      <c r="DH173" s="569"/>
      <c r="DI173" s="569"/>
      <c r="DJ173" s="569"/>
      <c r="DK173" s="569"/>
      <c r="DL173" s="569"/>
      <c r="DM173" s="569"/>
      <c r="DN173" s="569"/>
      <c r="DO173" s="569"/>
      <c r="DP173" s="569"/>
      <c r="DQ173" s="569"/>
      <c r="DR173" s="569"/>
      <c r="DS173" s="569"/>
      <c r="DT173" s="569"/>
      <c r="DU173" s="569"/>
      <c r="DV173" s="569"/>
      <c r="DW173" s="569"/>
      <c r="DX173" s="569"/>
      <c r="DY173" s="569"/>
      <c r="DZ173" s="569"/>
      <c r="EA173" s="569"/>
      <c r="EB173" s="569"/>
      <c r="EC173" s="569"/>
      <c r="ED173" s="569"/>
      <c r="EE173" s="569"/>
      <c r="EF173" s="569"/>
      <c r="EG173" s="569"/>
      <c r="EH173" s="569"/>
      <c r="EI173" s="569"/>
      <c r="EJ173" s="569"/>
      <c r="EK173" s="569"/>
      <c r="EL173" s="569"/>
      <c r="EM173" s="569"/>
      <c r="EN173" s="569"/>
      <c r="EO173" s="569"/>
      <c r="EP173" s="569"/>
      <c r="EQ173" s="569"/>
      <c r="ER173" s="569"/>
      <c r="ES173" s="569"/>
      <c r="ET173" s="569"/>
      <c r="EU173" s="569"/>
      <c r="EV173" s="569"/>
      <c r="EW173" s="569"/>
      <c r="EX173" s="569"/>
      <c r="EY173" s="569"/>
      <c r="EZ173" s="569"/>
      <c r="FA173" s="569"/>
      <c r="FB173" s="569"/>
      <c r="FC173" s="569"/>
      <c r="FD173" s="569"/>
      <c r="FE173" s="569"/>
      <c r="FF173" s="569"/>
      <c r="FG173" s="569"/>
      <c r="FH173" s="569"/>
      <c r="FI173" s="569"/>
      <c r="FJ173" s="569"/>
      <c r="FK173" s="569"/>
      <c r="FL173" s="569"/>
      <c r="FM173" s="569"/>
      <c r="FN173" s="569"/>
      <c r="FO173" s="569"/>
      <c r="FP173" s="569"/>
      <c r="FQ173" s="569"/>
      <c r="FR173" s="569"/>
      <c r="FS173" s="569"/>
      <c r="FT173" s="569"/>
      <c r="FU173" s="569"/>
      <c r="FV173" s="569"/>
      <c r="FW173" s="569"/>
      <c r="FX173" s="569"/>
      <c r="FY173" s="569"/>
      <c r="FZ173" s="569"/>
      <c r="GA173" s="569"/>
      <c r="GB173" s="569"/>
      <c r="GC173" s="569"/>
      <c r="GD173" s="569"/>
      <c r="GE173" s="569"/>
      <c r="GF173" s="569"/>
      <c r="GG173" s="569"/>
      <c r="GH173" s="569"/>
      <c r="GI173" s="569"/>
      <c r="GJ173" s="569"/>
      <c r="GK173" s="569"/>
      <c r="GL173" s="569"/>
      <c r="GM173" s="569"/>
      <c r="GN173" s="569"/>
      <c r="GO173" s="569"/>
      <c r="GP173" s="569"/>
      <c r="GQ173" s="569"/>
      <c r="GR173" s="569"/>
      <c r="GS173" s="569"/>
      <c r="GT173" s="569"/>
    </row>
    <row r="174" spans="2:202" s="554" customFormat="1">
      <c r="B174" s="590"/>
      <c r="C174" s="590"/>
      <c r="D174" s="590"/>
      <c r="E174" s="590"/>
      <c r="F174" s="590"/>
      <c r="G174" s="590"/>
      <c r="H174" s="590"/>
      <c r="I174" s="590"/>
      <c r="J174" s="590"/>
      <c r="K174" s="590"/>
      <c r="L174" s="590"/>
      <c r="M174" s="590"/>
      <c r="N174" s="590"/>
      <c r="O174" s="590"/>
      <c r="P174" s="590"/>
      <c r="Q174" s="590"/>
      <c r="R174" s="590"/>
      <c r="S174" s="590"/>
      <c r="T174" s="590"/>
      <c r="U174" s="590"/>
      <c r="V174" s="590"/>
      <c r="W174" s="590"/>
      <c r="X174" s="590"/>
      <c r="Y174" s="590"/>
      <c r="Z174" s="590"/>
      <c r="AA174" s="590"/>
      <c r="AB174" s="590"/>
      <c r="AC174" s="590"/>
      <c r="AD174" s="590"/>
      <c r="AE174" s="590"/>
      <c r="AF174" s="590"/>
      <c r="AG174" s="590"/>
      <c r="AH174" s="569"/>
      <c r="AI174" s="569"/>
      <c r="AJ174" s="569"/>
      <c r="AK174" s="569"/>
      <c r="AL174" s="569"/>
      <c r="AM174" s="569"/>
      <c r="AN174" s="569"/>
      <c r="AO174" s="569"/>
      <c r="AP174" s="569"/>
      <c r="AQ174" s="569"/>
      <c r="AR174" s="569"/>
      <c r="AS174" s="569"/>
      <c r="AT174" s="569"/>
      <c r="AU174" s="569"/>
      <c r="AV174" s="569"/>
      <c r="AW174" s="569"/>
      <c r="AX174" s="569"/>
      <c r="AY174" s="569"/>
      <c r="AZ174" s="569"/>
      <c r="BA174" s="569"/>
      <c r="BB174" s="569"/>
      <c r="BC174" s="569"/>
      <c r="BD174" s="569"/>
      <c r="BE174" s="569"/>
      <c r="BF174" s="569"/>
      <c r="BG174" s="569"/>
      <c r="BH174" s="569"/>
      <c r="BI174" s="569"/>
      <c r="BJ174" s="569"/>
      <c r="BK174" s="569"/>
      <c r="BL174" s="569"/>
      <c r="BM174" s="569"/>
      <c r="BN174" s="569"/>
      <c r="BO174" s="569"/>
      <c r="BP174" s="569"/>
      <c r="BQ174" s="569"/>
      <c r="BR174" s="569"/>
      <c r="BS174" s="569"/>
      <c r="BT174" s="569"/>
      <c r="BU174" s="569"/>
      <c r="BV174" s="569"/>
      <c r="BW174" s="569"/>
      <c r="BX174" s="569"/>
      <c r="BY174" s="569"/>
      <c r="BZ174" s="569"/>
      <c r="CA174" s="569"/>
      <c r="CB174" s="569"/>
      <c r="CC174" s="569"/>
      <c r="CD174" s="569"/>
      <c r="CE174" s="569"/>
      <c r="CF174" s="569"/>
      <c r="CG174" s="569"/>
      <c r="CH174" s="569"/>
      <c r="CI174" s="569"/>
      <c r="CJ174" s="569"/>
      <c r="CK174" s="569"/>
      <c r="CL174" s="569"/>
      <c r="CM174" s="569"/>
      <c r="CN174" s="569"/>
      <c r="CO174" s="569"/>
      <c r="CP174" s="569"/>
      <c r="CQ174" s="569"/>
      <c r="CR174" s="569"/>
      <c r="CS174" s="569"/>
      <c r="CT174" s="569"/>
      <c r="CU174" s="569"/>
      <c r="CV174" s="569"/>
      <c r="CW174" s="569"/>
      <c r="CX174" s="569"/>
      <c r="CY174" s="569"/>
      <c r="CZ174" s="569"/>
      <c r="DA174" s="569"/>
      <c r="DB174" s="569"/>
      <c r="DC174" s="569"/>
      <c r="DD174" s="569"/>
      <c r="DE174" s="569"/>
      <c r="DF174" s="569"/>
      <c r="DG174" s="569"/>
      <c r="DH174" s="569"/>
      <c r="DI174" s="569"/>
      <c r="DJ174" s="569"/>
      <c r="DK174" s="569"/>
      <c r="DL174" s="569"/>
      <c r="DM174" s="569"/>
      <c r="DN174" s="569"/>
      <c r="DO174" s="569"/>
      <c r="DP174" s="569"/>
      <c r="DQ174" s="569"/>
      <c r="DR174" s="569"/>
      <c r="DS174" s="569"/>
      <c r="DT174" s="569"/>
      <c r="DU174" s="569"/>
      <c r="DV174" s="569"/>
      <c r="DW174" s="569"/>
      <c r="DX174" s="569"/>
      <c r="DY174" s="569"/>
      <c r="DZ174" s="569"/>
      <c r="EA174" s="569"/>
      <c r="EB174" s="569"/>
      <c r="EC174" s="569"/>
      <c r="ED174" s="569"/>
      <c r="EE174" s="569"/>
      <c r="EF174" s="569"/>
      <c r="EG174" s="569"/>
      <c r="EH174" s="569"/>
      <c r="EI174" s="569"/>
      <c r="EJ174" s="569"/>
      <c r="EK174" s="569"/>
      <c r="EL174" s="569"/>
      <c r="EM174" s="569"/>
      <c r="EN174" s="569"/>
      <c r="EO174" s="569"/>
      <c r="EP174" s="569"/>
      <c r="EQ174" s="569"/>
      <c r="ER174" s="569"/>
      <c r="ES174" s="569"/>
      <c r="ET174" s="569"/>
      <c r="EU174" s="569"/>
      <c r="EV174" s="569"/>
      <c r="EW174" s="569"/>
      <c r="EX174" s="569"/>
      <c r="EY174" s="569"/>
      <c r="EZ174" s="569"/>
      <c r="FA174" s="569"/>
      <c r="FB174" s="569"/>
      <c r="FC174" s="569"/>
      <c r="FD174" s="569"/>
      <c r="FE174" s="569"/>
      <c r="FF174" s="569"/>
      <c r="FG174" s="569"/>
      <c r="FH174" s="569"/>
      <c r="FI174" s="569"/>
      <c r="FJ174" s="569"/>
      <c r="FK174" s="569"/>
      <c r="FL174" s="569"/>
      <c r="FM174" s="569"/>
      <c r="FN174" s="569"/>
      <c r="FO174" s="569"/>
      <c r="FP174" s="569"/>
      <c r="FQ174" s="569"/>
      <c r="FR174" s="569"/>
      <c r="FS174" s="569"/>
      <c r="FT174" s="569"/>
      <c r="FU174" s="569"/>
      <c r="FV174" s="569"/>
      <c r="FW174" s="569"/>
      <c r="FX174" s="569"/>
      <c r="FY174" s="569"/>
      <c r="FZ174" s="569"/>
      <c r="GA174" s="569"/>
      <c r="GB174" s="569"/>
      <c r="GC174" s="569"/>
      <c r="GD174" s="569"/>
      <c r="GE174" s="569"/>
      <c r="GF174" s="569"/>
      <c r="GG174" s="569"/>
      <c r="GH174" s="569"/>
      <c r="GI174" s="569"/>
      <c r="GJ174" s="569"/>
      <c r="GK174" s="569"/>
      <c r="GL174" s="569"/>
      <c r="GM174" s="569"/>
      <c r="GN174" s="569"/>
      <c r="GO174" s="569"/>
      <c r="GP174" s="569"/>
      <c r="GQ174" s="569"/>
      <c r="GR174" s="569"/>
      <c r="GS174" s="569"/>
      <c r="GT174" s="569"/>
    </row>
    <row r="175" spans="2:202" s="554" customFormat="1">
      <c r="B175" s="590"/>
      <c r="C175" s="590"/>
      <c r="D175" s="590"/>
      <c r="E175" s="590"/>
      <c r="F175" s="590"/>
      <c r="G175" s="590"/>
      <c r="H175" s="590"/>
      <c r="I175" s="590"/>
      <c r="J175" s="590"/>
      <c r="K175" s="590"/>
      <c r="L175" s="590"/>
      <c r="M175" s="590"/>
      <c r="N175" s="590"/>
      <c r="O175" s="590"/>
      <c r="P175" s="590"/>
      <c r="Q175" s="590"/>
      <c r="R175" s="590"/>
      <c r="S175" s="590"/>
      <c r="T175" s="590"/>
      <c r="U175" s="590"/>
      <c r="V175" s="590"/>
      <c r="W175" s="590"/>
      <c r="X175" s="590"/>
      <c r="Y175" s="590"/>
      <c r="Z175" s="590"/>
      <c r="AA175" s="590"/>
      <c r="AB175" s="590"/>
      <c r="AC175" s="590"/>
      <c r="AD175" s="590"/>
      <c r="AE175" s="590"/>
      <c r="AF175" s="590"/>
      <c r="AG175" s="590"/>
      <c r="AH175" s="569"/>
      <c r="AI175" s="569"/>
      <c r="AJ175" s="569"/>
      <c r="AK175" s="569"/>
      <c r="AL175" s="569"/>
      <c r="AM175" s="569"/>
      <c r="AN175" s="569"/>
      <c r="AO175" s="569"/>
      <c r="AP175" s="569"/>
      <c r="AQ175" s="569"/>
      <c r="AR175" s="569"/>
      <c r="AS175" s="569"/>
      <c r="AT175" s="569"/>
      <c r="AU175" s="569"/>
      <c r="AV175" s="569"/>
      <c r="AW175" s="569"/>
      <c r="AX175" s="569"/>
      <c r="AY175" s="569"/>
      <c r="AZ175" s="569"/>
      <c r="BA175" s="569"/>
      <c r="BB175" s="569"/>
      <c r="BC175" s="569"/>
      <c r="BD175" s="569"/>
      <c r="BE175" s="569"/>
      <c r="BF175" s="569"/>
      <c r="BG175" s="569"/>
      <c r="BH175" s="569"/>
      <c r="BI175" s="569"/>
      <c r="BJ175" s="569"/>
      <c r="BK175" s="569"/>
      <c r="BL175" s="569"/>
      <c r="BM175" s="569"/>
      <c r="BN175" s="569"/>
      <c r="BO175" s="569"/>
      <c r="BP175" s="569"/>
      <c r="BQ175" s="569"/>
      <c r="BR175" s="569"/>
      <c r="BS175" s="569"/>
      <c r="BT175" s="569"/>
      <c r="BU175" s="569"/>
      <c r="BV175" s="569"/>
      <c r="BW175" s="569"/>
      <c r="BX175" s="569"/>
      <c r="BY175" s="569"/>
      <c r="BZ175" s="569"/>
      <c r="CA175" s="569"/>
      <c r="CB175" s="569"/>
      <c r="CC175" s="569"/>
      <c r="CD175" s="569"/>
      <c r="CE175" s="569"/>
      <c r="CF175" s="569"/>
      <c r="CG175" s="569"/>
      <c r="CH175" s="569"/>
      <c r="CI175" s="569"/>
      <c r="CJ175" s="569"/>
      <c r="CK175" s="569"/>
      <c r="CL175" s="569"/>
      <c r="CM175" s="569"/>
      <c r="CN175" s="569"/>
      <c r="CO175" s="569"/>
      <c r="CP175" s="569"/>
      <c r="CQ175" s="569"/>
      <c r="CR175" s="569"/>
      <c r="CS175" s="569"/>
      <c r="CT175" s="569"/>
      <c r="CU175" s="569"/>
      <c r="CV175" s="569"/>
      <c r="CW175" s="569"/>
      <c r="CX175" s="569"/>
      <c r="CY175" s="569"/>
      <c r="CZ175" s="569"/>
      <c r="DA175" s="569"/>
      <c r="DB175" s="569"/>
      <c r="DC175" s="569"/>
      <c r="DD175" s="569"/>
      <c r="DE175" s="569"/>
      <c r="DF175" s="569"/>
      <c r="DG175" s="569"/>
      <c r="DH175" s="569"/>
      <c r="DI175" s="569"/>
      <c r="DJ175" s="569"/>
      <c r="DK175" s="569"/>
      <c r="DL175" s="569"/>
      <c r="DM175" s="569"/>
      <c r="DN175" s="569"/>
      <c r="DO175" s="569"/>
      <c r="DP175" s="569"/>
      <c r="DQ175" s="569"/>
      <c r="DR175" s="569"/>
      <c r="DS175" s="569"/>
      <c r="DT175" s="569"/>
      <c r="DU175" s="569"/>
      <c r="DV175" s="569"/>
      <c r="DW175" s="569"/>
      <c r="DX175" s="569"/>
      <c r="DY175" s="569"/>
      <c r="DZ175" s="569"/>
      <c r="EA175" s="569"/>
      <c r="EB175" s="569"/>
      <c r="EC175" s="569"/>
      <c r="ED175" s="569"/>
      <c r="EE175" s="569"/>
      <c r="EF175" s="569"/>
      <c r="EG175" s="569"/>
      <c r="EH175" s="569"/>
      <c r="EI175" s="569"/>
      <c r="EJ175" s="569"/>
      <c r="EK175" s="569"/>
      <c r="EL175" s="569"/>
      <c r="EM175" s="569"/>
      <c r="EN175" s="569"/>
      <c r="EO175" s="569"/>
      <c r="EP175" s="569"/>
      <c r="EQ175" s="569"/>
      <c r="ER175" s="569"/>
      <c r="ES175" s="569"/>
      <c r="ET175" s="569"/>
      <c r="EU175" s="569"/>
      <c r="EV175" s="569"/>
      <c r="EW175" s="569"/>
      <c r="EX175" s="569"/>
      <c r="EY175" s="569"/>
      <c r="EZ175" s="569"/>
      <c r="FA175" s="569"/>
      <c r="FB175" s="569"/>
      <c r="FC175" s="569"/>
      <c r="FD175" s="569"/>
      <c r="FE175" s="569"/>
      <c r="FF175" s="569"/>
      <c r="FG175" s="569"/>
      <c r="FH175" s="569"/>
      <c r="FI175" s="569"/>
      <c r="FJ175" s="569"/>
      <c r="FK175" s="569"/>
      <c r="FL175" s="569"/>
      <c r="FM175" s="569"/>
      <c r="FN175" s="569"/>
      <c r="FO175" s="569"/>
      <c r="FP175" s="569"/>
      <c r="FQ175" s="569"/>
      <c r="FR175" s="569"/>
      <c r="FS175" s="569"/>
      <c r="FT175" s="569"/>
      <c r="FU175" s="569"/>
      <c r="FV175" s="569"/>
      <c r="FW175" s="569"/>
      <c r="FX175" s="569"/>
      <c r="FY175" s="569"/>
      <c r="FZ175" s="569"/>
      <c r="GA175" s="569"/>
      <c r="GB175" s="569"/>
      <c r="GC175" s="569"/>
      <c r="GD175" s="569"/>
      <c r="GE175" s="569"/>
      <c r="GF175" s="569"/>
      <c r="GG175" s="569"/>
      <c r="GH175" s="569"/>
      <c r="GI175" s="569"/>
      <c r="GJ175" s="569"/>
      <c r="GK175" s="569"/>
      <c r="GL175" s="569"/>
      <c r="GM175" s="569"/>
      <c r="GN175" s="569"/>
      <c r="GO175" s="569"/>
      <c r="GP175" s="569"/>
      <c r="GQ175" s="569"/>
      <c r="GR175" s="569"/>
      <c r="GS175" s="569"/>
      <c r="GT175" s="569"/>
    </row>
    <row r="176" spans="2:202" s="554" customFormat="1">
      <c r="B176" s="590"/>
      <c r="C176" s="590"/>
      <c r="D176" s="590"/>
      <c r="E176" s="590"/>
      <c r="F176" s="590"/>
      <c r="G176" s="590"/>
      <c r="H176" s="590"/>
      <c r="I176" s="590"/>
      <c r="J176" s="590"/>
      <c r="K176" s="590"/>
      <c r="L176" s="590"/>
      <c r="M176" s="590"/>
      <c r="N176" s="590"/>
      <c r="O176" s="590"/>
      <c r="P176" s="590"/>
      <c r="Q176" s="590"/>
      <c r="R176" s="590"/>
      <c r="S176" s="590"/>
      <c r="T176" s="590"/>
      <c r="U176" s="590"/>
      <c r="V176" s="590"/>
      <c r="W176" s="590"/>
      <c r="X176" s="590"/>
      <c r="Y176" s="590"/>
      <c r="Z176" s="590"/>
      <c r="AA176" s="590"/>
      <c r="AB176" s="590"/>
      <c r="AC176" s="590"/>
      <c r="AD176" s="590"/>
      <c r="AE176" s="590"/>
      <c r="AF176" s="590"/>
      <c r="AG176" s="590"/>
      <c r="AH176" s="569"/>
      <c r="AI176" s="569"/>
      <c r="AJ176" s="569"/>
      <c r="AK176" s="569"/>
      <c r="AL176" s="569"/>
      <c r="AM176" s="569"/>
      <c r="AN176" s="569"/>
      <c r="AO176" s="569"/>
      <c r="AP176" s="569"/>
      <c r="AQ176" s="569"/>
      <c r="AR176" s="569"/>
      <c r="AS176" s="569"/>
      <c r="AT176" s="569"/>
      <c r="AU176" s="569"/>
      <c r="AV176" s="569"/>
      <c r="AW176" s="569"/>
      <c r="AX176" s="569"/>
      <c r="AY176" s="569"/>
      <c r="AZ176" s="569"/>
      <c r="BA176" s="569"/>
      <c r="BB176" s="569"/>
      <c r="BC176" s="569"/>
      <c r="BD176" s="569"/>
      <c r="BE176" s="569"/>
      <c r="BF176" s="569"/>
      <c r="BG176" s="569"/>
      <c r="BH176" s="569"/>
      <c r="BI176" s="569"/>
      <c r="BJ176" s="569"/>
      <c r="BK176" s="569"/>
      <c r="BL176" s="569"/>
      <c r="BM176" s="569"/>
      <c r="BN176" s="569"/>
      <c r="BO176" s="569"/>
      <c r="BP176" s="569"/>
      <c r="BQ176" s="569"/>
      <c r="BR176" s="569"/>
      <c r="BS176" s="569"/>
      <c r="BT176" s="569"/>
      <c r="BU176" s="569"/>
      <c r="BV176" s="569"/>
      <c r="BW176" s="569"/>
      <c r="BX176" s="569"/>
      <c r="BY176" s="569"/>
      <c r="BZ176" s="569"/>
      <c r="CA176" s="569"/>
      <c r="CB176" s="569"/>
      <c r="CC176" s="569"/>
      <c r="CD176" s="569"/>
      <c r="CE176" s="569"/>
      <c r="CF176" s="569"/>
      <c r="CG176" s="569"/>
      <c r="CH176" s="569"/>
      <c r="CI176" s="569"/>
      <c r="CJ176" s="569"/>
      <c r="CK176" s="569"/>
      <c r="CL176" s="569"/>
      <c r="CM176" s="569"/>
      <c r="CN176" s="569"/>
      <c r="CO176" s="569"/>
      <c r="CP176" s="569"/>
      <c r="CQ176" s="569"/>
      <c r="CR176" s="569"/>
      <c r="CS176" s="569"/>
      <c r="CT176" s="569"/>
      <c r="CU176" s="569"/>
      <c r="CV176" s="569"/>
      <c r="CW176" s="569"/>
      <c r="CX176" s="569"/>
      <c r="CY176" s="569"/>
      <c r="CZ176" s="569"/>
      <c r="DA176" s="569"/>
      <c r="DB176" s="569"/>
      <c r="DC176" s="569"/>
      <c r="DD176" s="569"/>
      <c r="DE176" s="569"/>
      <c r="DF176" s="569"/>
      <c r="DG176" s="569"/>
      <c r="DH176" s="569"/>
      <c r="DI176" s="569"/>
      <c r="DJ176" s="569"/>
      <c r="DK176" s="569"/>
      <c r="DL176" s="569"/>
      <c r="DM176" s="569"/>
      <c r="DN176" s="569"/>
      <c r="DO176" s="569"/>
      <c r="DP176" s="569"/>
      <c r="DQ176" s="569"/>
      <c r="DR176" s="569"/>
      <c r="DS176" s="569"/>
      <c r="DT176" s="569"/>
      <c r="DU176" s="569"/>
      <c r="DV176" s="569"/>
      <c r="DW176" s="569"/>
      <c r="DX176" s="569"/>
      <c r="DY176" s="569"/>
      <c r="DZ176" s="569"/>
      <c r="EA176" s="569"/>
      <c r="EB176" s="569"/>
      <c r="EC176" s="569"/>
      <c r="ED176" s="569"/>
      <c r="EE176" s="569"/>
      <c r="EF176" s="569"/>
      <c r="EG176" s="569"/>
      <c r="EH176" s="569"/>
      <c r="EI176" s="569"/>
      <c r="EJ176" s="569"/>
      <c r="EK176" s="569"/>
      <c r="EL176" s="569"/>
      <c r="EM176" s="569"/>
      <c r="EN176" s="569"/>
      <c r="EO176" s="569"/>
      <c r="EP176" s="569"/>
      <c r="EQ176" s="569"/>
      <c r="ER176" s="569"/>
      <c r="ES176" s="569"/>
      <c r="ET176" s="569"/>
      <c r="EU176" s="569"/>
      <c r="EV176" s="569"/>
      <c r="EW176" s="569"/>
      <c r="EX176" s="569"/>
      <c r="EY176" s="569"/>
      <c r="EZ176" s="569"/>
      <c r="FA176" s="569"/>
      <c r="FB176" s="569"/>
      <c r="FC176" s="569"/>
      <c r="FD176" s="569"/>
      <c r="FE176" s="569"/>
      <c r="FF176" s="569"/>
      <c r="FG176" s="569"/>
      <c r="FH176" s="569"/>
      <c r="FI176" s="569"/>
      <c r="FJ176" s="569"/>
      <c r="FK176" s="569"/>
      <c r="FL176" s="569"/>
      <c r="FM176" s="569"/>
      <c r="FN176" s="569"/>
      <c r="FO176" s="569"/>
      <c r="FP176" s="569"/>
      <c r="FQ176" s="569"/>
      <c r="FR176" s="569"/>
      <c r="FS176" s="569"/>
      <c r="FT176" s="569"/>
      <c r="FU176" s="569"/>
      <c r="FV176" s="569"/>
      <c r="FW176" s="569"/>
      <c r="FX176" s="569"/>
      <c r="FY176" s="569"/>
      <c r="FZ176" s="569"/>
      <c r="GA176" s="569"/>
      <c r="GB176" s="569"/>
      <c r="GC176" s="569"/>
      <c r="GD176" s="569"/>
      <c r="GE176" s="569"/>
      <c r="GF176" s="569"/>
      <c r="GG176" s="569"/>
      <c r="GH176" s="569"/>
      <c r="GI176" s="569"/>
      <c r="GJ176" s="569"/>
      <c r="GK176" s="569"/>
      <c r="GL176" s="569"/>
      <c r="GM176" s="569"/>
      <c r="GN176" s="569"/>
      <c r="GO176" s="569"/>
      <c r="GP176" s="569"/>
      <c r="GQ176" s="569"/>
      <c r="GR176" s="569"/>
      <c r="GS176" s="569"/>
      <c r="GT176" s="569"/>
    </row>
    <row r="177" spans="2:202" s="554" customFormat="1">
      <c r="B177" s="590"/>
      <c r="C177" s="590"/>
      <c r="D177" s="590"/>
      <c r="E177" s="590"/>
      <c r="F177" s="590"/>
      <c r="G177" s="590"/>
      <c r="H177" s="590"/>
      <c r="I177" s="590"/>
      <c r="J177" s="590"/>
      <c r="K177" s="590"/>
      <c r="L177" s="590"/>
      <c r="M177" s="590"/>
      <c r="N177" s="590"/>
      <c r="O177" s="590"/>
      <c r="P177" s="590"/>
      <c r="Q177" s="590"/>
      <c r="R177" s="590"/>
      <c r="S177" s="590"/>
      <c r="T177" s="590"/>
      <c r="U177" s="590"/>
      <c r="V177" s="590"/>
      <c r="W177" s="590"/>
      <c r="X177" s="590"/>
      <c r="Y177" s="590"/>
      <c r="Z177" s="590"/>
      <c r="AA177" s="590"/>
      <c r="AB177" s="590"/>
      <c r="AC177" s="590"/>
      <c r="AD177" s="590"/>
      <c r="AE177" s="590"/>
      <c r="AF177" s="590"/>
      <c r="AG177" s="590"/>
      <c r="AH177" s="569"/>
      <c r="AI177" s="569"/>
      <c r="AJ177" s="569"/>
      <c r="AK177" s="569"/>
      <c r="AL177" s="569"/>
      <c r="AM177" s="569"/>
      <c r="AN177" s="569"/>
      <c r="AO177" s="569"/>
      <c r="AP177" s="569"/>
      <c r="AQ177" s="569"/>
      <c r="AR177" s="569"/>
      <c r="AS177" s="569"/>
      <c r="AT177" s="569"/>
      <c r="AU177" s="569"/>
      <c r="AV177" s="569"/>
      <c r="AW177" s="569"/>
      <c r="AX177" s="569"/>
      <c r="AY177" s="569"/>
      <c r="AZ177" s="569"/>
      <c r="BA177" s="569"/>
      <c r="BB177" s="569"/>
      <c r="BC177" s="569"/>
      <c r="BD177" s="569"/>
      <c r="BE177" s="569"/>
      <c r="BF177" s="569"/>
      <c r="BG177" s="569"/>
      <c r="BH177" s="569"/>
      <c r="BI177" s="569"/>
      <c r="BJ177" s="569"/>
      <c r="BK177" s="569"/>
      <c r="BL177" s="569"/>
      <c r="BM177" s="569"/>
      <c r="BN177" s="569"/>
      <c r="BO177" s="569"/>
      <c r="BP177" s="569"/>
      <c r="BQ177" s="569"/>
      <c r="BR177" s="569"/>
      <c r="BS177" s="569"/>
      <c r="BT177" s="569"/>
      <c r="BU177" s="569"/>
      <c r="BV177" s="569"/>
      <c r="BW177" s="569"/>
      <c r="BX177" s="569"/>
      <c r="BY177" s="569"/>
      <c r="BZ177" s="569"/>
      <c r="CA177" s="569"/>
      <c r="CB177" s="569"/>
      <c r="CC177" s="569"/>
      <c r="CD177" s="569"/>
      <c r="CE177" s="569"/>
      <c r="CF177" s="569"/>
      <c r="CG177" s="569"/>
      <c r="CH177" s="569"/>
      <c r="CI177" s="569"/>
      <c r="CJ177" s="569"/>
      <c r="CK177" s="569"/>
      <c r="CL177" s="569"/>
      <c r="CM177" s="569"/>
      <c r="CN177" s="569"/>
      <c r="CO177" s="569"/>
      <c r="CP177" s="569"/>
      <c r="CQ177" s="569"/>
      <c r="CR177" s="569"/>
      <c r="CS177" s="569"/>
      <c r="CT177" s="569"/>
      <c r="CU177" s="569"/>
      <c r="CV177" s="569"/>
      <c r="CW177" s="569"/>
      <c r="CX177" s="569"/>
      <c r="CY177" s="569"/>
      <c r="CZ177" s="569"/>
      <c r="DA177" s="569"/>
      <c r="DB177" s="569"/>
      <c r="DC177" s="569"/>
      <c r="DD177" s="569"/>
      <c r="DE177" s="569"/>
      <c r="DF177" s="569"/>
      <c r="DG177" s="569"/>
      <c r="DH177" s="569"/>
      <c r="DI177" s="569"/>
      <c r="DJ177" s="569"/>
      <c r="DK177" s="569"/>
      <c r="DL177" s="569"/>
      <c r="DM177" s="569"/>
      <c r="DN177" s="569"/>
      <c r="DO177" s="569"/>
      <c r="DP177" s="569"/>
      <c r="DQ177" s="569"/>
      <c r="DR177" s="569"/>
      <c r="DS177" s="569"/>
      <c r="DT177" s="569"/>
      <c r="DU177" s="569"/>
      <c r="DV177" s="569"/>
      <c r="DW177" s="569"/>
      <c r="DX177" s="569"/>
      <c r="DY177" s="569"/>
      <c r="DZ177" s="569"/>
      <c r="EA177" s="569"/>
      <c r="EB177" s="569"/>
      <c r="EC177" s="569"/>
      <c r="ED177" s="569"/>
      <c r="EE177" s="569"/>
      <c r="EF177" s="569"/>
      <c r="EG177" s="569"/>
      <c r="EH177" s="569"/>
      <c r="EI177" s="569"/>
      <c r="EJ177" s="569"/>
      <c r="EK177" s="569"/>
      <c r="EL177" s="569"/>
      <c r="EM177" s="569"/>
      <c r="EN177" s="569"/>
      <c r="EO177" s="569"/>
      <c r="EP177" s="569"/>
      <c r="EQ177" s="569"/>
      <c r="ER177" s="569"/>
      <c r="ES177" s="569"/>
      <c r="ET177" s="569"/>
      <c r="EU177" s="569"/>
      <c r="EV177" s="569"/>
      <c r="EW177" s="569"/>
      <c r="EX177" s="569"/>
      <c r="EY177" s="569"/>
      <c r="EZ177" s="569"/>
      <c r="FA177" s="569"/>
      <c r="FB177" s="569"/>
      <c r="FC177" s="569"/>
      <c r="FD177" s="569"/>
      <c r="FE177" s="569"/>
      <c r="FF177" s="569"/>
      <c r="FG177" s="569"/>
      <c r="FH177" s="569"/>
      <c r="FI177" s="569"/>
      <c r="FJ177" s="569"/>
      <c r="FK177" s="569"/>
      <c r="FL177" s="569"/>
      <c r="FM177" s="569"/>
      <c r="FN177" s="569"/>
      <c r="FO177" s="569"/>
      <c r="FP177" s="569"/>
      <c r="FQ177" s="569"/>
      <c r="FR177" s="569"/>
      <c r="FS177" s="569"/>
      <c r="FT177" s="569"/>
      <c r="FU177" s="569"/>
      <c r="FV177" s="569"/>
      <c r="FW177" s="569"/>
      <c r="FX177" s="569"/>
      <c r="FY177" s="569"/>
      <c r="FZ177" s="569"/>
      <c r="GA177" s="569"/>
      <c r="GB177" s="569"/>
      <c r="GC177" s="569"/>
      <c r="GD177" s="569"/>
      <c r="GE177" s="569"/>
      <c r="GF177" s="569"/>
      <c r="GG177" s="569"/>
      <c r="GH177" s="569"/>
      <c r="GI177" s="569"/>
      <c r="GJ177" s="569"/>
      <c r="GK177" s="569"/>
      <c r="GL177" s="569"/>
      <c r="GM177" s="569"/>
      <c r="GN177" s="569"/>
      <c r="GO177" s="569"/>
      <c r="GP177" s="569"/>
      <c r="GQ177" s="569"/>
      <c r="GR177" s="569"/>
      <c r="GS177" s="569"/>
      <c r="GT177" s="569"/>
    </row>
    <row r="178" spans="2:202" s="554" customFormat="1">
      <c r="B178" s="590"/>
      <c r="C178" s="590"/>
      <c r="D178" s="590"/>
      <c r="E178" s="590"/>
      <c r="F178" s="590"/>
      <c r="G178" s="590"/>
      <c r="H178" s="590"/>
      <c r="I178" s="590"/>
      <c r="J178" s="590"/>
      <c r="K178" s="590"/>
      <c r="L178" s="590"/>
      <c r="M178" s="590"/>
      <c r="N178" s="590"/>
      <c r="O178" s="590"/>
      <c r="P178" s="590"/>
      <c r="Q178" s="590"/>
      <c r="R178" s="590"/>
      <c r="S178" s="590"/>
      <c r="T178" s="590"/>
      <c r="U178" s="590"/>
      <c r="V178" s="590"/>
      <c r="W178" s="590"/>
      <c r="X178" s="590"/>
      <c r="Y178" s="590"/>
      <c r="Z178" s="590"/>
      <c r="AA178" s="590"/>
      <c r="AB178" s="590"/>
      <c r="AC178" s="590"/>
      <c r="AD178" s="590"/>
      <c r="AE178" s="590"/>
      <c r="AF178" s="590"/>
      <c r="AG178" s="590"/>
      <c r="AH178" s="569"/>
      <c r="AI178" s="569"/>
      <c r="AJ178" s="569"/>
      <c r="AK178" s="569"/>
      <c r="AL178" s="569"/>
      <c r="AM178" s="569"/>
      <c r="AN178" s="569"/>
      <c r="AO178" s="569"/>
      <c r="AP178" s="569"/>
      <c r="AQ178" s="569"/>
      <c r="AR178" s="569"/>
      <c r="AS178" s="569"/>
      <c r="AT178" s="569"/>
      <c r="AU178" s="569"/>
      <c r="AV178" s="569"/>
      <c r="AW178" s="569"/>
      <c r="AX178" s="569"/>
      <c r="AY178" s="569"/>
      <c r="AZ178" s="569"/>
      <c r="BA178" s="569"/>
      <c r="BB178" s="569"/>
      <c r="BC178" s="569"/>
      <c r="BD178" s="569"/>
      <c r="BE178" s="569"/>
      <c r="BF178" s="569"/>
      <c r="BG178" s="569"/>
      <c r="BH178" s="569"/>
      <c r="BI178" s="569"/>
      <c r="BJ178" s="569"/>
      <c r="BK178" s="569"/>
      <c r="BL178" s="569"/>
      <c r="BM178" s="569"/>
      <c r="BN178" s="569"/>
      <c r="BO178" s="569"/>
      <c r="BP178" s="569"/>
      <c r="BQ178" s="569"/>
      <c r="BR178" s="569"/>
      <c r="BS178" s="569"/>
      <c r="BT178" s="569"/>
      <c r="BU178" s="569"/>
      <c r="BV178" s="569"/>
      <c r="BW178" s="569"/>
      <c r="BX178" s="569"/>
      <c r="BY178" s="569"/>
      <c r="BZ178" s="569"/>
      <c r="CA178" s="569"/>
      <c r="CB178" s="569"/>
      <c r="CC178" s="569"/>
      <c r="CD178" s="569"/>
      <c r="CE178" s="569"/>
      <c r="CF178" s="569"/>
      <c r="CG178" s="569"/>
      <c r="CH178" s="569"/>
      <c r="CI178" s="569"/>
      <c r="CJ178" s="569"/>
      <c r="CK178" s="569"/>
      <c r="CL178" s="569"/>
      <c r="CM178" s="569"/>
      <c r="CN178" s="569"/>
      <c r="CO178" s="569"/>
      <c r="CP178" s="569"/>
      <c r="CQ178" s="569"/>
      <c r="CR178" s="569"/>
      <c r="CS178" s="569"/>
      <c r="CT178" s="569"/>
      <c r="CU178" s="569"/>
      <c r="CV178" s="569"/>
      <c r="CW178" s="569"/>
      <c r="CX178" s="569"/>
      <c r="CY178" s="569"/>
      <c r="CZ178" s="569"/>
      <c r="DA178" s="569"/>
      <c r="DB178" s="569"/>
      <c r="DC178" s="569"/>
      <c r="DD178" s="569"/>
      <c r="DE178" s="569"/>
      <c r="DF178" s="569"/>
      <c r="DG178" s="569"/>
      <c r="DH178" s="569"/>
      <c r="DI178" s="569"/>
      <c r="DJ178" s="569"/>
      <c r="DK178" s="569"/>
      <c r="DL178" s="569"/>
      <c r="DM178" s="569"/>
      <c r="DN178" s="569"/>
      <c r="DO178" s="569"/>
      <c r="DP178" s="569"/>
      <c r="DQ178" s="569"/>
      <c r="DR178" s="569"/>
      <c r="DS178" s="569"/>
      <c r="DT178" s="569"/>
      <c r="DU178" s="569"/>
      <c r="DV178" s="569"/>
      <c r="DW178" s="569"/>
      <c r="DX178" s="569"/>
      <c r="DY178" s="569"/>
      <c r="DZ178" s="569"/>
      <c r="EA178" s="569"/>
      <c r="EB178" s="569"/>
      <c r="EC178" s="569"/>
      <c r="ED178" s="569"/>
      <c r="EE178" s="569"/>
      <c r="EF178" s="569"/>
      <c r="EG178" s="569"/>
      <c r="EH178" s="569"/>
      <c r="EI178" s="569"/>
      <c r="EJ178" s="569"/>
      <c r="EK178" s="569"/>
      <c r="EL178" s="569"/>
      <c r="EM178" s="569"/>
      <c r="EN178" s="569"/>
      <c r="EO178" s="569"/>
      <c r="EP178" s="569"/>
      <c r="EQ178" s="569"/>
      <c r="ER178" s="569"/>
      <c r="ES178" s="569"/>
      <c r="ET178" s="569"/>
      <c r="EU178" s="569"/>
      <c r="EV178" s="569"/>
      <c r="EW178" s="569"/>
      <c r="EX178" s="569"/>
      <c r="EY178" s="569"/>
      <c r="EZ178" s="569"/>
      <c r="FA178" s="569"/>
      <c r="FB178" s="569"/>
      <c r="FC178" s="569"/>
      <c r="FD178" s="569"/>
      <c r="FE178" s="569"/>
      <c r="FF178" s="569"/>
      <c r="FG178" s="569"/>
      <c r="FH178" s="569"/>
      <c r="FI178" s="569"/>
      <c r="FJ178" s="569"/>
      <c r="FK178" s="569"/>
      <c r="FL178" s="569"/>
      <c r="FM178" s="569"/>
      <c r="FN178" s="569"/>
      <c r="FO178" s="569"/>
      <c r="FP178" s="569"/>
      <c r="FQ178" s="569"/>
      <c r="FR178" s="569"/>
      <c r="FS178" s="569"/>
      <c r="FT178" s="569"/>
      <c r="FU178" s="569"/>
      <c r="FV178" s="569"/>
      <c r="FW178" s="569"/>
      <c r="FX178" s="569"/>
      <c r="FY178" s="569"/>
      <c r="FZ178" s="569"/>
      <c r="GA178" s="569"/>
      <c r="GB178" s="569"/>
      <c r="GC178" s="569"/>
      <c r="GD178" s="569"/>
      <c r="GE178" s="569"/>
      <c r="GF178" s="569"/>
      <c r="GG178" s="569"/>
      <c r="GH178" s="569"/>
      <c r="GI178" s="569"/>
      <c r="GJ178" s="569"/>
      <c r="GK178" s="569"/>
      <c r="GL178" s="569"/>
      <c r="GM178" s="569"/>
      <c r="GN178" s="569"/>
      <c r="GO178" s="569"/>
      <c r="GP178" s="569"/>
      <c r="GQ178" s="569"/>
      <c r="GR178" s="569"/>
      <c r="GS178" s="569"/>
      <c r="GT178" s="569"/>
    </row>
    <row r="179" spans="2:202" s="554" customFormat="1">
      <c r="B179" s="590"/>
      <c r="C179" s="590"/>
      <c r="D179" s="590"/>
      <c r="E179" s="590"/>
      <c r="F179" s="590"/>
      <c r="G179" s="590"/>
      <c r="H179" s="590"/>
      <c r="I179" s="590"/>
      <c r="J179" s="590"/>
      <c r="K179" s="590"/>
      <c r="L179" s="590"/>
      <c r="M179" s="590"/>
      <c r="N179" s="590"/>
      <c r="O179" s="590"/>
      <c r="P179" s="590"/>
      <c r="Q179" s="590"/>
      <c r="R179" s="590"/>
      <c r="S179" s="590"/>
      <c r="T179" s="590"/>
      <c r="U179" s="590"/>
      <c r="V179" s="590"/>
      <c r="W179" s="590"/>
      <c r="X179" s="590"/>
      <c r="Y179" s="590"/>
      <c r="Z179" s="590"/>
      <c r="AA179" s="590"/>
      <c r="AB179" s="590"/>
      <c r="AC179" s="590"/>
      <c r="AD179" s="590"/>
      <c r="AE179" s="590"/>
      <c r="AF179" s="590"/>
      <c r="AG179" s="590"/>
      <c r="AH179" s="569"/>
      <c r="AI179" s="569"/>
      <c r="AJ179" s="569"/>
      <c r="AK179" s="569"/>
      <c r="AL179" s="569"/>
      <c r="AM179" s="569"/>
      <c r="AN179" s="569"/>
      <c r="AO179" s="569"/>
      <c r="AP179" s="569"/>
      <c r="AQ179" s="569"/>
      <c r="AR179" s="569"/>
      <c r="AS179" s="569"/>
      <c r="AT179" s="569"/>
      <c r="AU179" s="569"/>
      <c r="AV179" s="569"/>
      <c r="AW179" s="569"/>
      <c r="AX179" s="569"/>
      <c r="AY179" s="569"/>
      <c r="AZ179" s="569"/>
      <c r="BA179" s="569"/>
      <c r="BB179" s="569"/>
      <c r="BC179" s="569"/>
      <c r="BD179" s="569"/>
      <c r="BE179" s="569"/>
      <c r="BF179" s="569"/>
      <c r="BG179" s="569"/>
      <c r="BH179" s="569"/>
      <c r="BI179" s="569"/>
      <c r="BJ179" s="569"/>
      <c r="BK179" s="569"/>
      <c r="BL179" s="569"/>
      <c r="BM179" s="569"/>
      <c r="BN179" s="569"/>
      <c r="BO179" s="569"/>
      <c r="BP179" s="569"/>
      <c r="BQ179" s="569"/>
      <c r="BR179" s="569"/>
      <c r="BS179" s="569"/>
      <c r="BT179" s="569"/>
      <c r="BU179" s="569"/>
      <c r="BV179" s="569"/>
      <c r="BW179" s="569"/>
      <c r="BX179" s="569"/>
      <c r="BY179" s="569"/>
      <c r="BZ179" s="569"/>
      <c r="CA179" s="569"/>
      <c r="CB179" s="569"/>
      <c r="CC179" s="569"/>
      <c r="CD179" s="569"/>
      <c r="CE179" s="569"/>
      <c r="CF179" s="569"/>
      <c r="CG179" s="569"/>
      <c r="CH179" s="569"/>
      <c r="CI179" s="569"/>
      <c r="CJ179" s="569"/>
      <c r="CK179" s="569"/>
      <c r="CL179" s="569"/>
      <c r="CM179" s="569"/>
      <c r="CN179" s="569"/>
      <c r="CO179" s="569"/>
      <c r="CP179" s="569"/>
      <c r="CQ179" s="569"/>
      <c r="CR179" s="569"/>
      <c r="CS179" s="569"/>
      <c r="CT179" s="569"/>
      <c r="CU179" s="569"/>
      <c r="CV179" s="569"/>
      <c r="CW179" s="569"/>
      <c r="CX179" s="569"/>
      <c r="CY179" s="569"/>
      <c r="CZ179" s="569"/>
      <c r="DA179" s="569"/>
      <c r="DB179" s="569"/>
      <c r="DC179" s="569"/>
      <c r="DD179" s="569"/>
      <c r="DE179" s="569"/>
      <c r="DF179" s="569"/>
      <c r="DG179" s="569"/>
      <c r="DH179" s="569"/>
      <c r="DI179" s="569"/>
      <c r="DJ179" s="569"/>
      <c r="DK179" s="569"/>
      <c r="DL179" s="569"/>
      <c r="DM179" s="569"/>
      <c r="DN179" s="569"/>
      <c r="DO179" s="569"/>
      <c r="DP179" s="569"/>
      <c r="DQ179" s="569"/>
      <c r="DR179" s="569"/>
      <c r="DS179" s="569"/>
      <c r="DT179" s="569"/>
      <c r="DU179" s="569"/>
      <c r="DV179" s="569"/>
      <c r="DW179" s="569"/>
      <c r="DX179" s="569"/>
      <c r="DY179" s="569"/>
      <c r="DZ179" s="569"/>
      <c r="EA179" s="569"/>
      <c r="EB179" s="569"/>
      <c r="EC179" s="569"/>
      <c r="ED179" s="569"/>
      <c r="EE179" s="569"/>
      <c r="EF179" s="569"/>
      <c r="EG179" s="569"/>
      <c r="EH179" s="569"/>
      <c r="EI179" s="569"/>
      <c r="EJ179" s="569"/>
      <c r="EK179" s="569"/>
      <c r="EL179" s="569"/>
      <c r="EM179" s="569"/>
      <c r="EN179" s="569"/>
      <c r="EO179" s="569"/>
      <c r="EP179" s="569"/>
      <c r="EQ179" s="569"/>
      <c r="ER179" s="569"/>
      <c r="ES179" s="569"/>
      <c r="ET179" s="569"/>
      <c r="EU179" s="569"/>
      <c r="EV179" s="569"/>
      <c r="EW179" s="569"/>
      <c r="EX179" s="569"/>
      <c r="EY179" s="569"/>
      <c r="EZ179" s="569"/>
      <c r="FA179" s="569"/>
      <c r="FB179" s="569"/>
      <c r="FC179" s="569"/>
      <c r="FD179" s="569"/>
      <c r="FE179" s="569"/>
      <c r="FF179" s="569"/>
      <c r="FG179" s="569"/>
      <c r="FH179" s="569"/>
      <c r="FI179" s="569"/>
      <c r="FJ179" s="569"/>
      <c r="FK179" s="569"/>
      <c r="FL179" s="569"/>
      <c r="FM179" s="569"/>
      <c r="FN179" s="569"/>
      <c r="FO179" s="569"/>
      <c r="FP179" s="569"/>
      <c r="FQ179" s="569"/>
      <c r="FR179" s="569"/>
      <c r="FS179" s="569"/>
      <c r="FT179" s="569"/>
      <c r="FU179" s="569"/>
      <c r="FV179" s="569"/>
      <c r="FW179" s="569"/>
      <c r="FX179" s="569"/>
      <c r="FY179" s="569"/>
      <c r="FZ179" s="569"/>
      <c r="GA179" s="569"/>
      <c r="GB179" s="569"/>
      <c r="GC179" s="569"/>
      <c r="GD179" s="569"/>
      <c r="GE179" s="569"/>
      <c r="GF179" s="569"/>
      <c r="GG179" s="569"/>
      <c r="GH179" s="569"/>
      <c r="GI179" s="569"/>
      <c r="GJ179" s="569"/>
      <c r="GK179" s="569"/>
      <c r="GL179" s="569"/>
      <c r="GM179" s="569"/>
      <c r="GN179" s="569"/>
      <c r="GO179" s="569"/>
      <c r="GP179" s="569"/>
      <c r="GQ179" s="569"/>
      <c r="GR179" s="569"/>
      <c r="GS179" s="569"/>
      <c r="GT179" s="569"/>
    </row>
    <row r="180" spans="2:202" s="554" customFormat="1">
      <c r="B180" s="590"/>
      <c r="C180" s="590"/>
      <c r="D180" s="590"/>
      <c r="E180" s="590"/>
      <c r="F180" s="590"/>
      <c r="G180" s="590"/>
      <c r="H180" s="590"/>
      <c r="I180" s="590"/>
      <c r="J180" s="590"/>
      <c r="K180" s="590"/>
      <c r="L180" s="590"/>
      <c r="M180" s="590"/>
      <c r="N180" s="590"/>
      <c r="O180" s="590"/>
      <c r="P180" s="590"/>
      <c r="Q180" s="590"/>
      <c r="R180" s="590"/>
      <c r="S180" s="590"/>
      <c r="T180" s="590"/>
      <c r="U180" s="590"/>
      <c r="V180" s="590"/>
      <c r="W180" s="590"/>
      <c r="X180" s="590"/>
      <c r="Y180" s="590"/>
      <c r="Z180" s="590"/>
      <c r="AA180" s="590"/>
      <c r="AB180" s="590"/>
      <c r="AC180" s="590"/>
      <c r="AD180" s="590"/>
      <c r="AE180" s="590"/>
      <c r="AF180" s="590"/>
      <c r="AG180" s="590"/>
      <c r="AH180" s="569"/>
      <c r="AI180" s="569"/>
      <c r="AJ180" s="569"/>
      <c r="AK180" s="569"/>
      <c r="AL180" s="569"/>
      <c r="AM180" s="569"/>
      <c r="AN180" s="569"/>
      <c r="AO180" s="569"/>
      <c r="AP180" s="569"/>
      <c r="AQ180" s="569"/>
      <c r="AR180" s="569"/>
      <c r="AS180" s="569"/>
      <c r="AT180" s="569"/>
      <c r="AU180" s="569"/>
      <c r="AV180" s="569"/>
      <c r="AW180" s="569"/>
      <c r="AX180" s="569"/>
      <c r="AY180" s="569"/>
      <c r="AZ180" s="569"/>
      <c r="BA180" s="569"/>
      <c r="BB180" s="569"/>
      <c r="BC180" s="569"/>
      <c r="BD180" s="569"/>
      <c r="BE180" s="569"/>
      <c r="BF180" s="569"/>
      <c r="BG180" s="569"/>
      <c r="BH180" s="569"/>
      <c r="BI180" s="569"/>
      <c r="BJ180" s="569"/>
      <c r="BK180" s="569"/>
      <c r="BL180" s="569"/>
      <c r="BM180" s="569"/>
      <c r="BN180" s="569"/>
      <c r="BO180" s="569"/>
      <c r="BP180" s="569"/>
      <c r="BQ180" s="569"/>
      <c r="BR180" s="569"/>
      <c r="BS180" s="569"/>
      <c r="BT180" s="569"/>
      <c r="BU180" s="569"/>
      <c r="BV180" s="569"/>
      <c r="BW180" s="569"/>
      <c r="BX180" s="569"/>
      <c r="BY180" s="569"/>
      <c r="BZ180" s="569"/>
      <c r="CA180" s="569"/>
      <c r="CB180" s="569"/>
      <c r="CC180" s="569"/>
      <c r="CD180" s="569"/>
      <c r="CE180" s="569"/>
      <c r="CF180" s="569"/>
      <c r="CG180" s="569"/>
      <c r="CH180" s="569"/>
      <c r="CI180" s="569"/>
      <c r="CJ180" s="569"/>
      <c r="CK180" s="569"/>
      <c r="CL180" s="569"/>
      <c r="CM180" s="569"/>
      <c r="CN180" s="569"/>
      <c r="CO180" s="569"/>
      <c r="CP180" s="569"/>
      <c r="CQ180" s="569"/>
      <c r="CR180" s="569"/>
      <c r="CS180" s="569"/>
      <c r="CT180" s="569"/>
      <c r="CU180" s="569"/>
      <c r="CV180" s="569"/>
      <c r="CW180" s="569"/>
      <c r="CX180" s="569"/>
      <c r="CY180" s="569"/>
      <c r="CZ180" s="569"/>
      <c r="DA180" s="569"/>
      <c r="DB180" s="569"/>
      <c r="DC180" s="569"/>
      <c r="DD180" s="569"/>
      <c r="DE180" s="569"/>
      <c r="DF180" s="569"/>
      <c r="DG180" s="569"/>
      <c r="DH180" s="569"/>
      <c r="DI180" s="569"/>
      <c r="DJ180" s="569"/>
      <c r="DK180" s="569"/>
      <c r="DL180" s="569"/>
      <c r="DM180" s="569"/>
      <c r="DN180" s="569"/>
      <c r="DO180" s="569"/>
      <c r="DP180" s="569"/>
      <c r="DQ180" s="569"/>
      <c r="DR180" s="569"/>
      <c r="DS180" s="569"/>
      <c r="DT180" s="569"/>
      <c r="DU180" s="569"/>
      <c r="DV180" s="569"/>
      <c r="DW180" s="569"/>
      <c r="DX180" s="569"/>
      <c r="DY180" s="569"/>
      <c r="DZ180" s="569"/>
      <c r="EA180" s="569"/>
      <c r="EB180" s="569"/>
      <c r="EC180" s="569"/>
      <c r="ED180" s="569"/>
      <c r="EE180" s="569"/>
      <c r="EF180" s="569"/>
      <c r="EG180" s="569"/>
      <c r="EH180" s="569"/>
      <c r="EI180" s="569"/>
      <c r="EJ180" s="569"/>
      <c r="EK180" s="569"/>
      <c r="EL180" s="569"/>
      <c r="EM180" s="569"/>
      <c r="EN180" s="569"/>
      <c r="EO180" s="569"/>
      <c r="EP180" s="569"/>
      <c r="EQ180" s="569"/>
      <c r="ER180" s="569"/>
      <c r="ES180" s="569"/>
      <c r="ET180" s="569"/>
      <c r="EU180" s="569"/>
      <c r="EV180" s="569"/>
      <c r="EW180" s="569"/>
      <c r="EX180" s="569"/>
      <c r="EY180" s="569"/>
      <c r="EZ180" s="569"/>
      <c r="FA180" s="569"/>
      <c r="FB180" s="569"/>
      <c r="FC180" s="569"/>
      <c r="FD180" s="569"/>
      <c r="FE180" s="569"/>
      <c r="FF180" s="569"/>
      <c r="FG180" s="569"/>
      <c r="FH180" s="569"/>
      <c r="FI180" s="569"/>
      <c r="FJ180" s="569"/>
      <c r="FK180" s="569"/>
      <c r="FL180" s="569"/>
      <c r="FM180" s="569"/>
      <c r="FN180" s="569"/>
      <c r="FO180" s="569"/>
      <c r="FP180" s="569"/>
      <c r="FQ180" s="569"/>
      <c r="FR180" s="569"/>
      <c r="FS180" s="569"/>
      <c r="FT180" s="569"/>
      <c r="FU180" s="569"/>
      <c r="FV180" s="569"/>
      <c r="FW180" s="569"/>
      <c r="FX180" s="569"/>
      <c r="FY180" s="569"/>
      <c r="FZ180" s="569"/>
      <c r="GA180" s="569"/>
      <c r="GB180" s="569"/>
      <c r="GC180" s="569"/>
      <c r="GD180" s="569"/>
      <c r="GE180" s="569"/>
      <c r="GF180" s="569"/>
      <c r="GG180" s="569"/>
      <c r="GH180" s="569"/>
      <c r="GI180" s="569"/>
      <c r="GJ180" s="569"/>
      <c r="GK180" s="569"/>
      <c r="GL180" s="569"/>
      <c r="GM180" s="569"/>
      <c r="GN180" s="569"/>
      <c r="GO180" s="569"/>
      <c r="GP180" s="569"/>
      <c r="GQ180" s="569"/>
      <c r="GR180" s="569"/>
      <c r="GS180" s="569"/>
      <c r="GT180" s="569"/>
    </row>
    <row r="181" spans="2:202" s="554" customFormat="1">
      <c r="B181" s="590"/>
      <c r="C181" s="590"/>
      <c r="D181" s="590"/>
      <c r="E181" s="590"/>
      <c r="F181" s="590"/>
      <c r="G181" s="590"/>
      <c r="H181" s="590"/>
      <c r="I181" s="590"/>
      <c r="J181" s="590"/>
      <c r="K181" s="590"/>
      <c r="L181" s="590"/>
      <c r="M181" s="590"/>
      <c r="N181" s="590"/>
      <c r="O181" s="590"/>
      <c r="P181" s="590"/>
      <c r="Q181" s="590"/>
      <c r="R181" s="590"/>
      <c r="S181" s="590"/>
      <c r="T181" s="590"/>
      <c r="U181" s="590"/>
      <c r="V181" s="590"/>
      <c r="W181" s="590"/>
      <c r="X181" s="590"/>
      <c r="Y181" s="590"/>
      <c r="Z181" s="590"/>
      <c r="AA181" s="590"/>
      <c r="AB181" s="590"/>
      <c r="AC181" s="590"/>
      <c r="AD181" s="590"/>
      <c r="AE181" s="590"/>
      <c r="AF181" s="590"/>
      <c r="AG181" s="590"/>
      <c r="AH181" s="569"/>
      <c r="AI181" s="569"/>
      <c r="AJ181" s="569"/>
      <c r="AK181" s="569"/>
      <c r="AL181" s="569"/>
      <c r="AM181" s="569"/>
      <c r="AN181" s="569"/>
      <c r="AO181" s="569"/>
      <c r="AP181" s="569"/>
      <c r="AQ181" s="569"/>
      <c r="AR181" s="569"/>
      <c r="AS181" s="569"/>
      <c r="AT181" s="569"/>
      <c r="AU181" s="569"/>
      <c r="AV181" s="569"/>
      <c r="AW181" s="569"/>
      <c r="AX181" s="569"/>
      <c r="AY181" s="569"/>
      <c r="AZ181" s="569"/>
      <c r="BA181" s="569"/>
      <c r="BB181" s="569"/>
      <c r="BC181" s="569"/>
      <c r="BD181" s="569"/>
      <c r="BE181" s="569"/>
      <c r="BF181" s="569"/>
      <c r="BG181" s="569"/>
      <c r="BH181" s="569"/>
      <c r="BI181" s="569"/>
      <c r="BJ181" s="569"/>
      <c r="BK181" s="569"/>
      <c r="BL181" s="569"/>
      <c r="BM181" s="569"/>
      <c r="BN181" s="569"/>
      <c r="BO181" s="569"/>
      <c r="BP181" s="569"/>
      <c r="BQ181" s="569"/>
      <c r="BR181" s="569"/>
      <c r="BS181" s="569"/>
      <c r="BT181" s="569"/>
      <c r="BU181" s="569"/>
      <c r="BV181" s="569"/>
      <c r="BW181" s="569"/>
      <c r="BX181" s="569"/>
      <c r="BY181" s="569"/>
      <c r="BZ181" s="569"/>
      <c r="CA181" s="569"/>
      <c r="CB181" s="569"/>
      <c r="CC181" s="569"/>
      <c r="CD181" s="569"/>
      <c r="CE181" s="569"/>
      <c r="CF181" s="569"/>
      <c r="CG181" s="569"/>
      <c r="CH181" s="569"/>
      <c r="CI181" s="569"/>
      <c r="CJ181" s="569"/>
      <c r="CK181" s="569"/>
      <c r="CL181" s="569"/>
      <c r="CM181" s="569"/>
      <c r="CN181" s="569"/>
      <c r="CO181" s="569"/>
      <c r="CP181" s="569"/>
      <c r="CQ181" s="569"/>
      <c r="CR181" s="569"/>
      <c r="CS181" s="569"/>
      <c r="CT181" s="569"/>
      <c r="CU181" s="569"/>
      <c r="CV181" s="569"/>
      <c r="CW181" s="569"/>
      <c r="CX181" s="569"/>
      <c r="CY181" s="569"/>
      <c r="CZ181" s="569"/>
      <c r="DA181" s="569"/>
      <c r="DB181" s="569"/>
      <c r="DC181" s="569"/>
      <c r="DD181" s="569"/>
      <c r="DE181" s="569"/>
      <c r="DF181" s="569"/>
      <c r="DG181" s="569"/>
      <c r="DH181" s="569"/>
      <c r="DI181" s="569"/>
      <c r="DJ181" s="569"/>
      <c r="DK181" s="569"/>
      <c r="DL181" s="569"/>
      <c r="DM181" s="569"/>
      <c r="DN181" s="569"/>
      <c r="DO181" s="569"/>
      <c r="DP181" s="569"/>
      <c r="DQ181" s="569"/>
      <c r="DR181" s="569"/>
      <c r="DS181" s="569"/>
      <c r="DT181" s="569"/>
      <c r="DU181" s="569"/>
      <c r="DV181" s="569"/>
      <c r="DW181" s="569"/>
      <c r="DX181" s="569"/>
      <c r="DY181" s="569"/>
      <c r="DZ181" s="569"/>
      <c r="EA181" s="569"/>
      <c r="EB181" s="569"/>
      <c r="EC181" s="569"/>
      <c r="ED181" s="569"/>
      <c r="EE181" s="569"/>
      <c r="EF181" s="569"/>
      <c r="EG181" s="569"/>
      <c r="EH181" s="569"/>
      <c r="EI181" s="569"/>
      <c r="EJ181" s="569"/>
      <c r="EK181" s="569"/>
      <c r="EL181" s="569"/>
      <c r="EM181" s="569"/>
      <c r="EN181" s="569"/>
      <c r="EO181" s="569"/>
      <c r="EP181" s="569"/>
      <c r="EQ181" s="569"/>
      <c r="ER181" s="569"/>
      <c r="ES181" s="569"/>
      <c r="ET181" s="569"/>
      <c r="EU181" s="569"/>
      <c r="EV181" s="569"/>
      <c r="EW181" s="569"/>
      <c r="EX181" s="569"/>
      <c r="EY181" s="569"/>
      <c r="EZ181" s="569"/>
      <c r="FA181" s="569"/>
      <c r="FB181" s="569"/>
      <c r="FC181" s="569"/>
      <c r="FD181" s="569"/>
      <c r="FE181" s="569"/>
      <c r="FF181" s="569"/>
      <c r="FG181" s="569"/>
      <c r="FH181" s="569"/>
      <c r="FI181" s="569"/>
      <c r="FJ181" s="569"/>
      <c r="FK181" s="569"/>
      <c r="FL181" s="569"/>
      <c r="FM181" s="569"/>
      <c r="FN181" s="569"/>
      <c r="FO181" s="569"/>
      <c r="FP181" s="569"/>
      <c r="FQ181" s="569"/>
      <c r="FR181" s="569"/>
      <c r="FS181" s="569"/>
      <c r="FT181" s="569"/>
      <c r="FU181" s="569"/>
      <c r="FV181" s="569"/>
      <c r="FW181" s="569"/>
      <c r="FX181" s="569"/>
      <c r="FY181" s="569"/>
      <c r="FZ181" s="569"/>
      <c r="GA181" s="569"/>
      <c r="GB181" s="569"/>
      <c r="GC181" s="569"/>
      <c r="GD181" s="569"/>
      <c r="GE181" s="569"/>
      <c r="GF181" s="569"/>
      <c r="GG181" s="569"/>
      <c r="GH181" s="569"/>
      <c r="GI181" s="569"/>
      <c r="GJ181" s="569"/>
      <c r="GK181" s="569"/>
      <c r="GL181" s="569"/>
      <c r="GM181" s="569"/>
      <c r="GN181" s="569"/>
      <c r="GO181" s="569"/>
      <c r="GP181" s="569"/>
      <c r="GQ181" s="569"/>
      <c r="GR181" s="569"/>
      <c r="GS181" s="569"/>
      <c r="GT181" s="569"/>
    </row>
    <row r="182" spans="2:202" s="554" customFormat="1">
      <c r="B182" s="590"/>
      <c r="C182" s="590"/>
      <c r="D182" s="590"/>
      <c r="E182" s="590"/>
      <c r="F182" s="590"/>
      <c r="G182" s="590"/>
      <c r="H182" s="590"/>
      <c r="I182" s="590"/>
      <c r="J182" s="590"/>
      <c r="K182" s="590"/>
      <c r="L182" s="590"/>
      <c r="M182" s="590"/>
      <c r="N182" s="590"/>
      <c r="O182" s="590"/>
      <c r="P182" s="590"/>
      <c r="Q182" s="590"/>
      <c r="R182" s="590"/>
      <c r="S182" s="590"/>
      <c r="T182" s="590"/>
      <c r="U182" s="590"/>
      <c r="V182" s="590"/>
      <c r="W182" s="590"/>
      <c r="X182" s="590"/>
      <c r="Y182" s="590"/>
      <c r="Z182" s="590"/>
      <c r="AA182" s="590"/>
      <c r="AB182" s="590"/>
      <c r="AC182" s="590"/>
      <c r="AD182" s="590"/>
      <c r="AE182" s="590"/>
      <c r="AF182" s="590"/>
      <c r="AG182" s="590"/>
      <c r="AH182" s="569"/>
      <c r="AI182" s="569"/>
      <c r="AJ182" s="569"/>
      <c r="AK182" s="569"/>
      <c r="AL182" s="569"/>
      <c r="AM182" s="569"/>
      <c r="AN182" s="569"/>
      <c r="AO182" s="569"/>
      <c r="AP182" s="569"/>
      <c r="AQ182" s="569"/>
      <c r="AR182" s="569"/>
      <c r="AS182" s="569"/>
      <c r="AT182" s="569"/>
      <c r="AU182" s="569"/>
      <c r="AV182" s="569"/>
      <c r="AW182" s="569"/>
      <c r="AX182" s="569"/>
      <c r="AY182" s="569"/>
      <c r="AZ182" s="569"/>
      <c r="BA182" s="569"/>
      <c r="BB182" s="569"/>
      <c r="BC182" s="569"/>
      <c r="BD182" s="569"/>
      <c r="BE182" s="569"/>
      <c r="BF182" s="569"/>
      <c r="BG182" s="569"/>
      <c r="BH182" s="569"/>
      <c r="BI182" s="569"/>
      <c r="BJ182" s="569"/>
      <c r="BK182" s="569"/>
      <c r="BL182" s="569"/>
      <c r="BM182" s="569"/>
      <c r="BN182" s="569"/>
      <c r="BO182" s="569"/>
      <c r="BP182" s="569"/>
      <c r="BQ182" s="569"/>
      <c r="BR182" s="569"/>
      <c r="BS182" s="569"/>
      <c r="BT182" s="569"/>
      <c r="BU182" s="569"/>
      <c r="BV182" s="569"/>
      <c r="BW182" s="569"/>
      <c r="BX182" s="569"/>
      <c r="BY182" s="569"/>
      <c r="BZ182" s="569"/>
      <c r="CA182" s="569"/>
      <c r="CB182" s="569"/>
      <c r="CC182" s="569"/>
      <c r="CD182" s="569"/>
      <c r="CE182" s="569"/>
      <c r="CF182" s="569"/>
      <c r="CG182" s="569"/>
      <c r="CH182" s="569"/>
      <c r="CI182" s="569"/>
      <c r="CJ182" s="569"/>
      <c r="CK182" s="569"/>
      <c r="CL182" s="569"/>
      <c r="CM182" s="569"/>
      <c r="CN182" s="569"/>
      <c r="CO182" s="569"/>
      <c r="CP182" s="569"/>
      <c r="CQ182" s="569"/>
      <c r="CR182" s="569"/>
      <c r="CS182" s="569"/>
      <c r="CT182" s="569"/>
      <c r="CU182" s="569"/>
      <c r="CV182" s="569"/>
      <c r="CW182" s="569"/>
      <c r="CX182" s="569"/>
      <c r="CY182" s="569"/>
      <c r="CZ182" s="569"/>
      <c r="DA182" s="569"/>
      <c r="DB182" s="569"/>
      <c r="DC182" s="569"/>
      <c r="DD182" s="569"/>
      <c r="DE182" s="569"/>
      <c r="DF182" s="569"/>
      <c r="DG182" s="569"/>
      <c r="DH182" s="569"/>
      <c r="DI182" s="569"/>
      <c r="DJ182" s="569"/>
      <c r="DK182" s="569"/>
      <c r="DL182" s="569"/>
      <c r="DM182" s="569"/>
      <c r="DN182" s="569"/>
      <c r="DO182" s="569"/>
      <c r="DP182" s="569"/>
      <c r="DQ182" s="569"/>
      <c r="DR182" s="569"/>
      <c r="DS182" s="569"/>
      <c r="DT182" s="569"/>
      <c r="DU182" s="569"/>
      <c r="DV182" s="569"/>
      <c r="DW182" s="569"/>
      <c r="DX182" s="569"/>
      <c r="DY182" s="569"/>
      <c r="DZ182" s="569"/>
      <c r="EA182" s="569"/>
      <c r="EB182" s="569"/>
      <c r="EC182" s="569"/>
      <c r="ED182" s="569"/>
      <c r="EE182" s="569"/>
      <c r="EF182" s="569"/>
      <c r="EG182" s="569"/>
      <c r="EH182" s="569"/>
      <c r="EI182" s="569"/>
      <c r="EJ182" s="569"/>
      <c r="EK182" s="569"/>
      <c r="EL182" s="569"/>
      <c r="EM182" s="569"/>
      <c r="EN182" s="569"/>
      <c r="EO182" s="569"/>
      <c r="EP182" s="569"/>
      <c r="EQ182" s="569"/>
      <c r="ER182" s="569"/>
      <c r="ES182" s="569"/>
      <c r="ET182" s="569"/>
      <c r="EU182" s="569"/>
      <c r="EV182" s="569"/>
      <c r="EW182" s="569"/>
      <c r="EX182" s="569"/>
      <c r="EY182" s="569"/>
      <c r="EZ182" s="569"/>
      <c r="FA182" s="569"/>
      <c r="FB182" s="569"/>
      <c r="FC182" s="569"/>
      <c r="FD182" s="569"/>
      <c r="FE182" s="569"/>
      <c r="FF182" s="569"/>
      <c r="FG182" s="569"/>
      <c r="FH182" s="569"/>
      <c r="FI182" s="569"/>
      <c r="FJ182" s="569"/>
      <c r="FK182" s="569"/>
      <c r="FL182" s="569"/>
      <c r="FM182" s="569"/>
      <c r="FN182" s="569"/>
      <c r="FO182" s="569"/>
      <c r="FP182" s="569"/>
      <c r="FQ182" s="569"/>
      <c r="FR182" s="569"/>
      <c r="FS182" s="569"/>
      <c r="FT182" s="569"/>
      <c r="FU182" s="569"/>
      <c r="FV182" s="569"/>
      <c r="FW182" s="569"/>
      <c r="FX182" s="569"/>
      <c r="FY182" s="569"/>
      <c r="FZ182" s="569"/>
      <c r="GA182" s="569"/>
      <c r="GB182" s="569"/>
      <c r="GC182" s="569"/>
      <c r="GD182" s="569"/>
      <c r="GE182" s="569"/>
      <c r="GF182" s="569"/>
      <c r="GG182" s="569"/>
      <c r="GH182" s="569"/>
      <c r="GI182" s="569"/>
      <c r="GJ182" s="569"/>
      <c r="GK182" s="569"/>
      <c r="GL182" s="569"/>
      <c r="GM182" s="569"/>
      <c r="GN182" s="569"/>
      <c r="GO182" s="569"/>
      <c r="GP182" s="569"/>
      <c r="GQ182" s="569"/>
      <c r="GR182" s="569"/>
      <c r="GS182" s="569"/>
      <c r="GT182" s="569"/>
    </row>
    <row r="183" spans="2:202" s="554" customFormat="1">
      <c r="B183" s="590"/>
      <c r="C183" s="590"/>
      <c r="D183" s="590"/>
      <c r="E183" s="590"/>
      <c r="F183" s="590"/>
      <c r="G183" s="590"/>
      <c r="H183" s="590"/>
      <c r="I183" s="590"/>
      <c r="J183" s="590"/>
      <c r="K183" s="590"/>
      <c r="L183" s="590"/>
      <c r="M183" s="590"/>
      <c r="N183" s="590"/>
      <c r="O183" s="590"/>
      <c r="P183" s="590"/>
      <c r="Q183" s="590"/>
      <c r="R183" s="590"/>
      <c r="S183" s="590"/>
      <c r="T183" s="590"/>
      <c r="U183" s="590"/>
      <c r="V183" s="590"/>
      <c r="W183" s="590"/>
      <c r="X183" s="590"/>
      <c r="Y183" s="590"/>
      <c r="Z183" s="590"/>
      <c r="AA183" s="590"/>
      <c r="AB183" s="590"/>
      <c r="AC183" s="590"/>
      <c r="AD183" s="590"/>
      <c r="AE183" s="590"/>
      <c r="AF183" s="590"/>
      <c r="AG183" s="590"/>
      <c r="AH183" s="569"/>
      <c r="AI183" s="569"/>
      <c r="AJ183" s="569"/>
      <c r="AK183" s="569"/>
      <c r="AL183" s="569"/>
      <c r="AM183" s="569"/>
      <c r="AN183" s="569"/>
      <c r="AO183" s="569"/>
      <c r="AP183" s="569"/>
      <c r="AQ183" s="569"/>
      <c r="AR183" s="569"/>
      <c r="AS183" s="569"/>
      <c r="AT183" s="569"/>
      <c r="AU183" s="569"/>
      <c r="AV183" s="569"/>
      <c r="AW183" s="569"/>
      <c r="AX183" s="569"/>
      <c r="AY183" s="569"/>
      <c r="AZ183" s="569"/>
      <c r="BA183" s="569"/>
      <c r="BB183" s="569"/>
      <c r="BC183" s="569"/>
      <c r="BD183" s="569"/>
      <c r="BE183" s="569"/>
      <c r="BF183" s="569"/>
      <c r="BG183" s="569"/>
      <c r="BH183" s="569"/>
      <c r="BI183" s="569"/>
      <c r="BJ183" s="569"/>
      <c r="BK183" s="569"/>
      <c r="BL183" s="569"/>
      <c r="BM183" s="569"/>
      <c r="BN183" s="569"/>
      <c r="BO183" s="569"/>
      <c r="BP183" s="569"/>
      <c r="BQ183" s="569"/>
      <c r="BR183" s="569"/>
      <c r="BS183" s="569"/>
      <c r="BT183" s="569"/>
      <c r="BU183" s="569"/>
      <c r="BV183" s="569"/>
      <c r="BW183" s="569"/>
      <c r="BX183" s="569"/>
      <c r="BY183" s="569"/>
      <c r="BZ183" s="569"/>
      <c r="CA183" s="569"/>
      <c r="CB183" s="569"/>
      <c r="CC183" s="569"/>
      <c r="CD183" s="569"/>
      <c r="CE183" s="569"/>
      <c r="CF183" s="569"/>
      <c r="CG183" s="569"/>
      <c r="CH183" s="569"/>
      <c r="CI183" s="569"/>
      <c r="CJ183" s="569"/>
      <c r="CK183" s="569"/>
      <c r="CL183" s="569"/>
      <c r="CM183" s="569"/>
      <c r="CN183" s="569"/>
      <c r="CO183" s="569"/>
      <c r="CP183" s="569"/>
      <c r="CQ183" s="569"/>
      <c r="CR183" s="569"/>
      <c r="CS183" s="569"/>
      <c r="CT183" s="569"/>
      <c r="CU183" s="569"/>
      <c r="CV183" s="569"/>
      <c r="CW183" s="569"/>
      <c r="CX183" s="569"/>
      <c r="CY183" s="569"/>
      <c r="CZ183" s="569"/>
      <c r="DA183" s="569"/>
      <c r="DB183" s="569"/>
      <c r="DC183" s="569"/>
      <c r="DD183" s="569"/>
      <c r="DE183" s="569"/>
      <c r="DF183" s="569"/>
      <c r="DG183" s="569"/>
      <c r="DH183" s="569"/>
      <c r="DI183" s="569"/>
      <c r="DJ183" s="569"/>
      <c r="DK183" s="569"/>
      <c r="DL183" s="569"/>
      <c r="DM183" s="569"/>
      <c r="DN183" s="569"/>
      <c r="DO183" s="569"/>
      <c r="DP183" s="569"/>
      <c r="DQ183" s="569"/>
      <c r="DR183" s="569"/>
      <c r="DS183" s="569"/>
      <c r="DT183" s="569"/>
      <c r="DU183" s="569"/>
      <c r="DV183" s="569"/>
      <c r="DW183" s="569"/>
      <c r="DX183" s="569"/>
      <c r="DY183" s="569"/>
      <c r="DZ183" s="569"/>
      <c r="EA183" s="569"/>
      <c r="EB183" s="569"/>
      <c r="EC183" s="569"/>
      <c r="ED183" s="569"/>
      <c r="EE183" s="569"/>
      <c r="EF183" s="569"/>
      <c r="EG183" s="569"/>
      <c r="EH183" s="569"/>
      <c r="EI183" s="569"/>
      <c r="EJ183" s="569"/>
      <c r="EK183" s="569"/>
      <c r="EL183" s="569"/>
      <c r="EM183" s="569"/>
      <c r="EN183" s="569"/>
      <c r="EO183" s="569"/>
      <c r="EP183" s="569"/>
      <c r="EQ183" s="569"/>
      <c r="ER183" s="569"/>
      <c r="ES183" s="569"/>
      <c r="ET183" s="569"/>
      <c r="EU183" s="569"/>
      <c r="EV183" s="569"/>
      <c r="EW183" s="569"/>
      <c r="EX183" s="569"/>
      <c r="EY183" s="569"/>
      <c r="EZ183" s="569"/>
      <c r="FA183" s="569"/>
      <c r="FB183" s="569"/>
      <c r="FC183" s="569"/>
      <c r="FD183" s="569"/>
      <c r="FE183" s="569"/>
      <c r="FF183" s="569"/>
      <c r="FG183" s="569"/>
      <c r="FH183" s="569"/>
      <c r="FI183" s="569"/>
      <c r="FJ183" s="569"/>
      <c r="FK183" s="569"/>
      <c r="FL183" s="569"/>
      <c r="FM183" s="569"/>
      <c r="FN183" s="569"/>
      <c r="FO183" s="569"/>
      <c r="FP183" s="569"/>
      <c r="FQ183" s="569"/>
      <c r="FR183" s="569"/>
      <c r="FS183" s="569"/>
      <c r="FT183" s="569"/>
      <c r="FU183" s="569"/>
      <c r="FV183" s="569"/>
      <c r="FW183" s="569"/>
      <c r="FX183" s="569"/>
      <c r="FY183" s="569"/>
      <c r="FZ183" s="569"/>
      <c r="GA183" s="569"/>
      <c r="GB183" s="569"/>
      <c r="GC183" s="569"/>
      <c r="GD183" s="569"/>
      <c r="GE183" s="569"/>
      <c r="GF183" s="569"/>
      <c r="GG183" s="569"/>
      <c r="GH183" s="569"/>
      <c r="GI183" s="569"/>
      <c r="GJ183" s="569"/>
      <c r="GK183" s="569"/>
      <c r="GL183" s="569"/>
      <c r="GM183" s="569"/>
      <c r="GN183" s="569"/>
      <c r="GO183" s="569"/>
      <c r="GP183" s="569"/>
      <c r="GQ183" s="569"/>
      <c r="GR183" s="569"/>
      <c r="GS183" s="569"/>
      <c r="GT183" s="569"/>
    </row>
    <row r="184" spans="2:202" s="554" customFormat="1">
      <c r="B184" s="590"/>
      <c r="C184" s="590"/>
      <c r="D184" s="590"/>
      <c r="E184" s="590"/>
      <c r="F184" s="590"/>
      <c r="G184" s="590"/>
      <c r="H184" s="590"/>
      <c r="I184" s="590"/>
      <c r="J184" s="590"/>
      <c r="K184" s="590"/>
      <c r="L184" s="590"/>
      <c r="M184" s="590"/>
      <c r="N184" s="590"/>
      <c r="O184" s="590"/>
      <c r="P184" s="590"/>
      <c r="Q184" s="590"/>
      <c r="R184" s="590"/>
      <c r="S184" s="590"/>
      <c r="T184" s="590"/>
      <c r="U184" s="590"/>
      <c r="V184" s="590"/>
      <c r="W184" s="590"/>
      <c r="X184" s="590"/>
      <c r="Y184" s="590"/>
      <c r="Z184" s="590"/>
      <c r="AA184" s="590"/>
      <c r="AB184" s="590"/>
      <c r="AC184" s="590"/>
      <c r="AD184" s="590"/>
      <c r="AE184" s="590"/>
      <c r="AF184" s="590"/>
      <c r="AG184" s="590"/>
      <c r="AH184" s="569"/>
      <c r="AI184" s="569"/>
      <c r="AJ184" s="569"/>
      <c r="AK184" s="569"/>
      <c r="AL184" s="569"/>
      <c r="AM184" s="569"/>
      <c r="AN184" s="569"/>
      <c r="AO184" s="569"/>
      <c r="AP184" s="569"/>
      <c r="AQ184" s="569"/>
      <c r="AR184" s="569"/>
      <c r="AS184" s="569"/>
      <c r="AT184" s="569"/>
      <c r="AU184" s="569"/>
      <c r="AV184" s="569"/>
      <c r="AW184" s="569"/>
      <c r="AX184" s="569"/>
      <c r="AY184" s="569"/>
      <c r="AZ184" s="569"/>
      <c r="BA184" s="569"/>
      <c r="BB184" s="569"/>
      <c r="BC184" s="569"/>
      <c r="BD184" s="569"/>
      <c r="BE184" s="569"/>
      <c r="BF184" s="569"/>
      <c r="BG184" s="569"/>
      <c r="BH184" s="569"/>
      <c r="BI184" s="569"/>
      <c r="BJ184" s="569"/>
      <c r="BK184" s="569"/>
      <c r="BL184" s="569"/>
      <c r="BM184" s="569"/>
      <c r="BN184" s="569"/>
      <c r="BO184" s="569"/>
      <c r="BP184" s="569"/>
      <c r="BQ184" s="569"/>
      <c r="BR184" s="569"/>
      <c r="BS184" s="569"/>
      <c r="BT184" s="569"/>
      <c r="BU184" s="569"/>
      <c r="BV184" s="569"/>
      <c r="BW184" s="569"/>
      <c r="BX184" s="569"/>
      <c r="BY184" s="569"/>
      <c r="BZ184" s="569"/>
      <c r="CA184" s="569"/>
      <c r="CB184" s="569"/>
      <c r="CC184" s="569"/>
      <c r="CD184" s="569"/>
      <c r="CE184" s="569"/>
      <c r="CF184" s="569"/>
      <c r="CG184" s="569"/>
      <c r="CH184" s="569"/>
      <c r="CI184" s="569"/>
      <c r="CJ184" s="569"/>
      <c r="CK184" s="569"/>
      <c r="CL184" s="569"/>
      <c r="CM184" s="569"/>
      <c r="CN184" s="569"/>
      <c r="CO184" s="569"/>
      <c r="CP184" s="569"/>
      <c r="CQ184" s="569"/>
      <c r="CR184" s="569"/>
      <c r="CS184" s="569"/>
      <c r="CT184" s="569"/>
      <c r="CU184" s="569"/>
      <c r="CV184" s="569"/>
      <c r="CW184" s="569"/>
      <c r="CX184" s="569"/>
      <c r="CY184" s="569"/>
      <c r="CZ184" s="569"/>
      <c r="DA184" s="569"/>
      <c r="DB184" s="569"/>
      <c r="DC184" s="569"/>
      <c r="DD184" s="569"/>
      <c r="DE184" s="569"/>
      <c r="DF184" s="569"/>
      <c r="DG184" s="569"/>
      <c r="DH184" s="569"/>
      <c r="DI184" s="569"/>
      <c r="DJ184" s="569"/>
      <c r="DK184" s="569"/>
      <c r="DL184" s="569"/>
      <c r="DM184" s="569"/>
      <c r="DN184" s="569"/>
      <c r="DO184" s="569"/>
      <c r="DP184" s="569"/>
      <c r="DQ184" s="569"/>
      <c r="DR184" s="569"/>
      <c r="DS184" s="569"/>
      <c r="DT184" s="569"/>
      <c r="DU184" s="569"/>
      <c r="DV184" s="569"/>
      <c r="DW184" s="569"/>
      <c r="DX184" s="569"/>
      <c r="DY184" s="569"/>
      <c r="DZ184" s="569"/>
      <c r="EA184" s="569"/>
      <c r="EB184" s="569"/>
      <c r="EC184" s="569"/>
      <c r="ED184" s="569"/>
      <c r="EE184" s="569"/>
      <c r="EF184" s="569"/>
      <c r="EG184" s="569"/>
      <c r="EH184" s="569"/>
      <c r="EI184" s="569"/>
      <c r="EJ184" s="569"/>
      <c r="EK184" s="569"/>
      <c r="EL184" s="569"/>
      <c r="EM184" s="569"/>
      <c r="EN184" s="569"/>
      <c r="EO184" s="569"/>
      <c r="EP184" s="569"/>
      <c r="EQ184" s="569"/>
      <c r="ER184" s="569"/>
      <c r="ES184" s="569"/>
      <c r="ET184" s="569"/>
      <c r="EU184" s="569"/>
      <c r="EV184" s="569"/>
      <c r="EW184" s="569"/>
      <c r="EX184" s="569"/>
      <c r="EY184" s="569"/>
      <c r="EZ184" s="569"/>
      <c r="FA184" s="569"/>
      <c r="FB184" s="569"/>
      <c r="FC184" s="569"/>
      <c r="FD184" s="569"/>
      <c r="FE184" s="569"/>
      <c r="FF184" s="569"/>
      <c r="FG184" s="569"/>
      <c r="FH184" s="569"/>
      <c r="FI184" s="569"/>
      <c r="FJ184" s="569"/>
      <c r="FK184" s="569"/>
      <c r="FL184" s="569"/>
      <c r="FM184" s="569"/>
      <c r="FN184" s="569"/>
      <c r="FO184" s="569"/>
      <c r="FP184" s="569"/>
      <c r="FQ184" s="569"/>
      <c r="FR184" s="569"/>
      <c r="FS184" s="569"/>
      <c r="FT184" s="569"/>
      <c r="FU184" s="569"/>
      <c r="FV184" s="569"/>
      <c r="FW184" s="569"/>
      <c r="FX184" s="569"/>
      <c r="FY184" s="569"/>
      <c r="FZ184" s="569"/>
      <c r="GA184" s="569"/>
      <c r="GB184" s="569"/>
      <c r="GC184" s="569"/>
      <c r="GD184" s="569"/>
      <c r="GE184" s="569"/>
      <c r="GF184" s="569"/>
      <c r="GG184" s="569"/>
      <c r="GH184" s="569"/>
      <c r="GI184" s="569"/>
      <c r="GJ184" s="569"/>
      <c r="GK184" s="569"/>
      <c r="GL184" s="569"/>
      <c r="GM184" s="569"/>
      <c r="GN184" s="569"/>
      <c r="GO184" s="569"/>
      <c r="GP184" s="569"/>
      <c r="GQ184" s="569"/>
      <c r="GR184" s="569"/>
      <c r="GS184" s="569"/>
      <c r="GT184" s="569"/>
    </row>
    <row r="185" spans="2:202" s="554" customFormat="1">
      <c r="B185" s="590"/>
      <c r="C185" s="590"/>
      <c r="D185" s="590"/>
      <c r="E185" s="590"/>
      <c r="F185" s="590"/>
      <c r="G185" s="590"/>
      <c r="H185" s="590"/>
      <c r="I185" s="590"/>
      <c r="J185" s="590"/>
      <c r="K185" s="590"/>
      <c r="L185" s="590"/>
      <c r="M185" s="590"/>
      <c r="N185" s="590"/>
      <c r="O185" s="590"/>
      <c r="P185" s="590"/>
      <c r="Q185" s="590"/>
      <c r="R185" s="590"/>
      <c r="S185" s="590"/>
      <c r="T185" s="590"/>
      <c r="U185" s="590"/>
      <c r="V185" s="590"/>
      <c r="W185" s="590"/>
      <c r="X185" s="590"/>
      <c r="Y185" s="590"/>
      <c r="Z185" s="590"/>
      <c r="AA185" s="590"/>
      <c r="AB185" s="590"/>
      <c r="AC185" s="590"/>
      <c r="AD185" s="590"/>
      <c r="AE185" s="590"/>
      <c r="AF185" s="590"/>
      <c r="AG185" s="590"/>
      <c r="AH185" s="569"/>
      <c r="AI185" s="569"/>
      <c r="AJ185" s="569"/>
      <c r="AK185" s="569"/>
      <c r="AL185" s="569"/>
      <c r="AM185" s="569"/>
      <c r="AN185" s="569"/>
      <c r="AO185" s="569"/>
      <c r="AP185" s="569"/>
      <c r="AQ185" s="569"/>
      <c r="AR185" s="569"/>
      <c r="AS185" s="569"/>
      <c r="AT185" s="569"/>
      <c r="AU185" s="569"/>
      <c r="AV185" s="569"/>
      <c r="AW185" s="569"/>
      <c r="AX185" s="569"/>
      <c r="AY185" s="569"/>
      <c r="AZ185" s="569"/>
      <c r="BA185" s="569"/>
      <c r="BB185" s="569"/>
      <c r="BC185" s="569"/>
      <c r="BD185" s="569"/>
      <c r="BE185" s="569"/>
      <c r="BF185" s="569"/>
      <c r="BG185" s="569"/>
      <c r="BH185" s="569"/>
      <c r="BI185" s="569"/>
      <c r="BJ185" s="569"/>
      <c r="BK185" s="569"/>
      <c r="BL185" s="569"/>
      <c r="BM185" s="569"/>
      <c r="BN185" s="569"/>
      <c r="BO185" s="569"/>
      <c r="BP185" s="569"/>
      <c r="BQ185" s="569"/>
      <c r="BR185" s="569"/>
      <c r="BS185" s="569"/>
      <c r="BT185" s="569"/>
      <c r="BU185" s="569"/>
      <c r="BV185" s="569"/>
      <c r="BW185" s="569"/>
      <c r="BX185" s="569"/>
      <c r="BY185" s="569"/>
      <c r="BZ185" s="569"/>
      <c r="CA185" s="569"/>
      <c r="CB185" s="569"/>
      <c r="CC185" s="569"/>
      <c r="CD185" s="569"/>
      <c r="CE185" s="569"/>
      <c r="CF185" s="569"/>
      <c r="CG185" s="569"/>
      <c r="CH185" s="569"/>
      <c r="CI185" s="569"/>
      <c r="CJ185" s="569"/>
      <c r="CK185" s="569"/>
      <c r="CL185" s="569"/>
      <c r="CM185" s="569"/>
      <c r="CN185" s="569"/>
      <c r="CO185" s="569"/>
      <c r="CP185" s="569"/>
      <c r="CQ185" s="569"/>
      <c r="CR185" s="569"/>
      <c r="CS185" s="569"/>
      <c r="CT185" s="569"/>
      <c r="CU185" s="569"/>
      <c r="CV185" s="569"/>
      <c r="CW185" s="569"/>
      <c r="CX185" s="569"/>
      <c r="CY185" s="569"/>
      <c r="CZ185" s="569"/>
      <c r="DA185" s="569"/>
      <c r="DB185" s="569"/>
      <c r="DC185" s="569"/>
      <c r="DD185" s="569"/>
      <c r="DE185" s="569"/>
      <c r="DF185" s="569"/>
      <c r="DG185" s="569"/>
      <c r="DH185" s="569"/>
      <c r="DI185" s="569"/>
      <c r="DJ185" s="569"/>
      <c r="DK185" s="569"/>
      <c r="DL185" s="569"/>
      <c r="DM185" s="569"/>
      <c r="DN185" s="569"/>
      <c r="DO185" s="569"/>
      <c r="DP185" s="569"/>
      <c r="DQ185" s="569"/>
      <c r="DR185" s="569"/>
      <c r="DS185" s="569"/>
      <c r="DT185" s="569"/>
      <c r="DU185" s="569"/>
      <c r="DV185" s="569"/>
      <c r="DW185" s="569"/>
      <c r="DX185" s="569"/>
      <c r="DY185" s="569"/>
      <c r="DZ185" s="569"/>
      <c r="EA185" s="569"/>
      <c r="EB185" s="569"/>
      <c r="EC185" s="569"/>
      <c r="ED185" s="569"/>
      <c r="EE185" s="569"/>
      <c r="EF185" s="569"/>
      <c r="EG185" s="569"/>
      <c r="EH185" s="569"/>
      <c r="EI185" s="569"/>
      <c r="EJ185" s="569"/>
      <c r="EK185" s="569"/>
      <c r="EL185" s="569"/>
      <c r="EM185" s="569"/>
      <c r="EN185" s="569"/>
      <c r="EO185" s="569"/>
      <c r="EP185" s="569"/>
      <c r="EQ185" s="569"/>
      <c r="ER185" s="569"/>
      <c r="ES185" s="569"/>
      <c r="ET185" s="569"/>
      <c r="EU185" s="569"/>
      <c r="EV185" s="569"/>
      <c r="EW185" s="569"/>
      <c r="EX185" s="569"/>
      <c r="EY185" s="569"/>
      <c r="EZ185" s="569"/>
      <c r="FA185" s="569"/>
      <c r="FB185" s="569"/>
      <c r="FC185" s="569"/>
      <c r="FD185" s="569"/>
      <c r="FE185" s="569"/>
      <c r="FF185" s="569"/>
      <c r="FG185" s="569"/>
      <c r="FH185" s="569"/>
      <c r="FI185" s="569"/>
      <c r="FJ185" s="569"/>
      <c r="FK185" s="569"/>
      <c r="FL185" s="569"/>
      <c r="FM185" s="569"/>
      <c r="FN185" s="569"/>
      <c r="FO185" s="569"/>
      <c r="FP185" s="569"/>
      <c r="FQ185" s="569"/>
      <c r="FR185" s="569"/>
      <c r="FS185" s="569"/>
      <c r="FT185" s="569"/>
      <c r="FU185" s="569"/>
      <c r="FV185" s="569"/>
      <c r="FW185" s="569"/>
      <c r="FX185" s="569"/>
      <c r="FY185" s="569"/>
      <c r="FZ185" s="569"/>
      <c r="GA185" s="569"/>
      <c r="GB185" s="569"/>
      <c r="GC185" s="569"/>
      <c r="GD185" s="569"/>
      <c r="GE185" s="569"/>
      <c r="GF185" s="569"/>
      <c r="GG185" s="569"/>
      <c r="GH185" s="569"/>
      <c r="GI185" s="569"/>
      <c r="GJ185" s="569"/>
      <c r="GK185" s="569"/>
      <c r="GL185" s="569"/>
      <c r="GM185" s="569"/>
      <c r="GN185" s="569"/>
      <c r="GO185" s="569"/>
      <c r="GP185" s="569"/>
      <c r="GQ185" s="569"/>
      <c r="GR185" s="569"/>
      <c r="GS185" s="569"/>
      <c r="GT185" s="569"/>
    </row>
    <row r="186" spans="2:202" s="554" customFormat="1">
      <c r="B186" s="590"/>
      <c r="C186" s="590"/>
      <c r="D186" s="590"/>
      <c r="E186" s="590"/>
      <c r="F186" s="590"/>
      <c r="G186" s="590"/>
      <c r="H186" s="590"/>
      <c r="I186" s="590"/>
      <c r="J186" s="590"/>
      <c r="K186" s="590"/>
      <c r="L186" s="590"/>
      <c r="M186" s="590"/>
      <c r="N186" s="590"/>
      <c r="O186" s="590"/>
      <c r="P186" s="590"/>
      <c r="Q186" s="590"/>
      <c r="R186" s="590"/>
      <c r="S186" s="590"/>
      <c r="T186" s="590"/>
      <c r="U186" s="590"/>
      <c r="V186" s="590"/>
      <c r="W186" s="590"/>
      <c r="X186" s="590"/>
      <c r="Y186" s="590"/>
      <c r="Z186" s="590"/>
      <c r="AA186" s="590"/>
      <c r="AB186" s="590"/>
      <c r="AC186" s="590"/>
      <c r="AD186" s="590"/>
      <c r="AE186" s="590"/>
      <c r="AF186" s="590"/>
      <c r="AG186" s="590"/>
      <c r="AH186" s="569"/>
      <c r="AI186" s="569"/>
      <c r="AJ186" s="569"/>
      <c r="AK186" s="569"/>
      <c r="AL186" s="569"/>
      <c r="AM186" s="569"/>
      <c r="AN186" s="569"/>
      <c r="AO186" s="569"/>
      <c r="AP186" s="569"/>
      <c r="AQ186" s="569"/>
      <c r="AR186" s="569"/>
      <c r="AS186" s="569"/>
      <c r="AT186" s="569"/>
      <c r="AU186" s="569"/>
      <c r="AV186" s="569"/>
      <c r="AW186" s="569"/>
      <c r="AX186" s="569"/>
      <c r="AY186" s="569"/>
      <c r="AZ186" s="569"/>
      <c r="BA186" s="569"/>
      <c r="BB186" s="569"/>
      <c r="BC186" s="569"/>
      <c r="BD186" s="569"/>
      <c r="BE186" s="569"/>
      <c r="BF186" s="569"/>
      <c r="BG186" s="569"/>
      <c r="BH186" s="569"/>
      <c r="BI186" s="569"/>
      <c r="BJ186" s="569"/>
      <c r="BK186" s="569"/>
      <c r="BL186" s="569"/>
      <c r="BM186" s="569"/>
      <c r="BN186" s="569"/>
      <c r="BO186" s="569"/>
      <c r="BP186" s="569"/>
      <c r="BQ186" s="569"/>
      <c r="BR186" s="569"/>
      <c r="BS186" s="569"/>
      <c r="BT186" s="569"/>
      <c r="BU186" s="569"/>
      <c r="BV186" s="569"/>
      <c r="BW186" s="569"/>
      <c r="BX186" s="569"/>
      <c r="BY186" s="569"/>
      <c r="BZ186" s="569"/>
      <c r="CA186" s="569"/>
      <c r="CB186" s="569"/>
      <c r="CC186" s="569"/>
      <c r="CD186" s="569"/>
      <c r="CE186" s="569"/>
      <c r="CF186" s="569"/>
      <c r="CG186" s="569"/>
      <c r="CH186" s="569"/>
      <c r="CI186" s="569"/>
      <c r="CJ186" s="569"/>
      <c r="CK186" s="569"/>
      <c r="CL186" s="569"/>
      <c r="CM186" s="569"/>
      <c r="CN186" s="569"/>
      <c r="CO186" s="569"/>
      <c r="CP186" s="569"/>
      <c r="CQ186" s="569"/>
      <c r="CR186" s="569"/>
      <c r="CS186" s="569"/>
      <c r="CT186" s="569"/>
      <c r="CU186" s="569"/>
      <c r="CV186" s="569"/>
      <c r="CW186" s="569"/>
      <c r="CX186" s="569"/>
      <c r="CY186" s="569"/>
      <c r="CZ186" s="569"/>
      <c r="DA186" s="569"/>
      <c r="DB186" s="569"/>
      <c r="DC186" s="569"/>
      <c r="DD186" s="569"/>
      <c r="DE186" s="569"/>
      <c r="DF186" s="569"/>
      <c r="DG186" s="569"/>
      <c r="DH186" s="569"/>
      <c r="DI186" s="569"/>
      <c r="DJ186" s="569"/>
      <c r="DK186" s="569"/>
      <c r="DL186" s="569"/>
      <c r="DM186" s="569"/>
      <c r="DN186" s="569"/>
      <c r="DO186" s="569"/>
      <c r="DP186" s="569"/>
      <c r="DQ186" s="569"/>
      <c r="DR186" s="569"/>
      <c r="DS186" s="569"/>
      <c r="DT186" s="569"/>
      <c r="DU186" s="569"/>
      <c r="DV186" s="569"/>
      <c r="DW186" s="569"/>
      <c r="DX186" s="569"/>
      <c r="DY186" s="569"/>
      <c r="DZ186" s="569"/>
      <c r="EA186" s="569"/>
      <c r="EB186" s="569"/>
      <c r="EC186" s="569"/>
      <c r="ED186" s="569"/>
      <c r="EE186" s="569"/>
      <c r="EF186" s="569"/>
      <c r="EG186" s="569"/>
      <c r="EH186" s="569"/>
      <c r="EI186" s="569"/>
      <c r="EJ186" s="569"/>
      <c r="EK186" s="569"/>
      <c r="EL186" s="569"/>
      <c r="EM186" s="569"/>
      <c r="EN186" s="569"/>
      <c r="EO186" s="569"/>
      <c r="EP186" s="569"/>
      <c r="EQ186" s="569"/>
      <c r="ER186" s="569"/>
      <c r="ES186" s="569"/>
      <c r="ET186" s="569"/>
      <c r="EU186" s="569"/>
      <c r="EV186" s="569"/>
      <c r="EW186" s="569"/>
      <c r="EX186" s="569"/>
      <c r="EY186" s="569"/>
      <c r="EZ186" s="569"/>
      <c r="FA186" s="569"/>
      <c r="FB186" s="569"/>
      <c r="FC186" s="569"/>
      <c r="FD186" s="569"/>
      <c r="FE186" s="569"/>
      <c r="FF186" s="569"/>
      <c r="FG186" s="569"/>
      <c r="FH186" s="569"/>
      <c r="FI186" s="569"/>
      <c r="FJ186" s="569"/>
      <c r="FK186" s="569"/>
      <c r="FL186" s="569"/>
      <c r="FM186" s="569"/>
      <c r="FN186" s="569"/>
      <c r="FO186" s="569"/>
      <c r="FP186" s="569"/>
      <c r="FQ186" s="569"/>
      <c r="FR186" s="569"/>
      <c r="FS186" s="569"/>
      <c r="FT186" s="569"/>
      <c r="FU186" s="569"/>
      <c r="FV186" s="569"/>
      <c r="FW186" s="569"/>
      <c r="FX186" s="569"/>
      <c r="FY186" s="569"/>
      <c r="FZ186" s="569"/>
      <c r="GA186" s="569"/>
      <c r="GB186" s="569"/>
      <c r="GC186" s="569"/>
      <c r="GD186" s="569"/>
      <c r="GE186" s="569"/>
      <c r="GF186" s="569"/>
      <c r="GG186" s="569"/>
      <c r="GH186" s="569"/>
      <c r="GI186" s="569"/>
      <c r="GJ186" s="569"/>
      <c r="GK186" s="569"/>
      <c r="GL186" s="569"/>
      <c r="GM186" s="569"/>
      <c r="GN186" s="569"/>
      <c r="GO186" s="569"/>
      <c r="GP186" s="569"/>
      <c r="GQ186" s="569"/>
      <c r="GR186" s="569"/>
      <c r="GS186" s="569"/>
      <c r="GT186" s="569"/>
    </row>
    <row r="187" spans="2:202" s="554" customFormat="1">
      <c r="B187" s="590"/>
      <c r="C187" s="590"/>
      <c r="D187" s="590"/>
      <c r="E187" s="590"/>
      <c r="F187" s="590"/>
      <c r="G187" s="590"/>
      <c r="H187" s="590"/>
      <c r="I187" s="590"/>
      <c r="J187" s="590"/>
      <c r="K187" s="590"/>
      <c r="L187" s="590"/>
      <c r="M187" s="590"/>
      <c r="N187" s="590"/>
      <c r="O187" s="590"/>
      <c r="P187" s="590"/>
      <c r="Q187" s="590"/>
      <c r="R187" s="590"/>
      <c r="S187" s="590"/>
      <c r="T187" s="590"/>
      <c r="U187" s="590"/>
      <c r="V187" s="590"/>
      <c r="W187" s="590"/>
      <c r="X187" s="590"/>
      <c r="Y187" s="590"/>
      <c r="Z187" s="590"/>
      <c r="AA187" s="590"/>
      <c r="AB187" s="590"/>
      <c r="AC187" s="590"/>
      <c r="AD187" s="590"/>
      <c r="AE187" s="590"/>
      <c r="AF187" s="590"/>
      <c r="AG187" s="590"/>
      <c r="AH187" s="569"/>
      <c r="AI187" s="569"/>
      <c r="AJ187" s="569"/>
      <c r="AK187" s="569"/>
      <c r="AL187" s="569"/>
      <c r="AM187" s="569"/>
      <c r="AN187" s="569"/>
      <c r="AO187" s="569"/>
      <c r="AP187" s="569"/>
      <c r="AQ187" s="569"/>
      <c r="AR187" s="569"/>
      <c r="AS187" s="569"/>
      <c r="AT187" s="569"/>
      <c r="AU187" s="569"/>
      <c r="AV187" s="569"/>
      <c r="AW187" s="569"/>
      <c r="AX187" s="569"/>
      <c r="AY187" s="569"/>
      <c r="AZ187" s="569"/>
      <c r="BA187" s="569"/>
      <c r="BB187" s="569"/>
      <c r="BC187" s="569"/>
      <c r="BD187" s="569"/>
      <c r="BE187" s="569"/>
      <c r="BF187" s="569"/>
      <c r="BG187" s="569"/>
      <c r="BH187" s="569"/>
      <c r="BI187" s="569"/>
      <c r="BJ187" s="569"/>
      <c r="BK187" s="569"/>
      <c r="BL187" s="569"/>
      <c r="BM187" s="569"/>
      <c r="BN187" s="569"/>
      <c r="BO187" s="569"/>
      <c r="BP187" s="569"/>
      <c r="BQ187" s="569"/>
      <c r="BR187" s="569"/>
      <c r="BS187" s="569"/>
      <c r="BT187" s="569"/>
      <c r="BU187" s="569"/>
      <c r="BV187" s="569"/>
      <c r="BW187" s="569"/>
      <c r="BX187" s="569"/>
      <c r="BY187" s="569"/>
      <c r="BZ187" s="569"/>
      <c r="CA187" s="569"/>
      <c r="CB187" s="569"/>
      <c r="CC187" s="569"/>
      <c r="CD187" s="569"/>
      <c r="CE187" s="569"/>
      <c r="CF187" s="569"/>
      <c r="CG187" s="569"/>
      <c r="CH187" s="569"/>
      <c r="CI187" s="569"/>
      <c r="CJ187" s="569"/>
      <c r="CK187" s="569"/>
      <c r="CL187" s="569"/>
      <c r="CM187" s="569"/>
      <c r="CN187" s="569"/>
      <c r="CO187" s="569"/>
      <c r="CP187" s="569"/>
      <c r="CQ187" s="569"/>
      <c r="CR187" s="569"/>
      <c r="CS187" s="569"/>
      <c r="CT187" s="569"/>
      <c r="CU187" s="569"/>
      <c r="CV187" s="569"/>
      <c r="CW187" s="569"/>
      <c r="CX187" s="569"/>
      <c r="CY187" s="569"/>
      <c r="CZ187" s="569"/>
      <c r="DA187" s="569"/>
      <c r="DB187" s="569"/>
      <c r="DC187" s="569"/>
      <c r="DD187" s="569"/>
      <c r="DE187" s="569"/>
      <c r="DF187" s="569"/>
      <c r="DG187" s="569"/>
      <c r="DH187" s="569"/>
      <c r="DI187" s="569"/>
      <c r="DJ187" s="569"/>
      <c r="DK187" s="569"/>
      <c r="DL187" s="569"/>
      <c r="DM187" s="569"/>
      <c r="DN187" s="569"/>
      <c r="DO187" s="569"/>
      <c r="DP187" s="569"/>
      <c r="DQ187" s="569"/>
      <c r="DR187" s="569"/>
      <c r="DS187" s="569"/>
      <c r="DT187" s="569"/>
      <c r="DU187" s="569"/>
      <c r="DV187" s="569"/>
      <c r="DW187" s="569"/>
      <c r="DX187" s="569"/>
      <c r="DY187" s="569"/>
      <c r="DZ187" s="569"/>
      <c r="EA187" s="569"/>
      <c r="EB187" s="569"/>
      <c r="EC187" s="569"/>
      <c r="ED187" s="569"/>
      <c r="EE187" s="569"/>
      <c r="EF187" s="569"/>
      <c r="EG187" s="569"/>
      <c r="EH187" s="569"/>
      <c r="EI187" s="569"/>
      <c r="EJ187" s="569"/>
      <c r="EK187" s="569"/>
      <c r="EL187" s="569"/>
      <c r="EM187" s="569"/>
      <c r="EN187" s="569"/>
      <c r="EO187" s="569"/>
      <c r="EP187" s="569"/>
      <c r="EQ187" s="569"/>
      <c r="ER187" s="569"/>
      <c r="ES187" s="569"/>
      <c r="ET187" s="569"/>
      <c r="EU187" s="569"/>
      <c r="EV187" s="569"/>
      <c r="EW187" s="569"/>
      <c r="EX187" s="569"/>
      <c r="EY187" s="569"/>
      <c r="EZ187" s="569"/>
      <c r="FA187" s="569"/>
      <c r="FB187" s="569"/>
      <c r="FC187" s="569"/>
      <c r="FD187" s="569"/>
      <c r="FE187" s="569"/>
      <c r="FF187" s="569"/>
      <c r="FG187" s="569"/>
      <c r="FH187" s="569"/>
      <c r="FI187" s="569"/>
      <c r="FJ187" s="569"/>
      <c r="FK187" s="569"/>
      <c r="FL187" s="569"/>
      <c r="FM187" s="569"/>
      <c r="FN187" s="569"/>
      <c r="FO187" s="569"/>
      <c r="FP187" s="569"/>
      <c r="FQ187" s="569"/>
      <c r="FR187" s="569"/>
      <c r="FS187" s="569"/>
      <c r="FT187" s="569"/>
      <c r="FU187" s="569"/>
      <c r="FV187" s="569"/>
      <c r="FW187" s="569"/>
      <c r="FX187" s="569"/>
      <c r="FY187" s="569"/>
      <c r="FZ187" s="569"/>
      <c r="GA187" s="569"/>
      <c r="GB187" s="569"/>
      <c r="GC187" s="569"/>
      <c r="GD187" s="569"/>
      <c r="GE187" s="569"/>
      <c r="GF187" s="569"/>
      <c r="GG187" s="569"/>
      <c r="GH187" s="569"/>
      <c r="GI187" s="569"/>
      <c r="GJ187" s="569"/>
      <c r="GK187" s="569"/>
      <c r="GL187" s="569"/>
      <c r="GM187" s="569"/>
      <c r="GN187" s="569"/>
      <c r="GO187" s="569"/>
      <c r="GP187" s="569"/>
      <c r="GQ187" s="569"/>
      <c r="GR187" s="569"/>
      <c r="GS187" s="569"/>
      <c r="GT187" s="569"/>
    </row>
    <row r="188" spans="2:202" s="554" customFormat="1">
      <c r="B188" s="590"/>
      <c r="C188" s="590"/>
      <c r="D188" s="590"/>
      <c r="E188" s="590"/>
      <c r="F188" s="590"/>
      <c r="G188" s="590"/>
      <c r="H188" s="590"/>
      <c r="I188" s="590"/>
      <c r="J188" s="590"/>
      <c r="K188" s="590"/>
      <c r="L188" s="590"/>
      <c r="M188" s="590"/>
      <c r="N188" s="590"/>
      <c r="O188" s="590"/>
      <c r="P188" s="590"/>
      <c r="Q188" s="590"/>
      <c r="R188" s="590"/>
      <c r="S188" s="590"/>
      <c r="T188" s="590"/>
      <c r="U188" s="590"/>
      <c r="V188" s="590"/>
      <c r="W188" s="590"/>
      <c r="X188" s="590"/>
      <c r="Y188" s="590"/>
      <c r="Z188" s="590"/>
      <c r="AA188" s="590"/>
      <c r="AB188" s="590"/>
      <c r="AC188" s="590"/>
      <c r="AD188" s="590"/>
      <c r="AE188" s="590"/>
      <c r="AF188" s="590"/>
      <c r="AG188" s="590"/>
      <c r="AH188" s="569"/>
      <c r="AI188" s="569"/>
      <c r="AJ188" s="569"/>
      <c r="AK188" s="569"/>
      <c r="AL188" s="569"/>
      <c r="AM188" s="569"/>
      <c r="AN188" s="569"/>
      <c r="AO188" s="569"/>
      <c r="AP188" s="569"/>
      <c r="AQ188" s="569"/>
      <c r="AR188" s="569"/>
      <c r="AS188" s="569"/>
      <c r="AT188" s="569"/>
      <c r="AU188" s="569"/>
      <c r="AV188" s="569"/>
      <c r="AW188" s="569"/>
      <c r="AX188" s="569"/>
      <c r="AY188" s="569"/>
      <c r="AZ188" s="569"/>
      <c r="BA188" s="569"/>
      <c r="BB188" s="569"/>
      <c r="BC188" s="569"/>
      <c r="BD188" s="569"/>
      <c r="BE188" s="569"/>
      <c r="BF188" s="569"/>
      <c r="BG188" s="569"/>
      <c r="BH188" s="569"/>
      <c r="BI188" s="569"/>
      <c r="BJ188" s="569"/>
      <c r="BK188" s="569"/>
      <c r="BL188" s="569"/>
      <c r="BM188" s="569"/>
      <c r="BN188" s="569"/>
      <c r="BO188" s="569"/>
      <c r="BP188" s="569"/>
      <c r="BQ188" s="569"/>
      <c r="BR188" s="569"/>
      <c r="BS188" s="569"/>
      <c r="BT188" s="569"/>
      <c r="BU188" s="569"/>
      <c r="BV188" s="569"/>
      <c r="BW188" s="569"/>
      <c r="BX188" s="569"/>
      <c r="BY188" s="569"/>
      <c r="BZ188" s="569"/>
      <c r="CA188" s="569"/>
      <c r="CB188" s="569"/>
      <c r="CC188" s="569"/>
      <c r="CD188" s="569"/>
      <c r="CE188" s="569"/>
      <c r="CF188" s="569"/>
      <c r="CG188" s="569"/>
      <c r="CH188" s="569"/>
      <c r="CI188" s="569"/>
      <c r="CJ188" s="569"/>
      <c r="CK188" s="569"/>
      <c r="CL188" s="569"/>
      <c r="CM188" s="569"/>
      <c r="CN188" s="569"/>
      <c r="CO188" s="569"/>
      <c r="CP188" s="569"/>
      <c r="CQ188" s="569"/>
      <c r="CR188" s="569"/>
      <c r="CS188" s="569"/>
      <c r="CT188" s="569"/>
      <c r="CU188" s="569"/>
      <c r="CV188" s="569"/>
      <c r="CW188" s="569"/>
      <c r="CX188" s="569"/>
      <c r="CY188" s="569"/>
      <c r="CZ188" s="569"/>
      <c r="DA188" s="569"/>
      <c r="DB188" s="569"/>
      <c r="DC188" s="569"/>
      <c r="DD188" s="569"/>
      <c r="DE188" s="569"/>
      <c r="DF188" s="569"/>
      <c r="DG188" s="569"/>
      <c r="DH188" s="569"/>
      <c r="DI188" s="569"/>
      <c r="DJ188" s="569"/>
      <c r="DK188" s="569"/>
      <c r="DL188" s="569"/>
      <c r="DM188" s="569"/>
      <c r="DN188" s="569"/>
      <c r="DO188" s="569"/>
      <c r="DP188" s="569"/>
      <c r="DQ188" s="569"/>
      <c r="DR188" s="569"/>
      <c r="DS188" s="569"/>
      <c r="DT188" s="569"/>
      <c r="DU188" s="569"/>
      <c r="DV188" s="569"/>
      <c r="DW188" s="569"/>
      <c r="DX188" s="569"/>
      <c r="DY188" s="569"/>
      <c r="DZ188" s="569"/>
      <c r="EA188" s="569"/>
      <c r="EB188" s="569"/>
      <c r="EC188" s="569"/>
      <c r="ED188" s="569"/>
      <c r="EE188" s="569"/>
      <c r="EF188" s="569"/>
      <c r="EG188" s="569"/>
      <c r="EH188" s="569"/>
      <c r="EI188" s="569"/>
      <c r="EJ188" s="569"/>
      <c r="EK188" s="569"/>
      <c r="EL188" s="569"/>
      <c r="EM188" s="569"/>
      <c r="EN188" s="569"/>
      <c r="EO188" s="569"/>
      <c r="EP188" s="569"/>
      <c r="EQ188" s="569"/>
      <c r="ER188" s="569"/>
      <c r="ES188" s="569"/>
      <c r="ET188" s="569"/>
      <c r="EU188" s="569"/>
      <c r="EV188" s="569"/>
      <c r="EW188" s="569"/>
      <c r="EX188" s="569"/>
      <c r="EY188" s="569"/>
      <c r="EZ188" s="569"/>
      <c r="FA188" s="569"/>
      <c r="FB188" s="569"/>
      <c r="FC188" s="569"/>
      <c r="FD188" s="569"/>
      <c r="FE188" s="569"/>
      <c r="FF188" s="569"/>
      <c r="FG188" s="569"/>
      <c r="FH188" s="569"/>
      <c r="FI188" s="569"/>
      <c r="FJ188" s="569"/>
      <c r="FK188" s="569"/>
      <c r="FL188" s="569"/>
      <c r="FM188" s="569"/>
      <c r="FN188" s="569"/>
      <c r="FO188" s="569"/>
      <c r="FP188" s="569"/>
      <c r="FQ188" s="569"/>
      <c r="FR188" s="569"/>
      <c r="FS188" s="569"/>
      <c r="FT188" s="569"/>
      <c r="FU188" s="569"/>
      <c r="FV188" s="569"/>
      <c r="FW188" s="569"/>
      <c r="FX188" s="569"/>
      <c r="FY188" s="569"/>
      <c r="FZ188" s="569"/>
      <c r="GA188" s="569"/>
      <c r="GB188" s="569"/>
      <c r="GC188" s="569"/>
      <c r="GD188" s="569"/>
      <c r="GE188" s="569"/>
      <c r="GF188" s="569"/>
      <c r="GG188" s="569"/>
      <c r="GH188" s="569"/>
      <c r="GI188" s="569"/>
      <c r="GJ188" s="569"/>
      <c r="GK188" s="569"/>
      <c r="GL188" s="569"/>
      <c r="GM188" s="569"/>
      <c r="GN188" s="569"/>
      <c r="GO188" s="569"/>
      <c r="GP188" s="569"/>
      <c r="GQ188" s="569"/>
      <c r="GR188" s="569"/>
      <c r="GS188" s="569"/>
      <c r="GT188" s="569"/>
    </row>
    <row r="189" spans="2:202" s="554" customFormat="1">
      <c r="B189" s="590"/>
      <c r="C189" s="590"/>
      <c r="D189" s="590"/>
      <c r="E189" s="590"/>
      <c r="F189" s="590"/>
      <c r="G189" s="590"/>
      <c r="H189" s="590"/>
      <c r="I189" s="590"/>
      <c r="J189" s="590"/>
      <c r="K189" s="590"/>
      <c r="L189" s="590"/>
      <c r="M189" s="590"/>
      <c r="N189" s="590"/>
      <c r="O189" s="590"/>
      <c r="P189" s="590"/>
      <c r="Q189" s="590"/>
      <c r="R189" s="590"/>
      <c r="S189" s="590"/>
      <c r="T189" s="590"/>
      <c r="U189" s="590"/>
      <c r="V189" s="590"/>
      <c r="W189" s="590"/>
      <c r="X189" s="590"/>
      <c r="Y189" s="590"/>
      <c r="Z189" s="590"/>
      <c r="AA189" s="590"/>
      <c r="AB189" s="590"/>
      <c r="AC189" s="590"/>
      <c r="AD189" s="590"/>
      <c r="AE189" s="590"/>
      <c r="AF189" s="590"/>
      <c r="AG189" s="590"/>
      <c r="AH189" s="569"/>
      <c r="AI189" s="569"/>
      <c r="AJ189" s="569"/>
      <c r="AK189" s="569"/>
      <c r="AL189" s="569"/>
      <c r="AM189" s="569"/>
      <c r="AN189" s="569"/>
      <c r="AO189" s="569"/>
      <c r="AP189" s="569"/>
      <c r="AQ189" s="569"/>
      <c r="AR189" s="569"/>
      <c r="AS189" s="569"/>
      <c r="AT189" s="569"/>
      <c r="AU189" s="569"/>
      <c r="AV189" s="569"/>
      <c r="AW189" s="569"/>
      <c r="AX189" s="569"/>
      <c r="AY189" s="569"/>
      <c r="AZ189" s="569"/>
      <c r="BA189" s="569"/>
      <c r="BB189" s="569"/>
      <c r="BC189" s="569"/>
      <c r="BD189" s="569"/>
      <c r="BE189" s="569"/>
      <c r="BF189" s="569"/>
      <c r="BG189" s="569"/>
      <c r="BH189" s="569"/>
      <c r="BI189" s="569"/>
      <c r="BJ189" s="569"/>
      <c r="BK189" s="569"/>
      <c r="BL189" s="569"/>
      <c r="BM189" s="569"/>
      <c r="BN189" s="569"/>
      <c r="BO189" s="569"/>
      <c r="BP189" s="569"/>
      <c r="BQ189" s="569"/>
      <c r="BR189" s="569"/>
      <c r="BS189" s="569"/>
      <c r="BT189" s="569"/>
      <c r="BU189" s="569"/>
      <c r="BV189" s="569"/>
      <c r="BW189" s="569"/>
      <c r="BX189" s="569"/>
      <c r="BY189" s="569"/>
      <c r="BZ189" s="569"/>
      <c r="CA189" s="569"/>
      <c r="CB189" s="569"/>
      <c r="CC189" s="569"/>
      <c r="CD189" s="569"/>
      <c r="CE189" s="569"/>
      <c r="CF189" s="569"/>
      <c r="CG189" s="569"/>
      <c r="CH189" s="569"/>
      <c r="CI189" s="569"/>
      <c r="CJ189" s="569"/>
      <c r="CK189" s="569"/>
      <c r="CL189" s="569"/>
      <c r="CM189" s="569"/>
      <c r="CN189" s="569"/>
      <c r="CO189" s="569"/>
      <c r="CP189" s="569"/>
      <c r="CQ189" s="569"/>
      <c r="CR189" s="569"/>
      <c r="CS189" s="569"/>
      <c r="CT189" s="569"/>
      <c r="CU189" s="569"/>
      <c r="CV189" s="569"/>
      <c r="CW189" s="569"/>
      <c r="CX189" s="569"/>
      <c r="CY189" s="569"/>
      <c r="CZ189" s="569"/>
      <c r="DA189" s="569"/>
      <c r="DB189" s="569"/>
      <c r="DC189" s="569"/>
      <c r="DD189" s="569"/>
      <c r="DE189" s="569"/>
      <c r="DF189" s="569"/>
      <c r="DG189" s="569"/>
      <c r="DH189" s="569"/>
      <c r="DI189" s="569"/>
      <c r="DJ189" s="569"/>
      <c r="DK189" s="569"/>
      <c r="DL189" s="569"/>
      <c r="DM189" s="569"/>
      <c r="DN189" s="569"/>
      <c r="DO189" s="569"/>
      <c r="DP189" s="569"/>
      <c r="DQ189" s="569"/>
      <c r="DR189" s="569"/>
      <c r="DS189" s="569"/>
      <c r="DT189" s="569"/>
      <c r="DU189" s="569"/>
      <c r="DV189" s="569"/>
      <c r="DW189" s="569"/>
      <c r="DX189" s="569"/>
      <c r="DY189" s="569"/>
      <c r="DZ189" s="569"/>
      <c r="EA189" s="569"/>
      <c r="EB189" s="569"/>
      <c r="EC189" s="569"/>
      <c r="ED189" s="569"/>
      <c r="EE189" s="569"/>
      <c r="EF189" s="569"/>
      <c r="EG189" s="569"/>
      <c r="EH189" s="569"/>
      <c r="EI189" s="569"/>
      <c r="EJ189" s="569"/>
      <c r="EK189" s="569"/>
      <c r="EL189" s="569"/>
      <c r="EM189" s="569"/>
      <c r="EN189" s="569"/>
      <c r="EO189" s="569"/>
      <c r="EP189" s="569"/>
      <c r="EQ189" s="569"/>
      <c r="ER189" s="569"/>
      <c r="ES189" s="569"/>
      <c r="ET189" s="569"/>
      <c r="EU189" s="569"/>
      <c r="EV189" s="569"/>
      <c r="EW189" s="569"/>
      <c r="EX189" s="569"/>
      <c r="EY189" s="569"/>
      <c r="EZ189" s="569"/>
      <c r="FA189" s="569"/>
      <c r="FB189" s="569"/>
      <c r="FC189" s="569"/>
      <c r="FD189" s="569"/>
      <c r="FE189" s="569"/>
      <c r="FF189" s="569"/>
      <c r="FG189" s="569"/>
      <c r="FH189" s="569"/>
      <c r="FI189" s="569"/>
      <c r="FJ189" s="569"/>
      <c r="FK189" s="569"/>
      <c r="FL189" s="569"/>
      <c r="FM189" s="569"/>
      <c r="FN189" s="569"/>
      <c r="FO189" s="569"/>
      <c r="FP189" s="569"/>
      <c r="FQ189" s="569"/>
      <c r="FR189" s="569"/>
      <c r="FS189" s="569"/>
      <c r="FT189" s="569"/>
      <c r="FU189" s="569"/>
      <c r="FV189" s="569"/>
      <c r="FW189" s="569"/>
      <c r="FX189" s="569"/>
      <c r="FY189" s="569"/>
      <c r="FZ189" s="569"/>
      <c r="GA189" s="569"/>
      <c r="GB189" s="569"/>
      <c r="GC189" s="569"/>
      <c r="GD189" s="569"/>
      <c r="GE189" s="569"/>
      <c r="GF189" s="569"/>
      <c r="GG189" s="569"/>
      <c r="GH189" s="569"/>
      <c r="GI189" s="569"/>
      <c r="GJ189" s="569"/>
      <c r="GK189" s="569"/>
      <c r="GL189" s="569"/>
      <c r="GM189" s="569"/>
      <c r="GN189" s="569"/>
      <c r="GO189" s="569"/>
      <c r="GP189" s="569"/>
      <c r="GQ189" s="569"/>
      <c r="GR189" s="569"/>
      <c r="GS189" s="569"/>
      <c r="GT189" s="569"/>
    </row>
    <row r="190" spans="2:202" s="554" customFormat="1">
      <c r="B190" s="590"/>
      <c r="C190" s="590"/>
      <c r="D190" s="590"/>
      <c r="E190" s="590"/>
      <c r="F190" s="590"/>
      <c r="G190" s="590"/>
      <c r="H190" s="590"/>
      <c r="I190" s="590"/>
      <c r="J190" s="590"/>
      <c r="K190" s="590"/>
      <c r="L190" s="590"/>
      <c r="M190" s="590"/>
      <c r="N190" s="590"/>
      <c r="O190" s="590"/>
      <c r="P190" s="590"/>
      <c r="Q190" s="590"/>
      <c r="R190" s="590"/>
      <c r="S190" s="590"/>
      <c r="T190" s="590"/>
      <c r="U190" s="590"/>
      <c r="V190" s="590"/>
      <c r="W190" s="590"/>
      <c r="X190" s="590"/>
      <c r="Y190" s="590"/>
      <c r="Z190" s="590"/>
      <c r="AA190" s="590"/>
      <c r="AB190" s="590"/>
      <c r="AC190" s="590"/>
      <c r="AD190" s="590"/>
      <c r="AE190" s="590"/>
      <c r="AF190" s="590"/>
      <c r="AG190" s="590"/>
      <c r="AH190" s="569"/>
      <c r="AI190" s="569"/>
      <c r="AJ190" s="569"/>
      <c r="AK190" s="569"/>
      <c r="AL190" s="569"/>
      <c r="AM190" s="569"/>
      <c r="AN190" s="569"/>
      <c r="AO190" s="569"/>
      <c r="AP190" s="569"/>
      <c r="AQ190" s="569"/>
      <c r="AR190" s="569"/>
      <c r="AS190" s="569"/>
      <c r="AT190" s="569"/>
      <c r="AU190" s="569"/>
      <c r="AV190" s="569"/>
      <c r="AW190" s="569"/>
      <c r="AX190" s="569"/>
      <c r="AY190" s="569"/>
      <c r="AZ190" s="569"/>
      <c r="BA190" s="569"/>
      <c r="BB190" s="569"/>
      <c r="BC190" s="569"/>
      <c r="BD190" s="569"/>
      <c r="BE190" s="569"/>
      <c r="BF190" s="569"/>
      <c r="BG190" s="569"/>
      <c r="BH190" s="569"/>
      <c r="BI190" s="569"/>
      <c r="BJ190" s="569"/>
      <c r="BK190" s="569"/>
      <c r="BL190" s="569"/>
      <c r="BM190" s="569"/>
      <c r="BN190" s="569"/>
      <c r="BO190" s="569"/>
      <c r="BP190" s="569"/>
      <c r="BQ190" s="569"/>
      <c r="BR190" s="569"/>
      <c r="BS190" s="569"/>
      <c r="BT190" s="569"/>
      <c r="BU190" s="569"/>
      <c r="BV190" s="569"/>
      <c r="BW190" s="569"/>
      <c r="BX190" s="569"/>
      <c r="BY190" s="569"/>
      <c r="BZ190" s="569"/>
      <c r="CA190" s="569"/>
      <c r="CB190" s="569"/>
      <c r="CC190" s="569"/>
      <c r="CD190" s="569"/>
      <c r="CE190" s="569"/>
      <c r="CF190" s="569"/>
      <c r="CG190" s="569"/>
      <c r="CH190" s="569"/>
      <c r="CI190" s="569"/>
      <c r="CJ190" s="569"/>
      <c r="CK190" s="569"/>
      <c r="CL190" s="569"/>
      <c r="CM190" s="569"/>
      <c r="CN190" s="569"/>
      <c r="CO190" s="569"/>
      <c r="CP190" s="569"/>
      <c r="CQ190" s="569"/>
      <c r="CR190" s="569"/>
      <c r="CS190" s="569"/>
      <c r="CT190" s="569"/>
      <c r="CU190" s="569"/>
      <c r="CV190" s="569"/>
      <c r="CW190" s="569"/>
      <c r="CX190" s="569"/>
      <c r="CY190" s="569"/>
      <c r="CZ190" s="569"/>
      <c r="DA190" s="569"/>
      <c r="DB190" s="569"/>
      <c r="DC190" s="569"/>
      <c r="DD190" s="569"/>
      <c r="DE190" s="569"/>
      <c r="DF190" s="569"/>
      <c r="DG190" s="569"/>
      <c r="DH190" s="569"/>
      <c r="DI190" s="569"/>
      <c r="DJ190" s="569"/>
      <c r="DK190" s="569"/>
      <c r="DL190" s="569"/>
      <c r="DM190" s="569"/>
      <c r="DN190" s="569"/>
      <c r="DO190" s="569"/>
      <c r="DP190" s="569"/>
      <c r="DQ190" s="569"/>
      <c r="DR190" s="569"/>
      <c r="DS190" s="569"/>
      <c r="DT190" s="569"/>
      <c r="DU190" s="569"/>
      <c r="DV190" s="569"/>
      <c r="DW190" s="569"/>
      <c r="DX190" s="569"/>
      <c r="DY190" s="569"/>
      <c r="DZ190" s="569"/>
      <c r="EA190" s="569"/>
      <c r="EB190" s="569"/>
      <c r="EC190" s="569"/>
      <c r="ED190" s="569"/>
      <c r="EE190" s="569"/>
      <c r="EF190" s="569"/>
      <c r="EG190" s="569"/>
      <c r="EH190" s="569"/>
      <c r="EI190" s="569"/>
      <c r="EJ190" s="569"/>
      <c r="EK190" s="569"/>
      <c r="EL190" s="569"/>
      <c r="EM190" s="569"/>
      <c r="EN190" s="569"/>
      <c r="EO190" s="569"/>
      <c r="EP190" s="569"/>
      <c r="EQ190" s="569"/>
      <c r="ER190" s="569"/>
      <c r="ES190" s="569"/>
      <c r="ET190" s="569"/>
      <c r="EU190" s="569"/>
      <c r="EV190" s="569"/>
      <c r="EW190" s="569"/>
      <c r="EX190" s="569"/>
      <c r="EY190" s="569"/>
      <c r="EZ190" s="569"/>
      <c r="FA190" s="569"/>
      <c r="FB190" s="569"/>
      <c r="FC190" s="569"/>
      <c r="FD190" s="569"/>
      <c r="FE190" s="569"/>
      <c r="FF190" s="569"/>
      <c r="FG190" s="569"/>
      <c r="FH190" s="569"/>
      <c r="FI190" s="569"/>
      <c r="FJ190" s="569"/>
      <c r="FK190" s="569"/>
      <c r="FL190" s="569"/>
      <c r="FM190" s="569"/>
      <c r="FN190" s="569"/>
      <c r="FO190" s="569"/>
      <c r="FP190" s="569"/>
      <c r="FQ190" s="569"/>
      <c r="FR190" s="569"/>
      <c r="FS190" s="569"/>
      <c r="FT190" s="569"/>
      <c r="FU190" s="569"/>
      <c r="FV190" s="569"/>
      <c r="FW190" s="569"/>
      <c r="FX190" s="569"/>
      <c r="FY190" s="569"/>
      <c r="FZ190" s="569"/>
      <c r="GA190" s="569"/>
      <c r="GB190" s="569"/>
      <c r="GC190" s="569"/>
      <c r="GD190" s="569"/>
      <c r="GE190" s="569"/>
      <c r="GF190" s="569"/>
      <c r="GG190" s="569"/>
      <c r="GH190" s="569"/>
      <c r="GI190" s="569"/>
      <c r="GJ190" s="569"/>
      <c r="GK190" s="569"/>
      <c r="GL190" s="569"/>
      <c r="GM190" s="569"/>
      <c r="GN190" s="569"/>
      <c r="GO190" s="569"/>
      <c r="GP190" s="569"/>
      <c r="GQ190" s="569"/>
      <c r="GR190" s="569"/>
      <c r="GS190" s="569"/>
      <c r="GT190" s="569"/>
    </row>
    <row r="191" spans="2:202" s="554" customFormat="1">
      <c r="B191" s="590"/>
      <c r="C191" s="590"/>
      <c r="D191" s="590"/>
      <c r="E191" s="590"/>
      <c r="F191" s="590"/>
      <c r="G191" s="590"/>
      <c r="H191" s="590"/>
      <c r="I191" s="590"/>
      <c r="J191" s="590"/>
      <c r="K191" s="590"/>
      <c r="L191" s="590"/>
      <c r="M191" s="590"/>
      <c r="N191" s="590"/>
      <c r="O191" s="590"/>
      <c r="P191" s="590"/>
      <c r="Q191" s="590"/>
      <c r="R191" s="590"/>
      <c r="S191" s="590"/>
      <c r="T191" s="590"/>
      <c r="U191" s="590"/>
      <c r="V191" s="590"/>
      <c r="W191" s="590"/>
      <c r="X191" s="590"/>
      <c r="Y191" s="590"/>
      <c r="Z191" s="590"/>
      <c r="AA191" s="590"/>
      <c r="AB191" s="590"/>
      <c r="AC191" s="590"/>
      <c r="AD191" s="590"/>
      <c r="AE191" s="590"/>
      <c r="AF191" s="590"/>
      <c r="AG191" s="590"/>
      <c r="AH191" s="569"/>
      <c r="AI191" s="569"/>
      <c r="AJ191" s="569"/>
      <c r="AK191" s="569"/>
      <c r="AL191" s="569"/>
      <c r="AM191" s="569"/>
      <c r="AN191" s="569"/>
      <c r="AO191" s="569"/>
      <c r="AP191" s="569"/>
      <c r="AQ191" s="569"/>
      <c r="AR191" s="569"/>
      <c r="AS191" s="569"/>
      <c r="AT191" s="569"/>
      <c r="AU191" s="569"/>
      <c r="AV191" s="569"/>
      <c r="AW191" s="569"/>
      <c r="AX191" s="569"/>
      <c r="AY191" s="569"/>
      <c r="AZ191" s="569"/>
      <c r="BA191" s="569"/>
      <c r="BB191" s="569"/>
      <c r="BC191" s="569"/>
      <c r="BD191" s="569"/>
      <c r="BE191" s="569"/>
      <c r="BF191" s="569"/>
      <c r="BG191" s="569"/>
      <c r="BH191" s="569"/>
      <c r="BI191" s="569"/>
      <c r="BJ191" s="569"/>
      <c r="BK191" s="569"/>
      <c r="BL191" s="569"/>
      <c r="BM191" s="569"/>
      <c r="BN191" s="569"/>
      <c r="BO191" s="569"/>
      <c r="BP191" s="569"/>
      <c r="BQ191" s="569"/>
      <c r="BR191" s="569"/>
      <c r="BS191" s="569"/>
      <c r="BT191" s="569"/>
      <c r="BU191" s="569"/>
      <c r="BV191" s="569"/>
      <c r="BW191" s="569"/>
      <c r="BX191" s="569"/>
      <c r="BY191" s="569"/>
      <c r="BZ191" s="569"/>
      <c r="CA191" s="569"/>
      <c r="CB191" s="569"/>
      <c r="CC191" s="569"/>
      <c r="CD191" s="569"/>
      <c r="CE191" s="569"/>
      <c r="CF191" s="569"/>
      <c r="CG191" s="569"/>
      <c r="CH191" s="569"/>
      <c r="CI191" s="569"/>
      <c r="CJ191" s="569"/>
      <c r="CK191" s="569"/>
      <c r="CL191" s="569"/>
      <c r="CM191" s="569"/>
      <c r="CN191" s="569"/>
      <c r="CO191" s="569"/>
      <c r="CP191" s="569"/>
      <c r="CQ191" s="569"/>
      <c r="CR191" s="569"/>
      <c r="CS191" s="569"/>
      <c r="CT191" s="569"/>
      <c r="CU191" s="569"/>
      <c r="CV191" s="569"/>
      <c r="CW191" s="569"/>
      <c r="CX191" s="569"/>
      <c r="CY191" s="569"/>
      <c r="CZ191" s="569"/>
      <c r="DA191" s="569"/>
      <c r="DB191" s="569"/>
      <c r="DC191" s="569"/>
      <c r="DD191" s="569"/>
      <c r="DE191" s="569"/>
      <c r="DF191" s="569"/>
      <c r="DG191" s="569"/>
      <c r="DH191" s="569"/>
      <c r="DI191" s="569"/>
      <c r="DJ191" s="569"/>
      <c r="DK191" s="569"/>
      <c r="DL191" s="569"/>
      <c r="DM191" s="569"/>
      <c r="DN191" s="569"/>
      <c r="DO191" s="569"/>
      <c r="DP191" s="569"/>
      <c r="DQ191" s="569"/>
      <c r="DR191" s="569"/>
      <c r="DS191" s="569"/>
      <c r="DT191" s="569"/>
      <c r="DU191" s="569"/>
      <c r="DV191" s="569"/>
      <c r="DW191" s="569"/>
      <c r="DX191" s="569"/>
      <c r="DY191" s="569"/>
      <c r="DZ191" s="569"/>
      <c r="EA191" s="569"/>
      <c r="EB191" s="569"/>
      <c r="EC191" s="569"/>
      <c r="ED191" s="569"/>
      <c r="EE191" s="569"/>
      <c r="EF191" s="569"/>
      <c r="EG191" s="569"/>
      <c r="EH191" s="569"/>
      <c r="EI191" s="569"/>
      <c r="EJ191" s="569"/>
      <c r="EK191" s="569"/>
      <c r="EL191" s="569"/>
      <c r="EM191" s="569"/>
      <c r="EN191" s="569"/>
      <c r="EO191" s="569"/>
      <c r="EP191" s="569"/>
      <c r="EQ191" s="569"/>
      <c r="ER191" s="569"/>
      <c r="ES191" s="569"/>
      <c r="ET191" s="569"/>
      <c r="EU191" s="569"/>
      <c r="EV191" s="569"/>
      <c r="EW191" s="569"/>
      <c r="EX191" s="569"/>
      <c r="EY191" s="569"/>
      <c r="EZ191" s="569"/>
      <c r="FA191" s="569"/>
      <c r="FB191" s="569"/>
      <c r="FC191" s="569"/>
      <c r="FD191" s="569"/>
      <c r="FE191" s="569"/>
      <c r="FF191" s="569"/>
      <c r="FG191" s="569"/>
      <c r="FH191" s="569"/>
      <c r="FI191" s="569"/>
      <c r="FJ191" s="569"/>
      <c r="FK191" s="569"/>
      <c r="FL191" s="569"/>
      <c r="FM191" s="569"/>
      <c r="FN191" s="569"/>
      <c r="FO191" s="569"/>
      <c r="FP191" s="569"/>
      <c r="FQ191" s="569"/>
      <c r="FR191" s="569"/>
      <c r="FS191" s="569"/>
      <c r="FT191" s="569"/>
      <c r="FU191" s="569"/>
      <c r="FV191" s="569"/>
      <c r="FW191" s="569"/>
      <c r="FX191" s="569"/>
      <c r="FY191" s="569"/>
      <c r="FZ191" s="569"/>
      <c r="GA191" s="569"/>
      <c r="GB191" s="569"/>
      <c r="GC191" s="569"/>
      <c r="GD191" s="569"/>
      <c r="GE191" s="569"/>
      <c r="GF191" s="569"/>
      <c r="GG191" s="569"/>
      <c r="GH191" s="569"/>
      <c r="GI191" s="569"/>
      <c r="GJ191" s="569"/>
      <c r="GK191" s="569"/>
      <c r="GL191" s="569"/>
      <c r="GM191" s="569"/>
      <c r="GN191" s="569"/>
      <c r="GO191" s="569"/>
      <c r="GP191" s="569"/>
      <c r="GQ191" s="569"/>
      <c r="GR191" s="569"/>
      <c r="GS191" s="569"/>
      <c r="GT191" s="569"/>
    </row>
    <row r="192" spans="2:202" s="554" customFormat="1">
      <c r="B192" s="590"/>
      <c r="C192" s="590"/>
      <c r="D192" s="590"/>
      <c r="E192" s="590"/>
      <c r="F192" s="590"/>
      <c r="G192" s="590"/>
      <c r="H192" s="590"/>
      <c r="I192" s="590"/>
      <c r="J192" s="590"/>
      <c r="K192" s="590"/>
      <c r="L192" s="590"/>
      <c r="M192" s="590"/>
      <c r="N192" s="590"/>
      <c r="O192" s="590"/>
      <c r="P192" s="590"/>
      <c r="Q192" s="590"/>
      <c r="R192" s="590"/>
      <c r="S192" s="590"/>
      <c r="T192" s="590"/>
      <c r="U192" s="590"/>
      <c r="V192" s="590"/>
      <c r="W192" s="590"/>
      <c r="X192" s="590"/>
      <c r="Y192" s="590"/>
      <c r="Z192" s="590"/>
      <c r="AA192" s="590"/>
      <c r="AB192" s="590"/>
      <c r="AC192" s="590"/>
      <c r="AD192" s="590"/>
      <c r="AE192" s="590"/>
      <c r="AF192" s="590"/>
      <c r="AG192" s="590"/>
      <c r="AH192" s="569"/>
      <c r="AI192" s="569"/>
      <c r="AJ192" s="569"/>
      <c r="AK192" s="569"/>
      <c r="AL192" s="569"/>
      <c r="AM192" s="569"/>
      <c r="AN192" s="569"/>
      <c r="AO192" s="569"/>
      <c r="AP192" s="569"/>
      <c r="AQ192" s="569"/>
      <c r="AR192" s="569"/>
      <c r="AS192" s="569"/>
      <c r="AT192" s="569"/>
      <c r="AU192" s="569"/>
      <c r="AV192" s="569"/>
      <c r="AW192" s="569"/>
      <c r="AX192" s="569"/>
      <c r="AY192" s="569"/>
      <c r="AZ192" s="569"/>
      <c r="BA192" s="569"/>
      <c r="BB192" s="569"/>
      <c r="BC192" s="569"/>
      <c r="BD192" s="569"/>
      <c r="BE192" s="569"/>
      <c r="BF192" s="569"/>
      <c r="BG192" s="569"/>
      <c r="BH192" s="569"/>
      <c r="BI192" s="569"/>
      <c r="BJ192" s="569"/>
      <c r="BK192" s="569"/>
      <c r="BL192" s="569"/>
      <c r="BM192" s="569"/>
      <c r="BN192" s="569"/>
      <c r="BO192" s="569"/>
      <c r="BP192" s="569"/>
      <c r="BQ192" s="569"/>
      <c r="BR192" s="569"/>
      <c r="BS192" s="569"/>
      <c r="BT192" s="569"/>
      <c r="BU192" s="569"/>
      <c r="BV192" s="569"/>
      <c r="BW192" s="569"/>
      <c r="BX192" s="569"/>
      <c r="BY192" s="569"/>
      <c r="BZ192" s="569"/>
      <c r="CA192" s="569"/>
      <c r="CB192" s="569"/>
      <c r="CC192" s="569"/>
      <c r="CD192" s="569"/>
      <c r="CE192" s="569"/>
      <c r="CF192" s="569"/>
      <c r="CG192" s="569"/>
      <c r="CH192" s="569"/>
      <c r="CI192" s="569"/>
      <c r="CJ192" s="569"/>
      <c r="CK192" s="569"/>
      <c r="CL192" s="569"/>
      <c r="CM192" s="569"/>
      <c r="CN192" s="569"/>
      <c r="CO192" s="569"/>
      <c r="CP192" s="569"/>
      <c r="CQ192" s="569"/>
      <c r="CR192" s="569"/>
      <c r="CS192" s="569"/>
      <c r="CT192" s="569"/>
      <c r="CU192" s="569"/>
      <c r="CV192" s="569"/>
      <c r="CW192" s="569"/>
      <c r="CX192" s="569"/>
      <c r="CY192" s="569"/>
      <c r="CZ192" s="569"/>
      <c r="DA192" s="569"/>
      <c r="DB192" s="569"/>
      <c r="DC192" s="569"/>
      <c r="DD192" s="569"/>
      <c r="DE192" s="569"/>
      <c r="DF192" s="569"/>
      <c r="DG192" s="569"/>
      <c r="DH192" s="569"/>
      <c r="DI192" s="569"/>
      <c r="DJ192" s="569"/>
      <c r="DK192" s="569"/>
      <c r="DL192" s="569"/>
      <c r="DM192" s="569"/>
      <c r="DN192" s="569"/>
      <c r="DO192" s="569"/>
      <c r="DP192" s="569"/>
      <c r="DQ192" s="569"/>
      <c r="DR192" s="569"/>
      <c r="DS192" s="569"/>
      <c r="DT192" s="569"/>
      <c r="DU192" s="569"/>
      <c r="DV192" s="569"/>
      <c r="DW192" s="569"/>
      <c r="DX192" s="569"/>
      <c r="DY192" s="569"/>
      <c r="DZ192" s="569"/>
      <c r="EA192" s="569"/>
      <c r="EB192" s="569"/>
      <c r="EC192" s="569"/>
      <c r="ED192" s="569"/>
      <c r="EE192" s="569"/>
      <c r="EF192" s="569"/>
      <c r="EG192" s="569"/>
      <c r="EH192" s="569"/>
      <c r="EI192" s="569"/>
      <c r="EJ192" s="569"/>
      <c r="EK192" s="569"/>
      <c r="EL192" s="569"/>
      <c r="EM192" s="569"/>
      <c r="EN192" s="569"/>
      <c r="EO192" s="569"/>
      <c r="EP192" s="569"/>
      <c r="EQ192" s="569"/>
      <c r="ER192" s="569"/>
      <c r="ES192" s="569"/>
      <c r="ET192" s="569"/>
      <c r="EU192" s="569"/>
      <c r="EV192" s="569"/>
      <c r="EW192" s="569"/>
      <c r="EX192" s="569"/>
      <c r="EY192" s="569"/>
      <c r="EZ192" s="569"/>
      <c r="FA192" s="569"/>
      <c r="FB192" s="569"/>
      <c r="FC192" s="569"/>
      <c r="FD192" s="569"/>
      <c r="FE192" s="569"/>
      <c r="FF192" s="569"/>
      <c r="FG192" s="569"/>
      <c r="FH192" s="569"/>
      <c r="FI192" s="569"/>
      <c r="FJ192" s="569"/>
      <c r="FK192" s="569"/>
      <c r="FL192" s="569"/>
      <c r="FM192" s="569"/>
      <c r="FN192" s="569"/>
      <c r="FO192" s="569"/>
      <c r="FP192" s="569"/>
      <c r="FQ192" s="569"/>
      <c r="FR192" s="569"/>
      <c r="FS192" s="569"/>
      <c r="FT192" s="569"/>
      <c r="FU192" s="569"/>
      <c r="FV192" s="569"/>
      <c r="FW192" s="569"/>
      <c r="FX192" s="569"/>
      <c r="FY192" s="569"/>
      <c r="FZ192" s="569"/>
      <c r="GA192" s="569"/>
      <c r="GB192" s="569"/>
      <c r="GC192" s="569"/>
      <c r="GD192" s="569"/>
      <c r="GE192" s="569"/>
      <c r="GF192" s="569"/>
      <c r="GG192" s="569"/>
      <c r="GH192" s="569"/>
      <c r="GI192" s="569"/>
      <c r="GJ192" s="569"/>
      <c r="GK192" s="569"/>
      <c r="GL192" s="569"/>
      <c r="GM192" s="569"/>
      <c r="GN192" s="569"/>
      <c r="GO192" s="569"/>
      <c r="GP192" s="569"/>
      <c r="GQ192" s="569"/>
      <c r="GR192" s="569"/>
      <c r="GS192" s="569"/>
      <c r="GT192" s="569"/>
    </row>
    <row r="193" spans="2:202" s="554" customFormat="1">
      <c r="B193" s="590"/>
      <c r="C193" s="590"/>
      <c r="D193" s="590"/>
      <c r="E193" s="590"/>
      <c r="F193" s="590"/>
      <c r="G193" s="590"/>
      <c r="H193" s="590"/>
      <c r="I193" s="590"/>
      <c r="J193" s="590"/>
      <c r="K193" s="590"/>
      <c r="L193" s="590"/>
      <c r="M193" s="590"/>
      <c r="N193" s="590"/>
      <c r="O193" s="590"/>
      <c r="P193" s="590"/>
      <c r="Q193" s="590"/>
      <c r="R193" s="590"/>
      <c r="S193" s="590"/>
      <c r="T193" s="590"/>
      <c r="U193" s="590"/>
      <c r="V193" s="590"/>
      <c r="W193" s="590"/>
      <c r="X193" s="590"/>
      <c r="Y193" s="590"/>
      <c r="Z193" s="590"/>
      <c r="AA193" s="590"/>
      <c r="AB193" s="590"/>
      <c r="AC193" s="590"/>
      <c r="AD193" s="590"/>
      <c r="AE193" s="590"/>
      <c r="AF193" s="590"/>
      <c r="AG193" s="590"/>
      <c r="AH193" s="569"/>
      <c r="AI193" s="569"/>
      <c r="AJ193" s="569"/>
      <c r="AK193" s="569"/>
      <c r="AL193" s="569"/>
      <c r="AM193" s="569"/>
      <c r="AN193" s="569"/>
      <c r="AO193" s="569"/>
      <c r="AP193" s="569"/>
      <c r="AQ193" s="569"/>
      <c r="AR193" s="569"/>
      <c r="AS193" s="569"/>
      <c r="AT193" s="569"/>
      <c r="AU193" s="569"/>
      <c r="AV193" s="569"/>
      <c r="AW193" s="569"/>
      <c r="AX193" s="569"/>
      <c r="AY193" s="569"/>
      <c r="AZ193" s="569"/>
      <c r="BA193" s="569"/>
      <c r="BB193" s="569"/>
      <c r="BC193" s="569"/>
      <c r="BD193" s="569"/>
      <c r="BE193" s="569"/>
      <c r="BF193" s="569"/>
      <c r="BG193" s="569"/>
      <c r="BH193" s="569"/>
      <c r="BI193" s="569"/>
      <c r="BJ193" s="569"/>
      <c r="BK193" s="569"/>
      <c r="BL193" s="569"/>
      <c r="BM193" s="569"/>
      <c r="BN193" s="569"/>
      <c r="BO193" s="569"/>
      <c r="BP193" s="569"/>
      <c r="BQ193" s="569"/>
      <c r="BR193" s="569"/>
      <c r="BS193" s="569"/>
      <c r="BT193" s="569"/>
      <c r="BU193" s="569"/>
      <c r="BV193" s="569"/>
      <c r="BW193" s="569"/>
      <c r="BX193" s="569"/>
      <c r="BY193" s="569"/>
      <c r="BZ193" s="569"/>
      <c r="CA193" s="569"/>
      <c r="CB193" s="569"/>
      <c r="CC193" s="569"/>
      <c r="CD193" s="569"/>
      <c r="CE193" s="569"/>
      <c r="CF193" s="569"/>
      <c r="CG193" s="569"/>
      <c r="CH193" s="569"/>
      <c r="CI193" s="569"/>
      <c r="CJ193" s="569"/>
      <c r="CK193" s="569"/>
      <c r="CL193" s="569"/>
      <c r="CM193" s="569"/>
      <c r="CN193" s="569"/>
      <c r="CO193" s="569"/>
      <c r="CP193" s="569"/>
      <c r="CQ193" s="569"/>
      <c r="CR193" s="569"/>
      <c r="CS193" s="569"/>
      <c r="CT193" s="569"/>
      <c r="CU193" s="569"/>
      <c r="CV193" s="569"/>
      <c r="CW193" s="569"/>
      <c r="CX193" s="569"/>
      <c r="CY193" s="569"/>
      <c r="CZ193" s="569"/>
      <c r="DA193" s="569"/>
      <c r="DB193" s="569"/>
      <c r="DC193" s="569"/>
      <c r="DD193" s="569"/>
      <c r="DE193" s="569"/>
      <c r="DF193" s="569"/>
      <c r="DG193" s="569"/>
      <c r="DH193" s="569"/>
      <c r="DI193" s="569"/>
      <c r="DJ193" s="569"/>
      <c r="DK193" s="569"/>
      <c r="DL193" s="569"/>
      <c r="DM193" s="569"/>
      <c r="DN193" s="569"/>
      <c r="DO193" s="569"/>
      <c r="DP193" s="569"/>
      <c r="DQ193" s="569"/>
      <c r="DR193" s="569"/>
      <c r="DS193" s="569"/>
      <c r="DT193" s="569"/>
      <c r="DU193" s="569"/>
      <c r="DV193" s="569"/>
      <c r="DW193" s="569"/>
      <c r="DX193" s="569"/>
      <c r="DY193" s="569"/>
      <c r="DZ193" s="569"/>
      <c r="EA193" s="569"/>
      <c r="EB193" s="569"/>
      <c r="EC193" s="569"/>
      <c r="ED193" s="569"/>
      <c r="EE193" s="569"/>
      <c r="EF193" s="569"/>
      <c r="EG193" s="569"/>
      <c r="EH193" s="569"/>
      <c r="EI193" s="569"/>
      <c r="EJ193" s="569"/>
      <c r="EK193" s="569"/>
      <c r="EL193" s="569"/>
      <c r="EM193" s="569"/>
      <c r="EN193" s="569"/>
      <c r="EO193" s="569"/>
      <c r="EP193" s="569"/>
      <c r="EQ193" s="569"/>
      <c r="ER193" s="569"/>
      <c r="ES193" s="569"/>
      <c r="ET193" s="569"/>
      <c r="EU193" s="569"/>
      <c r="EV193" s="569"/>
      <c r="EW193" s="569"/>
      <c r="EX193" s="569"/>
      <c r="EY193" s="569"/>
      <c r="EZ193" s="569"/>
      <c r="FA193" s="569"/>
      <c r="FB193" s="569"/>
      <c r="FC193" s="569"/>
      <c r="FD193" s="569"/>
      <c r="FE193" s="569"/>
      <c r="FF193" s="569"/>
      <c r="FG193" s="569"/>
      <c r="FH193" s="569"/>
      <c r="FI193" s="569"/>
      <c r="FJ193" s="569"/>
      <c r="FK193" s="569"/>
      <c r="FL193" s="569"/>
      <c r="FM193" s="569"/>
      <c r="FN193" s="569"/>
      <c r="FO193" s="569"/>
      <c r="FP193" s="569"/>
      <c r="FQ193" s="569"/>
      <c r="FR193" s="569"/>
      <c r="FS193" s="569"/>
      <c r="FT193" s="569"/>
      <c r="FU193" s="569"/>
      <c r="FV193" s="569"/>
      <c r="FW193" s="569"/>
      <c r="FX193" s="569"/>
      <c r="FY193" s="569"/>
      <c r="FZ193" s="569"/>
      <c r="GA193" s="569"/>
      <c r="GB193" s="569"/>
      <c r="GC193" s="569"/>
      <c r="GD193" s="569"/>
      <c r="GE193" s="569"/>
      <c r="GF193" s="569"/>
      <c r="GG193" s="569"/>
      <c r="GH193" s="569"/>
      <c r="GI193" s="569"/>
      <c r="GJ193" s="569"/>
      <c r="GK193" s="569"/>
      <c r="GL193" s="569"/>
      <c r="GM193" s="569"/>
      <c r="GN193" s="569"/>
      <c r="GO193" s="569"/>
      <c r="GP193" s="569"/>
      <c r="GQ193" s="569"/>
      <c r="GR193" s="569"/>
      <c r="GS193" s="569"/>
      <c r="GT193" s="569"/>
    </row>
    <row r="194" spans="2:202" s="554" customFormat="1">
      <c r="B194" s="590"/>
      <c r="C194" s="590"/>
      <c r="D194" s="590"/>
      <c r="E194" s="590"/>
      <c r="F194" s="590"/>
      <c r="G194" s="590"/>
      <c r="H194" s="590"/>
      <c r="I194" s="590"/>
      <c r="J194" s="590"/>
      <c r="K194" s="590"/>
      <c r="L194" s="590"/>
      <c r="M194" s="590"/>
      <c r="N194" s="590"/>
      <c r="O194" s="590"/>
      <c r="P194" s="590"/>
      <c r="Q194" s="590"/>
      <c r="R194" s="590"/>
      <c r="S194" s="590"/>
      <c r="T194" s="590"/>
      <c r="U194" s="590"/>
      <c r="V194" s="590"/>
      <c r="W194" s="590"/>
      <c r="X194" s="590"/>
      <c r="Y194" s="590"/>
      <c r="Z194" s="590"/>
      <c r="AA194" s="590"/>
      <c r="AB194" s="590"/>
      <c r="AC194" s="590"/>
      <c r="AD194" s="590"/>
      <c r="AE194" s="590"/>
      <c r="AF194" s="590"/>
      <c r="AG194" s="590"/>
      <c r="AH194" s="569"/>
      <c r="AI194" s="569"/>
      <c r="AJ194" s="569"/>
      <c r="AK194" s="569"/>
      <c r="AL194" s="569"/>
      <c r="AM194" s="569"/>
      <c r="AN194" s="569"/>
      <c r="AO194" s="569"/>
      <c r="AP194" s="569"/>
      <c r="AQ194" s="569"/>
      <c r="AR194" s="569"/>
      <c r="AS194" s="569"/>
      <c r="AT194" s="569"/>
      <c r="AU194" s="569"/>
      <c r="AV194" s="569"/>
      <c r="AW194" s="569"/>
      <c r="AX194" s="569"/>
      <c r="AY194" s="569"/>
      <c r="AZ194" s="569"/>
      <c r="BA194" s="569"/>
      <c r="BB194" s="569"/>
      <c r="BC194" s="569"/>
      <c r="BD194" s="569"/>
      <c r="BE194" s="569"/>
      <c r="BF194" s="569"/>
      <c r="BG194" s="569"/>
      <c r="BH194" s="569"/>
      <c r="BI194" s="569"/>
      <c r="BJ194" s="569"/>
      <c r="BK194" s="569"/>
      <c r="BL194" s="569"/>
      <c r="BM194" s="569"/>
      <c r="BN194" s="569"/>
      <c r="BO194" s="569"/>
      <c r="BP194" s="569"/>
      <c r="BQ194" s="569"/>
      <c r="BR194" s="569"/>
      <c r="BS194" s="569"/>
      <c r="BT194" s="569"/>
      <c r="BU194" s="569"/>
      <c r="BV194" s="569"/>
      <c r="BW194" s="569"/>
      <c r="BX194" s="569"/>
      <c r="BY194" s="569"/>
      <c r="BZ194" s="569"/>
      <c r="CA194" s="569"/>
      <c r="CB194" s="569"/>
      <c r="CC194" s="569"/>
      <c r="CD194" s="569"/>
      <c r="CE194" s="569"/>
      <c r="CF194" s="569"/>
      <c r="CG194" s="569"/>
      <c r="CH194" s="569"/>
      <c r="CI194" s="569"/>
      <c r="CJ194" s="569"/>
      <c r="CK194" s="569"/>
      <c r="CL194" s="569"/>
      <c r="CM194" s="569"/>
      <c r="CN194" s="569"/>
      <c r="CO194" s="569"/>
      <c r="CP194" s="569"/>
      <c r="CQ194" s="569"/>
      <c r="CR194" s="569"/>
      <c r="CS194" s="569"/>
      <c r="CT194" s="569"/>
      <c r="CU194" s="569"/>
      <c r="CV194" s="569"/>
      <c r="CW194" s="569"/>
      <c r="CX194" s="569"/>
      <c r="CY194" s="569"/>
      <c r="CZ194" s="569"/>
      <c r="DA194" s="569"/>
      <c r="DB194" s="569"/>
      <c r="DC194" s="569"/>
      <c r="DD194" s="569"/>
      <c r="DE194" s="569"/>
      <c r="DF194" s="569"/>
      <c r="DG194" s="569"/>
      <c r="DH194" s="569"/>
      <c r="DI194" s="569"/>
      <c r="DJ194" s="569"/>
      <c r="DK194" s="569"/>
      <c r="DL194" s="569"/>
      <c r="DM194" s="569"/>
      <c r="DN194" s="569"/>
      <c r="DO194" s="569"/>
      <c r="DP194" s="569"/>
      <c r="DQ194" s="569"/>
      <c r="DR194" s="569"/>
      <c r="DS194" s="569"/>
      <c r="DT194" s="569"/>
      <c r="DU194" s="569"/>
      <c r="DV194" s="569"/>
      <c r="DW194" s="569"/>
      <c r="DX194" s="569"/>
      <c r="DY194" s="569"/>
      <c r="DZ194" s="569"/>
      <c r="EA194" s="569"/>
      <c r="EB194" s="569"/>
      <c r="EC194" s="569"/>
      <c r="ED194" s="569"/>
      <c r="EE194" s="569"/>
      <c r="EF194" s="569"/>
      <c r="EG194" s="569"/>
      <c r="EH194" s="569"/>
      <c r="EI194" s="569"/>
      <c r="EJ194" s="569"/>
      <c r="EK194" s="569"/>
      <c r="EL194" s="569"/>
      <c r="EM194" s="569"/>
      <c r="EN194" s="569"/>
      <c r="EO194" s="569"/>
      <c r="EP194" s="569"/>
      <c r="EQ194" s="569"/>
      <c r="ER194" s="569"/>
      <c r="ES194" s="569"/>
      <c r="ET194" s="569"/>
      <c r="EU194" s="569"/>
      <c r="EV194" s="569"/>
      <c r="EW194" s="569"/>
      <c r="EX194" s="569"/>
      <c r="EY194" s="569"/>
      <c r="EZ194" s="569"/>
      <c r="FA194" s="569"/>
      <c r="FB194" s="569"/>
      <c r="FC194" s="569"/>
      <c r="FD194" s="569"/>
      <c r="FE194" s="569"/>
      <c r="FF194" s="569"/>
      <c r="FG194" s="569"/>
      <c r="FH194" s="569"/>
      <c r="FI194" s="569"/>
      <c r="FJ194" s="569"/>
      <c r="FK194" s="569"/>
      <c r="FL194" s="569"/>
      <c r="FM194" s="569"/>
      <c r="FN194" s="569"/>
      <c r="FO194" s="569"/>
      <c r="FP194" s="569"/>
      <c r="FQ194" s="569"/>
      <c r="FR194" s="569"/>
      <c r="FS194" s="569"/>
      <c r="FT194" s="569"/>
      <c r="FU194" s="569"/>
      <c r="FV194" s="569"/>
      <c r="FW194" s="569"/>
      <c r="FX194" s="569"/>
      <c r="FY194" s="569"/>
      <c r="FZ194" s="569"/>
      <c r="GA194" s="569"/>
      <c r="GB194" s="569"/>
      <c r="GC194" s="569"/>
      <c r="GD194" s="569"/>
      <c r="GE194" s="569"/>
      <c r="GF194" s="569"/>
      <c r="GG194" s="569"/>
      <c r="GH194" s="569"/>
      <c r="GI194" s="569"/>
      <c r="GJ194" s="569"/>
      <c r="GK194" s="569"/>
      <c r="GL194" s="569"/>
      <c r="GM194" s="569"/>
      <c r="GN194" s="569"/>
      <c r="GO194" s="569"/>
      <c r="GP194" s="569"/>
      <c r="GQ194" s="569"/>
      <c r="GR194" s="569"/>
      <c r="GS194" s="569"/>
      <c r="GT194" s="569"/>
    </row>
    <row r="195" spans="2:202" s="554" customFormat="1">
      <c r="B195" s="590"/>
      <c r="C195" s="590"/>
      <c r="D195" s="590"/>
      <c r="E195" s="590"/>
      <c r="F195" s="590"/>
      <c r="G195" s="590"/>
      <c r="H195" s="590"/>
      <c r="I195" s="590"/>
      <c r="J195" s="590"/>
      <c r="K195" s="590"/>
      <c r="L195" s="590"/>
      <c r="M195" s="590"/>
      <c r="N195" s="590"/>
      <c r="O195" s="590"/>
      <c r="P195" s="590"/>
      <c r="Q195" s="590"/>
      <c r="R195" s="590"/>
      <c r="S195" s="590"/>
      <c r="T195" s="590"/>
      <c r="U195" s="590"/>
      <c r="V195" s="590"/>
      <c r="W195" s="590"/>
      <c r="X195" s="590"/>
      <c r="Y195" s="590"/>
      <c r="Z195" s="590"/>
      <c r="AA195" s="590"/>
      <c r="AB195" s="590"/>
      <c r="AC195" s="590"/>
      <c r="AD195" s="590"/>
      <c r="AE195" s="590"/>
      <c r="AF195" s="590"/>
      <c r="AG195" s="590"/>
      <c r="AH195" s="569"/>
      <c r="AI195" s="569"/>
      <c r="AJ195" s="569"/>
      <c r="AK195" s="569"/>
      <c r="AL195" s="569"/>
      <c r="AM195" s="569"/>
      <c r="AN195" s="569"/>
      <c r="AO195" s="569"/>
      <c r="AP195" s="569"/>
      <c r="AQ195" s="569"/>
      <c r="AR195" s="569"/>
      <c r="AS195" s="569"/>
      <c r="AT195" s="569"/>
      <c r="AU195" s="569"/>
      <c r="AV195" s="569"/>
      <c r="AW195" s="569"/>
      <c r="AX195" s="569"/>
      <c r="AY195" s="569"/>
      <c r="AZ195" s="569"/>
      <c r="BA195" s="569"/>
      <c r="BB195" s="569"/>
      <c r="BC195" s="569"/>
      <c r="BD195" s="569"/>
      <c r="BE195" s="569"/>
      <c r="BF195" s="569"/>
      <c r="BG195" s="569"/>
      <c r="BH195" s="569"/>
      <c r="BI195" s="569"/>
      <c r="BJ195" s="569"/>
      <c r="BK195" s="569"/>
      <c r="BL195" s="569"/>
      <c r="BM195" s="569"/>
      <c r="BN195" s="569"/>
      <c r="BO195" s="569"/>
      <c r="BP195" s="569"/>
      <c r="BQ195" s="569"/>
      <c r="BR195" s="569"/>
      <c r="BS195" s="569"/>
      <c r="BT195" s="569"/>
      <c r="BU195" s="569"/>
      <c r="BV195" s="569"/>
      <c r="BW195" s="569"/>
      <c r="BX195" s="569"/>
      <c r="BY195" s="569"/>
      <c r="BZ195" s="569"/>
      <c r="CA195" s="569"/>
      <c r="CB195" s="569"/>
      <c r="CC195" s="569"/>
      <c r="CD195" s="569"/>
      <c r="CE195" s="569"/>
      <c r="CF195" s="569"/>
      <c r="CG195" s="569"/>
      <c r="CH195" s="569"/>
      <c r="CI195" s="569"/>
      <c r="CJ195" s="569"/>
      <c r="CK195" s="569"/>
      <c r="CL195" s="569"/>
      <c r="CM195" s="569"/>
      <c r="CN195" s="569"/>
      <c r="CO195" s="569"/>
      <c r="CP195" s="569"/>
      <c r="CQ195" s="569"/>
      <c r="CR195" s="569"/>
      <c r="CS195" s="569"/>
      <c r="CT195" s="569"/>
      <c r="CU195" s="569"/>
      <c r="CV195" s="569"/>
      <c r="CW195" s="569"/>
      <c r="CX195" s="569"/>
      <c r="CY195" s="569"/>
      <c r="CZ195" s="569"/>
      <c r="DA195" s="569"/>
      <c r="DB195" s="569"/>
      <c r="DC195" s="569"/>
      <c r="DD195" s="569"/>
      <c r="DE195" s="569"/>
      <c r="DF195" s="569"/>
      <c r="DG195" s="569"/>
      <c r="DH195" s="569"/>
      <c r="DI195" s="569"/>
      <c r="DJ195" s="569"/>
      <c r="DK195" s="569"/>
      <c r="DL195" s="569"/>
      <c r="DM195" s="569"/>
      <c r="DN195" s="569"/>
      <c r="DO195" s="569"/>
      <c r="DP195" s="569"/>
      <c r="DQ195" s="569"/>
      <c r="DR195" s="569"/>
      <c r="DS195" s="569"/>
      <c r="DT195" s="569"/>
      <c r="DU195" s="569"/>
      <c r="DV195" s="569"/>
      <c r="DW195" s="569"/>
      <c r="DX195" s="569"/>
      <c r="DY195" s="569"/>
      <c r="DZ195" s="569"/>
      <c r="EA195" s="569"/>
      <c r="EB195" s="569"/>
      <c r="EC195" s="569"/>
      <c r="ED195" s="569"/>
      <c r="EE195" s="569"/>
      <c r="EF195" s="569"/>
      <c r="EG195" s="569"/>
      <c r="EH195" s="569"/>
      <c r="EI195" s="569"/>
      <c r="EJ195" s="569"/>
      <c r="EK195" s="569"/>
      <c r="EL195" s="569"/>
      <c r="EM195" s="569"/>
      <c r="EN195" s="569"/>
      <c r="EO195" s="569"/>
      <c r="EP195" s="569"/>
      <c r="EQ195" s="569"/>
      <c r="ER195" s="569"/>
      <c r="ES195" s="569"/>
      <c r="ET195" s="569"/>
      <c r="EU195" s="569"/>
      <c r="EV195" s="569"/>
      <c r="EW195" s="569"/>
      <c r="EX195" s="569"/>
      <c r="EY195" s="569"/>
      <c r="EZ195" s="569"/>
      <c r="FA195" s="569"/>
      <c r="FB195" s="569"/>
      <c r="FC195" s="569"/>
      <c r="FD195" s="569"/>
      <c r="FE195" s="569"/>
      <c r="FF195" s="569"/>
      <c r="FG195" s="569"/>
      <c r="FH195" s="569"/>
      <c r="FI195" s="569"/>
      <c r="FJ195" s="569"/>
      <c r="FK195" s="569"/>
      <c r="FL195" s="569"/>
      <c r="FM195" s="569"/>
      <c r="FN195" s="569"/>
      <c r="FO195" s="569"/>
      <c r="FP195" s="569"/>
      <c r="FQ195" s="569"/>
      <c r="FR195" s="569"/>
      <c r="FS195" s="569"/>
      <c r="FT195" s="569"/>
      <c r="FU195" s="569"/>
      <c r="FV195" s="569"/>
      <c r="FW195" s="569"/>
      <c r="FX195" s="569"/>
      <c r="FY195" s="569"/>
      <c r="FZ195" s="569"/>
      <c r="GA195" s="569"/>
      <c r="GB195" s="569"/>
      <c r="GC195" s="569"/>
      <c r="GD195" s="569"/>
      <c r="GE195" s="569"/>
      <c r="GF195" s="569"/>
      <c r="GG195" s="569"/>
      <c r="GH195" s="569"/>
      <c r="GI195" s="569"/>
      <c r="GJ195" s="569"/>
      <c r="GK195" s="569"/>
      <c r="GL195" s="569"/>
      <c r="GM195" s="569"/>
      <c r="GN195" s="569"/>
      <c r="GO195" s="569"/>
      <c r="GP195" s="569"/>
      <c r="GQ195" s="569"/>
      <c r="GR195" s="569"/>
      <c r="GS195" s="569"/>
      <c r="GT195" s="569"/>
    </row>
    <row r="196" spans="2:202" s="554" customFormat="1">
      <c r="B196" s="569"/>
      <c r="C196" s="569"/>
      <c r="D196" s="569"/>
      <c r="E196" s="569"/>
      <c r="F196" s="569"/>
      <c r="G196" s="569"/>
      <c r="H196" s="569"/>
      <c r="I196" s="569"/>
      <c r="J196" s="569"/>
      <c r="K196" s="569"/>
      <c r="L196" s="569"/>
      <c r="M196" s="569"/>
      <c r="N196" s="569"/>
      <c r="O196" s="569"/>
      <c r="P196" s="569"/>
      <c r="Q196" s="569"/>
      <c r="R196" s="569"/>
      <c r="S196" s="569"/>
      <c r="T196" s="590"/>
      <c r="U196" s="569"/>
      <c r="V196" s="569"/>
      <c r="W196" s="569"/>
      <c r="X196" s="569"/>
      <c r="Y196" s="569"/>
      <c r="Z196" s="569"/>
      <c r="AA196" s="569"/>
      <c r="AB196" s="569"/>
      <c r="AC196" s="569"/>
      <c r="AD196" s="569"/>
      <c r="AE196" s="569"/>
      <c r="AF196" s="569"/>
      <c r="AG196" s="569"/>
      <c r="AH196" s="569"/>
      <c r="AI196" s="569"/>
      <c r="AJ196" s="569"/>
      <c r="AK196" s="569"/>
      <c r="AL196" s="569"/>
      <c r="AM196" s="569"/>
      <c r="AN196" s="569"/>
      <c r="AO196" s="569"/>
      <c r="AP196" s="569"/>
      <c r="AQ196" s="569"/>
      <c r="AR196" s="569"/>
      <c r="AS196" s="569"/>
      <c r="AT196" s="569"/>
      <c r="AU196" s="569"/>
      <c r="AV196" s="569"/>
      <c r="AW196" s="569"/>
      <c r="AX196" s="569"/>
      <c r="AY196" s="569"/>
      <c r="AZ196" s="569"/>
      <c r="BA196" s="569"/>
      <c r="BB196" s="569"/>
      <c r="BC196" s="569"/>
      <c r="BD196" s="569"/>
      <c r="BE196" s="569"/>
      <c r="BF196" s="569"/>
      <c r="BG196" s="569"/>
      <c r="BH196" s="569"/>
      <c r="BI196" s="569"/>
      <c r="BJ196" s="569"/>
      <c r="BK196" s="569"/>
      <c r="BL196" s="569"/>
      <c r="BM196" s="569"/>
      <c r="BN196" s="569"/>
      <c r="BO196" s="569"/>
      <c r="BP196" s="569"/>
      <c r="BQ196" s="569"/>
      <c r="BR196" s="569"/>
      <c r="BS196" s="569"/>
      <c r="BT196" s="569"/>
      <c r="BU196" s="569"/>
      <c r="BV196" s="569"/>
      <c r="BW196" s="569"/>
      <c r="BX196" s="569"/>
      <c r="BY196" s="569"/>
      <c r="BZ196" s="569"/>
      <c r="CA196" s="569"/>
      <c r="CB196" s="569"/>
      <c r="CC196" s="569"/>
      <c r="CD196" s="569"/>
      <c r="CE196" s="569"/>
      <c r="CF196" s="569"/>
      <c r="CG196" s="569"/>
      <c r="CH196" s="569"/>
      <c r="CI196" s="569"/>
      <c r="CJ196" s="569"/>
      <c r="CK196" s="569"/>
      <c r="CL196" s="569"/>
      <c r="CM196" s="569"/>
      <c r="CN196" s="569"/>
      <c r="CO196" s="569"/>
      <c r="CP196" s="569"/>
      <c r="CQ196" s="569"/>
      <c r="CR196" s="569"/>
      <c r="CS196" s="569"/>
      <c r="CT196" s="569"/>
      <c r="CU196" s="569"/>
      <c r="CV196" s="569"/>
      <c r="CW196" s="569"/>
      <c r="CX196" s="569"/>
      <c r="CY196" s="569"/>
      <c r="CZ196" s="569"/>
      <c r="DA196" s="569"/>
      <c r="DB196" s="569"/>
      <c r="DC196" s="569"/>
      <c r="DD196" s="569"/>
      <c r="DE196" s="569"/>
      <c r="DF196" s="569"/>
      <c r="DG196" s="569"/>
      <c r="DH196" s="569"/>
      <c r="DI196" s="569"/>
      <c r="DJ196" s="569"/>
      <c r="DK196" s="569"/>
      <c r="DL196" s="569"/>
      <c r="DM196" s="569"/>
      <c r="DN196" s="569"/>
      <c r="DO196" s="569"/>
      <c r="DP196" s="569"/>
      <c r="DQ196" s="569"/>
      <c r="DR196" s="569"/>
      <c r="DS196" s="569"/>
      <c r="DT196" s="569"/>
      <c r="DU196" s="569"/>
      <c r="DV196" s="569"/>
      <c r="DW196" s="569"/>
      <c r="DX196" s="569"/>
      <c r="DY196" s="569"/>
      <c r="DZ196" s="569"/>
      <c r="EA196" s="569"/>
      <c r="EB196" s="569"/>
      <c r="EC196" s="569"/>
      <c r="ED196" s="569"/>
      <c r="EE196" s="569"/>
      <c r="EF196" s="569"/>
      <c r="EG196" s="569"/>
      <c r="EH196" s="569"/>
      <c r="EI196" s="569"/>
      <c r="EJ196" s="569"/>
      <c r="EK196" s="569"/>
      <c r="EL196" s="569"/>
      <c r="EM196" s="569"/>
      <c r="EN196" s="569"/>
      <c r="EO196" s="569"/>
      <c r="EP196" s="569"/>
      <c r="EQ196" s="569"/>
      <c r="ER196" s="569"/>
      <c r="ES196" s="569"/>
      <c r="ET196" s="569"/>
      <c r="EU196" s="569"/>
      <c r="EV196" s="569"/>
      <c r="EW196" s="569"/>
      <c r="EX196" s="569"/>
      <c r="EY196" s="569"/>
      <c r="EZ196" s="569"/>
      <c r="FA196" s="569"/>
      <c r="FB196" s="569"/>
      <c r="FC196" s="569"/>
      <c r="FD196" s="569"/>
      <c r="FE196" s="569"/>
      <c r="FF196" s="569"/>
      <c r="FG196" s="569"/>
      <c r="FH196" s="569"/>
      <c r="FI196" s="569"/>
      <c r="FJ196" s="569"/>
      <c r="FK196" s="569"/>
      <c r="FL196" s="569"/>
      <c r="FM196" s="569"/>
      <c r="FN196" s="569"/>
      <c r="FO196" s="569"/>
      <c r="FP196" s="569"/>
      <c r="FQ196" s="569"/>
      <c r="FR196" s="569"/>
      <c r="FS196" s="569"/>
      <c r="FT196" s="569"/>
      <c r="FU196" s="569"/>
      <c r="FV196" s="569"/>
      <c r="FW196" s="569"/>
      <c r="FX196" s="569"/>
      <c r="FY196" s="569"/>
      <c r="FZ196" s="569"/>
      <c r="GA196" s="569"/>
      <c r="GB196" s="569"/>
      <c r="GC196" s="569"/>
      <c r="GD196" s="569"/>
      <c r="GE196" s="569"/>
      <c r="GF196" s="569"/>
      <c r="GG196" s="569"/>
      <c r="GH196" s="569"/>
      <c r="GI196" s="569"/>
      <c r="GJ196" s="569"/>
      <c r="GK196" s="569"/>
      <c r="GL196" s="569"/>
      <c r="GM196" s="569"/>
      <c r="GN196" s="569"/>
      <c r="GO196" s="569"/>
      <c r="GP196" s="569"/>
      <c r="GQ196" s="569"/>
      <c r="GR196" s="569"/>
      <c r="GS196" s="569"/>
      <c r="GT196" s="569"/>
    </row>
    <row r="197" spans="2:202" s="554" customFormat="1">
      <c r="B197" s="569"/>
      <c r="C197" s="569"/>
      <c r="D197" s="569"/>
      <c r="E197" s="569"/>
      <c r="F197" s="569"/>
      <c r="G197" s="569"/>
      <c r="H197" s="569"/>
      <c r="I197" s="569"/>
      <c r="J197" s="569"/>
      <c r="K197" s="569"/>
      <c r="L197" s="569"/>
      <c r="M197" s="569"/>
      <c r="N197" s="569"/>
      <c r="O197" s="569"/>
      <c r="P197" s="569"/>
      <c r="Q197" s="569"/>
      <c r="R197" s="569"/>
      <c r="S197" s="569"/>
      <c r="T197" s="590"/>
      <c r="U197" s="569"/>
      <c r="V197" s="569"/>
      <c r="W197" s="569"/>
      <c r="X197" s="569"/>
      <c r="Y197" s="569"/>
      <c r="Z197" s="569"/>
      <c r="AA197" s="569"/>
      <c r="AB197" s="569"/>
      <c r="AC197" s="569"/>
      <c r="AD197" s="569"/>
      <c r="AE197" s="569"/>
      <c r="AF197" s="569"/>
      <c r="AG197" s="569"/>
      <c r="AH197" s="569"/>
      <c r="AI197" s="569"/>
      <c r="AJ197" s="569"/>
      <c r="AK197" s="569"/>
      <c r="AL197" s="569"/>
      <c r="AM197" s="569"/>
      <c r="AN197" s="569"/>
      <c r="AO197" s="569"/>
      <c r="AP197" s="569"/>
      <c r="AQ197" s="569"/>
      <c r="AR197" s="569"/>
      <c r="AS197" s="569"/>
      <c r="AT197" s="569"/>
      <c r="AU197" s="569"/>
      <c r="AV197" s="569"/>
      <c r="AW197" s="569"/>
      <c r="AX197" s="569"/>
      <c r="AY197" s="569"/>
      <c r="AZ197" s="569"/>
      <c r="BA197" s="569"/>
      <c r="BB197" s="569"/>
      <c r="BC197" s="569"/>
      <c r="BD197" s="569"/>
      <c r="BE197" s="569"/>
      <c r="BF197" s="569"/>
      <c r="BG197" s="569"/>
      <c r="BH197" s="569"/>
      <c r="BI197" s="569"/>
      <c r="BJ197" s="569"/>
      <c r="BK197" s="569"/>
      <c r="BL197" s="569"/>
      <c r="BM197" s="569"/>
      <c r="BN197" s="569"/>
      <c r="BO197" s="569"/>
      <c r="BP197" s="569"/>
      <c r="BQ197" s="569"/>
      <c r="BR197" s="569"/>
      <c r="BS197" s="569"/>
      <c r="BT197" s="569"/>
      <c r="BU197" s="569"/>
      <c r="BV197" s="569"/>
      <c r="BW197" s="569"/>
      <c r="BX197" s="569"/>
      <c r="BY197" s="569"/>
      <c r="BZ197" s="569"/>
      <c r="CA197" s="569"/>
      <c r="CB197" s="569"/>
      <c r="CC197" s="569"/>
      <c r="CD197" s="569"/>
      <c r="CE197" s="569"/>
      <c r="CF197" s="569"/>
      <c r="CG197" s="569"/>
      <c r="CH197" s="569"/>
      <c r="CI197" s="569"/>
      <c r="CJ197" s="569"/>
      <c r="CK197" s="569"/>
      <c r="CL197" s="569"/>
      <c r="CM197" s="569"/>
      <c r="CN197" s="569"/>
      <c r="CO197" s="569"/>
      <c r="CP197" s="569"/>
      <c r="CQ197" s="569"/>
      <c r="CR197" s="569"/>
      <c r="CS197" s="569"/>
      <c r="CT197" s="569"/>
      <c r="CU197" s="569"/>
      <c r="CV197" s="569"/>
      <c r="CW197" s="569"/>
      <c r="CX197" s="569"/>
      <c r="CY197" s="569"/>
      <c r="CZ197" s="569"/>
      <c r="DA197" s="569"/>
      <c r="DB197" s="569"/>
      <c r="DC197" s="569"/>
      <c r="DD197" s="569"/>
      <c r="DE197" s="569"/>
      <c r="DF197" s="569"/>
      <c r="DG197" s="569"/>
      <c r="DH197" s="569"/>
      <c r="DI197" s="569"/>
      <c r="DJ197" s="569"/>
      <c r="DK197" s="569"/>
      <c r="DL197" s="569"/>
      <c r="DM197" s="569"/>
      <c r="DN197" s="569"/>
      <c r="DO197" s="569"/>
      <c r="DP197" s="569"/>
      <c r="DQ197" s="569"/>
      <c r="DR197" s="569"/>
      <c r="DS197" s="569"/>
      <c r="DT197" s="569"/>
      <c r="DU197" s="569"/>
      <c r="DV197" s="569"/>
      <c r="DW197" s="569"/>
      <c r="DX197" s="569"/>
      <c r="DY197" s="569"/>
      <c r="DZ197" s="569"/>
      <c r="EA197" s="569"/>
      <c r="EB197" s="569"/>
      <c r="EC197" s="569"/>
      <c r="ED197" s="569"/>
      <c r="EE197" s="569"/>
      <c r="EF197" s="569"/>
      <c r="EG197" s="569"/>
      <c r="EH197" s="569"/>
      <c r="EI197" s="569"/>
      <c r="EJ197" s="569"/>
      <c r="EK197" s="569"/>
      <c r="EL197" s="569"/>
      <c r="EM197" s="569"/>
      <c r="EN197" s="569"/>
      <c r="EO197" s="569"/>
      <c r="EP197" s="569"/>
      <c r="EQ197" s="569"/>
      <c r="ER197" s="569"/>
      <c r="ES197" s="569"/>
      <c r="ET197" s="569"/>
      <c r="EU197" s="569"/>
      <c r="EV197" s="569"/>
      <c r="EW197" s="569"/>
      <c r="EX197" s="569"/>
      <c r="EY197" s="569"/>
      <c r="EZ197" s="569"/>
      <c r="FA197" s="569"/>
      <c r="FB197" s="569"/>
      <c r="FC197" s="569"/>
      <c r="FD197" s="569"/>
      <c r="FE197" s="569"/>
      <c r="FF197" s="569"/>
      <c r="FG197" s="569"/>
      <c r="FH197" s="569"/>
      <c r="FI197" s="569"/>
      <c r="FJ197" s="569"/>
      <c r="FK197" s="569"/>
      <c r="FL197" s="569"/>
      <c r="FM197" s="569"/>
      <c r="FN197" s="569"/>
      <c r="FO197" s="569"/>
      <c r="FP197" s="569"/>
      <c r="FQ197" s="569"/>
      <c r="FR197" s="569"/>
      <c r="FS197" s="569"/>
      <c r="FT197" s="569"/>
      <c r="FU197" s="569"/>
      <c r="FV197" s="569"/>
      <c r="FW197" s="569"/>
      <c r="FX197" s="569"/>
      <c r="FY197" s="569"/>
      <c r="FZ197" s="569"/>
      <c r="GA197" s="569"/>
      <c r="GB197" s="569"/>
      <c r="GC197" s="569"/>
      <c r="GD197" s="569"/>
      <c r="GE197" s="569"/>
      <c r="GF197" s="569"/>
      <c r="GG197" s="569"/>
      <c r="GH197" s="569"/>
      <c r="GI197" s="569"/>
      <c r="GJ197" s="569"/>
      <c r="GK197" s="569"/>
      <c r="GL197" s="569"/>
      <c r="GM197" s="569"/>
      <c r="GN197" s="569"/>
      <c r="GO197" s="569"/>
      <c r="GP197" s="569"/>
      <c r="GQ197" s="569"/>
      <c r="GR197" s="569"/>
      <c r="GS197" s="569"/>
      <c r="GT197" s="569"/>
    </row>
    <row r="198" spans="2:202" s="554" customFormat="1">
      <c r="B198" s="569"/>
      <c r="C198" s="569"/>
      <c r="D198" s="569"/>
      <c r="E198" s="569"/>
      <c r="F198" s="569"/>
      <c r="G198" s="569"/>
      <c r="H198" s="569"/>
      <c r="I198" s="569"/>
      <c r="J198" s="569"/>
      <c r="K198" s="569"/>
      <c r="L198" s="569"/>
      <c r="M198" s="569"/>
      <c r="N198" s="569"/>
      <c r="O198" s="569"/>
      <c r="P198" s="569"/>
      <c r="Q198" s="569"/>
      <c r="R198" s="569"/>
      <c r="S198" s="569"/>
      <c r="T198" s="590"/>
      <c r="U198" s="569"/>
      <c r="V198" s="569"/>
      <c r="W198" s="569"/>
      <c r="X198" s="569"/>
      <c r="Y198" s="569"/>
      <c r="Z198" s="569"/>
      <c r="AA198" s="569"/>
      <c r="AB198" s="569"/>
      <c r="AC198" s="569"/>
      <c r="AD198" s="569"/>
      <c r="AE198" s="569"/>
      <c r="AF198" s="569"/>
      <c r="AG198" s="569"/>
      <c r="AH198" s="569"/>
      <c r="AI198" s="569"/>
      <c r="AJ198" s="569"/>
      <c r="AK198" s="569"/>
      <c r="AL198" s="569"/>
      <c r="AM198" s="569"/>
      <c r="AN198" s="569"/>
      <c r="AO198" s="569"/>
      <c r="AP198" s="569"/>
      <c r="AQ198" s="569"/>
      <c r="AR198" s="569"/>
      <c r="AS198" s="569"/>
      <c r="AT198" s="569"/>
      <c r="AU198" s="569"/>
      <c r="AV198" s="569"/>
      <c r="AW198" s="569"/>
      <c r="AX198" s="569"/>
      <c r="AY198" s="569"/>
      <c r="AZ198" s="569"/>
      <c r="BA198" s="569"/>
      <c r="BB198" s="569"/>
      <c r="BC198" s="569"/>
      <c r="BD198" s="569"/>
      <c r="BE198" s="569"/>
      <c r="BF198" s="569"/>
      <c r="BG198" s="569"/>
      <c r="BH198" s="569"/>
      <c r="BI198" s="569"/>
      <c r="BJ198" s="569"/>
      <c r="BK198" s="569"/>
      <c r="BL198" s="569"/>
      <c r="BM198" s="569"/>
      <c r="BN198" s="569"/>
      <c r="BO198" s="569"/>
      <c r="BP198" s="569"/>
      <c r="BQ198" s="569"/>
      <c r="BR198" s="569"/>
      <c r="BS198" s="569"/>
      <c r="BT198" s="569"/>
      <c r="BU198" s="569"/>
      <c r="BV198" s="569"/>
      <c r="BW198" s="569"/>
      <c r="BX198" s="569"/>
      <c r="BY198" s="569"/>
      <c r="BZ198" s="569"/>
      <c r="CA198" s="569"/>
      <c r="CB198" s="569"/>
      <c r="CC198" s="569"/>
      <c r="CD198" s="569"/>
      <c r="CE198" s="569"/>
      <c r="CF198" s="569"/>
      <c r="CG198" s="569"/>
      <c r="CH198" s="569"/>
      <c r="CI198" s="569"/>
      <c r="CJ198" s="569"/>
      <c r="CK198" s="569"/>
      <c r="CL198" s="569"/>
      <c r="CM198" s="569"/>
      <c r="CN198" s="569"/>
      <c r="CO198" s="569"/>
      <c r="CP198" s="569"/>
      <c r="CQ198" s="569"/>
      <c r="CR198" s="569"/>
      <c r="CS198" s="569"/>
      <c r="CT198" s="569"/>
      <c r="CU198" s="569"/>
      <c r="CV198" s="569"/>
      <c r="CW198" s="569"/>
      <c r="CX198" s="569"/>
      <c r="CY198" s="569"/>
      <c r="CZ198" s="569"/>
      <c r="DA198" s="569"/>
      <c r="DB198" s="569"/>
      <c r="DC198" s="569"/>
      <c r="DD198" s="569"/>
      <c r="DE198" s="569"/>
      <c r="DF198" s="569"/>
      <c r="DG198" s="569"/>
      <c r="DH198" s="569"/>
      <c r="DI198" s="569"/>
      <c r="DJ198" s="569"/>
      <c r="DK198" s="569"/>
      <c r="DL198" s="569"/>
      <c r="DM198" s="569"/>
      <c r="DN198" s="569"/>
      <c r="DO198" s="569"/>
      <c r="DP198" s="569"/>
      <c r="DQ198" s="569"/>
      <c r="DR198" s="569"/>
      <c r="DS198" s="569"/>
      <c r="DT198" s="569"/>
      <c r="DU198" s="569"/>
      <c r="DV198" s="569"/>
      <c r="DW198" s="569"/>
      <c r="DX198" s="569"/>
      <c r="DY198" s="569"/>
      <c r="DZ198" s="569"/>
      <c r="EA198" s="569"/>
      <c r="EB198" s="569"/>
      <c r="EC198" s="569"/>
      <c r="ED198" s="569"/>
      <c r="EE198" s="569"/>
      <c r="EF198" s="569"/>
      <c r="EG198" s="569"/>
      <c r="EH198" s="569"/>
      <c r="EI198" s="569"/>
      <c r="EJ198" s="569"/>
      <c r="EK198" s="569"/>
      <c r="EL198" s="569"/>
      <c r="EM198" s="569"/>
      <c r="EN198" s="569"/>
      <c r="EO198" s="569"/>
      <c r="EP198" s="569"/>
      <c r="EQ198" s="569"/>
      <c r="ER198" s="569"/>
      <c r="ES198" s="569"/>
      <c r="ET198" s="569"/>
      <c r="EU198" s="569"/>
      <c r="EV198" s="569"/>
      <c r="EW198" s="569"/>
      <c r="EX198" s="569"/>
      <c r="EY198" s="569"/>
      <c r="EZ198" s="569"/>
      <c r="FA198" s="569"/>
      <c r="FB198" s="569"/>
      <c r="FC198" s="569"/>
      <c r="FD198" s="569"/>
      <c r="FE198" s="569"/>
      <c r="FF198" s="569"/>
      <c r="FG198" s="569"/>
      <c r="FH198" s="569"/>
      <c r="FI198" s="569"/>
      <c r="FJ198" s="569"/>
      <c r="FK198" s="569"/>
      <c r="FL198" s="569"/>
      <c r="FM198" s="569"/>
      <c r="FN198" s="569"/>
      <c r="FO198" s="569"/>
      <c r="FP198" s="569"/>
      <c r="FQ198" s="569"/>
      <c r="FR198" s="569"/>
      <c r="FS198" s="569"/>
      <c r="FT198" s="569"/>
      <c r="FU198" s="569"/>
      <c r="FV198" s="569"/>
      <c r="FW198" s="569"/>
      <c r="FX198" s="569"/>
      <c r="FY198" s="569"/>
      <c r="FZ198" s="569"/>
      <c r="GA198" s="569"/>
      <c r="GB198" s="569"/>
      <c r="GC198" s="569"/>
      <c r="GD198" s="569"/>
      <c r="GE198" s="569"/>
      <c r="GF198" s="569"/>
      <c r="GG198" s="569"/>
      <c r="GH198" s="569"/>
      <c r="GI198" s="569"/>
      <c r="GJ198" s="569"/>
      <c r="GK198" s="569"/>
      <c r="GL198" s="569"/>
      <c r="GM198" s="569"/>
      <c r="GN198" s="569"/>
      <c r="GO198" s="569"/>
      <c r="GP198" s="569"/>
      <c r="GQ198" s="569"/>
      <c r="GR198" s="569"/>
      <c r="GS198" s="569"/>
      <c r="GT198" s="569"/>
    </row>
    <row r="199" spans="2:202" s="554" customFormat="1">
      <c r="B199" s="569"/>
      <c r="C199" s="569"/>
      <c r="D199" s="569"/>
      <c r="E199" s="569"/>
      <c r="F199" s="569"/>
      <c r="G199" s="569"/>
      <c r="H199" s="569"/>
      <c r="I199" s="569"/>
      <c r="J199" s="569"/>
      <c r="K199" s="569"/>
      <c r="L199" s="569"/>
      <c r="M199" s="569"/>
      <c r="N199" s="569"/>
      <c r="O199" s="569"/>
      <c r="P199" s="569"/>
      <c r="Q199" s="569"/>
      <c r="R199" s="569"/>
      <c r="S199" s="569"/>
      <c r="T199" s="590"/>
      <c r="U199" s="569"/>
      <c r="V199" s="569"/>
      <c r="W199" s="569"/>
      <c r="X199" s="569"/>
      <c r="Y199" s="569"/>
      <c r="Z199" s="569"/>
      <c r="AA199" s="569"/>
      <c r="AB199" s="569"/>
      <c r="AC199" s="569"/>
      <c r="AD199" s="569"/>
      <c r="AE199" s="569"/>
      <c r="AF199" s="569"/>
      <c r="AG199" s="569"/>
      <c r="AH199" s="569"/>
      <c r="AI199" s="569"/>
      <c r="AJ199" s="569"/>
      <c r="AK199" s="569"/>
      <c r="AL199" s="569"/>
      <c r="AM199" s="569"/>
      <c r="AN199" s="569"/>
      <c r="AO199" s="569"/>
      <c r="AP199" s="569"/>
      <c r="AQ199" s="569"/>
      <c r="AR199" s="569"/>
      <c r="AS199" s="569"/>
      <c r="AT199" s="569"/>
      <c r="AU199" s="569"/>
      <c r="AV199" s="569"/>
      <c r="AW199" s="569"/>
      <c r="AX199" s="569"/>
      <c r="AY199" s="569"/>
      <c r="AZ199" s="569"/>
      <c r="BA199" s="569"/>
      <c r="BB199" s="569"/>
      <c r="BC199" s="569"/>
      <c r="BD199" s="569"/>
      <c r="BE199" s="569"/>
      <c r="BF199" s="569"/>
      <c r="BG199" s="569"/>
      <c r="BH199" s="569"/>
      <c r="BI199" s="569"/>
      <c r="BJ199" s="569"/>
      <c r="BK199" s="569"/>
      <c r="BL199" s="569"/>
      <c r="BM199" s="569"/>
      <c r="BN199" s="569"/>
      <c r="BO199" s="569"/>
      <c r="BP199" s="569"/>
      <c r="BQ199" s="569"/>
      <c r="BR199" s="569"/>
      <c r="BS199" s="569"/>
      <c r="BT199" s="569"/>
      <c r="BU199" s="569"/>
      <c r="BV199" s="569"/>
      <c r="BW199" s="569"/>
      <c r="BX199" s="569"/>
      <c r="BY199" s="569"/>
      <c r="BZ199" s="569"/>
      <c r="CA199" s="569"/>
      <c r="CB199" s="569"/>
      <c r="CC199" s="569"/>
      <c r="CD199" s="569"/>
      <c r="CE199" s="569"/>
      <c r="CF199" s="569"/>
      <c r="CG199" s="569"/>
      <c r="CH199" s="569"/>
      <c r="CI199" s="569"/>
      <c r="CJ199" s="569"/>
      <c r="CK199" s="569"/>
      <c r="CL199" s="569"/>
      <c r="CM199" s="569"/>
      <c r="CN199" s="569"/>
      <c r="CO199" s="569"/>
      <c r="CP199" s="569"/>
      <c r="CQ199" s="569"/>
      <c r="CR199" s="569"/>
      <c r="CS199" s="569"/>
      <c r="CT199" s="569"/>
      <c r="CU199" s="569"/>
      <c r="CV199" s="569"/>
      <c r="CW199" s="569"/>
      <c r="CX199" s="569"/>
      <c r="CY199" s="569"/>
      <c r="CZ199" s="569"/>
      <c r="DA199" s="569"/>
      <c r="DB199" s="569"/>
      <c r="DC199" s="569"/>
      <c r="DD199" s="569"/>
      <c r="DE199" s="569"/>
      <c r="DF199" s="569"/>
      <c r="DG199" s="569"/>
      <c r="DH199" s="569"/>
      <c r="DI199" s="569"/>
      <c r="DJ199" s="569"/>
      <c r="DK199" s="569"/>
      <c r="DL199" s="569"/>
      <c r="DM199" s="569"/>
      <c r="DN199" s="569"/>
      <c r="DO199" s="569"/>
      <c r="DP199" s="569"/>
      <c r="DQ199" s="569"/>
      <c r="DR199" s="569"/>
      <c r="DS199" s="569"/>
      <c r="DT199" s="569"/>
      <c r="DU199" s="569"/>
      <c r="DV199" s="569"/>
      <c r="DW199" s="569"/>
      <c r="DX199" s="569"/>
      <c r="DY199" s="569"/>
      <c r="DZ199" s="569"/>
      <c r="EA199" s="569"/>
      <c r="EB199" s="569"/>
      <c r="EC199" s="569"/>
      <c r="ED199" s="569"/>
      <c r="EE199" s="569"/>
      <c r="EF199" s="569"/>
      <c r="EG199" s="569"/>
      <c r="EH199" s="569"/>
      <c r="EI199" s="569"/>
      <c r="EJ199" s="569"/>
      <c r="EK199" s="569"/>
      <c r="EL199" s="569"/>
      <c r="EM199" s="569"/>
      <c r="EN199" s="569"/>
      <c r="EO199" s="569"/>
      <c r="EP199" s="569"/>
      <c r="EQ199" s="569"/>
      <c r="ER199" s="569"/>
      <c r="ES199" s="569"/>
      <c r="ET199" s="569"/>
      <c r="EU199" s="569"/>
      <c r="EV199" s="569"/>
      <c r="EW199" s="569"/>
      <c r="EX199" s="569"/>
      <c r="EY199" s="569"/>
      <c r="EZ199" s="569"/>
      <c r="FA199" s="569"/>
      <c r="FB199" s="569"/>
      <c r="FC199" s="569"/>
      <c r="FD199" s="569"/>
      <c r="FE199" s="569"/>
      <c r="FF199" s="569"/>
      <c r="FG199" s="569"/>
      <c r="FH199" s="569"/>
      <c r="FI199" s="569"/>
      <c r="FJ199" s="569"/>
      <c r="FK199" s="569"/>
      <c r="FL199" s="569"/>
      <c r="FM199" s="569"/>
      <c r="FN199" s="569"/>
      <c r="FO199" s="569"/>
      <c r="FP199" s="569"/>
      <c r="FQ199" s="569"/>
      <c r="FR199" s="569"/>
      <c r="FS199" s="569"/>
      <c r="FT199" s="569"/>
      <c r="FU199" s="569"/>
      <c r="FV199" s="569"/>
      <c r="FW199" s="569"/>
      <c r="FX199" s="569"/>
      <c r="FY199" s="569"/>
      <c r="FZ199" s="569"/>
      <c r="GA199" s="569"/>
      <c r="GB199" s="569"/>
      <c r="GC199" s="569"/>
      <c r="GD199" s="569"/>
      <c r="GE199" s="569"/>
      <c r="GF199" s="569"/>
      <c r="GG199" s="569"/>
      <c r="GH199" s="569"/>
      <c r="GI199" s="569"/>
      <c r="GJ199" s="569"/>
      <c r="GK199" s="569"/>
      <c r="GL199" s="569"/>
      <c r="GM199" s="569"/>
      <c r="GN199" s="569"/>
      <c r="GO199" s="569"/>
      <c r="GP199" s="569"/>
      <c r="GQ199" s="569"/>
      <c r="GR199" s="569"/>
      <c r="GS199" s="569"/>
      <c r="GT199" s="569"/>
    </row>
    <row r="200" spans="2:202" s="554" customFormat="1">
      <c r="B200" s="569"/>
      <c r="C200" s="569"/>
      <c r="D200" s="569"/>
      <c r="E200" s="569"/>
      <c r="F200" s="569"/>
      <c r="G200" s="569"/>
      <c r="H200" s="569"/>
      <c r="I200" s="569"/>
      <c r="J200" s="569"/>
      <c r="K200" s="569"/>
      <c r="L200" s="569"/>
      <c r="M200" s="569"/>
      <c r="N200" s="569"/>
      <c r="O200" s="569"/>
      <c r="P200" s="569"/>
      <c r="Q200" s="569"/>
      <c r="R200" s="569"/>
      <c r="S200" s="569"/>
      <c r="T200" s="590"/>
      <c r="U200" s="569"/>
      <c r="V200" s="569"/>
      <c r="W200" s="569"/>
      <c r="X200" s="569"/>
      <c r="Y200" s="569"/>
      <c r="Z200" s="569"/>
      <c r="AA200" s="569"/>
      <c r="AB200" s="569"/>
      <c r="AC200" s="569"/>
      <c r="AD200" s="569"/>
      <c r="AE200" s="569"/>
      <c r="AF200" s="569"/>
      <c r="AG200" s="569"/>
      <c r="AH200" s="569"/>
      <c r="AI200" s="569"/>
      <c r="AJ200" s="569"/>
      <c r="AK200" s="569"/>
      <c r="AL200" s="569"/>
      <c r="AM200" s="569"/>
      <c r="AN200" s="569"/>
      <c r="AO200" s="569"/>
      <c r="AP200" s="569"/>
      <c r="AQ200" s="569"/>
      <c r="AR200" s="569"/>
      <c r="AS200" s="569"/>
      <c r="AT200" s="569"/>
      <c r="AU200" s="569"/>
      <c r="AV200" s="569"/>
      <c r="AW200" s="569"/>
      <c r="AX200" s="569"/>
      <c r="AY200" s="569"/>
      <c r="AZ200" s="569"/>
      <c r="BA200" s="569"/>
      <c r="BB200" s="569"/>
      <c r="BC200" s="569"/>
      <c r="BD200" s="569"/>
      <c r="BE200" s="569"/>
      <c r="BF200" s="569"/>
      <c r="BG200" s="569"/>
      <c r="BH200" s="569"/>
      <c r="BI200" s="569"/>
      <c r="BJ200" s="569"/>
      <c r="BK200" s="569"/>
      <c r="BL200" s="569"/>
      <c r="BM200" s="569"/>
      <c r="BN200" s="569"/>
      <c r="BO200" s="569"/>
      <c r="BP200" s="569"/>
      <c r="BQ200" s="569"/>
      <c r="BR200" s="569"/>
      <c r="BS200" s="569"/>
      <c r="BT200" s="569"/>
      <c r="BU200" s="569"/>
      <c r="BV200" s="569"/>
      <c r="BW200" s="569"/>
      <c r="BX200" s="569"/>
      <c r="BY200" s="569"/>
      <c r="BZ200" s="569"/>
      <c r="CA200" s="569"/>
      <c r="CB200" s="569"/>
      <c r="CC200" s="569"/>
      <c r="CD200" s="569"/>
      <c r="CE200" s="569"/>
      <c r="CF200" s="569"/>
      <c r="CG200" s="569"/>
      <c r="CH200" s="569"/>
      <c r="CI200" s="569"/>
      <c r="CJ200" s="569"/>
      <c r="CK200" s="569"/>
      <c r="CL200" s="569"/>
      <c r="CM200" s="569"/>
      <c r="CN200" s="569"/>
      <c r="CO200" s="569"/>
      <c r="CP200" s="569"/>
      <c r="CQ200" s="569"/>
      <c r="CR200" s="569"/>
      <c r="CS200" s="569"/>
      <c r="CT200" s="569"/>
      <c r="CU200" s="569"/>
      <c r="CV200" s="569"/>
      <c r="CW200" s="569"/>
      <c r="CX200" s="569"/>
      <c r="CY200" s="569"/>
      <c r="CZ200" s="569"/>
      <c r="DA200" s="569"/>
      <c r="DB200" s="569"/>
      <c r="DC200" s="569"/>
      <c r="DD200" s="569"/>
      <c r="DE200" s="569"/>
      <c r="DF200" s="569"/>
      <c r="DG200" s="569"/>
      <c r="DH200" s="569"/>
      <c r="DI200" s="569"/>
      <c r="DJ200" s="569"/>
      <c r="DK200" s="569"/>
      <c r="DL200" s="569"/>
      <c r="DM200" s="569"/>
      <c r="DN200" s="569"/>
      <c r="DO200" s="569"/>
      <c r="DP200" s="569"/>
      <c r="DQ200" s="569"/>
      <c r="DR200" s="569"/>
      <c r="DS200" s="569"/>
      <c r="DT200" s="569"/>
      <c r="DU200" s="569"/>
      <c r="DV200" s="569"/>
      <c r="DW200" s="569"/>
      <c r="DX200" s="569"/>
      <c r="DY200" s="569"/>
      <c r="DZ200" s="569"/>
      <c r="EA200" s="569"/>
      <c r="EB200" s="569"/>
      <c r="EC200" s="569"/>
      <c r="ED200" s="569"/>
      <c r="EE200" s="569"/>
      <c r="EF200" s="569"/>
      <c r="EG200" s="569"/>
      <c r="EH200" s="569"/>
      <c r="EI200" s="569"/>
      <c r="EJ200" s="569"/>
      <c r="EK200" s="569"/>
      <c r="EL200" s="569"/>
      <c r="EM200" s="569"/>
      <c r="EN200" s="569"/>
      <c r="EO200" s="569"/>
      <c r="EP200" s="569"/>
      <c r="EQ200" s="569"/>
      <c r="ER200" s="569"/>
      <c r="ES200" s="569"/>
      <c r="ET200" s="569"/>
      <c r="EU200" s="569"/>
      <c r="EV200" s="569"/>
      <c r="EW200" s="569"/>
      <c r="EX200" s="569"/>
      <c r="EY200" s="569"/>
      <c r="EZ200" s="569"/>
      <c r="FA200" s="569"/>
      <c r="FB200" s="569"/>
      <c r="FC200" s="569"/>
      <c r="FD200" s="569"/>
      <c r="FE200" s="569"/>
      <c r="FF200" s="569"/>
      <c r="FG200" s="569"/>
      <c r="FH200" s="569"/>
      <c r="FI200" s="569"/>
      <c r="FJ200" s="569"/>
      <c r="FK200" s="569"/>
      <c r="FL200" s="569"/>
      <c r="FM200" s="569"/>
      <c r="FN200" s="569"/>
      <c r="FO200" s="569"/>
      <c r="FP200" s="569"/>
      <c r="FQ200" s="569"/>
      <c r="FR200" s="569"/>
      <c r="FS200" s="569"/>
      <c r="FT200" s="569"/>
      <c r="FU200" s="569"/>
      <c r="FV200" s="569"/>
      <c r="FW200" s="569"/>
      <c r="FX200" s="569"/>
      <c r="FY200" s="569"/>
      <c r="FZ200" s="569"/>
      <c r="GA200" s="569"/>
      <c r="GB200" s="569"/>
      <c r="GC200" s="569"/>
      <c r="GD200" s="569"/>
      <c r="GE200" s="569"/>
      <c r="GF200" s="569"/>
      <c r="GG200" s="569"/>
      <c r="GH200" s="569"/>
      <c r="GI200" s="569"/>
      <c r="GJ200" s="569"/>
      <c r="GK200" s="569"/>
      <c r="GL200" s="569"/>
      <c r="GM200" s="569"/>
      <c r="GN200" s="569"/>
      <c r="GO200" s="569"/>
      <c r="GP200" s="569"/>
      <c r="GQ200" s="569"/>
      <c r="GR200" s="569"/>
      <c r="GS200" s="569"/>
      <c r="GT200" s="569"/>
    </row>
    <row r="201" spans="2:202" s="554" customFormat="1">
      <c r="B201" s="569"/>
      <c r="C201" s="569"/>
      <c r="D201" s="569"/>
      <c r="E201" s="569"/>
      <c r="F201" s="569"/>
      <c r="G201" s="569"/>
      <c r="H201" s="569"/>
      <c r="I201" s="569"/>
      <c r="J201" s="569"/>
      <c r="K201" s="569"/>
      <c r="L201" s="569"/>
      <c r="M201" s="569"/>
      <c r="N201" s="569"/>
      <c r="O201" s="569"/>
      <c r="P201" s="569"/>
      <c r="Q201" s="569"/>
      <c r="R201" s="569"/>
      <c r="S201" s="569"/>
      <c r="T201" s="590"/>
      <c r="U201" s="569"/>
      <c r="V201" s="569"/>
      <c r="W201" s="569"/>
      <c r="X201" s="569"/>
      <c r="Y201" s="569"/>
      <c r="Z201" s="569"/>
      <c r="AA201" s="569"/>
      <c r="AB201" s="569"/>
      <c r="AC201" s="569"/>
      <c r="AD201" s="569"/>
      <c r="AE201" s="569"/>
      <c r="AF201" s="569"/>
      <c r="AG201" s="569"/>
      <c r="AH201" s="569"/>
      <c r="AI201" s="569"/>
      <c r="AJ201" s="569"/>
      <c r="AK201" s="569"/>
      <c r="AL201" s="569"/>
      <c r="AM201" s="569"/>
      <c r="AN201" s="569"/>
      <c r="AO201" s="569"/>
      <c r="AP201" s="569"/>
      <c r="AQ201" s="569"/>
      <c r="AR201" s="569"/>
      <c r="AS201" s="569"/>
      <c r="AT201" s="569"/>
      <c r="AU201" s="569"/>
      <c r="AV201" s="569"/>
      <c r="AW201" s="569"/>
      <c r="AX201" s="569"/>
      <c r="AY201" s="569"/>
      <c r="AZ201" s="569"/>
      <c r="BA201" s="569"/>
      <c r="BB201" s="569"/>
      <c r="BC201" s="569"/>
      <c r="BD201" s="569"/>
      <c r="BE201" s="569"/>
      <c r="BF201" s="569"/>
      <c r="BG201" s="569"/>
      <c r="BH201" s="569"/>
      <c r="BI201" s="569"/>
      <c r="BJ201" s="569"/>
      <c r="BK201" s="569"/>
      <c r="BL201" s="569"/>
      <c r="BM201" s="569"/>
      <c r="BN201" s="569"/>
      <c r="BO201" s="569"/>
      <c r="BP201" s="569"/>
      <c r="BQ201" s="569"/>
      <c r="BR201" s="569"/>
      <c r="BS201" s="569"/>
      <c r="BT201" s="569"/>
      <c r="BU201" s="569"/>
      <c r="BV201" s="569"/>
      <c r="BW201" s="569"/>
      <c r="BX201" s="569"/>
      <c r="BY201" s="569"/>
      <c r="BZ201" s="569"/>
      <c r="CA201" s="569"/>
      <c r="CB201" s="569"/>
      <c r="CC201" s="569"/>
      <c r="CD201" s="569"/>
      <c r="CE201" s="569"/>
      <c r="CF201" s="569"/>
      <c r="CG201" s="569"/>
      <c r="CH201" s="569"/>
      <c r="CI201" s="569"/>
      <c r="CJ201" s="569"/>
      <c r="CK201" s="569"/>
      <c r="CL201" s="569"/>
      <c r="CM201" s="569"/>
      <c r="CN201" s="569"/>
      <c r="CO201" s="569"/>
      <c r="CP201" s="569"/>
      <c r="CQ201" s="569"/>
      <c r="CR201" s="569"/>
      <c r="CS201" s="569"/>
      <c r="CT201" s="569"/>
      <c r="CU201" s="569"/>
      <c r="CV201" s="569"/>
      <c r="CW201" s="569"/>
      <c r="CX201" s="569"/>
      <c r="CY201" s="569"/>
      <c r="CZ201" s="569"/>
      <c r="DA201" s="569"/>
      <c r="DB201" s="569"/>
      <c r="DC201" s="569"/>
      <c r="DD201" s="569"/>
      <c r="DE201" s="569"/>
      <c r="DF201" s="569"/>
      <c r="DG201" s="569"/>
      <c r="DH201" s="569"/>
      <c r="DI201" s="569"/>
      <c r="DJ201" s="569"/>
      <c r="DK201" s="569"/>
      <c r="DL201" s="569"/>
      <c r="DM201" s="569"/>
      <c r="DN201" s="569"/>
      <c r="DO201" s="569"/>
      <c r="DP201" s="569"/>
      <c r="DQ201" s="569"/>
      <c r="DR201" s="569"/>
      <c r="DS201" s="569"/>
      <c r="DT201" s="569"/>
      <c r="DU201" s="569"/>
      <c r="DV201" s="569"/>
      <c r="DW201" s="569"/>
      <c r="DX201" s="569"/>
      <c r="DY201" s="569"/>
      <c r="DZ201" s="569"/>
      <c r="EA201" s="569"/>
      <c r="EB201" s="569"/>
      <c r="EC201" s="569"/>
      <c r="ED201" s="569"/>
      <c r="EE201" s="569"/>
      <c r="EF201" s="569"/>
      <c r="EG201" s="569"/>
      <c r="EH201" s="569"/>
      <c r="EI201" s="569"/>
      <c r="EJ201" s="569"/>
      <c r="EK201" s="569"/>
      <c r="EL201" s="569"/>
      <c r="EM201" s="569"/>
      <c r="EN201" s="569"/>
      <c r="EO201" s="569"/>
      <c r="EP201" s="569"/>
      <c r="EQ201" s="569"/>
      <c r="ER201" s="569"/>
      <c r="ES201" s="569"/>
      <c r="ET201" s="569"/>
      <c r="EU201" s="569"/>
      <c r="EV201" s="569"/>
      <c r="EW201" s="569"/>
      <c r="EX201" s="569"/>
      <c r="EY201" s="569"/>
      <c r="EZ201" s="569"/>
      <c r="FA201" s="569"/>
      <c r="FB201" s="569"/>
      <c r="FC201" s="569"/>
      <c r="FD201" s="569"/>
      <c r="FE201" s="569"/>
      <c r="FF201" s="569"/>
      <c r="FG201" s="569"/>
      <c r="FH201" s="569"/>
      <c r="FI201" s="569"/>
      <c r="FJ201" s="569"/>
      <c r="FK201" s="569"/>
      <c r="FL201" s="569"/>
      <c r="FM201" s="569"/>
      <c r="FN201" s="569"/>
      <c r="FO201" s="569"/>
      <c r="FP201" s="569"/>
      <c r="FQ201" s="569"/>
      <c r="FR201" s="569"/>
      <c r="FS201" s="569"/>
      <c r="FT201" s="569"/>
      <c r="FU201" s="569"/>
      <c r="FV201" s="569"/>
      <c r="FW201" s="569"/>
      <c r="FX201" s="569"/>
      <c r="FY201" s="569"/>
      <c r="FZ201" s="569"/>
      <c r="GA201" s="569"/>
      <c r="GB201" s="569"/>
      <c r="GC201" s="569"/>
      <c r="GD201" s="569"/>
      <c r="GE201" s="569"/>
      <c r="GF201" s="569"/>
      <c r="GG201" s="569"/>
      <c r="GH201" s="569"/>
      <c r="GI201" s="569"/>
      <c r="GJ201" s="569"/>
      <c r="GK201" s="569"/>
      <c r="GL201" s="569"/>
      <c r="GM201" s="569"/>
      <c r="GN201" s="569"/>
      <c r="GO201" s="569"/>
      <c r="GP201" s="569"/>
      <c r="GQ201" s="569"/>
      <c r="GR201" s="569"/>
      <c r="GS201" s="569"/>
      <c r="GT201" s="569"/>
    </row>
    <row r="202" spans="2:202" s="554" customFormat="1">
      <c r="B202" s="569"/>
      <c r="C202" s="569"/>
      <c r="D202" s="569"/>
      <c r="E202" s="569"/>
      <c r="F202" s="569"/>
      <c r="G202" s="569"/>
      <c r="H202" s="569"/>
      <c r="I202" s="569"/>
      <c r="J202" s="569"/>
      <c r="K202" s="569"/>
      <c r="L202" s="569"/>
      <c r="M202" s="569"/>
      <c r="N202" s="569"/>
      <c r="O202" s="569"/>
      <c r="P202" s="569"/>
      <c r="Q202" s="569"/>
      <c r="R202" s="569"/>
      <c r="S202" s="569"/>
      <c r="T202" s="590"/>
      <c r="U202" s="569"/>
      <c r="V202" s="569"/>
      <c r="W202" s="569"/>
      <c r="X202" s="569"/>
      <c r="Y202" s="569"/>
      <c r="Z202" s="569"/>
      <c r="AA202" s="569"/>
      <c r="AB202" s="569"/>
      <c r="AC202" s="569"/>
      <c r="AD202" s="569"/>
      <c r="AE202" s="569"/>
      <c r="AF202" s="569"/>
      <c r="AG202" s="569"/>
      <c r="AH202" s="569"/>
      <c r="AI202" s="569"/>
      <c r="AJ202" s="569"/>
      <c r="AK202" s="569"/>
      <c r="AL202" s="569"/>
      <c r="AM202" s="569"/>
      <c r="AN202" s="569"/>
      <c r="AO202" s="569"/>
      <c r="AP202" s="569"/>
      <c r="AQ202" s="569"/>
      <c r="AR202" s="569"/>
      <c r="AS202" s="569"/>
      <c r="AT202" s="569"/>
      <c r="AU202" s="569"/>
      <c r="AV202" s="569"/>
      <c r="AW202" s="569"/>
      <c r="AX202" s="569"/>
      <c r="AY202" s="569"/>
      <c r="AZ202" s="569"/>
      <c r="BA202" s="569"/>
      <c r="BB202" s="569"/>
      <c r="BC202" s="569"/>
      <c r="BD202" s="569"/>
      <c r="BE202" s="569"/>
      <c r="BF202" s="569"/>
      <c r="BG202" s="569"/>
      <c r="BH202" s="569"/>
      <c r="BI202" s="569"/>
      <c r="BJ202" s="569"/>
      <c r="BK202" s="569"/>
      <c r="BL202" s="569"/>
      <c r="BM202" s="569"/>
      <c r="BN202" s="569"/>
      <c r="BO202" s="569"/>
      <c r="BP202" s="569"/>
      <c r="BQ202" s="569"/>
      <c r="BR202" s="569"/>
      <c r="BS202" s="569"/>
      <c r="BT202" s="569"/>
      <c r="BU202" s="569"/>
      <c r="BV202" s="569"/>
      <c r="BW202" s="569"/>
      <c r="BX202" s="569"/>
      <c r="BY202" s="569"/>
      <c r="BZ202" s="569"/>
      <c r="CA202" s="569"/>
      <c r="CB202" s="569"/>
      <c r="CC202" s="569"/>
      <c r="CD202" s="569"/>
      <c r="CE202" s="569"/>
      <c r="CF202" s="569"/>
      <c r="CG202" s="569"/>
      <c r="CH202" s="569"/>
      <c r="CI202" s="569"/>
      <c r="CJ202" s="569"/>
      <c r="CK202" s="569"/>
      <c r="CL202" s="569"/>
      <c r="CM202" s="569"/>
      <c r="CN202" s="569"/>
      <c r="CO202" s="569"/>
      <c r="CP202" s="569"/>
      <c r="CQ202" s="569"/>
      <c r="CR202" s="569"/>
      <c r="CS202" s="569"/>
      <c r="CT202" s="569"/>
      <c r="CU202" s="569"/>
      <c r="CV202" s="569"/>
      <c r="CW202" s="569"/>
      <c r="CX202" s="569"/>
      <c r="CY202" s="569"/>
      <c r="CZ202" s="569"/>
      <c r="DA202" s="569"/>
      <c r="DB202" s="569"/>
      <c r="DC202" s="569"/>
      <c r="DD202" s="569"/>
      <c r="DE202" s="569"/>
      <c r="DF202" s="569"/>
      <c r="DG202" s="569"/>
      <c r="DH202" s="569"/>
      <c r="DI202" s="569"/>
      <c r="DJ202" s="569"/>
      <c r="DK202" s="569"/>
      <c r="DL202" s="569"/>
      <c r="DM202" s="569"/>
      <c r="DN202" s="569"/>
      <c r="DO202" s="569"/>
      <c r="DP202" s="569"/>
      <c r="DQ202" s="569"/>
      <c r="DR202" s="569"/>
      <c r="DS202" s="569"/>
      <c r="DT202" s="569"/>
      <c r="DU202" s="569"/>
      <c r="DV202" s="569"/>
      <c r="DW202" s="569"/>
      <c r="DX202" s="569"/>
      <c r="DY202" s="569"/>
      <c r="DZ202" s="569"/>
      <c r="EA202" s="569"/>
      <c r="EB202" s="569"/>
      <c r="EC202" s="569"/>
      <c r="ED202" s="569"/>
      <c r="EE202" s="569"/>
      <c r="EF202" s="569"/>
      <c r="EG202" s="569"/>
      <c r="EH202" s="569"/>
      <c r="EI202" s="569"/>
      <c r="EJ202" s="569"/>
      <c r="EK202" s="569"/>
      <c r="EL202" s="569"/>
      <c r="EM202" s="569"/>
      <c r="EN202" s="569"/>
      <c r="EO202" s="569"/>
      <c r="EP202" s="569"/>
      <c r="EQ202" s="569"/>
      <c r="ER202" s="569"/>
      <c r="ES202" s="569"/>
      <c r="ET202" s="569"/>
      <c r="EU202" s="569"/>
      <c r="EV202" s="569"/>
      <c r="EW202" s="569"/>
      <c r="EX202" s="569"/>
      <c r="EY202" s="569"/>
      <c r="EZ202" s="569"/>
      <c r="FA202" s="569"/>
      <c r="FB202" s="569"/>
      <c r="FC202" s="569"/>
      <c r="FD202" s="569"/>
      <c r="FE202" s="569"/>
      <c r="FF202" s="569"/>
      <c r="FG202" s="569"/>
      <c r="FH202" s="569"/>
      <c r="FI202" s="569"/>
      <c r="FJ202" s="569"/>
      <c r="FK202" s="569"/>
      <c r="FL202" s="569"/>
      <c r="FM202" s="569"/>
      <c r="FN202" s="569"/>
      <c r="FO202" s="569"/>
      <c r="FP202" s="569"/>
      <c r="FQ202" s="569"/>
      <c r="FR202" s="569"/>
      <c r="FS202" s="569"/>
      <c r="FT202" s="569"/>
      <c r="FU202" s="569"/>
      <c r="FV202" s="569"/>
      <c r="FW202" s="569"/>
      <c r="FX202" s="569"/>
      <c r="FY202" s="569"/>
      <c r="FZ202" s="569"/>
      <c r="GA202" s="569"/>
      <c r="GB202" s="569"/>
      <c r="GC202" s="569"/>
      <c r="GD202" s="569"/>
      <c r="GE202" s="569"/>
      <c r="GF202" s="569"/>
      <c r="GG202" s="569"/>
      <c r="GH202" s="569"/>
      <c r="GI202" s="569"/>
      <c r="GJ202" s="569"/>
      <c r="GK202" s="569"/>
      <c r="GL202" s="569"/>
      <c r="GM202" s="569"/>
      <c r="GN202" s="569"/>
      <c r="GO202" s="569"/>
      <c r="GP202" s="569"/>
      <c r="GQ202" s="569"/>
      <c r="GR202" s="569"/>
      <c r="GS202" s="569"/>
      <c r="GT202" s="569"/>
    </row>
    <row r="203" spans="2:202" s="554" customFormat="1">
      <c r="B203" s="569"/>
      <c r="C203" s="569"/>
      <c r="D203" s="569"/>
      <c r="E203" s="569"/>
      <c r="F203" s="569"/>
      <c r="G203" s="569"/>
      <c r="H203" s="569"/>
      <c r="I203" s="569"/>
      <c r="J203" s="569"/>
      <c r="K203" s="569"/>
      <c r="L203" s="569"/>
      <c r="M203" s="569"/>
      <c r="N203" s="569"/>
      <c r="O203" s="569"/>
      <c r="P203" s="569"/>
      <c r="Q203" s="569"/>
      <c r="R203" s="569"/>
      <c r="S203" s="569"/>
      <c r="T203" s="590"/>
      <c r="U203" s="569"/>
      <c r="V203" s="569"/>
      <c r="W203" s="569"/>
      <c r="X203" s="569"/>
      <c r="Y203" s="569"/>
      <c r="Z203" s="569"/>
      <c r="AA203" s="569"/>
      <c r="AB203" s="569"/>
      <c r="AC203" s="569"/>
      <c r="AD203" s="569"/>
      <c r="AE203" s="569"/>
      <c r="AF203" s="569"/>
      <c r="AG203" s="569"/>
      <c r="AH203" s="569"/>
      <c r="AI203" s="569"/>
      <c r="AJ203" s="569"/>
      <c r="AK203" s="569"/>
      <c r="AL203" s="569"/>
      <c r="AM203" s="569"/>
      <c r="AN203" s="569"/>
      <c r="AO203" s="569"/>
      <c r="AP203" s="569"/>
      <c r="AQ203" s="569"/>
      <c r="AR203" s="569"/>
      <c r="AS203" s="569"/>
      <c r="AT203" s="569"/>
      <c r="AU203" s="569"/>
      <c r="AV203" s="569"/>
      <c r="AW203" s="569"/>
      <c r="AX203" s="569"/>
      <c r="AY203" s="569"/>
      <c r="AZ203" s="569"/>
      <c r="BA203" s="569"/>
      <c r="BB203" s="569"/>
      <c r="BC203" s="569"/>
      <c r="BD203" s="569"/>
      <c r="BE203" s="569"/>
      <c r="BF203" s="569"/>
      <c r="BG203" s="569"/>
      <c r="BH203" s="569"/>
      <c r="BI203" s="569"/>
      <c r="BJ203" s="569"/>
      <c r="BK203" s="569"/>
      <c r="BL203" s="569"/>
      <c r="BM203" s="569"/>
      <c r="BN203" s="569"/>
      <c r="BO203" s="569"/>
      <c r="BP203" s="569"/>
      <c r="BQ203" s="569"/>
      <c r="BR203" s="569"/>
      <c r="BS203" s="569"/>
      <c r="BT203" s="569"/>
      <c r="BU203" s="569"/>
      <c r="BV203" s="569"/>
      <c r="BW203" s="569"/>
      <c r="BX203" s="569"/>
      <c r="BY203" s="569"/>
      <c r="BZ203" s="569"/>
      <c r="CA203" s="569"/>
      <c r="CB203" s="569"/>
      <c r="CC203" s="569"/>
      <c r="CD203" s="569"/>
      <c r="CE203" s="569"/>
      <c r="CF203" s="569"/>
      <c r="CG203" s="569"/>
      <c r="CH203" s="569"/>
      <c r="CI203" s="569"/>
      <c r="CJ203" s="569"/>
      <c r="CK203" s="569"/>
      <c r="CL203" s="569"/>
      <c r="CM203" s="569"/>
      <c r="CN203" s="569"/>
      <c r="CO203" s="569"/>
      <c r="CP203" s="569"/>
      <c r="CQ203" s="569"/>
      <c r="CR203" s="569"/>
      <c r="CS203" s="569"/>
      <c r="CT203" s="569"/>
      <c r="CU203" s="569"/>
      <c r="CV203" s="569"/>
      <c r="CW203" s="569"/>
      <c r="CX203" s="569"/>
      <c r="CY203" s="569"/>
      <c r="CZ203" s="569"/>
      <c r="DA203" s="569"/>
      <c r="DB203" s="569"/>
      <c r="DC203" s="569"/>
      <c r="DD203" s="569"/>
      <c r="DE203" s="569"/>
      <c r="DF203" s="569"/>
      <c r="DG203" s="569"/>
      <c r="DH203" s="569"/>
      <c r="DI203" s="569"/>
      <c r="DJ203" s="569"/>
      <c r="DK203" s="569"/>
      <c r="DL203" s="569"/>
      <c r="DM203" s="569"/>
      <c r="DN203" s="569"/>
      <c r="DO203" s="569"/>
      <c r="DP203" s="569"/>
      <c r="DQ203" s="569"/>
      <c r="DR203" s="569"/>
      <c r="DS203" s="569"/>
      <c r="DT203" s="569"/>
      <c r="DU203" s="569"/>
      <c r="DV203" s="569"/>
      <c r="DW203" s="569"/>
      <c r="DX203" s="569"/>
      <c r="DY203" s="569"/>
      <c r="DZ203" s="569"/>
      <c r="EA203" s="569"/>
      <c r="EB203" s="569"/>
      <c r="EC203" s="569"/>
      <c r="ED203" s="569"/>
      <c r="EE203" s="569"/>
      <c r="EF203" s="569"/>
      <c r="EG203" s="569"/>
      <c r="EH203" s="569"/>
      <c r="EI203" s="569"/>
      <c r="EJ203" s="569"/>
      <c r="EK203" s="569"/>
      <c r="EL203" s="569"/>
      <c r="EM203" s="569"/>
      <c r="EN203" s="569"/>
      <c r="EO203" s="569"/>
      <c r="EP203" s="569"/>
      <c r="EQ203" s="569"/>
      <c r="ER203" s="569"/>
      <c r="ES203" s="569"/>
      <c r="ET203" s="569"/>
      <c r="EU203" s="569"/>
      <c r="EV203" s="569"/>
      <c r="EW203" s="569"/>
      <c r="EX203" s="569"/>
      <c r="EY203" s="569"/>
      <c r="EZ203" s="569"/>
      <c r="FA203" s="569"/>
      <c r="FB203" s="569"/>
      <c r="FC203" s="569"/>
      <c r="FD203" s="569"/>
      <c r="FE203" s="569"/>
      <c r="FF203" s="569"/>
      <c r="FG203" s="569"/>
      <c r="FH203" s="569"/>
      <c r="FI203" s="569"/>
      <c r="FJ203" s="569"/>
      <c r="FK203" s="569"/>
      <c r="FL203" s="569"/>
      <c r="FM203" s="569"/>
      <c r="FN203" s="569"/>
      <c r="FO203" s="569"/>
      <c r="FP203" s="569"/>
      <c r="FQ203" s="569"/>
      <c r="FR203" s="569"/>
      <c r="FS203" s="569"/>
      <c r="FT203" s="569"/>
      <c r="FU203" s="569"/>
      <c r="FV203" s="569"/>
      <c r="FW203" s="569"/>
      <c r="FX203" s="569"/>
      <c r="FY203" s="569"/>
      <c r="FZ203" s="569"/>
      <c r="GA203" s="569"/>
      <c r="GB203" s="569"/>
      <c r="GC203" s="569"/>
      <c r="GD203" s="569"/>
      <c r="GE203" s="569"/>
      <c r="GF203" s="569"/>
      <c r="GG203" s="569"/>
      <c r="GH203" s="569"/>
      <c r="GI203" s="569"/>
      <c r="GJ203" s="569"/>
      <c r="GK203" s="569"/>
      <c r="GL203" s="569"/>
      <c r="GM203" s="569"/>
      <c r="GN203" s="569"/>
      <c r="GO203" s="569"/>
      <c r="GP203" s="569"/>
      <c r="GQ203" s="569"/>
      <c r="GR203" s="569"/>
      <c r="GS203" s="569"/>
      <c r="GT203" s="569"/>
    </row>
    <row r="204" spans="2:202" s="554" customFormat="1">
      <c r="B204" s="569"/>
      <c r="C204" s="569"/>
      <c r="D204" s="569"/>
      <c r="E204" s="569"/>
      <c r="F204" s="569"/>
      <c r="G204" s="569"/>
      <c r="H204" s="569"/>
      <c r="I204" s="569"/>
      <c r="J204" s="569"/>
      <c r="K204" s="569"/>
      <c r="L204" s="569"/>
      <c r="M204" s="569"/>
      <c r="N204" s="569"/>
      <c r="O204" s="569"/>
      <c r="P204" s="569"/>
      <c r="Q204" s="569"/>
      <c r="R204" s="569"/>
      <c r="S204" s="569"/>
      <c r="T204" s="590"/>
      <c r="U204" s="569"/>
      <c r="V204" s="569"/>
      <c r="W204" s="569"/>
      <c r="X204" s="569"/>
      <c r="Y204" s="569"/>
      <c r="Z204" s="569"/>
      <c r="AA204" s="569"/>
      <c r="AB204" s="569"/>
      <c r="AC204" s="569"/>
      <c r="AD204" s="569"/>
      <c r="AE204" s="569"/>
      <c r="AF204" s="569"/>
      <c r="AG204" s="569"/>
      <c r="AH204" s="569"/>
      <c r="AI204" s="569"/>
      <c r="AJ204" s="569"/>
      <c r="AK204" s="569"/>
      <c r="AL204" s="569"/>
      <c r="AM204" s="569"/>
      <c r="AN204" s="569"/>
      <c r="AO204" s="569"/>
      <c r="AP204" s="569"/>
      <c r="AQ204" s="569"/>
      <c r="AR204" s="569"/>
      <c r="AS204" s="569"/>
      <c r="AT204" s="569"/>
      <c r="AU204" s="569"/>
      <c r="AV204" s="569"/>
      <c r="AW204" s="569"/>
      <c r="AX204" s="569"/>
      <c r="AY204" s="569"/>
      <c r="AZ204" s="569"/>
      <c r="BA204" s="569"/>
      <c r="BB204" s="569"/>
      <c r="BC204" s="569"/>
      <c r="BD204" s="569"/>
      <c r="BE204" s="569"/>
      <c r="BF204" s="569"/>
      <c r="BG204" s="569"/>
      <c r="BH204" s="569"/>
      <c r="BI204" s="569"/>
      <c r="BJ204" s="569"/>
      <c r="BK204" s="569"/>
      <c r="BL204" s="569"/>
      <c r="BM204" s="569"/>
      <c r="BN204" s="569"/>
      <c r="BO204" s="569"/>
      <c r="BP204" s="569"/>
      <c r="BQ204" s="569"/>
      <c r="BR204" s="569"/>
      <c r="BS204" s="569"/>
      <c r="BT204" s="569"/>
      <c r="BU204" s="569"/>
      <c r="BV204" s="569"/>
      <c r="BW204" s="569"/>
      <c r="BX204" s="569"/>
      <c r="BY204" s="569"/>
      <c r="BZ204" s="569"/>
      <c r="CA204" s="569"/>
      <c r="CB204" s="569"/>
      <c r="CC204" s="569"/>
      <c r="CD204" s="569"/>
      <c r="CE204" s="569"/>
      <c r="CF204" s="569"/>
      <c r="CG204" s="569"/>
      <c r="CH204" s="569"/>
      <c r="CI204" s="569"/>
      <c r="CJ204" s="569"/>
      <c r="CK204" s="569"/>
      <c r="CL204" s="569"/>
      <c r="CM204" s="569"/>
      <c r="CN204" s="569"/>
      <c r="CO204" s="569"/>
      <c r="CP204" s="569"/>
      <c r="CQ204" s="569"/>
      <c r="CR204" s="569"/>
      <c r="CS204" s="569"/>
      <c r="CT204" s="569"/>
      <c r="CU204" s="569"/>
      <c r="CV204" s="569"/>
      <c r="CW204" s="569"/>
      <c r="CX204" s="569"/>
      <c r="CY204" s="569"/>
      <c r="CZ204" s="569"/>
      <c r="DA204" s="569"/>
      <c r="DB204" s="569"/>
      <c r="DC204" s="569"/>
      <c r="DD204" s="569"/>
      <c r="DE204" s="569"/>
      <c r="DF204" s="569"/>
      <c r="DG204" s="569"/>
      <c r="DH204" s="569"/>
      <c r="DI204" s="569"/>
      <c r="DJ204" s="569"/>
      <c r="DK204" s="569"/>
      <c r="DL204" s="569"/>
      <c r="DM204" s="569"/>
      <c r="DN204" s="569"/>
      <c r="DO204" s="569"/>
      <c r="DP204" s="569"/>
      <c r="DQ204" s="569"/>
      <c r="DR204" s="569"/>
      <c r="DS204" s="569"/>
      <c r="DT204" s="569"/>
      <c r="DU204" s="569"/>
      <c r="DV204" s="569"/>
      <c r="DW204" s="569"/>
      <c r="DX204" s="569"/>
      <c r="DY204" s="569"/>
      <c r="DZ204" s="569"/>
      <c r="EA204" s="569"/>
      <c r="EB204" s="569"/>
      <c r="EC204" s="569"/>
      <c r="ED204" s="569"/>
      <c r="EE204" s="569"/>
      <c r="EF204" s="569"/>
      <c r="EG204" s="569"/>
      <c r="EH204" s="569"/>
      <c r="EI204" s="569"/>
      <c r="EJ204" s="569"/>
      <c r="EK204" s="569"/>
      <c r="EL204" s="569"/>
      <c r="EM204" s="569"/>
      <c r="EN204" s="569"/>
      <c r="EO204" s="569"/>
      <c r="EP204" s="569"/>
      <c r="EQ204" s="569"/>
      <c r="ER204" s="569"/>
      <c r="ES204" s="569"/>
      <c r="ET204" s="569"/>
      <c r="EU204" s="569"/>
      <c r="EV204" s="569"/>
      <c r="EW204" s="569"/>
      <c r="EX204" s="569"/>
      <c r="EY204" s="569"/>
      <c r="EZ204" s="569"/>
      <c r="FA204" s="569"/>
      <c r="FB204" s="569"/>
      <c r="FC204" s="569"/>
      <c r="FD204" s="569"/>
      <c r="FE204" s="569"/>
      <c r="FF204" s="569"/>
      <c r="FG204" s="569"/>
      <c r="FH204" s="569"/>
      <c r="FI204" s="569"/>
      <c r="FJ204" s="569"/>
      <c r="FK204" s="569"/>
      <c r="FL204" s="569"/>
      <c r="FM204" s="569"/>
      <c r="FN204" s="569"/>
      <c r="FO204" s="569"/>
      <c r="FP204" s="569"/>
      <c r="FQ204" s="569"/>
      <c r="FR204" s="569"/>
      <c r="FS204" s="569"/>
      <c r="FT204" s="569"/>
      <c r="FU204" s="569"/>
      <c r="FV204" s="569"/>
      <c r="FW204" s="569"/>
      <c r="FX204" s="569"/>
      <c r="FY204" s="569"/>
      <c r="FZ204" s="569"/>
      <c r="GA204" s="569"/>
      <c r="GB204" s="569"/>
      <c r="GC204" s="569"/>
      <c r="GD204" s="569"/>
      <c r="GE204" s="569"/>
      <c r="GF204" s="569"/>
      <c r="GG204" s="569"/>
      <c r="GH204" s="569"/>
      <c r="GI204" s="569"/>
      <c r="GJ204" s="569"/>
      <c r="GK204" s="569"/>
      <c r="GL204" s="569"/>
      <c r="GM204" s="569"/>
      <c r="GN204" s="569"/>
      <c r="GO204" s="569"/>
      <c r="GP204" s="569"/>
      <c r="GQ204" s="569"/>
      <c r="GR204" s="569"/>
      <c r="GS204" s="569"/>
      <c r="GT204" s="569"/>
    </row>
    <row r="205" spans="2:202" s="554" customFormat="1">
      <c r="B205" s="569"/>
      <c r="C205" s="569"/>
      <c r="D205" s="569"/>
      <c r="E205" s="569"/>
      <c r="F205" s="569"/>
      <c r="G205" s="569"/>
      <c r="H205" s="569"/>
      <c r="I205" s="569"/>
      <c r="J205" s="569"/>
      <c r="K205" s="569"/>
      <c r="L205" s="569"/>
      <c r="M205" s="569"/>
      <c r="N205" s="569"/>
      <c r="O205" s="569"/>
      <c r="P205" s="569"/>
      <c r="Q205" s="569"/>
      <c r="R205" s="569"/>
      <c r="S205" s="569"/>
      <c r="T205" s="590"/>
      <c r="U205" s="569"/>
      <c r="V205" s="569"/>
      <c r="W205" s="569"/>
      <c r="X205" s="569"/>
      <c r="Y205" s="569"/>
      <c r="Z205" s="569"/>
      <c r="AA205" s="569"/>
      <c r="AB205" s="569"/>
      <c r="AC205" s="569"/>
      <c r="AD205" s="569"/>
      <c r="AE205" s="569"/>
      <c r="AF205" s="569"/>
      <c r="AG205" s="569"/>
      <c r="AH205" s="569"/>
      <c r="AI205" s="569"/>
      <c r="AJ205" s="569"/>
      <c r="AK205" s="569"/>
      <c r="AL205" s="569"/>
      <c r="AM205" s="569"/>
      <c r="AN205" s="569"/>
      <c r="AO205" s="569"/>
      <c r="AP205" s="569"/>
      <c r="AQ205" s="569"/>
      <c r="AR205" s="569"/>
      <c r="AS205" s="569"/>
      <c r="AT205" s="569"/>
      <c r="AU205" s="569"/>
      <c r="AV205" s="569"/>
      <c r="AW205" s="569"/>
      <c r="AX205" s="569"/>
      <c r="AY205" s="569"/>
      <c r="AZ205" s="569"/>
      <c r="BA205" s="569"/>
      <c r="BB205" s="569"/>
      <c r="BC205" s="569"/>
      <c r="BD205" s="569"/>
      <c r="BE205" s="569"/>
      <c r="BF205" s="569"/>
      <c r="BG205" s="569"/>
      <c r="BH205" s="569"/>
      <c r="BI205" s="569"/>
      <c r="BJ205" s="569"/>
      <c r="BK205" s="569"/>
      <c r="BL205" s="569"/>
      <c r="BM205" s="569"/>
      <c r="BN205" s="569"/>
      <c r="BO205" s="569"/>
      <c r="BP205" s="569"/>
      <c r="BQ205" s="569"/>
      <c r="BR205" s="569"/>
      <c r="BS205" s="569"/>
      <c r="BT205" s="569"/>
      <c r="BU205" s="569"/>
      <c r="BV205" s="569"/>
      <c r="BW205" s="569"/>
      <c r="BX205" s="569"/>
      <c r="BY205" s="569"/>
      <c r="BZ205" s="569"/>
      <c r="CA205" s="569"/>
      <c r="CB205" s="569"/>
      <c r="CC205" s="569"/>
      <c r="CD205" s="569"/>
      <c r="CE205" s="569"/>
      <c r="CF205" s="569"/>
      <c r="CG205" s="569"/>
      <c r="CH205" s="569"/>
      <c r="CI205" s="569"/>
      <c r="CJ205" s="569"/>
      <c r="CK205" s="569"/>
      <c r="CL205" s="569"/>
      <c r="CM205" s="569"/>
      <c r="CN205" s="569"/>
      <c r="CO205" s="569"/>
      <c r="CP205" s="569"/>
      <c r="CQ205" s="569"/>
      <c r="CR205" s="569"/>
      <c r="CS205" s="569"/>
      <c r="CT205" s="569"/>
      <c r="CU205" s="569"/>
      <c r="CV205" s="569"/>
      <c r="CW205" s="569"/>
      <c r="CX205" s="569"/>
      <c r="CY205" s="569"/>
      <c r="CZ205" s="569"/>
      <c r="DA205" s="569"/>
      <c r="DB205" s="569"/>
      <c r="DC205" s="569"/>
      <c r="DD205" s="569"/>
      <c r="DE205" s="569"/>
      <c r="DF205" s="569"/>
      <c r="DG205" s="569"/>
      <c r="DH205" s="569"/>
      <c r="DI205" s="569"/>
      <c r="DJ205" s="569"/>
      <c r="DK205" s="569"/>
      <c r="DL205" s="569"/>
      <c r="DM205" s="569"/>
      <c r="DN205" s="569"/>
      <c r="DO205" s="569"/>
      <c r="DP205" s="569"/>
      <c r="DQ205" s="569"/>
      <c r="DR205" s="569"/>
      <c r="DS205" s="569"/>
      <c r="DT205" s="569"/>
      <c r="DU205" s="569"/>
      <c r="DV205" s="569"/>
      <c r="DW205" s="569"/>
      <c r="DX205" s="569"/>
      <c r="DY205" s="569"/>
      <c r="DZ205" s="569"/>
      <c r="EA205" s="569"/>
      <c r="EB205" s="569"/>
      <c r="EC205" s="569"/>
      <c r="ED205" s="569"/>
      <c r="EE205" s="569"/>
      <c r="EF205" s="569"/>
      <c r="EG205" s="569"/>
      <c r="EH205" s="569"/>
      <c r="EI205" s="569"/>
      <c r="EJ205" s="569"/>
      <c r="EK205" s="569"/>
      <c r="EL205" s="569"/>
      <c r="EM205" s="569"/>
      <c r="EN205" s="569"/>
      <c r="EO205" s="569"/>
      <c r="EP205" s="569"/>
      <c r="EQ205" s="569"/>
      <c r="ER205" s="569"/>
      <c r="ES205" s="569"/>
      <c r="ET205" s="569"/>
      <c r="EU205" s="569"/>
      <c r="EV205" s="569"/>
      <c r="EW205" s="569"/>
      <c r="EX205" s="569"/>
      <c r="EY205" s="569"/>
      <c r="EZ205" s="569"/>
      <c r="FA205" s="569"/>
      <c r="FB205" s="569"/>
      <c r="FC205" s="569"/>
      <c r="FD205" s="569"/>
      <c r="FE205" s="569"/>
      <c r="FF205" s="569"/>
      <c r="FG205" s="569"/>
      <c r="FH205" s="569"/>
      <c r="FI205" s="569"/>
      <c r="FJ205" s="569"/>
      <c r="FK205" s="569"/>
      <c r="FL205" s="569"/>
      <c r="FM205" s="569"/>
      <c r="FN205" s="569"/>
      <c r="FO205" s="569"/>
      <c r="FP205" s="569"/>
      <c r="FQ205" s="569"/>
      <c r="FR205" s="569"/>
      <c r="FS205" s="569"/>
      <c r="FT205" s="569"/>
      <c r="FU205" s="569"/>
      <c r="FV205" s="569"/>
      <c r="FW205" s="569"/>
      <c r="FX205" s="569"/>
      <c r="FY205" s="569"/>
      <c r="FZ205" s="569"/>
      <c r="GA205" s="569"/>
      <c r="GB205" s="569"/>
      <c r="GC205" s="569"/>
      <c r="GD205" s="569"/>
      <c r="GE205" s="569"/>
      <c r="GF205" s="569"/>
      <c r="GG205" s="569"/>
      <c r="GH205" s="569"/>
      <c r="GI205" s="569"/>
      <c r="GJ205" s="569"/>
      <c r="GK205" s="569"/>
      <c r="GL205" s="569"/>
      <c r="GM205" s="569"/>
      <c r="GN205" s="569"/>
      <c r="GO205" s="569"/>
      <c r="GP205" s="569"/>
      <c r="GQ205" s="569"/>
      <c r="GR205" s="569"/>
      <c r="GS205" s="569"/>
      <c r="GT205" s="569"/>
    </row>
    <row r="206" spans="2:202" s="554" customFormat="1">
      <c r="B206" s="569"/>
      <c r="C206" s="569"/>
      <c r="D206" s="569"/>
      <c r="E206" s="569"/>
      <c r="F206" s="569"/>
      <c r="G206" s="569"/>
      <c r="H206" s="569"/>
      <c r="I206" s="569"/>
      <c r="J206" s="569"/>
      <c r="K206" s="569"/>
      <c r="L206" s="569"/>
      <c r="M206" s="569"/>
      <c r="N206" s="569"/>
      <c r="O206" s="569"/>
      <c r="P206" s="569"/>
      <c r="Q206" s="569"/>
      <c r="R206" s="569"/>
      <c r="S206" s="569"/>
      <c r="T206" s="590"/>
      <c r="U206" s="569"/>
      <c r="V206" s="569"/>
      <c r="W206" s="569"/>
      <c r="X206" s="569"/>
      <c r="Y206" s="569"/>
      <c r="Z206" s="569"/>
      <c r="AA206" s="569"/>
      <c r="AB206" s="569"/>
      <c r="AC206" s="569"/>
      <c r="AD206" s="569"/>
      <c r="AE206" s="569"/>
      <c r="AF206" s="569"/>
      <c r="AG206" s="569"/>
      <c r="AH206" s="569"/>
      <c r="AI206" s="569"/>
      <c r="AJ206" s="569"/>
      <c r="AK206" s="569"/>
      <c r="AL206" s="569"/>
      <c r="AM206" s="569"/>
      <c r="AN206" s="569"/>
      <c r="AO206" s="569"/>
      <c r="AP206" s="569"/>
      <c r="AQ206" s="569"/>
      <c r="AR206" s="569"/>
      <c r="AS206" s="569"/>
      <c r="AT206" s="569"/>
      <c r="AU206" s="569"/>
      <c r="AV206" s="569"/>
      <c r="AW206" s="569"/>
      <c r="AX206" s="569"/>
      <c r="AY206" s="569"/>
      <c r="AZ206" s="569"/>
      <c r="BA206" s="569"/>
      <c r="BB206" s="569"/>
      <c r="BC206" s="569"/>
      <c r="BD206" s="569"/>
      <c r="BE206" s="569"/>
      <c r="BF206" s="569"/>
      <c r="BG206" s="569"/>
      <c r="BH206" s="569"/>
      <c r="BI206" s="569"/>
      <c r="BJ206" s="569"/>
      <c r="BK206" s="569"/>
      <c r="BL206" s="569"/>
      <c r="BM206" s="569"/>
      <c r="BN206" s="569"/>
      <c r="BO206" s="569"/>
      <c r="BP206" s="569"/>
      <c r="BQ206" s="569"/>
      <c r="BR206" s="569"/>
      <c r="BS206" s="569"/>
      <c r="BT206" s="569"/>
      <c r="BU206" s="569"/>
      <c r="BV206" s="569"/>
      <c r="BW206" s="569"/>
      <c r="BX206" s="569"/>
      <c r="BY206" s="569"/>
      <c r="BZ206" s="569"/>
      <c r="CA206" s="569"/>
      <c r="CB206" s="569"/>
      <c r="CC206" s="569"/>
      <c r="CD206" s="569"/>
      <c r="CE206" s="569"/>
      <c r="CF206" s="569"/>
      <c r="CG206" s="569"/>
      <c r="CH206" s="569"/>
      <c r="CI206" s="569"/>
      <c r="CJ206" s="569"/>
      <c r="CK206" s="569"/>
      <c r="CL206" s="569"/>
      <c r="CM206" s="569"/>
      <c r="CN206" s="569"/>
      <c r="CO206" s="569"/>
      <c r="CP206" s="569"/>
      <c r="CQ206" s="569"/>
      <c r="CR206" s="569"/>
      <c r="CS206" s="569"/>
      <c r="CT206" s="569"/>
      <c r="CU206" s="569"/>
      <c r="CV206" s="569"/>
      <c r="CW206" s="569"/>
      <c r="CX206" s="569"/>
      <c r="CY206" s="569"/>
      <c r="CZ206" s="569"/>
      <c r="DA206" s="569"/>
      <c r="DB206" s="569"/>
      <c r="DC206" s="569"/>
      <c r="DD206" s="569"/>
      <c r="DE206" s="569"/>
      <c r="DF206" s="569"/>
      <c r="DG206" s="569"/>
      <c r="DH206" s="569"/>
      <c r="DI206" s="569"/>
      <c r="DJ206" s="569"/>
      <c r="DK206" s="569"/>
      <c r="DL206" s="569"/>
      <c r="DM206" s="569"/>
      <c r="DN206" s="569"/>
      <c r="DO206" s="569"/>
      <c r="DP206" s="569"/>
      <c r="DQ206" s="569"/>
      <c r="DR206" s="569"/>
      <c r="DS206" s="569"/>
      <c r="DT206" s="569"/>
      <c r="DU206" s="569"/>
      <c r="DV206" s="569"/>
      <c r="DW206" s="569"/>
      <c r="DX206" s="569"/>
      <c r="DY206" s="569"/>
      <c r="DZ206" s="569"/>
      <c r="EA206" s="569"/>
      <c r="EB206" s="569"/>
      <c r="EC206" s="569"/>
      <c r="ED206" s="569"/>
      <c r="EE206" s="569"/>
      <c r="EF206" s="569"/>
      <c r="EG206" s="569"/>
      <c r="EH206" s="569"/>
      <c r="EI206" s="569"/>
      <c r="EJ206" s="569"/>
      <c r="EK206" s="569"/>
      <c r="EL206" s="569"/>
      <c r="EM206" s="569"/>
      <c r="EN206" s="569"/>
      <c r="EO206" s="569"/>
      <c r="EP206" s="569"/>
      <c r="EQ206" s="569"/>
      <c r="ER206" s="569"/>
      <c r="ES206" s="569"/>
      <c r="ET206" s="569"/>
      <c r="EU206" s="569"/>
      <c r="EV206" s="569"/>
      <c r="EW206" s="569"/>
      <c r="EX206" s="569"/>
      <c r="EY206" s="569"/>
      <c r="EZ206" s="569"/>
      <c r="FA206" s="569"/>
      <c r="FB206" s="569"/>
      <c r="FC206" s="569"/>
      <c r="FD206" s="569"/>
      <c r="FE206" s="569"/>
      <c r="FF206" s="569"/>
      <c r="FG206" s="569"/>
      <c r="FH206" s="569"/>
      <c r="FI206" s="569"/>
      <c r="FJ206" s="569"/>
      <c r="FK206" s="569"/>
      <c r="FL206" s="569"/>
      <c r="FM206" s="569"/>
      <c r="FN206" s="569"/>
      <c r="FO206" s="569"/>
      <c r="FP206" s="569"/>
      <c r="FQ206" s="569"/>
      <c r="FR206" s="569"/>
      <c r="FS206" s="569"/>
      <c r="FT206" s="569"/>
      <c r="FU206" s="569"/>
      <c r="FV206" s="569"/>
      <c r="FW206" s="569"/>
      <c r="FX206" s="569"/>
      <c r="FY206" s="569"/>
      <c r="FZ206" s="569"/>
      <c r="GA206" s="569"/>
      <c r="GB206" s="569"/>
      <c r="GC206" s="569"/>
      <c r="GD206" s="569"/>
      <c r="GE206" s="569"/>
      <c r="GF206" s="569"/>
      <c r="GG206" s="569"/>
      <c r="GH206" s="569"/>
      <c r="GI206" s="569"/>
      <c r="GJ206" s="569"/>
      <c r="GK206" s="569"/>
      <c r="GL206" s="569"/>
      <c r="GM206" s="569"/>
      <c r="GN206" s="569"/>
      <c r="GO206" s="569"/>
      <c r="GP206" s="569"/>
      <c r="GQ206" s="569"/>
      <c r="GR206" s="569"/>
      <c r="GS206" s="569"/>
      <c r="GT206" s="569"/>
    </row>
    <row r="207" spans="2:202" s="554" customFormat="1">
      <c r="B207" s="569"/>
      <c r="C207" s="569"/>
      <c r="D207" s="569"/>
      <c r="E207" s="569"/>
      <c r="F207" s="569"/>
      <c r="G207" s="569"/>
      <c r="H207" s="569"/>
      <c r="I207" s="569"/>
      <c r="J207" s="569"/>
      <c r="K207" s="569"/>
      <c r="L207" s="569"/>
      <c r="M207" s="569"/>
      <c r="N207" s="569"/>
      <c r="O207" s="569"/>
      <c r="P207" s="569"/>
      <c r="Q207" s="569"/>
      <c r="R207" s="569"/>
      <c r="S207" s="569"/>
      <c r="T207" s="590"/>
      <c r="U207" s="569"/>
      <c r="V207" s="569"/>
      <c r="W207" s="569"/>
      <c r="X207" s="569"/>
      <c r="Y207" s="569"/>
      <c r="Z207" s="569"/>
      <c r="AA207" s="569"/>
      <c r="AB207" s="569"/>
      <c r="AC207" s="569"/>
      <c r="AD207" s="569"/>
      <c r="AE207" s="569"/>
      <c r="AF207" s="569"/>
      <c r="AG207" s="569"/>
      <c r="AH207" s="569"/>
      <c r="AI207" s="569"/>
      <c r="AJ207" s="569"/>
      <c r="AK207" s="569"/>
      <c r="AL207" s="569"/>
      <c r="AM207" s="569"/>
      <c r="AN207" s="569"/>
      <c r="AO207" s="569"/>
      <c r="AP207" s="569"/>
      <c r="AQ207" s="569"/>
      <c r="AR207" s="569"/>
      <c r="AS207" s="569"/>
      <c r="AT207" s="569"/>
      <c r="AU207" s="569"/>
      <c r="AV207" s="569"/>
      <c r="AW207" s="569"/>
      <c r="AX207" s="569"/>
      <c r="AY207" s="569"/>
      <c r="AZ207" s="569"/>
      <c r="BA207" s="569"/>
      <c r="BB207" s="569"/>
      <c r="BC207" s="569"/>
      <c r="BD207" s="569"/>
      <c r="BE207" s="569"/>
      <c r="BF207" s="569"/>
      <c r="BG207" s="569"/>
      <c r="BH207" s="569"/>
      <c r="BI207" s="569"/>
      <c r="BJ207" s="569"/>
      <c r="BK207" s="569"/>
      <c r="BL207" s="569"/>
      <c r="BM207" s="569"/>
      <c r="BN207" s="569"/>
      <c r="BO207" s="569"/>
      <c r="BP207" s="569"/>
      <c r="BQ207" s="569"/>
      <c r="BR207" s="569"/>
      <c r="BS207" s="569"/>
      <c r="BT207" s="569"/>
      <c r="BU207" s="569"/>
      <c r="BV207" s="569"/>
      <c r="BW207" s="569"/>
      <c r="BX207" s="569"/>
      <c r="BY207" s="569"/>
      <c r="BZ207" s="569"/>
      <c r="CA207" s="569"/>
      <c r="CB207" s="569"/>
      <c r="CC207" s="569"/>
      <c r="CD207" s="569"/>
      <c r="CE207" s="569"/>
      <c r="CF207" s="569"/>
      <c r="CG207" s="569"/>
      <c r="CH207" s="569"/>
      <c r="CI207" s="569"/>
      <c r="CJ207" s="569"/>
      <c r="CK207" s="569"/>
      <c r="CL207" s="569"/>
      <c r="CM207" s="569"/>
      <c r="CN207" s="569"/>
      <c r="CO207" s="569"/>
      <c r="CP207" s="569"/>
      <c r="CQ207" s="569"/>
      <c r="CR207" s="569"/>
      <c r="CS207" s="569"/>
      <c r="CT207" s="569"/>
      <c r="CU207" s="569"/>
      <c r="CV207" s="569"/>
      <c r="CW207" s="569"/>
      <c r="CX207" s="569"/>
      <c r="CY207" s="569"/>
      <c r="CZ207" s="569"/>
      <c r="DA207" s="569"/>
      <c r="DB207" s="569"/>
      <c r="DC207" s="569"/>
      <c r="DD207" s="569"/>
      <c r="DE207" s="569"/>
      <c r="DF207" s="569"/>
      <c r="DG207" s="569"/>
      <c r="DH207" s="569"/>
      <c r="DI207" s="569"/>
      <c r="DJ207" s="569"/>
      <c r="DK207" s="569"/>
      <c r="DL207" s="569"/>
      <c r="DM207" s="569"/>
      <c r="DN207" s="569"/>
      <c r="DO207" s="569"/>
      <c r="DP207" s="569"/>
      <c r="DQ207" s="569"/>
      <c r="DR207" s="569"/>
      <c r="DS207" s="569"/>
      <c r="DT207" s="569"/>
      <c r="DU207" s="569"/>
      <c r="DV207" s="569"/>
      <c r="DW207" s="569"/>
      <c r="DX207" s="569"/>
      <c r="DY207" s="569"/>
      <c r="DZ207" s="569"/>
      <c r="EA207" s="569"/>
      <c r="EB207" s="569"/>
      <c r="EC207" s="569"/>
      <c r="ED207" s="569"/>
      <c r="EE207" s="569"/>
      <c r="EF207" s="569"/>
      <c r="EG207" s="569"/>
      <c r="EH207" s="569"/>
      <c r="EI207" s="569"/>
      <c r="EJ207" s="569"/>
      <c r="EK207" s="569"/>
      <c r="EL207" s="569"/>
      <c r="EM207" s="569"/>
      <c r="EN207" s="569"/>
      <c r="EO207" s="569"/>
      <c r="EP207" s="569"/>
      <c r="EQ207" s="569"/>
      <c r="ER207" s="569"/>
      <c r="ES207" s="569"/>
      <c r="ET207" s="569"/>
      <c r="EU207" s="569"/>
      <c r="EV207" s="569"/>
      <c r="EW207" s="569"/>
      <c r="EX207" s="569"/>
      <c r="EY207" s="569"/>
      <c r="EZ207" s="569"/>
      <c r="FA207" s="569"/>
      <c r="FB207" s="569"/>
      <c r="FC207" s="569"/>
      <c r="FD207" s="569"/>
      <c r="FE207" s="569"/>
      <c r="FF207" s="569"/>
      <c r="FG207" s="569"/>
      <c r="FH207" s="569"/>
      <c r="FI207" s="569"/>
      <c r="FJ207" s="569"/>
      <c r="FK207" s="569"/>
      <c r="FL207" s="569"/>
      <c r="FM207" s="569"/>
      <c r="FN207" s="569"/>
      <c r="FO207" s="569"/>
      <c r="FP207" s="569"/>
      <c r="FQ207" s="569"/>
      <c r="FR207" s="569"/>
      <c r="FS207" s="569"/>
      <c r="FT207" s="569"/>
      <c r="FU207" s="569"/>
      <c r="FV207" s="569"/>
      <c r="FW207" s="569"/>
      <c r="FX207" s="569"/>
      <c r="FY207" s="569"/>
      <c r="FZ207" s="569"/>
      <c r="GA207" s="569"/>
      <c r="GB207" s="569"/>
      <c r="GC207" s="569"/>
      <c r="GD207" s="569"/>
      <c r="GE207" s="569"/>
      <c r="GF207" s="569"/>
      <c r="GG207" s="569"/>
      <c r="GH207" s="569"/>
      <c r="GI207" s="569"/>
      <c r="GJ207" s="569"/>
      <c r="GK207" s="569"/>
      <c r="GL207" s="569"/>
      <c r="GM207" s="569"/>
      <c r="GN207" s="569"/>
      <c r="GO207" s="569"/>
      <c r="GP207" s="569"/>
      <c r="GQ207" s="569"/>
      <c r="GR207" s="569"/>
      <c r="GS207" s="569"/>
      <c r="GT207" s="569"/>
    </row>
    <row r="208" spans="2:202" s="554" customFormat="1">
      <c r="B208" s="569"/>
      <c r="C208" s="569"/>
      <c r="D208" s="569"/>
      <c r="E208" s="569"/>
      <c r="F208" s="569"/>
      <c r="G208" s="569"/>
      <c r="H208" s="569"/>
      <c r="I208" s="569"/>
      <c r="J208" s="569"/>
      <c r="K208" s="569"/>
      <c r="L208" s="569"/>
      <c r="M208" s="569"/>
      <c r="N208" s="569"/>
      <c r="O208" s="569"/>
      <c r="P208" s="569"/>
      <c r="Q208" s="569"/>
      <c r="R208" s="569"/>
      <c r="S208" s="569"/>
      <c r="T208" s="569"/>
      <c r="U208" s="569"/>
      <c r="V208" s="569"/>
      <c r="W208" s="569"/>
      <c r="X208" s="569"/>
      <c r="Y208" s="569"/>
      <c r="Z208" s="569"/>
      <c r="AA208" s="569"/>
      <c r="AB208" s="569"/>
      <c r="AC208" s="569"/>
      <c r="AD208" s="569"/>
      <c r="AE208" s="569"/>
      <c r="AF208" s="569"/>
      <c r="AG208" s="569"/>
      <c r="AH208" s="569"/>
      <c r="AI208" s="569"/>
      <c r="AJ208" s="569"/>
      <c r="AK208" s="569"/>
      <c r="AL208" s="569"/>
      <c r="AM208" s="569"/>
      <c r="AN208" s="569"/>
      <c r="AO208" s="569"/>
      <c r="AP208" s="569"/>
      <c r="AQ208" s="569"/>
      <c r="AR208" s="569"/>
      <c r="AS208" s="569"/>
      <c r="AT208" s="569"/>
      <c r="AU208" s="569"/>
      <c r="AV208" s="569"/>
      <c r="AW208" s="569"/>
      <c r="AX208" s="569"/>
      <c r="AY208" s="569"/>
      <c r="AZ208" s="569"/>
      <c r="BA208" s="569"/>
      <c r="BB208" s="569"/>
      <c r="BC208" s="569"/>
      <c r="BD208" s="569"/>
      <c r="BE208" s="569"/>
      <c r="BF208" s="569"/>
      <c r="BG208" s="569"/>
      <c r="BH208" s="569"/>
      <c r="BI208" s="569"/>
      <c r="BJ208" s="569"/>
      <c r="BK208" s="569"/>
      <c r="BL208" s="569"/>
      <c r="BM208" s="569"/>
      <c r="BN208" s="569"/>
      <c r="BO208" s="569"/>
      <c r="BP208" s="569"/>
      <c r="BQ208" s="569"/>
      <c r="BR208" s="569"/>
      <c r="BS208" s="569"/>
      <c r="BT208" s="569"/>
      <c r="BU208" s="569"/>
      <c r="BV208" s="569"/>
      <c r="BW208" s="569"/>
      <c r="BX208" s="569"/>
      <c r="BY208" s="569"/>
      <c r="BZ208" s="569"/>
      <c r="CA208" s="569"/>
      <c r="CB208" s="569"/>
      <c r="CC208" s="569"/>
      <c r="CD208" s="569"/>
      <c r="CE208" s="569"/>
      <c r="CF208" s="569"/>
      <c r="CG208" s="569"/>
      <c r="CH208" s="569"/>
      <c r="CI208" s="569"/>
      <c r="CJ208" s="569"/>
      <c r="CK208" s="569"/>
      <c r="CL208" s="569"/>
      <c r="CM208" s="569"/>
      <c r="CN208" s="569"/>
      <c r="CO208" s="569"/>
      <c r="CP208" s="569"/>
      <c r="CQ208" s="569"/>
      <c r="CR208" s="569"/>
      <c r="CS208" s="569"/>
      <c r="CT208" s="569"/>
      <c r="CU208" s="569"/>
      <c r="CV208" s="569"/>
      <c r="CW208" s="569"/>
      <c r="CX208" s="569"/>
      <c r="CY208" s="569"/>
      <c r="CZ208" s="569"/>
      <c r="DA208" s="569"/>
      <c r="DB208" s="569"/>
      <c r="DC208" s="569"/>
      <c r="DD208" s="569"/>
      <c r="DE208" s="569"/>
      <c r="DF208" s="569"/>
      <c r="DG208" s="569"/>
      <c r="DH208" s="569"/>
      <c r="DI208" s="569"/>
      <c r="DJ208" s="569"/>
      <c r="DK208" s="569"/>
      <c r="DL208" s="569"/>
      <c r="DM208" s="569"/>
      <c r="DN208" s="569"/>
      <c r="DO208" s="569"/>
      <c r="DP208" s="569"/>
      <c r="DQ208" s="569"/>
      <c r="DR208" s="569"/>
      <c r="DS208" s="569"/>
      <c r="DT208" s="569"/>
      <c r="DU208" s="569"/>
      <c r="DV208" s="569"/>
      <c r="DW208" s="569"/>
      <c r="DX208" s="569"/>
      <c r="DY208" s="569"/>
      <c r="DZ208" s="569"/>
      <c r="EA208" s="569"/>
      <c r="EB208" s="569"/>
      <c r="EC208" s="569"/>
      <c r="ED208" s="569"/>
      <c r="EE208" s="569"/>
      <c r="EF208" s="569"/>
      <c r="EG208" s="569"/>
      <c r="EH208" s="569"/>
      <c r="EI208" s="569"/>
      <c r="EJ208" s="569"/>
      <c r="EK208" s="569"/>
      <c r="EL208" s="569"/>
      <c r="EM208" s="569"/>
      <c r="EN208" s="569"/>
      <c r="EO208" s="569"/>
      <c r="EP208" s="569"/>
      <c r="EQ208" s="569"/>
      <c r="ER208" s="569"/>
      <c r="ES208" s="569"/>
      <c r="ET208" s="569"/>
      <c r="EU208" s="569"/>
      <c r="EV208" s="569"/>
      <c r="EW208" s="569"/>
      <c r="EX208" s="569"/>
      <c r="EY208" s="569"/>
      <c r="EZ208" s="569"/>
      <c r="FA208" s="569"/>
      <c r="FB208" s="569"/>
      <c r="FC208" s="569"/>
      <c r="FD208" s="569"/>
      <c r="FE208" s="569"/>
      <c r="FF208" s="569"/>
      <c r="FG208" s="569"/>
      <c r="FH208" s="569"/>
      <c r="FI208" s="569"/>
      <c r="FJ208" s="569"/>
      <c r="FK208" s="569"/>
      <c r="FL208" s="569"/>
      <c r="FM208" s="569"/>
      <c r="FN208" s="569"/>
      <c r="FO208" s="569"/>
      <c r="FP208" s="569"/>
      <c r="FQ208" s="569"/>
      <c r="FR208" s="569"/>
      <c r="FS208" s="569"/>
      <c r="FT208" s="569"/>
      <c r="FU208" s="569"/>
      <c r="FV208" s="569"/>
      <c r="FW208" s="569"/>
      <c r="FX208" s="569"/>
      <c r="FY208" s="569"/>
      <c r="FZ208" s="569"/>
      <c r="GA208" s="569"/>
      <c r="GB208" s="569"/>
      <c r="GC208" s="569"/>
      <c r="GD208" s="569"/>
      <c r="GE208" s="569"/>
      <c r="GF208" s="569"/>
      <c r="GG208" s="569"/>
      <c r="GH208" s="569"/>
      <c r="GI208" s="569"/>
      <c r="GJ208" s="569"/>
      <c r="GK208" s="569"/>
      <c r="GL208" s="569"/>
      <c r="GM208" s="569"/>
      <c r="GN208" s="569"/>
      <c r="GO208" s="569"/>
      <c r="GP208" s="569"/>
      <c r="GQ208" s="569"/>
      <c r="GR208" s="569"/>
      <c r="GS208" s="569"/>
      <c r="GT208" s="569"/>
    </row>
    <row r="209" spans="1:202" s="554" customFormat="1">
      <c r="B209" s="569"/>
      <c r="C209" s="569"/>
      <c r="D209" s="569"/>
      <c r="E209" s="569"/>
      <c r="F209" s="569"/>
      <c r="G209" s="569"/>
      <c r="H209" s="569"/>
      <c r="I209" s="569"/>
      <c r="J209" s="569"/>
      <c r="K209" s="569"/>
      <c r="L209" s="569"/>
      <c r="M209" s="569"/>
      <c r="N209" s="569"/>
      <c r="O209" s="569"/>
      <c r="P209" s="569"/>
      <c r="Q209" s="569"/>
      <c r="R209" s="569"/>
      <c r="S209" s="569"/>
      <c r="T209" s="569"/>
      <c r="U209" s="569"/>
      <c r="V209" s="569"/>
      <c r="W209" s="569"/>
      <c r="X209" s="569"/>
      <c r="Y209" s="569"/>
      <c r="Z209" s="569"/>
      <c r="AA209" s="569"/>
      <c r="AB209" s="569"/>
      <c r="AC209" s="569"/>
      <c r="AD209" s="569"/>
      <c r="AE209" s="569"/>
      <c r="AF209" s="569"/>
      <c r="AG209" s="569"/>
      <c r="AH209" s="569"/>
      <c r="AI209" s="569"/>
      <c r="AJ209" s="569"/>
      <c r="AK209" s="569"/>
      <c r="AL209" s="569"/>
      <c r="AM209" s="569"/>
      <c r="AN209" s="569"/>
      <c r="AO209" s="569"/>
      <c r="AP209" s="569"/>
      <c r="AQ209" s="569"/>
      <c r="AR209" s="569"/>
      <c r="AS209" s="569"/>
      <c r="AT209" s="569"/>
      <c r="AU209" s="569"/>
      <c r="AV209" s="569"/>
      <c r="AW209" s="569"/>
      <c r="AX209" s="569"/>
      <c r="AY209" s="569"/>
      <c r="AZ209" s="569"/>
      <c r="BA209" s="569"/>
      <c r="BB209" s="569"/>
      <c r="BC209" s="569"/>
      <c r="BD209" s="569"/>
      <c r="BE209" s="569"/>
      <c r="BF209" s="569"/>
      <c r="BG209" s="569"/>
      <c r="BH209" s="569"/>
      <c r="BI209" s="569"/>
      <c r="BJ209" s="569"/>
      <c r="BK209" s="569"/>
      <c r="BL209" s="569"/>
      <c r="BM209" s="569"/>
      <c r="BN209" s="569"/>
      <c r="BO209" s="569"/>
      <c r="BP209" s="569"/>
      <c r="BQ209" s="569"/>
      <c r="BR209" s="569"/>
      <c r="BS209" s="569"/>
      <c r="BT209" s="569"/>
      <c r="BU209" s="569"/>
      <c r="BV209" s="569"/>
      <c r="BW209" s="569"/>
      <c r="BX209" s="569"/>
      <c r="BY209" s="569"/>
      <c r="BZ209" s="569"/>
      <c r="CA209" s="569"/>
      <c r="CB209" s="569"/>
      <c r="CC209" s="569"/>
      <c r="CD209" s="569"/>
      <c r="CE209" s="569"/>
      <c r="CF209" s="569"/>
      <c r="CG209" s="569"/>
      <c r="CH209" s="569"/>
      <c r="CI209" s="569"/>
      <c r="CJ209" s="569"/>
      <c r="CK209" s="569"/>
      <c r="CL209" s="569"/>
      <c r="CM209" s="569"/>
      <c r="CN209" s="569"/>
      <c r="CO209" s="569"/>
      <c r="CP209" s="569"/>
      <c r="CQ209" s="569"/>
      <c r="CR209" s="569"/>
      <c r="CS209" s="569"/>
      <c r="CT209" s="569"/>
      <c r="CU209" s="569"/>
      <c r="CV209" s="569"/>
      <c r="CW209" s="569"/>
      <c r="CX209" s="569"/>
      <c r="CY209" s="569"/>
      <c r="CZ209" s="569"/>
      <c r="DA209" s="569"/>
      <c r="DB209" s="569"/>
      <c r="DC209" s="569"/>
      <c r="DD209" s="569"/>
      <c r="DE209" s="569"/>
      <c r="DF209" s="569"/>
      <c r="DG209" s="569"/>
      <c r="DH209" s="569"/>
      <c r="DI209" s="569"/>
      <c r="DJ209" s="569"/>
      <c r="DK209" s="569"/>
      <c r="DL209" s="569"/>
      <c r="DM209" s="569"/>
      <c r="DN209" s="569"/>
      <c r="DO209" s="569"/>
      <c r="DP209" s="569"/>
      <c r="DQ209" s="569"/>
      <c r="DR209" s="569"/>
      <c r="DS209" s="569"/>
      <c r="DT209" s="569"/>
      <c r="DU209" s="569"/>
      <c r="DV209" s="569"/>
      <c r="DW209" s="569"/>
      <c r="DX209" s="569"/>
      <c r="DY209" s="569"/>
      <c r="DZ209" s="569"/>
      <c r="EA209" s="569"/>
      <c r="EB209" s="569"/>
      <c r="EC209" s="569"/>
      <c r="ED209" s="569"/>
      <c r="EE209" s="569"/>
      <c r="EF209" s="569"/>
      <c r="EG209" s="569"/>
      <c r="EH209" s="569"/>
      <c r="EI209" s="569"/>
      <c r="EJ209" s="569"/>
      <c r="EK209" s="569"/>
      <c r="EL209" s="569"/>
      <c r="EM209" s="569"/>
      <c r="EN209" s="569"/>
      <c r="EO209" s="569"/>
      <c r="EP209" s="569"/>
      <c r="EQ209" s="569"/>
      <c r="ER209" s="569"/>
      <c r="ES209" s="569"/>
      <c r="ET209" s="569"/>
      <c r="EU209" s="569"/>
      <c r="EV209" s="569"/>
      <c r="EW209" s="569"/>
      <c r="EX209" s="569"/>
      <c r="EY209" s="569"/>
      <c r="EZ209" s="569"/>
      <c r="FA209" s="569"/>
      <c r="FB209" s="569"/>
      <c r="FC209" s="569"/>
      <c r="FD209" s="569"/>
      <c r="FE209" s="569"/>
      <c r="FF209" s="569"/>
      <c r="FG209" s="569"/>
      <c r="FH209" s="569"/>
      <c r="FI209" s="569"/>
      <c r="FJ209" s="569"/>
      <c r="FK209" s="569"/>
      <c r="FL209" s="569"/>
      <c r="FM209" s="569"/>
      <c r="FN209" s="569"/>
      <c r="FO209" s="569"/>
      <c r="FP209" s="569"/>
      <c r="FQ209" s="569"/>
      <c r="FR209" s="569"/>
      <c r="FS209" s="569"/>
      <c r="FT209" s="569"/>
      <c r="FU209" s="569"/>
      <c r="FV209" s="569"/>
      <c r="FW209" s="569"/>
      <c r="FX209" s="569"/>
      <c r="FY209" s="569"/>
      <c r="FZ209" s="569"/>
      <c r="GA209" s="569"/>
      <c r="GB209" s="569"/>
      <c r="GC209" s="569"/>
      <c r="GD209" s="569"/>
      <c r="GE209" s="569"/>
      <c r="GF209" s="569"/>
      <c r="GG209" s="569"/>
      <c r="GH209" s="569"/>
      <c r="GI209" s="569"/>
      <c r="GJ209" s="569"/>
      <c r="GK209" s="569"/>
      <c r="GL209" s="569"/>
      <c r="GM209" s="569"/>
      <c r="GN209" s="569"/>
      <c r="GO209" s="569"/>
      <c r="GP209" s="569"/>
      <c r="GQ209" s="569"/>
      <c r="GR209" s="569"/>
      <c r="GS209" s="569"/>
      <c r="GT209" s="569"/>
    </row>
    <row r="210" spans="1:202" s="554" customFormat="1">
      <c r="B210" s="569"/>
      <c r="C210" s="569"/>
      <c r="D210" s="569"/>
      <c r="E210" s="569"/>
      <c r="F210" s="569"/>
      <c r="G210" s="569"/>
      <c r="H210" s="569"/>
      <c r="I210" s="569"/>
      <c r="J210" s="569"/>
      <c r="K210" s="569"/>
      <c r="L210" s="569"/>
      <c r="M210" s="569"/>
      <c r="N210" s="569"/>
      <c r="O210" s="569"/>
      <c r="P210" s="569"/>
      <c r="Q210" s="569"/>
      <c r="R210" s="569"/>
      <c r="S210" s="569"/>
      <c r="T210" s="569"/>
      <c r="U210" s="569"/>
      <c r="V210" s="569"/>
      <c r="W210" s="569"/>
      <c r="X210" s="569"/>
      <c r="Y210" s="569"/>
      <c r="Z210" s="569"/>
      <c r="AA210" s="569"/>
      <c r="AB210" s="569"/>
      <c r="AC210" s="569"/>
      <c r="AD210" s="569"/>
      <c r="AE210" s="569"/>
      <c r="AF210" s="569"/>
      <c r="AG210" s="569"/>
      <c r="AH210" s="569"/>
      <c r="AI210" s="569"/>
      <c r="AJ210" s="569"/>
      <c r="AK210" s="569"/>
      <c r="AL210" s="569"/>
      <c r="AM210" s="569"/>
      <c r="AN210" s="569"/>
      <c r="AO210" s="569"/>
      <c r="AP210" s="569"/>
      <c r="AQ210" s="569"/>
      <c r="AR210" s="569"/>
      <c r="AS210" s="569"/>
      <c r="AT210" s="569"/>
      <c r="AU210" s="569"/>
      <c r="AV210" s="569"/>
      <c r="AW210" s="569"/>
      <c r="AX210" s="569"/>
      <c r="AY210" s="569"/>
      <c r="AZ210" s="569"/>
      <c r="BA210" s="569"/>
      <c r="BB210" s="569"/>
      <c r="BC210" s="569"/>
      <c r="BD210" s="569"/>
      <c r="BE210" s="569"/>
      <c r="BF210" s="569"/>
      <c r="BG210" s="569"/>
      <c r="BH210" s="569"/>
      <c r="BI210" s="569"/>
      <c r="BJ210" s="569"/>
      <c r="BK210" s="569"/>
      <c r="BL210" s="569"/>
      <c r="BM210" s="569"/>
      <c r="BN210" s="569"/>
      <c r="BO210" s="569"/>
      <c r="BP210" s="569"/>
      <c r="BQ210" s="569"/>
      <c r="BR210" s="569"/>
      <c r="BS210" s="569"/>
      <c r="BT210" s="569"/>
      <c r="BU210" s="569"/>
      <c r="BV210" s="569"/>
      <c r="BW210" s="569"/>
      <c r="BX210" s="569"/>
      <c r="BY210" s="569"/>
      <c r="BZ210" s="569"/>
      <c r="CA210" s="569"/>
      <c r="CB210" s="569"/>
      <c r="CC210" s="569"/>
      <c r="CD210" s="569"/>
      <c r="CE210" s="569"/>
      <c r="CF210" s="569"/>
      <c r="CG210" s="569"/>
      <c r="CH210" s="569"/>
      <c r="CI210" s="569"/>
      <c r="CJ210" s="569"/>
      <c r="CK210" s="569"/>
      <c r="CL210" s="569"/>
      <c r="CM210" s="569"/>
      <c r="CN210" s="569"/>
      <c r="CO210" s="569"/>
      <c r="CP210" s="569"/>
      <c r="CQ210" s="569"/>
      <c r="CR210" s="569"/>
      <c r="CS210" s="569"/>
      <c r="CT210" s="569"/>
      <c r="CU210" s="569"/>
      <c r="CV210" s="569"/>
      <c r="CW210" s="569"/>
      <c r="CX210" s="569"/>
      <c r="CY210" s="569"/>
      <c r="CZ210" s="569"/>
      <c r="DA210" s="569"/>
      <c r="DB210" s="569"/>
      <c r="DC210" s="569"/>
      <c r="DD210" s="569"/>
      <c r="DE210" s="569"/>
      <c r="DF210" s="569"/>
      <c r="DG210" s="569"/>
      <c r="DH210" s="569"/>
      <c r="DI210" s="569"/>
      <c r="DJ210" s="569"/>
      <c r="DK210" s="569"/>
      <c r="DL210" s="569"/>
      <c r="DM210" s="569"/>
      <c r="DN210" s="569"/>
      <c r="DO210" s="569"/>
      <c r="DP210" s="569"/>
      <c r="DQ210" s="569"/>
      <c r="DR210" s="569"/>
      <c r="DS210" s="569"/>
      <c r="DT210" s="569"/>
      <c r="DU210" s="569"/>
      <c r="DV210" s="569"/>
      <c r="DW210" s="569"/>
      <c r="DX210" s="569"/>
      <c r="DY210" s="569"/>
      <c r="DZ210" s="569"/>
      <c r="EA210" s="569"/>
      <c r="EB210" s="569"/>
      <c r="EC210" s="569"/>
      <c r="ED210" s="569"/>
      <c r="EE210" s="569"/>
      <c r="EF210" s="569"/>
      <c r="EG210" s="569"/>
      <c r="EH210" s="569"/>
      <c r="EI210" s="569"/>
      <c r="EJ210" s="569"/>
      <c r="EK210" s="569"/>
      <c r="EL210" s="569"/>
      <c r="EM210" s="569"/>
      <c r="EN210" s="569"/>
      <c r="EO210" s="569"/>
      <c r="EP210" s="569"/>
      <c r="EQ210" s="569"/>
      <c r="ER210" s="569"/>
      <c r="ES210" s="569"/>
      <c r="ET210" s="569"/>
      <c r="EU210" s="569"/>
      <c r="EV210" s="569"/>
      <c r="EW210" s="569"/>
      <c r="EX210" s="569"/>
      <c r="EY210" s="569"/>
      <c r="EZ210" s="569"/>
      <c r="FA210" s="569"/>
      <c r="FB210" s="569"/>
      <c r="FC210" s="569"/>
      <c r="FD210" s="569"/>
      <c r="FE210" s="569"/>
      <c r="FF210" s="569"/>
      <c r="FG210" s="569"/>
      <c r="FH210" s="569"/>
      <c r="FI210" s="569"/>
      <c r="FJ210" s="569"/>
      <c r="FK210" s="569"/>
      <c r="FL210" s="569"/>
      <c r="FM210" s="569"/>
      <c r="FN210" s="569"/>
      <c r="FO210" s="569"/>
      <c r="FP210" s="569"/>
      <c r="FQ210" s="569"/>
      <c r="FR210" s="569"/>
      <c r="FS210" s="569"/>
      <c r="FT210" s="569"/>
      <c r="FU210" s="569"/>
      <c r="FV210" s="569"/>
      <c r="FW210" s="569"/>
      <c r="FX210" s="569"/>
      <c r="FY210" s="569"/>
      <c r="FZ210" s="569"/>
      <c r="GA210" s="569"/>
      <c r="GB210" s="569"/>
      <c r="GC210" s="569"/>
      <c r="GD210" s="569"/>
      <c r="GE210" s="569"/>
      <c r="GF210" s="569"/>
      <c r="GG210" s="569"/>
      <c r="GH210" s="569"/>
      <c r="GI210" s="569"/>
      <c r="GJ210" s="569"/>
      <c r="GK210" s="569"/>
      <c r="GL210" s="569"/>
      <c r="GM210" s="569"/>
      <c r="GN210" s="569"/>
      <c r="GO210" s="569"/>
      <c r="GP210" s="569"/>
      <c r="GQ210" s="569"/>
      <c r="GR210" s="569"/>
      <c r="GS210" s="569"/>
      <c r="GT210" s="569"/>
    </row>
    <row r="211" spans="1:202" s="554" customFormat="1">
      <c r="B211" s="569"/>
      <c r="C211" s="569"/>
      <c r="D211" s="569"/>
      <c r="E211" s="569"/>
      <c r="F211" s="569"/>
      <c r="G211" s="569"/>
      <c r="H211" s="569"/>
      <c r="I211" s="569"/>
      <c r="J211" s="569"/>
      <c r="K211" s="569"/>
      <c r="L211" s="569"/>
      <c r="M211" s="569"/>
      <c r="N211" s="569"/>
      <c r="O211" s="569"/>
      <c r="P211" s="569"/>
      <c r="Q211" s="569"/>
      <c r="R211" s="569"/>
      <c r="S211" s="569"/>
      <c r="T211" s="569"/>
      <c r="U211" s="569"/>
      <c r="V211" s="569"/>
      <c r="W211" s="569"/>
      <c r="X211" s="569"/>
      <c r="Y211" s="569"/>
      <c r="Z211" s="569"/>
      <c r="AA211" s="569"/>
      <c r="AB211" s="569"/>
      <c r="AC211" s="569"/>
      <c r="AD211" s="569"/>
      <c r="AE211" s="569"/>
      <c r="AF211" s="569"/>
      <c r="AG211" s="569"/>
      <c r="AH211" s="569"/>
      <c r="AI211" s="569"/>
      <c r="AJ211" s="569"/>
      <c r="AK211" s="569"/>
      <c r="AL211" s="569"/>
      <c r="AM211" s="569"/>
      <c r="AN211" s="569"/>
      <c r="AO211" s="569"/>
      <c r="AP211" s="569"/>
      <c r="AQ211" s="569"/>
      <c r="AR211" s="569"/>
      <c r="AS211" s="569"/>
      <c r="AT211" s="569"/>
      <c r="AU211" s="569"/>
      <c r="AV211" s="569"/>
      <c r="AW211" s="569"/>
      <c r="AX211" s="569"/>
      <c r="AY211" s="569"/>
      <c r="AZ211" s="569"/>
      <c r="BA211" s="569"/>
      <c r="BB211" s="569"/>
      <c r="BC211" s="569"/>
      <c r="BD211" s="569"/>
      <c r="BE211" s="569"/>
      <c r="BF211" s="569"/>
      <c r="BG211" s="569"/>
      <c r="BH211" s="569"/>
      <c r="BI211" s="569"/>
      <c r="BJ211" s="569"/>
      <c r="BK211" s="569"/>
      <c r="BL211" s="569"/>
      <c r="BM211" s="569"/>
      <c r="BN211" s="569"/>
      <c r="BO211" s="569"/>
      <c r="BP211" s="569"/>
      <c r="BQ211" s="569"/>
      <c r="BR211" s="569"/>
      <c r="BS211" s="569"/>
      <c r="BT211" s="569"/>
      <c r="BU211" s="569"/>
      <c r="BV211" s="569"/>
      <c r="BW211" s="569"/>
      <c r="BX211" s="569"/>
      <c r="BY211" s="569"/>
      <c r="BZ211" s="569"/>
      <c r="CA211" s="569"/>
      <c r="CB211" s="569"/>
      <c r="CC211" s="569"/>
      <c r="CD211" s="569"/>
      <c r="CE211" s="569"/>
      <c r="CF211" s="569"/>
      <c r="CG211" s="569"/>
      <c r="CH211" s="569"/>
      <c r="CI211" s="569"/>
      <c r="CJ211" s="569"/>
      <c r="CK211" s="569"/>
      <c r="CL211" s="569"/>
      <c r="CM211" s="569"/>
      <c r="CN211" s="569"/>
      <c r="CO211" s="569"/>
      <c r="CP211" s="569"/>
      <c r="CQ211" s="569"/>
      <c r="CR211" s="569"/>
      <c r="CS211" s="569"/>
      <c r="CT211" s="569"/>
      <c r="CU211" s="569"/>
      <c r="CV211" s="569"/>
      <c r="CW211" s="569"/>
      <c r="CX211" s="569"/>
      <c r="CY211" s="569"/>
      <c r="CZ211" s="569"/>
      <c r="DA211" s="569"/>
      <c r="DB211" s="569"/>
      <c r="DC211" s="569"/>
      <c r="DD211" s="569"/>
      <c r="DE211" s="569"/>
      <c r="DF211" s="569"/>
      <c r="DG211" s="569"/>
      <c r="DH211" s="569"/>
      <c r="DI211" s="569"/>
      <c r="DJ211" s="569"/>
      <c r="DK211" s="569"/>
      <c r="DL211" s="569"/>
      <c r="DM211" s="569"/>
      <c r="DN211" s="569"/>
      <c r="DO211" s="569"/>
      <c r="DP211" s="569"/>
      <c r="DQ211" s="569"/>
      <c r="DR211" s="569"/>
      <c r="DS211" s="569"/>
      <c r="DT211" s="569"/>
      <c r="DU211" s="569"/>
      <c r="DV211" s="569"/>
      <c r="DW211" s="569"/>
      <c r="DX211" s="569"/>
      <c r="DY211" s="569"/>
      <c r="DZ211" s="569"/>
      <c r="EA211" s="569"/>
      <c r="EB211" s="569"/>
      <c r="EC211" s="569"/>
      <c r="ED211" s="569"/>
      <c r="EE211" s="569"/>
      <c r="EF211" s="569"/>
      <c r="EG211" s="569"/>
      <c r="EH211" s="569"/>
      <c r="EI211" s="569"/>
      <c r="EJ211" s="569"/>
      <c r="EK211" s="569"/>
      <c r="EL211" s="569"/>
      <c r="EM211" s="569"/>
      <c r="EN211" s="569"/>
      <c r="EO211" s="569"/>
      <c r="EP211" s="569"/>
      <c r="EQ211" s="569"/>
      <c r="ER211" s="569"/>
      <c r="ES211" s="569"/>
      <c r="ET211" s="569"/>
      <c r="EU211" s="569"/>
      <c r="EV211" s="569"/>
      <c r="EW211" s="569"/>
      <c r="EX211" s="569"/>
      <c r="EY211" s="569"/>
      <c r="EZ211" s="569"/>
      <c r="FA211" s="569"/>
      <c r="FB211" s="569"/>
      <c r="FC211" s="569"/>
      <c r="FD211" s="569"/>
      <c r="FE211" s="569"/>
      <c r="FF211" s="569"/>
      <c r="FG211" s="569"/>
      <c r="FH211" s="569"/>
      <c r="FI211" s="569"/>
      <c r="FJ211" s="569"/>
      <c r="FK211" s="569"/>
      <c r="FL211" s="569"/>
      <c r="FM211" s="569"/>
      <c r="FN211" s="569"/>
      <c r="FO211" s="569"/>
      <c r="FP211" s="569"/>
      <c r="FQ211" s="569"/>
      <c r="FR211" s="569"/>
      <c r="FS211" s="569"/>
      <c r="FT211" s="569"/>
      <c r="FU211" s="569"/>
      <c r="FV211" s="569"/>
      <c r="FW211" s="569"/>
      <c r="FX211" s="569"/>
      <c r="FY211" s="569"/>
      <c r="FZ211" s="569"/>
      <c r="GA211" s="569"/>
      <c r="GB211" s="569"/>
      <c r="GC211" s="569"/>
      <c r="GD211" s="569"/>
      <c r="GE211" s="569"/>
      <c r="GF211" s="569"/>
      <c r="GG211" s="569"/>
      <c r="GH211" s="569"/>
      <c r="GI211" s="569"/>
      <c r="GJ211" s="569"/>
      <c r="GK211" s="569"/>
      <c r="GL211" s="569"/>
      <c r="GM211" s="569"/>
      <c r="GN211" s="569"/>
      <c r="GO211" s="569"/>
      <c r="GP211" s="569"/>
      <c r="GQ211" s="569"/>
      <c r="GR211" s="569"/>
      <c r="GS211" s="569"/>
      <c r="GT211" s="569"/>
    </row>
    <row r="212" spans="1:202" s="554" customFormat="1">
      <c r="B212" s="569"/>
      <c r="C212" s="569"/>
      <c r="D212" s="569"/>
      <c r="E212" s="569"/>
      <c r="F212" s="569"/>
      <c r="G212" s="569"/>
      <c r="H212" s="569"/>
      <c r="I212" s="569"/>
      <c r="J212" s="569"/>
      <c r="K212" s="569"/>
      <c r="L212" s="569"/>
      <c r="M212" s="569"/>
      <c r="N212" s="569"/>
      <c r="O212" s="569"/>
      <c r="P212" s="569"/>
      <c r="Q212" s="569"/>
      <c r="R212" s="569"/>
      <c r="S212" s="569"/>
      <c r="T212" s="569"/>
      <c r="U212" s="569"/>
      <c r="V212" s="569"/>
      <c r="W212" s="569"/>
      <c r="X212" s="569"/>
      <c r="Y212" s="569"/>
      <c r="Z212" s="569"/>
      <c r="AA212" s="569"/>
      <c r="AB212" s="569"/>
      <c r="AC212" s="569"/>
      <c r="AD212" s="569"/>
      <c r="AE212" s="569"/>
      <c r="AF212" s="569"/>
      <c r="AG212" s="569"/>
      <c r="AH212" s="569"/>
      <c r="AI212" s="569"/>
      <c r="AJ212" s="569"/>
      <c r="AK212" s="569"/>
      <c r="AL212" s="569"/>
      <c r="AM212" s="569"/>
      <c r="AN212" s="569"/>
      <c r="AO212" s="569"/>
      <c r="AP212" s="569"/>
      <c r="AQ212" s="569"/>
      <c r="AR212" s="569"/>
      <c r="AS212" s="569"/>
      <c r="AT212" s="569"/>
      <c r="AU212" s="569"/>
      <c r="AV212" s="569"/>
      <c r="AW212" s="569"/>
      <c r="AX212" s="569"/>
      <c r="AY212" s="569"/>
      <c r="AZ212" s="569"/>
      <c r="BA212" s="569"/>
      <c r="BB212" s="569"/>
      <c r="BC212" s="569"/>
      <c r="BD212" s="569"/>
      <c r="BE212" s="569"/>
      <c r="BF212" s="569"/>
      <c r="BG212" s="569"/>
      <c r="BH212" s="569"/>
      <c r="BI212" s="569"/>
      <c r="BJ212" s="569"/>
      <c r="BK212" s="569"/>
      <c r="BL212" s="569"/>
      <c r="BM212" s="569"/>
      <c r="BN212" s="569"/>
      <c r="BO212" s="569"/>
      <c r="BP212" s="569"/>
      <c r="BQ212" s="569"/>
      <c r="BR212" s="569"/>
      <c r="BS212" s="569"/>
      <c r="BT212" s="569"/>
      <c r="BU212" s="569"/>
      <c r="BV212" s="569"/>
      <c r="BW212" s="569"/>
      <c r="BX212" s="569"/>
      <c r="BY212" s="569"/>
      <c r="BZ212" s="569"/>
      <c r="CA212" s="569"/>
      <c r="CB212" s="569"/>
      <c r="CC212" s="569"/>
      <c r="CD212" s="569"/>
      <c r="CE212" s="569"/>
      <c r="CF212" s="569"/>
      <c r="CG212" s="569"/>
      <c r="CH212" s="569"/>
      <c r="CI212" s="569"/>
      <c r="CJ212" s="569"/>
      <c r="CK212" s="569"/>
      <c r="CL212" s="569"/>
      <c r="CM212" s="569"/>
      <c r="CN212" s="569"/>
      <c r="CO212" s="569"/>
      <c r="CP212" s="569"/>
      <c r="CQ212" s="569"/>
      <c r="CR212" s="569"/>
      <c r="CS212" s="569"/>
      <c r="CT212" s="569"/>
      <c r="CU212" s="569"/>
      <c r="CV212" s="569"/>
      <c r="CW212" s="569"/>
      <c r="CX212" s="569"/>
      <c r="CY212" s="569"/>
      <c r="CZ212" s="569"/>
      <c r="DA212" s="569"/>
      <c r="DB212" s="569"/>
      <c r="DC212" s="569"/>
      <c r="DD212" s="569"/>
      <c r="DE212" s="569"/>
      <c r="DF212" s="569"/>
      <c r="DG212" s="569"/>
      <c r="DH212" s="569"/>
      <c r="DI212" s="569"/>
      <c r="DJ212" s="569"/>
      <c r="DK212" s="569"/>
      <c r="DL212" s="569"/>
      <c r="DM212" s="569"/>
      <c r="DN212" s="569"/>
      <c r="DO212" s="569"/>
      <c r="DP212" s="569"/>
      <c r="DQ212" s="569"/>
      <c r="DR212" s="569"/>
      <c r="DS212" s="569"/>
      <c r="DT212" s="569"/>
      <c r="DU212" s="569"/>
      <c r="DV212" s="569"/>
      <c r="DW212" s="569"/>
      <c r="DX212" s="569"/>
      <c r="DY212" s="569"/>
      <c r="DZ212" s="569"/>
      <c r="EA212" s="569"/>
      <c r="EB212" s="569"/>
      <c r="EC212" s="569"/>
      <c r="ED212" s="569"/>
      <c r="EE212" s="569"/>
      <c r="EF212" s="569"/>
      <c r="EG212" s="569"/>
      <c r="EH212" s="569"/>
      <c r="EI212" s="569"/>
      <c r="EJ212" s="569"/>
      <c r="EK212" s="569"/>
      <c r="EL212" s="569"/>
      <c r="EM212" s="569"/>
      <c r="EN212" s="569"/>
      <c r="EO212" s="569"/>
      <c r="EP212" s="569"/>
      <c r="EQ212" s="569"/>
      <c r="ER212" s="569"/>
      <c r="ES212" s="569"/>
      <c r="ET212" s="569"/>
      <c r="EU212" s="569"/>
      <c r="EV212" s="569"/>
      <c r="EW212" s="569"/>
      <c r="EX212" s="569"/>
      <c r="EY212" s="569"/>
      <c r="EZ212" s="569"/>
      <c r="FA212" s="569"/>
      <c r="FB212" s="569"/>
      <c r="FC212" s="569"/>
      <c r="FD212" s="569"/>
      <c r="FE212" s="569"/>
      <c r="FF212" s="569"/>
      <c r="FG212" s="569"/>
      <c r="FH212" s="569"/>
      <c r="FI212" s="569"/>
      <c r="FJ212" s="569"/>
      <c r="FK212" s="569"/>
      <c r="FL212" s="569"/>
      <c r="FM212" s="569"/>
      <c r="FN212" s="569"/>
      <c r="FO212" s="569"/>
      <c r="FP212" s="569"/>
      <c r="FQ212" s="569"/>
      <c r="FR212" s="569"/>
      <c r="FS212" s="569"/>
      <c r="FT212" s="569"/>
      <c r="FU212" s="569"/>
      <c r="FV212" s="569"/>
      <c r="FW212" s="569"/>
      <c r="FX212" s="569"/>
      <c r="FY212" s="569"/>
      <c r="FZ212" s="569"/>
      <c r="GA212" s="569"/>
      <c r="GB212" s="569"/>
      <c r="GC212" s="569"/>
      <c r="GD212" s="569"/>
      <c r="GE212" s="569"/>
      <c r="GF212" s="569"/>
      <c r="GG212" s="569"/>
      <c r="GH212" s="569"/>
      <c r="GI212" s="569"/>
      <c r="GJ212" s="569"/>
      <c r="GK212" s="569"/>
      <c r="GL212" s="569"/>
      <c r="GM212" s="569"/>
      <c r="GN212" s="569"/>
      <c r="GO212" s="569"/>
      <c r="GP212" s="569"/>
      <c r="GQ212" s="569"/>
      <c r="GR212" s="569"/>
      <c r="GS212" s="569"/>
      <c r="GT212" s="569"/>
    </row>
    <row r="213" spans="1:202" s="554" customFormat="1">
      <c r="A213" s="591"/>
      <c r="B213" s="569"/>
      <c r="C213" s="569"/>
      <c r="D213" s="569"/>
      <c r="E213" s="569"/>
      <c r="F213" s="569"/>
      <c r="G213" s="569"/>
      <c r="H213" s="569"/>
      <c r="I213" s="569"/>
      <c r="J213" s="569"/>
      <c r="K213" s="569"/>
      <c r="L213" s="569"/>
      <c r="M213" s="569"/>
      <c r="N213" s="569"/>
      <c r="O213" s="569"/>
      <c r="P213" s="569"/>
      <c r="Q213" s="569"/>
      <c r="R213" s="569"/>
      <c r="S213" s="569"/>
      <c r="T213" s="569"/>
      <c r="U213" s="569"/>
      <c r="V213" s="569"/>
      <c r="W213" s="569"/>
      <c r="X213" s="569"/>
      <c r="Y213" s="569"/>
      <c r="Z213" s="569"/>
      <c r="AA213" s="569"/>
      <c r="AB213" s="569"/>
      <c r="AC213" s="569"/>
      <c r="AD213" s="569"/>
      <c r="AE213" s="569"/>
      <c r="AF213" s="569"/>
      <c r="AG213" s="569"/>
      <c r="AH213" s="569"/>
      <c r="AI213" s="569"/>
      <c r="AJ213" s="569"/>
      <c r="AK213" s="569"/>
      <c r="AL213" s="569"/>
      <c r="AM213" s="569"/>
      <c r="AN213" s="569"/>
      <c r="AO213" s="569"/>
      <c r="AP213" s="569"/>
      <c r="AQ213" s="569"/>
      <c r="AR213" s="569"/>
      <c r="AS213" s="569"/>
      <c r="AT213" s="569"/>
      <c r="AU213" s="569"/>
      <c r="AV213" s="569"/>
      <c r="AW213" s="569"/>
      <c r="AX213" s="569"/>
      <c r="AY213" s="569"/>
      <c r="AZ213" s="569"/>
      <c r="BA213" s="569"/>
      <c r="BB213" s="569"/>
      <c r="BC213" s="569"/>
      <c r="BD213" s="569"/>
      <c r="BE213" s="569"/>
      <c r="BF213" s="569"/>
      <c r="BG213" s="569"/>
      <c r="BH213" s="569"/>
      <c r="BI213" s="569"/>
      <c r="BJ213" s="569"/>
      <c r="BK213" s="569"/>
      <c r="BL213" s="569"/>
      <c r="BM213" s="569"/>
      <c r="BN213" s="569"/>
      <c r="BO213" s="569"/>
      <c r="BP213" s="569"/>
      <c r="BQ213" s="569"/>
      <c r="BR213" s="569"/>
      <c r="BS213" s="569"/>
      <c r="BT213" s="569"/>
      <c r="BU213" s="569"/>
      <c r="BV213" s="569"/>
      <c r="BW213" s="569"/>
      <c r="BX213" s="569"/>
      <c r="BY213" s="569"/>
      <c r="BZ213" s="569"/>
      <c r="CA213" s="569"/>
      <c r="CB213" s="569"/>
      <c r="CC213" s="569"/>
      <c r="CD213" s="569"/>
      <c r="CE213" s="569"/>
      <c r="CF213" s="569"/>
      <c r="CG213" s="569"/>
      <c r="CH213" s="569"/>
      <c r="CI213" s="569"/>
      <c r="CJ213" s="569"/>
      <c r="CK213" s="569"/>
      <c r="CL213" s="569"/>
      <c r="CM213" s="569"/>
      <c r="CN213" s="569"/>
      <c r="CO213" s="569"/>
      <c r="CP213" s="569"/>
      <c r="CQ213" s="569"/>
      <c r="CR213" s="569"/>
      <c r="CS213" s="569"/>
      <c r="CT213" s="569"/>
      <c r="CU213" s="569"/>
      <c r="CV213" s="569"/>
      <c r="CW213" s="569"/>
      <c r="CX213" s="569"/>
      <c r="CY213" s="569"/>
      <c r="CZ213" s="569"/>
      <c r="DA213" s="569"/>
      <c r="DB213" s="569"/>
      <c r="DC213" s="569"/>
      <c r="DD213" s="569"/>
      <c r="DE213" s="569"/>
      <c r="DF213" s="569"/>
      <c r="DG213" s="569"/>
      <c r="DH213" s="569"/>
      <c r="DI213" s="569"/>
      <c r="DJ213" s="569"/>
      <c r="DK213" s="569"/>
      <c r="DL213" s="569"/>
      <c r="DM213" s="569"/>
      <c r="DN213" s="569"/>
      <c r="DO213" s="569"/>
      <c r="DP213" s="569"/>
      <c r="DQ213" s="569"/>
      <c r="DR213" s="569"/>
      <c r="DS213" s="569"/>
      <c r="DT213" s="569"/>
      <c r="DU213" s="569"/>
      <c r="DV213" s="569"/>
      <c r="DW213" s="569"/>
      <c r="DX213" s="569"/>
      <c r="DY213" s="569"/>
      <c r="DZ213" s="569"/>
      <c r="EA213" s="569"/>
      <c r="EB213" s="569"/>
      <c r="EC213" s="569"/>
      <c r="ED213" s="569"/>
      <c r="EE213" s="569"/>
      <c r="EF213" s="569"/>
      <c r="EG213" s="569"/>
      <c r="EH213" s="569"/>
      <c r="EI213" s="569"/>
      <c r="EJ213" s="569"/>
      <c r="EK213" s="569"/>
      <c r="EL213" s="569"/>
      <c r="EM213" s="569"/>
      <c r="EN213" s="569"/>
      <c r="EO213" s="569"/>
      <c r="EP213" s="569"/>
      <c r="EQ213" s="569"/>
      <c r="ER213" s="569"/>
      <c r="ES213" s="569"/>
      <c r="ET213" s="569"/>
      <c r="EU213" s="569"/>
      <c r="EV213" s="569"/>
      <c r="EW213" s="569"/>
      <c r="EX213" s="569"/>
      <c r="EY213" s="569"/>
      <c r="EZ213" s="569"/>
      <c r="FA213" s="569"/>
      <c r="FB213" s="569"/>
      <c r="FC213" s="569"/>
      <c r="FD213" s="569"/>
      <c r="FE213" s="569"/>
      <c r="FF213" s="569"/>
      <c r="FG213" s="569"/>
      <c r="FH213" s="569"/>
      <c r="FI213" s="569"/>
      <c r="FJ213" s="569"/>
      <c r="FK213" s="569"/>
      <c r="FL213" s="569"/>
      <c r="FM213" s="569"/>
      <c r="FN213" s="569"/>
      <c r="FO213" s="569"/>
      <c r="FP213" s="569"/>
      <c r="FQ213" s="569"/>
      <c r="FR213" s="569"/>
      <c r="FS213" s="569"/>
      <c r="FT213" s="569"/>
      <c r="FU213" s="569"/>
      <c r="FV213" s="569"/>
      <c r="FW213" s="569"/>
      <c r="FX213" s="569"/>
      <c r="FY213" s="569"/>
      <c r="FZ213" s="569"/>
      <c r="GA213" s="569"/>
      <c r="GB213" s="569"/>
      <c r="GC213" s="569"/>
      <c r="GD213" s="569"/>
      <c r="GE213" s="569"/>
      <c r="GF213" s="569"/>
      <c r="GG213" s="569"/>
      <c r="GH213" s="569"/>
      <c r="GI213" s="569"/>
      <c r="GJ213" s="569"/>
      <c r="GK213" s="569"/>
      <c r="GL213" s="569"/>
      <c r="GM213" s="569"/>
      <c r="GN213" s="569"/>
      <c r="GO213" s="569"/>
      <c r="GP213" s="569"/>
      <c r="GQ213" s="569"/>
      <c r="GR213" s="569"/>
      <c r="GS213" s="569"/>
      <c r="GT213" s="569"/>
    </row>
    <row r="214" spans="1:202" s="554" customFormat="1">
      <c r="A214" s="591"/>
      <c r="B214" s="569"/>
      <c r="C214" s="569"/>
      <c r="D214" s="569"/>
      <c r="E214" s="569"/>
      <c r="F214" s="569"/>
      <c r="G214" s="569"/>
      <c r="H214" s="569"/>
      <c r="I214" s="569"/>
      <c r="J214" s="569"/>
      <c r="K214" s="569"/>
      <c r="L214" s="569"/>
      <c r="M214" s="569"/>
      <c r="N214" s="569"/>
      <c r="O214" s="569"/>
      <c r="P214" s="569"/>
      <c r="Q214" s="569"/>
      <c r="R214" s="569"/>
      <c r="S214" s="569"/>
      <c r="T214" s="569"/>
      <c r="U214" s="569"/>
      <c r="V214" s="569"/>
      <c r="W214" s="569"/>
      <c r="X214" s="569"/>
      <c r="Y214" s="569"/>
      <c r="Z214" s="569"/>
      <c r="AA214" s="569"/>
      <c r="AB214" s="569"/>
      <c r="AC214" s="569"/>
      <c r="AD214" s="569"/>
      <c r="AE214" s="569"/>
      <c r="AF214" s="569"/>
      <c r="AG214" s="569"/>
      <c r="AH214" s="569"/>
      <c r="AI214" s="569"/>
      <c r="AJ214" s="569"/>
      <c r="AK214" s="569"/>
      <c r="AL214" s="569"/>
      <c r="AM214" s="569"/>
      <c r="AN214" s="569"/>
      <c r="AO214" s="569"/>
      <c r="AP214" s="569"/>
      <c r="AQ214" s="569"/>
      <c r="AR214" s="569"/>
      <c r="AS214" s="569"/>
      <c r="AT214" s="569"/>
      <c r="AU214" s="569"/>
      <c r="AV214" s="569"/>
      <c r="AW214" s="569"/>
      <c r="AX214" s="569"/>
      <c r="AY214" s="569"/>
      <c r="AZ214" s="569"/>
      <c r="BA214" s="569"/>
      <c r="BB214" s="569"/>
      <c r="BC214" s="569"/>
      <c r="BD214" s="569"/>
      <c r="BE214" s="569"/>
      <c r="BF214" s="569"/>
      <c r="BG214" s="569"/>
      <c r="BH214" s="569"/>
      <c r="BI214" s="569"/>
      <c r="BJ214" s="569"/>
      <c r="BK214" s="569"/>
      <c r="BL214" s="569"/>
      <c r="BM214" s="569"/>
      <c r="BN214" s="569"/>
      <c r="BO214" s="569"/>
      <c r="BP214" s="569"/>
      <c r="BQ214" s="569"/>
      <c r="BR214" s="569"/>
      <c r="BS214" s="569"/>
      <c r="BT214" s="569"/>
      <c r="BU214" s="569"/>
      <c r="BV214" s="569"/>
      <c r="BW214" s="569"/>
      <c r="BX214" s="569"/>
      <c r="BY214" s="569"/>
      <c r="BZ214" s="569"/>
      <c r="CA214" s="569"/>
      <c r="CB214" s="569"/>
      <c r="CC214" s="569"/>
      <c r="CD214" s="569"/>
      <c r="CE214" s="569"/>
      <c r="CF214" s="569"/>
      <c r="CG214" s="569"/>
      <c r="CH214" s="569"/>
      <c r="CI214" s="569"/>
      <c r="CJ214" s="569"/>
      <c r="CK214" s="569"/>
      <c r="CL214" s="569"/>
      <c r="CM214" s="569"/>
      <c r="CN214" s="569"/>
      <c r="CO214" s="569"/>
      <c r="CP214" s="569"/>
      <c r="CQ214" s="569"/>
      <c r="CR214" s="569"/>
      <c r="CS214" s="569"/>
      <c r="CT214" s="569"/>
      <c r="CU214" s="569"/>
      <c r="CV214" s="569"/>
      <c r="CW214" s="569"/>
      <c r="CX214" s="569"/>
      <c r="CY214" s="569"/>
      <c r="CZ214" s="569"/>
      <c r="DA214" s="569"/>
      <c r="DB214" s="569"/>
      <c r="DC214" s="569"/>
      <c r="DD214" s="569"/>
      <c r="DE214" s="569"/>
      <c r="DF214" s="569"/>
      <c r="DG214" s="569"/>
      <c r="DH214" s="569"/>
      <c r="DI214" s="569"/>
      <c r="DJ214" s="569"/>
      <c r="DK214" s="569"/>
      <c r="DL214" s="569"/>
      <c r="DM214" s="569"/>
      <c r="DN214" s="569"/>
      <c r="DO214" s="569"/>
      <c r="DP214" s="569"/>
      <c r="DQ214" s="569"/>
      <c r="DR214" s="569"/>
      <c r="DS214" s="569"/>
      <c r="DT214" s="569"/>
      <c r="DU214" s="569"/>
      <c r="DV214" s="569"/>
      <c r="DW214" s="569"/>
      <c r="DX214" s="569"/>
      <c r="DY214" s="569"/>
      <c r="DZ214" s="569"/>
      <c r="EA214" s="569"/>
      <c r="EB214" s="569"/>
      <c r="EC214" s="569"/>
      <c r="ED214" s="569"/>
      <c r="EE214" s="569"/>
      <c r="EF214" s="569"/>
      <c r="EG214" s="569"/>
      <c r="EH214" s="569"/>
      <c r="EI214" s="569"/>
      <c r="EJ214" s="569"/>
      <c r="EK214" s="569"/>
      <c r="EL214" s="569"/>
      <c r="EM214" s="569"/>
      <c r="EN214" s="569"/>
      <c r="EO214" s="569"/>
      <c r="EP214" s="569"/>
      <c r="EQ214" s="569"/>
      <c r="ER214" s="569"/>
      <c r="ES214" s="569"/>
      <c r="ET214" s="569"/>
      <c r="EU214" s="569"/>
      <c r="EV214" s="569"/>
      <c r="EW214" s="569"/>
      <c r="EX214" s="569"/>
      <c r="EY214" s="569"/>
      <c r="EZ214" s="569"/>
      <c r="FA214" s="569"/>
      <c r="FB214" s="569"/>
      <c r="FC214" s="569"/>
      <c r="FD214" s="569"/>
      <c r="FE214" s="569"/>
      <c r="FF214" s="569"/>
      <c r="FG214" s="569"/>
      <c r="FH214" s="569"/>
      <c r="FI214" s="569"/>
      <c r="FJ214" s="569"/>
      <c r="FK214" s="569"/>
      <c r="FL214" s="569"/>
      <c r="FM214" s="569"/>
      <c r="FN214" s="569"/>
      <c r="FO214" s="569"/>
      <c r="FP214" s="569"/>
      <c r="FQ214" s="569"/>
      <c r="FR214" s="569"/>
      <c r="FS214" s="569"/>
      <c r="FT214" s="569"/>
      <c r="FU214" s="569"/>
      <c r="FV214" s="569"/>
      <c r="FW214" s="569"/>
      <c r="FX214" s="569"/>
      <c r="FY214" s="569"/>
      <c r="FZ214" s="569"/>
      <c r="GA214" s="569"/>
      <c r="GB214" s="569"/>
      <c r="GC214" s="569"/>
      <c r="GD214" s="569"/>
      <c r="GE214" s="569"/>
      <c r="GF214" s="569"/>
      <c r="GG214" s="569"/>
      <c r="GH214" s="569"/>
      <c r="GI214" s="569"/>
      <c r="GJ214" s="569"/>
      <c r="GK214" s="569"/>
      <c r="GL214" s="569"/>
      <c r="GM214" s="569"/>
      <c r="GN214" s="569"/>
      <c r="GO214" s="569"/>
      <c r="GP214" s="569"/>
      <c r="GQ214" s="569"/>
      <c r="GR214" s="569"/>
      <c r="GS214" s="569"/>
      <c r="GT214" s="569"/>
    </row>
    <row r="215" spans="1:202" s="554" customFormat="1">
      <c r="A215" s="591"/>
      <c r="B215" s="569"/>
      <c r="C215" s="569"/>
      <c r="D215" s="569"/>
      <c r="E215" s="569"/>
      <c r="F215" s="569"/>
      <c r="G215" s="569"/>
      <c r="H215" s="569"/>
      <c r="I215" s="569"/>
      <c r="J215" s="569"/>
      <c r="K215" s="569"/>
      <c r="L215" s="569"/>
      <c r="M215" s="569"/>
      <c r="N215" s="569"/>
      <c r="O215" s="569"/>
      <c r="P215" s="569"/>
      <c r="Q215" s="569"/>
      <c r="R215" s="569"/>
      <c r="S215" s="569"/>
      <c r="T215" s="569"/>
      <c r="U215" s="569"/>
      <c r="V215" s="569"/>
      <c r="W215" s="569"/>
      <c r="X215" s="569"/>
      <c r="Y215" s="569"/>
      <c r="Z215" s="569"/>
      <c r="AA215" s="569"/>
      <c r="AB215" s="569"/>
      <c r="AC215" s="569"/>
      <c r="AD215" s="569"/>
      <c r="AE215" s="569"/>
      <c r="AF215" s="569"/>
      <c r="AG215" s="569"/>
      <c r="AH215" s="569"/>
      <c r="AI215" s="569"/>
      <c r="AJ215" s="569"/>
      <c r="AK215" s="569"/>
      <c r="AL215" s="569"/>
      <c r="AM215" s="569"/>
      <c r="AN215" s="569"/>
      <c r="AO215" s="569"/>
      <c r="AP215" s="569"/>
      <c r="AQ215" s="569"/>
      <c r="AR215" s="569"/>
      <c r="AS215" s="569"/>
      <c r="AT215" s="569"/>
      <c r="AU215" s="569"/>
      <c r="AV215" s="569"/>
      <c r="AW215" s="569"/>
      <c r="AX215" s="569"/>
      <c r="AY215" s="569"/>
      <c r="AZ215" s="569"/>
      <c r="BA215" s="569"/>
      <c r="BB215" s="569"/>
      <c r="BC215" s="569"/>
      <c r="BD215" s="569"/>
      <c r="BE215" s="569"/>
      <c r="BF215" s="569"/>
      <c r="BG215" s="569"/>
      <c r="BH215" s="569"/>
      <c r="BI215" s="569"/>
      <c r="BJ215" s="569"/>
      <c r="BK215" s="569"/>
      <c r="BL215" s="569"/>
      <c r="BM215" s="569"/>
      <c r="BN215" s="569"/>
      <c r="BO215" s="569"/>
      <c r="BP215" s="569"/>
      <c r="BQ215" s="569"/>
      <c r="BR215" s="569"/>
      <c r="BS215" s="569"/>
      <c r="BT215" s="569"/>
      <c r="BU215" s="569"/>
      <c r="BV215" s="569"/>
      <c r="BW215" s="569"/>
      <c r="BX215" s="569"/>
      <c r="BY215" s="569"/>
      <c r="BZ215" s="569"/>
      <c r="CA215" s="569"/>
      <c r="CB215" s="569"/>
      <c r="CC215" s="569"/>
      <c r="CD215" s="569"/>
      <c r="CE215" s="569"/>
      <c r="CF215" s="569"/>
      <c r="CG215" s="569"/>
      <c r="CH215" s="569"/>
      <c r="CI215" s="569"/>
      <c r="CJ215" s="569"/>
      <c r="CK215" s="569"/>
      <c r="CL215" s="569"/>
      <c r="CM215" s="569"/>
      <c r="CN215" s="569"/>
      <c r="CO215" s="569"/>
      <c r="CP215" s="569"/>
      <c r="CQ215" s="569"/>
      <c r="CR215" s="569"/>
      <c r="CS215" s="569"/>
      <c r="CT215" s="569"/>
      <c r="CU215" s="569"/>
      <c r="CV215" s="569"/>
      <c r="CW215" s="569"/>
      <c r="CX215" s="569"/>
      <c r="CY215" s="569"/>
      <c r="CZ215" s="569"/>
      <c r="DA215" s="569"/>
      <c r="DB215" s="569"/>
      <c r="DC215" s="569"/>
      <c r="DD215" s="569"/>
      <c r="DE215" s="569"/>
      <c r="DF215" s="569"/>
      <c r="DG215" s="569"/>
      <c r="DH215" s="569"/>
      <c r="DI215" s="569"/>
      <c r="DJ215" s="569"/>
      <c r="DK215" s="569"/>
      <c r="DL215" s="569"/>
      <c r="DM215" s="569"/>
      <c r="DN215" s="569"/>
      <c r="DO215" s="569"/>
      <c r="DP215" s="569"/>
      <c r="DQ215" s="569"/>
      <c r="DR215" s="569"/>
      <c r="DS215" s="569"/>
      <c r="DT215" s="569"/>
      <c r="DU215" s="569"/>
      <c r="DV215" s="569"/>
      <c r="DW215" s="569"/>
      <c r="DX215" s="569"/>
      <c r="DY215" s="569"/>
      <c r="DZ215" s="569"/>
      <c r="EA215" s="569"/>
      <c r="EB215" s="569"/>
      <c r="EC215" s="569"/>
      <c r="ED215" s="569"/>
      <c r="EE215" s="569"/>
      <c r="EF215" s="569"/>
      <c r="EG215" s="569"/>
      <c r="EH215" s="569"/>
      <c r="EI215" s="569"/>
      <c r="EJ215" s="569"/>
      <c r="EK215" s="569"/>
      <c r="EL215" s="569"/>
      <c r="EM215" s="569"/>
      <c r="EN215" s="569"/>
      <c r="EO215" s="569"/>
      <c r="EP215" s="569"/>
      <c r="EQ215" s="569"/>
      <c r="ER215" s="569"/>
      <c r="ES215" s="569"/>
      <c r="ET215" s="569"/>
      <c r="EU215" s="569"/>
      <c r="EV215" s="569"/>
      <c r="EW215" s="569"/>
      <c r="EX215" s="569"/>
      <c r="EY215" s="569"/>
      <c r="EZ215" s="569"/>
      <c r="FA215" s="569"/>
      <c r="FB215" s="569"/>
      <c r="FC215" s="569"/>
      <c r="FD215" s="569"/>
      <c r="FE215" s="569"/>
      <c r="FF215" s="569"/>
      <c r="FG215" s="569"/>
      <c r="FH215" s="569"/>
      <c r="FI215" s="569"/>
      <c r="FJ215" s="569"/>
      <c r="FK215" s="569"/>
      <c r="FL215" s="569"/>
      <c r="FM215" s="569"/>
      <c r="FN215" s="569"/>
      <c r="FO215" s="569"/>
      <c r="FP215" s="569"/>
      <c r="FQ215" s="569"/>
      <c r="FR215" s="569"/>
      <c r="FS215" s="569"/>
      <c r="FT215" s="569"/>
      <c r="FU215" s="569"/>
      <c r="FV215" s="569"/>
      <c r="FW215" s="569"/>
      <c r="FX215" s="569"/>
      <c r="FY215" s="569"/>
      <c r="FZ215" s="569"/>
      <c r="GA215" s="569"/>
      <c r="GB215" s="569"/>
      <c r="GC215" s="569"/>
      <c r="GD215" s="569"/>
      <c r="GE215" s="569"/>
      <c r="GF215" s="569"/>
      <c r="GG215" s="569"/>
      <c r="GH215" s="569"/>
      <c r="GI215" s="569"/>
      <c r="GJ215" s="569"/>
      <c r="GK215" s="569"/>
      <c r="GL215" s="569"/>
      <c r="GM215" s="569"/>
      <c r="GN215" s="569"/>
      <c r="GO215" s="569"/>
      <c r="GP215" s="569"/>
      <c r="GQ215" s="569"/>
      <c r="GR215" s="569"/>
      <c r="GS215" s="569"/>
      <c r="GT215" s="569"/>
    </row>
    <row r="216" spans="1:202" s="554" customFormat="1">
      <c r="A216" s="591"/>
      <c r="B216" s="569"/>
      <c r="C216" s="569"/>
      <c r="D216" s="569"/>
      <c r="E216" s="569"/>
      <c r="F216" s="569"/>
      <c r="G216" s="569"/>
      <c r="H216" s="569"/>
      <c r="I216" s="569"/>
      <c r="J216" s="569"/>
      <c r="K216" s="569"/>
      <c r="L216" s="569"/>
      <c r="M216" s="569"/>
      <c r="N216" s="569"/>
      <c r="O216" s="569"/>
      <c r="P216" s="569"/>
      <c r="Q216" s="569"/>
      <c r="R216" s="569"/>
      <c r="S216" s="569"/>
      <c r="T216" s="569"/>
      <c r="U216" s="569"/>
      <c r="V216" s="569"/>
      <c r="W216" s="569"/>
      <c r="X216" s="569"/>
      <c r="Y216" s="569"/>
      <c r="Z216" s="569"/>
      <c r="AA216" s="569"/>
      <c r="AB216" s="569"/>
      <c r="AC216" s="569"/>
      <c r="AD216" s="569"/>
      <c r="AE216" s="569"/>
      <c r="AF216" s="569"/>
      <c r="AG216" s="569"/>
      <c r="AH216" s="569"/>
      <c r="AI216" s="569"/>
      <c r="AJ216" s="569"/>
      <c r="AK216" s="569"/>
      <c r="AL216" s="569"/>
      <c r="AM216" s="569"/>
      <c r="AN216" s="569"/>
      <c r="AO216" s="569"/>
      <c r="AP216" s="569"/>
      <c r="AQ216" s="569"/>
      <c r="AR216" s="569"/>
      <c r="AS216" s="569"/>
      <c r="AT216" s="569"/>
      <c r="AU216" s="569"/>
      <c r="AV216" s="569"/>
      <c r="AW216" s="569"/>
      <c r="AX216" s="569"/>
      <c r="AY216" s="569"/>
      <c r="AZ216" s="569"/>
      <c r="BA216" s="569"/>
      <c r="BB216" s="569"/>
      <c r="BC216" s="569"/>
      <c r="BD216" s="569"/>
      <c r="BE216" s="569"/>
      <c r="BF216" s="569"/>
      <c r="BG216" s="569"/>
      <c r="BH216" s="569"/>
      <c r="BI216" s="569"/>
      <c r="BJ216" s="569"/>
      <c r="BK216" s="569"/>
      <c r="BL216" s="569"/>
      <c r="BM216" s="569"/>
      <c r="BN216" s="569"/>
      <c r="BO216" s="569"/>
      <c r="BP216" s="569"/>
      <c r="BQ216" s="569"/>
      <c r="BR216" s="569"/>
      <c r="BS216" s="569"/>
      <c r="BT216" s="569"/>
      <c r="BU216" s="569"/>
      <c r="BV216" s="569"/>
      <c r="BW216" s="569"/>
      <c r="BX216" s="569"/>
      <c r="BY216" s="569"/>
      <c r="BZ216" s="569"/>
      <c r="CA216" s="569"/>
      <c r="CB216" s="569"/>
      <c r="CC216" s="569"/>
      <c r="CD216" s="569"/>
      <c r="CE216" s="569"/>
      <c r="CF216" s="569"/>
      <c r="CG216" s="569"/>
      <c r="CH216" s="569"/>
      <c r="CI216" s="569"/>
      <c r="CJ216" s="569"/>
      <c r="CK216" s="569"/>
      <c r="CL216" s="569"/>
      <c r="CM216" s="569"/>
      <c r="CN216" s="569"/>
      <c r="CO216" s="569"/>
      <c r="CP216" s="569"/>
      <c r="CQ216" s="569"/>
      <c r="CR216" s="569"/>
      <c r="CS216" s="569"/>
      <c r="CT216" s="569"/>
      <c r="CU216" s="569"/>
      <c r="CV216" s="569"/>
      <c r="CW216" s="569"/>
      <c r="CX216" s="569"/>
      <c r="CY216" s="569"/>
      <c r="CZ216" s="569"/>
      <c r="DA216" s="569"/>
      <c r="DB216" s="569"/>
      <c r="DC216" s="569"/>
      <c r="DD216" s="569"/>
      <c r="DE216" s="569"/>
      <c r="DF216" s="569"/>
      <c r="DG216" s="569"/>
      <c r="DH216" s="569"/>
      <c r="DI216" s="569"/>
      <c r="DJ216" s="569"/>
      <c r="DK216" s="569"/>
      <c r="DL216" s="569"/>
      <c r="DM216" s="569"/>
      <c r="DN216" s="569"/>
      <c r="DO216" s="569"/>
      <c r="DP216" s="569"/>
      <c r="DQ216" s="569"/>
      <c r="DR216" s="569"/>
      <c r="DS216" s="569"/>
      <c r="DT216" s="569"/>
      <c r="DU216" s="569"/>
      <c r="DV216" s="569"/>
      <c r="DW216" s="569"/>
      <c r="DX216" s="569"/>
      <c r="DY216" s="569"/>
      <c r="DZ216" s="569"/>
      <c r="EA216" s="569"/>
      <c r="EB216" s="569"/>
      <c r="EC216" s="569"/>
      <c r="ED216" s="569"/>
      <c r="EE216" s="569"/>
      <c r="EF216" s="569"/>
      <c r="EG216" s="569"/>
      <c r="EH216" s="569"/>
      <c r="EI216" s="569"/>
      <c r="EJ216" s="569"/>
      <c r="EK216" s="569"/>
      <c r="EL216" s="569"/>
      <c r="EM216" s="569"/>
      <c r="EN216" s="569"/>
      <c r="EO216" s="569"/>
      <c r="EP216" s="569"/>
      <c r="EQ216" s="569"/>
      <c r="ER216" s="569"/>
      <c r="ES216" s="569"/>
      <c r="ET216" s="569"/>
      <c r="EU216" s="569"/>
      <c r="EV216" s="569"/>
      <c r="EW216" s="569"/>
      <c r="EX216" s="569"/>
      <c r="EY216" s="569"/>
      <c r="EZ216" s="569"/>
      <c r="FA216" s="569"/>
      <c r="FB216" s="569"/>
      <c r="FC216" s="569"/>
      <c r="FD216" s="569"/>
      <c r="FE216" s="569"/>
      <c r="FF216" s="569"/>
      <c r="FG216" s="569"/>
      <c r="FH216" s="569"/>
      <c r="FI216" s="569"/>
      <c r="FJ216" s="569"/>
      <c r="FK216" s="569"/>
      <c r="FL216" s="569"/>
      <c r="FM216" s="569"/>
      <c r="FN216" s="569"/>
      <c r="FO216" s="569"/>
      <c r="FP216" s="569"/>
      <c r="FQ216" s="569"/>
      <c r="FR216" s="569"/>
      <c r="FS216" s="569"/>
      <c r="FT216" s="569"/>
      <c r="FU216" s="569"/>
      <c r="FV216" s="569"/>
      <c r="FW216" s="569"/>
      <c r="FX216" s="569"/>
      <c r="FY216" s="569"/>
      <c r="FZ216" s="569"/>
      <c r="GA216" s="569"/>
      <c r="GB216" s="569"/>
      <c r="GC216" s="569"/>
      <c r="GD216" s="569"/>
      <c r="GE216" s="569"/>
      <c r="GF216" s="569"/>
      <c r="GG216" s="569"/>
      <c r="GH216" s="569"/>
      <c r="GI216" s="569"/>
      <c r="GJ216" s="569"/>
      <c r="GK216" s="569"/>
      <c r="GL216" s="569"/>
      <c r="GM216" s="569"/>
      <c r="GN216" s="569"/>
      <c r="GO216" s="569"/>
      <c r="GP216" s="569"/>
      <c r="GQ216" s="569"/>
      <c r="GR216" s="569"/>
      <c r="GS216" s="569"/>
      <c r="GT216" s="569"/>
    </row>
    <row r="217" spans="1:202" s="554" customFormat="1">
      <c r="A217" s="591"/>
      <c r="B217" s="569"/>
      <c r="C217" s="569"/>
      <c r="D217" s="569"/>
      <c r="E217" s="569"/>
      <c r="F217" s="569"/>
      <c r="G217" s="569"/>
      <c r="H217" s="569"/>
      <c r="I217" s="569"/>
      <c r="J217" s="569"/>
      <c r="K217" s="569"/>
      <c r="L217" s="569"/>
      <c r="M217" s="569"/>
      <c r="N217" s="569"/>
      <c r="O217" s="569"/>
      <c r="P217" s="569"/>
      <c r="Q217" s="569"/>
      <c r="R217" s="569"/>
      <c r="S217" s="569"/>
      <c r="T217" s="569"/>
      <c r="U217" s="569"/>
      <c r="V217" s="569"/>
      <c r="W217" s="569"/>
      <c r="X217" s="569"/>
      <c r="Y217" s="569"/>
      <c r="Z217" s="569"/>
      <c r="AA217" s="569"/>
      <c r="AB217" s="569"/>
      <c r="AC217" s="569"/>
      <c r="AD217" s="569"/>
      <c r="AE217" s="569"/>
      <c r="AF217" s="569"/>
      <c r="AG217" s="569"/>
      <c r="AH217" s="569"/>
      <c r="AI217" s="569"/>
      <c r="AJ217" s="569"/>
      <c r="AK217" s="569"/>
      <c r="AL217" s="569"/>
      <c r="AM217" s="569"/>
      <c r="AN217" s="569"/>
      <c r="AO217" s="569"/>
      <c r="AP217" s="569"/>
      <c r="AQ217" s="569"/>
      <c r="AR217" s="569"/>
      <c r="AS217" s="569"/>
      <c r="AT217" s="569"/>
      <c r="AU217" s="569"/>
      <c r="AV217" s="569"/>
      <c r="AW217" s="569"/>
      <c r="AX217" s="569"/>
      <c r="AY217" s="569"/>
      <c r="AZ217" s="569"/>
      <c r="BA217" s="569"/>
      <c r="BB217" s="569"/>
      <c r="BC217" s="569"/>
      <c r="BD217" s="569"/>
      <c r="BE217" s="569"/>
      <c r="BF217" s="569"/>
      <c r="BG217" s="569"/>
      <c r="BH217" s="569"/>
      <c r="BI217" s="569"/>
      <c r="BJ217" s="569"/>
      <c r="BK217" s="569"/>
      <c r="BL217" s="569"/>
      <c r="BM217" s="569"/>
      <c r="BN217" s="569"/>
      <c r="BO217" s="569"/>
      <c r="BP217" s="569"/>
      <c r="BQ217" s="569"/>
      <c r="BR217" s="569"/>
      <c r="BS217" s="569"/>
      <c r="BT217" s="569"/>
      <c r="BU217" s="569"/>
      <c r="BV217" s="569"/>
      <c r="BW217" s="569"/>
      <c r="BX217" s="569"/>
      <c r="BY217" s="569"/>
      <c r="BZ217" s="569"/>
      <c r="CA217" s="569"/>
      <c r="CB217" s="569"/>
      <c r="CC217" s="569"/>
      <c r="CD217" s="569"/>
      <c r="CE217" s="569"/>
      <c r="CF217" s="569"/>
      <c r="CG217" s="569"/>
      <c r="CH217" s="569"/>
      <c r="CI217" s="569"/>
      <c r="CJ217" s="569"/>
      <c r="CK217" s="569"/>
      <c r="CL217" s="569"/>
      <c r="CM217" s="569"/>
      <c r="CN217" s="569"/>
      <c r="CO217" s="569"/>
      <c r="CP217" s="569"/>
      <c r="CQ217" s="569"/>
      <c r="CR217" s="569"/>
      <c r="CS217" s="569"/>
      <c r="CT217" s="569"/>
      <c r="CU217" s="569"/>
      <c r="CV217" s="569"/>
      <c r="CW217" s="569"/>
      <c r="CX217" s="569"/>
      <c r="CY217" s="569"/>
      <c r="CZ217" s="569"/>
      <c r="DA217" s="569"/>
      <c r="DB217" s="569"/>
      <c r="DC217" s="569"/>
      <c r="DD217" s="569"/>
      <c r="DE217" s="569"/>
      <c r="DF217" s="569"/>
      <c r="DG217" s="569"/>
      <c r="DH217" s="569"/>
      <c r="DI217" s="569"/>
      <c r="DJ217" s="569"/>
      <c r="DK217" s="569"/>
      <c r="DL217" s="569"/>
      <c r="DM217" s="569"/>
      <c r="DN217" s="569"/>
      <c r="DO217" s="569"/>
      <c r="DP217" s="569"/>
      <c r="DQ217" s="569"/>
      <c r="DR217" s="569"/>
      <c r="DS217" s="569"/>
      <c r="DT217" s="569"/>
      <c r="DU217" s="569"/>
      <c r="DV217" s="569"/>
      <c r="DW217" s="569"/>
      <c r="DX217" s="569"/>
      <c r="DY217" s="569"/>
      <c r="DZ217" s="569"/>
      <c r="EA217" s="569"/>
      <c r="EB217" s="569"/>
      <c r="EC217" s="569"/>
      <c r="ED217" s="569"/>
      <c r="EE217" s="569"/>
      <c r="EF217" s="569"/>
      <c r="EG217" s="569"/>
      <c r="EH217" s="569"/>
      <c r="EI217" s="569"/>
      <c r="EJ217" s="569"/>
      <c r="EK217" s="569"/>
      <c r="EL217" s="569"/>
      <c r="EM217" s="569"/>
      <c r="EN217" s="569"/>
      <c r="EO217" s="569"/>
      <c r="EP217" s="569"/>
      <c r="EQ217" s="569"/>
      <c r="ER217" s="569"/>
      <c r="ES217" s="569"/>
      <c r="ET217" s="569"/>
      <c r="EU217" s="569"/>
      <c r="EV217" s="569"/>
      <c r="EW217" s="569"/>
      <c r="EX217" s="569"/>
      <c r="EY217" s="569"/>
      <c r="EZ217" s="569"/>
      <c r="FA217" s="569"/>
      <c r="FB217" s="569"/>
      <c r="FC217" s="569"/>
      <c r="FD217" s="569"/>
      <c r="FE217" s="569"/>
      <c r="FF217" s="569"/>
      <c r="FG217" s="569"/>
      <c r="FH217" s="569"/>
      <c r="FI217" s="569"/>
      <c r="FJ217" s="569"/>
      <c r="FK217" s="569"/>
      <c r="FL217" s="569"/>
      <c r="FM217" s="569"/>
      <c r="FN217" s="569"/>
      <c r="FO217" s="569"/>
      <c r="FP217" s="569"/>
      <c r="FQ217" s="569"/>
      <c r="FR217" s="569"/>
      <c r="FS217" s="569"/>
      <c r="FT217" s="569"/>
      <c r="FU217" s="569"/>
      <c r="FV217" s="569"/>
      <c r="FW217" s="569"/>
      <c r="FX217" s="569"/>
      <c r="FY217" s="569"/>
      <c r="FZ217" s="569"/>
      <c r="GA217" s="569"/>
      <c r="GB217" s="569"/>
      <c r="GC217" s="569"/>
      <c r="GD217" s="569"/>
      <c r="GE217" s="569"/>
      <c r="GF217" s="569"/>
      <c r="GG217" s="569"/>
      <c r="GH217" s="569"/>
      <c r="GI217" s="569"/>
      <c r="GJ217" s="569"/>
      <c r="GK217" s="569"/>
      <c r="GL217" s="569"/>
      <c r="GM217" s="569"/>
      <c r="GN217" s="569"/>
      <c r="GO217" s="569"/>
      <c r="GP217" s="569"/>
      <c r="GQ217" s="569"/>
      <c r="GR217" s="569"/>
      <c r="GS217" s="569"/>
      <c r="GT217" s="569"/>
    </row>
    <row r="218" spans="1:202" s="554" customFormat="1">
      <c r="A218" s="591"/>
      <c r="B218" s="569"/>
      <c r="C218" s="569"/>
      <c r="D218" s="569"/>
      <c r="E218" s="569"/>
      <c r="F218" s="569"/>
      <c r="G218" s="569"/>
      <c r="H218" s="569"/>
      <c r="I218" s="569"/>
      <c r="J218" s="569"/>
      <c r="K218" s="569"/>
      <c r="L218" s="569"/>
      <c r="M218" s="569"/>
      <c r="N218" s="569"/>
      <c r="O218" s="569"/>
      <c r="P218" s="569"/>
      <c r="Q218" s="569"/>
      <c r="R218" s="569"/>
      <c r="S218" s="569"/>
      <c r="T218" s="569"/>
      <c r="U218" s="569"/>
      <c r="V218" s="569"/>
      <c r="W218" s="569"/>
      <c r="X218" s="569"/>
      <c r="Y218" s="569"/>
      <c r="Z218" s="569"/>
      <c r="AA218" s="569"/>
      <c r="AB218" s="569"/>
      <c r="AC218" s="569"/>
      <c r="AD218" s="569"/>
      <c r="AE218" s="569"/>
      <c r="AF218" s="569"/>
      <c r="AG218" s="569"/>
      <c r="AH218" s="569"/>
      <c r="AI218" s="569"/>
      <c r="AJ218" s="569"/>
      <c r="AK218" s="569"/>
      <c r="AL218" s="569"/>
      <c r="AM218" s="569"/>
      <c r="AN218" s="569"/>
      <c r="AO218" s="569"/>
      <c r="AP218" s="569"/>
      <c r="AQ218" s="569"/>
      <c r="AR218" s="569"/>
      <c r="AS218" s="569"/>
      <c r="AT218" s="569"/>
      <c r="AU218" s="569"/>
      <c r="AV218" s="569"/>
      <c r="AW218" s="569"/>
      <c r="AX218" s="569"/>
      <c r="AY218" s="569"/>
      <c r="AZ218" s="569"/>
      <c r="BA218" s="569"/>
      <c r="BB218" s="569"/>
      <c r="BC218" s="569"/>
      <c r="BD218" s="569"/>
      <c r="BE218" s="569"/>
      <c r="BF218" s="569"/>
      <c r="BG218" s="569"/>
      <c r="BH218" s="569"/>
      <c r="BI218" s="569"/>
      <c r="BJ218" s="569"/>
      <c r="BK218" s="569"/>
      <c r="BL218" s="569"/>
      <c r="BM218" s="569"/>
      <c r="BN218" s="569"/>
      <c r="BO218" s="569"/>
      <c r="BP218" s="569"/>
      <c r="BQ218" s="569"/>
      <c r="BR218" s="569"/>
      <c r="BS218" s="569"/>
      <c r="BT218" s="569"/>
      <c r="BU218" s="569"/>
      <c r="BV218" s="569"/>
      <c r="BW218" s="569"/>
      <c r="BX218" s="569"/>
      <c r="BY218" s="569"/>
      <c r="BZ218" s="569"/>
      <c r="CA218" s="569"/>
      <c r="CB218" s="569"/>
      <c r="CC218" s="569"/>
      <c r="CD218" s="569"/>
      <c r="CE218" s="569"/>
      <c r="CF218" s="569"/>
      <c r="CG218" s="569"/>
      <c r="CH218" s="569"/>
      <c r="CI218" s="569"/>
      <c r="CJ218" s="569"/>
      <c r="CK218" s="569"/>
      <c r="CL218" s="569"/>
      <c r="CM218" s="569"/>
      <c r="CN218" s="569"/>
      <c r="CO218" s="569"/>
      <c r="CP218" s="569"/>
      <c r="CQ218" s="569"/>
      <c r="CR218" s="569"/>
      <c r="CS218" s="569"/>
      <c r="CT218" s="569"/>
      <c r="CU218" s="569"/>
      <c r="CV218" s="569"/>
      <c r="CW218" s="569"/>
      <c r="CX218" s="569"/>
      <c r="CY218" s="569"/>
      <c r="CZ218" s="569"/>
      <c r="DA218" s="569"/>
      <c r="DB218" s="569"/>
      <c r="DC218" s="569"/>
      <c r="DD218" s="569"/>
      <c r="DE218" s="569"/>
      <c r="DF218" s="569"/>
      <c r="DG218" s="569"/>
      <c r="DH218" s="569"/>
      <c r="DI218" s="569"/>
      <c r="DJ218" s="569"/>
      <c r="DK218" s="569"/>
      <c r="DL218" s="569"/>
      <c r="DM218" s="569"/>
      <c r="DN218" s="569"/>
      <c r="DO218" s="569"/>
      <c r="DP218" s="569"/>
      <c r="DQ218" s="569"/>
      <c r="DR218" s="569"/>
      <c r="DS218" s="569"/>
      <c r="DT218" s="569"/>
      <c r="DU218" s="569"/>
      <c r="DV218" s="569"/>
      <c r="DW218" s="569"/>
      <c r="DX218" s="569"/>
      <c r="DY218" s="569"/>
      <c r="DZ218" s="569"/>
      <c r="EA218" s="569"/>
      <c r="EB218" s="569"/>
      <c r="EC218" s="569"/>
      <c r="ED218" s="569"/>
      <c r="EE218" s="569"/>
      <c r="EF218" s="569"/>
      <c r="EG218" s="569"/>
      <c r="EH218" s="569"/>
      <c r="EI218" s="569"/>
      <c r="EJ218" s="569"/>
      <c r="EK218" s="569"/>
      <c r="EL218" s="569"/>
      <c r="EM218" s="569"/>
      <c r="EN218" s="569"/>
      <c r="EO218" s="569"/>
      <c r="EP218" s="569"/>
      <c r="EQ218" s="569"/>
      <c r="ER218" s="569"/>
      <c r="ES218" s="569"/>
      <c r="ET218" s="569"/>
      <c r="EU218" s="569"/>
      <c r="EV218" s="569"/>
      <c r="EW218" s="569"/>
      <c r="EX218" s="569"/>
      <c r="EY218" s="569"/>
      <c r="EZ218" s="569"/>
      <c r="FA218" s="569"/>
      <c r="FB218" s="569"/>
      <c r="FC218" s="569"/>
      <c r="FD218" s="569"/>
      <c r="FE218" s="569"/>
      <c r="FF218" s="569"/>
      <c r="FG218" s="569"/>
      <c r="FH218" s="569"/>
      <c r="FI218" s="569"/>
      <c r="FJ218" s="569"/>
      <c r="FK218" s="569"/>
      <c r="FL218" s="569"/>
      <c r="FM218" s="569"/>
      <c r="FN218" s="569"/>
      <c r="FO218" s="569"/>
      <c r="FP218" s="569"/>
      <c r="FQ218" s="569"/>
      <c r="FR218" s="569"/>
      <c r="FS218" s="569"/>
      <c r="FT218" s="569"/>
      <c r="FU218" s="569"/>
      <c r="FV218" s="569"/>
      <c r="FW218" s="569"/>
      <c r="FX218" s="569"/>
      <c r="FY218" s="569"/>
      <c r="FZ218" s="569"/>
      <c r="GA218" s="569"/>
      <c r="GB218" s="569"/>
      <c r="GC218" s="569"/>
      <c r="GD218" s="569"/>
      <c r="GE218" s="569"/>
      <c r="GF218" s="569"/>
      <c r="GG218" s="569"/>
      <c r="GH218" s="569"/>
      <c r="GI218" s="569"/>
      <c r="GJ218" s="569"/>
      <c r="GK218" s="569"/>
      <c r="GL218" s="569"/>
      <c r="GM218" s="569"/>
      <c r="GN218" s="569"/>
      <c r="GO218" s="569"/>
      <c r="GP218" s="569"/>
      <c r="GQ218" s="569"/>
      <c r="GR218" s="569"/>
      <c r="GS218" s="569"/>
      <c r="GT218" s="569"/>
    </row>
    <row r="219" spans="1:202" s="554" customFormat="1">
      <c r="A219" s="591"/>
      <c r="B219" s="569"/>
      <c r="C219" s="569"/>
      <c r="D219" s="569"/>
      <c r="E219" s="569"/>
      <c r="F219" s="569"/>
      <c r="G219" s="569"/>
      <c r="H219" s="569"/>
      <c r="I219" s="569"/>
      <c r="J219" s="569"/>
      <c r="K219" s="569"/>
      <c r="L219" s="569"/>
      <c r="M219" s="569"/>
      <c r="N219" s="569"/>
      <c r="O219" s="569"/>
      <c r="P219" s="569"/>
      <c r="Q219" s="569"/>
      <c r="R219" s="569"/>
      <c r="S219" s="569"/>
      <c r="T219" s="569"/>
      <c r="U219" s="569"/>
      <c r="V219" s="569"/>
      <c r="W219" s="569"/>
      <c r="X219" s="569"/>
      <c r="Y219" s="569"/>
      <c r="Z219" s="569"/>
      <c r="AA219" s="569"/>
      <c r="AB219" s="569"/>
      <c r="AC219" s="569"/>
      <c r="AD219" s="569"/>
      <c r="AE219" s="569"/>
      <c r="AF219" s="569"/>
      <c r="AG219" s="569"/>
      <c r="AH219" s="569"/>
      <c r="AI219" s="569"/>
      <c r="AJ219" s="569"/>
      <c r="AK219" s="569"/>
      <c r="AL219" s="569"/>
      <c r="AM219" s="569"/>
      <c r="AN219" s="569"/>
      <c r="AO219" s="569"/>
      <c r="AP219" s="569"/>
      <c r="AQ219" s="569"/>
      <c r="AR219" s="569"/>
      <c r="AS219" s="569"/>
      <c r="AT219" s="569"/>
      <c r="AU219" s="569"/>
      <c r="AV219" s="569"/>
      <c r="AW219" s="569"/>
      <c r="AX219" s="569"/>
      <c r="AY219" s="569"/>
      <c r="AZ219" s="569"/>
      <c r="BA219" s="569"/>
      <c r="BB219" s="569"/>
      <c r="BC219" s="569"/>
      <c r="BD219" s="569"/>
      <c r="BE219" s="569"/>
      <c r="BF219" s="569"/>
      <c r="BG219" s="569"/>
      <c r="BH219" s="569"/>
      <c r="BI219" s="569"/>
      <c r="BJ219" s="569"/>
      <c r="BK219" s="569"/>
      <c r="BL219" s="569"/>
      <c r="BM219" s="569"/>
      <c r="BN219" s="569"/>
      <c r="BO219" s="569"/>
      <c r="BP219" s="569"/>
      <c r="BQ219" s="569"/>
      <c r="BR219" s="569"/>
      <c r="BS219" s="569"/>
      <c r="BT219" s="569"/>
      <c r="BU219" s="569"/>
      <c r="BV219" s="569"/>
      <c r="BW219" s="569"/>
      <c r="BX219" s="569"/>
      <c r="BY219" s="569"/>
      <c r="BZ219" s="569"/>
      <c r="CA219" s="569"/>
      <c r="CB219" s="569"/>
      <c r="CC219" s="569"/>
      <c r="CD219" s="569"/>
      <c r="CE219" s="569"/>
      <c r="CF219" s="569"/>
      <c r="CG219" s="569"/>
      <c r="CH219" s="569"/>
      <c r="CI219" s="569"/>
      <c r="CJ219" s="569"/>
      <c r="CK219" s="569"/>
      <c r="CL219" s="569"/>
      <c r="CM219" s="569"/>
      <c r="CN219" s="569"/>
      <c r="CO219" s="569"/>
      <c r="CP219" s="569"/>
      <c r="CQ219" s="569"/>
      <c r="CR219" s="569"/>
      <c r="CS219" s="569"/>
      <c r="CT219" s="569"/>
      <c r="CU219" s="569"/>
      <c r="CV219" s="569"/>
      <c r="CW219" s="569"/>
      <c r="CX219" s="569"/>
      <c r="CY219" s="569"/>
      <c r="CZ219" s="569"/>
      <c r="DA219" s="569"/>
      <c r="DB219" s="569"/>
      <c r="DC219" s="569"/>
      <c r="DD219" s="569"/>
      <c r="DE219" s="569"/>
      <c r="DF219" s="569"/>
      <c r="DG219" s="569"/>
      <c r="DH219" s="569"/>
      <c r="DI219" s="569"/>
      <c r="DJ219" s="569"/>
      <c r="DK219" s="569"/>
      <c r="DL219" s="569"/>
      <c r="DM219" s="569"/>
      <c r="DN219" s="569"/>
      <c r="DO219" s="569"/>
      <c r="DP219" s="569"/>
      <c r="DQ219" s="569"/>
      <c r="DR219" s="569"/>
      <c r="DS219" s="569"/>
      <c r="DT219" s="569"/>
      <c r="DU219" s="569"/>
      <c r="DV219" s="569"/>
      <c r="DW219" s="569"/>
      <c r="DX219" s="569"/>
      <c r="DY219" s="569"/>
      <c r="DZ219" s="569"/>
      <c r="EA219" s="569"/>
      <c r="EB219" s="569"/>
      <c r="EC219" s="569"/>
      <c r="ED219" s="569"/>
      <c r="EE219" s="569"/>
      <c r="EF219" s="569"/>
      <c r="EG219" s="569"/>
      <c r="EH219" s="569"/>
      <c r="EI219" s="569"/>
      <c r="EJ219" s="569"/>
      <c r="EK219" s="569"/>
      <c r="EL219" s="569"/>
      <c r="EM219" s="569"/>
      <c r="EN219" s="569"/>
      <c r="EO219" s="569"/>
      <c r="EP219" s="569"/>
      <c r="EQ219" s="569"/>
      <c r="ER219" s="569"/>
      <c r="ES219" s="569"/>
      <c r="ET219" s="569"/>
      <c r="EU219" s="569"/>
      <c r="EV219" s="569"/>
      <c r="EW219" s="569"/>
      <c r="EX219" s="569"/>
      <c r="EY219" s="569"/>
      <c r="EZ219" s="569"/>
      <c r="FA219" s="569"/>
      <c r="FB219" s="569"/>
      <c r="FC219" s="569"/>
      <c r="FD219" s="569"/>
      <c r="FE219" s="569"/>
      <c r="FF219" s="569"/>
      <c r="FG219" s="569"/>
      <c r="FH219" s="569"/>
      <c r="FI219" s="569"/>
      <c r="FJ219" s="569"/>
      <c r="FK219" s="569"/>
      <c r="FL219" s="569"/>
      <c r="FM219" s="569"/>
      <c r="FN219" s="569"/>
      <c r="FO219" s="569"/>
      <c r="FP219" s="569"/>
      <c r="FQ219" s="569"/>
      <c r="FR219" s="569"/>
      <c r="FS219" s="569"/>
      <c r="FT219" s="569"/>
      <c r="FU219" s="569"/>
      <c r="FV219" s="569"/>
      <c r="FW219" s="569"/>
      <c r="FX219" s="569"/>
      <c r="FY219" s="569"/>
      <c r="FZ219" s="569"/>
      <c r="GA219" s="569"/>
      <c r="GB219" s="569"/>
      <c r="GC219" s="569"/>
      <c r="GD219" s="569"/>
      <c r="GE219" s="569"/>
      <c r="GF219" s="569"/>
      <c r="GG219" s="569"/>
      <c r="GH219" s="569"/>
      <c r="GI219" s="569"/>
      <c r="GJ219" s="569"/>
      <c r="GK219" s="569"/>
      <c r="GL219" s="569"/>
      <c r="GM219" s="569"/>
      <c r="GN219" s="569"/>
      <c r="GO219" s="569"/>
      <c r="GP219" s="569"/>
      <c r="GQ219" s="569"/>
      <c r="GR219" s="569"/>
      <c r="GS219" s="569"/>
      <c r="GT219" s="569"/>
    </row>
    <row r="220" spans="1:202" s="554" customFormat="1">
      <c r="A220" s="591"/>
      <c r="B220" s="569"/>
      <c r="C220" s="569"/>
      <c r="D220" s="569"/>
      <c r="E220" s="569"/>
      <c r="F220" s="569"/>
      <c r="G220" s="569"/>
      <c r="H220" s="569"/>
      <c r="I220" s="569"/>
      <c r="J220" s="569"/>
      <c r="K220" s="569"/>
      <c r="L220" s="569"/>
      <c r="M220" s="569"/>
      <c r="N220" s="569"/>
      <c r="O220" s="569"/>
      <c r="P220" s="569"/>
      <c r="Q220" s="569"/>
      <c r="R220" s="569"/>
      <c r="S220" s="569"/>
      <c r="T220" s="569"/>
      <c r="U220" s="569"/>
      <c r="V220" s="569"/>
      <c r="W220" s="569"/>
      <c r="X220" s="569"/>
      <c r="Y220" s="569"/>
      <c r="Z220" s="569"/>
      <c r="AA220" s="569"/>
      <c r="AB220" s="569"/>
      <c r="AC220" s="569"/>
      <c r="AD220" s="569"/>
      <c r="AE220" s="569"/>
      <c r="AF220" s="569"/>
      <c r="AG220" s="569"/>
      <c r="AH220" s="569"/>
      <c r="AI220" s="569"/>
      <c r="AJ220" s="569"/>
      <c r="AK220" s="569"/>
      <c r="AL220" s="569"/>
      <c r="AM220" s="569"/>
      <c r="AN220" s="569"/>
      <c r="AO220" s="569"/>
      <c r="AP220" s="569"/>
      <c r="AQ220" s="569"/>
      <c r="AR220" s="569"/>
      <c r="AS220" s="569"/>
      <c r="AT220" s="569"/>
      <c r="AU220" s="569"/>
      <c r="AV220" s="569"/>
      <c r="AW220" s="569"/>
      <c r="AX220" s="569"/>
      <c r="AY220" s="569"/>
      <c r="AZ220" s="569"/>
      <c r="BA220" s="569"/>
      <c r="BB220" s="569"/>
      <c r="BC220" s="569"/>
      <c r="BD220" s="569"/>
      <c r="BE220" s="569"/>
      <c r="BF220" s="569"/>
      <c r="BG220" s="569"/>
      <c r="BH220" s="569"/>
      <c r="BI220" s="569"/>
      <c r="BJ220" s="569"/>
      <c r="BK220" s="569"/>
      <c r="BL220" s="569"/>
      <c r="BM220" s="569"/>
      <c r="BN220" s="569"/>
      <c r="BO220" s="569"/>
      <c r="BP220" s="569"/>
      <c r="BQ220" s="569"/>
      <c r="BR220" s="569"/>
      <c r="BS220" s="569"/>
      <c r="BT220" s="569"/>
      <c r="BU220" s="569"/>
      <c r="BV220" s="569"/>
      <c r="BW220" s="569"/>
      <c r="BX220" s="569"/>
      <c r="BY220" s="569"/>
      <c r="BZ220" s="569"/>
      <c r="CA220" s="569"/>
      <c r="CB220" s="569"/>
      <c r="CC220" s="569"/>
      <c r="CD220" s="569"/>
      <c r="CE220" s="569"/>
      <c r="CF220" s="569"/>
      <c r="CG220" s="569"/>
      <c r="CH220" s="569"/>
      <c r="CI220" s="569"/>
      <c r="CJ220" s="569"/>
      <c r="CK220" s="569"/>
      <c r="CL220" s="569"/>
      <c r="CM220" s="569"/>
      <c r="CN220" s="569"/>
      <c r="CO220" s="569"/>
      <c r="CP220" s="569"/>
      <c r="CQ220" s="569"/>
      <c r="CR220" s="569"/>
      <c r="CS220" s="569"/>
      <c r="CT220" s="569"/>
      <c r="CU220" s="569"/>
      <c r="CV220" s="569"/>
      <c r="CW220" s="569"/>
      <c r="CX220" s="569"/>
      <c r="CY220" s="569"/>
      <c r="CZ220" s="569"/>
      <c r="DA220" s="569"/>
      <c r="DB220" s="569"/>
      <c r="DC220" s="569"/>
      <c r="DD220" s="569"/>
      <c r="DE220" s="569"/>
      <c r="DF220" s="569"/>
      <c r="DG220" s="569"/>
      <c r="DH220" s="569"/>
      <c r="DI220" s="569"/>
      <c r="DJ220" s="569"/>
      <c r="DK220" s="569"/>
      <c r="DL220" s="569"/>
      <c r="DM220" s="569"/>
      <c r="DN220" s="569"/>
      <c r="DO220" s="569"/>
      <c r="DP220" s="569"/>
      <c r="DQ220" s="569"/>
      <c r="DR220" s="569"/>
      <c r="DS220" s="569"/>
      <c r="DT220" s="569"/>
      <c r="DU220" s="569"/>
      <c r="DV220" s="569"/>
      <c r="DW220" s="569"/>
      <c r="DX220" s="569"/>
      <c r="DY220" s="569"/>
      <c r="DZ220" s="569"/>
      <c r="EA220" s="569"/>
      <c r="EB220" s="569"/>
      <c r="EC220" s="569"/>
      <c r="ED220" s="569"/>
      <c r="EE220" s="569"/>
      <c r="EF220" s="569"/>
      <c r="EG220" s="569"/>
      <c r="EH220" s="569"/>
      <c r="EI220" s="569"/>
      <c r="EJ220" s="569"/>
      <c r="EK220" s="569"/>
      <c r="EL220" s="569"/>
      <c r="EM220" s="569"/>
      <c r="EN220" s="569"/>
      <c r="EO220" s="569"/>
      <c r="EP220" s="569"/>
      <c r="EQ220" s="569"/>
      <c r="ER220" s="569"/>
      <c r="ES220" s="569"/>
      <c r="ET220" s="569"/>
      <c r="EU220" s="569"/>
      <c r="EV220" s="569"/>
      <c r="EW220" s="569"/>
      <c r="EX220" s="569"/>
      <c r="EY220" s="569"/>
      <c r="EZ220" s="569"/>
      <c r="FA220" s="569"/>
      <c r="FB220" s="569"/>
      <c r="FC220" s="569"/>
      <c r="FD220" s="569"/>
      <c r="FE220" s="569"/>
      <c r="FF220" s="569"/>
      <c r="FG220" s="569"/>
      <c r="FH220" s="569"/>
      <c r="FI220" s="569"/>
      <c r="FJ220" s="569"/>
      <c r="FK220" s="569"/>
      <c r="FL220" s="569"/>
      <c r="FM220" s="569"/>
      <c r="FN220" s="569"/>
      <c r="FO220" s="569"/>
      <c r="FP220" s="569"/>
      <c r="FQ220" s="569"/>
      <c r="FR220" s="569"/>
      <c r="FS220" s="569"/>
      <c r="FT220" s="569"/>
      <c r="FU220" s="569"/>
      <c r="FV220" s="569"/>
      <c r="FW220" s="569"/>
      <c r="FX220" s="569"/>
      <c r="FY220" s="569"/>
      <c r="FZ220" s="569"/>
      <c r="GA220" s="569"/>
      <c r="GB220" s="569"/>
      <c r="GC220" s="569"/>
      <c r="GD220" s="569"/>
      <c r="GE220" s="569"/>
      <c r="GF220" s="569"/>
      <c r="GG220" s="569"/>
      <c r="GH220" s="569"/>
      <c r="GI220" s="569"/>
      <c r="GJ220" s="569"/>
      <c r="GK220" s="569"/>
      <c r="GL220" s="569"/>
      <c r="GM220" s="569"/>
      <c r="GN220" s="569"/>
      <c r="GO220" s="569"/>
      <c r="GP220" s="569"/>
      <c r="GQ220" s="569"/>
      <c r="GR220" s="569"/>
      <c r="GS220" s="569"/>
      <c r="GT220" s="569"/>
    </row>
    <row r="221" spans="1:202" s="554" customFormat="1">
      <c r="A221" s="591"/>
      <c r="B221" s="569"/>
      <c r="C221" s="569"/>
      <c r="D221" s="569"/>
      <c r="E221" s="569"/>
      <c r="F221" s="569"/>
      <c r="G221" s="569"/>
      <c r="H221" s="569"/>
      <c r="I221" s="569"/>
      <c r="J221" s="569"/>
      <c r="K221" s="569"/>
      <c r="L221" s="569"/>
      <c r="M221" s="569"/>
      <c r="N221" s="569"/>
      <c r="O221" s="569"/>
      <c r="P221" s="569"/>
      <c r="Q221" s="569"/>
      <c r="R221" s="569"/>
      <c r="S221" s="569"/>
      <c r="T221" s="569"/>
      <c r="U221" s="569"/>
      <c r="V221" s="569"/>
      <c r="W221" s="569"/>
      <c r="X221" s="569"/>
      <c r="Y221" s="569"/>
      <c r="Z221" s="569"/>
      <c r="AA221" s="569"/>
      <c r="AB221" s="569"/>
      <c r="AC221" s="569"/>
      <c r="AD221" s="569"/>
      <c r="AE221" s="569"/>
      <c r="AF221" s="569"/>
      <c r="AG221" s="569"/>
      <c r="AH221" s="569"/>
      <c r="AI221" s="569"/>
      <c r="AJ221" s="569"/>
      <c r="AK221" s="569"/>
      <c r="AL221" s="569"/>
      <c r="AM221" s="569"/>
      <c r="AN221" s="569"/>
      <c r="AO221" s="569"/>
      <c r="AP221" s="569"/>
      <c r="AQ221" s="569"/>
      <c r="AR221" s="569"/>
      <c r="AS221" s="569"/>
      <c r="AT221" s="569"/>
      <c r="AU221" s="569"/>
      <c r="AV221" s="569"/>
      <c r="AW221" s="569"/>
      <c r="AX221" s="569"/>
      <c r="AY221" s="569"/>
      <c r="AZ221" s="569"/>
      <c r="BA221" s="569"/>
      <c r="BB221" s="569"/>
      <c r="BC221" s="569"/>
      <c r="BD221" s="569"/>
      <c r="BE221" s="569"/>
      <c r="BF221" s="569"/>
      <c r="BG221" s="569"/>
      <c r="BH221" s="569"/>
      <c r="BI221" s="569"/>
      <c r="BJ221" s="569"/>
      <c r="BK221" s="569"/>
      <c r="BL221" s="569"/>
      <c r="BM221" s="569"/>
      <c r="BN221" s="569"/>
      <c r="BO221" s="569"/>
      <c r="BP221" s="569"/>
      <c r="BQ221" s="569"/>
      <c r="BR221" s="569"/>
      <c r="BS221" s="569"/>
      <c r="BT221" s="569"/>
      <c r="BU221" s="569"/>
      <c r="BV221" s="569"/>
      <c r="BW221" s="569"/>
      <c r="BX221" s="569"/>
      <c r="BY221" s="569"/>
      <c r="BZ221" s="569"/>
      <c r="CA221" s="569"/>
      <c r="CB221" s="569"/>
      <c r="CC221" s="569"/>
      <c r="CD221" s="569"/>
      <c r="CE221" s="569"/>
      <c r="CF221" s="569"/>
      <c r="CG221" s="569"/>
      <c r="CH221" s="569"/>
      <c r="CI221" s="569"/>
      <c r="CJ221" s="569"/>
      <c r="CK221" s="569"/>
      <c r="CL221" s="569"/>
      <c r="CM221" s="569"/>
      <c r="CN221" s="569"/>
      <c r="CO221" s="569"/>
      <c r="CP221" s="569"/>
      <c r="CQ221" s="569"/>
      <c r="CR221" s="569"/>
      <c r="CS221" s="569"/>
      <c r="CT221" s="569"/>
      <c r="CU221" s="569"/>
      <c r="CV221" s="569"/>
      <c r="CW221" s="569"/>
      <c r="CX221" s="569"/>
      <c r="CY221" s="569"/>
      <c r="CZ221" s="569"/>
      <c r="DA221" s="569"/>
      <c r="DB221" s="569"/>
      <c r="DC221" s="569"/>
      <c r="DD221" s="569"/>
      <c r="DE221" s="569"/>
      <c r="DF221" s="569"/>
      <c r="DG221" s="569"/>
      <c r="DH221" s="569"/>
      <c r="DI221" s="569"/>
      <c r="DJ221" s="569"/>
      <c r="DK221" s="569"/>
      <c r="DL221" s="569"/>
      <c r="DM221" s="569"/>
      <c r="DN221" s="569"/>
      <c r="DO221" s="569"/>
      <c r="DP221" s="569"/>
      <c r="DQ221" s="569"/>
      <c r="DR221" s="569"/>
      <c r="DS221" s="569"/>
      <c r="DT221" s="569"/>
      <c r="DU221" s="569"/>
      <c r="DV221" s="569"/>
      <c r="DW221" s="569"/>
      <c r="DX221" s="569"/>
      <c r="DY221" s="569"/>
      <c r="DZ221" s="569"/>
      <c r="EA221" s="569"/>
      <c r="EB221" s="569"/>
      <c r="EC221" s="569"/>
      <c r="ED221" s="569"/>
      <c r="EE221" s="569"/>
      <c r="EF221" s="569"/>
      <c r="EG221" s="569"/>
      <c r="EH221" s="569"/>
      <c r="EI221" s="569"/>
      <c r="EJ221" s="569"/>
      <c r="EK221" s="569"/>
      <c r="EL221" s="569"/>
      <c r="EM221" s="569"/>
      <c r="EN221" s="569"/>
      <c r="EO221" s="569"/>
      <c r="EP221" s="569"/>
      <c r="EQ221" s="569"/>
      <c r="ER221" s="569"/>
      <c r="ES221" s="569"/>
      <c r="ET221" s="569"/>
      <c r="EU221" s="569"/>
      <c r="EV221" s="569"/>
      <c r="EW221" s="569"/>
      <c r="EX221" s="569"/>
      <c r="EY221" s="569"/>
      <c r="EZ221" s="569"/>
      <c r="FA221" s="569"/>
      <c r="FB221" s="569"/>
      <c r="FC221" s="569"/>
      <c r="FD221" s="569"/>
      <c r="FE221" s="569"/>
      <c r="FF221" s="569"/>
      <c r="FG221" s="569"/>
      <c r="FH221" s="569"/>
      <c r="FI221" s="569"/>
      <c r="FJ221" s="569"/>
      <c r="FK221" s="569"/>
      <c r="FL221" s="569"/>
      <c r="FM221" s="569"/>
      <c r="FN221" s="569"/>
      <c r="FO221" s="569"/>
      <c r="FP221" s="569"/>
      <c r="FQ221" s="569"/>
      <c r="FR221" s="569"/>
      <c r="FS221" s="569"/>
      <c r="FT221" s="569"/>
      <c r="FU221" s="569"/>
      <c r="FV221" s="569"/>
      <c r="FW221" s="569"/>
      <c r="FX221" s="569"/>
      <c r="FY221" s="569"/>
      <c r="FZ221" s="569"/>
      <c r="GA221" s="569"/>
      <c r="GB221" s="569"/>
      <c r="GC221" s="569"/>
      <c r="GD221" s="569"/>
      <c r="GE221" s="569"/>
      <c r="GF221" s="569"/>
      <c r="GG221" s="569"/>
      <c r="GH221" s="569"/>
      <c r="GI221" s="569"/>
      <c r="GJ221" s="569"/>
      <c r="GK221" s="569"/>
      <c r="GL221" s="569"/>
      <c r="GM221" s="569"/>
      <c r="GN221" s="569"/>
      <c r="GO221" s="569"/>
      <c r="GP221" s="569"/>
      <c r="GQ221" s="569"/>
      <c r="GR221" s="569"/>
      <c r="GS221" s="569"/>
      <c r="GT221" s="569"/>
    </row>
    <row r="222" spans="1:202" s="554" customFormat="1">
      <c r="A222" s="591"/>
      <c r="B222" s="569"/>
      <c r="C222" s="569"/>
      <c r="D222" s="569"/>
      <c r="E222" s="569"/>
      <c r="F222" s="569"/>
      <c r="G222" s="569"/>
      <c r="H222" s="569"/>
      <c r="I222" s="569"/>
      <c r="J222" s="569"/>
      <c r="K222" s="569"/>
      <c r="L222" s="569"/>
      <c r="M222" s="569"/>
      <c r="N222" s="569"/>
      <c r="O222" s="569"/>
      <c r="P222" s="569"/>
      <c r="Q222" s="569"/>
      <c r="R222" s="569"/>
      <c r="S222" s="569"/>
      <c r="T222" s="569"/>
      <c r="U222" s="569"/>
      <c r="V222" s="569"/>
      <c r="W222" s="569"/>
      <c r="X222" s="569"/>
      <c r="Y222" s="569"/>
      <c r="Z222" s="569"/>
      <c r="AA222" s="569"/>
      <c r="AB222" s="569"/>
      <c r="AC222" s="569"/>
      <c r="AD222" s="569"/>
      <c r="AE222" s="569"/>
      <c r="AF222" s="569"/>
      <c r="AG222" s="569"/>
      <c r="AH222" s="569"/>
      <c r="AI222" s="569"/>
      <c r="AJ222" s="569"/>
      <c r="AK222" s="569"/>
      <c r="AL222" s="569"/>
      <c r="AM222" s="569"/>
      <c r="AN222" s="569"/>
      <c r="AO222" s="569"/>
      <c r="AP222" s="569"/>
      <c r="AQ222" s="569"/>
      <c r="AR222" s="569"/>
      <c r="AS222" s="569"/>
      <c r="AT222" s="569"/>
      <c r="AU222" s="569"/>
      <c r="AV222" s="569"/>
      <c r="AW222" s="569"/>
      <c r="AX222" s="569"/>
      <c r="AY222" s="569"/>
      <c r="AZ222" s="569"/>
      <c r="BA222" s="569"/>
      <c r="BB222" s="569"/>
      <c r="BC222" s="569"/>
      <c r="BD222" s="569"/>
      <c r="BE222" s="569"/>
      <c r="BF222" s="569"/>
      <c r="BG222" s="569"/>
      <c r="BH222" s="569"/>
      <c r="BI222" s="569"/>
      <c r="BJ222" s="569"/>
      <c r="BK222" s="569"/>
      <c r="BL222" s="569"/>
      <c r="BM222" s="569"/>
      <c r="BN222" s="569"/>
      <c r="BO222" s="569"/>
      <c r="BP222" s="569"/>
      <c r="BQ222" s="569"/>
      <c r="BR222" s="569"/>
      <c r="BS222" s="569"/>
      <c r="BT222" s="569"/>
      <c r="BU222" s="569"/>
      <c r="BV222" s="569"/>
      <c r="BW222" s="569"/>
      <c r="BX222" s="569"/>
      <c r="BY222" s="569"/>
      <c r="BZ222" s="569"/>
      <c r="CA222" s="569"/>
      <c r="CB222" s="569"/>
      <c r="CC222" s="569"/>
      <c r="CD222" s="569"/>
      <c r="CE222" s="569"/>
      <c r="CF222" s="569"/>
      <c r="CG222" s="569"/>
      <c r="CH222" s="569"/>
      <c r="CI222" s="569"/>
      <c r="CJ222" s="569"/>
      <c r="CK222" s="569"/>
      <c r="CL222" s="569"/>
      <c r="CM222" s="569"/>
      <c r="CN222" s="569"/>
      <c r="CO222" s="569"/>
      <c r="CP222" s="569"/>
      <c r="CQ222" s="569"/>
      <c r="CR222" s="569"/>
      <c r="CS222" s="569"/>
      <c r="CT222" s="569"/>
      <c r="CU222" s="569"/>
      <c r="CV222" s="569"/>
      <c r="CW222" s="569"/>
      <c r="CX222" s="569"/>
      <c r="CY222" s="569"/>
      <c r="CZ222" s="569"/>
      <c r="DA222" s="569"/>
      <c r="DB222" s="569"/>
      <c r="DC222" s="569"/>
      <c r="DD222" s="569"/>
      <c r="DE222" s="569"/>
      <c r="DF222" s="569"/>
      <c r="DG222" s="569"/>
      <c r="DH222" s="569"/>
      <c r="DI222" s="569"/>
      <c r="DJ222" s="569"/>
      <c r="DK222" s="569"/>
      <c r="DL222" s="569"/>
      <c r="DM222" s="569"/>
      <c r="DN222" s="569"/>
      <c r="DO222" s="569"/>
      <c r="DP222" s="569"/>
      <c r="DQ222" s="569"/>
      <c r="DR222" s="569"/>
      <c r="DS222" s="569"/>
      <c r="DT222" s="569"/>
      <c r="DU222" s="569"/>
      <c r="DV222" s="569"/>
      <c r="DW222" s="569"/>
      <c r="DX222" s="569"/>
      <c r="DY222" s="569"/>
      <c r="DZ222" s="569"/>
      <c r="EA222" s="569"/>
      <c r="EB222" s="569"/>
      <c r="EC222" s="569"/>
      <c r="ED222" s="569"/>
      <c r="EE222" s="569"/>
      <c r="EF222" s="569"/>
      <c r="EG222" s="569"/>
      <c r="EH222" s="569"/>
      <c r="EI222" s="569"/>
      <c r="EJ222" s="569"/>
      <c r="EK222" s="569"/>
      <c r="EL222" s="569"/>
      <c r="EM222" s="569"/>
      <c r="EN222" s="569"/>
      <c r="EO222" s="569"/>
      <c r="EP222" s="569"/>
      <c r="EQ222" s="569"/>
      <c r="ER222" s="569"/>
      <c r="ES222" s="569"/>
      <c r="ET222" s="569"/>
      <c r="EU222" s="569"/>
      <c r="EV222" s="569"/>
      <c r="EW222" s="569"/>
      <c r="EX222" s="569"/>
      <c r="EY222" s="569"/>
      <c r="EZ222" s="569"/>
      <c r="FA222" s="569"/>
      <c r="FB222" s="569"/>
      <c r="FC222" s="569"/>
      <c r="FD222" s="569"/>
      <c r="FE222" s="569"/>
      <c r="FF222" s="569"/>
      <c r="FG222" s="569"/>
      <c r="FH222" s="569"/>
      <c r="FI222" s="569"/>
      <c r="FJ222" s="569"/>
      <c r="FK222" s="569"/>
      <c r="FL222" s="569"/>
      <c r="FM222" s="569"/>
      <c r="FN222" s="569"/>
      <c r="FO222" s="569"/>
      <c r="FP222" s="569"/>
      <c r="FQ222" s="569"/>
      <c r="FR222" s="569"/>
      <c r="FS222" s="569"/>
      <c r="FT222" s="569"/>
      <c r="FU222" s="569"/>
      <c r="FV222" s="569"/>
      <c r="FW222" s="569"/>
      <c r="FX222" s="569"/>
      <c r="FY222" s="569"/>
      <c r="FZ222" s="569"/>
      <c r="GA222" s="569"/>
      <c r="GB222" s="569"/>
      <c r="GC222" s="569"/>
      <c r="GD222" s="569"/>
      <c r="GE222" s="569"/>
      <c r="GF222" s="569"/>
      <c r="GG222" s="569"/>
      <c r="GH222" s="569"/>
      <c r="GI222" s="569"/>
      <c r="GJ222" s="569"/>
      <c r="GK222" s="569"/>
      <c r="GL222" s="569"/>
      <c r="GM222" s="569"/>
      <c r="GN222" s="569"/>
      <c r="GO222" s="569"/>
      <c r="GP222" s="569"/>
      <c r="GQ222" s="569"/>
      <c r="GR222" s="569"/>
      <c r="GS222" s="569"/>
      <c r="GT222" s="569"/>
    </row>
    <row r="223" spans="1:202" s="554" customFormat="1">
      <c r="A223" s="591"/>
      <c r="B223" s="569"/>
      <c r="C223" s="569"/>
      <c r="D223" s="569"/>
      <c r="E223" s="569"/>
      <c r="F223" s="569"/>
      <c r="G223" s="569"/>
      <c r="H223" s="569"/>
      <c r="I223" s="569"/>
      <c r="J223" s="569"/>
      <c r="K223" s="569"/>
      <c r="L223" s="569"/>
      <c r="M223" s="569"/>
      <c r="N223" s="569"/>
      <c r="O223" s="569"/>
      <c r="P223" s="569"/>
      <c r="Q223" s="569"/>
      <c r="R223" s="569"/>
      <c r="S223" s="569"/>
      <c r="T223" s="569"/>
      <c r="U223" s="569"/>
      <c r="V223" s="569"/>
      <c r="W223" s="569"/>
      <c r="X223" s="569"/>
      <c r="Y223" s="569"/>
      <c r="Z223" s="569"/>
      <c r="AA223" s="569"/>
      <c r="AB223" s="569"/>
      <c r="AC223" s="569"/>
      <c r="AD223" s="569"/>
      <c r="AE223" s="569"/>
      <c r="AF223" s="569"/>
      <c r="AG223" s="569"/>
      <c r="AH223" s="569"/>
      <c r="AI223" s="569"/>
      <c r="AJ223" s="569"/>
      <c r="AK223" s="569"/>
      <c r="AL223" s="569"/>
      <c r="AM223" s="569"/>
      <c r="AN223" s="569"/>
      <c r="AO223" s="569"/>
      <c r="AP223" s="569"/>
      <c r="AQ223" s="569"/>
      <c r="AR223" s="569"/>
      <c r="AS223" s="569"/>
      <c r="AT223" s="569"/>
      <c r="AU223" s="569"/>
      <c r="AV223" s="569"/>
      <c r="AW223" s="569"/>
      <c r="AX223" s="569"/>
      <c r="AY223" s="569"/>
      <c r="AZ223" s="569"/>
      <c r="BA223" s="569"/>
      <c r="BB223" s="569"/>
      <c r="BC223" s="569"/>
      <c r="BD223" s="569"/>
      <c r="BE223" s="569"/>
      <c r="BF223" s="569"/>
      <c r="BG223" s="569"/>
      <c r="BH223" s="569"/>
      <c r="BI223" s="569"/>
      <c r="BJ223" s="569"/>
      <c r="BK223" s="569"/>
      <c r="BL223" s="569"/>
      <c r="BM223" s="569"/>
      <c r="BN223" s="569"/>
      <c r="BO223" s="569"/>
      <c r="BP223" s="569"/>
      <c r="BQ223" s="569"/>
      <c r="BR223" s="569"/>
      <c r="BS223" s="569"/>
      <c r="BT223" s="569"/>
      <c r="BU223" s="569"/>
      <c r="BV223" s="569"/>
      <c r="BW223" s="569"/>
      <c r="BX223" s="569"/>
      <c r="BY223" s="569"/>
      <c r="BZ223" s="569"/>
      <c r="CA223" s="569"/>
      <c r="CB223" s="569"/>
      <c r="CC223" s="569"/>
      <c r="CD223" s="569"/>
      <c r="CE223" s="569"/>
      <c r="CF223" s="569"/>
      <c r="CG223" s="569"/>
      <c r="CH223" s="569"/>
      <c r="CI223" s="569"/>
      <c r="CJ223" s="569"/>
      <c r="CK223" s="569"/>
      <c r="CL223" s="569"/>
      <c r="CM223" s="569"/>
      <c r="CN223" s="569"/>
      <c r="CO223" s="569"/>
      <c r="CP223" s="569"/>
      <c r="CQ223" s="569"/>
      <c r="CR223" s="569"/>
      <c r="CS223" s="569"/>
      <c r="CT223" s="569"/>
      <c r="CU223" s="569"/>
      <c r="CV223" s="569"/>
      <c r="CW223" s="569"/>
      <c r="CX223" s="569"/>
      <c r="CY223" s="569"/>
      <c r="CZ223" s="569"/>
      <c r="DA223" s="569"/>
      <c r="DB223" s="569"/>
      <c r="DC223" s="569"/>
      <c r="DD223" s="569"/>
      <c r="DE223" s="569"/>
      <c r="DF223" s="569"/>
      <c r="DG223" s="569"/>
      <c r="DH223" s="569"/>
      <c r="DI223" s="569"/>
      <c r="DJ223" s="569"/>
      <c r="DK223" s="569"/>
      <c r="DL223" s="569"/>
      <c r="DM223" s="569"/>
      <c r="DN223" s="569"/>
      <c r="DO223" s="569"/>
      <c r="DP223" s="569"/>
      <c r="DQ223" s="569"/>
      <c r="DR223" s="569"/>
      <c r="DS223" s="569"/>
      <c r="DT223" s="569"/>
      <c r="DU223" s="569"/>
      <c r="DV223" s="569"/>
      <c r="DW223" s="569"/>
      <c r="DX223" s="569"/>
      <c r="DY223" s="569"/>
      <c r="DZ223" s="569"/>
      <c r="EA223" s="569"/>
      <c r="EB223" s="569"/>
      <c r="EC223" s="569"/>
      <c r="ED223" s="569"/>
      <c r="EE223" s="569"/>
      <c r="EF223" s="569"/>
      <c r="EG223" s="569"/>
      <c r="EH223" s="569"/>
      <c r="EI223" s="569"/>
      <c r="EJ223" s="569"/>
      <c r="EK223" s="569"/>
      <c r="EL223" s="569"/>
      <c r="EM223" s="569"/>
      <c r="EN223" s="569"/>
      <c r="EO223" s="569"/>
      <c r="EP223" s="569"/>
      <c r="EQ223" s="569"/>
      <c r="ER223" s="569"/>
      <c r="ES223" s="569"/>
      <c r="ET223" s="569"/>
      <c r="EU223" s="569"/>
      <c r="EV223" s="569"/>
      <c r="EW223" s="569"/>
      <c r="EX223" s="569"/>
      <c r="EY223" s="569"/>
      <c r="EZ223" s="569"/>
      <c r="FA223" s="569"/>
      <c r="FB223" s="569"/>
      <c r="FC223" s="569"/>
      <c r="FD223" s="569"/>
      <c r="FE223" s="569"/>
      <c r="FF223" s="569"/>
      <c r="FG223" s="569"/>
      <c r="FH223" s="569"/>
      <c r="FI223" s="569"/>
      <c r="FJ223" s="569"/>
      <c r="FK223" s="569"/>
      <c r="FL223" s="569"/>
      <c r="FM223" s="569"/>
      <c r="FN223" s="569"/>
      <c r="FO223" s="569"/>
      <c r="FP223" s="569"/>
      <c r="FQ223" s="569"/>
      <c r="FR223" s="569"/>
      <c r="FS223" s="569"/>
      <c r="FT223" s="569"/>
      <c r="FU223" s="569"/>
      <c r="FV223" s="569"/>
      <c r="FW223" s="569"/>
      <c r="FX223" s="569"/>
      <c r="FY223" s="569"/>
      <c r="FZ223" s="569"/>
      <c r="GA223" s="569"/>
      <c r="GB223" s="569"/>
      <c r="GC223" s="569"/>
      <c r="GD223" s="569"/>
      <c r="GE223" s="569"/>
      <c r="GF223" s="569"/>
      <c r="GG223" s="569"/>
      <c r="GH223" s="569"/>
      <c r="GI223" s="569"/>
      <c r="GJ223" s="569"/>
      <c r="GK223" s="569"/>
      <c r="GL223" s="569"/>
      <c r="GM223" s="569"/>
      <c r="GN223" s="569"/>
      <c r="GO223" s="569"/>
      <c r="GP223" s="569"/>
      <c r="GQ223" s="569"/>
      <c r="GR223" s="569"/>
      <c r="GS223" s="569"/>
      <c r="GT223" s="569"/>
    </row>
    <row r="224" spans="1:202" s="554" customFormat="1">
      <c r="A224" s="591"/>
      <c r="B224" s="569"/>
      <c r="C224" s="569"/>
      <c r="D224" s="569"/>
      <c r="E224" s="569"/>
      <c r="F224" s="569"/>
      <c r="G224" s="569"/>
      <c r="H224" s="569"/>
      <c r="I224" s="569"/>
      <c r="J224" s="569"/>
      <c r="K224" s="569"/>
      <c r="L224" s="569"/>
      <c r="M224" s="569"/>
      <c r="N224" s="569"/>
      <c r="O224" s="569"/>
      <c r="P224" s="569"/>
      <c r="Q224" s="569"/>
      <c r="R224" s="569"/>
      <c r="S224" s="569"/>
      <c r="T224" s="569"/>
      <c r="U224" s="569"/>
      <c r="V224" s="569"/>
      <c r="W224" s="569"/>
      <c r="X224" s="569"/>
      <c r="Y224" s="569"/>
      <c r="Z224" s="569"/>
      <c r="AA224" s="569"/>
      <c r="AB224" s="569"/>
      <c r="AC224" s="569"/>
      <c r="AD224" s="569"/>
      <c r="AE224" s="569"/>
      <c r="AF224" s="569"/>
      <c r="AG224" s="569"/>
      <c r="AH224" s="569"/>
      <c r="AI224" s="569"/>
      <c r="AJ224" s="569"/>
      <c r="AK224" s="569"/>
      <c r="AL224" s="569"/>
      <c r="AM224" s="569"/>
      <c r="AN224" s="569"/>
      <c r="AO224" s="569"/>
      <c r="AP224" s="569"/>
      <c r="AQ224" s="569"/>
      <c r="AR224" s="569"/>
      <c r="AS224" s="569"/>
      <c r="AT224" s="569"/>
      <c r="AU224" s="569"/>
      <c r="AV224" s="569"/>
      <c r="AW224" s="569"/>
      <c r="AX224" s="569"/>
      <c r="AY224" s="569"/>
      <c r="AZ224" s="569"/>
      <c r="BA224" s="569"/>
      <c r="BB224" s="569"/>
      <c r="BC224" s="569"/>
      <c r="BD224" s="569"/>
      <c r="BE224" s="569"/>
      <c r="BF224" s="569"/>
      <c r="BG224" s="569"/>
      <c r="BH224" s="569"/>
      <c r="BI224" s="569"/>
      <c r="BJ224" s="569"/>
      <c r="BK224" s="569"/>
      <c r="BL224" s="569"/>
      <c r="BM224" s="569"/>
      <c r="BN224" s="569"/>
      <c r="BO224" s="569"/>
      <c r="BP224" s="569"/>
      <c r="BQ224" s="569"/>
      <c r="BR224" s="569"/>
      <c r="BS224" s="569"/>
      <c r="BT224" s="569"/>
      <c r="BU224" s="569"/>
      <c r="BV224" s="569"/>
      <c r="BW224" s="569"/>
      <c r="BX224" s="569"/>
      <c r="BY224" s="569"/>
      <c r="BZ224" s="569"/>
      <c r="CA224" s="569"/>
      <c r="CB224" s="569"/>
      <c r="CC224" s="569"/>
      <c r="CD224" s="569"/>
      <c r="CE224" s="569"/>
      <c r="CF224" s="569"/>
      <c r="CG224" s="569"/>
      <c r="CH224" s="569"/>
      <c r="CI224" s="569"/>
      <c r="CJ224" s="569"/>
      <c r="CK224" s="569"/>
      <c r="CL224" s="569"/>
      <c r="CM224" s="569"/>
      <c r="CN224" s="569"/>
      <c r="CO224" s="569"/>
      <c r="CP224" s="569"/>
      <c r="CQ224" s="569"/>
      <c r="CR224" s="569"/>
      <c r="CS224" s="569"/>
      <c r="CT224" s="569"/>
      <c r="CU224" s="569"/>
      <c r="CV224" s="569"/>
      <c r="CW224" s="569"/>
      <c r="CX224" s="569"/>
      <c r="CY224" s="569"/>
      <c r="CZ224" s="569"/>
      <c r="DA224" s="569"/>
      <c r="DB224" s="569"/>
      <c r="DC224" s="569"/>
      <c r="DD224" s="569"/>
      <c r="DE224" s="569"/>
      <c r="DF224" s="569"/>
      <c r="DG224" s="569"/>
      <c r="DH224" s="569"/>
      <c r="DI224" s="569"/>
      <c r="DJ224" s="569"/>
      <c r="DK224" s="569"/>
      <c r="DL224" s="569"/>
      <c r="DM224" s="569"/>
      <c r="DN224" s="569"/>
      <c r="DO224" s="569"/>
      <c r="DP224" s="569"/>
      <c r="DQ224" s="569"/>
      <c r="DR224" s="569"/>
      <c r="DS224" s="569"/>
      <c r="DT224" s="569"/>
      <c r="DU224" s="569"/>
      <c r="DV224" s="569"/>
      <c r="DW224" s="569"/>
      <c r="DX224" s="569"/>
      <c r="DY224" s="569"/>
      <c r="DZ224" s="569"/>
      <c r="EA224" s="569"/>
      <c r="EB224" s="569"/>
      <c r="EC224" s="569"/>
      <c r="ED224" s="569"/>
      <c r="EE224" s="569"/>
      <c r="EF224" s="569"/>
      <c r="EG224" s="569"/>
      <c r="EH224" s="569"/>
      <c r="EI224" s="569"/>
      <c r="EJ224" s="569"/>
      <c r="EK224" s="569"/>
      <c r="EL224" s="569"/>
      <c r="EM224" s="569"/>
      <c r="EN224" s="569"/>
      <c r="EO224" s="569"/>
      <c r="EP224" s="569"/>
      <c r="EQ224" s="569"/>
      <c r="ER224" s="569"/>
      <c r="ES224" s="569"/>
      <c r="ET224" s="569"/>
      <c r="EU224" s="569"/>
      <c r="EV224" s="569"/>
      <c r="EW224" s="569"/>
      <c r="EX224" s="569"/>
      <c r="EY224" s="569"/>
      <c r="EZ224" s="569"/>
      <c r="FA224" s="569"/>
      <c r="FB224" s="569"/>
      <c r="FC224" s="569"/>
      <c r="FD224" s="569"/>
      <c r="FE224" s="569"/>
      <c r="FF224" s="569"/>
      <c r="FG224" s="569"/>
      <c r="FH224" s="569"/>
      <c r="FI224" s="569"/>
      <c r="FJ224" s="569"/>
      <c r="FK224" s="569"/>
      <c r="FL224" s="569"/>
      <c r="FM224" s="569"/>
      <c r="FN224" s="569"/>
      <c r="FO224" s="569"/>
      <c r="FP224" s="569"/>
      <c r="FQ224" s="569"/>
      <c r="FR224" s="569"/>
      <c r="FS224" s="569"/>
      <c r="FT224" s="569"/>
      <c r="FU224" s="569"/>
      <c r="FV224" s="569"/>
      <c r="FW224" s="569"/>
      <c r="FX224" s="569"/>
      <c r="FY224" s="569"/>
      <c r="FZ224" s="569"/>
      <c r="GA224" s="569"/>
      <c r="GB224" s="569"/>
      <c r="GC224" s="569"/>
      <c r="GD224" s="569"/>
      <c r="GE224" s="569"/>
      <c r="GF224" s="569"/>
      <c r="GG224" s="569"/>
      <c r="GH224" s="569"/>
      <c r="GI224" s="569"/>
      <c r="GJ224" s="569"/>
      <c r="GK224" s="569"/>
      <c r="GL224" s="569"/>
      <c r="GM224" s="569"/>
      <c r="GN224" s="569"/>
      <c r="GO224" s="569"/>
      <c r="GP224" s="569"/>
      <c r="GQ224" s="569"/>
      <c r="GR224" s="569"/>
      <c r="GS224" s="569"/>
      <c r="GT224" s="569"/>
    </row>
    <row r="225" spans="1:202" s="554" customFormat="1">
      <c r="A225" s="591"/>
      <c r="B225" s="569"/>
      <c r="C225" s="569"/>
      <c r="D225" s="569"/>
      <c r="E225" s="569"/>
      <c r="F225" s="569"/>
      <c r="G225" s="569"/>
      <c r="H225" s="569"/>
      <c r="I225" s="569"/>
      <c r="J225" s="569"/>
      <c r="K225" s="569"/>
      <c r="L225" s="569"/>
      <c r="M225" s="569"/>
      <c r="N225" s="569"/>
      <c r="O225" s="569"/>
      <c r="P225" s="569"/>
      <c r="Q225" s="569"/>
      <c r="R225" s="569"/>
      <c r="S225" s="569"/>
      <c r="T225" s="569"/>
      <c r="U225" s="569"/>
      <c r="V225" s="569"/>
      <c r="W225" s="569"/>
      <c r="X225" s="569"/>
      <c r="Y225" s="569"/>
      <c r="Z225" s="569"/>
      <c r="AA225" s="569"/>
      <c r="AB225" s="569"/>
      <c r="AC225" s="569"/>
      <c r="AD225" s="569"/>
      <c r="AE225" s="569"/>
      <c r="AF225" s="569"/>
      <c r="AG225" s="569"/>
      <c r="AH225" s="569"/>
      <c r="AI225" s="569"/>
      <c r="AJ225" s="569"/>
      <c r="AK225" s="569"/>
      <c r="AL225" s="569"/>
      <c r="AM225" s="569"/>
      <c r="AN225" s="569"/>
      <c r="AO225" s="569"/>
      <c r="AP225" s="569"/>
      <c r="AQ225" s="569"/>
      <c r="AR225" s="569"/>
      <c r="AS225" s="569"/>
      <c r="AT225" s="569"/>
      <c r="AU225" s="569"/>
      <c r="AV225" s="569"/>
      <c r="AW225" s="569"/>
      <c r="AX225" s="569"/>
      <c r="AY225" s="569"/>
      <c r="AZ225" s="569"/>
      <c r="BA225" s="569"/>
      <c r="BB225" s="569"/>
      <c r="BC225" s="569"/>
      <c r="BD225" s="569"/>
      <c r="BE225" s="569"/>
      <c r="BF225" s="569"/>
      <c r="BG225" s="569"/>
      <c r="BH225" s="569"/>
      <c r="BI225" s="569"/>
      <c r="BJ225" s="569"/>
      <c r="BK225" s="569"/>
      <c r="BL225" s="569"/>
      <c r="BM225" s="569"/>
      <c r="BN225" s="569"/>
      <c r="BO225" s="569"/>
      <c r="BP225" s="569"/>
      <c r="BQ225" s="569"/>
      <c r="BR225" s="569"/>
      <c r="BS225" s="569"/>
      <c r="BT225" s="569"/>
      <c r="BU225" s="569"/>
      <c r="BV225" s="569"/>
      <c r="BW225" s="569"/>
      <c r="BX225" s="569"/>
      <c r="BY225" s="569"/>
      <c r="BZ225" s="569"/>
      <c r="CA225" s="569"/>
      <c r="CB225" s="569"/>
      <c r="CC225" s="569"/>
      <c r="CD225" s="569"/>
      <c r="CE225" s="569"/>
      <c r="CF225" s="569"/>
      <c r="CG225" s="569"/>
      <c r="CH225" s="569"/>
      <c r="CI225" s="569"/>
      <c r="CJ225" s="569"/>
      <c r="CK225" s="569"/>
      <c r="CL225" s="569"/>
      <c r="CM225" s="569"/>
      <c r="CN225" s="569"/>
      <c r="CO225" s="569"/>
      <c r="CP225" s="569"/>
      <c r="CQ225" s="569"/>
      <c r="CR225" s="569"/>
      <c r="CS225" s="569"/>
      <c r="CT225" s="569"/>
      <c r="CU225" s="569"/>
      <c r="CV225" s="569"/>
      <c r="CW225" s="569"/>
      <c r="CX225" s="569"/>
      <c r="CY225" s="569"/>
      <c r="CZ225" s="569"/>
      <c r="DA225" s="569"/>
      <c r="DB225" s="569"/>
      <c r="DC225" s="569"/>
      <c r="DD225" s="569"/>
      <c r="DE225" s="569"/>
      <c r="DF225" s="569"/>
      <c r="DG225" s="569"/>
      <c r="DH225" s="569"/>
      <c r="DI225" s="569"/>
      <c r="DJ225" s="569"/>
      <c r="DK225" s="569"/>
      <c r="DL225" s="569"/>
      <c r="DM225" s="569"/>
      <c r="DN225" s="569"/>
      <c r="DO225" s="569"/>
      <c r="DP225" s="569"/>
      <c r="DQ225" s="569"/>
      <c r="DR225" s="569"/>
      <c r="DS225" s="569"/>
      <c r="DT225" s="569"/>
      <c r="DU225" s="569"/>
      <c r="DV225" s="569"/>
      <c r="DW225" s="569"/>
      <c r="DX225" s="569"/>
      <c r="DY225" s="569"/>
      <c r="DZ225" s="569"/>
      <c r="EA225" s="569"/>
      <c r="EB225" s="569"/>
      <c r="EC225" s="569"/>
      <c r="ED225" s="569"/>
      <c r="EE225" s="569"/>
      <c r="EF225" s="569"/>
      <c r="EG225" s="569"/>
      <c r="EH225" s="569"/>
      <c r="EI225" s="569"/>
      <c r="EJ225" s="569"/>
      <c r="EK225" s="569"/>
      <c r="EL225" s="569"/>
      <c r="EM225" s="569"/>
      <c r="EN225" s="569"/>
      <c r="EO225" s="569"/>
      <c r="EP225" s="569"/>
      <c r="EQ225" s="569"/>
      <c r="ER225" s="569"/>
      <c r="ES225" s="569"/>
      <c r="ET225" s="569"/>
      <c r="EU225" s="569"/>
      <c r="EV225" s="569"/>
      <c r="EW225" s="569"/>
      <c r="EX225" s="569"/>
      <c r="EY225" s="569"/>
      <c r="EZ225" s="569"/>
      <c r="FA225" s="569"/>
      <c r="FB225" s="569"/>
      <c r="FC225" s="569"/>
      <c r="FD225" s="569"/>
      <c r="FE225" s="569"/>
      <c r="FF225" s="569"/>
      <c r="FG225" s="569"/>
      <c r="FH225" s="569"/>
      <c r="FI225" s="569"/>
      <c r="FJ225" s="569"/>
      <c r="FK225" s="569"/>
      <c r="FL225" s="569"/>
      <c r="FM225" s="569"/>
      <c r="FN225" s="569"/>
      <c r="FO225" s="569"/>
      <c r="FP225" s="569"/>
      <c r="FQ225" s="569"/>
      <c r="FR225" s="569"/>
      <c r="FS225" s="569"/>
      <c r="FT225" s="569"/>
      <c r="FU225" s="569"/>
      <c r="FV225" s="569"/>
      <c r="FW225" s="569"/>
      <c r="FX225" s="569"/>
      <c r="FY225" s="569"/>
      <c r="FZ225" s="569"/>
      <c r="GA225" s="569"/>
      <c r="GB225" s="569"/>
      <c r="GC225" s="569"/>
      <c r="GD225" s="569"/>
      <c r="GE225" s="569"/>
      <c r="GF225" s="569"/>
      <c r="GG225" s="569"/>
      <c r="GH225" s="569"/>
      <c r="GI225" s="569"/>
      <c r="GJ225" s="569"/>
      <c r="GK225" s="569"/>
      <c r="GL225" s="569"/>
      <c r="GM225" s="569"/>
      <c r="GN225" s="569"/>
      <c r="GO225" s="569"/>
      <c r="GP225" s="569"/>
      <c r="GQ225" s="569"/>
      <c r="GR225" s="569"/>
      <c r="GS225" s="569"/>
      <c r="GT225" s="569"/>
    </row>
    <row r="226" spans="1:202" s="554" customFormat="1">
      <c r="A226" s="591"/>
      <c r="B226" s="569"/>
      <c r="C226" s="569"/>
      <c r="D226" s="569"/>
      <c r="E226" s="569"/>
      <c r="F226" s="569"/>
      <c r="G226" s="569"/>
      <c r="H226" s="569"/>
      <c r="I226" s="569"/>
      <c r="J226" s="569"/>
      <c r="K226" s="569"/>
      <c r="L226" s="569"/>
      <c r="M226" s="569"/>
      <c r="N226" s="569"/>
      <c r="O226" s="569"/>
      <c r="P226" s="569"/>
      <c r="Q226" s="569"/>
      <c r="R226" s="569"/>
      <c r="S226" s="569"/>
      <c r="T226" s="569"/>
      <c r="U226" s="569"/>
      <c r="V226" s="569"/>
      <c r="W226" s="569"/>
      <c r="X226" s="569"/>
      <c r="Y226" s="569"/>
      <c r="Z226" s="569"/>
      <c r="AA226" s="569"/>
      <c r="AB226" s="569"/>
      <c r="AC226" s="569"/>
      <c r="AD226" s="569"/>
      <c r="AE226" s="569"/>
      <c r="AF226" s="569"/>
      <c r="AG226" s="569"/>
      <c r="AH226" s="569"/>
      <c r="AI226" s="569"/>
      <c r="AJ226" s="569"/>
      <c r="AK226" s="569"/>
      <c r="AL226" s="569"/>
      <c r="AM226" s="569"/>
      <c r="AN226" s="569"/>
      <c r="AO226" s="569"/>
      <c r="AP226" s="569"/>
      <c r="AQ226" s="569"/>
      <c r="AR226" s="569"/>
      <c r="AS226" s="569"/>
      <c r="AT226" s="569"/>
      <c r="AU226" s="569"/>
      <c r="AV226" s="569"/>
      <c r="AW226" s="569"/>
      <c r="AX226" s="569"/>
      <c r="AY226" s="569"/>
      <c r="AZ226" s="569"/>
      <c r="BA226" s="569"/>
      <c r="BB226" s="569"/>
      <c r="BC226" s="569"/>
      <c r="BD226" s="569"/>
      <c r="BE226" s="569"/>
      <c r="BF226" s="569"/>
      <c r="BG226" s="569"/>
      <c r="BH226" s="569"/>
      <c r="BI226" s="569"/>
      <c r="BJ226" s="569"/>
      <c r="BK226" s="569"/>
      <c r="BL226" s="569"/>
      <c r="BM226" s="569"/>
      <c r="BN226" s="569"/>
      <c r="BO226" s="569"/>
      <c r="BP226" s="569"/>
      <c r="BQ226" s="569"/>
      <c r="BR226" s="569"/>
      <c r="BS226" s="569"/>
      <c r="BT226" s="569"/>
      <c r="BU226" s="569"/>
      <c r="BV226" s="569"/>
      <c r="BW226" s="569"/>
      <c r="BX226" s="569"/>
      <c r="BY226" s="569"/>
      <c r="BZ226" s="569"/>
      <c r="CA226" s="569"/>
      <c r="CB226" s="569"/>
      <c r="CC226" s="569"/>
      <c r="CD226" s="569"/>
      <c r="CE226" s="569"/>
      <c r="CF226" s="569"/>
      <c r="CG226" s="569"/>
      <c r="CH226" s="569"/>
      <c r="CI226" s="569"/>
      <c r="CJ226" s="569"/>
      <c r="CK226" s="569"/>
      <c r="CL226" s="569"/>
      <c r="CM226" s="569"/>
      <c r="CN226" s="569"/>
      <c r="CO226" s="569"/>
      <c r="CP226" s="569"/>
      <c r="CQ226" s="569"/>
      <c r="CR226" s="569"/>
      <c r="CS226" s="569"/>
      <c r="CT226" s="569"/>
      <c r="CU226" s="569"/>
      <c r="CV226" s="569"/>
      <c r="CW226" s="569"/>
      <c r="CX226" s="569"/>
      <c r="CY226" s="569"/>
      <c r="CZ226" s="569"/>
      <c r="DA226" s="569"/>
      <c r="DB226" s="569"/>
      <c r="DC226" s="569"/>
      <c r="DD226" s="569"/>
      <c r="DE226" s="569"/>
      <c r="DF226" s="569"/>
      <c r="DG226" s="569"/>
      <c r="DH226" s="569"/>
      <c r="DI226" s="569"/>
      <c r="DJ226" s="569"/>
      <c r="DK226" s="569"/>
      <c r="DL226" s="569"/>
      <c r="DM226" s="569"/>
      <c r="DN226" s="569"/>
      <c r="DO226" s="569"/>
      <c r="DP226" s="569"/>
      <c r="DQ226" s="569"/>
      <c r="DR226" s="569"/>
      <c r="DS226" s="569"/>
      <c r="DT226" s="569"/>
      <c r="DU226" s="569"/>
      <c r="DV226" s="569"/>
      <c r="DW226" s="569"/>
      <c r="DX226" s="569"/>
      <c r="DY226" s="569"/>
      <c r="DZ226" s="569"/>
      <c r="EA226" s="569"/>
      <c r="EB226" s="569"/>
      <c r="EC226" s="569"/>
      <c r="ED226" s="569"/>
      <c r="EE226" s="569"/>
      <c r="EF226" s="569"/>
      <c r="EG226" s="569"/>
      <c r="EH226" s="569"/>
      <c r="EI226" s="569"/>
      <c r="EJ226" s="569"/>
      <c r="EK226" s="569"/>
      <c r="EL226" s="569"/>
      <c r="EM226" s="569"/>
      <c r="EN226" s="569"/>
      <c r="EO226" s="569"/>
      <c r="EP226" s="569"/>
      <c r="EQ226" s="569"/>
      <c r="ER226" s="569"/>
      <c r="ES226" s="569"/>
      <c r="ET226" s="569"/>
      <c r="EU226" s="569"/>
      <c r="EV226" s="569"/>
      <c r="EW226" s="569"/>
      <c r="EX226" s="569"/>
      <c r="EY226" s="569"/>
      <c r="EZ226" s="569"/>
      <c r="FA226" s="569"/>
      <c r="FB226" s="569"/>
      <c r="FC226" s="569"/>
      <c r="FD226" s="569"/>
      <c r="FE226" s="569"/>
      <c r="FF226" s="569"/>
      <c r="FG226" s="569"/>
      <c r="FH226" s="569"/>
      <c r="FI226" s="569"/>
      <c r="FJ226" s="569"/>
      <c r="FK226" s="569"/>
      <c r="FL226" s="569"/>
      <c r="FM226" s="569"/>
      <c r="FN226" s="569"/>
      <c r="FO226" s="569"/>
      <c r="FP226" s="569"/>
      <c r="FQ226" s="569"/>
      <c r="FR226" s="569"/>
      <c r="FS226" s="569"/>
      <c r="FT226" s="569"/>
      <c r="FU226" s="569"/>
      <c r="FV226" s="569"/>
      <c r="FW226" s="569"/>
      <c r="FX226" s="569"/>
      <c r="FY226" s="569"/>
      <c r="FZ226" s="569"/>
      <c r="GA226" s="569"/>
      <c r="GB226" s="569"/>
      <c r="GC226" s="569"/>
      <c r="GD226" s="569"/>
      <c r="GE226" s="569"/>
      <c r="GF226" s="569"/>
      <c r="GG226" s="569"/>
      <c r="GH226" s="569"/>
      <c r="GI226" s="569"/>
      <c r="GJ226" s="569"/>
      <c r="GK226" s="569"/>
      <c r="GL226" s="569"/>
      <c r="GM226" s="569"/>
      <c r="GN226" s="569"/>
      <c r="GO226" s="569"/>
      <c r="GP226" s="569"/>
      <c r="GQ226" s="569"/>
      <c r="GR226" s="569"/>
      <c r="GS226" s="569"/>
      <c r="GT226" s="569"/>
    </row>
    <row r="227" spans="1:202" s="554" customFormat="1">
      <c r="A227" s="591"/>
      <c r="B227" s="569"/>
      <c r="C227" s="569"/>
      <c r="D227" s="569"/>
      <c r="E227" s="569"/>
      <c r="F227" s="569"/>
      <c r="G227" s="569"/>
      <c r="H227" s="569"/>
      <c r="I227" s="569"/>
      <c r="J227" s="569"/>
      <c r="K227" s="569"/>
      <c r="L227" s="569"/>
      <c r="M227" s="569"/>
      <c r="N227" s="569"/>
      <c r="O227" s="569"/>
      <c r="P227" s="569"/>
      <c r="Q227" s="569"/>
      <c r="R227" s="569"/>
      <c r="S227" s="569"/>
      <c r="T227" s="569"/>
      <c r="U227" s="569"/>
      <c r="V227" s="569"/>
      <c r="W227" s="569"/>
      <c r="X227" s="569"/>
      <c r="Y227" s="569"/>
      <c r="Z227" s="569"/>
      <c r="AA227" s="569"/>
      <c r="AB227" s="569"/>
      <c r="AC227" s="569"/>
      <c r="AD227" s="569"/>
      <c r="AE227" s="569"/>
      <c r="AF227" s="569"/>
      <c r="AG227" s="569"/>
      <c r="AH227" s="569"/>
      <c r="AI227" s="569"/>
      <c r="AJ227" s="569"/>
      <c r="AK227" s="569"/>
      <c r="AL227" s="569"/>
      <c r="AM227" s="569"/>
      <c r="AN227" s="569"/>
      <c r="AO227" s="569"/>
      <c r="AP227" s="569"/>
      <c r="AQ227" s="569"/>
      <c r="AR227" s="569"/>
      <c r="AS227" s="569"/>
      <c r="AT227" s="569"/>
      <c r="AU227" s="569"/>
      <c r="AV227" s="569"/>
      <c r="AW227" s="569"/>
      <c r="AX227" s="569"/>
      <c r="AY227" s="569"/>
      <c r="AZ227" s="569"/>
      <c r="BA227" s="569"/>
      <c r="BB227" s="569"/>
      <c r="BC227" s="569"/>
      <c r="BD227" s="569"/>
      <c r="BE227" s="569"/>
      <c r="BF227" s="569"/>
      <c r="BG227" s="569"/>
      <c r="BH227" s="569"/>
      <c r="BI227" s="569"/>
      <c r="BJ227" s="569"/>
      <c r="BK227" s="569"/>
      <c r="BL227" s="569"/>
      <c r="BM227" s="569"/>
      <c r="BN227" s="569"/>
      <c r="BO227" s="569"/>
      <c r="BP227" s="569"/>
      <c r="BQ227" s="569"/>
      <c r="BR227" s="569"/>
      <c r="BS227" s="569"/>
      <c r="BT227" s="569"/>
      <c r="BU227" s="569"/>
      <c r="BV227" s="569"/>
      <c r="BW227" s="569"/>
      <c r="BX227" s="569"/>
      <c r="BY227" s="569"/>
      <c r="BZ227" s="569"/>
      <c r="CA227" s="569"/>
      <c r="CB227" s="569"/>
      <c r="CC227" s="569"/>
      <c r="CD227" s="569"/>
      <c r="CE227" s="569"/>
      <c r="CF227" s="569"/>
      <c r="CG227" s="569"/>
      <c r="CH227" s="569"/>
      <c r="CI227" s="569"/>
      <c r="CJ227" s="569"/>
      <c r="CK227" s="569"/>
      <c r="CL227" s="569"/>
      <c r="CM227" s="569"/>
      <c r="CN227" s="569"/>
      <c r="CO227" s="569"/>
      <c r="CP227" s="569"/>
      <c r="CQ227" s="569"/>
      <c r="CR227" s="569"/>
      <c r="CS227" s="569"/>
      <c r="CT227" s="569"/>
      <c r="CU227" s="569"/>
      <c r="CV227" s="569"/>
      <c r="CW227" s="569"/>
      <c r="CX227" s="569"/>
      <c r="CY227" s="569"/>
      <c r="CZ227" s="569"/>
      <c r="DA227" s="569"/>
      <c r="DB227" s="569"/>
      <c r="DC227" s="569"/>
      <c r="DD227" s="569"/>
      <c r="DE227" s="569"/>
      <c r="DF227" s="569"/>
      <c r="DG227" s="569"/>
      <c r="DH227" s="569"/>
      <c r="DI227" s="569"/>
      <c r="DJ227" s="569"/>
      <c r="DK227" s="569"/>
      <c r="DL227" s="569"/>
      <c r="DM227" s="569"/>
      <c r="DN227" s="569"/>
      <c r="DO227" s="569"/>
      <c r="DP227" s="569"/>
      <c r="DQ227" s="569"/>
      <c r="DR227" s="569"/>
      <c r="DS227" s="569"/>
      <c r="DT227" s="569"/>
      <c r="DU227" s="569"/>
      <c r="DV227" s="569"/>
      <c r="DW227" s="569"/>
      <c r="DX227" s="569"/>
      <c r="DY227" s="569"/>
      <c r="DZ227" s="569"/>
      <c r="EA227" s="569"/>
      <c r="EB227" s="569"/>
      <c r="EC227" s="569"/>
      <c r="ED227" s="569"/>
      <c r="EE227" s="569"/>
      <c r="EF227" s="569"/>
      <c r="EG227" s="569"/>
      <c r="EH227" s="569"/>
      <c r="EI227" s="569"/>
      <c r="EJ227" s="569"/>
      <c r="EK227" s="569"/>
      <c r="EL227" s="569"/>
      <c r="EM227" s="569"/>
      <c r="EN227" s="569"/>
      <c r="EO227" s="569"/>
      <c r="EP227" s="569"/>
      <c r="EQ227" s="569"/>
      <c r="ER227" s="569"/>
      <c r="ES227" s="569"/>
      <c r="ET227" s="569"/>
      <c r="EU227" s="569"/>
      <c r="EV227" s="569"/>
      <c r="EW227" s="569"/>
      <c r="EX227" s="569"/>
      <c r="EY227" s="569"/>
      <c r="EZ227" s="569"/>
      <c r="FA227" s="569"/>
      <c r="FB227" s="569"/>
      <c r="FC227" s="569"/>
      <c r="FD227" s="569"/>
      <c r="FE227" s="569"/>
      <c r="FF227" s="569"/>
      <c r="FG227" s="569"/>
      <c r="FH227" s="569"/>
      <c r="FI227" s="569"/>
      <c r="FJ227" s="569"/>
      <c r="FK227" s="569"/>
      <c r="FL227" s="569"/>
      <c r="FM227" s="569"/>
      <c r="FN227" s="569"/>
      <c r="FO227" s="569"/>
      <c r="FP227" s="569"/>
      <c r="FQ227" s="569"/>
      <c r="FR227" s="569"/>
      <c r="FS227" s="569"/>
      <c r="FT227" s="569"/>
      <c r="FU227" s="569"/>
      <c r="FV227" s="569"/>
      <c r="FW227" s="569"/>
      <c r="FX227" s="569"/>
      <c r="FY227" s="569"/>
      <c r="FZ227" s="569"/>
      <c r="GA227" s="569"/>
      <c r="GB227" s="569"/>
      <c r="GC227" s="569"/>
      <c r="GD227" s="569"/>
      <c r="GE227" s="569"/>
      <c r="GF227" s="569"/>
      <c r="GG227" s="569"/>
      <c r="GH227" s="569"/>
      <c r="GI227" s="569"/>
      <c r="GJ227" s="569"/>
      <c r="GK227" s="569"/>
      <c r="GL227" s="569"/>
      <c r="GM227" s="569"/>
      <c r="GN227" s="569"/>
      <c r="GO227" s="569"/>
      <c r="GP227" s="569"/>
      <c r="GQ227" s="569"/>
      <c r="GR227" s="569"/>
      <c r="GS227" s="569"/>
      <c r="GT227" s="569"/>
    </row>
    <row r="228" spans="1:202" s="554" customFormat="1">
      <c r="A228" s="591"/>
      <c r="B228" s="569"/>
      <c r="C228" s="569"/>
      <c r="D228" s="569"/>
      <c r="E228" s="569"/>
      <c r="F228" s="569"/>
      <c r="G228" s="569"/>
      <c r="H228" s="569"/>
      <c r="I228" s="569"/>
      <c r="J228" s="569"/>
      <c r="K228" s="569"/>
      <c r="L228" s="569"/>
      <c r="M228" s="569"/>
      <c r="N228" s="569"/>
      <c r="O228" s="569"/>
      <c r="P228" s="569"/>
      <c r="Q228" s="569"/>
      <c r="R228" s="569"/>
      <c r="S228" s="569"/>
      <c r="T228" s="569"/>
      <c r="U228" s="569"/>
      <c r="V228" s="569"/>
      <c r="W228" s="569"/>
      <c r="X228" s="569"/>
      <c r="Y228" s="569"/>
      <c r="Z228" s="569"/>
      <c r="AA228" s="569"/>
      <c r="AB228" s="569"/>
      <c r="AC228" s="569"/>
      <c r="AD228" s="569"/>
      <c r="AE228" s="569"/>
      <c r="AF228" s="569"/>
      <c r="AG228" s="569"/>
      <c r="AH228" s="569"/>
      <c r="AI228" s="569"/>
      <c r="AJ228" s="569"/>
      <c r="AK228" s="569"/>
      <c r="AL228" s="569"/>
      <c r="AM228" s="569"/>
      <c r="AN228" s="569"/>
      <c r="AO228" s="569"/>
      <c r="AP228" s="569"/>
      <c r="AQ228" s="569"/>
      <c r="AR228" s="569"/>
      <c r="AS228" s="569"/>
      <c r="AT228" s="569"/>
      <c r="AU228" s="569"/>
      <c r="AV228" s="569"/>
      <c r="AW228" s="569"/>
      <c r="AX228" s="569"/>
      <c r="AY228" s="569"/>
      <c r="AZ228" s="569"/>
      <c r="BA228" s="569"/>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s="569"/>
      <c r="DD228" s="569"/>
      <c r="DE228" s="569"/>
      <c r="DF228" s="569"/>
      <c r="DG228" s="569"/>
      <c r="DH228" s="569"/>
      <c r="DI228" s="569"/>
      <c r="DJ228" s="569"/>
      <c r="DK228" s="569"/>
      <c r="DL228" s="569"/>
      <c r="DM228" s="569"/>
      <c r="DN228" s="569"/>
      <c r="DO228" s="569"/>
      <c r="DP228" s="569"/>
      <c r="DQ228" s="569"/>
      <c r="DR228" s="569"/>
      <c r="DS228" s="569"/>
      <c r="DT228" s="569"/>
      <c r="DU228" s="569"/>
      <c r="DV228" s="569"/>
      <c r="DW228" s="569"/>
      <c r="DX228" s="569"/>
      <c r="DY228" s="569"/>
      <c r="DZ228" s="569"/>
      <c r="EA228" s="569"/>
      <c r="EB228" s="569"/>
      <c r="EC228" s="569"/>
      <c r="ED228" s="569"/>
      <c r="EE228" s="569"/>
      <c r="EF228" s="569"/>
      <c r="EG228" s="569"/>
      <c r="EH228" s="569"/>
      <c r="EI228" s="569"/>
      <c r="EJ228" s="569"/>
      <c r="EK228" s="569"/>
      <c r="EL228" s="569"/>
      <c r="EM228" s="569"/>
      <c r="EN228" s="569"/>
      <c r="EO228" s="569"/>
      <c r="EP228" s="569"/>
      <c r="EQ228" s="569"/>
      <c r="ER228" s="569"/>
      <c r="ES228" s="569"/>
      <c r="ET228" s="569"/>
      <c r="EU228" s="569"/>
      <c r="EV228" s="569"/>
      <c r="EW228" s="569"/>
      <c r="EX228" s="569"/>
      <c r="EY228" s="569"/>
      <c r="EZ228" s="569"/>
      <c r="FA228" s="569"/>
      <c r="FB228" s="569"/>
      <c r="FC228" s="569"/>
      <c r="FD228" s="569"/>
      <c r="FE228" s="569"/>
      <c r="FF228" s="569"/>
      <c r="FG228" s="569"/>
      <c r="FH228" s="569"/>
      <c r="FI228" s="569"/>
      <c r="FJ228" s="569"/>
      <c r="FK228" s="569"/>
      <c r="FL228" s="569"/>
      <c r="FM228" s="569"/>
      <c r="FN228" s="569"/>
      <c r="FO228" s="569"/>
      <c r="FP228" s="569"/>
      <c r="FQ228" s="569"/>
      <c r="FR228" s="569"/>
      <c r="FS228" s="569"/>
      <c r="FT228" s="569"/>
      <c r="FU228" s="569"/>
      <c r="FV228" s="569"/>
      <c r="FW228" s="569"/>
      <c r="FX228" s="569"/>
      <c r="FY228" s="569"/>
      <c r="FZ228" s="569"/>
      <c r="GA228" s="569"/>
      <c r="GB228" s="569"/>
      <c r="GC228" s="569"/>
      <c r="GD228" s="569"/>
      <c r="GE228" s="569"/>
      <c r="GF228" s="569"/>
      <c r="GG228" s="569"/>
      <c r="GH228" s="569"/>
      <c r="GI228" s="569"/>
      <c r="GJ228" s="569"/>
      <c r="GK228" s="569"/>
      <c r="GL228" s="569"/>
      <c r="GM228" s="569"/>
      <c r="GN228" s="569"/>
      <c r="GO228" s="569"/>
      <c r="GP228" s="569"/>
      <c r="GQ228" s="569"/>
      <c r="GR228" s="569"/>
      <c r="GS228" s="569"/>
      <c r="GT228" s="569"/>
    </row>
    <row r="229" spans="1:202" s="554" customFormat="1">
      <c r="A229" s="591"/>
      <c r="B229" s="569"/>
      <c r="C229" s="569"/>
      <c r="D229" s="569"/>
      <c r="E229" s="569"/>
      <c r="F229" s="569"/>
      <c r="G229" s="569"/>
      <c r="H229" s="569"/>
      <c r="I229" s="569"/>
      <c r="J229" s="569"/>
      <c r="K229" s="569"/>
      <c r="L229" s="569"/>
      <c r="M229" s="569"/>
      <c r="N229" s="569"/>
      <c r="O229" s="569"/>
      <c r="P229" s="569"/>
      <c r="Q229" s="569"/>
      <c r="R229" s="569"/>
      <c r="S229" s="569"/>
      <c r="T229" s="569"/>
      <c r="U229" s="569"/>
      <c r="V229" s="569"/>
      <c r="W229" s="569"/>
      <c r="X229" s="569"/>
      <c r="Y229" s="569"/>
      <c r="Z229" s="569"/>
      <c r="AA229" s="569"/>
      <c r="AB229" s="569"/>
      <c r="AC229" s="569"/>
      <c r="AD229" s="569"/>
      <c r="AE229" s="569"/>
      <c r="AF229" s="569"/>
      <c r="AG229" s="569"/>
      <c r="AH229" s="569"/>
      <c r="AI229" s="569"/>
      <c r="AJ229" s="569"/>
      <c r="AK229" s="569"/>
      <c r="AL229" s="569"/>
      <c r="AM229" s="569"/>
      <c r="AN229" s="569"/>
      <c r="AO229" s="569"/>
      <c r="AP229" s="569"/>
      <c r="AQ229" s="569"/>
      <c r="AR229" s="569"/>
      <c r="AS229" s="569"/>
      <c r="AT229" s="569"/>
      <c r="AU229" s="569"/>
      <c r="AV229" s="569"/>
      <c r="AW229" s="569"/>
      <c r="AX229" s="569"/>
      <c r="AY229" s="569"/>
      <c r="AZ229" s="569"/>
      <c r="BA229" s="569"/>
      <c r="BB229" s="569"/>
      <c r="BC229" s="569"/>
      <c r="BD229" s="569"/>
      <c r="BE229" s="569"/>
      <c r="BF229" s="569"/>
      <c r="BG229" s="569"/>
      <c r="BH229" s="569"/>
      <c r="BI229" s="569"/>
      <c r="BJ229" s="569"/>
      <c r="BK229" s="569"/>
      <c r="BL229" s="569"/>
      <c r="BM229" s="569"/>
      <c r="BN229" s="569"/>
      <c r="BO229" s="569"/>
      <c r="BP229" s="569"/>
      <c r="BQ229" s="569"/>
      <c r="BR229" s="569"/>
      <c r="BS229" s="569"/>
      <c r="BT229" s="569"/>
      <c r="BU229" s="569"/>
      <c r="BV229" s="569"/>
      <c r="BW229" s="569"/>
      <c r="BX229" s="569"/>
      <c r="BY229" s="569"/>
      <c r="BZ229" s="569"/>
      <c r="CA229" s="569"/>
      <c r="CB229" s="569"/>
      <c r="CC229" s="569"/>
      <c r="CD229" s="569"/>
      <c r="CE229" s="569"/>
      <c r="CF229" s="569"/>
      <c r="CG229" s="569"/>
      <c r="CH229" s="569"/>
      <c r="CI229" s="569"/>
      <c r="CJ229" s="569"/>
      <c r="CK229" s="569"/>
      <c r="CL229" s="569"/>
      <c r="CM229" s="569"/>
      <c r="CN229" s="569"/>
      <c r="CO229" s="569"/>
      <c r="CP229" s="569"/>
      <c r="CQ229" s="569"/>
      <c r="CR229" s="569"/>
      <c r="CS229" s="569"/>
      <c r="CT229" s="569"/>
      <c r="CU229" s="569"/>
      <c r="CV229" s="569"/>
      <c r="CW229" s="569"/>
      <c r="CX229" s="569"/>
      <c r="CY229" s="569"/>
      <c r="CZ229" s="569"/>
      <c r="DA229" s="569"/>
      <c r="DB229" s="569"/>
      <c r="DC229" s="569"/>
      <c r="DD229" s="569"/>
      <c r="DE229" s="569"/>
      <c r="DF229" s="569"/>
      <c r="DG229" s="569"/>
      <c r="DH229" s="569"/>
      <c r="DI229" s="569"/>
      <c r="DJ229" s="569"/>
      <c r="DK229" s="569"/>
      <c r="DL229" s="569"/>
      <c r="DM229" s="569"/>
      <c r="DN229" s="569"/>
      <c r="DO229" s="569"/>
      <c r="DP229" s="569"/>
      <c r="DQ229" s="569"/>
      <c r="DR229" s="569"/>
      <c r="DS229" s="569"/>
      <c r="DT229" s="569"/>
      <c r="DU229" s="569"/>
      <c r="DV229" s="569"/>
      <c r="DW229" s="569"/>
      <c r="DX229" s="569"/>
      <c r="DY229" s="569"/>
      <c r="DZ229" s="569"/>
      <c r="EA229" s="569"/>
      <c r="EB229" s="569"/>
      <c r="EC229" s="569"/>
      <c r="ED229" s="569"/>
      <c r="EE229" s="569"/>
      <c r="EF229" s="569"/>
      <c r="EG229" s="569"/>
      <c r="EH229" s="569"/>
      <c r="EI229" s="569"/>
      <c r="EJ229" s="569"/>
      <c r="EK229" s="569"/>
      <c r="EL229" s="569"/>
      <c r="EM229" s="569"/>
      <c r="EN229" s="569"/>
      <c r="EO229" s="569"/>
      <c r="EP229" s="569"/>
      <c r="EQ229" s="569"/>
      <c r="ER229" s="569"/>
      <c r="ES229" s="569"/>
      <c r="ET229" s="569"/>
      <c r="EU229" s="569"/>
      <c r="EV229" s="569"/>
      <c r="EW229" s="569"/>
      <c r="EX229" s="569"/>
      <c r="EY229" s="569"/>
      <c r="EZ229" s="569"/>
      <c r="FA229" s="569"/>
      <c r="FB229" s="569"/>
      <c r="FC229" s="569"/>
      <c r="FD229" s="569"/>
      <c r="FE229" s="569"/>
      <c r="FF229" s="569"/>
      <c r="FG229" s="569"/>
      <c r="FH229" s="569"/>
      <c r="FI229" s="569"/>
      <c r="FJ229" s="569"/>
      <c r="FK229" s="569"/>
      <c r="FL229" s="569"/>
      <c r="FM229" s="569"/>
      <c r="FN229" s="569"/>
      <c r="FO229" s="569"/>
      <c r="FP229" s="569"/>
      <c r="FQ229" s="569"/>
      <c r="FR229" s="569"/>
      <c r="FS229" s="569"/>
      <c r="FT229" s="569"/>
      <c r="FU229" s="569"/>
      <c r="FV229" s="569"/>
      <c r="FW229" s="569"/>
      <c r="FX229" s="569"/>
      <c r="FY229" s="569"/>
      <c r="FZ229" s="569"/>
      <c r="GA229" s="569"/>
      <c r="GB229" s="569"/>
      <c r="GC229" s="569"/>
      <c r="GD229" s="569"/>
      <c r="GE229" s="569"/>
      <c r="GF229" s="569"/>
      <c r="GG229" s="569"/>
      <c r="GH229" s="569"/>
      <c r="GI229" s="569"/>
      <c r="GJ229" s="569"/>
      <c r="GK229" s="569"/>
      <c r="GL229" s="569"/>
      <c r="GM229" s="569"/>
      <c r="GN229" s="569"/>
      <c r="GO229" s="569"/>
      <c r="GP229" s="569"/>
      <c r="GQ229" s="569"/>
      <c r="GR229" s="569"/>
      <c r="GS229" s="569"/>
      <c r="GT229" s="569"/>
    </row>
    <row r="230" spans="1:202" s="554" customFormat="1">
      <c r="A230" s="591"/>
      <c r="B230" s="569"/>
      <c r="C230" s="569"/>
      <c r="D230" s="569"/>
      <c r="E230" s="569"/>
      <c r="F230" s="569"/>
      <c r="G230" s="569"/>
      <c r="H230" s="569"/>
      <c r="I230" s="569"/>
      <c r="J230" s="569"/>
      <c r="K230" s="569"/>
      <c r="L230" s="569"/>
      <c r="M230" s="569"/>
      <c r="N230" s="569"/>
      <c r="O230" s="569"/>
      <c r="P230" s="569"/>
      <c r="Q230" s="569"/>
      <c r="R230" s="569"/>
      <c r="S230" s="569"/>
      <c r="T230" s="569"/>
      <c r="U230" s="569"/>
      <c r="V230" s="569"/>
      <c r="W230" s="569"/>
      <c r="X230" s="569"/>
      <c r="Y230" s="569"/>
      <c r="Z230" s="569"/>
      <c r="AA230" s="569"/>
      <c r="AB230" s="569"/>
      <c r="AC230" s="569"/>
      <c r="AD230" s="569"/>
      <c r="AE230" s="569"/>
      <c r="AF230" s="569"/>
      <c r="AG230" s="569"/>
      <c r="AH230" s="569"/>
      <c r="AI230" s="569"/>
      <c r="AJ230" s="569"/>
      <c r="AK230" s="569"/>
      <c r="AL230" s="569"/>
      <c r="AM230" s="569"/>
      <c r="AN230" s="569"/>
      <c r="AO230" s="569"/>
      <c r="AP230" s="569"/>
      <c r="AQ230" s="569"/>
      <c r="AR230" s="569"/>
      <c r="AS230" s="569"/>
      <c r="AT230" s="569"/>
      <c r="AU230" s="569"/>
      <c r="AV230" s="569"/>
      <c r="AW230" s="569"/>
      <c r="AX230" s="569"/>
      <c r="AY230" s="569"/>
      <c r="AZ230" s="569"/>
      <c r="BA230" s="569"/>
      <c r="BB230" s="569"/>
      <c r="BC230" s="569"/>
      <c r="BD230" s="569"/>
      <c r="BE230" s="569"/>
      <c r="BF230" s="569"/>
      <c r="BG230" s="569"/>
      <c r="BH230" s="569"/>
      <c r="BI230" s="569"/>
      <c r="BJ230" s="569"/>
      <c r="BK230" s="569"/>
      <c r="BL230" s="569"/>
      <c r="BM230" s="569"/>
      <c r="BN230" s="569"/>
      <c r="BO230" s="569"/>
      <c r="BP230" s="569"/>
      <c r="BQ230" s="569"/>
      <c r="BR230" s="569"/>
      <c r="BS230" s="569"/>
      <c r="BT230" s="569"/>
      <c r="BU230" s="569"/>
      <c r="BV230" s="569"/>
      <c r="BW230" s="569"/>
      <c r="BX230" s="569"/>
      <c r="BY230" s="569"/>
      <c r="BZ230" s="569"/>
      <c r="CA230" s="569"/>
      <c r="CB230" s="569"/>
      <c r="CC230" s="569"/>
      <c r="CD230" s="569"/>
      <c r="CE230" s="569"/>
      <c r="CF230" s="569"/>
      <c r="CG230" s="569"/>
      <c r="CH230" s="569"/>
      <c r="CI230" s="569"/>
      <c r="CJ230" s="569"/>
      <c r="CK230" s="569"/>
      <c r="CL230" s="569"/>
      <c r="CM230" s="569"/>
      <c r="CN230" s="569"/>
      <c r="CO230" s="569"/>
      <c r="CP230" s="569"/>
      <c r="CQ230" s="569"/>
      <c r="CR230" s="569"/>
      <c r="CS230" s="569"/>
      <c r="CT230" s="569"/>
      <c r="CU230" s="569"/>
      <c r="CV230" s="569"/>
      <c r="CW230" s="569"/>
      <c r="CX230" s="569"/>
      <c r="CY230" s="569"/>
      <c r="CZ230" s="569"/>
      <c r="DA230" s="569"/>
      <c r="DB230" s="569"/>
      <c r="DC230" s="569"/>
      <c r="DD230" s="569"/>
      <c r="DE230" s="569"/>
      <c r="DF230" s="569"/>
      <c r="DG230" s="569"/>
      <c r="DH230" s="569"/>
      <c r="DI230" s="569"/>
      <c r="DJ230" s="569"/>
      <c r="DK230" s="569"/>
      <c r="DL230" s="569"/>
      <c r="DM230" s="569"/>
      <c r="DN230" s="569"/>
      <c r="DO230" s="569"/>
      <c r="DP230" s="569"/>
      <c r="DQ230" s="569"/>
      <c r="DR230" s="569"/>
      <c r="DS230" s="569"/>
      <c r="DT230" s="569"/>
      <c r="DU230" s="569"/>
      <c r="DV230" s="569"/>
      <c r="DW230" s="569"/>
      <c r="DX230" s="569"/>
      <c r="DY230" s="569"/>
      <c r="DZ230" s="569"/>
      <c r="EA230" s="569"/>
      <c r="EB230" s="569"/>
      <c r="EC230" s="569"/>
      <c r="ED230" s="569"/>
      <c r="EE230" s="569"/>
      <c r="EF230" s="569"/>
      <c r="EG230" s="569"/>
      <c r="EH230" s="569"/>
      <c r="EI230" s="569"/>
      <c r="EJ230" s="569"/>
      <c r="EK230" s="569"/>
      <c r="EL230" s="569"/>
      <c r="EM230" s="569"/>
      <c r="EN230" s="569"/>
      <c r="EO230" s="569"/>
      <c r="EP230" s="569"/>
      <c r="EQ230" s="569"/>
      <c r="ER230" s="569"/>
      <c r="ES230" s="569"/>
      <c r="ET230" s="569"/>
      <c r="EU230" s="569"/>
      <c r="EV230" s="569"/>
      <c r="EW230" s="569"/>
      <c r="EX230" s="569"/>
      <c r="EY230" s="569"/>
      <c r="EZ230" s="569"/>
      <c r="FA230" s="569"/>
      <c r="FB230" s="569"/>
      <c r="FC230" s="569"/>
      <c r="FD230" s="569"/>
      <c r="FE230" s="569"/>
      <c r="FF230" s="569"/>
      <c r="FG230" s="569"/>
      <c r="FH230" s="569"/>
      <c r="FI230" s="569"/>
      <c r="FJ230" s="569"/>
      <c r="FK230" s="569"/>
      <c r="FL230" s="569"/>
      <c r="FM230" s="569"/>
      <c r="FN230" s="569"/>
      <c r="FO230" s="569"/>
      <c r="FP230" s="569"/>
      <c r="FQ230" s="569"/>
      <c r="FR230" s="569"/>
      <c r="FS230" s="569"/>
      <c r="FT230" s="569"/>
      <c r="FU230" s="569"/>
      <c r="FV230" s="569"/>
      <c r="FW230" s="569"/>
      <c r="FX230" s="569"/>
      <c r="FY230" s="569"/>
      <c r="FZ230" s="569"/>
      <c r="GA230" s="569"/>
      <c r="GB230" s="569"/>
      <c r="GC230" s="569"/>
      <c r="GD230" s="569"/>
      <c r="GE230" s="569"/>
      <c r="GF230" s="569"/>
      <c r="GG230" s="569"/>
      <c r="GH230" s="569"/>
      <c r="GI230" s="569"/>
      <c r="GJ230" s="569"/>
      <c r="GK230" s="569"/>
      <c r="GL230" s="569"/>
      <c r="GM230" s="569"/>
      <c r="GN230" s="569"/>
      <c r="GO230" s="569"/>
      <c r="GP230" s="569"/>
      <c r="GQ230" s="569"/>
      <c r="GR230" s="569"/>
      <c r="GS230" s="569"/>
      <c r="GT230" s="569"/>
    </row>
    <row r="231" spans="1:202" s="554" customFormat="1">
      <c r="A231" s="591"/>
      <c r="B231" s="569"/>
      <c r="C231" s="569"/>
      <c r="D231" s="569"/>
      <c r="E231" s="569"/>
      <c r="F231" s="569"/>
      <c r="G231" s="569"/>
      <c r="H231" s="569"/>
      <c r="I231" s="569"/>
      <c r="J231" s="569"/>
      <c r="K231" s="569"/>
      <c r="L231" s="569"/>
      <c r="M231" s="569"/>
      <c r="N231" s="569"/>
      <c r="O231" s="569"/>
      <c r="P231" s="569"/>
      <c r="Q231" s="569"/>
      <c r="R231" s="569"/>
      <c r="S231" s="569"/>
      <c r="T231" s="569"/>
      <c r="U231" s="569"/>
      <c r="V231" s="569"/>
      <c r="W231" s="569"/>
      <c r="X231" s="569"/>
      <c r="Y231" s="569"/>
      <c r="Z231" s="569"/>
      <c r="AA231" s="569"/>
      <c r="AB231" s="569"/>
      <c r="AC231" s="569"/>
      <c r="AD231" s="569"/>
      <c r="AE231" s="569"/>
      <c r="AF231" s="569"/>
      <c r="AG231" s="569"/>
      <c r="AH231" s="569"/>
      <c r="AI231" s="569"/>
      <c r="AJ231" s="569"/>
      <c r="AK231" s="569"/>
      <c r="AL231" s="569"/>
      <c r="AM231" s="569"/>
      <c r="AN231" s="569"/>
      <c r="AO231" s="569"/>
      <c r="AP231" s="569"/>
      <c r="AQ231" s="569"/>
      <c r="AR231" s="569"/>
      <c r="AS231" s="569"/>
      <c r="AT231" s="569"/>
      <c r="AU231" s="569"/>
      <c r="AV231" s="569"/>
      <c r="AW231" s="569"/>
      <c r="AX231" s="569"/>
      <c r="AY231" s="569"/>
      <c r="AZ231" s="569"/>
      <c r="BA231" s="569"/>
      <c r="BB231" s="569"/>
      <c r="BC231" s="569"/>
      <c r="BD231" s="569"/>
      <c r="BE231" s="569"/>
      <c r="BF231" s="569"/>
      <c r="BG231" s="569"/>
      <c r="BH231" s="569"/>
      <c r="BI231" s="569"/>
      <c r="BJ231" s="569"/>
      <c r="BK231" s="569"/>
      <c r="BL231" s="569"/>
      <c r="BM231" s="569"/>
      <c r="BN231" s="569"/>
      <c r="BO231" s="569"/>
      <c r="BP231" s="569"/>
      <c r="BQ231" s="569"/>
      <c r="BR231" s="569"/>
      <c r="BS231" s="569"/>
      <c r="BT231" s="569"/>
      <c r="BU231" s="569"/>
      <c r="BV231" s="569"/>
      <c r="BW231" s="569"/>
      <c r="BX231" s="569"/>
      <c r="BY231" s="569"/>
      <c r="BZ231" s="569"/>
      <c r="CA231" s="569"/>
      <c r="CB231" s="569"/>
      <c r="CC231" s="569"/>
      <c r="CD231" s="569"/>
      <c r="CE231" s="569"/>
      <c r="CF231" s="569"/>
      <c r="CG231" s="569"/>
      <c r="CH231" s="569"/>
      <c r="CI231" s="569"/>
      <c r="CJ231" s="569"/>
      <c r="CK231" s="569"/>
      <c r="CL231" s="569"/>
      <c r="CM231" s="569"/>
      <c r="CN231" s="569"/>
      <c r="CO231" s="569"/>
      <c r="CP231" s="569"/>
      <c r="CQ231" s="569"/>
      <c r="CR231" s="569"/>
      <c r="CS231" s="569"/>
      <c r="CT231" s="569"/>
      <c r="CU231" s="569"/>
      <c r="CV231" s="569"/>
      <c r="CW231" s="569"/>
      <c r="CX231" s="569"/>
      <c r="CY231" s="569"/>
      <c r="CZ231" s="569"/>
      <c r="DA231" s="569"/>
      <c r="DB231" s="569"/>
      <c r="DC231" s="569"/>
      <c r="DD231" s="569"/>
      <c r="DE231" s="569"/>
      <c r="DF231" s="569"/>
      <c r="DG231" s="569"/>
      <c r="DH231" s="569"/>
      <c r="DI231" s="569"/>
      <c r="DJ231" s="569"/>
      <c r="DK231" s="569"/>
      <c r="DL231" s="569"/>
      <c r="DM231" s="569"/>
      <c r="DN231" s="569"/>
      <c r="DO231" s="569"/>
      <c r="DP231" s="569"/>
      <c r="DQ231" s="569"/>
      <c r="DR231" s="569"/>
      <c r="DS231" s="569"/>
      <c r="DT231" s="569"/>
      <c r="DU231" s="569"/>
      <c r="DV231" s="569"/>
      <c r="DW231" s="569"/>
      <c r="DX231" s="569"/>
      <c r="DY231" s="569"/>
      <c r="DZ231" s="569"/>
      <c r="EA231" s="569"/>
      <c r="EB231" s="569"/>
      <c r="EC231" s="569"/>
      <c r="ED231" s="569"/>
      <c r="EE231" s="569"/>
      <c r="EF231" s="569"/>
      <c r="EG231" s="569"/>
      <c r="EH231" s="569"/>
      <c r="EI231" s="569"/>
      <c r="EJ231" s="569"/>
      <c r="EK231" s="569"/>
      <c r="EL231" s="569"/>
      <c r="EM231" s="569"/>
      <c r="EN231" s="569"/>
      <c r="EO231" s="569"/>
      <c r="EP231" s="569"/>
      <c r="EQ231" s="569"/>
      <c r="ER231" s="569"/>
      <c r="ES231" s="569"/>
      <c r="ET231" s="569"/>
      <c r="EU231" s="569"/>
      <c r="EV231" s="569"/>
      <c r="EW231" s="569"/>
      <c r="EX231" s="569"/>
      <c r="EY231" s="569"/>
      <c r="EZ231" s="569"/>
      <c r="FA231" s="569"/>
      <c r="FB231" s="569"/>
      <c r="FC231" s="569"/>
      <c r="FD231" s="569"/>
      <c r="FE231" s="569"/>
      <c r="FF231" s="569"/>
      <c r="FG231" s="569"/>
      <c r="FH231" s="569"/>
      <c r="FI231" s="569"/>
      <c r="FJ231" s="569"/>
      <c r="FK231" s="569"/>
      <c r="FL231" s="569"/>
      <c r="FM231" s="569"/>
      <c r="FN231" s="569"/>
      <c r="FO231" s="569"/>
      <c r="FP231" s="569"/>
      <c r="FQ231" s="569"/>
      <c r="FR231" s="569"/>
      <c r="FS231" s="569"/>
      <c r="FT231" s="569"/>
      <c r="FU231" s="569"/>
      <c r="FV231" s="569"/>
      <c r="FW231" s="569"/>
      <c r="FX231" s="569"/>
      <c r="FY231" s="569"/>
      <c r="FZ231" s="569"/>
      <c r="GA231" s="569"/>
      <c r="GB231" s="569"/>
      <c r="GC231" s="569"/>
      <c r="GD231" s="569"/>
      <c r="GE231" s="569"/>
      <c r="GF231" s="569"/>
      <c r="GG231" s="569"/>
      <c r="GH231" s="569"/>
      <c r="GI231" s="569"/>
      <c r="GJ231" s="569"/>
      <c r="GK231" s="569"/>
      <c r="GL231" s="569"/>
      <c r="GM231" s="569"/>
      <c r="GN231" s="569"/>
      <c r="GO231" s="569"/>
      <c r="GP231" s="569"/>
      <c r="GQ231" s="569"/>
      <c r="GR231" s="569"/>
      <c r="GS231" s="569"/>
      <c r="GT231" s="569"/>
    </row>
    <row r="232" spans="1:202" s="554" customFormat="1">
      <c r="A232" s="591"/>
      <c r="B232" s="569"/>
      <c r="C232" s="569"/>
      <c r="D232" s="569"/>
      <c r="E232" s="569"/>
      <c r="F232" s="569"/>
      <c r="G232" s="569"/>
      <c r="H232" s="569"/>
      <c r="I232" s="569"/>
      <c r="J232" s="569"/>
      <c r="K232" s="569"/>
      <c r="L232" s="569"/>
      <c r="M232" s="569"/>
      <c r="N232" s="569"/>
      <c r="O232" s="569"/>
      <c r="P232" s="569"/>
      <c r="Q232" s="569"/>
      <c r="R232" s="569"/>
      <c r="S232" s="569"/>
      <c r="T232" s="569"/>
      <c r="U232" s="569"/>
      <c r="V232" s="569"/>
      <c r="W232" s="569"/>
      <c r="X232" s="569"/>
      <c r="Y232" s="569"/>
      <c r="Z232" s="569"/>
      <c r="AA232" s="569"/>
      <c r="AB232" s="569"/>
      <c r="AC232" s="569"/>
      <c r="AD232" s="569"/>
      <c r="AE232" s="569"/>
      <c r="AF232" s="569"/>
      <c r="AG232" s="569"/>
      <c r="AH232" s="569"/>
      <c r="AI232" s="569"/>
      <c r="AJ232" s="569"/>
      <c r="AK232" s="569"/>
      <c r="AL232" s="569"/>
      <c r="AM232" s="569"/>
      <c r="AN232" s="569"/>
      <c r="AO232" s="569"/>
      <c r="AP232" s="569"/>
      <c r="AQ232" s="569"/>
      <c r="AR232" s="569"/>
      <c r="AS232" s="569"/>
      <c r="AT232" s="569"/>
      <c r="AU232" s="569"/>
      <c r="AV232" s="569"/>
      <c r="AW232" s="569"/>
      <c r="AX232" s="569"/>
      <c r="AY232" s="569"/>
      <c r="AZ232" s="569"/>
      <c r="BA232" s="569"/>
      <c r="BB232" s="569"/>
      <c r="BC232" s="569"/>
      <c r="BD232" s="569"/>
      <c r="BE232" s="569"/>
      <c r="BF232" s="569"/>
      <c r="BG232" s="569"/>
      <c r="BH232" s="569"/>
      <c r="BI232" s="569"/>
      <c r="BJ232" s="569"/>
      <c r="BK232" s="569"/>
      <c r="BL232" s="569"/>
      <c r="BM232" s="569"/>
      <c r="BN232" s="569"/>
      <c r="BO232" s="569"/>
      <c r="BP232" s="569"/>
      <c r="BQ232" s="569"/>
      <c r="BR232" s="569"/>
      <c r="BS232" s="569"/>
      <c r="BT232" s="569"/>
      <c r="BU232" s="569"/>
      <c r="BV232" s="569"/>
      <c r="BW232" s="569"/>
      <c r="BX232" s="569"/>
      <c r="BY232" s="569"/>
      <c r="BZ232" s="569"/>
      <c r="CA232" s="569"/>
      <c r="CB232" s="569"/>
      <c r="CC232" s="569"/>
      <c r="CD232" s="569"/>
      <c r="CE232" s="569"/>
      <c r="CF232" s="569"/>
      <c r="CG232" s="569"/>
      <c r="CH232" s="569"/>
      <c r="CI232" s="569"/>
      <c r="CJ232" s="569"/>
      <c r="CK232" s="569"/>
      <c r="CL232" s="569"/>
      <c r="CM232" s="569"/>
      <c r="CN232" s="569"/>
      <c r="CO232" s="569"/>
      <c r="CP232" s="569"/>
      <c r="CQ232" s="569"/>
      <c r="CR232" s="569"/>
      <c r="CS232" s="569"/>
      <c r="CT232" s="569"/>
      <c r="CU232" s="569"/>
      <c r="CV232" s="569"/>
      <c r="CW232" s="569"/>
      <c r="CX232" s="569"/>
      <c r="CY232" s="569"/>
      <c r="CZ232" s="569"/>
      <c r="DA232" s="569"/>
      <c r="DB232" s="569"/>
      <c r="DC232" s="569"/>
      <c r="DD232" s="569"/>
      <c r="DE232" s="569"/>
      <c r="DF232" s="569"/>
      <c r="DG232" s="569"/>
      <c r="DH232" s="569"/>
      <c r="DI232" s="569"/>
      <c r="DJ232" s="569"/>
      <c r="DK232" s="569"/>
      <c r="DL232" s="569"/>
      <c r="DM232" s="569"/>
      <c r="DN232" s="569"/>
      <c r="DO232" s="569"/>
      <c r="DP232" s="569"/>
      <c r="DQ232" s="569"/>
      <c r="DR232" s="569"/>
      <c r="DS232" s="569"/>
      <c r="DT232" s="569"/>
      <c r="DU232" s="569"/>
      <c r="DV232" s="569"/>
      <c r="DW232" s="569"/>
      <c r="DX232" s="569"/>
      <c r="DY232" s="569"/>
      <c r="DZ232" s="569"/>
      <c r="EA232" s="569"/>
      <c r="EB232" s="569"/>
      <c r="EC232" s="569"/>
      <c r="ED232" s="569"/>
      <c r="EE232" s="569"/>
      <c r="EF232" s="569"/>
      <c r="EG232" s="569"/>
      <c r="EH232" s="569"/>
      <c r="EI232" s="569"/>
      <c r="EJ232" s="569"/>
      <c r="EK232" s="569"/>
      <c r="EL232" s="569"/>
      <c r="EM232" s="569"/>
      <c r="EN232" s="569"/>
      <c r="EO232" s="569"/>
      <c r="EP232" s="569"/>
      <c r="EQ232" s="569"/>
      <c r="ER232" s="569"/>
      <c r="ES232" s="569"/>
      <c r="ET232" s="569"/>
      <c r="EU232" s="569"/>
      <c r="EV232" s="569"/>
      <c r="EW232" s="569"/>
      <c r="EX232" s="569"/>
      <c r="EY232" s="569"/>
      <c r="EZ232" s="569"/>
      <c r="FA232" s="569"/>
      <c r="FB232" s="569"/>
      <c r="FC232" s="569"/>
      <c r="FD232" s="569"/>
      <c r="FE232" s="569"/>
      <c r="FF232" s="569"/>
      <c r="FG232" s="569"/>
      <c r="FH232" s="569"/>
      <c r="FI232" s="569"/>
      <c r="FJ232" s="569"/>
      <c r="FK232" s="569"/>
      <c r="FL232" s="569"/>
      <c r="FM232" s="569"/>
      <c r="FN232" s="569"/>
      <c r="FO232" s="569"/>
      <c r="FP232" s="569"/>
      <c r="FQ232" s="569"/>
      <c r="FR232" s="569"/>
      <c r="FS232" s="569"/>
      <c r="FT232" s="569"/>
      <c r="FU232" s="569"/>
      <c r="FV232" s="569"/>
      <c r="FW232" s="569"/>
      <c r="FX232" s="569"/>
      <c r="FY232" s="569"/>
      <c r="FZ232" s="569"/>
      <c r="GA232" s="569"/>
      <c r="GB232" s="569"/>
      <c r="GC232" s="569"/>
      <c r="GD232" s="569"/>
      <c r="GE232" s="569"/>
      <c r="GF232" s="569"/>
      <c r="GG232" s="569"/>
      <c r="GH232" s="569"/>
      <c r="GI232" s="569"/>
      <c r="GJ232" s="569"/>
      <c r="GK232" s="569"/>
      <c r="GL232" s="569"/>
      <c r="GM232" s="569"/>
      <c r="GN232" s="569"/>
      <c r="GO232" s="569"/>
      <c r="GP232" s="569"/>
      <c r="GQ232" s="569"/>
      <c r="GR232" s="569"/>
      <c r="GS232" s="569"/>
      <c r="GT232" s="569"/>
    </row>
    <row r="233" spans="1:202" s="554" customFormat="1">
      <c r="A233" s="591"/>
      <c r="B233" s="569"/>
      <c r="C233" s="569"/>
      <c r="D233" s="569"/>
      <c r="E233" s="569"/>
      <c r="F233" s="569"/>
      <c r="G233" s="569"/>
      <c r="H233" s="569"/>
      <c r="I233" s="569"/>
      <c r="J233" s="569"/>
      <c r="K233" s="569"/>
      <c r="L233" s="569"/>
      <c r="M233" s="569"/>
      <c r="N233" s="569"/>
      <c r="O233" s="569"/>
      <c r="P233" s="569"/>
      <c r="Q233" s="569"/>
      <c r="R233" s="569"/>
      <c r="S233" s="569"/>
      <c r="T233" s="569"/>
      <c r="U233" s="569"/>
      <c r="V233" s="569"/>
      <c r="W233" s="569"/>
      <c r="X233" s="569"/>
      <c r="Y233" s="569"/>
      <c r="Z233" s="569"/>
      <c r="AA233" s="569"/>
      <c r="AB233" s="569"/>
      <c r="AC233" s="569"/>
      <c r="AD233" s="569"/>
      <c r="AE233" s="569"/>
      <c r="AF233" s="569"/>
      <c r="AG233" s="569"/>
      <c r="AH233" s="569"/>
      <c r="AI233" s="569"/>
      <c r="AJ233" s="569"/>
      <c r="AK233" s="569"/>
      <c r="AL233" s="569"/>
      <c r="AM233" s="569"/>
      <c r="AN233" s="569"/>
      <c r="AO233" s="569"/>
      <c r="AP233" s="569"/>
      <c r="AQ233" s="569"/>
      <c r="AR233" s="569"/>
      <c r="AS233" s="569"/>
      <c r="AT233" s="569"/>
      <c r="AU233" s="569"/>
      <c r="AV233" s="569"/>
      <c r="AW233" s="569"/>
      <c r="AX233" s="569"/>
      <c r="AY233" s="569"/>
      <c r="AZ233" s="569"/>
      <c r="BA233" s="569"/>
      <c r="BB233" s="569"/>
      <c r="BC233" s="569"/>
      <c r="BD233" s="569"/>
      <c r="BE233" s="569"/>
      <c r="BF233" s="569"/>
      <c r="BG233" s="569"/>
      <c r="BH233" s="569"/>
      <c r="BI233" s="569"/>
      <c r="BJ233" s="569"/>
      <c r="BK233" s="569"/>
      <c r="BL233" s="569"/>
      <c r="BM233" s="569"/>
      <c r="BN233" s="569"/>
      <c r="BO233" s="569"/>
      <c r="BP233" s="569"/>
      <c r="BQ233" s="569"/>
      <c r="BR233" s="569"/>
      <c r="BS233" s="569"/>
      <c r="BT233" s="569"/>
      <c r="BU233" s="569"/>
      <c r="BV233" s="569"/>
      <c r="BW233" s="569"/>
      <c r="BX233" s="569"/>
      <c r="BY233" s="569"/>
      <c r="BZ233" s="569"/>
      <c r="CA233" s="569"/>
      <c r="CB233" s="569"/>
      <c r="CC233" s="569"/>
      <c r="CD233" s="569"/>
      <c r="CE233" s="569"/>
      <c r="CF233" s="569"/>
      <c r="CG233" s="569"/>
      <c r="CH233" s="569"/>
      <c r="CI233" s="569"/>
      <c r="CJ233" s="569"/>
      <c r="CK233" s="569"/>
      <c r="CL233" s="569"/>
      <c r="CM233" s="569"/>
      <c r="CN233" s="569"/>
      <c r="CO233" s="569"/>
      <c r="CP233" s="569"/>
      <c r="CQ233" s="569"/>
      <c r="CR233" s="569"/>
      <c r="CS233" s="569"/>
      <c r="CT233" s="569"/>
      <c r="CU233" s="569"/>
      <c r="CV233" s="569"/>
      <c r="CW233" s="569"/>
      <c r="CX233" s="569"/>
      <c r="CY233" s="569"/>
      <c r="CZ233" s="569"/>
      <c r="DA233" s="569"/>
      <c r="DB233" s="569"/>
      <c r="DC233" s="569"/>
      <c r="DD233" s="569"/>
      <c r="DE233" s="569"/>
      <c r="DF233" s="569"/>
      <c r="DG233" s="569"/>
      <c r="DH233" s="569"/>
      <c r="DI233" s="569"/>
      <c r="DJ233" s="569"/>
      <c r="DK233" s="569"/>
      <c r="DL233" s="569"/>
      <c r="DM233" s="569"/>
      <c r="DN233" s="569"/>
      <c r="DO233" s="569"/>
      <c r="DP233" s="569"/>
      <c r="DQ233" s="569"/>
      <c r="DR233" s="569"/>
      <c r="DS233" s="569"/>
      <c r="DT233" s="569"/>
      <c r="DU233" s="569"/>
      <c r="DV233" s="569"/>
      <c r="DW233" s="569"/>
      <c r="DX233" s="569"/>
      <c r="DY233" s="569"/>
      <c r="DZ233" s="569"/>
      <c r="EA233" s="569"/>
      <c r="EB233" s="569"/>
      <c r="EC233" s="569"/>
      <c r="ED233" s="569"/>
      <c r="EE233" s="569"/>
      <c r="EF233" s="569"/>
      <c r="EG233" s="569"/>
      <c r="EH233" s="569"/>
      <c r="EI233" s="569"/>
      <c r="EJ233" s="569"/>
      <c r="EK233" s="569"/>
      <c r="EL233" s="569"/>
      <c r="EM233" s="569"/>
      <c r="EN233" s="569"/>
      <c r="EO233" s="569"/>
      <c r="EP233" s="569"/>
      <c r="EQ233" s="569"/>
      <c r="ER233" s="569"/>
      <c r="ES233" s="569"/>
      <c r="ET233" s="569"/>
      <c r="EU233" s="569"/>
      <c r="EV233" s="569"/>
      <c r="EW233" s="569"/>
      <c r="EX233" s="569"/>
      <c r="EY233" s="569"/>
      <c r="EZ233" s="569"/>
      <c r="FA233" s="569"/>
      <c r="FB233" s="569"/>
      <c r="FC233" s="569"/>
      <c r="FD233" s="569"/>
      <c r="FE233" s="569"/>
      <c r="FF233" s="569"/>
      <c r="FG233" s="569"/>
      <c r="FH233" s="569"/>
      <c r="FI233" s="569"/>
      <c r="FJ233" s="569"/>
      <c r="FK233" s="569"/>
      <c r="FL233" s="569"/>
      <c r="FM233" s="569"/>
      <c r="FN233" s="569"/>
      <c r="FO233" s="569"/>
      <c r="FP233" s="569"/>
      <c r="FQ233" s="569"/>
      <c r="FR233" s="569"/>
      <c r="FS233" s="569"/>
      <c r="FT233" s="569"/>
      <c r="FU233" s="569"/>
      <c r="FV233" s="569"/>
      <c r="FW233" s="569"/>
      <c r="FX233" s="569"/>
      <c r="FY233" s="569"/>
      <c r="FZ233" s="569"/>
      <c r="GA233" s="569"/>
      <c r="GB233" s="569"/>
      <c r="GC233" s="569"/>
      <c r="GD233" s="569"/>
      <c r="GE233" s="569"/>
      <c r="GF233" s="569"/>
      <c r="GG233" s="569"/>
      <c r="GH233" s="569"/>
      <c r="GI233" s="569"/>
      <c r="GJ233" s="569"/>
      <c r="GK233" s="569"/>
      <c r="GL233" s="569"/>
      <c r="GM233" s="569"/>
      <c r="GN233" s="569"/>
      <c r="GO233" s="569"/>
      <c r="GP233" s="569"/>
      <c r="GQ233" s="569"/>
      <c r="GR233" s="569"/>
      <c r="GS233" s="569"/>
      <c r="GT233" s="569"/>
    </row>
    <row r="234" spans="1:202" s="554" customFormat="1">
      <c r="A234" s="591"/>
      <c r="B234" s="569"/>
      <c r="C234" s="569"/>
      <c r="D234" s="569"/>
      <c r="E234" s="569"/>
      <c r="F234" s="569"/>
      <c r="G234" s="569"/>
      <c r="H234" s="569"/>
      <c r="I234" s="569"/>
      <c r="J234" s="569"/>
      <c r="K234" s="569"/>
      <c r="L234" s="569"/>
      <c r="M234" s="569"/>
      <c r="N234" s="569"/>
      <c r="O234" s="569"/>
      <c r="P234" s="569"/>
      <c r="Q234" s="569"/>
      <c r="R234" s="569"/>
      <c r="S234" s="569"/>
      <c r="T234" s="569"/>
      <c r="U234" s="569"/>
      <c r="V234" s="569"/>
      <c r="W234" s="569"/>
      <c r="X234" s="569"/>
      <c r="Y234" s="569"/>
      <c r="Z234" s="569"/>
      <c r="AA234" s="569"/>
      <c r="AB234" s="569"/>
      <c r="AC234" s="569"/>
      <c r="AD234" s="569"/>
      <c r="AE234" s="569"/>
      <c r="AF234" s="569"/>
      <c r="AG234" s="569"/>
      <c r="AH234" s="569"/>
      <c r="AI234" s="569"/>
      <c r="AJ234" s="569"/>
      <c r="AK234" s="569"/>
      <c r="AL234" s="569"/>
      <c r="AM234" s="569"/>
      <c r="AN234" s="569"/>
      <c r="AO234" s="569"/>
      <c r="AP234" s="569"/>
      <c r="AQ234" s="569"/>
      <c r="AR234" s="569"/>
      <c r="AS234" s="569"/>
      <c r="AT234" s="569"/>
      <c r="AU234" s="569"/>
      <c r="AV234" s="569"/>
      <c r="AW234" s="569"/>
      <c r="AX234" s="569"/>
      <c r="AY234" s="569"/>
      <c r="AZ234" s="569"/>
      <c r="BA234" s="569"/>
      <c r="BB234" s="569"/>
      <c r="BC234" s="569"/>
      <c r="BD234" s="569"/>
      <c r="BE234" s="569"/>
      <c r="BF234" s="569"/>
      <c r="BG234" s="569"/>
      <c r="BH234" s="569"/>
      <c r="BI234" s="569"/>
      <c r="BJ234" s="569"/>
      <c r="BK234" s="569"/>
      <c r="BL234" s="569"/>
      <c r="BM234" s="569"/>
      <c r="BN234" s="569"/>
      <c r="BO234" s="569"/>
      <c r="BP234" s="569"/>
      <c r="BQ234" s="569"/>
      <c r="BR234" s="569"/>
      <c r="BS234" s="569"/>
      <c r="BT234" s="569"/>
      <c r="BU234" s="569"/>
      <c r="BV234" s="569"/>
      <c r="BW234" s="569"/>
      <c r="BX234" s="569"/>
      <c r="BY234" s="569"/>
      <c r="BZ234" s="569"/>
      <c r="CA234" s="569"/>
      <c r="CB234" s="569"/>
      <c r="CC234" s="569"/>
      <c r="CD234" s="569"/>
      <c r="CE234" s="569"/>
      <c r="CF234" s="569"/>
      <c r="CG234" s="569"/>
      <c r="CH234" s="569"/>
      <c r="CI234" s="569"/>
      <c r="CJ234" s="569"/>
      <c r="CK234" s="569"/>
      <c r="CL234" s="569"/>
      <c r="CM234" s="569"/>
      <c r="CN234" s="569"/>
      <c r="CO234" s="569"/>
      <c r="CP234" s="569"/>
      <c r="CQ234" s="569"/>
      <c r="CR234" s="569"/>
      <c r="CS234" s="569"/>
      <c r="CT234" s="569"/>
      <c r="CU234" s="569"/>
      <c r="CV234" s="569"/>
      <c r="CW234" s="569"/>
      <c r="CX234" s="569"/>
      <c r="CY234" s="569"/>
      <c r="CZ234" s="569"/>
      <c r="DA234" s="569"/>
      <c r="DB234" s="569"/>
      <c r="DC234" s="569"/>
      <c r="DD234" s="569"/>
      <c r="DE234" s="569"/>
      <c r="DF234" s="569"/>
      <c r="DG234" s="569"/>
      <c r="DH234" s="569"/>
      <c r="DI234" s="569"/>
      <c r="DJ234" s="569"/>
      <c r="DK234" s="569"/>
      <c r="DL234" s="569"/>
      <c r="DM234" s="569"/>
      <c r="DN234" s="569"/>
      <c r="DO234" s="569"/>
      <c r="DP234" s="569"/>
      <c r="DQ234" s="569"/>
      <c r="DR234" s="569"/>
      <c r="DS234" s="569"/>
      <c r="DT234" s="569"/>
      <c r="DU234" s="569"/>
      <c r="DV234" s="569"/>
      <c r="DW234" s="569"/>
      <c r="DX234" s="569"/>
      <c r="DY234" s="569"/>
      <c r="DZ234" s="569"/>
      <c r="EA234" s="569"/>
      <c r="EB234" s="569"/>
      <c r="EC234" s="569"/>
      <c r="ED234" s="569"/>
      <c r="EE234" s="569"/>
      <c r="EF234" s="569"/>
      <c r="EG234" s="569"/>
      <c r="EH234" s="569"/>
      <c r="EI234" s="569"/>
      <c r="EJ234" s="569"/>
      <c r="EK234" s="569"/>
      <c r="EL234" s="569"/>
      <c r="EM234" s="569"/>
      <c r="EN234" s="569"/>
      <c r="EO234" s="569"/>
      <c r="EP234" s="569"/>
      <c r="EQ234" s="569"/>
      <c r="ER234" s="569"/>
      <c r="ES234" s="569"/>
      <c r="ET234" s="569"/>
      <c r="EU234" s="569"/>
      <c r="EV234" s="569"/>
      <c r="EW234" s="569"/>
      <c r="EX234" s="569"/>
      <c r="EY234" s="569"/>
      <c r="EZ234" s="569"/>
      <c r="FA234" s="569"/>
      <c r="FB234" s="569"/>
      <c r="FC234" s="569"/>
      <c r="FD234" s="569"/>
      <c r="FE234" s="569"/>
      <c r="FF234" s="569"/>
      <c r="FG234" s="569"/>
      <c r="FH234" s="569"/>
      <c r="FI234" s="569"/>
      <c r="FJ234" s="569"/>
      <c r="FK234" s="569"/>
      <c r="FL234" s="569"/>
      <c r="FM234" s="569"/>
      <c r="FN234" s="569"/>
      <c r="FO234" s="569"/>
      <c r="FP234" s="569"/>
      <c r="FQ234" s="569"/>
      <c r="FR234" s="569"/>
      <c r="FS234" s="569"/>
      <c r="FT234" s="569"/>
      <c r="FU234" s="569"/>
      <c r="FV234" s="569"/>
      <c r="FW234" s="569"/>
      <c r="FX234" s="569"/>
      <c r="FY234" s="569"/>
      <c r="FZ234" s="569"/>
      <c r="GA234" s="569"/>
      <c r="GB234" s="569"/>
      <c r="GC234" s="569"/>
      <c r="GD234" s="569"/>
      <c r="GE234" s="569"/>
      <c r="GF234" s="569"/>
      <c r="GG234" s="569"/>
      <c r="GH234" s="569"/>
      <c r="GI234" s="569"/>
      <c r="GJ234" s="569"/>
      <c r="GK234" s="569"/>
      <c r="GL234" s="569"/>
      <c r="GM234" s="569"/>
      <c r="GN234" s="569"/>
      <c r="GO234" s="569"/>
      <c r="GP234" s="569"/>
      <c r="GQ234" s="569"/>
      <c r="GR234" s="569"/>
      <c r="GS234" s="569"/>
      <c r="GT234" s="569"/>
    </row>
    <row r="235" spans="1:202" s="554" customFormat="1">
      <c r="A235" s="591"/>
      <c r="B235" s="569"/>
      <c r="C235" s="569"/>
      <c r="D235" s="569"/>
      <c r="E235" s="569"/>
      <c r="F235" s="569"/>
      <c r="G235" s="569"/>
      <c r="H235" s="569"/>
      <c r="I235" s="569"/>
      <c r="J235" s="569"/>
      <c r="K235" s="569"/>
      <c r="L235" s="569"/>
      <c r="M235" s="569"/>
      <c r="N235" s="569"/>
      <c r="O235" s="569"/>
      <c r="P235" s="569"/>
      <c r="Q235" s="569"/>
      <c r="R235" s="569"/>
      <c r="S235" s="569"/>
      <c r="T235" s="569"/>
      <c r="U235" s="569"/>
      <c r="V235" s="569"/>
      <c r="W235" s="569"/>
      <c r="X235" s="569"/>
      <c r="Y235" s="569"/>
      <c r="Z235" s="569"/>
      <c r="AA235" s="569"/>
      <c r="AB235" s="569"/>
      <c r="AC235" s="569"/>
      <c r="AD235" s="569"/>
      <c r="AE235" s="569"/>
      <c r="AF235" s="569"/>
      <c r="AG235" s="569"/>
      <c r="AH235" s="569"/>
      <c r="AI235" s="569"/>
      <c r="AJ235" s="569"/>
      <c r="AK235" s="569"/>
      <c r="AL235" s="569"/>
      <c r="AM235" s="569"/>
      <c r="AN235" s="569"/>
      <c r="AO235" s="569"/>
      <c r="AP235" s="569"/>
      <c r="AQ235" s="569"/>
      <c r="AR235" s="569"/>
      <c r="AS235" s="569"/>
      <c r="AT235" s="569"/>
      <c r="AU235" s="569"/>
      <c r="AV235" s="569"/>
      <c r="AW235" s="569"/>
      <c r="AX235" s="569"/>
      <c r="AY235" s="569"/>
      <c r="AZ235" s="569"/>
      <c r="BA235" s="569"/>
      <c r="BB235" s="569"/>
      <c r="BC235" s="569"/>
      <c r="BD235" s="569"/>
      <c r="BE235" s="569"/>
      <c r="BF235" s="569"/>
      <c r="BG235" s="569"/>
      <c r="BH235" s="569"/>
      <c r="BI235" s="569"/>
      <c r="BJ235" s="569"/>
      <c r="BK235" s="569"/>
      <c r="BL235" s="569"/>
      <c r="BM235" s="569"/>
      <c r="BN235" s="569"/>
      <c r="BO235" s="569"/>
      <c r="BP235" s="569"/>
      <c r="BQ235" s="569"/>
      <c r="BR235" s="569"/>
      <c r="BS235" s="569"/>
      <c r="BT235" s="569"/>
      <c r="BU235" s="569"/>
      <c r="BV235" s="569"/>
      <c r="BW235" s="569"/>
      <c r="BX235" s="569"/>
      <c r="BY235" s="569"/>
      <c r="BZ235" s="569"/>
      <c r="CA235" s="569"/>
      <c r="CB235" s="569"/>
      <c r="CC235" s="569"/>
      <c r="CD235" s="569"/>
      <c r="CE235" s="569"/>
      <c r="CF235" s="569"/>
      <c r="CG235" s="569"/>
      <c r="CH235" s="569"/>
      <c r="CI235" s="569"/>
      <c r="CJ235" s="569"/>
      <c r="CK235" s="569"/>
      <c r="CL235" s="569"/>
      <c r="CM235" s="569"/>
      <c r="CN235" s="569"/>
      <c r="CO235" s="569"/>
      <c r="CP235" s="569"/>
      <c r="CQ235" s="569"/>
      <c r="CR235" s="569"/>
      <c r="CS235" s="569"/>
      <c r="CT235" s="569"/>
      <c r="CU235" s="569"/>
      <c r="CV235" s="569"/>
      <c r="CW235" s="569"/>
      <c r="CX235" s="569"/>
      <c r="CY235" s="569"/>
      <c r="CZ235" s="569"/>
      <c r="DA235" s="569"/>
      <c r="DB235" s="569"/>
      <c r="DC235" s="569"/>
      <c r="DD235" s="569"/>
      <c r="DE235" s="569"/>
      <c r="DF235" s="569"/>
      <c r="DG235" s="569"/>
      <c r="DH235" s="569"/>
      <c r="DI235" s="569"/>
      <c r="DJ235" s="569"/>
      <c r="DK235" s="569"/>
      <c r="DL235" s="569"/>
      <c r="DM235" s="569"/>
      <c r="DN235" s="569"/>
      <c r="DO235" s="569"/>
      <c r="DP235" s="569"/>
      <c r="DQ235" s="569"/>
      <c r="DR235" s="569"/>
      <c r="DS235" s="569"/>
      <c r="DT235" s="569"/>
      <c r="DU235" s="569"/>
      <c r="DV235" s="569"/>
      <c r="DW235" s="569"/>
      <c r="DX235" s="569"/>
      <c r="DY235" s="569"/>
      <c r="DZ235" s="569"/>
      <c r="EA235" s="569"/>
      <c r="EB235" s="569"/>
      <c r="EC235" s="569"/>
      <c r="ED235" s="569"/>
      <c r="EE235" s="569"/>
      <c r="EF235" s="569"/>
      <c r="EG235" s="569"/>
      <c r="EH235" s="569"/>
      <c r="EI235" s="569"/>
      <c r="EJ235" s="569"/>
      <c r="EK235" s="569"/>
      <c r="EL235" s="569"/>
      <c r="EM235" s="569"/>
      <c r="EN235" s="569"/>
      <c r="EO235" s="569"/>
      <c r="EP235" s="569"/>
      <c r="EQ235" s="569"/>
      <c r="ER235" s="569"/>
      <c r="ES235" s="569"/>
      <c r="ET235" s="569"/>
      <c r="EU235" s="569"/>
      <c r="EV235" s="569"/>
      <c r="EW235" s="569"/>
      <c r="EX235" s="569"/>
      <c r="EY235" s="569"/>
      <c r="EZ235" s="569"/>
      <c r="FA235" s="569"/>
      <c r="FB235" s="569"/>
      <c r="FC235" s="569"/>
      <c r="FD235" s="569"/>
      <c r="FE235" s="569"/>
      <c r="FF235" s="569"/>
      <c r="FG235" s="569"/>
      <c r="FH235" s="569"/>
      <c r="FI235" s="569"/>
      <c r="FJ235" s="569"/>
      <c r="FK235" s="569"/>
      <c r="FL235" s="569"/>
      <c r="FM235" s="569"/>
      <c r="FN235" s="569"/>
      <c r="FO235" s="569"/>
      <c r="FP235" s="569"/>
      <c r="FQ235" s="569"/>
      <c r="FR235" s="569"/>
      <c r="FS235" s="569"/>
      <c r="FT235" s="569"/>
      <c r="FU235" s="569"/>
      <c r="FV235" s="569"/>
      <c r="FW235" s="569"/>
      <c r="FX235" s="569"/>
      <c r="FY235" s="569"/>
      <c r="FZ235" s="569"/>
      <c r="GA235" s="569"/>
      <c r="GB235" s="569"/>
      <c r="GC235" s="569"/>
      <c r="GD235" s="569"/>
      <c r="GE235" s="569"/>
      <c r="GF235" s="569"/>
      <c r="GG235" s="569"/>
      <c r="GH235" s="569"/>
      <c r="GI235" s="569"/>
      <c r="GJ235" s="569"/>
      <c r="GK235" s="569"/>
      <c r="GL235" s="569"/>
      <c r="GM235" s="569"/>
      <c r="GN235" s="569"/>
      <c r="GO235" s="569"/>
      <c r="GP235" s="569"/>
      <c r="GQ235" s="569"/>
      <c r="GR235" s="569"/>
      <c r="GS235" s="569"/>
      <c r="GT235" s="569"/>
    </row>
    <row r="236" spans="1:202" s="554" customFormat="1">
      <c r="A236" s="591"/>
      <c r="B236" s="569"/>
      <c r="C236" s="569"/>
      <c r="D236" s="569"/>
      <c r="E236" s="569"/>
      <c r="F236" s="569"/>
      <c r="G236" s="569"/>
      <c r="H236" s="569"/>
      <c r="I236" s="569"/>
      <c r="J236" s="569"/>
      <c r="K236" s="569"/>
      <c r="L236" s="569"/>
      <c r="M236" s="569"/>
      <c r="N236" s="569"/>
      <c r="O236" s="569"/>
      <c r="P236" s="569"/>
      <c r="Q236" s="569"/>
      <c r="R236" s="569"/>
      <c r="S236" s="569"/>
      <c r="T236" s="569"/>
      <c r="U236" s="569"/>
      <c r="V236" s="569"/>
      <c r="W236" s="569"/>
      <c r="X236" s="569"/>
      <c r="Y236" s="569"/>
      <c r="Z236" s="569"/>
      <c r="AA236" s="569"/>
      <c r="AB236" s="569"/>
      <c r="AC236" s="569"/>
      <c r="AD236" s="569"/>
      <c r="AE236" s="569"/>
      <c r="AF236" s="569"/>
      <c r="AG236" s="569"/>
      <c r="AH236" s="569"/>
      <c r="AI236" s="569"/>
      <c r="AJ236" s="569"/>
      <c r="AK236" s="569"/>
      <c r="AL236" s="569"/>
      <c r="AM236" s="569"/>
      <c r="AN236" s="569"/>
      <c r="AO236" s="569"/>
      <c r="AP236" s="569"/>
      <c r="AQ236" s="569"/>
      <c r="AR236" s="569"/>
      <c r="AS236" s="569"/>
      <c r="AT236" s="569"/>
      <c r="AU236" s="569"/>
      <c r="AV236" s="569"/>
      <c r="AW236" s="569"/>
      <c r="AX236" s="569"/>
      <c r="AY236" s="569"/>
      <c r="AZ236" s="569"/>
      <c r="BA236" s="569"/>
      <c r="BB236" s="569"/>
      <c r="BC236" s="569"/>
      <c r="BD236" s="569"/>
      <c r="BE236" s="569"/>
      <c r="BF236" s="569"/>
      <c r="BG236" s="569"/>
      <c r="BH236" s="569"/>
      <c r="BI236" s="569"/>
      <c r="BJ236" s="569"/>
      <c r="BK236" s="569"/>
      <c r="BL236" s="569"/>
      <c r="BM236" s="569"/>
      <c r="BN236" s="569"/>
      <c r="BO236" s="569"/>
      <c r="BP236" s="569"/>
      <c r="BQ236" s="569"/>
      <c r="BR236" s="569"/>
      <c r="BS236" s="569"/>
      <c r="BT236" s="569"/>
      <c r="BU236" s="569"/>
      <c r="BV236" s="569"/>
      <c r="BW236" s="569"/>
      <c r="BX236" s="569"/>
      <c r="BY236" s="569"/>
      <c r="BZ236" s="569"/>
      <c r="CA236" s="569"/>
      <c r="CB236" s="569"/>
      <c r="CC236" s="569"/>
      <c r="CD236" s="569"/>
      <c r="CE236" s="569"/>
      <c r="CF236" s="569"/>
      <c r="CG236" s="569"/>
      <c r="CH236" s="569"/>
      <c r="CI236" s="569"/>
      <c r="CJ236" s="569"/>
      <c r="CK236" s="569"/>
      <c r="CL236" s="569"/>
      <c r="CM236" s="569"/>
      <c r="CN236" s="569"/>
      <c r="CO236" s="569"/>
      <c r="CP236" s="569"/>
      <c r="CQ236" s="569"/>
      <c r="CR236" s="569"/>
      <c r="CS236" s="569"/>
      <c r="CT236" s="569"/>
      <c r="CU236" s="569"/>
      <c r="CV236" s="569"/>
      <c r="CW236" s="569"/>
      <c r="CX236" s="569"/>
      <c r="CY236" s="569"/>
      <c r="CZ236" s="569"/>
      <c r="DA236" s="569"/>
      <c r="DB236" s="569"/>
      <c r="DC236" s="569"/>
      <c r="DD236" s="569"/>
      <c r="DE236" s="569"/>
      <c r="DF236" s="569"/>
      <c r="DG236" s="569"/>
      <c r="DH236" s="569"/>
      <c r="DI236" s="569"/>
      <c r="DJ236" s="569"/>
      <c r="DK236" s="569"/>
      <c r="DL236" s="569"/>
      <c r="DM236" s="569"/>
      <c r="DN236" s="569"/>
      <c r="DO236" s="569"/>
      <c r="DP236" s="569"/>
      <c r="DQ236" s="569"/>
      <c r="DR236" s="569"/>
      <c r="DS236" s="569"/>
      <c r="DT236" s="569"/>
      <c r="DU236" s="569"/>
      <c r="DV236" s="569"/>
      <c r="DW236" s="569"/>
      <c r="DX236" s="569"/>
      <c r="DY236" s="569"/>
      <c r="DZ236" s="569"/>
      <c r="EA236" s="569"/>
      <c r="EB236" s="569"/>
      <c r="EC236" s="569"/>
      <c r="ED236" s="569"/>
      <c r="EE236" s="569"/>
      <c r="EF236" s="569"/>
      <c r="EG236" s="569"/>
      <c r="EH236" s="569"/>
      <c r="EI236" s="569"/>
      <c r="EJ236" s="569"/>
      <c r="EK236" s="569"/>
      <c r="EL236" s="569"/>
      <c r="EM236" s="569"/>
      <c r="EN236" s="569"/>
      <c r="EO236" s="569"/>
      <c r="EP236" s="569"/>
      <c r="EQ236" s="569"/>
      <c r="ER236" s="569"/>
      <c r="ES236" s="569"/>
      <c r="ET236" s="569"/>
      <c r="EU236" s="569"/>
      <c r="EV236" s="569"/>
      <c r="EW236" s="569"/>
      <c r="EX236" s="569"/>
      <c r="EY236" s="569"/>
      <c r="EZ236" s="569"/>
      <c r="FA236" s="569"/>
      <c r="FB236" s="569"/>
      <c r="FC236" s="569"/>
      <c r="FD236" s="569"/>
      <c r="FE236" s="569"/>
      <c r="FF236" s="569"/>
      <c r="FG236" s="569"/>
      <c r="FH236" s="569"/>
      <c r="FI236" s="569"/>
      <c r="FJ236" s="569"/>
      <c r="FK236" s="569"/>
      <c r="FL236" s="569"/>
      <c r="FM236" s="569"/>
      <c r="FN236" s="569"/>
      <c r="FO236" s="569"/>
      <c r="FP236" s="569"/>
      <c r="FQ236" s="569"/>
      <c r="FR236" s="569"/>
      <c r="FS236" s="569"/>
      <c r="FT236" s="569"/>
      <c r="FU236" s="569"/>
      <c r="FV236" s="569"/>
      <c r="FW236" s="569"/>
      <c r="FX236" s="569"/>
      <c r="FY236" s="569"/>
      <c r="FZ236" s="569"/>
      <c r="GA236" s="569"/>
      <c r="GB236" s="569"/>
      <c r="GC236" s="569"/>
      <c r="GD236" s="569"/>
      <c r="GE236" s="569"/>
      <c r="GF236" s="569"/>
      <c r="GG236" s="569"/>
      <c r="GH236" s="569"/>
      <c r="GI236" s="569"/>
      <c r="GJ236" s="569"/>
      <c r="GK236" s="569"/>
      <c r="GL236" s="569"/>
      <c r="GM236" s="569"/>
      <c r="GN236" s="569"/>
      <c r="GO236" s="569"/>
      <c r="GP236" s="569"/>
      <c r="GQ236" s="569"/>
      <c r="GR236" s="569"/>
      <c r="GS236" s="569"/>
      <c r="GT236" s="569"/>
    </row>
    <row r="237" spans="1:202" s="554" customFormat="1">
      <c r="A237" s="591"/>
      <c r="B237" s="569"/>
      <c r="C237" s="569"/>
      <c r="D237" s="569"/>
      <c r="E237" s="569"/>
      <c r="F237" s="569"/>
      <c r="G237" s="569"/>
      <c r="H237" s="569"/>
      <c r="I237" s="569"/>
      <c r="J237" s="569"/>
      <c r="K237" s="569"/>
      <c r="L237" s="569"/>
      <c r="M237" s="569"/>
      <c r="N237" s="569"/>
      <c r="O237" s="569"/>
      <c r="P237" s="569"/>
      <c r="Q237" s="569"/>
      <c r="R237" s="569"/>
      <c r="S237" s="569"/>
      <c r="T237" s="569"/>
      <c r="U237" s="569"/>
      <c r="V237" s="569"/>
      <c r="W237" s="569"/>
      <c r="X237" s="569"/>
      <c r="Y237" s="569"/>
      <c r="Z237" s="569"/>
      <c r="AA237" s="569"/>
      <c r="AB237" s="569"/>
      <c r="AC237" s="569"/>
      <c r="AD237" s="569"/>
      <c r="AE237" s="569"/>
      <c r="AF237" s="569"/>
      <c r="AG237" s="569"/>
      <c r="AH237" s="569"/>
      <c r="AI237" s="569"/>
      <c r="AJ237" s="569"/>
      <c r="AK237" s="569"/>
      <c r="AL237" s="569"/>
      <c r="AM237" s="569"/>
      <c r="AN237" s="569"/>
      <c r="AO237" s="569"/>
      <c r="AP237" s="569"/>
      <c r="AQ237" s="569"/>
      <c r="AR237" s="569"/>
      <c r="AS237" s="569"/>
      <c r="AT237" s="569"/>
      <c r="AU237" s="569"/>
      <c r="AV237" s="569"/>
      <c r="AW237" s="569"/>
      <c r="AX237" s="569"/>
      <c r="AY237" s="569"/>
      <c r="AZ237" s="569"/>
      <c r="BA237" s="569"/>
      <c r="BB237" s="569"/>
      <c r="BC237" s="569"/>
      <c r="BD237" s="569"/>
      <c r="BE237" s="569"/>
      <c r="BF237" s="569"/>
      <c r="BG237" s="569"/>
      <c r="BH237" s="569"/>
      <c r="BI237" s="569"/>
      <c r="BJ237" s="569"/>
      <c r="BK237" s="569"/>
      <c r="BL237" s="569"/>
      <c r="BM237" s="569"/>
      <c r="BN237" s="569"/>
      <c r="BO237" s="569"/>
      <c r="BP237" s="569"/>
      <c r="BQ237" s="569"/>
      <c r="BR237" s="569"/>
      <c r="BS237" s="569"/>
      <c r="BT237" s="569"/>
      <c r="BU237" s="569"/>
      <c r="BV237" s="569"/>
      <c r="BW237" s="569"/>
      <c r="BX237" s="569"/>
      <c r="BY237" s="569"/>
      <c r="BZ237" s="569"/>
      <c r="CA237" s="569"/>
      <c r="CB237" s="569"/>
      <c r="CC237" s="569"/>
      <c r="CD237" s="569"/>
      <c r="CE237" s="569"/>
      <c r="CF237" s="569"/>
      <c r="CG237" s="569"/>
      <c r="CH237" s="569"/>
      <c r="CI237" s="569"/>
      <c r="CJ237" s="569"/>
      <c r="CK237" s="569"/>
      <c r="CL237" s="569"/>
      <c r="CM237" s="569"/>
      <c r="CN237" s="569"/>
      <c r="CO237" s="569"/>
      <c r="CP237" s="569"/>
      <c r="CQ237" s="569"/>
      <c r="CR237" s="569"/>
      <c r="CS237" s="569"/>
      <c r="CT237" s="569"/>
      <c r="CU237" s="569"/>
      <c r="CV237" s="569"/>
      <c r="CW237" s="569"/>
      <c r="CX237" s="569"/>
      <c r="CY237" s="569"/>
      <c r="CZ237" s="569"/>
      <c r="DA237" s="569"/>
      <c r="DB237" s="569"/>
      <c r="DC237" s="569"/>
      <c r="DD237" s="569"/>
      <c r="DE237" s="569"/>
      <c r="DF237" s="569"/>
      <c r="DG237" s="569"/>
      <c r="DH237" s="569"/>
      <c r="DI237" s="569"/>
      <c r="DJ237" s="569"/>
      <c r="DK237" s="569"/>
      <c r="DL237" s="569"/>
      <c r="DM237" s="569"/>
      <c r="DN237" s="569"/>
      <c r="DO237" s="569"/>
      <c r="DP237" s="569"/>
      <c r="DQ237" s="569"/>
      <c r="DR237" s="569"/>
      <c r="DS237" s="569"/>
      <c r="DT237" s="569"/>
      <c r="DU237" s="569"/>
      <c r="DV237" s="569"/>
      <c r="DW237" s="569"/>
      <c r="DX237" s="569"/>
      <c r="DY237" s="569"/>
      <c r="DZ237" s="569"/>
      <c r="EA237" s="569"/>
      <c r="EB237" s="569"/>
      <c r="EC237" s="569"/>
      <c r="ED237" s="569"/>
      <c r="EE237" s="569"/>
      <c r="EF237" s="569"/>
      <c r="EG237" s="569"/>
      <c r="EH237" s="569"/>
      <c r="EI237" s="569"/>
      <c r="EJ237" s="569"/>
      <c r="EK237" s="569"/>
      <c r="EL237" s="569"/>
      <c r="EM237" s="569"/>
      <c r="EN237" s="569"/>
      <c r="EO237" s="569"/>
      <c r="EP237" s="569"/>
      <c r="EQ237" s="569"/>
      <c r="ER237" s="569"/>
      <c r="ES237" s="569"/>
      <c r="ET237" s="569"/>
      <c r="EU237" s="569"/>
      <c r="EV237" s="569"/>
      <c r="EW237" s="569"/>
      <c r="EX237" s="569"/>
      <c r="EY237" s="569"/>
      <c r="EZ237" s="569"/>
      <c r="FA237" s="569"/>
      <c r="FB237" s="569"/>
      <c r="FC237" s="569"/>
      <c r="FD237" s="569"/>
      <c r="FE237" s="569"/>
      <c r="FF237" s="569"/>
      <c r="FG237" s="569"/>
      <c r="FH237" s="569"/>
      <c r="FI237" s="569"/>
      <c r="FJ237" s="569"/>
      <c r="FK237" s="569"/>
      <c r="FL237" s="569"/>
      <c r="FM237" s="569"/>
      <c r="FN237" s="569"/>
      <c r="FO237" s="569"/>
      <c r="FP237" s="569"/>
      <c r="FQ237" s="569"/>
      <c r="FR237" s="569"/>
      <c r="FS237" s="569"/>
      <c r="FT237" s="569"/>
      <c r="FU237" s="569"/>
      <c r="FV237" s="569"/>
      <c r="FW237" s="569"/>
      <c r="FX237" s="569"/>
      <c r="FY237" s="569"/>
      <c r="FZ237" s="569"/>
      <c r="GA237" s="569"/>
      <c r="GB237" s="569"/>
      <c r="GC237" s="569"/>
      <c r="GD237" s="569"/>
      <c r="GE237" s="569"/>
      <c r="GF237" s="569"/>
      <c r="GG237" s="569"/>
      <c r="GH237" s="569"/>
      <c r="GI237" s="569"/>
      <c r="GJ237" s="569"/>
      <c r="GK237" s="569"/>
      <c r="GL237" s="569"/>
      <c r="GM237" s="569"/>
      <c r="GN237" s="569"/>
      <c r="GO237" s="569"/>
      <c r="GP237" s="569"/>
      <c r="GQ237" s="569"/>
      <c r="GR237" s="569"/>
      <c r="GS237" s="569"/>
      <c r="GT237" s="569"/>
    </row>
    <row r="238" spans="1:202" s="554" customFormat="1">
      <c r="A238" s="591"/>
      <c r="B238" s="569"/>
      <c r="C238" s="569"/>
      <c r="D238" s="569"/>
      <c r="E238" s="569"/>
      <c r="F238" s="569"/>
      <c r="G238" s="569"/>
      <c r="H238" s="569"/>
      <c r="I238" s="569"/>
      <c r="J238" s="569"/>
      <c r="K238" s="569"/>
      <c r="L238" s="569"/>
      <c r="M238" s="569"/>
      <c r="N238" s="569"/>
      <c r="O238" s="569"/>
      <c r="P238" s="569"/>
      <c r="Q238" s="569"/>
      <c r="R238" s="569"/>
      <c r="S238" s="569"/>
      <c r="T238" s="569"/>
      <c r="U238" s="569"/>
      <c r="V238" s="569"/>
      <c r="W238" s="569"/>
      <c r="X238" s="569"/>
      <c r="Y238" s="569"/>
      <c r="Z238" s="569"/>
      <c r="AA238" s="569"/>
      <c r="AB238" s="569"/>
      <c r="AC238" s="569"/>
      <c r="AD238" s="569"/>
      <c r="AE238" s="569"/>
      <c r="AF238" s="569"/>
      <c r="AG238" s="569"/>
      <c r="AH238" s="569"/>
      <c r="AI238" s="569"/>
      <c r="AJ238" s="569"/>
      <c r="AK238" s="569"/>
      <c r="AL238" s="569"/>
      <c r="AM238" s="569"/>
      <c r="AN238" s="569"/>
      <c r="AO238" s="569"/>
      <c r="AP238" s="569"/>
      <c r="AQ238" s="569"/>
      <c r="AR238" s="569"/>
      <c r="AS238" s="569"/>
      <c r="AT238" s="569"/>
      <c r="AU238" s="569"/>
      <c r="AV238" s="569"/>
      <c r="AW238" s="569"/>
      <c r="AX238" s="569"/>
      <c r="AY238" s="569"/>
      <c r="AZ238" s="569"/>
      <c r="BA238" s="569"/>
      <c r="BB238" s="569"/>
      <c r="BC238" s="569"/>
      <c r="BD238" s="569"/>
      <c r="BE238" s="569"/>
      <c r="BF238" s="569"/>
      <c r="BG238" s="569"/>
      <c r="BH238" s="569"/>
      <c r="BI238" s="569"/>
      <c r="BJ238" s="569"/>
      <c r="BK238" s="569"/>
      <c r="BL238" s="569"/>
      <c r="BM238" s="569"/>
      <c r="BN238" s="569"/>
      <c r="BO238" s="569"/>
      <c r="BP238" s="569"/>
      <c r="BQ238" s="569"/>
      <c r="BR238" s="569"/>
      <c r="BS238" s="569"/>
      <c r="BT238" s="569"/>
      <c r="BU238" s="569"/>
      <c r="BV238" s="569"/>
      <c r="BW238" s="569"/>
      <c r="BX238" s="569"/>
      <c r="BY238" s="569"/>
      <c r="BZ238" s="569"/>
      <c r="CA238" s="569"/>
      <c r="CB238" s="569"/>
      <c r="CC238" s="569"/>
      <c r="CD238" s="569"/>
      <c r="CE238" s="569"/>
      <c r="CF238" s="569"/>
      <c r="CG238" s="569"/>
      <c r="CH238" s="569"/>
      <c r="CI238" s="569"/>
      <c r="CJ238" s="569"/>
      <c r="CK238" s="569"/>
      <c r="CL238" s="569"/>
      <c r="CM238" s="569"/>
      <c r="CN238" s="569"/>
      <c r="CO238" s="569"/>
      <c r="CP238" s="569"/>
      <c r="CQ238" s="569"/>
      <c r="CR238" s="569"/>
      <c r="CS238" s="569"/>
      <c r="CT238" s="569"/>
      <c r="CU238" s="569"/>
      <c r="CV238" s="569"/>
      <c r="CW238" s="569"/>
      <c r="CX238" s="569"/>
      <c r="CY238" s="569"/>
      <c r="CZ238" s="569"/>
      <c r="DA238" s="569"/>
      <c r="DB238" s="569"/>
      <c r="DC238" s="569"/>
      <c r="DD238" s="569"/>
      <c r="DE238" s="569"/>
      <c r="DF238" s="569"/>
      <c r="DG238" s="569"/>
      <c r="DH238" s="569"/>
      <c r="DI238" s="569"/>
      <c r="DJ238" s="569"/>
      <c r="DK238" s="569"/>
      <c r="DL238" s="569"/>
      <c r="DM238" s="569"/>
      <c r="DN238" s="569"/>
      <c r="DO238" s="569"/>
      <c r="DP238" s="569"/>
      <c r="DQ238" s="569"/>
      <c r="DR238" s="569"/>
      <c r="DS238" s="569"/>
      <c r="DT238" s="569"/>
      <c r="DU238" s="569"/>
      <c r="DV238" s="569"/>
      <c r="DW238" s="569"/>
      <c r="DX238" s="569"/>
      <c r="DY238" s="569"/>
      <c r="DZ238" s="569"/>
      <c r="EA238" s="569"/>
      <c r="EB238" s="569"/>
      <c r="EC238" s="569"/>
      <c r="ED238" s="569"/>
      <c r="EE238" s="569"/>
      <c r="EF238" s="569"/>
      <c r="EG238" s="569"/>
      <c r="EH238" s="569"/>
      <c r="EI238" s="569"/>
      <c r="EJ238" s="569"/>
      <c r="EK238" s="569"/>
      <c r="EL238" s="569"/>
      <c r="EM238" s="569"/>
      <c r="EN238" s="569"/>
      <c r="EO238" s="569"/>
      <c r="EP238" s="569"/>
      <c r="EQ238" s="569"/>
      <c r="ER238" s="569"/>
      <c r="ES238" s="569"/>
      <c r="ET238" s="569"/>
      <c r="EU238" s="569"/>
      <c r="EV238" s="569"/>
      <c r="EW238" s="569"/>
      <c r="EX238" s="569"/>
      <c r="EY238" s="569"/>
      <c r="EZ238" s="569"/>
      <c r="FA238" s="569"/>
      <c r="FB238" s="569"/>
      <c r="FC238" s="569"/>
      <c r="FD238" s="569"/>
      <c r="FE238" s="569"/>
      <c r="FF238" s="569"/>
      <c r="FG238" s="569"/>
      <c r="FH238" s="569"/>
      <c r="FI238" s="569"/>
      <c r="FJ238" s="569"/>
      <c r="FK238" s="569"/>
      <c r="FL238" s="569"/>
      <c r="FM238" s="569"/>
      <c r="FN238" s="569"/>
      <c r="FO238" s="569"/>
      <c r="FP238" s="569"/>
      <c r="FQ238" s="569"/>
      <c r="FR238" s="569"/>
      <c r="FS238" s="569"/>
      <c r="FT238" s="569"/>
      <c r="FU238" s="569"/>
      <c r="FV238" s="569"/>
      <c r="FW238" s="569"/>
      <c r="FX238" s="569"/>
      <c r="FY238" s="569"/>
      <c r="FZ238" s="569"/>
      <c r="GA238" s="569"/>
      <c r="GB238" s="569"/>
      <c r="GC238" s="569"/>
      <c r="GD238" s="569"/>
      <c r="GE238" s="569"/>
      <c r="GF238" s="569"/>
      <c r="GG238" s="569"/>
      <c r="GH238" s="569"/>
      <c r="GI238" s="569"/>
      <c r="GJ238" s="569"/>
      <c r="GK238" s="569"/>
      <c r="GL238" s="569"/>
      <c r="GM238" s="569"/>
      <c r="GN238" s="569"/>
      <c r="GO238" s="569"/>
      <c r="GP238" s="569"/>
      <c r="GQ238" s="569"/>
      <c r="GR238" s="569"/>
      <c r="GS238" s="569"/>
      <c r="GT238" s="569"/>
    </row>
    <row r="239" spans="1:202" s="554" customFormat="1">
      <c r="A239" s="591"/>
      <c r="B239" s="569"/>
      <c r="C239" s="569"/>
      <c r="D239" s="569"/>
      <c r="E239" s="569"/>
      <c r="F239" s="569"/>
      <c r="G239" s="569"/>
      <c r="H239" s="569"/>
      <c r="I239" s="569"/>
      <c r="J239" s="569"/>
      <c r="K239" s="569"/>
      <c r="L239" s="569"/>
      <c r="M239" s="569"/>
      <c r="N239" s="569"/>
      <c r="O239" s="569"/>
      <c r="P239" s="569"/>
      <c r="Q239" s="569"/>
      <c r="R239" s="569"/>
      <c r="S239" s="569"/>
      <c r="T239" s="569"/>
      <c r="U239" s="569"/>
      <c r="V239" s="569"/>
      <c r="W239" s="569"/>
      <c r="X239" s="569"/>
      <c r="Y239" s="569"/>
      <c r="Z239" s="569"/>
      <c r="AA239" s="569"/>
      <c r="AB239" s="569"/>
      <c r="AC239" s="569"/>
      <c r="AD239" s="569"/>
      <c r="AE239" s="569"/>
      <c r="AF239" s="569"/>
      <c r="AG239" s="569"/>
      <c r="AH239" s="569"/>
      <c r="AI239" s="569"/>
      <c r="AJ239" s="569"/>
      <c r="AK239" s="569"/>
      <c r="AL239" s="569"/>
      <c r="AM239" s="569"/>
      <c r="AN239" s="569"/>
      <c r="AO239" s="569"/>
      <c r="AP239" s="569"/>
      <c r="AQ239" s="569"/>
      <c r="AR239" s="569"/>
      <c r="AS239" s="569"/>
      <c r="AT239" s="569"/>
      <c r="AU239" s="569"/>
      <c r="AV239" s="569"/>
      <c r="AW239" s="569"/>
      <c r="AX239" s="569"/>
      <c r="AY239" s="569"/>
      <c r="AZ239" s="569"/>
      <c r="BA239" s="569"/>
      <c r="BB239" s="569"/>
      <c r="BC239" s="569"/>
      <c r="BD239" s="569"/>
      <c r="BE239" s="569"/>
      <c r="BF239" s="569"/>
      <c r="BG239" s="569"/>
      <c r="BH239" s="569"/>
      <c r="BI239" s="569"/>
      <c r="BJ239" s="569"/>
      <c r="BK239" s="569"/>
      <c r="BL239" s="569"/>
      <c r="BM239" s="569"/>
      <c r="BN239" s="569"/>
      <c r="BO239" s="569"/>
      <c r="BP239" s="569"/>
      <c r="BQ239" s="569"/>
      <c r="BR239" s="569"/>
      <c r="BS239" s="569"/>
      <c r="BT239" s="569"/>
      <c r="BU239" s="569"/>
      <c r="BV239" s="569"/>
      <c r="BW239" s="569"/>
      <c r="BX239" s="569"/>
      <c r="BY239" s="569"/>
      <c r="BZ239" s="569"/>
      <c r="CA239" s="569"/>
      <c r="CB239" s="569"/>
      <c r="CC239" s="569"/>
      <c r="CD239" s="569"/>
      <c r="CE239" s="569"/>
      <c r="CF239" s="569"/>
      <c r="CG239" s="569"/>
      <c r="CH239" s="569"/>
      <c r="CI239" s="569"/>
      <c r="CJ239" s="569"/>
      <c r="CK239" s="569"/>
      <c r="CL239" s="569"/>
      <c r="CM239" s="569"/>
      <c r="CN239" s="569"/>
      <c r="CO239" s="569"/>
      <c r="CP239" s="569"/>
      <c r="CQ239" s="569"/>
      <c r="CR239" s="569"/>
      <c r="CS239" s="569"/>
      <c r="CT239" s="569"/>
      <c r="CU239" s="569"/>
      <c r="CV239" s="569"/>
      <c r="CW239" s="569"/>
      <c r="CX239" s="569"/>
      <c r="CY239" s="569"/>
      <c r="CZ239" s="569"/>
      <c r="DA239" s="569"/>
      <c r="DB239" s="569"/>
      <c r="DC239" s="569"/>
      <c r="DD239" s="569"/>
      <c r="DE239" s="569"/>
      <c r="DF239" s="569"/>
      <c r="DG239" s="569"/>
      <c r="DH239" s="569"/>
      <c r="DI239" s="569"/>
      <c r="DJ239" s="569"/>
      <c r="DK239" s="569"/>
      <c r="DL239" s="569"/>
      <c r="DM239" s="569"/>
      <c r="DN239" s="569"/>
      <c r="DO239" s="569"/>
      <c r="DP239" s="569"/>
      <c r="DQ239" s="569"/>
      <c r="DR239" s="569"/>
      <c r="DS239" s="569"/>
      <c r="DT239" s="569"/>
      <c r="DU239" s="569"/>
      <c r="DV239" s="569"/>
      <c r="DW239" s="569"/>
      <c r="DX239" s="569"/>
      <c r="DY239" s="569"/>
      <c r="DZ239" s="569"/>
      <c r="EA239" s="569"/>
      <c r="EB239" s="569"/>
      <c r="EC239" s="569"/>
      <c r="ED239" s="569"/>
      <c r="EE239" s="569"/>
      <c r="EF239" s="569"/>
      <c r="EG239" s="569"/>
      <c r="EH239" s="569"/>
      <c r="EI239" s="569"/>
      <c r="EJ239" s="569"/>
      <c r="EK239" s="569"/>
      <c r="EL239" s="569"/>
      <c r="EM239" s="569"/>
      <c r="EN239" s="569"/>
      <c r="EO239" s="569"/>
      <c r="EP239" s="569"/>
      <c r="EQ239" s="569"/>
      <c r="ER239" s="569"/>
      <c r="ES239" s="569"/>
      <c r="ET239" s="569"/>
      <c r="EU239" s="569"/>
      <c r="EV239" s="569"/>
      <c r="EW239" s="569"/>
      <c r="EX239" s="569"/>
      <c r="EY239" s="569"/>
      <c r="EZ239" s="569"/>
      <c r="FA239" s="569"/>
      <c r="FB239" s="569"/>
      <c r="FC239" s="569"/>
      <c r="FD239" s="569"/>
      <c r="FE239" s="569"/>
      <c r="FF239" s="569"/>
      <c r="FG239" s="569"/>
      <c r="FH239" s="569"/>
      <c r="FI239" s="569"/>
      <c r="FJ239" s="569"/>
      <c r="FK239" s="569"/>
      <c r="FL239" s="569"/>
      <c r="FM239" s="569"/>
      <c r="FN239" s="569"/>
      <c r="FO239" s="569"/>
      <c r="FP239" s="569"/>
      <c r="FQ239" s="569"/>
      <c r="FR239" s="569"/>
      <c r="FS239" s="569"/>
      <c r="FT239" s="569"/>
      <c r="FU239" s="569"/>
      <c r="FV239" s="569"/>
      <c r="FW239" s="569"/>
      <c r="FX239" s="569"/>
      <c r="FY239" s="569"/>
      <c r="FZ239" s="569"/>
      <c r="GA239" s="569"/>
      <c r="GB239" s="569"/>
      <c r="GC239" s="569"/>
      <c r="GD239" s="569"/>
      <c r="GE239" s="569"/>
      <c r="GF239" s="569"/>
      <c r="GG239" s="569"/>
      <c r="GH239" s="569"/>
      <c r="GI239" s="569"/>
      <c r="GJ239" s="569"/>
      <c r="GK239" s="569"/>
      <c r="GL239" s="569"/>
      <c r="GM239" s="569"/>
      <c r="GN239" s="569"/>
      <c r="GO239" s="569"/>
      <c r="GP239" s="569"/>
      <c r="GQ239" s="569"/>
      <c r="GR239" s="569"/>
      <c r="GS239" s="569"/>
      <c r="GT239" s="569"/>
    </row>
    <row r="240" spans="1:202" s="554" customFormat="1">
      <c r="A240" s="591"/>
      <c r="B240" s="569"/>
      <c r="C240" s="569"/>
      <c r="D240" s="569"/>
      <c r="E240" s="569"/>
      <c r="F240" s="569"/>
      <c r="G240" s="569"/>
      <c r="H240" s="569"/>
      <c r="I240" s="569"/>
      <c r="J240" s="569"/>
      <c r="K240" s="569"/>
      <c r="L240" s="569"/>
      <c r="M240" s="569"/>
      <c r="N240" s="569"/>
      <c r="O240" s="569"/>
      <c r="P240" s="569"/>
      <c r="Q240" s="569"/>
      <c r="R240" s="569"/>
      <c r="S240" s="569"/>
      <c r="T240" s="569"/>
      <c r="U240" s="569"/>
      <c r="V240" s="569"/>
      <c r="W240" s="569"/>
      <c r="X240" s="569"/>
      <c r="Y240" s="569"/>
      <c r="Z240" s="569"/>
      <c r="AA240" s="569"/>
      <c r="AB240" s="569"/>
      <c r="AC240" s="569"/>
      <c r="AD240" s="569"/>
      <c r="AE240" s="569"/>
      <c r="AF240" s="569"/>
      <c r="AG240" s="569"/>
      <c r="AH240" s="569"/>
      <c r="AI240" s="569"/>
      <c r="AJ240" s="569"/>
      <c r="AK240" s="569"/>
      <c r="AL240" s="569"/>
      <c r="AM240" s="569"/>
      <c r="AN240" s="569"/>
      <c r="AO240" s="569"/>
      <c r="AP240" s="569"/>
      <c r="AQ240" s="569"/>
      <c r="AR240" s="569"/>
      <c r="AS240" s="569"/>
      <c r="AT240" s="569"/>
      <c r="AU240" s="569"/>
      <c r="AV240" s="569"/>
      <c r="AW240" s="569"/>
      <c r="AX240" s="569"/>
      <c r="AY240" s="569"/>
      <c r="AZ240" s="569"/>
      <c r="BA240" s="569"/>
      <c r="BB240" s="569"/>
      <c r="BC240" s="569"/>
      <c r="BD240" s="569"/>
      <c r="BE240" s="569"/>
      <c r="BF240" s="569"/>
      <c r="BG240" s="569"/>
      <c r="BH240" s="569"/>
      <c r="BI240" s="569"/>
      <c r="BJ240" s="569"/>
      <c r="BK240" s="569"/>
      <c r="BL240" s="569"/>
      <c r="BM240" s="569"/>
      <c r="BN240" s="569"/>
      <c r="BO240" s="569"/>
      <c r="BP240" s="569"/>
      <c r="BQ240" s="569"/>
      <c r="BR240" s="569"/>
      <c r="BS240" s="569"/>
      <c r="BT240" s="569"/>
      <c r="BU240" s="569"/>
      <c r="BV240" s="569"/>
      <c r="BW240" s="569"/>
      <c r="BX240" s="569"/>
      <c r="BY240" s="569"/>
      <c r="BZ240" s="569"/>
      <c r="CA240" s="569"/>
      <c r="CB240" s="569"/>
      <c r="CC240" s="569"/>
      <c r="CD240" s="569"/>
      <c r="CE240" s="569"/>
      <c r="CF240" s="569"/>
      <c r="CG240" s="569"/>
      <c r="CH240" s="569"/>
      <c r="CI240" s="569"/>
      <c r="CJ240" s="569"/>
      <c r="CK240" s="569"/>
      <c r="CL240" s="569"/>
      <c r="CM240" s="569"/>
      <c r="CN240" s="569"/>
      <c r="CO240" s="569"/>
      <c r="CP240" s="569"/>
      <c r="CQ240" s="569"/>
      <c r="CR240" s="569"/>
      <c r="CS240" s="569"/>
      <c r="CT240" s="569"/>
      <c r="CU240" s="569"/>
      <c r="CV240" s="569"/>
      <c r="CW240" s="569"/>
      <c r="CX240" s="569"/>
      <c r="CY240" s="569"/>
      <c r="CZ240" s="569"/>
      <c r="DA240" s="569"/>
      <c r="DB240" s="569"/>
      <c r="DC240" s="569"/>
      <c r="DD240" s="569"/>
      <c r="DE240" s="569"/>
      <c r="DF240" s="569"/>
      <c r="DG240" s="569"/>
      <c r="DH240" s="569"/>
      <c r="DI240" s="569"/>
      <c r="DJ240" s="569"/>
      <c r="DK240" s="569"/>
      <c r="DL240" s="569"/>
      <c r="DM240" s="569"/>
      <c r="DN240" s="569"/>
      <c r="DO240" s="569"/>
      <c r="DP240" s="569"/>
      <c r="DQ240" s="569"/>
      <c r="DR240" s="569"/>
      <c r="DS240" s="569"/>
      <c r="DT240" s="569"/>
      <c r="DU240" s="569"/>
      <c r="DV240" s="569"/>
      <c r="DW240" s="569"/>
      <c r="DX240" s="569"/>
      <c r="DY240" s="569"/>
      <c r="DZ240" s="569"/>
      <c r="EA240" s="569"/>
      <c r="EB240" s="569"/>
      <c r="EC240" s="569"/>
      <c r="ED240" s="569"/>
      <c r="EE240" s="569"/>
      <c r="EF240" s="569"/>
      <c r="EG240" s="569"/>
      <c r="EH240" s="569"/>
      <c r="EI240" s="569"/>
      <c r="EJ240" s="569"/>
      <c r="EK240" s="569"/>
      <c r="EL240" s="569"/>
      <c r="EM240" s="569"/>
      <c r="EN240" s="569"/>
      <c r="EO240" s="569"/>
      <c r="EP240" s="569"/>
      <c r="EQ240" s="569"/>
      <c r="ER240" s="569"/>
      <c r="ES240" s="569"/>
      <c r="ET240" s="569"/>
      <c r="EU240" s="569"/>
      <c r="EV240" s="569"/>
      <c r="EW240" s="569"/>
      <c r="EX240" s="569"/>
      <c r="EY240" s="569"/>
      <c r="EZ240" s="569"/>
      <c r="FA240" s="569"/>
      <c r="FB240" s="569"/>
      <c r="FC240" s="569"/>
      <c r="FD240" s="569"/>
      <c r="FE240" s="569"/>
      <c r="FF240" s="569"/>
      <c r="FG240" s="569"/>
      <c r="FH240" s="569"/>
      <c r="FI240" s="569"/>
      <c r="FJ240" s="569"/>
      <c r="FK240" s="569"/>
      <c r="FL240" s="569"/>
      <c r="FM240" s="569"/>
      <c r="FN240" s="569"/>
      <c r="FO240" s="569"/>
      <c r="FP240" s="569"/>
      <c r="FQ240" s="569"/>
      <c r="FR240" s="569"/>
      <c r="FS240" s="569"/>
      <c r="FT240" s="569"/>
      <c r="FU240" s="569"/>
      <c r="FV240" s="569"/>
      <c r="FW240" s="569"/>
      <c r="FX240" s="569"/>
      <c r="FY240" s="569"/>
      <c r="FZ240" s="569"/>
      <c r="GA240" s="569"/>
      <c r="GB240" s="569"/>
      <c r="GC240" s="569"/>
      <c r="GD240" s="569"/>
      <c r="GE240" s="569"/>
      <c r="GF240" s="569"/>
      <c r="GG240" s="569"/>
      <c r="GH240" s="569"/>
      <c r="GI240" s="569"/>
      <c r="GJ240" s="569"/>
      <c r="GK240" s="569"/>
      <c r="GL240" s="569"/>
      <c r="GM240" s="569"/>
      <c r="GN240" s="569"/>
      <c r="GO240" s="569"/>
      <c r="GP240" s="569"/>
      <c r="GQ240" s="569"/>
      <c r="GR240" s="569"/>
      <c r="GS240" s="569"/>
      <c r="GT240" s="569"/>
    </row>
    <row r="241" spans="1:202" s="554" customFormat="1">
      <c r="A241" s="591"/>
      <c r="B241" s="569"/>
      <c r="C241" s="569"/>
      <c r="D241" s="569"/>
      <c r="E241" s="569"/>
      <c r="F241" s="569"/>
      <c r="G241" s="569"/>
      <c r="H241" s="569"/>
      <c r="I241" s="569"/>
      <c r="J241" s="569"/>
      <c r="K241" s="569"/>
      <c r="L241" s="569"/>
      <c r="M241" s="569"/>
      <c r="N241" s="569"/>
      <c r="O241" s="569"/>
      <c r="P241" s="569"/>
      <c r="Q241" s="569"/>
      <c r="R241" s="569"/>
      <c r="S241" s="569"/>
      <c r="T241" s="569"/>
      <c r="U241" s="569"/>
      <c r="V241" s="569"/>
      <c r="W241" s="569"/>
      <c r="X241" s="569"/>
      <c r="Y241" s="569"/>
      <c r="Z241" s="569"/>
      <c r="AA241" s="569"/>
      <c r="AB241" s="569"/>
      <c r="AC241" s="569"/>
      <c r="AD241" s="569"/>
      <c r="AE241" s="569"/>
      <c r="AF241" s="569"/>
      <c r="AG241" s="569"/>
      <c r="AH241" s="569"/>
      <c r="AI241" s="569"/>
      <c r="AJ241" s="569"/>
      <c r="AK241" s="569"/>
      <c r="AL241" s="569"/>
      <c r="AM241" s="569"/>
      <c r="AN241" s="569"/>
      <c r="AO241" s="569"/>
      <c r="AP241" s="569"/>
      <c r="AQ241" s="569"/>
      <c r="AR241" s="569"/>
      <c r="AS241" s="569"/>
      <c r="AT241" s="569"/>
      <c r="AU241" s="569"/>
      <c r="AV241" s="569"/>
      <c r="AW241" s="569"/>
      <c r="AX241" s="569"/>
      <c r="AY241" s="569"/>
      <c r="AZ241" s="569"/>
      <c r="BA241" s="569"/>
      <c r="BB241" s="569"/>
      <c r="BC241" s="569"/>
      <c r="BD241" s="569"/>
      <c r="BE241" s="569"/>
      <c r="BF241" s="569"/>
      <c r="BG241" s="569"/>
      <c r="BH241" s="569"/>
      <c r="BI241" s="569"/>
      <c r="BJ241" s="569"/>
      <c r="BK241" s="569"/>
      <c r="BL241" s="569"/>
      <c r="BM241" s="569"/>
      <c r="BN241" s="569"/>
      <c r="BO241" s="569"/>
      <c r="BP241" s="569"/>
      <c r="BQ241" s="569"/>
      <c r="BR241" s="569"/>
      <c r="BS241" s="569"/>
      <c r="BT241" s="569"/>
      <c r="BU241" s="569"/>
      <c r="BV241" s="569"/>
      <c r="BW241" s="569"/>
      <c r="BX241" s="569"/>
      <c r="BY241" s="569"/>
      <c r="BZ241" s="569"/>
      <c r="CA241" s="569"/>
      <c r="CB241" s="569"/>
      <c r="CC241" s="569"/>
      <c r="CD241" s="569"/>
      <c r="CE241" s="569"/>
      <c r="CF241" s="569"/>
      <c r="CG241" s="569"/>
      <c r="CH241" s="569"/>
      <c r="CI241" s="569"/>
      <c r="CJ241" s="569"/>
      <c r="CK241" s="569"/>
      <c r="CL241" s="569"/>
      <c r="CM241" s="569"/>
      <c r="CN241" s="569"/>
      <c r="CO241" s="569"/>
      <c r="CP241" s="569"/>
      <c r="CQ241" s="569"/>
      <c r="CR241" s="569"/>
      <c r="CS241" s="569"/>
      <c r="CT241" s="569"/>
      <c r="CU241" s="569"/>
      <c r="CV241" s="569"/>
      <c r="CW241" s="569"/>
      <c r="CX241" s="569"/>
      <c r="CY241" s="569"/>
      <c r="CZ241" s="569"/>
      <c r="DA241" s="569"/>
      <c r="DB241" s="569"/>
      <c r="DC241" s="569"/>
      <c r="DD241" s="569"/>
      <c r="DE241" s="569"/>
      <c r="DF241" s="569"/>
      <c r="DG241" s="569"/>
      <c r="DH241" s="569"/>
      <c r="DI241" s="569"/>
      <c r="DJ241" s="569"/>
      <c r="DK241" s="569"/>
      <c r="DL241" s="569"/>
      <c r="DM241" s="569"/>
      <c r="DN241" s="569"/>
      <c r="DO241" s="569"/>
      <c r="DP241" s="569"/>
      <c r="DQ241" s="569"/>
      <c r="DR241" s="569"/>
      <c r="DS241" s="569"/>
      <c r="DT241" s="569"/>
      <c r="DU241" s="569"/>
      <c r="DV241" s="569"/>
      <c r="DW241" s="569"/>
      <c r="DX241" s="569"/>
      <c r="DY241" s="569"/>
      <c r="DZ241" s="569"/>
      <c r="EA241" s="569"/>
      <c r="EB241" s="569"/>
      <c r="EC241" s="569"/>
      <c r="ED241" s="569"/>
      <c r="EE241" s="569"/>
      <c r="EF241" s="569"/>
      <c r="EG241" s="569"/>
      <c r="EH241" s="569"/>
      <c r="EI241" s="569"/>
      <c r="EJ241" s="569"/>
      <c r="EK241" s="569"/>
      <c r="EL241" s="569"/>
      <c r="EM241" s="569"/>
      <c r="EN241" s="569"/>
      <c r="EO241" s="569"/>
      <c r="EP241" s="569"/>
      <c r="EQ241" s="569"/>
      <c r="ER241" s="569"/>
      <c r="ES241" s="569"/>
      <c r="ET241" s="569"/>
      <c r="EU241" s="569"/>
      <c r="EV241" s="569"/>
      <c r="EW241" s="569"/>
      <c r="EX241" s="569"/>
      <c r="EY241" s="569"/>
      <c r="EZ241" s="569"/>
      <c r="FA241" s="569"/>
      <c r="FB241" s="569"/>
      <c r="FC241" s="569"/>
      <c r="FD241" s="569"/>
      <c r="FE241" s="569"/>
      <c r="FF241" s="569"/>
      <c r="FG241" s="569"/>
      <c r="FH241" s="569"/>
      <c r="FI241" s="569"/>
      <c r="FJ241" s="569"/>
      <c r="FK241" s="569"/>
      <c r="FL241" s="569"/>
      <c r="FM241" s="569"/>
      <c r="FN241" s="569"/>
      <c r="FO241" s="569"/>
      <c r="FP241" s="569"/>
      <c r="FQ241" s="569"/>
      <c r="FR241" s="569"/>
      <c r="FS241" s="569"/>
      <c r="FT241" s="569"/>
      <c r="FU241" s="569"/>
      <c r="FV241" s="569"/>
      <c r="FW241" s="569"/>
      <c r="FX241" s="569"/>
      <c r="FY241" s="569"/>
      <c r="FZ241" s="569"/>
      <c r="GA241" s="569"/>
      <c r="GB241" s="569"/>
      <c r="GC241" s="569"/>
      <c r="GD241" s="569"/>
      <c r="GE241" s="569"/>
      <c r="GF241" s="569"/>
      <c r="GG241" s="569"/>
      <c r="GH241" s="569"/>
      <c r="GI241" s="569"/>
      <c r="GJ241" s="569"/>
      <c r="GK241" s="569"/>
      <c r="GL241" s="569"/>
      <c r="GM241" s="569"/>
      <c r="GN241" s="569"/>
      <c r="GO241" s="569"/>
      <c r="GP241" s="569"/>
      <c r="GQ241" s="569"/>
      <c r="GR241" s="569"/>
      <c r="GS241" s="569"/>
      <c r="GT241" s="569"/>
    </row>
    <row r="242" spans="1:202" s="554" customFormat="1">
      <c r="A242" s="591"/>
      <c r="B242" s="569"/>
      <c r="C242" s="569"/>
      <c r="D242" s="569"/>
      <c r="E242" s="569"/>
      <c r="F242" s="569"/>
      <c r="G242" s="569"/>
      <c r="H242" s="569"/>
      <c r="I242" s="569"/>
      <c r="J242" s="569"/>
      <c r="K242" s="569"/>
      <c r="L242" s="569"/>
      <c r="M242" s="569"/>
      <c r="N242" s="569"/>
      <c r="O242" s="569"/>
      <c r="P242" s="569"/>
      <c r="Q242" s="569"/>
      <c r="R242" s="569"/>
      <c r="S242" s="569"/>
      <c r="T242" s="569"/>
      <c r="U242" s="569"/>
      <c r="V242" s="569"/>
      <c r="W242" s="569"/>
      <c r="X242" s="569"/>
      <c r="Y242" s="569"/>
      <c r="Z242" s="569"/>
      <c r="AA242" s="569"/>
      <c r="AB242" s="569"/>
      <c r="AC242" s="569"/>
      <c r="AD242" s="569"/>
      <c r="AE242" s="569"/>
      <c r="AF242" s="569"/>
      <c r="AG242" s="569"/>
      <c r="AH242" s="569"/>
      <c r="AI242" s="569"/>
      <c r="AJ242" s="569"/>
      <c r="AK242" s="569"/>
      <c r="AL242" s="569"/>
      <c r="AM242" s="569"/>
      <c r="AN242" s="569"/>
      <c r="AO242" s="569"/>
      <c r="AP242" s="569"/>
      <c r="AQ242" s="569"/>
      <c r="AR242" s="569"/>
      <c r="AS242" s="569"/>
      <c r="AT242" s="569"/>
      <c r="AU242" s="569"/>
      <c r="AV242" s="569"/>
      <c r="AW242" s="569"/>
      <c r="AX242" s="569"/>
      <c r="AY242" s="569"/>
      <c r="AZ242" s="569"/>
      <c r="BA242" s="569"/>
      <c r="BB242" s="569"/>
      <c r="BC242" s="569"/>
      <c r="BD242" s="569"/>
      <c r="BE242" s="569"/>
      <c r="BF242" s="569"/>
      <c r="BG242" s="569"/>
      <c r="BH242" s="569"/>
      <c r="BI242" s="569"/>
      <c r="BJ242" s="569"/>
      <c r="BK242" s="569"/>
      <c r="BL242" s="569"/>
      <c r="BM242" s="569"/>
      <c r="BN242" s="569"/>
      <c r="BO242" s="569"/>
      <c r="BP242" s="569"/>
      <c r="BQ242" s="569"/>
      <c r="BR242" s="569"/>
      <c r="BS242" s="569"/>
      <c r="BT242" s="569"/>
      <c r="BU242" s="569"/>
      <c r="BV242" s="569"/>
      <c r="BW242" s="569"/>
      <c r="BX242" s="569"/>
      <c r="BY242" s="569"/>
      <c r="BZ242" s="569"/>
      <c r="CA242" s="569"/>
      <c r="CB242" s="569"/>
      <c r="CC242" s="569"/>
      <c r="CD242" s="569"/>
      <c r="CE242" s="569"/>
      <c r="CF242" s="569"/>
      <c r="CG242" s="569"/>
      <c r="CH242" s="569"/>
      <c r="CI242" s="569"/>
      <c r="CJ242" s="569"/>
      <c r="CK242" s="569"/>
      <c r="CL242" s="569"/>
      <c r="CM242" s="569"/>
      <c r="CN242" s="569"/>
      <c r="CO242" s="569"/>
      <c r="CP242" s="569"/>
      <c r="CQ242" s="569"/>
      <c r="CR242" s="569"/>
      <c r="CS242" s="569"/>
      <c r="CT242" s="569"/>
      <c r="CU242" s="569"/>
      <c r="CV242" s="569"/>
      <c r="CW242" s="569"/>
      <c r="CX242" s="569"/>
      <c r="CY242" s="569"/>
      <c r="CZ242" s="569"/>
      <c r="DA242" s="569"/>
      <c r="DB242" s="569"/>
      <c r="DC242" s="569"/>
      <c r="DD242" s="569"/>
      <c r="DE242" s="569"/>
      <c r="DF242" s="569"/>
      <c r="DG242" s="569"/>
      <c r="DH242" s="569"/>
      <c r="DI242" s="569"/>
      <c r="DJ242" s="569"/>
      <c r="DK242" s="569"/>
      <c r="DL242" s="569"/>
      <c r="DM242" s="569"/>
      <c r="DN242" s="569"/>
      <c r="DO242" s="569"/>
      <c r="DP242" s="569"/>
      <c r="DQ242" s="569"/>
      <c r="DR242" s="569"/>
      <c r="DS242" s="569"/>
      <c r="DT242" s="569"/>
      <c r="DU242" s="569"/>
      <c r="DV242" s="569"/>
      <c r="DW242" s="569"/>
      <c r="DX242" s="569"/>
      <c r="DY242" s="569"/>
      <c r="DZ242" s="569"/>
      <c r="EA242" s="569"/>
      <c r="EB242" s="569"/>
      <c r="EC242" s="569"/>
      <c r="ED242" s="569"/>
      <c r="EE242" s="569"/>
      <c r="EF242" s="569"/>
      <c r="EG242" s="569"/>
      <c r="EH242" s="569"/>
      <c r="EI242" s="569"/>
      <c r="EJ242" s="569"/>
      <c r="EK242" s="569"/>
      <c r="EL242" s="569"/>
      <c r="EM242" s="569"/>
      <c r="EN242" s="569"/>
      <c r="EO242" s="569"/>
      <c r="EP242" s="569"/>
      <c r="EQ242" s="569"/>
      <c r="ER242" s="569"/>
      <c r="ES242" s="569"/>
      <c r="ET242" s="569"/>
      <c r="EU242" s="569"/>
      <c r="EV242" s="569"/>
      <c r="EW242" s="569"/>
      <c r="EX242" s="569"/>
      <c r="EY242" s="569"/>
      <c r="EZ242" s="569"/>
      <c r="FA242" s="569"/>
      <c r="FB242" s="569"/>
      <c r="FC242" s="569"/>
      <c r="FD242" s="569"/>
      <c r="FE242" s="569"/>
      <c r="FF242" s="569"/>
      <c r="FG242" s="569"/>
      <c r="FH242" s="569"/>
      <c r="FI242" s="569"/>
      <c r="FJ242" s="569"/>
      <c r="FK242" s="569"/>
      <c r="FL242" s="569"/>
      <c r="FM242" s="569"/>
      <c r="FN242" s="569"/>
      <c r="FO242" s="569"/>
      <c r="FP242" s="569"/>
      <c r="FQ242" s="569"/>
      <c r="FR242" s="569"/>
      <c r="FS242" s="569"/>
      <c r="FT242" s="569"/>
      <c r="FU242" s="569"/>
      <c r="FV242" s="569"/>
      <c r="FW242" s="569"/>
      <c r="FX242" s="569"/>
      <c r="FY242" s="569"/>
      <c r="FZ242" s="569"/>
      <c r="GA242" s="569"/>
      <c r="GB242" s="569"/>
      <c r="GC242" s="569"/>
      <c r="GD242" s="569"/>
      <c r="GE242" s="569"/>
      <c r="GF242" s="569"/>
      <c r="GG242" s="569"/>
      <c r="GH242" s="569"/>
      <c r="GI242" s="569"/>
      <c r="GJ242" s="569"/>
      <c r="GK242" s="569"/>
      <c r="GL242" s="569"/>
      <c r="GM242" s="569"/>
      <c r="GN242" s="569"/>
      <c r="GO242" s="569"/>
      <c r="GP242" s="569"/>
      <c r="GQ242" s="569"/>
      <c r="GR242" s="569"/>
      <c r="GS242" s="569"/>
      <c r="GT242" s="569"/>
    </row>
    <row r="243" spans="1:202" s="554" customFormat="1">
      <c r="A243" s="591"/>
      <c r="B243" s="569"/>
      <c r="C243" s="569"/>
      <c r="D243" s="569"/>
      <c r="E243" s="569"/>
      <c r="F243" s="569"/>
      <c r="G243" s="569"/>
      <c r="H243" s="569"/>
      <c r="I243" s="569"/>
      <c r="J243" s="569"/>
      <c r="K243" s="569"/>
      <c r="L243" s="569"/>
      <c r="M243" s="569"/>
      <c r="N243" s="569"/>
      <c r="O243" s="569"/>
      <c r="P243" s="569"/>
      <c r="Q243" s="569"/>
      <c r="R243" s="569"/>
      <c r="S243" s="569"/>
      <c r="T243" s="569"/>
      <c r="U243" s="569"/>
      <c r="V243" s="569"/>
      <c r="W243" s="569"/>
      <c r="X243" s="569"/>
      <c r="Y243" s="569"/>
      <c r="Z243" s="569"/>
      <c r="AA243" s="569"/>
      <c r="AB243" s="569"/>
      <c r="AC243" s="569"/>
      <c r="AD243" s="569"/>
      <c r="AE243" s="569"/>
      <c r="AF243" s="569"/>
      <c r="AG243" s="569"/>
      <c r="AH243" s="569"/>
      <c r="AI243" s="569"/>
      <c r="AJ243" s="569"/>
      <c r="AK243" s="569"/>
      <c r="AL243" s="569"/>
      <c r="AM243" s="569"/>
      <c r="AN243" s="569"/>
      <c r="AO243" s="569"/>
      <c r="AP243" s="569"/>
      <c r="AQ243" s="569"/>
      <c r="AR243" s="569"/>
      <c r="AS243" s="569"/>
      <c r="AT243" s="569"/>
      <c r="AU243" s="569"/>
      <c r="AV243" s="569"/>
      <c r="AW243" s="569"/>
      <c r="AX243" s="569"/>
      <c r="AY243" s="569"/>
      <c r="AZ243" s="569"/>
      <c r="BA243" s="569"/>
      <c r="BB243" s="569"/>
      <c r="BC243" s="569"/>
      <c r="BD243" s="569"/>
      <c r="BE243" s="569"/>
      <c r="BF243" s="569"/>
      <c r="BG243" s="569"/>
      <c r="BH243" s="569"/>
      <c r="BI243" s="569"/>
      <c r="BJ243" s="569"/>
      <c r="BK243" s="569"/>
      <c r="BL243" s="569"/>
      <c r="BM243" s="569"/>
      <c r="BN243" s="569"/>
      <c r="BO243" s="569"/>
      <c r="BP243" s="569"/>
      <c r="BQ243" s="569"/>
      <c r="BR243" s="569"/>
      <c r="BS243" s="569"/>
      <c r="BT243" s="569"/>
      <c r="BU243" s="569"/>
      <c r="BV243" s="569"/>
      <c r="BW243" s="569"/>
      <c r="BX243" s="569"/>
      <c r="BY243" s="569"/>
      <c r="BZ243" s="569"/>
      <c r="CA243" s="569"/>
      <c r="CB243" s="569"/>
      <c r="CC243" s="569"/>
      <c r="CD243" s="569"/>
      <c r="CE243" s="569"/>
      <c r="CF243" s="569"/>
      <c r="CG243" s="569"/>
      <c r="CH243" s="569"/>
      <c r="CI243" s="569"/>
      <c r="CJ243" s="569"/>
      <c r="CK243" s="569"/>
      <c r="CL243" s="569"/>
      <c r="CM243" s="569"/>
      <c r="CN243" s="569"/>
      <c r="CO243" s="569"/>
      <c r="CP243" s="569"/>
      <c r="CQ243" s="569"/>
      <c r="CR243" s="569"/>
      <c r="CS243" s="569"/>
      <c r="CT243" s="569"/>
      <c r="CU243" s="569"/>
      <c r="CV243" s="569"/>
      <c r="CW243" s="569"/>
      <c r="CX243" s="569"/>
      <c r="CY243" s="569"/>
      <c r="CZ243" s="569"/>
      <c r="DA243" s="569"/>
      <c r="DB243" s="569"/>
      <c r="DC243" s="569"/>
      <c r="DD243" s="569"/>
      <c r="DE243" s="569"/>
      <c r="DF243" s="569"/>
      <c r="DG243" s="569"/>
      <c r="DH243" s="569"/>
      <c r="DI243" s="569"/>
      <c r="DJ243" s="569"/>
      <c r="DK243" s="569"/>
      <c r="DL243" s="569"/>
      <c r="DM243" s="569"/>
      <c r="DN243" s="569"/>
      <c r="DO243" s="569"/>
      <c r="DP243" s="569"/>
      <c r="DQ243" s="569"/>
      <c r="DR243" s="569"/>
      <c r="DS243" s="569"/>
      <c r="DT243" s="569"/>
      <c r="DU243" s="569"/>
      <c r="DV243" s="569"/>
      <c r="DW243" s="569"/>
      <c r="DX243" s="569"/>
      <c r="DY243" s="569"/>
      <c r="DZ243" s="569"/>
      <c r="EA243" s="569"/>
      <c r="EB243" s="569"/>
      <c r="EC243" s="569"/>
      <c r="ED243" s="569"/>
      <c r="EE243" s="569"/>
      <c r="EF243" s="569"/>
      <c r="EG243" s="569"/>
      <c r="EH243" s="569"/>
      <c r="EI243" s="569"/>
      <c r="EJ243" s="569"/>
      <c r="EK243" s="569"/>
      <c r="EL243" s="569"/>
      <c r="EM243" s="569"/>
      <c r="EN243" s="569"/>
      <c r="EO243" s="569"/>
      <c r="EP243" s="569"/>
      <c r="EQ243" s="569"/>
      <c r="ER243" s="569"/>
      <c r="ES243" s="569"/>
      <c r="ET243" s="569"/>
      <c r="EU243" s="569"/>
      <c r="EV243" s="569"/>
      <c r="EW243" s="569"/>
      <c r="EX243" s="569"/>
      <c r="EY243" s="569"/>
      <c r="EZ243" s="569"/>
      <c r="FA243" s="569"/>
      <c r="FB243" s="569"/>
      <c r="FC243" s="569"/>
      <c r="FD243" s="569"/>
      <c r="FE243" s="569"/>
      <c r="FF243" s="569"/>
      <c r="FG243" s="569"/>
      <c r="FH243" s="569"/>
      <c r="FI243" s="569"/>
      <c r="FJ243" s="569"/>
      <c r="FK243" s="569"/>
      <c r="FL243" s="569"/>
      <c r="FM243" s="569"/>
      <c r="FN243" s="569"/>
      <c r="FO243" s="569"/>
      <c r="FP243" s="569"/>
      <c r="FQ243" s="569"/>
      <c r="FR243" s="569"/>
      <c r="FS243" s="569"/>
      <c r="FT243" s="569"/>
      <c r="FU243" s="569"/>
      <c r="FV243" s="569"/>
      <c r="FW243" s="569"/>
      <c r="FX243" s="569"/>
      <c r="FY243" s="569"/>
      <c r="FZ243" s="569"/>
      <c r="GA243" s="569"/>
      <c r="GB243" s="569"/>
      <c r="GC243" s="569"/>
      <c r="GD243" s="569"/>
      <c r="GE243" s="569"/>
      <c r="GF243" s="569"/>
      <c r="GG243" s="569"/>
      <c r="GH243" s="569"/>
      <c r="GI243" s="569"/>
      <c r="GJ243" s="569"/>
      <c r="GK243" s="569"/>
      <c r="GL243" s="569"/>
      <c r="GM243" s="569"/>
      <c r="GN243" s="569"/>
      <c r="GO243" s="569"/>
      <c r="GP243" s="569"/>
      <c r="GQ243" s="569"/>
      <c r="GR243" s="569"/>
      <c r="GS243" s="569"/>
      <c r="GT243" s="569"/>
    </row>
    <row r="244" spans="1:202" s="554" customFormat="1">
      <c r="A244" s="591"/>
      <c r="B244" s="569"/>
      <c r="C244" s="569"/>
      <c r="D244" s="569"/>
      <c r="E244" s="569"/>
      <c r="F244" s="569"/>
      <c r="G244" s="569"/>
      <c r="H244" s="569"/>
      <c r="I244" s="569"/>
      <c r="J244" s="569"/>
      <c r="K244" s="569"/>
      <c r="L244" s="569"/>
      <c r="M244" s="569"/>
      <c r="N244" s="569"/>
      <c r="O244" s="569"/>
      <c r="P244" s="569"/>
      <c r="Q244" s="569"/>
      <c r="R244" s="569"/>
      <c r="S244" s="569"/>
      <c r="T244" s="569"/>
      <c r="U244" s="569"/>
      <c r="V244" s="569"/>
      <c r="W244" s="569"/>
      <c r="X244" s="569"/>
      <c r="Y244" s="569"/>
      <c r="Z244" s="569"/>
      <c r="AA244" s="569"/>
      <c r="AB244" s="569"/>
      <c r="AC244" s="569"/>
      <c r="AD244" s="569"/>
      <c r="AE244" s="569"/>
      <c r="AF244" s="569"/>
      <c r="AG244" s="569"/>
      <c r="AH244" s="569"/>
      <c r="AI244" s="569"/>
      <c r="AJ244" s="569"/>
      <c r="AK244" s="569"/>
      <c r="AL244" s="569"/>
      <c r="AM244" s="569"/>
      <c r="AN244" s="569"/>
      <c r="AO244" s="569"/>
      <c r="AP244" s="569"/>
      <c r="AQ244" s="569"/>
      <c r="AR244" s="569"/>
      <c r="AS244" s="569"/>
      <c r="AT244" s="569"/>
      <c r="AU244" s="569"/>
      <c r="AV244" s="569"/>
      <c r="AW244" s="569"/>
      <c r="AX244" s="569"/>
      <c r="AY244" s="569"/>
      <c r="AZ244" s="569"/>
      <c r="BA244" s="569"/>
      <c r="BB244" s="569"/>
      <c r="BC244" s="569"/>
      <c r="BD244" s="569"/>
      <c r="BE244" s="569"/>
      <c r="BF244" s="569"/>
      <c r="BG244" s="569"/>
      <c r="BH244" s="569"/>
      <c r="BI244" s="569"/>
      <c r="BJ244" s="569"/>
      <c r="BK244" s="569"/>
      <c r="BL244" s="569"/>
      <c r="BM244" s="569"/>
      <c r="BN244" s="569"/>
      <c r="BO244" s="569"/>
      <c r="BP244" s="569"/>
      <c r="BQ244" s="569"/>
      <c r="BR244" s="569"/>
      <c r="BS244" s="569"/>
      <c r="BT244" s="569"/>
      <c r="BU244" s="569"/>
      <c r="BV244" s="569"/>
      <c r="BW244" s="569"/>
      <c r="BX244" s="569"/>
      <c r="BY244" s="569"/>
      <c r="BZ244" s="569"/>
      <c r="CA244" s="569"/>
      <c r="CB244" s="569"/>
      <c r="CC244" s="569"/>
      <c r="CD244" s="569"/>
      <c r="CE244" s="569"/>
      <c r="CF244" s="569"/>
      <c r="CG244" s="569"/>
      <c r="CH244" s="569"/>
      <c r="CI244" s="569"/>
      <c r="CJ244" s="569"/>
      <c r="CK244" s="569"/>
      <c r="CL244" s="569"/>
      <c r="CM244" s="569"/>
      <c r="CN244" s="569"/>
      <c r="CO244" s="569"/>
      <c r="CP244" s="569"/>
      <c r="CQ244" s="569"/>
      <c r="CR244" s="569"/>
      <c r="CS244" s="569"/>
      <c r="CT244" s="569"/>
      <c r="CU244" s="569"/>
      <c r="CV244" s="569"/>
      <c r="CW244" s="569"/>
      <c r="CX244" s="569"/>
      <c r="CY244" s="569"/>
      <c r="CZ244" s="569"/>
      <c r="DA244" s="569"/>
      <c r="DB244" s="569"/>
      <c r="DC244" s="569"/>
      <c r="DD244" s="569"/>
      <c r="DE244" s="569"/>
      <c r="DF244" s="569"/>
      <c r="DG244" s="569"/>
      <c r="DH244" s="569"/>
      <c r="DI244" s="569"/>
      <c r="DJ244" s="569"/>
      <c r="DK244" s="569"/>
      <c r="DL244" s="569"/>
      <c r="DM244" s="569"/>
      <c r="DN244" s="569"/>
      <c r="DO244" s="569"/>
      <c r="DP244" s="569"/>
      <c r="DQ244" s="569"/>
      <c r="DR244" s="569"/>
      <c r="DS244" s="569"/>
      <c r="DT244" s="569"/>
      <c r="DU244" s="569"/>
      <c r="DV244" s="569"/>
      <c r="DW244" s="569"/>
      <c r="DX244" s="569"/>
      <c r="DY244" s="569"/>
      <c r="DZ244" s="569"/>
      <c r="EA244" s="569"/>
      <c r="EB244" s="569"/>
      <c r="EC244" s="569"/>
      <c r="ED244" s="569"/>
      <c r="EE244" s="569"/>
      <c r="EF244" s="569"/>
      <c r="EG244" s="569"/>
      <c r="EH244" s="569"/>
      <c r="EI244" s="569"/>
      <c r="EJ244" s="569"/>
      <c r="EK244" s="569"/>
      <c r="EL244" s="569"/>
      <c r="EM244" s="569"/>
      <c r="EN244" s="569"/>
      <c r="EO244" s="569"/>
      <c r="EP244" s="569"/>
      <c r="EQ244" s="569"/>
      <c r="ER244" s="569"/>
      <c r="ES244" s="569"/>
      <c r="ET244" s="569"/>
      <c r="EU244" s="569"/>
      <c r="EV244" s="569"/>
      <c r="EW244" s="569"/>
      <c r="EX244" s="569"/>
      <c r="EY244" s="569"/>
      <c r="EZ244" s="569"/>
      <c r="FA244" s="569"/>
      <c r="FB244" s="569"/>
      <c r="FC244" s="569"/>
      <c r="FD244" s="569"/>
      <c r="FE244" s="569"/>
      <c r="FF244" s="569"/>
      <c r="FG244" s="569"/>
      <c r="FH244" s="569"/>
      <c r="FI244" s="569"/>
      <c r="FJ244" s="569"/>
      <c r="FK244" s="569"/>
      <c r="FL244" s="569"/>
      <c r="FM244" s="569"/>
      <c r="FN244" s="569"/>
      <c r="FO244" s="569"/>
      <c r="FP244" s="569"/>
      <c r="FQ244" s="569"/>
      <c r="FR244" s="569"/>
      <c r="FS244" s="569"/>
      <c r="FT244" s="569"/>
      <c r="FU244" s="569"/>
      <c r="FV244" s="569"/>
      <c r="FW244" s="569"/>
      <c r="FX244" s="569"/>
      <c r="FY244" s="569"/>
      <c r="FZ244" s="569"/>
      <c r="GA244" s="569"/>
      <c r="GB244" s="569"/>
      <c r="GC244" s="569"/>
      <c r="GD244" s="569"/>
      <c r="GE244" s="569"/>
      <c r="GF244" s="569"/>
      <c r="GG244" s="569"/>
      <c r="GH244" s="569"/>
      <c r="GI244" s="569"/>
      <c r="GJ244" s="569"/>
      <c r="GK244" s="569"/>
      <c r="GL244" s="569"/>
      <c r="GM244" s="569"/>
      <c r="GN244" s="569"/>
      <c r="GO244" s="569"/>
      <c r="GP244" s="569"/>
      <c r="GQ244" s="569"/>
      <c r="GR244" s="569"/>
      <c r="GS244" s="569"/>
      <c r="GT244" s="569"/>
    </row>
    <row r="245" spans="1:202" s="554" customFormat="1">
      <c r="A245" s="591"/>
      <c r="B245" s="569"/>
      <c r="C245" s="569"/>
      <c r="D245" s="569"/>
      <c r="E245" s="569"/>
      <c r="F245" s="569"/>
      <c r="G245" s="569"/>
      <c r="H245" s="569"/>
      <c r="I245" s="569"/>
      <c r="J245" s="569"/>
      <c r="K245" s="569"/>
      <c r="L245" s="569"/>
      <c r="M245" s="569"/>
      <c r="N245" s="569"/>
      <c r="O245" s="569"/>
      <c r="P245" s="569"/>
      <c r="Q245" s="569"/>
      <c r="R245" s="569"/>
      <c r="S245" s="569"/>
      <c r="T245" s="569"/>
      <c r="U245" s="569"/>
      <c r="V245" s="569"/>
      <c r="W245" s="569"/>
      <c r="X245" s="569"/>
      <c r="Y245" s="569"/>
      <c r="Z245" s="569"/>
      <c r="AA245" s="569"/>
      <c r="AB245" s="569"/>
      <c r="AC245" s="569"/>
      <c r="AD245" s="569"/>
      <c r="AE245" s="569"/>
      <c r="AF245" s="569"/>
      <c r="AG245" s="569"/>
      <c r="AH245" s="569"/>
      <c r="AI245" s="569"/>
      <c r="AJ245" s="569"/>
      <c r="AK245" s="569"/>
      <c r="AL245" s="569"/>
      <c r="AM245" s="569"/>
      <c r="AN245" s="569"/>
      <c r="AO245" s="569"/>
      <c r="AP245" s="569"/>
      <c r="AQ245" s="569"/>
      <c r="AR245" s="569"/>
      <c r="AS245" s="569"/>
      <c r="AT245" s="569"/>
      <c r="AU245" s="569"/>
      <c r="AV245" s="569"/>
      <c r="AW245" s="569"/>
      <c r="AX245" s="569"/>
      <c r="AY245" s="569"/>
      <c r="AZ245" s="569"/>
      <c r="BA245" s="569"/>
      <c r="BB245" s="569"/>
      <c r="BC245" s="569"/>
      <c r="BD245" s="569"/>
      <c r="BE245" s="569"/>
      <c r="BF245" s="569"/>
      <c r="BG245" s="569"/>
      <c r="BH245" s="569"/>
      <c r="BI245" s="569"/>
      <c r="BJ245" s="569"/>
      <c r="BK245" s="569"/>
      <c r="BL245" s="569"/>
      <c r="BM245" s="569"/>
      <c r="BN245" s="569"/>
      <c r="BO245" s="569"/>
      <c r="BP245" s="569"/>
      <c r="BQ245" s="569"/>
      <c r="BR245" s="569"/>
      <c r="BS245" s="569"/>
      <c r="BT245" s="569"/>
      <c r="BU245" s="569"/>
      <c r="BV245" s="569"/>
      <c r="BW245" s="569"/>
      <c r="BX245" s="569"/>
      <c r="BY245" s="569"/>
      <c r="BZ245" s="569"/>
      <c r="CA245" s="569"/>
      <c r="CB245" s="569"/>
      <c r="CC245" s="569"/>
      <c r="CD245" s="569"/>
      <c r="CE245" s="569"/>
      <c r="CF245" s="569"/>
      <c r="CG245" s="569"/>
      <c r="CH245" s="569"/>
      <c r="CI245" s="569"/>
      <c r="CJ245" s="569"/>
      <c r="CK245" s="569"/>
      <c r="CL245" s="569"/>
      <c r="CM245" s="569"/>
      <c r="CN245" s="569"/>
      <c r="CO245" s="569"/>
      <c r="CP245" s="569"/>
      <c r="CQ245" s="569"/>
      <c r="CR245" s="569"/>
      <c r="CS245" s="569"/>
      <c r="CT245" s="569"/>
      <c r="CU245" s="569"/>
      <c r="CV245" s="569"/>
      <c r="CW245" s="569"/>
      <c r="CX245" s="569"/>
      <c r="CY245" s="569"/>
      <c r="CZ245" s="569"/>
      <c r="DA245" s="569"/>
      <c r="DB245" s="569"/>
      <c r="DC245" s="569"/>
      <c r="DD245" s="569"/>
      <c r="DE245" s="569"/>
      <c r="DF245" s="569"/>
      <c r="DG245" s="569"/>
      <c r="DH245" s="569"/>
      <c r="DI245" s="569"/>
      <c r="DJ245" s="569"/>
      <c r="DK245" s="569"/>
      <c r="DL245" s="569"/>
      <c r="DM245" s="569"/>
      <c r="DN245" s="569"/>
      <c r="DO245" s="569"/>
      <c r="DP245" s="569"/>
      <c r="DQ245" s="569"/>
      <c r="DR245" s="569"/>
      <c r="DS245" s="569"/>
      <c r="DT245" s="569"/>
      <c r="DU245" s="569"/>
      <c r="DV245" s="569"/>
      <c r="DW245" s="569"/>
      <c r="DX245" s="569"/>
      <c r="DY245" s="569"/>
      <c r="DZ245" s="569"/>
      <c r="EA245" s="569"/>
      <c r="EB245" s="569"/>
      <c r="EC245" s="569"/>
      <c r="ED245" s="569"/>
      <c r="EE245" s="569"/>
      <c r="EF245" s="569"/>
      <c r="EG245" s="569"/>
      <c r="EH245" s="569"/>
      <c r="EI245" s="569"/>
      <c r="EJ245" s="569"/>
      <c r="EK245" s="569"/>
      <c r="EL245" s="569"/>
      <c r="EM245" s="569"/>
      <c r="EN245" s="569"/>
      <c r="EO245" s="569"/>
      <c r="EP245" s="569"/>
      <c r="EQ245" s="569"/>
      <c r="ER245" s="569"/>
      <c r="ES245" s="569"/>
      <c r="ET245" s="569"/>
      <c r="EU245" s="569"/>
      <c r="EV245" s="569"/>
      <c r="EW245" s="569"/>
      <c r="EX245" s="569"/>
      <c r="EY245" s="569"/>
      <c r="EZ245" s="569"/>
      <c r="FA245" s="569"/>
      <c r="FB245" s="569"/>
      <c r="FC245" s="569"/>
      <c r="FD245" s="569"/>
      <c r="FE245" s="569"/>
      <c r="FF245" s="569"/>
      <c r="FG245" s="569"/>
      <c r="FH245" s="569"/>
      <c r="FI245" s="569"/>
      <c r="FJ245" s="569"/>
      <c r="FK245" s="569"/>
      <c r="FL245" s="569"/>
      <c r="FM245" s="569"/>
      <c r="FN245" s="569"/>
      <c r="FO245" s="569"/>
      <c r="FP245" s="569"/>
      <c r="FQ245" s="569"/>
      <c r="FR245" s="569"/>
      <c r="FS245" s="569"/>
      <c r="FT245" s="569"/>
      <c r="FU245" s="569"/>
      <c r="FV245" s="569"/>
      <c r="FW245" s="569"/>
      <c r="FX245" s="569"/>
      <c r="FY245" s="569"/>
      <c r="FZ245" s="569"/>
      <c r="GA245" s="569"/>
      <c r="GB245" s="569"/>
      <c r="GC245" s="569"/>
      <c r="GD245" s="569"/>
      <c r="GE245" s="569"/>
      <c r="GF245" s="569"/>
      <c r="GG245" s="569"/>
      <c r="GH245" s="569"/>
      <c r="GI245" s="569"/>
      <c r="GJ245" s="569"/>
      <c r="GK245" s="569"/>
      <c r="GL245" s="569"/>
      <c r="GM245" s="569"/>
      <c r="GN245" s="569"/>
      <c r="GO245" s="569"/>
      <c r="GP245" s="569"/>
      <c r="GQ245" s="569"/>
      <c r="GR245" s="569"/>
      <c r="GS245" s="569"/>
      <c r="GT245" s="569"/>
    </row>
    <row r="246" spans="1:202" s="554" customFormat="1">
      <c r="A246" s="591"/>
      <c r="B246" s="569"/>
      <c r="C246" s="569"/>
      <c r="D246" s="569"/>
      <c r="E246" s="569"/>
      <c r="F246" s="569"/>
      <c r="G246" s="569"/>
      <c r="H246" s="569"/>
      <c r="I246" s="569"/>
      <c r="J246" s="569"/>
      <c r="K246" s="569"/>
      <c r="L246" s="569"/>
      <c r="M246" s="569"/>
      <c r="N246" s="569"/>
      <c r="O246" s="569"/>
      <c r="P246" s="569"/>
      <c r="Q246" s="569"/>
      <c r="R246" s="569"/>
      <c r="S246" s="569"/>
      <c r="T246" s="569"/>
      <c r="U246" s="569"/>
      <c r="V246" s="569"/>
      <c r="W246" s="569"/>
      <c r="X246" s="569"/>
      <c r="Y246" s="569"/>
      <c r="Z246" s="569"/>
      <c r="AA246" s="569"/>
      <c r="AB246" s="569"/>
      <c r="AC246" s="569"/>
      <c r="AD246" s="569"/>
      <c r="AE246" s="569"/>
      <c r="AF246" s="569"/>
      <c r="AG246" s="569"/>
      <c r="AH246" s="569"/>
      <c r="AI246" s="569"/>
      <c r="AJ246" s="569"/>
      <c r="AK246" s="569"/>
      <c r="AL246" s="569"/>
      <c r="AM246" s="569"/>
      <c r="AN246" s="569"/>
      <c r="AO246" s="569"/>
      <c r="AP246" s="569"/>
      <c r="AQ246" s="569"/>
      <c r="AR246" s="569"/>
      <c r="AS246" s="569"/>
      <c r="AT246" s="569"/>
      <c r="AU246" s="569"/>
      <c r="AV246" s="569"/>
      <c r="AW246" s="569"/>
      <c r="AX246" s="569"/>
      <c r="AY246" s="569"/>
      <c r="AZ246" s="569"/>
      <c r="BA246" s="569"/>
      <c r="BB246" s="569"/>
      <c r="BC246" s="569"/>
      <c r="BD246" s="569"/>
      <c r="BE246" s="569"/>
      <c r="BF246" s="569"/>
      <c r="BG246" s="569"/>
      <c r="BH246" s="569"/>
      <c r="BI246" s="569"/>
      <c r="BJ246" s="569"/>
      <c r="BK246" s="569"/>
      <c r="BL246" s="569"/>
      <c r="BM246" s="569"/>
      <c r="BN246" s="569"/>
      <c r="BO246" s="569"/>
      <c r="BP246" s="569"/>
      <c r="BQ246" s="569"/>
      <c r="BR246" s="569"/>
      <c r="BS246" s="569"/>
      <c r="BT246" s="569"/>
      <c r="BU246" s="569"/>
      <c r="BV246" s="569"/>
      <c r="BW246" s="569"/>
      <c r="BX246" s="569"/>
      <c r="BY246" s="569"/>
      <c r="BZ246" s="569"/>
      <c r="CA246" s="569"/>
      <c r="CB246" s="569"/>
      <c r="CC246" s="569"/>
      <c r="CD246" s="569"/>
      <c r="CE246" s="569"/>
      <c r="CF246" s="569"/>
      <c r="CG246" s="569"/>
      <c r="CH246" s="569"/>
      <c r="CI246" s="569"/>
      <c r="CJ246" s="569"/>
      <c r="CK246" s="569"/>
      <c r="CL246" s="569"/>
      <c r="CM246" s="569"/>
      <c r="CN246" s="569"/>
      <c r="CO246" s="569"/>
      <c r="CP246" s="569"/>
      <c r="CQ246" s="569"/>
      <c r="CR246" s="569"/>
      <c r="CS246" s="569"/>
      <c r="CT246" s="569"/>
      <c r="CU246" s="569"/>
      <c r="CV246" s="569"/>
      <c r="CW246" s="569"/>
      <c r="CX246" s="569"/>
      <c r="CY246" s="569"/>
      <c r="CZ246" s="569"/>
      <c r="DA246" s="569"/>
      <c r="DB246" s="569"/>
      <c r="DC246" s="569"/>
      <c r="DD246" s="569"/>
      <c r="DE246" s="569"/>
      <c r="DF246" s="569"/>
      <c r="DG246" s="569"/>
      <c r="DH246" s="569"/>
      <c r="DI246" s="569"/>
      <c r="DJ246" s="569"/>
      <c r="DK246" s="569"/>
      <c r="DL246" s="569"/>
      <c r="DM246" s="569"/>
      <c r="DN246" s="569"/>
      <c r="DO246" s="569"/>
      <c r="DP246" s="569"/>
      <c r="DQ246" s="569"/>
      <c r="DR246" s="569"/>
      <c r="DS246" s="569"/>
      <c r="DT246" s="569"/>
      <c r="DU246" s="569"/>
      <c r="DV246" s="569"/>
      <c r="DW246" s="569"/>
      <c r="DX246" s="569"/>
      <c r="DY246" s="569"/>
      <c r="DZ246" s="569"/>
      <c r="EA246" s="569"/>
      <c r="EB246" s="569"/>
      <c r="EC246" s="569"/>
      <c r="ED246" s="569"/>
      <c r="EE246" s="569"/>
      <c r="EF246" s="569"/>
      <c r="EG246" s="569"/>
      <c r="EH246" s="569"/>
      <c r="EI246" s="569"/>
      <c r="EJ246" s="569"/>
      <c r="EK246" s="569"/>
      <c r="EL246" s="569"/>
      <c r="EM246" s="569"/>
      <c r="EN246" s="569"/>
      <c r="EO246" s="569"/>
      <c r="EP246" s="569"/>
      <c r="EQ246" s="569"/>
      <c r="ER246" s="569"/>
      <c r="ES246" s="569"/>
      <c r="ET246" s="569"/>
      <c r="EU246" s="569"/>
      <c r="EV246" s="569"/>
      <c r="EW246" s="569"/>
      <c r="EX246" s="569"/>
      <c r="EY246" s="569"/>
      <c r="EZ246" s="569"/>
      <c r="FA246" s="569"/>
      <c r="FB246" s="569"/>
      <c r="FC246" s="569"/>
      <c r="FD246" s="569"/>
      <c r="FE246" s="569"/>
      <c r="FF246" s="569"/>
      <c r="FG246" s="569"/>
      <c r="FH246" s="569"/>
      <c r="FI246" s="569"/>
      <c r="FJ246" s="569"/>
      <c r="FK246" s="569"/>
      <c r="FL246" s="569"/>
      <c r="FM246" s="569"/>
      <c r="FN246" s="569"/>
      <c r="FO246" s="569"/>
      <c r="FP246" s="569"/>
      <c r="FQ246" s="569"/>
      <c r="FR246" s="569"/>
      <c r="FS246" s="569"/>
      <c r="FT246" s="569"/>
      <c r="FU246" s="569"/>
      <c r="FV246" s="569"/>
      <c r="FW246" s="569"/>
      <c r="FX246" s="569"/>
      <c r="FY246" s="569"/>
      <c r="FZ246" s="569"/>
      <c r="GA246" s="569"/>
      <c r="GB246" s="569"/>
      <c r="GC246" s="569"/>
      <c r="GD246" s="569"/>
      <c r="GE246" s="569"/>
      <c r="GF246" s="569"/>
      <c r="GG246" s="569"/>
      <c r="GH246" s="569"/>
      <c r="GI246" s="569"/>
      <c r="GJ246" s="569"/>
      <c r="GK246" s="569"/>
      <c r="GL246" s="569"/>
      <c r="GM246" s="569"/>
      <c r="GN246" s="569"/>
      <c r="GO246" s="569"/>
      <c r="GP246" s="569"/>
      <c r="GQ246" s="569"/>
      <c r="GR246" s="569"/>
      <c r="GS246" s="569"/>
      <c r="GT246" s="569"/>
    </row>
    <row r="247" spans="1:202" s="554" customFormat="1">
      <c r="A247" s="591"/>
      <c r="B247" s="569"/>
      <c r="C247" s="569"/>
      <c r="D247" s="569"/>
      <c r="E247" s="569"/>
      <c r="F247" s="569"/>
      <c r="G247" s="569"/>
      <c r="H247" s="569"/>
      <c r="I247" s="569"/>
      <c r="J247" s="569"/>
      <c r="K247" s="569"/>
      <c r="L247" s="569"/>
      <c r="M247" s="569"/>
      <c r="N247" s="569"/>
      <c r="O247" s="569"/>
      <c r="P247" s="569"/>
      <c r="Q247" s="569"/>
      <c r="R247" s="569"/>
      <c r="S247" s="569"/>
      <c r="T247" s="569"/>
      <c r="U247" s="569"/>
      <c r="V247" s="569"/>
      <c r="W247" s="569"/>
      <c r="X247" s="569"/>
      <c r="Y247" s="569"/>
      <c r="Z247" s="569"/>
      <c r="AA247" s="569"/>
      <c r="AB247" s="569"/>
      <c r="AC247" s="569"/>
      <c r="AD247" s="569"/>
      <c r="AE247" s="569"/>
      <c r="AF247" s="569"/>
      <c r="AG247" s="569"/>
      <c r="AH247" s="569"/>
      <c r="AI247" s="569"/>
      <c r="AJ247" s="569"/>
      <c r="AK247" s="569"/>
      <c r="AL247" s="569"/>
      <c r="AM247" s="569"/>
      <c r="AN247" s="569"/>
      <c r="AO247" s="569"/>
      <c r="AP247" s="569"/>
      <c r="AQ247" s="569"/>
      <c r="AR247" s="569"/>
      <c r="AS247" s="569"/>
      <c r="AT247" s="569"/>
      <c r="AU247" s="569"/>
      <c r="AV247" s="569"/>
      <c r="AW247" s="569"/>
      <c r="AX247" s="569"/>
      <c r="AY247" s="569"/>
      <c r="AZ247" s="569"/>
      <c r="BA247" s="569"/>
      <c r="BB247" s="569"/>
      <c r="BC247" s="569"/>
      <c r="BD247" s="569"/>
      <c r="BE247" s="569"/>
      <c r="BF247" s="569"/>
      <c r="BG247" s="569"/>
      <c r="BH247" s="569"/>
      <c r="BI247" s="569"/>
      <c r="BJ247" s="569"/>
      <c r="BK247" s="569"/>
      <c r="BL247" s="569"/>
      <c r="BM247" s="569"/>
      <c r="BN247" s="569"/>
      <c r="BO247" s="569"/>
      <c r="BP247" s="569"/>
      <c r="BQ247" s="569"/>
      <c r="BR247" s="569"/>
      <c r="BS247" s="569"/>
      <c r="BT247" s="569"/>
      <c r="BU247" s="569"/>
      <c r="BV247" s="569"/>
      <c r="BW247" s="569"/>
      <c r="BX247" s="569"/>
      <c r="BY247" s="569"/>
      <c r="BZ247" s="569"/>
      <c r="CA247" s="569"/>
      <c r="CB247" s="569"/>
      <c r="CC247" s="569"/>
      <c r="CD247" s="569"/>
      <c r="CE247" s="569"/>
      <c r="CF247" s="569"/>
      <c r="CG247" s="569"/>
      <c r="CH247" s="569"/>
      <c r="CI247" s="569"/>
      <c r="CJ247" s="569"/>
      <c r="CK247" s="569"/>
      <c r="CL247" s="569"/>
      <c r="CM247" s="569"/>
      <c r="CN247" s="569"/>
      <c r="CO247" s="569"/>
      <c r="CP247" s="569"/>
      <c r="CQ247" s="569"/>
      <c r="CR247" s="569"/>
      <c r="CS247" s="569"/>
      <c r="CT247" s="569"/>
      <c r="CU247" s="569"/>
      <c r="CV247" s="569"/>
      <c r="CW247" s="569"/>
      <c r="CX247" s="569"/>
      <c r="CY247" s="569"/>
      <c r="CZ247" s="569"/>
      <c r="DA247" s="569"/>
      <c r="DB247" s="569"/>
      <c r="DC247" s="569"/>
      <c r="DD247" s="569"/>
      <c r="DE247" s="569"/>
      <c r="DF247" s="569"/>
      <c r="DG247" s="569"/>
      <c r="DH247" s="569"/>
      <c r="DI247" s="569"/>
      <c r="DJ247" s="569"/>
      <c r="DK247" s="569"/>
      <c r="DL247" s="569"/>
      <c r="DM247" s="569"/>
      <c r="DN247" s="569"/>
      <c r="DO247" s="569"/>
      <c r="DP247" s="569"/>
      <c r="DQ247" s="569"/>
      <c r="DR247" s="569"/>
      <c r="DS247" s="569"/>
      <c r="DT247" s="569"/>
      <c r="DU247" s="569"/>
      <c r="DV247" s="569"/>
      <c r="DW247" s="569"/>
      <c r="DX247" s="569"/>
      <c r="DY247" s="569"/>
      <c r="DZ247" s="569"/>
      <c r="EA247" s="569"/>
      <c r="EB247" s="569"/>
      <c r="EC247" s="569"/>
      <c r="ED247" s="569"/>
      <c r="EE247" s="569"/>
      <c r="EF247" s="569"/>
      <c r="EG247" s="569"/>
      <c r="EH247" s="569"/>
      <c r="EI247" s="569"/>
      <c r="EJ247" s="569"/>
      <c r="EK247" s="569"/>
      <c r="EL247" s="569"/>
      <c r="EM247" s="569"/>
      <c r="EN247" s="569"/>
      <c r="EO247" s="569"/>
      <c r="EP247" s="569"/>
      <c r="EQ247" s="569"/>
      <c r="ER247" s="569"/>
      <c r="ES247" s="569"/>
      <c r="ET247" s="569"/>
      <c r="EU247" s="569"/>
      <c r="EV247" s="569"/>
      <c r="EW247" s="569"/>
      <c r="EX247" s="569"/>
      <c r="EY247" s="569"/>
      <c r="EZ247" s="569"/>
      <c r="FA247" s="569"/>
      <c r="FB247" s="569"/>
      <c r="FC247" s="569"/>
      <c r="FD247" s="569"/>
      <c r="FE247" s="569"/>
      <c r="FF247" s="569"/>
      <c r="FG247" s="569"/>
      <c r="FH247" s="569"/>
      <c r="FI247" s="569"/>
      <c r="FJ247" s="569"/>
      <c r="FK247" s="569"/>
      <c r="FL247" s="569"/>
      <c r="FM247" s="569"/>
      <c r="FN247" s="569"/>
      <c r="FO247" s="569"/>
      <c r="FP247" s="569"/>
      <c r="FQ247" s="569"/>
      <c r="FR247" s="569"/>
      <c r="FS247" s="569"/>
      <c r="FT247" s="569"/>
      <c r="FU247" s="569"/>
      <c r="FV247" s="569"/>
      <c r="FW247" s="569"/>
      <c r="FX247" s="569"/>
      <c r="FY247" s="569"/>
      <c r="FZ247" s="569"/>
      <c r="GA247" s="569"/>
      <c r="GB247" s="569"/>
      <c r="GC247" s="569"/>
      <c r="GD247" s="569"/>
      <c r="GE247" s="569"/>
      <c r="GF247" s="569"/>
      <c r="GG247" s="569"/>
      <c r="GH247" s="569"/>
      <c r="GI247" s="569"/>
      <c r="GJ247" s="569"/>
      <c r="GK247" s="569"/>
      <c r="GL247" s="569"/>
      <c r="GM247" s="569"/>
      <c r="GN247" s="569"/>
      <c r="GO247" s="569"/>
      <c r="GP247" s="569"/>
      <c r="GQ247" s="569"/>
      <c r="GR247" s="569"/>
      <c r="GS247" s="569"/>
      <c r="GT247" s="569"/>
    </row>
    <row r="248" spans="1:202" s="554" customFormat="1">
      <c r="A248" s="591"/>
      <c r="B248" s="569"/>
      <c r="C248" s="569"/>
      <c r="D248" s="569"/>
      <c r="E248" s="569"/>
      <c r="F248" s="569"/>
      <c r="G248" s="569"/>
      <c r="H248" s="569"/>
      <c r="I248" s="569"/>
      <c r="J248" s="569"/>
      <c r="K248" s="569"/>
      <c r="L248" s="569"/>
      <c r="M248" s="569"/>
      <c r="N248" s="569"/>
      <c r="O248" s="569"/>
      <c r="P248" s="569"/>
      <c r="Q248" s="569"/>
      <c r="R248" s="569"/>
      <c r="S248" s="569"/>
      <c r="T248" s="569"/>
      <c r="U248" s="569"/>
      <c r="V248" s="569"/>
      <c r="W248" s="569"/>
      <c r="X248" s="569"/>
      <c r="Y248" s="569"/>
      <c r="Z248" s="569"/>
      <c r="AA248" s="569"/>
      <c r="AB248" s="569"/>
      <c r="AC248" s="569"/>
      <c r="AD248" s="569"/>
      <c r="AE248" s="569"/>
      <c r="AF248" s="569"/>
      <c r="AG248" s="569"/>
      <c r="AH248" s="569"/>
      <c r="AI248" s="569"/>
      <c r="AJ248" s="569"/>
      <c r="AK248" s="569"/>
      <c r="AL248" s="569"/>
      <c r="AM248" s="569"/>
      <c r="AN248" s="569"/>
      <c r="AO248" s="569"/>
      <c r="AP248" s="569"/>
      <c r="AQ248" s="569"/>
      <c r="AR248" s="569"/>
      <c r="AS248" s="569"/>
      <c r="AT248" s="569"/>
      <c r="AU248" s="569"/>
      <c r="AV248" s="569"/>
      <c r="AW248" s="569"/>
      <c r="AX248" s="569"/>
      <c r="AY248" s="569"/>
      <c r="AZ248" s="569"/>
      <c r="BA248" s="569"/>
      <c r="BB248" s="569"/>
      <c r="BC248" s="569"/>
      <c r="BD248" s="569"/>
      <c r="BE248" s="569"/>
      <c r="BF248" s="569"/>
      <c r="BG248" s="569"/>
      <c r="BH248" s="569"/>
      <c r="BI248" s="569"/>
      <c r="BJ248" s="569"/>
      <c r="BK248" s="569"/>
      <c r="BL248" s="569"/>
      <c r="BM248" s="569"/>
      <c r="BN248" s="569"/>
      <c r="BO248" s="569"/>
      <c r="BP248" s="569"/>
      <c r="BQ248" s="569"/>
      <c r="BR248" s="569"/>
      <c r="BS248" s="569"/>
      <c r="BT248" s="569"/>
      <c r="BU248" s="569"/>
      <c r="BV248" s="569"/>
      <c r="BW248" s="569"/>
      <c r="BX248" s="569"/>
      <c r="BY248" s="569"/>
      <c r="BZ248" s="569"/>
      <c r="CA248" s="569"/>
      <c r="CB248" s="569"/>
      <c r="CC248" s="569"/>
      <c r="CD248" s="569"/>
      <c r="CE248" s="569"/>
      <c r="CF248" s="569"/>
      <c r="CG248" s="569"/>
      <c r="CH248" s="569"/>
      <c r="CI248" s="569"/>
      <c r="CJ248" s="569"/>
      <c r="CK248" s="569"/>
      <c r="CL248" s="569"/>
      <c r="CM248" s="569"/>
      <c r="CN248" s="569"/>
      <c r="CO248" s="569"/>
      <c r="CP248" s="569"/>
      <c r="CQ248" s="569"/>
      <c r="CR248" s="569"/>
      <c r="CS248" s="569"/>
      <c r="CT248" s="569"/>
      <c r="CU248" s="569"/>
      <c r="CV248" s="569"/>
      <c r="CW248" s="569"/>
      <c r="CX248" s="569"/>
      <c r="CY248" s="569"/>
      <c r="CZ248" s="569"/>
      <c r="DA248" s="569"/>
      <c r="DB248" s="569"/>
      <c r="DC248" s="569"/>
      <c r="DD248" s="569"/>
      <c r="DE248" s="569"/>
      <c r="DF248" s="569"/>
      <c r="DG248" s="569"/>
      <c r="DH248" s="569"/>
      <c r="DI248" s="569"/>
      <c r="DJ248" s="569"/>
      <c r="DK248" s="569"/>
      <c r="DL248" s="569"/>
      <c r="DM248" s="569"/>
      <c r="DN248" s="569"/>
      <c r="DO248" s="569"/>
      <c r="DP248" s="569"/>
      <c r="DQ248" s="569"/>
      <c r="DR248" s="569"/>
      <c r="DS248" s="569"/>
      <c r="DT248" s="569"/>
      <c r="DU248" s="569"/>
      <c r="DV248" s="569"/>
      <c r="DW248" s="569"/>
      <c r="DX248" s="569"/>
      <c r="DY248" s="569"/>
      <c r="DZ248" s="569"/>
      <c r="EA248" s="569"/>
      <c r="EB248" s="569"/>
      <c r="EC248" s="569"/>
      <c r="ED248" s="569"/>
      <c r="EE248" s="569"/>
      <c r="EF248" s="569"/>
      <c r="EG248" s="569"/>
      <c r="EH248" s="569"/>
      <c r="EI248" s="569"/>
      <c r="EJ248" s="569"/>
      <c r="EK248" s="569"/>
      <c r="EL248" s="569"/>
      <c r="EM248" s="569"/>
      <c r="EN248" s="569"/>
      <c r="EO248" s="569"/>
      <c r="EP248" s="569"/>
      <c r="EQ248" s="569"/>
      <c r="ER248" s="569"/>
      <c r="ES248" s="569"/>
      <c r="ET248" s="569"/>
      <c r="EU248" s="569"/>
      <c r="EV248" s="569"/>
      <c r="EW248" s="569"/>
      <c r="EX248" s="569"/>
      <c r="EY248" s="569"/>
      <c r="EZ248" s="569"/>
      <c r="FA248" s="569"/>
      <c r="FB248" s="569"/>
      <c r="FC248" s="569"/>
      <c r="FD248" s="569"/>
      <c r="FE248" s="569"/>
      <c r="FF248" s="569"/>
      <c r="FG248" s="569"/>
      <c r="FH248" s="569"/>
      <c r="FI248" s="569"/>
      <c r="FJ248" s="569"/>
      <c r="FK248" s="569"/>
      <c r="FL248" s="569"/>
      <c r="FM248" s="569"/>
      <c r="FN248" s="569"/>
      <c r="FO248" s="569"/>
      <c r="FP248" s="569"/>
      <c r="FQ248" s="569"/>
      <c r="FR248" s="569"/>
      <c r="FS248" s="569"/>
      <c r="FT248" s="569"/>
      <c r="FU248" s="569"/>
      <c r="FV248" s="569"/>
      <c r="FW248" s="569"/>
      <c r="FX248" s="569"/>
      <c r="FY248" s="569"/>
      <c r="FZ248" s="569"/>
      <c r="GA248" s="569"/>
      <c r="GB248" s="569"/>
      <c r="GC248" s="569"/>
      <c r="GD248" s="569"/>
      <c r="GE248" s="569"/>
      <c r="GF248" s="569"/>
      <c r="GG248" s="569"/>
      <c r="GH248" s="569"/>
      <c r="GI248" s="569"/>
      <c r="GJ248" s="569"/>
      <c r="GK248" s="569"/>
      <c r="GL248" s="569"/>
      <c r="GM248" s="569"/>
      <c r="GN248" s="569"/>
      <c r="GO248" s="569"/>
      <c r="GP248" s="569"/>
      <c r="GQ248" s="569"/>
      <c r="GR248" s="569"/>
      <c r="GS248" s="569"/>
      <c r="GT248" s="569"/>
    </row>
    <row r="249" spans="1:202" s="554" customFormat="1">
      <c r="A249" s="591"/>
      <c r="B249" s="569"/>
      <c r="C249" s="569"/>
      <c r="D249" s="569"/>
      <c r="E249" s="569"/>
      <c r="F249" s="569"/>
      <c r="G249" s="569"/>
      <c r="H249" s="569"/>
      <c r="I249" s="569"/>
      <c r="J249" s="569"/>
      <c r="K249" s="569"/>
      <c r="L249" s="569"/>
      <c r="M249" s="569"/>
      <c r="N249" s="569"/>
      <c r="O249" s="569"/>
      <c r="P249" s="569"/>
      <c r="Q249" s="569"/>
      <c r="R249" s="569"/>
      <c r="S249" s="569"/>
      <c r="T249" s="569"/>
      <c r="U249" s="569"/>
      <c r="V249" s="569"/>
      <c r="W249" s="569"/>
      <c r="X249" s="569"/>
      <c r="Y249" s="569"/>
      <c r="Z249" s="569"/>
      <c r="AA249" s="569"/>
      <c r="AB249" s="569"/>
      <c r="AC249" s="569"/>
      <c r="AD249" s="569"/>
      <c r="AE249" s="569"/>
      <c r="AF249" s="569"/>
      <c r="AG249" s="569"/>
      <c r="AH249" s="569"/>
      <c r="AI249" s="569"/>
      <c r="AJ249" s="569"/>
      <c r="AK249" s="569"/>
      <c r="AL249" s="569"/>
      <c r="AM249" s="569"/>
      <c r="AN249" s="569"/>
      <c r="AO249" s="569"/>
      <c r="AP249" s="569"/>
      <c r="AQ249" s="569"/>
      <c r="AR249" s="569"/>
      <c r="AS249" s="569"/>
      <c r="AT249" s="569"/>
      <c r="AU249" s="569"/>
      <c r="AV249" s="569"/>
      <c r="AW249" s="569"/>
      <c r="AX249" s="569"/>
      <c r="AY249" s="569"/>
      <c r="AZ249" s="569"/>
      <c r="BA249" s="569"/>
      <c r="BB249" s="569"/>
      <c r="BC249" s="569"/>
      <c r="BD249" s="569"/>
      <c r="BE249" s="569"/>
      <c r="BF249" s="569"/>
      <c r="BG249" s="569"/>
      <c r="BH249" s="569"/>
      <c r="BI249" s="569"/>
      <c r="BJ249" s="569"/>
      <c r="BK249" s="569"/>
      <c r="BL249" s="569"/>
      <c r="BM249" s="569"/>
      <c r="BN249" s="569"/>
      <c r="BO249" s="569"/>
      <c r="BP249" s="569"/>
      <c r="BQ249" s="569"/>
      <c r="BR249" s="569"/>
      <c r="BS249" s="569"/>
      <c r="BT249" s="569"/>
      <c r="BU249" s="569"/>
      <c r="BV249" s="569"/>
      <c r="BW249" s="569"/>
      <c r="BX249" s="569"/>
      <c r="BY249" s="569"/>
      <c r="BZ249" s="569"/>
      <c r="CA249" s="569"/>
      <c r="CB249" s="569"/>
      <c r="CC249" s="569"/>
      <c r="CD249" s="569"/>
      <c r="CE249" s="569"/>
      <c r="CF249" s="569"/>
      <c r="CG249" s="569"/>
      <c r="CH249" s="569"/>
      <c r="CI249" s="569"/>
      <c r="CJ249" s="569"/>
      <c r="CK249" s="569"/>
      <c r="CL249" s="569"/>
      <c r="CM249" s="569"/>
      <c r="CN249" s="569"/>
      <c r="CO249" s="569"/>
      <c r="CP249" s="569"/>
      <c r="CQ249" s="569"/>
      <c r="CR249" s="569"/>
      <c r="CS249" s="569"/>
      <c r="CT249" s="569"/>
      <c r="CU249" s="569"/>
      <c r="CV249" s="569"/>
      <c r="CW249" s="569"/>
      <c r="CX249" s="569"/>
      <c r="CY249" s="569"/>
      <c r="CZ249" s="569"/>
      <c r="DA249" s="569"/>
      <c r="DB249" s="569"/>
      <c r="DC249" s="569"/>
      <c r="DD249" s="569"/>
      <c r="DE249" s="569"/>
      <c r="DF249" s="569"/>
      <c r="DG249" s="569"/>
      <c r="DH249" s="569"/>
      <c r="DI249" s="569"/>
      <c r="DJ249" s="569"/>
      <c r="DK249" s="569"/>
      <c r="DL249" s="569"/>
      <c r="DM249" s="569"/>
      <c r="DN249" s="569"/>
      <c r="DO249" s="569"/>
      <c r="DP249" s="569"/>
      <c r="DQ249" s="569"/>
      <c r="DR249" s="569"/>
      <c r="DS249" s="569"/>
      <c r="DT249" s="569"/>
      <c r="DU249" s="569"/>
      <c r="DV249" s="569"/>
      <c r="DW249" s="569"/>
      <c r="DX249" s="569"/>
      <c r="DY249" s="569"/>
      <c r="DZ249" s="569"/>
      <c r="EA249" s="569"/>
      <c r="EB249" s="569"/>
      <c r="EC249" s="569"/>
      <c r="ED249" s="569"/>
      <c r="EE249" s="569"/>
      <c r="EF249" s="569"/>
      <c r="EG249" s="569"/>
      <c r="EH249" s="569"/>
      <c r="EI249" s="569"/>
      <c r="EJ249" s="569"/>
      <c r="EK249" s="569"/>
      <c r="EL249" s="569"/>
      <c r="EM249" s="569"/>
      <c r="EN249" s="569"/>
      <c r="EO249" s="569"/>
      <c r="EP249" s="569"/>
      <c r="EQ249" s="569"/>
      <c r="ER249" s="569"/>
      <c r="ES249" s="569"/>
      <c r="ET249" s="569"/>
      <c r="EU249" s="569"/>
      <c r="EV249" s="569"/>
      <c r="EW249" s="569"/>
      <c r="EX249" s="569"/>
      <c r="EY249" s="569"/>
      <c r="EZ249" s="569"/>
      <c r="FA249" s="569"/>
      <c r="FB249" s="569"/>
      <c r="FC249" s="569"/>
      <c r="FD249" s="569"/>
      <c r="FE249" s="569"/>
      <c r="FF249" s="569"/>
      <c r="FG249" s="569"/>
      <c r="FH249" s="569"/>
      <c r="FI249" s="569"/>
      <c r="FJ249" s="569"/>
      <c r="FK249" s="569"/>
      <c r="FL249" s="569"/>
      <c r="FM249" s="569"/>
      <c r="FN249" s="569"/>
      <c r="FO249" s="569"/>
      <c r="FP249" s="569"/>
      <c r="FQ249" s="569"/>
      <c r="FR249" s="569"/>
      <c r="FS249" s="569"/>
      <c r="FT249" s="569"/>
      <c r="FU249" s="569"/>
      <c r="FV249" s="569"/>
      <c r="FW249" s="569"/>
      <c r="FX249" s="569"/>
      <c r="FY249" s="569"/>
      <c r="FZ249" s="569"/>
      <c r="GA249" s="569"/>
      <c r="GB249" s="569"/>
      <c r="GC249" s="569"/>
      <c r="GD249" s="569"/>
      <c r="GE249" s="569"/>
      <c r="GF249" s="569"/>
      <c r="GG249" s="569"/>
      <c r="GH249" s="569"/>
      <c r="GI249" s="569"/>
      <c r="GJ249" s="569"/>
      <c r="GK249" s="569"/>
      <c r="GL249" s="569"/>
      <c r="GM249" s="569"/>
      <c r="GN249" s="569"/>
      <c r="GO249" s="569"/>
      <c r="GP249" s="569"/>
      <c r="GQ249" s="569"/>
      <c r="GR249" s="569"/>
      <c r="GS249" s="569"/>
      <c r="GT249" s="569"/>
    </row>
    <row r="250" spans="1:202" s="554" customFormat="1">
      <c r="A250" s="591"/>
      <c r="B250" s="569"/>
      <c r="C250" s="569"/>
      <c r="D250" s="569"/>
      <c r="E250" s="569"/>
      <c r="F250" s="569"/>
      <c r="G250" s="569"/>
      <c r="H250" s="569"/>
      <c r="I250" s="569"/>
      <c r="J250" s="569"/>
      <c r="K250" s="569"/>
      <c r="L250" s="569"/>
      <c r="M250" s="569"/>
      <c r="N250" s="569"/>
      <c r="O250" s="569"/>
      <c r="P250" s="569"/>
      <c r="Q250" s="569"/>
      <c r="R250" s="569"/>
      <c r="S250" s="569"/>
      <c r="T250" s="569"/>
      <c r="U250" s="569"/>
      <c r="V250" s="569"/>
      <c r="W250" s="569"/>
      <c r="X250" s="569"/>
      <c r="Y250" s="569"/>
      <c r="Z250" s="569"/>
      <c r="AA250" s="569"/>
      <c r="AB250" s="569"/>
      <c r="AC250" s="569"/>
      <c r="AD250" s="569"/>
      <c r="AE250" s="569"/>
      <c r="AF250" s="569"/>
      <c r="AG250" s="569"/>
      <c r="AH250" s="569"/>
      <c r="AI250" s="569"/>
      <c r="AJ250" s="569"/>
      <c r="AK250" s="569"/>
      <c r="AL250" s="569"/>
      <c r="AM250" s="569"/>
      <c r="AN250" s="569"/>
      <c r="AO250" s="569"/>
      <c r="AP250" s="569"/>
      <c r="AQ250" s="569"/>
      <c r="AR250" s="569"/>
      <c r="AS250" s="569"/>
      <c r="AT250" s="569"/>
      <c r="AU250" s="569"/>
      <c r="AV250" s="569"/>
      <c r="AW250" s="569"/>
      <c r="AX250" s="569"/>
      <c r="AY250" s="569"/>
      <c r="AZ250" s="569"/>
      <c r="BA250" s="569"/>
      <c r="BB250" s="569"/>
      <c r="BC250" s="569"/>
      <c r="BD250" s="569"/>
      <c r="BE250" s="569"/>
      <c r="BF250" s="569"/>
      <c r="BG250" s="569"/>
      <c r="BH250" s="569"/>
      <c r="BI250" s="569"/>
      <c r="BJ250" s="569"/>
      <c r="BK250" s="569"/>
      <c r="BL250" s="569"/>
      <c r="BM250" s="569"/>
      <c r="BN250" s="569"/>
      <c r="BO250" s="569"/>
      <c r="BP250" s="569"/>
      <c r="BQ250" s="569"/>
      <c r="BR250" s="569"/>
      <c r="BS250" s="569"/>
      <c r="BT250" s="569"/>
      <c r="BU250" s="569"/>
      <c r="BV250" s="569"/>
      <c r="BW250" s="569"/>
      <c r="BX250" s="569"/>
      <c r="BY250" s="569"/>
      <c r="BZ250" s="569"/>
      <c r="CA250" s="569"/>
      <c r="CB250" s="569"/>
      <c r="CC250" s="569"/>
      <c r="CD250" s="569"/>
      <c r="CE250" s="569"/>
      <c r="CF250" s="569"/>
      <c r="CG250" s="569"/>
      <c r="CH250" s="569"/>
      <c r="CI250" s="569"/>
      <c r="CJ250" s="569"/>
      <c r="CK250" s="569"/>
      <c r="CL250" s="569"/>
      <c r="CM250" s="569"/>
      <c r="CN250" s="569"/>
      <c r="CO250" s="569"/>
      <c r="CP250" s="569"/>
      <c r="CQ250" s="569"/>
      <c r="CR250" s="569"/>
      <c r="CS250" s="569"/>
      <c r="CT250" s="569"/>
      <c r="CU250" s="569"/>
      <c r="CV250" s="569"/>
      <c r="CW250" s="569"/>
      <c r="CX250" s="569"/>
      <c r="CY250" s="569"/>
      <c r="CZ250" s="569"/>
      <c r="DA250" s="569"/>
      <c r="DB250" s="569"/>
      <c r="DC250" s="569"/>
      <c r="DD250" s="569"/>
      <c r="DE250" s="569"/>
      <c r="DF250" s="569"/>
      <c r="DG250" s="569"/>
      <c r="DH250" s="569"/>
      <c r="DI250" s="569"/>
      <c r="DJ250" s="569"/>
      <c r="DK250" s="569"/>
      <c r="DL250" s="569"/>
      <c r="DM250" s="569"/>
      <c r="DN250" s="569"/>
      <c r="DO250" s="569"/>
      <c r="DP250" s="569"/>
      <c r="DQ250" s="569"/>
      <c r="DR250" s="569"/>
      <c r="DS250" s="569"/>
      <c r="DT250" s="569"/>
      <c r="DU250" s="569"/>
      <c r="DV250" s="569"/>
      <c r="DW250" s="569"/>
      <c r="DX250" s="569"/>
      <c r="DY250" s="569"/>
      <c r="DZ250" s="569"/>
      <c r="EA250" s="569"/>
      <c r="EB250" s="569"/>
      <c r="EC250" s="569"/>
      <c r="ED250" s="569"/>
      <c r="EE250" s="569"/>
      <c r="EF250" s="569"/>
      <c r="EG250" s="569"/>
      <c r="EH250" s="569"/>
      <c r="EI250" s="569"/>
      <c r="EJ250" s="569"/>
      <c r="EK250" s="569"/>
      <c r="EL250" s="569"/>
      <c r="EM250" s="569"/>
      <c r="EN250" s="569"/>
      <c r="EO250" s="569"/>
      <c r="EP250" s="569"/>
      <c r="EQ250" s="569"/>
      <c r="ER250" s="569"/>
      <c r="ES250" s="569"/>
      <c r="ET250" s="569"/>
      <c r="EU250" s="569"/>
      <c r="EV250" s="569"/>
      <c r="EW250" s="569"/>
      <c r="EX250" s="569"/>
      <c r="EY250" s="569"/>
      <c r="EZ250" s="569"/>
      <c r="FA250" s="569"/>
      <c r="FB250" s="569"/>
      <c r="FC250" s="569"/>
      <c r="FD250" s="569"/>
      <c r="FE250" s="569"/>
      <c r="FF250" s="569"/>
      <c r="FG250" s="569"/>
      <c r="FH250" s="569"/>
      <c r="FI250" s="569"/>
      <c r="FJ250" s="569"/>
      <c r="FK250" s="569"/>
      <c r="FL250" s="569"/>
      <c r="FM250" s="569"/>
      <c r="FN250" s="569"/>
      <c r="FO250" s="569"/>
      <c r="FP250" s="569"/>
      <c r="FQ250" s="569"/>
      <c r="FR250" s="569"/>
      <c r="FS250" s="569"/>
      <c r="FT250" s="569"/>
      <c r="FU250" s="569"/>
      <c r="FV250" s="569"/>
      <c r="FW250" s="569"/>
      <c r="FX250" s="569"/>
      <c r="FY250" s="569"/>
      <c r="FZ250" s="569"/>
      <c r="GA250" s="569"/>
      <c r="GB250" s="569"/>
      <c r="GC250" s="569"/>
      <c r="GD250" s="569"/>
      <c r="GE250" s="569"/>
      <c r="GF250" s="569"/>
      <c r="GG250" s="569"/>
      <c r="GH250" s="569"/>
      <c r="GI250" s="569"/>
      <c r="GJ250" s="569"/>
      <c r="GK250" s="569"/>
      <c r="GL250" s="569"/>
      <c r="GM250" s="569"/>
      <c r="GN250" s="569"/>
      <c r="GO250" s="569"/>
      <c r="GP250" s="569"/>
      <c r="GQ250" s="569"/>
      <c r="GR250" s="569"/>
      <c r="GS250" s="569"/>
      <c r="GT250" s="569"/>
    </row>
    <row r="251" spans="1:202" s="554" customFormat="1">
      <c r="A251" s="591"/>
      <c r="B251" s="569"/>
      <c r="C251" s="569"/>
      <c r="D251" s="569"/>
      <c r="E251" s="569"/>
      <c r="F251" s="569"/>
      <c r="G251" s="569"/>
      <c r="H251" s="569"/>
      <c r="I251" s="569"/>
      <c r="J251" s="569"/>
      <c r="K251" s="569"/>
      <c r="L251" s="569"/>
      <c r="M251" s="569"/>
      <c r="N251" s="569"/>
      <c r="O251" s="569"/>
      <c r="P251" s="569"/>
      <c r="Q251" s="569"/>
      <c r="R251" s="569"/>
      <c r="S251" s="569"/>
      <c r="T251" s="569"/>
      <c r="U251" s="569"/>
      <c r="V251" s="569"/>
      <c r="W251" s="569"/>
      <c r="X251" s="569"/>
      <c r="Y251" s="569"/>
      <c r="Z251" s="569"/>
      <c r="AA251" s="569"/>
      <c r="AB251" s="569"/>
      <c r="AC251" s="569"/>
      <c r="AD251" s="569"/>
      <c r="AE251" s="569"/>
      <c r="AF251" s="569"/>
      <c r="AG251" s="569"/>
      <c r="AH251" s="569"/>
      <c r="AI251" s="569"/>
      <c r="AJ251" s="569"/>
      <c r="AK251" s="569"/>
      <c r="AL251" s="569"/>
      <c r="AM251" s="569"/>
      <c r="AN251" s="569"/>
      <c r="AO251" s="569"/>
      <c r="AP251" s="569"/>
      <c r="AQ251" s="569"/>
      <c r="AR251" s="569"/>
      <c r="AS251" s="569"/>
      <c r="AT251" s="569"/>
      <c r="AU251" s="569"/>
      <c r="AV251" s="569"/>
      <c r="AW251" s="569"/>
      <c r="AX251" s="569"/>
      <c r="AY251" s="569"/>
      <c r="AZ251" s="569"/>
      <c r="BA251" s="569"/>
      <c r="BB251" s="569"/>
      <c r="BC251" s="569"/>
      <c r="BD251" s="569"/>
      <c r="BE251" s="569"/>
      <c r="BF251" s="569"/>
      <c r="BG251" s="569"/>
      <c r="BH251" s="569"/>
      <c r="BI251" s="569"/>
      <c r="BJ251" s="569"/>
      <c r="BK251" s="569"/>
      <c r="BL251" s="569"/>
      <c r="BM251" s="569"/>
      <c r="BN251" s="569"/>
      <c r="BO251" s="569"/>
      <c r="BP251" s="569"/>
      <c r="BQ251" s="569"/>
      <c r="BR251" s="569"/>
      <c r="BS251" s="569"/>
      <c r="BT251" s="569"/>
      <c r="BU251" s="569"/>
      <c r="BV251" s="569"/>
      <c r="BW251" s="569"/>
      <c r="BX251" s="569"/>
      <c r="BY251" s="569"/>
      <c r="BZ251" s="569"/>
      <c r="CA251" s="569"/>
      <c r="CB251" s="569"/>
      <c r="CC251" s="569"/>
      <c r="CD251" s="569"/>
      <c r="CE251" s="569"/>
      <c r="CF251" s="569"/>
      <c r="CG251" s="569"/>
      <c r="CH251" s="569"/>
      <c r="CI251" s="569"/>
      <c r="CJ251" s="569"/>
      <c r="CK251" s="569"/>
      <c r="CL251" s="569"/>
      <c r="CM251" s="569"/>
      <c r="CN251" s="569"/>
      <c r="CO251" s="569"/>
      <c r="CP251" s="569"/>
      <c r="CQ251" s="569"/>
      <c r="CR251" s="569"/>
      <c r="CS251" s="569"/>
      <c r="CT251" s="569"/>
      <c r="CU251" s="569"/>
      <c r="CV251" s="569"/>
      <c r="CW251" s="569"/>
      <c r="CX251" s="569"/>
      <c r="CY251" s="569"/>
      <c r="CZ251" s="569"/>
      <c r="DA251" s="569"/>
      <c r="DB251" s="569"/>
      <c r="DC251" s="569"/>
      <c r="DD251" s="569"/>
      <c r="DE251" s="569"/>
      <c r="DF251" s="569"/>
      <c r="DG251" s="569"/>
      <c r="DH251" s="569"/>
      <c r="DI251" s="569"/>
      <c r="DJ251" s="569"/>
      <c r="DK251" s="569"/>
      <c r="DL251" s="569"/>
      <c r="DM251" s="569"/>
      <c r="DN251" s="569"/>
      <c r="DO251" s="569"/>
      <c r="DP251" s="569"/>
      <c r="DQ251" s="569"/>
      <c r="DR251" s="569"/>
      <c r="DS251" s="569"/>
      <c r="DT251" s="569"/>
      <c r="DU251" s="569"/>
      <c r="DV251" s="569"/>
      <c r="DW251" s="569"/>
      <c r="DX251" s="569"/>
      <c r="DY251" s="569"/>
      <c r="DZ251" s="569"/>
      <c r="EA251" s="569"/>
      <c r="EB251" s="569"/>
      <c r="EC251" s="569"/>
      <c r="ED251" s="569"/>
      <c r="EE251" s="569"/>
      <c r="EF251" s="569"/>
      <c r="EG251" s="569"/>
      <c r="EH251" s="569"/>
      <c r="EI251" s="569"/>
      <c r="EJ251" s="569"/>
      <c r="EK251" s="569"/>
      <c r="EL251" s="569"/>
      <c r="EM251" s="569"/>
      <c r="EN251" s="569"/>
      <c r="EO251" s="569"/>
      <c r="EP251" s="569"/>
      <c r="EQ251" s="569"/>
      <c r="ER251" s="569"/>
      <c r="ES251" s="569"/>
      <c r="ET251" s="569"/>
      <c r="EU251" s="569"/>
      <c r="EV251" s="569"/>
      <c r="EW251" s="569"/>
      <c r="EX251" s="569"/>
      <c r="EY251" s="569"/>
      <c r="EZ251" s="569"/>
      <c r="FA251" s="569"/>
      <c r="FB251" s="569"/>
      <c r="FC251" s="569"/>
      <c r="FD251" s="569"/>
      <c r="FE251" s="569"/>
      <c r="FF251" s="569"/>
      <c r="FG251" s="569"/>
      <c r="FH251" s="569"/>
      <c r="FI251" s="569"/>
      <c r="FJ251" s="569"/>
      <c r="FK251" s="569"/>
      <c r="FL251" s="569"/>
      <c r="FM251" s="569"/>
      <c r="FN251" s="569"/>
      <c r="FO251" s="569"/>
      <c r="FP251" s="569"/>
      <c r="FQ251" s="569"/>
      <c r="FR251" s="569"/>
      <c r="FS251" s="569"/>
      <c r="FT251" s="569"/>
      <c r="FU251" s="569"/>
      <c r="FV251" s="569"/>
      <c r="FW251" s="569"/>
      <c r="FX251" s="569"/>
      <c r="FY251" s="569"/>
      <c r="FZ251" s="569"/>
      <c r="GA251" s="569"/>
      <c r="GB251" s="569"/>
      <c r="GC251" s="569"/>
      <c r="GD251" s="569"/>
      <c r="GE251" s="569"/>
      <c r="GF251" s="569"/>
      <c r="GG251" s="569"/>
      <c r="GH251" s="569"/>
      <c r="GI251" s="569"/>
      <c r="GJ251" s="569"/>
      <c r="GK251" s="569"/>
      <c r="GL251" s="569"/>
      <c r="GM251" s="569"/>
      <c r="GN251" s="569"/>
      <c r="GO251" s="569"/>
      <c r="GP251" s="569"/>
      <c r="GQ251" s="569"/>
      <c r="GR251" s="569"/>
      <c r="GS251" s="569"/>
      <c r="GT251" s="569"/>
    </row>
    <row r="252" spans="1:202" s="554" customFormat="1">
      <c r="A252" s="591"/>
      <c r="B252" s="569"/>
      <c r="C252" s="569"/>
      <c r="D252" s="569"/>
      <c r="E252" s="569"/>
      <c r="F252" s="569"/>
      <c r="G252" s="569"/>
      <c r="H252" s="569"/>
      <c r="I252" s="569"/>
      <c r="J252" s="569"/>
      <c r="K252" s="569"/>
      <c r="L252" s="569"/>
      <c r="M252" s="569"/>
      <c r="N252" s="569"/>
      <c r="O252" s="569"/>
      <c r="P252" s="569"/>
      <c r="Q252" s="569"/>
      <c r="R252" s="569"/>
      <c r="S252" s="569"/>
      <c r="T252" s="569"/>
      <c r="U252" s="569"/>
      <c r="V252" s="569"/>
      <c r="W252" s="569"/>
      <c r="X252" s="569"/>
      <c r="Y252" s="569"/>
      <c r="Z252" s="569"/>
      <c r="AA252" s="569"/>
      <c r="AB252" s="569"/>
      <c r="AC252" s="569"/>
      <c r="AD252" s="569"/>
      <c r="AE252" s="569"/>
      <c r="AF252" s="569"/>
      <c r="AG252" s="569"/>
      <c r="AH252" s="569"/>
      <c r="AI252" s="569"/>
      <c r="AJ252" s="569"/>
      <c r="AK252" s="569"/>
      <c r="AL252" s="569"/>
      <c r="AM252" s="569"/>
      <c r="AN252" s="569"/>
      <c r="AO252" s="569"/>
      <c r="AP252" s="569"/>
      <c r="AQ252" s="569"/>
      <c r="AR252" s="569"/>
      <c r="AS252" s="569"/>
      <c r="AT252" s="569"/>
      <c r="AU252" s="569"/>
      <c r="AV252" s="569"/>
      <c r="AW252" s="569"/>
      <c r="AX252" s="569"/>
      <c r="AY252" s="569"/>
      <c r="AZ252" s="569"/>
      <c r="BA252" s="569"/>
      <c r="BB252" s="569"/>
      <c r="BC252" s="569"/>
      <c r="BD252" s="569"/>
      <c r="BE252" s="569"/>
      <c r="BF252" s="569"/>
      <c r="BG252" s="569"/>
      <c r="BH252" s="569"/>
      <c r="BI252" s="569"/>
      <c r="BJ252" s="569"/>
      <c r="BK252" s="569"/>
      <c r="BL252" s="569"/>
      <c r="BM252" s="569"/>
      <c r="BN252" s="569"/>
      <c r="BO252" s="569"/>
      <c r="BP252" s="569"/>
      <c r="BQ252" s="569"/>
      <c r="BR252" s="569"/>
      <c r="BS252" s="569"/>
      <c r="BT252" s="569"/>
      <c r="BU252" s="569"/>
      <c r="BV252" s="569"/>
      <c r="BW252" s="569"/>
      <c r="BX252" s="569"/>
      <c r="BY252" s="569"/>
      <c r="BZ252" s="569"/>
      <c r="CA252" s="569"/>
      <c r="CB252" s="569"/>
      <c r="CC252" s="569"/>
      <c r="CD252" s="569"/>
      <c r="CE252" s="569"/>
      <c r="CF252" s="569"/>
      <c r="CG252" s="569"/>
      <c r="CH252" s="569"/>
      <c r="CI252" s="569"/>
      <c r="CJ252" s="569"/>
      <c r="CK252" s="569"/>
      <c r="CL252" s="569"/>
      <c r="CM252" s="569"/>
      <c r="CN252" s="569"/>
      <c r="CO252" s="569"/>
      <c r="CP252" s="569"/>
      <c r="CQ252" s="569"/>
      <c r="CR252" s="569"/>
      <c r="CS252" s="569"/>
      <c r="CT252" s="569"/>
      <c r="CU252" s="569"/>
      <c r="CV252" s="569"/>
      <c r="CW252" s="569"/>
      <c r="CX252" s="569"/>
      <c r="CY252" s="569"/>
      <c r="CZ252" s="569"/>
      <c r="DA252" s="569"/>
      <c r="DB252" s="569"/>
      <c r="DC252" s="569"/>
      <c r="DD252" s="569"/>
      <c r="DE252" s="569"/>
      <c r="DF252" s="569"/>
      <c r="DG252" s="569"/>
      <c r="DH252" s="569"/>
      <c r="DI252" s="569"/>
      <c r="DJ252" s="569"/>
      <c r="DK252" s="569"/>
      <c r="DL252" s="569"/>
      <c r="DM252" s="569"/>
      <c r="DN252" s="569"/>
      <c r="DO252" s="569"/>
      <c r="DP252" s="569"/>
      <c r="DQ252" s="569"/>
      <c r="DR252" s="569"/>
      <c r="DS252" s="569"/>
      <c r="DT252" s="569"/>
      <c r="DU252" s="569"/>
      <c r="DV252" s="569"/>
      <c r="DW252" s="569"/>
      <c r="DX252" s="569"/>
      <c r="DY252" s="569"/>
      <c r="DZ252" s="569"/>
      <c r="EA252" s="569"/>
      <c r="EB252" s="569"/>
      <c r="EC252" s="569"/>
      <c r="ED252" s="569"/>
      <c r="EE252" s="569"/>
      <c r="EF252" s="569"/>
      <c r="EG252" s="569"/>
      <c r="EH252" s="569"/>
      <c r="EI252" s="569"/>
      <c r="EJ252" s="569"/>
      <c r="EK252" s="569"/>
      <c r="EL252" s="569"/>
      <c r="EM252" s="569"/>
      <c r="EN252" s="569"/>
      <c r="EO252" s="569"/>
      <c r="EP252" s="569"/>
      <c r="EQ252" s="569"/>
      <c r="ER252" s="569"/>
      <c r="ES252" s="569"/>
      <c r="ET252" s="569"/>
      <c r="EU252" s="569"/>
      <c r="EV252" s="569"/>
      <c r="EW252" s="569"/>
      <c r="EX252" s="569"/>
      <c r="EY252" s="569"/>
      <c r="EZ252" s="569"/>
      <c r="FA252" s="569"/>
      <c r="FB252" s="569"/>
      <c r="FC252" s="569"/>
      <c r="FD252" s="569"/>
      <c r="FE252" s="569"/>
      <c r="FF252" s="569"/>
      <c r="FG252" s="569"/>
      <c r="FH252" s="569"/>
      <c r="FI252" s="569"/>
      <c r="FJ252" s="569"/>
      <c r="FK252" s="569"/>
      <c r="FL252" s="569"/>
      <c r="FM252" s="569"/>
      <c r="FN252" s="569"/>
      <c r="FO252" s="569"/>
      <c r="FP252" s="569"/>
      <c r="FQ252" s="569"/>
      <c r="FR252" s="569"/>
      <c r="FS252" s="569"/>
      <c r="FT252" s="569"/>
      <c r="FU252" s="569"/>
      <c r="FV252" s="569"/>
      <c r="FW252" s="569"/>
      <c r="FX252" s="569"/>
      <c r="FY252" s="569"/>
      <c r="FZ252" s="569"/>
      <c r="GA252" s="569"/>
      <c r="GB252" s="569"/>
      <c r="GC252" s="569"/>
      <c r="GD252" s="569"/>
      <c r="GE252" s="569"/>
      <c r="GF252" s="569"/>
      <c r="GG252" s="569"/>
      <c r="GH252" s="569"/>
      <c r="GI252" s="569"/>
      <c r="GJ252" s="569"/>
      <c r="GK252" s="569"/>
      <c r="GL252" s="569"/>
      <c r="GM252" s="569"/>
      <c r="GN252" s="569"/>
      <c r="GO252" s="569"/>
      <c r="GP252" s="569"/>
      <c r="GQ252" s="569"/>
      <c r="GR252" s="569"/>
      <c r="GS252" s="569"/>
      <c r="GT252" s="569"/>
    </row>
    <row r="253" spans="1:202" s="554" customFormat="1">
      <c r="A253" s="591"/>
      <c r="B253" s="569"/>
      <c r="C253" s="569"/>
      <c r="D253" s="569"/>
      <c r="E253" s="569"/>
      <c r="F253" s="569"/>
      <c r="G253" s="569"/>
      <c r="H253" s="569"/>
      <c r="I253" s="569"/>
      <c r="J253" s="569"/>
      <c r="K253" s="569"/>
      <c r="L253" s="569"/>
      <c r="M253" s="569"/>
      <c r="N253" s="569"/>
      <c r="O253" s="569"/>
      <c r="P253" s="569"/>
      <c r="Q253" s="569"/>
      <c r="R253" s="569"/>
      <c r="S253" s="569"/>
      <c r="T253" s="569"/>
      <c r="U253" s="569"/>
      <c r="V253" s="569"/>
      <c r="W253" s="569"/>
      <c r="X253" s="569"/>
      <c r="Y253" s="569"/>
      <c r="Z253" s="569"/>
      <c r="AA253" s="569"/>
      <c r="AB253" s="569"/>
      <c r="AC253" s="569"/>
      <c r="AD253" s="569"/>
      <c r="AE253" s="569"/>
      <c r="AF253" s="569"/>
      <c r="AG253" s="569"/>
      <c r="AH253" s="569"/>
      <c r="AI253" s="569"/>
      <c r="AJ253" s="569"/>
      <c r="AK253" s="569"/>
      <c r="AL253" s="569"/>
      <c r="AM253" s="569"/>
      <c r="AN253" s="569"/>
      <c r="AO253" s="569"/>
      <c r="AP253" s="569"/>
      <c r="AQ253" s="569"/>
      <c r="AR253" s="569"/>
      <c r="AS253" s="569"/>
      <c r="AT253" s="569"/>
      <c r="AU253" s="569"/>
      <c r="AV253" s="569"/>
      <c r="AW253" s="569"/>
      <c r="AX253" s="569"/>
      <c r="AY253" s="569"/>
      <c r="AZ253" s="569"/>
      <c r="BA253" s="569"/>
      <c r="BB253" s="569"/>
      <c r="BC253" s="569"/>
      <c r="BD253" s="569"/>
      <c r="BE253" s="569"/>
      <c r="BF253" s="569"/>
      <c r="BG253" s="569"/>
      <c r="BH253" s="569"/>
      <c r="BI253" s="569"/>
      <c r="BJ253" s="569"/>
      <c r="BK253" s="569"/>
      <c r="BL253" s="569"/>
      <c r="BM253" s="569"/>
      <c r="BN253" s="569"/>
      <c r="BO253" s="569"/>
      <c r="BP253" s="569"/>
      <c r="BQ253" s="569"/>
      <c r="BR253" s="569"/>
      <c r="BS253" s="569"/>
      <c r="BT253" s="569"/>
      <c r="BU253" s="569"/>
      <c r="BV253" s="569"/>
      <c r="BW253" s="569"/>
      <c r="BX253" s="569"/>
      <c r="BY253" s="569"/>
      <c r="BZ253" s="569"/>
      <c r="CA253" s="569"/>
      <c r="CB253" s="569"/>
      <c r="CC253" s="569"/>
      <c r="CD253" s="569"/>
      <c r="CE253" s="569"/>
      <c r="CF253" s="569"/>
      <c r="CG253" s="569"/>
      <c r="CH253" s="569"/>
      <c r="CI253" s="569"/>
      <c r="CJ253" s="569"/>
      <c r="CK253" s="569"/>
      <c r="CL253" s="569"/>
      <c r="CM253" s="569"/>
      <c r="CN253" s="569"/>
      <c r="CO253" s="569"/>
      <c r="CP253" s="569"/>
      <c r="CQ253" s="569"/>
      <c r="CR253" s="569"/>
      <c r="CS253" s="569"/>
      <c r="CT253" s="569"/>
      <c r="CU253" s="569"/>
      <c r="CV253" s="569"/>
      <c r="CW253" s="569"/>
      <c r="CX253" s="569"/>
      <c r="CY253" s="569"/>
      <c r="CZ253" s="569"/>
      <c r="DA253" s="569"/>
      <c r="DB253" s="569"/>
      <c r="DC253" s="569"/>
      <c r="DD253" s="569"/>
      <c r="DE253" s="569"/>
      <c r="DF253" s="569"/>
      <c r="DG253" s="569"/>
      <c r="DH253" s="569"/>
      <c r="DI253" s="569"/>
      <c r="DJ253" s="569"/>
      <c r="DK253" s="569"/>
      <c r="DL253" s="569"/>
      <c r="DM253" s="569"/>
      <c r="DN253" s="569"/>
      <c r="DO253" s="569"/>
      <c r="DP253" s="569"/>
      <c r="DQ253" s="569"/>
      <c r="DR253" s="569"/>
      <c r="DS253" s="569"/>
      <c r="DT253" s="569"/>
      <c r="DU253" s="569"/>
      <c r="DV253" s="569"/>
      <c r="DW253" s="569"/>
      <c r="DX253" s="569"/>
      <c r="DY253" s="569"/>
      <c r="DZ253" s="569"/>
      <c r="EA253" s="569"/>
      <c r="EB253" s="569"/>
      <c r="EC253" s="569"/>
      <c r="ED253" s="569"/>
      <c r="EE253" s="569"/>
      <c r="EF253" s="569"/>
      <c r="EG253" s="569"/>
      <c r="EH253" s="569"/>
      <c r="EI253" s="569"/>
      <c r="EJ253" s="569"/>
      <c r="EK253" s="569"/>
      <c r="EL253" s="569"/>
      <c r="EM253" s="569"/>
      <c r="EN253" s="569"/>
      <c r="EO253" s="569"/>
      <c r="EP253" s="569"/>
      <c r="EQ253" s="569"/>
      <c r="ER253" s="569"/>
      <c r="ES253" s="569"/>
      <c r="ET253" s="569"/>
      <c r="EU253" s="569"/>
      <c r="EV253" s="569"/>
      <c r="EW253" s="569"/>
      <c r="EX253" s="569"/>
      <c r="EY253" s="569"/>
      <c r="EZ253" s="569"/>
      <c r="FA253" s="569"/>
      <c r="FB253" s="569"/>
      <c r="FC253" s="569"/>
      <c r="FD253" s="569"/>
      <c r="FE253" s="569"/>
      <c r="FF253" s="569"/>
      <c r="FG253" s="569"/>
      <c r="FH253" s="569"/>
      <c r="FI253" s="569"/>
      <c r="FJ253" s="569"/>
      <c r="FK253" s="569"/>
      <c r="FL253" s="569"/>
      <c r="FM253" s="569"/>
      <c r="FN253" s="569"/>
      <c r="FO253" s="569"/>
      <c r="FP253" s="569"/>
      <c r="FQ253" s="569"/>
      <c r="FR253" s="569"/>
      <c r="FS253" s="569"/>
      <c r="FT253" s="569"/>
      <c r="FU253" s="569"/>
      <c r="FV253" s="569"/>
      <c r="FW253" s="569"/>
      <c r="FX253" s="569"/>
      <c r="FY253" s="569"/>
      <c r="FZ253" s="569"/>
      <c r="GA253" s="569"/>
      <c r="GB253" s="569"/>
      <c r="GC253" s="569"/>
      <c r="GD253" s="569"/>
      <c r="GE253" s="569"/>
      <c r="GF253" s="569"/>
      <c r="GG253" s="569"/>
      <c r="GH253" s="569"/>
      <c r="GI253" s="569"/>
      <c r="GJ253" s="569"/>
      <c r="GK253" s="569"/>
      <c r="GL253" s="569"/>
      <c r="GM253" s="569"/>
      <c r="GN253" s="569"/>
      <c r="GO253" s="569"/>
      <c r="GP253" s="569"/>
      <c r="GQ253" s="569"/>
      <c r="GR253" s="569"/>
      <c r="GS253" s="569"/>
      <c r="GT253" s="569"/>
    </row>
    <row r="254" spans="1:202" s="554" customFormat="1">
      <c r="A254" s="591"/>
      <c r="B254" s="569"/>
      <c r="C254" s="569"/>
      <c r="D254" s="569"/>
      <c r="E254" s="569"/>
      <c r="F254" s="569"/>
      <c r="G254" s="569"/>
      <c r="H254" s="569"/>
      <c r="I254" s="569"/>
      <c r="J254" s="569"/>
      <c r="K254" s="569"/>
      <c r="L254" s="569"/>
      <c r="M254" s="569"/>
      <c r="N254" s="569"/>
      <c r="O254" s="569"/>
      <c r="P254" s="569"/>
      <c r="Q254" s="569"/>
      <c r="R254" s="569"/>
      <c r="S254" s="569"/>
      <c r="T254" s="569"/>
      <c r="U254" s="569"/>
      <c r="V254" s="569"/>
      <c r="W254" s="569"/>
      <c r="X254" s="569"/>
      <c r="Y254" s="569"/>
      <c r="Z254" s="569"/>
      <c r="AA254" s="569"/>
      <c r="AB254" s="569"/>
      <c r="AC254" s="569"/>
      <c r="AD254" s="569"/>
      <c r="AE254" s="569"/>
      <c r="AF254" s="569"/>
      <c r="AG254" s="569"/>
      <c r="AH254" s="569"/>
      <c r="AI254" s="569"/>
      <c r="AJ254" s="569"/>
      <c r="AK254" s="569"/>
      <c r="AL254" s="569"/>
      <c r="AM254" s="569"/>
      <c r="AN254" s="569"/>
      <c r="AO254" s="569"/>
      <c r="AP254" s="569"/>
      <c r="AQ254" s="569"/>
      <c r="AR254" s="569"/>
      <c r="AS254" s="569"/>
      <c r="AT254" s="569"/>
      <c r="AU254" s="569"/>
      <c r="AV254" s="569"/>
      <c r="AW254" s="569"/>
      <c r="AX254" s="569"/>
      <c r="AY254" s="569"/>
      <c r="AZ254" s="569"/>
      <c r="BA254" s="569"/>
      <c r="BB254" s="569"/>
      <c r="BC254" s="569"/>
      <c r="BD254" s="569"/>
      <c r="BE254" s="569"/>
      <c r="BF254" s="569"/>
      <c r="BG254" s="569"/>
      <c r="BH254" s="569"/>
      <c r="BI254" s="569"/>
      <c r="BJ254" s="569"/>
      <c r="BK254" s="569"/>
      <c r="BL254" s="569"/>
      <c r="BM254" s="569"/>
      <c r="BN254" s="569"/>
      <c r="BO254" s="569"/>
      <c r="BP254" s="569"/>
      <c r="BQ254" s="569"/>
      <c r="BR254" s="569"/>
      <c r="BS254" s="569"/>
      <c r="BT254" s="569"/>
      <c r="BU254" s="569"/>
      <c r="BV254" s="569"/>
      <c r="BW254" s="569"/>
      <c r="BX254" s="569"/>
      <c r="BY254" s="569"/>
      <c r="BZ254" s="569"/>
      <c r="CA254" s="569"/>
      <c r="CB254" s="569"/>
      <c r="CC254" s="569"/>
      <c r="CD254" s="569"/>
      <c r="CE254" s="569"/>
      <c r="CF254" s="569"/>
      <c r="CG254" s="569"/>
      <c r="CH254" s="569"/>
      <c r="CI254" s="569"/>
      <c r="CJ254" s="569"/>
      <c r="CK254" s="569"/>
      <c r="CL254" s="569"/>
      <c r="CM254" s="569"/>
      <c r="CN254" s="569"/>
      <c r="CO254" s="569"/>
      <c r="CP254" s="569"/>
      <c r="CQ254" s="569"/>
      <c r="CR254" s="569"/>
      <c r="CS254" s="569"/>
      <c r="CT254" s="569"/>
      <c r="CU254" s="569"/>
      <c r="CV254" s="569"/>
      <c r="CW254" s="569"/>
      <c r="CX254" s="569"/>
      <c r="CY254" s="569"/>
      <c r="CZ254" s="569"/>
      <c r="DA254" s="569"/>
      <c r="DB254" s="569"/>
      <c r="DC254" s="569"/>
      <c r="DD254" s="569"/>
      <c r="DE254" s="569"/>
      <c r="DF254" s="569"/>
      <c r="DG254" s="569"/>
      <c r="DH254" s="569"/>
      <c r="DI254" s="569"/>
      <c r="DJ254" s="569"/>
      <c r="DK254" s="569"/>
      <c r="DL254" s="569"/>
      <c r="DM254" s="569"/>
      <c r="DN254" s="569"/>
      <c r="DO254" s="569"/>
      <c r="DP254" s="569"/>
      <c r="DQ254" s="569"/>
      <c r="DR254" s="569"/>
      <c r="DS254" s="569"/>
      <c r="DT254" s="569"/>
      <c r="DU254" s="569"/>
      <c r="DV254" s="569"/>
      <c r="DW254" s="569"/>
      <c r="DX254" s="569"/>
      <c r="DY254" s="569"/>
      <c r="DZ254" s="569"/>
      <c r="EA254" s="569"/>
      <c r="EB254" s="569"/>
      <c r="EC254" s="569"/>
      <c r="ED254" s="569"/>
      <c r="EE254" s="569"/>
      <c r="EF254" s="569"/>
      <c r="EG254" s="569"/>
      <c r="EH254" s="569"/>
      <c r="EI254" s="569"/>
      <c r="EJ254" s="569"/>
      <c r="EK254" s="569"/>
      <c r="EL254" s="569"/>
      <c r="EM254" s="569"/>
      <c r="EN254" s="569"/>
      <c r="EO254" s="569"/>
      <c r="EP254" s="569"/>
      <c r="EQ254" s="569"/>
      <c r="ER254" s="569"/>
      <c r="ES254" s="569"/>
      <c r="ET254" s="569"/>
      <c r="EU254" s="569"/>
      <c r="EV254" s="569"/>
      <c r="EW254" s="569"/>
      <c r="EX254" s="569"/>
      <c r="EY254" s="569"/>
      <c r="EZ254" s="569"/>
      <c r="FA254" s="569"/>
      <c r="FB254" s="569"/>
      <c r="FC254" s="569"/>
      <c r="FD254" s="569"/>
      <c r="FE254" s="569"/>
      <c r="FF254" s="569"/>
      <c r="FG254" s="569"/>
      <c r="FH254" s="569"/>
      <c r="FI254" s="569"/>
      <c r="FJ254" s="569"/>
      <c r="FK254" s="569"/>
      <c r="FL254" s="569"/>
      <c r="FM254" s="569"/>
      <c r="FN254" s="569"/>
      <c r="FO254" s="569"/>
      <c r="FP254" s="569"/>
      <c r="FQ254" s="569"/>
      <c r="FR254" s="569"/>
      <c r="FS254" s="569"/>
      <c r="FT254" s="569"/>
      <c r="FU254" s="569"/>
      <c r="FV254" s="569"/>
      <c r="FW254" s="569"/>
      <c r="FX254" s="569"/>
      <c r="FY254" s="569"/>
      <c r="FZ254" s="569"/>
      <c r="GA254" s="569"/>
      <c r="GB254" s="569"/>
      <c r="GC254" s="569"/>
      <c r="GD254" s="569"/>
      <c r="GE254" s="569"/>
      <c r="GF254" s="569"/>
      <c r="GG254" s="569"/>
      <c r="GH254" s="569"/>
      <c r="GI254" s="569"/>
      <c r="GJ254" s="569"/>
      <c r="GK254" s="569"/>
      <c r="GL254" s="569"/>
      <c r="GM254" s="569"/>
      <c r="GN254" s="569"/>
      <c r="GO254" s="569"/>
      <c r="GP254" s="569"/>
      <c r="GQ254" s="569"/>
      <c r="GR254" s="569"/>
      <c r="GS254" s="569"/>
      <c r="GT254" s="569"/>
    </row>
    <row r="255" spans="1:202" s="554" customFormat="1">
      <c r="A255" s="591"/>
      <c r="B255" s="569"/>
      <c r="C255" s="569"/>
      <c r="D255" s="569"/>
      <c r="E255" s="569"/>
      <c r="F255" s="569"/>
      <c r="G255" s="569"/>
      <c r="H255" s="569"/>
      <c r="I255" s="569"/>
      <c r="J255" s="569"/>
      <c r="K255" s="569"/>
      <c r="L255" s="569"/>
      <c r="M255" s="569"/>
      <c r="N255" s="569"/>
      <c r="O255" s="569"/>
      <c r="P255" s="569"/>
      <c r="Q255" s="569"/>
      <c r="R255" s="569"/>
      <c r="S255" s="569"/>
      <c r="T255" s="569"/>
      <c r="U255" s="569"/>
      <c r="V255" s="569"/>
      <c r="W255" s="569"/>
      <c r="X255" s="569"/>
      <c r="Y255" s="569"/>
      <c r="Z255" s="569"/>
      <c r="AA255" s="569"/>
      <c r="AB255" s="569"/>
      <c r="AC255" s="569"/>
      <c r="AD255" s="569"/>
      <c r="AE255" s="569"/>
      <c r="AF255" s="569"/>
      <c r="AG255" s="569"/>
      <c r="AH255" s="569"/>
      <c r="AI255" s="569"/>
      <c r="AJ255" s="569"/>
      <c r="AK255" s="569"/>
      <c r="AL255" s="569"/>
      <c r="AM255" s="569"/>
      <c r="AN255" s="569"/>
      <c r="AO255" s="569"/>
      <c r="AP255" s="569"/>
      <c r="AQ255" s="569"/>
      <c r="AR255" s="569"/>
      <c r="AS255" s="569"/>
      <c r="AT255" s="569"/>
      <c r="AU255" s="569"/>
      <c r="AV255" s="569"/>
      <c r="AW255" s="569"/>
      <c r="AX255" s="569"/>
      <c r="AY255" s="569"/>
      <c r="AZ255" s="569"/>
      <c r="BA255" s="569"/>
      <c r="BB255" s="569"/>
      <c r="BC255" s="569"/>
      <c r="BD255" s="569"/>
      <c r="BE255" s="569"/>
      <c r="BF255" s="569"/>
      <c r="BG255" s="569"/>
      <c r="BH255" s="569"/>
      <c r="BI255" s="569"/>
      <c r="BJ255" s="569"/>
      <c r="BK255" s="569"/>
      <c r="BL255" s="569"/>
      <c r="BM255" s="569"/>
      <c r="BN255" s="569"/>
      <c r="BO255" s="569"/>
      <c r="BP255" s="569"/>
      <c r="BQ255" s="569"/>
      <c r="BR255" s="569"/>
      <c r="BS255" s="569"/>
      <c r="BT255" s="569"/>
      <c r="BU255" s="569"/>
      <c r="BV255" s="569"/>
      <c r="BW255" s="569"/>
      <c r="BX255" s="569"/>
      <c r="BY255" s="569"/>
      <c r="BZ255" s="569"/>
      <c r="CA255" s="569"/>
      <c r="CB255" s="569"/>
      <c r="CC255" s="569"/>
      <c r="CD255" s="569"/>
      <c r="CE255" s="569"/>
      <c r="CF255" s="569"/>
      <c r="CG255" s="569"/>
      <c r="CH255" s="569"/>
      <c r="CI255" s="569"/>
      <c r="CJ255" s="569"/>
      <c r="CK255" s="569"/>
      <c r="CL255" s="569"/>
      <c r="CM255" s="569"/>
      <c r="CN255" s="569"/>
      <c r="CO255" s="569"/>
      <c r="CP255" s="569"/>
      <c r="CQ255" s="569"/>
      <c r="CR255" s="569"/>
      <c r="CS255" s="569"/>
      <c r="CT255" s="569"/>
      <c r="CU255" s="569"/>
      <c r="CV255" s="569"/>
      <c r="CW255" s="569"/>
      <c r="CX255" s="569"/>
      <c r="CY255" s="569"/>
      <c r="CZ255" s="569"/>
      <c r="DA255" s="569"/>
      <c r="DB255" s="569"/>
      <c r="DC255" s="569"/>
      <c r="DD255" s="569"/>
      <c r="DE255" s="569"/>
      <c r="DF255" s="569"/>
      <c r="DG255" s="569"/>
      <c r="DH255" s="569"/>
      <c r="DI255" s="569"/>
      <c r="DJ255" s="569"/>
      <c r="DK255" s="569"/>
      <c r="DL255" s="569"/>
      <c r="DM255" s="569"/>
      <c r="DN255" s="569"/>
      <c r="DO255" s="569"/>
      <c r="DP255" s="569"/>
      <c r="DQ255" s="569"/>
      <c r="DR255" s="569"/>
      <c r="DS255" s="569"/>
      <c r="DT255" s="569"/>
      <c r="DU255" s="569"/>
      <c r="DV255" s="569"/>
      <c r="DW255" s="569"/>
      <c r="DX255" s="569"/>
      <c r="DY255" s="569"/>
      <c r="DZ255" s="569"/>
      <c r="EA255" s="569"/>
      <c r="EB255" s="569"/>
      <c r="EC255" s="569"/>
      <c r="ED255" s="569"/>
      <c r="EE255" s="569"/>
      <c r="EF255" s="569"/>
      <c r="EG255" s="569"/>
      <c r="EH255" s="569"/>
      <c r="EI255" s="569"/>
      <c r="EJ255" s="569"/>
      <c r="EK255" s="569"/>
      <c r="EL255" s="569"/>
      <c r="EM255" s="569"/>
      <c r="EN255" s="569"/>
      <c r="EO255" s="569"/>
      <c r="EP255" s="569"/>
      <c r="EQ255" s="569"/>
      <c r="ER255" s="569"/>
      <c r="ES255" s="569"/>
      <c r="ET255" s="569"/>
      <c r="EU255" s="569"/>
      <c r="EV255" s="569"/>
      <c r="EW255" s="569"/>
      <c r="EX255" s="569"/>
      <c r="EY255" s="569"/>
      <c r="EZ255" s="569"/>
      <c r="FA255" s="569"/>
      <c r="FB255" s="569"/>
      <c r="FC255" s="569"/>
      <c r="FD255" s="569"/>
      <c r="FE255" s="569"/>
      <c r="FF255" s="569"/>
      <c r="FG255" s="569"/>
      <c r="FH255" s="569"/>
      <c r="FI255" s="569"/>
      <c r="FJ255" s="569"/>
      <c r="FK255" s="569"/>
      <c r="FL255" s="569"/>
      <c r="FM255" s="569"/>
      <c r="FN255" s="569"/>
      <c r="FO255" s="569"/>
      <c r="FP255" s="569"/>
      <c r="FQ255" s="569"/>
      <c r="FR255" s="569"/>
      <c r="FS255" s="569"/>
      <c r="FT255" s="569"/>
      <c r="FU255" s="569"/>
      <c r="FV255" s="569"/>
      <c r="FW255" s="569"/>
      <c r="FX255" s="569"/>
      <c r="FY255" s="569"/>
      <c r="FZ255" s="569"/>
      <c r="GA255" s="569"/>
      <c r="GB255" s="569"/>
      <c r="GC255" s="569"/>
      <c r="GD255" s="569"/>
      <c r="GE255" s="569"/>
      <c r="GF255" s="569"/>
      <c r="GG255" s="569"/>
      <c r="GH255" s="569"/>
      <c r="GI255" s="569"/>
      <c r="GJ255" s="569"/>
      <c r="GK255" s="569"/>
      <c r="GL255" s="569"/>
      <c r="GM255" s="569"/>
      <c r="GN255" s="569"/>
      <c r="GO255" s="569"/>
      <c r="GP255" s="569"/>
      <c r="GQ255" s="569"/>
      <c r="GR255" s="569"/>
      <c r="GS255" s="569"/>
      <c r="GT255" s="569"/>
    </row>
    <row r="256" spans="1:202" s="554" customFormat="1">
      <c r="A256" s="591"/>
      <c r="B256" s="569"/>
      <c r="C256" s="569"/>
      <c r="D256" s="569"/>
      <c r="E256" s="569"/>
      <c r="F256" s="569"/>
      <c r="G256" s="569"/>
      <c r="H256" s="569"/>
      <c r="I256" s="569"/>
      <c r="J256" s="569"/>
      <c r="K256" s="569"/>
      <c r="L256" s="569"/>
      <c r="M256" s="569"/>
      <c r="N256" s="569"/>
      <c r="O256" s="569"/>
      <c r="P256" s="569"/>
      <c r="Q256" s="569"/>
      <c r="R256" s="569"/>
      <c r="S256" s="569"/>
      <c r="T256" s="569"/>
      <c r="U256" s="569"/>
      <c r="V256" s="569"/>
      <c r="W256" s="569"/>
      <c r="X256" s="569"/>
      <c r="Y256" s="569"/>
      <c r="Z256" s="569"/>
      <c r="AA256" s="569"/>
      <c r="AB256" s="569"/>
      <c r="AC256" s="569"/>
      <c r="AD256" s="569"/>
      <c r="AE256" s="569"/>
      <c r="AF256" s="569"/>
      <c r="AG256" s="569"/>
      <c r="AH256" s="569"/>
      <c r="AI256" s="569"/>
      <c r="AJ256" s="569"/>
      <c r="AK256" s="569"/>
      <c r="AL256" s="569"/>
      <c r="AM256" s="569"/>
      <c r="AN256" s="569"/>
      <c r="AO256" s="569"/>
      <c r="AP256" s="569"/>
      <c r="AQ256" s="569"/>
      <c r="AR256" s="569"/>
      <c r="AS256" s="569"/>
      <c r="AT256" s="569"/>
      <c r="AU256" s="569"/>
      <c r="AV256" s="569"/>
      <c r="AW256" s="569"/>
      <c r="AX256" s="569"/>
      <c r="AY256" s="569"/>
      <c r="AZ256" s="569"/>
      <c r="BA256" s="569"/>
      <c r="BB256" s="569"/>
      <c r="BC256" s="569"/>
      <c r="BD256" s="569"/>
      <c r="BE256" s="569"/>
      <c r="BF256" s="569"/>
      <c r="BG256" s="569"/>
      <c r="BH256" s="569"/>
      <c r="BI256" s="569"/>
      <c r="BJ256" s="569"/>
      <c r="BK256" s="569"/>
      <c r="BL256" s="569"/>
      <c r="BM256" s="569"/>
      <c r="BN256" s="569"/>
      <c r="BO256" s="569"/>
      <c r="BP256" s="569"/>
      <c r="BQ256" s="569"/>
      <c r="BR256" s="569"/>
      <c r="BS256" s="569"/>
      <c r="BT256" s="569"/>
      <c r="BU256" s="569"/>
      <c r="BV256" s="569"/>
      <c r="BW256" s="569"/>
      <c r="BX256" s="569"/>
      <c r="BY256" s="569"/>
      <c r="BZ256" s="569"/>
      <c r="CA256" s="569"/>
      <c r="CB256" s="569"/>
      <c r="CC256" s="569"/>
      <c r="CD256" s="569"/>
      <c r="CE256" s="569"/>
      <c r="CF256" s="569"/>
      <c r="CG256" s="569"/>
      <c r="CH256" s="569"/>
      <c r="CI256" s="569"/>
      <c r="CJ256" s="569"/>
      <c r="CK256" s="569"/>
      <c r="CL256" s="569"/>
      <c r="CM256" s="569"/>
      <c r="CN256" s="569"/>
      <c r="CO256" s="569"/>
      <c r="CP256" s="569"/>
      <c r="CQ256" s="569"/>
      <c r="CR256" s="569"/>
      <c r="CS256" s="569"/>
      <c r="CT256" s="569"/>
      <c r="CU256" s="569"/>
      <c r="CV256" s="569"/>
      <c r="CW256" s="569"/>
      <c r="CX256" s="569"/>
      <c r="CY256" s="569"/>
      <c r="CZ256" s="569"/>
      <c r="DA256" s="569"/>
      <c r="DB256" s="569"/>
      <c r="DC256" s="569"/>
      <c r="DD256" s="569"/>
      <c r="DE256" s="569"/>
      <c r="DF256" s="569"/>
      <c r="DG256" s="569"/>
      <c r="DH256" s="569"/>
      <c r="DI256" s="569"/>
      <c r="DJ256" s="569"/>
      <c r="DK256" s="569"/>
      <c r="DL256" s="569"/>
      <c r="DM256" s="569"/>
      <c r="DN256" s="569"/>
      <c r="DO256" s="569"/>
      <c r="DP256" s="569"/>
      <c r="DQ256" s="569"/>
      <c r="DR256" s="569"/>
      <c r="DS256" s="569"/>
      <c r="DT256" s="569"/>
      <c r="DU256" s="569"/>
      <c r="DV256" s="569"/>
      <c r="DW256" s="569"/>
      <c r="DX256" s="569"/>
      <c r="DY256" s="569"/>
      <c r="DZ256" s="569"/>
      <c r="EA256" s="569"/>
      <c r="EB256" s="569"/>
      <c r="EC256" s="569"/>
      <c r="ED256" s="569"/>
      <c r="EE256" s="569"/>
      <c r="EF256" s="569"/>
      <c r="EG256" s="569"/>
      <c r="EH256" s="569"/>
      <c r="EI256" s="569"/>
      <c r="EJ256" s="569"/>
      <c r="EK256" s="569"/>
      <c r="EL256" s="569"/>
      <c r="EM256" s="569"/>
      <c r="EN256" s="569"/>
      <c r="EO256" s="569"/>
      <c r="EP256" s="569"/>
      <c r="EQ256" s="569"/>
      <c r="ER256" s="569"/>
      <c r="ES256" s="569"/>
      <c r="ET256" s="569"/>
      <c r="EU256" s="569"/>
      <c r="EV256" s="569"/>
      <c r="EW256" s="569"/>
      <c r="EX256" s="569"/>
      <c r="EY256" s="569"/>
      <c r="EZ256" s="569"/>
      <c r="FA256" s="569"/>
      <c r="FB256" s="569"/>
      <c r="FC256" s="569"/>
      <c r="FD256" s="569"/>
      <c r="FE256" s="569"/>
      <c r="FF256" s="569"/>
      <c r="FG256" s="569"/>
      <c r="FH256" s="569"/>
      <c r="FI256" s="569"/>
      <c r="FJ256" s="569"/>
      <c r="FK256" s="569"/>
      <c r="FL256" s="569"/>
      <c r="FM256" s="569"/>
      <c r="FN256" s="569"/>
      <c r="FO256" s="569"/>
      <c r="FP256" s="569"/>
      <c r="FQ256" s="569"/>
      <c r="FR256" s="569"/>
      <c r="FS256" s="569"/>
      <c r="FT256" s="569"/>
      <c r="FU256" s="569"/>
      <c r="FV256" s="569"/>
      <c r="FW256" s="569"/>
      <c r="FX256" s="569"/>
      <c r="FY256" s="569"/>
      <c r="FZ256" s="569"/>
      <c r="GA256" s="569"/>
      <c r="GB256" s="569"/>
      <c r="GC256" s="569"/>
      <c r="GD256" s="569"/>
      <c r="GE256" s="569"/>
      <c r="GF256" s="569"/>
      <c r="GG256" s="569"/>
      <c r="GH256" s="569"/>
      <c r="GI256" s="569"/>
      <c r="GJ256" s="569"/>
      <c r="GK256" s="569"/>
      <c r="GL256" s="569"/>
      <c r="GM256" s="569"/>
      <c r="GN256" s="569"/>
      <c r="GO256" s="569"/>
      <c r="GP256" s="569"/>
      <c r="GQ256" s="569"/>
      <c r="GR256" s="569"/>
      <c r="GS256" s="569"/>
      <c r="GT256" s="569"/>
    </row>
    <row r="257" spans="1:202" s="554" customFormat="1">
      <c r="A257" s="591"/>
      <c r="B257" s="569"/>
      <c r="C257" s="569"/>
      <c r="D257" s="569"/>
      <c r="E257" s="569"/>
      <c r="F257" s="569"/>
      <c r="G257" s="569"/>
      <c r="H257" s="569"/>
      <c r="I257" s="569"/>
      <c r="J257" s="569"/>
      <c r="K257" s="569"/>
      <c r="L257" s="569"/>
      <c r="M257" s="569"/>
      <c r="N257" s="569"/>
      <c r="O257" s="569"/>
      <c r="P257" s="569"/>
      <c r="Q257" s="569"/>
      <c r="R257" s="569"/>
      <c r="S257" s="569"/>
      <c r="T257" s="569"/>
      <c r="U257" s="569"/>
      <c r="V257" s="569"/>
      <c r="W257" s="569"/>
      <c r="X257" s="569"/>
      <c r="Y257" s="569"/>
      <c r="Z257" s="569"/>
      <c r="AA257" s="569"/>
      <c r="AB257" s="569"/>
      <c r="AC257" s="569"/>
      <c r="AD257" s="569"/>
      <c r="AE257" s="569"/>
      <c r="AF257" s="569"/>
      <c r="AG257" s="569"/>
      <c r="AH257" s="569"/>
      <c r="AI257" s="569"/>
      <c r="AJ257" s="569"/>
      <c r="AK257" s="569"/>
      <c r="AL257" s="569"/>
      <c r="AM257" s="569"/>
      <c r="AN257" s="569"/>
      <c r="AO257" s="569"/>
      <c r="AP257" s="569"/>
      <c r="AQ257" s="569"/>
      <c r="AR257" s="569"/>
      <c r="AS257" s="569"/>
      <c r="AT257" s="569"/>
      <c r="AU257" s="569"/>
      <c r="AV257" s="569"/>
      <c r="AW257" s="569"/>
      <c r="AX257" s="569"/>
      <c r="AY257" s="569"/>
      <c r="AZ257" s="569"/>
      <c r="BA257" s="569"/>
      <c r="BB257" s="569"/>
      <c r="BC257" s="569"/>
      <c r="BD257" s="569"/>
      <c r="BE257" s="569"/>
      <c r="BF257" s="569"/>
      <c r="BG257" s="569"/>
      <c r="BH257" s="569"/>
      <c r="BI257" s="569"/>
      <c r="BJ257" s="569"/>
      <c r="BK257" s="569"/>
      <c r="BL257" s="569"/>
      <c r="BM257" s="569"/>
      <c r="BN257" s="569"/>
      <c r="BO257" s="569"/>
      <c r="BP257" s="569"/>
      <c r="BQ257" s="569"/>
      <c r="BR257" s="569"/>
      <c r="BS257" s="569"/>
      <c r="BT257" s="569"/>
      <c r="BU257" s="569"/>
      <c r="BV257" s="569"/>
      <c r="BW257" s="569"/>
      <c r="BX257" s="569"/>
      <c r="BY257" s="569"/>
      <c r="BZ257" s="569"/>
      <c r="CA257" s="569"/>
      <c r="CB257" s="569"/>
      <c r="CC257" s="569"/>
      <c r="CD257" s="569"/>
      <c r="CE257" s="569"/>
      <c r="CF257" s="569"/>
      <c r="CG257" s="569"/>
      <c r="CH257" s="569"/>
      <c r="CI257" s="569"/>
      <c r="CJ257" s="569"/>
      <c r="CK257" s="569"/>
      <c r="CL257" s="569"/>
      <c r="CM257" s="569"/>
      <c r="CN257" s="569"/>
      <c r="CO257" s="569"/>
      <c r="CP257" s="569"/>
      <c r="CQ257" s="569"/>
      <c r="CR257" s="569"/>
      <c r="CS257" s="569"/>
      <c r="CT257" s="569"/>
      <c r="CU257" s="569"/>
      <c r="CV257" s="569"/>
      <c r="CW257" s="569"/>
      <c r="CX257" s="569"/>
      <c r="CY257" s="569"/>
      <c r="CZ257" s="569"/>
      <c r="DA257" s="569"/>
      <c r="DB257" s="569"/>
      <c r="DC257" s="569"/>
      <c r="DD257" s="569"/>
      <c r="DE257" s="569"/>
      <c r="DF257" s="569"/>
      <c r="DG257" s="569"/>
      <c r="DH257" s="569"/>
      <c r="DI257" s="569"/>
      <c r="DJ257" s="569"/>
      <c r="DK257" s="569"/>
      <c r="DL257" s="569"/>
      <c r="DM257" s="569"/>
      <c r="DN257" s="569"/>
      <c r="DO257" s="569"/>
      <c r="DP257" s="569"/>
      <c r="DQ257" s="569"/>
      <c r="DR257" s="569"/>
      <c r="DS257" s="569"/>
      <c r="DT257" s="569"/>
      <c r="DU257" s="569"/>
      <c r="DV257" s="569"/>
      <c r="DW257" s="569"/>
      <c r="DX257" s="569"/>
      <c r="DY257" s="569"/>
      <c r="DZ257" s="569"/>
      <c r="EA257" s="569"/>
      <c r="EB257" s="569"/>
      <c r="EC257" s="569"/>
      <c r="ED257" s="569"/>
      <c r="EE257" s="569"/>
      <c r="EF257" s="569"/>
      <c r="EG257" s="569"/>
      <c r="EH257" s="569"/>
      <c r="EI257" s="569"/>
      <c r="EJ257" s="569"/>
      <c r="EK257" s="569"/>
      <c r="EL257" s="569"/>
      <c r="EM257" s="569"/>
      <c r="EN257" s="569"/>
      <c r="EO257" s="569"/>
      <c r="EP257" s="569"/>
      <c r="EQ257" s="569"/>
      <c r="ER257" s="569"/>
      <c r="ES257" s="569"/>
      <c r="ET257" s="569"/>
      <c r="EU257" s="569"/>
      <c r="EV257" s="569"/>
      <c r="EW257" s="569"/>
      <c r="EX257" s="569"/>
      <c r="EY257" s="569"/>
      <c r="EZ257" s="569"/>
      <c r="FA257" s="569"/>
      <c r="FB257" s="569"/>
      <c r="FC257" s="569"/>
      <c r="FD257" s="569"/>
      <c r="FE257" s="569"/>
      <c r="FF257" s="569"/>
      <c r="FG257" s="569"/>
      <c r="FH257" s="569"/>
      <c r="FI257" s="569"/>
      <c r="FJ257" s="569"/>
      <c r="FK257" s="569"/>
      <c r="FL257" s="569"/>
      <c r="FM257" s="569"/>
      <c r="FN257" s="569"/>
      <c r="FO257" s="569"/>
      <c r="FP257" s="569"/>
      <c r="FQ257" s="569"/>
      <c r="FR257" s="569"/>
      <c r="FS257" s="569"/>
      <c r="FT257" s="569"/>
      <c r="FU257" s="569"/>
      <c r="FV257" s="569"/>
      <c r="FW257" s="569"/>
      <c r="FX257" s="569"/>
      <c r="FY257" s="569"/>
      <c r="FZ257" s="569"/>
      <c r="GA257" s="569"/>
      <c r="GB257" s="569"/>
      <c r="GC257" s="569"/>
      <c r="GD257" s="569"/>
      <c r="GE257" s="569"/>
      <c r="GF257" s="569"/>
      <c r="GG257" s="569"/>
      <c r="GH257" s="569"/>
      <c r="GI257" s="569"/>
      <c r="GJ257" s="569"/>
      <c r="GK257" s="569"/>
      <c r="GL257" s="569"/>
      <c r="GM257" s="569"/>
      <c r="GN257" s="569"/>
      <c r="GO257" s="569"/>
      <c r="GP257" s="569"/>
      <c r="GQ257" s="569"/>
      <c r="GR257" s="569"/>
      <c r="GS257" s="569"/>
      <c r="GT257" s="569"/>
    </row>
    <row r="258" spans="1:202" s="554" customFormat="1">
      <c r="A258" s="591"/>
      <c r="B258" s="569"/>
      <c r="C258" s="569"/>
      <c r="D258" s="569"/>
      <c r="E258" s="569"/>
      <c r="F258" s="569"/>
      <c r="G258" s="569"/>
      <c r="H258" s="569"/>
      <c r="I258" s="569"/>
      <c r="J258" s="569"/>
      <c r="K258" s="569"/>
      <c r="L258" s="569"/>
      <c r="M258" s="569"/>
      <c r="N258" s="569"/>
      <c r="O258" s="569"/>
      <c r="P258" s="569"/>
      <c r="Q258" s="569"/>
      <c r="R258" s="569"/>
      <c r="S258" s="569"/>
      <c r="T258" s="569"/>
      <c r="U258" s="569"/>
      <c r="V258" s="569"/>
      <c r="W258" s="569"/>
      <c r="X258" s="569"/>
      <c r="Y258" s="569"/>
      <c r="Z258" s="569"/>
      <c r="AA258" s="569"/>
      <c r="AB258" s="569"/>
      <c r="AC258" s="569"/>
      <c r="AD258" s="569"/>
      <c r="AE258" s="569"/>
      <c r="AF258" s="569"/>
      <c r="AG258" s="569"/>
      <c r="AH258" s="569"/>
      <c r="AI258" s="569"/>
      <c r="AJ258" s="569"/>
      <c r="AK258" s="569"/>
      <c r="AL258" s="569"/>
      <c r="AM258" s="569"/>
      <c r="AN258" s="569"/>
      <c r="AO258" s="569"/>
      <c r="AP258" s="569"/>
      <c r="AQ258" s="569"/>
      <c r="AR258" s="569"/>
      <c r="AS258" s="569"/>
      <c r="AT258" s="569"/>
      <c r="AU258" s="569"/>
      <c r="AV258" s="569"/>
      <c r="AW258" s="569"/>
      <c r="AX258" s="569"/>
      <c r="AY258" s="569"/>
      <c r="AZ258" s="569"/>
      <c r="BA258" s="569"/>
      <c r="BB258" s="569"/>
      <c r="BC258" s="569"/>
      <c r="BD258" s="569"/>
      <c r="BE258" s="569"/>
      <c r="BF258" s="569"/>
      <c r="BG258" s="569"/>
      <c r="BH258" s="569"/>
      <c r="BI258" s="569"/>
      <c r="BJ258" s="569"/>
      <c r="BK258" s="569"/>
      <c r="BL258" s="569"/>
      <c r="BM258" s="569"/>
      <c r="BN258" s="569"/>
      <c r="BO258" s="569"/>
      <c r="BP258" s="569"/>
      <c r="BQ258" s="569"/>
      <c r="BR258" s="569"/>
      <c r="BS258" s="569"/>
      <c r="BT258" s="569"/>
      <c r="BU258" s="569"/>
      <c r="BV258" s="569"/>
      <c r="BW258" s="569"/>
      <c r="BX258" s="569"/>
      <c r="BY258" s="569"/>
      <c r="BZ258" s="569"/>
      <c r="CA258" s="569"/>
      <c r="CB258" s="569"/>
      <c r="CC258" s="569"/>
      <c r="CD258" s="569"/>
      <c r="CE258" s="569"/>
      <c r="CF258" s="569"/>
      <c r="CG258" s="569"/>
      <c r="CH258" s="569"/>
      <c r="CI258" s="569"/>
      <c r="CJ258" s="569"/>
      <c r="CK258" s="569"/>
      <c r="CL258" s="569"/>
      <c r="CM258" s="569"/>
      <c r="CN258" s="569"/>
      <c r="CO258" s="569"/>
      <c r="CP258" s="569"/>
      <c r="CQ258" s="569"/>
      <c r="CR258" s="569"/>
      <c r="CS258" s="569"/>
      <c r="CT258" s="569"/>
      <c r="CU258" s="569"/>
      <c r="CV258" s="569"/>
      <c r="CW258" s="569"/>
      <c r="CX258" s="569"/>
      <c r="CY258" s="569"/>
      <c r="CZ258" s="569"/>
      <c r="DA258" s="569"/>
      <c r="DB258" s="569"/>
      <c r="DC258" s="569"/>
      <c r="DD258" s="569"/>
      <c r="DE258" s="569"/>
      <c r="DF258" s="569"/>
      <c r="DG258" s="569"/>
      <c r="DH258" s="569"/>
      <c r="DI258" s="569"/>
      <c r="DJ258" s="569"/>
      <c r="DK258" s="569"/>
      <c r="DL258" s="569"/>
      <c r="DM258" s="569"/>
      <c r="DN258" s="569"/>
      <c r="DO258" s="569"/>
      <c r="DP258" s="569"/>
      <c r="DQ258" s="569"/>
      <c r="DR258" s="569"/>
      <c r="DS258" s="569"/>
      <c r="DT258" s="569"/>
      <c r="DU258" s="569"/>
      <c r="DV258" s="569"/>
      <c r="DW258" s="569"/>
      <c r="DX258" s="569"/>
      <c r="DY258" s="569"/>
      <c r="DZ258" s="569"/>
      <c r="EA258" s="569"/>
      <c r="EB258" s="569"/>
      <c r="EC258" s="569"/>
      <c r="ED258" s="569"/>
      <c r="EE258" s="569"/>
      <c r="EF258" s="569"/>
      <c r="EG258" s="569"/>
      <c r="EH258" s="569"/>
      <c r="EI258" s="569"/>
      <c r="EJ258" s="569"/>
      <c r="EK258" s="569"/>
      <c r="EL258" s="569"/>
      <c r="EM258" s="569"/>
      <c r="EN258" s="569"/>
      <c r="EO258" s="569"/>
      <c r="EP258" s="569"/>
      <c r="EQ258" s="569"/>
      <c r="ER258" s="569"/>
      <c r="ES258" s="569"/>
      <c r="ET258" s="569"/>
      <c r="EU258" s="569"/>
      <c r="EV258" s="569"/>
      <c r="EW258" s="569"/>
      <c r="EX258" s="569"/>
      <c r="EY258" s="569"/>
      <c r="EZ258" s="569"/>
      <c r="FA258" s="569"/>
      <c r="FB258" s="569"/>
      <c r="FC258" s="569"/>
      <c r="FD258" s="569"/>
      <c r="FE258" s="569"/>
      <c r="FF258" s="569"/>
      <c r="FG258" s="569"/>
      <c r="FH258" s="569"/>
      <c r="FI258" s="569"/>
      <c r="FJ258" s="569"/>
      <c r="FK258" s="569"/>
      <c r="FL258" s="569"/>
      <c r="FM258" s="569"/>
      <c r="FN258" s="569"/>
      <c r="FO258" s="569"/>
      <c r="FP258" s="569"/>
      <c r="FQ258" s="569"/>
      <c r="FR258" s="569"/>
      <c r="FS258" s="569"/>
      <c r="FT258" s="569"/>
      <c r="FU258" s="569"/>
      <c r="FV258" s="569"/>
      <c r="FW258" s="569"/>
      <c r="FX258" s="569"/>
      <c r="FY258" s="569"/>
      <c r="FZ258" s="569"/>
      <c r="GA258" s="569"/>
      <c r="GB258" s="569"/>
      <c r="GC258" s="569"/>
      <c r="GD258" s="569"/>
      <c r="GE258" s="569"/>
      <c r="GF258" s="569"/>
      <c r="GG258" s="569"/>
      <c r="GH258" s="569"/>
      <c r="GI258" s="569"/>
      <c r="GJ258" s="569"/>
      <c r="GK258" s="569"/>
      <c r="GL258" s="569"/>
      <c r="GM258" s="569"/>
      <c r="GN258" s="569"/>
      <c r="GO258" s="569"/>
      <c r="GP258" s="569"/>
      <c r="GQ258" s="569"/>
      <c r="GR258" s="569"/>
      <c r="GS258" s="569"/>
      <c r="GT258" s="569"/>
    </row>
    <row r="259" spans="1:202" s="554" customFormat="1">
      <c r="A259" s="591"/>
      <c r="B259" s="569"/>
      <c r="C259" s="569"/>
      <c r="D259" s="569"/>
      <c r="E259" s="569"/>
      <c r="F259" s="569"/>
      <c r="G259" s="569"/>
      <c r="H259" s="569"/>
      <c r="I259" s="569"/>
      <c r="J259" s="569"/>
      <c r="K259" s="569"/>
      <c r="L259" s="569"/>
      <c r="M259" s="569"/>
      <c r="N259" s="569"/>
      <c r="O259" s="569"/>
      <c r="P259" s="569"/>
      <c r="Q259" s="569"/>
      <c r="R259" s="569"/>
      <c r="S259" s="569"/>
      <c r="T259" s="569"/>
      <c r="U259" s="569"/>
      <c r="V259" s="569"/>
      <c r="W259" s="569"/>
      <c r="X259" s="569"/>
      <c r="Y259" s="569"/>
      <c r="Z259" s="569"/>
      <c r="AA259" s="569"/>
      <c r="AB259" s="569"/>
      <c r="AC259" s="569"/>
      <c r="AD259" s="569"/>
      <c r="AE259" s="569"/>
      <c r="AF259" s="569"/>
      <c r="AG259" s="569"/>
      <c r="AH259" s="569"/>
      <c r="AI259" s="569"/>
      <c r="AJ259" s="569"/>
      <c r="AK259" s="569"/>
      <c r="AL259" s="569"/>
      <c r="AM259" s="569"/>
      <c r="AN259" s="569"/>
      <c r="AO259" s="569"/>
      <c r="AP259" s="569"/>
      <c r="AQ259" s="569"/>
      <c r="AR259" s="569"/>
      <c r="AS259" s="569"/>
      <c r="AT259" s="569"/>
      <c r="AU259" s="569"/>
      <c r="AV259" s="569"/>
      <c r="AW259" s="569"/>
      <c r="AX259" s="569"/>
      <c r="AY259" s="569"/>
      <c r="AZ259" s="569"/>
      <c r="BA259" s="569"/>
      <c r="BB259" s="569"/>
      <c r="BC259" s="569"/>
      <c r="BD259" s="569"/>
      <c r="BE259" s="569"/>
      <c r="BF259" s="569"/>
      <c r="BG259" s="569"/>
      <c r="BH259" s="569"/>
      <c r="BI259" s="569"/>
      <c r="BJ259" s="569"/>
      <c r="BK259" s="569"/>
      <c r="BL259" s="569"/>
      <c r="BM259" s="569"/>
      <c r="BN259" s="569"/>
      <c r="BO259" s="569"/>
      <c r="BP259" s="569"/>
      <c r="BQ259" s="569"/>
      <c r="BR259" s="569"/>
      <c r="BS259" s="569"/>
      <c r="BT259" s="569"/>
      <c r="BU259" s="569"/>
      <c r="BV259" s="569"/>
      <c r="BW259" s="569"/>
      <c r="BX259" s="569"/>
      <c r="BY259" s="569"/>
      <c r="BZ259" s="569"/>
      <c r="CA259" s="569"/>
      <c r="CB259" s="569"/>
      <c r="CC259" s="569"/>
      <c r="CD259" s="569"/>
      <c r="CE259" s="569"/>
      <c r="CF259" s="569"/>
      <c r="CG259" s="569"/>
      <c r="CH259" s="569"/>
      <c r="CI259" s="569"/>
      <c r="CJ259" s="569"/>
      <c r="CK259" s="569"/>
      <c r="CL259" s="569"/>
      <c r="CM259" s="569"/>
      <c r="CN259" s="569"/>
      <c r="CO259" s="569"/>
      <c r="CP259" s="569"/>
      <c r="CQ259" s="569"/>
      <c r="CR259" s="569"/>
      <c r="CS259" s="569"/>
      <c r="CT259" s="569"/>
      <c r="CU259" s="569"/>
      <c r="CV259" s="569"/>
      <c r="CW259" s="569"/>
      <c r="CX259" s="569"/>
      <c r="CY259" s="569"/>
      <c r="CZ259" s="569"/>
      <c r="DA259" s="569"/>
      <c r="DB259" s="569"/>
      <c r="DC259" s="569"/>
      <c r="DD259" s="569"/>
      <c r="DE259" s="569"/>
      <c r="DF259" s="569"/>
      <c r="DG259" s="569"/>
      <c r="DH259" s="569"/>
      <c r="DI259" s="569"/>
      <c r="DJ259" s="569"/>
      <c r="DK259" s="569"/>
      <c r="DL259" s="569"/>
      <c r="DM259" s="569"/>
      <c r="DN259" s="569"/>
      <c r="DO259" s="569"/>
      <c r="DP259" s="569"/>
      <c r="DQ259" s="569"/>
      <c r="DR259" s="569"/>
      <c r="DS259" s="569"/>
      <c r="DT259" s="569"/>
      <c r="DU259" s="569"/>
      <c r="DV259" s="569"/>
      <c r="DW259" s="569"/>
      <c r="DX259" s="569"/>
      <c r="DY259" s="569"/>
      <c r="DZ259" s="569"/>
      <c r="EA259" s="569"/>
      <c r="EB259" s="569"/>
      <c r="EC259" s="569"/>
      <c r="ED259" s="569"/>
      <c r="EE259" s="569"/>
      <c r="EF259" s="569"/>
      <c r="EG259" s="569"/>
      <c r="EH259" s="569"/>
      <c r="EI259" s="569"/>
      <c r="EJ259" s="569"/>
      <c r="EK259" s="569"/>
      <c r="EL259" s="569"/>
      <c r="EM259" s="569"/>
      <c r="EN259" s="569"/>
      <c r="EO259" s="569"/>
      <c r="EP259" s="569"/>
      <c r="EQ259" s="569"/>
      <c r="ER259" s="569"/>
      <c r="ES259" s="569"/>
      <c r="ET259" s="569"/>
      <c r="EU259" s="569"/>
      <c r="EV259" s="569"/>
      <c r="EW259" s="569"/>
      <c r="EX259" s="569"/>
      <c r="EY259" s="569"/>
      <c r="EZ259" s="569"/>
      <c r="FA259" s="569"/>
      <c r="FB259" s="569"/>
      <c r="FC259" s="569"/>
      <c r="FD259" s="569"/>
      <c r="FE259" s="569"/>
      <c r="FF259" s="569"/>
      <c r="FG259" s="569"/>
      <c r="FH259" s="569"/>
      <c r="FI259" s="569"/>
      <c r="FJ259" s="569"/>
      <c r="FK259" s="569"/>
      <c r="FL259" s="569"/>
      <c r="FM259" s="569"/>
      <c r="FN259" s="569"/>
      <c r="FO259" s="569"/>
      <c r="FP259" s="569"/>
      <c r="FQ259" s="569"/>
      <c r="FR259" s="569"/>
      <c r="FS259" s="569"/>
      <c r="FT259" s="569"/>
      <c r="FU259" s="569"/>
      <c r="FV259" s="569"/>
      <c r="FW259" s="569"/>
      <c r="FX259" s="569"/>
      <c r="FY259" s="569"/>
      <c r="FZ259" s="569"/>
      <c r="GA259" s="569"/>
      <c r="GB259" s="569"/>
      <c r="GC259" s="569"/>
      <c r="GD259" s="569"/>
      <c r="GE259" s="569"/>
      <c r="GF259" s="569"/>
      <c r="GG259" s="569"/>
      <c r="GH259" s="569"/>
      <c r="GI259" s="569"/>
      <c r="GJ259" s="569"/>
      <c r="GK259" s="569"/>
      <c r="GL259" s="569"/>
      <c r="GM259" s="569"/>
      <c r="GN259" s="569"/>
      <c r="GO259" s="569"/>
      <c r="GP259" s="569"/>
      <c r="GQ259" s="569"/>
      <c r="GR259" s="569"/>
      <c r="GS259" s="569"/>
      <c r="GT259" s="569"/>
    </row>
    <row r="260" spans="1:202" s="554" customFormat="1">
      <c r="A260" s="591"/>
      <c r="B260" s="569"/>
      <c r="C260" s="569"/>
      <c r="D260" s="569"/>
      <c r="E260" s="569"/>
      <c r="F260" s="569"/>
      <c r="G260" s="569"/>
      <c r="H260" s="569"/>
      <c r="I260" s="569"/>
      <c r="J260" s="569"/>
      <c r="K260" s="569"/>
      <c r="L260" s="569"/>
      <c r="M260" s="569"/>
      <c r="N260" s="569"/>
      <c r="O260" s="569"/>
      <c r="P260" s="569"/>
      <c r="Q260" s="569"/>
      <c r="R260" s="569"/>
      <c r="S260" s="569"/>
      <c r="T260" s="569"/>
      <c r="U260" s="569"/>
      <c r="V260" s="569"/>
      <c r="W260" s="569"/>
      <c r="X260" s="569"/>
      <c r="Y260" s="569"/>
      <c r="Z260" s="569"/>
      <c r="AA260" s="569"/>
      <c r="AB260" s="569"/>
      <c r="AC260" s="569"/>
      <c r="AD260" s="569"/>
      <c r="AE260" s="569"/>
      <c r="AF260" s="569"/>
      <c r="AG260" s="569"/>
      <c r="AH260" s="569"/>
      <c r="AI260" s="569"/>
      <c r="AJ260" s="569"/>
      <c r="AK260" s="569"/>
      <c r="AL260" s="569"/>
      <c r="AM260" s="569"/>
      <c r="AN260" s="569"/>
      <c r="AO260" s="569"/>
      <c r="AP260" s="569"/>
      <c r="AQ260" s="569"/>
      <c r="AR260" s="569"/>
      <c r="AS260" s="569"/>
      <c r="AT260" s="569"/>
      <c r="AU260" s="569"/>
      <c r="AV260" s="569"/>
      <c r="AW260" s="569"/>
      <c r="AX260" s="569"/>
      <c r="AY260" s="569"/>
      <c r="AZ260" s="569"/>
      <c r="BA260" s="569"/>
      <c r="BB260" s="569"/>
      <c r="BC260" s="569"/>
      <c r="BD260" s="569"/>
      <c r="BE260" s="569"/>
      <c r="BF260" s="569"/>
      <c r="BG260" s="569"/>
      <c r="BH260" s="569"/>
      <c r="BI260" s="569"/>
      <c r="BJ260" s="569"/>
      <c r="BK260" s="569"/>
      <c r="BL260" s="569"/>
      <c r="BM260" s="569"/>
      <c r="BN260" s="569"/>
      <c r="BO260" s="569"/>
      <c r="BP260" s="569"/>
      <c r="BQ260" s="569"/>
      <c r="BR260" s="569"/>
      <c r="BS260" s="569"/>
      <c r="BT260" s="569"/>
      <c r="BU260" s="569"/>
      <c r="BV260" s="569"/>
      <c r="BW260" s="569"/>
      <c r="BX260" s="569"/>
      <c r="BY260" s="569"/>
      <c r="BZ260" s="569"/>
      <c r="CA260" s="569"/>
      <c r="CB260" s="569"/>
      <c r="CC260" s="569"/>
      <c r="CD260" s="569"/>
      <c r="CE260" s="569"/>
      <c r="CF260" s="569"/>
      <c r="CG260" s="569"/>
      <c r="CH260" s="569"/>
      <c r="CI260" s="569"/>
      <c r="CJ260" s="569"/>
      <c r="CK260" s="569"/>
      <c r="CL260" s="569"/>
      <c r="CM260" s="569"/>
      <c r="CN260" s="569"/>
      <c r="CO260" s="569"/>
      <c r="CP260" s="569"/>
      <c r="CQ260" s="569"/>
      <c r="CR260" s="569"/>
      <c r="CS260" s="569"/>
      <c r="CT260" s="569"/>
      <c r="CU260" s="569"/>
      <c r="CV260" s="569"/>
      <c r="CW260" s="569"/>
      <c r="CX260" s="569"/>
      <c r="CY260" s="569"/>
      <c r="CZ260" s="569"/>
      <c r="DA260" s="569"/>
      <c r="DB260" s="569"/>
      <c r="DC260" s="569"/>
      <c r="DD260" s="569"/>
      <c r="DE260" s="569"/>
      <c r="DF260" s="569"/>
      <c r="DG260" s="569"/>
      <c r="DH260" s="569"/>
      <c r="DI260" s="569"/>
      <c r="DJ260" s="569"/>
      <c r="DK260" s="569"/>
      <c r="DL260" s="569"/>
      <c r="DM260" s="569"/>
      <c r="DN260" s="569"/>
      <c r="DO260" s="569"/>
      <c r="DP260" s="569"/>
      <c r="DQ260" s="569"/>
      <c r="DR260" s="569"/>
      <c r="DS260" s="569"/>
      <c r="DT260" s="569"/>
      <c r="DU260" s="569"/>
      <c r="DV260" s="569"/>
      <c r="DW260" s="569"/>
      <c r="DX260" s="569"/>
      <c r="DY260" s="569"/>
      <c r="DZ260" s="569"/>
      <c r="EA260" s="569"/>
      <c r="EB260" s="569"/>
      <c r="EC260" s="569"/>
      <c r="ED260" s="569"/>
      <c r="EE260" s="569"/>
      <c r="EF260" s="569"/>
      <c r="EG260" s="569"/>
      <c r="EH260" s="569"/>
      <c r="EI260" s="569"/>
      <c r="EJ260" s="569"/>
      <c r="EK260" s="569"/>
      <c r="EL260" s="569"/>
      <c r="EM260" s="569"/>
      <c r="EN260" s="569"/>
      <c r="EO260" s="569"/>
      <c r="EP260" s="569"/>
      <c r="EQ260" s="569"/>
      <c r="ER260" s="569"/>
      <c r="ES260" s="569"/>
      <c r="ET260" s="569"/>
      <c r="EU260" s="569"/>
      <c r="EV260" s="569"/>
      <c r="EW260" s="569"/>
      <c r="EX260" s="569"/>
      <c r="EY260" s="569"/>
      <c r="EZ260" s="569"/>
      <c r="FA260" s="569"/>
      <c r="FB260" s="569"/>
      <c r="FC260" s="569"/>
      <c r="FD260" s="569"/>
      <c r="FE260" s="569"/>
      <c r="FF260" s="569"/>
      <c r="FG260" s="569"/>
      <c r="FH260" s="569"/>
      <c r="FI260" s="569"/>
      <c r="FJ260" s="569"/>
      <c r="FK260" s="569"/>
      <c r="FL260" s="569"/>
      <c r="FM260" s="569"/>
      <c r="FN260" s="569"/>
      <c r="FO260" s="569"/>
      <c r="FP260" s="569"/>
      <c r="FQ260" s="569"/>
      <c r="FR260" s="569"/>
      <c r="FS260" s="569"/>
      <c r="FT260" s="569"/>
      <c r="FU260" s="569"/>
      <c r="FV260" s="569"/>
      <c r="FW260" s="569"/>
      <c r="FX260" s="569"/>
      <c r="FY260" s="569"/>
      <c r="FZ260" s="569"/>
      <c r="GA260" s="569"/>
      <c r="GB260" s="569"/>
      <c r="GC260" s="569"/>
      <c r="GD260" s="569"/>
      <c r="GE260" s="569"/>
      <c r="GF260" s="569"/>
      <c r="GG260" s="569"/>
      <c r="GH260" s="569"/>
      <c r="GI260" s="569"/>
      <c r="GJ260" s="569"/>
      <c r="GK260" s="569"/>
      <c r="GL260" s="569"/>
      <c r="GM260" s="569"/>
      <c r="GN260" s="569"/>
      <c r="GO260" s="569"/>
      <c r="GP260" s="569"/>
      <c r="GQ260" s="569"/>
      <c r="GR260" s="569"/>
      <c r="GS260" s="569"/>
      <c r="GT260" s="569"/>
    </row>
    <row r="261" spans="1:202" s="554" customFormat="1">
      <c r="A261" s="591"/>
      <c r="B261" s="569"/>
      <c r="C261" s="569"/>
      <c r="D261" s="569"/>
      <c r="E261" s="569"/>
      <c r="F261" s="569"/>
      <c r="G261" s="569"/>
      <c r="H261" s="569"/>
      <c r="I261" s="569"/>
      <c r="J261" s="569"/>
      <c r="K261" s="569"/>
      <c r="L261" s="569"/>
      <c r="M261" s="569"/>
      <c r="N261" s="569"/>
      <c r="O261" s="569"/>
      <c r="P261" s="569"/>
      <c r="Q261" s="569"/>
      <c r="R261" s="569"/>
      <c r="S261" s="569"/>
      <c r="T261" s="569"/>
      <c r="U261" s="569"/>
      <c r="V261" s="569"/>
      <c r="W261" s="569"/>
      <c r="X261" s="569"/>
      <c r="Y261" s="569"/>
      <c r="Z261" s="569"/>
      <c r="AA261" s="569"/>
      <c r="AB261" s="569"/>
      <c r="AC261" s="569"/>
      <c r="AD261" s="569"/>
      <c r="AE261" s="569"/>
      <c r="AF261" s="569"/>
      <c r="AG261" s="569"/>
      <c r="AH261" s="569"/>
      <c r="AI261" s="569"/>
      <c r="AJ261" s="569"/>
      <c r="AK261" s="569"/>
      <c r="AL261" s="569"/>
      <c r="AM261" s="569"/>
      <c r="AN261" s="569"/>
      <c r="AO261" s="569"/>
      <c r="AP261" s="569"/>
      <c r="AQ261" s="569"/>
      <c r="AR261" s="569"/>
      <c r="AS261" s="569"/>
      <c r="AT261" s="569"/>
      <c r="AU261" s="569"/>
      <c r="AV261" s="569"/>
      <c r="AW261" s="569"/>
      <c r="AX261" s="569"/>
      <c r="AY261" s="569"/>
      <c r="AZ261" s="569"/>
      <c r="BA261" s="569"/>
      <c r="BB261" s="569"/>
      <c r="BC261" s="569"/>
      <c r="BD261" s="569"/>
      <c r="BE261" s="569"/>
      <c r="BF261" s="569"/>
      <c r="BG261" s="569"/>
      <c r="BH261" s="569"/>
      <c r="BI261" s="569"/>
      <c r="BJ261" s="569"/>
      <c r="BK261" s="569"/>
      <c r="BL261" s="569"/>
      <c r="BM261" s="569"/>
      <c r="BN261" s="569"/>
      <c r="BO261" s="569"/>
      <c r="BP261" s="569"/>
      <c r="BQ261" s="569"/>
      <c r="BR261" s="569"/>
      <c r="BS261" s="569"/>
      <c r="BT261" s="569"/>
      <c r="BU261" s="569"/>
      <c r="BV261" s="569"/>
      <c r="BW261" s="569"/>
      <c r="BX261" s="569"/>
      <c r="BY261" s="569"/>
      <c r="BZ261" s="569"/>
      <c r="CA261" s="569"/>
      <c r="CB261" s="569"/>
      <c r="CC261" s="569"/>
      <c r="CD261" s="569"/>
      <c r="CE261" s="569"/>
      <c r="CF261" s="569"/>
      <c r="CG261" s="569"/>
      <c r="CH261" s="569"/>
      <c r="CI261" s="569"/>
      <c r="CJ261" s="569"/>
      <c r="CK261" s="569"/>
      <c r="CL261" s="569"/>
      <c r="CM261" s="569"/>
      <c r="CN261" s="569"/>
      <c r="CO261" s="569"/>
      <c r="CP261" s="569"/>
      <c r="CQ261" s="569"/>
      <c r="CR261" s="569"/>
      <c r="CS261" s="569"/>
      <c r="CT261" s="569"/>
      <c r="CU261" s="569"/>
      <c r="CV261" s="569"/>
      <c r="CW261" s="569"/>
      <c r="CX261" s="569"/>
      <c r="CY261" s="569"/>
      <c r="CZ261" s="569"/>
      <c r="DA261" s="569"/>
      <c r="DB261" s="569"/>
      <c r="DC261" s="569"/>
      <c r="DD261" s="569"/>
      <c r="DE261" s="569"/>
      <c r="DF261" s="569"/>
      <c r="DG261" s="569"/>
      <c r="DH261" s="569"/>
      <c r="DI261" s="569"/>
      <c r="DJ261" s="569"/>
      <c r="DK261" s="569"/>
      <c r="DL261" s="569"/>
      <c r="DM261" s="569"/>
      <c r="DN261" s="569"/>
      <c r="DO261" s="569"/>
      <c r="DP261" s="569"/>
      <c r="DQ261" s="569"/>
      <c r="DR261" s="569"/>
      <c r="DS261" s="569"/>
      <c r="DT261" s="569"/>
      <c r="DU261" s="569"/>
      <c r="DV261" s="569"/>
      <c r="DW261" s="569"/>
      <c r="DX261" s="569"/>
      <c r="DY261" s="569"/>
      <c r="DZ261" s="569"/>
      <c r="EA261" s="569"/>
      <c r="EB261" s="569"/>
      <c r="EC261" s="569"/>
      <c r="ED261" s="569"/>
      <c r="EE261" s="569"/>
      <c r="EF261" s="569"/>
      <c r="EG261" s="569"/>
      <c r="EH261" s="569"/>
      <c r="EI261" s="569"/>
      <c r="EJ261" s="569"/>
      <c r="EK261" s="569"/>
      <c r="EL261" s="569"/>
      <c r="EM261" s="569"/>
      <c r="EN261" s="569"/>
      <c r="EO261" s="569"/>
      <c r="EP261" s="569"/>
      <c r="EQ261" s="569"/>
      <c r="ER261" s="569"/>
      <c r="ES261" s="569"/>
      <c r="ET261" s="569"/>
      <c r="EU261" s="569"/>
      <c r="EV261" s="569"/>
      <c r="EW261" s="569"/>
      <c r="EX261" s="569"/>
      <c r="EY261" s="569"/>
      <c r="EZ261" s="569"/>
      <c r="FA261" s="569"/>
      <c r="FB261" s="569"/>
      <c r="FC261" s="569"/>
      <c r="FD261" s="569"/>
      <c r="FE261" s="569"/>
      <c r="FF261" s="569"/>
      <c r="FG261" s="569"/>
      <c r="FH261" s="569"/>
      <c r="FI261" s="569"/>
      <c r="FJ261" s="569"/>
      <c r="FK261" s="569"/>
      <c r="FL261" s="569"/>
      <c r="FM261" s="569"/>
      <c r="FN261" s="569"/>
      <c r="FO261" s="569"/>
      <c r="FP261" s="569"/>
      <c r="FQ261" s="569"/>
      <c r="FR261" s="569"/>
      <c r="FS261" s="569"/>
      <c r="FT261" s="569"/>
      <c r="FU261" s="569"/>
      <c r="FV261" s="569"/>
      <c r="FW261" s="569"/>
      <c r="FX261" s="569"/>
      <c r="FY261" s="569"/>
      <c r="FZ261" s="569"/>
      <c r="GA261" s="569"/>
      <c r="GB261" s="569"/>
      <c r="GC261" s="569"/>
      <c r="GD261" s="569"/>
      <c r="GE261" s="569"/>
      <c r="GF261" s="569"/>
      <c r="GG261" s="569"/>
      <c r="GH261" s="569"/>
      <c r="GI261" s="569"/>
      <c r="GJ261" s="569"/>
      <c r="GK261" s="569"/>
      <c r="GL261" s="569"/>
      <c r="GM261" s="569"/>
      <c r="GN261" s="569"/>
      <c r="GO261" s="569"/>
      <c r="GP261" s="569"/>
      <c r="GQ261" s="569"/>
      <c r="GR261" s="569"/>
      <c r="GS261" s="569"/>
      <c r="GT261" s="569"/>
    </row>
    <row r="262" spans="1:202" s="554" customFormat="1">
      <c r="A262" s="591"/>
      <c r="B262" s="569"/>
      <c r="C262" s="569"/>
      <c r="D262" s="569"/>
      <c r="E262" s="569"/>
      <c r="F262" s="569"/>
      <c r="G262" s="569"/>
      <c r="H262" s="569"/>
      <c r="I262" s="569"/>
      <c r="J262" s="569"/>
      <c r="K262" s="569"/>
      <c r="L262" s="569"/>
      <c r="M262" s="569"/>
      <c r="N262" s="569"/>
      <c r="O262" s="569"/>
      <c r="P262" s="569"/>
      <c r="Q262" s="569"/>
      <c r="R262" s="569"/>
      <c r="S262" s="569"/>
      <c r="T262" s="569"/>
      <c r="U262" s="569"/>
      <c r="V262" s="569"/>
      <c r="W262" s="569"/>
      <c r="X262" s="569"/>
      <c r="Y262" s="569"/>
      <c r="Z262" s="569"/>
      <c r="AA262" s="569"/>
      <c r="AB262" s="569"/>
      <c r="AC262" s="569"/>
      <c r="AD262" s="569"/>
      <c r="AE262" s="569"/>
      <c r="AF262" s="569"/>
      <c r="AG262" s="569"/>
      <c r="AH262" s="569"/>
      <c r="AI262" s="569"/>
      <c r="AJ262" s="569"/>
      <c r="AK262" s="569"/>
      <c r="AL262" s="569"/>
      <c r="AM262" s="569"/>
      <c r="AN262" s="569"/>
      <c r="AO262" s="569"/>
      <c r="AP262" s="569"/>
      <c r="AQ262" s="569"/>
      <c r="AR262" s="569"/>
      <c r="AS262" s="569"/>
      <c r="AT262" s="569"/>
      <c r="AU262" s="569"/>
      <c r="AV262" s="569"/>
      <c r="AW262" s="569"/>
      <c r="AX262" s="569"/>
      <c r="AY262" s="569"/>
      <c r="AZ262" s="569"/>
      <c r="BA262" s="569"/>
      <c r="BB262" s="569"/>
      <c r="BC262" s="569"/>
      <c r="BD262" s="569"/>
      <c r="BE262" s="569"/>
      <c r="BF262" s="569"/>
      <c r="BG262" s="569"/>
      <c r="BH262" s="569"/>
      <c r="BI262" s="569"/>
      <c r="BJ262" s="569"/>
      <c r="BK262" s="569"/>
      <c r="BL262" s="569"/>
      <c r="BM262" s="569"/>
      <c r="BN262" s="569"/>
      <c r="BO262" s="569"/>
      <c r="BP262" s="569"/>
      <c r="BQ262" s="569"/>
      <c r="BR262" s="569"/>
      <c r="BS262" s="569"/>
      <c r="BT262" s="569"/>
      <c r="BU262" s="569"/>
      <c r="BV262" s="569"/>
      <c r="BW262" s="569"/>
      <c r="BX262" s="569"/>
      <c r="BY262" s="569"/>
      <c r="BZ262" s="569"/>
      <c r="CA262" s="569"/>
      <c r="CB262" s="569"/>
      <c r="CC262" s="569"/>
      <c r="CD262" s="569"/>
      <c r="CE262" s="569"/>
      <c r="CF262" s="569"/>
      <c r="CG262" s="569"/>
      <c r="CH262" s="569"/>
      <c r="CI262" s="569"/>
      <c r="CJ262" s="569"/>
      <c r="CK262" s="569"/>
      <c r="CL262" s="569"/>
      <c r="CM262" s="569"/>
      <c r="CN262" s="569"/>
      <c r="CO262" s="569"/>
      <c r="CP262" s="569"/>
      <c r="CQ262" s="569"/>
      <c r="CR262" s="569"/>
      <c r="CS262" s="569"/>
      <c r="CT262" s="569"/>
      <c r="CU262" s="569"/>
      <c r="CV262" s="569"/>
      <c r="CW262" s="569"/>
      <c r="CX262" s="569"/>
      <c r="CY262" s="569"/>
      <c r="CZ262" s="569"/>
      <c r="DA262" s="569"/>
      <c r="DB262" s="569"/>
      <c r="DC262" s="569"/>
      <c r="DD262" s="569"/>
      <c r="DE262" s="569"/>
      <c r="DF262" s="569"/>
      <c r="DG262" s="569"/>
      <c r="DH262" s="569"/>
      <c r="DI262" s="569"/>
      <c r="DJ262" s="569"/>
      <c r="DK262" s="569"/>
      <c r="DL262" s="569"/>
      <c r="DM262" s="569"/>
      <c r="DN262" s="569"/>
      <c r="DO262" s="569"/>
      <c r="DP262" s="569"/>
      <c r="DQ262" s="569"/>
      <c r="DR262" s="569"/>
      <c r="DS262" s="569"/>
      <c r="DT262" s="569"/>
      <c r="DU262" s="569"/>
      <c r="DV262" s="569"/>
      <c r="DW262" s="569"/>
      <c r="DX262" s="569"/>
      <c r="DY262" s="569"/>
      <c r="DZ262" s="569"/>
      <c r="EA262" s="569"/>
      <c r="EB262" s="569"/>
      <c r="EC262" s="569"/>
      <c r="ED262" s="569"/>
      <c r="EE262" s="569"/>
      <c r="EF262" s="569"/>
      <c r="EG262" s="569"/>
      <c r="EH262" s="569"/>
      <c r="EI262" s="569"/>
      <c r="EJ262" s="569"/>
      <c r="EK262" s="569"/>
      <c r="EL262" s="569"/>
      <c r="EM262" s="569"/>
      <c r="EN262" s="569"/>
      <c r="EO262" s="569"/>
      <c r="EP262" s="569"/>
      <c r="EQ262" s="569"/>
      <c r="ER262" s="569"/>
      <c r="ES262" s="569"/>
      <c r="ET262" s="569"/>
      <c r="EU262" s="569"/>
      <c r="EV262" s="569"/>
      <c r="EW262" s="569"/>
      <c r="EX262" s="569"/>
      <c r="EY262" s="569"/>
      <c r="EZ262" s="569"/>
      <c r="FA262" s="569"/>
      <c r="FB262" s="569"/>
      <c r="FC262" s="569"/>
      <c r="FD262" s="569"/>
      <c r="FE262" s="569"/>
      <c r="FF262" s="569"/>
      <c r="FG262" s="569"/>
      <c r="FH262" s="569"/>
      <c r="FI262" s="569"/>
      <c r="FJ262" s="569"/>
      <c r="FK262" s="569"/>
      <c r="FL262" s="569"/>
      <c r="FM262" s="569"/>
      <c r="FN262" s="569"/>
      <c r="FO262" s="569"/>
      <c r="FP262" s="569"/>
      <c r="FQ262" s="569"/>
      <c r="FR262" s="569"/>
      <c r="FS262" s="569"/>
      <c r="FT262" s="569"/>
      <c r="FU262" s="569"/>
      <c r="FV262" s="569"/>
      <c r="FW262" s="569"/>
      <c r="FX262" s="569"/>
      <c r="FY262" s="569"/>
      <c r="FZ262" s="569"/>
      <c r="GA262" s="569"/>
      <c r="GB262" s="569"/>
      <c r="GC262" s="569"/>
      <c r="GD262" s="569"/>
      <c r="GE262" s="569"/>
      <c r="GF262" s="569"/>
      <c r="GG262" s="569"/>
      <c r="GH262" s="569"/>
      <c r="GI262" s="569"/>
      <c r="GJ262" s="569"/>
      <c r="GK262" s="569"/>
      <c r="GL262" s="569"/>
      <c r="GM262" s="569"/>
      <c r="GN262" s="569"/>
      <c r="GO262" s="569"/>
      <c r="GP262" s="569"/>
      <c r="GQ262" s="569"/>
      <c r="GR262" s="569"/>
      <c r="GS262" s="569"/>
      <c r="GT262" s="569"/>
    </row>
    <row r="263" spans="1:202" s="554" customFormat="1">
      <c r="A263" s="591"/>
      <c r="B263" s="569"/>
      <c r="C263" s="569"/>
      <c r="D263" s="569"/>
      <c r="E263" s="569"/>
      <c r="F263" s="569"/>
      <c r="G263" s="569"/>
      <c r="H263" s="569"/>
      <c r="I263" s="569"/>
      <c r="J263" s="569"/>
      <c r="K263" s="569"/>
      <c r="L263" s="569"/>
      <c r="M263" s="569"/>
      <c r="N263" s="569"/>
      <c r="O263" s="569"/>
      <c r="P263" s="569"/>
      <c r="Q263" s="569"/>
      <c r="R263" s="569"/>
      <c r="S263" s="569"/>
      <c r="T263" s="569"/>
      <c r="U263" s="569"/>
      <c r="V263" s="569"/>
      <c r="W263" s="569"/>
      <c r="X263" s="569"/>
      <c r="Y263" s="569"/>
      <c r="Z263" s="569"/>
      <c r="AA263" s="569"/>
      <c r="AB263" s="569"/>
      <c r="AC263" s="569"/>
      <c r="AD263" s="569"/>
      <c r="AE263" s="569"/>
      <c r="AF263" s="569"/>
      <c r="AG263" s="569"/>
      <c r="AH263" s="569"/>
      <c r="AI263" s="569"/>
      <c r="AJ263" s="569"/>
      <c r="AK263" s="569"/>
      <c r="AL263" s="569"/>
      <c r="AM263" s="569"/>
      <c r="AN263" s="569"/>
      <c r="AO263" s="569"/>
      <c r="AP263" s="569"/>
      <c r="AQ263" s="569"/>
      <c r="AR263" s="569"/>
      <c r="AS263" s="569"/>
      <c r="AT263" s="569"/>
      <c r="AU263" s="569"/>
      <c r="AV263" s="569"/>
      <c r="AW263" s="569"/>
      <c r="AX263" s="569"/>
      <c r="AY263" s="569"/>
      <c r="AZ263" s="569"/>
      <c r="BA263" s="569"/>
      <c r="BB263" s="569"/>
      <c r="BC263" s="569"/>
      <c r="BD263" s="569"/>
      <c r="BE263" s="569"/>
      <c r="BF263" s="569"/>
      <c r="BG263" s="569"/>
      <c r="BH263" s="569"/>
      <c r="BI263" s="569"/>
      <c r="BJ263" s="569"/>
      <c r="BK263" s="569"/>
      <c r="BL263" s="569"/>
      <c r="BM263" s="569"/>
      <c r="BN263" s="569"/>
      <c r="BO263" s="569"/>
      <c r="BP263" s="569"/>
      <c r="BQ263" s="569"/>
      <c r="BR263" s="569"/>
      <c r="BS263" s="569"/>
      <c r="BT263" s="569"/>
      <c r="BU263" s="569"/>
      <c r="BV263" s="569"/>
      <c r="BW263" s="569"/>
      <c r="BX263" s="569"/>
      <c r="BY263" s="569"/>
      <c r="BZ263" s="569"/>
      <c r="CA263" s="569"/>
      <c r="CB263" s="569"/>
      <c r="CC263" s="569"/>
      <c r="CD263" s="569"/>
      <c r="CE263" s="569"/>
      <c r="CF263" s="569"/>
      <c r="CG263" s="569"/>
      <c r="CH263" s="569"/>
      <c r="CI263" s="569"/>
      <c r="CJ263" s="569"/>
      <c r="CK263" s="569"/>
      <c r="CL263" s="569"/>
      <c r="CM263" s="569"/>
      <c r="CN263" s="569"/>
      <c r="CO263" s="569"/>
      <c r="CP263" s="569"/>
      <c r="CQ263" s="569"/>
      <c r="CR263" s="569"/>
      <c r="CS263" s="569"/>
      <c r="CT263" s="569"/>
      <c r="CU263" s="569"/>
      <c r="CV263" s="569"/>
      <c r="CW263" s="569"/>
      <c r="CX263" s="569"/>
      <c r="CY263" s="569"/>
      <c r="CZ263" s="569"/>
      <c r="DA263" s="569"/>
      <c r="DB263" s="569"/>
      <c r="DC263" s="569"/>
      <c r="DD263" s="569"/>
      <c r="DE263" s="569"/>
      <c r="DF263" s="569"/>
      <c r="DG263" s="569"/>
      <c r="DH263" s="569"/>
      <c r="DI263" s="569"/>
      <c r="DJ263" s="569"/>
      <c r="DK263" s="569"/>
      <c r="DL263" s="569"/>
      <c r="DM263" s="569"/>
      <c r="DN263" s="569"/>
      <c r="DO263" s="569"/>
      <c r="DP263" s="569"/>
      <c r="DQ263" s="569"/>
      <c r="DR263" s="569"/>
      <c r="DS263" s="569"/>
      <c r="DT263" s="569"/>
      <c r="DU263" s="569"/>
      <c r="DV263" s="569"/>
      <c r="DW263" s="569"/>
      <c r="DX263" s="569"/>
      <c r="DY263" s="569"/>
      <c r="DZ263" s="569"/>
      <c r="EA263" s="569"/>
      <c r="EB263" s="569"/>
      <c r="EC263" s="569"/>
      <c r="ED263" s="569"/>
      <c r="EE263" s="569"/>
      <c r="EF263" s="569"/>
      <c r="EG263" s="569"/>
      <c r="EH263" s="569"/>
      <c r="EI263" s="569"/>
      <c r="EJ263" s="569"/>
      <c r="EK263" s="569"/>
      <c r="EL263" s="569"/>
      <c r="EM263" s="569"/>
      <c r="EN263" s="569"/>
      <c r="EO263" s="569"/>
      <c r="EP263" s="569"/>
      <c r="EQ263" s="569"/>
      <c r="ER263" s="569"/>
      <c r="ES263" s="569"/>
      <c r="ET263" s="569"/>
      <c r="EU263" s="569"/>
      <c r="EV263" s="569"/>
      <c r="EW263" s="569"/>
      <c r="EX263" s="569"/>
      <c r="EY263" s="569"/>
      <c r="EZ263" s="569"/>
      <c r="FA263" s="569"/>
      <c r="FB263" s="569"/>
      <c r="FC263" s="569"/>
      <c r="FD263" s="569"/>
      <c r="FE263" s="569"/>
      <c r="FF263" s="569"/>
      <c r="FG263" s="569"/>
      <c r="FH263" s="569"/>
      <c r="FI263" s="569"/>
      <c r="FJ263" s="569"/>
      <c r="FK263" s="569"/>
      <c r="FL263" s="569"/>
      <c r="FM263" s="569"/>
      <c r="FN263" s="569"/>
      <c r="FO263" s="569"/>
      <c r="FP263" s="569"/>
      <c r="FQ263" s="569"/>
      <c r="FR263" s="569"/>
      <c r="FS263" s="569"/>
      <c r="FT263" s="569"/>
      <c r="FU263" s="569"/>
      <c r="FV263" s="569"/>
      <c r="FW263" s="569"/>
      <c r="FX263" s="569"/>
      <c r="FY263" s="569"/>
      <c r="FZ263" s="569"/>
      <c r="GA263" s="569"/>
      <c r="GB263" s="569"/>
      <c r="GC263" s="569"/>
      <c r="GD263" s="569"/>
      <c r="GE263" s="569"/>
      <c r="GF263" s="569"/>
      <c r="GG263" s="569"/>
      <c r="GH263" s="569"/>
      <c r="GI263" s="569"/>
      <c r="GJ263" s="569"/>
      <c r="GK263" s="569"/>
      <c r="GL263" s="569"/>
      <c r="GM263" s="569"/>
      <c r="GN263" s="569"/>
      <c r="GO263" s="569"/>
      <c r="GP263" s="569"/>
      <c r="GQ263" s="569"/>
      <c r="GR263" s="569"/>
      <c r="GS263" s="569"/>
      <c r="GT263" s="569"/>
    </row>
    <row r="264" spans="1:202" s="554" customFormat="1">
      <c r="A264" s="591"/>
      <c r="B264" s="569"/>
      <c r="C264" s="569"/>
      <c r="D264" s="569"/>
      <c r="E264" s="569"/>
      <c r="F264" s="569"/>
      <c r="G264" s="569"/>
      <c r="H264" s="569"/>
      <c r="I264" s="569"/>
      <c r="J264" s="569"/>
      <c r="K264" s="569"/>
      <c r="L264" s="569"/>
      <c r="M264" s="569"/>
      <c r="N264" s="569"/>
      <c r="O264" s="569"/>
      <c r="P264" s="569"/>
      <c r="Q264" s="569"/>
      <c r="R264" s="569"/>
      <c r="S264" s="569"/>
      <c r="T264" s="569"/>
      <c r="U264" s="569"/>
      <c r="V264" s="569"/>
      <c r="W264" s="569"/>
      <c r="X264" s="569"/>
      <c r="Y264" s="569"/>
      <c r="Z264" s="569"/>
      <c r="AA264" s="569"/>
      <c r="AB264" s="569"/>
      <c r="AC264" s="569"/>
      <c r="AD264" s="569"/>
      <c r="AE264" s="569"/>
      <c r="AF264" s="569"/>
      <c r="AG264" s="569"/>
      <c r="AH264" s="569"/>
      <c r="AI264" s="569"/>
      <c r="AJ264" s="569"/>
      <c r="AK264" s="569"/>
      <c r="AL264" s="569"/>
      <c r="AM264" s="569"/>
      <c r="AN264" s="569"/>
      <c r="AO264" s="569"/>
      <c r="AP264" s="569"/>
      <c r="AQ264" s="569"/>
      <c r="AR264" s="569"/>
      <c r="AS264" s="569"/>
      <c r="AT264" s="569"/>
      <c r="AU264" s="569"/>
      <c r="AV264" s="569"/>
      <c r="AW264" s="569"/>
      <c r="AX264" s="569"/>
      <c r="AY264" s="569"/>
      <c r="AZ264" s="569"/>
      <c r="BA264" s="569"/>
      <c r="BB264" s="569"/>
      <c r="BC264" s="569"/>
      <c r="BD264" s="569"/>
      <c r="BE264" s="569"/>
      <c r="BF264" s="569"/>
      <c r="BG264" s="569"/>
      <c r="BH264" s="569"/>
      <c r="BI264" s="569"/>
      <c r="BJ264" s="569"/>
      <c r="BK264" s="569"/>
      <c r="BL264" s="569"/>
      <c r="BM264" s="569"/>
      <c r="BN264" s="569"/>
      <c r="BO264" s="569"/>
      <c r="BP264" s="569"/>
      <c r="BQ264" s="569"/>
      <c r="BR264" s="569"/>
      <c r="BS264" s="569"/>
      <c r="BT264" s="569"/>
      <c r="BU264" s="569"/>
      <c r="BV264" s="569"/>
      <c r="BW264" s="569"/>
      <c r="BX264" s="569"/>
      <c r="BY264" s="569"/>
      <c r="BZ264" s="569"/>
      <c r="CA264" s="569"/>
      <c r="CB264" s="569"/>
      <c r="CC264" s="569"/>
      <c r="CD264" s="569"/>
      <c r="CE264" s="569"/>
      <c r="CF264" s="569"/>
      <c r="CG264" s="569"/>
      <c r="CH264" s="569"/>
      <c r="CI264" s="569"/>
      <c r="CJ264" s="569"/>
      <c r="CK264" s="569"/>
      <c r="CL264" s="569"/>
      <c r="CM264" s="569"/>
      <c r="CN264" s="569"/>
      <c r="CO264" s="569"/>
      <c r="CP264" s="569"/>
      <c r="CQ264" s="569"/>
      <c r="CR264" s="569"/>
      <c r="CS264" s="569"/>
      <c r="CT264" s="569"/>
      <c r="CU264" s="569"/>
      <c r="CV264" s="569"/>
      <c r="CW264" s="569"/>
      <c r="CX264" s="569"/>
      <c r="CY264" s="569"/>
      <c r="CZ264" s="569"/>
      <c r="DA264" s="569"/>
      <c r="DB264" s="569"/>
      <c r="DC264" s="569"/>
      <c r="DD264" s="569"/>
      <c r="DE264" s="569"/>
      <c r="DF264" s="569"/>
      <c r="DG264" s="569"/>
      <c r="DH264" s="569"/>
      <c r="DI264" s="569"/>
      <c r="DJ264" s="569"/>
      <c r="DK264" s="569"/>
      <c r="DL264" s="569"/>
      <c r="DM264" s="569"/>
      <c r="DN264" s="569"/>
      <c r="DO264" s="569"/>
      <c r="DP264" s="569"/>
      <c r="DQ264" s="569"/>
      <c r="DR264" s="569"/>
      <c r="DS264" s="569"/>
      <c r="DT264" s="569"/>
      <c r="DU264" s="569"/>
      <c r="DV264" s="569"/>
      <c r="DW264" s="569"/>
      <c r="DX264" s="569"/>
      <c r="DY264" s="569"/>
      <c r="DZ264" s="569"/>
      <c r="EA264" s="569"/>
      <c r="EB264" s="569"/>
      <c r="EC264" s="569"/>
      <c r="ED264" s="569"/>
      <c r="EE264" s="569"/>
      <c r="EF264" s="569"/>
      <c r="EG264" s="569"/>
      <c r="EH264" s="569"/>
      <c r="EI264" s="569"/>
      <c r="EJ264" s="569"/>
      <c r="EK264" s="569"/>
      <c r="EL264" s="569"/>
      <c r="EM264" s="569"/>
      <c r="EN264" s="569"/>
      <c r="EO264" s="569"/>
      <c r="EP264" s="569"/>
      <c r="EQ264" s="569"/>
      <c r="ER264" s="569"/>
      <c r="ES264" s="569"/>
      <c r="ET264" s="569"/>
      <c r="EU264" s="569"/>
      <c r="EV264" s="569"/>
      <c r="EW264" s="569"/>
      <c r="EX264" s="569"/>
      <c r="EY264" s="569"/>
      <c r="EZ264" s="569"/>
      <c r="FA264" s="569"/>
      <c r="FB264" s="569"/>
      <c r="FC264" s="569"/>
      <c r="FD264" s="569"/>
      <c r="FE264" s="569"/>
      <c r="FF264" s="569"/>
      <c r="FG264" s="569"/>
      <c r="FH264" s="569"/>
      <c r="FI264" s="569"/>
      <c r="FJ264" s="569"/>
      <c r="FK264" s="569"/>
      <c r="FL264" s="569"/>
      <c r="FM264" s="569"/>
      <c r="FN264" s="569"/>
      <c r="FO264" s="569"/>
      <c r="FP264" s="569"/>
      <c r="FQ264" s="569"/>
      <c r="FR264" s="569"/>
      <c r="FS264" s="569"/>
      <c r="FT264" s="569"/>
      <c r="FU264" s="569"/>
      <c r="FV264" s="569"/>
      <c r="FW264" s="569"/>
      <c r="FX264" s="569"/>
      <c r="FY264" s="569"/>
      <c r="FZ264" s="569"/>
      <c r="GA264" s="569"/>
      <c r="GB264" s="569"/>
      <c r="GC264" s="569"/>
      <c r="GD264" s="569"/>
      <c r="GE264" s="569"/>
      <c r="GF264" s="569"/>
      <c r="GG264" s="569"/>
      <c r="GH264" s="569"/>
      <c r="GI264" s="569"/>
      <c r="GJ264" s="569"/>
      <c r="GK264" s="569"/>
      <c r="GL264" s="569"/>
      <c r="GM264" s="569"/>
      <c r="GN264" s="569"/>
      <c r="GO264" s="569"/>
      <c r="GP264" s="569"/>
      <c r="GQ264" s="569"/>
      <c r="GR264" s="569"/>
      <c r="GS264" s="569"/>
      <c r="GT264" s="569"/>
    </row>
    <row r="265" spans="1:202">
      <c r="B265" s="569"/>
      <c r="C265" s="569"/>
      <c r="D265" s="569"/>
      <c r="E265" s="569"/>
      <c r="F265" s="569"/>
      <c r="G265" s="569"/>
      <c r="H265" s="569"/>
      <c r="I265" s="569"/>
      <c r="J265" s="569"/>
      <c r="K265" s="569"/>
      <c r="L265" s="569"/>
      <c r="M265" s="569"/>
      <c r="N265" s="569"/>
      <c r="O265" s="569"/>
      <c r="P265" s="569"/>
    </row>
    <row r="266" spans="1:202">
      <c r="B266" s="569"/>
      <c r="C266" s="569"/>
      <c r="D266" s="569"/>
      <c r="E266" s="569"/>
      <c r="F266" s="569"/>
      <c r="G266" s="569"/>
      <c r="H266" s="569"/>
      <c r="I266" s="569"/>
      <c r="J266" s="569"/>
      <c r="K266" s="569"/>
      <c r="L266" s="569"/>
      <c r="M266" s="569"/>
      <c r="N266" s="569"/>
      <c r="O266" s="569"/>
      <c r="P266" s="569"/>
    </row>
    <row r="267" spans="1:202">
      <c r="B267" s="569"/>
      <c r="C267" s="569"/>
      <c r="D267" s="569"/>
      <c r="E267" s="569"/>
      <c r="F267" s="569"/>
      <c r="G267" s="569"/>
      <c r="H267" s="569"/>
      <c r="I267" s="569"/>
      <c r="J267" s="569"/>
      <c r="K267" s="569"/>
      <c r="L267" s="569"/>
      <c r="M267" s="569"/>
      <c r="N267" s="569"/>
      <c r="O267" s="569"/>
      <c r="P267" s="569"/>
    </row>
    <row r="268" spans="1:202">
      <c r="B268" s="569"/>
      <c r="C268" s="569"/>
      <c r="D268" s="569"/>
      <c r="E268" s="569"/>
      <c r="F268" s="569"/>
      <c r="G268" s="569"/>
      <c r="H268" s="569"/>
      <c r="I268" s="569"/>
      <c r="J268" s="569"/>
      <c r="K268" s="569"/>
      <c r="L268" s="569"/>
      <c r="M268" s="569"/>
      <c r="N268" s="569"/>
      <c r="O268" s="569"/>
      <c r="P268" s="569"/>
    </row>
    <row r="269" spans="1:202">
      <c r="B269" s="569"/>
      <c r="C269" s="569"/>
      <c r="D269" s="569"/>
      <c r="E269" s="569"/>
      <c r="F269" s="569"/>
      <c r="G269" s="569"/>
      <c r="H269" s="569"/>
      <c r="I269" s="569"/>
      <c r="J269" s="569"/>
      <c r="K269" s="569"/>
      <c r="L269" s="569"/>
      <c r="M269" s="569"/>
      <c r="N269" s="569"/>
      <c r="O269" s="569"/>
      <c r="P269" s="569"/>
    </row>
    <row r="270" spans="1:202">
      <c r="B270" s="569"/>
      <c r="C270" s="569"/>
      <c r="D270" s="569"/>
      <c r="E270" s="569"/>
      <c r="F270" s="569"/>
      <c r="G270" s="569"/>
      <c r="H270" s="569"/>
      <c r="I270" s="569"/>
      <c r="J270" s="569"/>
      <c r="K270" s="569"/>
      <c r="L270" s="569"/>
      <c r="M270" s="569"/>
      <c r="N270" s="569"/>
      <c r="O270" s="569"/>
      <c r="P270" s="569"/>
    </row>
    <row r="271" spans="1:202">
      <c r="B271" s="569"/>
      <c r="C271" s="569"/>
      <c r="D271" s="569"/>
      <c r="E271" s="569"/>
      <c r="F271" s="569"/>
      <c r="G271" s="569"/>
      <c r="H271" s="569"/>
      <c r="I271" s="569"/>
      <c r="J271" s="569"/>
      <c r="K271" s="569"/>
      <c r="L271" s="569"/>
      <c r="M271" s="569"/>
      <c r="N271" s="569"/>
      <c r="O271" s="569"/>
      <c r="P271" s="569"/>
    </row>
    <row r="272" spans="1:202">
      <c r="B272" s="569"/>
      <c r="C272" s="569"/>
      <c r="D272" s="569"/>
      <c r="E272" s="569"/>
      <c r="F272" s="569"/>
      <c r="G272" s="569"/>
      <c r="H272" s="569"/>
      <c r="I272" s="569"/>
      <c r="J272" s="569"/>
      <c r="K272" s="569"/>
      <c r="L272" s="569"/>
      <c r="M272" s="569"/>
      <c r="N272" s="569"/>
      <c r="O272" s="569"/>
      <c r="P272" s="569"/>
    </row>
    <row r="273" spans="1:16">
      <c r="B273" s="569"/>
      <c r="C273" s="569"/>
      <c r="D273" s="569"/>
      <c r="E273" s="569"/>
      <c r="F273" s="569"/>
      <c r="G273" s="569"/>
      <c r="H273" s="569"/>
      <c r="I273" s="569"/>
      <c r="J273" s="569"/>
      <c r="K273" s="569"/>
      <c r="L273" s="569"/>
      <c r="M273" s="569"/>
      <c r="N273" s="569"/>
      <c r="O273" s="569"/>
      <c r="P273" s="569"/>
    </row>
    <row r="274" spans="1:16">
      <c r="B274" s="569"/>
      <c r="C274" s="569"/>
      <c r="D274" s="569"/>
      <c r="E274" s="569"/>
      <c r="F274" s="569"/>
      <c r="G274" s="569"/>
      <c r="H274" s="569"/>
      <c r="I274" s="569"/>
      <c r="J274" s="569"/>
      <c r="K274" s="569"/>
      <c r="L274" s="569"/>
      <c r="M274" s="569"/>
      <c r="N274" s="569"/>
      <c r="O274" s="569"/>
      <c r="P274" s="569"/>
    </row>
    <row r="275" spans="1:16">
      <c r="B275" s="569"/>
      <c r="C275" s="569"/>
      <c r="D275" s="569"/>
      <c r="E275" s="569"/>
      <c r="F275" s="569"/>
      <c r="G275" s="569"/>
      <c r="H275" s="569"/>
      <c r="I275" s="569"/>
      <c r="J275" s="569"/>
      <c r="K275" s="569"/>
      <c r="L275" s="569"/>
      <c r="M275" s="569"/>
      <c r="N275" s="569"/>
      <c r="O275" s="569"/>
      <c r="P275" s="569"/>
    </row>
    <row r="276" spans="1:16">
      <c r="B276" s="569"/>
      <c r="C276" s="569"/>
      <c r="D276" s="569"/>
      <c r="E276" s="569"/>
      <c r="F276" s="569"/>
      <c r="G276" s="569"/>
      <c r="H276" s="569"/>
      <c r="I276" s="569"/>
      <c r="J276" s="569"/>
      <c r="K276" s="569"/>
      <c r="L276" s="569"/>
      <c r="M276" s="569"/>
      <c r="N276" s="569"/>
      <c r="O276" s="569"/>
      <c r="P276" s="569"/>
    </row>
    <row r="277" spans="1:16">
      <c r="B277" s="569"/>
      <c r="C277" s="569"/>
      <c r="D277" s="569"/>
      <c r="E277" s="569"/>
      <c r="F277" s="569"/>
      <c r="G277" s="569"/>
      <c r="H277" s="569"/>
      <c r="I277" s="569"/>
      <c r="J277" s="569"/>
      <c r="K277" s="569"/>
      <c r="L277" s="569"/>
      <c r="M277" s="569"/>
      <c r="N277" s="569"/>
      <c r="O277" s="569"/>
      <c r="P277" s="569"/>
    </row>
    <row r="278" spans="1:16">
      <c r="B278" s="569"/>
      <c r="C278" s="569"/>
      <c r="D278" s="569"/>
      <c r="E278" s="569"/>
      <c r="F278" s="569"/>
      <c r="G278" s="569"/>
      <c r="H278" s="569"/>
      <c r="I278" s="569"/>
      <c r="J278" s="569"/>
      <c r="K278" s="569"/>
      <c r="L278" s="569"/>
      <c r="M278" s="569"/>
      <c r="N278" s="569"/>
      <c r="O278" s="569"/>
      <c r="P278" s="569"/>
    </row>
    <row r="279" spans="1:16">
      <c r="B279" s="569"/>
      <c r="C279" s="569"/>
      <c r="D279" s="569"/>
      <c r="E279" s="569"/>
      <c r="F279" s="569"/>
      <c r="G279" s="569"/>
      <c r="H279" s="569"/>
      <c r="I279" s="569"/>
      <c r="J279" s="569"/>
      <c r="K279" s="569"/>
      <c r="L279" s="569"/>
      <c r="M279" s="569"/>
      <c r="N279" s="569"/>
      <c r="O279" s="569"/>
      <c r="P279" s="569"/>
    </row>
    <row r="280" spans="1:16">
      <c r="A280" s="569"/>
      <c r="B280" s="569"/>
      <c r="C280" s="569"/>
      <c r="D280" s="569"/>
      <c r="E280" s="569"/>
      <c r="F280" s="569"/>
      <c r="G280" s="569"/>
      <c r="H280" s="569"/>
      <c r="I280" s="569"/>
      <c r="J280" s="569"/>
      <c r="K280" s="569"/>
      <c r="L280" s="569"/>
      <c r="M280" s="569"/>
      <c r="N280" s="569"/>
      <c r="O280" s="569"/>
      <c r="P280" s="569"/>
    </row>
    <row r="281" spans="1:16">
      <c r="A281" s="569"/>
      <c r="B281" s="569"/>
      <c r="C281" s="569"/>
      <c r="D281" s="569"/>
      <c r="E281" s="569"/>
      <c r="F281" s="569"/>
      <c r="G281" s="569"/>
      <c r="H281" s="569"/>
      <c r="I281" s="569"/>
      <c r="J281" s="569"/>
      <c r="K281" s="569"/>
      <c r="L281" s="569"/>
      <c r="M281" s="569"/>
      <c r="N281" s="569"/>
      <c r="O281" s="569"/>
      <c r="P281" s="569"/>
    </row>
    <row r="282" spans="1:16">
      <c r="A282" s="569"/>
      <c r="B282" s="569"/>
      <c r="C282" s="569"/>
      <c r="D282" s="569"/>
      <c r="E282" s="569"/>
      <c r="F282" s="569"/>
      <c r="G282" s="569"/>
      <c r="H282" s="569"/>
      <c r="I282" s="569"/>
      <c r="J282" s="569"/>
      <c r="K282" s="569"/>
      <c r="L282" s="569"/>
      <c r="M282" s="569"/>
      <c r="N282" s="569"/>
      <c r="O282" s="569"/>
      <c r="P282" s="569"/>
    </row>
    <row r="283" spans="1:16">
      <c r="A283" s="569"/>
      <c r="B283" s="569"/>
      <c r="C283" s="569"/>
      <c r="D283" s="569"/>
      <c r="E283" s="569"/>
      <c r="F283" s="569"/>
      <c r="G283" s="569"/>
      <c r="H283" s="569"/>
      <c r="I283" s="569"/>
      <c r="J283" s="569"/>
      <c r="K283" s="569"/>
      <c r="L283" s="569"/>
      <c r="M283" s="569"/>
      <c r="N283" s="569"/>
      <c r="O283" s="569"/>
      <c r="P283" s="569"/>
    </row>
    <row r="284" spans="1:16">
      <c r="A284" s="569"/>
      <c r="B284" s="569"/>
      <c r="C284" s="569"/>
      <c r="D284" s="569"/>
      <c r="E284" s="569"/>
      <c r="F284" s="569"/>
      <c r="G284" s="569"/>
      <c r="H284" s="569"/>
      <c r="I284" s="569"/>
      <c r="J284" s="569"/>
      <c r="K284" s="569"/>
      <c r="L284" s="569"/>
      <c r="M284" s="569"/>
      <c r="N284" s="569"/>
      <c r="O284" s="569"/>
      <c r="P284" s="569"/>
    </row>
    <row r="285" spans="1:16">
      <c r="A285" s="569"/>
      <c r="B285" s="569"/>
      <c r="C285" s="569"/>
      <c r="D285" s="569"/>
      <c r="E285" s="569"/>
      <c r="F285" s="569"/>
      <c r="G285" s="569"/>
      <c r="H285" s="569"/>
      <c r="I285" s="569"/>
      <c r="J285" s="569"/>
      <c r="K285" s="569"/>
      <c r="L285" s="569"/>
      <c r="M285" s="569"/>
      <c r="N285" s="569"/>
      <c r="O285" s="569"/>
      <c r="P285" s="569"/>
    </row>
    <row r="286" spans="1:16">
      <c r="A286" s="569"/>
      <c r="B286" s="569"/>
      <c r="C286" s="569"/>
      <c r="D286" s="569"/>
      <c r="E286" s="569"/>
      <c r="F286" s="569"/>
      <c r="G286" s="569"/>
      <c r="H286" s="569"/>
      <c r="I286" s="569"/>
      <c r="J286" s="569"/>
      <c r="K286" s="569"/>
      <c r="L286" s="569"/>
      <c r="M286" s="569"/>
      <c r="N286" s="569"/>
      <c r="O286" s="569"/>
      <c r="P286" s="569"/>
    </row>
    <row r="287" spans="1:16">
      <c r="A287" s="569"/>
      <c r="B287" s="569"/>
      <c r="C287" s="569"/>
      <c r="D287" s="569"/>
      <c r="E287" s="569"/>
      <c r="F287" s="569"/>
      <c r="G287" s="569"/>
      <c r="H287" s="569"/>
      <c r="I287" s="569"/>
      <c r="J287" s="569"/>
      <c r="K287" s="569"/>
      <c r="L287" s="569"/>
      <c r="M287" s="569"/>
      <c r="N287" s="569"/>
      <c r="O287" s="569"/>
      <c r="P287" s="569"/>
    </row>
    <row r="288" spans="1:16">
      <c r="A288" s="569"/>
      <c r="B288" s="569"/>
      <c r="C288" s="569"/>
      <c r="D288" s="569"/>
      <c r="E288" s="569"/>
      <c r="F288" s="569"/>
      <c r="G288" s="569"/>
      <c r="H288" s="569"/>
      <c r="I288" s="569"/>
      <c r="J288" s="569"/>
      <c r="K288" s="569"/>
      <c r="L288" s="569"/>
      <c r="M288" s="569"/>
      <c r="N288" s="569"/>
      <c r="O288" s="569"/>
      <c r="P288" s="569"/>
    </row>
    <row r="289" s="569" customFormat="1"/>
    <row r="290" s="569" customFormat="1"/>
    <row r="291" s="569" customFormat="1"/>
    <row r="292" s="569" customFormat="1"/>
    <row r="293" s="569" customFormat="1"/>
    <row r="294" s="569" customFormat="1"/>
    <row r="295" s="569" customFormat="1"/>
    <row r="296" s="569" customFormat="1"/>
    <row r="297" s="569" customFormat="1"/>
    <row r="298" s="569" customFormat="1"/>
    <row r="299" s="569" customFormat="1"/>
    <row r="300" s="569" customFormat="1"/>
    <row r="301" s="569" customFormat="1"/>
    <row r="302" s="569" customFormat="1"/>
    <row r="303" s="569" customFormat="1"/>
    <row r="304" s="569" customFormat="1"/>
    <row r="305" s="569" customFormat="1"/>
    <row r="306" s="569" customFormat="1"/>
    <row r="307" s="569" customFormat="1"/>
    <row r="308" s="569" customFormat="1"/>
    <row r="309" s="569" customFormat="1"/>
    <row r="310" s="569" customFormat="1"/>
    <row r="311" s="569" customFormat="1"/>
    <row r="312" s="569" customFormat="1"/>
    <row r="313" s="569" customFormat="1"/>
    <row r="314" s="569" customFormat="1"/>
    <row r="315" s="569" customFormat="1"/>
    <row r="316" s="569" customFormat="1"/>
    <row r="317" s="569" customFormat="1"/>
    <row r="318" s="569" customFormat="1"/>
    <row r="319" s="569" customFormat="1"/>
    <row r="320" s="569" customFormat="1"/>
    <row r="321" s="569" customFormat="1"/>
    <row r="322" s="569" customFormat="1"/>
    <row r="323" s="569" customFormat="1"/>
    <row r="324" s="569" customFormat="1"/>
    <row r="325" s="569" customFormat="1"/>
    <row r="326" s="569" customFormat="1"/>
    <row r="327" s="569" customFormat="1"/>
    <row r="328" s="569" customFormat="1"/>
    <row r="329" s="569" customFormat="1"/>
    <row r="330" s="569" customFormat="1"/>
    <row r="331" s="569" customFormat="1"/>
    <row r="332" s="569" customFormat="1"/>
    <row r="333" s="569" customFormat="1"/>
    <row r="334" s="569" customFormat="1"/>
    <row r="335" s="569" customFormat="1"/>
    <row r="336" s="569" customFormat="1"/>
    <row r="337" s="569" customFormat="1"/>
    <row r="338" s="569" customFormat="1"/>
    <row r="339" s="569" customFormat="1"/>
    <row r="340" s="569" customFormat="1"/>
    <row r="341" s="569" customFormat="1"/>
    <row r="342" s="569" customFormat="1"/>
    <row r="343" s="569" customFormat="1"/>
    <row r="344" s="569" customFormat="1"/>
    <row r="345" s="569" customFormat="1"/>
    <row r="346" s="569" customFormat="1"/>
    <row r="347" s="569" customFormat="1"/>
    <row r="348" s="569" customFormat="1"/>
    <row r="349" s="569" customFormat="1"/>
    <row r="350" s="569" customFormat="1"/>
    <row r="351" s="569" customFormat="1"/>
    <row r="352" s="569" customFormat="1"/>
    <row r="353" s="569" customFormat="1"/>
    <row r="354" s="569" customFormat="1"/>
    <row r="355" s="569" customFormat="1"/>
    <row r="356" s="569" customFormat="1"/>
    <row r="357" s="569" customFormat="1"/>
    <row r="358" s="569" customFormat="1"/>
    <row r="359" s="569" customFormat="1"/>
    <row r="360" s="569" customFormat="1"/>
    <row r="361" s="569" customFormat="1"/>
    <row r="362" s="569" customFormat="1"/>
    <row r="363" s="569" customFormat="1"/>
    <row r="364" s="569" customFormat="1"/>
    <row r="365" s="569" customFormat="1"/>
    <row r="366" s="569" customFormat="1"/>
    <row r="367" s="569" customFormat="1"/>
    <row r="368" s="569" customFormat="1"/>
    <row r="369" s="569" customFormat="1"/>
    <row r="370" s="569" customFormat="1"/>
    <row r="371" s="569" customFormat="1"/>
    <row r="372" s="569" customFormat="1"/>
    <row r="373" s="569" customFormat="1"/>
    <row r="374" s="569" customFormat="1"/>
    <row r="375" s="569" customFormat="1"/>
    <row r="376" s="569" customFormat="1"/>
    <row r="377" s="569" customFormat="1"/>
    <row r="378" s="569" customFormat="1"/>
    <row r="379" s="569" customFormat="1"/>
    <row r="380" s="569" customFormat="1"/>
    <row r="381" s="569" customFormat="1"/>
    <row r="382" s="569" customFormat="1"/>
    <row r="383" s="569" customFormat="1"/>
    <row r="384" s="569" customFormat="1"/>
    <row r="385" s="569" customFormat="1"/>
    <row r="386" s="569" customFormat="1"/>
    <row r="387" s="569" customFormat="1"/>
    <row r="388" s="569" customFormat="1"/>
    <row r="389" s="569" customFormat="1"/>
    <row r="390" s="569" customFormat="1"/>
    <row r="391" s="569" customFormat="1"/>
    <row r="392" s="569" customFormat="1"/>
    <row r="393" s="569" customFormat="1"/>
    <row r="394" s="569" customFormat="1"/>
    <row r="395" s="569" customFormat="1"/>
    <row r="396" s="569" customFormat="1"/>
    <row r="397" s="569" customFormat="1"/>
    <row r="398" s="569" customFormat="1"/>
    <row r="399" s="569" customFormat="1"/>
    <row r="400" s="569" customFormat="1"/>
    <row r="401" s="569" customFormat="1"/>
    <row r="402" s="569" customFormat="1"/>
    <row r="403" s="569" customFormat="1"/>
    <row r="404" s="569" customFormat="1"/>
    <row r="405" s="569" customFormat="1"/>
    <row r="406" s="569" customFormat="1"/>
    <row r="407" s="569" customFormat="1"/>
    <row r="408" s="569" customFormat="1"/>
    <row r="409" s="569" customFormat="1"/>
    <row r="410" s="569" customFormat="1"/>
    <row r="411" s="569" customFormat="1"/>
    <row r="412" s="569" customFormat="1"/>
    <row r="413" s="569" customFormat="1"/>
    <row r="414" s="569" customFormat="1"/>
    <row r="415" s="569" customFormat="1"/>
    <row r="416" s="569" customFormat="1"/>
    <row r="417" s="569" customFormat="1"/>
    <row r="418" s="569" customFormat="1"/>
    <row r="419" s="569" customFormat="1"/>
    <row r="420" s="569" customFormat="1"/>
    <row r="421" s="569" customFormat="1"/>
    <row r="422" s="569" customFormat="1"/>
    <row r="423" s="569" customFormat="1"/>
    <row r="424" s="569" customFormat="1"/>
    <row r="425" s="569" customFormat="1"/>
    <row r="426" s="569" customFormat="1"/>
    <row r="427" s="569" customFormat="1"/>
    <row r="428" s="569" customFormat="1"/>
    <row r="429" s="569" customFormat="1"/>
    <row r="430" s="569" customFormat="1"/>
    <row r="431" s="569" customFormat="1"/>
    <row r="432" s="569" customFormat="1"/>
    <row r="433" s="569" customFormat="1"/>
    <row r="434" s="569" customFormat="1"/>
    <row r="435" s="569" customFormat="1"/>
    <row r="436" s="569" customFormat="1"/>
    <row r="437" s="569" customFormat="1"/>
    <row r="438" s="569" customFormat="1"/>
    <row r="439" s="569" customFormat="1"/>
    <row r="440" s="569" customFormat="1"/>
    <row r="441" s="569" customFormat="1"/>
    <row r="442" s="569" customFormat="1"/>
    <row r="443" s="569" customFormat="1"/>
    <row r="444" s="569" customFormat="1"/>
    <row r="445" s="569" customFormat="1"/>
    <row r="446" s="569" customFormat="1"/>
    <row r="447" s="569" customFormat="1"/>
    <row r="448" s="569" customFormat="1"/>
    <row r="449" s="569" customFormat="1"/>
    <row r="450" s="569" customFormat="1"/>
    <row r="451" s="569" customFormat="1"/>
    <row r="452" s="569" customFormat="1"/>
    <row r="453" s="569" customFormat="1"/>
    <row r="454" s="569" customFormat="1"/>
    <row r="455" s="569" customFormat="1"/>
    <row r="456" s="569" customFormat="1"/>
    <row r="457" s="569" customFormat="1"/>
    <row r="458" s="569" customFormat="1"/>
    <row r="459" s="569" customFormat="1"/>
    <row r="460" s="569" customFormat="1"/>
    <row r="461" s="569" customFormat="1"/>
    <row r="462" s="569" customFormat="1"/>
    <row r="463" s="569" customFormat="1"/>
    <row r="464" s="569" customFormat="1"/>
    <row r="465" s="569" customFormat="1"/>
    <row r="466" s="569" customFormat="1"/>
    <row r="467" s="569" customFormat="1"/>
    <row r="468" s="569" customFormat="1"/>
    <row r="469" s="569" customFormat="1"/>
    <row r="470" s="569" customFormat="1"/>
    <row r="471" s="569" customFormat="1"/>
    <row r="472" s="569" customFormat="1"/>
    <row r="473" s="569" customFormat="1"/>
    <row r="474" s="569" customFormat="1"/>
    <row r="475" s="569" customFormat="1"/>
    <row r="476" s="569" customFormat="1"/>
    <row r="477" s="569" customFormat="1"/>
    <row r="478" s="569" customFormat="1"/>
    <row r="479" s="569" customFormat="1"/>
    <row r="480" s="569" customFormat="1"/>
    <row r="481" s="569" customFormat="1"/>
    <row r="482" s="569" customFormat="1"/>
    <row r="483" s="569" customFormat="1"/>
    <row r="484" s="569" customFormat="1"/>
    <row r="485" s="569" customFormat="1"/>
    <row r="486" s="569" customFormat="1"/>
    <row r="487" s="569" customFormat="1"/>
    <row r="488" s="569" customFormat="1"/>
    <row r="489" s="569" customFormat="1"/>
    <row r="490" s="569" customFormat="1"/>
    <row r="491" s="569" customFormat="1"/>
    <row r="492" s="569" customFormat="1"/>
    <row r="493" s="569" customFormat="1"/>
    <row r="494" s="569" customFormat="1"/>
    <row r="495" s="569" customFormat="1"/>
    <row r="496" s="569" customFormat="1"/>
    <row r="497" s="569" customFormat="1"/>
    <row r="498" s="569" customFormat="1"/>
    <row r="499" s="569" customFormat="1"/>
    <row r="500" s="569" customFormat="1"/>
    <row r="501" s="569" customFormat="1"/>
    <row r="502" s="569" customFormat="1"/>
    <row r="503" s="569" customFormat="1"/>
    <row r="504" s="569" customFormat="1"/>
    <row r="505" s="569" customFormat="1"/>
    <row r="506" s="569" customFormat="1"/>
    <row r="507" s="569" customFormat="1"/>
    <row r="508" s="569" customFormat="1"/>
    <row r="509" s="569" customFormat="1"/>
    <row r="510" s="569" customFormat="1"/>
    <row r="511" s="569" customFormat="1"/>
    <row r="512" s="569" customFormat="1"/>
    <row r="513" s="569" customFormat="1"/>
    <row r="514" s="569" customFormat="1"/>
    <row r="515" s="569" customFormat="1"/>
    <row r="516" s="569" customFormat="1"/>
    <row r="517" s="569" customFormat="1"/>
    <row r="518" s="569" customFormat="1"/>
    <row r="519" s="569" customFormat="1"/>
    <row r="520" s="569" customFormat="1"/>
    <row r="521" s="569" customFormat="1"/>
    <row r="522" s="569" customFormat="1"/>
    <row r="523" s="569" customFormat="1"/>
    <row r="524" s="569" customFormat="1"/>
    <row r="525" s="569" customFormat="1"/>
    <row r="526" s="569" customFormat="1"/>
    <row r="527" s="569" customFormat="1"/>
    <row r="528" s="569" customFormat="1"/>
    <row r="529" s="569" customFormat="1"/>
    <row r="530" s="569" customFormat="1"/>
    <row r="531" s="569" customFormat="1"/>
    <row r="532" s="569" customFormat="1"/>
    <row r="533" s="569" customFormat="1"/>
    <row r="534" s="569" customFormat="1"/>
    <row r="535" s="569" customFormat="1"/>
    <row r="536" s="569" customFormat="1"/>
    <row r="537" s="569" customFormat="1"/>
    <row r="538" s="569" customFormat="1"/>
    <row r="539" s="569" customFormat="1"/>
    <row r="540" s="569" customFormat="1"/>
    <row r="541" s="569" customFormat="1"/>
    <row r="542" s="569" customFormat="1"/>
    <row r="543" s="569" customFormat="1"/>
    <row r="544" s="569" customFormat="1"/>
    <row r="545" s="569" customFormat="1"/>
    <row r="546" s="569" customFormat="1"/>
    <row r="547" s="569" customFormat="1"/>
    <row r="548" s="569" customFormat="1"/>
    <row r="549" s="569" customFormat="1"/>
    <row r="550" s="569" customFormat="1"/>
    <row r="551" s="569" customFormat="1"/>
    <row r="552" s="569" customFormat="1"/>
    <row r="553" s="569" customFormat="1"/>
    <row r="554" s="569" customFormat="1"/>
    <row r="555" s="569" customFormat="1"/>
    <row r="556" s="569" customFormat="1"/>
    <row r="557" s="569" customFormat="1"/>
    <row r="558" s="569" customFormat="1"/>
    <row r="559" s="569" customFormat="1"/>
    <row r="560" s="569" customFormat="1"/>
    <row r="561" s="569" customFormat="1"/>
    <row r="562" s="569" customFormat="1"/>
    <row r="563" s="569" customFormat="1"/>
    <row r="564" s="569" customFormat="1"/>
    <row r="565" s="569" customFormat="1"/>
    <row r="566" s="569" customFormat="1"/>
    <row r="567" s="569" customFormat="1"/>
    <row r="568" s="569" customFormat="1"/>
    <row r="569" s="569" customFormat="1"/>
    <row r="570" s="569" customFormat="1"/>
    <row r="571" s="569" customFormat="1"/>
    <row r="572" s="569" customFormat="1"/>
    <row r="573" s="569" customFormat="1"/>
    <row r="574" s="569" customFormat="1"/>
    <row r="575" s="569" customFormat="1"/>
    <row r="576" s="569" customFormat="1"/>
    <row r="577" s="569" customFormat="1"/>
    <row r="578" s="569" customFormat="1"/>
    <row r="579" s="569" customFormat="1"/>
    <row r="580" s="569" customFormat="1"/>
    <row r="581" s="569" customFormat="1"/>
    <row r="582" s="569" customFormat="1"/>
    <row r="583" s="569" customFormat="1"/>
    <row r="584" s="569" customFormat="1"/>
    <row r="585" s="569" customFormat="1"/>
    <row r="586" s="569" customFormat="1"/>
    <row r="587" s="569" customFormat="1"/>
    <row r="588" s="569" customFormat="1"/>
    <row r="589" s="569" customFormat="1"/>
    <row r="590" s="569" customFormat="1"/>
    <row r="591" s="569" customFormat="1"/>
    <row r="592" s="569" customFormat="1"/>
    <row r="593" s="569" customFormat="1"/>
    <row r="594" s="569" customFormat="1"/>
    <row r="595" s="569" customFormat="1"/>
    <row r="596" s="569" customFormat="1"/>
    <row r="597" s="569" customFormat="1"/>
    <row r="598" s="569" customFormat="1"/>
    <row r="599" s="569" customFormat="1"/>
    <row r="600" s="569" customFormat="1"/>
    <row r="601" s="569" customFormat="1"/>
    <row r="602" s="569" customFormat="1"/>
    <row r="603" s="569" customFormat="1"/>
    <row r="604" s="569" customFormat="1"/>
    <row r="605" s="569" customFormat="1"/>
    <row r="606" s="569" customFormat="1"/>
    <row r="607" s="569" customFormat="1"/>
    <row r="608" s="569" customFormat="1"/>
    <row r="609" s="569" customFormat="1"/>
    <row r="610" s="569" customFormat="1"/>
    <row r="611" s="569" customFormat="1"/>
    <row r="612" s="569" customFormat="1"/>
    <row r="613" s="569" customFormat="1"/>
    <row r="614" s="569" customFormat="1"/>
    <row r="615" s="569" customFormat="1"/>
    <row r="616" s="569" customFormat="1"/>
    <row r="617" s="569" customFormat="1"/>
    <row r="618" s="569" customFormat="1"/>
    <row r="619" s="569" customFormat="1"/>
    <row r="620" s="569" customFormat="1"/>
    <row r="621" s="569" customFormat="1"/>
    <row r="622" s="569" customFormat="1"/>
    <row r="623" s="569" customFormat="1"/>
    <row r="624" s="569" customFormat="1"/>
    <row r="625" s="569" customFormat="1"/>
    <row r="626" s="569" customFormat="1"/>
    <row r="627" s="569" customFormat="1"/>
    <row r="628" s="569" customFormat="1"/>
    <row r="629" s="569" customFormat="1"/>
    <row r="630" s="569" customFormat="1"/>
    <row r="631" s="569" customFormat="1"/>
    <row r="632" s="569" customFormat="1"/>
    <row r="633" s="569" customFormat="1"/>
    <row r="634" s="569" customFormat="1"/>
    <row r="635" s="569" customFormat="1"/>
    <row r="636" s="569" customFormat="1"/>
  </sheetData>
  <phoneticPr fontId="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39649" r:id="rId3" name="Drop Down 1">
              <controlPr locked="0" defaultSize="0" autoLine="0" autoPict="0">
                <anchor moveWithCells="1">
                  <from>
                    <xdr:col>0</xdr:col>
                    <xdr:colOff>30480</xdr:colOff>
                    <xdr:row>44</xdr:row>
                    <xdr:rowOff>30480</xdr:rowOff>
                  </from>
                  <to>
                    <xdr:col>1</xdr:col>
                    <xdr:colOff>0</xdr:colOff>
                    <xdr:row>44</xdr:row>
                    <xdr:rowOff>220980</xdr:rowOff>
                  </to>
                </anchor>
              </controlPr>
            </control>
          </mc:Choice>
        </mc:AlternateContent>
        <mc:AlternateContent xmlns:mc="http://schemas.openxmlformats.org/markup-compatibility/2006">
          <mc:Choice Requires="x14">
            <control shapeId="22939650" r:id="rId4" name="Drop Down 2">
              <controlPr defaultSize="0" autoLine="0" autoPict="0">
                <anchor moveWithCells="1">
                  <from>
                    <xdr:col>0</xdr:col>
                    <xdr:colOff>30480</xdr:colOff>
                    <xdr:row>45</xdr:row>
                    <xdr:rowOff>30480</xdr:rowOff>
                  </from>
                  <to>
                    <xdr:col>1</xdr:col>
                    <xdr:colOff>0</xdr:colOff>
                    <xdr:row>46</xdr:row>
                    <xdr:rowOff>7620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7"/>
  <dimension ref="A1:P67"/>
  <sheetViews>
    <sheetView workbookViewId="0">
      <selection activeCell="P14" sqref="P14"/>
    </sheetView>
  </sheetViews>
  <sheetFormatPr defaultRowHeight="10.8"/>
  <cols>
    <col min="1" max="1" width="22.875" style="1165" customWidth="1"/>
    <col min="2" max="2" width="12" style="1165" customWidth="1"/>
    <col min="3" max="3" width="11.125" style="1165" customWidth="1"/>
    <col min="4" max="4" width="12.875" style="1165" customWidth="1"/>
    <col min="5" max="6" width="9.125" style="1165" customWidth="1"/>
    <col min="7" max="7" width="1.375" style="1165" customWidth="1"/>
    <col min="8" max="8" width="23.5" style="1165" customWidth="1"/>
    <col min="9" max="9" width="11.125" style="1165" customWidth="1"/>
    <col min="10" max="13" width="9.125" style="1165" customWidth="1"/>
    <col min="14" max="14" width="3.375" style="1165" customWidth="1"/>
    <col min="15" max="15" width="13.5" style="1165" customWidth="1"/>
    <col min="16" max="16" width="10.875" style="1165" customWidth="1"/>
    <col min="17" max="256" width="9.375" style="1165"/>
    <col min="257" max="257" width="17.5" style="1165" customWidth="1"/>
    <col min="258" max="262" width="9.125" style="1165" customWidth="1"/>
    <col min="263" max="263" width="1.375" style="1165" customWidth="1"/>
    <col min="264" max="264" width="23.5" style="1165" customWidth="1"/>
    <col min="265" max="269" width="9.125" style="1165" customWidth="1"/>
    <col min="270" max="512" width="9.375" style="1165"/>
    <col min="513" max="513" width="17.5" style="1165" customWidth="1"/>
    <col min="514" max="518" width="9.125" style="1165" customWidth="1"/>
    <col min="519" max="519" width="1.375" style="1165" customWidth="1"/>
    <col min="520" max="520" width="23.5" style="1165" customWidth="1"/>
    <col min="521" max="525" width="9.125" style="1165" customWidth="1"/>
    <col min="526" max="768" width="9.375" style="1165"/>
    <col min="769" max="769" width="17.5" style="1165" customWidth="1"/>
    <col min="770" max="774" width="9.125" style="1165" customWidth="1"/>
    <col min="775" max="775" width="1.375" style="1165" customWidth="1"/>
    <col min="776" max="776" width="23.5" style="1165" customWidth="1"/>
    <col min="777" max="781" width="9.125" style="1165" customWidth="1"/>
    <col min="782" max="1024" width="9.375" style="1165"/>
    <col min="1025" max="1025" width="17.5" style="1165" customWidth="1"/>
    <col min="1026" max="1030" width="9.125" style="1165" customWidth="1"/>
    <col min="1031" max="1031" width="1.375" style="1165" customWidth="1"/>
    <col min="1032" max="1032" width="23.5" style="1165" customWidth="1"/>
    <col min="1033" max="1037" width="9.125" style="1165" customWidth="1"/>
    <col min="1038" max="1280" width="9.375" style="1165"/>
    <col min="1281" max="1281" width="17.5" style="1165" customWidth="1"/>
    <col min="1282" max="1286" width="9.125" style="1165" customWidth="1"/>
    <col min="1287" max="1287" width="1.375" style="1165" customWidth="1"/>
    <col min="1288" max="1288" width="23.5" style="1165" customWidth="1"/>
    <col min="1289" max="1293" width="9.125" style="1165" customWidth="1"/>
    <col min="1294" max="1536" width="9.375" style="1165"/>
    <col min="1537" max="1537" width="17.5" style="1165" customWidth="1"/>
    <col min="1538" max="1542" width="9.125" style="1165" customWidth="1"/>
    <col min="1543" max="1543" width="1.375" style="1165" customWidth="1"/>
    <col min="1544" max="1544" width="23.5" style="1165" customWidth="1"/>
    <col min="1545" max="1549" width="9.125" style="1165" customWidth="1"/>
    <col min="1550" max="1792" width="9.375" style="1165"/>
    <col min="1793" max="1793" width="17.5" style="1165" customWidth="1"/>
    <col min="1794" max="1798" width="9.125" style="1165" customWidth="1"/>
    <col min="1799" max="1799" width="1.375" style="1165" customWidth="1"/>
    <col min="1800" max="1800" width="23.5" style="1165" customWidth="1"/>
    <col min="1801" max="1805" width="9.125" style="1165" customWidth="1"/>
    <col min="1806" max="2048" width="9.375" style="1165"/>
    <col min="2049" max="2049" width="17.5" style="1165" customWidth="1"/>
    <col min="2050" max="2054" width="9.125" style="1165" customWidth="1"/>
    <col min="2055" max="2055" width="1.375" style="1165" customWidth="1"/>
    <col min="2056" max="2056" width="23.5" style="1165" customWidth="1"/>
    <col min="2057" max="2061" width="9.125" style="1165" customWidth="1"/>
    <col min="2062" max="2304" width="9.375" style="1165"/>
    <col min="2305" max="2305" width="17.5" style="1165" customWidth="1"/>
    <col min="2306" max="2310" width="9.125" style="1165" customWidth="1"/>
    <col min="2311" max="2311" width="1.375" style="1165" customWidth="1"/>
    <col min="2312" max="2312" width="23.5" style="1165" customWidth="1"/>
    <col min="2313" max="2317" width="9.125" style="1165" customWidth="1"/>
    <col min="2318" max="2560" width="9.375" style="1165"/>
    <col min="2561" max="2561" width="17.5" style="1165" customWidth="1"/>
    <col min="2562" max="2566" width="9.125" style="1165" customWidth="1"/>
    <col min="2567" max="2567" width="1.375" style="1165" customWidth="1"/>
    <col min="2568" max="2568" width="23.5" style="1165" customWidth="1"/>
    <col min="2569" max="2573" width="9.125" style="1165" customWidth="1"/>
    <col min="2574" max="2816" width="9.375" style="1165"/>
    <col min="2817" max="2817" width="17.5" style="1165" customWidth="1"/>
    <col min="2818" max="2822" width="9.125" style="1165" customWidth="1"/>
    <col min="2823" max="2823" width="1.375" style="1165" customWidth="1"/>
    <col min="2824" max="2824" width="23.5" style="1165" customWidth="1"/>
    <col min="2825" max="2829" width="9.125" style="1165" customWidth="1"/>
    <col min="2830" max="3072" width="9.375" style="1165"/>
    <col min="3073" max="3073" width="17.5" style="1165" customWidth="1"/>
    <col min="3074" max="3078" width="9.125" style="1165" customWidth="1"/>
    <col min="3079" max="3079" width="1.375" style="1165" customWidth="1"/>
    <col min="3080" max="3080" width="23.5" style="1165" customWidth="1"/>
    <col min="3081" max="3085" width="9.125" style="1165" customWidth="1"/>
    <col min="3086" max="3328" width="9.375" style="1165"/>
    <col min="3329" max="3329" width="17.5" style="1165" customWidth="1"/>
    <col min="3330" max="3334" width="9.125" style="1165" customWidth="1"/>
    <col min="3335" max="3335" width="1.375" style="1165" customWidth="1"/>
    <col min="3336" max="3336" width="23.5" style="1165" customWidth="1"/>
    <col min="3337" max="3341" width="9.125" style="1165" customWidth="1"/>
    <col min="3342" max="3584" width="9.375" style="1165"/>
    <col min="3585" max="3585" width="17.5" style="1165" customWidth="1"/>
    <col min="3586" max="3590" width="9.125" style="1165" customWidth="1"/>
    <col min="3591" max="3591" width="1.375" style="1165" customWidth="1"/>
    <col min="3592" max="3592" width="23.5" style="1165" customWidth="1"/>
    <col min="3593" max="3597" width="9.125" style="1165" customWidth="1"/>
    <col min="3598" max="3840" width="9.375" style="1165"/>
    <col min="3841" max="3841" width="17.5" style="1165" customWidth="1"/>
    <col min="3842" max="3846" width="9.125" style="1165" customWidth="1"/>
    <col min="3847" max="3847" width="1.375" style="1165" customWidth="1"/>
    <col min="3848" max="3848" width="23.5" style="1165" customWidth="1"/>
    <col min="3849" max="3853" width="9.125" style="1165" customWidth="1"/>
    <col min="3854" max="4096" width="9.375" style="1165"/>
    <col min="4097" max="4097" width="17.5" style="1165" customWidth="1"/>
    <col min="4098" max="4102" width="9.125" style="1165" customWidth="1"/>
    <col min="4103" max="4103" width="1.375" style="1165" customWidth="1"/>
    <col min="4104" max="4104" width="23.5" style="1165" customWidth="1"/>
    <col min="4105" max="4109" width="9.125" style="1165" customWidth="1"/>
    <col min="4110" max="4352" width="9.375" style="1165"/>
    <col min="4353" max="4353" width="17.5" style="1165" customWidth="1"/>
    <col min="4354" max="4358" width="9.125" style="1165" customWidth="1"/>
    <col min="4359" max="4359" width="1.375" style="1165" customWidth="1"/>
    <col min="4360" max="4360" width="23.5" style="1165" customWidth="1"/>
    <col min="4361" max="4365" width="9.125" style="1165" customWidth="1"/>
    <col min="4366" max="4608" width="9.375" style="1165"/>
    <col min="4609" max="4609" width="17.5" style="1165" customWidth="1"/>
    <col min="4610" max="4614" width="9.125" style="1165" customWidth="1"/>
    <col min="4615" max="4615" width="1.375" style="1165" customWidth="1"/>
    <col min="4616" max="4616" width="23.5" style="1165" customWidth="1"/>
    <col min="4617" max="4621" width="9.125" style="1165" customWidth="1"/>
    <col min="4622" max="4864" width="9.375" style="1165"/>
    <col min="4865" max="4865" width="17.5" style="1165" customWidth="1"/>
    <col min="4866" max="4870" width="9.125" style="1165" customWidth="1"/>
    <col min="4871" max="4871" width="1.375" style="1165" customWidth="1"/>
    <col min="4872" max="4872" width="23.5" style="1165" customWidth="1"/>
    <col min="4873" max="4877" width="9.125" style="1165" customWidth="1"/>
    <col min="4878" max="5120" width="9.375" style="1165"/>
    <col min="5121" max="5121" width="17.5" style="1165" customWidth="1"/>
    <col min="5122" max="5126" width="9.125" style="1165" customWidth="1"/>
    <col min="5127" max="5127" width="1.375" style="1165" customWidth="1"/>
    <col min="5128" max="5128" width="23.5" style="1165" customWidth="1"/>
    <col min="5129" max="5133" width="9.125" style="1165" customWidth="1"/>
    <col min="5134" max="5376" width="9.375" style="1165"/>
    <col min="5377" max="5377" width="17.5" style="1165" customWidth="1"/>
    <col min="5378" max="5382" width="9.125" style="1165" customWidth="1"/>
    <col min="5383" max="5383" width="1.375" style="1165" customWidth="1"/>
    <col min="5384" max="5384" width="23.5" style="1165" customWidth="1"/>
    <col min="5385" max="5389" width="9.125" style="1165" customWidth="1"/>
    <col min="5390" max="5632" width="9.375" style="1165"/>
    <col min="5633" max="5633" width="17.5" style="1165" customWidth="1"/>
    <col min="5634" max="5638" width="9.125" style="1165" customWidth="1"/>
    <col min="5639" max="5639" width="1.375" style="1165" customWidth="1"/>
    <col min="5640" max="5640" width="23.5" style="1165" customWidth="1"/>
    <col min="5641" max="5645" width="9.125" style="1165" customWidth="1"/>
    <col min="5646" max="5888" width="9.375" style="1165"/>
    <col min="5889" max="5889" width="17.5" style="1165" customWidth="1"/>
    <col min="5890" max="5894" width="9.125" style="1165" customWidth="1"/>
    <col min="5895" max="5895" width="1.375" style="1165" customWidth="1"/>
    <col min="5896" max="5896" width="23.5" style="1165" customWidth="1"/>
    <col min="5897" max="5901" width="9.125" style="1165" customWidth="1"/>
    <col min="5902" max="6144" width="9.375" style="1165"/>
    <col min="6145" max="6145" width="17.5" style="1165" customWidth="1"/>
    <col min="6146" max="6150" width="9.125" style="1165" customWidth="1"/>
    <col min="6151" max="6151" width="1.375" style="1165" customWidth="1"/>
    <col min="6152" max="6152" width="23.5" style="1165" customWidth="1"/>
    <col min="6153" max="6157" width="9.125" style="1165" customWidth="1"/>
    <col min="6158" max="6400" width="9.375" style="1165"/>
    <col min="6401" max="6401" width="17.5" style="1165" customWidth="1"/>
    <col min="6402" max="6406" width="9.125" style="1165" customWidth="1"/>
    <col min="6407" max="6407" width="1.375" style="1165" customWidth="1"/>
    <col min="6408" max="6408" width="23.5" style="1165" customWidth="1"/>
    <col min="6409" max="6413" width="9.125" style="1165" customWidth="1"/>
    <col min="6414" max="6656" width="9.375" style="1165"/>
    <col min="6657" max="6657" width="17.5" style="1165" customWidth="1"/>
    <col min="6658" max="6662" width="9.125" style="1165" customWidth="1"/>
    <col min="6663" max="6663" width="1.375" style="1165" customWidth="1"/>
    <col min="6664" max="6664" width="23.5" style="1165" customWidth="1"/>
    <col min="6665" max="6669" width="9.125" style="1165" customWidth="1"/>
    <col min="6670" max="6912" width="9.375" style="1165"/>
    <col min="6913" max="6913" width="17.5" style="1165" customWidth="1"/>
    <col min="6914" max="6918" width="9.125" style="1165" customWidth="1"/>
    <col min="6919" max="6919" width="1.375" style="1165" customWidth="1"/>
    <col min="6920" max="6920" width="23.5" style="1165" customWidth="1"/>
    <col min="6921" max="6925" width="9.125" style="1165" customWidth="1"/>
    <col min="6926" max="7168" width="9.375" style="1165"/>
    <col min="7169" max="7169" width="17.5" style="1165" customWidth="1"/>
    <col min="7170" max="7174" width="9.125" style="1165" customWidth="1"/>
    <col min="7175" max="7175" width="1.375" style="1165" customWidth="1"/>
    <col min="7176" max="7176" width="23.5" style="1165" customWidth="1"/>
    <col min="7177" max="7181" width="9.125" style="1165" customWidth="1"/>
    <col min="7182" max="7424" width="9.375" style="1165"/>
    <col min="7425" max="7425" width="17.5" style="1165" customWidth="1"/>
    <col min="7426" max="7430" width="9.125" style="1165" customWidth="1"/>
    <col min="7431" max="7431" width="1.375" style="1165" customWidth="1"/>
    <col min="7432" max="7432" width="23.5" style="1165" customWidth="1"/>
    <col min="7433" max="7437" width="9.125" style="1165" customWidth="1"/>
    <col min="7438" max="7680" width="9.375" style="1165"/>
    <col min="7681" max="7681" width="17.5" style="1165" customWidth="1"/>
    <col min="7682" max="7686" width="9.125" style="1165" customWidth="1"/>
    <col min="7687" max="7687" width="1.375" style="1165" customWidth="1"/>
    <col min="7688" max="7688" width="23.5" style="1165" customWidth="1"/>
    <col min="7689" max="7693" width="9.125" style="1165" customWidth="1"/>
    <col min="7694" max="7936" width="9.375" style="1165"/>
    <col min="7937" max="7937" width="17.5" style="1165" customWidth="1"/>
    <col min="7938" max="7942" width="9.125" style="1165" customWidth="1"/>
    <col min="7943" max="7943" width="1.375" style="1165" customWidth="1"/>
    <col min="7944" max="7944" width="23.5" style="1165" customWidth="1"/>
    <col min="7945" max="7949" width="9.125" style="1165" customWidth="1"/>
    <col min="7950" max="8192" width="9.375" style="1165"/>
    <col min="8193" max="8193" width="17.5" style="1165" customWidth="1"/>
    <col min="8194" max="8198" width="9.125" style="1165" customWidth="1"/>
    <col min="8199" max="8199" width="1.375" style="1165" customWidth="1"/>
    <col min="8200" max="8200" width="23.5" style="1165" customWidth="1"/>
    <col min="8201" max="8205" width="9.125" style="1165" customWidth="1"/>
    <col min="8206" max="8448" width="9.375" style="1165"/>
    <col min="8449" max="8449" width="17.5" style="1165" customWidth="1"/>
    <col min="8450" max="8454" width="9.125" style="1165" customWidth="1"/>
    <col min="8455" max="8455" width="1.375" style="1165" customWidth="1"/>
    <col min="8456" max="8456" width="23.5" style="1165" customWidth="1"/>
    <col min="8457" max="8461" width="9.125" style="1165" customWidth="1"/>
    <col min="8462" max="8704" width="9.375" style="1165"/>
    <col min="8705" max="8705" width="17.5" style="1165" customWidth="1"/>
    <col min="8706" max="8710" width="9.125" style="1165" customWidth="1"/>
    <col min="8711" max="8711" width="1.375" style="1165" customWidth="1"/>
    <col min="8712" max="8712" width="23.5" style="1165" customWidth="1"/>
    <col min="8713" max="8717" width="9.125" style="1165" customWidth="1"/>
    <col min="8718" max="8960" width="9.375" style="1165"/>
    <col min="8961" max="8961" width="17.5" style="1165" customWidth="1"/>
    <col min="8962" max="8966" width="9.125" style="1165" customWidth="1"/>
    <col min="8967" max="8967" width="1.375" style="1165" customWidth="1"/>
    <col min="8968" max="8968" width="23.5" style="1165" customWidth="1"/>
    <col min="8969" max="8973" width="9.125" style="1165" customWidth="1"/>
    <col min="8974" max="9216" width="9.375" style="1165"/>
    <col min="9217" max="9217" width="17.5" style="1165" customWidth="1"/>
    <col min="9218" max="9222" width="9.125" style="1165" customWidth="1"/>
    <col min="9223" max="9223" width="1.375" style="1165" customWidth="1"/>
    <col min="9224" max="9224" width="23.5" style="1165" customWidth="1"/>
    <col min="9225" max="9229" width="9.125" style="1165" customWidth="1"/>
    <col min="9230" max="9472" width="9.375" style="1165"/>
    <col min="9473" max="9473" width="17.5" style="1165" customWidth="1"/>
    <col min="9474" max="9478" width="9.125" style="1165" customWidth="1"/>
    <col min="9479" max="9479" width="1.375" style="1165" customWidth="1"/>
    <col min="9480" max="9480" width="23.5" style="1165" customWidth="1"/>
    <col min="9481" max="9485" width="9.125" style="1165" customWidth="1"/>
    <col min="9486" max="9728" width="9.375" style="1165"/>
    <col min="9729" max="9729" width="17.5" style="1165" customWidth="1"/>
    <col min="9730" max="9734" width="9.125" style="1165" customWidth="1"/>
    <col min="9735" max="9735" width="1.375" style="1165" customWidth="1"/>
    <col min="9736" max="9736" width="23.5" style="1165" customWidth="1"/>
    <col min="9737" max="9741" width="9.125" style="1165" customWidth="1"/>
    <col min="9742" max="9984" width="9.375" style="1165"/>
    <col min="9985" max="9985" width="17.5" style="1165" customWidth="1"/>
    <col min="9986" max="9990" width="9.125" style="1165" customWidth="1"/>
    <col min="9991" max="9991" width="1.375" style="1165" customWidth="1"/>
    <col min="9992" max="9992" width="23.5" style="1165" customWidth="1"/>
    <col min="9993" max="9997" width="9.125" style="1165" customWidth="1"/>
    <col min="9998" max="10240" width="9.375" style="1165"/>
    <col min="10241" max="10241" width="17.5" style="1165" customWidth="1"/>
    <col min="10242" max="10246" width="9.125" style="1165" customWidth="1"/>
    <col min="10247" max="10247" width="1.375" style="1165" customWidth="1"/>
    <col min="10248" max="10248" width="23.5" style="1165" customWidth="1"/>
    <col min="10249" max="10253" width="9.125" style="1165" customWidth="1"/>
    <col min="10254" max="10496" width="9.375" style="1165"/>
    <col min="10497" max="10497" width="17.5" style="1165" customWidth="1"/>
    <col min="10498" max="10502" width="9.125" style="1165" customWidth="1"/>
    <col min="10503" max="10503" width="1.375" style="1165" customWidth="1"/>
    <col min="10504" max="10504" width="23.5" style="1165" customWidth="1"/>
    <col min="10505" max="10509" width="9.125" style="1165" customWidth="1"/>
    <col min="10510" max="10752" width="9.375" style="1165"/>
    <col min="10753" max="10753" width="17.5" style="1165" customWidth="1"/>
    <col min="10754" max="10758" width="9.125" style="1165" customWidth="1"/>
    <col min="10759" max="10759" width="1.375" style="1165" customWidth="1"/>
    <col min="10760" max="10760" width="23.5" style="1165" customWidth="1"/>
    <col min="10761" max="10765" width="9.125" style="1165" customWidth="1"/>
    <col min="10766" max="11008" width="9.375" style="1165"/>
    <col min="11009" max="11009" width="17.5" style="1165" customWidth="1"/>
    <col min="11010" max="11014" width="9.125" style="1165" customWidth="1"/>
    <col min="11015" max="11015" width="1.375" style="1165" customWidth="1"/>
    <col min="11016" max="11016" width="23.5" style="1165" customWidth="1"/>
    <col min="11017" max="11021" width="9.125" style="1165" customWidth="1"/>
    <col min="11022" max="11264" width="9.375" style="1165"/>
    <col min="11265" max="11265" width="17.5" style="1165" customWidth="1"/>
    <col min="11266" max="11270" width="9.125" style="1165" customWidth="1"/>
    <col min="11271" max="11271" width="1.375" style="1165" customWidth="1"/>
    <col min="11272" max="11272" width="23.5" style="1165" customWidth="1"/>
    <col min="11273" max="11277" width="9.125" style="1165" customWidth="1"/>
    <col min="11278" max="11520" width="9.375" style="1165"/>
    <col min="11521" max="11521" width="17.5" style="1165" customWidth="1"/>
    <col min="11522" max="11526" width="9.125" style="1165" customWidth="1"/>
    <col min="11527" max="11527" width="1.375" style="1165" customWidth="1"/>
    <col min="11528" max="11528" width="23.5" style="1165" customWidth="1"/>
    <col min="11529" max="11533" width="9.125" style="1165" customWidth="1"/>
    <col min="11534" max="11776" width="9.375" style="1165"/>
    <col min="11777" max="11777" width="17.5" style="1165" customWidth="1"/>
    <col min="11778" max="11782" width="9.125" style="1165" customWidth="1"/>
    <col min="11783" max="11783" width="1.375" style="1165" customWidth="1"/>
    <col min="11784" max="11784" width="23.5" style="1165" customWidth="1"/>
    <col min="11785" max="11789" width="9.125" style="1165" customWidth="1"/>
    <col min="11790" max="12032" width="9.375" style="1165"/>
    <col min="12033" max="12033" width="17.5" style="1165" customWidth="1"/>
    <col min="12034" max="12038" width="9.125" style="1165" customWidth="1"/>
    <col min="12039" max="12039" width="1.375" style="1165" customWidth="1"/>
    <col min="12040" max="12040" width="23.5" style="1165" customWidth="1"/>
    <col min="12041" max="12045" width="9.125" style="1165" customWidth="1"/>
    <col min="12046" max="12288" width="9.375" style="1165"/>
    <col min="12289" max="12289" width="17.5" style="1165" customWidth="1"/>
    <col min="12290" max="12294" width="9.125" style="1165" customWidth="1"/>
    <col min="12295" max="12295" width="1.375" style="1165" customWidth="1"/>
    <col min="12296" max="12296" width="23.5" style="1165" customWidth="1"/>
    <col min="12297" max="12301" width="9.125" style="1165" customWidth="1"/>
    <col min="12302" max="12544" width="9.375" style="1165"/>
    <col min="12545" max="12545" width="17.5" style="1165" customWidth="1"/>
    <col min="12546" max="12550" width="9.125" style="1165" customWidth="1"/>
    <col min="12551" max="12551" width="1.375" style="1165" customWidth="1"/>
    <col min="12552" max="12552" width="23.5" style="1165" customWidth="1"/>
    <col min="12553" max="12557" width="9.125" style="1165" customWidth="1"/>
    <col min="12558" max="12800" width="9.375" style="1165"/>
    <col min="12801" max="12801" width="17.5" style="1165" customWidth="1"/>
    <col min="12802" max="12806" width="9.125" style="1165" customWidth="1"/>
    <col min="12807" max="12807" width="1.375" style="1165" customWidth="1"/>
    <col min="12808" max="12808" width="23.5" style="1165" customWidth="1"/>
    <col min="12809" max="12813" width="9.125" style="1165" customWidth="1"/>
    <col min="12814" max="13056" width="9.375" style="1165"/>
    <col min="13057" max="13057" width="17.5" style="1165" customWidth="1"/>
    <col min="13058" max="13062" width="9.125" style="1165" customWidth="1"/>
    <col min="13063" max="13063" width="1.375" style="1165" customWidth="1"/>
    <col min="13064" max="13064" width="23.5" style="1165" customWidth="1"/>
    <col min="13065" max="13069" width="9.125" style="1165" customWidth="1"/>
    <col min="13070" max="13312" width="9.375" style="1165"/>
    <col min="13313" max="13313" width="17.5" style="1165" customWidth="1"/>
    <col min="13314" max="13318" width="9.125" style="1165" customWidth="1"/>
    <col min="13319" max="13319" width="1.375" style="1165" customWidth="1"/>
    <col min="13320" max="13320" width="23.5" style="1165" customWidth="1"/>
    <col min="13321" max="13325" width="9.125" style="1165" customWidth="1"/>
    <col min="13326" max="13568" width="9.375" style="1165"/>
    <col min="13569" max="13569" width="17.5" style="1165" customWidth="1"/>
    <col min="13570" max="13574" width="9.125" style="1165" customWidth="1"/>
    <col min="13575" max="13575" width="1.375" style="1165" customWidth="1"/>
    <col min="13576" max="13576" width="23.5" style="1165" customWidth="1"/>
    <col min="13577" max="13581" width="9.125" style="1165" customWidth="1"/>
    <col min="13582" max="13824" width="9.375" style="1165"/>
    <col min="13825" max="13825" width="17.5" style="1165" customWidth="1"/>
    <col min="13826" max="13830" width="9.125" style="1165" customWidth="1"/>
    <col min="13831" max="13831" width="1.375" style="1165" customWidth="1"/>
    <col min="13832" max="13832" width="23.5" style="1165" customWidth="1"/>
    <col min="13833" max="13837" width="9.125" style="1165" customWidth="1"/>
    <col min="13838" max="14080" width="9.375" style="1165"/>
    <col min="14081" max="14081" width="17.5" style="1165" customWidth="1"/>
    <col min="14082" max="14086" width="9.125" style="1165" customWidth="1"/>
    <col min="14087" max="14087" width="1.375" style="1165" customWidth="1"/>
    <col min="14088" max="14088" width="23.5" style="1165" customWidth="1"/>
    <col min="14089" max="14093" width="9.125" style="1165" customWidth="1"/>
    <col min="14094" max="14336" width="9.375" style="1165"/>
    <col min="14337" max="14337" width="17.5" style="1165" customWidth="1"/>
    <col min="14338" max="14342" width="9.125" style="1165" customWidth="1"/>
    <col min="14343" max="14343" width="1.375" style="1165" customWidth="1"/>
    <col min="14344" max="14344" width="23.5" style="1165" customWidth="1"/>
    <col min="14345" max="14349" width="9.125" style="1165" customWidth="1"/>
    <col min="14350" max="14592" width="9.375" style="1165"/>
    <col min="14593" max="14593" width="17.5" style="1165" customWidth="1"/>
    <col min="14594" max="14598" width="9.125" style="1165" customWidth="1"/>
    <col min="14599" max="14599" width="1.375" style="1165" customWidth="1"/>
    <col min="14600" max="14600" width="23.5" style="1165" customWidth="1"/>
    <col min="14601" max="14605" width="9.125" style="1165" customWidth="1"/>
    <col min="14606" max="14848" width="9.375" style="1165"/>
    <col min="14849" max="14849" width="17.5" style="1165" customWidth="1"/>
    <col min="14850" max="14854" width="9.125" style="1165" customWidth="1"/>
    <col min="14855" max="14855" width="1.375" style="1165" customWidth="1"/>
    <col min="14856" max="14856" width="23.5" style="1165" customWidth="1"/>
    <col min="14857" max="14861" width="9.125" style="1165" customWidth="1"/>
    <col min="14862" max="15104" width="9.375" style="1165"/>
    <col min="15105" max="15105" width="17.5" style="1165" customWidth="1"/>
    <col min="15106" max="15110" width="9.125" style="1165" customWidth="1"/>
    <col min="15111" max="15111" width="1.375" style="1165" customWidth="1"/>
    <col min="15112" max="15112" width="23.5" style="1165" customWidth="1"/>
    <col min="15113" max="15117" width="9.125" style="1165" customWidth="1"/>
    <col min="15118" max="15360" width="9.375" style="1165"/>
    <col min="15361" max="15361" width="17.5" style="1165" customWidth="1"/>
    <col min="15362" max="15366" width="9.125" style="1165" customWidth="1"/>
    <col min="15367" max="15367" width="1.375" style="1165" customWidth="1"/>
    <col min="15368" max="15368" width="23.5" style="1165" customWidth="1"/>
    <col min="15369" max="15373" width="9.125" style="1165" customWidth="1"/>
    <col min="15374" max="15616" width="9.375" style="1165"/>
    <col min="15617" max="15617" width="17.5" style="1165" customWidth="1"/>
    <col min="15618" max="15622" width="9.125" style="1165" customWidth="1"/>
    <col min="15623" max="15623" width="1.375" style="1165" customWidth="1"/>
    <col min="15624" max="15624" width="23.5" style="1165" customWidth="1"/>
    <col min="15625" max="15629" width="9.125" style="1165" customWidth="1"/>
    <col min="15630" max="15872" width="9.375" style="1165"/>
    <col min="15873" max="15873" width="17.5" style="1165" customWidth="1"/>
    <col min="15874" max="15878" width="9.125" style="1165" customWidth="1"/>
    <col min="15879" max="15879" width="1.375" style="1165" customWidth="1"/>
    <col min="15880" max="15880" width="23.5" style="1165" customWidth="1"/>
    <col min="15881" max="15885" width="9.125" style="1165" customWidth="1"/>
    <col min="15886" max="16128" width="9.375" style="1165"/>
    <col min="16129" max="16129" width="17.5" style="1165" customWidth="1"/>
    <col min="16130" max="16134" width="9.125" style="1165" customWidth="1"/>
    <col min="16135" max="16135" width="1.375" style="1165" customWidth="1"/>
    <col min="16136" max="16136" width="23.5" style="1165" customWidth="1"/>
    <col min="16137" max="16141" width="9.125" style="1165" customWidth="1"/>
    <col min="16142" max="16384" width="9.375" style="1165"/>
  </cols>
  <sheetData>
    <row r="1" spans="1:16" ht="12">
      <c r="A1" s="1190" t="s">
        <v>2866</v>
      </c>
      <c r="B1" s="1190"/>
      <c r="C1" s="1191"/>
      <c r="D1" s="1191"/>
      <c r="E1" s="1313" t="s">
        <v>2340</v>
      </c>
      <c r="F1" s="1313"/>
      <c r="G1" s="1191"/>
      <c r="H1" s="1190" t="s">
        <v>2867</v>
      </c>
      <c r="I1" s="1190"/>
      <c r="J1" s="1191"/>
      <c r="K1" s="1191"/>
      <c r="L1" s="1313" t="s">
        <v>2340</v>
      </c>
      <c r="M1" s="1313"/>
      <c r="O1" s="1234" t="s">
        <v>2341</v>
      </c>
      <c r="P1" s="1235" t="str">
        <f>目录!F6</f>
        <v>科顺股份</v>
      </c>
    </row>
    <row r="2" spans="1:16" ht="15" customHeight="1">
      <c r="A2" s="1189" t="s">
        <v>2342</v>
      </c>
      <c r="B2" s="1187" t="str">
        <f>假设!G2&amp;"A"</f>
        <v>2021A</v>
      </c>
      <c r="C2" s="1187" t="str">
        <f>假设!H2&amp;"A"</f>
        <v>2022A</v>
      </c>
      <c r="D2" s="1187" t="str">
        <f>假设!I2</f>
        <v>2023E</v>
      </c>
      <c r="E2" s="1187" t="str">
        <f>假设!J2</f>
        <v>2024E</v>
      </c>
      <c r="F2" s="1187" t="str">
        <f>假设!K2</f>
        <v>2025E</v>
      </c>
      <c r="G2" s="1192"/>
      <c r="H2" s="1189" t="s">
        <v>2342</v>
      </c>
      <c r="I2" s="1187" t="str">
        <f>假设!G2&amp;"A"</f>
        <v>2021A</v>
      </c>
      <c r="J2" s="1187" t="str">
        <f>假设!H2&amp;"A"</f>
        <v>2022A</v>
      </c>
      <c r="K2" s="1187" t="str">
        <f>假设!I2</f>
        <v>2023E</v>
      </c>
      <c r="L2" s="1187" t="str">
        <f>假设!J2</f>
        <v>2024E</v>
      </c>
      <c r="M2" s="1187" t="str">
        <f>假设!K2</f>
        <v>2025E</v>
      </c>
      <c r="O2" s="1234" t="s">
        <v>2343</v>
      </c>
      <c r="P2" s="1235" t="str">
        <f>目录!C6</f>
        <v>300737.SZ</v>
      </c>
    </row>
    <row r="3" spans="1:16" ht="12">
      <c r="A3" s="1193" t="s">
        <v>2344</v>
      </c>
      <c r="B3" s="1194">
        <f>资产负债!G19</f>
        <v>8233.0472691300001</v>
      </c>
      <c r="C3" s="1194">
        <f>资产负债!H19</f>
        <v>9493.1811295400003</v>
      </c>
      <c r="D3" s="1194">
        <f ca="1">资产负债!I19</f>
        <v>7420.0003714159047</v>
      </c>
      <c r="E3" s="1194">
        <f ca="1">资产负债!J19</f>
        <v>11635.450532689214</v>
      </c>
      <c r="F3" s="1194">
        <f ca="1">资产负债!K19</f>
        <v>10718.213719282543</v>
      </c>
      <c r="G3" s="1191"/>
      <c r="H3" s="1195" t="s">
        <v>2345</v>
      </c>
      <c r="I3" s="1196">
        <f>利润表!G2</f>
        <v>7770.7241516800004</v>
      </c>
      <c r="J3" s="1197">
        <f>利润表!H2</f>
        <v>7660.6405554399998</v>
      </c>
      <c r="K3" s="1197">
        <f>利润表!I2</f>
        <v>8366.1855505960248</v>
      </c>
      <c r="L3" s="1197">
        <f>利润表!J2</f>
        <v>9687.2062490351364</v>
      </c>
      <c r="M3" s="1197">
        <f>利润表!K2</f>
        <v>11280.713586890948</v>
      </c>
    </row>
    <row r="4" spans="1:16" ht="12">
      <c r="A4" s="1198" t="s">
        <v>2346</v>
      </c>
      <c r="B4" s="1197">
        <f>资产负债!G3</f>
        <v>2189.35391622</v>
      </c>
      <c r="C4" s="1197">
        <f>资产负债!H3</f>
        <v>2333.58753101</v>
      </c>
      <c r="D4" s="1197">
        <f ca="1">资产负债!I3</f>
        <v>2232.272658944305</v>
      </c>
      <c r="E4" s="1197">
        <f ca="1">资产负债!J3</f>
        <v>2537.7698719241203</v>
      </c>
      <c r="F4" s="1197">
        <f ca="1">资产负债!K3</f>
        <v>3015.8754115929255</v>
      </c>
      <c r="G4" s="1191"/>
      <c r="H4" s="1198" t="s">
        <v>2347</v>
      </c>
      <c r="I4" s="1196">
        <f>利润表!G3</f>
        <v>5554.9510171599995</v>
      </c>
      <c r="J4" s="1197">
        <f>利润表!H3</f>
        <v>6035.7600298300003</v>
      </c>
      <c r="K4" s="1197">
        <f>利润表!I3</f>
        <v>6886.2073266955886</v>
      </c>
      <c r="L4" s="1197">
        <f>利润表!J3</f>
        <v>7321.9453431410248</v>
      </c>
      <c r="M4" s="1197">
        <f>利润表!K3</f>
        <v>8645.2223050112862</v>
      </c>
    </row>
    <row r="5" spans="1:16" ht="12">
      <c r="A5" s="1199" t="s">
        <v>2857</v>
      </c>
      <c r="B5" s="1200">
        <f>资产负债!G6</f>
        <v>4103.0949344999999</v>
      </c>
      <c r="C5" s="1200">
        <f>资产负债!H6</f>
        <v>4877.6828907700001</v>
      </c>
      <c r="D5" s="1200">
        <f>资产负债!I6</f>
        <v>2961.9618911083203</v>
      </c>
      <c r="E5" s="1200">
        <f>资产负债!J6</f>
        <v>6549.8130535712671</v>
      </c>
      <c r="F5" s="1200">
        <f>资产负债!K6</f>
        <v>4956.5978307899804</v>
      </c>
      <c r="G5" s="1191"/>
      <c r="H5" s="1198" t="s">
        <v>2348</v>
      </c>
      <c r="I5" s="1196">
        <f>利润表!G4</f>
        <v>43.490777829999999</v>
      </c>
      <c r="J5" s="1197">
        <f>利润表!H4</f>
        <v>36.744935640000001</v>
      </c>
      <c r="K5" s="1197">
        <f>利润表!I4</f>
        <v>51.742443541544333</v>
      </c>
      <c r="L5" s="1197">
        <f>利润表!J4</f>
        <v>58.989390116367368</v>
      </c>
      <c r="M5" s="1197">
        <f>利润表!K4</f>
        <v>66.477221636107203</v>
      </c>
    </row>
    <row r="6" spans="1:16" ht="12">
      <c r="A6" s="1201" t="s">
        <v>2349</v>
      </c>
      <c r="B6" s="1202">
        <f>资产负债!G12</f>
        <v>279.69450638999996</v>
      </c>
      <c r="C6" s="1202">
        <f>资产负债!H12</f>
        <v>286.87363082999997</v>
      </c>
      <c r="D6" s="1202">
        <f>资产负债!I12</f>
        <v>331.87543182796202</v>
      </c>
      <c r="E6" s="1202">
        <f>资产负债!J12</f>
        <v>384.57410782369215</v>
      </c>
      <c r="F6" s="1203">
        <f>资产负债!K12</f>
        <v>449.72856401992311</v>
      </c>
      <c r="G6" s="1191"/>
      <c r="H6" s="1198" t="s">
        <v>2350</v>
      </c>
      <c r="I6" s="1196">
        <f>利润表!G5</f>
        <v>472.99545004999999</v>
      </c>
      <c r="J6" s="1197">
        <f>利润表!H5</f>
        <v>509.95078439999997</v>
      </c>
      <c r="K6" s="1197">
        <f>利润表!I5</f>
        <v>749.98764873923972</v>
      </c>
      <c r="L6" s="1197">
        <f>利润表!J5</f>
        <v>781.2687986074227</v>
      </c>
      <c r="M6" s="1197">
        <f>利润表!K5</f>
        <v>812.50241554383399</v>
      </c>
    </row>
    <row r="7" spans="1:16" ht="12">
      <c r="A7" s="1198" t="s">
        <v>2351</v>
      </c>
      <c r="B7" s="1197">
        <f>资产负债!G11</f>
        <v>156.05778677000001</v>
      </c>
      <c r="C7" s="1197">
        <f>资产负债!H11</f>
        <v>138.46268200999998</v>
      </c>
      <c r="D7" s="1197">
        <f>资产负债!I11</f>
        <v>183.183121944638</v>
      </c>
      <c r="E7" s="1197">
        <f>资产负债!J11</f>
        <v>189.25055445443729</v>
      </c>
      <c r="F7" s="1197">
        <f>资产负债!K11</f>
        <v>244.44699730247453</v>
      </c>
      <c r="G7" s="1191"/>
      <c r="H7" s="1198" t="s">
        <v>2352</v>
      </c>
      <c r="I7" s="1196">
        <f>利润表!G6</f>
        <v>289.52784451999997</v>
      </c>
      <c r="J7" s="1197">
        <f>利润表!H6</f>
        <v>300.71854592</v>
      </c>
      <c r="K7" s="1197">
        <f>利润表!I6</f>
        <v>308.71224681699334</v>
      </c>
      <c r="L7" s="1197">
        <f>利润表!J6</f>
        <v>381.03221175752003</v>
      </c>
      <c r="M7" s="1197">
        <f>利润表!K6</f>
        <v>432.64425164369453</v>
      </c>
    </row>
    <row r="8" spans="1:16" ht="12">
      <c r="A8" s="1198" t="s">
        <v>2353</v>
      </c>
      <c r="B8" s="1197">
        <f>资产负债!G13</f>
        <v>403.83215932000002</v>
      </c>
      <c r="C8" s="1197">
        <f>资产负债!H13</f>
        <v>554.36499835000006</v>
      </c>
      <c r="D8" s="1197">
        <f>资产负债!I13</f>
        <v>643.29202894404114</v>
      </c>
      <c r="E8" s="1197">
        <f>资产负债!J13</f>
        <v>544.69247240001425</v>
      </c>
      <c r="F8" s="1197">
        <f>资产负债!K13</f>
        <v>813.10573158010504</v>
      </c>
      <c r="G8" s="1191"/>
      <c r="H8" s="1198" t="s">
        <v>2863</v>
      </c>
      <c r="I8" s="1196">
        <f>利润表!G7</f>
        <v>339.99656446</v>
      </c>
      <c r="J8" s="1196">
        <f>利润表!H7</f>
        <v>343.13398811000002</v>
      </c>
      <c r="K8" s="1196">
        <f>利润表!I7</f>
        <v>342.1769890193774</v>
      </c>
      <c r="L8" s="1196">
        <f>利润表!J7</f>
        <v>425.58340362417601</v>
      </c>
      <c r="M8" s="1196">
        <f>利润表!K7</f>
        <v>493.09974952145177</v>
      </c>
    </row>
    <row r="9" spans="1:16" ht="12">
      <c r="A9" s="1198" t="s">
        <v>2355</v>
      </c>
      <c r="B9" s="1197">
        <f>B3-SUM(B4:B8)</f>
        <v>1101.0139659299994</v>
      </c>
      <c r="C9" s="1197">
        <f>C3-SUM(C4:C8)</f>
        <v>1302.2093965699996</v>
      </c>
      <c r="D9" s="1197">
        <f ca="1">D3-SUM(D4:D8)</f>
        <v>1067.4152386466394</v>
      </c>
      <c r="E9" s="1197">
        <f ca="1">E3-SUM(E4:E8)</f>
        <v>1429.3504725156836</v>
      </c>
      <c r="F9" s="1197">
        <f ca="1">F3-SUM(F4:F8)</f>
        <v>1238.4591839971345</v>
      </c>
      <c r="G9" s="1191"/>
      <c r="H9" s="1198" t="s">
        <v>2354</v>
      </c>
      <c r="I9" s="1196">
        <f>利润表!G8</f>
        <v>42.603031940000001</v>
      </c>
      <c r="J9" s="1197">
        <f>利润表!H8</f>
        <v>75.63140765</v>
      </c>
      <c r="K9" s="1197">
        <f ca="1">利润表!I8</f>
        <v>125.70179837948498</v>
      </c>
      <c r="L9" s="1197">
        <f ca="1">利润表!J8</f>
        <v>314.75447313157986</v>
      </c>
      <c r="M9" s="1197">
        <f ca="1">利润表!K8</f>
        <v>419.93391906168307</v>
      </c>
    </row>
    <row r="10" spans="1:16" ht="12">
      <c r="A10" s="1204" t="s">
        <v>2357</v>
      </c>
      <c r="B10" s="1205">
        <f>资产负债!G39</f>
        <v>2556.4428392499999</v>
      </c>
      <c r="C10" s="1205">
        <f>资产负债!H39</f>
        <v>3146.21526055</v>
      </c>
      <c r="D10" s="1205">
        <f ca="1">资产负债!I39</f>
        <v>3016.3850591303799</v>
      </c>
      <c r="E10" s="1205">
        <f ca="1">资产负债!J39</f>
        <v>3299.9034467383558</v>
      </c>
      <c r="F10" s="1205">
        <f ca="1">资产负债!K39</f>
        <v>3620.5852875573628</v>
      </c>
      <c r="G10" s="1191"/>
      <c r="H10" s="1198" t="s">
        <v>2356</v>
      </c>
      <c r="I10" s="1196">
        <f>IF(假设!G2&lt;2019,-1,1)*利润表!G12</f>
        <v>-26.00877388</v>
      </c>
      <c r="J10" s="1197">
        <f>IF(假设!H2&lt;2019,-1,1)*利润表!H12</f>
        <v>-38.068680430000001</v>
      </c>
      <c r="K10" s="1197">
        <f>IF(假设!I2&lt;2019,-1,1)*利润表!I12</f>
        <v>0</v>
      </c>
      <c r="L10" s="1197">
        <f>IF(假设!J2&lt;2019,-1,1)*利润表!J12</f>
        <v>0</v>
      </c>
      <c r="M10" s="1197">
        <f>IF(假设!K2&lt;2019,-1,1)*利润表!K12</f>
        <v>0</v>
      </c>
    </row>
    <row r="11" spans="1:16" ht="12">
      <c r="A11" s="1198" t="s">
        <v>2359</v>
      </c>
      <c r="B11" s="1197">
        <f>资产负债!G29</f>
        <v>24.483474050000002</v>
      </c>
      <c r="C11" s="1197">
        <f>资产负债!H29</f>
        <v>32.961611179999998</v>
      </c>
      <c r="D11" s="1197">
        <f>资产负债!I29</f>
        <v>41.088376823999994</v>
      </c>
      <c r="E11" s="1197">
        <f>资产负债!J29</f>
        <v>49.144868170799995</v>
      </c>
      <c r="F11" s="1197">
        <f>资产负债!K29</f>
        <v>57.117030360959987</v>
      </c>
      <c r="G11" s="1191"/>
      <c r="H11" s="1198" t="s">
        <v>2864</v>
      </c>
      <c r="I11" s="1196">
        <f>利润表!G15</f>
        <v>68.307599120000006</v>
      </c>
      <c r="J11" s="1196">
        <f>利润表!H15</f>
        <v>53.544000429999997</v>
      </c>
      <c r="K11" s="1196">
        <f>利润表!I15</f>
        <v>43.137645409333331</v>
      </c>
      <c r="L11" s="1196">
        <f>利润表!J15</f>
        <v>46.53145171577777</v>
      </c>
      <c r="M11" s="1196">
        <f>利润表!K15</f>
        <v>48.563799251081484</v>
      </c>
    </row>
    <row r="12" spans="1:16" ht="12">
      <c r="A12" s="1198" t="s">
        <v>2361</v>
      </c>
      <c r="B12" s="1197">
        <f>资产负债!G30</f>
        <v>1681.3613859899999</v>
      </c>
      <c r="C12" s="1197">
        <f>资产负债!H30</f>
        <v>1953.4169309599999</v>
      </c>
      <c r="D12" s="1197">
        <f ca="1">资产负债!I30</f>
        <v>1992.008259895239</v>
      </c>
      <c r="E12" s="1197">
        <f ca="1">资产负债!J30</f>
        <v>2153.6156584227188</v>
      </c>
      <c r="F12" s="1197">
        <f ca="1">资产负债!K30</f>
        <v>2368.6515654977848</v>
      </c>
      <c r="G12" s="1191"/>
      <c r="H12" s="1198" t="s">
        <v>2358</v>
      </c>
      <c r="I12" s="1196">
        <f>利润表!G14</f>
        <v>8.8465899999999997E-3</v>
      </c>
      <c r="J12" s="1197">
        <f>利润表!H14</f>
        <v>40.805791849999999</v>
      </c>
      <c r="K12" s="1197">
        <f>利润表!I14</f>
        <v>20.407319219999998</v>
      </c>
      <c r="L12" s="1197">
        <f>利润表!J14</f>
        <v>30.606555534999998</v>
      </c>
      <c r="M12" s="1197">
        <f>利润表!K14</f>
        <v>25.506937377499998</v>
      </c>
    </row>
    <row r="13" spans="1:16" ht="12">
      <c r="A13" s="1198" t="s">
        <v>2363</v>
      </c>
      <c r="B13" s="1197">
        <f>资产负债!G33</f>
        <v>144.34393381999999</v>
      </c>
      <c r="C13" s="1197">
        <f>资产负债!H33</f>
        <v>288.30196711000002</v>
      </c>
      <c r="D13" s="1197">
        <f>资产负债!I33</f>
        <v>314.10079168312927</v>
      </c>
      <c r="E13" s="1197">
        <f>资产负债!J33</f>
        <v>344.43605526781556</v>
      </c>
      <c r="F13" s="1197">
        <f>资产负债!K33</f>
        <v>377.94151963950759</v>
      </c>
      <c r="G13" s="1191"/>
      <c r="H13" s="1198" t="s">
        <v>2360</v>
      </c>
      <c r="I13" s="1196">
        <f>利润表!G16</f>
        <v>-2.9488163599999999</v>
      </c>
      <c r="J13" s="1197">
        <f>利润表!H16</f>
        <v>3.80244553</v>
      </c>
      <c r="K13" s="1197">
        <f>利润表!I16</f>
        <v>2.5735877540000005</v>
      </c>
      <c r="L13" s="1197">
        <f>利润表!J16</f>
        <v>-0.76549927719999955</v>
      </c>
      <c r="M13" s="1197">
        <f>利润表!K16</f>
        <v>-5.0645915646399997</v>
      </c>
    </row>
    <row r="14" spans="1:16" ht="12">
      <c r="A14" s="1198" t="s">
        <v>2365</v>
      </c>
      <c r="B14" s="1197">
        <f>B10-SUM(B11:B13)</f>
        <v>706.25404538999987</v>
      </c>
      <c r="C14" s="1197">
        <f>C10-SUM(C11:C13)</f>
        <v>871.53475130000015</v>
      </c>
      <c r="D14" s="1197">
        <f ca="1">D10-SUM(D11:D13)</f>
        <v>669.18763072801175</v>
      </c>
      <c r="E14" s="1197">
        <f ca="1">E10-SUM(E11:E13)</f>
        <v>752.70686487702187</v>
      </c>
      <c r="F14" s="1197">
        <f ca="1">F10-SUM(F11:F13)</f>
        <v>816.87517205911035</v>
      </c>
      <c r="G14" s="1191"/>
      <c r="H14" s="1198" t="s">
        <v>2865</v>
      </c>
      <c r="I14" s="1196">
        <f>利润表!G18</f>
        <v>-6.4920323499999997</v>
      </c>
      <c r="J14" s="1196">
        <f>利润表!H18</f>
        <v>-3.3414100899999997</v>
      </c>
      <c r="K14" s="1196">
        <f>利润表!I18</f>
        <v>-3.4626344439999999</v>
      </c>
      <c r="L14" s="1196">
        <f>利润表!J18</f>
        <v>-4.469908382799999</v>
      </c>
      <c r="M14" s="1196">
        <f>利润表!K18</f>
        <v>-5.0851709193599994</v>
      </c>
    </row>
    <row r="15" spans="1:16" ht="12">
      <c r="A15" s="1204" t="s">
        <v>2367</v>
      </c>
      <c r="B15" s="1205">
        <f>资产负债!G40</f>
        <v>10789.49010838</v>
      </c>
      <c r="C15" s="1205">
        <f>资产负债!H40</f>
        <v>12639.39639009</v>
      </c>
      <c r="D15" s="1205">
        <f ca="1">资产负债!I40</f>
        <v>10436.385430546285</v>
      </c>
      <c r="E15" s="1205">
        <f ca="1">资产负债!J40</f>
        <v>14935.353979427569</v>
      </c>
      <c r="F15" s="1205">
        <f ca="1">资产负债!K40</f>
        <v>14338.799006839905</v>
      </c>
      <c r="G15" s="1191"/>
      <c r="H15" s="1204" t="s">
        <v>2362</v>
      </c>
      <c r="I15" s="1205">
        <f>利润表!G19</f>
        <v>810.67712725000001</v>
      </c>
      <c r="J15" s="1205">
        <f>利润表!H19</f>
        <v>191.46961677000002</v>
      </c>
      <c r="K15" s="1205">
        <f ca="1">利润表!I19</f>
        <v>-240.72270657508631</v>
      </c>
      <c r="L15" s="1205">
        <f ca="1">利润表!J19</f>
        <v>190.64219335690083</v>
      </c>
      <c r="M15" s="1205">
        <f ca="1">利润表!K19</f>
        <v>126.97893179493485</v>
      </c>
    </row>
    <row r="16" spans="1:16" ht="12">
      <c r="A16" s="1204" t="s">
        <v>2369</v>
      </c>
      <c r="B16" s="1205">
        <f>资产负债!G60</f>
        <v>4858.1080969799996</v>
      </c>
      <c r="C16" s="1205">
        <f>资产负债!H60</f>
        <v>6108.5103673599997</v>
      </c>
      <c r="D16" s="1205">
        <f ca="1">资产负债!I60</f>
        <v>4284.9947274284677</v>
      </c>
      <c r="E16" s="1205">
        <f ca="1">资产负债!J60</f>
        <v>8757.9928098174951</v>
      </c>
      <c r="F16" s="1205">
        <f ca="1">资产负债!K60</f>
        <v>8208.4511807930503</v>
      </c>
      <c r="G16" s="1191"/>
      <c r="H16" s="1198" t="s">
        <v>2364</v>
      </c>
      <c r="I16" s="1196">
        <f>利润表!G20</f>
        <v>12.447954749999999</v>
      </c>
      <c r="J16" s="1197">
        <f>利润表!H20</f>
        <v>11.99548611</v>
      </c>
      <c r="K16" s="1197">
        <f>利润表!I20</f>
        <v>8.2163046699999995</v>
      </c>
      <c r="L16" s="1197">
        <f>利润表!J20</f>
        <v>9.2791506019999996</v>
      </c>
      <c r="M16" s="1197">
        <f>利润表!K20</f>
        <v>10.056518930399999</v>
      </c>
    </row>
    <row r="17" spans="1:13" ht="12">
      <c r="A17" s="1198" t="s">
        <v>2371</v>
      </c>
      <c r="B17" s="1197">
        <f>资产负债!G42</f>
        <v>595.51845549999996</v>
      </c>
      <c r="C17" s="1197">
        <f>资产负债!H42</f>
        <v>1161.9753268099998</v>
      </c>
      <c r="D17" s="1197">
        <f ca="1">资产负债!I42</f>
        <v>3228.5417177481845</v>
      </c>
      <c r="E17" s="1197">
        <f ca="1">资产负债!J42</f>
        <v>7700.9640738841808</v>
      </c>
      <c r="F17" s="1197">
        <f ca="1">资产负债!K42</f>
        <v>7069.3107945012607</v>
      </c>
      <c r="G17" s="1191"/>
      <c r="H17" s="1198" t="s">
        <v>2366</v>
      </c>
      <c r="I17" s="1196">
        <f>利润表!G21</f>
        <v>2.6184784300000001</v>
      </c>
      <c r="J17" s="1197">
        <f>利润表!H21</f>
        <v>2.8726492100000001</v>
      </c>
      <c r="K17" s="1197">
        <f>利润表!I21</f>
        <v>2.6997847333333334</v>
      </c>
      <c r="L17" s="1197">
        <f>利润表!J21</f>
        <v>2.7303041244444444</v>
      </c>
      <c r="M17" s="1197">
        <f>利润表!K21</f>
        <v>2.7675793559259261</v>
      </c>
    </row>
    <row r="18" spans="1:13" ht="12">
      <c r="A18" s="1206" t="s">
        <v>2858</v>
      </c>
      <c r="B18" s="1207">
        <f>资产负债!G45</f>
        <v>3424.6985691499999</v>
      </c>
      <c r="C18" s="1207">
        <f>资产负债!H45</f>
        <v>3614.6237455300002</v>
      </c>
      <c r="D18" s="1207">
        <f>资产负债!I45</f>
        <v>0</v>
      </c>
      <c r="E18" s="1207">
        <f>资产负债!J45</f>
        <v>0</v>
      </c>
      <c r="F18" s="1207">
        <f>资产负债!K45</f>
        <v>0</v>
      </c>
      <c r="G18" s="1191"/>
      <c r="H18" s="1204" t="s">
        <v>2368</v>
      </c>
      <c r="I18" s="1205">
        <f>利润表!G22</f>
        <v>820.50660357000004</v>
      </c>
      <c r="J18" s="1205">
        <f>利润表!H22</f>
        <v>200.59245367</v>
      </c>
      <c r="K18" s="1205">
        <f ca="1">利润表!I22</f>
        <v>-235.20618663841964</v>
      </c>
      <c r="L18" s="1205">
        <f ca="1">利润表!J22</f>
        <v>197.19103983445638</v>
      </c>
      <c r="M18" s="1205">
        <f ca="1">利润表!K22</f>
        <v>134.26787136940891</v>
      </c>
    </row>
    <row r="19" spans="1:13" ht="12">
      <c r="A19" s="1198" t="s">
        <v>2374</v>
      </c>
      <c r="B19" s="1197">
        <f>B16-SUM(B17:B18)</f>
        <v>837.89107232999959</v>
      </c>
      <c r="C19" s="1197">
        <f>C16-SUM(C17:C18)</f>
        <v>1331.9112950199997</v>
      </c>
      <c r="D19" s="1197">
        <f ca="1">D16-SUM(D17:D18)</f>
        <v>1056.4530096802832</v>
      </c>
      <c r="E19" s="1197">
        <f ca="1">E16-SUM(E17:E18)</f>
        <v>1057.0287359333142</v>
      </c>
      <c r="F19" s="1197">
        <f ca="1">F16-SUM(F17:F18)</f>
        <v>1139.1403862917896</v>
      </c>
      <c r="G19" s="1191"/>
      <c r="H19" s="1198" t="s">
        <v>2370</v>
      </c>
      <c r="I19" s="1196">
        <f>利润表!G23</f>
        <v>147.88746504</v>
      </c>
      <c r="J19" s="1197">
        <f>利润表!H23</f>
        <v>22.677695249999999</v>
      </c>
      <c r="K19" s="1197">
        <f ca="1">利润表!I23</f>
        <v>-35.954958226013567</v>
      </c>
      <c r="L19" s="1197">
        <f ca="1">利润表!J23</f>
        <v>29.470608139822264</v>
      </c>
      <c r="M19" s="1197">
        <f ca="1">利润表!K23</f>
        <v>19.833395968726165</v>
      </c>
    </row>
    <row r="20" spans="1:13" ht="12">
      <c r="A20" s="1204" t="s">
        <v>2376</v>
      </c>
      <c r="B20" s="1205">
        <f>资产负债!G70</f>
        <v>963.50657984999998</v>
      </c>
      <c r="C20" s="1205">
        <f>资产负债!H70</f>
        <v>913.00746860000004</v>
      </c>
      <c r="D20" s="1205">
        <f ca="1">资产负债!I70</f>
        <v>791.80730875022175</v>
      </c>
      <c r="E20" s="1205">
        <f ca="1">资产负债!J70</f>
        <v>709.10127489784634</v>
      </c>
      <c r="F20" s="1205">
        <f ca="1">资产负债!K70</f>
        <v>621.45837012144284</v>
      </c>
      <c r="G20" s="1191"/>
      <c r="H20" s="1204" t="s">
        <v>2372</v>
      </c>
      <c r="I20" s="1205">
        <f>利润表!G25</f>
        <v>672.61913852999999</v>
      </c>
      <c r="J20" s="1205">
        <f>利润表!H25</f>
        <v>177.91475842</v>
      </c>
      <c r="K20" s="1205">
        <f ca="1">利润表!I25</f>
        <v>-199.25122841240608</v>
      </c>
      <c r="L20" s="1205">
        <f ca="1">利润表!J25</f>
        <v>167.7204316946341</v>
      </c>
      <c r="M20" s="1205">
        <f ca="1">利润表!K25</f>
        <v>114.43447540068274</v>
      </c>
    </row>
    <row r="21" spans="1:13" ht="12">
      <c r="A21" s="1198" t="s">
        <v>2378</v>
      </c>
      <c r="B21" s="1197">
        <f>资产负债!G62</f>
        <v>856.58881897000003</v>
      </c>
      <c r="C21" s="1197">
        <f>资产负债!H62</f>
        <v>708.48547254999994</v>
      </c>
      <c r="D21" s="1197">
        <f ca="1">资产负债!I62</f>
        <v>568.30953474022158</v>
      </c>
      <c r="E21" s="1197">
        <f ca="1">资产负债!J62</f>
        <v>491.92876020784615</v>
      </c>
      <c r="F21" s="1197">
        <f ca="1">资产负债!K62</f>
        <v>402.1774356581094</v>
      </c>
      <c r="G21" s="1191"/>
      <c r="H21" s="1198" t="s">
        <v>2373</v>
      </c>
      <c r="I21" s="1196">
        <f>利润表!G29</f>
        <v>0</v>
      </c>
      <c r="J21" s="1197">
        <f>利润表!H29</f>
        <v>-0.27017777000000004</v>
      </c>
      <c r="K21" s="1197">
        <f ca="1">利润表!I29</f>
        <v>6.0517210859111235E-2</v>
      </c>
      <c r="L21" s="1197">
        <f ca="1">利润表!J29</f>
        <v>-6.1128693525966907E-2</v>
      </c>
      <c r="M21" s="1197">
        <f ca="1">利润表!K29</f>
        <v>-5.0048393803664652E-2</v>
      </c>
    </row>
    <row r="22" spans="1:13" ht="12">
      <c r="A22" s="1198" t="s">
        <v>2379</v>
      </c>
      <c r="B22" s="1197">
        <f>B20-B21</f>
        <v>106.91776087999995</v>
      </c>
      <c r="C22" s="1197">
        <f>C20-C21</f>
        <v>204.5219960500001</v>
      </c>
      <c r="D22" s="1197">
        <f ca="1">D20-D21</f>
        <v>223.49777401000017</v>
      </c>
      <c r="E22" s="1197">
        <f ca="1">E20-E21</f>
        <v>217.17251469000018</v>
      </c>
      <c r="F22" s="1197">
        <f ca="1">F20-F21</f>
        <v>219.28093446333344</v>
      </c>
      <c r="G22" s="1191"/>
      <c r="H22" s="1204" t="s">
        <v>2375</v>
      </c>
      <c r="I22" s="1205">
        <f>利润表!G30</f>
        <v>672.61913852999999</v>
      </c>
      <c r="J22" s="1205">
        <f>利润表!H30</f>
        <v>178.18493619</v>
      </c>
      <c r="K22" s="1205">
        <f ca="1">利润表!I30</f>
        <v>-199.31174562326518</v>
      </c>
      <c r="L22" s="1205">
        <f ca="1">利润表!J30</f>
        <v>167.78156038816007</v>
      </c>
      <c r="M22" s="1205">
        <f ca="1">利润表!K30</f>
        <v>114.48452379448641</v>
      </c>
    </row>
    <row r="23" spans="1:13" ht="12">
      <c r="A23" s="1204" t="s">
        <v>2380</v>
      </c>
      <c r="B23" s="1205">
        <f>资产负债!G72</f>
        <v>5821.6146768299996</v>
      </c>
      <c r="C23" s="1205">
        <f>资产负债!H72</f>
        <v>7021.5178359600004</v>
      </c>
      <c r="D23" s="1205">
        <f ca="1">资产负债!I72</f>
        <v>5076.8020361786894</v>
      </c>
      <c r="E23" s="1205">
        <f ca="1">资产负债!J72</f>
        <v>9467.0940847153415</v>
      </c>
      <c r="F23" s="1205">
        <f ca="1">资产负债!K72</f>
        <v>8829.9095509144936</v>
      </c>
      <c r="G23" s="1191"/>
      <c r="H23" s="1208" t="s">
        <v>2377</v>
      </c>
      <c r="I23" s="1196">
        <f>利润表!G28</f>
        <v>1003.0536998287199</v>
      </c>
      <c r="J23" s="1197">
        <f>利润表!H28</f>
        <v>451.25812925268599</v>
      </c>
      <c r="K23" s="1197">
        <f ca="1">利润表!I28</f>
        <v>14.276538769569811</v>
      </c>
      <c r="L23" s="1197">
        <f ca="1">利润表!J28</f>
        <v>658.64321082848073</v>
      </c>
      <c r="M23" s="1197">
        <f ca="1">利润表!K28</f>
        <v>725.00600733661963</v>
      </c>
    </row>
    <row r="24" spans="1:13" ht="15" customHeight="1">
      <c r="A24" s="1198" t="s">
        <v>2382</v>
      </c>
      <c r="B24" s="1197">
        <f>资产负债!G85</f>
        <v>0</v>
      </c>
      <c r="C24" s="1197">
        <f>资产负债!H85</f>
        <v>1.03436503</v>
      </c>
      <c r="D24" s="1197">
        <f ca="1">资产负债!I85</f>
        <v>1.0948822408591112</v>
      </c>
      <c r="E24" s="1197">
        <f ca="1">资产负债!J85</f>
        <v>1.0337535473331443</v>
      </c>
      <c r="F24" s="1197">
        <f ca="1">资产负债!K85</f>
        <v>0.98370515352947963</v>
      </c>
      <c r="G24" s="1191"/>
      <c r="H24" s="1209" t="s">
        <v>2769</v>
      </c>
      <c r="I24" s="1210">
        <f>I47</f>
        <v>0.57133000551370439</v>
      </c>
      <c r="J24" s="1211">
        <f>J47</f>
        <v>0.15135222110744503</v>
      </c>
      <c r="K24" s="1211">
        <f ca="1">K47</f>
        <v>-0.16929756262177367</v>
      </c>
      <c r="L24" s="1211">
        <f ca="1">L47</f>
        <v>0.14251548064951464</v>
      </c>
      <c r="M24" s="1211">
        <f ca="1">M47</f>
        <v>9.724439859633939E-2</v>
      </c>
    </row>
    <row r="25" spans="1:13" ht="12">
      <c r="A25" s="1212" t="s">
        <v>2383</v>
      </c>
      <c r="B25" s="1213">
        <f>资产负债!G74</f>
        <v>1151.18658</v>
      </c>
      <c r="C25" s="1213">
        <f>资产负债!H74</f>
        <v>1180.8786270000001</v>
      </c>
      <c r="D25" s="1213">
        <f>资产负债!I74</f>
        <v>1180.8786270000001</v>
      </c>
      <c r="E25" s="1213">
        <f>资产负债!J74</f>
        <v>1180.8786270000001</v>
      </c>
      <c r="F25" s="1213">
        <f>资产负债!K74</f>
        <v>1180.8786270000001</v>
      </c>
      <c r="G25" s="1191"/>
      <c r="H25" s="1191"/>
      <c r="I25" s="1214"/>
      <c r="J25" s="1214"/>
      <c r="K25" s="1214"/>
      <c r="L25" s="1214"/>
      <c r="M25" s="1214"/>
    </row>
    <row r="26" spans="1:13" ht="12">
      <c r="A26" s="1212" t="s">
        <v>2385</v>
      </c>
      <c r="B26" s="1213">
        <f>资产负债!G78</f>
        <v>1680.9903678599999</v>
      </c>
      <c r="C26" s="1213">
        <f>资产负债!H78</f>
        <v>2072.21509741</v>
      </c>
      <c r="D26" s="1213">
        <f>资产负债!I78</f>
        <v>2072.21509741</v>
      </c>
      <c r="E26" s="1213">
        <f>资产负债!J78</f>
        <v>2072.21509741</v>
      </c>
      <c r="F26" s="1213">
        <f>资产负债!K78</f>
        <v>2072.21509741</v>
      </c>
      <c r="G26" s="1191"/>
      <c r="H26" s="1190" t="s">
        <v>2381</v>
      </c>
      <c r="I26" s="1215"/>
      <c r="J26" s="1214"/>
      <c r="K26" s="1214"/>
      <c r="L26" s="1214"/>
      <c r="M26" s="1214"/>
    </row>
    <row r="27" spans="1:13" ht="12">
      <c r="A27" s="1212" t="s">
        <v>2387</v>
      </c>
      <c r="B27" s="1197">
        <f>资产负债!G81+资产负债!G82</f>
        <v>2321.6717422799998</v>
      </c>
      <c r="C27" s="1197">
        <f>资产负债!H81+资产负债!H82</f>
        <v>2509.8259847699996</v>
      </c>
      <c r="D27" s="1197">
        <f ca="1">资产负债!I81+资产负债!I82</f>
        <v>2332.215037833605</v>
      </c>
      <c r="E27" s="1197">
        <f ca="1">资产负债!J81+资产负债!J82</f>
        <v>2477.1657394488484</v>
      </c>
      <c r="F27" s="1197">
        <f ca="1">资产负债!K81+资产负债!K82</f>
        <v>2575.1293389640218</v>
      </c>
      <c r="G27" s="1191"/>
      <c r="H27" s="1189" t="s">
        <v>2342</v>
      </c>
      <c r="I27" s="1187" t="str">
        <f>I2</f>
        <v>2021A</v>
      </c>
      <c r="J27" s="1187" t="str">
        <f>J2</f>
        <v>2022A</v>
      </c>
      <c r="K27" s="1187" t="str">
        <f>K2</f>
        <v>2023E</v>
      </c>
      <c r="L27" s="1187" t="str">
        <f>L2</f>
        <v>2024E</v>
      </c>
      <c r="M27" s="1187" t="str">
        <f>M2</f>
        <v>2025E</v>
      </c>
    </row>
    <row r="28" spans="1:13" ht="12">
      <c r="A28" s="1216" t="s">
        <v>2389</v>
      </c>
      <c r="B28" s="1197">
        <f>资产负债!G84</f>
        <v>4967.87543155</v>
      </c>
      <c r="C28" s="1197">
        <f>资产负债!H84</f>
        <v>5616.8441891000002</v>
      </c>
      <c r="D28" s="1197">
        <f ca="1">资产负债!I84+资产负债!I89</f>
        <v>5358.4885121267353</v>
      </c>
      <c r="E28" s="1197">
        <f ca="1">资产负债!J84+资产负债!J89</f>
        <v>5467.2261411648951</v>
      </c>
      <c r="F28" s="1197">
        <f ca="1">资产负债!K84+资产负债!K89</f>
        <v>5507.9057507718817</v>
      </c>
      <c r="G28" s="1191"/>
      <c r="H28" s="1217" t="s">
        <v>2384</v>
      </c>
      <c r="I28" s="1215"/>
      <c r="J28" s="1197"/>
      <c r="K28" s="1197"/>
      <c r="L28" s="1197"/>
      <c r="M28" s="1197"/>
    </row>
    <row r="29" spans="1:13" ht="12">
      <c r="A29" s="1204" t="s">
        <v>2391</v>
      </c>
      <c r="B29" s="1205">
        <f>资产负债!G88</f>
        <v>10789.49010838</v>
      </c>
      <c r="C29" s="1205">
        <f>资产负债!H88</f>
        <v>12639.39639009</v>
      </c>
      <c r="D29" s="1205">
        <f ca="1">资产负债!I88+资产负债!I89</f>
        <v>10436.385430546285</v>
      </c>
      <c r="E29" s="1205">
        <f ca="1">资产负债!J88+资产负债!J89</f>
        <v>14935.353979427569</v>
      </c>
      <c r="F29" s="1205">
        <f ca="1">资产负债!K88+资产负债!K89</f>
        <v>14338.799006839905</v>
      </c>
      <c r="G29" s="1191"/>
      <c r="H29" s="1218" t="s">
        <v>2386</v>
      </c>
      <c r="I29" s="1219">
        <f>财务分析!G3</f>
        <v>0.24573188559615566</v>
      </c>
      <c r="J29" s="1219">
        <f>财务分析!H3</f>
        <v>-1.4166452712930377E-2</v>
      </c>
      <c r="K29" s="1219">
        <f>财务分析!I3</f>
        <v>9.2100000000000001E-2</v>
      </c>
      <c r="L29" s="1219">
        <f>财务分析!J3</f>
        <v>0.15790000000000001</v>
      </c>
      <c r="M29" s="1219">
        <f>财务分析!K3</f>
        <v>0.1644960679984003</v>
      </c>
    </row>
    <row r="30" spans="1:13" ht="12">
      <c r="A30" s="1191"/>
      <c r="B30" s="1191"/>
      <c r="C30" s="1220">
        <f>现金流量!H13</f>
        <v>-197.26752641000022</v>
      </c>
      <c r="D30" s="1191"/>
      <c r="E30" s="1191"/>
      <c r="F30" s="1191"/>
      <c r="G30" s="1191"/>
      <c r="H30" s="1218" t="s">
        <v>2388</v>
      </c>
      <c r="I30" s="1219">
        <f>财务分析!G4</f>
        <v>-0.21531061853697409</v>
      </c>
      <c r="J30" s="1219">
        <f>财务分析!H4</f>
        <v>-0.76381519801908282</v>
      </c>
      <c r="K30" s="1219">
        <f ca="1">财务分析!I4</f>
        <v>-2.2572371044344379</v>
      </c>
      <c r="L30" s="1219">
        <f ca="1">财务分析!J4</f>
        <v>1.7919576680957416</v>
      </c>
      <c r="M30" s="1219">
        <f ca="1">财务分析!K4</f>
        <v>-0.33394108849126664</v>
      </c>
    </row>
    <row r="31" spans="1:13" ht="12">
      <c r="A31" s="1191"/>
      <c r="B31" s="1191"/>
      <c r="C31" s="1220"/>
      <c r="D31" s="1191"/>
      <c r="E31" s="1191"/>
      <c r="F31" s="1191"/>
      <c r="G31" s="1191"/>
      <c r="H31" s="1218" t="s">
        <v>2390</v>
      </c>
      <c r="I31" s="1219">
        <f>(利润表!G30-利润表!F30)/ABS(利润表!F30)</f>
        <v>-0.24453178665279779</v>
      </c>
      <c r="J31" s="1219">
        <f>(利润表!H30-利润表!G30)/ABS(利润表!G30)</f>
        <v>-0.73508791828400721</v>
      </c>
      <c r="K31" s="1219">
        <f ca="1">(利润表!I30-利润表!H30)/ABS(利润表!H30)</f>
        <v>-2.1185667536493518</v>
      </c>
      <c r="L31" s="1219">
        <f ca="1">(利润表!J30-利润表!I30)/ABS(利润表!I30)</f>
        <v>1.8418046807201078</v>
      </c>
      <c r="M31" s="1219">
        <f ca="1">(利润表!K30-利润表!J30)/ABS(利润表!J30)</f>
        <v>-0.31765729482054994</v>
      </c>
    </row>
    <row r="32" spans="1:13" ht="15" customHeight="1">
      <c r="A32" s="1191"/>
      <c r="B32" s="1191"/>
      <c r="C32" s="1220"/>
      <c r="D32" s="1191"/>
      <c r="E32" s="1191"/>
      <c r="F32" s="1191"/>
      <c r="G32" s="1191"/>
      <c r="H32" s="1204" t="s">
        <v>2392</v>
      </c>
      <c r="I32" s="1221"/>
      <c r="J32" s="1222"/>
      <c r="K32" s="1222"/>
      <c r="L32" s="1222"/>
      <c r="M32" s="1222"/>
    </row>
    <row r="33" spans="1:13" ht="12">
      <c r="A33" s="1191"/>
      <c r="B33" s="1191"/>
      <c r="C33" s="1220"/>
      <c r="D33" s="1191"/>
      <c r="E33" s="1191"/>
      <c r="F33" s="1191"/>
      <c r="G33" s="1191"/>
      <c r="H33" s="1218" t="s">
        <v>2393</v>
      </c>
      <c r="I33" s="1219">
        <f>财务分析!G13</f>
        <v>0.28514371264111327</v>
      </c>
      <c r="J33" s="1219">
        <f>财务分析!H13</f>
        <v>0.2121076578193104</v>
      </c>
      <c r="K33" s="1219">
        <f>财务分析!I13</f>
        <v>0.17689999999999995</v>
      </c>
      <c r="L33" s="1219">
        <f>财务分析!J13</f>
        <v>0.24416336816713236</v>
      </c>
      <c r="M33" s="1219">
        <f>财务分析!K13</f>
        <v>0.2336280645350578</v>
      </c>
    </row>
    <row r="34" spans="1:13" ht="12">
      <c r="A34" s="1190" t="s">
        <v>2868</v>
      </c>
      <c r="B34" s="1223"/>
      <c r="C34" s="1220"/>
      <c r="D34" s="1191"/>
      <c r="E34" s="1314" t="s">
        <v>2394</v>
      </c>
      <c r="F34" s="1314"/>
      <c r="G34" s="1191"/>
      <c r="H34" s="1218" t="s">
        <v>2395</v>
      </c>
      <c r="I34" s="1219">
        <f>财务分析!G14</f>
        <v>8.6558102617062052E-2</v>
      </c>
      <c r="J34" s="1219">
        <f>财务分析!H14</f>
        <v>2.3259795953155211E-2</v>
      </c>
      <c r="K34" s="1219">
        <f ca="1">财务分析!I14</f>
        <v>-2.3823490934774424E-2</v>
      </c>
      <c r="L34" s="1219">
        <f ca="1">财务分析!J14</f>
        <v>1.7319912064933211E-2</v>
      </c>
      <c r="M34" s="1219">
        <f ca="1">财务分析!K14</f>
        <v>1.0148695196687395E-2</v>
      </c>
    </row>
    <row r="35" spans="1:13" ht="12">
      <c r="A35" s="1189" t="s">
        <v>2342</v>
      </c>
      <c r="B35" s="1187" t="str">
        <f>B2</f>
        <v>2021A</v>
      </c>
      <c r="C35" s="1187" t="str">
        <f>C2</f>
        <v>2022A</v>
      </c>
      <c r="D35" s="1187" t="str">
        <f>D2</f>
        <v>2023E</v>
      </c>
      <c r="E35" s="1187" t="str">
        <f>E2</f>
        <v>2024E</v>
      </c>
      <c r="F35" s="1187" t="str">
        <f>F2</f>
        <v>2025E</v>
      </c>
      <c r="G35" s="1191"/>
      <c r="H35" s="1218" t="s">
        <v>2396</v>
      </c>
      <c r="I35" s="1219">
        <f>财务分析!G19</f>
        <v>0.13539372067550812</v>
      </c>
      <c r="J35" s="1219">
        <f>财务分析!H19</f>
        <v>3.1669384929869197E-2</v>
      </c>
      <c r="K35" s="1219">
        <f ca="1">财务分析!I19</f>
        <v>-3.7176626194826992E-2</v>
      </c>
      <c r="L35" s="1219">
        <f ca="1">财务分析!J19</f>
        <v>3.0671627706799136E-2</v>
      </c>
      <c r="M35" s="1219">
        <f ca="1">财务分析!K19</f>
        <v>2.0772694082215788E-2</v>
      </c>
    </row>
    <row r="36" spans="1:13" ht="12">
      <c r="A36" s="1195" t="s">
        <v>2397</v>
      </c>
      <c r="B36" s="1197">
        <f>年度数据!G161</f>
        <v>611.13456733999999</v>
      </c>
      <c r="C36" s="1197">
        <f>年度数据!H161</f>
        <v>235.29784823</v>
      </c>
      <c r="D36" s="1197">
        <f ca="1">现金流量!I13</f>
        <v>-1452.4718889031087</v>
      </c>
      <c r="E36" s="1197">
        <f ca="1">现金流量!J13</f>
        <v>-3272.6984068020356</v>
      </c>
      <c r="F36" s="1197">
        <f ca="1">现金流量!K13</f>
        <v>2154.4362500990928</v>
      </c>
      <c r="G36" s="1191"/>
      <c r="H36" s="1218" t="s">
        <v>2398</v>
      </c>
      <c r="I36" s="1219">
        <f>财务分析!G21</f>
        <v>0.10618401440088081</v>
      </c>
      <c r="J36" s="1219">
        <f>财务分析!H21</f>
        <v>2.7088712790866092E-2</v>
      </c>
      <c r="K36" s="1219">
        <f ca="1">财务分析!I21</f>
        <v>-1.3129373382206771E-2</v>
      </c>
      <c r="L36" s="1219">
        <f ca="1">财务分析!J21</f>
        <v>2.938703107764391E-2</v>
      </c>
      <c r="M36" s="1219">
        <f ca="1">财务分析!K21</f>
        <v>3.337717908941569E-2</v>
      </c>
    </row>
    <row r="37" spans="1:13" ht="12">
      <c r="A37" s="1198" t="s">
        <v>2399</v>
      </c>
      <c r="B37" s="1197">
        <f>现金流量!G3</f>
        <v>672.61913852999999</v>
      </c>
      <c r="C37" s="1197">
        <f>现金流量!H3</f>
        <v>177.91475842</v>
      </c>
      <c r="D37" s="1197">
        <f ca="1">现金流量!I3</f>
        <v>-199.25122841240608</v>
      </c>
      <c r="E37" s="1197">
        <f ca="1">现金流量!J3</f>
        <v>167.7204316946341</v>
      </c>
      <c r="F37" s="1197">
        <f ca="1">现金流量!K3</f>
        <v>114.43447540068274</v>
      </c>
      <c r="G37" s="1191"/>
      <c r="H37" s="1204" t="s">
        <v>2400</v>
      </c>
      <c r="I37" s="1221"/>
      <c r="J37" s="1222"/>
      <c r="K37" s="1222"/>
      <c r="L37" s="1222"/>
      <c r="M37" s="1222"/>
    </row>
    <row r="38" spans="1:13" ht="12">
      <c r="A38" s="1198" t="s">
        <v>2401</v>
      </c>
      <c r="B38" s="1197">
        <f>SUM(年度数据!G197:G199)</f>
        <v>155.60443329</v>
      </c>
      <c r="C38" s="1197">
        <f>SUM(年度数据!H197:H199)</f>
        <v>203.49755551999996</v>
      </c>
      <c r="D38" s="1197">
        <f ca="1">现金流量!I4</f>
        <v>159.67568942618274</v>
      </c>
      <c r="E38" s="1197">
        <f ca="1">现金流量!J4</f>
        <v>178.29660496705071</v>
      </c>
      <c r="F38" s="1197">
        <f ca="1">现金流量!K4</f>
        <v>206.53562264950685</v>
      </c>
      <c r="G38" s="1191"/>
      <c r="H38" s="1224" t="s">
        <v>2402</v>
      </c>
      <c r="I38" s="1219">
        <f>财务分析!G31</f>
        <v>0.53956346577568648</v>
      </c>
      <c r="J38" s="1219">
        <f>财务分析!H31</f>
        <v>0.55552635737140632</v>
      </c>
      <c r="K38" s="1219">
        <f ca="1">财务分析!I31</f>
        <v>0.4864521409222185</v>
      </c>
      <c r="L38" s="1219">
        <f ca="1">财务分析!J31</f>
        <v>0.63387142331916724</v>
      </c>
      <c r="M38" s="1219">
        <f ca="1">财务分析!K31</f>
        <v>0.61580537858871187</v>
      </c>
    </row>
    <row r="39" spans="1:13" ht="12">
      <c r="A39" s="1198" t="s">
        <v>2403</v>
      </c>
      <c r="B39" s="1197">
        <f>现金流量!G8</f>
        <v>42.603031940000001</v>
      </c>
      <c r="C39" s="1197">
        <f>现金流量!H8</f>
        <v>75.63140765</v>
      </c>
      <c r="D39" s="1197">
        <f ca="1">现金流量!I8</f>
        <v>125.70179837948498</v>
      </c>
      <c r="E39" s="1197">
        <f ca="1">现金流量!J8</f>
        <v>314.75447313157986</v>
      </c>
      <c r="F39" s="1197">
        <f ca="1">现金流量!K8</f>
        <v>419.93391906168307</v>
      </c>
      <c r="G39" s="1191"/>
      <c r="H39" s="1224" t="s">
        <v>2404</v>
      </c>
      <c r="I39" s="1219">
        <f>(营运资本!G38-资产负债!G3)/资产负债!G86</f>
        <v>-0.12374703070970366</v>
      </c>
      <c r="J39" s="1219">
        <f>(营运资本!H38-资产负债!H3)/资产负债!H86</f>
        <v>2.8803788383969256E-2</v>
      </c>
      <c r="K39" s="1219">
        <f ca="1">(营运资本!I38-资产负债!I3)/资产负债!I86</f>
        <v>0.33411038583726527</v>
      </c>
      <c r="L39" s="1219">
        <f ca="1">(营运资本!J38-资产负债!J3)/资产负债!J86</f>
        <v>1.0785260961049297</v>
      </c>
      <c r="M39" s="1219">
        <f ca="1">(营运资本!K38-资产负债!K3)/资产负债!K86</f>
        <v>0.85595081253875605</v>
      </c>
    </row>
    <row r="40" spans="1:13" ht="12">
      <c r="A40" s="1198" t="s">
        <v>2405</v>
      </c>
      <c r="B40" s="1197">
        <f>现金流量!G9</f>
        <v>2.9488163599999999</v>
      </c>
      <c r="C40" s="1197">
        <f>现金流量!H9</f>
        <v>-3.80244553</v>
      </c>
      <c r="D40" s="1197">
        <f>现金流量!I9</f>
        <v>-2.5735877540000005</v>
      </c>
      <c r="E40" s="1197">
        <f>现金流量!J9</f>
        <v>0.76549927719999955</v>
      </c>
      <c r="F40" s="1197">
        <f>现金流量!K9</f>
        <v>5.0645915646399997</v>
      </c>
      <c r="G40" s="1191"/>
      <c r="H40" s="1224" t="s">
        <v>2406</v>
      </c>
      <c r="I40" s="1225">
        <f>财务分析!G41</f>
        <v>1.694702362478925</v>
      </c>
      <c r="J40" s="1225">
        <f>财务分析!H41</f>
        <v>1.5540910236095418</v>
      </c>
      <c r="K40" s="1225">
        <f ca="1">财务分析!I41</f>
        <v>1.731624154382293</v>
      </c>
      <c r="L40" s="1225">
        <f ca="1">财务分析!J41</f>
        <v>1.3285521905939635</v>
      </c>
      <c r="M40" s="1225">
        <f ca="1">财务分析!K41</f>
        <v>1.3057534829910524</v>
      </c>
    </row>
    <row r="41" spans="1:13" ht="12">
      <c r="A41" s="1198" t="s">
        <v>2407</v>
      </c>
      <c r="B41" s="1197">
        <f>SUM(年度数据!G209:G211)</f>
        <v>-602.73944629999983</v>
      </c>
      <c r="C41" s="1197">
        <f>SUM(年度数据!H209:H211)</f>
        <v>-458.79268175000004</v>
      </c>
      <c r="D41" s="1197">
        <f ca="1">现金流量!I10</f>
        <v>-1725.6196271845865</v>
      </c>
      <c r="E41" s="1197">
        <f ca="1">现金流量!J10</f>
        <v>-4192.4904604445564</v>
      </c>
      <c r="F41" s="1197">
        <f ca="1">现金流量!K10</f>
        <v>1080.9465266692932</v>
      </c>
      <c r="G41" s="1191"/>
      <c r="H41" s="1224" t="s">
        <v>2408</v>
      </c>
      <c r="I41" s="1225">
        <f>财务分析!G42</f>
        <v>1.4809791309157072</v>
      </c>
      <c r="J41" s="1225">
        <f>财务分析!H42</f>
        <v>1.3589279984209259</v>
      </c>
      <c r="K41" s="1225">
        <f ca="1">财务分析!I42</f>
        <v>1.4542860497272156</v>
      </c>
      <c r="L41" s="1225">
        <f ca="1">财务分析!J42</f>
        <v>1.2002983076943226</v>
      </c>
      <c r="M41" s="1225">
        <f ca="1">财务分析!K42</f>
        <v>1.1274845517644085</v>
      </c>
    </row>
    <row r="42" spans="1:13" ht="12">
      <c r="A42" s="1198" t="s">
        <v>2409</v>
      </c>
      <c r="B42" s="1197">
        <f>B36-SUM(B37:B41)</f>
        <v>340.09859351999978</v>
      </c>
      <c r="C42" s="1197">
        <f>C36-SUM(C37:C41)</f>
        <v>240.84925392000002</v>
      </c>
      <c r="D42" s="1197">
        <f ca="1">D36-SUM(D37:D41)</f>
        <v>189.59506664221612</v>
      </c>
      <c r="E42" s="1197">
        <f ca="1">E36-SUM(E37:E41)</f>
        <v>258.25504457205625</v>
      </c>
      <c r="F42" s="1197">
        <f ca="1">F36-SUM(F37:F41)</f>
        <v>327.52111475328684</v>
      </c>
      <c r="G42" s="1191"/>
      <c r="H42" s="1204" t="s">
        <v>2410</v>
      </c>
      <c r="I42" s="1221"/>
      <c r="J42" s="1205"/>
      <c r="K42" s="1205"/>
      <c r="L42" s="1205"/>
      <c r="M42" s="1205"/>
    </row>
    <row r="43" spans="1:13" ht="12">
      <c r="A43" s="1226" t="s">
        <v>2411</v>
      </c>
      <c r="B43" s="1205">
        <f>年度数据!G174</f>
        <v>-641.57394686999999</v>
      </c>
      <c r="C43" s="1205">
        <f>年度数据!H174</f>
        <v>-334.28678356</v>
      </c>
      <c r="D43" s="1205">
        <f ca="1">现金流量!I38</f>
        <v>-9.1304206065628044</v>
      </c>
      <c r="E43" s="1205">
        <f ca="1">现金流量!J38</f>
        <v>-454.64779347502633</v>
      </c>
      <c r="F43" s="1205">
        <f ca="1">现金流量!K38</f>
        <v>-480.31613148876437</v>
      </c>
      <c r="G43" s="1191"/>
      <c r="H43" s="1218" t="s">
        <v>2412</v>
      </c>
      <c r="I43" s="1225">
        <f>财务分析!G28</f>
        <v>0.81992962046263029</v>
      </c>
      <c r="J43" s="1225">
        <f>财务分析!H28</f>
        <v>0.65394832622030685</v>
      </c>
      <c r="K43" s="1225">
        <f ca="1">财务分析!I28</f>
        <v>0.72510527405960168</v>
      </c>
      <c r="L43" s="1225">
        <f ca="1">财务分析!J28</f>
        <v>0.76362176770797285</v>
      </c>
      <c r="M43" s="1225">
        <f ca="1">财务分析!K28</f>
        <v>0.77069444790991837</v>
      </c>
    </row>
    <row r="44" spans="1:13" ht="12">
      <c r="A44" s="1198" t="s">
        <v>2413</v>
      </c>
      <c r="B44" s="1197">
        <f>年度数据!G169</f>
        <v>421.96193806999997</v>
      </c>
      <c r="C44" s="1197">
        <f>年度数据!H169</f>
        <v>333.63988098000004</v>
      </c>
      <c r="D44" s="1197">
        <f ca="1">营运资本!I62</f>
        <v>197.78088647506297</v>
      </c>
      <c r="E44" s="1197">
        <f ca="1">营运资本!J62</f>
        <v>427.80018107635135</v>
      </c>
      <c r="F44" s="1197">
        <f ca="1">营运资本!K62</f>
        <v>474.74916070267727</v>
      </c>
      <c r="G44" s="1191"/>
      <c r="H44" s="1218" t="s">
        <v>2414</v>
      </c>
      <c r="I44" s="1225">
        <f>财务分析!G26</f>
        <v>2.6753791715776272</v>
      </c>
      <c r="J44" s="1225">
        <f>财务分析!H26</f>
        <v>1.8940564228063765</v>
      </c>
      <c r="K44" s="1225">
        <f>财务分析!I26</f>
        <v>2.5034720072766592</v>
      </c>
      <c r="L44" s="1225">
        <f>财务分析!J26</f>
        <v>2.3576358672202207</v>
      </c>
      <c r="M44" s="1225">
        <f>财务分析!K26</f>
        <v>2.2517214324344188</v>
      </c>
    </row>
    <row r="45" spans="1:13" ht="12">
      <c r="A45" s="1212" t="s">
        <v>2415</v>
      </c>
      <c r="B45" s="1197">
        <f>年度数据!G163-年度数据!G170</f>
        <v>-227.99999999999994</v>
      </c>
      <c r="C45" s="1197">
        <f>年度数据!H163-年度数据!H170</f>
        <v>25.581093879999997</v>
      </c>
      <c r="D45" s="1197">
        <f>现金流量!I21</f>
        <v>-8.1267656439999953</v>
      </c>
      <c r="E45" s="1197">
        <f>现金流量!J21</f>
        <v>-8.0564913468000015</v>
      </c>
      <c r="F45" s="1197">
        <f>现金流量!K21</f>
        <v>-7.9721621901599917</v>
      </c>
      <c r="G45" s="1191"/>
      <c r="H45" s="1218" t="s">
        <v>2416</v>
      </c>
      <c r="I45" s="1225">
        <f>IF(资产负债!F47+资产负债!G47&lt;&gt;0,2*利润表!G3/(资产负债!F47+资产负债!G47),0)</f>
        <v>4.394238708532197</v>
      </c>
      <c r="J45" s="1225">
        <f>IF(资产负债!G47+资产负债!H47&lt;&gt;0,2*利润表!H3/(资产负债!G47+资产负债!H47),0)</f>
        <v>3.7348031431070861</v>
      </c>
      <c r="K45" s="1225">
        <f>IF(资产负债!H47+资产负债!I47&lt;&gt;0,2*利润表!I3/(资产负债!H47+资产负债!I47),0)</f>
        <v>7.6922147020888998</v>
      </c>
      <c r="L45" s="1225">
        <f>IF(资产负债!I47+资产负债!J47&lt;&gt;0,2*利润表!J3/(资产负债!I47+资产负债!J47),0)</f>
        <v>0</v>
      </c>
      <c r="M45" s="1225">
        <f>IF(资产负债!J47+资产负债!K47&lt;&gt;0,2*利润表!K3/(资产负债!J47+资产负债!K47),0)</f>
        <v>0</v>
      </c>
    </row>
    <row r="46" spans="1:13" ht="12">
      <c r="A46" s="1212" t="s">
        <v>2417</v>
      </c>
      <c r="B46" s="1197">
        <f>B43-(-B44+B45)</f>
        <v>8.387991199999874</v>
      </c>
      <c r="C46" s="1197">
        <f t="shared" ref="C46:F46" si="0">C43-(-C44+C45)</f>
        <v>-26.227996459999986</v>
      </c>
      <c r="D46" s="1197">
        <f t="shared" ca="1" si="0"/>
        <v>196.77723151250015</v>
      </c>
      <c r="E46" s="1197">
        <f t="shared" ca="1" si="0"/>
        <v>-18.791121051874995</v>
      </c>
      <c r="F46" s="1197">
        <f t="shared" ca="1" si="0"/>
        <v>2.405191404072923</v>
      </c>
      <c r="G46" s="1191"/>
      <c r="H46" s="1204" t="s">
        <v>2418</v>
      </c>
      <c r="I46" s="1227"/>
      <c r="J46" s="1205"/>
      <c r="K46" s="1205"/>
      <c r="L46" s="1205"/>
      <c r="M46" s="1205"/>
    </row>
    <row r="47" spans="1:13" ht="12">
      <c r="A47" s="1228" t="s">
        <v>2419</v>
      </c>
      <c r="B47" s="1205">
        <f>年度数据!G187</f>
        <v>649.93129173</v>
      </c>
      <c r="C47" s="1205">
        <f>年度数据!H187</f>
        <v>125.17703166</v>
      </c>
      <c r="D47" s="1205">
        <f ca="1">现金流量!I57</f>
        <v>-1103.069647140208</v>
      </c>
      <c r="E47" s="1205">
        <f ca="1">现金流量!J57</f>
        <v>-398.79519290445182</v>
      </c>
      <c r="F47" s="1205">
        <f ca="1">现金流量!K57</f>
        <v>-541.88070778931433</v>
      </c>
      <c r="G47" s="1191"/>
      <c r="H47" s="1218" t="s">
        <v>2420</v>
      </c>
      <c r="I47" s="1229">
        <f>IF(ISERROR(利润表!G30/目录!$F8),0,利润表!G30/目录!$F8)</f>
        <v>0.57133000551370439</v>
      </c>
      <c r="J47" s="1229">
        <f>IF(ISERROR(利润表!H30/目录!$F8),0,利润表!H30/目录!$F8)</f>
        <v>0.15135222110744503</v>
      </c>
      <c r="K47" s="1229">
        <f ca="1">IF(ISERROR(利润表!I30/目录!$F8),0,利润表!I30/目录!$F8)</f>
        <v>-0.16929756262177367</v>
      </c>
      <c r="L47" s="1229">
        <f ca="1">IF(ISERROR(利润表!J30/目录!$F8),0,利润表!J30/目录!$F8)</f>
        <v>0.14251548064951464</v>
      </c>
      <c r="M47" s="1229">
        <f ca="1">IF(ISERROR(利润表!K30/目录!$F8),0,利润表!K30/目录!$F8)</f>
        <v>9.724439859633939E-2</v>
      </c>
    </row>
    <row r="48" spans="1:13" ht="12">
      <c r="A48" s="1212" t="s">
        <v>2371</v>
      </c>
      <c r="B48" s="1197">
        <f>现金流量!G55</f>
        <v>-63.672828340000024</v>
      </c>
      <c r="C48" s="1197">
        <f>现金流量!H55</f>
        <v>566.45687130999988</v>
      </c>
      <c r="D48" s="1197">
        <f ca="1">资产负债!I42-资产负债!H42</f>
        <v>2066.5663909381847</v>
      </c>
      <c r="E48" s="1197">
        <f ca="1">资产负债!J42-资产负债!I42</f>
        <v>4472.4223561359959</v>
      </c>
      <c r="F48" s="1197">
        <f ca="1">资产负债!K42-资产负债!J42</f>
        <v>-631.65327938292012</v>
      </c>
      <c r="G48" s="1191"/>
      <c r="H48" s="1218" t="s">
        <v>2421</v>
      </c>
      <c r="I48" s="1229">
        <f>IF(ISERROR(年度数据!G161/目录!$F8),0,年度数据!G161/目录!$F8)</f>
        <v>0.51910434260175964</v>
      </c>
      <c r="J48" s="1229">
        <f>IF(ISERROR(年度数据!H161/目录!$F8),0,年度数据!H161/目录!$F8)</f>
        <v>0.1998645492312478</v>
      </c>
      <c r="K48" s="1229">
        <f ca="1">IF(ISERROR(现金流量!I13/目录!$F8),0,现金流量!I13/目录!$F8)</f>
        <v>-1.2337454062177289</v>
      </c>
      <c r="L48" s="1229">
        <f ca="1">IF(ISERROR(现金流量!J13/目录!$F8),0,现金流量!J13/目录!$F8)</f>
        <v>-2.7798655906361822</v>
      </c>
      <c r="M48" s="1229">
        <f ca="1">IF(ISERROR(现金流量!K13/目录!$F8),0,现金流量!K13/目录!$F8)</f>
        <v>1.8300015627538366</v>
      </c>
    </row>
    <row r="49" spans="1:13" ht="12">
      <c r="A49" s="1230" t="s">
        <v>2378</v>
      </c>
      <c r="B49" s="1197">
        <f>现金流量!G45</f>
        <v>645.21151568000005</v>
      </c>
      <c r="C49" s="1197">
        <f>现金流量!H45</f>
        <v>-148.10334642000009</v>
      </c>
      <c r="D49" s="1231">
        <f ca="1">现金流量!I45</f>
        <v>-140.17593780977836</v>
      </c>
      <c r="E49" s="1197">
        <f ca="1">现金流量!J45</f>
        <v>-76.380774532375426</v>
      </c>
      <c r="F49" s="1197">
        <f ca="1">现金流量!K45</f>
        <v>-89.751324549736751</v>
      </c>
      <c r="G49" s="1191"/>
      <c r="H49" s="1218" t="s">
        <v>2422</v>
      </c>
      <c r="I49" s="1229">
        <f>IF(ISERROR((资产负债!G84-资产负债!G75)/目录!$F8),0,(资产负债!G84-资产负债!G75)/目录!$F8)</f>
        <v>4.2197673766790462</v>
      </c>
      <c r="J49" s="1229">
        <f>IF(ISERROR((资产负债!H84-资产负债!H75)/目录!$F8),0,(资产负债!H84-资产负债!H75)/目录!$F8)</f>
        <v>4.7710084915833706</v>
      </c>
      <c r="K49" s="1229">
        <f ca="1">IF(ISERROR((资产负债!I84-资产负债!I75)/目录!$F8),0,(资产负债!I84-资产负债!I75)/目录!$F8)</f>
        <v>4.5515583720517974</v>
      </c>
      <c r="L49" s="1229">
        <f ca="1">IF(ISERROR((资产负债!J84-资产负债!J75)/目录!$F8),0,(资产负债!J84-资产负债!J75)/目录!$F8)</f>
        <v>4.6439212957915119</v>
      </c>
      <c r="M49" s="1229">
        <f ca="1">IF(ISERROR((资产负债!K84-资产负债!K75)/目录!$F8),0,(资产负债!K84-资产负债!K75)/目录!$F8)</f>
        <v>4.6784749982506018</v>
      </c>
    </row>
    <row r="50" spans="1:13" ht="12">
      <c r="A50" s="1212" t="s">
        <v>2423</v>
      </c>
      <c r="B50" s="1213">
        <f>现金流量!G52</f>
        <v>539.41498000000001</v>
      </c>
      <c r="C50" s="1213">
        <f>现金流量!H52</f>
        <v>29.692047000000002</v>
      </c>
      <c r="D50" s="1213">
        <f>现金流量!I52</f>
        <v>0</v>
      </c>
      <c r="E50" s="1213">
        <f>现金流量!J52</f>
        <v>0</v>
      </c>
      <c r="F50" s="1213">
        <f>现金流量!K52</f>
        <v>0</v>
      </c>
      <c r="G50" s="1232"/>
      <c r="H50" s="1204" t="s">
        <v>2424</v>
      </c>
      <c r="I50" s="1227"/>
      <c r="J50" s="1205"/>
      <c r="K50" s="1205"/>
      <c r="L50" s="1205"/>
      <c r="M50" s="1205"/>
    </row>
    <row r="51" spans="1:13" ht="12">
      <c r="A51" s="1212" t="s">
        <v>2425</v>
      </c>
      <c r="B51" s="1213">
        <f>现金流量!G53</f>
        <v>-228.01377493000018</v>
      </c>
      <c r="C51" s="1213">
        <f>现金流量!H53</f>
        <v>391.22472955000012</v>
      </c>
      <c r="D51" s="1213">
        <f>现金流量!I53</f>
        <v>0</v>
      </c>
      <c r="E51" s="1213">
        <f>现金流量!J53</f>
        <v>0</v>
      </c>
      <c r="F51" s="1213">
        <f>现金流量!K53</f>
        <v>0</v>
      </c>
      <c r="G51" s="1216"/>
      <c r="H51" s="1218" t="s">
        <v>2426</v>
      </c>
      <c r="I51" s="1225">
        <f>目录!$F$12/输出!I47</f>
        <v>7.7013284048398507</v>
      </c>
      <c r="J51" s="1225">
        <f>目录!$F$12/输出!J47</f>
        <v>29.071261510436887</v>
      </c>
      <c r="K51" s="1225">
        <f ca="1">目录!$F$12/输出!K47</f>
        <v>-25.989742154941741</v>
      </c>
      <c r="L51" s="1225">
        <f ca="1">目录!$F$12/输出!L47</f>
        <v>30.873838967858017</v>
      </c>
      <c r="M51" s="1225">
        <f ca="1">目录!$F$12/输出!M47</f>
        <v>45.24682206390478</v>
      </c>
    </row>
    <row r="52" spans="1:13" ht="12">
      <c r="A52" s="1212" t="s">
        <v>2427</v>
      </c>
      <c r="B52" s="1197">
        <f>B47-SUM(B48:B51)</f>
        <v>-243.00860067999986</v>
      </c>
      <c r="C52" s="1197">
        <f>C47-SUM(C48:C51)</f>
        <v>-714.0932697799999</v>
      </c>
      <c r="D52" s="1197">
        <f ca="1">D47-SUM(D48:D51)</f>
        <v>-3029.460100268614</v>
      </c>
      <c r="E52" s="1197">
        <f ca="1">E47-SUM(E48:E51)</f>
        <v>-4794.8367745080723</v>
      </c>
      <c r="F52" s="1197">
        <f ca="1">F47-SUM(F48:F51)</f>
        <v>179.52389614334254</v>
      </c>
      <c r="G52" s="1191"/>
      <c r="H52" s="1218" t="s">
        <v>2428</v>
      </c>
      <c r="I52" s="1225">
        <f>目录!$F$12/输出!I49</f>
        <v>1.0427115068752433</v>
      </c>
      <c r="J52" s="1225">
        <f>目录!$F$12/输出!J49</f>
        <v>0.92223688299069817</v>
      </c>
      <c r="K52" s="1225">
        <f ca="1">目录!$F$12/输出!K49</f>
        <v>0.96670187226809612</v>
      </c>
      <c r="L52" s="1225">
        <f ca="1">目录!$F$12/输出!L49</f>
        <v>0.94747514433275137</v>
      </c>
      <c r="M52" s="1225">
        <f ca="1">目录!$F$12/输出!M49</f>
        <v>0.94047739950416964</v>
      </c>
    </row>
    <row r="53" spans="1:13" ht="12.75" customHeight="1">
      <c r="A53" s="1228" t="s">
        <v>2429</v>
      </c>
      <c r="B53" s="1205">
        <f>年度数据!G190</f>
        <v>619.76928358999999</v>
      </c>
      <c r="C53" s="1205">
        <f>年度数据!H190</f>
        <v>31.082781570000002</v>
      </c>
      <c r="D53" s="1205">
        <f ca="1">现金流量!I60</f>
        <v>-2564.6719566498796</v>
      </c>
      <c r="E53" s="1205">
        <f ca="1">现金流量!J60</f>
        <v>-4126.1413931815141</v>
      </c>
      <c r="F53" s="1205">
        <f ca="1">现金流量!K60</f>
        <v>1132.2394108210142</v>
      </c>
      <c r="G53" s="1191"/>
      <c r="H53" s="1233" t="s">
        <v>2430</v>
      </c>
      <c r="I53" s="1222">
        <f>财务分析!G65</f>
        <v>4.5671053382109603</v>
      </c>
      <c r="J53" s="1222">
        <f>财务分析!H65</f>
        <v>11.711044247893835</v>
      </c>
      <c r="K53" s="1222">
        <f ca="1">财务分析!I65</f>
        <v>484.34971762895862</v>
      </c>
      <c r="L53" s="1222">
        <f ca="1">财务分析!J65</f>
        <v>16.706375749873068</v>
      </c>
      <c r="M53" s="1222">
        <f ca="1">财务分析!K65</f>
        <v>13.589835647493766</v>
      </c>
    </row>
    <row r="54" spans="1:13" ht="15" customHeight="1">
      <c r="A54" s="1162"/>
      <c r="B54" s="1162"/>
      <c r="G54" s="1163"/>
      <c r="M54" s="1163"/>
    </row>
    <row r="55" spans="1:13">
      <c r="A55" s="1162"/>
      <c r="B55" s="1162"/>
      <c r="G55" s="1163"/>
      <c r="M55" s="1163"/>
    </row>
    <row r="56" spans="1:13" ht="11.25" customHeight="1">
      <c r="A56" s="1188" t="s">
        <v>2431</v>
      </c>
      <c r="B56" s="1164"/>
      <c r="E56" s="1314" t="s">
        <v>2340</v>
      </c>
      <c r="F56" s="1314"/>
      <c r="G56" s="1163"/>
      <c r="M56" s="1163"/>
    </row>
    <row r="57" spans="1:13" ht="12">
      <c r="A57" s="1189"/>
      <c r="B57" s="1187" t="str">
        <f>B35</f>
        <v>2021A</v>
      </c>
      <c r="C57" s="1187" t="str">
        <f>C35</f>
        <v>2022A</v>
      </c>
      <c r="D57" s="1187" t="str">
        <f>D35</f>
        <v>2023E</v>
      </c>
      <c r="E57" s="1187" t="str">
        <f>E35</f>
        <v>2024E</v>
      </c>
      <c r="F57" s="1187" t="str">
        <f>F35</f>
        <v>2025E</v>
      </c>
      <c r="H57" s="1163"/>
      <c r="I57" s="1163"/>
    </row>
    <row r="58" spans="1:13" ht="12">
      <c r="A58" s="1177" t="s">
        <v>2859</v>
      </c>
      <c r="B58" s="1176">
        <f>I3</f>
        <v>7770.7241516800004</v>
      </c>
      <c r="C58" s="1176">
        <f>J3</f>
        <v>7660.6405554399998</v>
      </c>
      <c r="D58" s="1176">
        <f>K3</f>
        <v>8366.1855505960248</v>
      </c>
      <c r="E58" s="1176">
        <f>L3</f>
        <v>9687.2062490351364</v>
      </c>
      <c r="F58" s="1176">
        <f>M3</f>
        <v>11280.713586890948</v>
      </c>
      <c r="G58" s="1163"/>
    </row>
    <row r="59" spans="1:13" ht="11.4">
      <c r="A59" s="1178" t="s">
        <v>2860</v>
      </c>
      <c r="B59" s="1236">
        <f>I29</f>
        <v>0.24573188559615566</v>
      </c>
      <c r="C59" s="1236">
        <f>J29</f>
        <v>-1.4166452712930377E-2</v>
      </c>
      <c r="D59" s="1236">
        <f>K29</f>
        <v>9.2100000000000001E-2</v>
      </c>
      <c r="E59" s="1236">
        <f>L29</f>
        <v>0.15790000000000001</v>
      </c>
      <c r="F59" s="1236">
        <f>M29</f>
        <v>0.1644960679984003</v>
      </c>
    </row>
    <row r="60" spans="1:13" ht="12">
      <c r="A60" s="1177" t="s">
        <v>2872</v>
      </c>
      <c r="B60" s="1176">
        <f>I22</f>
        <v>672.61913852999999</v>
      </c>
      <c r="C60" s="1179">
        <f>J22</f>
        <v>178.18493619</v>
      </c>
      <c r="D60" s="1179">
        <f ca="1">K22</f>
        <v>-199.31174562326518</v>
      </c>
      <c r="E60" s="1179">
        <f ca="1">L22</f>
        <v>167.78156038816007</v>
      </c>
      <c r="F60" s="1179">
        <f ca="1">M22</f>
        <v>114.48452379448641</v>
      </c>
      <c r="H60" s="1163"/>
      <c r="I60" s="1163"/>
    </row>
    <row r="61" spans="1:13" ht="11.4">
      <c r="A61" s="1178" t="s">
        <v>2861</v>
      </c>
      <c r="B61" s="1236">
        <f>I31</f>
        <v>-0.24453178665279779</v>
      </c>
      <c r="C61" s="1236">
        <f>J31</f>
        <v>-0.73508791828400721</v>
      </c>
      <c r="D61" s="1236">
        <f ca="1">K31</f>
        <v>-2.1185667536493518</v>
      </c>
      <c r="E61" s="1236">
        <f ca="1">L31</f>
        <v>1.8418046807201078</v>
      </c>
      <c r="F61" s="1236">
        <f ca="1">M31</f>
        <v>-0.31765729482054994</v>
      </c>
    </row>
    <row r="62" spans="1:13" ht="12">
      <c r="A62" s="1177" t="s">
        <v>2393</v>
      </c>
      <c r="B62" s="1237">
        <f t="shared" ref="B62:F63" si="1">I33</f>
        <v>0.28514371264111327</v>
      </c>
      <c r="C62" s="1237">
        <f t="shared" si="1"/>
        <v>0.2121076578193104</v>
      </c>
      <c r="D62" s="1237">
        <f t="shared" si="1"/>
        <v>0.17689999999999995</v>
      </c>
      <c r="E62" s="1237">
        <f t="shared" si="1"/>
        <v>0.24416336816713236</v>
      </c>
      <c r="F62" s="1237">
        <f t="shared" si="1"/>
        <v>0.2336280645350578</v>
      </c>
      <c r="H62" s="1163"/>
      <c r="I62" s="1163"/>
    </row>
    <row r="63" spans="1:13" ht="12">
      <c r="A63" s="1180" t="s">
        <v>2395</v>
      </c>
      <c r="B63" s="1238">
        <f>I34</f>
        <v>8.6558102617062052E-2</v>
      </c>
      <c r="C63" s="1238">
        <f t="shared" si="1"/>
        <v>2.3259795953155211E-2</v>
      </c>
      <c r="D63" s="1238">
        <f t="shared" ca="1" si="1"/>
        <v>-2.3823490934774424E-2</v>
      </c>
      <c r="E63" s="1238">
        <f t="shared" ca="1" si="1"/>
        <v>1.7319912064933211E-2</v>
      </c>
      <c r="F63" s="1238">
        <f t="shared" ca="1" si="1"/>
        <v>1.0148695196687395E-2</v>
      </c>
      <c r="H63" s="1163"/>
      <c r="I63" s="1163"/>
    </row>
    <row r="64" spans="1:13" ht="11.4">
      <c r="A64" s="1181" t="s">
        <v>2396</v>
      </c>
      <c r="B64" s="1239">
        <f>I35</f>
        <v>0.13539372067550812</v>
      </c>
      <c r="C64" s="1239">
        <f>J35</f>
        <v>3.1669384929869197E-2</v>
      </c>
      <c r="D64" s="1239">
        <f ca="1">K35</f>
        <v>-3.7176626194826992E-2</v>
      </c>
      <c r="E64" s="1239">
        <f ca="1">L35</f>
        <v>3.0671627706799136E-2</v>
      </c>
      <c r="F64" s="1239">
        <f ca="1">M35</f>
        <v>2.0772694082215788E-2</v>
      </c>
      <c r="H64" s="1163"/>
      <c r="I64" s="1163"/>
    </row>
    <row r="65" spans="1:9">
      <c r="A65" s="1175" t="s">
        <v>2862</v>
      </c>
      <c r="B65" s="1186">
        <f>I47</f>
        <v>0.57133000551370439</v>
      </c>
      <c r="C65" s="1186">
        <f>J47</f>
        <v>0.15135222110744503</v>
      </c>
      <c r="D65" s="1186">
        <f ca="1">K47</f>
        <v>-0.16929756262177367</v>
      </c>
      <c r="E65" s="1186">
        <f ca="1">L47</f>
        <v>0.14251548064951464</v>
      </c>
      <c r="F65" s="1186">
        <f ca="1">M47</f>
        <v>9.724439859633939E-2</v>
      </c>
      <c r="H65" s="1163"/>
      <c r="I65" s="1163"/>
    </row>
    <row r="66" spans="1:9" ht="13.2">
      <c r="A66" s="1182" t="s">
        <v>2869</v>
      </c>
      <c r="B66" s="1185">
        <f t="shared" ref="B66:F67" si="2">I51</f>
        <v>7.7013284048398507</v>
      </c>
      <c r="C66" s="1185">
        <f t="shared" si="2"/>
        <v>29.071261510436887</v>
      </c>
      <c r="D66" s="1185">
        <f t="shared" ca="1" si="2"/>
        <v>-25.989742154941741</v>
      </c>
      <c r="E66" s="1185">
        <f t="shared" ca="1" si="2"/>
        <v>30.873838967858017</v>
      </c>
      <c r="F66" s="1185">
        <f t="shared" ca="1" si="2"/>
        <v>45.24682206390478</v>
      </c>
      <c r="H66" s="1163"/>
      <c r="I66" s="1163"/>
    </row>
    <row r="67" spans="1:9" ht="13.2">
      <c r="A67" s="1175" t="s">
        <v>2870</v>
      </c>
      <c r="B67" s="1183">
        <f t="shared" si="2"/>
        <v>1.0427115068752433</v>
      </c>
      <c r="C67" s="1184">
        <f t="shared" si="2"/>
        <v>0.92223688299069817</v>
      </c>
      <c r="D67" s="1184">
        <f t="shared" ca="1" si="2"/>
        <v>0.96670187226809612</v>
      </c>
      <c r="E67" s="1184">
        <f t="shared" ca="1" si="2"/>
        <v>0.94747514433275137</v>
      </c>
      <c r="F67" s="1184">
        <f t="shared" ca="1" si="2"/>
        <v>0.94047739950416964</v>
      </c>
      <c r="H67" s="1163"/>
      <c r="I67" s="1163"/>
    </row>
  </sheetData>
  <mergeCells count="4">
    <mergeCell ref="E1:F1"/>
    <mergeCell ref="L1:M1"/>
    <mergeCell ref="E34:F34"/>
    <mergeCell ref="E56:F56"/>
  </mergeCells>
  <phoneticPr fontId="7" type="noConversion"/>
  <pageMargins left="0.7" right="0.7" top="0.75" bottom="0.75" header="0.3" footer="0.3"/>
  <pageSetup orientation="portrait" horizontalDpi="200" verticalDpi="200" copies="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34</vt:i4>
      </vt:variant>
      <vt:variant>
        <vt:lpstr>命名范围</vt:lpstr>
      </vt:variant>
      <vt:variant>
        <vt:i4>122</vt:i4>
      </vt:variant>
    </vt:vector>
  </HeadingPairs>
  <TitlesOfParts>
    <vt:vector size="156" baseType="lpstr">
      <vt:lpstr>主营业务</vt:lpstr>
      <vt:lpstr>财务对照表</vt:lpstr>
      <vt:lpstr>现金流量原始数据</vt:lpstr>
      <vt:lpstr>数据输入</vt:lpstr>
      <vt:lpstr>数据</vt:lpstr>
      <vt:lpstr>备用数据</vt:lpstr>
      <vt:lpstr>说明</vt:lpstr>
      <vt:lpstr>目录</vt:lpstr>
      <vt:lpstr>年度数据重构</vt:lpstr>
      <vt:lpstr>年度数据</vt:lpstr>
      <vt:lpstr>收入成本预测</vt:lpstr>
      <vt:lpstr>单产品敏感性分析</vt:lpstr>
      <vt:lpstr>假设</vt:lpstr>
      <vt:lpstr>营运资本</vt:lpstr>
      <vt:lpstr>资本投资</vt:lpstr>
      <vt:lpstr>利润表</vt:lpstr>
      <vt:lpstr>债务</vt:lpstr>
      <vt:lpstr>资产负债</vt:lpstr>
      <vt:lpstr>现金流量</vt:lpstr>
      <vt:lpstr>财务分析</vt:lpstr>
      <vt:lpstr>图形</vt:lpstr>
      <vt:lpstr>估值</vt:lpstr>
      <vt:lpstr>情景表</vt:lpstr>
      <vt:lpstr>绝对估值</vt:lpstr>
      <vt:lpstr>绝对估值敏感性分析</vt:lpstr>
      <vt:lpstr>相对估值</vt:lpstr>
      <vt:lpstr>报告期历史数据</vt:lpstr>
      <vt:lpstr>资产规模指数化分析</vt:lpstr>
      <vt:lpstr>输出_BD</vt:lpstr>
      <vt:lpstr>数据输入季度数据</vt:lpstr>
      <vt:lpstr>季度数据</vt:lpstr>
      <vt:lpstr>季度财务分析</vt:lpstr>
      <vt:lpstr>报告期利润变化</vt:lpstr>
      <vt:lpstr>输出</vt:lpstr>
      <vt:lpstr>HISEV_EBITDA</vt:lpstr>
      <vt:lpstr>Indu_StartCol</vt:lpstr>
      <vt:lpstr>InduTyp_Count</vt:lpstr>
      <vt:lpstr>js_cqdkll</vt:lpstr>
      <vt:lpstr>js_cqdtfytxnx</vt:lpstr>
      <vt:lpstr>js_cqgqtz</vt:lpstr>
      <vt:lpstr>js_cqyfk</vt:lpstr>
      <vt:lpstr>js_cqysk</vt:lpstr>
      <vt:lpstr>js_dqdkll</vt:lpstr>
      <vt:lpstr>js_dysdsfz</vt:lpstr>
      <vt:lpstr>js_dysdszc</vt:lpstr>
      <vt:lpstr>js_dysy</vt:lpstr>
      <vt:lpstr>js_gdzczjnx</vt:lpstr>
      <vt:lpstr>js_glfy</vt:lpstr>
      <vt:lpstr>js_gyjzbdsy</vt:lpstr>
      <vt:lpstr>js_gzrgjqfq</vt:lpstr>
      <vt:lpstr>js_ipofxgb</vt:lpstr>
      <vt:lpstr>js_ipofxjg</vt:lpstr>
      <vt:lpstr>js_ipogetmoney</vt:lpstr>
      <vt:lpstr>js_jyxjrfz</vt:lpstr>
      <vt:lpstr>js_kzjjg</vt:lpstr>
      <vt:lpstr>js_kzzsl</vt:lpstr>
      <vt:lpstr>js_mgpx</vt:lpstr>
      <vt:lpstr>js_pgjg</vt:lpstr>
      <vt:lpstr>js_pgsl</vt:lpstr>
      <vt:lpstr>js_qqxqjg</vt:lpstr>
      <vt:lpstr>js_qqxqsl</vt:lpstr>
      <vt:lpstr>js_qtcwfy</vt:lpstr>
      <vt:lpstr>js_qtfldfz</vt:lpstr>
      <vt:lpstr>js_qtfldzc</vt:lpstr>
      <vt:lpstr>js_qtldfz</vt:lpstr>
      <vt:lpstr>js_qtsy</vt:lpstr>
      <vt:lpstr>js_qtyfzk</vt:lpstr>
      <vt:lpstr>js_sl</vt:lpstr>
      <vt:lpstr>js_ssgdsy</vt:lpstr>
      <vt:lpstr>js_sy</vt:lpstr>
      <vt:lpstr>js_tzjsyly</vt:lpstr>
      <vt:lpstr>js_tzjsyqt</vt:lpstr>
      <vt:lpstr>js_val_gdzcczl</vt:lpstr>
      <vt:lpstr>js_wbbbzsce</vt:lpstr>
      <vt:lpstr>js_wxzctxnx</vt:lpstr>
      <vt:lpstr>js_xjfxl</vt:lpstr>
      <vt:lpstr>js_xyjzss</vt:lpstr>
      <vt:lpstr>js_xzcqdtfy</vt:lpstr>
      <vt:lpstr>js_xzcqjk</vt:lpstr>
      <vt:lpstr>js_xzgdzc</vt:lpstr>
      <vt:lpstr>js_xzwxzc</vt:lpstr>
      <vt:lpstr>js_xzzjgc</vt:lpstr>
      <vt:lpstr>js_yffy</vt:lpstr>
      <vt:lpstr>js_yfgl</vt:lpstr>
      <vt:lpstr>js_yflx</vt:lpstr>
      <vt:lpstr>js_yfpj</vt:lpstr>
      <vt:lpstr>js_yfzgxc</vt:lpstr>
      <vt:lpstr>js_yfzk</vt:lpstr>
      <vt:lpstr>js_yfzk_mx</vt:lpstr>
      <vt:lpstr>js_yhckll</vt:lpstr>
      <vt:lpstr>js_yjfz</vt:lpstr>
      <vt:lpstr>js_yjsf</vt:lpstr>
      <vt:lpstr>js_yszk</vt:lpstr>
      <vt:lpstr>js_yycb</vt:lpstr>
      <vt:lpstr>js_yyfy</vt:lpstr>
      <vt:lpstr>js_yygjj</vt:lpstr>
      <vt:lpstr>js_yysjjfj</vt:lpstr>
      <vt:lpstr>js_yysr</vt:lpstr>
      <vt:lpstr>js_yywsr</vt:lpstr>
      <vt:lpstr>js_yywzc</vt:lpstr>
      <vt:lpstr>js_zc_ch</vt:lpstr>
      <vt:lpstr>js_zc_cyzdqtz</vt:lpstr>
      <vt:lpstr>js_zc_hfwcydsdfz</vt:lpstr>
      <vt:lpstr>js_zc_hfwcydsdzc</vt:lpstr>
      <vt:lpstr>js_zc_htfz</vt:lpstr>
      <vt:lpstr>js_zc_htzc</vt:lpstr>
      <vt:lpstr>js_zc_jyxjrzc</vt:lpstr>
      <vt:lpstr>js_zc_kgcsjrzc</vt:lpstr>
      <vt:lpstr>js_zc_qtfldjrzc</vt:lpstr>
      <vt:lpstr>js_zc_qtldzc</vt:lpstr>
      <vt:lpstr>js_zc_qtqygjtz</vt:lpstr>
      <vt:lpstr>js_zc_qtysk</vt:lpstr>
      <vt:lpstr>js_zc_qtzqtz</vt:lpstr>
      <vt:lpstr>js_zc_syqzc</vt:lpstr>
      <vt:lpstr>js_zc_tzxfdc</vt:lpstr>
      <vt:lpstr>js_zc_yfzk</vt:lpstr>
      <vt:lpstr>js_zc_ynndqdfldzc</vt:lpstr>
      <vt:lpstr>js_zc_ysjrfz</vt:lpstr>
      <vt:lpstr>js_zc_ysjrzc</vt:lpstr>
      <vt:lpstr>js_zc_yskxrz</vt:lpstr>
      <vt:lpstr>js_zc_yslx</vt:lpstr>
      <vt:lpstr>js_zc_yspj</vt:lpstr>
      <vt:lpstr>js_zc_yszk</vt:lpstr>
      <vt:lpstr>js_zc_yszk_mx</vt:lpstr>
      <vt:lpstr>js_zc_zdxjye</vt:lpstr>
      <vt:lpstr>js_zc_zlfz</vt:lpstr>
      <vt:lpstr>js_zc_zqtz</vt:lpstr>
      <vt:lpstr>js_zcczsy</vt:lpstr>
      <vt:lpstr>js_zcjzss</vt:lpstr>
      <vt:lpstr>js_zddqjkye</vt:lpstr>
      <vt:lpstr>js_zfgb</vt:lpstr>
      <vt:lpstr>js_zfjg</vt:lpstr>
      <vt:lpstr>js_zgb_ipozj</vt:lpstr>
      <vt:lpstr>js_zgb_kzzzj</vt:lpstr>
      <vt:lpstr>js_zgb_qqzj</vt:lpstr>
      <vt:lpstr>js_zgb_sgzj</vt:lpstr>
      <vt:lpstr>js_zgb_zfzj</vt:lpstr>
      <vt:lpstr>js_zgb_zzzj</vt:lpstr>
      <vt:lpstr>js_zxyfk</vt:lpstr>
      <vt:lpstr>PrdTyp_Count</vt:lpstr>
      <vt:lpstr>Prod_StartCol</vt:lpstr>
      <vt:lpstr>Prod_StartRow</vt:lpstr>
      <vt:lpstr>profit_qtcwfy</vt:lpstr>
      <vt:lpstr>profit_tbeps</vt:lpstr>
      <vt:lpstr>profit_xyjzss</vt:lpstr>
      <vt:lpstr>profit_yycb</vt:lpstr>
      <vt:lpstr>profit_yysr</vt:lpstr>
      <vt:lpstr>profit_zcjzss</vt:lpstr>
      <vt:lpstr>Valuation_Date</vt:lpstr>
      <vt:lpstr>zc_yfpj</vt:lpstr>
      <vt:lpstr>zc_yfpjjyfzk</vt:lpstr>
      <vt:lpstr>zc_yfzk</vt:lpstr>
      <vt:lpstr>zc_yspj</vt:lpstr>
      <vt:lpstr>zc_yspjjyszk</vt:lpstr>
      <vt:lpstr>zc_yszk</vt:lpstr>
      <vt:lpstr>zcfz_gsmgsqyhj</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1</dc:creator>
  <cp:lastModifiedBy>1</cp:lastModifiedBy>
  <cp:revision>1</cp:revision>
  <cp:lastPrinted>2010-11-12T03:33:13Z</cp:lastPrinted>
  <dcterms:created xsi:type="dcterms:W3CDTF">1999-05-13T01:13:35Z</dcterms:created>
  <dcterms:modified xsi:type="dcterms:W3CDTF">2024-02-06T07:30:40Z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A_Functions">
    <vt:lpwstr>$B$3;$B$40;$Z$7;$C$3;$C$111;$C$206;$B$78;$B$94;$B$115;$B$131;$B$57;$B$111;$B$165;$B$219;$B$273;$I$78;$X$29;$X$23;$AA$29;$AC$29;$Z$23;$V$39;$V$59;$V$65;$V$64;$V$69;$V$74;$V$79;$V$84;$V$89;$V$97;$V$100;$A$51;$A$49;$A$63;$M$56;$M$72;$N$72;$O$73;$G$112;$O$14</vt:lpwstr>
  </property>
  <property fmtid="{D5CDD505-2E9C-101B-9397-08002B2CF9AE}" pid="3" name="BD_Doc_Temp_ID">
    <vt:lpwstr>81d545b8-5029-4c48-abcb-c6805a9be8ba</vt:lpwstr>
  </property>
  <property fmtid="{D5CDD505-2E9C-101B-9397-08002B2CF9AE}" pid="4" name="AddinName">
    <vt:lpwstr>开源投研Excel插件</vt:lpwstr>
  </property>
</Properties>
</file>